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S:\EM&amp;V Forum\REED\2017-2018 Funding\Measure Cost Research\Report\DRAFT AUG 3 Deliv\"/>
    </mc:Choice>
  </mc:AlternateContent>
  <bookViews>
    <workbookView xWindow="0" yWindow="0" windowWidth="20490" windowHeight="9045" firstSheet="4" activeTab="4"/>
  </bookViews>
  <sheets>
    <sheet name="Lookups-Assumptions" sheetId="27" state="hidden" r:id="rId1"/>
    <sheet name="NEI Lookups" sheetId="33" state="hidden" r:id="rId2"/>
    <sheet name="Demand Lookups" sheetId="6" state="hidden" r:id="rId3"/>
    <sheet name="Avoided Costs" sheetId="8" state="hidden" r:id="rId4"/>
    <sheet name="READ ME" sheetId="38" r:id="rId5"/>
    <sheet name="Inputs Yr 2" sheetId="1" r:id="rId6"/>
    <sheet name="Calculations Yr 2" sheetId="10" r:id="rId7"/>
    <sheet name="Cost Table" sheetId="9" r:id="rId8"/>
    <sheet name="Master Data" sheetId="25" r:id="rId9"/>
    <sheet name="Savings" sheetId="36" r:id="rId10"/>
    <sheet name="Benefits" sheetId="34" r:id="rId11"/>
    <sheet name="Cost-Effectiveness" sheetId="35" r:id="rId12"/>
    <sheet name="Measure Summary" sheetId="37" r:id="rId13"/>
  </sheets>
  <externalReferences>
    <externalReference r:id="rId14"/>
    <externalReference r:id="rId15"/>
  </externalReferences>
  <definedNames>
    <definedName name="_xlnm._FilterDatabase" localSheetId="6" hidden="1">'Calculations Yr 2'!$A$4:$CX$393</definedName>
    <definedName name="_xlnm._FilterDatabase" localSheetId="7" hidden="1">'Cost Table'!$E$1:$J$672</definedName>
    <definedName name="_xlnm._FilterDatabase" localSheetId="5" hidden="1">'Inputs Yr 2'!$A$4:$BA$351</definedName>
    <definedName name="_xlnm._FilterDatabase" localSheetId="8" hidden="1">'Master Data'!$C$1:$BG$38</definedName>
    <definedName name="_xlnm._FilterDatabase" localSheetId="1" hidden="1">'NEI Lookups'!$A$2:$J$326</definedName>
    <definedName name="avoidedcosttbl" localSheetId="4">'[1]Avoided Costs'!$A$33:$CK$57</definedName>
    <definedName name="avoidedcosttbl">'Avoided Costs'!$A$33:$CK$57</definedName>
    <definedName name="avoidedcosttbl1">'Avoided Costs'!$A$33:$CK$57</definedName>
    <definedName name="avoidedcosttbl2" localSheetId="4">'[1]Avoided Costs'!$A$62:$CK$91</definedName>
    <definedName name="avoidedcosttbl2">'Avoided Costs'!$A$62:$CK$86</definedName>
    <definedName name="avoidedcosttbl3" localSheetId="4">'[1]Avoided Costs'!$A$96:$CK$120</definedName>
    <definedName name="avoidedcosttbl3">'Avoided Costs'!$A$91:$CK$115</definedName>
    <definedName name="CalculationsYear1">'Calculations Yr 2'!$A$4:$CX$225</definedName>
    <definedName name="CalculationsYear2">#REF!</definedName>
    <definedName name="CalculationsYear3">#REF!</definedName>
    <definedName name="CD" localSheetId="4">'[1]Avoided Costs'!$D$22</definedName>
    <definedName name="CD">'Avoided Costs'!$D$22</definedName>
    <definedName name="CI_Sewer">'Avoided Costs'!$AV$33:$AV$57</definedName>
    <definedName name="CI_Water">'Avoided Costs'!$AT$33:$AT$57</definedName>
    <definedName name="cisewer1">'Avoided Costs'!$D$21</definedName>
    <definedName name="cisewer2" localSheetId="4">'[1]Avoided Costs'!$E$21</definedName>
    <definedName name="cisewer2">'Avoided Costs'!$E$21</definedName>
    <definedName name="cisewer3" localSheetId="4">'[1]Avoided Costs'!$F$21</definedName>
    <definedName name="cisewer3">'Avoided Costs'!$F$21</definedName>
    <definedName name="ciwater1">'Avoided Costs'!$D$20</definedName>
    <definedName name="ciwater2" localSheetId="4">'[1]Avoided Costs'!$E$20</definedName>
    <definedName name="ciwater2">'Avoided Costs'!$E$20</definedName>
    <definedName name="ciwater3" localSheetId="4">'[1]Avoided Costs'!$F$20</definedName>
    <definedName name="ciwater3">'Avoided Costs'!$F$20</definedName>
    <definedName name="Distributionyear1">'Avoided Costs'!$D$18</definedName>
    <definedName name="distributionyear2" localSheetId="4">'[1]Avoided Costs'!$E$18</definedName>
    <definedName name="Distributionyear2">'Avoided Costs'!$E$18</definedName>
    <definedName name="distributionyear3" localSheetId="4">'[1]Avoided Costs'!$F$18</definedName>
    <definedName name="Distributionyear3">'Avoided Costs'!$F$18</definedName>
    <definedName name="dripe">'Avoided Costs'!$AZ$33:$AZ$57</definedName>
    <definedName name="ECD" localSheetId="4">'[1]Avoided Costs'!$D$26</definedName>
    <definedName name="ECD">'Avoided Costs'!$D$26</definedName>
    <definedName name="ED" localSheetId="4">'[1]Avoided Costs'!$D$23</definedName>
    <definedName name="ED">'Avoided Costs'!$D$23</definedName>
    <definedName name="EE" localSheetId="4">'[1]Avoided Costs'!$D$27</definedName>
    <definedName name="EE">'Avoided Costs'!$D$27</definedName>
    <definedName name="EndUse" localSheetId="4">'[1]Lookups-Assumptions'!$D$52:$D$64</definedName>
    <definedName name="EndUse">'Lookups-Assumptions'!$D$52:$D$64</definedName>
    <definedName name="Fuel">'Avoided Costs'!$S$33:$AP$57</definedName>
    <definedName name="FuelList">'[1]Lookups-Assumptions'!$D$36:$D$49</definedName>
    <definedName name="Gas">'Avoided Costs'!$AB$33:$AB$57</definedName>
    <definedName name="GD" localSheetId="4">'[1]Avoided Costs'!$D$24</definedName>
    <definedName name="GD">'Avoided Costs'!$D$24</definedName>
    <definedName name="GECD" localSheetId="4">'[1]Avoided Costs'!$D$25</definedName>
    <definedName name="GECD">'Avoided Costs'!$D$25</definedName>
    <definedName name="Half_Year" localSheetId="4">'[1]Avoided Costs'!$D$14</definedName>
    <definedName name="Half_Year">'Avoided Costs'!$D$14</definedName>
    <definedName name="Inflation" localSheetId="4">'[1]Avoided Costs'!$D$12</definedName>
    <definedName name="Inflation">'Avoided Costs'!$D$12</definedName>
    <definedName name="Inflation2" localSheetId="4">'[1]Avoided Costs'!$E$12</definedName>
    <definedName name="Inflation2">'Avoided Costs'!$E$12</definedName>
    <definedName name="Inflation3" localSheetId="4">'[1]Avoided Costs'!$F$12</definedName>
    <definedName name="Inflation3">'Avoided Costs'!$F$12</definedName>
    <definedName name="Kerosene">'Avoided Costs'!$AP$33:$AP$57</definedName>
    <definedName name="MasterData">'Master Data'!$C:$BH</definedName>
    <definedName name="NDR" localSheetId="4">'[1]Lookups-Assumptions'!$E$13</definedName>
    <definedName name="NDR">'Lookups-Assumptions'!$E$13</definedName>
    <definedName name="nomdiscrt1" localSheetId="4">'[1]Avoided Costs'!$D$11</definedName>
    <definedName name="nomdiscrt1">'Avoided Costs'!$D$11</definedName>
    <definedName name="nomdiscrt2" localSheetId="4">'[1]Avoided Costs'!$E$11</definedName>
    <definedName name="nomdiscrt2">'Avoided Costs'!$E$11</definedName>
    <definedName name="nomdiscrt3" localSheetId="4">'[1]Avoided Costs'!$F$11</definedName>
    <definedName name="nomdiscrt3">'Avoided Costs'!$F$11</definedName>
    <definedName name="Non_Resource">'Avoided Costs'!$AX$33:$AX$57</definedName>
    <definedName name="Oil">'Avoided Costs'!$T$33:$T$57</definedName>
    <definedName name="PA" localSheetId="4">'[1]Lookups-Assumptions'!$D$5</definedName>
    <definedName name="PA">'Lookups-Assumptions'!$D$5</definedName>
    <definedName name="_xlnm.Print_Area" localSheetId="10">Benefits!$B$2:$U$65</definedName>
    <definedName name="_xlnm.Print_Area" localSheetId="6">'Calculations Yr 2'!$CQ$4:$CX$194</definedName>
    <definedName name="_xlnm.Print_Area" localSheetId="7">'Cost Table'!$J$486:$J$488</definedName>
    <definedName name="_xlnm.Print_Area" localSheetId="11">'Cost-Effectiveness'!$B$2:$I$150</definedName>
    <definedName name="_xlnm.Print_Area" localSheetId="9">Savings!$B$2:$O$159</definedName>
    <definedName name="_xlnm.Print_Titles" localSheetId="10">Benefits!$B:$B,Benefits!$2:$5</definedName>
    <definedName name="_xlnm.Print_Titles" localSheetId="6">'Calculations Yr 2'!$A:$C,'Calculations Yr 2'!$1:$4</definedName>
    <definedName name="_xlnm.Print_Titles" localSheetId="11">'Cost-Effectiveness'!$2:$5</definedName>
    <definedName name="_xlnm.Print_Titles" localSheetId="8">'Master Data'!$C:$I,'Master Data'!$1:$1</definedName>
    <definedName name="_xlnm.Print_Titles" localSheetId="9">Savings!$2:$5</definedName>
    <definedName name="Propane">'Avoided Costs'!$AN$33:$AN$57</definedName>
    <definedName name="RDR">'Lookups-Assumptions'!$E$12</definedName>
    <definedName name="Real_Year">'Avoided Costs'!$C$136</definedName>
    <definedName name="Real_Year2" localSheetId="1">'Avoided Costs'!$C$136</definedName>
    <definedName name="Real_Year2" localSheetId="4">'[1]Avoided Costs'!$C$141</definedName>
    <definedName name="Real_Year2">'Avoided Costs'!$C$136</definedName>
    <definedName name="realdiscrt1" localSheetId="4">'[1]Avoided Costs'!$D$13</definedName>
    <definedName name="realdiscrt1">'Avoided Costs'!$D$13</definedName>
    <definedName name="realdiscrt2" localSheetId="4">'[1]Avoided Costs'!$E$13</definedName>
    <definedName name="realdiscrt2">'Avoided Costs'!$E$13</definedName>
    <definedName name="realdiscrt3" localSheetId="4">'[1]Avoided Costs'!$F$13</definedName>
    <definedName name="realdiscrt3">'Avoided Costs'!$F$13</definedName>
    <definedName name="reswater">'Avoided Costs'!$D$19</definedName>
    <definedName name="reswater2" localSheetId="4">'[1]Avoided Costs'!$E$19</definedName>
    <definedName name="reswater2">'Avoided Costs'!$E$19</definedName>
    <definedName name="reswater3" localSheetId="4">'[1]Avoided Costs'!$F$19</definedName>
    <definedName name="reswater3">'Avoided Costs'!$F$19</definedName>
    <definedName name="RNC">'[1]Lookups-Assumptions'!$D$82</definedName>
    <definedName name="Summer_Gen">'Avoided Costs'!$L$33:$L$57</definedName>
    <definedName name="Summer_Off">'Avoided Costs'!$J$33:$J$57</definedName>
    <definedName name="Summer_Peak">'Avoided Costs'!$H$33:$H$57</definedName>
    <definedName name="summerco2">'Avoided Costs'!$BO$33:$BO$57</definedName>
    <definedName name="summeroffpeakco2">'Avoided Costs'!$BQ$33:$BQ$57</definedName>
    <definedName name="summeroffpeakDRIPE">'Avoided Costs'!$BI$33:$BI$57</definedName>
    <definedName name="summerpeakDRIPE">'Avoided Costs'!$BG$33:$BG$57</definedName>
    <definedName name="TD_Year" localSheetId="4">'[1]Avoided Costs'!$K$17</definedName>
    <definedName name="TD_Year">'Avoided Costs'!$K$17</definedName>
    <definedName name="Transmission">'Avoided Costs'!$P$33:$P$57</definedName>
    <definedName name="transmissionyear1" localSheetId="4">'[1]Avoided Costs'!$D$17</definedName>
    <definedName name="transmissionyear1">'Avoided Costs'!$D$17</definedName>
    <definedName name="transmissionyear2" localSheetId="4">'[1]Avoided Costs'!$E$17</definedName>
    <definedName name="transmissionyear2">'Avoided Costs'!$E$17</definedName>
    <definedName name="transmissionyear3" localSheetId="4">'[1]Avoided Costs'!$F$17</definedName>
    <definedName name="transmissionyear3">'Avoided Costs'!$F$17</definedName>
    <definedName name="Water">'Avoided Costs'!$AR$33:$AR$57</definedName>
    <definedName name="Winter_Gen">'Avoided Costs'!$N$33:$N$57</definedName>
    <definedName name="Winter_Off">'Avoided Costs'!$F$33:$F$57</definedName>
    <definedName name="Winter_Peak">'Avoided Costs'!$D$33:$D$57</definedName>
    <definedName name="winteroffco2">'Avoided Costs'!$BM$33:$BM$57</definedName>
    <definedName name="WinteroffpeakDRIPE">'Avoided Costs'!$BE$33:$BE$57</definedName>
    <definedName name="winterpeakco2">'Avoided Costs'!$BK$33:$BK$57</definedName>
    <definedName name="WinterPeakDRIPE">'Avoided Costs'!$BC$33:$BC$57</definedName>
    <definedName name="Wt_Year" localSheetId="4">'[1]Avoided Costs'!$K$19</definedName>
    <definedName name="Wt_Year">'Avoided Costs'!$K$19</definedName>
    <definedName name="Year1" localSheetId="4">'[1]Lookups-Assumptions'!$D$8</definedName>
    <definedName name="Year1">'Lookups-Assumptions'!$D$8</definedName>
    <definedName name="Year2" localSheetId="4">'[1]Lookups-Assumptions'!$D$9</definedName>
    <definedName name="Year2">'Lookups-Assumptions'!$D$9</definedName>
    <definedName name="Year3" localSheetId="4">'[1]Lookups-Assumptions'!$D$10</definedName>
    <definedName name="Year3">'Lookups-Assumptions'!$D$10</definedName>
  </definedNames>
  <calcPr calcId="152511"/>
  <pivotCaches>
    <pivotCache cacheId="0" r:id="rId16"/>
    <pivotCache cacheId="1" r:id="rId17"/>
    <pivotCache cacheId="2" r:id="rId18"/>
  </pivotCaches>
</workbook>
</file>

<file path=xl/calcChain.xml><?xml version="1.0" encoding="utf-8"?>
<calcChain xmlns="http://schemas.openxmlformats.org/spreadsheetml/2006/main">
  <c r="E70" i="38" l="1"/>
  <c r="E153" i="38" l="1"/>
  <c r="E152" i="38"/>
  <c r="E151" i="38"/>
  <c r="E150" i="38"/>
  <c r="E149" i="38"/>
  <c r="E148" i="38"/>
  <c r="E147" i="38"/>
  <c r="E146" i="38"/>
  <c r="E145" i="38"/>
  <c r="E144" i="38"/>
  <c r="E143" i="38"/>
  <c r="E142" i="38"/>
  <c r="E141" i="38"/>
  <c r="E140" i="38"/>
  <c r="E139" i="38"/>
  <c r="E138" i="38"/>
  <c r="E137" i="38"/>
  <c r="E136" i="38"/>
  <c r="E135" i="38"/>
  <c r="E134" i="38"/>
  <c r="E133" i="38"/>
  <c r="E132" i="38"/>
  <c r="E131" i="38"/>
  <c r="E130" i="38"/>
  <c r="E129" i="38"/>
  <c r="E128" i="38"/>
  <c r="E127" i="38"/>
  <c r="E126" i="38"/>
  <c r="E125" i="38"/>
  <c r="E124" i="38"/>
  <c r="E123" i="38"/>
  <c r="E122" i="38"/>
  <c r="E121" i="38"/>
  <c r="E120" i="38"/>
  <c r="E119" i="38"/>
  <c r="E118" i="38"/>
  <c r="E117" i="38"/>
  <c r="E116" i="38"/>
  <c r="E115" i="38"/>
  <c r="E114" i="38"/>
  <c r="E113" i="38"/>
  <c r="E112"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40" i="38"/>
  <c r="E39" i="38"/>
  <c r="Q3" i="25" l="1"/>
  <c r="J4" i="9" s="1"/>
  <c r="Q4" i="25"/>
  <c r="J5" i="9" s="1"/>
  <c r="Q5" i="25"/>
  <c r="J6" i="9" s="1"/>
  <c r="Q6" i="25"/>
  <c r="J7" i="9" s="1"/>
  <c r="Q7" i="25"/>
  <c r="J8" i="9" s="1"/>
  <c r="Q8" i="25"/>
  <c r="Q9" i="25"/>
  <c r="Q10" i="25"/>
  <c r="Q11" i="25"/>
  <c r="Q12" i="25"/>
  <c r="Q13" i="25"/>
  <c r="Q14" i="25"/>
  <c r="Q15" i="25"/>
  <c r="Q16" i="25"/>
  <c r="Q17" i="25"/>
  <c r="Q18" i="25"/>
  <c r="Q19" i="25"/>
  <c r="J18" i="9" s="1"/>
  <c r="Q20" i="25"/>
  <c r="J19" i="9" s="1"/>
  <c r="Q21" i="25"/>
  <c r="Q22" i="25"/>
  <c r="Q23" i="25"/>
  <c r="Q24" i="25"/>
  <c r="Q25" i="25"/>
  <c r="Q26" i="25"/>
  <c r="J25" i="9" s="1"/>
  <c r="Q27" i="25"/>
  <c r="J26" i="9" s="1"/>
  <c r="Q28" i="25"/>
  <c r="J27" i="9" s="1"/>
  <c r="Q29" i="25"/>
  <c r="J28" i="9" s="1"/>
  <c r="Q30" i="25"/>
  <c r="J29" i="9" s="1"/>
  <c r="U56" i="34" l="1"/>
  <c r="U54" i="34"/>
  <c r="U53" i="34"/>
  <c r="U52" i="34"/>
  <c r="U51" i="34"/>
  <c r="U50" i="34"/>
  <c r="U49" i="34"/>
  <c r="U48" i="34"/>
  <c r="U39" i="34"/>
  <c r="U41" i="34"/>
  <c r="U40" i="34"/>
  <c r="U38" i="34"/>
  <c r="U27" i="34"/>
  <c r="U18" i="34"/>
  <c r="U19" i="34"/>
  <c r="U20" i="34"/>
  <c r="U21" i="34"/>
  <c r="U23" i="34"/>
  <c r="U17" i="34"/>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Z148" i="1"/>
  <c r="Z149" i="1"/>
  <c r="Z150" i="1"/>
  <c r="Z151" i="1"/>
  <c r="Z152" i="1"/>
  <c r="AG10" i="1"/>
  <c r="AF10" i="1"/>
  <c r="AD10" i="1"/>
  <c r="AC10" i="1"/>
  <c r="AB10" i="1"/>
  <c r="AA10" i="1"/>
  <c r="AG14" i="1"/>
  <c r="AF14" i="1"/>
  <c r="AD14" i="1"/>
  <c r="AC14" i="1"/>
  <c r="AB14" i="1"/>
  <c r="AA14" i="1"/>
  <c r="AG13" i="1"/>
  <c r="AF13" i="1"/>
  <c r="AD13" i="1"/>
  <c r="AC13" i="1"/>
  <c r="AB13" i="1"/>
  <c r="AA13" i="1"/>
  <c r="AG12" i="1"/>
  <c r="AF12" i="1"/>
  <c r="AD12" i="1"/>
  <c r="AC12" i="1"/>
  <c r="AB12" i="1"/>
  <c r="AA12" i="1"/>
  <c r="AE277" i="1"/>
  <c r="AA142" i="1"/>
  <c r="AB142" i="1"/>
  <c r="AC142" i="1"/>
  <c r="AD142" i="1"/>
  <c r="AF142" i="1"/>
  <c r="AH142" i="1" s="1"/>
  <c r="AG142" i="1"/>
  <c r="Z277" i="1"/>
  <c r="AA326" i="1"/>
  <c r="AB326" i="1"/>
  <c r="AC326" i="1"/>
  <c r="AD326" i="1"/>
  <c r="AF326" i="1"/>
  <c r="AH326" i="1" s="1"/>
  <c r="AG326" i="1"/>
  <c r="AA327" i="1"/>
  <c r="AB327" i="1"/>
  <c r="AC327" i="1"/>
  <c r="AD327" i="1"/>
  <c r="AF327" i="1"/>
  <c r="AH327" i="1" s="1"/>
  <c r="AG327" i="1"/>
  <c r="AA328" i="1"/>
  <c r="AB328" i="1"/>
  <c r="AC328" i="1"/>
  <c r="AD328" i="1"/>
  <c r="AF328" i="1"/>
  <c r="AI328" i="1" s="1"/>
  <c r="AG328" i="1"/>
  <c r="AA329" i="1"/>
  <c r="AB329" i="1"/>
  <c r="AC329" i="1"/>
  <c r="AD329" i="1"/>
  <c r="AF329" i="1"/>
  <c r="AH329" i="1" s="1"/>
  <c r="AG329" i="1"/>
  <c r="AA330" i="1"/>
  <c r="AB330" i="1"/>
  <c r="AC330" i="1"/>
  <c r="AD330" i="1"/>
  <c r="AF330" i="1"/>
  <c r="AH330" i="1" s="1"/>
  <c r="AG330" i="1"/>
  <c r="AA331" i="1"/>
  <c r="AB331" i="1"/>
  <c r="AC331" i="1"/>
  <c r="AD331" i="1"/>
  <c r="AF331" i="1"/>
  <c r="AI331" i="1" s="1"/>
  <c r="AG331" i="1"/>
  <c r="AA332" i="1"/>
  <c r="AB332" i="1"/>
  <c r="AC332" i="1"/>
  <c r="AD332" i="1"/>
  <c r="AF332" i="1"/>
  <c r="AI332" i="1" s="1"/>
  <c r="AG332" i="1"/>
  <c r="AA333" i="1"/>
  <c r="AB333" i="1"/>
  <c r="AC333" i="1"/>
  <c r="AD333" i="1"/>
  <c r="AF333" i="1"/>
  <c r="AH333" i="1" s="1"/>
  <c r="AG333" i="1"/>
  <c r="AA334" i="1"/>
  <c r="AB334" i="1"/>
  <c r="AC334" i="1"/>
  <c r="AD334" i="1"/>
  <c r="AF334" i="1"/>
  <c r="AH334" i="1" s="1"/>
  <c r="AG334" i="1"/>
  <c r="AA335" i="1"/>
  <c r="AB335" i="1"/>
  <c r="AC335" i="1"/>
  <c r="AD335" i="1"/>
  <c r="AF335" i="1"/>
  <c r="AI335" i="1" s="1"/>
  <c r="AG335" i="1"/>
  <c r="AA336" i="1"/>
  <c r="AB336" i="1"/>
  <c r="AC336" i="1"/>
  <c r="AD336" i="1"/>
  <c r="AF336" i="1"/>
  <c r="AI336" i="1" s="1"/>
  <c r="AG336" i="1"/>
  <c r="AA337" i="1"/>
  <c r="AB337" i="1"/>
  <c r="AC337" i="1"/>
  <c r="AD337" i="1"/>
  <c r="AF337" i="1"/>
  <c r="AH337" i="1" s="1"/>
  <c r="AG337" i="1"/>
  <c r="AA339" i="1"/>
  <c r="AB339" i="1"/>
  <c r="AC339" i="1"/>
  <c r="AD339" i="1"/>
  <c r="AF339" i="1"/>
  <c r="AH339" i="1" s="1"/>
  <c r="AG339" i="1"/>
  <c r="AA342" i="1"/>
  <c r="AB342" i="1"/>
  <c r="AC342" i="1"/>
  <c r="AD342" i="1"/>
  <c r="AF342" i="1"/>
  <c r="AH342" i="1" s="1"/>
  <c r="AG342" i="1"/>
  <c r="AA343" i="1"/>
  <c r="AB343" i="1"/>
  <c r="AC343" i="1"/>
  <c r="AD343" i="1"/>
  <c r="AF343" i="1"/>
  <c r="AH343" i="1" s="1"/>
  <c r="AG343" i="1"/>
  <c r="AA344" i="1"/>
  <c r="AB344" i="1"/>
  <c r="AC344" i="1"/>
  <c r="AD344" i="1"/>
  <c r="AF344" i="1"/>
  <c r="AI344" i="1" s="1"/>
  <c r="AG344" i="1"/>
  <c r="AA345" i="1"/>
  <c r="AB345" i="1"/>
  <c r="AC345" i="1"/>
  <c r="AD345" i="1"/>
  <c r="AF345" i="1"/>
  <c r="AH345" i="1" s="1"/>
  <c r="AG345" i="1"/>
  <c r="AA346" i="1"/>
  <c r="AB346" i="1"/>
  <c r="AC346" i="1"/>
  <c r="AD346" i="1"/>
  <c r="AF346" i="1"/>
  <c r="AH346" i="1" s="1"/>
  <c r="AG346" i="1"/>
  <c r="AA347" i="1"/>
  <c r="AB347" i="1"/>
  <c r="AC347" i="1"/>
  <c r="AD347" i="1"/>
  <c r="AF347" i="1"/>
  <c r="AI347" i="1" s="1"/>
  <c r="AG347" i="1"/>
  <c r="AA348" i="1"/>
  <c r="AB348" i="1"/>
  <c r="AC348" i="1"/>
  <c r="AD348" i="1"/>
  <c r="AF348" i="1"/>
  <c r="AI348" i="1" s="1"/>
  <c r="AG348" i="1"/>
  <c r="AA350" i="1"/>
  <c r="AB350" i="1"/>
  <c r="AC350" i="1"/>
  <c r="AD350" i="1"/>
  <c r="AF350" i="1"/>
  <c r="AH350" i="1" s="1"/>
  <c r="AG350" i="1"/>
  <c r="AA351" i="1"/>
  <c r="AB351" i="1"/>
  <c r="AC351" i="1"/>
  <c r="AD351" i="1"/>
  <c r="AF351" i="1"/>
  <c r="AH351" i="1" s="1"/>
  <c r="AG351" i="1"/>
  <c r="AI351" i="1"/>
  <c r="AH348" i="1" l="1"/>
  <c r="AI343" i="1"/>
  <c r="AH331" i="1"/>
  <c r="AH344" i="1"/>
  <c r="AI142" i="1"/>
  <c r="AH347" i="1"/>
  <c r="AH332" i="1"/>
  <c r="AI327" i="1"/>
  <c r="AH336" i="1"/>
  <c r="AH335" i="1"/>
  <c r="AH328" i="1"/>
  <c r="AI334" i="1"/>
  <c r="AI330" i="1"/>
  <c r="AI326" i="1"/>
  <c r="AI337" i="1"/>
  <c r="AI333" i="1"/>
  <c r="AI329" i="1"/>
  <c r="AI339" i="1"/>
  <c r="AI346" i="1"/>
  <c r="AI342" i="1"/>
  <c r="AI345" i="1"/>
  <c r="AI350"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3" i="1"/>
  <c r="L104" i="1"/>
  <c r="L107" i="1"/>
  <c r="L108" i="1"/>
  <c r="L109" i="1"/>
  <c r="L110" i="1"/>
  <c r="L111" i="1"/>
  <c r="L112" i="1"/>
  <c r="L113" i="1"/>
  <c r="L114" i="1"/>
  <c r="L115" i="1"/>
  <c r="L116" i="1"/>
  <c r="L117" i="1"/>
  <c r="L118" i="1"/>
  <c r="L119" i="1"/>
  <c r="L120" i="1"/>
  <c r="L142" i="1"/>
  <c r="L143" i="1"/>
  <c r="L144" i="1"/>
  <c r="L145" i="1"/>
  <c r="L146" i="1"/>
  <c r="L147" i="1"/>
  <c r="L148" i="1"/>
  <c r="L149" i="1"/>
  <c r="L150" i="1"/>
  <c r="L151" i="1"/>
  <c r="L152" i="1"/>
  <c r="L153" i="1"/>
  <c r="L154" i="1"/>
  <c r="L155" i="1"/>
  <c r="L156" i="1"/>
  <c r="L157" i="1"/>
  <c r="L158" i="1"/>
  <c r="L159" i="1"/>
  <c r="L160" i="1"/>
  <c r="L161" i="1"/>
  <c r="L162" i="1"/>
  <c r="L163" i="1"/>
  <c r="L165" i="1"/>
  <c r="L166" i="1"/>
  <c r="L167"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K102" i="1" l="1"/>
  <c r="L102" i="1" s="1"/>
  <c r="K105" i="1"/>
  <c r="L105" i="1" s="1"/>
  <c r="K106" i="1"/>
  <c r="L106" i="1" s="1"/>
  <c r="AS168" i="1" l="1"/>
  <c r="K136" i="1" l="1"/>
  <c r="L136" i="1" s="1"/>
  <c r="K135" i="1"/>
  <c r="L135" i="1" s="1"/>
  <c r="K132" i="1"/>
  <c r="L132" i="1" s="1"/>
  <c r="K130" i="1"/>
  <c r="L130" i="1" s="1"/>
  <c r="K128" i="1"/>
  <c r="L128" i="1" s="1"/>
  <c r="K127" i="1"/>
  <c r="L127" i="1" s="1"/>
  <c r="K126" i="1"/>
  <c r="L126" i="1" s="1"/>
  <c r="K124" i="1"/>
  <c r="L124" i="1" s="1"/>
  <c r="K122" i="1"/>
  <c r="L122" i="1" s="1"/>
  <c r="K123" i="1"/>
  <c r="L123" i="1" s="1"/>
  <c r="K125" i="1"/>
  <c r="L125" i="1" s="1"/>
  <c r="K129" i="1"/>
  <c r="L129" i="1" s="1"/>
  <c r="K131" i="1"/>
  <c r="L131" i="1" s="1"/>
  <c r="K133" i="1"/>
  <c r="L133" i="1" s="1"/>
  <c r="K134" i="1"/>
  <c r="L134" i="1" s="1"/>
  <c r="K137" i="1"/>
  <c r="L137" i="1" s="1"/>
  <c r="K138" i="1"/>
  <c r="L138" i="1" s="1"/>
  <c r="K139" i="1"/>
  <c r="L139" i="1" s="1"/>
  <c r="K140" i="1"/>
  <c r="L140" i="1" s="1"/>
  <c r="K141" i="1"/>
  <c r="L141" i="1" s="1"/>
  <c r="K121" i="1"/>
  <c r="L121" i="1" s="1"/>
  <c r="E8" i="33"/>
  <c r="AW183" i="1"/>
  <c r="AW181" i="1"/>
  <c r="AW197" i="1"/>
  <c r="E5" i="33" l="1"/>
  <c r="AF5" i="1" l="1"/>
  <c r="C6" i="10" l="1"/>
  <c r="D6" i="10"/>
  <c r="E6" i="10"/>
  <c r="F6" i="10"/>
  <c r="C7" i="10"/>
  <c r="D7" i="10"/>
  <c r="E7" i="10"/>
  <c r="F7" i="10"/>
  <c r="C8" i="10"/>
  <c r="D8" i="10"/>
  <c r="E8" i="10"/>
  <c r="F8"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 i="10"/>
  <c r="D19" i="10"/>
  <c r="E19" i="10"/>
  <c r="F19" i="10"/>
  <c r="C20" i="10"/>
  <c r="D20" i="10"/>
  <c r="E20" i="10"/>
  <c r="F20" i="10"/>
  <c r="C21" i="10"/>
  <c r="D21" i="10"/>
  <c r="E21" i="10"/>
  <c r="F21" i="10"/>
  <c r="C22" i="10"/>
  <c r="D22" i="10"/>
  <c r="E22" i="10"/>
  <c r="F22" i="10"/>
  <c r="C23" i="10"/>
  <c r="D23" i="10"/>
  <c r="E23" i="10"/>
  <c r="F23" i="10"/>
  <c r="C24" i="10"/>
  <c r="D24" i="10"/>
  <c r="E24" i="10"/>
  <c r="F24" i="10"/>
  <c r="C25" i="10"/>
  <c r="D25" i="10"/>
  <c r="E25" i="10"/>
  <c r="F25" i="10"/>
  <c r="C26" i="10"/>
  <c r="D26" i="10"/>
  <c r="E26" i="10"/>
  <c r="F26" i="10"/>
  <c r="C27" i="10"/>
  <c r="D27" i="10"/>
  <c r="E27" i="10"/>
  <c r="F27" i="10"/>
  <c r="C28" i="10"/>
  <c r="D28" i="10"/>
  <c r="E28" i="10"/>
  <c r="F28" i="10"/>
  <c r="C29" i="10"/>
  <c r="D29" i="10"/>
  <c r="E29" i="10"/>
  <c r="F29" i="10"/>
  <c r="C30" i="10"/>
  <c r="D30" i="10"/>
  <c r="E30" i="10"/>
  <c r="F30" i="10"/>
  <c r="C31" i="10"/>
  <c r="D31" i="10"/>
  <c r="E31" i="10"/>
  <c r="F31" i="10"/>
  <c r="C32" i="10"/>
  <c r="D32" i="10"/>
  <c r="E32" i="10"/>
  <c r="F32" i="10"/>
  <c r="C33" i="10"/>
  <c r="D33" i="10"/>
  <c r="E33" i="10"/>
  <c r="F33" i="10"/>
  <c r="C34" i="10"/>
  <c r="D34" i="10"/>
  <c r="E34" i="10"/>
  <c r="F34" i="10"/>
  <c r="C35" i="10"/>
  <c r="D35" i="10"/>
  <c r="E35" i="10"/>
  <c r="F35" i="10"/>
  <c r="C36" i="10"/>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C45" i="10"/>
  <c r="D45" i="10"/>
  <c r="E45" i="10"/>
  <c r="F45" i="10"/>
  <c r="C46" i="10"/>
  <c r="D46" i="10"/>
  <c r="E46" i="10"/>
  <c r="F46" i="10"/>
  <c r="C47" i="10"/>
  <c r="D47" i="10"/>
  <c r="E47" i="10"/>
  <c r="F47" i="10"/>
  <c r="C48" i="10"/>
  <c r="D48" i="10"/>
  <c r="E48" i="10"/>
  <c r="F48" i="10"/>
  <c r="C49" i="10"/>
  <c r="D49" i="10"/>
  <c r="E49" i="10"/>
  <c r="F49" i="10"/>
  <c r="C50" i="10"/>
  <c r="D50" i="10"/>
  <c r="E50" i="10"/>
  <c r="F50" i="10"/>
  <c r="C51" i="10"/>
  <c r="D51" i="10"/>
  <c r="E51" i="10"/>
  <c r="F51" i="10"/>
  <c r="C52" i="10"/>
  <c r="D52" i="10"/>
  <c r="E52" i="10"/>
  <c r="F52" i="10"/>
  <c r="C53" i="10"/>
  <c r="D53" i="10"/>
  <c r="E53" i="10"/>
  <c r="F53" i="10"/>
  <c r="C54" i="10"/>
  <c r="D54" i="10"/>
  <c r="E54" i="10"/>
  <c r="F54" i="10"/>
  <c r="C55" i="10"/>
  <c r="D55" i="10"/>
  <c r="E55" i="10"/>
  <c r="F55" i="10"/>
  <c r="C56" i="10"/>
  <c r="D56" i="10"/>
  <c r="E56" i="10"/>
  <c r="F56" i="10"/>
  <c r="C57" i="10"/>
  <c r="D57" i="10"/>
  <c r="E57" i="10"/>
  <c r="F57" i="10"/>
  <c r="C58" i="10"/>
  <c r="D58" i="10"/>
  <c r="E58" i="10"/>
  <c r="F58" i="10"/>
  <c r="C59" i="10"/>
  <c r="D59" i="10"/>
  <c r="E59" i="10"/>
  <c r="F59" i="10"/>
  <c r="C60" i="10"/>
  <c r="D60" i="10"/>
  <c r="E60" i="10"/>
  <c r="F60" i="10"/>
  <c r="C61" i="10"/>
  <c r="D61" i="10"/>
  <c r="E61" i="10"/>
  <c r="F61" i="10"/>
  <c r="C62" i="10"/>
  <c r="D62" i="10"/>
  <c r="E62" i="10"/>
  <c r="F62" i="10"/>
  <c r="C63" i="10"/>
  <c r="D63" i="10"/>
  <c r="E63" i="10"/>
  <c r="F63" i="10"/>
  <c r="C64" i="10"/>
  <c r="D64" i="10"/>
  <c r="E64" i="10"/>
  <c r="F64" i="10"/>
  <c r="C65" i="10"/>
  <c r="D65" i="10"/>
  <c r="E65" i="10"/>
  <c r="F65" i="10"/>
  <c r="C66" i="10"/>
  <c r="D66" i="10"/>
  <c r="E66" i="10"/>
  <c r="F66" i="10"/>
  <c r="C67" i="10"/>
  <c r="D67" i="10"/>
  <c r="E67" i="10"/>
  <c r="F67" i="10"/>
  <c r="C68" i="10"/>
  <c r="D68" i="10"/>
  <c r="E68" i="10"/>
  <c r="F68" i="10"/>
  <c r="C69" i="10"/>
  <c r="D69" i="10"/>
  <c r="E69" i="10"/>
  <c r="F69" i="10"/>
  <c r="C70" i="10"/>
  <c r="D70" i="10"/>
  <c r="E70" i="10"/>
  <c r="F70" i="10"/>
  <c r="C71" i="10"/>
  <c r="D71" i="10"/>
  <c r="E71" i="10"/>
  <c r="F71" i="10"/>
  <c r="C72" i="10"/>
  <c r="D72" i="10"/>
  <c r="E72" i="10"/>
  <c r="F72" i="10"/>
  <c r="C73" i="10"/>
  <c r="D73" i="10"/>
  <c r="E73" i="10"/>
  <c r="F73" i="10"/>
  <c r="C74" i="10"/>
  <c r="D74" i="10"/>
  <c r="E74" i="10"/>
  <c r="F74" i="10"/>
  <c r="C75" i="10"/>
  <c r="D75" i="10"/>
  <c r="E75" i="10"/>
  <c r="F75" i="10"/>
  <c r="C76" i="10"/>
  <c r="D76" i="10"/>
  <c r="E76" i="10"/>
  <c r="F76" i="10"/>
  <c r="C77" i="10"/>
  <c r="D77" i="10"/>
  <c r="E77" i="10"/>
  <c r="F77" i="10"/>
  <c r="C78" i="10"/>
  <c r="D78" i="10"/>
  <c r="E78" i="10"/>
  <c r="F78" i="10"/>
  <c r="C79" i="10"/>
  <c r="D79" i="10"/>
  <c r="E79" i="10"/>
  <c r="F79" i="10"/>
  <c r="C80" i="10"/>
  <c r="D80" i="10"/>
  <c r="E80" i="10"/>
  <c r="F80" i="10"/>
  <c r="C81" i="10"/>
  <c r="D81" i="10"/>
  <c r="E81" i="10"/>
  <c r="F81" i="10"/>
  <c r="C82" i="10"/>
  <c r="D82" i="10"/>
  <c r="E82" i="10"/>
  <c r="F82" i="10"/>
  <c r="C83" i="10"/>
  <c r="D83" i="10"/>
  <c r="E83" i="10"/>
  <c r="F83" i="10"/>
  <c r="C84" i="10"/>
  <c r="D84" i="10"/>
  <c r="E84" i="10"/>
  <c r="F84" i="10"/>
  <c r="C85" i="10"/>
  <c r="D85" i="10"/>
  <c r="E85" i="10"/>
  <c r="F85" i="10"/>
  <c r="C86" i="10"/>
  <c r="D86" i="10"/>
  <c r="E86" i="10"/>
  <c r="F86" i="10"/>
  <c r="C87" i="10"/>
  <c r="D87" i="10"/>
  <c r="E87" i="10"/>
  <c r="F87" i="10"/>
  <c r="C88" i="10"/>
  <c r="D88" i="10"/>
  <c r="E88" i="10"/>
  <c r="F88" i="10"/>
  <c r="C89" i="10"/>
  <c r="D89" i="10"/>
  <c r="E89" i="10"/>
  <c r="F89" i="10"/>
  <c r="C90" i="10"/>
  <c r="D90" i="10"/>
  <c r="E90" i="10"/>
  <c r="F90" i="10"/>
  <c r="C91" i="10"/>
  <c r="D91" i="10"/>
  <c r="E91" i="10"/>
  <c r="F91" i="10"/>
  <c r="C92" i="10"/>
  <c r="D92" i="10"/>
  <c r="E92" i="10"/>
  <c r="F92" i="10"/>
  <c r="C93" i="10"/>
  <c r="D93" i="10"/>
  <c r="E93" i="10"/>
  <c r="F93" i="10"/>
  <c r="C94" i="10"/>
  <c r="D94" i="10"/>
  <c r="E94" i="10"/>
  <c r="F94" i="10"/>
  <c r="C95" i="10"/>
  <c r="D95" i="10"/>
  <c r="E95" i="10"/>
  <c r="F95" i="10"/>
  <c r="C96" i="10"/>
  <c r="D96" i="10"/>
  <c r="E96" i="10"/>
  <c r="F96" i="10"/>
  <c r="C97" i="10"/>
  <c r="D97" i="10"/>
  <c r="E97" i="10"/>
  <c r="F97" i="10"/>
  <c r="C98" i="10"/>
  <c r="D98" i="10"/>
  <c r="E98" i="10"/>
  <c r="F98" i="10"/>
  <c r="C99" i="10"/>
  <c r="D99" i="10"/>
  <c r="E99" i="10"/>
  <c r="F99" i="10"/>
  <c r="C100" i="10"/>
  <c r="D100" i="10"/>
  <c r="E100" i="10"/>
  <c r="F100" i="10"/>
  <c r="C101" i="10"/>
  <c r="D101" i="10"/>
  <c r="E101" i="10"/>
  <c r="F101" i="10"/>
  <c r="C102" i="10"/>
  <c r="D102" i="10"/>
  <c r="E102" i="10"/>
  <c r="F102" i="10"/>
  <c r="C103" i="10"/>
  <c r="D103" i="10"/>
  <c r="E103" i="10"/>
  <c r="F103" i="10"/>
  <c r="C104" i="10"/>
  <c r="D104" i="10"/>
  <c r="E104" i="10"/>
  <c r="F104" i="10"/>
  <c r="C105" i="10"/>
  <c r="D105" i="10"/>
  <c r="E105" i="10"/>
  <c r="F105" i="10"/>
  <c r="C106" i="10"/>
  <c r="D106" i="10"/>
  <c r="E106" i="10"/>
  <c r="F106" i="10"/>
  <c r="C107" i="10"/>
  <c r="D107" i="10"/>
  <c r="E107" i="10"/>
  <c r="F107" i="10"/>
  <c r="C108" i="10"/>
  <c r="D108" i="10"/>
  <c r="E108" i="10"/>
  <c r="F108" i="10"/>
  <c r="C109" i="10"/>
  <c r="D109" i="10"/>
  <c r="E109" i="10"/>
  <c r="F109" i="10"/>
  <c r="C110" i="10"/>
  <c r="D110" i="10"/>
  <c r="E110" i="10"/>
  <c r="F110" i="10"/>
  <c r="C111" i="10"/>
  <c r="D111" i="10"/>
  <c r="E111" i="10"/>
  <c r="F111" i="10"/>
  <c r="C112" i="10"/>
  <c r="D112" i="10"/>
  <c r="E112" i="10"/>
  <c r="F112" i="10"/>
  <c r="C113" i="10"/>
  <c r="D113" i="10"/>
  <c r="E113" i="10"/>
  <c r="F113" i="10"/>
  <c r="C114" i="10"/>
  <c r="D114" i="10"/>
  <c r="E114" i="10"/>
  <c r="F114" i="10"/>
  <c r="C115" i="10"/>
  <c r="D115" i="10"/>
  <c r="E115" i="10"/>
  <c r="F115" i="10"/>
  <c r="C116" i="10"/>
  <c r="D116" i="10"/>
  <c r="E116" i="10"/>
  <c r="F116" i="10"/>
  <c r="C117" i="10"/>
  <c r="D117" i="10"/>
  <c r="E117" i="10"/>
  <c r="F117" i="10"/>
  <c r="C118" i="10"/>
  <c r="D118" i="10"/>
  <c r="E118" i="10"/>
  <c r="F118" i="10"/>
  <c r="C119" i="10"/>
  <c r="D119" i="10"/>
  <c r="E119" i="10"/>
  <c r="F119" i="10"/>
  <c r="C120" i="10"/>
  <c r="D120" i="10"/>
  <c r="E120" i="10"/>
  <c r="F120" i="10"/>
  <c r="C121" i="10"/>
  <c r="D121" i="10"/>
  <c r="E121" i="10"/>
  <c r="F121" i="10"/>
  <c r="C122" i="10"/>
  <c r="D122" i="10"/>
  <c r="E122" i="10"/>
  <c r="F122" i="10"/>
  <c r="C123" i="10"/>
  <c r="D123" i="10"/>
  <c r="E123" i="10"/>
  <c r="F123" i="10"/>
  <c r="C124" i="10"/>
  <c r="D124" i="10"/>
  <c r="E124" i="10"/>
  <c r="F124" i="10"/>
  <c r="C125" i="10"/>
  <c r="D125" i="10"/>
  <c r="E125" i="10"/>
  <c r="F125" i="10"/>
  <c r="C126" i="10"/>
  <c r="D126" i="10"/>
  <c r="E126" i="10"/>
  <c r="F126" i="10"/>
  <c r="C127" i="10"/>
  <c r="D127" i="10"/>
  <c r="E127" i="10"/>
  <c r="F127" i="10"/>
  <c r="C128" i="10"/>
  <c r="D128" i="10"/>
  <c r="E128" i="10"/>
  <c r="F128" i="10"/>
  <c r="C129" i="10"/>
  <c r="D129" i="10"/>
  <c r="E129" i="10"/>
  <c r="F129" i="10"/>
  <c r="C130" i="10"/>
  <c r="D130" i="10"/>
  <c r="E130" i="10"/>
  <c r="F130" i="10"/>
  <c r="C131" i="10"/>
  <c r="D131" i="10"/>
  <c r="E131" i="10"/>
  <c r="F131" i="10"/>
  <c r="C132" i="10"/>
  <c r="D132" i="10"/>
  <c r="E132" i="10"/>
  <c r="F132" i="10"/>
  <c r="C133" i="10"/>
  <c r="D133" i="10"/>
  <c r="E133" i="10"/>
  <c r="F133" i="10"/>
  <c r="C134" i="10"/>
  <c r="D134" i="10"/>
  <c r="E134" i="10"/>
  <c r="F134" i="10"/>
  <c r="C135" i="10"/>
  <c r="D135" i="10"/>
  <c r="E135" i="10"/>
  <c r="F135" i="10"/>
  <c r="C136" i="10"/>
  <c r="D136" i="10"/>
  <c r="E136" i="10"/>
  <c r="F136" i="10"/>
  <c r="C137" i="10"/>
  <c r="D137" i="10"/>
  <c r="E137" i="10"/>
  <c r="F137" i="10"/>
  <c r="C138" i="10"/>
  <c r="D138" i="10"/>
  <c r="E138" i="10"/>
  <c r="F138" i="10"/>
  <c r="C139" i="10"/>
  <c r="D139" i="10"/>
  <c r="E139" i="10"/>
  <c r="F139" i="10"/>
  <c r="C140" i="10"/>
  <c r="D140" i="10"/>
  <c r="E140" i="10"/>
  <c r="F140" i="10"/>
  <c r="C141" i="10"/>
  <c r="D141" i="10"/>
  <c r="E141" i="10"/>
  <c r="F141" i="10"/>
  <c r="C142" i="10"/>
  <c r="D142" i="10"/>
  <c r="E142" i="10"/>
  <c r="F142" i="10"/>
  <c r="G142" i="10"/>
  <c r="I142" i="10" s="1"/>
  <c r="H142" i="10"/>
  <c r="C143" i="10"/>
  <c r="D143" i="10"/>
  <c r="E143" i="10"/>
  <c r="F143" i="10"/>
  <c r="G143" i="10"/>
  <c r="I143" i="10" s="1"/>
  <c r="H143" i="10"/>
  <c r="C144" i="10"/>
  <c r="D144" i="10"/>
  <c r="E144" i="10"/>
  <c r="F144" i="10"/>
  <c r="G144" i="10"/>
  <c r="L144" i="10" s="1"/>
  <c r="M144" i="10" s="1"/>
  <c r="H144" i="10"/>
  <c r="C145" i="10"/>
  <c r="D145" i="10"/>
  <c r="E145" i="10"/>
  <c r="F145" i="10"/>
  <c r="G145" i="10"/>
  <c r="Z145" i="10" s="1"/>
  <c r="AB145" i="10" s="1"/>
  <c r="H145" i="10"/>
  <c r="C146" i="10"/>
  <c r="D146" i="10"/>
  <c r="E146" i="10"/>
  <c r="F146" i="10"/>
  <c r="G146" i="10"/>
  <c r="U146" i="10" s="1"/>
  <c r="H146" i="10"/>
  <c r="C147" i="10"/>
  <c r="D147" i="10"/>
  <c r="E147" i="10"/>
  <c r="F147" i="10"/>
  <c r="G147" i="10"/>
  <c r="J147" i="10" s="1"/>
  <c r="H147" i="10"/>
  <c r="C148" i="10"/>
  <c r="D148" i="10"/>
  <c r="E148" i="10"/>
  <c r="F148" i="10"/>
  <c r="G148" i="10"/>
  <c r="L148" i="10" s="1"/>
  <c r="M148" i="10" s="1"/>
  <c r="H148" i="10"/>
  <c r="C149" i="10"/>
  <c r="D149" i="10"/>
  <c r="E149" i="10"/>
  <c r="F149" i="10"/>
  <c r="G149" i="10"/>
  <c r="H149" i="10"/>
  <c r="C150" i="10"/>
  <c r="D150" i="10"/>
  <c r="E150" i="10"/>
  <c r="F150" i="10"/>
  <c r="G150" i="10"/>
  <c r="L150" i="10" s="1"/>
  <c r="M150" i="10" s="1"/>
  <c r="H150" i="10"/>
  <c r="C151" i="10"/>
  <c r="D151" i="10"/>
  <c r="E151" i="10"/>
  <c r="F151" i="10"/>
  <c r="G151" i="10"/>
  <c r="H151" i="10"/>
  <c r="C152" i="10"/>
  <c r="D152" i="10"/>
  <c r="E152" i="10"/>
  <c r="F152" i="10"/>
  <c r="G152" i="10"/>
  <c r="H152" i="10"/>
  <c r="C153" i="10"/>
  <c r="D153" i="10"/>
  <c r="E153" i="10"/>
  <c r="F153" i="10"/>
  <c r="G153" i="10"/>
  <c r="H153" i="10"/>
  <c r="C154" i="10"/>
  <c r="D154" i="10"/>
  <c r="E154" i="10"/>
  <c r="F154" i="10"/>
  <c r="G154" i="10"/>
  <c r="L154" i="10" s="1"/>
  <c r="H154" i="10"/>
  <c r="C155" i="10"/>
  <c r="D155" i="10"/>
  <c r="E155" i="10"/>
  <c r="F155" i="10"/>
  <c r="G155" i="10"/>
  <c r="H155" i="10"/>
  <c r="C156" i="10"/>
  <c r="D156" i="10"/>
  <c r="E156" i="10"/>
  <c r="F156" i="10"/>
  <c r="G156" i="10"/>
  <c r="J156" i="10" s="1"/>
  <c r="H156" i="10"/>
  <c r="C157" i="10"/>
  <c r="D157" i="10"/>
  <c r="E157" i="10"/>
  <c r="F157" i="10"/>
  <c r="G157" i="10"/>
  <c r="Z157" i="10" s="1"/>
  <c r="H157" i="10"/>
  <c r="C158" i="10"/>
  <c r="D158" i="10"/>
  <c r="E158" i="10"/>
  <c r="F158" i="10"/>
  <c r="G158" i="10"/>
  <c r="AD158" i="10" s="1"/>
  <c r="H158" i="10"/>
  <c r="C159" i="10"/>
  <c r="D159" i="10"/>
  <c r="E159" i="10"/>
  <c r="F159" i="10"/>
  <c r="G159" i="10"/>
  <c r="J159" i="10" s="1"/>
  <c r="H159" i="10"/>
  <c r="C160" i="10"/>
  <c r="D160" i="10"/>
  <c r="E160" i="10"/>
  <c r="F160" i="10"/>
  <c r="G160" i="10"/>
  <c r="H160" i="10"/>
  <c r="C161" i="10"/>
  <c r="D161" i="10"/>
  <c r="E161" i="10"/>
  <c r="F161" i="10"/>
  <c r="G161" i="10"/>
  <c r="AN161" i="10" s="1"/>
  <c r="H161" i="10"/>
  <c r="C162" i="10"/>
  <c r="D162" i="10"/>
  <c r="E162" i="10"/>
  <c r="F162" i="10"/>
  <c r="G162" i="10"/>
  <c r="H162" i="10"/>
  <c r="C163" i="10"/>
  <c r="D163" i="10"/>
  <c r="E163" i="10"/>
  <c r="F163" i="10"/>
  <c r="G163" i="10"/>
  <c r="H163" i="10"/>
  <c r="C164" i="10"/>
  <c r="D164" i="10"/>
  <c r="E164" i="10"/>
  <c r="F164" i="10"/>
  <c r="G164" i="10"/>
  <c r="H164" i="10"/>
  <c r="C165" i="10"/>
  <c r="D165" i="10"/>
  <c r="E165" i="10"/>
  <c r="F165" i="10"/>
  <c r="G165" i="10"/>
  <c r="H165" i="10"/>
  <c r="C166" i="10"/>
  <c r="D166" i="10"/>
  <c r="E166" i="10"/>
  <c r="F166" i="10"/>
  <c r="G166" i="10"/>
  <c r="H166" i="10"/>
  <c r="C167" i="10"/>
  <c r="D167" i="10"/>
  <c r="E167" i="10"/>
  <c r="F167" i="10"/>
  <c r="G167" i="10"/>
  <c r="H167" i="10"/>
  <c r="C168" i="10"/>
  <c r="D168" i="10"/>
  <c r="E168" i="10"/>
  <c r="F168" i="10"/>
  <c r="G168" i="10"/>
  <c r="L168" i="10" s="1"/>
  <c r="H168" i="10"/>
  <c r="C169" i="10"/>
  <c r="D169" i="10"/>
  <c r="E169" i="10"/>
  <c r="F169" i="10"/>
  <c r="G169" i="10"/>
  <c r="H169" i="10"/>
  <c r="C170" i="10"/>
  <c r="D170" i="10"/>
  <c r="E170" i="10"/>
  <c r="F170" i="10"/>
  <c r="G170" i="10"/>
  <c r="L170" i="10" s="1"/>
  <c r="H170" i="10"/>
  <c r="C171" i="10"/>
  <c r="D171" i="10"/>
  <c r="E171" i="10"/>
  <c r="F171" i="10"/>
  <c r="G171" i="10"/>
  <c r="L171" i="10" s="1"/>
  <c r="H171" i="10"/>
  <c r="C172" i="10"/>
  <c r="D172" i="10"/>
  <c r="E172" i="10"/>
  <c r="F172" i="10"/>
  <c r="G172" i="10"/>
  <c r="AD172" i="10" s="1"/>
  <c r="H172" i="10"/>
  <c r="C173" i="10"/>
  <c r="D173" i="10"/>
  <c r="E173" i="10"/>
  <c r="F173" i="10"/>
  <c r="G173" i="10"/>
  <c r="H173" i="10"/>
  <c r="C174" i="10"/>
  <c r="D174" i="10"/>
  <c r="E174" i="10"/>
  <c r="F174" i="10"/>
  <c r="G174" i="10"/>
  <c r="L174" i="10" s="1"/>
  <c r="M174" i="10" s="1"/>
  <c r="H174" i="10"/>
  <c r="C175" i="10"/>
  <c r="D175" i="10"/>
  <c r="E175" i="10"/>
  <c r="F175" i="10"/>
  <c r="G175" i="10"/>
  <c r="L175" i="10" s="1"/>
  <c r="M175" i="10" s="1"/>
  <c r="H175" i="10"/>
  <c r="C176" i="10"/>
  <c r="D176" i="10"/>
  <c r="E176" i="10"/>
  <c r="F176" i="10"/>
  <c r="G176" i="10"/>
  <c r="H176" i="10"/>
  <c r="C177" i="10"/>
  <c r="D177" i="10"/>
  <c r="E177" i="10"/>
  <c r="F177" i="10"/>
  <c r="G177" i="10"/>
  <c r="L177" i="10" s="1"/>
  <c r="H177" i="10"/>
  <c r="C178" i="10"/>
  <c r="D178" i="10"/>
  <c r="E178" i="10"/>
  <c r="F178" i="10"/>
  <c r="G178" i="10"/>
  <c r="J178" i="10" s="1"/>
  <c r="H178" i="10"/>
  <c r="C179" i="10"/>
  <c r="D179" i="10"/>
  <c r="E179" i="10"/>
  <c r="F179" i="10"/>
  <c r="G179" i="10"/>
  <c r="L179" i="10" s="1"/>
  <c r="H179" i="10"/>
  <c r="C180" i="10"/>
  <c r="D180" i="10"/>
  <c r="E180" i="10"/>
  <c r="F180" i="10"/>
  <c r="G180" i="10"/>
  <c r="H180" i="10"/>
  <c r="C181" i="10"/>
  <c r="D181" i="10"/>
  <c r="E181" i="10"/>
  <c r="F181" i="10"/>
  <c r="G181" i="10"/>
  <c r="AN181" i="10" s="1"/>
  <c r="H181" i="10"/>
  <c r="C182" i="10"/>
  <c r="D182" i="10"/>
  <c r="E182" i="10"/>
  <c r="F182" i="10"/>
  <c r="G182" i="10"/>
  <c r="H182" i="10"/>
  <c r="C183" i="10"/>
  <c r="D183" i="10"/>
  <c r="E183" i="10"/>
  <c r="F183" i="10"/>
  <c r="G183" i="10"/>
  <c r="H183" i="10"/>
  <c r="C184" i="10"/>
  <c r="D184" i="10"/>
  <c r="E184" i="10"/>
  <c r="F184" i="10"/>
  <c r="G184" i="10"/>
  <c r="H184" i="10"/>
  <c r="C185" i="10"/>
  <c r="D185" i="10"/>
  <c r="E185" i="10"/>
  <c r="F185" i="10"/>
  <c r="G185" i="10"/>
  <c r="H185" i="10"/>
  <c r="C186" i="10"/>
  <c r="D186" i="10"/>
  <c r="E186" i="10"/>
  <c r="F186" i="10"/>
  <c r="G186" i="10"/>
  <c r="H186" i="10"/>
  <c r="C187" i="10"/>
  <c r="D187" i="10"/>
  <c r="E187" i="10"/>
  <c r="F187" i="10"/>
  <c r="G187" i="10"/>
  <c r="I187" i="10" s="1"/>
  <c r="H187" i="10"/>
  <c r="C188" i="10"/>
  <c r="D188" i="10"/>
  <c r="E188" i="10"/>
  <c r="F188" i="10"/>
  <c r="G188" i="10"/>
  <c r="I188" i="10" s="1"/>
  <c r="H188" i="10"/>
  <c r="C189" i="10"/>
  <c r="D189" i="10"/>
  <c r="E189" i="10"/>
  <c r="F189" i="10"/>
  <c r="G189" i="10"/>
  <c r="I189" i="10" s="1"/>
  <c r="H189" i="10"/>
  <c r="C190" i="10"/>
  <c r="D190" i="10"/>
  <c r="E190" i="10"/>
  <c r="F190" i="10"/>
  <c r="G190" i="10"/>
  <c r="I190" i="10" s="1"/>
  <c r="H190" i="10"/>
  <c r="C191" i="10"/>
  <c r="D191" i="10"/>
  <c r="E191" i="10"/>
  <c r="F191" i="10"/>
  <c r="G191" i="10"/>
  <c r="H191" i="10"/>
  <c r="C192" i="10"/>
  <c r="D192" i="10"/>
  <c r="E192" i="10"/>
  <c r="F192" i="10"/>
  <c r="G192" i="10"/>
  <c r="AM192" i="10" s="1"/>
  <c r="H192" i="10"/>
  <c r="C193" i="10"/>
  <c r="D193" i="10"/>
  <c r="E193" i="10"/>
  <c r="F193" i="10"/>
  <c r="G193" i="10"/>
  <c r="H193" i="10"/>
  <c r="C194" i="10"/>
  <c r="D194" i="10"/>
  <c r="E194" i="10"/>
  <c r="F194" i="10"/>
  <c r="G194" i="10"/>
  <c r="H194" i="10"/>
  <c r="C195" i="10"/>
  <c r="D195" i="10"/>
  <c r="E195" i="10"/>
  <c r="F195" i="10"/>
  <c r="G195" i="10"/>
  <c r="AN195" i="10" s="1"/>
  <c r="H195" i="10"/>
  <c r="C196" i="10"/>
  <c r="D196" i="10"/>
  <c r="E196" i="10"/>
  <c r="F196" i="10"/>
  <c r="G196" i="10"/>
  <c r="AM196" i="10" s="1"/>
  <c r="H196" i="10"/>
  <c r="C197" i="10"/>
  <c r="D197" i="10"/>
  <c r="E197" i="10"/>
  <c r="F197" i="10"/>
  <c r="G197" i="10"/>
  <c r="J197" i="10" s="1"/>
  <c r="H197" i="10"/>
  <c r="C198" i="10"/>
  <c r="D198" i="10"/>
  <c r="E198" i="10"/>
  <c r="F198" i="10"/>
  <c r="G198" i="10"/>
  <c r="H198" i="10"/>
  <c r="C199" i="10"/>
  <c r="D199" i="10"/>
  <c r="E199" i="10"/>
  <c r="F199" i="10"/>
  <c r="G199" i="10"/>
  <c r="L199" i="10" s="1"/>
  <c r="H199" i="10"/>
  <c r="C200" i="10"/>
  <c r="D200" i="10"/>
  <c r="E200" i="10"/>
  <c r="F200" i="10"/>
  <c r="G200" i="10"/>
  <c r="L200" i="10" s="1"/>
  <c r="H200" i="10"/>
  <c r="C201" i="10"/>
  <c r="D201" i="10"/>
  <c r="E201" i="10"/>
  <c r="F201" i="10"/>
  <c r="G201" i="10"/>
  <c r="J201" i="10" s="1"/>
  <c r="H201" i="10"/>
  <c r="C202" i="10"/>
  <c r="D202" i="10"/>
  <c r="E202" i="10"/>
  <c r="F202" i="10"/>
  <c r="G202" i="10"/>
  <c r="H202" i="10"/>
  <c r="C203" i="10"/>
  <c r="D203" i="10"/>
  <c r="E203" i="10"/>
  <c r="F203" i="10"/>
  <c r="G203" i="10"/>
  <c r="J203" i="10" s="1"/>
  <c r="H203" i="10"/>
  <c r="C204" i="10"/>
  <c r="D204" i="10"/>
  <c r="E204" i="10"/>
  <c r="F204" i="10"/>
  <c r="G204" i="10"/>
  <c r="H204" i="10"/>
  <c r="C205" i="10"/>
  <c r="D205" i="10"/>
  <c r="E205" i="10"/>
  <c r="F205" i="10"/>
  <c r="G205" i="10"/>
  <c r="L205" i="10" s="1"/>
  <c r="H205" i="10"/>
  <c r="C206" i="10"/>
  <c r="D206" i="10"/>
  <c r="E206" i="10"/>
  <c r="F206" i="10"/>
  <c r="G206" i="10"/>
  <c r="H206" i="10"/>
  <c r="C207" i="10"/>
  <c r="D207" i="10"/>
  <c r="E207" i="10"/>
  <c r="F207" i="10"/>
  <c r="G207" i="10"/>
  <c r="H207" i="10"/>
  <c r="C208" i="10"/>
  <c r="D208" i="10"/>
  <c r="E208" i="10"/>
  <c r="F208" i="10"/>
  <c r="G208" i="10"/>
  <c r="L208" i="10" s="1"/>
  <c r="H208" i="10"/>
  <c r="C209" i="10"/>
  <c r="D209" i="10"/>
  <c r="E209" i="10"/>
  <c r="F209" i="10"/>
  <c r="G209" i="10"/>
  <c r="L209" i="10" s="1"/>
  <c r="H209" i="10"/>
  <c r="C210" i="10"/>
  <c r="D210" i="10"/>
  <c r="E210" i="10"/>
  <c r="F210" i="10"/>
  <c r="G210" i="10"/>
  <c r="L210" i="10" s="1"/>
  <c r="M210" i="10" s="1"/>
  <c r="H210" i="10"/>
  <c r="C211" i="10"/>
  <c r="D211" i="10"/>
  <c r="E211" i="10"/>
  <c r="F211" i="10"/>
  <c r="G211" i="10"/>
  <c r="H211" i="10"/>
  <c r="C212" i="10"/>
  <c r="D212" i="10"/>
  <c r="E212" i="10"/>
  <c r="F212" i="10"/>
  <c r="G212" i="10"/>
  <c r="H212" i="10"/>
  <c r="C213" i="10"/>
  <c r="D213" i="10"/>
  <c r="E213" i="10"/>
  <c r="F213" i="10"/>
  <c r="G213" i="10"/>
  <c r="H213" i="10"/>
  <c r="C214" i="10"/>
  <c r="D214" i="10"/>
  <c r="E214" i="10"/>
  <c r="F214" i="10"/>
  <c r="G214" i="10"/>
  <c r="H214" i="10"/>
  <c r="C215" i="10"/>
  <c r="D215" i="10"/>
  <c r="E215" i="10"/>
  <c r="F215" i="10"/>
  <c r="G215" i="10"/>
  <c r="J215" i="10" s="1"/>
  <c r="H215" i="10"/>
  <c r="C216" i="10"/>
  <c r="D216" i="10"/>
  <c r="E216" i="10"/>
  <c r="F216" i="10"/>
  <c r="G216" i="10"/>
  <c r="L216" i="10" s="1"/>
  <c r="M216" i="10" s="1"/>
  <c r="H216" i="10"/>
  <c r="C217" i="10"/>
  <c r="D217" i="10"/>
  <c r="E217" i="10"/>
  <c r="F217" i="10"/>
  <c r="G217" i="10"/>
  <c r="H217" i="10"/>
  <c r="C218" i="10"/>
  <c r="D218" i="10"/>
  <c r="E218" i="10"/>
  <c r="F218" i="10"/>
  <c r="G218" i="10"/>
  <c r="H218" i="10"/>
  <c r="C219" i="10"/>
  <c r="D219" i="10"/>
  <c r="E219" i="10"/>
  <c r="F219" i="10"/>
  <c r="G219" i="10"/>
  <c r="L219" i="10" s="1"/>
  <c r="M219" i="10" s="1"/>
  <c r="H219" i="10"/>
  <c r="C220" i="10"/>
  <c r="D220" i="10"/>
  <c r="E220" i="10"/>
  <c r="F220" i="10"/>
  <c r="G220" i="10"/>
  <c r="L220" i="10" s="1"/>
  <c r="M220" i="10" s="1"/>
  <c r="H220" i="10"/>
  <c r="C221" i="10"/>
  <c r="D221" i="10"/>
  <c r="E221" i="10"/>
  <c r="F221" i="10"/>
  <c r="G221" i="10"/>
  <c r="L221" i="10" s="1"/>
  <c r="M221" i="10" s="1"/>
  <c r="H221" i="10"/>
  <c r="C222" i="10"/>
  <c r="D222" i="10"/>
  <c r="E222" i="10"/>
  <c r="F222" i="10"/>
  <c r="G222" i="10"/>
  <c r="H222" i="10"/>
  <c r="C223" i="10"/>
  <c r="D223" i="10"/>
  <c r="E223" i="10"/>
  <c r="F223" i="10"/>
  <c r="G223" i="10"/>
  <c r="L223" i="10" s="1"/>
  <c r="M223" i="10" s="1"/>
  <c r="H223" i="10"/>
  <c r="C224" i="10"/>
  <c r="D224" i="10"/>
  <c r="E224" i="10"/>
  <c r="F224" i="10"/>
  <c r="G224" i="10"/>
  <c r="L224" i="10" s="1"/>
  <c r="M224" i="10" s="1"/>
  <c r="H224" i="10"/>
  <c r="C225" i="10"/>
  <c r="D225" i="10"/>
  <c r="E225" i="10"/>
  <c r="F225" i="10"/>
  <c r="G225" i="10"/>
  <c r="L225" i="10" s="1"/>
  <c r="M225" i="10" s="1"/>
  <c r="H225" i="10"/>
  <c r="C226" i="10"/>
  <c r="D226" i="10"/>
  <c r="E226" i="10"/>
  <c r="F226" i="10"/>
  <c r="G226" i="10"/>
  <c r="H226" i="10"/>
  <c r="C227" i="10"/>
  <c r="D227" i="10"/>
  <c r="E227" i="10"/>
  <c r="F227" i="10"/>
  <c r="G227" i="10"/>
  <c r="H227" i="10"/>
  <c r="C228" i="10"/>
  <c r="D228" i="10"/>
  <c r="E228" i="10"/>
  <c r="F228" i="10"/>
  <c r="G228" i="10"/>
  <c r="L228" i="10" s="1"/>
  <c r="M228" i="10" s="1"/>
  <c r="H228" i="10"/>
  <c r="C229" i="10"/>
  <c r="D229" i="10"/>
  <c r="E229" i="10"/>
  <c r="F229" i="10"/>
  <c r="G229" i="10"/>
  <c r="L229" i="10" s="1"/>
  <c r="M229" i="10" s="1"/>
  <c r="H229" i="10"/>
  <c r="C230" i="10"/>
  <c r="D230" i="10"/>
  <c r="E230" i="10"/>
  <c r="F230" i="10"/>
  <c r="G230" i="10"/>
  <c r="H230" i="10"/>
  <c r="C231" i="10"/>
  <c r="D231" i="10"/>
  <c r="E231" i="10"/>
  <c r="F231" i="10"/>
  <c r="G231" i="10"/>
  <c r="L231" i="10" s="1"/>
  <c r="M231" i="10" s="1"/>
  <c r="H231" i="10"/>
  <c r="C232" i="10"/>
  <c r="D232" i="10"/>
  <c r="E232" i="10"/>
  <c r="F232" i="10"/>
  <c r="G232" i="10"/>
  <c r="H232" i="10"/>
  <c r="C233" i="10"/>
  <c r="D233" i="10"/>
  <c r="E233" i="10"/>
  <c r="F233" i="10"/>
  <c r="G233" i="10"/>
  <c r="H233" i="10"/>
  <c r="C234" i="10"/>
  <c r="D234" i="10"/>
  <c r="E234" i="10"/>
  <c r="F234" i="10"/>
  <c r="G234" i="10"/>
  <c r="H234" i="10"/>
  <c r="C235" i="10"/>
  <c r="D235" i="10"/>
  <c r="E235" i="10"/>
  <c r="F235" i="10"/>
  <c r="G235" i="10"/>
  <c r="H235" i="10"/>
  <c r="C236" i="10"/>
  <c r="D236" i="10"/>
  <c r="E236" i="10"/>
  <c r="F236" i="10"/>
  <c r="G236" i="10"/>
  <c r="L236" i="10" s="1"/>
  <c r="M236" i="10" s="1"/>
  <c r="H236" i="10"/>
  <c r="C237" i="10"/>
  <c r="D237" i="10"/>
  <c r="E237" i="10"/>
  <c r="F237" i="10"/>
  <c r="G237" i="10"/>
  <c r="L237" i="10" s="1"/>
  <c r="M237" i="10" s="1"/>
  <c r="H237" i="10"/>
  <c r="C238" i="10"/>
  <c r="D238" i="10"/>
  <c r="E238" i="10"/>
  <c r="F238" i="10"/>
  <c r="G238" i="10"/>
  <c r="H238" i="10"/>
  <c r="C239" i="10"/>
  <c r="D239" i="10"/>
  <c r="E239" i="10"/>
  <c r="F239" i="10"/>
  <c r="G239" i="10"/>
  <c r="L239" i="10" s="1"/>
  <c r="M239" i="10" s="1"/>
  <c r="H239" i="10"/>
  <c r="C240" i="10"/>
  <c r="D240" i="10"/>
  <c r="E240" i="10"/>
  <c r="F240" i="10"/>
  <c r="G240" i="10"/>
  <c r="H240" i="10"/>
  <c r="C241" i="10"/>
  <c r="D241" i="10"/>
  <c r="E241" i="10"/>
  <c r="F241" i="10"/>
  <c r="G241" i="10"/>
  <c r="Z241" i="10" s="1"/>
  <c r="H241" i="10"/>
  <c r="C242" i="10"/>
  <c r="D242" i="10"/>
  <c r="E242" i="10"/>
  <c r="F242" i="10"/>
  <c r="G242" i="10"/>
  <c r="H242" i="10"/>
  <c r="C243" i="10"/>
  <c r="D243" i="10"/>
  <c r="E243" i="10"/>
  <c r="F243" i="10"/>
  <c r="G243" i="10"/>
  <c r="H243" i="10"/>
  <c r="C244" i="10"/>
  <c r="D244" i="10"/>
  <c r="E244" i="10"/>
  <c r="F244" i="10"/>
  <c r="G244" i="10"/>
  <c r="L244" i="10" s="1"/>
  <c r="M244" i="10" s="1"/>
  <c r="H244" i="10"/>
  <c r="C245" i="10"/>
  <c r="D245" i="10"/>
  <c r="E245" i="10"/>
  <c r="F245" i="10"/>
  <c r="G245" i="10"/>
  <c r="H245" i="10"/>
  <c r="C246" i="10"/>
  <c r="D246" i="10"/>
  <c r="E246" i="10"/>
  <c r="F246" i="10"/>
  <c r="G246" i="10"/>
  <c r="AM246" i="10" s="1"/>
  <c r="H246" i="10"/>
  <c r="C247" i="10"/>
  <c r="D247" i="10"/>
  <c r="E247" i="10"/>
  <c r="F247" i="10"/>
  <c r="G247" i="10"/>
  <c r="H247" i="10"/>
  <c r="C248" i="10"/>
  <c r="D248" i="10"/>
  <c r="E248" i="10"/>
  <c r="F248" i="10"/>
  <c r="G248" i="10"/>
  <c r="H248" i="10"/>
  <c r="C249" i="10"/>
  <c r="D249" i="10"/>
  <c r="E249" i="10"/>
  <c r="F249" i="10"/>
  <c r="G249" i="10"/>
  <c r="J249" i="10" s="1"/>
  <c r="H249" i="10"/>
  <c r="C250" i="10"/>
  <c r="D250" i="10"/>
  <c r="E250" i="10"/>
  <c r="F250" i="10"/>
  <c r="G250" i="10"/>
  <c r="H250" i="10"/>
  <c r="C251" i="10"/>
  <c r="D251" i="10"/>
  <c r="E251" i="10"/>
  <c r="F251" i="10"/>
  <c r="G251" i="10"/>
  <c r="J251" i="10" s="1"/>
  <c r="H251" i="10"/>
  <c r="C252" i="10"/>
  <c r="D252" i="10"/>
  <c r="E252" i="10"/>
  <c r="F252" i="10"/>
  <c r="G252" i="10"/>
  <c r="H252" i="10"/>
  <c r="C253" i="10"/>
  <c r="D253" i="10"/>
  <c r="E253" i="10"/>
  <c r="F253" i="10"/>
  <c r="G253" i="10"/>
  <c r="Z253" i="10" s="1"/>
  <c r="H253" i="10"/>
  <c r="C254" i="10"/>
  <c r="D254" i="10"/>
  <c r="E254" i="10"/>
  <c r="F254" i="10"/>
  <c r="G254" i="10"/>
  <c r="H254" i="10"/>
  <c r="C255" i="10"/>
  <c r="D255" i="10"/>
  <c r="E255" i="10"/>
  <c r="F255" i="10"/>
  <c r="G255" i="10"/>
  <c r="H255" i="10"/>
  <c r="C256" i="10"/>
  <c r="D256" i="10"/>
  <c r="E256" i="10"/>
  <c r="F256" i="10"/>
  <c r="G256" i="10"/>
  <c r="H256" i="10"/>
  <c r="C257" i="10"/>
  <c r="D257" i="10"/>
  <c r="E257" i="10"/>
  <c r="F257" i="10"/>
  <c r="G257" i="10"/>
  <c r="H257" i="10"/>
  <c r="C258" i="10"/>
  <c r="D258" i="10"/>
  <c r="E258" i="10"/>
  <c r="F258" i="10"/>
  <c r="G258" i="10"/>
  <c r="H258" i="10"/>
  <c r="C259" i="10"/>
  <c r="D259" i="10"/>
  <c r="E259" i="10"/>
  <c r="F259" i="10"/>
  <c r="G259" i="10"/>
  <c r="H259" i="10"/>
  <c r="C260" i="10"/>
  <c r="D260" i="10"/>
  <c r="E260" i="10"/>
  <c r="F260" i="10"/>
  <c r="G260" i="10"/>
  <c r="H260" i="10"/>
  <c r="C261" i="10"/>
  <c r="D261" i="10"/>
  <c r="E261" i="10"/>
  <c r="F261" i="10"/>
  <c r="G261" i="10"/>
  <c r="L261" i="10" s="1"/>
  <c r="M261" i="10" s="1"/>
  <c r="H261" i="10"/>
  <c r="C262" i="10"/>
  <c r="D262" i="10"/>
  <c r="E262" i="10"/>
  <c r="F262" i="10"/>
  <c r="G262" i="10"/>
  <c r="H262" i="10"/>
  <c r="C263" i="10"/>
  <c r="D263" i="10"/>
  <c r="E263" i="10"/>
  <c r="F263" i="10"/>
  <c r="G263" i="10"/>
  <c r="H263" i="10"/>
  <c r="C264" i="10"/>
  <c r="D264" i="10"/>
  <c r="E264" i="10"/>
  <c r="F264" i="10"/>
  <c r="G264" i="10"/>
  <c r="H264" i="10"/>
  <c r="C265" i="10"/>
  <c r="D265" i="10"/>
  <c r="E265" i="10"/>
  <c r="F265" i="10"/>
  <c r="G265" i="10"/>
  <c r="Z265" i="10" s="1"/>
  <c r="H265" i="10"/>
  <c r="C266" i="10"/>
  <c r="D266" i="10"/>
  <c r="E266" i="10"/>
  <c r="F266" i="10"/>
  <c r="G266" i="10"/>
  <c r="H266" i="10"/>
  <c r="C267" i="10"/>
  <c r="D267" i="10"/>
  <c r="E267" i="10"/>
  <c r="F267" i="10"/>
  <c r="G267" i="10"/>
  <c r="Z267" i="10" s="1"/>
  <c r="H267" i="10"/>
  <c r="C268" i="10"/>
  <c r="D268" i="10"/>
  <c r="E268" i="10"/>
  <c r="F268" i="10"/>
  <c r="G268" i="10"/>
  <c r="H268" i="10"/>
  <c r="C269" i="10"/>
  <c r="D269" i="10"/>
  <c r="E269" i="10"/>
  <c r="F269" i="10"/>
  <c r="G269" i="10"/>
  <c r="H269" i="10"/>
  <c r="C270" i="10"/>
  <c r="D270" i="10"/>
  <c r="E270" i="10"/>
  <c r="F270" i="10"/>
  <c r="G270" i="10"/>
  <c r="H270" i="10"/>
  <c r="C271" i="10"/>
  <c r="D271" i="10"/>
  <c r="E271" i="10"/>
  <c r="F271" i="10"/>
  <c r="G271" i="10"/>
  <c r="Z271" i="10" s="1"/>
  <c r="H271" i="10"/>
  <c r="C272" i="10"/>
  <c r="D272" i="10"/>
  <c r="E272" i="10"/>
  <c r="F272" i="10"/>
  <c r="G272" i="10"/>
  <c r="H272" i="10"/>
  <c r="C273" i="10"/>
  <c r="D273" i="10"/>
  <c r="E273" i="10"/>
  <c r="F273" i="10"/>
  <c r="G273" i="10"/>
  <c r="H273" i="10"/>
  <c r="C274" i="10"/>
  <c r="D274" i="10"/>
  <c r="E274" i="10"/>
  <c r="F274" i="10"/>
  <c r="G274" i="10"/>
  <c r="AM274" i="10" s="1"/>
  <c r="H274" i="10"/>
  <c r="C275" i="10"/>
  <c r="D275" i="10"/>
  <c r="E275" i="10"/>
  <c r="F275" i="10"/>
  <c r="G275" i="10"/>
  <c r="J275" i="10" s="1"/>
  <c r="H275" i="10"/>
  <c r="C276" i="10"/>
  <c r="D276" i="10"/>
  <c r="E276" i="10"/>
  <c r="F276" i="10"/>
  <c r="G276" i="10"/>
  <c r="H276" i="10"/>
  <c r="C277" i="10"/>
  <c r="D277" i="10"/>
  <c r="E277" i="10"/>
  <c r="F277" i="10"/>
  <c r="G277" i="10"/>
  <c r="AD277" i="10" s="1"/>
  <c r="H277" i="10"/>
  <c r="C278" i="10"/>
  <c r="D278" i="10"/>
  <c r="E278" i="10"/>
  <c r="F278" i="10"/>
  <c r="G278" i="10"/>
  <c r="H278" i="10"/>
  <c r="C279" i="10"/>
  <c r="D279" i="10"/>
  <c r="E279" i="10"/>
  <c r="F279" i="10"/>
  <c r="G279" i="10"/>
  <c r="Z279" i="10" s="1"/>
  <c r="H279" i="10"/>
  <c r="C280" i="10"/>
  <c r="D280" i="10"/>
  <c r="E280" i="10"/>
  <c r="F280" i="10"/>
  <c r="G280" i="10"/>
  <c r="AL280" i="10" s="1"/>
  <c r="H280" i="10"/>
  <c r="C281" i="10"/>
  <c r="D281" i="10"/>
  <c r="E281" i="10"/>
  <c r="F281" i="10"/>
  <c r="G281" i="10"/>
  <c r="H281" i="10"/>
  <c r="C282" i="10"/>
  <c r="D282" i="10"/>
  <c r="E282" i="10"/>
  <c r="F282" i="10"/>
  <c r="G282" i="10"/>
  <c r="H282" i="10"/>
  <c r="C283" i="10"/>
  <c r="D283" i="10"/>
  <c r="E283" i="10"/>
  <c r="F283" i="10"/>
  <c r="G283" i="10"/>
  <c r="AD283" i="10" s="1"/>
  <c r="H283" i="10"/>
  <c r="C284" i="10"/>
  <c r="D284" i="10"/>
  <c r="E284" i="10"/>
  <c r="F284" i="10"/>
  <c r="G284" i="10"/>
  <c r="H284" i="10"/>
  <c r="C285" i="10"/>
  <c r="D285" i="10"/>
  <c r="E285" i="10"/>
  <c r="F285" i="10"/>
  <c r="G285" i="10"/>
  <c r="H285" i="10"/>
  <c r="C286" i="10"/>
  <c r="D286" i="10"/>
  <c r="E286" i="10"/>
  <c r="F286" i="10"/>
  <c r="G286" i="10"/>
  <c r="H286" i="10"/>
  <c r="C287" i="10"/>
  <c r="D287" i="10"/>
  <c r="E287" i="10"/>
  <c r="F287" i="10"/>
  <c r="G287" i="10"/>
  <c r="J287" i="10" s="1"/>
  <c r="H287" i="10"/>
  <c r="C288" i="10"/>
  <c r="D288" i="10"/>
  <c r="E288" i="10"/>
  <c r="F288" i="10"/>
  <c r="G288" i="10"/>
  <c r="H288" i="10"/>
  <c r="C289" i="10"/>
  <c r="D289" i="10"/>
  <c r="E289" i="10"/>
  <c r="F289" i="10"/>
  <c r="G289" i="10"/>
  <c r="H289" i="10"/>
  <c r="C290" i="10"/>
  <c r="D290" i="10"/>
  <c r="E290" i="10"/>
  <c r="F290" i="10"/>
  <c r="G290" i="10"/>
  <c r="H290" i="10"/>
  <c r="C291" i="10"/>
  <c r="D291" i="10"/>
  <c r="E291" i="10"/>
  <c r="F291" i="10"/>
  <c r="G291" i="10"/>
  <c r="H291" i="10"/>
  <c r="C292" i="10"/>
  <c r="D292" i="10"/>
  <c r="E292" i="10"/>
  <c r="F292" i="10"/>
  <c r="G292" i="10"/>
  <c r="L292" i="10" s="1"/>
  <c r="M292" i="10" s="1"/>
  <c r="H292" i="10"/>
  <c r="C293" i="10"/>
  <c r="D293" i="10"/>
  <c r="E293" i="10"/>
  <c r="F293" i="10"/>
  <c r="G293" i="10"/>
  <c r="L293" i="10" s="1"/>
  <c r="H293" i="10"/>
  <c r="C294" i="10"/>
  <c r="D294" i="10"/>
  <c r="E294" i="10"/>
  <c r="F294" i="10"/>
  <c r="G294" i="10"/>
  <c r="H294" i="10"/>
  <c r="C295" i="10"/>
  <c r="D295" i="10"/>
  <c r="E295" i="10"/>
  <c r="F295" i="10"/>
  <c r="G295" i="10"/>
  <c r="H295" i="10"/>
  <c r="C296" i="10"/>
  <c r="D296" i="10"/>
  <c r="E296" i="10"/>
  <c r="F296" i="10"/>
  <c r="G296" i="10"/>
  <c r="H296" i="10"/>
  <c r="C297" i="10"/>
  <c r="D297" i="10"/>
  <c r="E297" i="10"/>
  <c r="F297" i="10"/>
  <c r="G297" i="10"/>
  <c r="AM297" i="10" s="1"/>
  <c r="H297" i="10"/>
  <c r="C298" i="10"/>
  <c r="D298" i="10"/>
  <c r="E298" i="10"/>
  <c r="F298" i="10"/>
  <c r="G298" i="10"/>
  <c r="H298" i="10"/>
  <c r="C299" i="10"/>
  <c r="D299" i="10"/>
  <c r="E299" i="10"/>
  <c r="F299" i="10"/>
  <c r="G299" i="10"/>
  <c r="H299" i="10"/>
  <c r="C300" i="10"/>
  <c r="D300" i="10"/>
  <c r="E300" i="10"/>
  <c r="F300" i="10"/>
  <c r="G300" i="10"/>
  <c r="H300" i="10"/>
  <c r="C301" i="10"/>
  <c r="D301" i="10"/>
  <c r="E301" i="10"/>
  <c r="F301" i="10"/>
  <c r="G301" i="10"/>
  <c r="H301" i="10"/>
  <c r="C302" i="10"/>
  <c r="D302" i="10"/>
  <c r="E302" i="10"/>
  <c r="F302" i="10"/>
  <c r="G302" i="10"/>
  <c r="H302" i="10"/>
  <c r="C303" i="10"/>
  <c r="D303" i="10"/>
  <c r="E303" i="10"/>
  <c r="F303" i="10"/>
  <c r="G303" i="10"/>
  <c r="H303" i="10"/>
  <c r="C304" i="10"/>
  <c r="D304" i="10"/>
  <c r="E304" i="10"/>
  <c r="F304" i="10"/>
  <c r="G304" i="10"/>
  <c r="AM304" i="10" s="1"/>
  <c r="H304" i="10"/>
  <c r="C305" i="10"/>
  <c r="D305" i="10"/>
  <c r="E305" i="10"/>
  <c r="F305" i="10"/>
  <c r="G305" i="10"/>
  <c r="AM305" i="10" s="1"/>
  <c r="H305" i="10"/>
  <c r="C306" i="10"/>
  <c r="D306" i="10"/>
  <c r="E306" i="10"/>
  <c r="F306" i="10"/>
  <c r="G306" i="10"/>
  <c r="H306" i="10"/>
  <c r="C307" i="10"/>
  <c r="D307" i="10"/>
  <c r="E307" i="10"/>
  <c r="F307" i="10"/>
  <c r="G307" i="10"/>
  <c r="H307" i="10"/>
  <c r="C308" i="10"/>
  <c r="D308" i="10"/>
  <c r="E308" i="10"/>
  <c r="F308" i="10"/>
  <c r="G308" i="10"/>
  <c r="H308" i="10"/>
  <c r="C309" i="10"/>
  <c r="D309" i="10"/>
  <c r="E309" i="10"/>
  <c r="F309" i="10"/>
  <c r="G309" i="10"/>
  <c r="H309" i="10"/>
  <c r="C310" i="10"/>
  <c r="D310" i="10"/>
  <c r="E310" i="10"/>
  <c r="F310" i="10"/>
  <c r="G310" i="10"/>
  <c r="AM310" i="10" s="1"/>
  <c r="H310" i="10"/>
  <c r="C311" i="10"/>
  <c r="D311" i="10"/>
  <c r="E311" i="10"/>
  <c r="F311" i="10"/>
  <c r="G311" i="10"/>
  <c r="H311" i="10"/>
  <c r="C312" i="10"/>
  <c r="D312" i="10"/>
  <c r="E312" i="10"/>
  <c r="F312" i="10"/>
  <c r="G312" i="10"/>
  <c r="H312" i="10"/>
  <c r="C313" i="10"/>
  <c r="D313" i="10"/>
  <c r="E313" i="10"/>
  <c r="F313" i="10"/>
  <c r="G313" i="10"/>
  <c r="H313" i="10"/>
  <c r="C314" i="10"/>
  <c r="D314" i="10"/>
  <c r="E314" i="10"/>
  <c r="F314" i="10"/>
  <c r="G314" i="10"/>
  <c r="L314" i="10" s="1"/>
  <c r="H314" i="10"/>
  <c r="C315" i="10"/>
  <c r="D315" i="10"/>
  <c r="E315" i="10"/>
  <c r="F315" i="10"/>
  <c r="G315" i="10"/>
  <c r="J315" i="10" s="1"/>
  <c r="H315" i="10"/>
  <c r="CQ315" i="10"/>
  <c r="CR315" i="10"/>
  <c r="CS315" i="10"/>
  <c r="CT315" i="10"/>
  <c r="CU315" i="10"/>
  <c r="CV315" i="10"/>
  <c r="CW315" i="10"/>
  <c r="CX315" i="10"/>
  <c r="C316" i="10"/>
  <c r="D316" i="10"/>
  <c r="E316" i="10"/>
  <c r="F316" i="10"/>
  <c r="G316" i="10"/>
  <c r="L316" i="10" s="1"/>
  <c r="M316" i="10" s="1"/>
  <c r="H316" i="10"/>
  <c r="CQ316" i="10"/>
  <c r="CR316" i="10"/>
  <c r="CS316" i="10"/>
  <c r="CT316" i="10"/>
  <c r="CU316" i="10"/>
  <c r="CV316" i="10"/>
  <c r="CW316" i="10"/>
  <c r="CX316" i="10"/>
  <c r="C317" i="10"/>
  <c r="D317" i="10"/>
  <c r="E317" i="10"/>
  <c r="F317" i="10"/>
  <c r="G317" i="10"/>
  <c r="L317" i="10" s="1"/>
  <c r="M317" i="10" s="1"/>
  <c r="H317" i="10"/>
  <c r="CQ317" i="10"/>
  <c r="CR317" i="10"/>
  <c r="CS317" i="10"/>
  <c r="CT317" i="10"/>
  <c r="CU317" i="10"/>
  <c r="CV317" i="10"/>
  <c r="CW317" i="10"/>
  <c r="CX317" i="10"/>
  <c r="C318" i="10"/>
  <c r="D318" i="10"/>
  <c r="E318" i="10"/>
  <c r="F318" i="10"/>
  <c r="G318" i="10"/>
  <c r="H318" i="10"/>
  <c r="CQ318" i="10"/>
  <c r="CR318" i="10"/>
  <c r="CS318" i="10"/>
  <c r="CT318" i="10"/>
  <c r="CU318" i="10"/>
  <c r="CV318" i="10"/>
  <c r="CW318" i="10"/>
  <c r="CX318" i="10"/>
  <c r="C319" i="10"/>
  <c r="D319" i="10"/>
  <c r="E319" i="10"/>
  <c r="F319" i="10"/>
  <c r="G319" i="10"/>
  <c r="H319" i="10"/>
  <c r="CQ319" i="10"/>
  <c r="CR319" i="10"/>
  <c r="CS319" i="10"/>
  <c r="CT319" i="10"/>
  <c r="CU319" i="10"/>
  <c r="CV319" i="10"/>
  <c r="CW319" i="10"/>
  <c r="CX319" i="10"/>
  <c r="C320" i="10"/>
  <c r="D320" i="10"/>
  <c r="E320" i="10"/>
  <c r="F320" i="10"/>
  <c r="G320" i="10"/>
  <c r="AM320" i="10" s="1"/>
  <c r="H320" i="10"/>
  <c r="CQ320" i="10"/>
  <c r="CR320" i="10"/>
  <c r="CS320" i="10"/>
  <c r="CT320" i="10"/>
  <c r="CU320" i="10"/>
  <c r="CV320" i="10"/>
  <c r="CW320" i="10"/>
  <c r="CX320" i="10"/>
  <c r="C321" i="10"/>
  <c r="D321" i="10"/>
  <c r="E321" i="10"/>
  <c r="F321" i="10"/>
  <c r="G321" i="10"/>
  <c r="H321" i="10"/>
  <c r="CQ321" i="10"/>
  <c r="CR321" i="10"/>
  <c r="CS321" i="10"/>
  <c r="CT321" i="10"/>
  <c r="CU321" i="10"/>
  <c r="CV321" i="10"/>
  <c r="CW321" i="10"/>
  <c r="CX321" i="10"/>
  <c r="C322" i="10"/>
  <c r="D322" i="10"/>
  <c r="E322" i="10"/>
  <c r="F322" i="10"/>
  <c r="G322" i="10"/>
  <c r="H322" i="10"/>
  <c r="CQ322" i="10"/>
  <c r="CR322" i="10"/>
  <c r="CS322" i="10"/>
  <c r="CT322" i="10"/>
  <c r="CU322" i="10"/>
  <c r="CV322" i="10"/>
  <c r="CW322" i="10"/>
  <c r="CX322" i="10"/>
  <c r="C323" i="10"/>
  <c r="D323" i="10"/>
  <c r="E323" i="10"/>
  <c r="F323" i="10"/>
  <c r="G323" i="10"/>
  <c r="H323" i="10"/>
  <c r="CQ323" i="10"/>
  <c r="CR323" i="10"/>
  <c r="CS323" i="10"/>
  <c r="CT323" i="10"/>
  <c r="CU323" i="10"/>
  <c r="CV323" i="10"/>
  <c r="CW323" i="10"/>
  <c r="CX323" i="10"/>
  <c r="C324" i="10"/>
  <c r="D324" i="10"/>
  <c r="E324" i="10"/>
  <c r="F324" i="10"/>
  <c r="G324" i="10"/>
  <c r="AD324" i="10" s="1"/>
  <c r="H324" i="10"/>
  <c r="CQ324" i="10"/>
  <c r="CR324" i="10"/>
  <c r="CS324" i="10"/>
  <c r="CT324" i="10"/>
  <c r="CU324" i="10"/>
  <c r="CV324" i="10"/>
  <c r="CW324" i="10"/>
  <c r="CX324" i="10"/>
  <c r="C325" i="10"/>
  <c r="D325" i="10"/>
  <c r="E325" i="10"/>
  <c r="F325" i="10"/>
  <c r="G325" i="10"/>
  <c r="J325" i="10" s="1"/>
  <c r="H325" i="10"/>
  <c r="CQ325" i="10"/>
  <c r="CR325" i="10"/>
  <c r="CS325" i="10"/>
  <c r="CT325" i="10"/>
  <c r="CU325" i="10"/>
  <c r="CV325" i="10"/>
  <c r="CW325" i="10"/>
  <c r="CX325" i="10"/>
  <c r="C326" i="10"/>
  <c r="D326" i="10"/>
  <c r="E326" i="10"/>
  <c r="F326" i="10"/>
  <c r="CQ326" i="10"/>
  <c r="CR326" i="10"/>
  <c r="CS326" i="10"/>
  <c r="CT326" i="10"/>
  <c r="CU326" i="10"/>
  <c r="CV326" i="10"/>
  <c r="CW326" i="10"/>
  <c r="CX326" i="10"/>
  <c r="C327" i="10"/>
  <c r="D327" i="10"/>
  <c r="E327" i="10"/>
  <c r="F327" i="10"/>
  <c r="CQ327" i="10"/>
  <c r="CR327" i="10"/>
  <c r="CS327" i="10"/>
  <c r="CT327" i="10"/>
  <c r="CU327" i="10"/>
  <c r="CV327" i="10"/>
  <c r="CW327" i="10"/>
  <c r="CX327" i="10"/>
  <c r="C328" i="10"/>
  <c r="D328" i="10"/>
  <c r="E328" i="10"/>
  <c r="F328" i="10"/>
  <c r="CQ328" i="10"/>
  <c r="CR328" i="10"/>
  <c r="CS328" i="10"/>
  <c r="CT328" i="10"/>
  <c r="CU328" i="10"/>
  <c r="CV328" i="10"/>
  <c r="CW328" i="10"/>
  <c r="CX328" i="10"/>
  <c r="C329" i="10"/>
  <c r="D329" i="10"/>
  <c r="E329" i="10"/>
  <c r="F329" i="10"/>
  <c r="CQ329" i="10"/>
  <c r="CR329" i="10"/>
  <c r="CS329" i="10"/>
  <c r="CT329" i="10"/>
  <c r="CU329" i="10"/>
  <c r="CV329" i="10"/>
  <c r="CW329" i="10"/>
  <c r="CX329" i="10"/>
  <c r="C330" i="10"/>
  <c r="D330" i="10"/>
  <c r="E330" i="10"/>
  <c r="F330" i="10"/>
  <c r="CQ330" i="10"/>
  <c r="CR330" i="10"/>
  <c r="CS330" i="10"/>
  <c r="CT330" i="10"/>
  <c r="CU330" i="10"/>
  <c r="CV330" i="10"/>
  <c r="CW330" i="10"/>
  <c r="CX330" i="10"/>
  <c r="C331" i="10"/>
  <c r="D331" i="10"/>
  <c r="E331" i="10"/>
  <c r="F331" i="10"/>
  <c r="CQ331" i="10"/>
  <c r="CR331" i="10"/>
  <c r="CS331" i="10"/>
  <c r="CT331" i="10"/>
  <c r="CU331" i="10"/>
  <c r="CV331" i="10"/>
  <c r="CW331" i="10"/>
  <c r="CX331" i="10"/>
  <c r="C332" i="10"/>
  <c r="D332" i="10"/>
  <c r="E332" i="10"/>
  <c r="F332" i="10"/>
  <c r="CQ332" i="10"/>
  <c r="CR332" i="10"/>
  <c r="CS332" i="10"/>
  <c r="CT332" i="10"/>
  <c r="CU332" i="10"/>
  <c r="CV332" i="10"/>
  <c r="CW332" i="10"/>
  <c r="CX332" i="10"/>
  <c r="C333" i="10"/>
  <c r="D333" i="10"/>
  <c r="E333" i="10"/>
  <c r="F333" i="10"/>
  <c r="CQ333" i="10"/>
  <c r="CR333" i="10"/>
  <c r="CS333" i="10"/>
  <c r="CT333" i="10"/>
  <c r="CU333" i="10"/>
  <c r="CV333" i="10"/>
  <c r="CW333" i="10"/>
  <c r="CX333" i="10"/>
  <c r="C334" i="10"/>
  <c r="D334" i="10"/>
  <c r="E334" i="10"/>
  <c r="F334" i="10"/>
  <c r="CQ334" i="10"/>
  <c r="CR334" i="10"/>
  <c r="CS334" i="10"/>
  <c r="CT334" i="10"/>
  <c r="CU334" i="10"/>
  <c r="CV334" i="10"/>
  <c r="CW334" i="10"/>
  <c r="CX334" i="10"/>
  <c r="C335" i="10"/>
  <c r="D335" i="10"/>
  <c r="E335" i="10"/>
  <c r="F335" i="10"/>
  <c r="CQ335" i="10"/>
  <c r="CR335" i="10"/>
  <c r="CS335" i="10"/>
  <c r="CT335" i="10"/>
  <c r="CU335" i="10"/>
  <c r="CV335" i="10"/>
  <c r="CW335" i="10"/>
  <c r="CX335" i="10"/>
  <c r="C336" i="10"/>
  <c r="D336" i="10"/>
  <c r="E336" i="10"/>
  <c r="F336" i="10"/>
  <c r="CQ336" i="10"/>
  <c r="CR336" i="10"/>
  <c r="CS336" i="10"/>
  <c r="CT336" i="10"/>
  <c r="CU336" i="10"/>
  <c r="CV336" i="10"/>
  <c r="CW336" i="10"/>
  <c r="CX336" i="10"/>
  <c r="C337" i="10"/>
  <c r="D337" i="10"/>
  <c r="E337" i="10"/>
  <c r="F337" i="10"/>
  <c r="CQ337" i="10"/>
  <c r="CR337" i="10"/>
  <c r="CS337" i="10"/>
  <c r="CT337" i="10"/>
  <c r="CU337" i="10"/>
  <c r="CV337" i="10"/>
  <c r="CW337" i="10"/>
  <c r="CX337" i="10"/>
  <c r="C338" i="10"/>
  <c r="D338" i="10"/>
  <c r="E338" i="10"/>
  <c r="F338" i="10"/>
  <c r="CQ338" i="10"/>
  <c r="CR338" i="10"/>
  <c r="CS338" i="10"/>
  <c r="CT338" i="10"/>
  <c r="CU338" i="10"/>
  <c r="CV338" i="10"/>
  <c r="CW338" i="10"/>
  <c r="CX338" i="10"/>
  <c r="C339" i="10"/>
  <c r="D339" i="10"/>
  <c r="E339" i="10"/>
  <c r="F339" i="10"/>
  <c r="CQ339" i="10"/>
  <c r="CR339" i="10"/>
  <c r="CS339" i="10"/>
  <c r="CT339" i="10"/>
  <c r="CU339" i="10"/>
  <c r="CV339" i="10"/>
  <c r="CW339" i="10"/>
  <c r="CX339" i="10"/>
  <c r="C340" i="10"/>
  <c r="D340" i="10"/>
  <c r="E340" i="10"/>
  <c r="F340" i="10"/>
  <c r="CQ340" i="10"/>
  <c r="CR340" i="10"/>
  <c r="CS340" i="10"/>
  <c r="CT340" i="10"/>
  <c r="CU340" i="10"/>
  <c r="CV340" i="10"/>
  <c r="CW340" i="10"/>
  <c r="CX340" i="10"/>
  <c r="C341" i="10"/>
  <c r="D341" i="10"/>
  <c r="E341" i="10"/>
  <c r="F341" i="10"/>
  <c r="CQ341" i="10"/>
  <c r="CR341" i="10"/>
  <c r="CS341" i="10"/>
  <c r="CT341" i="10"/>
  <c r="CU341" i="10"/>
  <c r="CV341" i="10"/>
  <c r="CW341" i="10"/>
  <c r="CX341" i="10"/>
  <c r="C342" i="10"/>
  <c r="D342" i="10"/>
  <c r="E342" i="10"/>
  <c r="F342" i="10"/>
  <c r="CQ342" i="10"/>
  <c r="CR342" i="10"/>
  <c r="CS342" i="10"/>
  <c r="CT342" i="10"/>
  <c r="CU342" i="10"/>
  <c r="CV342" i="10"/>
  <c r="CW342" i="10"/>
  <c r="CX342" i="10"/>
  <c r="C343" i="10"/>
  <c r="D343" i="10"/>
  <c r="E343" i="10"/>
  <c r="F343" i="10"/>
  <c r="CQ343" i="10"/>
  <c r="CR343" i="10"/>
  <c r="CS343" i="10"/>
  <c r="CT343" i="10"/>
  <c r="CU343" i="10"/>
  <c r="CV343" i="10"/>
  <c r="CW343" i="10"/>
  <c r="CX343" i="10"/>
  <c r="C344" i="10"/>
  <c r="D344" i="10"/>
  <c r="E344" i="10"/>
  <c r="F344" i="10"/>
  <c r="CQ344" i="10"/>
  <c r="CR344" i="10"/>
  <c r="CS344" i="10"/>
  <c r="CT344" i="10"/>
  <c r="CU344" i="10"/>
  <c r="CV344" i="10"/>
  <c r="CW344" i="10"/>
  <c r="CX344" i="10"/>
  <c r="C345" i="10"/>
  <c r="D345" i="10"/>
  <c r="E345" i="10"/>
  <c r="F345" i="10"/>
  <c r="CQ345" i="10"/>
  <c r="CR345" i="10"/>
  <c r="CS345" i="10"/>
  <c r="CT345" i="10"/>
  <c r="CU345" i="10"/>
  <c r="CV345" i="10"/>
  <c r="CW345" i="10"/>
  <c r="CX345" i="10"/>
  <c r="C346" i="10"/>
  <c r="D346" i="10"/>
  <c r="E346" i="10"/>
  <c r="F346" i="10"/>
  <c r="CQ346" i="10"/>
  <c r="CR346" i="10"/>
  <c r="CS346" i="10"/>
  <c r="CT346" i="10"/>
  <c r="CU346" i="10"/>
  <c r="CV346" i="10"/>
  <c r="CW346" i="10"/>
  <c r="CX346" i="10"/>
  <c r="C347" i="10"/>
  <c r="D347" i="10"/>
  <c r="E347" i="10"/>
  <c r="F347" i="10"/>
  <c r="CQ347" i="10"/>
  <c r="CR347" i="10"/>
  <c r="CS347" i="10"/>
  <c r="CT347" i="10"/>
  <c r="CU347" i="10"/>
  <c r="CV347" i="10"/>
  <c r="CW347" i="10"/>
  <c r="CX347" i="10"/>
  <c r="C348" i="10"/>
  <c r="D348" i="10"/>
  <c r="E348" i="10"/>
  <c r="F348" i="10"/>
  <c r="CQ348" i="10"/>
  <c r="CR348" i="10"/>
  <c r="CS348" i="10"/>
  <c r="CT348" i="10"/>
  <c r="CU348" i="10"/>
  <c r="CV348" i="10"/>
  <c r="CW348" i="10"/>
  <c r="CX348" i="10"/>
  <c r="C349" i="10"/>
  <c r="D349" i="10"/>
  <c r="E349" i="10"/>
  <c r="F349" i="10"/>
  <c r="CQ349" i="10"/>
  <c r="CR349" i="10"/>
  <c r="CS349" i="10"/>
  <c r="CT349" i="10"/>
  <c r="CU349" i="10"/>
  <c r="CV349" i="10"/>
  <c r="CW349" i="10"/>
  <c r="CX349" i="10"/>
  <c r="C350" i="10"/>
  <c r="D350" i="10"/>
  <c r="E350" i="10"/>
  <c r="F350" i="10"/>
  <c r="CQ350" i="10"/>
  <c r="CR350" i="10"/>
  <c r="CS350" i="10"/>
  <c r="CT350" i="10"/>
  <c r="CU350" i="10"/>
  <c r="CV350" i="10"/>
  <c r="CW350" i="10"/>
  <c r="CX350" i="10"/>
  <c r="C351" i="10"/>
  <c r="D351" i="10"/>
  <c r="E351" i="10"/>
  <c r="F351" i="10"/>
  <c r="CQ351" i="10"/>
  <c r="CR351" i="10"/>
  <c r="CS351" i="10"/>
  <c r="CT351" i="10"/>
  <c r="CU351" i="10"/>
  <c r="CV351" i="10"/>
  <c r="CW351" i="10"/>
  <c r="CX351" i="10"/>
  <c r="C352" i="10"/>
  <c r="D352" i="10"/>
  <c r="E352" i="10"/>
  <c r="F352" i="10"/>
  <c r="G352" i="10"/>
  <c r="AD352" i="10" s="1"/>
  <c r="AE352" i="10" s="1"/>
  <c r="H352" i="10"/>
  <c r="L352" i="10"/>
  <c r="M352" i="10" s="1"/>
  <c r="O352" i="10" s="1"/>
  <c r="W352" i="10"/>
  <c r="X352" i="10"/>
  <c r="AM352" i="10"/>
  <c r="CF352" i="10" s="1"/>
  <c r="AN352" i="10"/>
  <c r="CG352" i="10" s="1"/>
  <c r="C353" i="10"/>
  <c r="D353" i="10"/>
  <c r="E353" i="10"/>
  <c r="F353" i="10"/>
  <c r="G353" i="10"/>
  <c r="W353" i="10" s="1"/>
  <c r="H353" i="10"/>
  <c r="J353" i="10"/>
  <c r="L353" i="10"/>
  <c r="M353" i="10" s="1"/>
  <c r="V353" i="10"/>
  <c r="X353" i="10"/>
  <c r="Z353" i="10"/>
  <c r="AB353" i="10" s="1"/>
  <c r="AD353" i="10"/>
  <c r="AL353" i="10"/>
  <c r="CE353" i="10" s="1"/>
  <c r="AM353" i="10"/>
  <c r="CF353" i="10" s="1"/>
  <c r="AN353" i="10"/>
  <c r="CG353" i="10" s="1"/>
  <c r="C354" i="10"/>
  <c r="D354" i="10"/>
  <c r="E354" i="10"/>
  <c r="F354" i="10"/>
  <c r="G354" i="10"/>
  <c r="X354" i="10" s="1"/>
  <c r="H354" i="10"/>
  <c r="AM354" i="10"/>
  <c r="AN354" i="10"/>
  <c r="C355" i="10"/>
  <c r="D355" i="10"/>
  <c r="E355" i="10"/>
  <c r="F355" i="10"/>
  <c r="G355" i="10"/>
  <c r="H355" i="10"/>
  <c r="Z355" i="10"/>
  <c r="AB355" i="10" s="1"/>
  <c r="C356" i="10"/>
  <c r="D356" i="10"/>
  <c r="E356" i="10"/>
  <c r="F356" i="10"/>
  <c r="G356" i="10"/>
  <c r="H356" i="10"/>
  <c r="X356" i="10"/>
  <c r="AD356" i="10"/>
  <c r="AM356" i="10"/>
  <c r="CF356" i="10" s="1"/>
  <c r="AN356" i="10"/>
  <c r="CG356" i="10" s="1"/>
  <c r="C357" i="10"/>
  <c r="D357" i="10"/>
  <c r="E357" i="10"/>
  <c r="F357" i="10"/>
  <c r="G357" i="10"/>
  <c r="H357" i="10"/>
  <c r="Z357" i="10"/>
  <c r="AD357" i="10"/>
  <c r="AF357" i="10" s="1"/>
  <c r="AG357" i="10" s="1"/>
  <c r="C358" i="10"/>
  <c r="D358" i="10"/>
  <c r="E358" i="10"/>
  <c r="F358" i="10"/>
  <c r="G358" i="10"/>
  <c r="H358" i="10"/>
  <c r="W358" i="10"/>
  <c r="X358" i="10"/>
  <c r="AD358" i="10"/>
  <c r="AM358" i="10"/>
  <c r="AN358" i="10"/>
  <c r="C359" i="10"/>
  <c r="D359" i="10"/>
  <c r="E359" i="10"/>
  <c r="F359" i="10"/>
  <c r="G359" i="10"/>
  <c r="W359" i="10" s="1"/>
  <c r="H359" i="10"/>
  <c r="J359" i="10"/>
  <c r="L359" i="10"/>
  <c r="M359" i="10" s="1"/>
  <c r="O359" i="10" s="1"/>
  <c r="CK359" i="10" s="1"/>
  <c r="V359" i="10"/>
  <c r="X359" i="10"/>
  <c r="Z359" i="10"/>
  <c r="AB359" i="10" s="1"/>
  <c r="AD359" i="10"/>
  <c r="AF359" i="10" s="1"/>
  <c r="AG359" i="10" s="1"/>
  <c r="AL359" i="10"/>
  <c r="CE359" i="10" s="1"/>
  <c r="AM359" i="10"/>
  <c r="CF359" i="10" s="1"/>
  <c r="AN359" i="10"/>
  <c r="CG359" i="10" s="1"/>
  <c r="C360" i="10"/>
  <c r="D360" i="10"/>
  <c r="E360" i="10"/>
  <c r="F360" i="10"/>
  <c r="G360" i="10"/>
  <c r="H360" i="10"/>
  <c r="C361" i="10"/>
  <c r="D361" i="10"/>
  <c r="E361" i="10"/>
  <c r="F361" i="10"/>
  <c r="G361" i="10"/>
  <c r="H361" i="10"/>
  <c r="J361" i="10"/>
  <c r="L361" i="10"/>
  <c r="M361" i="10" s="1"/>
  <c r="V361" i="10"/>
  <c r="W361" i="10"/>
  <c r="X361" i="10"/>
  <c r="Z361" i="10"/>
  <c r="AB361" i="10" s="1"/>
  <c r="AD361" i="10"/>
  <c r="AL361" i="10"/>
  <c r="CE361" i="10" s="1"/>
  <c r="AM361" i="10"/>
  <c r="AN361" i="10"/>
  <c r="C362" i="10"/>
  <c r="D362" i="10"/>
  <c r="E362" i="10"/>
  <c r="F362" i="10"/>
  <c r="G362" i="10"/>
  <c r="H362" i="10"/>
  <c r="AN362" i="10"/>
  <c r="CG362" i="10" s="1"/>
  <c r="C363" i="10"/>
  <c r="D363" i="10"/>
  <c r="E363" i="10"/>
  <c r="F363" i="10"/>
  <c r="G363" i="10"/>
  <c r="H363" i="10"/>
  <c r="V363" i="10"/>
  <c r="AD363" i="10"/>
  <c r="AF363" i="10" s="1"/>
  <c r="AN363" i="10"/>
  <c r="CG363" i="10" s="1"/>
  <c r="C364" i="10"/>
  <c r="D364" i="10"/>
  <c r="E364" i="10"/>
  <c r="F364" i="10"/>
  <c r="G364" i="10"/>
  <c r="H364" i="10"/>
  <c r="W364" i="10"/>
  <c r="X364" i="10"/>
  <c r="AD364" i="10"/>
  <c r="AE364" i="10" s="1"/>
  <c r="AM364" i="10"/>
  <c r="CF364" i="10" s="1"/>
  <c r="AN364" i="10"/>
  <c r="CG364" i="10" s="1"/>
  <c r="L360" i="10" l="1"/>
  <c r="M360" i="10" s="1"/>
  <c r="W360" i="10"/>
  <c r="AM360" i="10"/>
  <c r="CF360" i="10" s="1"/>
  <c r="X360" i="10"/>
  <c r="AN360" i="10"/>
  <c r="CG360" i="10" s="1"/>
  <c r="AD360" i="10"/>
  <c r="W362" i="10"/>
  <c r="AM362" i="10"/>
  <c r="CF362" i="10" s="1"/>
  <c r="X362" i="10"/>
  <c r="AD362" i="10"/>
  <c r="AE362" i="10" s="1"/>
  <c r="W355" i="10"/>
  <c r="J355" i="10"/>
  <c r="X355" i="10"/>
  <c r="AL355" i="10"/>
  <c r="CE355" i="10" s="1"/>
  <c r="W357" i="10"/>
  <c r="J357" i="10"/>
  <c r="X357" i="10"/>
  <c r="AL357" i="10"/>
  <c r="AN355" i="10"/>
  <c r="CG355" i="10" s="1"/>
  <c r="V355" i="10"/>
  <c r="AG363" i="10"/>
  <c r="J363" i="10"/>
  <c r="X363" i="10"/>
  <c r="AL363" i="10"/>
  <c r="CE363" i="10" s="1"/>
  <c r="L363" i="10"/>
  <c r="M363" i="10" s="1"/>
  <c r="N363" i="10" s="1"/>
  <c r="Z363" i="10"/>
  <c r="AB363" i="10" s="1"/>
  <c r="AM363" i="10"/>
  <c r="AN357" i="10"/>
  <c r="CG357" i="10" s="1"/>
  <c r="V357" i="10"/>
  <c r="AM355" i="10"/>
  <c r="CF355" i="10" s="1"/>
  <c r="L355" i="10"/>
  <c r="M355" i="10" s="1"/>
  <c r="O355" i="10" s="1"/>
  <c r="W363" i="10"/>
  <c r="CF358" i="10"/>
  <c r="AM357" i="10"/>
  <c r="CF357" i="10" s="1"/>
  <c r="L357" i="10"/>
  <c r="M357" i="10" s="1"/>
  <c r="O357" i="10" s="1"/>
  <c r="AD355" i="10"/>
  <c r="CG354" i="10"/>
  <c r="CF354" i="10"/>
  <c r="CG361" i="10"/>
  <c r="AE358" i="10"/>
  <c r="AD354" i="10"/>
  <c r="AE354" i="10" s="1"/>
  <c r="CF361" i="10"/>
  <c r="CG358" i="10"/>
  <c r="AE356" i="10"/>
  <c r="J142" i="10"/>
  <c r="K142" i="10" s="1"/>
  <c r="AN310" i="10"/>
  <c r="AL189" i="10"/>
  <c r="AL188" i="10"/>
  <c r="AN187" i="10"/>
  <c r="AM188" i="10"/>
  <c r="AM314" i="10"/>
  <c r="L310" i="10"/>
  <c r="J190" i="10"/>
  <c r="K190" i="10" s="1"/>
  <c r="AD159" i="10"/>
  <c r="AE159" i="10" s="1"/>
  <c r="X143" i="10"/>
  <c r="J171" i="10"/>
  <c r="L143" i="10"/>
  <c r="M143" i="10" s="1"/>
  <c r="N143" i="10" s="1"/>
  <c r="AL274" i="10"/>
  <c r="CE274" i="10" s="1"/>
  <c r="AN167" i="10"/>
  <c r="CG167" i="10" s="1"/>
  <c r="AM143" i="10"/>
  <c r="CF143" i="10" s="1"/>
  <c r="N357" i="10"/>
  <c r="AL246" i="10"/>
  <c r="AO246" i="10" s="1"/>
  <c r="AM193" i="10"/>
  <c r="AL190" i="10"/>
  <c r="L188" i="10"/>
  <c r="AM215" i="10"/>
  <c r="AM187" i="10"/>
  <c r="AN186" i="10"/>
  <c r="AN320" i="10"/>
  <c r="J317" i="10"/>
  <c r="AM306" i="10"/>
  <c r="J273" i="10"/>
  <c r="AL227" i="10"/>
  <c r="J227" i="10"/>
  <c r="L201" i="10"/>
  <c r="M201" i="10" s="1"/>
  <c r="N201" i="10" s="1"/>
  <c r="AL191" i="10"/>
  <c r="J189" i="10"/>
  <c r="K189" i="10" s="1"/>
  <c r="AD171" i="10"/>
  <c r="L165" i="10"/>
  <c r="Z144" i="10"/>
  <c r="AA144" i="10" s="1"/>
  <c r="AL215" i="10"/>
  <c r="AD175" i="10"/>
  <c r="AE175" i="10" s="1"/>
  <c r="AM169" i="10"/>
  <c r="CF169" i="10" s="1"/>
  <c r="Z317" i="10"/>
  <c r="AA317" i="10" s="1"/>
  <c r="L306" i="10"/>
  <c r="M306" i="10" s="1"/>
  <c r="O306" i="10" s="1"/>
  <c r="AM227" i="10"/>
  <c r="L227" i="10"/>
  <c r="L215" i="10"/>
  <c r="J196" i="10"/>
  <c r="J175" i="10"/>
  <c r="J169" i="10"/>
  <c r="AM165" i="10"/>
  <c r="CF165" i="10" s="1"/>
  <c r="AD325" i="10"/>
  <c r="AE325" i="10" s="1"/>
  <c r="AM315" i="10"/>
  <c r="AN314" i="10"/>
  <c r="AM292" i="10"/>
  <c r="J267" i="10"/>
  <c r="J219" i="10"/>
  <c r="W215" i="10"/>
  <c r="J209" i="10"/>
  <c r="J205" i="10"/>
  <c r="AM190" i="10"/>
  <c r="L190" i="10"/>
  <c r="AM189" i="10"/>
  <c r="L189" i="10"/>
  <c r="AN188" i="10"/>
  <c r="Z175" i="10"/>
  <c r="AA175" i="10" s="1"/>
  <c r="J172" i="10"/>
  <c r="J170" i="10"/>
  <c r="L159" i="10"/>
  <c r="M159" i="10" s="1"/>
  <c r="N159" i="10" s="1"/>
  <c r="I144" i="10"/>
  <c r="J279" i="10"/>
  <c r="J221" i="10"/>
  <c r="AM208" i="10"/>
  <c r="CF208" i="10" s="1"/>
  <c r="Z197" i="10"/>
  <c r="AA197" i="10" s="1"/>
  <c r="J193" i="10"/>
  <c r="AM178" i="10"/>
  <c r="Z159" i="10"/>
  <c r="AA159" i="10" s="1"/>
  <c r="L147" i="10"/>
  <c r="M147" i="10" s="1"/>
  <c r="N147" i="10" s="1"/>
  <c r="W144" i="10"/>
  <c r="J321" i="10"/>
  <c r="AM321" i="10"/>
  <c r="AN321" i="10"/>
  <c r="J259" i="10"/>
  <c r="AD259" i="10"/>
  <c r="AF259" i="10" s="1"/>
  <c r="AG259" i="10" s="1"/>
  <c r="Z259" i="10"/>
  <c r="AB259" i="10" s="1"/>
  <c r="L259" i="10"/>
  <c r="I184" i="10"/>
  <c r="L184" i="10"/>
  <c r="AM184" i="10"/>
  <c r="AN184" i="10"/>
  <c r="AM322" i="10"/>
  <c r="J309" i="10"/>
  <c r="L309" i="10"/>
  <c r="M309" i="10" s="1"/>
  <c r="O309" i="10" s="1"/>
  <c r="AL309" i="10"/>
  <c r="AM309" i="10"/>
  <c r="J255" i="10"/>
  <c r="L255" i="10"/>
  <c r="M255" i="10" s="1"/>
  <c r="N255" i="10" s="1"/>
  <c r="Z255" i="10"/>
  <c r="AA255" i="10" s="1"/>
  <c r="AL182" i="10"/>
  <c r="J265" i="10"/>
  <c r="L265" i="10"/>
  <c r="M265" i="10" s="1"/>
  <c r="N265" i="10" s="1"/>
  <c r="AD265" i="10"/>
  <c r="AE265" i="10" s="1"/>
  <c r="J253" i="10"/>
  <c r="AD253" i="10"/>
  <c r="AE253" i="10" s="1"/>
  <c r="L253" i="10"/>
  <c r="M253" i="10" s="1"/>
  <c r="N253" i="10" s="1"/>
  <c r="J243" i="10"/>
  <c r="Z243" i="10"/>
  <c r="AA243" i="10" s="1"/>
  <c r="J194" i="10"/>
  <c r="AM194" i="10"/>
  <c r="AN192" i="10"/>
  <c r="I166" i="10"/>
  <c r="L166" i="10"/>
  <c r="AL166" i="10"/>
  <c r="CE166" i="10" s="1"/>
  <c r="L152" i="10"/>
  <c r="J152" i="10"/>
  <c r="L312" i="10"/>
  <c r="L319" i="10"/>
  <c r="M319" i="10" s="1"/>
  <c r="N319" i="10" s="1"/>
  <c r="J319" i="10"/>
  <c r="AL286" i="10"/>
  <c r="AM286" i="10"/>
  <c r="AN259" i="10"/>
  <c r="CG259" i="10" s="1"/>
  <c r="W213" i="10"/>
  <c r="AN213" i="10"/>
  <c r="AL185" i="10"/>
  <c r="I182" i="10"/>
  <c r="J182" i="10"/>
  <c r="AD182" i="10"/>
  <c r="AF182" i="10" s="1"/>
  <c r="AG182" i="10" s="1"/>
  <c r="AN182" i="10"/>
  <c r="Z182" i="10"/>
  <c r="AA182" i="10" s="1"/>
  <c r="AM182" i="10"/>
  <c r="L182" i="10"/>
  <c r="AN323" i="10"/>
  <c r="AN312" i="10"/>
  <c r="J311" i="10"/>
  <c r="AN309" i="10"/>
  <c r="AD269" i="10"/>
  <c r="AE269" i="10" s="1"/>
  <c r="AM323" i="10"/>
  <c r="AN322" i="10"/>
  <c r="AN308" i="10"/>
  <c r="CG308" i="10" s="1"/>
  <c r="J281" i="10"/>
  <c r="AN281" i="10"/>
  <c r="AD255" i="10"/>
  <c r="AE255" i="10" s="1"/>
  <c r="AN166" i="10"/>
  <c r="CG166" i="10" s="1"/>
  <c r="AM163" i="10"/>
  <c r="CF163" i="10" s="1"/>
  <c r="J157" i="10"/>
  <c r="AD157" i="10"/>
  <c r="AE157" i="10" s="1"/>
  <c r="L157" i="10"/>
  <c r="M157" i="10" s="1"/>
  <c r="N157" i="10" s="1"/>
  <c r="I145" i="10"/>
  <c r="L145" i="10"/>
  <c r="M145" i="10" s="1"/>
  <c r="N145" i="10" s="1"/>
  <c r="AN145" i="10"/>
  <c r="CG145" i="10" s="1"/>
  <c r="W145" i="10"/>
  <c r="N223" i="10"/>
  <c r="AM146" i="10"/>
  <c r="CF146" i="10" s="1"/>
  <c r="AE324" i="10"/>
  <c r="L320" i="10"/>
  <c r="M320" i="10" s="1"/>
  <c r="O320" i="10" s="1"/>
  <c r="AN315" i="10"/>
  <c r="CF304" i="10"/>
  <c r="AN289" i="10"/>
  <c r="J225" i="10"/>
  <c r="AN215" i="10"/>
  <c r="V215" i="10"/>
  <c r="Z203" i="10"/>
  <c r="AA203" i="10" s="1"/>
  <c r="J187" i="10"/>
  <c r="K187" i="10" s="1"/>
  <c r="AL183" i="10"/>
  <c r="L183" i="10"/>
  <c r="M183" i="10" s="1"/>
  <c r="O183" i="10" s="1"/>
  <c r="V146" i="10"/>
  <c r="AN144" i="10"/>
  <c r="CG144" i="10" s="1"/>
  <c r="V143" i="10"/>
  <c r="L142" i="10"/>
  <c r="L187" i="10"/>
  <c r="AL146" i="10"/>
  <c r="CE146" i="10" s="1"/>
  <c r="AA363" i="10"/>
  <c r="AA361" i="10"/>
  <c r="O363" i="10"/>
  <c r="AE363" i="10"/>
  <c r="L324" i="10"/>
  <c r="M324" i="10" s="1"/>
  <c r="N324" i="10" s="1"/>
  <c r="AD311" i="10"/>
  <c r="AE311" i="10" s="1"/>
  <c r="L311" i="10"/>
  <c r="M311" i="10" s="1"/>
  <c r="N311" i="10" s="1"/>
  <c r="L301" i="10"/>
  <c r="AM301" i="10"/>
  <c r="AN285" i="10"/>
  <c r="L249" i="10"/>
  <c r="M249" i="10" s="1"/>
  <c r="N249" i="10" s="1"/>
  <c r="AD249" i="10"/>
  <c r="AE249" i="10" s="1"/>
  <c r="AM236" i="10"/>
  <c r="AN196" i="10"/>
  <c r="AL180" i="10"/>
  <c r="I180" i="10"/>
  <c r="I169" i="10"/>
  <c r="L169" i="10"/>
  <c r="AN169" i="10"/>
  <c r="CG169" i="10" s="1"/>
  <c r="AL169" i="10"/>
  <c r="AL161" i="10"/>
  <c r="L158" i="10"/>
  <c r="M158" i="10" s="1"/>
  <c r="N158" i="10" s="1"/>
  <c r="L318" i="10"/>
  <c r="M318" i="10" s="1"/>
  <c r="N318" i="10" s="1"/>
  <c r="AD317" i="10"/>
  <c r="AE317" i="10" s="1"/>
  <c r="Z311" i="10"/>
  <c r="AA311" i="10" s="1"/>
  <c r="AM308" i="10"/>
  <c r="CF308" i="10" s="1"/>
  <c r="AM285" i="10"/>
  <c r="Z249" i="10"/>
  <c r="AA249" i="10" s="1"/>
  <c r="AD247" i="10"/>
  <c r="AE247" i="10" s="1"/>
  <c r="Z247" i="10"/>
  <c r="AA247" i="10" s="1"/>
  <c r="L241" i="10"/>
  <c r="M241" i="10" s="1"/>
  <c r="N241" i="10" s="1"/>
  <c r="AD241" i="10"/>
  <c r="AE241" i="10" s="1"/>
  <c r="AM240" i="10"/>
  <c r="CF240" i="10" s="1"/>
  <c r="AL240" i="10"/>
  <c r="CE240" i="10" s="1"/>
  <c r="AL213" i="10"/>
  <c r="V213" i="10"/>
  <c r="AM213" i="10"/>
  <c r="J199" i="10"/>
  <c r="I193" i="10"/>
  <c r="L193" i="10"/>
  <c r="AL193" i="10"/>
  <c r="AN193" i="10"/>
  <c r="I178" i="10"/>
  <c r="K178" i="10" s="1"/>
  <c r="AL178" i="10"/>
  <c r="L178" i="10"/>
  <c r="AN178" i="10"/>
  <c r="AN177" i="10"/>
  <c r="AL176" i="10"/>
  <c r="J174" i="10"/>
  <c r="L172" i="10"/>
  <c r="J154" i="10"/>
  <c r="N148" i="10"/>
  <c r="U144" i="10"/>
  <c r="V144" i="10"/>
  <c r="AD144" i="10"/>
  <c r="AF144" i="10" s="1"/>
  <c r="AG144" i="10" s="1"/>
  <c r="J144" i="10"/>
  <c r="X144" i="10"/>
  <c r="AM144" i="10"/>
  <c r="CF144" i="10" s="1"/>
  <c r="Z143" i="10"/>
  <c r="AB143" i="10" s="1"/>
  <c r="AM299" i="10"/>
  <c r="CF299" i="10" s="1"/>
  <c r="J285" i="10"/>
  <c r="AD273" i="10"/>
  <c r="AE273" i="10" s="1"/>
  <c r="L273" i="10"/>
  <c r="M273" i="10" s="1"/>
  <c r="N273" i="10" s="1"/>
  <c r="AD261" i="10"/>
  <c r="AE261" i="10" s="1"/>
  <c r="L251" i="10"/>
  <c r="M251" i="10" s="1"/>
  <c r="N251" i="10" s="1"/>
  <c r="AD251" i="10"/>
  <c r="AE251" i="10" s="1"/>
  <c r="J223" i="10"/>
  <c r="J180" i="10"/>
  <c r="AM180" i="10"/>
  <c r="AN179" i="10"/>
  <c r="AD156" i="10"/>
  <c r="AE156" i="10" s="1"/>
  <c r="L156" i="10"/>
  <c r="M156" i="10" s="1"/>
  <c r="N156" i="10" s="1"/>
  <c r="Z325" i="10"/>
  <c r="AA325" i="10" s="1"/>
  <c r="J323" i="10"/>
  <c r="AM312" i="10"/>
  <c r="L308" i="10"/>
  <c r="Z273" i="10"/>
  <c r="AA273" i="10" s="1"/>
  <c r="AD267" i="10"/>
  <c r="AE267" i="10" s="1"/>
  <c r="L267" i="10"/>
  <c r="M267" i="10" s="1"/>
  <c r="N267" i="10" s="1"/>
  <c r="Z251" i="10"/>
  <c r="AA251" i="10" s="1"/>
  <c r="L247" i="10"/>
  <c r="L243" i="10"/>
  <c r="M243" i="10" s="1"/>
  <c r="N243" i="10" s="1"/>
  <c r="AD243" i="10"/>
  <c r="AE243" i="10" s="1"/>
  <c r="J241" i="10"/>
  <c r="L240" i="10"/>
  <c r="L213" i="10"/>
  <c r="L203" i="10"/>
  <c r="M203" i="10" s="1"/>
  <c r="N203" i="10" s="1"/>
  <c r="AD203" i="10"/>
  <c r="AE203" i="10" s="1"/>
  <c r="L197" i="10"/>
  <c r="M197" i="10" s="1"/>
  <c r="N197" i="10" s="1"/>
  <c r="AD197" i="10"/>
  <c r="AE197" i="10" s="1"/>
  <c r="AL194" i="10"/>
  <c r="L194" i="10"/>
  <c r="AN180" i="10"/>
  <c r="L180" i="10"/>
  <c r="Z160" i="10"/>
  <c r="AA160" i="10" s="1"/>
  <c r="Z156" i="10"/>
  <c r="AA156" i="10" s="1"/>
  <c r="J150" i="10"/>
  <c r="U145" i="10"/>
  <c r="J145" i="10"/>
  <c r="X145" i="10"/>
  <c r="AM145" i="10"/>
  <c r="CF145" i="10" s="1"/>
  <c r="V145" i="10"/>
  <c r="AD145" i="10"/>
  <c r="AF145" i="10" s="1"/>
  <c r="AG145" i="10" s="1"/>
  <c r="J143" i="10"/>
  <c r="K143" i="10" s="1"/>
  <c r="W143" i="10"/>
  <c r="AD143" i="10"/>
  <c r="AF143" i="10" s="1"/>
  <c r="AG143" i="10" s="1"/>
  <c r="AN143" i="10"/>
  <c r="CG143" i="10" s="1"/>
  <c r="U143" i="10"/>
  <c r="Y143" i="10"/>
  <c r="AL143" i="10"/>
  <c r="CF274" i="10"/>
  <c r="N239" i="10"/>
  <c r="N231" i="10"/>
  <c r="J188" i="10"/>
  <c r="K188" i="10" s="1"/>
  <c r="L186" i="10"/>
  <c r="J184" i="10"/>
  <c r="N174" i="10"/>
  <c r="W292" i="10"/>
  <c r="AM289" i="10"/>
  <c r="X215" i="10"/>
  <c r="J192" i="10"/>
  <c r="AE171" i="10"/>
  <c r="AL167" i="10"/>
  <c r="CE167" i="10" s="1"/>
  <c r="L167" i="10"/>
  <c r="AM166" i="10"/>
  <c r="J166" i="10"/>
  <c r="J165" i="10"/>
  <c r="AA359" i="10"/>
  <c r="L303" i="10"/>
  <c r="AM303" i="10"/>
  <c r="L290" i="10"/>
  <c r="M290" i="10" s="1"/>
  <c r="AD245" i="10"/>
  <c r="J233" i="10"/>
  <c r="L233" i="10"/>
  <c r="M233" i="10" s="1"/>
  <c r="N233" i="10" s="1"/>
  <c r="L291" i="10"/>
  <c r="M291" i="10" s="1"/>
  <c r="N291" i="10" s="1"/>
  <c r="L288" i="10"/>
  <c r="AL288" i="10"/>
  <c r="AN287" i="10"/>
  <c r="J277" i="10"/>
  <c r="Z277" i="10"/>
  <c r="L275" i="10"/>
  <c r="L271" i="10"/>
  <c r="M271" i="10" s="1"/>
  <c r="AD271" i="10"/>
  <c r="AE271" i="10" s="1"/>
  <c r="J263" i="10"/>
  <c r="Z263" i="10"/>
  <c r="AA263" i="10" s="1"/>
  <c r="L263" i="10"/>
  <c r="M263" i="10" s="1"/>
  <c r="N263" i="10" s="1"/>
  <c r="AD263" i="10"/>
  <c r="AE263" i="10" s="1"/>
  <c r="J217" i="10"/>
  <c r="L217" i="10"/>
  <c r="M217" i="10" s="1"/>
  <c r="N217" i="10" s="1"/>
  <c r="J207" i="10"/>
  <c r="L207" i="10"/>
  <c r="I195" i="10"/>
  <c r="J195" i="10"/>
  <c r="AL195" i="10"/>
  <c r="L195" i="10"/>
  <c r="AM195" i="10"/>
  <c r="AL181" i="10"/>
  <c r="I181" i="10"/>
  <c r="Z181" i="10"/>
  <c r="AB181" i="10" s="1"/>
  <c r="AM181" i="10"/>
  <c r="J181" i="10"/>
  <c r="AD181" i="10"/>
  <c r="AE181" i="10" s="1"/>
  <c r="L181" i="10"/>
  <c r="M181" i="10" s="1"/>
  <c r="O181" i="10" s="1"/>
  <c r="L325" i="10"/>
  <c r="M325" i="10" s="1"/>
  <c r="N325" i="10" s="1"/>
  <c r="L321" i="10"/>
  <c r="AL321" i="10"/>
  <c r="L315" i="10"/>
  <c r="AL315" i="10"/>
  <c r="AN313" i="10"/>
  <c r="AN307" i="10"/>
  <c r="CG307" i="10" s="1"/>
  <c r="AD306" i="10"/>
  <c r="AE306" i="10" s="1"/>
  <c r="AN306" i="10"/>
  <c r="L304" i="10"/>
  <c r="L300" i="10"/>
  <c r="M300" i="10" s="1"/>
  <c r="N300" i="10" s="1"/>
  <c r="AM300" i="10"/>
  <c r="CF297" i="10"/>
  <c r="AM287" i="10"/>
  <c r="AM280" i="10"/>
  <c r="AD275" i="10"/>
  <c r="J257" i="10"/>
  <c r="Z257" i="10"/>
  <c r="AA257" i="10" s="1"/>
  <c r="L257" i="10"/>
  <c r="M257" i="10" s="1"/>
  <c r="AD257" i="10"/>
  <c r="AE257" i="10" s="1"/>
  <c r="L252" i="10"/>
  <c r="M252" i="10" s="1"/>
  <c r="N252" i="10" s="1"/>
  <c r="L248" i="10"/>
  <c r="M248" i="10" s="1"/>
  <c r="N248" i="10" s="1"/>
  <c r="J239" i="10"/>
  <c r="J235" i="10"/>
  <c r="L235" i="10"/>
  <c r="M235" i="10" s="1"/>
  <c r="N235" i="10" s="1"/>
  <c r="L232" i="10"/>
  <c r="M232" i="10" s="1"/>
  <c r="N232" i="10" s="1"/>
  <c r="J231" i="10"/>
  <c r="L198" i="10"/>
  <c r="M198" i="10" s="1"/>
  <c r="J173" i="10"/>
  <c r="L173" i="10"/>
  <c r="M173" i="10" s="1"/>
  <c r="N173" i="10" s="1"/>
  <c r="J162" i="10"/>
  <c r="L162" i="10"/>
  <c r="J245" i="10"/>
  <c r="L245" i="10"/>
  <c r="M245" i="10" s="1"/>
  <c r="N245" i="10" s="1"/>
  <c r="Z245" i="10"/>
  <c r="AA245" i="10" s="1"/>
  <c r="J237" i="10"/>
  <c r="J229" i="10"/>
  <c r="J211" i="10"/>
  <c r="L211" i="10"/>
  <c r="M211" i="10" s="1"/>
  <c r="L313" i="10"/>
  <c r="AL313" i="10"/>
  <c r="L307" i="10"/>
  <c r="AL307" i="10"/>
  <c r="CE307" i="10" s="1"/>
  <c r="L302" i="10"/>
  <c r="M302" i="10" s="1"/>
  <c r="N302" i="10" s="1"/>
  <c r="L295" i="10"/>
  <c r="M295" i="10" s="1"/>
  <c r="N295" i="10" s="1"/>
  <c r="L289" i="10"/>
  <c r="J283" i="10"/>
  <c r="Z283" i="10"/>
  <c r="AA283" i="10" s="1"/>
  <c r="J269" i="10"/>
  <c r="Z269" i="10"/>
  <c r="AA269" i="10" s="1"/>
  <c r="L323" i="10"/>
  <c r="AL323" i="10"/>
  <c r="L322" i="10"/>
  <c r="AD318" i="10"/>
  <c r="AE318" i="10" s="1"/>
  <c r="N317" i="10"/>
  <c r="AM313" i="10"/>
  <c r="J313" i="10"/>
  <c r="AM307" i="10"/>
  <c r="CF307" i="10" s="1"/>
  <c r="J307" i="10"/>
  <c r="AM293" i="10"/>
  <c r="CF293" i="10" s="1"/>
  <c r="J289" i="10"/>
  <c r="L285" i="10"/>
  <c r="L283" i="10"/>
  <c r="M283" i="10" s="1"/>
  <c r="L279" i="10"/>
  <c r="M279" i="10" s="1"/>
  <c r="N279" i="10" s="1"/>
  <c r="AD279" i="10"/>
  <c r="L277" i="10"/>
  <c r="M277" i="10" s="1"/>
  <c r="Z275" i="10"/>
  <c r="J271" i="10"/>
  <c r="L269" i="10"/>
  <c r="M269" i="10" s="1"/>
  <c r="N269" i="10" s="1"/>
  <c r="J261" i="10"/>
  <c r="Z261" i="10"/>
  <c r="AA261" i="10" s="1"/>
  <c r="J247" i="10"/>
  <c r="I191" i="10"/>
  <c r="J191" i="10"/>
  <c r="L191" i="10"/>
  <c r="AM191" i="10"/>
  <c r="AN191" i="10"/>
  <c r="I161" i="10"/>
  <c r="J161" i="10"/>
  <c r="AM161" i="10"/>
  <c r="L161" i="10"/>
  <c r="J155" i="10"/>
  <c r="L155" i="10"/>
  <c r="AM259" i="10"/>
  <c r="CF259" i="10" s="1"/>
  <c r="AL236" i="10"/>
  <c r="AN227" i="10"/>
  <c r="I196" i="10"/>
  <c r="L196" i="10"/>
  <c r="AL196" i="10"/>
  <c r="I185" i="10"/>
  <c r="J185" i="10"/>
  <c r="AM185" i="10"/>
  <c r="L185" i="10"/>
  <c r="AN185" i="10"/>
  <c r="I176" i="10"/>
  <c r="J176" i="10"/>
  <c r="AM176" i="10"/>
  <c r="L176" i="10"/>
  <c r="AN176" i="10"/>
  <c r="L164" i="10"/>
  <c r="I163" i="10"/>
  <c r="L163" i="10"/>
  <c r="AN163" i="10"/>
  <c r="CG163" i="10" s="1"/>
  <c r="J163" i="10"/>
  <c r="AL163" i="10"/>
  <c r="CE163" i="10" s="1"/>
  <c r="J160" i="10"/>
  <c r="AD160" i="10"/>
  <c r="AE160" i="10" s="1"/>
  <c r="L160" i="10"/>
  <c r="M160" i="10" s="1"/>
  <c r="N160" i="10" s="1"/>
  <c r="W146" i="10"/>
  <c r="AD146" i="10"/>
  <c r="AF146" i="10" s="1"/>
  <c r="AG146" i="10" s="1"/>
  <c r="AN146" i="10"/>
  <c r="CG146" i="10" s="1"/>
  <c r="I146" i="10"/>
  <c r="X146" i="10"/>
  <c r="J146" i="10"/>
  <c r="Y146" i="10"/>
  <c r="L146" i="10"/>
  <c r="M146" i="10" s="1"/>
  <c r="Z146" i="10"/>
  <c r="AB146" i="10" s="1"/>
  <c r="AC146" i="10" s="1"/>
  <c r="CF246" i="10"/>
  <c r="J213" i="10"/>
  <c r="X213" i="10"/>
  <c r="L202" i="10"/>
  <c r="M202" i="10" s="1"/>
  <c r="I194" i="10"/>
  <c r="AN194" i="10"/>
  <c r="I192" i="10"/>
  <c r="L192" i="10"/>
  <c r="AL192" i="10"/>
  <c r="I186" i="10"/>
  <c r="AL186" i="10"/>
  <c r="J186" i="10"/>
  <c r="AM186" i="10"/>
  <c r="I183" i="10"/>
  <c r="Z183" i="10"/>
  <c r="AA183" i="10" s="1"/>
  <c r="AM183" i="10"/>
  <c r="J183" i="10"/>
  <c r="AD183" i="10"/>
  <c r="AE183" i="10" s="1"/>
  <c r="AN183" i="10"/>
  <c r="I179" i="10"/>
  <c r="AL179" i="10"/>
  <c r="J179" i="10"/>
  <c r="AM179" i="10"/>
  <c r="I177" i="10"/>
  <c r="AL177" i="10"/>
  <c r="J177" i="10"/>
  <c r="AM177" i="10"/>
  <c r="BR145" i="10"/>
  <c r="AN190" i="10"/>
  <c r="AN189" i="10"/>
  <c r="AL187" i="10"/>
  <c r="AL184" i="10"/>
  <c r="Z172" i="10"/>
  <c r="AA172" i="10" s="1"/>
  <c r="AN165" i="10"/>
  <c r="CG165" i="10" s="1"/>
  <c r="J158" i="10"/>
  <c r="Z158" i="10"/>
  <c r="AA158" i="10" s="1"/>
  <c r="J153" i="10"/>
  <c r="L153" i="10"/>
  <c r="M153" i="10" s="1"/>
  <c r="N153" i="10" s="1"/>
  <c r="J151" i="10"/>
  <c r="L151" i="10"/>
  <c r="M151" i="10" s="1"/>
  <c r="N151" i="10" s="1"/>
  <c r="J149" i="10"/>
  <c r="L149" i="10"/>
  <c r="M149" i="10" s="1"/>
  <c r="N149" i="10" s="1"/>
  <c r="J148" i="10"/>
  <c r="Z171" i="10"/>
  <c r="AA171" i="10" s="1"/>
  <c r="I167" i="10"/>
  <c r="J167" i="10"/>
  <c r="AM167" i="10"/>
  <c r="CF167" i="10" s="1"/>
  <c r="I165" i="10"/>
  <c r="AL165" i="10"/>
  <c r="AL145" i="10"/>
  <c r="Y145" i="10"/>
  <c r="AL144" i="10"/>
  <c r="Y144" i="10"/>
  <c r="AA157" i="10"/>
  <c r="AZ359" i="10"/>
  <c r="N359" i="10"/>
  <c r="AE357" i="10"/>
  <c r="AF361" i="10"/>
  <c r="AG361" i="10" s="1"/>
  <c r="AE361" i="10"/>
  <c r="CK355" i="10"/>
  <c r="N353" i="10"/>
  <c r="O353" i="10"/>
  <c r="AZ363" i="10"/>
  <c r="N361" i="10"/>
  <c r="O361" i="10"/>
  <c r="AE359" i="10"/>
  <c r="AE353" i="10"/>
  <c r="AF353" i="10"/>
  <c r="AG353" i="10" s="1"/>
  <c r="AB357" i="10"/>
  <c r="AA357" i="10"/>
  <c r="CK357" i="10"/>
  <c r="AZ357" i="10"/>
  <c r="N355" i="10"/>
  <c r="N316" i="10"/>
  <c r="O144" i="10"/>
  <c r="CK144" i="10" s="1"/>
  <c r="N144" i="10"/>
  <c r="N175" i="10"/>
  <c r="N219" i="10"/>
  <c r="N225" i="10"/>
  <c r="P359" i="10"/>
  <c r="Q359" i="10" s="1"/>
  <c r="P357" i="10"/>
  <c r="Q357" i="10" s="1"/>
  <c r="AA355" i="10"/>
  <c r="AA353" i="10"/>
  <c r="N150" i="10"/>
  <c r="AC361" i="10"/>
  <c r="BR361" i="10"/>
  <c r="CM361" i="10"/>
  <c r="CK352" i="10"/>
  <c r="P352" i="10"/>
  <c r="AY352" i="10"/>
  <c r="AC355" i="10"/>
  <c r="CM355" i="10"/>
  <c r="BR355" i="10"/>
  <c r="AC353" i="10"/>
  <c r="CM353" i="10"/>
  <c r="BR353" i="10"/>
  <c r="AC363" i="10"/>
  <c r="BR363" i="10"/>
  <c r="CM363" i="10"/>
  <c r="O360" i="10"/>
  <c r="N360" i="10"/>
  <c r="AC359" i="10"/>
  <c r="BR359" i="10"/>
  <c r="CM359" i="10"/>
  <c r="N292" i="10"/>
  <c r="O292" i="10"/>
  <c r="I299" i="10"/>
  <c r="J299" i="10"/>
  <c r="Z299" i="10"/>
  <c r="AL299" i="10"/>
  <c r="CE299" i="10" s="1"/>
  <c r="AD299" i="10"/>
  <c r="J298" i="10"/>
  <c r="Z298" i="10"/>
  <c r="AD298" i="10"/>
  <c r="I297" i="10"/>
  <c r="Z297" i="10"/>
  <c r="J297" i="10"/>
  <c r="AD297" i="10"/>
  <c r="AL297" i="10"/>
  <c r="CE297" i="10" s="1"/>
  <c r="AD296" i="10"/>
  <c r="J296" i="10"/>
  <c r="Z296" i="10"/>
  <c r="W293" i="10"/>
  <c r="N244" i="10"/>
  <c r="N228" i="10"/>
  <c r="N224" i="10"/>
  <c r="J214" i="10"/>
  <c r="I364" i="10"/>
  <c r="U364" i="10"/>
  <c r="Y364" i="10"/>
  <c r="I362" i="10"/>
  <c r="U362" i="10"/>
  <c r="Y362" i="10"/>
  <c r="CI358" i="10"/>
  <c r="I358" i="10"/>
  <c r="U358" i="10"/>
  <c r="Y358" i="10"/>
  <c r="CI356" i="10"/>
  <c r="I356" i="10"/>
  <c r="U356" i="10"/>
  <c r="Y356" i="10"/>
  <c r="AZ355" i="10"/>
  <c r="I354" i="10"/>
  <c r="U354" i="10"/>
  <c r="Y354" i="10"/>
  <c r="I322" i="10"/>
  <c r="I320" i="10"/>
  <c r="I314" i="10"/>
  <c r="I312" i="10"/>
  <c r="I310" i="10"/>
  <c r="I308" i="10"/>
  <c r="I306" i="10"/>
  <c r="L305" i="10"/>
  <c r="L299" i="10"/>
  <c r="L298" i="10"/>
  <c r="L297" i="10"/>
  <c r="L296" i="10"/>
  <c r="M296" i="10" s="1"/>
  <c r="L294" i="10"/>
  <c r="M294" i="10" s="1"/>
  <c r="AD284" i="10"/>
  <c r="J284" i="10"/>
  <c r="Z284" i="10"/>
  <c r="AD282" i="10"/>
  <c r="Z282" i="10"/>
  <c r="J282" i="10"/>
  <c r="I280" i="10"/>
  <c r="AN280" i="10"/>
  <c r="J280" i="10"/>
  <c r="AA279" i="10"/>
  <c r="AD278" i="10"/>
  <c r="J278" i="10"/>
  <c r="Z278" i="10"/>
  <c r="AD276" i="10"/>
  <c r="J276" i="10"/>
  <c r="Z276" i="10"/>
  <c r="I274" i="10"/>
  <c r="AD274" i="10"/>
  <c r="AN274" i="10"/>
  <c r="CG274" i="10" s="1"/>
  <c r="J274" i="10"/>
  <c r="Z274" i="10"/>
  <c r="AD272" i="10"/>
  <c r="J272" i="10"/>
  <c r="Z272" i="10"/>
  <c r="AA271" i="10"/>
  <c r="AD270" i="10"/>
  <c r="J270" i="10"/>
  <c r="Z270" i="10"/>
  <c r="AD268" i="10"/>
  <c r="J268" i="10"/>
  <c r="Z268" i="10"/>
  <c r="AA267" i="10"/>
  <c r="AD266" i="10"/>
  <c r="J266" i="10"/>
  <c r="Z266" i="10"/>
  <c r="AA265" i="10"/>
  <c r="AD264" i="10"/>
  <c r="J264" i="10"/>
  <c r="Z264" i="10"/>
  <c r="AD262" i="10"/>
  <c r="J262" i="10"/>
  <c r="Z262" i="10"/>
  <c r="AD260" i="10"/>
  <c r="J260" i="10"/>
  <c r="Z260" i="10"/>
  <c r="AD258" i="10"/>
  <c r="J258" i="10"/>
  <c r="Z258" i="10"/>
  <c r="AD256" i="10"/>
  <c r="J256" i="10"/>
  <c r="Z256" i="10"/>
  <c r="AD254" i="10"/>
  <c r="J254" i="10"/>
  <c r="Z254" i="10"/>
  <c r="AD250" i="10"/>
  <c r="J250" i="10"/>
  <c r="Z250" i="10"/>
  <c r="I246" i="10"/>
  <c r="AD246" i="10"/>
  <c r="AN246" i="10"/>
  <c r="CG246" i="10" s="1"/>
  <c r="J246" i="10"/>
  <c r="Z246" i="10"/>
  <c r="AD242" i="10"/>
  <c r="J242" i="10"/>
  <c r="Z242" i="10"/>
  <c r="J238" i="10"/>
  <c r="N237" i="10"/>
  <c r="J234" i="10"/>
  <c r="J230" i="10"/>
  <c r="N229" i="10"/>
  <c r="J226" i="10"/>
  <c r="J222" i="10"/>
  <c r="N221" i="10"/>
  <c r="J218" i="10"/>
  <c r="J212" i="10"/>
  <c r="AD204" i="10"/>
  <c r="J204" i="10"/>
  <c r="Z204" i="10"/>
  <c r="I304" i="10"/>
  <c r="J304" i="10"/>
  <c r="AL304" i="10"/>
  <c r="I303" i="10"/>
  <c r="J303" i="10"/>
  <c r="AL303" i="10"/>
  <c r="J302" i="10"/>
  <c r="I301" i="10"/>
  <c r="AL301" i="10"/>
  <c r="J301" i="10"/>
  <c r="I300" i="10"/>
  <c r="AD300" i="10"/>
  <c r="AL300" i="10"/>
  <c r="J300" i="10"/>
  <c r="Z300" i="10"/>
  <c r="J295" i="10"/>
  <c r="AD295" i="10"/>
  <c r="Z295" i="10"/>
  <c r="I293" i="10"/>
  <c r="U293" i="10"/>
  <c r="Y293" i="10"/>
  <c r="V293" i="10"/>
  <c r="AL293" i="10"/>
  <c r="CE293" i="10" s="1"/>
  <c r="J293" i="10"/>
  <c r="I292" i="10"/>
  <c r="U292" i="10"/>
  <c r="Y292" i="10"/>
  <c r="J292" i="10"/>
  <c r="V292" i="10"/>
  <c r="AD292" i="10"/>
  <c r="AL292" i="10"/>
  <c r="Z291" i="10"/>
  <c r="J291" i="10"/>
  <c r="V291" i="10"/>
  <c r="AD291" i="10"/>
  <c r="AD290" i="10"/>
  <c r="J290" i="10"/>
  <c r="V290" i="10"/>
  <c r="Z290" i="10"/>
  <c r="I288" i="10"/>
  <c r="AN288" i="10"/>
  <c r="J288" i="10"/>
  <c r="N236" i="10"/>
  <c r="O236" i="10"/>
  <c r="N220" i="10"/>
  <c r="N210" i="10"/>
  <c r="J206" i="10"/>
  <c r="CI364" i="10"/>
  <c r="L364" i="10"/>
  <c r="M364" i="10" s="1"/>
  <c r="CI360" i="10"/>
  <c r="I360" i="10"/>
  <c r="U360" i="10"/>
  <c r="Y360" i="10"/>
  <c r="L358" i="10"/>
  <c r="M358" i="10" s="1"/>
  <c r="CI354" i="10"/>
  <c r="L354" i="10"/>
  <c r="M354" i="10" s="1"/>
  <c r="AL364" i="10"/>
  <c r="CE364" i="10" s="1"/>
  <c r="AL362" i="10"/>
  <c r="AO361" i="10"/>
  <c r="AL360" i="10"/>
  <c r="CE360" i="10" s="1"/>
  <c r="AY359" i="10"/>
  <c r="AO359" i="10"/>
  <c r="AF358" i="10"/>
  <c r="AG358" i="10" s="1"/>
  <c r="V358" i="10"/>
  <c r="AY357" i="10"/>
  <c r="AL356" i="10"/>
  <c r="CE356" i="10" s="1"/>
  <c r="AO355" i="10"/>
  <c r="AF354" i="10"/>
  <c r="AG354" i="10" s="1"/>
  <c r="V354" i="10"/>
  <c r="AO353" i="10"/>
  <c r="AF352" i="10"/>
  <c r="AG352" i="10" s="1"/>
  <c r="AL322" i="10"/>
  <c r="AL314" i="10"/>
  <c r="AL312" i="10"/>
  <c r="AL310" i="10"/>
  <c r="AL308" i="10"/>
  <c r="AL306" i="10"/>
  <c r="I286" i="10"/>
  <c r="AN286" i="10"/>
  <c r="J286" i="10"/>
  <c r="L284" i="10"/>
  <c r="M284" i="10" s="1"/>
  <c r="L282" i="10"/>
  <c r="M282" i="10" s="1"/>
  <c r="L280" i="10"/>
  <c r="L278" i="10"/>
  <c r="M278" i="10" s="1"/>
  <c r="L276" i="10"/>
  <c r="M276" i="10" s="1"/>
  <c r="L274" i="10"/>
  <c r="L272" i="10"/>
  <c r="M272" i="10" s="1"/>
  <c r="L270" i="10"/>
  <c r="M270" i="10" s="1"/>
  <c r="L268" i="10"/>
  <c r="M268" i="10" s="1"/>
  <c r="L266" i="10"/>
  <c r="M266" i="10" s="1"/>
  <c r="L264" i="10"/>
  <c r="M264" i="10" s="1"/>
  <c r="L262" i="10"/>
  <c r="M262" i="10" s="1"/>
  <c r="L260" i="10"/>
  <c r="L258" i="10"/>
  <c r="L256" i="10"/>
  <c r="L254" i="10"/>
  <c r="M254" i="10" s="1"/>
  <c r="AA253" i="10"/>
  <c r="L250" i="10"/>
  <c r="M250" i="10" s="1"/>
  <c r="L246" i="10"/>
  <c r="L242" i="10"/>
  <c r="M242" i="10" s="1"/>
  <c r="AA241" i="10"/>
  <c r="L238" i="10"/>
  <c r="M238" i="10" s="1"/>
  <c r="L234" i="10"/>
  <c r="M234" i="10" s="1"/>
  <c r="L230" i="10"/>
  <c r="M230" i="10" s="1"/>
  <c r="L226" i="10"/>
  <c r="M226" i="10" s="1"/>
  <c r="L222" i="10"/>
  <c r="M222" i="10" s="1"/>
  <c r="L218" i="10"/>
  <c r="M218" i="10" s="1"/>
  <c r="L214" i="10"/>
  <c r="M214" i="10" s="1"/>
  <c r="J210" i="10"/>
  <c r="L206" i="10"/>
  <c r="AD202" i="10"/>
  <c r="J202" i="10"/>
  <c r="Z202" i="10"/>
  <c r="N352" i="10"/>
  <c r="I305" i="10"/>
  <c r="J305" i="10"/>
  <c r="AL305" i="10"/>
  <c r="J294" i="10"/>
  <c r="N216" i="10"/>
  <c r="CI362" i="10"/>
  <c r="L362" i="10"/>
  <c r="M362" i="10" s="1"/>
  <c r="W356" i="10"/>
  <c r="L356" i="10"/>
  <c r="M356" i="10" s="1"/>
  <c r="W354" i="10"/>
  <c r="CI352" i="10"/>
  <c r="I352" i="10"/>
  <c r="U352" i="10"/>
  <c r="Y352" i="10"/>
  <c r="AF364" i="10"/>
  <c r="AG364" i="10" s="1"/>
  <c r="V364" i="10"/>
  <c r="AF362" i="10"/>
  <c r="AG362" i="10" s="1"/>
  <c r="V362" i="10"/>
  <c r="V360" i="10"/>
  <c r="AL358" i="10"/>
  <c r="CE358" i="10" s="1"/>
  <c r="AF356" i="10"/>
  <c r="AG356" i="10" s="1"/>
  <c r="V356" i="10"/>
  <c r="AL354" i="10"/>
  <c r="CE354" i="10" s="1"/>
  <c r="AL352" i="10"/>
  <c r="CE352" i="10" s="1"/>
  <c r="V352" i="10"/>
  <c r="AL320" i="10"/>
  <c r="Z364" i="10"/>
  <c r="J364" i="10"/>
  <c r="CI363" i="10"/>
  <c r="I363" i="10"/>
  <c r="U363" i="10"/>
  <c r="Y363" i="10"/>
  <c r="Z362" i="10"/>
  <c r="J362" i="10"/>
  <c r="CI361" i="10"/>
  <c r="I361" i="10"/>
  <c r="U361" i="10"/>
  <c r="Y361" i="10"/>
  <c r="Z360" i="10"/>
  <c r="J360" i="10"/>
  <c r="CI359" i="10"/>
  <c r="I359" i="10"/>
  <c r="U359" i="10"/>
  <c r="Y359" i="10"/>
  <c r="Z358" i="10"/>
  <c r="J358" i="10"/>
  <c r="CI357" i="10"/>
  <c r="I357" i="10"/>
  <c r="U357" i="10"/>
  <c r="Y357" i="10"/>
  <c r="Z356" i="10"/>
  <c r="J356" i="10"/>
  <c r="CI355" i="10"/>
  <c r="I355" i="10"/>
  <c r="U355" i="10"/>
  <c r="Y355" i="10"/>
  <c r="Z354" i="10"/>
  <c r="J354" i="10"/>
  <c r="CI353" i="10"/>
  <c r="I353" i="10"/>
  <c r="U353" i="10"/>
  <c r="Y353" i="10"/>
  <c r="AZ352" i="10"/>
  <c r="Z352" i="10"/>
  <c r="J352" i="10"/>
  <c r="Z324" i="10"/>
  <c r="J324" i="10"/>
  <c r="I323" i="10"/>
  <c r="J322" i="10"/>
  <c r="I321" i="10"/>
  <c r="J320" i="10"/>
  <c r="Z318" i="10"/>
  <c r="J318" i="10"/>
  <c r="J316" i="10"/>
  <c r="I315" i="10"/>
  <c r="J314" i="10"/>
  <c r="I313" i="10"/>
  <c r="J312" i="10"/>
  <c r="J310" i="10"/>
  <c r="I309" i="10"/>
  <c r="J308" i="10"/>
  <c r="I307" i="10"/>
  <c r="Z306" i="10"/>
  <c r="J306" i="10"/>
  <c r="AN305" i="10"/>
  <c r="AN304" i="10"/>
  <c r="CG304" i="10" s="1"/>
  <c r="AN303" i="10"/>
  <c r="AN301" i="10"/>
  <c r="AN300" i="10"/>
  <c r="AN299" i="10"/>
  <c r="CG299" i="10" s="1"/>
  <c r="AN297" i="10"/>
  <c r="CG297" i="10" s="1"/>
  <c r="AN293" i="10"/>
  <c r="CG293" i="10" s="1"/>
  <c r="X293" i="10"/>
  <c r="AN292" i="10"/>
  <c r="X292" i="10"/>
  <c r="X291" i="10"/>
  <c r="X290" i="10"/>
  <c r="AM288" i="10"/>
  <c r="L286" i="10"/>
  <c r="AE283" i="10"/>
  <c r="AE277" i="10"/>
  <c r="N261" i="10"/>
  <c r="AD252" i="10"/>
  <c r="J252" i="10"/>
  <c r="Z252" i="10"/>
  <c r="AD248" i="10"/>
  <c r="J248" i="10"/>
  <c r="Z248" i="10"/>
  <c r="AD244" i="10"/>
  <c r="J244" i="10"/>
  <c r="Z244" i="10"/>
  <c r="I240" i="10"/>
  <c r="AN240" i="10"/>
  <c r="CG240" i="10" s="1"/>
  <c r="J240" i="10"/>
  <c r="I236" i="10"/>
  <c r="AN236" i="10"/>
  <c r="J236" i="10"/>
  <c r="J232" i="10"/>
  <c r="J228" i="10"/>
  <c r="J224" i="10"/>
  <c r="J220" i="10"/>
  <c r="J216" i="10"/>
  <c r="L212" i="10"/>
  <c r="M212" i="10" s="1"/>
  <c r="I208" i="10"/>
  <c r="AN208" i="10"/>
  <c r="CG208" i="10" s="1"/>
  <c r="J208" i="10"/>
  <c r="AL208" i="10"/>
  <c r="CE208" i="10" s="1"/>
  <c r="L204" i="10"/>
  <c r="M204" i="10" s="1"/>
  <c r="AD198" i="10"/>
  <c r="AE172" i="10"/>
  <c r="CI143" i="10"/>
  <c r="I287" i="10"/>
  <c r="I281" i="10"/>
  <c r="I227" i="10"/>
  <c r="I215" i="10"/>
  <c r="U215" i="10"/>
  <c r="Y215" i="10"/>
  <c r="I213" i="10"/>
  <c r="U213" i="10"/>
  <c r="Y213" i="10"/>
  <c r="Z198" i="10"/>
  <c r="CI145" i="10"/>
  <c r="I289" i="10"/>
  <c r="L287" i="10"/>
  <c r="I285" i="10"/>
  <c r="AM281" i="10"/>
  <c r="L281" i="10"/>
  <c r="I259" i="10"/>
  <c r="AL289" i="10"/>
  <c r="AL287" i="10"/>
  <c r="AL285" i="10"/>
  <c r="AL281" i="10"/>
  <c r="AL259" i="10"/>
  <c r="J200" i="10"/>
  <c r="J198" i="10"/>
  <c r="AE158" i="10"/>
  <c r="CI146" i="10"/>
  <c r="AC145" i="10"/>
  <c r="CM145" i="10"/>
  <c r="CI144" i="10"/>
  <c r="AA145" i="10"/>
  <c r="CE357" i="10" l="1"/>
  <c r="AO357" i="10"/>
  <c r="CF363" i="10"/>
  <c r="AO363" i="10"/>
  <c r="AE360" i="10"/>
  <c r="AF360" i="10"/>
  <c r="AG360" i="10" s="1"/>
  <c r="AF355" i="10"/>
  <c r="AG355" i="10" s="1"/>
  <c r="AE355" i="10"/>
  <c r="P355" i="10"/>
  <c r="Q355" i="10" s="1"/>
  <c r="AY355" i="10"/>
  <c r="AO143" i="10"/>
  <c r="T357" i="10"/>
  <c r="AO274" i="10"/>
  <c r="AO215" i="10"/>
  <c r="AO193" i="10"/>
  <c r="CK363" i="10"/>
  <c r="AO356" i="10"/>
  <c r="K144" i="10"/>
  <c r="R357" i="10"/>
  <c r="AO188" i="10"/>
  <c r="AY363" i="10"/>
  <c r="O143" i="10"/>
  <c r="AY143" i="10" s="1"/>
  <c r="P363" i="10"/>
  <c r="Q363" i="10" s="1"/>
  <c r="BR143" i="10"/>
  <c r="AA181" i="10"/>
  <c r="CE246" i="10"/>
  <c r="AZ144" i="10"/>
  <c r="AY144" i="10"/>
  <c r="AB183" i="10"/>
  <c r="AO165" i="10"/>
  <c r="AO191" i="10"/>
  <c r="AO190" i="10"/>
  <c r="AE259" i="10"/>
  <c r="AO169" i="10"/>
  <c r="K193" i="10"/>
  <c r="P306" i="10"/>
  <c r="Q306" i="10" s="1"/>
  <c r="AO227" i="10"/>
  <c r="AB144" i="10"/>
  <c r="N306" i="10"/>
  <c r="N183" i="10"/>
  <c r="AE143" i="10"/>
  <c r="AA259" i="10"/>
  <c r="AA146" i="10"/>
  <c r="K196" i="10"/>
  <c r="N320" i="10"/>
  <c r="AO144" i="10"/>
  <c r="AO189" i="10"/>
  <c r="O145" i="10"/>
  <c r="AY145" i="10" s="1"/>
  <c r="AO195" i="10"/>
  <c r="AO146" i="10"/>
  <c r="AO182" i="10"/>
  <c r="CE169" i="10"/>
  <c r="AB182" i="10"/>
  <c r="AO196" i="10"/>
  <c r="K184" i="10"/>
  <c r="K145" i="10"/>
  <c r="AO178" i="10"/>
  <c r="K182" i="10"/>
  <c r="AE182" i="10"/>
  <c r="AO240" i="10"/>
  <c r="AO286" i="10"/>
  <c r="AO213" i="10"/>
  <c r="N309" i="10"/>
  <c r="AO166" i="10"/>
  <c r="K166" i="10"/>
  <c r="AO309" i="10"/>
  <c r="AO323" i="10"/>
  <c r="AO184" i="10"/>
  <c r="AO185" i="10"/>
  <c r="AO177" i="10"/>
  <c r="AO307" i="10"/>
  <c r="AF181" i="10"/>
  <c r="AG181" i="10" s="1"/>
  <c r="AY361" i="10"/>
  <c r="N181" i="10"/>
  <c r="K180" i="10"/>
  <c r="K181" i="10"/>
  <c r="K177" i="10"/>
  <c r="CE144" i="10"/>
  <c r="CE165" i="10"/>
  <c r="K169" i="10"/>
  <c r="CF166" i="10"/>
  <c r="AO161" i="10"/>
  <c r="S355" i="10"/>
  <c r="K165" i="10"/>
  <c r="AO180" i="10"/>
  <c r="CE143" i="10"/>
  <c r="AO176" i="10"/>
  <c r="AE145" i="10"/>
  <c r="AO288" i="10"/>
  <c r="S357" i="10"/>
  <c r="K191" i="10"/>
  <c r="AF306" i="10"/>
  <c r="AG306" i="10" s="1"/>
  <c r="AO321" i="10"/>
  <c r="K194" i="10"/>
  <c r="K185" i="10"/>
  <c r="AA143" i="10"/>
  <c r="AE144" i="10"/>
  <c r="AO194" i="10"/>
  <c r="AC143" i="10"/>
  <c r="K183" i="10"/>
  <c r="AF183" i="10"/>
  <c r="AG183" i="10" s="1"/>
  <c r="AO293" i="10"/>
  <c r="K186" i="10"/>
  <c r="K179" i="10"/>
  <c r="AO167" i="10"/>
  <c r="AO181" i="10"/>
  <c r="CM143" i="10"/>
  <c r="AO187" i="10"/>
  <c r="AO236" i="10"/>
  <c r="AO280" i="10"/>
  <c r="AO179" i="10"/>
  <c r="K192" i="10"/>
  <c r="AO192" i="10"/>
  <c r="T355" i="10"/>
  <c r="AO163" i="10"/>
  <c r="AO183" i="10"/>
  <c r="K146" i="10"/>
  <c r="K167" i="10"/>
  <c r="AC357" i="10"/>
  <c r="K195" i="10"/>
  <c r="K163" i="10"/>
  <c r="N277" i="10"/>
  <c r="P309" i="10"/>
  <c r="AO313" i="10"/>
  <c r="AO292" i="10"/>
  <c r="AO145" i="10"/>
  <c r="CE145" i="10"/>
  <c r="N290" i="10"/>
  <c r="K161" i="10"/>
  <c r="K176" i="10"/>
  <c r="AE275" i="10"/>
  <c r="N202" i="10"/>
  <c r="N283" i="10"/>
  <c r="AO315" i="10"/>
  <c r="AA277" i="10"/>
  <c r="CM146" i="10"/>
  <c r="BR146" i="10"/>
  <c r="AA275" i="10"/>
  <c r="N257" i="10"/>
  <c r="AC181" i="10"/>
  <c r="AE245" i="10"/>
  <c r="AE146" i="10"/>
  <c r="AO186" i="10"/>
  <c r="AE279" i="10"/>
  <c r="O300" i="10"/>
  <c r="P300" i="10" s="1"/>
  <c r="O146" i="10"/>
  <c r="N146" i="10"/>
  <c r="N211" i="10"/>
  <c r="N271" i="10"/>
  <c r="P320" i="10"/>
  <c r="T320" i="10" s="1"/>
  <c r="N198" i="10"/>
  <c r="AO303" i="10"/>
  <c r="AO301" i="10"/>
  <c r="CE304" i="10"/>
  <c r="AO304" i="10"/>
  <c r="AO297" i="10"/>
  <c r="AO299" i="10"/>
  <c r="P361" i="10"/>
  <c r="CK353" i="10"/>
  <c r="AZ353" i="10"/>
  <c r="P353" i="10"/>
  <c r="S359" i="10"/>
  <c r="AY353" i="10"/>
  <c r="CM357" i="10"/>
  <c r="AO208" i="10"/>
  <c r="AO314" i="10"/>
  <c r="BR357" i="10"/>
  <c r="P144" i="10"/>
  <c r="R359" i="10"/>
  <c r="T359" i="10"/>
  <c r="CK361" i="10"/>
  <c r="AZ361" i="10"/>
  <c r="AO281" i="10"/>
  <c r="AO300" i="10"/>
  <c r="CE259" i="10"/>
  <c r="AO259" i="10"/>
  <c r="AO306" i="10"/>
  <c r="AO312" i="10"/>
  <c r="K213" i="10"/>
  <c r="K215" i="10"/>
  <c r="N212" i="10"/>
  <c r="AA248" i="10"/>
  <c r="N214" i="10"/>
  <c r="N242" i="10"/>
  <c r="CE362" i="10"/>
  <c r="AO362" i="10"/>
  <c r="O354" i="10"/>
  <c r="N354" i="10"/>
  <c r="O358" i="10"/>
  <c r="N358" i="10"/>
  <c r="K303" i="10"/>
  <c r="K281" i="10"/>
  <c r="K240" i="10"/>
  <c r="O356" i="10"/>
  <c r="N356" i="10"/>
  <c r="N238" i="10"/>
  <c r="CE308" i="10"/>
  <c r="AO308" i="10"/>
  <c r="K293" i="10"/>
  <c r="AO364" i="10"/>
  <c r="AA250" i="10"/>
  <c r="AA256" i="10"/>
  <c r="AA260" i="10"/>
  <c r="AA264" i="10"/>
  <c r="AA268" i="10"/>
  <c r="AA272" i="10"/>
  <c r="AA276" i="10"/>
  <c r="AO285" i="10"/>
  <c r="P183" i="10"/>
  <c r="K236" i="10"/>
  <c r="AA244" i="10"/>
  <c r="K307" i="10"/>
  <c r="K309" i="10"/>
  <c r="K313" i="10"/>
  <c r="K315" i="10"/>
  <c r="N234" i="10"/>
  <c r="K286" i="10"/>
  <c r="AF292" i="10"/>
  <c r="AG292" i="10" s="1"/>
  <c r="AE292" i="10"/>
  <c r="K292" i="10"/>
  <c r="AA300" i="10"/>
  <c r="AB300" i="10"/>
  <c r="K301" i="10"/>
  <c r="AC259" i="10"/>
  <c r="BR259" i="10"/>
  <c r="AO289" i="10"/>
  <c r="K285" i="10"/>
  <c r="K289" i="10"/>
  <c r="AA252" i="10"/>
  <c r="AO305" i="10"/>
  <c r="P181" i="10"/>
  <c r="K288" i="10"/>
  <c r="AA290" i="10"/>
  <c r="AE291" i="10"/>
  <c r="AA204" i="10"/>
  <c r="AE246" i="10"/>
  <c r="AF246" i="10"/>
  <c r="AG246" i="10" s="1"/>
  <c r="AA254" i="10"/>
  <c r="AA258" i="10"/>
  <c r="AA262" i="10"/>
  <c r="AA266" i="10"/>
  <c r="AA270" i="10"/>
  <c r="AA274" i="10"/>
  <c r="AB274" i="10"/>
  <c r="AA278" i="10"/>
  <c r="AA284" i="10"/>
  <c r="K314" i="10"/>
  <c r="K354" i="10"/>
  <c r="K364" i="10"/>
  <c r="AA296" i="10"/>
  <c r="AE296" i="10"/>
  <c r="AF297" i="10"/>
  <c r="AG297" i="10" s="1"/>
  <c r="AE297" i="10"/>
  <c r="AE298" i="10"/>
  <c r="P292" i="10"/>
  <c r="CK360" i="10"/>
  <c r="AY360" i="10"/>
  <c r="P360" i="10"/>
  <c r="AA198" i="10"/>
  <c r="K287" i="10"/>
  <c r="AE198" i="10"/>
  <c r="N204" i="10"/>
  <c r="AE244" i="10"/>
  <c r="AE248" i="10"/>
  <c r="AE252" i="10"/>
  <c r="AO287" i="10"/>
  <c r="AA306" i="10"/>
  <c r="AB306" i="10"/>
  <c r="AA318" i="10"/>
  <c r="AA324" i="10"/>
  <c r="AA352" i="10"/>
  <c r="AB352" i="10"/>
  <c r="AA354" i="10"/>
  <c r="AB354" i="10"/>
  <c r="AB356" i="10"/>
  <c r="AA356" i="10"/>
  <c r="AA358" i="10"/>
  <c r="AB358" i="10"/>
  <c r="AA360" i="10"/>
  <c r="AB360" i="10"/>
  <c r="AB362" i="10"/>
  <c r="AA362" i="10"/>
  <c r="AA364" i="10"/>
  <c r="AB364" i="10"/>
  <c r="K352" i="10"/>
  <c r="AO358" i="10"/>
  <c r="N218" i="10"/>
  <c r="N282" i="10"/>
  <c r="N284" i="10"/>
  <c r="K360" i="10"/>
  <c r="O364" i="10"/>
  <c r="N364" i="10"/>
  <c r="AE290" i="10"/>
  <c r="AA291" i="10"/>
  <c r="AE295" i="10"/>
  <c r="K300" i="10"/>
  <c r="AO322" i="10"/>
  <c r="AE242" i="10"/>
  <c r="AA246" i="10"/>
  <c r="AB246" i="10"/>
  <c r="AE282" i="10"/>
  <c r="AE284" i="10"/>
  <c r="N296" i="10"/>
  <c r="K312" i="10"/>
  <c r="K320" i="10"/>
  <c r="K322" i="10"/>
  <c r="AA297" i="10"/>
  <c r="AB297" i="10"/>
  <c r="AA298" i="10"/>
  <c r="K321" i="10"/>
  <c r="K323" i="10"/>
  <c r="K353" i="10"/>
  <c r="K355" i="10"/>
  <c r="K357" i="10"/>
  <c r="K359" i="10"/>
  <c r="K361" i="10"/>
  <c r="K363" i="10"/>
  <c r="AE202" i="10"/>
  <c r="N222" i="10"/>
  <c r="N250" i="10"/>
  <c r="P236" i="10"/>
  <c r="AA295" i="10"/>
  <c r="AF300" i="10"/>
  <c r="AG300" i="10" s="1"/>
  <c r="AE300" i="10"/>
  <c r="AO310" i="10"/>
  <c r="AA242" i="10"/>
  <c r="K274" i="10"/>
  <c r="K280" i="10"/>
  <c r="N294" i="10"/>
  <c r="K310" i="10"/>
  <c r="K356" i="10"/>
  <c r="K358" i="10"/>
  <c r="K362" i="10"/>
  <c r="AF299" i="10"/>
  <c r="AG299" i="10" s="1"/>
  <c r="AE299" i="10"/>
  <c r="AO354" i="10"/>
  <c r="K259" i="10"/>
  <c r="K227" i="10"/>
  <c r="K208" i="10"/>
  <c r="AZ360" i="10"/>
  <c r="O362" i="10"/>
  <c r="N362" i="10"/>
  <c r="K305" i="10"/>
  <c r="AA202" i="10"/>
  <c r="N226" i="10"/>
  <c r="N230" i="10"/>
  <c r="N254" i="10"/>
  <c r="N262" i="10"/>
  <c r="N264" i="10"/>
  <c r="N266" i="10"/>
  <c r="N268" i="10"/>
  <c r="N270" i="10"/>
  <c r="N272" i="10"/>
  <c r="N276" i="10"/>
  <c r="N278" i="10"/>
  <c r="K304" i="10"/>
  <c r="AO320" i="10"/>
  <c r="AE204" i="10"/>
  <c r="K246" i="10"/>
  <c r="AE250" i="10"/>
  <c r="AE254" i="10"/>
  <c r="AE256" i="10"/>
  <c r="AE258" i="10"/>
  <c r="AE260" i="10"/>
  <c r="AE262" i="10"/>
  <c r="AE264" i="10"/>
  <c r="AE266" i="10"/>
  <c r="AE268" i="10"/>
  <c r="AE270" i="10"/>
  <c r="AE272" i="10"/>
  <c r="AE274" i="10"/>
  <c r="AF274" i="10"/>
  <c r="AG274" i="10" s="1"/>
  <c r="AE276" i="10"/>
  <c r="AE278" i="10"/>
  <c r="AA282" i="10"/>
  <c r="K306" i="10"/>
  <c r="K308" i="10"/>
  <c r="K297" i="10"/>
  <c r="AA299" i="10"/>
  <c r="AB299" i="10"/>
  <c r="K299" i="10"/>
  <c r="AO352" i="10"/>
  <c r="AO360" i="10"/>
  <c r="Q352" i="10"/>
  <c r="T352" i="10"/>
  <c r="S352" i="10"/>
  <c r="R352" i="10"/>
  <c r="R355" i="10" l="1"/>
  <c r="T363" i="10"/>
  <c r="R363" i="10"/>
  <c r="AZ143" i="10"/>
  <c r="S363" i="10"/>
  <c r="AC183" i="10"/>
  <c r="CK143" i="10"/>
  <c r="P143" i="10"/>
  <c r="Q143" i="10" s="1"/>
  <c r="S306" i="10"/>
  <c r="T306" i="10"/>
  <c r="R306" i="10"/>
  <c r="P145" i="10"/>
  <c r="S145" i="10" s="1"/>
  <c r="AZ145" i="10"/>
  <c r="CK145" i="10"/>
  <c r="CM144" i="10"/>
  <c r="BR144" i="10"/>
  <c r="AC144" i="10"/>
  <c r="AC182" i="10"/>
  <c r="R320" i="10"/>
  <c r="Q320" i="10"/>
  <c r="S320" i="10"/>
  <c r="P146" i="10"/>
  <c r="AY146" i="10"/>
  <c r="AZ146" i="10"/>
  <c r="CK146" i="10"/>
  <c r="Q309" i="10"/>
  <c r="T309" i="10"/>
  <c r="S309" i="10"/>
  <c r="R309" i="10"/>
  <c r="Q361" i="10"/>
  <c r="S361" i="10"/>
  <c r="R361" i="10"/>
  <c r="T361" i="10"/>
  <c r="R144" i="10"/>
  <c r="S144" i="10"/>
  <c r="T144" i="10"/>
  <c r="Q144" i="10"/>
  <c r="Q353" i="10"/>
  <c r="S353" i="10"/>
  <c r="R353" i="10"/>
  <c r="T353" i="10"/>
  <c r="CK362" i="10"/>
  <c r="AY362" i="10"/>
  <c r="P362" i="10"/>
  <c r="AZ362" i="10"/>
  <c r="AC246" i="10"/>
  <c r="BR246" i="10"/>
  <c r="AC364" i="10"/>
  <c r="BR364" i="10"/>
  <c r="CM364" i="10"/>
  <c r="AC360" i="10"/>
  <c r="BR360" i="10"/>
  <c r="CM360" i="10"/>
  <c r="AC352" i="10"/>
  <c r="BR352" i="10"/>
  <c r="CM352" i="10"/>
  <c r="Q360" i="10"/>
  <c r="T360" i="10"/>
  <c r="R360" i="10"/>
  <c r="S360" i="10"/>
  <c r="AC274" i="10"/>
  <c r="BR274" i="10"/>
  <c r="Q181" i="10"/>
  <c r="S181" i="10"/>
  <c r="R181" i="10"/>
  <c r="T181" i="10"/>
  <c r="CK356" i="10"/>
  <c r="P356" i="10"/>
  <c r="AY356" i="10"/>
  <c r="AZ356" i="10"/>
  <c r="AC297" i="10"/>
  <c r="BR297" i="10"/>
  <c r="AC362" i="10"/>
  <c r="BR362" i="10"/>
  <c r="CM362" i="10"/>
  <c r="CK358" i="10"/>
  <c r="P358" i="10"/>
  <c r="AY358" i="10"/>
  <c r="AZ358" i="10"/>
  <c r="Q300" i="10"/>
  <c r="R300" i="10"/>
  <c r="S300" i="10"/>
  <c r="T300" i="10"/>
  <c r="AC356" i="10"/>
  <c r="BR356" i="10"/>
  <c r="CM356" i="10"/>
  <c r="Q292" i="10"/>
  <c r="R292" i="10"/>
  <c r="S292" i="10"/>
  <c r="T292" i="10"/>
  <c r="CK354" i="10"/>
  <c r="P354" i="10"/>
  <c r="AY354" i="10"/>
  <c r="AZ354" i="10"/>
  <c r="AC299" i="10"/>
  <c r="BR299" i="10"/>
  <c r="Q236" i="10"/>
  <c r="S236" i="10"/>
  <c r="T236" i="10"/>
  <c r="R236" i="10"/>
  <c r="CK364" i="10"/>
  <c r="AY364" i="10"/>
  <c r="P364" i="10"/>
  <c r="AZ364" i="10"/>
  <c r="AC358" i="10"/>
  <c r="BR358" i="10"/>
  <c r="CM358" i="10"/>
  <c r="AC354" i="10"/>
  <c r="BR354" i="10"/>
  <c r="CM354" i="10"/>
  <c r="AC306" i="10"/>
  <c r="AC300" i="10"/>
  <c r="Q183" i="10"/>
  <c r="S183" i="10"/>
  <c r="T183" i="10"/>
  <c r="R183" i="10"/>
  <c r="S143" i="10" l="1"/>
  <c r="R143" i="10"/>
  <c r="T143" i="10"/>
  <c r="Q145" i="10"/>
  <c r="R145" i="10"/>
  <c r="T145" i="10"/>
  <c r="R146" i="10"/>
  <c r="Q146" i="10"/>
  <c r="S146" i="10"/>
  <c r="T146" i="10"/>
  <c r="Q356" i="10"/>
  <c r="T356" i="10"/>
  <c r="R356" i="10"/>
  <c r="S356" i="10"/>
  <c r="Q364" i="10"/>
  <c r="T364" i="10"/>
  <c r="R364" i="10"/>
  <c r="S364" i="10"/>
  <c r="Q354" i="10"/>
  <c r="T354" i="10"/>
  <c r="S354" i="10"/>
  <c r="R354" i="10"/>
  <c r="Q358" i="10"/>
  <c r="T358" i="10"/>
  <c r="S358" i="10"/>
  <c r="R358" i="10"/>
  <c r="Q362" i="10"/>
  <c r="T362" i="10"/>
  <c r="R362" i="10"/>
  <c r="S362" i="10"/>
  <c r="AA106" i="1" l="1"/>
  <c r="AB106" i="1"/>
  <c r="AC106" i="1"/>
  <c r="AD106" i="1"/>
  <c r="I124" i="33" l="1"/>
  <c r="H124" i="33"/>
  <c r="G124" i="33"/>
  <c r="F124" i="33"/>
  <c r="E124" i="33"/>
  <c r="I236" i="33"/>
  <c r="J245" i="33"/>
  <c r="I245" i="33"/>
  <c r="H245" i="33"/>
  <c r="G245" i="33"/>
  <c r="F245" i="33"/>
  <c r="E245" i="33"/>
  <c r="AK292" i="1" l="1"/>
  <c r="Z292" i="10" s="1"/>
  <c r="AA292" i="10" l="1"/>
  <c r="AB292" i="10"/>
  <c r="AC292" i="10" s="1"/>
  <c r="J126" i="33"/>
  <c r="I126" i="33"/>
  <c r="H126" i="33"/>
  <c r="G126" i="33"/>
  <c r="F126" i="33"/>
  <c r="E126" i="33"/>
  <c r="AX293" i="1" l="1"/>
  <c r="AW293" i="1"/>
  <c r="AV293" i="1"/>
  <c r="AU293" i="1"/>
  <c r="AT293" i="1"/>
  <c r="AS293" i="1"/>
  <c r="CI293" i="10" s="1"/>
  <c r="AX292" i="1"/>
  <c r="AW292" i="1"/>
  <c r="AV292" i="1"/>
  <c r="AU292" i="1"/>
  <c r="AT292" i="1"/>
  <c r="AS292" i="1"/>
  <c r="AX291" i="1"/>
  <c r="AW291" i="1"/>
  <c r="AV291" i="1"/>
  <c r="AU291" i="1"/>
  <c r="AT291" i="1"/>
  <c r="AS291" i="1"/>
  <c r="AX290" i="1"/>
  <c r="AW290" i="1"/>
  <c r="AV290" i="1"/>
  <c r="AU290" i="1"/>
  <c r="AT290" i="1"/>
  <c r="AS290" i="1"/>
  <c r="AX289" i="1"/>
  <c r="AW289" i="1"/>
  <c r="AV289" i="1"/>
  <c r="AU289" i="1"/>
  <c r="AT289" i="1"/>
  <c r="AS289" i="1"/>
  <c r="AX288" i="1"/>
  <c r="AW288" i="1"/>
  <c r="AV288" i="1"/>
  <c r="AU288" i="1"/>
  <c r="AT288" i="1"/>
  <c r="AS288" i="1"/>
  <c r="AX287" i="1"/>
  <c r="AW287" i="1"/>
  <c r="AV287" i="1"/>
  <c r="AU287" i="1"/>
  <c r="AT287" i="1"/>
  <c r="AS287" i="1"/>
  <c r="AX286" i="1"/>
  <c r="AW286" i="1"/>
  <c r="AV286" i="1"/>
  <c r="AU286" i="1"/>
  <c r="AT286" i="1"/>
  <c r="AS286" i="1"/>
  <c r="AX285" i="1"/>
  <c r="AW285" i="1"/>
  <c r="AV285" i="1"/>
  <c r="AU285" i="1"/>
  <c r="AT285" i="1"/>
  <c r="AS285" i="1"/>
  <c r="AX284" i="1"/>
  <c r="AW284" i="1"/>
  <c r="AV284" i="1"/>
  <c r="AU284" i="1"/>
  <c r="AT284" i="1"/>
  <c r="AS284" i="1"/>
  <c r="AX283" i="1"/>
  <c r="AW283" i="1"/>
  <c r="AV283" i="1"/>
  <c r="AU283" i="1"/>
  <c r="AT283" i="1"/>
  <c r="AS283" i="1"/>
  <c r="AX282" i="1"/>
  <c r="AW282" i="1"/>
  <c r="AV282" i="1"/>
  <c r="AU282" i="1"/>
  <c r="AT282" i="1"/>
  <c r="AS282" i="1"/>
  <c r="AX281" i="1"/>
  <c r="AW281" i="1"/>
  <c r="AV281" i="1"/>
  <c r="AU281" i="1"/>
  <c r="AT281" i="1"/>
  <c r="AS281" i="1"/>
  <c r="AX280" i="1"/>
  <c r="AW280" i="1"/>
  <c r="AV280" i="1"/>
  <c r="AU280" i="1"/>
  <c r="AT280" i="1"/>
  <c r="AS280" i="1"/>
  <c r="AX279" i="1"/>
  <c r="AW279" i="1"/>
  <c r="AV279" i="1"/>
  <c r="AU279" i="1"/>
  <c r="AT279" i="1"/>
  <c r="AS279" i="1"/>
  <c r="AX278" i="1"/>
  <c r="AW278" i="1"/>
  <c r="AV278" i="1"/>
  <c r="AU278" i="1"/>
  <c r="AT278" i="1"/>
  <c r="AS278" i="1"/>
  <c r="AX277" i="1"/>
  <c r="AW277" i="1"/>
  <c r="AV277" i="1"/>
  <c r="AU277" i="1"/>
  <c r="AT277" i="1"/>
  <c r="AS277" i="1"/>
  <c r="AX276" i="1"/>
  <c r="AW276" i="1"/>
  <c r="AV276" i="1"/>
  <c r="AU276" i="1"/>
  <c r="AT276" i="1"/>
  <c r="AS276" i="1"/>
  <c r="AX275" i="1"/>
  <c r="AW275" i="1"/>
  <c r="AV275" i="1"/>
  <c r="AU275" i="1"/>
  <c r="AT275" i="1"/>
  <c r="AS275" i="1"/>
  <c r="AX274" i="1"/>
  <c r="AW274" i="1"/>
  <c r="CM274" i="10" s="1"/>
  <c r="AV274" i="1"/>
  <c r="AU274" i="1"/>
  <c r="AT274" i="1"/>
  <c r="AS274" i="1"/>
  <c r="CI274" i="10" s="1"/>
  <c r="AX273" i="1"/>
  <c r="AW273" i="1"/>
  <c r="AV273" i="1"/>
  <c r="AU273" i="1"/>
  <c r="AT273" i="1"/>
  <c r="AS273" i="1"/>
  <c r="AX272" i="1"/>
  <c r="AW272" i="1"/>
  <c r="AV272" i="1"/>
  <c r="AU272" i="1"/>
  <c r="AT272" i="1"/>
  <c r="AS272" i="1"/>
  <c r="AX271" i="1"/>
  <c r="AW271" i="1"/>
  <c r="AV271" i="1"/>
  <c r="AU271" i="1"/>
  <c r="AT271" i="1"/>
  <c r="AS271" i="1"/>
  <c r="AX270" i="1"/>
  <c r="AW270" i="1"/>
  <c r="AV270" i="1"/>
  <c r="AU270" i="1"/>
  <c r="AT270" i="1"/>
  <c r="AS270" i="1"/>
  <c r="AX269" i="1"/>
  <c r="AW269" i="1"/>
  <c r="AV269" i="1"/>
  <c r="AU269" i="1"/>
  <c r="AT269" i="1"/>
  <c r="AS269" i="1"/>
  <c r="AX268" i="1"/>
  <c r="AW268" i="1"/>
  <c r="AV268" i="1"/>
  <c r="AU268" i="1"/>
  <c r="AT268" i="1"/>
  <c r="AS268" i="1"/>
  <c r="AX267" i="1"/>
  <c r="AW267" i="1"/>
  <c r="AV267" i="1"/>
  <c r="AU267" i="1"/>
  <c r="AT267" i="1"/>
  <c r="AS267" i="1"/>
  <c r="AX266" i="1"/>
  <c r="AW266" i="1"/>
  <c r="AV266" i="1"/>
  <c r="AU266" i="1"/>
  <c r="AT266" i="1"/>
  <c r="AS266" i="1"/>
  <c r="AX265" i="1"/>
  <c r="AW265" i="1"/>
  <c r="AV265" i="1"/>
  <c r="AU265" i="1"/>
  <c r="AT265" i="1"/>
  <c r="AS265" i="1"/>
  <c r="AX264" i="1"/>
  <c r="AW264" i="1"/>
  <c r="AV264" i="1"/>
  <c r="AU264" i="1"/>
  <c r="AT264" i="1"/>
  <c r="AS264" i="1"/>
  <c r="AX263" i="1"/>
  <c r="AW263" i="1"/>
  <c r="AV263" i="1"/>
  <c r="AU263" i="1"/>
  <c r="AT263" i="1"/>
  <c r="AS263" i="1"/>
  <c r="AX262" i="1"/>
  <c r="AW262" i="1"/>
  <c r="AV262" i="1"/>
  <c r="AU262" i="1"/>
  <c r="AT262" i="1"/>
  <c r="AS262" i="1"/>
  <c r="AX261" i="1"/>
  <c r="AW261" i="1"/>
  <c r="AV261" i="1"/>
  <c r="AU261" i="1"/>
  <c r="AT261" i="1"/>
  <c r="AS261" i="1"/>
  <c r="AX260" i="1"/>
  <c r="AW260" i="1"/>
  <c r="AV260" i="1"/>
  <c r="AU260" i="1"/>
  <c r="AT260" i="1"/>
  <c r="AS260" i="1"/>
  <c r="AX259" i="1"/>
  <c r="AW259" i="1"/>
  <c r="CM259" i="10" s="1"/>
  <c r="AV259" i="1"/>
  <c r="AU259" i="1"/>
  <c r="AT259" i="1"/>
  <c r="AS259" i="1"/>
  <c r="CI259" i="10" s="1"/>
  <c r="AX258" i="1"/>
  <c r="AW258" i="1"/>
  <c r="AV258" i="1"/>
  <c r="AU258" i="1"/>
  <c r="AT258" i="1"/>
  <c r="AS258" i="1"/>
  <c r="AX257" i="1"/>
  <c r="AW257" i="1"/>
  <c r="AV257" i="1"/>
  <c r="AU257" i="1"/>
  <c r="AT257" i="1"/>
  <c r="AS257" i="1"/>
  <c r="AX256" i="1"/>
  <c r="AW256" i="1"/>
  <c r="AV256" i="1"/>
  <c r="AU256" i="1"/>
  <c r="AT256" i="1"/>
  <c r="AS256" i="1"/>
  <c r="AX255" i="1"/>
  <c r="AW255" i="1"/>
  <c r="AV255" i="1"/>
  <c r="AU255" i="1"/>
  <c r="AT255" i="1"/>
  <c r="AS255" i="1"/>
  <c r="AX254" i="1"/>
  <c r="AW254" i="1"/>
  <c r="AV254" i="1"/>
  <c r="AU254" i="1"/>
  <c r="AT254" i="1"/>
  <c r="AS254" i="1"/>
  <c r="AX253" i="1"/>
  <c r="AW253" i="1"/>
  <c r="AV253" i="1"/>
  <c r="AU253" i="1"/>
  <c r="AT253" i="1"/>
  <c r="AS253" i="1"/>
  <c r="AX252" i="1"/>
  <c r="AW252" i="1"/>
  <c r="AV252" i="1"/>
  <c r="AU252" i="1"/>
  <c r="AT252" i="1"/>
  <c r="AS252" i="1"/>
  <c r="AX251" i="1"/>
  <c r="AW251" i="1"/>
  <c r="AV251" i="1"/>
  <c r="AU251" i="1"/>
  <c r="AT251" i="1"/>
  <c r="AS251" i="1"/>
  <c r="AX250" i="1"/>
  <c r="AW250" i="1"/>
  <c r="AV250" i="1"/>
  <c r="AU250" i="1"/>
  <c r="AT250" i="1"/>
  <c r="AS250" i="1"/>
  <c r="AX249" i="1"/>
  <c r="AW249" i="1"/>
  <c r="AV249" i="1"/>
  <c r="AU249" i="1"/>
  <c r="AT249" i="1"/>
  <c r="AS249" i="1"/>
  <c r="AX248" i="1"/>
  <c r="AW248" i="1"/>
  <c r="AV248" i="1"/>
  <c r="AU248" i="1"/>
  <c r="AT248" i="1"/>
  <c r="AS248" i="1"/>
  <c r="AX247" i="1"/>
  <c r="AW247" i="1"/>
  <c r="AV247" i="1"/>
  <c r="AU247" i="1"/>
  <c r="AT247" i="1"/>
  <c r="AS247" i="1"/>
  <c r="AX246" i="1"/>
  <c r="AW246" i="1"/>
  <c r="CM246" i="10" s="1"/>
  <c r="AV246" i="1"/>
  <c r="AU246" i="1"/>
  <c r="AT246" i="1"/>
  <c r="AS246" i="1"/>
  <c r="CI246" i="10" s="1"/>
  <c r="AX245" i="1"/>
  <c r="AW245" i="1"/>
  <c r="AV245" i="1"/>
  <c r="AU245" i="1"/>
  <c r="AT245" i="1"/>
  <c r="AS245" i="1"/>
  <c r="AX244" i="1"/>
  <c r="AW244" i="1"/>
  <c r="AV244" i="1"/>
  <c r="AU244" i="1"/>
  <c r="AT244" i="1"/>
  <c r="AS244" i="1"/>
  <c r="AX243" i="1"/>
  <c r="AW243" i="1"/>
  <c r="AV243" i="1"/>
  <c r="AU243" i="1"/>
  <c r="AT243" i="1"/>
  <c r="AS243" i="1"/>
  <c r="AX242" i="1"/>
  <c r="AW242" i="1"/>
  <c r="AV242" i="1"/>
  <c r="AU242" i="1"/>
  <c r="AT242" i="1"/>
  <c r="AS242" i="1"/>
  <c r="AD86" i="1" l="1"/>
  <c r="AC86" i="1"/>
  <c r="AB86" i="1"/>
  <c r="AA86" i="1"/>
  <c r="AB94" i="1"/>
  <c r="AA94" i="1"/>
  <c r="AD33" i="1"/>
  <c r="AC33" i="1"/>
  <c r="AB33" i="1"/>
  <c r="AA33" i="1"/>
  <c r="AA277" i="1" l="1"/>
  <c r="AB277" i="1"/>
  <c r="AC277" i="1"/>
  <c r="AD277" i="1"/>
  <c r="AF277" i="1"/>
  <c r="AI277" i="1" s="1"/>
  <c r="AG277" i="1"/>
  <c r="P277" i="1"/>
  <c r="X277" i="10" l="1"/>
  <c r="U277" i="10"/>
  <c r="W277" i="10"/>
  <c r="Y277" i="10"/>
  <c r="V277" i="10"/>
  <c r="AN277" i="10"/>
  <c r="AM277" i="10"/>
  <c r="AL277" i="10"/>
  <c r="I277" i="10"/>
  <c r="AF277" i="10"/>
  <c r="AG277" i="10" s="1"/>
  <c r="O277" i="10"/>
  <c r="AB277" i="10"/>
  <c r="AH277" i="1"/>
  <c r="AX325" i="1"/>
  <c r="AW325" i="1"/>
  <c r="AV325" i="1"/>
  <c r="AU325" i="1"/>
  <c r="AT325" i="1"/>
  <c r="AS325" i="1"/>
  <c r="AX324" i="1"/>
  <c r="AW324" i="1"/>
  <c r="AV324" i="1"/>
  <c r="AU324" i="1"/>
  <c r="AT324" i="1"/>
  <c r="AS324" i="1"/>
  <c r="AX320" i="1"/>
  <c r="AW320" i="1"/>
  <c r="AV320" i="1"/>
  <c r="AU320" i="1"/>
  <c r="AT320" i="1"/>
  <c r="AS320" i="1"/>
  <c r="AX319" i="1"/>
  <c r="AW319" i="1"/>
  <c r="AV319" i="1"/>
  <c r="AU319" i="1"/>
  <c r="AT319" i="1"/>
  <c r="AS319" i="1"/>
  <c r="AX318" i="1"/>
  <c r="AW318" i="1"/>
  <c r="AV318" i="1"/>
  <c r="AU318" i="1"/>
  <c r="AT318" i="1"/>
  <c r="AS318" i="1"/>
  <c r="AX317" i="1"/>
  <c r="AW317" i="1"/>
  <c r="AV317" i="1"/>
  <c r="AU317" i="1"/>
  <c r="AT317" i="1"/>
  <c r="AS317" i="1"/>
  <c r="AX316" i="1"/>
  <c r="AW316" i="1"/>
  <c r="AV316" i="1"/>
  <c r="AU316" i="1"/>
  <c r="AT316" i="1"/>
  <c r="AS316" i="1"/>
  <c r="AX311" i="1"/>
  <c r="AW311" i="1"/>
  <c r="AV311" i="1"/>
  <c r="AU311" i="1"/>
  <c r="AT311" i="1"/>
  <c r="AS311" i="1"/>
  <c r="AX309" i="1"/>
  <c r="AW309" i="1"/>
  <c r="AV309" i="1"/>
  <c r="AU309" i="1"/>
  <c r="AT309" i="1"/>
  <c r="AS309" i="1"/>
  <c r="AX306" i="1"/>
  <c r="AW306" i="1"/>
  <c r="AV306" i="1"/>
  <c r="AU306" i="1"/>
  <c r="AT306" i="1"/>
  <c r="AS306" i="1"/>
  <c r="AX302" i="1"/>
  <c r="AW302" i="1"/>
  <c r="AV302" i="1"/>
  <c r="AU302" i="1"/>
  <c r="AT302" i="1"/>
  <c r="AS302" i="1"/>
  <c r="AX300" i="1"/>
  <c r="AW300" i="1"/>
  <c r="AV300" i="1"/>
  <c r="AU300" i="1"/>
  <c r="AT300" i="1"/>
  <c r="AS300" i="1"/>
  <c r="AX296" i="1"/>
  <c r="AW296" i="1"/>
  <c r="AV296" i="1"/>
  <c r="AU296" i="1"/>
  <c r="AT296" i="1"/>
  <c r="AS296" i="1"/>
  <c r="AX295" i="1"/>
  <c r="AW295" i="1"/>
  <c r="AV295" i="1"/>
  <c r="AU295" i="1"/>
  <c r="AT295" i="1"/>
  <c r="AS295" i="1"/>
  <c r="AX294" i="1"/>
  <c r="AW294" i="1"/>
  <c r="AV294" i="1"/>
  <c r="AU294" i="1"/>
  <c r="AT294" i="1"/>
  <c r="AS294" i="1"/>
  <c r="AX241" i="1"/>
  <c r="AW241" i="1"/>
  <c r="AV241" i="1"/>
  <c r="AU241" i="1"/>
  <c r="AT241" i="1"/>
  <c r="AS241" i="1"/>
  <c r="AX239" i="1"/>
  <c r="AW239" i="1"/>
  <c r="AV239" i="1"/>
  <c r="AU239" i="1"/>
  <c r="AT239" i="1"/>
  <c r="AS239" i="1"/>
  <c r="AX238" i="1"/>
  <c r="AW238" i="1"/>
  <c r="AV238" i="1"/>
  <c r="AU238" i="1"/>
  <c r="AT238" i="1"/>
  <c r="AS238" i="1"/>
  <c r="AX237" i="1"/>
  <c r="AW237" i="1"/>
  <c r="AV237" i="1"/>
  <c r="AU237" i="1"/>
  <c r="AT237" i="1"/>
  <c r="AS237" i="1"/>
  <c r="AX236" i="1"/>
  <c r="AW236" i="1"/>
  <c r="AV236" i="1"/>
  <c r="AU236" i="1"/>
  <c r="AT236" i="1"/>
  <c r="AS236" i="1"/>
  <c r="AX235" i="1"/>
  <c r="AW235" i="1"/>
  <c r="AV235" i="1"/>
  <c r="AU235" i="1"/>
  <c r="AT235" i="1"/>
  <c r="AS235" i="1"/>
  <c r="AX234" i="1"/>
  <c r="AW234" i="1"/>
  <c r="AV234" i="1"/>
  <c r="AU234" i="1"/>
  <c r="AT234" i="1"/>
  <c r="AS234" i="1"/>
  <c r="AX233" i="1"/>
  <c r="AW233" i="1"/>
  <c r="AV233" i="1"/>
  <c r="AU233" i="1"/>
  <c r="AT233" i="1"/>
  <c r="AS233" i="1"/>
  <c r="AX232" i="1"/>
  <c r="AW232" i="1"/>
  <c r="AV232" i="1"/>
  <c r="AU232" i="1"/>
  <c r="AT232" i="1"/>
  <c r="AS232" i="1"/>
  <c r="AX231" i="1"/>
  <c r="AW231" i="1"/>
  <c r="AV231" i="1"/>
  <c r="AU231" i="1"/>
  <c r="AT231" i="1"/>
  <c r="AS231" i="1"/>
  <c r="AX230" i="1"/>
  <c r="AW230" i="1"/>
  <c r="AV230" i="1"/>
  <c r="AU230" i="1"/>
  <c r="AT230" i="1"/>
  <c r="AS230" i="1"/>
  <c r="AX229" i="1"/>
  <c r="AW229" i="1"/>
  <c r="AV229" i="1"/>
  <c r="AU229" i="1"/>
  <c r="AT229" i="1"/>
  <c r="AS229" i="1"/>
  <c r="AX228" i="1"/>
  <c r="AW228" i="1"/>
  <c r="AV228" i="1"/>
  <c r="AU228" i="1"/>
  <c r="AT228" i="1"/>
  <c r="AS228" i="1"/>
  <c r="AX226" i="1"/>
  <c r="AW226" i="1"/>
  <c r="AV226" i="1"/>
  <c r="AU226" i="1"/>
  <c r="AT226" i="1"/>
  <c r="AS226" i="1"/>
  <c r="AX225" i="1"/>
  <c r="AW225" i="1"/>
  <c r="AV225" i="1"/>
  <c r="AU225" i="1"/>
  <c r="AT225" i="1"/>
  <c r="AS225" i="1"/>
  <c r="AX224" i="1"/>
  <c r="AW224" i="1"/>
  <c r="AV224" i="1"/>
  <c r="AU224" i="1"/>
  <c r="AT224" i="1"/>
  <c r="AS224" i="1"/>
  <c r="AX223" i="1"/>
  <c r="AW223" i="1"/>
  <c r="AV223" i="1"/>
  <c r="AU223" i="1"/>
  <c r="AT223" i="1"/>
  <c r="AS223" i="1"/>
  <c r="AX222" i="1"/>
  <c r="AW222" i="1"/>
  <c r="AV222" i="1"/>
  <c r="AU222" i="1"/>
  <c r="AT222" i="1"/>
  <c r="AS222" i="1"/>
  <c r="AX221" i="1"/>
  <c r="AW221" i="1"/>
  <c r="AV221" i="1"/>
  <c r="AU221" i="1"/>
  <c r="AT221" i="1"/>
  <c r="AS221" i="1"/>
  <c r="AX220" i="1"/>
  <c r="AW220" i="1"/>
  <c r="AV220" i="1"/>
  <c r="AU220" i="1"/>
  <c r="AT220" i="1"/>
  <c r="AS220" i="1"/>
  <c r="AX219" i="1"/>
  <c r="AW219" i="1"/>
  <c r="AV219" i="1"/>
  <c r="AU219" i="1"/>
  <c r="AT219" i="1"/>
  <c r="AS219" i="1"/>
  <c r="AX218" i="1"/>
  <c r="AW218" i="1"/>
  <c r="AV218" i="1"/>
  <c r="AU218" i="1"/>
  <c r="AT218" i="1"/>
  <c r="AS218" i="1"/>
  <c r="AX217" i="1"/>
  <c r="AW217" i="1"/>
  <c r="AV217" i="1"/>
  <c r="AU217" i="1"/>
  <c r="AT217" i="1"/>
  <c r="AS217" i="1"/>
  <c r="AX216" i="1"/>
  <c r="AW216" i="1"/>
  <c r="AV216" i="1"/>
  <c r="AU216" i="1"/>
  <c r="AT216" i="1"/>
  <c r="AS216" i="1"/>
  <c r="AX214" i="1"/>
  <c r="AW214" i="1"/>
  <c r="AV214" i="1"/>
  <c r="AU214" i="1"/>
  <c r="AT214" i="1"/>
  <c r="AS214" i="1"/>
  <c r="AX212" i="1"/>
  <c r="AW212" i="1"/>
  <c r="AV212" i="1"/>
  <c r="AU212" i="1"/>
  <c r="AT212" i="1"/>
  <c r="AS212" i="1"/>
  <c r="AX211" i="1"/>
  <c r="AW211" i="1"/>
  <c r="AV211" i="1"/>
  <c r="AU211" i="1"/>
  <c r="AT211" i="1"/>
  <c r="AS211" i="1"/>
  <c r="AX210" i="1"/>
  <c r="AW210" i="1"/>
  <c r="AV210" i="1"/>
  <c r="AU210" i="1"/>
  <c r="AT210" i="1"/>
  <c r="AS210" i="1"/>
  <c r="AX204" i="1"/>
  <c r="AW204" i="1"/>
  <c r="AV204" i="1"/>
  <c r="AU204" i="1"/>
  <c r="AT204" i="1"/>
  <c r="AS204" i="1"/>
  <c r="AX203" i="1"/>
  <c r="AW203" i="1"/>
  <c r="AV203" i="1"/>
  <c r="AU203" i="1"/>
  <c r="AT203" i="1"/>
  <c r="AS203" i="1"/>
  <c r="AX202" i="1"/>
  <c r="AW202" i="1"/>
  <c r="AV202" i="1"/>
  <c r="AU202" i="1"/>
  <c r="AT202" i="1"/>
  <c r="AS202" i="1"/>
  <c r="AX201" i="1"/>
  <c r="AW201" i="1"/>
  <c r="AV201" i="1"/>
  <c r="AU201" i="1"/>
  <c r="AT201" i="1"/>
  <c r="AS201" i="1"/>
  <c r="AX198" i="1"/>
  <c r="AW198" i="1"/>
  <c r="AV198" i="1"/>
  <c r="AU198" i="1"/>
  <c r="AT198" i="1"/>
  <c r="AS198" i="1"/>
  <c r="AX197" i="1"/>
  <c r="AV197" i="1"/>
  <c r="AU197" i="1"/>
  <c r="AT197" i="1"/>
  <c r="AS197" i="1"/>
  <c r="AX183" i="1"/>
  <c r="AV183" i="1"/>
  <c r="AU183" i="1"/>
  <c r="AT183" i="1"/>
  <c r="AS183" i="1"/>
  <c r="AX181" i="1"/>
  <c r="AV181" i="1"/>
  <c r="AU181" i="1"/>
  <c r="AT181" i="1"/>
  <c r="AS181" i="1"/>
  <c r="AX175" i="1"/>
  <c r="AW175" i="1"/>
  <c r="AV175" i="1"/>
  <c r="AU175" i="1"/>
  <c r="AT175" i="1"/>
  <c r="AS175" i="1"/>
  <c r="AX174" i="1"/>
  <c r="AW174" i="1"/>
  <c r="AV174" i="1"/>
  <c r="AU174" i="1"/>
  <c r="AT174" i="1"/>
  <c r="AS174" i="1"/>
  <c r="AX173" i="1"/>
  <c r="AW173" i="1"/>
  <c r="AV173" i="1"/>
  <c r="AU173" i="1"/>
  <c r="AT173" i="1"/>
  <c r="AS173" i="1"/>
  <c r="AX172" i="1"/>
  <c r="AW172" i="1"/>
  <c r="AV172" i="1"/>
  <c r="AU172" i="1"/>
  <c r="AT172" i="1"/>
  <c r="AS172" i="1"/>
  <c r="AX171" i="1"/>
  <c r="AW171" i="1"/>
  <c r="AV171" i="1"/>
  <c r="AU171" i="1"/>
  <c r="AT171" i="1"/>
  <c r="AS171" i="1"/>
  <c r="AX170" i="1"/>
  <c r="AW170" i="1"/>
  <c r="AV170" i="1"/>
  <c r="AU170" i="1"/>
  <c r="AT170" i="1"/>
  <c r="AS170" i="1"/>
  <c r="AX160" i="1"/>
  <c r="AW160" i="1"/>
  <c r="AV160" i="1"/>
  <c r="AU160" i="1"/>
  <c r="AT160" i="1"/>
  <c r="AS160" i="1"/>
  <c r="AX159" i="1"/>
  <c r="AW159" i="1"/>
  <c r="AV159" i="1"/>
  <c r="AU159" i="1"/>
  <c r="AT159" i="1"/>
  <c r="AS159" i="1"/>
  <c r="AX158" i="1"/>
  <c r="AW158" i="1"/>
  <c r="AV158" i="1"/>
  <c r="AU158" i="1"/>
  <c r="AT158" i="1"/>
  <c r="AS158" i="1"/>
  <c r="AX157" i="1"/>
  <c r="AW157" i="1"/>
  <c r="AV157" i="1"/>
  <c r="AU157" i="1"/>
  <c r="AT157" i="1"/>
  <c r="AS157" i="1"/>
  <c r="AX156" i="1"/>
  <c r="AW156" i="1"/>
  <c r="AV156" i="1"/>
  <c r="AU156" i="1"/>
  <c r="AT156" i="1"/>
  <c r="AS156" i="1"/>
  <c r="AX153" i="1"/>
  <c r="AW153" i="1"/>
  <c r="AV153" i="1"/>
  <c r="AU153" i="1"/>
  <c r="AT153" i="1"/>
  <c r="AS153" i="1"/>
  <c r="AX152" i="1"/>
  <c r="AW152" i="1"/>
  <c r="AV152" i="1"/>
  <c r="AU152" i="1"/>
  <c r="AT152" i="1"/>
  <c r="AS152" i="1"/>
  <c r="AX151" i="1"/>
  <c r="AW151" i="1"/>
  <c r="AV151" i="1"/>
  <c r="AU151" i="1"/>
  <c r="AT151" i="1"/>
  <c r="AS151" i="1"/>
  <c r="AX150" i="1"/>
  <c r="AW150" i="1"/>
  <c r="AV150" i="1"/>
  <c r="AU150" i="1"/>
  <c r="AT150" i="1"/>
  <c r="AS150" i="1"/>
  <c r="AX149" i="1"/>
  <c r="AW149" i="1"/>
  <c r="AV149" i="1"/>
  <c r="AU149" i="1"/>
  <c r="AT149" i="1"/>
  <c r="AS149" i="1"/>
  <c r="AX148" i="1"/>
  <c r="AW148" i="1"/>
  <c r="AV148" i="1"/>
  <c r="AU148" i="1"/>
  <c r="AT148" i="1"/>
  <c r="AS148" i="1"/>
  <c r="P277" i="10" l="1"/>
  <c r="AO277" i="10"/>
  <c r="K277" i="10"/>
  <c r="AC277" i="10"/>
  <c r="P291" i="1"/>
  <c r="P290" i="1"/>
  <c r="P284" i="1"/>
  <c r="P283" i="1"/>
  <c r="P282" i="1"/>
  <c r="P279" i="1"/>
  <c r="P278" i="1"/>
  <c r="P276" i="1"/>
  <c r="P273" i="1"/>
  <c r="AN279" i="10" l="1"/>
  <c r="AM279" i="10"/>
  <c r="I279" i="10"/>
  <c r="AB279" i="10"/>
  <c r="AL279" i="10"/>
  <c r="O279" i="10"/>
  <c r="AF279" i="10"/>
  <c r="AG279" i="10" s="1"/>
  <c r="W290" i="10"/>
  <c r="I290" i="10"/>
  <c r="U290" i="10"/>
  <c r="Y290" i="10"/>
  <c r="AN290" i="10"/>
  <c r="AM290" i="10"/>
  <c r="AL290" i="10"/>
  <c r="AF290" i="10"/>
  <c r="AG290" i="10" s="1"/>
  <c r="O290" i="10"/>
  <c r="AB290" i="10"/>
  <c r="AM291" i="10"/>
  <c r="I291" i="10"/>
  <c r="AL291" i="10"/>
  <c r="W291" i="10"/>
  <c r="U291" i="10"/>
  <c r="AN291" i="10"/>
  <c r="Y291" i="10"/>
  <c r="O291" i="10"/>
  <c r="AF291" i="10"/>
  <c r="AG291" i="10" s="1"/>
  <c r="AB291" i="10"/>
  <c r="T277" i="10"/>
  <c r="S277" i="10"/>
  <c r="Q277" i="10"/>
  <c r="R277" i="10"/>
  <c r="AM273" i="10"/>
  <c r="AN273" i="10"/>
  <c r="AF273" i="10"/>
  <c r="AG273" i="10" s="1"/>
  <c r="I273" i="10"/>
  <c r="AB273" i="10"/>
  <c r="O273" i="10"/>
  <c r="AL273" i="10"/>
  <c r="AL282" i="10"/>
  <c r="AM282" i="10"/>
  <c r="AN282" i="10"/>
  <c r="O282" i="10"/>
  <c r="AF282" i="10"/>
  <c r="AG282" i="10" s="1"/>
  <c r="AB282" i="10"/>
  <c r="AL276" i="10"/>
  <c r="AM276" i="10"/>
  <c r="AN276" i="10"/>
  <c r="I276" i="10"/>
  <c r="O276" i="10"/>
  <c r="AF276" i="10"/>
  <c r="AG276" i="10" s="1"/>
  <c r="AB276" i="10"/>
  <c r="AB283" i="10"/>
  <c r="AF283" i="10"/>
  <c r="AG283" i="10" s="1"/>
  <c r="AN283" i="10"/>
  <c r="AM283" i="10"/>
  <c r="AL283" i="10"/>
  <c r="O283" i="10"/>
  <c r="AM278" i="10"/>
  <c r="AL278" i="10"/>
  <c r="I278" i="10"/>
  <c r="AN278" i="10"/>
  <c r="AB278" i="10"/>
  <c r="O278" i="10"/>
  <c r="AF278" i="10"/>
  <c r="AG278" i="10" s="1"/>
  <c r="AM284" i="10"/>
  <c r="AL284" i="10"/>
  <c r="AN284" i="10"/>
  <c r="AB284" i="10"/>
  <c r="AF284" i="10"/>
  <c r="AG284" i="10" s="1"/>
  <c r="O284" i="10"/>
  <c r="AO278" i="10" l="1"/>
  <c r="P283" i="10"/>
  <c r="AC282" i="10"/>
  <c r="AC279" i="10"/>
  <c r="K279" i="10"/>
  <c r="P276" i="10"/>
  <c r="K276" i="10"/>
  <c r="AO282" i="10"/>
  <c r="P273" i="10"/>
  <c r="AC283" i="10"/>
  <c r="AO273" i="10"/>
  <c r="AC273" i="10"/>
  <c r="K273" i="10"/>
  <c r="P291" i="10"/>
  <c r="K291" i="10"/>
  <c r="AC284" i="10"/>
  <c r="P278" i="10"/>
  <c r="AC291" i="10"/>
  <c r="AC290" i="10"/>
  <c r="AO279" i="10"/>
  <c r="AC278" i="10"/>
  <c r="AO283" i="10"/>
  <c r="AO276" i="10"/>
  <c r="P290" i="10"/>
  <c r="AO290" i="10"/>
  <c r="P279" i="10"/>
  <c r="P284" i="10"/>
  <c r="K278" i="10"/>
  <c r="AO284" i="10"/>
  <c r="AC276" i="10"/>
  <c r="P282" i="10"/>
  <c r="AO291" i="10"/>
  <c r="K290" i="10"/>
  <c r="C365" i="10"/>
  <c r="D365" i="10"/>
  <c r="E365" i="10"/>
  <c r="F365" i="10"/>
  <c r="G365" i="10"/>
  <c r="V365" i="10" s="1"/>
  <c r="H365" i="10"/>
  <c r="AL365" i="10"/>
  <c r="C366" i="10"/>
  <c r="D366" i="10"/>
  <c r="E366" i="10"/>
  <c r="F366" i="10"/>
  <c r="G366" i="10"/>
  <c r="W366" i="10" s="1"/>
  <c r="H366" i="10"/>
  <c r="C367" i="10"/>
  <c r="D367" i="10"/>
  <c r="E367" i="10"/>
  <c r="F367" i="10"/>
  <c r="G367" i="10"/>
  <c r="J367" i="10" s="1"/>
  <c r="H367" i="10"/>
  <c r="V367" i="10"/>
  <c r="C368" i="10"/>
  <c r="D368" i="10"/>
  <c r="E368" i="10"/>
  <c r="F368" i="10"/>
  <c r="G368" i="10"/>
  <c r="H368" i="10"/>
  <c r="C369" i="10"/>
  <c r="D369" i="10"/>
  <c r="E369" i="10"/>
  <c r="F369" i="10"/>
  <c r="G369" i="10"/>
  <c r="AL369" i="10" s="1"/>
  <c r="H369" i="10"/>
  <c r="C370" i="10"/>
  <c r="D370" i="10"/>
  <c r="E370" i="10"/>
  <c r="F370" i="10"/>
  <c r="G370" i="10"/>
  <c r="V370" i="10" s="1"/>
  <c r="H370" i="10"/>
  <c r="C371" i="10"/>
  <c r="D371" i="10"/>
  <c r="E371" i="10"/>
  <c r="F371" i="10"/>
  <c r="G371" i="10"/>
  <c r="J371" i="10" s="1"/>
  <c r="H371" i="10"/>
  <c r="C372" i="10"/>
  <c r="D372" i="10"/>
  <c r="E372" i="10"/>
  <c r="F372" i="10"/>
  <c r="G372" i="10"/>
  <c r="H372" i="10"/>
  <c r="C373" i="10"/>
  <c r="D373" i="10"/>
  <c r="E373" i="10"/>
  <c r="F373" i="10"/>
  <c r="G373" i="10"/>
  <c r="H373" i="10"/>
  <c r="C374" i="10"/>
  <c r="D374" i="10"/>
  <c r="E374" i="10"/>
  <c r="F374" i="10"/>
  <c r="G374" i="10"/>
  <c r="J374" i="10" s="1"/>
  <c r="H374" i="10"/>
  <c r="C375" i="10"/>
  <c r="D375" i="10"/>
  <c r="E375" i="10"/>
  <c r="F375" i="10"/>
  <c r="G375" i="10"/>
  <c r="J375" i="10" s="1"/>
  <c r="H375" i="10"/>
  <c r="C376" i="10"/>
  <c r="D376" i="10"/>
  <c r="E376" i="10"/>
  <c r="F376" i="10"/>
  <c r="G376" i="10"/>
  <c r="W376" i="10" s="1"/>
  <c r="H376" i="10"/>
  <c r="C377" i="10"/>
  <c r="D377" i="10"/>
  <c r="E377" i="10"/>
  <c r="F377" i="10"/>
  <c r="G377" i="10"/>
  <c r="V377" i="10" s="1"/>
  <c r="H377" i="10"/>
  <c r="W377" i="10"/>
  <c r="AL377" i="10"/>
  <c r="C378" i="10"/>
  <c r="D378" i="10"/>
  <c r="E378" i="10"/>
  <c r="F378" i="10"/>
  <c r="G378" i="10"/>
  <c r="AL378" i="10" s="1"/>
  <c r="H378" i="10"/>
  <c r="C379" i="10"/>
  <c r="D379" i="10"/>
  <c r="E379" i="10"/>
  <c r="F379" i="10"/>
  <c r="G379" i="10"/>
  <c r="Y379" i="10" s="1"/>
  <c r="H379" i="10"/>
  <c r="C380" i="10"/>
  <c r="D380" i="10"/>
  <c r="E380" i="10"/>
  <c r="F380" i="10"/>
  <c r="G380" i="10"/>
  <c r="J380" i="10" s="1"/>
  <c r="H380" i="10"/>
  <c r="C381" i="10"/>
  <c r="D381" i="10"/>
  <c r="E381" i="10"/>
  <c r="F381" i="10"/>
  <c r="G381" i="10"/>
  <c r="H381" i="10"/>
  <c r="C382" i="10"/>
  <c r="D382" i="10"/>
  <c r="E382" i="10"/>
  <c r="F382" i="10"/>
  <c r="G382" i="10"/>
  <c r="Y382" i="10" s="1"/>
  <c r="H382" i="10"/>
  <c r="C383" i="10"/>
  <c r="D383" i="10"/>
  <c r="E383" i="10"/>
  <c r="F383" i="10"/>
  <c r="G383" i="10"/>
  <c r="Y383" i="10" s="1"/>
  <c r="H383" i="10"/>
  <c r="AD374" i="10" l="1"/>
  <c r="AF374" i="10" s="1"/>
  <c r="AG374" i="10" s="1"/>
  <c r="CI371" i="10"/>
  <c r="V383" i="10"/>
  <c r="W374" i="10"/>
  <c r="Z371" i="10"/>
  <c r="AB371" i="10" s="1"/>
  <c r="Y374" i="10"/>
  <c r="AM374" i="10"/>
  <c r="CF374" i="10" s="1"/>
  <c r="T290" i="10"/>
  <c r="Q290" i="10"/>
  <c r="R290" i="10"/>
  <c r="S290" i="10"/>
  <c r="S291" i="10"/>
  <c r="R291" i="10"/>
  <c r="T291" i="10"/>
  <c r="Q291" i="10"/>
  <c r="V380" i="10"/>
  <c r="Y378" i="10"/>
  <c r="CI377" i="10"/>
  <c r="AM377" i="10"/>
  <c r="CF377" i="10" s="1"/>
  <c r="W375" i="10"/>
  <c r="AL374" i="10"/>
  <c r="I374" i="10"/>
  <c r="V371" i="10"/>
  <c r="Y370" i="10"/>
  <c r="AD367" i="10"/>
  <c r="AF367" i="10" s="1"/>
  <c r="AG367" i="10" s="1"/>
  <c r="U367" i="10"/>
  <c r="U379" i="10"/>
  <c r="V375" i="10"/>
  <c r="AM371" i="10"/>
  <c r="CF371" i="10" s="1"/>
  <c r="U371" i="10"/>
  <c r="W370" i="10"/>
  <c r="Z367" i="10"/>
  <c r="AB367" i="10" s="1"/>
  <c r="I367" i="10"/>
  <c r="K367" i="10" s="1"/>
  <c r="W378" i="10"/>
  <c r="AL383" i="10"/>
  <c r="CE383" i="10" s="1"/>
  <c r="AL375" i="10"/>
  <c r="CE375" i="10" s="1"/>
  <c r="AD371" i="10"/>
  <c r="AF371" i="10" s="1"/>
  <c r="AG371" i="10" s="1"/>
  <c r="AM370" i="10"/>
  <c r="CF370" i="10" s="1"/>
  <c r="AM367" i="10"/>
  <c r="CF367" i="10" s="1"/>
  <c r="W367" i="10"/>
  <c r="AL370" i="10"/>
  <c r="CE370" i="10" s="1"/>
  <c r="AD383" i="10"/>
  <c r="AF383" i="10" s="1"/>
  <c r="AG383" i="10" s="1"/>
  <c r="U383" i="10"/>
  <c r="V376" i="10"/>
  <c r="AD375" i="10"/>
  <c r="AF375" i="10" s="1"/>
  <c r="AG375" i="10" s="1"/>
  <c r="AL373" i="10"/>
  <c r="CE373" i="10" s="1"/>
  <c r="Z383" i="10"/>
  <c r="AB383" i="10" s="1"/>
  <c r="J383" i="10"/>
  <c r="AM382" i="10"/>
  <c r="CF382" i="10" s="1"/>
  <c r="U375" i="10"/>
  <c r="AM366" i="10"/>
  <c r="CF366" i="10" s="1"/>
  <c r="AL380" i="10"/>
  <c r="CE380" i="10" s="1"/>
  <c r="CI379" i="10"/>
  <c r="CI378" i="10"/>
  <c r="AM375" i="10"/>
  <c r="AO375" i="10" s="1"/>
  <c r="Z375" i="10"/>
  <c r="AB375" i="10" s="1"/>
  <c r="I375" i="10"/>
  <c r="K375" i="10" s="1"/>
  <c r="V374" i="10"/>
  <c r="CI373" i="10"/>
  <c r="AL367" i="10"/>
  <c r="Y367" i="10"/>
  <c r="CI366" i="10"/>
  <c r="AM365" i="10"/>
  <c r="CF365" i="10" s="1"/>
  <c r="V382" i="10"/>
  <c r="AM381" i="10"/>
  <c r="CF381" i="10" s="1"/>
  <c r="AD382" i="10"/>
  <c r="AF382" i="10" s="1"/>
  <c r="AG382" i="10" s="1"/>
  <c r="I379" i="10"/>
  <c r="V379" i="10"/>
  <c r="AD379" i="10"/>
  <c r="AF379" i="10" s="1"/>
  <c r="AG379" i="10" s="1"/>
  <c r="AL379" i="10"/>
  <c r="W379" i="10"/>
  <c r="AM379" i="10"/>
  <c r="CF379" i="10" s="1"/>
  <c r="V372" i="10"/>
  <c r="I381" i="10"/>
  <c r="AL381" i="10"/>
  <c r="CI381" i="10"/>
  <c r="V381" i="10"/>
  <c r="CI382" i="10"/>
  <c r="AL382" i="10"/>
  <c r="CE382" i="10" s="1"/>
  <c r="W382" i="10"/>
  <c r="J379" i="10"/>
  <c r="AL372" i="10"/>
  <c r="CE372" i="10" s="1"/>
  <c r="I369" i="10"/>
  <c r="V369" i="10"/>
  <c r="AM369" i="10"/>
  <c r="CF369" i="10" s="1"/>
  <c r="W369" i="10"/>
  <c r="CI369" i="10"/>
  <c r="CI367" i="10"/>
  <c r="I383" i="10"/>
  <c r="W383" i="10"/>
  <c r="AM383" i="10"/>
  <c r="CF383" i="10" s="1"/>
  <c r="CI383" i="10"/>
  <c r="I382" i="10"/>
  <c r="W381" i="10"/>
  <c r="Z379" i="10"/>
  <c r="AB379" i="10" s="1"/>
  <c r="J378" i="10"/>
  <c r="I378" i="10"/>
  <c r="AD378" i="10"/>
  <c r="AF378" i="10" s="1"/>
  <c r="AG378" i="10" s="1"/>
  <c r="AM378" i="10"/>
  <c r="CF378" i="10" s="1"/>
  <c r="V378" i="10"/>
  <c r="I373" i="10"/>
  <c r="W373" i="10"/>
  <c r="V373" i="10"/>
  <c r="AM373" i="10"/>
  <c r="CF373" i="10" s="1"/>
  <c r="V368" i="10"/>
  <c r="AL368" i="10"/>
  <c r="CE368" i="10" s="1"/>
  <c r="J366" i="10"/>
  <c r="Y366" i="10"/>
  <c r="AL366" i="10"/>
  <c r="CE366" i="10" s="1"/>
  <c r="I366" i="10"/>
  <c r="V366" i="10"/>
  <c r="AD366" i="10"/>
  <c r="AF366" i="10" s="1"/>
  <c r="AG366" i="10" s="1"/>
  <c r="AL376" i="10"/>
  <c r="CE376" i="10" s="1"/>
  <c r="CI375" i="10"/>
  <c r="Y375" i="10"/>
  <c r="CI374" i="10"/>
  <c r="W371" i="10"/>
  <c r="I371" i="10"/>
  <c r="AD370" i="10"/>
  <c r="AF370" i="10" s="1"/>
  <c r="AG370" i="10" s="1"/>
  <c r="I370" i="10"/>
  <c r="CI365" i="10"/>
  <c r="I365" i="10"/>
  <c r="W365" i="10"/>
  <c r="AL371" i="10"/>
  <c r="CE371" i="10" s="1"/>
  <c r="Y371" i="10"/>
  <c r="CI370" i="10"/>
  <c r="CE378" i="10"/>
  <c r="L372" i="10"/>
  <c r="M372" i="10" s="1"/>
  <c r="X372" i="10"/>
  <c r="AN372" i="10"/>
  <c r="CG372" i="10" s="1"/>
  <c r="L368" i="10"/>
  <c r="M368" i="10" s="1"/>
  <c r="X368" i="10"/>
  <c r="AN368" i="10"/>
  <c r="CG368" i="10" s="1"/>
  <c r="Z380" i="10"/>
  <c r="L377" i="10"/>
  <c r="M377" i="10" s="1"/>
  <c r="X377" i="10"/>
  <c r="AN377" i="10"/>
  <c r="CG377" i="10" s="1"/>
  <c r="U376" i="10"/>
  <c r="J376" i="10"/>
  <c r="L382" i="10"/>
  <c r="M382" i="10" s="1"/>
  <c r="X382" i="10"/>
  <c r="AN382" i="10"/>
  <c r="CG382" i="10" s="1"/>
  <c r="U381" i="10"/>
  <c r="Z377" i="10"/>
  <c r="AD376" i="10"/>
  <c r="I376" i="10"/>
  <c r="U373" i="10"/>
  <c r="J373" i="10"/>
  <c r="Y372" i="10"/>
  <c r="L370" i="10"/>
  <c r="M370" i="10" s="1"/>
  <c r="X370" i="10"/>
  <c r="AN370" i="10"/>
  <c r="CG370" i="10" s="1"/>
  <c r="U369" i="10"/>
  <c r="Y368" i="10"/>
  <c r="I368" i="10"/>
  <c r="U365" i="10"/>
  <c r="L383" i="10"/>
  <c r="M383" i="10" s="1"/>
  <c r="X383" i="10"/>
  <c r="AN383" i="10"/>
  <c r="CG383" i="10" s="1"/>
  <c r="Z382" i="10"/>
  <c r="U382" i="10"/>
  <c r="J382" i="10"/>
  <c r="AD381" i="10"/>
  <c r="Y381" i="10"/>
  <c r="CI380" i="10"/>
  <c r="AM380" i="10"/>
  <c r="CF380" i="10" s="1"/>
  <c r="W380" i="10"/>
  <c r="L379" i="10"/>
  <c r="M379" i="10" s="1"/>
  <c r="X379" i="10"/>
  <c r="AN379" i="10"/>
  <c r="CG379" i="10" s="1"/>
  <c r="Z378" i="10"/>
  <c r="U378" i="10"/>
  <c r="CE377" i="10"/>
  <c r="AD377" i="10"/>
  <c r="Y377" i="10"/>
  <c r="I377" i="10"/>
  <c r="CI376" i="10"/>
  <c r="AM376" i="10"/>
  <c r="CF376" i="10" s="1"/>
  <c r="L375" i="10"/>
  <c r="M375" i="10" s="1"/>
  <c r="X375" i="10"/>
  <c r="AN375" i="10"/>
  <c r="CG375" i="10" s="1"/>
  <c r="AE374" i="10"/>
  <c r="Z374" i="10"/>
  <c r="U374" i="10"/>
  <c r="AD373" i="10"/>
  <c r="Y373" i="10"/>
  <c r="CI372" i="10"/>
  <c r="AM372" i="10"/>
  <c r="CF372" i="10" s="1"/>
  <c r="W372" i="10"/>
  <c r="CM371" i="10"/>
  <c r="BR371" i="10"/>
  <c r="AA371" i="10"/>
  <c r="L371" i="10"/>
  <c r="M371" i="10" s="1"/>
  <c r="X371" i="10"/>
  <c r="AN371" i="10"/>
  <c r="CG371" i="10" s="1"/>
  <c r="Z370" i="10"/>
  <c r="U370" i="10"/>
  <c r="J370" i="10"/>
  <c r="CE369" i="10"/>
  <c r="AD369" i="10"/>
  <c r="Y369" i="10"/>
  <c r="CI368" i="10"/>
  <c r="AM368" i="10"/>
  <c r="CF368" i="10" s="1"/>
  <c r="W368" i="10"/>
  <c r="L367" i="10"/>
  <c r="M367" i="10" s="1"/>
  <c r="X367" i="10"/>
  <c r="AN367" i="10"/>
  <c r="CG367" i="10" s="1"/>
  <c r="Z366" i="10"/>
  <c r="U366" i="10"/>
  <c r="CE365" i="10"/>
  <c r="AD365" i="10"/>
  <c r="Y365" i="10"/>
  <c r="L376" i="10"/>
  <c r="M376" i="10" s="1"/>
  <c r="X376" i="10"/>
  <c r="AN376" i="10"/>
  <c r="CG376" i="10" s="1"/>
  <c r="L381" i="10"/>
  <c r="M381" i="10" s="1"/>
  <c r="X381" i="10"/>
  <c r="AN381" i="10"/>
  <c r="CG381" i="10" s="1"/>
  <c r="U380" i="10"/>
  <c r="Z376" i="10"/>
  <c r="U372" i="10"/>
  <c r="L369" i="10"/>
  <c r="M369" i="10" s="1"/>
  <c r="X369" i="10"/>
  <c r="AN369" i="10"/>
  <c r="CG369" i="10" s="1"/>
  <c r="Z368" i="10"/>
  <c r="L365" i="10"/>
  <c r="M365" i="10" s="1"/>
  <c r="X365" i="10"/>
  <c r="AN365" i="10"/>
  <c r="CG365" i="10" s="1"/>
  <c r="L380" i="10"/>
  <c r="M380" i="10" s="1"/>
  <c r="X380" i="10"/>
  <c r="AN380" i="10"/>
  <c r="CG380" i="10" s="1"/>
  <c r="L373" i="10"/>
  <c r="M373" i="10" s="1"/>
  <c r="X373" i="10"/>
  <c r="AN373" i="10"/>
  <c r="CG373" i="10" s="1"/>
  <c r="Z372" i="10"/>
  <c r="J372" i="10"/>
  <c r="U368" i="10"/>
  <c r="J368" i="10"/>
  <c r="Z381" i="10"/>
  <c r="J381" i="10"/>
  <c r="AD380" i="10"/>
  <c r="Y380" i="10"/>
  <c r="I380" i="10"/>
  <c r="L378" i="10"/>
  <c r="M378" i="10" s="1"/>
  <c r="X378" i="10"/>
  <c r="AN378" i="10"/>
  <c r="CG378" i="10" s="1"/>
  <c r="U377" i="10"/>
  <c r="J377" i="10"/>
  <c r="Y376" i="10"/>
  <c r="L374" i="10"/>
  <c r="M374" i="10" s="1"/>
  <c r="X374" i="10"/>
  <c r="AN374" i="10"/>
  <c r="CG374" i="10" s="1"/>
  <c r="Z373" i="10"/>
  <c r="AD372" i="10"/>
  <c r="I372" i="10"/>
  <c r="AC371" i="10"/>
  <c r="Z369" i="10"/>
  <c r="J369" i="10"/>
  <c r="AD368" i="10"/>
  <c r="L366" i="10"/>
  <c r="M366" i="10" s="1"/>
  <c r="X366" i="10"/>
  <c r="AN366" i="10"/>
  <c r="CG366" i="10" s="1"/>
  <c r="Z365" i="10"/>
  <c r="J365" i="10"/>
  <c r="AS297" i="1"/>
  <c r="CI297" i="10" s="1"/>
  <c r="AT297" i="1"/>
  <c r="AU297" i="1"/>
  <c r="AV297" i="1"/>
  <c r="AW297" i="1"/>
  <c r="CM297" i="10" s="1"/>
  <c r="AX297" i="1"/>
  <c r="AS298" i="1"/>
  <c r="AT298" i="1"/>
  <c r="AU298" i="1"/>
  <c r="AV298" i="1"/>
  <c r="AW298" i="1"/>
  <c r="AX298" i="1"/>
  <c r="AS299" i="1"/>
  <c r="CI299" i="10" s="1"/>
  <c r="AT299" i="1"/>
  <c r="AU299" i="1"/>
  <c r="AV299" i="1"/>
  <c r="AW299" i="1"/>
  <c r="CM299" i="10" s="1"/>
  <c r="AX299" i="1"/>
  <c r="AS301" i="1"/>
  <c r="AT301" i="1"/>
  <c r="AU301" i="1"/>
  <c r="AV301" i="1"/>
  <c r="AW301" i="1"/>
  <c r="AX301" i="1"/>
  <c r="AS303" i="1"/>
  <c r="AT303" i="1"/>
  <c r="AU303" i="1"/>
  <c r="AV303" i="1"/>
  <c r="AW303" i="1"/>
  <c r="AX303" i="1"/>
  <c r="AS304" i="1"/>
  <c r="CI304" i="10" s="1"/>
  <c r="AT304" i="1"/>
  <c r="AU304" i="1"/>
  <c r="AV304" i="1"/>
  <c r="AW304" i="1"/>
  <c r="AX304" i="1"/>
  <c r="AS305" i="1"/>
  <c r="AT305" i="1"/>
  <c r="AU305" i="1"/>
  <c r="AV305" i="1"/>
  <c r="AW305" i="1"/>
  <c r="AX305" i="1"/>
  <c r="AS307" i="1"/>
  <c r="CI307" i="10" s="1"/>
  <c r="AT307" i="1"/>
  <c r="AU307" i="1"/>
  <c r="AV307" i="1"/>
  <c r="AW307" i="1"/>
  <c r="AX307" i="1"/>
  <c r="AS308" i="1"/>
  <c r="CI308" i="10" s="1"/>
  <c r="AT308" i="1"/>
  <c r="AU308" i="1"/>
  <c r="AV308" i="1"/>
  <c r="AW308" i="1"/>
  <c r="AX308" i="1"/>
  <c r="AS310" i="1"/>
  <c r="AT310" i="1"/>
  <c r="AU310" i="1"/>
  <c r="AV310" i="1"/>
  <c r="AW310" i="1"/>
  <c r="AX310" i="1"/>
  <c r="AS312" i="1"/>
  <c r="AT312" i="1"/>
  <c r="AU312" i="1"/>
  <c r="AV312" i="1"/>
  <c r="AW312" i="1"/>
  <c r="AX312" i="1"/>
  <c r="AS313" i="1"/>
  <c r="AT313" i="1"/>
  <c r="AU313" i="1"/>
  <c r="AV313" i="1"/>
  <c r="AW313" i="1"/>
  <c r="AX313" i="1"/>
  <c r="AS314" i="1"/>
  <c r="AT314" i="1"/>
  <c r="AU314" i="1"/>
  <c r="AV314" i="1"/>
  <c r="AW314" i="1"/>
  <c r="AX314" i="1"/>
  <c r="AS315" i="1"/>
  <c r="AT315" i="1"/>
  <c r="AU315" i="1"/>
  <c r="AV315" i="1"/>
  <c r="AW315" i="1"/>
  <c r="AX315" i="1"/>
  <c r="AS321" i="1"/>
  <c r="AT321" i="1"/>
  <c r="AU321" i="1"/>
  <c r="AV321" i="1"/>
  <c r="AW321" i="1"/>
  <c r="AX321" i="1"/>
  <c r="AS322" i="1"/>
  <c r="AT322" i="1"/>
  <c r="AU322" i="1"/>
  <c r="AV322" i="1"/>
  <c r="AW322" i="1"/>
  <c r="AX322" i="1"/>
  <c r="AS323" i="1"/>
  <c r="AT323" i="1"/>
  <c r="AU323" i="1"/>
  <c r="AV323" i="1"/>
  <c r="AW323" i="1"/>
  <c r="AX323" i="1"/>
  <c r="AS326" i="1"/>
  <c r="AT326" i="1"/>
  <c r="AU326" i="1"/>
  <c r="AV326" i="1"/>
  <c r="AW326" i="1"/>
  <c r="AX326" i="1"/>
  <c r="AS327" i="1"/>
  <c r="AT327" i="1"/>
  <c r="AU327" i="1"/>
  <c r="AV327" i="1"/>
  <c r="AW327" i="1"/>
  <c r="AX327" i="1"/>
  <c r="AS328" i="1"/>
  <c r="AT328" i="1"/>
  <c r="AU328" i="1"/>
  <c r="AV328" i="1"/>
  <c r="AW328" i="1"/>
  <c r="AX328" i="1"/>
  <c r="AS329" i="1"/>
  <c r="AT329" i="1"/>
  <c r="AU329" i="1"/>
  <c r="AV329" i="1"/>
  <c r="AW329" i="1"/>
  <c r="AX329" i="1"/>
  <c r="AS330" i="1"/>
  <c r="AT330" i="1"/>
  <c r="AU330" i="1"/>
  <c r="AV330" i="1"/>
  <c r="AW330" i="1"/>
  <c r="AX330" i="1"/>
  <c r="AU331" i="1"/>
  <c r="AV331" i="1"/>
  <c r="AW331" i="1"/>
  <c r="AX331" i="1"/>
  <c r="AS332" i="1"/>
  <c r="AT332" i="1"/>
  <c r="AU332" i="1"/>
  <c r="AV332" i="1"/>
  <c r="AW332" i="1"/>
  <c r="AX332" i="1"/>
  <c r="AS333" i="1"/>
  <c r="AT333" i="1"/>
  <c r="AU333" i="1"/>
  <c r="AV333" i="1"/>
  <c r="AW333" i="1"/>
  <c r="AX333" i="1"/>
  <c r="AT334" i="1"/>
  <c r="AU334" i="1"/>
  <c r="AV334" i="1"/>
  <c r="AW334" i="1"/>
  <c r="AX334" i="1"/>
  <c r="AT335" i="1"/>
  <c r="AU335" i="1"/>
  <c r="AV335" i="1"/>
  <c r="AW335" i="1"/>
  <c r="AX335" i="1"/>
  <c r="AU336" i="1"/>
  <c r="AV336" i="1"/>
  <c r="AW336" i="1"/>
  <c r="AX336" i="1"/>
  <c r="AU337" i="1"/>
  <c r="AV337" i="1"/>
  <c r="AW337" i="1"/>
  <c r="AX337" i="1"/>
  <c r="AU338" i="1"/>
  <c r="AV338" i="1"/>
  <c r="AW338" i="1"/>
  <c r="AX338" i="1"/>
  <c r="AS339" i="1"/>
  <c r="AT339" i="1"/>
  <c r="AU339" i="1"/>
  <c r="AV339" i="1"/>
  <c r="AW339" i="1"/>
  <c r="AX339" i="1"/>
  <c r="AS340" i="1"/>
  <c r="AT340" i="1"/>
  <c r="AU340" i="1"/>
  <c r="AV340" i="1"/>
  <c r="AW340" i="1"/>
  <c r="AX340" i="1"/>
  <c r="AS341" i="1"/>
  <c r="AT341" i="1"/>
  <c r="AU341" i="1"/>
  <c r="AV341" i="1"/>
  <c r="AW341" i="1"/>
  <c r="AX341" i="1"/>
  <c r="AU342" i="1"/>
  <c r="AV342" i="1"/>
  <c r="AW342" i="1"/>
  <c r="AX342" i="1"/>
  <c r="AU343" i="1"/>
  <c r="AV343" i="1"/>
  <c r="AW343" i="1"/>
  <c r="AX343" i="1"/>
  <c r="AU344" i="1"/>
  <c r="AV344" i="1"/>
  <c r="AW344" i="1"/>
  <c r="AX344" i="1"/>
  <c r="AS345" i="1"/>
  <c r="AT345" i="1"/>
  <c r="AU345" i="1"/>
  <c r="AV345" i="1"/>
  <c r="AW345" i="1"/>
  <c r="AX345" i="1"/>
  <c r="AS346" i="1"/>
  <c r="AT346" i="1"/>
  <c r="AU346" i="1"/>
  <c r="AV346" i="1"/>
  <c r="AW346" i="1"/>
  <c r="AX346" i="1"/>
  <c r="AT347" i="1"/>
  <c r="AU347" i="1"/>
  <c r="AV347" i="1"/>
  <c r="AW347" i="1"/>
  <c r="AX347" i="1"/>
  <c r="AS348" i="1"/>
  <c r="AT348" i="1"/>
  <c r="AU348" i="1"/>
  <c r="AV348" i="1"/>
  <c r="AW348" i="1"/>
  <c r="AX348" i="1"/>
  <c r="AU349" i="1"/>
  <c r="AV349" i="1"/>
  <c r="AW349" i="1"/>
  <c r="AX349" i="1"/>
  <c r="AS350" i="1"/>
  <c r="AT350" i="1"/>
  <c r="AU350" i="1"/>
  <c r="AV350" i="1"/>
  <c r="AW350" i="1"/>
  <c r="AX350" i="1"/>
  <c r="AS351" i="1"/>
  <c r="AT351" i="1"/>
  <c r="AU351" i="1"/>
  <c r="AV351" i="1"/>
  <c r="AW351" i="1"/>
  <c r="AX351" i="1"/>
  <c r="AS215" i="1"/>
  <c r="AT215" i="1"/>
  <c r="AU215" i="1"/>
  <c r="AV215" i="1"/>
  <c r="AW215" i="1"/>
  <c r="AX215" i="1"/>
  <c r="AS227" i="1"/>
  <c r="AT227" i="1"/>
  <c r="AU227" i="1"/>
  <c r="AV227" i="1"/>
  <c r="AW227" i="1"/>
  <c r="AX227" i="1"/>
  <c r="AS240" i="1"/>
  <c r="CI240" i="10" s="1"/>
  <c r="AT240" i="1"/>
  <c r="AU240" i="1"/>
  <c r="AV240" i="1"/>
  <c r="AW240" i="1"/>
  <c r="AX240" i="1"/>
  <c r="AS191" i="1"/>
  <c r="AT191" i="1"/>
  <c r="AU191" i="1"/>
  <c r="AV191" i="1"/>
  <c r="AW191" i="1"/>
  <c r="AX191" i="1"/>
  <c r="AS192" i="1"/>
  <c r="AT192" i="1"/>
  <c r="AU192" i="1"/>
  <c r="AV192" i="1"/>
  <c r="AW192" i="1"/>
  <c r="AX192" i="1"/>
  <c r="AS193" i="1"/>
  <c r="AT193" i="1"/>
  <c r="AU193" i="1"/>
  <c r="AV193" i="1"/>
  <c r="AW193" i="1"/>
  <c r="AX193" i="1"/>
  <c r="AS194" i="1"/>
  <c r="AT194" i="1"/>
  <c r="AU194" i="1"/>
  <c r="AV194" i="1"/>
  <c r="AW194" i="1"/>
  <c r="AX194" i="1"/>
  <c r="AS195" i="1"/>
  <c r="AT195" i="1"/>
  <c r="AU195" i="1"/>
  <c r="AV195" i="1"/>
  <c r="AW195" i="1"/>
  <c r="AX195" i="1"/>
  <c r="AS196" i="1"/>
  <c r="AT196" i="1"/>
  <c r="AU196" i="1"/>
  <c r="AV196" i="1"/>
  <c r="AW196" i="1"/>
  <c r="AX196" i="1"/>
  <c r="AS199" i="1"/>
  <c r="AT199" i="1"/>
  <c r="AU199" i="1"/>
  <c r="AV199" i="1"/>
  <c r="AW199" i="1"/>
  <c r="AX199" i="1"/>
  <c r="AS200" i="1"/>
  <c r="AT200" i="1"/>
  <c r="AU200" i="1"/>
  <c r="AV200" i="1"/>
  <c r="AW200" i="1"/>
  <c r="AX200" i="1"/>
  <c r="AS205" i="1"/>
  <c r="AT205" i="1"/>
  <c r="AU205" i="1"/>
  <c r="AV205" i="1"/>
  <c r="AW205" i="1"/>
  <c r="AX205" i="1"/>
  <c r="AS206" i="1"/>
  <c r="AT206" i="1"/>
  <c r="AU206" i="1"/>
  <c r="AV206" i="1"/>
  <c r="AW206" i="1"/>
  <c r="AX206" i="1"/>
  <c r="AS207" i="1"/>
  <c r="AT207" i="1"/>
  <c r="AU207" i="1"/>
  <c r="AV207" i="1"/>
  <c r="AW207" i="1"/>
  <c r="AX207" i="1"/>
  <c r="AS208" i="1"/>
  <c r="CI208" i="10" s="1"/>
  <c r="AT208" i="1"/>
  <c r="AU208" i="1"/>
  <c r="AV208" i="1"/>
  <c r="AW208" i="1"/>
  <c r="AX208" i="1"/>
  <c r="AS209" i="1"/>
  <c r="AT209" i="1"/>
  <c r="AU209" i="1"/>
  <c r="AV209" i="1"/>
  <c r="AW209" i="1"/>
  <c r="AX209" i="1"/>
  <c r="AS213" i="1"/>
  <c r="AT213" i="1"/>
  <c r="AU213" i="1"/>
  <c r="AV213" i="1"/>
  <c r="AW213" i="1"/>
  <c r="AX213" i="1"/>
  <c r="AS176" i="1"/>
  <c r="AT176" i="1"/>
  <c r="AU176" i="1"/>
  <c r="AV176" i="1"/>
  <c r="AW176" i="1"/>
  <c r="AX176" i="1"/>
  <c r="AS177" i="1"/>
  <c r="AT177" i="1"/>
  <c r="AU177" i="1"/>
  <c r="AV177" i="1"/>
  <c r="AW177" i="1"/>
  <c r="AX177" i="1"/>
  <c r="AS178" i="1"/>
  <c r="AT178" i="1"/>
  <c r="AU178" i="1"/>
  <c r="AV178" i="1"/>
  <c r="AW178" i="1"/>
  <c r="AX178" i="1"/>
  <c r="AS179" i="1"/>
  <c r="AT179" i="1"/>
  <c r="AU179" i="1"/>
  <c r="AV179" i="1"/>
  <c r="AW179" i="1"/>
  <c r="AX179" i="1"/>
  <c r="AS180" i="1"/>
  <c r="AT180" i="1"/>
  <c r="AU180" i="1"/>
  <c r="AV180" i="1"/>
  <c r="AW180" i="1"/>
  <c r="AX180" i="1"/>
  <c r="AS182" i="1"/>
  <c r="AT182" i="1"/>
  <c r="AU182" i="1"/>
  <c r="AV182" i="1"/>
  <c r="AW182" i="1"/>
  <c r="AX182" i="1"/>
  <c r="AS184" i="1"/>
  <c r="AT184" i="1"/>
  <c r="AU184" i="1"/>
  <c r="AV184" i="1"/>
  <c r="AW184" i="1"/>
  <c r="AX184" i="1"/>
  <c r="AS185" i="1"/>
  <c r="AT185" i="1"/>
  <c r="AU185" i="1"/>
  <c r="AV185" i="1"/>
  <c r="AW185" i="1"/>
  <c r="AX185" i="1"/>
  <c r="AS186" i="1"/>
  <c r="AT186" i="1"/>
  <c r="AU186" i="1"/>
  <c r="AV186" i="1"/>
  <c r="AW186" i="1"/>
  <c r="AX186" i="1"/>
  <c r="AS187" i="1"/>
  <c r="AT187" i="1"/>
  <c r="AU187" i="1"/>
  <c r="AV187" i="1"/>
  <c r="AW187" i="1"/>
  <c r="AX187" i="1"/>
  <c r="AS188" i="1"/>
  <c r="AT188" i="1"/>
  <c r="AU188" i="1"/>
  <c r="AV188" i="1"/>
  <c r="AW188" i="1"/>
  <c r="AX188" i="1"/>
  <c r="AS189" i="1"/>
  <c r="AT189" i="1"/>
  <c r="AU189" i="1"/>
  <c r="AV189" i="1"/>
  <c r="AW189" i="1"/>
  <c r="AX189" i="1"/>
  <c r="AS190" i="1"/>
  <c r="AT190" i="1"/>
  <c r="AU190" i="1"/>
  <c r="AV190" i="1"/>
  <c r="AW190" i="1"/>
  <c r="AX190" i="1"/>
  <c r="AS154" i="1"/>
  <c r="AT154" i="1"/>
  <c r="AU154" i="1"/>
  <c r="AV154" i="1"/>
  <c r="AW154" i="1"/>
  <c r="AX154" i="1"/>
  <c r="AS155" i="1"/>
  <c r="AT155" i="1"/>
  <c r="AU155" i="1"/>
  <c r="AV155" i="1"/>
  <c r="AW155" i="1"/>
  <c r="AX155" i="1"/>
  <c r="AS161" i="1"/>
  <c r="AT161" i="1"/>
  <c r="AU161" i="1"/>
  <c r="AV161" i="1"/>
  <c r="AW161" i="1"/>
  <c r="AX161" i="1"/>
  <c r="AS162" i="1"/>
  <c r="AT162" i="1"/>
  <c r="AU162" i="1"/>
  <c r="AV162" i="1"/>
  <c r="AW162" i="1"/>
  <c r="AX162" i="1"/>
  <c r="AS163" i="1"/>
  <c r="CI163" i="10" s="1"/>
  <c r="AT163" i="1"/>
  <c r="AU163" i="1"/>
  <c r="AV163" i="1"/>
  <c r="AW163" i="1"/>
  <c r="AX163" i="1"/>
  <c r="AS164" i="1"/>
  <c r="AT164" i="1"/>
  <c r="AU164" i="1"/>
  <c r="AV164" i="1"/>
  <c r="AW164" i="1"/>
  <c r="AX164" i="1"/>
  <c r="AS165" i="1"/>
  <c r="CI165" i="10" s="1"/>
  <c r="AT165" i="1"/>
  <c r="AU165" i="1"/>
  <c r="AV165" i="1"/>
  <c r="AW165" i="1"/>
  <c r="AX165" i="1"/>
  <c r="AS166" i="1"/>
  <c r="CI166" i="10" s="1"/>
  <c r="AT166" i="1"/>
  <c r="AU166" i="1"/>
  <c r="AV166" i="1"/>
  <c r="AW166" i="1"/>
  <c r="AX166" i="1"/>
  <c r="AS167" i="1"/>
  <c r="CI167" i="10" s="1"/>
  <c r="AT167" i="1"/>
  <c r="AU167" i="1"/>
  <c r="AV167" i="1"/>
  <c r="AW167" i="1"/>
  <c r="AX167" i="1"/>
  <c r="AT168" i="1"/>
  <c r="AU168" i="1"/>
  <c r="AV168" i="1"/>
  <c r="AW168" i="1"/>
  <c r="AX168" i="1"/>
  <c r="AS169" i="1"/>
  <c r="CI169" i="10" s="1"/>
  <c r="AT169" i="1"/>
  <c r="AU169" i="1"/>
  <c r="AV169" i="1"/>
  <c r="AW169" i="1"/>
  <c r="AX169" i="1"/>
  <c r="AA338" i="1"/>
  <c r="AB338" i="1"/>
  <c r="AC338" i="1"/>
  <c r="AD338" i="1"/>
  <c r="AF338" i="1"/>
  <c r="AH338" i="1" s="1"/>
  <c r="AG338" i="1"/>
  <c r="AA340" i="1"/>
  <c r="AB340" i="1"/>
  <c r="AC340" i="1"/>
  <c r="AD340" i="1"/>
  <c r="AF340" i="1"/>
  <c r="AH340" i="1" s="1"/>
  <c r="AG340" i="1"/>
  <c r="AA341" i="1"/>
  <c r="AB341" i="1"/>
  <c r="AC341" i="1"/>
  <c r="AD341" i="1"/>
  <c r="AF341" i="1"/>
  <c r="AH341" i="1" s="1"/>
  <c r="AG341" i="1"/>
  <c r="AA349" i="1"/>
  <c r="AB349" i="1"/>
  <c r="AC349" i="1"/>
  <c r="AD349" i="1"/>
  <c r="AF349" i="1"/>
  <c r="AH349" i="1" s="1"/>
  <c r="AG349" i="1"/>
  <c r="P324" i="1"/>
  <c r="Y324" i="1"/>
  <c r="AE324" i="1" s="1"/>
  <c r="Z324" i="1"/>
  <c r="AA324" i="1"/>
  <c r="AB324" i="1"/>
  <c r="AC324" i="1"/>
  <c r="AD324" i="1"/>
  <c r="AF324" i="1"/>
  <c r="AI324" i="1" s="1"/>
  <c r="AG324" i="1"/>
  <c r="P295" i="1"/>
  <c r="Y295" i="1"/>
  <c r="AE295" i="1" s="1"/>
  <c r="Z295" i="1"/>
  <c r="AA295" i="1"/>
  <c r="AB295" i="1"/>
  <c r="AC295" i="1"/>
  <c r="AD295" i="1"/>
  <c r="AF295" i="1"/>
  <c r="AH295" i="1" s="1"/>
  <c r="AG295" i="1"/>
  <c r="P296" i="1"/>
  <c r="Y296" i="1"/>
  <c r="AE296" i="1" s="1"/>
  <c r="Z296" i="1"/>
  <c r="AA296" i="1"/>
  <c r="AB296" i="1"/>
  <c r="AC296" i="1"/>
  <c r="AD296" i="1"/>
  <c r="AF296" i="1"/>
  <c r="AH296" i="1" s="1"/>
  <c r="AG296" i="1"/>
  <c r="P270" i="1"/>
  <c r="Y270" i="1"/>
  <c r="AE270" i="1" s="1"/>
  <c r="Z270" i="1"/>
  <c r="AA270" i="1"/>
  <c r="AB270" i="1"/>
  <c r="AC270" i="1"/>
  <c r="AD270" i="1"/>
  <c r="AF270" i="1"/>
  <c r="AH270" i="1" s="1"/>
  <c r="AG270" i="1"/>
  <c r="P271" i="1"/>
  <c r="Y271" i="1"/>
  <c r="AE271" i="1" s="1"/>
  <c r="Z271" i="1"/>
  <c r="AA271" i="1"/>
  <c r="AB271" i="1"/>
  <c r="AC271" i="1"/>
  <c r="AD271" i="1"/>
  <c r="AF271" i="1"/>
  <c r="AH271" i="1" s="1"/>
  <c r="AG271" i="1"/>
  <c r="P262" i="1"/>
  <c r="Y262" i="1"/>
  <c r="AE262" i="1" s="1"/>
  <c r="Z262" i="1"/>
  <c r="AA262" i="1"/>
  <c r="AB262" i="1"/>
  <c r="AC262" i="1"/>
  <c r="AD262" i="1"/>
  <c r="AF262" i="1"/>
  <c r="AH262" i="1" s="1"/>
  <c r="AG262" i="1"/>
  <c r="P263" i="1"/>
  <c r="Y263" i="1"/>
  <c r="AE263" i="1" s="1"/>
  <c r="Z263" i="1"/>
  <c r="AA263" i="1"/>
  <c r="AB263" i="1"/>
  <c r="AC263" i="1"/>
  <c r="AD263" i="1"/>
  <c r="AF263" i="1"/>
  <c r="AH263" i="1" s="1"/>
  <c r="AG263" i="1"/>
  <c r="P264" i="1"/>
  <c r="Y264" i="1"/>
  <c r="AE264" i="1" s="1"/>
  <c r="Z264" i="1"/>
  <c r="AA264" i="1"/>
  <c r="AB264" i="1"/>
  <c r="AC264" i="1"/>
  <c r="AD264" i="1"/>
  <c r="AF264" i="1"/>
  <c r="AI264" i="1" s="1"/>
  <c r="AG264" i="1"/>
  <c r="P265" i="1"/>
  <c r="Y265" i="1"/>
  <c r="AE265" i="1" s="1"/>
  <c r="Z265" i="1"/>
  <c r="AA265" i="1"/>
  <c r="AB265" i="1"/>
  <c r="AC265" i="1"/>
  <c r="AD265" i="1"/>
  <c r="AF265" i="1"/>
  <c r="AH265" i="1" s="1"/>
  <c r="AG265" i="1"/>
  <c r="P266" i="1"/>
  <c r="Y266" i="1"/>
  <c r="AE266" i="1" s="1"/>
  <c r="Z266" i="1"/>
  <c r="AA266" i="1"/>
  <c r="AB266" i="1"/>
  <c r="AC266" i="1"/>
  <c r="AD266" i="1"/>
  <c r="AF266" i="1"/>
  <c r="AH266" i="1" s="1"/>
  <c r="AG266" i="1"/>
  <c r="P267" i="1"/>
  <c r="Y267" i="1"/>
  <c r="AE267" i="1" s="1"/>
  <c r="Z267" i="1"/>
  <c r="AA267" i="1"/>
  <c r="AB267" i="1"/>
  <c r="AC267" i="1"/>
  <c r="AD267" i="1"/>
  <c r="AF267" i="1"/>
  <c r="AI267" i="1" s="1"/>
  <c r="AG267" i="1"/>
  <c r="P268" i="1"/>
  <c r="Y268" i="1"/>
  <c r="AE268" i="1" s="1"/>
  <c r="Z268" i="1"/>
  <c r="AA268" i="1"/>
  <c r="AB268" i="1"/>
  <c r="AC268" i="1"/>
  <c r="AD268" i="1"/>
  <c r="AF268" i="1"/>
  <c r="AI268" i="1" s="1"/>
  <c r="AG268" i="1"/>
  <c r="P251" i="1"/>
  <c r="Y251" i="1"/>
  <c r="AE251" i="1" s="1"/>
  <c r="Z251" i="1"/>
  <c r="AA251" i="1"/>
  <c r="AB251" i="1"/>
  <c r="AC251" i="1"/>
  <c r="AD251" i="1"/>
  <c r="AF251" i="1"/>
  <c r="AH251" i="1" s="1"/>
  <c r="AG251" i="1"/>
  <c r="P252" i="1"/>
  <c r="Y252" i="1"/>
  <c r="AE252" i="1" s="1"/>
  <c r="Z252" i="1"/>
  <c r="AA252" i="1"/>
  <c r="AB252" i="1"/>
  <c r="AC252" i="1"/>
  <c r="AD252" i="1"/>
  <c r="AF252" i="1"/>
  <c r="AI252" i="1" s="1"/>
  <c r="AG252" i="1"/>
  <c r="P253" i="1"/>
  <c r="Y253" i="1"/>
  <c r="AE253" i="1" s="1"/>
  <c r="Z253" i="1"/>
  <c r="AA253" i="1"/>
  <c r="AB253" i="1"/>
  <c r="AC253" i="1"/>
  <c r="AD253" i="1"/>
  <c r="AF253" i="1"/>
  <c r="AI253" i="1" s="1"/>
  <c r="AG253" i="1"/>
  <c r="P254" i="1"/>
  <c r="Y254" i="1"/>
  <c r="AE254" i="1" s="1"/>
  <c r="Z254" i="1"/>
  <c r="AA254" i="1"/>
  <c r="AB254" i="1"/>
  <c r="AC254" i="1"/>
  <c r="AD254" i="1"/>
  <c r="AF254" i="1"/>
  <c r="AH254" i="1" s="1"/>
  <c r="AG254" i="1"/>
  <c r="P255" i="1"/>
  <c r="Y255" i="1"/>
  <c r="AE255" i="1" s="1"/>
  <c r="Z255" i="1"/>
  <c r="AA255" i="1"/>
  <c r="AB255" i="1"/>
  <c r="AC255" i="1"/>
  <c r="AD255" i="1"/>
  <c r="AF255" i="1"/>
  <c r="AH255" i="1" s="1"/>
  <c r="AG255" i="1"/>
  <c r="P249" i="1"/>
  <c r="Y249" i="1"/>
  <c r="AE249" i="1" s="1"/>
  <c r="Z249" i="1"/>
  <c r="AA249" i="1"/>
  <c r="AB249" i="1"/>
  <c r="AC249" i="1"/>
  <c r="AD249" i="1"/>
  <c r="AF249" i="1"/>
  <c r="AH249" i="1" s="1"/>
  <c r="AG249" i="1"/>
  <c r="Y291" i="1"/>
  <c r="Z291" i="1"/>
  <c r="P242" i="1"/>
  <c r="Y242" i="1"/>
  <c r="AE242" i="1" s="1"/>
  <c r="Z242" i="1"/>
  <c r="AA242" i="1"/>
  <c r="AB242" i="1"/>
  <c r="AC242" i="1"/>
  <c r="AD242" i="1"/>
  <c r="AF242" i="1"/>
  <c r="AH242" i="1" s="1"/>
  <c r="AG242" i="1"/>
  <c r="P243" i="1"/>
  <c r="Y243" i="1"/>
  <c r="AE243" i="1" s="1"/>
  <c r="Z243" i="1"/>
  <c r="AA243" i="1"/>
  <c r="AB243" i="1"/>
  <c r="AC243" i="1"/>
  <c r="AD243" i="1"/>
  <c r="AF243" i="1"/>
  <c r="AH243" i="1" s="1"/>
  <c r="AG243" i="1"/>
  <c r="P244" i="1"/>
  <c r="Y244" i="1"/>
  <c r="AE244" i="1" s="1"/>
  <c r="Z244" i="1"/>
  <c r="AA244" i="1"/>
  <c r="AB244" i="1"/>
  <c r="AC244" i="1"/>
  <c r="AD244" i="1"/>
  <c r="AF244" i="1"/>
  <c r="AI244" i="1" s="1"/>
  <c r="AG244" i="1"/>
  <c r="P245" i="1"/>
  <c r="Y245" i="1"/>
  <c r="AE245" i="1" s="1"/>
  <c r="Z245" i="1"/>
  <c r="AA245" i="1"/>
  <c r="AB245" i="1"/>
  <c r="AC245" i="1"/>
  <c r="AD245" i="1"/>
  <c r="AF245" i="1"/>
  <c r="AH245" i="1" s="1"/>
  <c r="AG245" i="1"/>
  <c r="Y204" i="1"/>
  <c r="AE204" i="1" s="1"/>
  <c r="Z204" i="1"/>
  <c r="AA204" i="1"/>
  <c r="AB204" i="1"/>
  <c r="AC204" i="1"/>
  <c r="AD204" i="1"/>
  <c r="AF204" i="1"/>
  <c r="AI204" i="1" s="1"/>
  <c r="AG204" i="1"/>
  <c r="Y202" i="1"/>
  <c r="AE202" i="1" s="1"/>
  <c r="Z202" i="1"/>
  <c r="AA202" i="1"/>
  <c r="AB202" i="1"/>
  <c r="AC202" i="1"/>
  <c r="AD202" i="1"/>
  <c r="AF202" i="1"/>
  <c r="AI202" i="1" s="1"/>
  <c r="AG202" i="1"/>
  <c r="Y175" i="1"/>
  <c r="AE175" i="1" s="1"/>
  <c r="Z175" i="1"/>
  <c r="AA175" i="1"/>
  <c r="AB175" i="1"/>
  <c r="AC175" i="1"/>
  <c r="AD175" i="1"/>
  <c r="AF175" i="1"/>
  <c r="AI175" i="1" s="1"/>
  <c r="AG175" i="1"/>
  <c r="Y171" i="1"/>
  <c r="AE171" i="1" s="1"/>
  <c r="Z171" i="1"/>
  <c r="AA171" i="1"/>
  <c r="AB171" i="1"/>
  <c r="AC171" i="1"/>
  <c r="AD171" i="1"/>
  <c r="AF171" i="1"/>
  <c r="AH171" i="1" s="1"/>
  <c r="AG171" i="1"/>
  <c r="Y172" i="1"/>
  <c r="AE172" i="1" s="1"/>
  <c r="Z172" i="1"/>
  <c r="AA172" i="1"/>
  <c r="AB172" i="1"/>
  <c r="AC172" i="1"/>
  <c r="AD172" i="1"/>
  <c r="AF172" i="1"/>
  <c r="AH172" i="1" s="1"/>
  <c r="AG172" i="1"/>
  <c r="Y159" i="1"/>
  <c r="AE159" i="1" s="1"/>
  <c r="Z159" i="1"/>
  <c r="AA159" i="1"/>
  <c r="AB159" i="1"/>
  <c r="AC159" i="1"/>
  <c r="AD159" i="1"/>
  <c r="AF159" i="1"/>
  <c r="AI159" i="1" s="1"/>
  <c r="AG159" i="1"/>
  <c r="Y160" i="1"/>
  <c r="AE160" i="1" s="1"/>
  <c r="Z160" i="1"/>
  <c r="AA160" i="1"/>
  <c r="AB160" i="1"/>
  <c r="AC160" i="1"/>
  <c r="AD160" i="1"/>
  <c r="AF160" i="1"/>
  <c r="AH160" i="1" s="1"/>
  <c r="AG160" i="1"/>
  <c r="Y157" i="1"/>
  <c r="AE157" i="1" s="1"/>
  <c r="Z157" i="1"/>
  <c r="AA157" i="1"/>
  <c r="AB157" i="1"/>
  <c r="AC157" i="1"/>
  <c r="AD157" i="1"/>
  <c r="AF157" i="1"/>
  <c r="AI157" i="1" s="1"/>
  <c r="AG157" i="1"/>
  <c r="Y197" i="1"/>
  <c r="AE197" i="1" s="1"/>
  <c r="Z197" i="1"/>
  <c r="AA197" i="1"/>
  <c r="AB197" i="1"/>
  <c r="AC197" i="1"/>
  <c r="AD197" i="1"/>
  <c r="AF197" i="1"/>
  <c r="AI197" i="1" s="1"/>
  <c r="AG197" i="1"/>
  <c r="AA148" i="1"/>
  <c r="AB148" i="1"/>
  <c r="AC148" i="1"/>
  <c r="AD148" i="1"/>
  <c r="AE148" i="1"/>
  <c r="AF148" i="1"/>
  <c r="AI148" i="1" s="1"/>
  <c r="AG148" i="1"/>
  <c r="AA149" i="1"/>
  <c r="AB149" i="1"/>
  <c r="AC149" i="1"/>
  <c r="AD149" i="1"/>
  <c r="AE149" i="1"/>
  <c r="AF149" i="1"/>
  <c r="AH149" i="1" s="1"/>
  <c r="AG149" i="1"/>
  <c r="AA150" i="1"/>
  <c r="AB150" i="1"/>
  <c r="AC150" i="1"/>
  <c r="AD150" i="1"/>
  <c r="AE150" i="1"/>
  <c r="AF150" i="1"/>
  <c r="AH150" i="1" s="1"/>
  <c r="AG150" i="1"/>
  <c r="AA151" i="1"/>
  <c r="AB151" i="1"/>
  <c r="AC151" i="1"/>
  <c r="AD151" i="1"/>
  <c r="AE151" i="1"/>
  <c r="AF151" i="1"/>
  <c r="AI151" i="1" s="1"/>
  <c r="AG151" i="1"/>
  <c r="AA152" i="1"/>
  <c r="AB152" i="1"/>
  <c r="AC152" i="1"/>
  <c r="AD152" i="1"/>
  <c r="AE152" i="1"/>
  <c r="AF152" i="1"/>
  <c r="AI152" i="1" s="1"/>
  <c r="AG152" i="1"/>
  <c r="AO374" i="10" l="1"/>
  <c r="K371" i="10"/>
  <c r="V244" i="10"/>
  <c r="W244" i="10"/>
  <c r="Y244" i="10"/>
  <c r="X244" i="10"/>
  <c r="U244" i="10"/>
  <c r="Y242" i="10"/>
  <c r="X242" i="10"/>
  <c r="W242" i="10"/>
  <c r="V242" i="10"/>
  <c r="U242" i="10"/>
  <c r="W255" i="10"/>
  <c r="X255" i="10"/>
  <c r="V255" i="10"/>
  <c r="U255" i="10"/>
  <c r="Y255" i="10"/>
  <c r="X271" i="10"/>
  <c r="V271" i="10"/>
  <c r="W271" i="10"/>
  <c r="U271" i="10"/>
  <c r="Y271" i="10"/>
  <c r="W324" i="10"/>
  <c r="X324" i="10"/>
  <c r="U324" i="10"/>
  <c r="Y324" i="10"/>
  <c r="V324" i="10"/>
  <c r="V150" i="10"/>
  <c r="X150" i="10"/>
  <c r="V253" i="10"/>
  <c r="X253" i="10"/>
  <c r="W253" i="10"/>
  <c r="U253" i="10"/>
  <c r="Y253" i="10"/>
  <c r="X251" i="10"/>
  <c r="W251" i="10"/>
  <c r="V251" i="10"/>
  <c r="U251" i="10"/>
  <c r="Y251" i="10"/>
  <c r="W267" i="10"/>
  <c r="X267" i="10"/>
  <c r="U267" i="10"/>
  <c r="V267" i="10"/>
  <c r="Y267" i="10"/>
  <c r="W265" i="10"/>
  <c r="X265" i="10"/>
  <c r="Y265" i="10"/>
  <c r="V265" i="10"/>
  <c r="U265" i="10"/>
  <c r="V263" i="10"/>
  <c r="X263" i="10"/>
  <c r="W263" i="10"/>
  <c r="U263" i="10"/>
  <c r="Y263" i="10"/>
  <c r="X151" i="10"/>
  <c r="V151" i="10"/>
  <c r="V160" i="10"/>
  <c r="X160" i="10"/>
  <c r="AL242" i="10"/>
  <c r="AM242" i="10"/>
  <c r="I242" i="10"/>
  <c r="AN242" i="10"/>
  <c r="O242" i="10"/>
  <c r="AF242" i="10"/>
  <c r="AG242" i="10" s="1"/>
  <c r="AB242" i="10"/>
  <c r="V249" i="10"/>
  <c r="X249" i="10"/>
  <c r="W249" i="10"/>
  <c r="U249" i="10"/>
  <c r="Y249" i="10"/>
  <c r="AN255" i="10"/>
  <c r="AM255" i="10"/>
  <c r="I255" i="10"/>
  <c r="AF255" i="10"/>
  <c r="AG255" i="10" s="1"/>
  <c r="AB255" i="10"/>
  <c r="AL255" i="10"/>
  <c r="O255" i="10"/>
  <c r="AL251" i="10"/>
  <c r="AM251" i="10"/>
  <c r="AN251" i="10"/>
  <c r="O251" i="10"/>
  <c r="I251" i="10"/>
  <c r="AB251" i="10"/>
  <c r="AF251" i="10"/>
  <c r="AG251" i="10" s="1"/>
  <c r="AM263" i="10"/>
  <c r="I263" i="10"/>
  <c r="AN263" i="10"/>
  <c r="AL263" i="10"/>
  <c r="AB263" i="10"/>
  <c r="AF263" i="10"/>
  <c r="AG263" i="10" s="1"/>
  <c r="O263" i="10"/>
  <c r="I296" i="10"/>
  <c r="AL296" i="10"/>
  <c r="AN296" i="10"/>
  <c r="AM296" i="10"/>
  <c r="AB296" i="10"/>
  <c r="O296" i="10"/>
  <c r="AF296" i="10"/>
  <c r="AG296" i="10" s="1"/>
  <c r="V152" i="10"/>
  <c r="X152" i="10"/>
  <c r="V148" i="10"/>
  <c r="X148" i="10"/>
  <c r="V197" i="10"/>
  <c r="X197" i="10"/>
  <c r="V204" i="10"/>
  <c r="X204" i="10"/>
  <c r="Y245" i="10"/>
  <c r="V245" i="10"/>
  <c r="W245" i="10"/>
  <c r="X245" i="10"/>
  <c r="U245" i="10"/>
  <c r="V243" i="10"/>
  <c r="W243" i="10"/>
  <c r="X243" i="10"/>
  <c r="U243" i="10"/>
  <c r="Y243" i="10"/>
  <c r="AN249" i="10"/>
  <c r="AL249" i="10"/>
  <c r="AM249" i="10"/>
  <c r="O249" i="10"/>
  <c r="I249" i="10"/>
  <c r="AF249" i="10"/>
  <c r="AG249" i="10" s="1"/>
  <c r="AB249" i="10"/>
  <c r="U254" i="10"/>
  <c r="Y254" i="10"/>
  <c r="X254" i="10"/>
  <c r="W254" i="10"/>
  <c r="V254" i="10"/>
  <c r="W252" i="10"/>
  <c r="V252" i="10"/>
  <c r="U252" i="10"/>
  <c r="Y252" i="10"/>
  <c r="X252" i="10"/>
  <c r="Y268" i="10"/>
  <c r="X268" i="10"/>
  <c r="W268" i="10"/>
  <c r="U268" i="10"/>
  <c r="V268" i="10"/>
  <c r="U266" i="10"/>
  <c r="W266" i="10"/>
  <c r="Y266" i="10"/>
  <c r="X266" i="10"/>
  <c r="V266" i="10"/>
  <c r="W264" i="10"/>
  <c r="V264" i="10"/>
  <c r="U264" i="10"/>
  <c r="Y264" i="10"/>
  <c r="X264" i="10"/>
  <c r="W262" i="10"/>
  <c r="U262" i="10"/>
  <c r="X262" i="10"/>
  <c r="Y262" i="10"/>
  <c r="V262" i="10"/>
  <c r="W270" i="10"/>
  <c r="U270" i="10"/>
  <c r="Y270" i="10"/>
  <c r="V270" i="10"/>
  <c r="X270" i="10"/>
  <c r="W295" i="10"/>
  <c r="V295" i="10"/>
  <c r="X295" i="10"/>
  <c r="U295" i="10"/>
  <c r="Y295" i="10"/>
  <c r="V175" i="10"/>
  <c r="X175" i="10"/>
  <c r="V202" i="10"/>
  <c r="X202" i="10"/>
  <c r="Y296" i="10"/>
  <c r="V296" i="10"/>
  <c r="W296" i="10"/>
  <c r="U296" i="10"/>
  <c r="X296" i="10"/>
  <c r="V159" i="10"/>
  <c r="X159" i="10"/>
  <c r="AL244" i="10"/>
  <c r="O244" i="10"/>
  <c r="AM244" i="10"/>
  <c r="I244" i="10"/>
  <c r="AN244" i="10"/>
  <c r="AB244" i="10"/>
  <c r="AF244" i="10"/>
  <c r="AG244" i="10" s="1"/>
  <c r="AN253" i="10"/>
  <c r="AL253" i="10"/>
  <c r="AM253" i="10"/>
  <c r="I253" i="10"/>
  <c r="AB253" i="10"/>
  <c r="AF253" i="10"/>
  <c r="AG253" i="10" s="1"/>
  <c r="O253" i="10"/>
  <c r="AN267" i="10"/>
  <c r="AM267" i="10"/>
  <c r="O267" i="10"/>
  <c r="AF267" i="10"/>
  <c r="AG267" i="10" s="1"/>
  <c r="AB267" i="10"/>
  <c r="I267" i="10"/>
  <c r="AL267" i="10"/>
  <c r="AN265" i="10"/>
  <c r="AM265" i="10"/>
  <c r="AF265" i="10"/>
  <c r="AG265" i="10" s="1"/>
  <c r="O265" i="10"/>
  <c r="AB265" i="10"/>
  <c r="AL265" i="10"/>
  <c r="I265" i="10"/>
  <c r="AN271" i="10"/>
  <c r="AM271" i="10"/>
  <c r="AB271" i="10"/>
  <c r="I271" i="10"/>
  <c r="AL271" i="10"/>
  <c r="AF271" i="10"/>
  <c r="AG271" i="10" s="1"/>
  <c r="O271" i="10"/>
  <c r="AM324" i="10"/>
  <c r="AN324" i="10"/>
  <c r="AL324" i="10"/>
  <c r="O324" i="10"/>
  <c r="AF324" i="10"/>
  <c r="AG324" i="10" s="1"/>
  <c r="I324" i="10"/>
  <c r="AB324" i="10"/>
  <c r="X149" i="10"/>
  <c r="V149" i="10"/>
  <c r="X157" i="10"/>
  <c r="V157" i="10"/>
  <c r="X172" i="10"/>
  <c r="V172" i="10"/>
  <c r="X171" i="10"/>
  <c r="V171" i="10"/>
  <c r="AL245" i="10"/>
  <c r="AM245" i="10"/>
  <c r="AN245" i="10"/>
  <c r="AB245" i="10"/>
  <c r="I245" i="10"/>
  <c r="O245" i="10"/>
  <c r="AF245" i="10"/>
  <c r="AG245" i="10" s="1"/>
  <c r="AM243" i="10"/>
  <c r="AN243" i="10"/>
  <c r="AL243" i="10"/>
  <c r="I243" i="10"/>
  <c r="AF243" i="10"/>
  <c r="AG243" i="10" s="1"/>
  <c r="O243" i="10"/>
  <c r="AB243" i="10"/>
  <c r="AM254" i="10"/>
  <c r="AN254" i="10"/>
  <c r="AL254" i="10"/>
  <c r="I254" i="10"/>
  <c r="AB254" i="10"/>
  <c r="AF254" i="10"/>
  <c r="AG254" i="10" s="1"/>
  <c r="O254" i="10"/>
  <c r="AM252" i="10"/>
  <c r="AL252" i="10"/>
  <c r="O252" i="10"/>
  <c r="I252" i="10"/>
  <c r="AN252" i="10"/>
  <c r="AF252" i="10"/>
  <c r="AG252" i="10" s="1"/>
  <c r="AB252" i="10"/>
  <c r="AM268" i="10"/>
  <c r="AL268" i="10"/>
  <c r="I268" i="10"/>
  <c r="AN268" i="10"/>
  <c r="O268" i="10"/>
  <c r="AB268" i="10"/>
  <c r="AF268" i="10"/>
  <c r="AG268" i="10" s="1"/>
  <c r="AL266" i="10"/>
  <c r="AM266" i="10"/>
  <c r="I266" i="10"/>
  <c r="AN266" i="10"/>
  <c r="O266" i="10"/>
  <c r="AB266" i="10"/>
  <c r="AF266" i="10"/>
  <c r="AG266" i="10" s="1"/>
  <c r="AL264" i="10"/>
  <c r="AM264" i="10"/>
  <c r="I264" i="10"/>
  <c r="AN264" i="10"/>
  <c r="O264" i="10"/>
  <c r="AB264" i="10"/>
  <c r="AF264" i="10"/>
  <c r="AG264" i="10" s="1"/>
  <c r="AL262" i="10"/>
  <c r="AM262" i="10"/>
  <c r="I262" i="10"/>
  <c r="AN262" i="10"/>
  <c r="O262" i="10"/>
  <c r="AF262" i="10"/>
  <c r="AG262" i="10" s="1"/>
  <c r="AB262" i="10"/>
  <c r="AM270" i="10"/>
  <c r="AL270" i="10"/>
  <c r="I270" i="10"/>
  <c r="AN270" i="10"/>
  <c r="AB270" i="10"/>
  <c r="O270" i="10"/>
  <c r="AF270" i="10"/>
  <c r="AG270" i="10" s="1"/>
  <c r="O295" i="10"/>
  <c r="I295" i="10"/>
  <c r="AN295" i="10"/>
  <c r="AL295" i="10"/>
  <c r="AM295" i="10"/>
  <c r="AF295" i="10"/>
  <c r="AG295" i="10" s="1"/>
  <c r="AB295" i="10"/>
  <c r="AE378" i="10"/>
  <c r="BR367" i="10"/>
  <c r="CM367" i="10"/>
  <c r="K379" i="10"/>
  <c r="AE367" i="10"/>
  <c r="AE379" i="10"/>
  <c r="K370" i="10"/>
  <c r="CM375" i="10"/>
  <c r="AA383" i="10"/>
  <c r="AO377" i="10"/>
  <c r="K374" i="10"/>
  <c r="AE371" i="10"/>
  <c r="AC379" i="10"/>
  <c r="AA367" i="10"/>
  <c r="AO381" i="10"/>
  <c r="K369" i="10"/>
  <c r="K381" i="10"/>
  <c r="CM379" i="10"/>
  <c r="AC367" i="10"/>
  <c r="CE374" i="10"/>
  <c r="AE383" i="10"/>
  <c r="AO367" i="10"/>
  <c r="K383" i="10"/>
  <c r="AE382" i="10"/>
  <c r="AC375" i="10"/>
  <c r="BR375" i="10"/>
  <c r="AE375" i="10"/>
  <c r="AO366" i="10"/>
  <c r="CE367" i="10"/>
  <c r="AO371" i="10"/>
  <c r="AA375" i="10"/>
  <c r="AO370" i="10"/>
  <c r="K378" i="10"/>
  <c r="K366" i="10"/>
  <c r="K382" i="10"/>
  <c r="BR383" i="10"/>
  <c r="AO365" i="10"/>
  <c r="CF375" i="10"/>
  <c r="CM383" i="10"/>
  <c r="K373" i="10"/>
  <c r="AC383" i="10"/>
  <c r="AO382" i="10"/>
  <c r="AE370" i="10"/>
  <c r="BR379" i="10"/>
  <c r="CE381" i="10"/>
  <c r="AO373" i="10"/>
  <c r="AO383" i="10"/>
  <c r="AO369" i="10"/>
  <c r="AO378" i="10"/>
  <c r="AO379" i="10"/>
  <c r="CE379" i="10"/>
  <c r="K365" i="10"/>
  <c r="AE366" i="10"/>
  <c r="AA379" i="10"/>
  <c r="AO376" i="10"/>
  <c r="AF372" i="10"/>
  <c r="AG372" i="10" s="1"/>
  <c r="AE372" i="10"/>
  <c r="AB373" i="10"/>
  <c r="AA373" i="10"/>
  <c r="K380" i="10"/>
  <c r="O369" i="10"/>
  <c r="N369" i="10"/>
  <c r="N376" i="10"/>
  <c r="O376" i="10"/>
  <c r="AF365" i="10"/>
  <c r="AG365" i="10" s="1"/>
  <c r="AE365" i="10"/>
  <c r="N367" i="10"/>
  <c r="O367" i="10"/>
  <c r="AF369" i="10"/>
  <c r="AG369" i="10" s="1"/>
  <c r="AE369" i="10"/>
  <c r="AB370" i="10"/>
  <c r="AA370" i="10"/>
  <c r="AF373" i="10"/>
  <c r="AG373" i="10" s="1"/>
  <c r="AE373" i="10"/>
  <c r="N375" i="10"/>
  <c r="O375" i="10"/>
  <c r="AB378" i="10"/>
  <c r="AA378" i="10"/>
  <c r="N383" i="10"/>
  <c r="O383" i="10"/>
  <c r="O382" i="10"/>
  <c r="N382" i="10"/>
  <c r="AB380" i="10"/>
  <c r="AA380" i="10"/>
  <c r="N366" i="10"/>
  <c r="O366" i="10"/>
  <c r="AF368" i="10"/>
  <c r="AG368" i="10" s="1"/>
  <c r="AE368" i="10"/>
  <c r="AB369" i="10"/>
  <c r="AA369" i="10"/>
  <c r="N374" i="10"/>
  <c r="O374" i="10"/>
  <c r="N380" i="10"/>
  <c r="O380" i="10"/>
  <c r="O381" i="10"/>
  <c r="N381" i="10"/>
  <c r="N371" i="10"/>
  <c r="O371" i="10"/>
  <c r="AF377" i="10"/>
  <c r="AG377" i="10" s="1"/>
  <c r="AE377" i="10"/>
  <c r="O379" i="10"/>
  <c r="N379" i="10"/>
  <c r="AO368" i="10"/>
  <c r="N378" i="10"/>
  <c r="O378" i="10"/>
  <c r="AF380" i="10"/>
  <c r="AG380" i="10" s="1"/>
  <c r="AE380" i="10"/>
  <c r="AB372" i="10"/>
  <c r="AA372" i="10"/>
  <c r="AB368" i="10"/>
  <c r="AA368" i="10"/>
  <c r="AB376" i="10"/>
  <c r="AA376" i="10"/>
  <c r="N370" i="10"/>
  <c r="O370" i="10"/>
  <c r="K376" i="10"/>
  <c r="AB377" i="10"/>
  <c r="AA377" i="10"/>
  <c r="O372" i="10"/>
  <c r="N372" i="10"/>
  <c r="AO372" i="10"/>
  <c r="AO380" i="10"/>
  <c r="AB365" i="10"/>
  <c r="AA365" i="10"/>
  <c r="K372" i="10"/>
  <c r="AB381" i="10"/>
  <c r="AA381" i="10"/>
  <c r="N373" i="10"/>
  <c r="O373" i="10"/>
  <c r="O365" i="10"/>
  <c r="N365" i="10"/>
  <c r="AB366" i="10"/>
  <c r="AA366" i="10"/>
  <c r="AB374" i="10"/>
  <c r="AA374" i="10"/>
  <c r="K377" i="10"/>
  <c r="AF381" i="10"/>
  <c r="AG381" i="10" s="1"/>
  <c r="AE381" i="10"/>
  <c r="AB382" i="10"/>
  <c r="AA382" i="10"/>
  <c r="K368" i="10"/>
  <c r="AF376" i="10"/>
  <c r="AG376" i="10" s="1"/>
  <c r="AE376" i="10"/>
  <c r="O377" i="10"/>
  <c r="N377" i="10"/>
  <c r="O368" i="10"/>
  <c r="N368" i="10"/>
  <c r="AI338" i="1"/>
  <c r="AI349" i="1"/>
  <c r="AI341" i="1"/>
  <c r="AI340" i="1"/>
  <c r="AI296" i="1"/>
  <c r="AH324" i="1"/>
  <c r="AI295" i="1"/>
  <c r="AH268" i="1"/>
  <c r="AI271" i="1"/>
  <c r="AI270" i="1"/>
  <c r="AI263" i="1"/>
  <c r="AH264" i="1"/>
  <c r="AH267" i="1"/>
  <c r="AI266" i="1"/>
  <c r="AI262" i="1"/>
  <c r="AI265" i="1"/>
  <c r="AH253" i="1"/>
  <c r="AH252" i="1"/>
  <c r="AI255" i="1"/>
  <c r="AI251" i="1"/>
  <c r="AI254" i="1"/>
  <c r="AI249" i="1"/>
  <c r="AI243" i="1"/>
  <c r="AH244" i="1"/>
  <c r="AI242" i="1"/>
  <c r="AI245" i="1"/>
  <c r="AH175" i="1"/>
  <c r="AH202" i="1"/>
  <c r="AH204" i="1"/>
  <c r="AH159" i="1"/>
  <c r="AI171" i="1"/>
  <c r="AI172" i="1"/>
  <c r="AI160" i="1"/>
  <c r="AH157" i="1"/>
  <c r="AH197" i="1"/>
  <c r="AH152" i="1"/>
  <c r="AH148" i="1"/>
  <c r="AH151" i="1"/>
  <c r="AI150" i="1"/>
  <c r="AI149" i="1"/>
  <c r="AO270" i="10" l="1"/>
  <c r="AO264" i="10"/>
  <c r="AC266" i="10"/>
  <c r="K266" i="10"/>
  <c r="AC252" i="10"/>
  <c r="P244" i="10"/>
  <c r="AO244" i="10"/>
  <c r="P296" i="10"/>
  <c r="AC251" i="10"/>
  <c r="P251" i="10"/>
  <c r="AO255" i="10"/>
  <c r="AC242" i="10"/>
  <c r="P270" i="10"/>
  <c r="AC262" i="10"/>
  <c r="K264" i="10"/>
  <c r="P266" i="10"/>
  <c r="P268" i="10"/>
  <c r="AO268" i="10"/>
  <c r="AO252" i="10"/>
  <c r="P243" i="10"/>
  <c r="P245" i="10"/>
  <c r="AC324" i="10"/>
  <c r="AO324" i="10"/>
  <c r="AO271" i="10"/>
  <c r="K271" i="10"/>
  <c r="K265" i="10"/>
  <c r="AC265" i="10"/>
  <c r="AC253" i="10"/>
  <c r="K249" i="10"/>
  <c r="P249" i="10"/>
  <c r="AC296" i="10"/>
  <c r="AO296" i="10"/>
  <c r="AC263" i="10"/>
  <c r="AO263" i="10"/>
  <c r="K251" i="10"/>
  <c r="K255" i="10"/>
  <c r="AO295" i="10"/>
  <c r="P295" i="10"/>
  <c r="AC254" i="10"/>
  <c r="AO254" i="10"/>
  <c r="K267" i="10"/>
  <c r="AC267" i="10"/>
  <c r="K295" i="10"/>
  <c r="AC270" i="10"/>
  <c r="K270" i="10"/>
  <c r="AC243" i="10"/>
  <c r="K243" i="10"/>
  <c r="K245" i="10"/>
  <c r="AO265" i="10"/>
  <c r="P267" i="10"/>
  <c r="K263" i="10"/>
  <c r="P242" i="10"/>
  <c r="AO242" i="10"/>
  <c r="AC268" i="10"/>
  <c r="P252" i="10"/>
  <c r="P253" i="10"/>
  <c r="AO262" i="10"/>
  <c r="AC264" i="10"/>
  <c r="P254" i="10"/>
  <c r="AO245" i="10"/>
  <c r="K324" i="10"/>
  <c r="P271" i="10"/>
  <c r="AO267" i="10"/>
  <c r="AC295" i="10"/>
  <c r="P262" i="10"/>
  <c r="K262" i="10"/>
  <c r="P264" i="10"/>
  <c r="AO266" i="10"/>
  <c r="K268" i="10"/>
  <c r="K252" i="10"/>
  <c r="K254" i="10"/>
  <c r="AO243" i="10"/>
  <c r="AC245" i="10"/>
  <c r="P324" i="10"/>
  <c r="AC271" i="10"/>
  <c r="P265" i="10"/>
  <c r="K253" i="10"/>
  <c r="AO253" i="10"/>
  <c r="AC244" i="10"/>
  <c r="K244" i="10"/>
  <c r="AC249" i="10"/>
  <c r="AO249" i="10"/>
  <c r="K296" i="10"/>
  <c r="P263" i="10"/>
  <c r="AO251" i="10"/>
  <c r="P255" i="10"/>
  <c r="AC255" i="10"/>
  <c r="K242" i="10"/>
  <c r="P379" i="10"/>
  <c r="AZ379" i="10"/>
  <c r="AY379" i="10"/>
  <c r="CK379" i="10"/>
  <c r="P371" i="10"/>
  <c r="AZ371" i="10"/>
  <c r="CK371" i="10"/>
  <c r="AY371" i="10"/>
  <c r="P380" i="10"/>
  <c r="AZ380" i="10"/>
  <c r="AY380" i="10"/>
  <c r="CK380" i="10"/>
  <c r="P374" i="10"/>
  <c r="AZ374" i="10"/>
  <c r="AY374" i="10"/>
  <c r="CK374" i="10"/>
  <c r="BR369" i="10"/>
  <c r="CM369" i="10"/>
  <c r="AC369" i="10"/>
  <c r="P369" i="10"/>
  <c r="AZ369" i="10"/>
  <c r="AY369" i="10"/>
  <c r="CK369" i="10"/>
  <c r="AC373" i="10"/>
  <c r="BR373" i="10"/>
  <c r="CM373" i="10"/>
  <c r="BR365" i="10"/>
  <c r="AC365" i="10"/>
  <c r="CM365" i="10"/>
  <c r="BR380" i="10"/>
  <c r="AC380" i="10"/>
  <c r="CM380" i="10"/>
  <c r="BR382" i="10"/>
  <c r="CM382" i="10"/>
  <c r="AC382" i="10"/>
  <c r="P373" i="10"/>
  <c r="AZ373" i="10"/>
  <c r="AY373" i="10"/>
  <c r="CK373" i="10"/>
  <c r="P365" i="10"/>
  <c r="AZ365" i="10"/>
  <c r="AY365" i="10"/>
  <c r="CK365" i="10"/>
  <c r="BR377" i="10"/>
  <c r="AC377" i="10"/>
  <c r="CM377" i="10"/>
  <c r="AC372" i="10"/>
  <c r="BR372" i="10"/>
  <c r="CM372" i="10"/>
  <c r="P381" i="10"/>
  <c r="AZ381" i="10"/>
  <c r="AY381" i="10"/>
  <c r="CK381" i="10"/>
  <c r="P375" i="10"/>
  <c r="AZ375" i="10"/>
  <c r="AY375" i="10"/>
  <c r="CK375" i="10"/>
  <c r="P367" i="10"/>
  <c r="AZ367" i="10"/>
  <c r="AY367" i="10"/>
  <c r="CK367" i="10"/>
  <c r="P376" i="10"/>
  <c r="AZ376" i="10"/>
  <c r="AY376" i="10"/>
  <c r="CK376" i="10"/>
  <c r="P370" i="10"/>
  <c r="AZ370" i="10"/>
  <c r="CK370" i="10"/>
  <c r="AY370" i="10"/>
  <c r="BR368" i="10"/>
  <c r="AC368" i="10"/>
  <c r="CM368" i="10"/>
  <c r="P368" i="10"/>
  <c r="AZ368" i="10"/>
  <c r="AY368" i="10"/>
  <c r="CK368" i="10"/>
  <c r="P377" i="10"/>
  <c r="AZ377" i="10"/>
  <c r="AY377" i="10"/>
  <c r="CK377" i="10"/>
  <c r="BR374" i="10"/>
  <c r="CM374" i="10"/>
  <c r="AC374" i="10"/>
  <c r="AC366" i="10"/>
  <c r="BR366" i="10"/>
  <c r="CM366" i="10"/>
  <c r="CM381" i="10"/>
  <c r="AC381" i="10"/>
  <c r="BR381" i="10"/>
  <c r="P372" i="10"/>
  <c r="AZ372" i="10"/>
  <c r="CK372" i="10"/>
  <c r="AY372" i="10"/>
  <c r="BR376" i="10"/>
  <c r="CM376" i="10"/>
  <c r="AC376" i="10"/>
  <c r="P378" i="10"/>
  <c r="AZ378" i="10"/>
  <c r="AY378" i="10"/>
  <c r="CK378" i="10"/>
  <c r="P366" i="10"/>
  <c r="AZ366" i="10"/>
  <c r="AY366" i="10"/>
  <c r="CK366" i="10"/>
  <c r="P382" i="10"/>
  <c r="AZ382" i="10"/>
  <c r="CK382" i="10"/>
  <c r="AY382" i="10"/>
  <c r="P383" i="10"/>
  <c r="AZ383" i="10"/>
  <c r="CK383" i="10"/>
  <c r="AY383" i="10"/>
  <c r="AC378" i="10"/>
  <c r="BR378" i="10"/>
  <c r="CM378" i="10"/>
  <c r="BR370" i="10"/>
  <c r="CM370" i="10"/>
  <c r="AC370" i="10"/>
  <c r="F27" i="27"/>
  <c r="F32" i="27" s="1"/>
  <c r="G27" i="27"/>
  <c r="G32" i="27" s="1"/>
  <c r="H27" i="27"/>
  <c r="I27" i="27"/>
  <c r="I32" i="27" s="1"/>
  <c r="J27" i="27"/>
  <c r="J32" i="27" s="1"/>
  <c r="K27" i="27"/>
  <c r="H32" i="27"/>
  <c r="K32" i="27"/>
  <c r="T242" i="10" l="1"/>
  <c r="Q242" i="10"/>
  <c r="S242" i="10"/>
  <c r="R242" i="10"/>
  <c r="S296" i="10"/>
  <c r="R296" i="10"/>
  <c r="T296" i="10"/>
  <c r="Q296" i="10"/>
  <c r="R255" i="10"/>
  <c r="T255" i="10"/>
  <c r="S255" i="10"/>
  <c r="Q255" i="10"/>
  <c r="R263" i="10"/>
  <c r="Q263" i="10"/>
  <c r="T263" i="10"/>
  <c r="S263" i="10"/>
  <c r="S262" i="10"/>
  <c r="T262" i="10"/>
  <c r="R262" i="10"/>
  <c r="Q262" i="10"/>
  <c r="R267" i="10"/>
  <c r="S267" i="10"/>
  <c r="T267" i="10"/>
  <c r="Q267" i="10"/>
  <c r="S251" i="10"/>
  <c r="R251" i="10"/>
  <c r="Q251" i="10"/>
  <c r="T251" i="10"/>
  <c r="S324" i="10"/>
  <c r="Q324" i="10"/>
  <c r="R324" i="10"/>
  <c r="T324" i="10"/>
  <c r="T253" i="10"/>
  <c r="R253" i="10"/>
  <c r="Q253" i="10"/>
  <c r="S253" i="10"/>
  <c r="R252" i="10"/>
  <c r="T252" i="10"/>
  <c r="Q252" i="10"/>
  <c r="S252" i="10"/>
  <c r="Q249" i="10"/>
  <c r="S249" i="10"/>
  <c r="T249" i="10"/>
  <c r="R249" i="10"/>
  <c r="S266" i="10"/>
  <c r="Q266" i="10"/>
  <c r="T266" i="10"/>
  <c r="R266" i="10"/>
  <c r="S264" i="10"/>
  <c r="T264" i="10"/>
  <c r="R264" i="10"/>
  <c r="Q264" i="10"/>
  <c r="R271" i="10"/>
  <c r="Q271" i="10"/>
  <c r="T271" i="10"/>
  <c r="S271" i="10"/>
  <c r="S295" i="10"/>
  <c r="T295" i="10"/>
  <c r="Q295" i="10"/>
  <c r="R295" i="10"/>
  <c r="S245" i="10"/>
  <c r="T245" i="10"/>
  <c r="Q245" i="10"/>
  <c r="R245" i="10"/>
  <c r="R243" i="10"/>
  <c r="Q243" i="10"/>
  <c r="T243" i="10"/>
  <c r="S243" i="10"/>
  <c r="T265" i="10"/>
  <c r="R265" i="10"/>
  <c r="S265" i="10"/>
  <c r="Q265" i="10"/>
  <c r="S254" i="10"/>
  <c r="Q254" i="10"/>
  <c r="T254" i="10"/>
  <c r="R254" i="10"/>
  <c r="S268" i="10"/>
  <c r="R268" i="10"/>
  <c r="T268" i="10"/>
  <c r="Q268" i="10"/>
  <c r="T270" i="10"/>
  <c r="Q270" i="10"/>
  <c r="S270" i="10"/>
  <c r="R270" i="10"/>
  <c r="Q244" i="10"/>
  <c r="S244" i="10"/>
  <c r="T244" i="10"/>
  <c r="R244" i="10"/>
  <c r="T365" i="10"/>
  <c r="Q365" i="10"/>
  <c r="R365" i="10"/>
  <c r="S365" i="10"/>
  <c r="T374" i="10"/>
  <c r="Q374" i="10"/>
  <c r="S374" i="10"/>
  <c r="R374" i="10"/>
  <c r="T371" i="10"/>
  <c r="R371" i="10"/>
  <c r="S371" i="10"/>
  <c r="Q371" i="10"/>
  <c r="T368" i="10"/>
  <c r="S368" i="10"/>
  <c r="Q368" i="10"/>
  <c r="R368" i="10"/>
  <c r="T367" i="10"/>
  <c r="S367" i="10"/>
  <c r="Q367" i="10"/>
  <c r="R367" i="10"/>
  <c r="T380" i="10"/>
  <c r="S380" i="10"/>
  <c r="Q380" i="10"/>
  <c r="R380" i="10"/>
  <c r="T383" i="10"/>
  <c r="S383" i="10"/>
  <c r="Q383" i="10"/>
  <c r="R383" i="10"/>
  <c r="T378" i="10"/>
  <c r="Q378" i="10"/>
  <c r="R378" i="10"/>
  <c r="S378" i="10"/>
  <c r="T376" i="10"/>
  <c r="R376" i="10"/>
  <c r="S376" i="10"/>
  <c r="Q376" i="10"/>
  <c r="T375" i="10"/>
  <c r="S375" i="10"/>
  <c r="Q375" i="10"/>
  <c r="R375" i="10"/>
  <c r="T373" i="10"/>
  <c r="S373" i="10"/>
  <c r="Q373" i="10"/>
  <c r="R373" i="10"/>
  <c r="T379" i="10"/>
  <c r="S379" i="10"/>
  <c r="Q379" i="10"/>
  <c r="R379" i="10"/>
  <c r="T377" i="10"/>
  <c r="Q377" i="10"/>
  <c r="R377" i="10"/>
  <c r="S377" i="10"/>
  <c r="T366" i="10"/>
  <c r="Q366" i="10"/>
  <c r="S366" i="10"/>
  <c r="R366" i="10"/>
  <c r="T382" i="10"/>
  <c r="Q382" i="10"/>
  <c r="R382" i="10"/>
  <c r="S382" i="10"/>
  <c r="T372" i="10"/>
  <c r="S372" i="10"/>
  <c r="R372" i="10"/>
  <c r="Q372" i="10"/>
  <c r="T370" i="10"/>
  <c r="S370" i="10"/>
  <c r="Q370" i="10"/>
  <c r="R370" i="10"/>
  <c r="T381" i="10"/>
  <c r="Q381" i="10"/>
  <c r="R381" i="10"/>
  <c r="S381" i="10"/>
  <c r="T369" i="10"/>
  <c r="R369" i="10"/>
  <c r="S369" i="10"/>
  <c r="Q369" i="10"/>
  <c r="Z5" i="1" l="1"/>
  <c r="Z6" i="1"/>
  <c r="Z7" i="1"/>
  <c r="Z8" i="1"/>
  <c r="Z9" i="1"/>
  <c r="Z10" i="1"/>
  <c r="Z11" i="1"/>
  <c r="Z12" i="1"/>
  <c r="Z13" i="1"/>
  <c r="Z14" i="1"/>
  <c r="Y5" i="1"/>
  <c r="Y6" i="1"/>
  <c r="Y7" i="1"/>
  <c r="Y10" i="1"/>
  <c r="AE10" i="1" s="1"/>
  <c r="Y11" i="1"/>
  <c r="Y12" i="1"/>
  <c r="AE12" i="1" s="1"/>
  <c r="Y13" i="1"/>
  <c r="AE13" i="1" s="1"/>
  <c r="Y14" i="1"/>
  <c r="AE14" i="1" s="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53" i="1"/>
  <c r="Z154" i="1"/>
  <c r="Z155" i="1"/>
  <c r="Z156" i="1"/>
  <c r="Z158" i="1"/>
  <c r="Z161" i="1"/>
  <c r="Z162" i="1"/>
  <c r="Z163" i="1"/>
  <c r="Z164" i="1"/>
  <c r="Z165" i="1"/>
  <c r="Z166" i="1"/>
  <c r="Z167" i="1"/>
  <c r="Z168" i="1"/>
  <c r="Z169" i="1"/>
  <c r="Z170" i="1"/>
  <c r="Z173" i="1"/>
  <c r="Z174" i="1"/>
  <c r="Z176" i="1"/>
  <c r="Z177" i="1"/>
  <c r="Z178" i="1"/>
  <c r="Z179" i="1"/>
  <c r="Z180" i="1"/>
  <c r="Z181" i="1"/>
  <c r="Z182" i="1"/>
  <c r="Z183" i="1"/>
  <c r="Z184" i="1"/>
  <c r="Z185" i="1"/>
  <c r="Z186" i="1"/>
  <c r="Z187" i="1"/>
  <c r="Z188" i="1"/>
  <c r="Z189" i="1"/>
  <c r="Z190" i="1"/>
  <c r="Z191" i="1"/>
  <c r="Z192" i="1"/>
  <c r="Z193" i="1"/>
  <c r="Z194" i="1"/>
  <c r="Z195" i="1"/>
  <c r="Z196" i="1"/>
  <c r="Z198" i="1"/>
  <c r="Z199" i="1"/>
  <c r="Z200" i="1"/>
  <c r="Z201" i="1"/>
  <c r="Z203"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6" i="1"/>
  <c r="Z247" i="1"/>
  <c r="Z248" i="1"/>
  <c r="Z250" i="1"/>
  <c r="Z256" i="1"/>
  <c r="Z257" i="1"/>
  <c r="Z258" i="1"/>
  <c r="Z259" i="1"/>
  <c r="Z260" i="1"/>
  <c r="Z261" i="1"/>
  <c r="Z269" i="1"/>
  <c r="Z272" i="1"/>
  <c r="Z273" i="1"/>
  <c r="Z274" i="1"/>
  <c r="Z275" i="1"/>
  <c r="Z276" i="1"/>
  <c r="Z278" i="1"/>
  <c r="Z279" i="1"/>
  <c r="Z280" i="1"/>
  <c r="Z281" i="1"/>
  <c r="Z282" i="1"/>
  <c r="Z283" i="1"/>
  <c r="Z284" i="1"/>
  <c r="Z285" i="1"/>
  <c r="Z286" i="1"/>
  <c r="Z287" i="1"/>
  <c r="Z288" i="1"/>
  <c r="Z289" i="1"/>
  <c r="Z290" i="1"/>
  <c r="Z292" i="1"/>
  <c r="Z293" i="1"/>
  <c r="Z294"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16" i="1"/>
  <c r="Z17" i="1"/>
  <c r="Z18" i="1"/>
  <c r="Z19" i="1"/>
  <c r="Z20" i="1"/>
  <c r="Z21" i="1"/>
  <c r="Z22" i="1"/>
  <c r="Z23" i="1"/>
  <c r="Z24" i="1"/>
  <c r="Z25" i="1"/>
  <c r="Z26" i="1"/>
  <c r="Z27" i="1"/>
  <c r="Z28" i="1"/>
  <c r="Z29" i="1"/>
  <c r="Z30" i="1"/>
  <c r="Z31" i="1"/>
  <c r="Z32" i="1"/>
  <c r="Z33" i="1"/>
  <c r="Z34" i="1"/>
  <c r="Z35" i="1"/>
  <c r="Z36" i="1"/>
  <c r="Z37" i="1"/>
  <c r="Z38" i="1"/>
  <c r="Z15" i="1"/>
  <c r="Y39" i="1"/>
  <c r="Y40" i="1"/>
  <c r="Y41" i="1"/>
  <c r="Y42" i="1"/>
  <c r="Y43" i="1"/>
  <c r="Y44" i="1"/>
  <c r="Y45" i="1"/>
  <c r="Y46" i="1"/>
  <c r="Y47" i="1"/>
  <c r="AE47" i="1" s="1"/>
  <c r="Y48" i="1"/>
  <c r="Y49" i="1"/>
  <c r="Y50" i="1"/>
  <c r="Y51" i="1"/>
  <c r="Y52" i="1"/>
  <c r="Y53" i="1"/>
  <c r="Y58" i="1"/>
  <c r="Y59" i="1"/>
  <c r="Y60" i="1"/>
  <c r="Y61" i="1"/>
  <c r="Y62" i="1"/>
  <c r="Y63" i="1"/>
  <c r="Y64" i="1"/>
  <c r="Y65" i="1"/>
  <c r="AE65" i="1" s="1"/>
  <c r="Y66" i="1"/>
  <c r="Y67" i="1"/>
  <c r="Y68" i="1"/>
  <c r="Y69" i="1"/>
  <c r="Y70" i="1"/>
  <c r="AE70" i="1" s="1"/>
  <c r="Y71" i="1"/>
  <c r="AE71" i="1" s="1"/>
  <c r="Y72" i="1"/>
  <c r="AE72" i="1" s="1"/>
  <c r="Y73" i="1"/>
  <c r="AE73" i="1" s="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AE103" i="1" s="1"/>
  <c r="Y104" i="1"/>
  <c r="AE104" i="1" s="1"/>
  <c r="Y105" i="1"/>
  <c r="Y106" i="1"/>
  <c r="Y107" i="1"/>
  <c r="AE107" i="1" s="1"/>
  <c r="Y108" i="1"/>
  <c r="AE108" i="1" s="1"/>
  <c r="Y109" i="1"/>
  <c r="AE109" i="1" s="1"/>
  <c r="Y110" i="1"/>
  <c r="AE110" i="1" s="1"/>
  <c r="Y111" i="1"/>
  <c r="AE111" i="1" s="1"/>
  <c r="Y112" i="1"/>
  <c r="AE112" i="1" s="1"/>
  <c r="Y113" i="1"/>
  <c r="Y114" i="1"/>
  <c r="AE114" i="1" s="1"/>
  <c r="Y115" i="1"/>
  <c r="AE115" i="1" s="1"/>
  <c r="Y116" i="1"/>
  <c r="AE116" i="1" s="1"/>
  <c r="Y117" i="1"/>
  <c r="AE117" i="1" s="1"/>
  <c r="Y118" i="1"/>
  <c r="AE118" i="1" s="1"/>
  <c r="Y119" i="1"/>
  <c r="AE119" i="1" s="1"/>
  <c r="Y120" i="1"/>
  <c r="Y121" i="1"/>
  <c r="Y122" i="1"/>
  <c r="Y123" i="1"/>
  <c r="Y124" i="1"/>
  <c r="Y125" i="1"/>
  <c r="AE125" i="1" s="1"/>
  <c r="Y126" i="1"/>
  <c r="Y127" i="1"/>
  <c r="Y128" i="1"/>
  <c r="Y129" i="1"/>
  <c r="Y130" i="1"/>
  <c r="Y131" i="1"/>
  <c r="Y132" i="1"/>
  <c r="Y133" i="1"/>
  <c r="Y134" i="1"/>
  <c r="Y135" i="1"/>
  <c r="Y136" i="1"/>
  <c r="Y137" i="1"/>
  <c r="AE137" i="1" s="1"/>
  <c r="Y138" i="1"/>
  <c r="Y139" i="1"/>
  <c r="AE139" i="1" s="1"/>
  <c r="Y140" i="1"/>
  <c r="Y141" i="1"/>
  <c r="Y142" i="1"/>
  <c r="AE142" i="1" s="1"/>
  <c r="Y143" i="1"/>
  <c r="Y144" i="1"/>
  <c r="Y145" i="1"/>
  <c r="Y146" i="1"/>
  <c r="Y147" i="1"/>
  <c r="Y153" i="1"/>
  <c r="Y154" i="1"/>
  <c r="Y155" i="1"/>
  <c r="Y156" i="1"/>
  <c r="Y158" i="1"/>
  <c r="Y161" i="1"/>
  <c r="AE161" i="1" s="1"/>
  <c r="Y162" i="1"/>
  <c r="AE162" i="1" s="1"/>
  <c r="Y163" i="1"/>
  <c r="AE163" i="1" s="1"/>
  <c r="Y164" i="1"/>
  <c r="AE164" i="1" s="1"/>
  <c r="Y165" i="1"/>
  <c r="AE165" i="1" s="1"/>
  <c r="Y166" i="1"/>
  <c r="AE166" i="1" s="1"/>
  <c r="Y167" i="1"/>
  <c r="AE167" i="1" s="1"/>
  <c r="Y168" i="1"/>
  <c r="AE168" i="1" s="1"/>
  <c r="Y169" i="1"/>
  <c r="AE169" i="1" s="1"/>
  <c r="Y170" i="1"/>
  <c r="AE170" i="1" s="1"/>
  <c r="Y173" i="1"/>
  <c r="AE173" i="1" s="1"/>
  <c r="Y174" i="1"/>
  <c r="AE174" i="1" s="1"/>
  <c r="Y176" i="1"/>
  <c r="AE176" i="1" s="1"/>
  <c r="Y177" i="1"/>
  <c r="AE177" i="1" s="1"/>
  <c r="Y178" i="1"/>
  <c r="AE178" i="1" s="1"/>
  <c r="Y179" i="1"/>
  <c r="AE179" i="1" s="1"/>
  <c r="Y180" i="1"/>
  <c r="AE180" i="1" s="1"/>
  <c r="Y181" i="1"/>
  <c r="AE181" i="1" s="1"/>
  <c r="Y182" i="1"/>
  <c r="AE182" i="1" s="1"/>
  <c r="Y183" i="1"/>
  <c r="AE183" i="1" s="1"/>
  <c r="Y184" i="1"/>
  <c r="AE184" i="1" s="1"/>
  <c r="Y185" i="1"/>
  <c r="AE185" i="1" s="1"/>
  <c r="Y186" i="1"/>
  <c r="AE186" i="1" s="1"/>
  <c r="Y187" i="1"/>
  <c r="AE187" i="1" s="1"/>
  <c r="Y188" i="1"/>
  <c r="AE188" i="1" s="1"/>
  <c r="Y189" i="1"/>
  <c r="AE189" i="1" s="1"/>
  <c r="Y190" i="1"/>
  <c r="AE190" i="1" s="1"/>
  <c r="Y191" i="1"/>
  <c r="AE191" i="1" s="1"/>
  <c r="Y192" i="1"/>
  <c r="AE192" i="1" s="1"/>
  <c r="Y193" i="1"/>
  <c r="AE193" i="1" s="1"/>
  <c r="Y194" i="1"/>
  <c r="AE194" i="1" s="1"/>
  <c r="Y195" i="1"/>
  <c r="AE195" i="1" s="1"/>
  <c r="Y196" i="1"/>
  <c r="AE196" i="1" s="1"/>
  <c r="Y198" i="1"/>
  <c r="Y199" i="1"/>
  <c r="Y200" i="1"/>
  <c r="Y201" i="1"/>
  <c r="Y203" i="1"/>
  <c r="Y205" i="1"/>
  <c r="Y206" i="1"/>
  <c r="Y207" i="1"/>
  <c r="Y208" i="1"/>
  <c r="AE208" i="1" s="1"/>
  <c r="Y209" i="1"/>
  <c r="Y210" i="1"/>
  <c r="Y211" i="1"/>
  <c r="Y212" i="1"/>
  <c r="Y213" i="1"/>
  <c r="Y214" i="1"/>
  <c r="Y215" i="1"/>
  <c r="Y216" i="1"/>
  <c r="Y217" i="1"/>
  <c r="Y218" i="1"/>
  <c r="Y219" i="1"/>
  <c r="Y220" i="1"/>
  <c r="Y221" i="1"/>
  <c r="Y222" i="1"/>
  <c r="Y223" i="1"/>
  <c r="Y224" i="1"/>
  <c r="Y225" i="1"/>
  <c r="Y226" i="1"/>
  <c r="Y227" i="1"/>
  <c r="AE227" i="1" s="1"/>
  <c r="Y228" i="1"/>
  <c r="Y229" i="1"/>
  <c r="Y230" i="1"/>
  <c r="Y231" i="1"/>
  <c r="Y232" i="1"/>
  <c r="Y233" i="1"/>
  <c r="Y234" i="1"/>
  <c r="Y235" i="1"/>
  <c r="Y236" i="1"/>
  <c r="AE236" i="1" s="1"/>
  <c r="Y237" i="1"/>
  <c r="Y238" i="1"/>
  <c r="Y239" i="1"/>
  <c r="Y240" i="1"/>
  <c r="AE240" i="1" s="1"/>
  <c r="Y241" i="1"/>
  <c r="Y246" i="1"/>
  <c r="AE246" i="1" s="1"/>
  <c r="Y247" i="1"/>
  <c r="Y248" i="1"/>
  <c r="Y250" i="1"/>
  <c r="Y256" i="1"/>
  <c r="Y257" i="1"/>
  <c r="Y258" i="1"/>
  <c r="Y259" i="1"/>
  <c r="AE259" i="1" s="1"/>
  <c r="Y260" i="1"/>
  <c r="Y261" i="1"/>
  <c r="Y269" i="1"/>
  <c r="Y272" i="1"/>
  <c r="Y273" i="1"/>
  <c r="Y274" i="1"/>
  <c r="AE274" i="1" s="1"/>
  <c r="Y275" i="1"/>
  <c r="AE275" i="1" s="1"/>
  <c r="Y276" i="1"/>
  <c r="AE276" i="1" s="1"/>
  <c r="Y278" i="1"/>
  <c r="AE278" i="1" s="1"/>
  <c r="Y279" i="1"/>
  <c r="AE279" i="1" s="1"/>
  <c r="Y280" i="1"/>
  <c r="AE280" i="1" s="1"/>
  <c r="Y281" i="1"/>
  <c r="AE281" i="1" s="1"/>
  <c r="Y282" i="1"/>
  <c r="AE282" i="1" s="1"/>
  <c r="Y283" i="1"/>
  <c r="AE283" i="1" s="1"/>
  <c r="Y284" i="1"/>
  <c r="AE284" i="1" s="1"/>
  <c r="Y285" i="1"/>
  <c r="AE285" i="1" s="1"/>
  <c r="Y286" i="1"/>
  <c r="AE286" i="1" s="1"/>
  <c r="Y287" i="1"/>
  <c r="AE287" i="1" s="1"/>
  <c r="Y288" i="1"/>
  <c r="AE288" i="1" s="1"/>
  <c r="Y289" i="1"/>
  <c r="AE289" i="1" s="1"/>
  <c r="Y290" i="1"/>
  <c r="Y292" i="1"/>
  <c r="Y293" i="1"/>
  <c r="Y294" i="1"/>
  <c r="Y297" i="1"/>
  <c r="AE297" i="1" s="1"/>
  <c r="Y298" i="1"/>
  <c r="AE298" i="1" s="1"/>
  <c r="Y299" i="1"/>
  <c r="AE299" i="1" s="1"/>
  <c r="Y300" i="1"/>
  <c r="AE300" i="1" s="1"/>
  <c r="Y301" i="1"/>
  <c r="AE301" i="1" s="1"/>
  <c r="Y302" i="1"/>
  <c r="AE302" i="1" s="1"/>
  <c r="Y303" i="1"/>
  <c r="AE303" i="1" s="1"/>
  <c r="Y304" i="1"/>
  <c r="AE304" i="1" s="1"/>
  <c r="Y305" i="1"/>
  <c r="AE305" i="1" s="1"/>
  <c r="Y306" i="1"/>
  <c r="AE306" i="1" s="1"/>
  <c r="Y307" i="1"/>
  <c r="AE307" i="1" s="1"/>
  <c r="Y308" i="1"/>
  <c r="AE308" i="1" s="1"/>
  <c r="Y309" i="1"/>
  <c r="AE309" i="1" s="1"/>
  <c r="Y310" i="1"/>
  <c r="AE310" i="1" s="1"/>
  <c r="Y311" i="1"/>
  <c r="AE311" i="1" s="1"/>
  <c r="Y312" i="1"/>
  <c r="AE312" i="1" s="1"/>
  <c r="Y313" i="1"/>
  <c r="AE313" i="1" s="1"/>
  <c r="Y314" i="1"/>
  <c r="AE314" i="1" s="1"/>
  <c r="Y315" i="1"/>
  <c r="AE315" i="1" s="1"/>
  <c r="Y316" i="1"/>
  <c r="AE316" i="1" s="1"/>
  <c r="Y317" i="1"/>
  <c r="AE317" i="1" s="1"/>
  <c r="Y318" i="1"/>
  <c r="AE318" i="1" s="1"/>
  <c r="Y319" i="1"/>
  <c r="AE319" i="1" s="1"/>
  <c r="Y320" i="1"/>
  <c r="AE320" i="1" s="1"/>
  <c r="Y321" i="1"/>
  <c r="AE321" i="1" s="1"/>
  <c r="Y322" i="1"/>
  <c r="AE322" i="1" s="1"/>
  <c r="Y323" i="1"/>
  <c r="AE323" i="1" s="1"/>
  <c r="Y325" i="1"/>
  <c r="Y326" i="1"/>
  <c r="AE326" i="1" s="1"/>
  <c r="Y327" i="1"/>
  <c r="AE327" i="1" s="1"/>
  <c r="Y328" i="1"/>
  <c r="AE328" i="1" s="1"/>
  <c r="Y329" i="1"/>
  <c r="AE329" i="1" s="1"/>
  <c r="Y330" i="1"/>
  <c r="AE330" i="1" s="1"/>
  <c r="Y331" i="1"/>
  <c r="AE331" i="1" s="1"/>
  <c r="Y332" i="1"/>
  <c r="AE332" i="1" s="1"/>
  <c r="Y333" i="1"/>
  <c r="AE333" i="1" s="1"/>
  <c r="Y334" i="1"/>
  <c r="AE334" i="1" s="1"/>
  <c r="Y335" i="1"/>
  <c r="AE335" i="1" s="1"/>
  <c r="Y336" i="1"/>
  <c r="AE336" i="1" s="1"/>
  <c r="Y337" i="1"/>
  <c r="AE337" i="1" s="1"/>
  <c r="Y338" i="1"/>
  <c r="Y339" i="1"/>
  <c r="AE339" i="1" s="1"/>
  <c r="Y342" i="1"/>
  <c r="AE342" i="1" s="1"/>
  <c r="Y343" i="1"/>
  <c r="AE343" i="1" s="1"/>
  <c r="Y344" i="1"/>
  <c r="AE344" i="1" s="1"/>
  <c r="Y345" i="1"/>
  <c r="AE345" i="1" s="1"/>
  <c r="Y346" i="1"/>
  <c r="AE346" i="1" s="1"/>
  <c r="Y347" i="1"/>
  <c r="AE347" i="1" s="1"/>
  <c r="Y348" i="1"/>
  <c r="AE348" i="1" s="1"/>
  <c r="Y349" i="1"/>
  <c r="Y350" i="1"/>
  <c r="AE350" i="1" s="1"/>
  <c r="Y351" i="1"/>
  <c r="AE351" i="1" s="1"/>
  <c r="Y27" i="1"/>
  <c r="Y28" i="1"/>
  <c r="Y29" i="1"/>
  <c r="Y30" i="1"/>
  <c r="Y31" i="1"/>
  <c r="Y32" i="1"/>
  <c r="Y33" i="1"/>
  <c r="Y34" i="1"/>
  <c r="Y37" i="1"/>
  <c r="Y38" i="1"/>
  <c r="Y22" i="1"/>
  <c r="Y23" i="1"/>
  <c r="Y24" i="1"/>
  <c r="Y25" i="1"/>
  <c r="Y26" i="1"/>
  <c r="Y16" i="1"/>
  <c r="Y17" i="1"/>
  <c r="Y18" i="1"/>
  <c r="Y19" i="1"/>
  <c r="Y20" i="1"/>
  <c r="Y21" i="1"/>
  <c r="Y15" i="1"/>
  <c r="AU15" i="1"/>
  <c r="AV15" i="1"/>
  <c r="AW15" i="1"/>
  <c r="AX15" i="1"/>
  <c r="AF16" i="1"/>
  <c r="AG16" i="1"/>
  <c r="AF17" i="1"/>
  <c r="AG17" i="1"/>
  <c r="AF18" i="1"/>
  <c r="AG18" i="1"/>
  <c r="AF19" i="1"/>
  <c r="AG19" i="1"/>
  <c r="AF20" i="1"/>
  <c r="AG20" i="1"/>
  <c r="AF21" i="1"/>
  <c r="AG21" i="1"/>
  <c r="AF22" i="1"/>
  <c r="AG22" i="1"/>
  <c r="AF23" i="1"/>
  <c r="AG23" i="1"/>
  <c r="AF24" i="1"/>
  <c r="AG24" i="1"/>
  <c r="AF25" i="1"/>
  <c r="AG25" i="1"/>
  <c r="AF26" i="1"/>
  <c r="AG26" i="1"/>
  <c r="AF27" i="1"/>
  <c r="AG27" i="1"/>
  <c r="AF28" i="1"/>
  <c r="AG28" i="1"/>
  <c r="AF29" i="1"/>
  <c r="AG29" i="1"/>
  <c r="AF30" i="1"/>
  <c r="AG30" i="1"/>
  <c r="AF31" i="1"/>
  <c r="AG31" i="1"/>
  <c r="AF32" i="1"/>
  <c r="AG32" i="1"/>
  <c r="AF33" i="1"/>
  <c r="AG33" i="1"/>
  <c r="AF34" i="1"/>
  <c r="AG34" i="1"/>
  <c r="AF35" i="1"/>
  <c r="AG35" i="1"/>
  <c r="AF36" i="1"/>
  <c r="AG36" i="1"/>
  <c r="AF37" i="1"/>
  <c r="AG37" i="1"/>
  <c r="AF38" i="1"/>
  <c r="AG38" i="1"/>
  <c r="AF39" i="1"/>
  <c r="AG39" i="1"/>
  <c r="AF40" i="1"/>
  <c r="AG40" i="1"/>
  <c r="AF41" i="1"/>
  <c r="AG41" i="1"/>
  <c r="AA16" i="1"/>
  <c r="AB16" i="1"/>
  <c r="AC16" i="1"/>
  <c r="AD16" i="1"/>
  <c r="AA17" i="1"/>
  <c r="AB17" i="1"/>
  <c r="AC17" i="1"/>
  <c r="AD17" i="1"/>
  <c r="AA18" i="1"/>
  <c r="AB18" i="1"/>
  <c r="AC18" i="1"/>
  <c r="AD18" i="1"/>
  <c r="AA19" i="1"/>
  <c r="AB19" i="1"/>
  <c r="AC19" i="1"/>
  <c r="AD19" i="1"/>
  <c r="AA20" i="1"/>
  <c r="AB20" i="1"/>
  <c r="AC20" i="1"/>
  <c r="AD20" i="1"/>
  <c r="AA21" i="1"/>
  <c r="AB21" i="1"/>
  <c r="AC21" i="1"/>
  <c r="AD21" i="1"/>
  <c r="AA22" i="1"/>
  <c r="AB22" i="1"/>
  <c r="AC22" i="1"/>
  <c r="AD22" i="1"/>
  <c r="AA23" i="1"/>
  <c r="AB23" i="1"/>
  <c r="AC23" i="1"/>
  <c r="AD23" i="1"/>
  <c r="AA24" i="1"/>
  <c r="AB24" i="1"/>
  <c r="AC24" i="1"/>
  <c r="AD24" i="1"/>
  <c r="AA25" i="1"/>
  <c r="AB25" i="1"/>
  <c r="AC25" i="1"/>
  <c r="AD25" i="1"/>
  <c r="AA26" i="1"/>
  <c r="AB26" i="1"/>
  <c r="AC26" i="1"/>
  <c r="AD26" i="1"/>
  <c r="AA27" i="1"/>
  <c r="AB27" i="1"/>
  <c r="AC27" i="1"/>
  <c r="AD27" i="1"/>
  <c r="AA28" i="1"/>
  <c r="AB28" i="1"/>
  <c r="AC28" i="1"/>
  <c r="AD28" i="1"/>
  <c r="AA29" i="1"/>
  <c r="AB29" i="1"/>
  <c r="AC29" i="1"/>
  <c r="AD29" i="1"/>
  <c r="AA30" i="1"/>
  <c r="AB30" i="1"/>
  <c r="AC30" i="1"/>
  <c r="AD30" i="1"/>
  <c r="AA31" i="1"/>
  <c r="AB31" i="1"/>
  <c r="AC31" i="1"/>
  <c r="AD31" i="1"/>
  <c r="AA32" i="1"/>
  <c r="AB32" i="1"/>
  <c r="AC32" i="1"/>
  <c r="AD32" i="1"/>
  <c r="AA34" i="1"/>
  <c r="AB34" i="1"/>
  <c r="AC34" i="1"/>
  <c r="AD34" i="1"/>
  <c r="AA35" i="1"/>
  <c r="AB35" i="1"/>
  <c r="AC35" i="1"/>
  <c r="AD35" i="1"/>
  <c r="AA36" i="1"/>
  <c r="AB36" i="1"/>
  <c r="AC36" i="1"/>
  <c r="AD36" i="1"/>
  <c r="AA37" i="1"/>
  <c r="AB37" i="1"/>
  <c r="AC37" i="1"/>
  <c r="AD37" i="1"/>
  <c r="AA38" i="1"/>
  <c r="AB38" i="1"/>
  <c r="AC38" i="1"/>
  <c r="AD38" i="1"/>
  <c r="AA39" i="1"/>
  <c r="AB39" i="1"/>
  <c r="AC39" i="1"/>
  <c r="AD39" i="1"/>
  <c r="AA40" i="1"/>
  <c r="AB40" i="1"/>
  <c r="AC40" i="1"/>
  <c r="AD40" i="1"/>
  <c r="AA41" i="1"/>
  <c r="AB41" i="1"/>
  <c r="AC41" i="1"/>
  <c r="AD41" i="1"/>
  <c r="AA15" i="1"/>
  <c r="X194" i="10" l="1"/>
  <c r="W194" i="10"/>
  <c r="V194" i="10"/>
  <c r="Y194" i="10"/>
  <c r="U194" i="10"/>
  <c r="V182" i="10"/>
  <c r="X182" i="10"/>
  <c r="Y182" i="10"/>
  <c r="W182" i="10"/>
  <c r="U182" i="10"/>
  <c r="W163" i="10"/>
  <c r="X163" i="10"/>
  <c r="U163" i="10"/>
  <c r="V163" i="10"/>
  <c r="Y163" i="10"/>
  <c r="W288" i="10"/>
  <c r="X288" i="10"/>
  <c r="U288" i="10"/>
  <c r="Y288" i="10"/>
  <c r="V288" i="10"/>
  <c r="U280" i="10"/>
  <c r="Y280" i="10"/>
  <c r="W280" i="10"/>
  <c r="X280" i="10"/>
  <c r="V280" i="10"/>
  <c r="V240" i="10"/>
  <c r="Y240" i="10"/>
  <c r="X240" i="10"/>
  <c r="W240" i="10"/>
  <c r="U240" i="10"/>
  <c r="W236" i="10"/>
  <c r="U236" i="10"/>
  <c r="V236" i="10"/>
  <c r="Y236" i="10"/>
  <c r="X236" i="10"/>
  <c r="W208" i="10"/>
  <c r="U208" i="10"/>
  <c r="Y208" i="10"/>
  <c r="V208" i="10"/>
  <c r="X208" i="10"/>
  <c r="X193" i="10"/>
  <c r="V193" i="10"/>
  <c r="W193" i="10"/>
  <c r="Y193" i="10"/>
  <c r="U193" i="10"/>
  <c r="V189" i="10"/>
  <c r="W189" i="10"/>
  <c r="X189" i="10"/>
  <c r="Y189" i="10"/>
  <c r="U189" i="10"/>
  <c r="X185" i="10"/>
  <c r="U185" i="10"/>
  <c r="Y185" i="10"/>
  <c r="W185" i="10"/>
  <c r="V185" i="10"/>
  <c r="U181" i="10"/>
  <c r="V181" i="10"/>
  <c r="X181" i="10"/>
  <c r="Y181" i="10"/>
  <c r="W181" i="10"/>
  <c r="X177" i="10"/>
  <c r="W177" i="10"/>
  <c r="Y177" i="10"/>
  <c r="U177" i="10"/>
  <c r="V177" i="10"/>
  <c r="V166" i="10"/>
  <c r="X166" i="10"/>
  <c r="Y166" i="10"/>
  <c r="U166" i="10"/>
  <c r="W166" i="10"/>
  <c r="X285" i="10"/>
  <c r="Y285" i="10"/>
  <c r="V285" i="10"/>
  <c r="W285" i="10"/>
  <c r="U285" i="10"/>
  <c r="X259" i="10"/>
  <c r="U259" i="10"/>
  <c r="W259" i="10"/>
  <c r="V259" i="10"/>
  <c r="Y259" i="10"/>
  <c r="X190" i="10"/>
  <c r="V190" i="10"/>
  <c r="W190" i="10"/>
  <c r="Y190" i="10"/>
  <c r="U190" i="10"/>
  <c r="W287" i="10"/>
  <c r="X287" i="10"/>
  <c r="U287" i="10"/>
  <c r="V287" i="10"/>
  <c r="Y287" i="10"/>
  <c r="U274" i="10"/>
  <c r="X274" i="10"/>
  <c r="W274" i="10"/>
  <c r="Y274" i="10"/>
  <c r="V274" i="10"/>
  <c r="W227" i="10"/>
  <c r="V227" i="10"/>
  <c r="U227" i="10"/>
  <c r="Y227" i="10"/>
  <c r="X227" i="10"/>
  <c r="X196" i="10"/>
  <c r="W196" i="10"/>
  <c r="Y196" i="10"/>
  <c r="V196" i="10"/>
  <c r="U196" i="10"/>
  <c r="X192" i="10"/>
  <c r="V192" i="10"/>
  <c r="Y192" i="10"/>
  <c r="W192" i="10"/>
  <c r="U192" i="10"/>
  <c r="X188" i="10"/>
  <c r="W188" i="10"/>
  <c r="V188" i="10"/>
  <c r="Y188" i="10"/>
  <c r="U188" i="10"/>
  <c r="Y184" i="10"/>
  <c r="W184" i="10"/>
  <c r="X184" i="10"/>
  <c r="V184" i="10"/>
  <c r="U184" i="10"/>
  <c r="W180" i="10"/>
  <c r="V180" i="10"/>
  <c r="U180" i="10"/>
  <c r="Y180" i="10"/>
  <c r="X180" i="10"/>
  <c r="U176" i="10"/>
  <c r="W176" i="10"/>
  <c r="X176" i="10"/>
  <c r="V176" i="10"/>
  <c r="Y176" i="10"/>
  <c r="V169" i="10"/>
  <c r="Y169" i="10"/>
  <c r="X169" i="10"/>
  <c r="U169" i="10"/>
  <c r="W169" i="10"/>
  <c r="Y165" i="10"/>
  <c r="X165" i="10"/>
  <c r="U165" i="10"/>
  <c r="W165" i="10"/>
  <c r="V165" i="10"/>
  <c r="X161" i="10"/>
  <c r="V161" i="10"/>
  <c r="Y161" i="10"/>
  <c r="W161" i="10"/>
  <c r="U161" i="10"/>
  <c r="U289" i="10"/>
  <c r="X289" i="10"/>
  <c r="W289" i="10"/>
  <c r="V289" i="10"/>
  <c r="Y289" i="10"/>
  <c r="U281" i="10"/>
  <c r="W281" i="10"/>
  <c r="V281" i="10"/>
  <c r="X281" i="10"/>
  <c r="Y281" i="10"/>
  <c r="Y186" i="10"/>
  <c r="W186" i="10"/>
  <c r="U186" i="10"/>
  <c r="X186" i="10"/>
  <c r="V186" i="10"/>
  <c r="Y178" i="10"/>
  <c r="X178" i="10"/>
  <c r="U178" i="10"/>
  <c r="V178" i="10"/>
  <c r="W178" i="10"/>
  <c r="V167" i="10"/>
  <c r="W167" i="10"/>
  <c r="Y167" i="10"/>
  <c r="U167" i="10"/>
  <c r="X167" i="10"/>
  <c r="U286" i="10"/>
  <c r="W286" i="10"/>
  <c r="Y286" i="10"/>
  <c r="X286" i="10"/>
  <c r="V286" i="10"/>
  <c r="W246" i="10"/>
  <c r="X246" i="10"/>
  <c r="U246" i="10"/>
  <c r="V246" i="10"/>
  <c r="Y246" i="10"/>
  <c r="X195" i="10"/>
  <c r="Y195" i="10"/>
  <c r="W195" i="10"/>
  <c r="U195" i="10"/>
  <c r="V195" i="10"/>
  <c r="W191" i="10"/>
  <c r="V191" i="10"/>
  <c r="Y191" i="10"/>
  <c r="U191" i="10"/>
  <c r="X191" i="10"/>
  <c r="X187" i="10"/>
  <c r="W187" i="10"/>
  <c r="Y187" i="10"/>
  <c r="U187" i="10"/>
  <c r="V187" i="10"/>
  <c r="V183" i="10"/>
  <c r="W183" i="10"/>
  <c r="U183" i="10"/>
  <c r="X183" i="10"/>
  <c r="Y183" i="10"/>
  <c r="Y179" i="10"/>
  <c r="W179" i="10"/>
  <c r="X179" i="10"/>
  <c r="V179" i="10"/>
  <c r="U179" i="10"/>
  <c r="W303" i="10"/>
  <c r="Y303" i="10"/>
  <c r="V303" i="10"/>
  <c r="U303" i="10"/>
  <c r="X303" i="10"/>
  <c r="W323" i="10"/>
  <c r="Y323" i="10"/>
  <c r="U323" i="10"/>
  <c r="X323" i="10"/>
  <c r="V323" i="10"/>
  <c r="W315" i="10"/>
  <c r="U315" i="10"/>
  <c r="X315" i="10"/>
  <c r="V315" i="10"/>
  <c r="Y315" i="10"/>
  <c r="V307" i="10"/>
  <c r="Y307" i="10"/>
  <c r="X307" i="10"/>
  <c r="W307" i="10"/>
  <c r="U307" i="10"/>
  <c r="V299" i="10"/>
  <c r="W299" i="10"/>
  <c r="U299" i="10"/>
  <c r="X299" i="10"/>
  <c r="Y299" i="10"/>
  <c r="W322" i="10"/>
  <c r="V322" i="10"/>
  <c r="U322" i="10"/>
  <c r="X322" i="10"/>
  <c r="Y322" i="10"/>
  <c r="W314" i="10"/>
  <c r="Y314" i="10"/>
  <c r="V314" i="10"/>
  <c r="X314" i="10"/>
  <c r="U314" i="10"/>
  <c r="W310" i="10"/>
  <c r="U310" i="10"/>
  <c r="V310" i="10"/>
  <c r="X310" i="10"/>
  <c r="Y310" i="10"/>
  <c r="W306" i="10"/>
  <c r="V306" i="10"/>
  <c r="U306" i="10"/>
  <c r="X306" i="10"/>
  <c r="Y306" i="10"/>
  <c r="Y321" i="10"/>
  <c r="V321" i="10"/>
  <c r="X321" i="10"/>
  <c r="W321" i="10"/>
  <c r="U321" i="10"/>
  <c r="U313" i="10"/>
  <c r="Y313" i="10"/>
  <c r="V313" i="10"/>
  <c r="X313" i="10"/>
  <c r="W313" i="10"/>
  <c r="V309" i="10"/>
  <c r="W309" i="10"/>
  <c r="Y309" i="10"/>
  <c r="X309" i="10"/>
  <c r="U309" i="10"/>
  <c r="X305" i="10"/>
  <c r="W305" i="10"/>
  <c r="V305" i="10"/>
  <c r="U305" i="10"/>
  <c r="Y305" i="10"/>
  <c r="W301" i="10"/>
  <c r="Y301" i="10"/>
  <c r="V301" i="10"/>
  <c r="U301" i="10"/>
  <c r="X301" i="10"/>
  <c r="U297" i="10"/>
  <c r="Y297" i="10"/>
  <c r="V297" i="10"/>
  <c r="W297" i="10"/>
  <c r="X297" i="10"/>
  <c r="X320" i="10"/>
  <c r="U320" i="10"/>
  <c r="V320" i="10"/>
  <c r="W320" i="10"/>
  <c r="Y320" i="10"/>
  <c r="U312" i="10"/>
  <c r="V312" i="10"/>
  <c r="Y312" i="10"/>
  <c r="W312" i="10"/>
  <c r="X312" i="10"/>
  <c r="U308" i="10"/>
  <c r="V308" i="10"/>
  <c r="X308" i="10"/>
  <c r="Y308" i="10"/>
  <c r="W308" i="10"/>
  <c r="U304" i="10"/>
  <c r="W304" i="10"/>
  <c r="Y304" i="10"/>
  <c r="X304" i="10"/>
  <c r="V304" i="10"/>
  <c r="Y300" i="10"/>
  <c r="V300" i="10"/>
  <c r="X300" i="10"/>
  <c r="W300" i="10"/>
  <c r="U300" i="10"/>
  <c r="A352" i="10"/>
  <c r="B352" i="10"/>
  <c r="A353" i="10"/>
  <c r="B353" i="10"/>
  <c r="A354" i="10"/>
  <c r="B354" i="10"/>
  <c r="A355" i="10"/>
  <c r="B355" i="10"/>
  <c r="A356" i="10"/>
  <c r="B356" i="10"/>
  <c r="A357" i="10"/>
  <c r="B357" i="10"/>
  <c r="A358" i="10"/>
  <c r="B358" i="10"/>
  <c r="A359" i="10"/>
  <c r="B359" i="10"/>
  <c r="A360" i="10"/>
  <c r="B360" i="10"/>
  <c r="A361" i="10"/>
  <c r="B361" i="10"/>
  <c r="A362" i="10"/>
  <c r="B362" i="10"/>
  <c r="A363" i="10"/>
  <c r="B363" i="10"/>
  <c r="A364" i="10"/>
  <c r="B364" i="10"/>
  <c r="A365" i="10"/>
  <c r="B365" i="10"/>
  <c r="A366" i="10"/>
  <c r="B366" i="10"/>
  <c r="A367" i="10"/>
  <c r="B367" i="10"/>
  <c r="A368" i="10"/>
  <c r="B368" i="10"/>
  <c r="A369" i="10"/>
  <c r="B369" i="10"/>
  <c r="A370" i="10"/>
  <c r="B370" i="10"/>
  <c r="A371" i="10"/>
  <c r="B371" i="10"/>
  <c r="A372" i="10"/>
  <c r="B372" i="10"/>
  <c r="A373" i="10"/>
  <c r="B373" i="10"/>
  <c r="A374" i="10"/>
  <c r="B374" i="10"/>
  <c r="A375" i="10"/>
  <c r="B375" i="10"/>
  <c r="A376" i="10"/>
  <c r="B376" i="10"/>
  <c r="A377" i="10"/>
  <c r="B377" i="10"/>
  <c r="A378" i="10"/>
  <c r="B378" i="10"/>
  <c r="A379" i="10"/>
  <c r="B379" i="10"/>
  <c r="A380" i="10"/>
  <c r="B380" i="10"/>
  <c r="A381" i="10"/>
  <c r="B381" i="10"/>
  <c r="A382" i="10"/>
  <c r="B382" i="10"/>
  <c r="A383" i="10"/>
  <c r="B383" i="10"/>
  <c r="A384" i="10"/>
  <c r="CR384" i="10" s="1"/>
  <c r="B384" i="10"/>
  <c r="C384" i="10"/>
  <c r="D384" i="10"/>
  <c r="E384" i="10"/>
  <c r="F384" i="10"/>
  <c r="G384" i="10"/>
  <c r="H384" i="10"/>
  <c r="A385" i="10"/>
  <c r="CX385" i="10" s="1"/>
  <c r="B385" i="10"/>
  <c r="C385" i="10"/>
  <c r="D385" i="10"/>
  <c r="E385" i="10"/>
  <c r="F385" i="10"/>
  <c r="G385" i="10"/>
  <c r="H385" i="10"/>
  <c r="CR361" i="10" l="1"/>
  <c r="CV361" i="10"/>
  <c r="BD361" i="10" s="1"/>
  <c r="CS361" i="10"/>
  <c r="CW361" i="10"/>
  <c r="BF361" i="10" s="1"/>
  <c r="CT361" i="10"/>
  <c r="CU361" i="10"/>
  <c r="CX361" i="10"/>
  <c r="BG361" i="10" s="1"/>
  <c r="CQ361" i="10"/>
  <c r="CT357" i="10"/>
  <c r="CX357" i="10"/>
  <c r="BG357" i="10" s="1"/>
  <c r="CQ357" i="10"/>
  <c r="CU357" i="10"/>
  <c r="CV357" i="10"/>
  <c r="BD357" i="10" s="1"/>
  <c r="CW357" i="10"/>
  <c r="BF357" i="10" s="1"/>
  <c r="CR357" i="10"/>
  <c r="CS357" i="10"/>
  <c r="CT360" i="10"/>
  <c r="CX360" i="10"/>
  <c r="BG360" i="10" s="1"/>
  <c r="CQ360" i="10"/>
  <c r="CU360" i="10"/>
  <c r="CW360" i="10"/>
  <c r="BF360" i="10" s="1"/>
  <c r="CR360" i="10"/>
  <c r="CS360" i="10"/>
  <c r="CV360" i="10"/>
  <c r="BD360" i="10" s="1"/>
  <c r="CQ363" i="10"/>
  <c r="CU363" i="10"/>
  <c r="CR363" i="10"/>
  <c r="CV363" i="10"/>
  <c r="BD363" i="10" s="1"/>
  <c r="CX363" i="10"/>
  <c r="BG363" i="10" s="1"/>
  <c r="CS363" i="10"/>
  <c r="CT363" i="10"/>
  <c r="CW363" i="10"/>
  <c r="BF363" i="10" s="1"/>
  <c r="CS359" i="10"/>
  <c r="CW359" i="10"/>
  <c r="BF359" i="10" s="1"/>
  <c r="CT359" i="10"/>
  <c r="CX359" i="10"/>
  <c r="BG359" i="10" s="1"/>
  <c r="CR359" i="10"/>
  <c r="CU359" i="10"/>
  <c r="CV359" i="10"/>
  <c r="BD359" i="10" s="1"/>
  <c r="CQ359" i="10"/>
  <c r="CT355" i="10"/>
  <c r="CX355" i="10"/>
  <c r="BG355" i="10" s="1"/>
  <c r="CQ355" i="10"/>
  <c r="CU355" i="10"/>
  <c r="CS355" i="10"/>
  <c r="CV355" i="10"/>
  <c r="BD355" i="10" s="1"/>
  <c r="CW355" i="10"/>
  <c r="BF355" i="10" s="1"/>
  <c r="CR355" i="10"/>
  <c r="CS353" i="10"/>
  <c r="CW353" i="10"/>
  <c r="BF353" i="10" s="1"/>
  <c r="CT353" i="10"/>
  <c r="CX353" i="10"/>
  <c r="BG353" i="10" s="1"/>
  <c r="CQ353" i="10"/>
  <c r="CU353" i="10"/>
  <c r="CV353" i="10"/>
  <c r="BD353" i="10" s="1"/>
  <c r="CR353" i="10"/>
  <c r="CR364" i="10"/>
  <c r="CV364" i="10"/>
  <c r="BD364" i="10" s="1"/>
  <c r="CS364" i="10"/>
  <c r="CW364" i="10"/>
  <c r="BF364" i="10" s="1"/>
  <c r="CX364" i="10"/>
  <c r="BG364" i="10" s="1"/>
  <c r="CQ364" i="10"/>
  <c r="CT364" i="10"/>
  <c r="CU364" i="10"/>
  <c r="CS362" i="10"/>
  <c r="CW362" i="10"/>
  <c r="BF362" i="10" s="1"/>
  <c r="CT362" i="10"/>
  <c r="CX362" i="10"/>
  <c r="BG362" i="10" s="1"/>
  <c r="CV362" i="10"/>
  <c r="BD362" i="10" s="1"/>
  <c r="CQ362" i="10"/>
  <c r="CR362" i="10"/>
  <c r="CU362" i="10"/>
  <c r="CQ358" i="10"/>
  <c r="CU358" i="10"/>
  <c r="CR358" i="10"/>
  <c r="CV358" i="10"/>
  <c r="BD358" i="10" s="1"/>
  <c r="CS358" i="10"/>
  <c r="CT358" i="10"/>
  <c r="CW358" i="10"/>
  <c r="BF358" i="10" s="1"/>
  <c r="CX358" i="10"/>
  <c r="BG358" i="10" s="1"/>
  <c r="CR356" i="10"/>
  <c r="CV356" i="10"/>
  <c r="BD356" i="10" s="1"/>
  <c r="CS356" i="10"/>
  <c r="CW356" i="10"/>
  <c r="BF356" i="10" s="1"/>
  <c r="CU356" i="10"/>
  <c r="CX356" i="10"/>
  <c r="BG356" i="10" s="1"/>
  <c r="CQ356" i="10"/>
  <c r="CT356" i="10"/>
  <c r="CR354" i="10"/>
  <c r="CV354" i="10"/>
  <c r="BD354" i="10" s="1"/>
  <c r="CT354" i="10"/>
  <c r="CS354" i="10"/>
  <c r="CW354" i="10"/>
  <c r="BF354" i="10" s="1"/>
  <c r="CX354" i="10"/>
  <c r="BG354" i="10" s="1"/>
  <c r="CQ354" i="10"/>
  <c r="CU354" i="10"/>
  <c r="CQ352" i="10"/>
  <c r="CU352" i="10"/>
  <c r="CR352" i="10"/>
  <c r="CV352" i="10"/>
  <c r="BD352" i="10" s="1"/>
  <c r="CS352" i="10"/>
  <c r="CW352" i="10"/>
  <c r="BF352" i="10" s="1"/>
  <c r="CT352" i="10"/>
  <c r="CX352" i="10"/>
  <c r="BG352" i="10" s="1"/>
  <c r="CQ311" i="10"/>
  <c r="CU311" i="10"/>
  <c r="CT311" i="10"/>
  <c r="CS311" i="10"/>
  <c r="CX311" i="10"/>
  <c r="CV311" i="10"/>
  <c r="CR311" i="10"/>
  <c r="CW311" i="10"/>
  <c r="CQ309" i="10"/>
  <c r="CU309" i="10"/>
  <c r="CT309" i="10"/>
  <c r="CS309" i="10"/>
  <c r="CX309" i="10"/>
  <c r="CV309" i="10"/>
  <c r="CR309" i="10"/>
  <c r="CW309" i="10"/>
  <c r="CR305" i="10"/>
  <c r="CV305" i="10"/>
  <c r="CS305" i="10"/>
  <c r="CX305" i="10"/>
  <c r="CU305" i="10"/>
  <c r="CQ305" i="10"/>
  <c r="CW305" i="10"/>
  <c r="CT305" i="10"/>
  <c r="CT301" i="10"/>
  <c r="CX301" i="10"/>
  <c r="CQ301" i="10"/>
  <c r="CV301" i="10"/>
  <c r="CS301" i="10"/>
  <c r="CR301" i="10"/>
  <c r="CW301" i="10"/>
  <c r="CU301" i="10"/>
  <c r="CS299" i="10"/>
  <c r="CW299" i="10"/>
  <c r="BF299" i="10" s="1"/>
  <c r="CR299" i="10"/>
  <c r="CX299" i="10"/>
  <c r="BG299" i="10" s="1"/>
  <c r="CT299" i="10"/>
  <c r="CU299" i="10"/>
  <c r="CQ299" i="10"/>
  <c r="CV299" i="10"/>
  <c r="BD299" i="10" s="1"/>
  <c r="CS295" i="10"/>
  <c r="CW295" i="10"/>
  <c r="CQ295" i="10"/>
  <c r="CV295" i="10"/>
  <c r="CR295" i="10"/>
  <c r="CX295" i="10"/>
  <c r="CT295" i="10"/>
  <c r="CU295" i="10"/>
  <c r="CQ291" i="10"/>
  <c r="CU291" i="10"/>
  <c r="CR291" i="10"/>
  <c r="CW291" i="10"/>
  <c r="CT291" i="10"/>
  <c r="CS291" i="10"/>
  <c r="CX291" i="10"/>
  <c r="CV291" i="10"/>
  <c r="CS289" i="10"/>
  <c r="CW289" i="10"/>
  <c r="CU289" i="10"/>
  <c r="CR289" i="10"/>
  <c r="CX289" i="10"/>
  <c r="CT289" i="10"/>
  <c r="CQ289" i="10"/>
  <c r="CV289" i="10"/>
  <c r="CT285" i="10"/>
  <c r="CX285" i="10"/>
  <c r="CS285" i="10"/>
  <c r="CQ285" i="10"/>
  <c r="CV285" i="10"/>
  <c r="CU285" i="10"/>
  <c r="CR285" i="10"/>
  <c r="CW285" i="10"/>
  <c r="CR283" i="10"/>
  <c r="CV283" i="10"/>
  <c r="CS283" i="10"/>
  <c r="CX283" i="10"/>
  <c r="CQ283" i="10"/>
  <c r="CW283" i="10"/>
  <c r="CT283" i="10"/>
  <c r="CU283" i="10"/>
  <c r="CS279" i="10"/>
  <c r="CW279" i="10"/>
  <c r="CU279" i="10"/>
  <c r="CT279" i="10"/>
  <c r="CQ279" i="10"/>
  <c r="CV279" i="10"/>
  <c r="CR279" i="10"/>
  <c r="CX279" i="10"/>
  <c r="CQ275" i="10"/>
  <c r="CU275" i="10"/>
  <c r="CV275" i="10"/>
  <c r="CT275" i="10"/>
  <c r="CR275" i="10"/>
  <c r="CW275" i="10"/>
  <c r="CS275" i="10"/>
  <c r="CX275" i="10"/>
  <c r="CT273" i="10"/>
  <c r="CX273" i="10"/>
  <c r="CS273" i="10"/>
  <c r="CQ273" i="10"/>
  <c r="CV273" i="10"/>
  <c r="CU273" i="10"/>
  <c r="CR273" i="10"/>
  <c r="CW273" i="10"/>
  <c r="CQ269" i="10"/>
  <c r="CU269" i="10"/>
  <c r="CR269" i="10"/>
  <c r="CV269" i="10"/>
  <c r="CS269" i="10"/>
  <c r="CX269" i="10"/>
  <c r="CT269" i="10"/>
  <c r="CW269" i="10"/>
  <c r="CS265" i="10"/>
  <c r="CW265" i="10"/>
  <c r="CT265" i="10"/>
  <c r="CX265" i="10"/>
  <c r="CR265" i="10"/>
  <c r="CU265" i="10"/>
  <c r="CV265" i="10"/>
  <c r="CQ265" i="10"/>
  <c r="CQ261" i="10"/>
  <c r="CU261" i="10"/>
  <c r="CR261" i="10"/>
  <c r="CV261" i="10"/>
  <c r="CW261" i="10"/>
  <c r="CT261" i="10"/>
  <c r="CX261" i="10"/>
  <c r="CS261" i="10"/>
  <c r="CT259" i="10"/>
  <c r="CX259" i="10"/>
  <c r="BG259" i="10" s="1"/>
  <c r="CQ259" i="10"/>
  <c r="CU259" i="10"/>
  <c r="CR259" i="10"/>
  <c r="CV259" i="10"/>
  <c r="BD259" i="10" s="1"/>
  <c r="CW259" i="10"/>
  <c r="BF259" i="10" s="1"/>
  <c r="CS259" i="10"/>
  <c r="CQ255" i="10"/>
  <c r="CU255" i="10"/>
  <c r="CR255" i="10"/>
  <c r="CV255" i="10"/>
  <c r="CX255" i="10"/>
  <c r="CW255" i="10"/>
  <c r="CS255" i="10"/>
  <c r="CT255" i="10"/>
  <c r="CR251" i="10"/>
  <c r="CV251" i="10"/>
  <c r="CS251" i="10"/>
  <c r="CW251" i="10"/>
  <c r="CX251" i="10"/>
  <c r="CT251" i="10"/>
  <c r="CQ251" i="10"/>
  <c r="CU251" i="10"/>
  <c r="CR247" i="10"/>
  <c r="CV247" i="10"/>
  <c r="CS247" i="10"/>
  <c r="CW247" i="10"/>
  <c r="CX247" i="10"/>
  <c r="CU247" i="10"/>
  <c r="CQ247" i="10"/>
  <c r="CT247" i="10"/>
  <c r="CT245" i="10"/>
  <c r="CX245" i="10"/>
  <c r="CQ245" i="10"/>
  <c r="CU245" i="10"/>
  <c r="CS245" i="10"/>
  <c r="CV245" i="10"/>
  <c r="CW245" i="10"/>
  <c r="CR245" i="10"/>
  <c r="CR241" i="10"/>
  <c r="CV241" i="10"/>
  <c r="CS241" i="10"/>
  <c r="CW241" i="10"/>
  <c r="CU241" i="10"/>
  <c r="CX241" i="10"/>
  <c r="CQ241" i="10"/>
  <c r="CT241" i="10"/>
  <c r="CT237" i="10"/>
  <c r="CX237" i="10"/>
  <c r="CQ237" i="10"/>
  <c r="CU237" i="10"/>
  <c r="CS237" i="10"/>
  <c r="CR237" i="10"/>
  <c r="CV237" i="10"/>
  <c r="CW237" i="10"/>
  <c r="CQ235" i="10"/>
  <c r="CU235" i="10"/>
  <c r="CR235" i="10"/>
  <c r="CV235" i="10"/>
  <c r="CX235" i="10"/>
  <c r="CS235" i="10"/>
  <c r="CT235" i="10"/>
  <c r="CW235" i="10"/>
  <c r="CS231" i="10"/>
  <c r="CW231" i="10"/>
  <c r="CT231" i="10"/>
  <c r="CX231" i="10"/>
  <c r="CV231" i="10"/>
  <c r="CU231" i="10"/>
  <c r="CQ231" i="10"/>
  <c r="CR231" i="10"/>
  <c r="CR227" i="10"/>
  <c r="CV227" i="10"/>
  <c r="CS227" i="10"/>
  <c r="CW227" i="10"/>
  <c r="CQ227" i="10"/>
  <c r="CT227" i="10"/>
  <c r="CU227" i="10"/>
  <c r="CX227" i="10"/>
  <c r="CT225" i="10"/>
  <c r="CX225" i="10"/>
  <c r="CS225" i="10"/>
  <c r="CU225" i="10"/>
  <c r="CW225" i="10"/>
  <c r="CQ225" i="10"/>
  <c r="CR225" i="10"/>
  <c r="CV225" i="10"/>
  <c r="CR221" i="10"/>
  <c r="CV221" i="10"/>
  <c r="CT221" i="10"/>
  <c r="CU221" i="10"/>
  <c r="CW221" i="10"/>
  <c r="CX221" i="10"/>
  <c r="CQ221" i="10"/>
  <c r="CS221" i="10"/>
  <c r="CT217" i="10"/>
  <c r="CX217" i="10"/>
  <c r="CR217" i="10"/>
  <c r="CW217" i="10"/>
  <c r="CS217" i="10"/>
  <c r="CQ217" i="10"/>
  <c r="CU217" i="10"/>
  <c r="CV217" i="10"/>
  <c r="CR215" i="10"/>
  <c r="CV215" i="10"/>
  <c r="CT215" i="10"/>
  <c r="CU215" i="10"/>
  <c r="CQ215" i="10"/>
  <c r="CS215" i="10"/>
  <c r="CW215" i="10"/>
  <c r="CX215" i="10"/>
  <c r="CQ211" i="10"/>
  <c r="CU211" i="10"/>
  <c r="CT211" i="10"/>
  <c r="CV211" i="10"/>
  <c r="CX211" i="10"/>
  <c r="CW211" i="10"/>
  <c r="CR211" i="10"/>
  <c r="CS211" i="10"/>
  <c r="CQ209" i="10"/>
  <c r="CU209" i="10"/>
  <c r="CT209" i="10"/>
  <c r="CV209" i="10"/>
  <c r="CR209" i="10"/>
  <c r="CX209" i="10"/>
  <c r="CS209" i="10"/>
  <c r="CW209" i="10"/>
  <c r="CR205" i="10"/>
  <c r="CV205" i="10"/>
  <c r="CT205" i="10"/>
  <c r="CU205" i="10"/>
  <c r="CQ205" i="10"/>
  <c r="CS205" i="10"/>
  <c r="CW205" i="10"/>
  <c r="CX205" i="10"/>
  <c r="CS201" i="10"/>
  <c r="CW201" i="10"/>
  <c r="CT201" i="10"/>
  <c r="CU201" i="10"/>
  <c r="CR201" i="10"/>
  <c r="CV201" i="10"/>
  <c r="CX201" i="10"/>
  <c r="CQ201" i="10"/>
  <c r="CT197" i="10"/>
  <c r="CX197" i="10"/>
  <c r="CQ197" i="10"/>
  <c r="CV197" i="10"/>
  <c r="CR197" i="10"/>
  <c r="CW197" i="10"/>
  <c r="CU197" i="10"/>
  <c r="CS197" i="10"/>
  <c r="CT195" i="10"/>
  <c r="CX195" i="10"/>
  <c r="CR195" i="10"/>
  <c r="CW195" i="10"/>
  <c r="CS195" i="10"/>
  <c r="CU195" i="10"/>
  <c r="CV195" i="10"/>
  <c r="CQ195" i="10"/>
  <c r="CT191" i="10"/>
  <c r="CX191" i="10"/>
  <c r="CS191" i="10"/>
  <c r="CU191" i="10"/>
  <c r="CQ191" i="10"/>
  <c r="CR191" i="10"/>
  <c r="CV191" i="10"/>
  <c r="CW191" i="10"/>
  <c r="CQ189" i="10"/>
  <c r="CU189" i="10"/>
  <c r="CR189" i="10"/>
  <c r="CV189" i="10"/>
  <c r="CT189" i="10"/>
  <c r="CW189" i="10"/>
  <c r="CX189" i="10"/>
  <c r="CS189" i="10"/>
  <c r="CR185" i="10"/>
  <c r="CV185" i="10"/>
  <c r="CS185" i="10"/>
  <c r="CW185" i="10"/>
  <c r="CQ185" i="10"/>
  <c r="CT185" i="10"/>
  <c r="CX185" i="10"/>
  <c r="CU185" i="10"/>
  <c r="CT181" i="10"/>
  <c r="CX181" i="10"/>
  <c r="CQ181" i="10"/>
  <c r="CU181" i="10"/>
  <c r="CR181" i="10"/>
  <c r="CS181" i="10"/>
  <c r="CV181" i="10"/>
  <c r="CW181" i="10"/>
  <c r="CT177" i="10"/>
  <c r="CX177" i="10"/>
  <c r="CQ177" i="10"/>
  <c r="CU177" i="10"/>
  <c r="CR177" i="10"/>
  <c r="CS177" i="10"/>
  <c r="CV177" i="10"/>
  <c r="CW177" i="10"/>
  <c r="CS175" i="10"/>
  <c r="CW175" i="10"/>
  <c r="CT175" i="10"/>
  <c r="CX175" i="10"/>
  <c r="CV175" i="10"/>
  <c r="CQ175" i="10"/>
  <c r="CR175" i="10"/>
  <c r="CU175" i="10"/>
  <c r="CR171" i="10"/>
  <c r="CV171" i="10"/>
  <c r="CS171" i="10"/>
  <c r="CX171" i="10"/>
  <c r="CT171" i="10"/>
  <c r="CQ171" i="10"/>
  <c r="CU171" i="10"/>
  <c r="CW171" i="10"/>
  <c r="CR167" i="10"/>
  <c r="CV167" i="10"/>
  <c r="BD167" i="10" s="1"/>
  <c r="CT167" i="10"/>
  <c r="CU167" i="10"/>
  <c r="CS167" i="10"/>
  <c r="CW167" i="10"/>
  <c r="BF167" i="10" s="1"/>
  <c r="CQ167" i="10"/>
  <c r="CX167" i="10"/>
  <c r="BG167" i="10" s="1"/>
  <c r="CQ165" i="10"/>
  <c r="CU165" i="10"/>
  <c r="CS165" i="10"/>
  <c r="CX165" i="10"/>
  <c r="BG165" i="10" s="1"/>
  <c r="CT165" i="10"/>
  <c r="CR165" i="10"/>
  <c r="CV165" i="10"/>
  <c r="BD165" i="10" s="1"/>
  <c r="CW165" i="10"/>
  <c r="BF165" i="10" s="1"/>
  <c r="CR161" i="10"/>
  <c r="CV161" i="10"/>
  <c r="CU161" i="10"/>
  <c r="CQ161" i="10"/>
  <c r="CW161" i="10"/>
  <c r="CS161" i="10"/>
  <c r="CT161" i="10"/>
  <c r="CX161" i="10"/>
  <c r="CS157" i="10"/>
  <c r="CW157" i="10"/>
  <c r="CR157" i="10"/>
  <c r="CX157" i="10"/>
  <c r="CT157" i="10"/>
  <c r="CQ157" i="10"/>
  <c r="CU157" i="10"/>
  <c r="CV157" i="10"/>
  <c r="CT155" i="10"/>
  <c r="CX155" i="10"/>
  <c r="CQ155" i="10"/>
  <c r="CU155" i="10"/>
  <c r="CV155" i="10"/>
  <c r="CW155" i="10"/>
  <c r="CR155" i="10"/>
  <c r="CS155" i="10"/>
  <c r="CQ151" i="10"/>
  <c r="CU151" i="10"/>
  <c r="CR151" i="10"/>
  <c r="CV151" i="10"/>
  <c r="CX151" i="10"/>
  <c r="CS151" i="10"/>
  <c r="CT151" i="10"/>
  <c r="CW151" i="10"/>
  <c r="CQ149" i="10"/>
  <c r="CU149" i="10"/>
  <c r="CR149" i="10"/>
  <c r="CV149" i="10"/>
  <c r="CX149" i="10"/>
  <c r="CS149" i="10"/>
  <c r="CT149" i="10"/>
  <c r="CW149" i="10"/>
  <c r="CR145" i="10"/>
  <c r="CV145" i="10"/>
  <c r="BD145" i="10" s="1"/>
  <c r="CS145" i="10"/>
  <c r="CW145" i="10"/>
  <c r="BF145" i="10" s="1"/>
  <c r="CU145" i="10"/>
  <c r="CX145" i="10"/>
  <c r="BG145" i="10" s="1"/>
  <c r="CT145" i="10"/>
  <c r="CQ145" i="10"/>
  <c r="CQ141" i="10"/>
  <c r="CU141" i="10"/>
  <c r="CR141" i="10"/>
  <c r="CV141" i="10"/>
  <c r="CS141" i="10"/>
  <c r="CT141" i="10"/>
  <c r="CW141" i="10"/>
  <c r="CX141" i="10"/>
  <c r="CQ137" i="10"/>
  <c r="CU137" i="10"/>
  <c r="CR137" i="10"/>
  <c r="CV137" i="10"/>
  <c r="CS137" i="10"/>
  <c r="CT137" i="10"/>
  <c r="CW137" i="10"/>
  <c r="CX137" i="10"/>
  <c r="CQ135" i="10"/>
  <c r="CU135" i="10"/>
  <c r="CR135" i="10"/>
  <c r="CV135" i="10"/>
  <c r="CS135" i="10"/>
  <c r="CT135" i="10"/>
  <c r="CW135" i="10"/>
  <c r="CX135" i="10"/>
  <c r="CS131" i="10"/>
  <c r="CW131" i="10"/>
  <c r="CT131" i="10"/>
  <c r="CU131" i="10"/>
  <c r="CQ131" i="10"/>
  <c r="CR131" i="10"/>
  <c r="CV131" i="10"/>
  <c r="CX131" i="10"/>
  <c r="CS129" i="10"/>
  <c r="CW129" i="10"/>
  <c r="CT129" i="10"/>
  <c r="CU129" i="10"/>
  <c r="CV129" i="10"/>
  <c r="CX129" i="10"/>
  <c r="CQ129" i="10"/>
  <c r="CR129" i="10"/>
  <c r="CS125" i="10"/>
  <c r="CW125" i="10"/>
  <c r="CT125" i="10"/>
  <c r="CU125" i="10"/>
  <c r="CV125" i="10"/>
  <c r="CX125" i="10"/>
  <c r="CQ125" i="10"/>
  <c r="CR125" i="10"/>
  <c r="CS121" i="10"/>
  <c r="CW121" i="10"/>
  <c r="CT121" i="10"/>
  <c r="CU121" i="10"/>
  <c r="CV121" i="10"/>
  <c r="CX121" i="10"/>
  <c r="CR121" i="10"/>
  <c r="CQ121" i="10"/>
  <c r="CS119" i="10"/>
  <c r="CW119" i="10"/>
  <c r="CT119" i="10"/>
  <c r="CU119" i="10"/>
  <c r="CQ119" i="10"/>
  <c r="CR119" i="10"/>
  <c r="CV119" i="10"/>
  <c r="CX119" i="10"/>
  <c r="CS115" i="10"/>
  <c r="CW115" i="10"/>
  <c r="CT115" i="10"/>
  <c r="CU115" i="10"/>
  <c r="CQ115" i="10"/>
  <c r="CR115" i="10"/>
  <c r="CV115" i="10"/>
  <c r="CX115" i="10"/>
  <c r="CS111" i="10"/>
  <c r="CW111" i="10"/>
  <c r="CT111" i="10"/>
  <c r="CU111" i="10"/>
  <c r="CQ111" i="10"/>
  <c r="CR111" i="10"/>
  <c r="CV111" i="10"/>
  <c r="CX111" i="10"/>
  <c r="CR109" i="10"/>
  <c r="CS109" i="10"/>
  <c r="CW109" i="10"/>
  <c r="CT109" i="10"/>
  <c r="CU109" i="10"/>
  <c r="CV109" i="10"/>
  <c r="CX109" i="10"/>
  <c r="CQ109" i="10"/>
  <c r="CR105" i="10"/>
  <c r="CV105" i="10"/>
  <c r="CS105" i="10"/>
  <c r="CW105" i="10"/>
  <c r="CT105" i="10"/>
  <c r="CU105" i="10"/>
  <c r="CX105" i="10"/>
  <c r="CQ105" i="10"/>
  <c r="CR101" i="10"/>
  <c r="CV101" i="10"/>
  <c r="CS101" i="10"/>
  <c r="CW101" i="10"/>
  <c r="CT101" i="10"/>
  <c r="CU101" i="10"/>
  <c r="CX101" i="10"/>
  <c r="CQ101" i="10"/>
  <c r="CR99" i="10"/>
  <c r="CV99" i="10"/>
  <c r="CS99" i="10"/>
  <c r="CW99" i="10"/>
  <c r="CT99" i="10"/>
  <c r="CU99" i="10"/>
  <c r="CX99" i="10"/>
  <c r="CQ99" i="10"/>
  <c r="CR95" i="10"/>
  <c r="CV95" i="10"/>
  <c r="CS95" i="10"/>
  <c r="CW95" i="10"/>
  <c r="CT95" i="10"/>
  <c r="CU95" i="10"/>
  <c r="CX95" i="10"/>
  <c r="CQ95" i="10"/>
  <c r="CR93" i="10"/>
  <c r="CV93" i="10"/>
  <c r="CS93" i="10"/>
  <c r="CW93" i="10"/>
  <c r="CT93" i="10"/>
  <c r="CU93" i="10"/>
  <c r="CX93" i="10"/>
  <c r="CQ93" i="10"/>
  <c r="CR89" i="10"/>
  <c r="CV89" i="10"/>
  <c r="CS89" i="10"/>
  <c r="CW89" i="10"/>
  <c r="CT89" i="10"/>
  <c r="CU89" i="10"/>
  <c r="CX89" i="10"/>
  <c r="CQ89" i="10"/>
  <c r="CR87" i="10"/>
  <c r="CV87" i="10"/>
  <c r="CS87" i="10"/>
  <c r="CW87" i="10"/>
  <c r="CT87" i="10"/>
  <c r="CU87" i="10"/>
  <c r="CX87" i="10"/>
  <c r="CQ87" i="10"/>
  <c r="CR83" i="10"/>
  <c r="CV83" i="10"/>
  <c r="CS83" i="10"/>
  <c r="CW83" i="10"/>
  <c r="CT83" i="10"/>
  <c r="CU83" i="10"/>
  <c r="CX83" i="10"/>
  <c r="CQ83" i="10"/>
  <c r="CR79" i="10"/>
  <c r="CV79" i="10"/>
  <c r="CS79" i="10"/>
  <c r="CW79" i="10"/>
  <c r="CT79" i="10"/>
  <c r="CU79" i="10"/>
  <c r="CX79" i="10"/>
  <c r="CQ79" i="10"/>
  <c r="CR77" i="10"/>
  <c r="CV77" i="10"/>
  <c r="CS77" i="10"/>
  <c r="CW77" i="10"/>
  <c r="CT77" i="10"/>
  <c r="CU77" i="10"/>
  <c r="CX77" i="10"/>
  <c r="CQ77" i="10"/>
  <c r="CR75" i="10"/>
  <c r="CV75" i="10"/>
  <c r="CS75" i="10"/>
  <c r="CW75" i="10"/>
  <c r="CT75" i="10"/>
  <c r="CU75" i="10"/>
  <c r="CX75" i="10"/>
  <c r="CQ75" i="10"/>
  <c r="CR71" i="10"/>
  <c r="CV71" i="10"/>
  <c r="CS71" i="10"/>
  <c r="CW71" i="10"/>
  <c r="CT71" i="10"/>
  <c r="CU71" i="10"/>
  <c r="CX71" i="10"/>
  <c r="CQ71" i="10"/>
  <c r="CT69" i="10"/>
  <c r="CQ69" i="10"/>
  <c r="CV69" i="10"/>
  <c r="CR69" i="10"/>
  <c r="CW69" i="10"/>
  <c r="CS69" i="10"/>
  <c r="CU69" i="10"/>
  <c r="CX69" i="10"/>
  <c r="CT67" i="10"/>
  <c r="CX67" i="10"/>
  <c r="CQ67" i="10"/>
  <c r="CV67" i="10"/>
  <c r="CR67" i="10"/>
  <c r="CW67" i="10"/>
  <c r="CS67" i="10"/>
  <c r="CU67" i="10"/>
  <c r="CT65" i="10"/>
  <c r="CX65" i="10"/>
  <c r="CQ65" i="10"/>
  <c r="CV65" i="10"/>
  <c r="CR65" i="10"/>
  <c r="CW65" i="10"/>
  <c r="CS65" i="10"/>
  <c r="CU65" i="10"/>
  <c r="CS63" i="10"/>
  <c r="CW63" i="10"/>
  <c r="CT63" i="10"/>
  <c r="CX63" i="10"/>
  <c r="CU63" i="10"/>
  <c r="CV63" i="10"/>
  <c r="CQ63" i="10"/>
  <c r="CR63" i="10"/>
  <c r="CS61" i="10"/>
  <c r="CW61" i="10"/>
  <c r="CT61" i="10"/>
  <c r="CX61" i="10"/>
  <c r="CU61" i="10"/>
  <c r="CV61" i="10"/>
  <c r="CQ61" i="10"/>
  <c r="CR61" i="10"/>
  <c r="CS59" i="10"/>
  <c r="CW59" i="10"/>
  <c r="CT59" i="10"/>
  <c r="CX59" i="10"/>
  <c r="CU59" i="10"/>
  <c r="CV59" i="10"/>
  <c r="CQ59" i="10"/>
  <c r="CR59" i="10"/>
  <c r="CS57" i="10"/>
  <c r="CW57" i="10"/>
  <c r="CT57" i="10"/>
  <c r="CX57" i="10"/>
  <c r="CU57" i="10"/>
  <c r="CV57" i="10"/>
  <c r="CQ57" i="10"/>
  <c r="CR57" i="10"/>
  <c r="CS55" i="10"/>
  <c r="CW55" i="10"/>
  <c r="CT55" i="10"/>
  <c r="CX55" i="10"/>
  <c r="CU55" i="10"/>
  <c r="CV55" i="10"/>
  <c r="CQ55" i="10"/>
  <c r="CR55" i="10"/>
  <c r="CS53" i="10"/>
  <c r="CW53" i="10"/>
  <c r="CT53" i="10"/>
  <c r="CX53" i="10"/>
  <c r="CU53" i="10"/>
  <c r="CV53" i="10"/>
  <c r="CQ53" i="10"/>
  <c r="CR53" i="10"/>
  <c r="CS51" i="10"/>
  <c r="CW51" i="10"/>
  <c r="CT51" i="10"/>
  <c r="CX51" i="10"/>
  <c r="CU51" i="10"/>
  <c r="CV51" i="10"/>
  <c r="CQ51" i="10"/>
  <c r="CR51" i="10"/>
  <c r="CS49" i="10"/>
  <c r="CW49" i="10"/>
  <c r="CT49" i="10"/>
  <c r="CX49" i="10"/>
  <c r="CU49" i="10"/>
  <c r="CV49" i="10"/>
  <c r="CQ49" i="10"/>
  <c r="CR49" i="10"/>
  <c r="CQ47" i="10"/>
  <c r="CU47" i="10"/>
  <c r="CR47" i="10"/>
  <c r="CV47" i="10"/>
  <c r="CS47" i="10"/>
  <c r="CT47" i="10"/>
  <c r="CW47" i="10"/>
  <c r="CX47" i="10"/>
  <c r="CQ45" i="10"/>
  <c r="CU45" i="10"/>
  <c r="CR45" i="10"/>
  <c r="CV45" i="10"/>
  <c r="CS45" i="10"/>
  <c r="CT45" i="10"/>
  <c r="CW45" i="10"/>
  <c r="CX45" i="10"/>
  <c r="CQ41" i="10"/>
  <c r="CU41" i="10"/>
  <c r="CR41" i="10"/>
  <c r="CV41" i="10"/>
  <c r="CS41" i="10"/>
  <c r="CT41" i="10"/>
  <c r="CW41" i="10"/>
  <c r="CX41" i="10"/>
  <c r="CT313" i="10"/>
  <c r="CX313" i="10"/>
  <c r="CR313" i="10"/>
  <c r="CW313" i="10"/>
  <c r="CQ313" i="10"/>
  <c r="CV313" i="10"/>
  <c r="CS313" i="10"/>
  <c r="CU313" i="10"/>
  <c r="CQ307" i="10"/>
  <c r="CU307" i="10"/>
  <c r="CS307" i="10"/>
  <c r="CX307" i="10"/>
  <c r="BG307" i="10" s="1"/>
  <c r="CT307" i="10"/>
  <c r="CV307" i="10"/>
  <c r="BD307" i="10" s="1"/>
  <c r="CR307" i="10"/>
  <c r="CW307" i="10"/>
  <c r="BF307" i="10" s="1"/>
  <c r="CS303" i="10"/>
  <c r="CW303" i="10"/>
  <c r="CR303" i="10"/>
  <c r="CX303" i="10"/>
  <c r="CT303" i="10"/>
  <c r="CU303" i="10"/>
  <c r="CQ303" i="10"/>
  <c r="CV303" i="10"/>
  <c r="CQ297" i="10"/>
  <c r="CU297" i="10"/>
  <c r="CS297" i="10"/>
  <c r="CX297" i="10"/>
  <c r="BG297" i="10" s="1"/>
  <c r="CT297" i="10"/>
  <c r="CV297" i="10"/>
  <c r="BD297" i="10" s="1"/>
  <c r="CR297" i="10"/>
  <c r="CW297" i="10"/>
  <c r="BF297" i="10" s="1"/>
  <c r="CR293" i="10"/>
  <c r="CV293" i="10"/>
  <c r="BD293" i="10" s="1"/>
  <c r="CT293" i="10"/>
  <c r="CU293" i="10"/>
  <c r="CQ293" i="10"/>
  <c r="CW293" i="10"/>
  <c r="BF293" i="10" s="1"/>
  <c r="CS293" i="10"/>
  <c r="CX293" i="10"/>
  <c r="BG293" i="10" s="1"/>
  <c r="CS287" i="10"/>
  <c r="CW287" i="10"/>
  <c r="CQ287" i="10"/>
  <c r="CV287" i="10"/>
  <c r="CR287" i="10"/>
  <c r="CX287" i="10"/>
  <c r="CT287" i="10"/>
  <c r="CU287" i="10"/>
  <c r="CQ281" i="10"/>
  <c r="CU281" i="10"/>
  <c r="CV281" i="10"/>
  <c r="CT281" i="10"/>
  <c r="CR281" i="10"/>
  <c r="CW281" i="10"/>
  <c r="CS281" i="10"/>
  <c r="CX281" i="10"/>
  <c r="CR277" i="10"/>
  <c r="CV277" i="10"/>
  <c r="CS277" i="10"/>
  <c r="CX277" i="10"/>
  <c r="CQ277" i="10"/>
  <c r="CW277" i="10"/>
  <c r="CT277" i="10"/>
  <c r="CU277" i="10"/>
  <c r="CS271" i="10"/>
  <c r="CW271" i="10"/>
  <c r="CR271" i="10"/>
  <c r="CX271" i="10"/>
  <c r="CU271" i="10"/>
  <c r="CQ271" i="10"/>
  <c r="CV271" i="10"/>
  <c r="CT271" i="10"/>
  <c r="CT267" i="10"/>
  <c r="CX267" i="10"/>
  <c r="CQ267" i="10"/>
  <c r="CU267" i="10"/>
  <c r="CV267" i="10"/>
  <c r="CR267" i="10"/>
  <c r="CW267" i="10"/>
  <c r="CS267" i="10"/>
  <c r="CR263" i="10"/>
  <c r="CV263" i="10"/>
  <c r="CS263" i="10"/>
  <c r="CW263" i="10"/>
  <c r="CT263" i="10"/>
  <c r="CU263" i="10"/>
  <c r="CX263" i="10"/>
  <c r="CQ263" i="10"/>
  <c r="CS257" i="10"/>
  <c r="CW257" i="10"/>
  <c r="CT257" i="10"/>
  <c r="CX257" i="10"/>
  <c r="CR257" i="10"/>
  <c r="CV257" i="10"/>
  <c r="CU257" i="10"/>
  <c r="CQ257" i="10"/>
  <c r="CR253" i="10"/>
  <c r="CV253" i="10"/>
  <c r="CS253" i="10"/>
  <c r="CW253" i="10"/>
  <c r="CT253" i="10"/>
  <c r="CU253" i="10"/>
  <c r="CX253" i="10"/>
  <c r="CQ253" i="10"/>
  <c r="CR249" i="10"/>
  <c r="CV249" i="10"/>
  <c r="CS249" i="10"/>
  <c r="CW249" i="10"/>
  <c r="CT249" i="10"/>
  <c r="CQ249" i="10"/>
  <c r="CU249" i="10"/>
  <c r="CX249" i="10"/>
  <c r="CT243" i="10"/>
  <c r="CX243" i="10"/>
  <c r="CQ243" i="10"/>
  <c r="CU243" i="10"/>
  <c r="CR243" i="10"/>
  <c r="CW243" i="10"/>
  <c r="CS243" i="10"/>
  <c r="CV243" i="10"/>
  <c r="CT239" i="10"/>
  <c r="CX239" i="10"/>
  <c r="CQ239" i="10"/>
  <c r="CU239" i="10"/>
  <c r="CW239" i="10"/>
  <c r="CR239" i="10"/>
  <c r="CS239" i="10"/>
  <c r="CV239" i="10"/>
  <c r="CQ233" i="10"/>
  <c r="CU233" i="10"/>
  <c r="CR233" i="10"/>
  <c r="CV233" i="10"/>
  <c r="CT233" i="10"/>
  <c r="CS233" i="10"/>
  <c r="CW233" i="10"/>
  <c r="CX233" i="10"/>
  <c r="CT229" i="10"/>
  <c r="CX229" i="10"/>
  <c r="CQ229" i="10"/>
  <c r="CU229" i="10"/>
  <c r="CS229" i="10"/>
  <c r="CV229" i="10"/>
  <c r="CW229" i="10"/>
  <c r="CR229" i="10"/>
  <c r="CR223" i="10"/>
  <c r="CV223" i="10"/>
  <c r="CU223" i="10"/>
  <c r="CQ223" i="10"/>
  <c r="CW223" i="10"/>
  <c r="CS223" i="10"/>
  <c r="CT223" i="10"/>
  <c r="CX223" i="10"/>
  <c r="CT219" i="10"/>
  <c r="CX219" i="10"/>
  <c r="CS219" i="10"/>
  <c r="CU219" i="10"/>
  <c r="CW219" i="10"/>
  <c r="CQ219" i="10"/>
  <c r="CR219" i="10"/>
  <c r="CV219" i="10"/>
  <c r="CS213" i="10"/>
  <c r="CW213" i="10"/>
  <c r="CU213" i="10"/>
  <c r="CQ213" i="10"/>
  <c r="CV213" i="10"/>
  <c r="CX213" i="10"/>
  <c r="CR213" i="10"/>
  <c r="CT213" i="10"/>
  <c r="CS207" i="10"/>
  <c r="CW207" i="10"/>
  <c r="CR207" i="10"/>
  <c r="CX207" i="10"/>
  <c r="CT207" i="10"/>
  <c r="CU207" i="10"/>
  <c r="CV207" i="10"/>
  <c r="CQ207" i="10"/>
  <c r="CT203" i="10"/>
  <c r="CX203" i="10"/>
  <c r="CR203" i="10"/>
  <c r="CW203" i="10"/>
  <c r="CS203" i="10"/>
  <c r="CQ203" i="10"/>
  <c r="CU203" i="10"/>
  <c r="CV203" i="10"/>
  <c r="CQ199" i="10"/>
  <c r="CU199" i="10"/>
  <c r="CV199" i="10"/>
  <c r="CR199" i="10"/>
  <c r="CW199" i="10"/>
  <c r="CX199" i="10"/>
  <c r="CS199" i="10"/>
  <c r="CT199" i="10"/>
  <c r="CR193" i="10"/>
  <c r="CV193" i="10"/>
  <c r="CT193" i="10"/>
  <c r="CU193" i="10"/>
  <c r="CQ193" i="10"/>
  <c r="CS193" i="10"/>
  <c r="CW193" i="10"/>
  <c r="CX193" i="10"/>
  <c r="CT187" i="10"/>
  <c r="CX187" i="10"/>
  <c r="CQ187" i="10"/>
  <c r="CU187" i="10"/>
  <c r="CV187" i="10"/>
  <c r="CW187" i="10"/>
  <c r="CS187" i="10"/>
  <c r="CR187" i="10"/>
  <c r="CQ183" i="10"/>
  <c r="CU183" i="10"/>
  <c r="CR183" i="10"/>
  <c r="CV183" i="10"/>
  <c r="CW183" i="10"/>
  <c r="CX183" i="10"/>
  <c r="CS183" i="10"/>
  <c r="CT183" i="10"/>
  <c r="CT179" i="10"/>
  <c r="CX179" i="10"/>
  <c r="CQ179" i="10"/>
  <c r="CU179" i="10"/>
  <c r="CR179" i="10"/>
  <c r="CS179" i="10"/>
  <c r="CV179" i="10"/>
  <c r="CW179" i="10"/>
  <c r="CT173" i="10"/>
  <c r="CX173" i="10"/>
  <c r="CR173" i="10"/>
  <c r="CW173" i="10"/>
  <c r="CS173" i="10"/>
  <c r="CQ173" i="10"/>
  <c r="CV173" i="10"/>
  <c r="CU173" i="10"/>
  <c r="CT169" i="10"/>
  <c r="CX169" i="10"/>
  <c r="BG169" i="10" s="1"/>
  <c r="CR169" i="10"/>
  <c r="CW169" i="10"/>
  <c r="BF169" i="10" s="1"/>
  <c r="CS169" i="10"/>
  <c r="CV169" i="10"/>
  <c r="BD169" i="10" s="1"/>
  <c r="CU169" i="10"/>
  <c r="CQ169" i="10"/>
  <c r="CS163" i="10"/>
  <c r="CW163" i="10"/>
  <c r="BF163" i="10" s="1"/>
  <c r="CQ163" i="10"/>
  <c r="CV163" i="10"/>
  <c r="BD163" i="10" s="1"/>
  <c r="CR163" i="10"/>
  <c r="CX163" i="10"/>
  <c r="BG163" i="10" s="1"/>
  <c r="CU163" i="10"/>
  <c r="CT163" i="10"/>
  <c r="CS159" i="10"/>
  <c r="CW159" i="10"/>
  <c r="CU159" i="10"/>
  <c r="CQ159" i="10"/>
  <c r="CV159" i="10"/>
  <c r="CX159" i="10"/>
  <c r="CR159" i="10"/>
  <c r="CT159" i="10"/>
  <c r="CT153" i="10"/>
  <c r="CX153" i="10"/>
  <c r="CQ153" i="10"/>
  <c r="CU153" i="10"/>
  <c r="CW153" i="10"/>
  <c r="CR153" i="10"/>
  <c r="CV153" i="10"/>
  <c r="CS153" i="10"/>
  <c r="CR147" i="10"/>
  <c r="CV147" i="10"/>
  <c r="CS147" i="10"/>
  <c r="CW147" i="10"/>
  <c r="CX147" i="10"/>
  <c r="CQ147" i="10"/>
  <c r="CU147" i="10"/>
  <c r="CT147" i="10"/>
  <c r="CQ143" i="10"/>
  <c r="CU143" i="10"/>
  <c r="CR143" i="10"/>
  <c r="CV143" i="10"/>
  <c r="BD143" i="10" s="1"/>
  <c r="CS143" i="10"/>
  <c r="CT143" i="10"/>
  <c r="CX143" i="10"/>
  <c r="BG143" i="10" s="1"/>
  <c r="CW143" i="10"/>
  <c r="BF143" i="10" s="1"/>
  <c r="CQ139" i="10"/>
  <c r="CU139" i="10"/>
  <c r="CR139" i="10"/>
  <c r="CV139" i="10"/>
  <c r="CS139" i="10"/>
  <c r="CT139" i="10"/>
  <c r="CX139" i="10"/>
  <c r="CW139" i="10"/>
  <c r="CQ133" i="10"/>
  <c r="CU133" i="10"/>
  <c r="CR133" i="10"/>
  <c r="CV133" i="10"/>
  <c r="CS133" i="10"/>
  <c r="CT133" i="10"/>
  <c r="CW133" i="10"/>
  <c r="CX133" i="10"/>
  <c r="CS127" i="10"/>
  <c r="CW127" i="10"/>
  <c r="CT127" i="10"/>
  <c r="CU127" i="10"/>
  <c r="CQ127" i="10"/>
  <c r="CR127" i="10"/>
  <c r="CV127" i="10"/>
  <c r="CX127" i="10"/>
  <c r="CS123" i="10"/>
  <c r="CW123" i="10"/>
  <c r="CT123" i="10"/>
  <c r="CU123" i="10"/>
  <c r="CQ123" i="10"/>
  <c r="CR123" i="10"/>
  <c r="CV123" i="10"/>
  <c r="CX123" i="10"/>
  <c r="CS117" i="10"/>
  <c r="CW117" i="10"/>
  <c r="CT117" i="10"/>
  <c r="CU117" i="10"/>
  <c r="CV117" i="10"/>
  <c r="CX117" i="10"/>
  <c r="CQ117" i="10"/>
  <c r="CR117" i="10"/>
  <c r="CS113" i="10"/>
  <c r="CW113" i="10"/>
  <c r="CT113" i="10"/>
  <c r="CU113" i="10"/>
  <c r="CV113" i="10"/>
  <c r="CX113" i="10"/>
  <c r="CQ113" i="10"/>
  <c r="CR113" i="10"/>
  <c r="CR107" i="10"/>
  <c r="CV107" i="10"/>
  <c r="CS107" i="10"/>
  <c r="CW107" i="10"/>
  <c r="CT107" i="10"/>
  <c r="CU107" i="10"/>
  <c r="CX107" i="10"/>
  <c r="CQ107" i="10"/>
  <c r="CR103" i="10"/>
  <c r="CV103" i="10"/>
  <c r="CS103" i="10"/>
  <c r="CW103" i="10"/>
  <c r="CT103" i="10"/>
  <c r="CU103" i="10"/>
  <c r="CX103" i="10"/>
  <c r="CQ103" i="10"/>
  <c r="CR97" i="10"/>
  <c r="CV97" i="10"/>
  <c r="CS97" i="10"/>
  <c r="CW97" i="10"/>
  <c r="CT97" i="10"/>
  <c r="CU97" i="10"/>
  <c r="CX97" i="10"/>
  <c r="CQ97" i="10"/>
  <c r="CR91" i="10"/>
  <c r="CV91" i="10"/>
  <c r="CS91" i="10"/>
  <c r="CW91" i="10"/>
  <c r="CT91" i="10"/>
  <c r="CU91" i="10"/>
  <c r="CX91" i="10"/>
  <c r="CQ91" i="10"/>
  <c r="CR85" i="10"/>
  <c r="CV85" i="10"/>
  <c r="CS85" i="10"/>
  <c r="CW85" i="10"/>
  <c r="CT85" i="10"/>
  <c r="CU85" i="10"/>
  <c r="CX85" i="10"/>
  <c r="CQ85" i="10"/>
  <c r="CR81" i="10"/>
  <c r="CV81" i="10"/>
  <c r="CS81" i="10"/>
  <c r="CW81" i="10"/>
  <c r="CT81" i="10"/>
  <c r="CU81" i="10"/>
  <c r="CX81" i="10"/>
  <c r="CQ81" i="10"/>
  <c r="CR73" i="10"/>
  <c r="CV73" i="10"/>
  <c r="CS73" i="10"/>
  <c r="CW73" i="10"/>
  <c r="CT73" i="10"/>
  <c r="CU73" i="10"/>
  <c r="CX73" i="10"/>
  <c r="CQ73" i="10"/>
  <c r="CQ43" i="10"/>
  <c r="CU43" i="10"/>
  <c r="CR43" i="10"/>
  <c r="CV43" i="10"/>
  <c r="CS43" i="10"/>
  <c r="CT43" i="10"/>
  <c r="CW43" i="10"/>
  <c r="CX43" i="10"/>
  <c r="CT314" i="10"/>
  <c r="CX314" i="10"/>
  <c r="CR314" i="10"/>
  <c r="CW314" i="10"/>
  <c r="CQ314" i="10"/>
  <c r="CV314" i="10"/>
  <c r="CS314" i="10"/>
  <c r="CU314" i="10"/>
  <c r="CT312" i="10"/>
  <c r="CX312" i="10"/>
  <c r="CQ312" i="10"/>
  <c r="CV312" i="10"/>
  <c r="CS312" i="10"/>
  <c r="CR312" i="10"/>
  <c r="CW312" i="10"/>
  <c r="CU312" i="10"/>
  <c r="CQ310" i="10"/>
  <c r="CU310" i="10"/>
  <c r="CR310" i="10"/>
  <c r="CW310" i="10"/>
  <c r="CS310" i="10"/>
  <c r="CX310" i="10"/>
  <c r="CT310" i="10"/>
  <c r="CV310" i="10"/>
  <c r="CQ308" i="10"/>
  <c r="CU308" i="10"/>
  <c r="CV308" i="10"/>
  <c r="BD308" i="10" s="1"/>
  <c r="CT308" i="10"/>
  <c r="CR308" i="10"/>
  <c r="CW308" i="10"/>
  <c r="BF308" i="10" s="1"/>
  <c r="CS308" i="10"/>
  <c r="CX308" i="10"/>
  <c r="BG308" i="10" s="1"/>
  <c r="CT306" i="10"/>
  <c r="CX306" i="10"/>
  <c r="CQ306" i="10"/>
  <c r="CV306" i="10"/>
  <c r="CS306" i="10"/>
  <c r="CR306" i="10"/>
  <c r="CW306" i="10"/>
  <c r="CU306" i="10"/>
  <c r="CR304" i="10"/>
  <c r="CV304" i="10"/>
  <c r="BD304" i="10" s="1"/>
  <c r="CU304" i="10"/>
  <c r="CX304" i="10"/>
  <c r="BG304" i="10" s="1"/>
  <c r="CT304" i="10"/>
  <c r="CQ304" i="10"/>
  <c r="CW304" i="10"/>
  <c r="BF304" i="10" s="1"/>
  <c r="CS304" i="10"/>
  <c r="CT302" i="10"/>
  <c r="CX302" i="10"/>
  <c r="CU302" i="10"/>
  <c r="CR302" i="10"/>
  <c r="CW302" i="10"/>
  <c r="CQ302" i="10"/>
  <c r="CV302" i="10"/>
  <c r="CS302" i="10"/>
  <c r="CQ300" i="10"/>
  <c r="CU300" i="10"/>
  <c r="CT300" i="10"/>
  <c r="CR300" i="10"/>
  <c r="CS300" i="10"/>
  <c r="CX300" i="10"/>
  <c r="CV300" i="10"/>
  <c r="CW300" i="10"/>
  <c r="CR298" i="10"/>
  <c r="CV298" i="10"/>
  <c r="CS298" i="10"/>
  <c r="CX298" i="10"/>
  <c r="CU298" i="10"/>
  <c r="CT298" i="10"/>
  <c r="CQ298" i="10"/>
  <c r="CW298" i="10"/>
  <c r="CT296" i="10"/>
  <c r="CX296" i="10"/>
  <c r="CR296" i="10"/>
  <c r="CW296" i="10"/>
  <c r="CQ296" i="10"/>
  <c r="CS296" i="10"/>
  <c r="CU296" i="10"/>
  <c r="CV296" i="10"/>
  <c r="CR294" i="10"/>
  <c r="CV294" i="10"/>
  <c r="CQ294" i="10"/>
  <c r="CW294" i="10"/>
  <c r="CT294" i="10"/>
  <c r="CS294" i="10"/>
  <c r="CX294" i="10"/>
  <c r="CU294" i="10"/>
  <c r="CR292" i="10"/>
  <c r="CV292" i="10"/>
  <c r="CQ292" i="10"/>
  <c r="CW292" i="10"/>
  <c r="CS292" i="10"/>
  <c r="CX292" i="10"/>
  <c r="CT292" i="10"/>
  <c r="CU292" i="10"/>
  <c r="CT290" i="10"/>
  <c r="CX290" i="10"/>
  <c r="CQ290" i="10"/>
  <c r="CV290" i="10"/>
  <c r="CR290" i="10"/>
  <c r="CW290" i="10"/>
  <c r="CS290" i="10"/>
  <c r="CU290" i="10"/>
  <c r="CT288" i="10"/>
  <c r="CX288" i="10"/>
  <c r="CQ288" i="10"/>
  <c r="CV288" i="10"/>
  <c r="CS288" i="10"/>
  <c r="CR288" i="10"/>
  <c r="CW288" i="10"/>
  <c r="CU288" i="10"/>
  <c r="CS286" i="10"/>
  <c r="CW286" i="10"/>
  <c r="CQ286" i="10"/>
  <c r="CV286" i="10"/>
  <c r="CT286" i="10"/>
  <c r="CU286" i="10"/>
  <c r="CR286" i="10"/>
  <c r="CX286" i="10"/>
  <c r="CT284" i="10"/>
  <c r="CX284" i="10"/>
  <c r="CS284" i="10"/>
  <c r="CQ284" i="10"/>
  <c r="CR284" i="10"/>
  <c r="CW284" i="10"/>
  <c r="CU284" i="10"/>
  <c r="CV284" i="10"/>
  <c r="CS282" i="10"/>
  <c r="CW282" i="10"/>
  <c r="CQ282" i="10"/>
  <c r="CV282" i="10"/>
  <c r="CR282" i="10"/>
  <c r="CX282" i="10"/>
  <c r="CT282" i="10"/>
  <c r="CU282" i="10"/>
  <c r="CS280" i="10"/>
  <c r="CW280" i="10"/>
  <c r="CT280" i="10"/>
  <c r="CQ280" i="10"/>
  <c r="CR280" i="10"/>
  <c r="CX280" i="10"/>
  <c r="CU280" i="10"/>
  <c r="CV280" i="10"/>
  <c r="CT278" i="10"/>
  <c r="CX278" i="10"/>
  <c r="CS278" i="10"/>
  <c r="CR278" i="10"/>
  <c r="CW278" i="10"/>
  <c r="CU278" i="10"/>
  <c r="CQ278" i="10"/>
  <c r="CV278" i="10"/>
  <c r="CS276" i="10"/>
  <c r="CW276" i="10"/>
  <c r="CQ276" i="10"/>
  <c r="CV276" i="10"/>
  <c r="CU276" i="10"/>
  <c r="CR276" i="10"/>
  <c r="CX276" i="10"/>
  <c r="CT276" i="10"/>
  <c r="CR274" i="10"/>
  <c r="CV274" i="10"/>
  <c r="BD274" i="10" s="1"/>
  <c r="CU274" i="10"/>
  <c r="CT274" i="10"/>
  <c r="CQ274" i="10"/>
  <c r="CW274" i="10"/>
  <c r="BF274" i="10" s="1"/>
  <c r="CS274" i="10"/>
  <c r="CX274" i="10"/>
  <c r="BG274" i="10" s="1"/>
  <c r="CQ272" i="10"/>
  <c r="CU272" i="10"/>
  <c r="CT272" i="10"/>
  <c r="CR272" i="10"/>
  <c r="CV272" i="10"/>
  <c r="CW272" i="10"/>
  <c r="CS272" i="10"/>
  <c r="CX272" i="10"/>
  <c r="CT270" i="10"/>
  <c r="CX270" i="10"/>
  <c r="CQ270" i="10"/>
  <c r="CV270" i="10"/>
  <c r="CU270" i="10"/>
  <c r="CR270" i="10"/>
  <c r="CW270" i="10"/>
  <c r="CS270" i="10"/>
  <c r="CR268" i="10"/>
  <c r="CV268" i="10"/>
  <c r="CS268" i="10"/>
  <c r="CW268" i="10"/>
  <c r="CU268" i="10"/>
  <c r="CQ268" i="10"/>
  <c r="CT268" i="10"/>
  <c r="CX268" i="10"/>
  <c r="CQ266" i="10"/>
  <c r="CU266" i="10"/>
  <c r="CR266" i="10"/>
  <c r="CV266" i="10"/>
  <c r="CT266" i="10"/>
  <c r="CW266" i="10"/>
  <c r="CX266" i="10"/>
  <c r="CS266" i="10"/>
  <c r="CT264" i="10"/>
  <c r="CX264" i="10"/>
  <c r="CQ264" i="10"/>
  <c r="CU264" i="10"/>
  <c r="CS264" i="10"/>
  <c r="CV264" i="10"/>
  <c r="CW264" i="10"/>
  <c r="CR264" i="10"/>
  <c r="CS262" i="10"/>
  <c r="CW262" i="10"/>
  <c r="CT262" i="10"/>
  <c r="CX262" i="10"/>
  <c r="CU262" i="10"/>
  <c r="CR262" i="10"/>
  <c r="CV262" i="10"/>
  <c r="CQ262" i="10"/>
  <c r="CR260" i="10"/>
  <c r="CV260" i="10"/>
  <c r="CS260" i="10"/>
  <c r="CW260" i="10"/>
  <c r="CQ260" i="10"/>
  <c r="CU260" i="10"/>
  <c r="CX260" i="10"/>
  <c r="CT260" i="10"/>
  <c r="CQ258" i="10"/>
  <c r="CU258" i="10"/>
  <c r="CR258" i="10"/>
  <c r="CV258" i="10"/>
  <c r="CT258" i="10"/>
  <c r="CX258" i="10"/>
  <c r="CW258" i="10"/>
  <c r="CS258" i="10"/>
  <c r="CS256" i="10"/>
  <c r="CW256" i="10"/>
  <c r="CT256" i="10"/>
  <c r="CX256" i="10"/>
  <c r="CV256" i="10"/>
  <c r="CU256" i="10"/>
  <c r="CQ256" i="10"/>
  <c r="CR256" i="10"/>
  <c r="CT254" i="10"/>
  <c r="CX254" i="10"/>
  <c r="CQ254" i="10"/>
  <c r="CU254" i="10"/>
  <c r="CS254" i="10"/>
  <c r="CV254" i="10"/>
  <c r="CW254" i="10"/>
  <c r="CR254" i="10"/>
  <c r="CQ252" i="10"/>
  <c r="CU252" i="10"/>
  <c r="CR252" i="10"/>
  <c r="CV252" i="10"/>
  <c r="CX252" i="10"/>
  <c r="CT252" i="10"/>
  <c r="CS252" i="10"/>
  <c r="CW252" i="10"/>
  <c r="CT250" i="10"/>
  <c r="CX250" i="10"/>
  <c r="CQ250" i="10"/>
  <c r="CU250" i="10"/>
  <c r="CS250" i="10"/>
  <c r="CR250" i="10"/>
  <c r="CV250" i="10"/>
  <c r="CW250" i="10"/>
  <c r="CQ248" i="10"/>
  <c r="CU248" i="10"/>
  <c r="CR248" i="10"/>
  <c r="CV248" i="10"/>
  <c r="CX248" i="10"/>
  <c r="CW248" i="10"/>
  <c r="CS248" i="10"/>
  <c r="CT248" i="10"/>
  <c r="CR246" i="10"/>
  <c r="CV246" i="10"/>
  <c r="BD246" i="10" s="1"/>
  <c r="CS246" i="10"/>
  <c r="CW246" i="10"/>
  <c r="BF246" i="10" s="1"/>
  <c r="CQ246" i="10"/>
  <c r="CX246" i="10"/>
  <c r="BG246" i="10" s="1"/>
  <c r="CT246" i="10"/>
  <c r="CU246" i="10"/>
  <c r="CS244" i="10"/>
  <c r="CW244" i="10"/>
  <c r="CT244" i="10"/>
  <c r="CX244" i="10"/>
  <c r="CR244" i="10"/>
  <c r="CU244" i="10"/>
  <c r="CV244" i="10"/>
  <c r="CQ244" i="10"/>
  <c r="CT242" i="10"/>
  <c r="CX242" i="10"/>
  <c r="CQ242" i="10"/>
  <c r="CU242" i="10"/>
  <c r="CV242" i="10"/>
  <c r="CR242" i="10"/>
  <c r="CW242" i="10"/>
  <c r="CS242" i="10"/>
  <c r="CQ240" i="10"/>
  <c r="CU240" i="10"/>
  <c r="CR240" i="10"/>
  <c r="CV240" i="10"/>
  <c r="BD240" i="10" s="1"/>
  <c r="CS240" i="10"/>
  <c r="CT240" i="10"/>
  <c r="CW240" i="10"/>
  <c r="BF240" i="10" s="1"/>
  <c r="CX240" i="10"/>
  <c r="BG240" i="10" s="1"/>
  <c r="CR238" i="10"/>
  <c r="CV238" i="10"/>
  <c r="CS238" i="10"/>
  <c r="CW238" i="10"/>
  <c r="CX238" i="10"/>
  <c r="CU238" i="10"/>
  <c r="CQ238" i="10"/>
  <c r="CT238" i="10"/>
  <c r="CR236" i="10"/>
  <c r="CV236" i="10"/>
  <c r="CS236" i="10"/>
  <c r="CW236" i="10"/>
  <c r="CT236" i="10"/>
  <c r="CQ236" i="10"/>
  <c r="CU236" i="10"/>
  <c r="CX236" i="10"/>
  <c r="CS234" i="10"/>
  <c r="CW234" i="10"/>
  <c r="CT234" i="10"/>
  <c r="CX234" i="10"/>
  <c r="CV234" i="10"/>
  <c r="CQ234" i="10"/>
  <c r="CR234" i="10"/>
  <c r="CU234" i="10"/>
  <c r="CS232" i="10"/>
  <c r="CW232" i="10"/>
  <c r="CT232" i="10"/>
  <c r="CX232" i="10"/>
  <c r="CR232" i="10"/>
  <c r="CQ232" i="10"/>
  <c r="CU232" i="10"/>
  <c r="CV232" i="10"/>
  <c r="CR230" i="10"/>
  <c r="CV230" i="10"/>
  <c r="CS230" i="10"/>
  <c r="CW230" i="10"/>
  <c r="CX230" i="10"/>
  <c r="CQ230" i="10"/>
  <c r="CT230" i="10"/>
  <c r="CU230" i="10"/>
  <c r="CR228" i="10"/>
  <c r="CV228" i="10"/>
  <c r="CS228" i="10"/>
  <c r="CW228" i="10"/>
  <c r="CT228" i="10"/>
  <c r="CU228" i="10"/>
  <c r="CX228" i="10"/>
  <c r="CQ228" i="10"/>
  <c r="CR226" i="10"/>
  <c r="CV226" i="10"/>
  <c r="CT226" i="10"/>
  <c r="CU226" i="10"/>
  <c r="CS226" i="10"/>
  <c r="CQ226" i="10"/>
  <c r="CW226" i="10"/>
  <c r="CX226" i="10"/>
  <c r="CR224" i="10"/>
  <c r="CV224" i="10"/>
  <c r="CS224" i="10"/>
  <c r="CX224" i="10"/>
  <c r="CT224" i="10"/>
  <c r="CW224" i="10"/>
  <c r="CQ224" i="10"/>
  <c r="CU224" i="10"/>
  <c r="CT222" i="10"/>
  <c r="CX222" i="10"/>
  <c r="CS222" i="10"/>
  <c r="CU222" i="10"/>
  <c r="CQ222" i="10"/>
  <c r="CR222" i="10"/>
  <c r="CV222" i="10"/>
  <c r="CW222" i="10"/>
  <c r="CT220" i="10"/>
  <c r="CX220" i="10"/>
  <c r="CR220" i="10"/>
  <c r="CW220" i="10"/>
  <c r="CS220" i="10"/>
  <c r="CQ220" i="10"/>
  <c r="CU220" i="10"/>
  <c r="CV220" i="10"/>
  <c r="CR218" i="10"/>
  <c r="CV218" i="10"/>
  <c r="CS218" i="10"/>
  <c r="CX218" i="10"/>
  <c r="CT218" i="10"/>
  <c r="CW218" i="10"/>
  <c r="CQ218" i="10"/>
  <c r="CU218" i="10"/>
  <c r="CR216" i="10"/>
  <c r="CV216" i="10"/>
  <c r="CQ216" i="10"/>
  <c r="CW216" i="10"/>
  <c r="CS216" i="10"/>
  <c r="CX216" i="10"/>
  <c r="CT216" i="10"/>
  <c r="CU216" i="10"/>
  <c r="CQ214" i="10"/>
  <c r="CU214" i="10"/>
  <c r="CV214" i="10"/>
  <c r="CR214" i="10"/>
  <c r="CW214" i="10"/>
  <c r="CT214" i="10"/>
  <c r="CX214" i="10"/>
  <c r="CS214" i="10"/>
  <c r="CS212" i="10"/>
  <c r="CW212" i="10"/>
  <c r="CT212" i="10"/>
  <c r="CU212" i="10"/>
  <c r="CR212" i="10"/>
  <c r="CQ212" i="10"/>
  <c r="CV212" i="10"/>
  <c r="CX212" i="10"/>
  <c r="CS210" i="10"/>
  <c r="CW210" i="10"/>
  <c r="CU210" i="10"/>
  <c r="CQ210" i="10"/>
  <c r="CV210" i="10"/>
  <c r="CR210" i="10"/>
  <c r="CT210" i="10"/>
  <c r="CX210" i="10"/>
  <c r="CQ208" i="10"/>
  <c r="CU208" i="10"/>
  <c r="CT208" i="10"/>
  <c r="CV208" i="10"/>
  <c r="BD208" i="10" s="1"/>
  <c r="CW208" i="10"/>
  <c r="BF208" i="10" s="1"/>
  <c r="CX208" i="10"/>
  <c r="BG208" i="10" s="1"/>
  <c r="CR208" i="10"/>
  <c r="CS208" i="10"/>
  <c r="CR206" i="10"/>
  <c r="CV206" i="10"/>
  <c r="CQ206" i="10"/>
  <c r="CW206" i="10"/>
  <c r="CS206" i="10"/>
  <c r="CX206" i="10"/>
  <c r="CT206" i="10"/>
  <c r="CU206" i="10"/>
  <c r="CR204" i="10"/>
  <c r="CV204" i="10"/>
  <c r="CT204" i="10"/>
  <c r="CU204" i="10"/>
  <c r="CW204" i="10"/>
  <c r="CX204" i="10"/>
  <c r="CQ204" i="10"/>
  <c r="CS204" i="10"/>
  <c r="CQ202" i="10"/>
  <c r="CU202" i="10"/>
  <c r="CR202" i="10"/>
  <c r="CW202" i="10"/>
  <c r="CS202" i="10"/>
  <c r="CX202" i="10"/>
  <c r="CT202" i="10"/>
  <c r="CV202" i="10"/>
  <c r="CQ200" i="10"/>
  <c r="CU200" i="10"/>
  <c r="CS200" i="10"/>
  <c r="CX200" i="10"/>
  <c r="CT200" i="10"/>
  <c r="CR200" i="10"/>
  <c r="CV200" i="10"/>
  <c r="CW200" i="10"/>
  <c r="CR198" i="10"/>
  <c r="CV198" i="10"/>
  <c r="CT198" i="10"/>
  <c r="CU198" i="10"/>
  <c r="CX198" i="10"/>
  <c r="CQ198" i="10"/>
  <c r="CS198" i="10"/>
  <c r="CW198" i="10"/>
  <c r="CQ196" i="10"/>
  <c r="CU196" i="10"/>
  <c r="CT196" i="10"/>
  <c r="CV196" i="10"/>
  <c r="CW196" i="10"/>
  <c r="CS196" i="10"/>
  <c r="CX196" i="10"/>
  <c r="CR196" i="10"/>
  <c r="CS194" i="10"/>
  <c r="CW194" i="10"/>
  <c r="CU194" i="10"/>
  <c r="CQ194" i="10"/>
  <c r="CV194" i="10"/>
  <c r="CT194" i="10"/>
  <c r="CR194" i="10"/>
  <c r="CX194" i="10"/>
  <c r="CQ192" i="10"/>
  <c r="CU192" i="10"/>
  <c r="CV192" i="10"/>
  <c r="CR192" i="10"/>
  <c r="CW192" i="10"/>
  <c r="CT192" i="10"/>
  <c r="CX192" i="10"/>
  <c r="CS192" i="10"/>
  <c r="CS190" i="10"/>
  <c r="CW190" i="10"/>
  <c r="CQ190" i="10"/>
  <c r="CV190" i="10"/>
  <c r="CR190" i="10"/>
  <c r="CX190" i="10"/>
  <c r="CU190" i="10"/>
  <c r="CT190" i="10"/>
  <c r="CQ188" i="10"/>
  <c r="CU188" i="10"/>
  <c r="CR188" i="10"/>
  <c r="CV188" i="10"/>
  <c r="CX188" i="10"/>
  <c r="CS188" i="10"/>
  <c r="CW188" i="10"/>
  <c r="CT188" i="10"/>
  <c r="CQ186" i="10"/>
  <c r="CU186" i="10"/>
  <c r="CR186" i="10"/>
  <c r="CV186" i="10"/>
  <c r="CS186" i="10"/>
  <c r="CT186" i="10"/>
  <c r="CX186" i="10"/>
  <c r="CW186" i="10"/>
  <c r="CS184" i="10"/>
  <c r="CW184" i="10"/>
  <c r="CT184" i="10"/>
  <c r="CX184" i="10"/>
  <c r="CV184" i="10"/>
  <c r="CQ184" i="10"/>
  <c r="CR184" i="10"/>
  <c r="CU184" i="10"/>
  <c r="CS182" i="10"/>
  <c r="CW182" i="10"/>
  <c r="CT182" i="10"/>
  <c r="CX182" i="10"/>
  <c r="CQ182" i="10"/>
  <c r="CR182" i="10"/>
  <c r="CU182" i="10"/>
  <c r="CV182" i="10"/>
  <c r="CR180" i="10"/>
  <c r="CV180" i="10"/>
  <c r="CS180" i="10"/>
  <c r="CW180" i="10"/>
  <c r="CU180" i="10"/>
  <c r="CX180" i="10"/>
  <c r="CQ180" i="10"/>
  <c r="CT180" i="10"/>
  <c r="CS178" i="10"/>
  <c r="CW178" i="10"/>
  <c r="CT178" i="10"/>
  <c r="CX178" i="10"/>
  <c r="CQ178" i="10"/>
  <c r="CR178" i="10"/>
  <c r="CU178" i="10"/>
  <c r="CV178" i="10"/>
  <c r="CR176" i="10"/>
  <c r="CV176" i="10"/>
  <c r="CS176" i="10"/>
  <c r="CW176" i="10"/>
  <c r="CQ176" i="10"/>
  <c r="CT176" i="10"/>
  <c r="CU176" i="10"/>
  <c r="CX176" i="10"/>
  <c r="CQ174" i="10"/>
  <c r="CU174" i="10"/>
  <c r="CS174" i="10"/>
  <c r="CX174" i="10"/>
  <c r="CT174" i="10"/>
  <c r="CR174" i="10"/>
  <c r="CV174" i="10"/>
  <c r="CW174" i="10"/>
  <c r="CR172" i="10"/>
  <c r="CV172" i="10"/>
  <c r="CQ172" i="10"/>
  <c r="CW172" i="10"/>
  <c r="CS172" i="10"/>
  <c r="CX172" i="10"/>
  <c r="CT172" i="10"/>
  <c r="CU172" i="10"/>
  <c r="CR170" i="10"/>
  <c r="CV170" i="10"/>
  <c r="CT170" i="10"/>
  <c r="CU170" i="10"/>
  <c r="CQ170" i="10"/>
  <c r="CS170" i="10"/>
  <c r="CW170" i="10"/>
  <c r="CX170" i="10"/>
  <c r="CQ168" i="10"/>
  <c r="CU168" i="10"/>
  <c r="CV168" i="10"/>
  <c r="CR168" i="10"/>
  <c r="CW168" i="10"/>
  <c r="CT168" i="10"/>
  <c r="CX168" i="10"/>
  <c r="CS168" i="10"/>
  <c r="CS166" i="10"/>
  <c r="CW166" i="10"/>
  <c r="BF166" i="10" s="1"/>
  <c r="CT166" i="10"/>
  <c r="CU166" i="10"/>
  <c r="CR166" i="10"/>
  <c r="CV166" i="10"/>
  <c r="BD166" i="10" s="1"/>
  <c r="CX166" i="10"/>
  <c r="BG166" i="10" s="1"/>
  <c r="CQ166" i="10"/>
  <c r="CR164" i="10"/>
  <c r="CV164" i="10"/>
  <c r="CT164" i="10"/>
  <c r="CU164" i="10"/>
  <c r="CS164" i="10"/>
  <c r="CW164" i="10"/>
  <c r="CX164" i="10"/>
  <c r="CQ164" i="10"/>
  <c r="CT162" i="10"/>
  <c r="CX162" i="10"/>
  <c r="CQ162" i="10"/>
  <c r="CV162" i="10"/>
  <c r="CR162" i="10"/>
  <c r="CW162" i="10"/>
  <c r="CU162" i="10"/>
  <c r="CS162" i="10"/>
  <c r="CS160" i="10"/>
  <c r="CW160" i="10"/>
  <c r="CU160" i="10"/>
  <c r="CQ160" i="10"/>
  <c r="CV160" i="10"/>
  <c r="CT160" i="10"/>
  <c r="CX160" i="10"/>
  <c r="CR160" i="10"/>
  <c r="CQ158" i="10"/>
  <c r="CU158" i="10"/>
  <c r="CT158" i="10"/>
  <c r="CV158" i="10"/>
  <c r="CX158" i="10"/>
  <c r="CR158" i="10"/>
  <c r="CW158" i="10"/>
  <c r="CS158" i="10"/>
  <c r="CT156" i="10"/>
  <c r="CX156" i="10"/>
  <c r="CQ156" i="10"/>
  <c r="CU156" i="10"/>
  <c r="CW156" i="10"/>
  <c r="CR156" i="10"/>
  <c r="CV156" i="10"/>
  <c r="CS156" i="10"/>
  <c r="CR154" i="10"/>
  <c r="CV154" i="10"/>
  <c r="CS154" i="10"/>
  <c r="CW154" i="10"/>
  <c r="CU154" i="10"/>
  <c r="CX154" i="10"/>
  <c r="CQ154" i="10"/>
  <c r="CT154" i="10"/>
  <c r="CS152" i="10"/>
  <c r="CW152" i="10"/>
  <c r="CT152" i="10"/>
  <c r="CX152" i="10"/>
  <c r="CV152" i="10"/>
  <c r="CQ152" i="10"/>
  <c r="CR152" i="10"/>
  <c r="CU152" i="10"/>
  <c r="CS150" i="10"/>
  <c r="CW150" i="10"/>
  <c r="CT150" i="10"/>
  <c r="CX150" i="10"/>
  <c r="CV150" i="10"/>
  <c r="CQ150" i="10"/>
  <c r="CU150" i="10"/>
  <c r="CR150" i="10"/>
  <c r="CS148" i="10"/>
  <c r="CW148" i="10"/>
  <c r="CT148" i="10"/>
  <c r="CX148" i="10"/>
  <c r="CV148" i="10"/>
  <c r="CQ148" i="10"/>
  <c r="CR148" i="10"/>
  <c r="CU148" i="10"/>
  <c r="CT146" i="10"/>
  <c r="CX146" i="10"/>
  <c r="BG146" i="10" s="1"/>
  <c r="CQ146" i="10"/>
  <c r="CU146" i="10"/>
  <c r="CR146" i="10"/>
  <c r="CS146" i="10"/>
  <c r="CV146" i="10"/>
  <c r="BD146" i="10" s="1"/>
  <c r="CW146" i="10"/>
  <c r="BF146" i="10" s="1"/>
  <c r="CQ144" i="10"/>
  <c r="CU144" i="10"/>
  <c r="CR144" i="10"/>
  <c r="CV144" i="10"/>
  <c r="BD144" i="10" s="1"/>
  <c r="CT144" i="10"/>
  <c r="CW144" i="10"/>
  <c r="BF144" i="10" s="1"/>
  <c r="CX144" i="10"/>
  <c r="BG144" i="10" s="1"/>
  <c r="CS144" i="10"/>
  <c r="CT142" i="10"/>
  <c r="CX142" i="10"/>
  <c r="CQ142" i="10"/>
  <c r="CU142" i="10"/>
  <c r="CW142" i="10"/>
  <c r="CR142" i="10"/>
  <c r="CS142" i="10"/>
  <c r="CV142" i="10"/>
  <c r="CQ140" i="10"/>
  <c r="CU140" i="10"/>
  <c r="CR140" i="10"/>
  <c r="CV140" i="10"/>
  <c r="CS140" i="10"/>
  <c r="CT140" i="10"/>
  <c r="CW140" i="10"/>
  <c r="CX140" i="10"/>
  <c r="CQ138" i="10"/>
  <c r="CU138" i="10"/>
  <c r="CR138" i="10"/>
  <c r="CV138" i="10"/>
  <c r="CS138" i="10"/>
  <c r="CT138" i="10"/>
  <c r="CW138" i="10"/>
  <c r="CX138" i="10"/>
  <c r="CQ136" i="10"/>
  <c r="CU136" i="10"/>
  <c r="CR136" i="10"/>
  <c r="CV136" i="10"/>
  <c r="CS136" i="10"/>
  <c r="CT136" i="10"/>
  <c r="CW136" i="10"/>
  <c r="CX136" i="10"/>
  <c r="CQ134" i="10"/>
  <c r="CU134" i="10"/>
  <c r="CR134" i="10"/>
  <c r="CV134" i="10"/>
  <c r="CS134" i="10"/>
  <c r="CT134" i="10"/>
  <c r="CW134" i="10"/>
  <c r="CX134" i="10"/>
  <c r="CQ132" i="10"/>
  <c r="CU132" i="10"/>
  <c r="CR132" i="10"/>
  <c r="CV132" i="10"/>
  <c r="CS132" i="10"/>
  <c r="CT132" i="10"/>
  <c r="CW132" i="10"/>
  <c r="CX132" i="10"/>
  <c r="CS130" i="10"/>
  <c r="CW130" i="10"/>
  <c r="CQ130" i="10"/>
  <c r="CV130" i="10"/>
  <c r="CR130" i="10"/>
  <c r="CX130" i="10"/>
  <c r="CT130" i="10"/>
  <c r="CU130" i="10"/>
  <c r="CS128" i="10"/>
  <c r="CW128" i="10"/>
  <c r="CQ128" i="10"/>
  <c r="CV128" i="10"/>
  <c r="CR128" i="10"/>
  <c r="CX128" i="10"/>
  <c r="CT128" i="10"/>
  <c r="CU128" i="10"/>
  <c r="CS126" i="10"/>
  <c r="CW126" i="10"/>
  <c r="CQ126" i="10"/>
  <c r="CV126" i="10"/>
  <c r="CR126" i="10"/>
  <c r="CX126" i="10"/>
  <c r="CU126" i="10"/>
  <c r="CT126" i="10"/>
  <c r="CS124" i="10"/>
  <c r="CW124" i="10"/>
  <c r="CQ124" i="10"/>
  <c r="CV124" i="10"/>
  <c r="CR124" i="10"/>
  <c r="CX124" i="10"/>
  <c r="CT124" i="10"/>
  <c r="CU124" i="10"/>
  <c r="CS122" i="10"/>
  <c r="CW122" i="10"/>
  <c r="CQ122" i="10"/>
  <c r="CV122" i="10"/>
  <c r="CR122" i="10"/>
  <c r="CX122" i="10"/>
  <c r="CT122" i="10"/>
  <c r="CU122" i="10"/>
  <c r="CS120" i="10"/>
  <c r="CW120" i="10"/>
  <c r="CQ120" i="10"/>
  <c r="CV120" i="10"/>
  <c r="CR120" i="10"/>
  <c r="CX120" i="10"/>
  <c r="CT120" i="10"/>
  <c r="CU120" i="10"/>
  <c r="CS118" i="10"/>
  <c r="CW118" i="10"/>
  <c r="CQ118" i="10"/>
  <c r="CV118" i="10"/>
  <c r="CR118" i="10"/>
  <c r="CX118" i="10"/>
  <c r="CT118" i="10"/>
  <c r="CU118" i="10"/>
  <c r="CS116" i="10"/>
  <c r="CW116" i="10"/>
  <c r="CQ116" i="10"/>
  <c r="CV116" i="10"/>
  <c r="CR116" i="10"/>
  <c r="CX116" i="10"/>
  <c r="CT116" i="10"/>
  <c r="CU116" i="10"/>
  <c r="CS114" i="10"/>
  <c r="CW114" i="10"/>
  <c r="CQ114" i="10"/>
  <c r="CV114" i="10"/>
  <c r="CR114" i="10"/>
  <c r="CX114" i="10"/>
  <c r="CT114" i="10"/>
  <c r="CU114" i="10"/>
  <c r="CS112" i="10"/>
  <c r="CW112" i="10"/>
  <c r="CQ112" i="10"/>
  <c r="CV112" i="10"/>
  <c r="CR112" i="10"/>
  <c r="CX112" i="10"/>
  <c r="CT112" i="10"/>
  <c r="CU112" i="10"/>
  <c r="CS110" i="10"/>
  <c r="CW110" i="10"/>
  <c r="CQ110" i="10"/>
  <c r="CV110" i="10"/>
  <c r="CR110" i="10"/>
  <c r="CX110" i="10"/>
  <c r="CT110" i="10"/>
  <c r="CU110" i="10"/>
  <c r="CR108" i="10"/>
  <c r="CV108" i="10"/>
  <c r="CS108" i="10"/>
  <c r="CW108" i="10"/>
  <c r="CT108" i="10"/>
  <c r="CU108" i="10"/>
  <c r="CQ108" i="10"/>
  <c r="CX108" i="10"/>
  <c r="CR106" i="10"/>
  <c r="CV106" i="10"/>
  <c r="CS106" i="10"/>
  <c r="CW106" i="10"/>
  <c r="CT106" i="10"/>
  <c r="CU106" i="10"/>
  <c r="CQ106" i="10"/>
  <c r="CX106" i="10"/>
  <c r="CR104" i="10"/>
  <c r="CV104" i="10"/>
  <c r="CS104" i="10"/>
  <c r="CW104" i="10"/>
  <c r="CT104" i="10"/>
  <c r="CU104" i="10"/>
  <c r="CQ104" i="10"/>
  <c r="CX104" i="10"/>
  <c r="CR102" i="10"/>
  <c r="CV102" i="10"/>
  <c r="CS102" i="10"/>
  <c r="CW102" i="10"/>
  <c r="CT102" i="10"/>
  <c r="CU102" i="10"/>
  <c r="CQ102" i="10"/>
  <c r="CX102" i="10"/>
  <c r="CR100" i="10"/>
  <c r="CV100" i="10"/>
  <c r="CS100" i="10"/>
  <c r="CW100" i="10"/>
  <c r="CT100" i="10"/>
  <c r="CU100" i="10"/>
  <c r="CQ100" i="10"/>
  <c r="CX100" i="10"/>
  <c r="CR98" i="10"/>
  <c r="CV98" i="10"/>
  <c r="CS98" i="10"/>
  <c r="CW98" i="10"/>
  <c r="CT98" i="10"/>
  <c r="CU98" i="10"/>
  <c r="CQ98" i="10"/>
  <c r="CX98" i="10"/>
  <c r="CR96" i="10"/>
  <c r="CV96" i="10"/>
  <c r="CS96" i="10"/>
  <c r="CW96" i="10"/>
  <c r="CT96" i="10"/>
  <c r="CU96" i="10"/>
  <c r="CQ96" i="10"/>
  <c r="CX96" i="10"/>
  <c r="CR94" i="10"/>
  <c r="CV94" i="10"/>
  <c r="CS94" i="10"/>
  <c r="CW94" i="10"/>
  <c r="CT94" i="10"/>
  <c r="CU94" i="10"/>
  <c r="CQ94" i="10"/>
  <c r="CX94" i="10"/>
  <c r="CR92" i="10"/>
  <c r="CV92" i="10"/>
  <c r="CS92" i="10"/>
  <c r="CW92" i="10"/>
  <c r="CT92" i="10"/>
  <c r="CU92" i="10"/>
  <c r="CQ92" i="10"/>
  <c r="CX92" i="10"/>
  <c r="CR90" i="10"/>
  <c r="CV90" i="10"/>
  <c r="CS90" i="10"/>
  <c r="CW90" i="10"/>
  <c r="CT90" i="10"/>
  <c r="CU90" i="10"/>
  <c r="CQ90" i="10"/>
  <c r="CX90" i="10"/>
  <c r="CR88" i="10"/>
  <c r="CV88" i="10"/>
  <c r="CS88" i="10"/>
  <c r="CW88" i="10"/>
  <c r="CT88" i="10"/>
  <c r="CU88" i="10"/>
  <c r="CQ88" i="10"/>
  <c r="CX88" i="10"/>
  <c r="CR86" i="10"/>
  <c r="CV86" i="10"/>
  <c r="CS86" i="10"/>
  <c r="CW86" i="10"/>
  <c r="CT86" i="10"/>
  <c r="CU86" i="10"/>
  <c r="CQ86" i="10"/>
  <c r="CX86" i="10"/>
  <c r="CR84" i="10"/>
  <c r="CV84" i="10"/>
  <c r="CS84" i="10"/>
  <c r="CW84" i="10"/>
  <c r="CT84" i="10"/>
  <c r="CU84" i="10"/>
  <c r="CQ84" i="10"/>
  <c r="CX84" i="10"/>
  <c r="CR82" i="10"/>
  <c r="CV82" i="10"/>
  <c r="CS82" i="10"/>
  <c r="CW82" i="10"/>
  <c r="CT82" i="10"/>
  <c r="CU82" i="10"/>
  <c r="CQ82" i="10"/>
  <c r="CX82" i="10"/>
  <c r="CR80" i="10"/>
  <c r="CV80" i="10"/>
  <c r="CS80" i="10"/>
  <c r="CW80" i="10"/>
  <c r="CT80" i="10"/>
  <c r="CU80" i="10"/>
  <c r="CQ80" i="10"/>
  <c r="CX80" i="10"/>
  <c r="CR78" i="10"/>
  <c r="CV78" i="10"/>
  <c r="CS78" i="10"/>
  <c r="CW78" i="10"/>
  <c r="CT78" i="10"/>
  <c r="CU78" i="10"/>
  <c r="CQ78" i="10"/>
  <c r="CX78" i="10"/>
  <c r="CR76" i="10"/>
  <c r="CV76" i="10"/>
  <c r="CS76" i="10"/>
  <c r="CW76" i="10"/>
  <c r="CT76" i="10"/>
  <c r="CU76" i="10"/>
  <c r="CQ76" i="10"/>
  <c r="CX76" i="10"/>
  <c r="CR74" i="10"/>
  <c r="CV74" i="10"/>
  <c r="CS74" i="10"/>
  <c r="CW74" i="10"/>
  <c r="CT74" i="10"/>
  <c r="CU74" i="10"/>
  <c r="CQ74" i="10"/>
  <c r="CX74" i="10"/>
  <c r="CR72" i="10"/>
  <c r="CV72" i="10"/>
  <c r="CS72" i="10"/>
  <c r="CW72" i="10"/>
  <c r="CT72" i="10"/>
  <c r="CU72" i="10"/>
  <c r="CQ72" i="10"/>
  <c r="CX72" i="10"/>
  <c r="CR70" i="10"/>
  <c r="CV70" i="10"/>
  <c r="CS70" i="10"/>
  <c r="CW70" i="10"/>
  <c r="CT70" i="10"/>
  <c r="CU70" i="10"/>
  <c r="CQ70" i="10"/>
  <c r="CX70" i="10"/>
  <c r="CT68" i="10"/>
  <c r="CX68" i="10"/>
  <c r="CS68" i="10"/>
  <c r="CU68" i="10"/>
  <c r="CQ68" i="10"/>
  <c r="CR68" i="10"/>
  <c r="CV68" i="10"/>
  <c r="CW68" i="10"/>
  <c r="CT66" i="10"/>
  <c r="CX66" i="10"/>
  <c r="CS66" i="10"/>
  <c r="CU66" i="10"/>
  <c r="CV66" i="10"/>
  <c r="CW66" i="10"/>
  <c r="CQ66" i="10"/>
  <c r="CR66" i="10"/>
  <c r="CT64" i="10"/>
  <c r="CX64" i="10"/>
  <c r="CS64" i="10"/>
  <c r="CU64" i="10"/>
  <c r="CQ64" i="10"/>
  <c r="CR64" i="10"/>
  <c r="CV64" i="10"/>
  <c r="CW64" i="10"/>
  <c r="CS62" i="10"/>
  <c r="CW62" i="10"/>
  <c r="CT62" i="10"/>
  <c r="CX62" i="10"/>
  <c r="CU62" i="10"/>
  <c r="CV62" i="10"/>
  <c r="CQ62" i="10"/>
  <c r="CR62" i="10"/>
  <c r="CS60" i="10"/>
  <c r="CW60" i="10"/>
  <c r="CT60" i="10"/>
  <c r="CX60" i="10"/>
  <c r="CU60" i="10"/>
  <c r="CV60" i="10"/>
  <c r="CQ60" i="10"/>
  <c r="CR60" i="10"/>
  <c r="CS58" i="10"/>
  <c r="CW58" i="10"/>
  <c r="CT58" i="10"/>
  <c r="CX58" i="10"/>
  <c r="CU58" i="10"/>
  <c r="CV58" i="10"/>
  <c r="CQ58" i="10"/>
  <c r="CR58" i="10"/>
  <c r="CS56" i="10"/>
  <c r="CW56" i="10"/>
  <c r="CT56" i="10"/>
  <c r="CX56" i="10"/>
  <c r="CU56" i="10"/>
  <c r="CV56" i="10"/>
  <c r="CQ56" i="10"/>
  <c r="CR56" i="10"/>
  <c r="CS54" i="10"/>
  <c r="CW54" i="10"/>
  <c r="CT54" i="10"/>
  <c r="CX54" i="10"/>
  <c r="CU54" i="10"/>
  <c r="CV54" i="10"/>
  <c r="CQ54" i="10"/>
  <c r="CR54" i="10"/>
  <c r="CS52" i="10"/>
  <c r="CW52" i="10"/>
  <c r="CT52" i="10"/>
  <c r="CX52" i="10"/>
  <c r="CU52" i="10"/>
  <c r="CV52" i="10"/>
  <c r="CQ52" i="10"/>
  <c r="CR52" i="10"/>
  <c r="CS50" i="10"/>
  <c r="CW50" i="10"/>
  <c r="CT50" i="10"/>
  <c r="CX50" i="10"/>
  <c r="CU50" i="10"/>
  <c r="CV50" i="10"/>
  <c r="CQ50" i="10"/>
  <c r="CR50" i="10"/>
  <c r="CQ48" i="10"/>
  <c r="CR48" i="10"/>
  <c r="CS48" i="10"/>
  <c r="CW48" i="10"/>
  <c r="CT48" i="10"/>
  <c r="CX48" i="10"/>
  <c r="CU48" i="10"/>
  <c r="CV48" i="10"/>
  <c r="CQ46" i="10"/>
  <c r="CU46" i="10"/>
  <c r="CR46" i="10"/>
  <c r="CV46" i="10"/>
  <c r="CS46" i="10"/>
  <c r="CT46" i="10"/>
  <c r="CW46" i="10"/>
  <c r="CX46" i="10"/>
  <c r="CQ44" i="10"/>
  <c r="CU44" i="10"/>
  <c r="CR44" i="10"/>
  <c r="CV44" i="10"/>
  <c r="CS44" i="10"/>
  <c r="CT44" i="10"/>
  <c r="CW44" i="10"/>
  <c r="CX44" i="10"/>
  <c r="CQ42" i="10"/>
  <c r="CU42" i="10"/>
  <c r="CR42" i="10"/>
  <c r="CV42" i="10"/>
  <c r="CS42" i="10"/>
  <c r="CT42" i="10"/>
  <c r="CW42" i="10"/>
  <c r="CX42" i="10"/>
  <c r="CQ40" i="10"/>
  <c r="CU40" i="10"/>
  <c r="CR40" i="10"/>
  <c r="CV40" i="10"/>
  <c r="CS40" i="10"/>
  <c r="CT40" i="10"/>
  <c r="CW40" i="10"/>
  <c r="CX40" i="10"/>
  <c r="CT381" i="10"/>
  <c r="CX381" i="10"/>
  <c r="BG381" i="10" s="1"/>
  <c r="CQ381" i="10"/>
  <c r="CV381" i="10"/>
  <c r="BD381" i="10" s="1"/>
  <c r="CR381" i="10"/>
  <c r="CW381" i="10"/>
  <c r="BF381" i="10" s="1"/>
  <c r="CU381" i="10"/>
  <c r="CS381" i="10"/>
  <c r="CS377" i="10"/>
  <c r="CW377" i="10"/>
  <c r="BF377" i="10" s="1"/>
  <c r="CT377" i="10"/>
  <c r="CX377" i="10"/>
  <c r="BG377" i="10" s="1"/>
  <c r="CQ377" i="10"/>
  <c r="CR377" i="10"/>
  <c r="CV377" i="10"/>
  <c r="BD377" i="10" s="1"/>
  <c r="CU377" i="10"/>
  <c r="CT369" i="10"/>
  <c r="CX369" i="10"/>
  <c r="BG369" i="10" s="1"/>
  <c r="CQ369" i="10"/>
  <c r="CU369" i="10"/>
  <c r="CS369" i="10"/>
  <c r="CW369" i="10"/>
  <c r="BF369" i="10" s="1"/>
  <c r="CR369" i="10"/>
  <c r="CV369" i="10"/>
  <c r="BD369" i="10" s="1"/>
  <c r="CT383" i="10"/>
  <c r="CX383" i="10"/>
  <c r="BG383" i="10" s="1"/>
  <c r="CQ383" i="10"/>
  <c r="CV383" i="10"/>
  <c r="BD383" i="10" s="1"/>
  <c r="CW383" i="10"/>
  <c r="BF383" i="10" s="1"/>
  <c r="CR383" i="10"/>
  <c r="CU383" i="10"/>
  <c r="CS383" i="10"/>
  <c r="CR373" i="10"/>
  <c r="CV373" i="10"/>
  <c r="BD373" i="10" s="1"/>
  <c r="CQ373" i="10"/>
  <c r="CU373" i="10"/>
  <c r="CS373" i="10"/>
  <c r="CT373" i="10"/>
  <c r="CW373" i="10"/>
  <c r="BF373" i="10" s="1"/>
  <c r="CX373" i="10"/>
  <c r="BG373" i="10" s="1"/>
  <c r="CR367" i="10"/>
  <c r="CV367" i="10"/>
  <c r="BD367" i="10" s="1"/>
  <c r="CQ367" i="10"/>
  <c r="CW367" i="10"/>
  <c r="BF367" i="10" s="1"/>
  <c r="CS367" i="10"/>
  <c r="CX367" i="10"/>
  <c r="BG367" i="10" s="1"/>
  <c r="CU367" i="10"/>
  <c r="CT367" i="10"/>
  <c r="CR379" i="10"/>
  <c r="CV379" i="10"/>
  <c r="BD379" i="10" s="1"/>
  <c r="CQ379" i="10"/>
  <c r="CU379" i="10"/>
  <c r="CS379" i="10"/>
  <c r="CT379" i="10"/>
  <c r="CX379" i="10"/>
  <c r="BG379" i="10" s="1"/>
  <c r="CW379" i="10"/>
  <c r="BF379" i="10" s="1"/>
  <c r="CQ375" i="10"/>
  <c r="CT375" i="10"/>
  <c r="CX375" i="10"/>
  <c r="BG375" i="10" s="1"/>
  <c r="CU375" i="10"/>
  <c r="CS375" i="10"/>
  <c r="CV375" i="10"/>
  <c r="BD375" i="10" s="1"/>
  <c r="CW375" i="10"/>
  <c r="BF375" i="10" s="1"/>
  <c r="CR375" i="10"/>
  <c r="CS371" i="10"/>
  <c r="CW371" i="10"/>
  <c r="BF371" i="10" s="1"/>
  <c r="CR371" i="10"/>
  <c r="CV371" i="10"/>
  <c r="BD371" i="10" s="1"/>
  <c r="CT371" i="10"/>
  <c r="CU371" i="10"/>
  <c r="CX371" i="10"/>
  <c r="BG371" i="10" s="1"/>
  <c r="CQ371" i="10"/>
  <c r="CR365" i="10"/>
  <c r="CV365" i="10"/>
  <c r="BD365" i="10" s="1"/>
  <c r="CQ365" i="10"/>
  <c r="CW365" i="10"/>
  <c r="BF365" i="10" s="1"/>
  <c r="CS365" i="10"/>
  <c r="CX365" i="10"/>
  <c r="BG365" i="10" s="1"/>
  <c r="CU365" i="10"/>
  <c r="CT365" i="10"/>
  <c r="CS382" i="10"/>
  <c r="CW382" i="10"/>
  <c r="BF382" i="10" s="1"/>
  <c r="CT382" i="10"/>
  <c r="CU382" i="10"/>
  <c r="CR382" i="10"/>
  <c r="CX382" i="10"/>
  <c r="BG382" i="10" s="1"/>
  <c r="CQ382" i="10"/>
  <c r="CV382" i="10"/>
  <c r="BD382" i="10" s="1"/>
  <c r="CR380" i="10"/>
  <c r="CV380" i="10"/>
  <c r="BD380" i="10" s="1"/>
  <c r="CS380" i="10"/>
  <c r="CW380" i="10"/>
  <c r="BF380" i="10" s="1"/>
  <c r="CU380" i="10"/>
  <c r="CX380" i="10"/>
  <c r="BG380" i="10" s="1"/>
  <c r="CQ380" i="10"/>
  <c r="CT380" i="10"/>
  <c r="CR378" i="10"/>
  <c r="CV378" i="10"/>
  <c r="BD378" i="10" s="1"/>
  <c r="CS378" i="10"/>
  <c r="CW378" i="10"/>
  <c r="BF378" i="10" s="1"/>
  <c r="CT378" i="10"/>
  <c r="CU378" i="10"/>
  <c r="CX378" i="10"/>
  <c r="BG378" i="10" s="1"/>
  <c r="CQ378" i="10"/>
  <c r="CR376" i="10"/>
  <c r="CV376" i="10"/>
  <c r="BD376" i="10" s="1"/>
  <c r="CQ376" i="10"/>
  <c r="CU376" i="10"/>
  <c r="CS376" i="10"/>
  <c r="CT376" i="10"/>
  <c r="CW376" i="10"/>
  <c r="BF376" i="10" s="1"/>
  <c r="CX376" i="10"/>
  <c r="BG376" i="10" s="1"/>
  <c r="CQ374" i="10"/>
  <c r="CU374" i="10"/>
  <c r="CT374" i="10"/>
  <c r="CX374" i="10"/>
  <c r="BG374" i="10" s="1"/>
  <c r="CW374" i="10"/>
  <c r="BF374" i="10" s="1"/>
  <c r="CR374" i="10"/>
  <c r="CS374" i="10"/>
  <c r="CV374" i="10"/>
  <c r="BD374" i="10" s="1"/>
  <c r="CT372" i="10"/>
  <c r="CX372" i="10"/>
  <c r="BG372" i="10" s="1"/>
  <c r="CS372" i="10"/>
  <c r="CW372" i="10"/>
  <c r="BF372" i="10" s="1"/>
  <c r="CQ372" i="10"/>
  <c r="CR372" i="10"/>
  <c r="CU372" i="10"/>
  <c r="CV372" i="10"/>
  <c r="BD372" i="10" s="1"/>
  <c r="CT370" i="10"/>
  <c r="CX370" i="10"/>
  <c r="BG370" i="10" s="1"/>
  <c r="CQ370" i="10"/>
  <c r="CU370" i="10"/>
  <c r="CS370" i="10"/>
  <c r="CW370" i="10"/>
  <c r="BF370" i="10" s="1"/>
  <c r="CR370" i="10"/>
  <c r="CV370" i="10"/>
  <c r="BD370" i="10" s="1"/>
  <c r="CS368" i="10"/>
  <c r="CW368" i="10"/>
  <c r="BF368" i="10" s="1"/>
  <c r="CQ368" i="10"/>
  <c r="CV368" i="10"/>
  <c r="BD368" i="10" s="1"/>
  <c r="CR368" i="10"/>
  <c r="CX368" i="10"/>
  <c r="BG368" i="10" s="1"/>
  <c r="CU368" i="10"/>
  <c r="CT368" i="10"/>
  <c r="CQ366" i="10"/>
  <c r="CU366" i="10"/>
  <c r="CS366" i="10"/>
  <c r="CX366" i="10"/>
  <c r="BG366" i="10" s="1"/>
  <c r="CT366" i="10"/>
  <c r="CR366" i="10"/>
  <c r="CW366" i="10"/>
  <c r="BF366" i="10" s="1"/>
  <c r="CV366" i="10"/>
  <c r="BD366" i="10" s="1"/>
  <c r="I385" i="10"/>
  <c r="CI385" i="10"/>
  <c r="X384" i="10"/>
  <c r="CI384" i="10"/>
  <c r="V385" i="10"/>
  <c r="CT384" i="10"/>
  <c r="L385" i="10"/>
  <c r="M385" i="10" s="1"/>
  <c r="O385" i="10" s="1"/>
  <c r="AD385" i="10"/>
  <c r="AF385" i="10" s="1"/>
  <c r="AG385" i="10" s="1"/>
  <c r="U385" i="10"/>
  <c r="J385" i="10"/>
  <c r="Y385" i="10"/>
  <c r="BG385" i="10" s="1"/>
  <c r="AN385" i="10"/>
  <c r="CG385" i="10" s="1"/>
  <c r="W385" i="10"/>
  <c r="CX384" i="10"/>
  <c r="AD384" i="10"/>
  <c r="AL385" i="10"/>
  <c r="CE385" i="10" s="1"/>
  <c r="Z385" i="10"/>
  <c r="AB385" i="10" s="1"/>
  <c r="AN384" i="10"/>
  <c r="CG384" i="10" s="1"/>
  <c r="L384" i="10"/>
  <c r="M384" i="10" s="1"/>
  <c r="X385" i="10"/>
  <c r="AM385" i="10"/>
  <c r="CF385" i="10" s="1"/>
  <c r="AM384" i="10"/>
  <c r="CF384" i="10" s="1"/>
  <c r="W384" i="10"/>
  <c r="CT385" i="10"/>
  <c r="CW385" i="10"/>
  <c r="CV385" i="10"/>
  <c r="CS384" i="10"/>
  <c r="CW384" i="10"/>
  <c r="CS385" i="10"/>
  <c r="CV384" i="10"/>
  <c r="CQ384" i="10"/>
  <c r="CR385" i="10"/>
  <c r="CU384" i="10"/>
  <c r="I384" i="10"/>
  <c r="U384" i="10"/>
  <c r="Y384" i="10"/>
  <c r="AL384" i="10"/>
  <c r="CE384" i="10" s="1"/>
  <c r="V384" i="10"/>
  <c r="CQ385" i="10"/>
  <c r="CU385" i="10"/>
  <c r="Z384" i="10"/>
  <c r="J384" i="10"/>
  <c r="AQ353" i="10" l="1"/>
  <c r="AV353" i="10"/>
  <c r="AV355" i="10"/>
  <c r="AQ355" i="10"/>
  <c r="AU359" i="10"/>
  <c r="AP359" i="10"/>
  <c r="BE360" i="10"/>
  <c r="BC360" i="10"/>
  <c r="BH360" i="10" s="1"/>
  <c r="AW357" i="10"/>
  <c r="AR357" i="10"/>
  <c r="BC357" i="10"/>
  <c r="BE357" i="10"/>
  <c r="AS352" i="10"/>
  <c r="AX352" i="10"/>
  <c r="AV352" i="10"/>
  <c r="AQ352" i="10"/>
  <c r="AU354" i="10"/>
  <c r="AP354" i="10"/>
  <c r="AX354" i="10"/>
  <c r="AS354" i="10"/>
  <c r="AU356" i="10"/>
  <c r="AP356" i="10"/>
  <c r="AW356" i="10"/>
  <c r="AR356" i="10"/>
  <c r="AQ358" i="10"/>
  <c r="AV358" i="10"/>
  <c r="AQ362" i="10"/>
  <c r="AV362" i="10"/>
  <c r="AS362" i="10"/>
  <c r="AX362" i="10"/>
  <c r="AS364" i="10"/>
  <c r="AX364" i="10"/>
  <c r="AW364" i="10"/>
  <c r="AR364" i="10"/>
  <c r="AX353" i="10"/>
  <c r="AS353" i="10"/>
  <c r="AU355" i="10"/>
  <c r="AP355" i="10"/>
  <c r="AX359" i="10"/>
  <c r="AS359" i="10"/>
  <c r="AS363" i="10"/>
  <c r="AX363" i="10"/>
  <c r="AV363" i="10"/>
  <c r="AQ363" i="10"/>
  <c r="AR360" i="10"/>
  <c r="AW360" i="10"/>
  <c r="AU360" i="10"/>
  <c r="BA360" i="10" s="1"/>
  <c r="AP360" i="10"/>
  <c r="AQ357" i="10"/>
  <c r="AV357" i="10"/>
  <c r="AP357" i="10"/>
  <c r="AU357" i="10"/>
  <c r="AR361" i="10"/>
  <c r="AW361" i="10"/>
  <c r="AW354" i="10"/>
  <c r="AR354" i="10"/>
  <c r="BE362" i="10"/>
  <c r="BC362" i="10"/>
  <c r="BH362" i="10" s="1"/>
  <c r="BC355" i="10"/>
  <c r="BE355" i="10"/>
  <c r="BC352" i="10"/>
  <c r="BE352" i="10"/>
  <c r="AX358" i="10"/>
  <c r="AS358" i="10"/>
  <c r="BE358" i="10"/>
  <c r="BC358" i="10"/>
  <c r="BH358" i="10" s="1"/>
  <c r="AU362" i="10"/>
  <c r="BA362" i="10" s="1"/>
  <c r="AP362" i="10"/>
  <c r="AU364" i="10"/>
  <c r="AP364" i="10"/>
  <c r="AT364" i="10" s="1"/>
  <c r="BE353" i="10"/>
  <c r="BC353" i="10"/>
  <c r="BH353" i="10" s="1"/>
  <c r="BC359" i="10"/>
  <c r="BE359" i="10"/>
  <c r="AR363" i="10"/>
  <c r="AW363" i="10"/>
  <c r="BE363" i="10"/>
  <c r="BC363" i="10"/>
  <c r="BH363" i="10" s="1"/>
  <c r="AV360" i="10"/>
  <c r="AQ360" i="10"/>
  <c r="BE361" i="10"/>
  <c r="BC361" i="10"/>
  <c r="BH361" i="10" s="1"/>
  <c r="BC354" i="10"/>
  <c r="BE354" i="10"/>
  <c r="AX356" i="10"/>
  <c r="AS356" i="10"/>
  <c r="BC364" i="10"/>
  <c r="BE364" i="10"/>
  <c r="AP361" i="10"/>
  <c r="AU361" i="10"/>
  <c r="AW352" i="10"/>
  <c r="AR352" i="10"/>
  <c r="AU352" i="10"/>
  <c r="AP352" i="10"/>
  <c r="AT352" i="10" s="1"/>
  <c r="AV354" i="10"/>
  <c r="AQ354" i="10"/>
  <c r="BE356" i="10"/>
  <c r="BC356" i="10"/>
  <c r="BH356" i="10" s="1"/>
  <c r="AV356" i="10"/>
  <c r="AQ356" i="10"/>
  <c r="AR358" i="10"/>
  <c r="AW358" i="10"/>
  <c r="AU358" i="10"/>
  <c r="AP358" i="10"/>
  <c r="AT358" i="10" s="1"/>
  <c r="AW362" i="10"/>
  <c r="AR362" i="10"/>
  <c r="AQ364" i="10"/>
  <c r="AV364" i="10"/>
  <c r="AP353" i="10"/>
  <c r="AU353" i="10"/>
  <c r="BA353" i="10" s="1"/>
  <c r="AR353" i="10"/>
  <c r="AW353" i="10"/>
  <c r="AR355" i="10"/>
  <c r="AW355" i="10"/>
  <c r="AS355" i="10"/>
  <c r="AX355" i="10"/>
  <c r="AV359" i="10"/>
  <c r="AQ359" i="10"/>
  <c r="AR359" i="10"/>
  <c r="AW359" i="10"/>
  <c r="AU363" i="10"/>
  <c r="AP363" i="10"/>
  <c r="AT363" i="10" s="1"/>
  <c r="AS360" i="10"/>
  <c r="AX360" i="10"/>
  <c r="AX357" i="10"/>
  <c r="AS357" i="10"/>
  <c r="AX361" i="10"/>
  <c r="AS361" i="10"/>
  <c r="AQ361" i="10"/>
  <c r="AV361" i="10"/>
  <c r="AW144" i="10"/>
  <c r="AR144" i="10"/>
  <c r="BE146" i="10"/>
  <c r="BC146" i="10"/>
  <c r="BE166" i="10"/>
  <c r="BC166" i="10"/>
  <c r="BE293" i="10"/>
  <c r="BC293" i="10"/>
  <c r="AQ144" i="10"/>
  <c r="AV144" i="10"/>
  <c r="AU146" i="10"/>
  <c r="AP146" i="10"/>
  <c r="BE274" i="10"/>
  <c r="BC274" i="10"/>
  <c r="BE304" i="10"/>
  <c r="BC304" i="10"/>
  <c r="BE163" i="10"/>
  <c r="BC163" i="10"/>
  <c r="BC169" i="10"/>
  <c r="BE169" i="10"/>
  <c r="AS145" i="10"/>
  <c r="AX145" i="10"/>
  <c r="AR145" i="10"/>
  <c r="AW145" i="10"/>
  <c r="BE144" i="10"/>
  <c r="BC144" i="10"/>
  <c r="AW146" i="10"/>
  <c r="AR146" i="10"/>
  <c r="BE208" i="10"/>
  <c r="BC208" i="10"/>
  <c r="BC240" i="10"/>
  <c r="BE240" i="10"/>
  <c r="BE308" i="10"/>
  <c r="BC308" i="10"/>
  <c r="AS143" i="10"/>
  <c r="AX143" i="10"/>
  <c r="BC143" i="10"/>
  <c r="BE143" i="10"/>
  <c r="BE297" i="10"/>
  <c r="BC297" i="10"/>
  <c r="BC307" i="10"/>
  <c r="BE307" i="10"/>
  <c r="BE165" i="10"/>
  <c r="BC165" i="10"/>
  <c r="BE299" i="10"/>
  <c r="BC299" i="10"/>
  <c r="BE246" i="10"/>
  <c r="BC246" i="10"/>
  <c r="AU145" i="10"/>
  <c r="AP145" i="10"/>
  <c r="BE167" i="10"/>
  <c r="BC167" i="10"/>
  <c r="BE259" i="10"/>
  <c r="BC259" i="10"/>
  <c r="AQ143" i="10"/>
  <c r="AV143" i="10"/>
  <c r="AS144" i="10"/>
  <c r="AX144" i="10"/>
  <c r="AU144" i="10"/>
  <c r="AP144" i="10"/>
  <c r="AV146" i="10"/>
  <c r="AQ146" i="10"/>
  <c r="AS146" i="10"/>
  <c r="AX146" i="10"/>
  <c r="AW143" i="10"/>
  <c r="AR143" i="10"/>
  <c r="AP143" i="10"/>
  <c r="AU143" i="10"/>
  <c r="BC145" i="10"/>
  <c r="BE145" i="10"/>
  <c r="AV145" i="10"/>
  <c r="AQ145" i="10"/>
  <c r="AP378" i="10"/>
  <c r="AU378" i="10"/>
  <c r="BE382" i="10"/>
  <c r="BC382" i="10"/>
  <c r="AS365" i="10"/>
  <c r="AX365" i="10"/>
  <c r="AU371" i="10"/>
  <c r="AP371" i="10"/>
  <c r="AQ375" i="10"/>
  <c r="AV375" i="10"/>
  <c r="BE375" i="10"/>
  <c r="BC375" i="10"/>
  <c r="BC379" i="10"/>
  <c r="BE379" i="10"/>
  <c r="AX367" i="10"/>
  <c r="AS367" i="10"/>
  <c r="BC373" i="10"/>
  <c r="BE373" i="10"/>
  <c r="AR383" i="10"/>
  <c r="AW383" i="10"/>
  <c r="BC369" i="10"/>
  <c r="BE369" i="10"/>
  <c r="BC377" i="10"/>
  <c r="BE377" i="10"/>
  <c r="AR381" i="10"/>
  <c r="AW381" i="10"/>
  <c r="AW366" i="10"/>
  <c r="AR366" i="10"/>
  <c r="BE368" i="10"/>
  <c r="BC368" i="10"/>
  <c r="AP368" i="10"/>
  <c r="AU368" i="10"/>
  <c r="AQ370" i="10"/>
  <c r="AV370" i="10"/>
  <c r="AU370" i="10"/>
  <c r="AP370" i="10"/>
  <c r="BC372" i="10"/>
  <c r="BE372" i="10"/>
  <c r="AW372" i="10"/>
  <c r="AR372" i="10"/>
  <c r="AR374" i="10"/>
  <c r="AW374" i="10"/>
  <c r="AS374" i="10"/>
  <c r="AX374" i="10"/>
  <c r="AU376" i="10"/>
  <c r="AP376" i="10"/>
  <c r="AW378" i="10"/>
  <c r="AR378" i="10"/>
  <c r="AU380" i="10"/>
  <c r="AP380" i="10"/>
  <c r="AW380" i="10"/>
  <c r="AR380" i="10"/>
  <c r="AP382" i="10"/>
  <c r="AU382" i="10"/>
  <c r="AS382" i="10"/>
  <c r="AX382" i="10"/>
  <c r="BE365" i="10"/>
  <c r="BC365" i="10"/>
  <c r="AP365" i="10"/>
  <c r="AU365" i="10"/>
  <c r="AQ371" i="10"/>
  <c r="AV371" i="10"/>
  <c r="AU379" i="10"/>
  <c r="AP379" i="10"/>
  <c r="BC367" i="10"/>
  <c r="BE367" i="10"/>
  <c r="AP367" i="10"/>
  <c r="AU367" i="10"/>
  <c r="AP373" i="10"/>
  <c r="AU373" i="10"/>
  <c r="BC383" i="10"/>
  <c r="BE383" i="10"/>
  <c r="AU383" i="10"/>
  <c r="AP383" i="10"/>
  <c r="AQ369" i="10"/>
  <c r="AV369" i="10"/>
  <c r="AP369" i="10"/>
  <c r="AU369" i="10"/>
  <c r="AX377" i="10"/>
  <c r="AS377" i="10"/>
  <c r="BE381" i="10"/>
  <c r="BC381" i="10"/>
  <c r="AU381" i="10"/>
  <c r="AP381" i="10"/>
  <c r="BE370" i="10"/>
  <c r="BC370" i="10"/>
  <c r="BC376" i="10"/>
  <c r="BE376" i="10"/>
  <c r="AQ366" i="10"/>
  <c r="AV366" i="10"/>
  <c r="BE366" i="10"/>
  <c r="BC366" i="10"/>
  <c r="AV372" i="10"/>
  <c r="AQ372" i="10"/>
  <c r="AQ374" i="10"/>
  <c r="AV374" i="10"/>
  <c r="BE374" i="10"/>
  <c r="BC374" i="10"/>
  <c r="AS376" i="10"/>
  <c r="AX376" i="10"/>
  <c r="BE378" i="10"/>
  <c r="BC378" i="10"/>
  <c r="BE371" i="10"/>
  <c r="BC371" i="10"/>
  <c r="AS375" i="10"/>
  <c r="AX375" i="10"/>
  <c r="AX379" i="10"/>
  <c r="AS379" i="10"/>
  <c r="AX373" i="10"/>
  <c r="AS373" i="10"/>
  <c r="AQ383" i="10"/>
  <c r="AV383" i="10"/>
  <c r="AQ377" i="10"/>
  <c r="AV377" i="10"/>
  <c r="AS368" i="10"/>
  <c r="AX368" i="10"/>
  <c r="AX380" i="10"/>
  <c r="AS380" i="10"/>
  <c r="AS366" i="10"/>
  <c r="AX366" i="10"/>
  <c r="AP366" i="10"/>
  <c r="AU366" i="10"/>
  <c r="AQ368" i="10"/>
  <c r="AV368" i="10"/>
  <c r="AW368" i="10"/>
  <c r="AR368" i="10"/>
  <c r="AW370" i="10"/>
  <c r="AR370" i="10"/>
  <c r="AS370" i="10"/>
  <c r="AX370" i="10"/>
  <c r="AU372" i="10"/>
  <c r="AP372" i="10"/>
  <c r="AS372" i="10"/>
  <c r="AX372" i="10"/>
  <c r="AU374" i="10"/>
  <c r="AP374" i="10"/>
  <c r="AW376" i="10"/>
  <c r="AR376" i="10"/>
  <c r="AQ376" i="10"/>
  <c r="AV376" i="10"/>
  <c r="AS378" i="10"/>
  <c r="AX378" i="10"/>
  <c r="AQ378" i="10"/>
  <c r="AV378" i="10"/>
  <c r="BE380" i="10"/>
  <c r="BC380" i="10"/>
  <c r="AQ380" i="10"/>
  <c r="AV380" i="10"/>
  <c r="AV382" i="10"/>
  <c r="AQ382" i="10"/>
  <c r="AR382" i="10"/>
  <c r="AW382" i="10"/>
  <c r="AW365" i="10"/>
  <c r="AR365" i="10"/>
  <c r="AQ365" i="10"/>
  <c r="AV365" i="10"/>
  <c r="AS371" i="10"/>
  <c r="AX371" i="10"/>
  <c r="AW371" i="10"/>
  <c r="AR371" i="10"/>
  <c r="AW375" i="10"/>
  <c r="AR375" i="10"/>
  <c r="AP375" i="10"/>
  <c r="AU375" i="10"/>
  <c r="AR379" i="10"/>
  <c r="AW379" i="10"/>
  <c r="AQ379" i="10"/>
  <c r="AV379" i="10"/>
  <c r="AR367" i="10"/>
  <c r="AW367" i="10"/>
  <c r="AQ367" i="10"/>
  <c r="AV367" i="10"/>
  <c r="AR373" i="10"/>
  <c r="AW373" i="10"/>
  <c r="AQ373" i="10"/>
  <c r="AV373" i="10"/>
  <c r="AS383" i="10"/>
  <c r="AX383" i="10"/>
  <c r="AR369" i="10"/>
  <c r="AW369" i="10"/>
  <c r="AS369" i="10"/>
  <c r="AX369" i="10"/>
  <c r="AP377" i="10"/>
  <c r="AU377" i="10"/>
  <c r="AR377" i="10"/>
  <c r="AW377" i="10"/>
  <c r="AQ381" i="10"/>
  <c r="AV381" i="10"/>
  <c r="AS381" i="10"/>
  <c r="AX381" i="10"/>
  <c r="K385" i="10"/>
  <c r="BF384" i="10"/>
  <c r="AE385" i="10"/>
  <c r="BF385" i="10"/>
  <c r="AV385" i="10"/>
  <c r="AQ385" i="10"/>
  <c r="AS385" i="10"/>
  <c r="AX385" i="10"/>
  <c r="BD385" i="10"/>
  <c r="CK385" i="10"/>
  <c r="AZ385" i="10"/>
  <c r="AY385" i="10"/>
  <c r="AU385" i="10"/>
  <c r="AP385" i="10"/>
  <c r="BE384" i="10"/>
  <c r="BC384" i="10"/>
  <c r="AW385" i="10"/>
  <c r="AR385" i="10"/>
  <c r="CM385" i="10"/>
  <c r="BR385" i="10"/>
  <c r="BC385" i="10"/>
  <c r="BE385" i="10"/>
  <c r="BD384" i="10"/>
  <c r="BG384" i="10"/>
  <c r="AE384" i="10"/>
  <c r="AF384" i="10"/>
  <c r="AG384" i="10" s="1"/>
  <c r="AO385" i="10"/>
  <c r="AC385" i="10"/>
  <c r="AA385" i="10"/>
  <c r="N385" i="10"/>
  <c r="O384" i="10"/>
  <c r="AS384" i="10" s="1"/>
  <c r="N384" i="10"/>
  <c r="P385" i="10"/>
  <c r="AA384" i="10"/>
  <c r="AB384" i="10"/>
  <c r="K384" i="10"/>
  <c r="AO384" i="10"/>
  <c r="BA361" i="10" l="1"/>
  <c r="BB364" i="10"/>
  <c r="BI364" i="10" s="1"/>
  <c r="AT357" i="10"/>
  <c r="BA363" i="10"/>
  <c r="BB363" i="10" s="1"/>
  <c r="BI363" i="10" s="1"/>
  <c r="AT353" i="10"/>
  <c r="BB353" i="10" s="1"/>
  <c r="BI353" i="10" s="1"/>
  <c r="BA352" i="10"/>
  <c r="BB352" i="10" s="1"/>
  <c r="BI352" i="10" s="1"/>
  <c r="AT361" i="10"/>
  <c r="BH359" i="10"/>
  <c r="BA364" i="10"/>
  <c r="BH352" i="10"/>
  <c r="AT355" i="10"/>
  <c r="AT356" i="10"/>
  <c r="BB356" i="10" s="1"/>
  <c r="BI356" i="10" s="1"/>
  <c r="AT354" i="10"/>
  <c r="BB354" i="10" s="1"/>
  <c r="BI354" i="10" s="1"/>
  <c r="BH357" i="10"/>
  <c r="AT362" i="10"/>
  <c r="BB362" i="10" s="1"/>
  <c r="BI362" i="10" s="1"/>
  <c r="BA355" i="10"/>
  <c r="BA356" i="10"/>
  <c r="BA354" i="10"/>
  <c r="AT359" i="10"/>
  <c r="BB359" i="10" s="1"/>
  <c r="BI359" i="10" s="1"/>
  <c r="BA358" i="10"/>
  <c r="BB358" i="10" s="1"/>
  <c r="BI358" i="10" s="1"/>
  <c r="BH364" i="10"/>
  <c r="BH354" i="10"/>
  <c r="BH355" i="10"/>
  <c r="BA357" i="10"/>
  <c r="AT360" i="10"/>
  <c r="BB360" i="10" s="1"/>
  <c r="BI360" i="10" s="1"/>
  <c r="BA359" i="10"/>
  <c r="BH299" i="10"/>
  <c r="BH240" i="10"/>
  <c r="BH169" i="10"/>
  <c r="AT144" i="10"/>
  <c r="AT143" i="10"/>
  <c r="BH145" i="10"/>
  <c r="BH307" i="10"/>
  <c r="BH143" i="10"/>
  <c r="BH208" i="10"/>
  <c r="BH274" i="10"/>
  <c r="BA143" i="10"/>
  <c r="BA144" i="10"/>
  <c r="BA145" i="10"/>
  <c r="BH308" i="10"/>
  <c r="BH163" i="10"/>
  <c r="BA146" i="10"/>
  <c r="BH146" i="10"/>
  <c r="BH259" i="10"/>
  <c r="BH165" i="10"/>
  <c r="BH304" i="10"/>
  <c r="BH293" i="10"/>
  <c r="BH144" i="10"/>
  <c r="BH167" i="10"/>
  <c r="AT145" i="10"/>
  <c r="BH246" i="10"/>
  <c r="BH297" i="10"/>
  <c r="AT146" i="10"/>
  <c r="BH166" i="10"/>
  <c r="BH366" i="10"/>
  <c r="BH367" i="10"/>
  <c r="BA372" i="10"/>
  <c r="BA381" i="10"/>
  <c r="BA380" i="10"/>
  <c r="BA376" i="10"/>
  <c r="BH372" i="10"/>
  <c r="BH377" i="10"/>
  <c r="BH379" i="10"/>
  <c r="AT377" i="10"/>
  <c r="BA374" i="10"/>
  <c r="BA366" i="10"/>
  <c r="BH376" i="10"/>
  <c r="BH383" i="10"/>
  <c r="BH369" i="10"/>
  <c r="BH373" i="10"/>
  <c r="AT373" i="10"/>
  <c r="BA375" i="10"/>
  <c r="BH380" i="10"/>
  <c r="BH371" i="10"/>
  <c r="BH381" i="10"/>
  <c r="BA369" i="10"/>
  <c r="BA367" i="10"/>
  <c r="AT379" i="10"/>
  <c r="BA365" i="10"/>
  <c r="AT370" i="10"/>
  <c r="BA368" i="10"/>
  <c r="BH375" i="10"/>
  <c r="AT371" i="10"/>
  <c r="BA378" i="10"/>
  <c r="AT382" i="10"/>
  <c r="AT375" i="10"/>
  <c r="AT366" i="10"/>
  <c r="AT369" i="10"/>
  <c r="AT367" i="10"/>
  <c r="BA379" i="10"/>
  <c r="AT365" i="10"/>
  <c r="BA370" i="10"/>
  <c r="AT368" i="10"/>
  <c r="BA371" i="10"/>
  <c r="AT378" i="10"/>
  <c r="BA383" i="10"/>
  <c r="BA377" i="10"/>
  <c r="AT374" i="10"/>
  <c r="AT372" i="10"/>
  <c r="BH378" i="10"/>
  <c r="BH374" i="10"/>
  <c r="BH370" i="10"/>
  <c r="AT381" i="10"/>
  <c r="AT383" i="10"/>
  <c r="BB383" i="10" s="1"/>
  <c r="BA373" i="10"/>
  <c r="BH365" i="10"/>
  <c r="BA382" i="10"/>
  <c r="AT380" i="10"/>
  <c r="AT376" i="10"/>
  <c r="BH368" i="10"/>
  <c r="BH382" i="10"/>
  <c r="CM384" i="10"/>
  <c r="BR384" i="10"/>
  <c r="CK384" i="10"/>
  <c r="AZ384" i="10"/>
  <c r="AY384" i="10"/>
  <c r="AV384" i="10"/>
  <c r="AQ384" i="10"/>
  <c r="AR384" i="10"/>
  <c r="AP384" i="10"/>
  <c r="AW384" i="10"/>
  <c r="AU384" i="10"/>
  <c r="AX384" i="10"/>
  <c r="BH384" i="10"/>
  <c r="P384" i="10"/>
  <c r="AT385" i="10"/>
  <c r="BA385" i="10"/>
  <c r="BH385" i="10"/>
  <c r="AC384" i="10"/>
  <c r="S385" i="10"/>
  <c r="T385" i="10"/>
  <c r="Q385" i="10"/>
  <c r="R385" i="10"/>
  <c r="BB355" i="10" l="1"/>
  <c r="BI355" i="10" s="1"/>
  <c r="BB361" i="10"/>
  <c r="BI361" i="10" s="1"/>
  <c r="BB357" i="10"/>
  <c r="BI357" i="10" s="1"/>
  <c r="BB144" i="10"/>
  <c r="BI144" i="10" s="1"/>
  <c r="BB145" i="10"/>
  <c r="BI145" i="10" s="1"/>
  <c r="BB146" i="10"/>
  <c r="BI146" i="10" s="1"/>
  <c r="BB143" i="10"/>
  <c r="BI143" i="10" s="1"/>
  <c r="BB376" i="10"/>
  <c r="BI376" i="10" s="1"/>
  <c r="BB380" i="10"/>
  <c r="BI380" i="10" s="1"/>
  <c r="BI383" i="10"/>
  <c r="BB377" i="10"/>
  <c r="BI377" i="10" s="1"/>
  <c r="BB366" i="10"/>
  <c r="BI366" i="10" s="1"/>
  <c r="BB372" i="10"/>
  <c r="BI372" i="10" s="1"/>
  <c r="BB378" i="10"/>
  <c r="BI378" i="10" s="1"/>
  <c r="BB369" i="10"/>
  <c r="BI369" i="10" s="1"/>
  <c r="BB365" i="10"/>
  <c r="BI365" i="10" s="1"/>
  <c r="BB374" i="10"/>
  <c r="BI374" i="10" s="1"/>
  <c r="BB371" i="10"/>
  <c r="BI371" i="10" s="1"/>
  <c r="BB373" i="10"/>
  <c r="BI373" i="10" s="1"/>
  <c r="BB381" i="10"/>
  <c r="BI381" i="10" s="1"/>
  <c r="BB382" i="10"/>
  <c r="BI382" i="10" s="1"/>
  <c r="BB375" i="10"/>
  <c r="BI375" i="10" s="1"/>
  <c r="BB379" i="10"/>
  <c r="BI379" i="10" s="1"/>
  <c r="BB370" i="10"/>
  <c r="BI370" i="10" s="1"/>
  <c r="BB367" i="10"/>
  <c r="BI367" i="10" s="1"/>
  <c r="BB368" i="10"/>
  <c r="BI368" i="10" s="1"/>
  <c r="BB385" i="10"/>
  <c r="BI385" i="10" s="1"/>
  <c r="BA384" i="10"/>
  <c r="AT384" i="10"/>
  <c r="R384" i="10"/>
  <c r="T384" i="10"/>
  <c r="S384" i="10"/>
  <c r="Q384" i="10"/>
  <c r="BB384" i="10" l="1"/>
  <c r="BI384" i="10" s="1"/>
  <c r="A4" i="10"/>
  <c r="B5" i="10"/>
  <c r="AX37" i="1" l="1"/>
  <c r="AW37" i="1"/>
  <c r="AV37" i="1"/>
  <c r="AU37" i="1"/>
  <c r="AT37" i="1"/>
  <c r="AS37" i="1"/>
  <c r="J305" i="33" l="1"/>
  <c r="J300" i="33" s="1"/>
  <c r="F300" i="33"/>
  <c r="G300" i="33"/>
  <c r="H300" i="33"/>
  <c r="I300" i="33"/>
  <c r="E300" i="33"/>
  <c r="E139" i="33"/>
  <c r="AS334" i="1" s="1"/>
  <c r="E135" i="33"/>
  <c r="AS335" i="1" l="1"/>
  <c r="AS347" i="1"/>
  <c r="AS139" i="1"/>
  <c r="AT139" i="1"/>
  <c r="AU139" i="1"/>
  <c r="AV139" i="1"/>
  <c r="AW139" i="1"/>
  <c r="AX139" i="1"/>
  <c r="AS140" i="1"/>
  <c r="AT140" i="1"/>
  <c r="AU140" i="1"/>
  <c r="AV140" i="1"/>
  <c r="AW140" i="1"/>
  <c r="AX140" i="1"/>
  <c r="AS141" i="1"/>
  <c r="AT141" i="1"/>
  <c r="AU141" i="1"/>
  <c r="AV141" i="1"/>
  <c r="AW141" i="1"/>
  <c r="AX141" i="1"/>
  <c r="AS147" i="1"/>
  <c r="AT147" i="1"/>
  <c r="AU147" i="1"/>
  <c r="AV147" i="1"/>
  <c r="AW147" i="1"/>
  <c r="AX147" i="1"/>
  <c r="AS116" i="1"/>
  <c r="AT116" i="1"/>
  <c r="AU116" i="1"/>
  <c r="AV116" i="1"/>
  <c r="AW116" i="1"/>
  <c r="AX116" i="1"/>
  <c r="AS117" i="1"/>
  <c r="AT117" i="1"/>
  <c r="AU117" i="1"/>
  <c r="AV117" i="1"/>
  <c r="AW117" i="1"/>
  <c r="AX117" i="1"/>
  <c r="AS118" i="1"/>
  <c r="AT118" i="1"/>
  <c r="AU118" i="1"/>
  <c r="AV118" i="1"/>
  <c r="AW118" i="1"/>
  <c r="AX118" i="1"/>
  <c r="AS119" i="1"/>
  <c r="AT119" i="1"/>
  <c r="AU119" i="1"/>
  <c r="AV119" i="1"/>
  <c r="AW119" i="1"/>
  <c r="AX119" i="1"/>
  <c r="AS48" i="1"/>
  <c r="AT48" i="1"/>
  <c r="AU48" i="1"/>
  <c r="AV48" i="1"/>
  <c r="AW48" i="1"/>
  <c r="AX48" i="1"/>
  <c r="AS49" i="1"/>
  <c r="AT49" i="1"/>
  <c r="AU49" i="1"/>
  <c r="AV49" i="1"/>
  <c r="AW49" i="1"/>
  <c r="AX49" i="1"/>
  <c r="AU50" i="1"/>
  <c r="AV50" i="1"/>
  <c r="AW50" i="1"/>
  <c r="AX50" i="1"/>
  <c r="AU51" i="1"/>
  <c r="AV51" i="1"/>
  <c r="AW51" i="1"/>
  <c r="AX51" i="1"/>
  <c r="AU52" i="1"/>
  <c r="AV52" i="1"/>
  <c r="AW52" i="1"/>
  <c r="AX52" i="1"/>
  <c r="AU53" i="1"/>
  <c r="AV53" i="1"/>
  <c r="AW53" i="1"/>
  <c r="AX53" i="1"/>
  <c r="AS54" i="1"/>
  <c r="AT54" i="1"/>
  <c r="AU54" i="1"/>
  <c r="AV54" i="1"/>
  <c r="AW54" i="1"/>
  <c r="AX54" i="1"/>
  <c r="AS55" i="1"/>
  <c r="AT55" i="1"/>
  <c r="AU55" i="1"/>
  <c r="AV55" i="1"/>
  <c r="AW55" i="1"/>
  <c r="AX55" i="1"/>
  <c r="AS56" i="1"/>
  <c r="AT56" i="1"/>
  <c r="AU56" i="1"/>
  <c r="AV56" i="1"/>
  <c r="AW56" i="1"/>
  <c r="AX56" i="1"/>
  <c r="AS57" i="1"/>
  <c r="AT57" i="1"/>
  <c r="AU57" i="1"/>
  <c r="AV57" i="1"/>
  <c r="AW57" i="1"/>
  <c r="AX57" i="1"/>
  <c r="AU58" i="1"/>
  <c r="AV58" i="1"/>
  <c r="AW58" i="1"/>
  <c r="AX58" i="1"/>
  <c r="AU59" i="1"/>
  <c r="AV59" i="1"/>
  <c r="AW59" i="1"/>
  <c r="AX59" i="1"/>
  <c r="AU60" i="1"/>
  <c r="AV60" i="1"/>
  <c r="AW60" i="1"/>
  <c r="AX60" i="1"/>
  <c r="AU61" i="1"/>
  <c r="AV61" i="1"/>
  <c r="AW61" i="1"/>
  <c r="AX61" i="1"/>
  <c r="AU62" i="1"/>
  <c r="AV62" i="1"/>
  <c r="AW62" i="1"/>
  <c r="AX62" i="1"/>
  <c r="AU63" i="1"/>
  <c r="AV63" i="1"/>
  <c r="AW63" i="1"/>
  <c r="AX63" i="1"/>
  <c r="AS64" i="1"/>
  <c r="AT64" i="1"/>
  <c r="AU64" i="1"/>
  <c r="AV64" i="1"/>
  <c r="AW64" i="1"/>
  <c r="AX64" i="1"/>
  <c r="AS65" i="1"/>
  <c r="AT65" i="1"/>
  <c r="AU65" i="1"/>
  <c r="AV65" i="1"/>
  <c r="AW65" i="1"/>
  <c r="AX65" i="1"/>
  <c r="AS66" i="1"/>
  <c r="AT66" i="1"/>
  <c r="AU66" i="1"/>
  <c r="AV66" i="1"/>
  <c r="AW66" i="1"/>
  <c r="AX66" i="1"/>
  <c r="AS67" i="1"/>
  <c r="AT67" i="1"/>
  <c r="AU67" i="1"/>
  <c r="AV67" i="1"/>
  <c r="AW67" i="1"/>
  <c r="AX67" i="1"/>
  <c r="AS68" i="1"/>
  <c r="AT68" i="1"/>
  <c r="AU68" i="1"/>
  <c r="AV68" i="1"/>
  <c r="AW68" i="1"/>
  <c r="AX68" i="1"/>
  <c r="AS69" i="1"/>
  <c r="AT69" i="1"/>
  <c r="AU69" i="1"/>
  <c r="AV69" i="1"/>
  <c r="AW69" i="1"/>
  <c r="AX69" i="1"/>
  <c r="AS70" i="1"/>
  <c r="AT70" i="1"/>
  <c r="AU70" i="1"/>
  <c r="AV70" i="1"/>
  <c r="AW70" i="1"/>
  <c r="AX70" i="1"/>
  <c r="AS71" i="1"/>
  <c r="AT71" i="1"/>
  <c r="AU71" i="1"/>
  <c r="AV71" i="1"/>
  <c r="AW71" i="1"/>
  <c r="AX71" i="1"/>
  <c r="AS72" i="1"/>
  <c r="AT72" i="1"/>
  <c r="AU72" i="1"/>
  <c r="AV72" i="1"/>
  <c r="AW72" i="1"/>
  <c r="AX72" i="1"/>
  <c r="AS73" i="1"/>
  <c r="AT73" i="1"/>
  <c r="AU73" i="1"/>
  <c r="AV73" i="1"/>
  <c r="AW73" i="1"/>
  <c r="AX73" i="1"/>
  <c r="AS74" i="1"/>
  <c r="AT74" i="1"/>
  <c r="AU74" i="1"/>
  <c r="AV74" i="1"/>
  <c r="AW74" i="1"/>
  <c r="AX74" i="1"/>
  <c r="AS75" i="1"/>
  <c r="AT75" i="1"/>
  <c r="AU75" i="1"/>
  <c r="AV75" i="1"/>
  <c r="AW75" i="1"/>
  <c r="AX75" i="1"/>
  <c r="AS76" i="1"/>
  <c r="AT76" i="1"/>
  <c r="AU76" i="1"/>
  <c r="AV76" i="1"/>
  <c r="AW76" i="1"/>
  <c r="AX76" i="1"/>
  <c r="AU77" i="1"/>
  <c r="AV77" i="1"/>
  <c r="AW77" i="1"/>
  <c r="AX77" i="1"/>
  <c r="AU78" i="1"/>
  <c r="AV78" i="1"/>
  <c r="AW78" i="1"/>
  <c r="AX78" i="1"/>
  <c r="AU79" i="1"/>
  <c r="AV79" i="1"/>
  <c r="AW79" i="1"/>
  <c r="AX79" i="1"/>
  <c r="AU80" i="1"/>
  <c r="AV80" i="1"/>
  <c r="AW80" i="1"/>
  <c r="AX80" i="1"/>
  <c r="AU81" i="1"/>
  <c r="AV81" i="1"/>
  <c r="AW81" i="1"/>
  <c r="AX81" i="1"/>
  <c r="AU82" i="1"/>
  <c r="AV82" i="1"/>
  <c r="AW82" i="1"/>
  <c r="AX82" i="1"/>
  <c r="AU83" i="1"/>
  <c r="AV83" i="1"/>
  <c r="AW83" i="1"/>
  <c r="AX83" i="1"/>
  <c r="AU84" i="1"/>
  <c r="AV84" i="1"/>
  <c r="AW84" i="1"/>
  <c r="AX84" i="1"/>
  <c r="AS85" i="1"/>
  <c r="AT85" i="1"/>
  <c r="AU85" i="1"/>
  <c r="AV85" i="1"/>
  <c r="AW85" i="1"/>
  <c r="AX85" i="1"/>
  <c r="AS86" i="1"/>
  <c r="AT86" i="1"/>
  <c r="AU86" i="1"/>
  <c r="AV86" i="1"/>
  <c r="AW86" i="1"/>
  <c r="AX86" i="1"/>
  <c r="AU87" i="1"/>
  <c r="AV87" i="1"/>
  <c r="AW87" i="1"/>
  <c r="AX87" i="1"/>
  <c r="AU88" i="1"/>
  <c r="AV88" i="1"/>
  <c r="AW88" i="1"/>
  <c r="AX88" i="1"/>
  <c r="AU89" i="1"/>
  <c r="AV89" i="1"/>
  <c r="AW89" i="1"/>
  <c r="AX89" i="1"/>
  <c r="AU90" i="1"/>
  <c r="AV90" i="1"/>
  <c r="AW90" i="1"/>
  <c r="AX90" i="1"/>
  <c r="AU91" i="1"/>
  <c r="AV91" i="1"/>
  <c r="AW91" i="1"/>
  <c r="AX91" i="1"/>
  <c r="AU92" i="1"/>
  <c r="AV92" i="1"/>
  <c r="AW92" i="1"/>
  <c r="AX92" i="1"/>
  <c r="AU93" i="1"/>
  <c r="AV93" i="1"/>
  <c r="AW93" i="1"/>
  <c r="AX93" i="1"/>
  <c r="AU94" i="1"/>
  <c r="AV94" i="1"/>
  <c r="AW94" i="1"/>
  <c r="AX94" i="1"/>
  <c r="AS95" i="1"/>
  <c r="AT95" i="1"/>
  <c r="AU95" i="1"/>
  <c r="AV95" i="1"/>
  <c r="AW95" i="1"/>
  <c r="AX95" i="1"/>
  <c r="AS96" i="1"/>
  <c r="AT96" i="1"/>
  <c r="AU96" i="1"/>
  <c r="AV96" i="1"/>
  <c r="AW96" i="1"/>
  <c r="AX96" i="1"/>
  <c r="AS97" i="1"/>
  <c r="AT97" i="1"/>
  <c r="AU97" i="1"/>
  <c r="AV97" i="1"/>
  <c r="AW97" i="1"/>
  <c r="AX97" i="1"/>
  <c r="AS98" i="1"/>
  <c r="AT98" i="1"/>
  <c r="AU98" i="1"/>
  <c r="AV98" i="1"/>
  <c r="AW98" i="1"/>
  <c r="AX98" i="1"/>
  <c r="AS99" i="1"/>
  <c r="AT99" i="1"/>
  <c r="AU99" i="1"/>
  <c r="AV99" i="1"/>
  <c r="AW99" i="1"/>
  <c r="AX99" i="1"/>
  <c r="AS100" i="1"/>
  <c r="AT100" i="1"/>
  <c r="AU100" i="1"/>
  <c r="AV100" i="1"/>
  <c r="AW100" i="1"/>
  <c r="AX100" i="1"/>
  <c r="AS114" i="1"/>
  <c r="AT114" i="1"/>
  <c r="AU114" i="1"/>
  <c r="AV114" i="1"/>
  <c r="AW114" i="1"/>
  <c r="AX114" i="1"/>
  <c r="AS115" i="1"/>
  <c r="AT115" i="1"/>
  <c r="AU115" i="1"/>
  <c r="AV115" i="1"/>
  <c r="AW115" i="1"/>
  <c r="AX115" i="1"/>
  <c r="AS6" i="1"/>
  <c r="AT6" i="1"/>
  <c r="AU6" i="1"/>
  <c r="AV6" i="1"/>
  <c r="AW6" i="1"/>
  <c r="AX6" i="1"/>
  <c r="AS7" i="1"/>
  <c r="AT7" i="1"/>
  <c r="AU7" i="1"/>
  <c r="AV7" i="1"/>
  <c r="AW7" i="1"/>
  <c r="AX7" i="1"/>
  <c r="AS8" i="1"/>
  <c r="AT8" i="1"/>
  <c r="AU8" i="1"/>
  <c r="AV8" i="1"/>
  <c r="AW8" i="1"/>
  <c r="AX8" i="1"/>
  <c r="AS9" i="1"/>
  <c r="AT9" i="1"/>
  <c r="AU9" i="1"/>
  <c r="AV9" i="1"/>
  <c r="AW9" i="1"/>
  <c r="AX9" i="1"/>
  <c r="AT10" i="1"/>
  <c r="AU10" i="1"/>
  <c r="AV10" i="1"/>
  <c r="AW10" i="1"/>
  <c r="AX10" i="1"/>
  <c r="AS11" i="1"/>
  <c r="AT11" i="1"/>
  <c r="AU11" i="1"/>
  <c r="AV11" i="1"/>
  <c r="AW11" i="1"/>
  <c r="AX11" i="1"/>
  <c r="AS12" i="1"/>
  <c r="AT12" i="1"/>
  <c r="AU12" i="1"/>
  <c r="AV12" i="1"/>
  <c r="AW12" i="1"/>
  <c r="AX12" i="1"/>
  <c r="AS13" i="1"/>
  <c r="AT13" i="1"/>
  <c r="AU13" i="1"/>
  <c r="AV13" i="1"/>
  <c r="AW13" i="1"/>
  <c r="AX13" i="1"/>
  <c r="AS14" i="1"/>
  <c r="AT14" i="1"/>
  <c r="AU14" i="1"/>
  <c r="AV14" i="1"/>
  <c r="AW14" i="1"/>
  <c r="AX14" i="1"/>
  <c r="AU16" i="1"/>
  <c r="AV16" i="1"/>
  <c r="AW16" i="1"/>
  <c r="AX16" i="1"/>
  <c r="AU17" i="1"/>
  <c r="AV17" i="1"/>
  <c r="AW17" i="1"/>
  <c r="AX17" i="1"/>
  <c r="AS18" i="1"/>
  <c r="AT18" i="1"/>
  <c r="AU18" i="1"/>
  <c r="AV18" i="1"/>
  <c r="AW18" i="1"/>
  <c r="AX18" i="1"/>
  <c r="AS19" i="1"/>
  <c r="AT19" i="1"/>
  <c r="AU19" i="1"/>
  <c r="AV19" i="1"/>
  <c r="AW19" i="1"/>
  <c r="AX19" i="1"/>
  <c r="AS20" i="1"/>
  <c r="AT20" i="1"/>
  <c r="AU20" i="1"/>
  <c r="AV20" i="1"/>
  <c r="AW20" i="1"/>
  <c r="AX20" i="1"/>
  <c r="AU21" i="1"/>
  <c r="AV21" i="1"/>
  <c r="AW21" i="1"/>
  <c r="AX21" i="1"/>
  <c r="AS22" i="1"/>
  <c r="AT22" i="1"/>
  <c r="AU22" i="1"/>
  <c r="AV22" i="1"/>
  <c r="AW22" i="1"/>
  <c r="AX22" i="1"/>
  <c r="AS23" i="1"/>
  <c r="AT23" i="1"/>
  <c r="AU23" i="1"/>
  <c r="AV23" i="1"/>
  <c r="AW23" i="1"/>
  <c r="AX23" i="1"/>
  <c r="AS24" i="1"/>
  <c r="AT24" i="1"/>
  <c r="AU24" i="1"/>
  <c r="AV24" i="1"/>
  <c r="AW24" i="1"/>
  <c r="AX24" i="1"/>
  <c r="AS25" i="1"/>
  <c r="AT25" i="1"/>
  <c r="AU25" i="1"/>
  <c r="AV25" i="1"/>
  <c r="AW25" i="1"/>
  <c r="AX25" i="1"/>
  <c r="AS26" i="1"/>
  <c r="AT26" i="1"/>
  <c r="AU26" i="1"/>
  <c r="AV26" i="1"/>
  <c r="AW26" i="1"/>
  <c r="AX26" i="1"/>
  <c r="AS27" i="1"/>
  <c r="AT27" i="1"/>
  <c r="AU27" i="1"/>
  <c r="AV27" i="1"/>
  <c r="AW27" i="1"/>
  <c r="AX27" i="1"/>
  <c r="AS28" i="1"/>
  <c r="AT28" i="1"/>
  <c r="AU28" i="1"/>
  <c r="AV28" i="1"/>
  <c r="AW28" i="1"/>
  <c r="AX28" i="1"/>
  <c r="AS29" i="1"/>
  <c r="AT29" i="1"/>
  <c r="AU29" i="1"/>
  <c r="AV29" i="1"/>
  <c r="AW29" i="1"/>
  <c r="AX29" i="1"/>
  <c r="AU30" i="1"/>
  <c r="AV30" i="1"/>
  <c r="AW30" i="1"/>
  <c r="AX30" i="1"/>
  <c r="AU31" i="1"/>
  <c r="AV31" i="1"/>
  <c r="AW31" i="1"/>
  <c r="AX31" i="1"/>
  <c r="AU32" i="1"/>
  <c r="AV32" i="1"/>
  <c r="AW32" i="1"/>
  <c r="AX32" i="1"/>
  <c r="AU33" i="1"/>
  <c r="AV33" i="1"/>
  <c r="AW33" i="1"/>
  <c r="AX33" i="1"/>
  <c r="AS34" i="1"/>
  <c r="AT34" i="1"/>
  <c r="AU34" i="1"/>
  <c r="AV34" i="1"/>
  <c r="AW34" i="1"/>
  <c r="AX34" i="1"/>
  <c r="AS35" i="1"/>
  <c r="AT35" i="1"/>
  <c r="AU35" i="1"/>
  <c r="AV35" i="1"/>
  <c r="AW35" i="1"/>
  <c r="AX35" i="1"/>
  <c r="AS36" i="1"/>
  <c r="AT36" i="1"/>
  <c r="AU36" i="1"/>
  <c r="AV36" i="1"/>
  <c r="AW36" i="1"/>
  <c r="AX36" i="1"/>
  <c r="AS39" i="1"/>
  <c r="AT39" i="1"/>
  <c r="AU39" i="1"/>
  <c r="AV39" i="1"/>
  <c r="AW39" i="1"/>
  <c r="AX39" i="1"/>
  <c r="AS38" i="1"/>
  <c r="AT38" i="1"/>
  <c r="AU38" i="1"/>
  <c r="AV38" i="1"/>
  <c r="AW38" i="1"/>
  <c r="AX38" i="1"/>
  <c r="AS40" i="1"/>
  <c r="AT40" i="1"/>
  <c r="AU40" i="1"/>
  <c r="AV40" i="1"/>
  <c r="AW40" i="1"/>
  <c r="AX40" i="1"/>
  <c r="AS41" i="1"/>
  <c r="AT41" i="1"/>
  <c r="AU41" i="1"/>
  <c r="AV41" i="1"/>
  <c r="AW41" i="1"/>
  <c r="AX41" i="1"/>
  <c r="AU42" i="1"/>
  <c r="AV42" i="1"/>
  <c r="AW42" i="1"/>
  <c r="AX42" i="1"/>
  <c r="AU43" i="1"/>
  <c r="AV43" i="1"/>
  <c r="AW43" i="1"/>
  <c r="AX43" i="1"/>
  <c r="AU44" i="1"/>
  <c r="AV44" i="1"/>
  <c r="AW44" i="1"/>
  <c r="AX44" i="1"/>
  <c r="AS45" i="1"/>
  <c r="AT45" i="1"/>
  <c r="AU45" i="1"/>
  <c r="AV45" i="1"/>
  <c r="AW45" i="1"/>
  <c r="AX45" i="1"/>
  <c r="AS46" i="1"/>
  <c r="AT46" i="1"/>
  <c r="AU46" i="1"/>
  <c r="AV46" i="1"/>
  <c r="AW46" i="1"/>
  <c r="AX46" i="1"/>
  <c r="AS47" i="1"/>
  <c r="AT47" i="1"/>
  <c r="AU47" i="1"/>
  <c r="AV47" i="1"/>
  <c r="AW47" i="1"/>
  <c r="AX47" i="1"/>
  <c r="AS10" i="1"/>
  <c r="F67" i="33"/>
  <c r="AT88" i="1" s="1"/>
  <c r="E28" i="33"/>
  <c r="AS50" i="1" s="1"/>
  <c r="F13" i="33"/>
  <c r="AT42" i="1" s="1"/>
  <c r="AS53" i="1" l="1"/>
  <c r="AS51" i="1"/>
  <c r="AS52" i="1"/>
  <c r="AE155" i="1"/>
  <c r="CQ38" i="10" l="1"/>
  <c r="CU38" i="10"/>
  <c r="CR38" i="10"/>
  <c r="CV38" i="10"/>
  <c r="CS38" i="10"/>
  <c r="CT38" i="10"/>
  <c r="CW38" i="10"/>
  <c r="CX38" i="10"/>
  <c r="CQ36" i="10"/>
  <c r="CU36" i="10"/>
  <c r="CR36" i="10"/>
  <c r="CV36" i="10"/>
  <c r="CS36" i="10"/>
  <c r="CT36" i="10"/>
  <c r="CW36" i="10"/>
  <c r="CX36" i="10"/>
  <c r="CQ34" i="10"/>
  <c r="CU34" i="10"/>
  <c r="CR34" i="10"/>
  <c r="CV34" i="10"/>
  <c r="CS34" i="10"/>
  <c r="CT34" i="10"/>
  <c r="CW34" i="10"/>
  <c r="CX34" i="10"/>
  <c r="CQ32" i="10"/>
  <c r="CU32" i="10"/>
  <c r="CR32" i="10"/>
  <c r="CV32" i="10"/>
  <c r="CS32" i="10"/>
  <c r="CT32" i="10"/>
  <c r="CW32" i="10"/>
  <c r="CX32" i="10"/>
  <c r="CQ30" i="10"/>
  <c r="CU30" i="10"/>
  <c r="CR30" i="10"/>
  <c r="CV30" i="10"/>
  <c r="CS30" i="10"/>
  <c r="CT30" i="10"/>
  <c r="CW30" i="10"/>
  <c r="CX30" i="10"/>
  <c r="CQ28" i="10"/>
  <c r="CU28" i="10"/>
  <c r="CR28" i="10"/>
  <c r="CV28" i="10"/>
  <c r="CS28" i="10"/>
  <c r="CT28" i="10"/>
  <c r="CW28" i="10"/>
  <c r="CX28" i="10"/>
  <c r="CQ26" i="10"/>
  <c r="CU26" i="10"/>
  <c r="CR26" i="10"/>
  <c r="CV26" i="10"/>
  <c r="CS26" i="10"/>
  <c r="CT26" i="10"/>
  <c r="CW26" i="10"/>
  <c r="CX26" i="10"/>
  <c r="CQ24" i="10"/>
  <c r="CU24" i="10"/>
  <c r="CR24" i="10"/>
  <c r="CV24" i="10"/>
  <c r="CS24" i="10"/>
  <c r="CT24" i="10"/>
  <c r="CW24" i="10"/>
  <c r="CX24" i="10"/>
  <c r="CQ22" i="10"/>
  <c r="CU22" i="10"/>
  <c r="CR22" i="10"/>
  <c r="CV22" i="10"/>
  <c r="CS22" i="10"/>
  <c r="CT22" i="10"/>
  <c r="CW22" i="10"/>
  <c r="CX22" i="10"/>
  <c r="CQ20" i="10"/>
  <c r="CU20" i="10"/>
  <c r="CR20" i="10"/>
  <c r="CV20" i="10"/>
  <c r="CS20" i="10"/>
  <c r="CT20" i="10"/>
  <c r="CW20" i="10"/>
  <c r="CX20" i="10"/>
  <c r="CQ18" i="10"/>
  <c r="CU18" i="10"/>
  <c r="CR18" i="10"/>
  <c r="CV18" i="10"/>
  <c r="CS18" i="10"/>
  <c r="CT18" i="10"/>
  <c r="CW18" i="10"/>
  <c r="CX18" i="10"/>
  <c r="CQ16" i="10"/>
  <c r="CU16" i="10"/>
  <c r="CR16" i="10"/>
  <c r="CV16" i="10"/>
  <c r="CS16" i="10"/>
  <c r="CT16" i="10"/>
  <c r="CW16" i="10"/>
  <c r="CX16" i="10"/>
  <c r="CQ14" i="10"/>
  <c r="CU14" i="10"/>
  <c r="CR14" i="10"/>
  <c r="CV14" i="10"/>
  <c r="CS14" i="10"/>
  <c r="CT14" i="10"/>
  <c r="CW14" i="10"/>
  <c r="CX14" i="10"/>
  <c r="CQ12" i="10"/>
  <c r="CU12" i="10"/>
  <c r="CR12" i="10"/>
  <c r="CV12" i="10"/>
  <c r="CS12" i="10"/>
  <c r="CT12" i="10"/>
  <c r="CW12" i="10"/>
  <c r="CX12" i="10"/>
  <c r="CQ10" i="10"/>
  <c r="CU10" i="10"/>
  <c r="CR10" i="10"/>
  <c r="CV10" i="10"/>
  <c r="CS10" i="10"/>
  <c r="CT10" i="10"/>
  <c r="CW10" i="10"/>
  <c r="CX10" i="10"/>
  <c r="CQ8" i="10"/>
  <c r="CU8" i="10"/>
  <c r="CR8" i="10"/>
  <c r="CV8" i="10"/>
  <c r="CS8" i="10"/>
  <c r="CT8" i="10"/>
  <c r="CW8" i="10"/>
  <c r="CX8" i="10"/>
  <c r="CQ6" i="10"/>
  <c r="CU6" i="10"/>
  <c r="CR6" i="10"/>
  <c r="CV6" i="10"/>
  <c r="CS6" i="10"/>
  <c r="CT6" i="10"/>
  <c r="CW6" i="10"/>
  <c r="CX6" i="10"/>
  <c r="X155" i="10"/>
  <c r="V155" i="10"/>
  <c r="CQ39" i="10"/>
  <c r="CU39" i="10"/>
  <c r="CR39" i="10"/>
  <c r="CV39" i="10"/>
  <c r="CS39" i="10"/>
  <c r="CT39" i="10"/>
  <c r="CW39" i="10"/>
  <c r="CX39" i="10"/>
  <c r="CQ37" i="10"/>
  <c r="CU37" i="10"/>
  <c r="CR37" i="10"/>
  <c r="CV37" i="10"/>
  <c r="CS37" i="10"/>
  <c r="CT37" i="10"/>
  <c r="CW37" i="10"/>
  <c r="CX37" i="10"/>
  <c r="CQ35" i="10"/>
  <c r="CU35" i="10"/>
  <c r="CR35" i="10"/>
  <c r="CV35" i="10"/>
  <c r="CS35" i="10"/>
  <c r="CT35" i="10"/>
  <c r="CW35" i="10"/>
  <c r="CX35" i="10"/>
  <c r="CQ33" i="10"/>
  <c r="CU33" i="10"/>
  <c r="CR33" i="10"/>
  <c r="CV33" i="10"/>
  <c r="CS33" i="10"/>
  <c r="CT33" i="10"/>
  <c r="CW33" i="10"/>
  <c r="CX33" i="10"/>
  <c r="CQ31" i="10"/>
  <c r="CU31" i="10"/>
  <c r="CR31" i="10"/>
  <c r="CV31" i="10"/>
  <c r="CS31" i="10"/>
  <c r="CT31" i="10"/>
  <c r="CW31" i="10"/>
  <c r="CX31" i="10"/>
  <c r="CQ29" i="10"/>
  <c r="CU29" i="10"/>
  <c r="CR29" i="10"/>
  <c r="CV29" i="10"/>
  <c r="CS29" i="10"/>
  <c r="CT29" i="10"/>
  <c r="CW29" i="10"/>
  <c r="CX29" i="10"/>
  <c r="CQ27" i="10"/>
  <c r="CU27" i="10"/>
  <c r="CR27" i="10"/>
  <c r="CV27" i="10"/>
  <c r="CS27" i="10"/>
  <c r="CT27" i="10"/>
  <c r="CW27" i="10"/>
  <c r="CX27" i="10"/>
  <c r="CQ25" i="10"/>
  <c r="CU25" i="10"/>
  <c r="CR25" i="10"/>
  <c r="CV25" i="10"/>
  <c r="CS25" i="10"/>
  <c r="CT25" i="10"/>
  <c r="CW25" i="10"/>
  <c r="CX25" i="10"/>
  <c r="CQ23" i="10"/>
  <c r="CU23" i="10"/>
  <c r="CR23" i="10"/>
  <c r="CV23" i="10"/>
  <c r="CS23" i="10"/>
  <c r="CT23" i="10"/>
  <c r="CW23" i="10"/>
  <c r="CX23" i="10"/>
  <c r="CQ21" i="10"/>
  <c r="CU21" i="10"/>
  <c r="CR21" i="10"/>
  <c r="CV21" i="10"/>
  <c r="CS21" i="10"/>
  <c r="CT21" i="10"/>
  <c r="CW21" i="10"/>
  <c r="CX21" i="10"/>
  <c r="CQ19" i="10"/>
  <c r="CU19" i="10"/>
  <c r="CR19" i="10"/>
  <c r="CV19" i="10"/>
  <c r="CS19" i="10"/>
  <c r="CT19" i="10"/>
  <c r="CW19" i="10"/>
  <c r="CX19" i="10"/>
  <c r="CQ17" i="10"/>
  <c r="CU17" i="10"/>
  <c r="CR17" i="10"/>
  <c r="CV17" i="10"/>
  <c r="CS17" i="10"/>
  <c r="CT17" i="10"/>
  <c r="CW17" i="10"/>
  <c r="CX17" i="10"/>
  <c r="CQ15" i="10"/>
  <c r="CU15" i="10"/>
  <c r="CR15" i="10"/>
  <c r="CV15" i="10"/>
  <c r="CS15" i="10"/>
  <c r="CT15" i="10"/>
  <c r="CW15" i="10"/>
  <c r="CX15" i="10"/>
  <c r="CQ13" i="10"/>
  <c r="CU13" i="10"/>
  <c r="CR13" i="10"/>
  <c r="CV13" i="10"/>
  <c r="CS13" i="10"/>
  <c r="CT13" i="10"/>
  <c r="CW13" i="10"/>
  <c r="CX13" i="10"/>
  <c r="CQ11" i="10"/>
  <c r="CU11" i="10"/>
  <c r="CR11" i="10"/>
  <c r="CV11" i="10"/>
  <c r="CS11" i="10"/>
  <c r="CT11" i="10"/>
  <c r="CW11" i="10"/>
  <c r="CX11" i="10"/>
  <c r="CQ9" i="10"/>
  <c r="CU9" i="10"/>
  <c r="CR9" i="10"/>
  <c r="CV9" i="10"/>
  <c r="CS9" i="10"/>
  <c r="CT9" i="10"/>
  <c r="CW9" i="10"/>
  <c r="CX9" i="10"/>
  <c r="CQ7" i="10"/>
  <c r="CU7" i="10"/>
  <c r="CR7" i="10"/>
  <c r="CV7" i="10"/>
  <c r="CS7" i="10"/>
  <c r="CT7" i="10"/>
  <c r="CW7" i="10"/>
  <c r="CX7" i="10"/>
  <c r="AH155" i="1"/>
  <c r="AI155" i="1"/>
  <c r="AH298" i="1" l="1"/>
  <c r="P298" i="1"/>
  <c r="W298" i="10" l="1"/>
  <c r="BD298" i="10" s="1"/>
  <c r="U298" i="10"/>
  <c r="Y298" i="10"/>
  <c r="V298" i="10"/>
  <c r="X298" i="10"/>
  <c r="AM298" i="10"/>
  <c r="CF298" i="10" s="1"/>
  <c r="CI298" i="10"/>
  <c r="I298" i="10"/>
  <c r="AL298" i="10"/>
  <c r="AN298" i="10"/>
  <c r="CG298" i="10" s="1"/>
  <c r="AF298" i="10"/>
  <c r="AG298" i="10" s="1"/>
  <c r="AB298" i="10"/>
  <c r="AI298" i="1"/>
  <c r="AC298" i="10" l="1"/>
  <c r="BR298" i="10"/>
  <c r="CM298" i="10"/>
  <c r="BG298" i="10"/>
  <c r="BC298" i="10"/>
  <c r="BF298" i="10"/>
  <c r="BE298" i="10"/>
  <c r="K298" i="10"/>
  <c r="AO298" i="10"/>
  <c r="CE298" i="10"/>
  <c r="AH260" i="1"/>
  <c r="AE260" i="1"/>
  <c r="P260" i="1"/>
  <c r="AI258" i="1"/>
  <c r="AE258" i="1"/>
  <c r="P258" i="1"/>
  <c r="AH256" i="1"/>
  <c r="AE256" i="1"/>
  <c r="P256" i="1"/>
  <c r="AI247" i="1"/>
  <c r="AE247" i="1"/>
  <c r="P247" i="1"/>
  <c r="AH209" i="1"/>
  <c r="AE209" i="1"/>
  <c r="AH207" i="1"/>
  <c r="AE207" i="1"/>
  <c r="AH205" i="1"/>
  <c r="AE205" i="1"/>
  <c r="AI200" i="1"/>
  <c r="AE200" i="1"/>
  <c r="I260" i="10" l="1"/>
  <c r="K260" i="10" s="1"/>
  <c r="I258" i="10"/>
  <c r="I247" i="10"/>
  <c r="X200" i="10"/>
  <c r="V200" i="10"/>
  <c r="V205" i="10"/>
  <c r="X205" i="10"/>
  <c r="V207" i="10"/>
  <c r="X207" i="10"/>
  <c r="V209" i="10"/>
  <c r="X209" i="10"/>
  <c r="AM247" i="10"/>
  <c r="AL247" i="10"/>
  <c r="AF247" i="10"/>
  <c r="AG247" i="10" s="1"/>
  <c r="AN247" i="10"/>
  <c r="AB247" i="10"/>
  <c r="AM256" i="10"/>
  <c r="AL256" i="10"/>
  <c r="AN256" i="10"/>
  <c r="AB256" i="10"/>
  <c r="AF256" i="10"/>
  <c r="AG256" i="10" s="1"/>
  <c r="I256" i="10"/>
  <c r="BH298" i="10"/>
  <c r="V247" i="10"/>
  <c r="U247" i="10"/>
  <c r="W247" i="10"/>
  <c r="Y247" i="10"/>
  <c r="X247" i="10"/>
  <c r="U256" i="10"/>
  <c r="Y256" i="10"/>
  <c r="X256" i="10"/>
  <c r="W256" i="10"/>
  <c r="V256" i="10"/>
  <c r="AL258" i="10"/>
  <c r="AM258" i="10"/>
  <c r="AN258" i="10"/>
  <c r="AB258" i="10"/>
  <c r="AF258" i="10"/>
  <c r="AG258" i="10" s="1"/>
  <c r="Y260" i="10"/>
  <c r="X260" i="10"/>
  <c r="W260" i="10"/>
  <c r="V260" i="10"/>
  <c r="U260" i="10"/>
  <c r="Y258" i="10"/>
  <c r="X258" i="10"/>
  <c r="W258" i="10"/>
  <c r="V258" i="10"/>
  <c r="U258" i="10"/>
  <c r="AM260" i="10"/>
  <c r="AL260" i="10"/>
  <c r="AN260" i="10"/>
  <c r="AF260" i="10"/>
  <c r="AG260" i="10" s="1"/>
  <c r="AB260" i="10"/>
  <c r="AI260" i="1"/>
  <c r="AI207" i="1"/>
  <c r="AI205" i="1"/>
  <c r="AI256" i="1"/>
  <c r="AH258" i="1"/>
  <c r="AH247" i="1"/>
  <c r="AI209" i="1"/>
  <c r="AH200" i="1"/>
  <c r="AA120" i="1"/>
  <c r="AB120" i="1"/>
  <c r="AC120" i="1"/>
  <c r="AD120" i="1"/>
  <c r="AF120" i="1"/>
  <c r="AG120" i="1"/>
  <c r="K258" i="10" l="1"/>
  <c r="K247" i="10"/>
  <c r="AO256" i="10"/>
  <c r="AC258" i="10"/>
  <c r="AO258" i="10"/>
  <c r="AC260" i="10"/>
  <c r="AO260" i="10"/>
  <c r="AC247" i="10"/>
  <c r="AO247" i="10"/>
  <c r="K256" i="10"/>
  <c r="AC256" i="10"/>
  <c r="AA311" i="1" l="1"/>
  <c r="AB311" i="1"/>
  <c r="AC311" i="1"/>
  <c r="AD311" i="1"/>
  <c r="AF311" i="1"/>
  <c r="AI311" i="1" s="1"/>
  <c r="AG311" i="1"/>
  <c r="V311" i="10" l="1"/>
  <c r="X311" i="10"/>
  <c r="AH311" i="1"/>
  <c r="P311" i="1"/>
  <c r="AM311" i="10" l="1"/>
  <c r="AL311" i="10"/>
  <c r="AN311" i="10"/>
  <c r="O311" i="10"/>
  <c r="I311" i="10"/>
  <c r="AF311" i="10"/>
  <c r="AG311" i="10" s="1"/>
  <c r="AB311" i="10"/>
  <c r="Y311" i="10"/>
  <c r="W311" i="10"/>
  <c r="U311" i="10"/>
  <c r="P311" i="10" l="1"/>
  <c r="AC311" i="10"/>
  <c r="K311" i="10"/>
  <c r="AO311" i="10"/>
  <c r="Q311" i="10" l="1"/>
  <c r="R311" i="10"/>
  <c r="T311" i="10"/>
  <c r="S311" i="10"/>
  <c r="AW134" i="1"/>
  <c r="AS134" i="1"/>
  <c r="AT134" i="1"/>
  <c r="AU134" i="1"/>
  <c r="AV134" i="1"/>
  <c r="AX134" i="1"/>
  <c r="A386" i="10"/>
  <c r="CT386" i="10" s="1"/>
  <c r="B386" i="10"/>
  <c r="C386" i="10"/>
  <c r="D386" i="10"/>
  <c r="E386" i="10"/>
  <c r="F386" i="10"/>
  <c r="G386" i="10"/>
  <c r="H386" i="10"/>
  <c r="A387" i="10"/>
  <c r="CX387" i="10" s="1"/>
  <c r="B387" i="10"/>
  <c r="C387" i="10"/>
  <c r="D387" i="10"/>
  <c r="E387" i="10"/>
  <c r="F387" i="10"/>
  <c r="G387" i="10"/>
  <c r="H387" i="10"/>
  <c r="A388" i="10"/>
  <c r="CR388" i="10" s="1"/>
  <c r="B388" i="10"/>
  <c r="C388" i="10"/>
  <c r="D388" i="10"/>
  <c r="E388" i="10"/>
  <c r="F388" i="10"/>
  <c r="G388" i="10"/>
  <c r="H388" i="10"/>
  <c r="A389" i="10"/>
  <c r="CQ389" i="10" s="1"/>
  <c r="B389" i="10"/>
  <c r="C389" i="10"/>
  <c r="D389" i="10"/>
  <c r="E389" i="10"/>
  <c r="F389" i="10"/>
  <c r="G389" i="10"/>
  <c r="H389" i="10"/>
  <c r="A390" i="10"/>
  <c r="CQ390" i="10" s="1"/>
  <c r="B390" i="10"/>
  <c r="C390" i="10"/>
  <c r="D390" i="10"/>
  <c r="E390" i="10"/>
  <c r="F390" i="10"/>
  <c r="G390" i="10"/>
  <c r="H390" i="10"/>
  <c r="A391" i="10"/>
  <c r="CW391" i="10" s="1"/>
  <c r="B391" i="10"/>
  <c r="C391" i="10"/>
  <c r="D391" i="10"/>
  <c r="E391" i="10"/>
  <c r="F391" i="10"/>
  <c r="G391" i="10"/>
  <c r="H391" i="10"/>
  <c r="A392" i="10"/>
  <c r="CW392" i="10" s="1"/>
  <c r="B392" i="10"/>
  <c r="C392" i="10"/>
  <c r="D392" i="10"/>
  <c r="E392" i="10"/>
  <c r="F392" i="10"/>
  <c r="G392" i="10"/>
  <c r="H392" i="10"/>
  <c r="A393" i="10"/>
  <c r="CQ393" i="10" s="1"/>
  <c r="B393" i="10"/>
  <c r="C393" i="10"/>
  <c r="D393" i="10"/>
  <c r="E393" i="10"/>
  <c r="F393" i="10"/>
  <c r="G393" i="10"/>
  <c r="H393" i="10"/>
  <c r="CS387" i="10" l="1"/>
  <c r="L393" i="10"/>
  <c r="M393" i="10" s="1"/>
  <c r="O393" i="10" s="1"/>
  <c r="AU393" i="10" s="1"/>
  <c r="CI393" i="10"/>
  <c r="CI392" i="10"/>
  <c r="I391" i="10"/>
  <c r="CI391" i="10"/>
  <c r="W390" i="10"/>
  <c r="CI390" i="10"/>
  <c r="Y389" i="10"/>
  <c r="CI389" i="10"/>
  <c r="L388" i="10"/>
  <c r="M388" i="10" s="1"/>
  <c r="N388" i="10" s="1"/>
  <c r="CI388" i="10"/>
  <c r="CI387" i="10"/>
  <c r="L386" i="10"/>
  <c r="M386" i="10" s="1"/>
  <c r="N386" i="10" s="1"/>
  <c r="CI386" i="10"/>
  <c r="CQ388" i="10"/>
  <c r="CW390" i="10"/>
  <c r="CR386" i="10"/>
  <c r="CS389" i="10"/>
  <c r="V391" i="10"/>
  <c r="CT391" i="10"/>
  <c r="CS391" i="10"/>
  <c r="W391" i="10"/>
  <c r="W393" i="10"/>
  <c r="AM391" i="10"/>
  <c r="CF391" i="10" s="1"/>
  <c r="CW389" i="10"/>
  <c r="CV386" i="10"/>
  <c r="V393" i="10"/>
  <c r="X390" i="10"/>
  <c r="CT389" i="10"/>
  <c r="CW386" i="10"/>
  <c r="CQ386" i="10"/>
  <c r="AM390" i="10"/>
  <c r="CF390" i="10" s="1"/>
  <c r="I393" i="10"/>
  <c r="L390" i="10"/>
  <c r="M390" i="10" s="1"/>
  <c r="N390" i="10" s="1"/>
  <c r="X388" i="10"/>
  <c r="AM386" i="10"/>
  <c r="CF386" i="10" s="1"/>
  <c r="CX393" i="10"/>
  <c r="AD393" i="10"/>
  <c r="AE393" i="10" s="1"/>
  <c r="AN390" i="10"/>
  <c r="CG390" i="10" s="1"/>
  <c r="CX389" i="10"/>
  <c r="CW388" i="10"/>
  <c r="CU386" i="10"/>
  <c r="CW393" i="10"/>
  <c r="X392" i="10"/>
  <c r="CS390" i="10"/>
  <c r="CV388" i="10"/>
  <c r="X386" i="10"/>
  <c r="CT393" i="10"/>
  <c r="AM393" i="10"/>
  <c r="CF393" i="10" s="1"/>
  <c r="Z393" i="10"/>
  <c r="AA393" i="10" s="1"/>
  <c r="U393" i="10"/>
  <c r="L392" i="10"/>
  <c r="M392" i="10" s="1"/>
  <c r="N392" i="10" s="1"/>
  <c r="AD391" i="10"/>
  <c r="AF391" i="10" s="1"/>
  <c r="AG391" i="10" s="1"/>
  <c r="U391" i="10"/>
  <c r="CU388" i="10"/>
  <c r="AN388" i="10"/>
  <c r="CG388" i="10" s="1"/>
  <c r="W386" i="10"/>
  <c r="AL393" i="10"/>
  <c r="CE393" i="10" s="1"/>
  <c r="Y393" i="10"/>
  <c r="J393" i="10"/>
  <c r="Z391" i="10"/>
  <c r="AA391" i="10" s="1"/>
  <c r="AL389" i="10"/>
  <c r="CE389" i="10" s="1"/>
  <c r="AM388" i="10"/>
  <c r="CF388" i="10" s="1"/>
  <c r="CS386" i="10"/>
  <c r="CT392" i="10"/>
  <c r="CQ392" i="10"/>
  <c r="CV392" i="10"/>
  <c r="V389" i="10"/>
  <c r="L387" i="10"/>
  <c r="M387" i="10" s="1"/>
  <c r="O387" i="10" s="1"/>
  <c r="J387" i="10"/>
  <c r="Y387" i="10"/>
  <c r="BG387" i="10" s="1"/>
  <c r="AL387" i="10"/>
  <c r="CE387" i="10" s="1"/>
  <c r="V387" i="10"/>
  <c r="AD387" i="10"/>
  <c r="AE387" i="10" s="1"/>
  <c r="CS392" i="10"/>
  <c r="I392" i="10"/>
  <c r="AM392" i="10"/>
  <c r="CF392" i="10" s="1"/>
  <c r="CT390" i="10"/>
  <c r="CU390" i="10"/>
  <c r="Z389" i="10"/>
  <c r="AA389" i="10" s="1"/>
  <c r="J389" i="10"/>
  <c r="I387" i="10"/>
  <c r="CQ387" i="10"/>
  <c r="CT387" i="10"/>
  <c r="CR392" i="10"/>
  <c r="W392" i="10"/>
  <c r="CQ391" i="10"/>
  <c r="CX391" i="10"/>
  <c r="CR390" i="10"/>
  <c r="AM389" i="10"/>
  <c r="CF389" i="10" s="1"/>
  <c r="CT388" i="10"/>
  <c r="CS388" i="10"/>
  <c r="Z387" i="10"/>
  <c r="AA387" i="10" s="1"/>
  <c r="L389" i="10"/>
  <c r="M389" i="10" s="1"/>
  <c r="N389" i="10" s="1"/>
  <c r="I389" i="10"/>
  <c r="W389" i="10"/>
  <c r="W387" i="10"/>
  <c r="CS393" i="10"/>
  <c r="CU392" i="10"/>
  <c r="AN392" i="10"/>
  <c r="CG392" i="10" s="1"/>
  <c r="L391" i="10"/>
  <c r="M391" i="10" s="1"/>
  <c r="O391" i="10" s="1"/>
  <c r="J391" i="10"/>
  <c r="Y391" i="10"/>
  <c r="BF391" i="10" s="1"/>
  <c r="AL391" i="10"/>
  <c r="CE391" i="10" s="1"/>
  <c r="CV390" i="10"/>
  <c r="AD389" i="10"/>
  <c r="AE389" i="10" s="1"/>
  <c r="U389" i="10"/>
  <c r="I388" i="10"/>
  <c r="W388" i="10"/>
  <c r="CW387" i="10"/>
  <c r="AM387" i="10"/>
  <c r="CF387" i="10" s="1"/>
  <c r="U387" i="10"/>
  <c r="I390" i="10"/>
  <c r="AN386" i="10"/>
  <c r="CG386" i="10" s="1"/>
  <c r="I386" i="10"/>
  <c r="CV393" i="10"/>
  <c r="CR393" i="10"/>
  <c r="AN393" i="10"/>
  <c r="CG393" i="10" s="1"/>
  <c r="X393" i="10"/>
  <c r="CX392" i="10"/>
  <c r="AL392" i="10"/>
  <c r="CE392" i="10" s="1"/>
  <c r="AD392" i="10"/>
  <c r="Z392" i="10"/>
  <c r="V392" i="10"/>
  <c r="J392" i="10"/>
  <c r="CV391" i="10"/>
  <c r="CR391" i="10"/>
  <c r="AN391" i="10"/>
  <c r="CG391" i="10" s="1"/>
  <c r="X391" i="10"/>
  <c r="CX390" i="10"/>
  <c r="AL390" i="10"/>
  <c r="CE390" i="10" s="1"/>
  <c r="AD390" i="10"/>
  <c r="Z390" i="10"/>
  <c r="V390" i="10"/>
  <c r="J390" i="10"/>
  <c r="CV389" i="10"/>
  <c r="CR389" i="10"/>
  <c r="AN389" i="10"/>
  <c r="CG389" i="10" s="1"/>
  <c r="X389" i="10"/>
  <c r="CX388" i="10"/>
  <c r="AL388" i="10"/>
  <c r="CE388" i="10" s="1"/>
  <c r="AD388" i="10"/>
  <c r="Z388" i="10"/>
  <c r="V388" i="10"/>
  <c r="J388" i="10"/>
  <c r="CV387" i="10"/>
  <c r="CR387" i="10"/>
  <c r="AN387" i="10"/>
  <c r="CG387" i="10" s="1"/>
  <c r="X387" i="10"/>
  <c r="CX386" i="10"/>
  <c r="AL386" i="10"/>
  <c r="CE386" i="10" s="1"/>
  <c r="AD386" i="10"/>
  <c r="Z386" i="10"/>
  <c r="V386" i="10"/>
  <c r="J386" i="10"/>
  <c r="CU393" i="10"/>
  <c r="Y392" i="10"/>
  <c r="BF392" i="10" s="1"/>
  <c r="U392" i="10"/>
  <c r="CU391" i="10"/>
  <c r="Y390" i="10"/>
  <c r="U390" i="10"/>
  <c r="CU389" i="10"/>
  <c r="Y388" i="10"/>
  <c r="U388" i="10"/>
  <c r="CU387" i="10"/>
  <c r="Y386" i="10"/>
  <c r="U386" i="10"/>
  <c r="AG135" i="1"/>
  <c r="AF135" i="1"/>
  <c r="AD135" i="1"/>
  <c r="AC135" i="1"/>
  <c r="AB135" i="1"/>
  <c r="AA135" i="1"/>
  <c r="AW387" i="10" l="1"/>
  <c r="N393" i="10"/>
  <c r="BD390" i="10"/>
  <c r="O386" i="10"/>
  <c r="AX386" i="10" s="1"/>
  <c r="K391" i="10"/>
  <c r="BD389" i="10"/>
  <c r="BD391" i="10"/>
  <c r="O388" i="10"/>
  <c r="AV388" i="10" s="1"/>
  <c r="BD393" i="10"/>
  <c r="BG389" i="10"/>
  <c r="AP393" i="10"/>
  <c r="BF389" i="10"/>
  <c r="BC389" i="10"/>
  <c r="BE389" i="10"/>
  <c r="BC390" i="10"/>
  <c r="BE390" i="10"/>
  <c r="BE387" i="10"/>
  <c r="BC387" i="10"/>
  <c r="BG386" i="10"/>
  <c r="AV387" i="10"/>
  <c r="AQ387" i="10"/>
  <c r="BG388" i="10"/>
  <c r="BG390" i="10"/>
  <c r="AQ391" i="10"/>
  <c r="AV391" i="10"/>
  <c r="BG392" i="10"/>
  <c r="AV393" i="10"/>
  <c r="AQ393" i="10"/>
  <c r="BF388" i="10"/>
  <c r="BG393" i="10"/>
  <c r="BF386" i="10"/>
  <c r="AX391" i="10"/>
  <c r="AS391" i="10"/>
  <c r="BF390" i="10"/>
  <c r="BC393" i="10"/>
  <c r="BE393" i="10"/>
  <c r="BD387" i="10"/>
  <c r="CK393" i="10"/>
  <c r="AZ393" i="10"/>
  <c r="AY393" i="10"/>
  <c r="BE392" i="10"/>
  <c r="BC392" i="10"/>
  <c r="BG391" i="10"/>
  <c r="AX387" i="10"/>
  <c r="AS387" i="10"/>
  <c r="AY387" i="10"/>
  <c r="CK387" i="10"/>
  <c r="AZ387" i="10"/>
  <c r="BE388" i="10"/>
  <c r="BC388" i="10"/>
  <c r="AS393" i="10"/>
  <c r="AX393" i="10"/>
  <c r="BD386" i="10"/>
  <c r="AY391" i="10"/>
  <c r="CK391" i="10"/>
  <c r="AZ391" i="10"/>
  <c r="BD392" i="10"/>
  <c r="BD388" i="10"/>
  <c r="BC386" i="10"/>
  <c r="BE386" i="10"/>
  <c r="BE391" i="10"/>
  <c r="BC391" i="10"/>
  <c r="BF387" i="10"/>
  <c r="AW393" i="10"/>
  <c r="AR393" i="10"/>
  <c r="AU391" i="10"/>
  <c r="AP391" i="10"/>
  <c r="AU387" i="10"/>
  <c r="AP387" i="10"/>
  <c r="BF393" i="10"/>
  <c r="AW391" i="10"/>
  <c r="AR391" i="10"/>
  <c r="AR387" i="10"/>
  <c r="AF393" i="10"/>
  <c r="AG393" i="10" s="1"/>
  <c r="AF387" i="10"/>
  <c r="AG387" i="10" s="1"/>
  <c r="K388" i="10"/>
  <c r="O392" i="10"/>
  <c r="AQ392" i="10" s="1"/>
  <c r="AB391" i="10"/>
  <c r="K393" i="10"/>
  <c r="AB393" i="10"/>
  <c r="N387" i="10"/>
  <c r="K392" i="10"/>
  <c r="AE391" i="10"/>
  <c r="O390" i="10"/>
  <c r="AV390" i="10" s="1"/>
  <c r="O389" i="10"/>
  <c r="AQ389" i="10" s="1"/>
  <c r="AB387" i="10"/>
  <c r="N391" i="10"/>
  <c r="K387" i="10"/>
  <c r="K386" i="10"/>
  <c r="AO389" i="10"/>
  <c r="K389" i="10"/>
  <c r="AF389" i="10"/>
  <c r="AG389" i="10" s="1"/>
  <c r="AO393" i="10"/>
  <c r="AO387" i="10"/>
  <c r="AO391" i="10"/>
  <c r="AB389" i="10"/>
  <c r="K390" i="10"/>
  <c r="AO386" i="10"/>
  <c r="AA386" i="10"/>
  <c r="AB386" i="10"/>
  <c r="AO388" i="10"/>
  <c r="AO390" i="10"/>
  <c r="AO392" i="10"/>
  <c r="AE386" i="10"/>
  <c r="AF386" i="10"/>
  <c r="AG386" i="10" s="1"/>
  <c r="AB388" i="10"/>
  <c r="AA388" i="10"/>
  <c r="AA390" i="10"/>
  <c r="AB390" i="10"/>
  <c r="AA392" i="10"/>
  <c r="AB392" i="10"/>
  <c r="P387" i="10"/>
  <c r="P393" i="10"/>
  <c r="P391" i="10"/>
  <c r="AF388" i="10"/>
  <c r="AG388" i="10" s="1"/>
  <c r="AE388" i="10"/>
  <c r="AE390" i="10"/>
  <c r="AF390" i="10"/>
  <c r="AG390" i="10" s="1"/>
  <c r="AE392" i="10"/>
  <c r="AF392" i="10"/>
  <c r="AG392" i="10" s="1"/>
  <c r="AI135" i="1"/>
  <c r="AH135" i="1"/>
  <c r="P386" i="10" l="1"/>
  <c r="Q386" i="10" s="1"/>
  <c r="AZ386" i="10"/>
  <c r="AP386" i="10"/>
  <c r="CK388" i="10"/>
  <c r="AQ386" i="10"/>
  <c r="AQ388" i="10"/>
  <c r="AW386" i="10"/>
  <c r="AU388" i="10"/>
  <c r="AR388" i="10"/>
  <c r="AX388" i="10"/>
  <c r="AY388" i="10"/>
  <c r="AR386" i="10"/>
  <c r="AZ388" i="10"/>
  <c r="CK386" i="10"/>
  <c r="AV386" i="10"/>
  <c r="AW388" i="10"/>
  <c r="AU386" i="10"/>
  <c r="AS386" i="10"/>
  <c r="P388" i="10"/>
  <c r="S388" i="10" s="1"/>
  <c r="AS388" i="10"/>
  <c r="AY386" i="10"/>
  <c r="AP388" i="10"/>
  <c r="AW392" i="10"/>
  <c r="AR390" i="10"/>
  <c r="AS390" i="10"/>
  <c r="AX392" i="10"/>
  <c r="AQ390" i="10"/>
  <c r="CM389" i="10"/>
  <c r="BR389" i="10"/>
  <c r="CM386" i="10"/>
  <c r="BR386" i="10"/>
  <c r="AC391" i="10"/>
  <c r="CM391" i="10"/>
  <c r="BR391" i="10"/>
  <c r="AW390" i="10"/>
  <c r="AX390" i="10"/>
  <c r="AR392" i="10"/>
  <c r="AR389" i="10"/>
  <c r="AS389" i="10"/>
  <c r="AP392" i="10"/>
  <c r="CK389" i="10"/>
  <c r="AZ389" i="10"/>
  <c r="AY389" i="10"/>
  <c r="AP389" i="10"/>
  <c r="AU389" i="10"/>
  <c r="CM390" i="10"/>
  <c r="BR390" i="10"/>
  <c r="BR388" i="10"/>
  <c r="CM388" i="10"/>
  <c r="CK390" i="10"/>
  <c r="AZ390" i="10"/>
  <c r="AY390" i="10"/>
  <c r="AU390" i="10"/>
  <c r="AP390" i="10"/>
  <c r="CK392" i="10"/>
  <c r="AZ392" i="10"/>
  <c r="AY392" i="10"/>
  <c r="CM392" i="10"/>
  <c r="BR392" i="10"/>
  <c r="CM387" i="10"/>
  <c r="BR387" i="10"/>
  <c r="CM393" i="10"/>
  <c r="BR393" i="10"/>
  <c r="AW389" i="10"/>
  <c r="AX389" i="10"/>
  <c r="AS392" i="10"/>
  <c r="AU392" i="10"/>
  <c r="AV392" i="10"/>
  <c r="AV389" i="10"/>
  <c r="AC393" i="10"/>
  <c r="P392" i="10"/>
  <c r="T392" i="10" s="1"/>
  <c r="AC387" i="10"/>
  <c r="AC389" i="10"/>
  <c r="P390" i="10"/>
  <c r="T390" i="10" s="1"/>
  <c r="P389" i="10"/>
  <c r="S389" i="10" s="1"/>
  <c r="AT393" i="10"/>
  <c r="AT391" i="10"/>
  <c r="BA393" i="10"/>
  <c r="BA387" i="10"/>
  <c r="BH389" i="10"/>
  <c r="BA391" i="10"/>
  <c r="AT387" i="10"/>
  <c r="S387" i="10"/>
  <c r="Q387" i="10"/>
  <c r="R387" i="10"/>
  <c r="T387" i="10"/>
  <c r="AC388" i="10"/>
  <c r="BH388" i="10"/>
  <c r="AC392" i="10"/>
  <c r="S391" i="10"/>
  <c r="T391" i="10"/>
  <c r="Q391" i="10"/>
  <c r="R391" i="10"/>
  <c r="AC390" i="10"/>
  <c r="BH387" i="10"/>
  <c r="BH391" i="10"/>
  <c r="BH386" i="10"/>
  <c r="BH390" i="10"/>
  <c r="S393" i="10"/>
  <c r="Q393" i="10"/>
  <c r="T393" i="10"/>
  <c r="R393" i="10"/>
  <c r="BH393" i="10"/>
  <c r="AC386" i="10"/>
  <c r="BH392" i="10"/>
  <c r="T386" i="10" l="1"/>
  <c r="R386" i="10"/>
  <c r="S386" i="10"/>
  <c r="AT386" i="10"/>
  <c r="AT388" i="10"/>
  <c r="BA386" i="10"/>
  <c r="R388" i="10"/>
  <c r="Q388" i="10"/>
  <c r="BA388" i="10"/>
  <c r="T388" i="10"/>
  <c r="Q392" i="10"/>
  <c r="BA392" i="10"/>
  <c r="R392" i="10"/>
  <c r="S392" i="10"/>
  <c r="AT390" i="10"/>
  <c r="AT392" i="10"/>
  <c r="T389" i="10"/>
  <c r="R389" i="10"/>
  <c r="BA390" i="10"/>
  <c r="Q390" i="10"/>
  <c r="S390" i="10"/>
  <c r="AT389" i="10"/>
  <c r="R390" i="10"/>
  <c r="BA389" i="10"/>
  <c r="Q389" i="10"/>
  <c r="BB391" i="10"/>
  <c r="BI391" i="10" s="1"/>
  <c r="BB393" i="10"/>
  <c r="BI393" i="10" s="1"/>
  <c r="BB387" i="10"/>
  <c r="BI387" i="10" s="1"/>
  <c r="BB388" i="10" l="1"/>
  <c r="BI388" i="10" s="1"/>
  <c r="BB386" i="10"/>
  <c r="BI386" i="10" s="1"/>
  <c r="BB390" i="10"/>
  <c r="BI390" i="10" s="1"/>
  <c r="BB392" i="10"/>
  <c r="BI392" i="10" s="1"/>
  <c r="BB389" i="10"/>
  <c r="BI389" i="10" s="1"/>
  <c r="AC94" i="1" l="1"/>
  <c r="AD94" i="1"/>
  <c r="AE325" i="1" l="1"/>
  <c r="AA325" i="1"/>
  <c r="AB325" i="1"/>
  <c r="AC325" i="1"/>
  <c r="AD325" i="1"/>
  <c r="AF325" i="1"/>
  <c r="AG325" i="1"/>
  <c r="AA53" i="1"/>
  <c r="AB53" i="1"/>
  <c r="AC53" i="1"/>
  <c r="AD53" i="1"/>
  <c r="AD52" i="1"/>
  <c r="AC52" i="1"/>
  <c r="AB52" i="1"/>
  <c r="AA52" i="1"/>
  <c r="AD42" i="1"/>
  <c r="AC42" i="1"/>
  <c r="AB42" i="1"/>
  <c r="AA42" i="1"/>
  <c r="X325" i="10" l="1"/>
  <c r="V325" i="10"/>
  <c r="AI325" i="1"/>
  <c r="AH325" i="1"/>
  <c r="P325" i="1"/>
  <c r="AM325" i="10" l="1"/>
  <c r="AN325" i="10"/>
  <c r="AB325" i="10"/>
  <c r="AF325" i="10"/>
  <c r="AG325" i="10" s="1"/>
  <c r="I325" i="10"/>
  <c r="AL325" i="10"/>
  <c r="O325" i="10"/>
  <c r="U325" i="10"/>
  <c r="Y325" i="10"/>
  <c r="W325" i="10"/>
  <c r="I3" i="25"/>
  <c r="I4" i="25"/>
  <c r="I5" i="25"/>
  <c r="I6" i="25"/>
  <c r="I7" i="25"/>
  <c r="I8" i="25"/>
  <c r="I9" i="25"/>
  <c r="I19" i="25"/>
  <c r="I20" i="25"/>
  <c r="I26" i="25"/>
  <c r="I27" i="25"/>
  <c r="I28" i="25"/>
  <c r="I29" i="25"/>
  <c r="I30" i="25"/>
  <c r="I31" i="25"/>
  <c r="H3" i="25"/>
  <c r="H4" i="25"/>
  <c r="H5" i="25"/>
  <c r="H6" i="25"/>
  <c r="H7" i="25"/>
  <c r="H8" i="25"/>
  <c r="H9" i="25"/>
  <c r="H19" i="25"/>
  <c r="H20" i="25"/>
  <c r="H26" i="25"/>
  <c r="H27" i="25"/>
  <c r="H28" i="25"/>
  <c r="H29" i="25"/>
  <c r="H30" i="25"/>
  <c r="H31"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B3"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A3" i="25"/>
  <c r="V3" i="25"/>
  <c r="A4" i="25"/>
  <c r="A5" i="25"/>
  <c r="V5" i="25"/>
  <c r="A6" i="25"/>
  <c r="A7" i="25"/>
  <c r="V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K325" i="10" l="1"/>
  <c r="AC325" i="10"/>
  <c r="P325" i="10"/>
  <c r="AO325" i="10"/>
  <c r="V4" i="25"/>
  <c r="V6" i="25"/>
  <c r="F55" i="33"/>
  <c r="AT62" i="1" s="1"/>
  <c r="E55" i="33"/>
  <c r="AS62" i="1" s="1"/>
  <c r="F50" i="33"/>
  <c r="AT63" i="1" s="1"/>
  <c r="E50" i="33"/>
  <c r="AS63" i="1" s="1"/>
  <c r="F46" i="33"/>
  <c r="AT60" i="1" s="1"/>
  <c r="E46" i="33"/>
  <c r="AS60" i="1" s="1"/>
  <c r="F41" i="33"/>
  <c r="AT61" i="1" s="1"/>
  <c r="E41" i="33"/>
  <c r="AS61" i="1" s="1"/>
  <c r="F37" i="33"/>
  <c r="AT58" i="1" s="1"/>
  <c r="E37" i="33"/>
  <c r="AS58" i="1" s="1"/>
  <c r="F32" i="33"/>
  <c r="AT59" i="1" s="1"/>
  <c r="E32" i="33"/>
  <c r="AS59" i="1" s="1"/>
  <c r="T325" i="10" l="1"/>
  <c r="R325" i="10"/>
  <c r="Q325" i="10"/>
  <c r="S325" i="10"/>
  <c r="I283" i="10" l="1"/>
  <c r="I284" i="10"/>
  <c r="I282" i="10"/>
  <c r="K282" i="10" l="1"/>
  <c r="K284" i="10"/>
  <c r="K283" i="10"/>
  <c r="AG273" i="1" l="1"/>
  <c r="AF273" i="1"/>
  <c r="AI273" i="1" s="1"/>
  <c r="AD273" i="1"/>
  <c r="AC273" i="1"/>
  <c r="AB273" i="1"/>
  <c r="AA273" i="1"/>
  <c r="AE273" i="1"/>
  <c r="Q273" i="10" l="1"/>
  <c r="R273" i="10"/>
  <c r="S273" i="10"/>
  <c r="W273" i="10"/>
  <c r="X273" i="10"/>
  <c r="V273" i="10"/>
  <c r="Y273" i="10"/>
  <c r="U273" i="10"/>
  <c r="T273" i="10"/>
  <c r="AH273" i="1"/>
  <c r="AE211" i="1" l="1"/>
  <c r="AA211" i="1"/>
  <c r="AB211" i="1"/>
  <c r="AC211" i="1"/>
  <c r="AD211" i="1"/>
  <c r="AF211" i="1"/>
  <c r="AI211" i="1" s="1"/>
  <c r="AG211" i="1"/>
  <c r="AA170" i="1"/>
  <c r="AB170" i="1"/>
  <c r="AC170" i="1"/>
  <c r="AD170" i="1"/>
  <c r="AF170" i="1"/>
  <c r="AI170" i="1" s="1"/>
  <c r="AG170" i="1"/>
  <c r="V211" i="10" l="1"/>
  <c r="X211" i="10"/>
  <c r="V170" i="10"/>
  <c r="X170" i="10"/>
  <c r="AH211" i="1"/>
  <c r="AH170" i="1"/>
  <c r="E180" i="33" l="1"/>
  <c r="F180" i="33"/>
  <c r="E155" i="33"/>
  <c r="E149" i="33" s="1"/>
  <c r="K3" i="25" l="1"/>
  <c r="L3" i="25"/>
  <c r="M3" i="25"/>
  <c r="N3" i="25"/>
  <c r="K4" i="25"/>
  <c r="L4" i="25"/>
  <c r="M4" i="25"/>
  <c r="N4" i="25"/>
  <c r="K5" i="25"/>
  <c r="L5" i="25"/>
  <c r="M5" i="25"/>
  <c r="N5" i="25"/>
  <c r="K6" i="25"/>
  <c r="L6" i="25"/>
  <c r="M6" i="25"/>
  <c r="N6" i="25"/>
  <c r="K7" i="25"/>
  <c r="L7" i="25"/>
  <c r="M7" i="25"/>
  <c r="N7" i="25"/>
  <c r="J3" i="25"/>
  <c r="J4" i="25"/>
  <c r="J5" i="25"/>
  <c r="J6" i="25"/>
  <c r="J7" i="25"/>
  <c r="O6" i="25" l="1"/>
  <c r="O5" i="25"/>
  <c r="O7" i="25"/>
  <c r="O3" i="25"/>
  <c r="O4" i="25"/>
  <c r="AX5" i="1"/>
  <c r="AW5" i="1"/>
  <c r="AV5" i="1"/>
  <c r="AU5" i="1"/>
  <c r="AT5" i="1"/>
  <c r="P3" i="25" l="1"/>
  <c r="P7" i="25"/>
  <c r="P5" i="25"/>
  <c r="P4" i="25"/>
  <c r="P6" i="25"/>
  <c r="AG232" i="1"/>
  <c r="AF232" i="1"/>
  <c r="AI232" i="1" s="1"/>
  <c r="AD232" i="1"/>
  <c r="AC232" i="1"/>
  <c r="AB232" i="1"/>
  <c r="AA232" i="1"/>
  <c r="AE232" i="1"/>
  <c r="AG231" i="1"/>
  <c r="AF231" i="1"/>
  <c r="AI231" i="1" s="1"/>
  <c r="AD231" i="1"/>
  <c r="AC231" i="1"/>
  <c r="AB231" i="1"/>
  <c r="AA231" i="1"/>
  <c r="AE231" i="1"/>
  <c r="X231" i="10" l="1"/>
  <c r="V231" i="10"/>
  <c r="V232" i="10"/>
  <c r="X232" i="10"/>
  <c r="AH231" i="1"/>
  <c r="AH232" i="1"/>
  <c r="AA56" i="1"/>
  <c r="AB56" i="1"/>
  <c r="AC56" i="1"/>
  <c r="AD56" i="1"/>
  <c r="AF56" i="1"/>
  <c r="AI56" i="1" s="1"/>
  <c r="AG56" i="1"/>
  <c r="AA57" i="1"/>
  <c r="AB57" i="1"/>
  <c r="AC57" i="1"/>
  <c r="AD57" i="1"/>
  <c r="AF57" i="1"/>
  <c r="AI57" i="1" s="1"/>
  <c r="AG57" i="1"/>
  <c r="AH56" i="1" l="1"/>
  <c r="AH57" i="1"/>
  <c r="E288" i="33" l="1"/>
  <c r="E276" i="33"/>
  <c r="AS135" i="1" s="1"/>
  <c r="AS138" i="1" l="1"/>
  <c r="AS137" i="1"/>
  <c r="AS136" i="1"/>
  <c r="J142" i="8" l="1"/>
  <c r="J143" i="8"/>
  <c r="J144" i="8"/>
  <c r="J145" i="8"/>
  <c r="J146" i="8"/>
  <c r="J147" i="8"/>
  <c r="J148" i="8"/>
  <c r="J149" i="8"/>
  <c r="J150" i="8"/>
  <c r="J151" i="8"/>
  <c r="J152" i="8"/>
  <c r="J153" i="8"/>
  <c r="J154" i="8"/>
  <c r="J155" i="8"/>
  <c r="J156" i="8"/>
  <c r="J157" i="8"/>
  <c r="J158" i="8"/>
  <c r="J159" i="8"/>
  <c r="J160" i="8"/>
  <c r="J161" i="8"/>
  <c r="J162" i="8"/>
  <c r="J163" i="8"/>
  <c r="J164" i="8"/>
  <c r="J165" i="8"/>
  <c r="J166" i="8"/>
  <c r="J141" i="8"/>
  <c r="AA6" i="1" l="1"/>
  <c r="AB6" i="1"/>
  <c r="AC6" i="1"/>
  <c r="AD6" i="1"/>
  <c r="AH6" i="1"/>
  <c r="AG6" i="1"/>
  <c r="AA7" i="1"/>
  <c r="AB7" i="1"/>
  <c r="AC7" i="1"/>
  <c r="AD7" i="1"/>
  <c r="AF7" i="1"/>
  <c r="AA8" i="1"/>
  <c r="AB8" i="1"/>
  <c r="AC8" i="1"/>
  <c r="AD8" i="1"/>
  <c r="AH8" i="1"/>
  <c r="AA9" i="1"/>
  <c r="AB9" i="1"/>
  <c r="AC9" i="1"/>
  <c r="AD9" i="1"/>
  <c r="AH9" i="1"/>
  <c r="AB15" i="1"/>
  <c r="AC15" i="1"/>
  <c r="AD15" i="1"/>
  <c r="AF15" i="1"/>
  <c r="AG15" i="1"/>
  <c r="AH27" i="1"/>
  <c r="AH28" i="1"/>
  <c r="AH30" i="1"/>
  <c r="AF42" i="1"/>
  <c r="AI42" i="1" s="1"/>
  <c r="AG42" i="1"/>
  <c r="AA43" i="1"/>
  <c r="AB43" i="1"/>
  <c r="AC43" i="1"/>
  <c r="AD43" i="1"/>
  <c r="AF43" i="1"/>
  <c r="AG43" i="1"/>
  <c r="AA44" i="1"/>
  <c r="AB44" i="1"/>
  <c r="AC44" i="1"/>
  <c r="AD44" i="1"/>
  <c r="AF44" i="1"/>
  <c r="AG44" i="1"/>
  <c r="AA45" i="1"/>
  <c r="AB45" i="1"/>
  <c r="AC45" i="1"/>
  <c r="AD45" i="1"/>
  <c r="AF45" i="1"/>
  <c r="AG45" i="1"/>
  <c r="AA46" i="1"/>
  <c r="AB46" i="1"/>
  <c r="AC46" i="1"/>
  <c r="AD46" i="1"/>
  <c r="AF46" i="1"/>
  <c r="AI46" i="1" s="1"/>
  <c r="AG46" i="1"/>
  <c r="AA48" i="1"/>
  <c r="AB48" i="1"/>
  <c r="AC48" i="1"/>
  <c r="AD48" i="1"/>
  <c r="AF48" i="1"/>
  <c r="AG48" i="1"/>
  <c r="AA49" i="1"/>
  <c r="AB49" i="1"/>
  <c r="AC49" i="1"/>
  <c r="AD49" i="1"/>
  <c r="AF49" i="1"/>
  <c r="AH49" i="1" s="1"/>
  <c r="AG49" i="1"/>
  <c r="AA50" i="1"/>
  <c r="AB50" i="1"/>
  <c r="AC50" i="1"/>
  <c r="AD50" i="1"/>
  <c r="AF50" i="1"/>
  <c r="AI50" i="1" s="1"/>
  <c r="AG50" i="1"/>
  <c r="AA51" i="1"/>
  <c r="AB51" i="1"/>
  <c r="AC51" i="1"/>
  <c r="AD51" i="1"/>
  <c r="AF51" i="1"/>
  <c r="AG51" i="1"/>
  <c r="AF52" i="1"/>
  <c r="AG52" i="1"/>
  <c r="AA54" i="1"/>
  <c r="AB54" i="1"/>
  <c r="AC54" i="1"/>
  <c r="AD54" i="1"/>
  <c r="AF54" i="1"/>
  <c r="AG54" i="1"/>
  <c r="AA55" i="1"/>
  <c r="AB55" i="1"/>
  <c r="AC55" i="1"/>
  <c r="AD55" i="1"/>
  <c r="AF55" i="1"/>
  <c r="AG55" i="1"/>
  <c r="AA58" i="1"/>
  <c r="AB58" i="1"/>
  <c r="AC58" i="1"/>
  <c r="AD58" i="1"/>
  <c r="AF58" i="1"/>
  <c r="AH58" i="1" s="1"/>
  <c r="AG58" i="1"/>
  <c r="AA59" i="1"/>
  <c r="AB59" i="1"/>
  <c r="AC59" i="1"/>
  <c r="AD59" i="1"/>
  <c r="AF59" i="1"/>
  <c r="AG59" i="1"/>
  <c r="AA60" i="1"/>
  <c r="AB60" i="1"/>
  <c r="AC60" i="1"/>
  <c r="AD60" i="1"/>
  <c r="AF60" i="1"/>
  <c r="AG60" i="1"/>
  <c r="AA61" i="1"/>
  <c r="AB61" i="1"/>
  <c r="AC61" i="1"/>
  <c r="AD61" i="1"/>
  <c r="AF61" i="1"/>
  <c r="AH61" i="1" s="1"/>
  <c r="AG61" i="1"/>
  <c r="AA62" i="1"/>
  <c r="AB62" i="1"/>
  <c r="AC62" i="1"/>
  <c r="AD62" i="1"/>
  <c r="AF62" i="1"/>
  <c r="AH62" i="1" s="1"/>
  <c r="AG62" i="1"/>
  <c r="AA63" i="1"/>
  <c r="AB63" i="1"/>
  <c r="AC63" i="1"/>
  <c r="AD63" i="1"/>
  <c r="AF63" i="1"/>
  <c r="AG63" i="1"/>
  <c r="AF64" i="1"/>
  <c r="AG64" i="1"/>
  <c r="AA66" i="1"/>
  <c r="AB66" i="1"/>
  <c r="AC66" i="1"/>
  <c r="AD66" i="1"/>
  <c r="AF66" i="1"/>
  <c r="AH66" i="1" s="1"/>
  <c r="AG66" i="1"/>
  <c r="AA67" i="1"/>
  <c r="AB67" i="1"/>
  <c r="AC67" i="1"/>
  <c r="AD67" i="1"/>
  <c r="AF67" i="1"/>
  <c r="AG67" i="1"/>
  <c r="AA68" i="1"/>
  <c r="AB68" i="1"/>
  <c r="AC68" i="1"/>
  <c r="AD68" i="1"/>
  <c r="AF68" i="1"/>
  <c r="AH68" i="1" s="1"/>
  <c r="AG68" i="1"/>
  <c r="AA69" i="1"/>
  <c r="AB69" i="1"/>
  <c r="AC69" i="1"/>
  <c r="AD69" i="1"/>
  <c r="AF69" i="1"/>
  <c r="AI69" i="1" s="1"/>
  <c r="AG69" i="1"/>
  <c r="AA74" i="1"/>
  <c r="AB74" i="1"/>
  <c r="AC74" i="1"/>
  <c r="AD74" i="1"/>
  <c r="AF74" i="1"/>
  <c r="AG74" i="1"/>
  <c r="AA75" i="1"/>
  <c r="AB75" i="1"/>
  <c r="AC75" i="1"/>
  <c r="AD75" i="1"/>
  <c r="AF75" i="1"/>
  <c r="AG75" i="1"/>
  <c r="AA76" i="1"/>
  <c r="AB76" i="1"/>
  <c r="AC76" i="1"/>
  <c r="AD76" i="1"/>
  <c r="AF76" i="1"/>
  <c r="AH76" i="1" s="1"/>
  <c r="AG76" i="1"/>
  <c r="AA77" i="1"/>
  <c r="AB77" i="1"/>
  <c r="AC77" i="1"/>
  <c r="AD77" i="1"/>
  <c r="AF77" i="1"/>
  <c r="AI77" i="1" s="1"/>
  <c r="AG77" i="1"/>
  <c r="AA78" i="1"/>
  <c r="AB78" i="1"/>
  <c r="AC78" i="1"/>
  <c r="AD78" i="1"/>
  <c r="AF78" i="1"/>
  <c r="AG78" i="1"/>
  <c r="AA79" i="1"/>
  <c r="AB79" i="1"/>
  <c r="AC79" i="1"/>
  <c r="AD79" i="1"/>
  <c r="AF79" i="1"/>
  <c r="AG79" i="1"/>
  <c r="AA81" i="1"/>
  <c r="AB81" i="1"/>
  <c r="AC81" i="1"/>
  <c r="AD81" i="1"/>
  <c r="AF81" i="1"/>
  <c r="AH81" i="1" s="1"/>
  <c r="AG81" i="1"/>
  <c r="AA83" i="1"/>
  <c r="AB83" i="1"/>
  <c r="AC83" i="1"/>
  <c r="AD83" i="1"/>
  <c r="AF83" i="1"/>
  <c r="AH83" i="1" s="1"/>
  <c r="AG83" i="1"/>
  <c r="AA84" i="1"/>
  <c r="AB84" i="1"/>
  <c r="AC84" i="1"/>
  <c r="AD84" i="1"/>
  <c r="AF84" i="1"/>
  <c r="AH84" i="1" s="1"/>
  <c r="AG84" i="1"/>
  <c r="AA85" i="1"/>
  <c r="AB85" i="1"/>
  <c r="AC85" i="1"/>
  <c r="AD85" i="1"/>
  <c r="AF85" i="1"/>
  <c r="AH85" i="1" s="1"/>
  <c r="AG85" i="1"/>
  <c r="AF86" i="1"/>
  <c r="AG86" i="1"/>
  <c r="AA87" i="1"/>
  <c r="AB87" i="1"/>
  <c r="AC87" i="1"/>
  <c r="AD87" i="1"/>
  <c r="AF87" i="1"/>
  <c r="AH87" i="1" s="1"/>
  <c r="AG87" i="1"/>
  <c r="AA88" i="1"/>
  <c r="AB88" i="1"/>
  <c r="AC88" i="1"/>
  <c r="AD88" i="1"/>
  <c r="AF88" i="1"/>
  <c r="AH88" i="1" s="1"/>
  <c r="AG88" i="1"/>
  <c r="AA89" i="1"/>
  <c r="AB89" i="1"/>
  <c r="AC89" i="1"/>
  <c r="AD89" i="1"/>
  <c r="AF89" i="1"/>
  <c r="AH89" i="1" s="1"/>
  <c r="AG89" i="1"/>
  <c r="AA90" i="1"/>
  <c r="AB90" i="1"/>
  <c r="AC90" i="1"/>
  <c r="AD90" i="1"/>
  <c r="AF90" i="1"/>
  <c r="AG90" i="1"/>
  <c r="AA91" i="1"/>
  <c r="AB91" i="1"/>
  <c r="AC91" i="1"/>
  <c r="AD91" i="1"/>
  <c r="AF91" i="1"/>
  <c r="AH91" i="1" s="1"/>
  <c r="AG91" i="1"/>
  <c r="AA92" i="1"/>
  <c r="AB92" i="1"/>
  <c r="AC92" i="1"/>
  <c r="AD92" i="1"/>
  <c r="AF92" i="1"/>
  <c r="AI92" i="1" s="1"/>
  <c r="AG92" i="1"/>
  <c r="AA93" i="1"/>
  <c r="AB93" i="1"/>
  <c r="AC93" i="1"/>
  <c r="AD93" i="1"/>
  <c r="AF93" i="1"/>
  <c r="AG93" i="1"/>
  <c r="AF94" i="1"/>
  <c r="AG94" i="1"/>
  <c r="AA101" i="1"/>
  <c r="AB101" i="1"/>
  <c r="AC101" i="1"/>
  <c r="AD101" i="1"/>
  <c r="AF101" i="1"/>
  <c r="AG101" i="1"/>
  <c r="AA102" i="1"/>
  <c r="AB102" i="1"/>
  <c r="AC102" i="1"/>
  <c r="AD102" i="1"/>
  <c r="AF102" i="1"/>
  <c r="AG102" i="1"/>
  <c r="AA105" i="1"/>
  <c r="AB105" i="1"/>
  <c r="AC105" i="1"/>
  <c r="AD105" i="1"/>
  <c r="AF105" i="1"/>
  <c r="AH105" i="1" s="1"/>
  <c r="AG105" i="1"/>
  <c r="AF106" i="1"/>
  <c r="AG106" i="1"/>
  <c r="AH120" i="1"/>
  <c r="AA121" i="1"/>
  <c r="AB121" i="1"/>
  <c r="AC121" i="1"/>
  <c r="AD121" i="1"/>
  <c r="AF121" i="1"/>
  <c r="AG121" i="1"/>
  <c r="AA122" i="1"/>
  <c r="AB122" i="1"/>
  <c r="AC122" i="1"/>
  <c r="AD122" i="1"/>
  <c r="AF122" i="1"/>
  <c r="AG122" i="1"/>
  <c r="AA123" i="1"/>
  <c r="AB123" i="1"/>
  <c r="AC123" i="1"/>
  <c r="AD123" i="1"/>
  <c r="AF123" i="1"/>
  <c r="AG123" i="1"/>
  <c r="AA124" i="1"/>
  <c r="AB124" i="1"/>
  <c r="AC124" i="1"/>
  <c r="AD124" i="1"/>
  <c r="AF124" i="1"/>
  <c r="AI124" i="1" s="1"/>
  <c r="AG124" i="1"/>
  <c r="AA126" i="1"/>
  <c r="AB126" i="1"/>
  <c r="AC126" i="1"/>
  <c r="AD126" i="1"/>
  <c r="AF126" i="1"/>
  <c r="AG126" i="1"/>
  <c r="AA127" i="1"/>
  <c r="AB127" i="1"/>
  <c r="AC127" i="1"/>
  <c r="AD127" i="1"/>
  <c r="AF127" i="1"/>
  <c r="AG127" i="1"/>
  <c r="AA128" i="1"/>
  <c r="AB128" i="1"/>
  <c r="AC128" i="1"/>
  <c r="AD128" i="1"/>
  <c r="AF128" i="1"/>
  <c r="AH128" i="1" s="1"/>
  <c r="AG128" i="1"/>
  <c r="AA129" i="1"/>
  <c r="AB129" i="1"/>
  <c r="AC129" i="1"/>
  <c r="AD129" i="1"/>
  <c r="AF129" i="1"/>
  <c r="AI129" i="1" s="1"/>
  <c r="AG129" i="1"/>
  <c r="AA130" i="1"/>
  <c r="AB130" i="1"/>
  <c r="AC130" i="1"/>
  <c r="AD130" i="1"/>
  <c r="AF130" i="1"/>
  <c r="AG130" i="1"/>
  <c r="AA131" i="1"/>
  <c r="AB131" i="1"/>
  <c r="AC131" i="1"/>
  <c r="AD131" i="1"/>
  <c r="AF131" i="1"/>
  <c r="AG131" i="1"/>
  <c r="AA132" i="1"/>
  <c r="AB132" i="1"/>
  <c r="AC132" i="1"/>
  <c r="AD132" i="1"/>
  <c r="AF132" i="1"/>
  <c r="AG132" i="1"/>
  <c r="AA133" i="1"/>
  <c r="AB133" i="1"/>
  <c r="AC133" i="1"/>
  <c r="AD133" i="1"/>
  <c r="AF133" i="1"/>
  <c r="AG133" i="1"/>
  <c r="AA134" i="1"/>
  <c r="AB134" i="1"/>
  <c r="AC134" i="1"/>
  <c r="AD134" i="1"/>
  <c r="AF134" i="1"/>
  <c r="AG134" i="1"/>
  <c r="AA136" i="1"/>
  <c r="AB136" i="1"/>
  <c r="AC136" i="1"/>
  <c r="AD136" i="1"/>
  <c r="AF136" i="1"/>
  <c r="AG136" i="1"/>
  <c r="AA140" i="1"/>
  <c r="AB140" i="1"/>
  <c r="AC140" i="1"/>
  <c r="AD140" i="1"/>
  <c r="AF140" i="1"/>
  <c r="AG140" i="1"/>
  <c r="AA141" i="1"/>
  <c r="AB141" i="1"/>
  <c r="AC141" i="1"/>
  <c r="AD141" i="1"/>
  <c r="AF141" i="1"/>
  <c r="AI141" i="1" s="1"/>
  <c r="AG141" i="1"/>
  <c r="AA147" i="1"/>
  <c r="AB147" i="1"/>
  <c r="AC147" i="1"/>
  <c r="AD147" i="1"/>
  <c r="AF147" i="1"/>
  <c r="AG147" i="1"/>
  <c r="AA153" i="1"/>
  <c r="AB153" i="1"/>
  <c r="AC153" i="1"/>
  <c r="AD153" i="1"/>
  <c r="AF153" i="1"/>
  <c r="AG153" i="1"/>
  <c r="AA154" i="1"/>
  <c r="AB154" i="1"/>
  <c r="AC154" i="1"/>
  <c r="AD154" i="1"/>
  <c r="AF154" i="1"/>
  <c r="AI154" i="1" s="1"/>
  <c r="AG154" i="1"/>
  <c r="AA156" i="1"/>
  <c r="AB156" i="1"/>
  <c r="AC156" i="1"/>
  <c r="AD156" i="1"/>
  <c r="AF156" i="1"/>
  <c r="AG156" i="1"/>
  <c r="AA158" i="1"/>
  <c r="AB158" i="1"/>
  <c r="AC158" i="1"/>
  <c r="AD158" i="1"/>
  <c r="AF158" i="1"/>
  <c r="AG158" i="1"/>
  <c r="AA162" i="1"/>
  <c r="AB162" i="1"/>
  <c r="AC162" i="1"/>
  <c r="AD162" i="1"/>
  <c r="AF162" i="1"/>
  <c r="AI162" i="1" s="1"/>
  <c r="AG162" i="1"/>
  <c r="AA164" i="1"/>
  <c r="AB164" i="1"/>
  <c r="AC164" i="1"/>
  <c r="AD164" i="1"/>
  <c r="AF164" i="1"/>
  <c r="AG164" i="1"/>
  <c r="AA168" i="1"/>
  <c r="AB168" i="1"/>
  <c r="AC168" i="1"/>
  <c r="AD168" i="1"/>
  <c r="AF168" i="1"/>
  <c r="AG168" i="1"/>
  <c r="AA173" i="1"/>
  <c r="AB173" i="1"/>
  <c r="AC173" i="1"/>
  <c r="AD173" i="1"/>
  <c r="AF173" i="1"/>
  <c r="AI173" i="1" s="1"/>
  <c r="AG173" i="1"/>
  <c r="AA174" i="1"/>
  <c r="AB174" i="1"/>
  <c r="AC174" i="1"/>
  <c r="AD174" i="1"/>
  <c r="AF174" i="1"/>
  <c r="AG174" i="1"/>
  <c r="AA198" i="1"/>
  <c r="AB198" i="1"/>
  <c r="AC198" i="1"/>
  <c r="AD198" i="1"/>
  <c r="AF198" i="1"/>
  <c r="AG198" i="1"/>
  <c r="AA199" i="1"/>
  <c r="AB199" i="1"/>
  <c r="AC199" i="1"/>
  <c r="AD199" i="1"/>
  <c r="AF199" i="1"/>
  <c r="AG199" i="1"/>
  <c r="AA201" i="1"/>
  <c r="AB201" i="1"/>
  <c r="AC201" i="1"/>
  <c r="AD201" i="1"/>
  <c r="AF201" i="1"/>
  <c r="AG201" i="1"/>
  <c r="AA203" i="1"/>
  <c r="AB203" i="1"/>
  <c r="AC203" i="1"/>
  <c r="AD203" i="1"/>
  <c r="AF203" i="1"/>
  <c r="AG203" i="1"/>
  <c r="AA206" i="1"/>
  <c r="AB206" i="1"/>
  <c r="AC206" i="1"/>
  <c r="AD206" i="1"/>
  <c r="AF206" i="1"/>
  <c r="AI206" i="1" s="1"/>
  <c r="AG206" i="1"/>
  <c r="AA210" i="1"/>
  <c r="AB210" i="1"/>
  <c r="AC210" i="1"/>
  <c r="AD210" i="1"/>
  <c r="AF210" i="1"/>
  <c r="AI210" i="1" s="1"/>
  <c r="AG210" i="1"/>
  <c r="AA212" i="1"/>
  <c r="AB212" i="1"/>
  <c r="AC212" i="1"/>
  <c r="AD212" i="1"/>
  <c r="AF212" i="1"/>
  <c r="AG212" i="1"/>
  <c r="AA214" i="1"/>
  <c r="AB214" i="1"/>
  <c r="AC214" i="1"/>
  <c r="AD214" i="1"/>
  <c r="AF214" i="1"/>
  <c r="AI214" i="1" s="1"/>
  <c r="AG214" i="1"/>
  <c r="AA216" i="1"/>
  <c r="AB216" i="1"/>
  <c r="AC216" i="1"/>
  <c r="AD216" i="1"/>
  <c r="AF216" i="1"/>
  <c r="AG216" i="1"/>
  <c r="AA217" i="1"/>
  <c r="AB217" i="1"/>
  <c r="AC217" i="1"/>
  <c r="AD217" i="1"/>
  <c r="AF217" i="1"/>
  <c r="AH217" i="1" s="1"/>
  <c r="AG217" i="1"/>
  <c r="AA218" i="1"/>
  <c r="AB218" i="1"/>
  <c r="AC218" i="1"/>
  <c r="AD218" i="1"/>
  <c r="AF218" i="1"/>
  <c r="AI218" i="1" s="1"/>
  <c r="AG218" i="1"/>
  <c r="AA219" i="1"/>
  <c r="AB219" i="1"/>
  <c r="AC219" i="1"/>
  <c r="AD219" i="1"/>
  <c r="AF219" i="1"/>
  <c r="AG219" i="1"/>
  <c r="AA220" i="1"/>
  <c r="AB220" i="1"/>
  <c r="AC220" i="1"/>
  <c r="AD220" i="1"/>
  <c r="AF220" i="1"/>
  <c r="AG220" i="1"/>
  <c r="AA221" i="1"/>
  <c r="AB221" i="1"/>
  <c r="AC221" i="1"/>
  <c r="AD221" i="1"/>
  <c r="AF221" i="1"/>
  <c r="AG221" i="1"/>
  <c r="AA222" i="1"/>
  <c r="AB222" i="1"/>
  <c r="AC222" i="1"/>
  <c r="AD222" i="1"/>
  <c r="AF222" i="1"/>
  <c r="AI222" i="1" s="1"/>
  <c r="AG222" i="1"/>
  <c r="AA223" i="1"/>
  <c r="AB223" i="1"/>
  <c r="AC223" i="1"/>
  <c r="AD223" i="1"/>
  <c r="AF223" i="1"/>
  <c r="AG223" i="1"/>
  <c r="AA224" i="1"/>
  <c r="AB224" i="1"/>
  <c r="AC224" i="1"/>
  <c r="AD224" i="1"/>
  <c r="AF224" i="1"/>
  <c r="AG224" i="1"/>
  <c r="AA225" i="1"/>
  <c r="AB225" i="1"/>
  <c r="AC225" i="1"/>
  <c r="AD225" i="1"/>
  <c r="AF225" i="1"/>
  <c r="AH225" i="1" s="1"/>
  <c r="AG225" i="1"/>
  <c r="AA226" i="1"/>
  <c r="AB226" i="1"/>
  <c r="AC226" i="1"/>
  <c r="AD226" i="1"/>
  <c r="AF226" i="1"/>
  <c r="AI226" i="1" s="1"/>
  <c r="AG226" i="1"/>
  <c r="AA228" i="1"/>
  <c r="AB228" i="1"/>
  <c r="AC228" i="1"/>
  <c r="AD228" i="1"/>
  <c r="AF228" i="1"/>
  <c r="AG228" i="1"/>
  <c r="AA229" i="1"/>
  <c r="AB229" i="1"/>
  <c r="AC229" i="1"/>
  <c r="AD229" i="1"/>
  <c r="AF229" i="1"/>
  <c r="AG229" i="1"/>
  <c r="AA230" i="1"/>
  <c r="AB230" i="1"/>
  <c r="AC230" i="1"/>
  <c r="AD230" i="1"/>
  <c r="AF230" i="1"/>
  <c r="AI230" i="1" s="1"/>
  <c r="AG230" i="1"/>
  <c r="AA233" i="1"/>
  <c r="AB233" i="1"/>
  <c r="AC233" i="1"/>
  <c r="AD233" i="1"/>
  <c r="AF233" i="1"/>
  <c r="AG233" i="1"/>
  <c r="AA234" i="1"/>
  <c r="AB234" i="1"/>
  <c r="AC234" i="1"/>
  <c r="AD234" i="1"/>
  <c r="AF234" i="1"/>
  <c r="AG234" i="1"/>
  <c r="AA235" i="1"/>
  <c r="AB235" i="1"/>
  <c r="AC235" i="1"/>
  <c r="AD235" i="1"/>
  <c r="AF235" i="1"/>
  <c r="AH235" i="1" s="1"/>
  <c r="AG235" i="1"/>
  <c r="AA237" i="1"/>
  <c r="AB237" i="1"/>
  <c r="AC237" i="1"/>
  <c r="AD237" i="1"/>
  <c r="AF237" i="1"/>
  <c r="AG237" i="1"/>
  <c r="AA238" i="1"/>
  <c r="AB238" i="1"/>
  <c r="AC238" i="1"/>
  <c r="AD238" i="1"/>
  <c r="AF238" i="1"/>
  <c r="AG238" i="1"/>
  <c r="AA239" i="1"/>
  <c r="AB239" i="1"/>
  <c r="AC239" i="1"/>
  <c r="AD239" i="1"/>
  <c r="AF239" i="1"/>
  <c r="AG239" i="1"/>
  <c r="AA241" i="1"/>
  <c r="AB241" i="1"/>
  <c r="AC241" i="1"/>
  <c r="AD241" i="1"/>
  <c r="AF241" i="1"/>
  <c r="AH241" i="1" s="1"/>
  <c r="AG241" i="1"/>
  <c r="AA248" i="1"/>
  <c r="AB248" i="1"/>
  <c r="AC248" i="1"/>
  <c r="AD248" i="1"/>
  <c r="AF248" i="1"/>
  <c r="AG248" i="1"/>
  <c r="AA250" i="1"/>
  <c r="AB250" i="1"/>
  <c r="AC250" i="1"/>
  <c r="AD250" i="1"/>
  <c r="AF250" i="1"/>
  <c r="AG250" i="1"/>
  <c r="AA257" i="1"/>
  <c r="AB257" i="1"/>
  <c r="AC257" i="1"/>
  <c r="AD257" i="1"/>
  <c r="AF257" i="1"/>
  <c r="AG257" i="1"/>
  <c r="AA261" i="1"/>
  <c r="AB261" i="1"/>
  <c r="AC261" i="1"/>
  <c r="AD261" i="1"/>
  <c r="AF261" i="1"/>
  <c r="AG261" i="1"/>
  <c r="AA269" i="1"/>
  <c r="AB269" i="1"/>
  <c r="AC269" i="1"/>
  <c r="AD269" i="1"/>
  <c r="AF269" i="1"/>
  <c r="AG269" i="1"/>
  <c r="AA272" i="1"/>
  <c r="AB272" i="1"/>
  <c r="AC272" i="1"/>
  <c r="AD272" i="1"/>
  <c r="AF272" i="1"/>
  <c r="AI272" i="1" s="1"/>
  <c r="AG272" i="1"/>
  <c r="AA275" i="1"/>
  <c r="AB275" i="1"/>
  <c r="AC275" i="1"/>
  <c r="AD275" i="1"/>
  <c r="AF275" i="1"/>
  <c r="AH275" i="1" s="1"/>
  <c r="AG275" i="1"/>
  <c r="AA276" i="1"/>
  <c r="AB276" i="1"/>
  <c r="AC276" i="1"/>
  <c r="AD276" i="1"/>
  <c r="AF276" i="1"/>
  <c r="AI276" i="1" s="1"/>
  <c r="AG276" i="1"/>
  <c r="AA278" i="1"/>
  <c r="AB278" i="1"/>
  <c r="AC278" i="1"/>
  <c r="AD278" i="1"/>
  <c r="AF278" i="1"/>
  <c r="AG278" i="1"/>
  <c r="AA279" i="1"/>
  <c r="AB279" i="1"/>
  <c r="AC279" i="1"/>
  <c r="AD279" i="1"/>
  <c r="AF279" i="1"/>
  <c r="AG279" i="1"/>
  <c r="AA282" i="1"/>
  <c r="AB282" i="1"/>
  <c r="AC282" i="1"/>
  <c r="AD282" i="1"/>
  <c r="AF282" i="1"/>
  <c r="AG282" i="1"/>
  <c r="AA283" i="1"/>
  <c r="AB283" i="1"/>
  <c r="AC283" i="1"/>
  <c r="AD283" i="1"/>
  <c r="AF283" i="1"/>
  <c r="AG283" i="1"/>
  <c r="AA284" i="1"/>
  <c r="AB284" i="1"/>
  <c r="AC284" i="1"/>
  <c r="AD284" i="1"/>
  <c r="AF284" i="1"/>
  <c r="AH284" i="1" s="1"/>
  <c r="AG284" i="1"/>
  <c r="AA294" i="1"/>
  <c r="AB294" i="1"/>
  <c r="AC294" i="1"/>
  <c r="AD294" i="1"/>
  <c r="AF294" i="1"/>
  <c r="AG294" i="1"/>
  <c r="AA302" i="1"/>
  <c r="AB302" i="1"/>
  <c r="AC302" i="1"/>
  <c r="AD302" i="1"/>
  <c r="AF302" i="1"/>
  <c r="AH302" i="1" s="1"/>
  <c r="AG302" i="1"/>
  <c r="AA316" i="1"/>
  <c r="AB316" i="1"/>
  <c r="AC316" i="1"/>
  <c r="AD316" i="1"/>
  <c r="AF316" i="1"/>
  <c r="AH316" i="1" s="1"/>
  <c r="AG316" i="1"/>
  <c r="AA317" i="1"/>
  <c r="AB317" i="1"/>
  <c r="AC317" i="1"/>
  <c r="AD317" i="1"/>
  <c r="AF317" i="1"/>
  <c r="AI317" i="1" s="1"/>
  <c r="AG317" i="1"/>
  <c r="AA318" i="1"/>
  <c r="AB318" i="1"/>
  <c r="AC318" i="1"/>
  <c r="AD318" i="1"/>
  <c r="AF318" i="1"/>
  <c r="AI318" i="1" s="1"/>
  <c r="AG318" i="1"/>
  <c r="AA319" i="1"/>
  <c r="AB319" i="1"/>
  <c r="AC319" i="1"/>
  <c r="AD319" i="1"/>
  <c r="AF319" i="1"/>
  <c r="AG319" i="1"/>
  <c r="I77" i="6"/>
  <c r="I76" i="6"/>
  <c r="I75" i="6"/>
  <c r="I74" i="6"/>
  <c r="Y56" i="1" l="1"/>
  <c r="Y55" i="1"/>
  <c r="Y341" i="1"/>
  <c r="Y8" i="1"/>
  <c r="Y57" i="1"/>
  <c r="Y9" i="1"/>
  <c r="Y54" i="1"/>
  <c r="Y340" i="1"/>
  <c r="Y35" i="1"/>
  <c r="Y36" i="1"/>
  <c r="S278" i="10"/>
  <c r="R284" i="10"/>
  <c r="T283" i="10"/>
  <c r="R282" i="10"/>
  <c r="T279" i="10"/>
  <c r="R278" i="10"/>
  <c r="T276" i="10"/>
  <c r="Q283" i="10"/>
  <c r="Q279" i="10"/>
  <c r="Q284" i="10"/>
  <c r="S283" i="10"/>
  <c r="Q282" i="10"/>
  <c r="S279" i="10"/>
  <c r="Q278" i="10"/>
  <c r="S276" i="10"/>
  <c r="S284" i="10"/>
  <c r="S282" i="10"/>
  <c r="Q276" i="10"/>
  <c r="T284" i="10"/>
  <c r="R283" i="10"/>
  <c r="T282" i="10"/>
  <c r="R279" i="10"/>
  <c r="T278" i="10"/>
  <c r="R276" i="10"/>
  <c r="AH124" i="1"/>
  <c r="AI66" i="1"/>
  <c r="AH69" i="1"/>
  <c r="AH141" i="1"/>
  <c r="AH222" i="1"/>
  <c r="AI241" i="1"/>
  <c r="AH214" i="1"/>
  <c r="AI91" i="1"/>
  <c r="AH46" i="1"/>
  <c r="AH318" i="1"/>
  <c r="AH92" i="1"/>
  <c r="AI87" i="1"/>
  <c r="AH154" i="1"/>
  <c r="AI85" i="1"/>
  <c r="AI128" i="1"/>
  <c r="AH77" i="1"/>
  <c r="AI62" i="1"/>
  <c r="AH42" i="1"/>
  <c r="AH272" i="1"/>
  <c r="AI28" i="1"/>
  <c r="AI9" i="1"/>
  <c r="AI8" i="1"/>
  <c r="AI302" i="1"/>
  <c r="AI217" i="1"/>
  <c r="AH210" i="1"/>
  <c r="AI120" i="1"/>
  <c r="AI89" i="1"/>
  <c r="AI88" i="1"/>
  <c r="AI81" i="1"/>
  <c r="AI6" i="1"/>
  <c r="AH230" i="1"/>
  <c r="AH206" i="1"/>
  <c r="AH173" i="1"/>
  <c r="AH129" i="1"/>
  <c r="AI84" i="1"/>
  <c r="AI61" i="1"/>
  <c r="AI275" i="1"/>
  <c r="AI225" i="1"/>
  <c r="AH218" i="1"/>
  <c r="AI284" i="1"/>
  <c r="AH276" i="1"/>
  <c r="AI235" i="1"/>
  <c r="AH226" i="1"/>
  <c r="AI76" i="1"/>
  <c r="AI68" i="1"/>
  <c r="AH50" i="1"/>
  <c r="AI199" i="1"/>
  <c r="AH199" i="1"/>
  <c r="AH269" i="1"/>
  <c r="AI269" i="1"/>
  <c r="AH250" i="1"/>
  <c r="AI250" i="1"/>
  <c r="AH239" i="1"/>
  <c r="AI239" i="1"/>
  <c r="AH229" i="1"/>
  <c r="AI229" i="1"/>
  <c r="AH221" i="1"/>
  <c r="AI221" i="1"/>
  <c r="AH22" i="1"/>
  <c r="AI22" i="1"/>
  <c r="AI319" i="1"/>
  <c r="AH319" i="1"/>
  <c r="AH283" i="1"/>
  <c r="AI283" i="1"/>
  <c r="AH234" i="1"/>
  <c r="AI234" i="1"/>
  <c r="AH224" i="1"/>
  <c r="AI224" i="1"/>
  <c r="AH212" i="1"/>
  <c r="AI212" i="1"/>
  <c r="AH279" i="1"/>
  <c r="AI279" i="1"/>
  <c r="AH248" i="1"/>
  <c r="AI248" i="1"/>
  <c r="AH238" i="1"/>
  <c r="AI238" i="1"/>
  <c r="AH228" i="1"/>
  <c r="AI228" i="1"/>
  <c r="AH220" i="1"/>
  <c r="AI220" i="1"/>
  <c r="AH203" i="1"/>
  <c r="AI203" i="1"/>
  <c r="AI198" i="1"/>
  <c r="AH198" i="1"/>
  <c r="AH216" i="1"/>
  <c r="AI216" i="1"/>
  <c r="AH26" i="1"/>
  <c r="AI26" i="1"/>
  <c r="AH55" i="1"/>
  <c r="AI55" i="1"/>
  <c r="AH132" i="1"/>
  <c r="AI132" i="1"/>
  <c r="AI133" i="1"/>
  <c r="AH133" i="1"/>
  <c r="AI121" i="1"/>
  <c r="AH121" i="1"/>
  <c r="AH60" i="1"/>
  <c r="AI60" i="1"/>
  <c r="AH54" i="1"/>
  <c r="AI54" i="1"/>
  <c r="AH23" i="1"/>
  <c r="AI23" i="1"/>
  <c r="AH75" i="1"/>
  <c r="AI75" i="1"/>
  <c r="AH162" i="1"/>
  <c r="AI105" i="1"/>
  <c r="AH101" i="1"/>
  <c r="AI101" i="1"/>
  <c r="AH93" i="1"/>
  <c r="AI93" i="1"/>
  <c r="AI58" i="1"/>
  <c r="AH51" i="1"/>
  <c r="AI51" i="1"/>
  <c r="AH43" i="1"/>
  <c r="AI43" i="1"/>
  <c r="AI27" i="1"/>
  <c r="AH15" i="1"/>
  <c r="AI15" i="1"/>
  <c r="AH164" i="1"/>
  <c r="AI164" i="1"/>
  <c r="AH237" i="1"/>
  <c r="AI237" i="1"/>
  <c r="AH317" i="1"/>
  <c r="AI316" i="1"/>
  <c r="AH158" i="1"/>
  <c r="AI158" i="1"/>
  <c r="AH136" i="1"/>
  <c r="AI136" i="1"/>
  <c r="AH90" i="1"/>
  <c r="AI90" i="1"/>
  <c r="AH67" i="1"/>
  <c r="AI67" i="1"/>
  <c r="AH45" i="1"/>
  <c r="AI45" i="1"/>
  <c r="AH140" i="1"/>
  <c r="AI140" i="1"/>
  <c r="AH123" i="1"/>
  <c r="AI123" i="1"/>
  <c r="AH294" i="1"/>
  <c r="AI294" i="1"/>
  <c r="AH282" i="1"/>
  <c r="AI282" i="1"/>
  <c r="AH278" i="1"/>
  <c r="AI278" i="1"/>
  <c r="AH261" i="1"/>
  <c r="AI261" i="1"/>
  <c r="AH257" i="1"/>
  <c r="AI257" i="1"/>
  <c r="AH233" i="1"/>
  <c r="AI233" i="1"/>
  <c r="AH223" i="1"/>
  <c r="AI223" i="1"/>
  <c r="AH219" i="1"/>
  <c r="AI219" i="1"/>
  <c r="AH201" i="1"/>
  <c r="AI201" i="1"/>
  <c r="AH174" i="1"/>
  <c r="AI174" i="1"/>
  <c r="AH168" i="1"/>
  <c r="AI168" i="1"/>
  <c r="AH127" i="1"/>
  <c r="AI127" i="1"/>
  <c r="AH106" i="1"/>
  <c r="AI106" i="1"/>
  <c r="AH79" i="1"/>
  <c r="AI79" i="1"/>
  <c r="AH74" i="1"/>
  <c r="AI74" i="1"/>
  <c r="AH59" i="1"/>
  <c r="AI59" i="1"/>
  <c r="AI30" i="1"/>
  <c r="AH25" i="1"/>
  <c r="AI25" i="1"/>
  <c r="AH153" i="1"/>
  <c r="AI153" i="1"/>
  <c r="AH131" i="1"/>
  <c r="AI131" i="1"/>
  <c r="AH102" i="1"/>
  <c r="AI102" i="1"/>
  <c r="AH86" i="1"/>
  <c r="AI86" i="1"/>
  <c r="AI83" i="1"/>
  <c r="AH64" i="1"/>
  <c r="AI64" i="1"/>
  <c r="AH52" i="1"/>
  <c r="AI52" i="1"/>
  <c r="AI49" i="1"/>
  <c r="AH7" i="1"/>
  <c r="AI7" i="1"/>
  <c r="AH48" i="1"/>
  <c r="AI48" i="1"/>
  <c r="AH16" i="1"/>
  <c r="AI16" i="1"/>
  <c r="AH156" i="1"/>
  <c r="AI156" i="1"/>
  <c r="AH147" i="1"/>
  <c r="AI147" i="1"/>
  <c r="AH134" i="1"/>
  <c r="AI134" i="1"/>
  <c r="AH130" i="1"/>
  <c r="AI130" i="1"/>
  <c r="AH126" i="1"/>
  <c r="AI126" i="1"/>
  <c r="AH122" i="1"/>
  <c r="AI122" i="1"/>
  <c r="AH94" i="1"/>
  <c r="AI94" i="1"/>
  <c r="AH78" i="1"/>
  <c r="AI78" i="1"/>
  <c r="AH63" i="1"/>
  <c r="AI63" i="1"/>
  <c r="AH44" i="1"/>
  <c r="AI44" i="1"/>
  <c r="AD5" i="1"/>
  <c r="AC5" i="1"/>
  <c r="AB5" i="1"/>
  <c r="AA5" i="1"/>
  <c r="I137" i="8" l="1"/>
  <c r="K137" i="8" s="1"/>
  <c r="B329" i="37" l="1"/>
  <c r="C329" i="37"/>
  <c r="B330" i="37"/>
  <c r="C330" i="37"/>
  <c r="B331" i="37"/>
  <c r="C331" i="37"/>
  <c r="B332" i="37"/>
  <c r="C332" i="37"/>
  <c r="B333" i="37"/>
  <c r="C333" i="37"/>
  <c r="B334" i="37"/>
  <c r="C334" i="37"/>
  <c r="B335" i="37"/>
  <c r="C335" i="37"/>
  <c r="B336" i="37"/>
  <c r="C336" i="37"/>
  <c r="B337" i="37"/>
  <c r="C337" i="37"/>
  <c r="B338" i="37"/>
  <c r="C338" i="37"/>
  <c r="B339" i="37"/>
  <c r="C339" i="37"/>
  <c r="B340" i="37"/>
  <c r="C340" i="37"/>
  <c r="B341" i="37"/>
  <c r="C341" i="37"/>
  <c r="B342" i="37"/>
  <c r="C342" i="37"/>
  <c r="B343" i="37"/>
  <c r="C343" i="37"/>
  <c r="B344" i="37"/>
  <c r="C344" i="37"/>
  <c r="B345" i="37"/>
  <c r="C345" i="37"/>
  <c r="B346" i="37"/>
  <c r="C346" i="37"/>
  <c r="B347" i="37"/>
  <c r="C347" i="37"/>
  <c r="B348" i="37"/>
  <c r="C348" i="37"/>
  <c r="B349" i="37"/>
  <c r="C349" i="37"/>
  <c r="B350" i="37"/>
  <c r="C350" i="37"/>
  <c r="B351" i="37"/>
  <c r="C351" i="37"/>
  <c r="B352" i="37"/>
  <c r="C352" i="37"/>
  <c r="B353" i="37"/>
  <c r="C353" i="37"/>
  <c r="B354" i="37"/>
  <c r="C354" i="37"/>
  <c r="B355" i="37"/>
  <c r="C355" i="37"/>
  <c r="B356" i="37"/>
  <c r="C356" i="37"/>
  <c r="B357" i="37"/>
  <c r="C357" i="37"/>
  <c r="B358" i="37"/>
  <c r="C358" i="37"/>
  <c r="B359" i="37"/>
  <c r="C359" i="37"/>
  <c r="B360" i="37"/>
  <c r="C360" i="37"/>
  <c r="B361" i="37"/>
  <c r="C361" i="37"/>
  <c r="B362" i="37"/>
  <c r="C362" i="37"/>
  <c r="B363" i="37"/>
  <c r="C363" i="37"/>
  <c r="B364" i="37"/>
  <c r="C364" i="37"/>
  <c r="B365" i="37"/>
  <c r="C365" i="37"/>
  <c r="B366" i="37"/>
  <c r="C366" i="37"/>
  <c r="B367" i="37"/>
  <c r="C367" i="37"/>
  <c r="B368" i="37"/>
  <c r="C368" i="37"/>
  <c r="B369" i="37"/>
  <c r="C369" i="37"/>
  <c r="B370" i="37"/>
  <c r="C370" i="37"/>
  <c r="B371" i="37"/>
  <c r="C371" i="37"/>
  <c r="B372" i="37"/>
  <c r="C372" i="37"/>
  <c r="B373" i="37"/>
  <c r="C373" i="37"/>
  <c r="B374" i="37"/>
  <c r="C374" i="37"/>
  <c r="B375" i="37"/>
  <c r="C375" i="37"/>
  <c r="B376" i="37"/>
  <c r="C376" i="37"/>
  <c r="B377" i="37"/>
  <c r="C377" i="37"/>
  <c r="B378" i="37"/>
  <c r="C378" i="37"/>
  <c r="B379" i="37"/>
  <c r="C379" i="37"/>
  <c r="B380" i="37"/>
  <c r="C380" i="37"/>
  <c r="B381" i="37"/>
  <c r="C381" i="37"/>
  <c r="B382" i="37"/>
  <c r="C382" i="37"/>
  <c r="B383" i="37"/>
  <c r="C383" i="37"/>
  <c r="B384" i="37"/>
  <c r="C384" i="37"/>
  <c r="B385" i="37"/>
  <c r="C385" i="37"/>
  <c r="B386" i="37"/>
  <c r="C386" i="37"/>
  <c r="B387" i="37"/>
  <c r="C387" i="37"/>
  <c r="B388" i="37"/>
  <c r="C388" i="37"/>
  <c r="B389" i="37"/>
  <c r="C389" i="37"/>
  <c r="B390" i="37"/>
  <c r="C390" i="37"/>
  <c r="B391" i="37"/>
  <c r="C391" i="37"/>
  <c r="B392" i="37"/>
  <c r="C392" i="37"/>
  <c r="B393" i="37"/>
  <c r="C393" i="37"/>
  <c r="B394" i="37"/>
  <c r="C394" i="37"/>
  <c r="B395" i="37"/>
  <c r="C395" i="37"/>
  <c r="B396" i="37"/>
  <c r="C396" i="37"/>
  <c r="B397" i="37"/>
  <c r="C397" i="37"/>
  <c r="B398" i="37"/>
  <c r="C398" i="37"/>
  <c r="B399" i="37"/>
  <c r="C399" i="37"/>
  <c r="B400" i="37"/>
  <c r="C400" i="37"/>
  <c r="B401" i="37"/>
  <c r="C401" i="37"/>
  <c r="B402" i="37"/>
  <c r="C402" i="37"/>
  <c r="B403" i="37"/>
  <c r="C403" i="37"/>
  <c r="B404" i="37"/>
  <c r="C404" i="37"/>
  <c r="B405" i="37"/>
  <c r="C405" i="37"/>
  <c r="B406" i="37"/>
  <c r="C406" i="37"/>
  <c r="B407" i="37"/>
  <c r="C407" i="37"/>
  <c r="B408" i="37"/>
  <c r="C408" i="37"/>
  <c r="B409" i="37"/>
  <c r="C409" i="37"/>
  <c r="B410" i="37"/>
  <c r="C410" i="37"/>
  <c r="B411" i="37"/>
  <c r="C411" i="37"/>
  <c r="B412" i="37"/>
  <c r="C412" i="37"/>
  <c r="B413" i="37"/>
  <c r="C413" i="37"/>
  <c r="B414" i="37"/>
  <c r="C414" i="37"/>
  <c r="B415" i="37"/>
  <c r="C415" i="37"/>
  <c r="B416" i="37"/>
  <c r="C416" i="37"/>
  <c r="B417" i="37"/>
  <c r="C417" i="37"/>
  <c r="B418" i="37"/>
  <c r="C418" i="37"/>
  <c r="B419" i="37"/>
  <c r="C419" i="37"/>
  <c r="B420" i="37"/>
  <c r="C420" i="37"/>
  <c r="B421" i="37"/>
  <c r="C421" i="37"/>
  <c r="B422" i="37"/>
  <c r="C422" i="37"/>
  <c r="B423" i="37"/>
  <c r="C423" i="37"/>
  <c r="B424" i="37"/>
  <c r="C424" i="37"/>
  <c r="B425" i="37"/>
  <c r="C425" i="37"/>
  <c r="B426" i="37"/>
  <c r="C426" i="37"/>
  <c r="B427" i="37"/>
  <c r="C427" i="37"/>
  <c r="B428" i="37"/>
  <c r="C428" i="37"/>
  <c r="B429" i="37"/>
  <c r="C429" i="37"/>
  <c r="B430" i="37"/>
  <c r="C430" i="37"/>
  <c r="B431" i="37"/>
  <c r="C431" i="37"/>
  <c r="B432" i="37"/>
  <c r="C432" i="37"/>
  <c r="B433" i="37"/>
  <c r="C433" i="37"/>
  <c r="B434" i="37"/>
  <c r="C434" i="37"/>
  <c r="B435" i="37"/>
  <c r="C435" i="37"/>
  <c r="B436" i="37"/>
  <c r="C436" i="37"/>
  <c r="B437" i="37"/>
  <c r="C437" i="37"/>
  <c r="B438" i="37"/>
  <c r="C438" i="37"/>
  <c r="B439" i="37"/>
  <c r="C439" i="37"/>
  <c r="B440" i="37"/>
  <c r="C440" i="37"/>
  <c r="B441" i="37"/>
  <c r="C441" i="37"/>
  <c r="B442" i="37"/>
  <c r="C442" i="37"/>
  <c r="B443" i="37"/>
  <c r="C443" i="37"/>
  <c r="B444" i="37"/>
  <c r="C444" i="37"/>
  <c r="B445" i="37"/>
  <c r="C445" i="37"/>
  <c r="B446" i="37"/>
  <c r="C446" i="37"/>
  <c r="B447" i="37"/>
  <c r="C447" i="37"/>
  <c r="B448" i="37"/>
  <c r="C448" i="37"/>
  <c r="B449" i="37"/>
  <c r="C449" i="37"/>
  <c r="B450" i="37"/>
  <c r="C450" i="37"/>
  <c r="B451" i="37"/>
  <c r="C451" i="37"/>
  <c r="B452" i="37"/>
  <c r="C452" i="37"/>
  <c r="B453" i="37"/>
  <c r="C453" i="37"/>
  <c r="B454" i="37"/>
  <c r="C454" i="37"/>
  <c r="B455" i="37"/>
  <c r="C455" i="37"/>
  <c r="B456" i="37"/>
  <c r="C456" i="37"/>
  <c r="B457" i="37"/>
  <c r="C457" i="37"/>
  <c r="B458" i="37"/>
  <c r="C458" i="37"/>
  <c r="B459" i="37"/>
  <c r="C459" i="37"/>
  <c r="B460" i="37"/>
  <c r="C460" i="37"/>
  <c r="B461" i="37"/>
  <c r="C461" i="37"/>
  <c r="B462" i="37"/>
  <c r="C462" i="37"/>
  <c r="B463" i="37"/>
  <c r="C463" i="37"/>
  <c r="B464" i="37"/>
  <c r="C464" i="37"/>
  <c r="B465" i="37"/>
  <c r="C465" i="37"/>
  <c r="B466" i="37"/>
  <c r="C466" i="37"/>
  <c r="B467" i="37"/>
  <c r="C467" i="37"/>
  <c r="B468" i="37"/>
  <c r="C468" i="37"/>
  <c r="B469" i="37"/>
  <c r="C469" i="37"/>
  <c r="B470" i="37"/>
  <c r="C470" i="37"/>
  <c r="B471" i="37"/>
  <c r="C471" i="37"/>
  <c r="B472" i="37"/>
  <c r="C472" i="37"/>
  <c r="B473" i="37"/>
  <c r="C473" i="37"/>
  <c r="B474" i="37"/>
  <c r="C474" i="37"/>
  <c r="B475" i="37"/>
  <c r="C475" i="37"/>
  <c r="B476" i="37"/>
  <c r="C476" i="37"/>
  <c r="B477" i="37"/>
  <c r="C477" i="37"/>
  <c r="B478" i="37"/>
  <c r="C478" i="37"/>
  <c r="B479" i="37"/>
  <c r="C479" i="37"/>
  <c r="B480" i="37"/>
  <c r="C480" i="37"/>
  <c r="B481" i="37"/>
  <c r="C481" i="37"/>
  <c r="B482" i="37"/>
  <c r="C482" i="37"/>
  <c r="B483" i="37"/>
  <c r="C483" i="37"/>
  <c r="B484" i="37"/>
  <c r="C484" i="37"/>
  <c r="B485" i="37"/>
  <c r="C485" i="37"/>
  <c r="B486" i="37"/>
  <c r="C486" i="37"/>
  <c r="B487" i="37"/>
  <c r="C487" i="37"/>
  <c r="B488" i="37"/>
  <c r="C488" i="37"/>
  <c r="B489" i="37"/>
  <c r="C489" i="37"/>
  <c r="B490" i="37"/>
  <c r="C490" i="37"/>
  <c r="B491" i="37"/>
  <c r="C491" i="37"/>
  <c r="B492" i="37"/>
  <c r="C492" i="37"/>
  <c r="B493" i="37"/>
  <c r="C493" i="37"/>
  <c r="B494" i="37"/>
  <c r="C494" i="37"/>
  <c r="B495" i="37"/>
  <c r="C495" i="37"/>
  <c r="B496" i="37"/>
  <c r="C496" i="37"/>
  <c r="B497" i="37"/>
  <c r="C497" i="37"/>
  <c r="B498" i="37"/>
  <c r="C498" i="37"/>
  <c r="B499" i="37"/>
  <c r="C499" i="37"/>
  <c r="B500" i="37"/>
  <c r="C500" i="37"/>
  <c r="B501" i="37"/>
  <c r="C501" i="37"/>
  <c r="B502" i="37"/>
  <c r="C502" i="37"/>
  <c r="B503" i="37"/>
  <c r="C503" i="37"/>
  <c r="B504" i="37"/>
  <c r="C504" i="37"/>
  <c r="B505" i="37"/>
  <c r="C505" i="37"/>
  <c r="B506" i="37"/>
  <c r="C506" i="37"/>
  <c r="B507" i="37"/>
  <c r="C507" i="37"/>
  <c r="B508" i="37"/>
  <c r="C508" i="37"/>
  <c r="B509" i="37"/>
  <c r="C509" i="37"/>
  <c r="B510" i="37"/>
  <c r="C510" i="37"/>
  <c r="B511" i="37"/>
  <c r="C511" i="37"/>
  <c r="B512" i="37"/>
  <c r="C512" i="37"/>
  <c r="B513" i="37"/>
  <c r="C513" i="37"/>
  <c r="B514" i="37"/>
  <c r="C514" i="37"/>
  <c r="B515" i="37"/>
  <c r="C515" i="37"/>
  <c r="B516" i="37"/>
  <c r="C516" i="37"/>
  <c r="B517" i="37"/>
  <c r="C517" i="37"/>
  <c r="B518" i="37"/>
  <c r="C518" i="37"/>
  <c r="B519" i="37"/>
  <c r="C519" i="37"/>
  <c r="B520" i="37"/>
  <c r="C520" i="37"/>
  <c r="B521" i="37"/>
  <c r="C521" i="37"/>
  <c r="B522" i="37"/>
  <c r="C522" i="37"/>
  <c r="B523" i="37"/>
  <c r="C523" i="37"/>
  <c r="B524" i="37"/>
  <c r="C524" i="37"/>
  <c r="B525" i="37"/>
  <c r="C525" i="37"/>
  <c r="B526" i="37"/>
  <c r="C526" i="37"/>
  <c r="B527" i="37"/>
  <c r="C527" i="37"/>
  <c r="B528" i="37"/>
  <c r="C528" i="37"/>
  <c r="B529" i="37"/>
  <c r="C529" i="37"/>
  <c r="B530" i="37"/>
  <c r="C530" i="37"/>
  <c r="B531" i="37"/>
  <c r="C531" i="37"/>
  <c r="B532" i="37"/>
  <c r="C532" i="37"/>
  <c r="B533" i="37"/>
  <c r="C533" i="37"/>
  <c r="B534" i="37"/>
  <c r="C534" i="37"/>
  <c r="B535" i="37"/>
  <c r="C535" i="37"/>
  <c r="B536" i="37"/>
  <c r="C536" i="37"/>
  <c r="B537" i="37"/>
  <c r="C537" i="37"/>
  <c r="B538" i="37"/>
  <c r="C538" i="37"/>
  <c r="B539" i="37"/>
  <c r="C539" i="37"/>
  <c r="B540" i="37"/>
  <c r="C540" i="37"/>
  <c r="B541" i="37"/>
  <c r="C541" i="37"/>
  <c r="B542" i="37"/>
  <c r="C542" i="37"/>
  <c r="B543" i="37"/>
  <c r="C543" i="37"/>
  <c r="B544" i="37"/>
  <c r="C544" i="37"/>
  <c r="B545" i="37"/>
  <c r="C545" i="37"/>
  <c r="B546" i="37"/>
  <c r="C546" i="37"/>
  <c r="B547" i="37"/>
  <c r="C547" i="37"/>
  <c r="B548" i="37"/>
  <c r="C548" i="37"/>
  <c r="B549" i="37"/>
  <c r="C549" i="37"/>
  <c r="B550" i="37"/>
  <c r="C550" i="37"/>
  <c r="B551" i="37"/>
  <c r="C551" i="37"/>
  <c r="B552" i="37"/>
  <c r="C552" i="37"/>
  <c r="B553" i="37"/>
  <c r="C553" i="37"/>
  <c r="B554" i="37"/>
  <c r="C554" i="37"/>
  <c r="B555" i="37"/>
  <c r="C555" i="37"/>
  <c r="B556" i="37"/>
  <c r="C556" i="37"/>
  <c r="B557" i="37"/>
  <c r="C557" i="37"/>
  <c r="B558" i="37"/>
  <c r="C558" i="37"/>
  <c r="B559" i="37"/>
  <c r="C559" i="37"/>
  <c r="B560" i="37"/>
  <c r="C560" i="37"/>
  <c r="B561" i="37"/>
  <c r="C561" i="37"/>
  <c r="B562" i="37"/>
  <c r="C562" i="37"/>
  <c r="B563" i="37"/>
  <c r="C563" i="37"/>
  <c r="B564" i="37"/>
  <c r="C564" i="37"/>
  <c r="C328" i="37"/>
  <c r="B328" i="37"/>
  <c r="C300" i="37"/>
  <c r="C299" i="37"/>
  <c r="C298" i="37"/>
  <c r="C297" i="37"/>
  <c r="C296" i="37"/>
  <c r="C295" i="37"/>
  <c r="C294" i="37"/>
  <c r="C293" i="37"/>
  <c r="C292" i="37"/>
  <c r="C291" i="37"/>
  <c r="C290" i="37"/>
  <c r="C289" i="37"/>
  <c r="C288" i="37"/>
  <c r="C287" i="37"/>
  <c r="C286" i="37"/>
  <c r="C285" i="37"/>
  <c r="C284" i="37"/>
  <c r="C283" i="37"/>
  <c r="C282" i="37"/>
  <c r="C281" i="37"/>
  <c r="C280" i="37"/>
  <c r="C279" i="37"/>
  <c r="C278" i="37"/>
  <c r="C277" i="37"/>
  <c r="C276" i="37"/>
  <c r="C275" i="37"/>
  <c r="C274" i="37"/>
  <c r="C273" i="37"/>
  <c r="C272" i="37"/>
  <c r="C271" i="37"/>
  <c r="C270" i="37"/>
  <c r="C269" i="37"/>
  <c r="C268" i="37"/>
  <c r="C267" i="37"/>
  <c r="C266" i="37"/>
  <c r="C265" i="37"/>
  <c r="C264" i="37"/>
  <c r="C263" i="37"/>
  <c r="C262" i="37"/>
  <c r="C261" i="37"/>
  <c r="C260" i="37"/>
  <c r="C259" i="37"/>
  <c r="C258" i="37"/>
  <c r="C257" i="37"/>
  <c r="C256" i="37"/>
  <c r="C255" i="37"/>
  <c r="C254" i="37"/>
  <c r="C253" i="37"/>
  <c r="C252" i="37"/>
  <c r="C251" i="37"/>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C99" i="37"/>
  <c r="C98" i="37"/>
  <c r="C97" i="37"/>
  <c r="C96" i="37"/>
  <c r="C95" i="37"/>
  <c r="C94" i="37"/>
  <c r="C93" i="37"/>
  <c r="C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C4" i="37"/>
  <c r="C3" i="37"/>
  <c r="B4" i="37"/>
  <c r="B5" i="37"/>
  <c r="B6"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 i="37"/>
  <c r="A3" i="37"/>
  <c r="A564" i="37"/>
  <c r="A563" i="37"/>
  <c r="A562" i="37"/>
  <c r="A561" i="37"/>
  <c r="A560" i="37"/>
  <c r="A559" i="37"/>
  <c r="A558" i="37"/>
  <c r="A557" i="37"/>
  <c r="A556" i="37"/>
  <c r="A555" i="37"/>
  <c r="A554" i="37"/>
  <c r="A553" i="37"/>
  <c r="A552" i="37"/>
  <c r="A551" i="37"/>
  <c r="A550" i="37"/>
  <c r="A549" i="37"/>
  <c r="A548" i="37"/>
  <c r="A547" i="37"/>
  <c r="A546" i="37"/>
  <c r="A545" i="37"/>
  <c r="A544" i="37"/>
  <c r="A543" i="37"/>
  <c r="A542" i="37"/>
  <c r="A541" i="37"/>
  <c r="A540" i="37"/>
  <c r="A539" i="37"/>
  <c r="A538" i="37"/>
  <c r="A537" i="37"/>
  <c r="A536" i="37"/>
  <c r="A535" i="37"/>
  <c r="A534" i="37"/>
  <c r="A533" i="37"/>
  <c r="A532" i="37"/>
  <c r="A531" i="37"/>
  <c r="A530" i="37"/>
  <c r="A529" i="37"/>
  <c r="A528" i="37"/>
  <c r="A527" i="37"/>
  <c r="A526" i="37"/>
  <c r="A525" i="37"/>
  <c r="A524" i="37"/>
  <c r="A523" i="37"/>
  <c r="A522" i="37"/>
  <c r="A521" i="37"/>
  <c r="A520" i="37"/>
  <c r="A519" i="37"/>
  <c r="A518" i="37"/>
  <c r="A517" i="37"/>
  <c r="A516" i="37"/>
  <c r="A515" i="37"/>
  <c r="A514" i="37"/>
  <c r="A513" i="37"/>
  <c r="A512" i="37"/>
  <c r="A511" i="37"/>
  <c r="A510" i="37"/>
  <c r="A509" i="37"/>
  <c r="A508" i="37"/>
  <c r="A507" i="37"/>
  <c r="A506" i="37"/>
  <c r="A505" i="37"/>
  <c r="A504" i="37"/>
  <c r="A503" i="37"/>
  <c r="A502" i="37"/>
  <c r="A501" i="37"/>
  <c r="A500" i="37"/>
  <c r="A499" i="37"/>
  <c r="A498" i="37"/>
  <c r="A497" i="37"/>
  <c r="A496" i="37"/>
  <c r="A495" i="37"/>
  <c r="A494" i="37"/>
  <c r="A493" i="37"/>
  <c r="A492" i="37"/>
  <c r="A491" i="37"/>
  <c r="A490" i="37"/>
  <c r="A489" i="37"/>
  <c r="A488" i="37"/>
  <c r="A487" i="37"/>
  <c r="A486" i="37"/>
  <c r="A485" i="37"/>
  <c r="A484" i="37"/>
  <c r="A483" i="37"/>
  <c r="A482" i="37"/>
  <c r="A481" i="37"/>
  <c r="A480" i="37"/>
  <c r="A479" i="37"/>
  <c r="A478" i="37"/>
  <c r="A477" i="37"/>
  <c r="A476" i="37"/>
  <c r="A475" i="37"/>
  <c r="A474" i="37"/>
  <c r="A473" i="37"/>
  <c r="A472" i="37"/>
  <c r="A471" i="37"/>
  <c r="A470" i="37"/>
  <c r="A469" i="37"/>
  <c r="A468" i="37"/>
  <c r="A467" i="37"/>
  <c r="A466" i="37"/>
  <c r="A465" i="37"/>
  <c r="A464" i="37"/>
  <c r="A463" i="37"/>
  <c r="A462" i="37"/>
  <c r="A461" i="37"/>
  <c r="A460" i="37"/>
  <c r="A459" i="37"/>
  <c r="A458" i="37"/>
  <c r="A457" i="37"/>
  <c r="A456" i="37"/>
  <c r="A455" i="37"/>
  <c r="A454" i="37"/>
  <c r="A453" i="37"/>
  <c r="A452" i="37"/>
  <c r="A451" i="37"/>
  <c r="A450" i="37"/>
  <c r="A449" i="37"/>
  <c r="A448" i="37"/>
  <c r="A447" i="37"/>
  <c r="A446" i="37"/>
  <c r="A445" i="37"/>
  <c r="A444" i="37"/>
  <c r="A443" i="37"/>
  <c r="A442" i="37"/>
  <c r="A441" i="37"/>
  <c r="A440" i="37"/>
  <c r="A439" i="37"/>
  <c r="A438" i="37"/>
  <c r="A437" i="37"/>
  <c r="A436" i="37"/>
  <c r="A435" i="37"/>
  <c r="A434" i="37"/>
  <c r="A433" i="37"/>
  <c r="A432" i="37"/>
  <c r="A431" i="37"/>
  <c r="A430" i="37"/>
  <c r="A429" i="37"/>
  <c r="A428" i="37"/>
  <c r="A427" i="37"/>
  <c r="A426" i="37"/>
  <c r="A425" i="37"/>
  <c r="A424" i="37"/>
  <c r="A423" i="37"/>
  <c r="A422" i="37"/>
  <c r="A421" i="37"/>
  <c r="A420" i="37"/>
  <c r="A419" i="37"/>
  <c r="A418" i="37"/>
  <c r="A417" i="37"/>
  <c r="A416" i="37"/>
  <c r="A415" i="37"/>
  <c r="A414" i="37"/>
  <c r="A413" i="37"/>
  <c r="A412" i="37"/>
  <c r="A411" i="37"/>
  <c r="A410" i="37"/>
  <c r="A409" i="37"/>
  <c r="A408" i="37"/>
  <c r="A407" i="37"/>
  <c r="A406" i="37"/>
  <c r="A405" i="37"/>
  <c r="A404" i="37"/>
  <c r="A403" i="37"/>
  <c r="A402" i="37"/>
  <c r="A401" i="37"/>
  <c r="A400" i="37"/>
  <c r="A399" i="37"/>
  <c r="A398" i="37"/>
  <c r="A397" i="37"/>
  <c r="A396" i="37"/>
  <c r="A395" i="37"/>
  <c r="A394" i="37"/>
  <c r="A393" i="37"/>
  <c r="A392" i="37"/>
  <c r="A391" i="37"/>
  <c r="A390" i="37"/>
  <c r="A389" i="37"/>
  <c r="A388" i="37"/>
  <c r="A387" i="37"/>
  <c r="A386" i="37"/>
  <c r="A385" i="37"/>
  <c r="A384" i="37"/>
  <c r="A383" i="37"/>
  <c r="A382" i="37"/>
  <c r="A381" i="37"/>
  <c r="A380" i="37"/>
  <c r="A379" i="37"/>
  <c r="A378" i="37"/>
  <c r="A377" i="37"/>
  <c r="A376" i="37"/>
  <c r="A375" i="37"/>
  <c r="A374" i="37"/>
  <c r="A373" i="37"/>
  <c r="A372" i="37"/>
  <c r="A371" i="37"/>
  <c r="A370" i="37"/>
  <c r="A369" i="37"/>
  <c r="A368" i="37"/>
  <c r="A367" i="37"/>
  <c r="A366" i="37"/>
  <c r="A365" i="37"/>
  <c r="A364" i="37"/>
  <c r="A363" i="37"/>
  <c r="A362" i="37"/>
  <c r="A361" i="37"/>
  <c r="A360" i="37"/>
  <c r="A359" i="37"/>
  <c r="A358" i="37"/>
  <c r="A357" i="37"/>
  <c r="A356" i="37"/>
  <c r="A355" i="37"/>
  <c r="A354" i="37"/>
  <c r="A353" i="37"/>
  <c r="A352" i="37"/>
  <c r="A351" i="37"/>
  <c r="A350" i="37"/>
  <c r="A349" i="37"/>
  <c r="A348" i="37"/>
  <c r="A347" i="37"/>
  <c r="A346" i="37"/>
  <c r="A345" i="37"/>
  <c r="A344" i="37"/>
  <c r="A343" i="37"/>
  <c r="A342" i="37"/>
  <c r="A341" i="37"/>
  <c r="A340" i="37"/>
  <c r="A339" i="37"/>
  <c r="A338" i="37"/>
  <c r="A337" i="37"/>
  <c r="A336" i="37"/>
  <c r="A335" i="37"/>
  <c r="A334" i="37"/>
  <c r="A333" i="37"/>
  <c r="A332" i="37"/>
  <c r="A331" i="37"/>
  <c r="A330" i="37"/>
  <c r="A329" i="37"/>
  <c r="A328" i="37"/>
  <c r="A300" i="37"/>
  <c r="A299" i="37"/>
  <c r="A298" i="37"/>
  <c r="A297" i="37"/>
  <c r="A296" i="37"/>
  <c r="A295" i="37"/>
  <c r="A294" i="37"/>
  <c r="A293" i="37"/>
  <c r="A292" i="37"/>
  <c r="A291" i="37"/>
  <c r="A290" i="37"/>
  <c r="A289" i="37"/>
  <c r="A288" i="37"/>
  <c r="A287" i="37"/>
  <c r="A286" i="37"/>
  <c r="A285" i="37"/>
  <c r="A284" i="37"/>
  <c r="A283" i="37"/>
  <c r="A282" i="37"/>
  <c r="A281" i="37"/>
  <c r="A280" i="37"/>
  <c r="A279" i="37"/>
  <c r="A278" i="37"/>
  <c r="A277" i="37"/>
  <c r="A276" i="37"/>
  <c r="A275" i="37"/>
  <c r="A274" i="37"/>
  <c r="A273" i="37"/>
  <c r="A272" i="37"/>
  <c r="A271" i="37"/>
  <c r="A270" i="37"/>
  <c r="A269" i="37"/>
  <c r="A268" i="37"/>
  <c r="A267" i="37"/>
  <c r="A266" i="37"/>
  <c r="A265" i="37"/>
  <c r="A264" i="37"/>
  <c r="A263" i="37"/>
  <c r="A262" i="37"/>
  <c r="A261" i="37"/>
  <c r="A260" i="37"/>
  <c r="A259" i="37"/>
  <c r="A258" i="37"/>
  <c r="A257" i="37"/>
  <c r="A256" i="37"/>
  <c r="A255" i="37"/>
  <c r="A254" i="37"/>
  <c r="A253" i="37"/>
  <c r="A252" i="37"/>
  <c r="A251" i="37"/>
  <c r="A250" i="37"/>
  <c r="A249" i="37"/>
  <c r="A248" i="37"/>
  <c r="A247" i="37"/>
  <c r="A246" i="37"/>
  <c r="A245" i="37"/>
  <c r="A244" i="37"/>
  <c r="A243" i="37"/>
  <c r="A242" i="37"/>
  <c r="A241" i="37"/>
  <c r="A240" i="37"/>
  <c r="A239" i="37"/>
  <c r="A238" i="37"/>
  <c r="A237" i="37"/>
  <c r="A236" i="37"/>
  <c r="A235" i="37"/>
  <c r="A234" i="37"/>
  <c r="A233" i="37"/>
  <c r="A232" i="37"/>
  <c r="A231" i="37"/>
  <c r="A230" i="37"/>
  <c r="A229" i="37"/>
  <c r="A228" i="37"/>
  <c r="A227" i="37"/>
  <c r="A226" i="37"/>
  <c r="A225" i="37"/>
  <c r="A224" i="37"/>
  <c r="A223" i="37"/>
  <c r="A222" i="37"/>
  <c r="A221" i="37"/>
  <c r="A220" i="37"/>
  <c r="A219" i="37"/>
  <c r="A218" i="37"/>
  <c r="A217" i="37"/>
  <c r="A216" i="37"/>
  <c r="A215" i="37"/>
  <c r="A214" i="37"/>
  <c r="A213" i="37"/>
  <c r="A212" i="37"/>
  <c r="A211" i="37"/>
  <c r="A210" i="37"/>
  <c r="A209" i="37"/>
  <c r="A208" i="37"/>
  <c r="A207" i="37"/>
  <c r="A206" i="37"/>
  <c r="A205" i="37"/>
  <c r="A204" i="37"/>
  <c r="A203" i="37"/>
  <c r="A202" i="3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F128" i="33" l="1"/>
  <c r="E128" i="33"/>
  <c r="F102" i="33"/>
  <c r="AT94" i="1" s="1"/>
  <c r="E102" i="33"/>
  <c r="AS94" i="1" s="1"/>
  <c r="F98" i="33"/>
  <c r="AT93" i="1" s="1"/>
  <c r="E98" i="33"/>
  <c r="AS93" i="1" s="1"/>
  <c r="F94" i="33"/>
  <c r="AT92" i="1" s="1"/>
  <c r="E94" i="33"/>
  <c r="AS92" i="1" s="1"/>
  <c r="F28" i="33"/>
  <c r="E5" i="10"/>
  <c r="AS337" i="1" l="1"/>
  <c r="AS349" i="1"/>
  <c r="AS336" i="1"/>
  <c r="AS338" i="1"/>
  <c r="AT337" i="1"/>
  <c r="AT349" i="1"/>
  <c r="AT336" i="1"/>
  <c r="AT338" i="1"/>
  <c r="AS30" i="1"/>
  <c r="AS32" i="1"/>
  <c r="AS31" i="1"/>
  <c r="AS33" i="1"/>
  <c r="AT50" i="1"/>
  <c r="AT52" i="1"/>
  <c r="AT51" i="1"/>
  <c r="AT53" i="1"/>
  <c r="AT32" i="1"/>
  <c r="AT30" i="1"/>
  <c r="AT31" i="1"/>
  <c r="AT33" i="1"/>
  <c r="D171" i="8"/>
  <c r="I166" i="8"/>
  <c r="K166" i="8" s="1"/>
  <c r="H166" i="8"/>
  <c r="G166" i="8"/>
  <c r="F166" i="8"/>
  <c r="E166" i="8"/>
  <c r="I165" i="8"/>
  <c r="K165" i="8" s="1"/>
  <c r="H165" i="8"/>
  <c r="G165" i="8"/>
  <c r="F165" i="8"/>
  <c r="E165" i="8"/>
  <c r="I164" i="8"/>
  <c r="K164" i="8" s="1"/>
  <c r="H164" i="8"/>
  <c r="G164" i="8"/>
  <c r="F164" i="8"/>
  <c r="E164" i="8"/>
  <c r="I163" i="8"/>
  <c r="K163" i="8" s="1"/>
  <c r="H163" i="8"/>
  <c r="G163" i="8"/>
  <c r="F163" i="8"/>
  <c r="E163" i="8"/>
  <c r="I162" i="8"/>
  <c r="K162" i="8" s="1"/>
  <c r="H162" i="8"/>
  <c r="G162" i="8"/>
  <c r="F162" i="8"/>
  <c r="E162" i="8"/>
  <c r="I161" i="8"/>
  <c r="K161" i="8" s="1"/>
  <c r="H161" i="8"/>
  <c r="G161" i="8"/>
  <c r="F161" i="8"/>
  <c r="E161" i="8"/>
  <c r="I160" i="8"/>
  <c r="K160" i="8" s="1"/>
  <c r="H160" i="8"/>
  <c r="G160" i="8"/>
  <c r="F160" i="8"/>
  <c r="E160" i="8"/>
  <c r="I159" i="8"/>
  <c r="K159" i="8" s="1"/>
  <c r="H159" i="8"/>
  <c r="G159" i="8"/>
  <c r="F159" i="8"/>
  <c r="E159" i="8"/>
  <c r="I158" i="8"/>
  <c r="K158" i="8" s="1"/>
  <c r="H158" i="8"/>
  <c r="G158" i="8"/>
  <c r="F158" i="8"/>
  <c r="E158" i="8"/>
  <c r="I157" i="8"/>
  <c r="K157" i="8" s="1"/>
  <c r="H157" i="8"/>
  <c r="G157" i="8"/>
  <c r="F157" i="8"/>
  <c r="E157" i="8"/>
  <c r="I156" i="8"/>
  <c r="K156" i="8" s="1"/>
  <c r="H156" i="8"/>
  <c r="G156" i="8"/>
  <c r="F156" i="8"/>
  <c r="E156" i="8"/>
  <c r="I155" i="8"/>
  <c r="K155" i="8" s="1"/>
  <c r="H155" i="8"/>
  <c r="G155" i="8"/>
  <c r="F155" i="8"/>
  <c r="E155" i="8"/>
  <c r="I154" i="8"/>
  <c r="K154" i="8" s="1"/>
  <c r="H154" i="8"/>
  <c r="G154" i="8"/>
  <c r="F154" i="8"/>
  <c r="E154" i="8"/>
  <c r="I153" i="8"/>
  <c r="K153" i="8" s="1"/>
  <c r="H153" i="8"/>
  <c r="G153" i="8"/>
  <c r="F153" i="8"/>
  <c r="E153" i="8"/>
  <c r="I152" i="8"/>
  <c r="K152" i="8" s="1"/>
  <c r="H152" i="8"/>
  <c r="G152" i="8"/>
  <c r="F152" i="8"/>
  <c r="E152" i="8"/>
  <c r="I151" i="8"/>
  <c r="K151" i="8" s="1"/>
  <c r="H151" i="8"/>
  <c r="G151" i="8"/>
  <c r="F151" i="8"/>
  <c r="E151" i="8"/>
  <c r="I150" i="8"/>
  <c r="K150" i="8" s="1"/>
  <c r="H150" i="8"/>
  <c r="G150" i="8"/>
  <c r="F150" i="8"/>
  <c r="E150" i="8"/>
  <c r="I149" i="8"/>
  <c r="K149" i="8" s="1"/>
  <c r="H149" i="8"/>
  <c r="G149" i="8"/>
  <c r="F149" i="8"/>
  <c r="E149" i="8"/>
  <c r="I148" i="8"/>
  <c r="K148" i="8" s="1"/>
  <c r="H148" i="8"/>
  <c r="G148" i="8"/>
  <c r="F148" i="8"/>
  <c r="E148" i="8"/>
  <c r="I147" i="8"/>
  <c r="K147" i="8" s="1"/>
  <c r="H147" i="8"/>
  <c r="G147" i="8"/>
  <c r="F147" i="8"/>
  <c r="E147" i="8"/>
  <c r="I146" i="8"/>
  <c r="K146" i="8" s="1"/>
  <c r="H146" i="8"/>
  <c r="G146" i="8"/>
  <c r="F146" i="8"/>
  <c r="E146" i="8"/>
  <c r="I145" i="8"/>
  <c r="K145" i="8" s="1"/>
  <c r="H145" i="8"/>
  <c r="G145" i="8"/>
  <c r="F145" i="8"/>
  <c r="E145" i="8"/>
  <c r="I144" i="8"/>
  <c r="K144" i="8" s="1"/>
  <c r="H144" i="8"/>
  <c r="G144" i="8"/>
  <c r="F144" i="8"/>
  <c r="E144" i="8"/>
  <c r="I143" i="8"/>
  <c r="K143" i="8" s="1"/>
  <c r="H143" i="8"/>
  <c r="G143" i="8"/>
  <c r="F143" i="8"/>
  <c r="E143" i="8"/>
  <c r="I142" i="8"/>
  <c r="K142" i="8" s="1"/>
  <c r="H142" i="8"/>
  <c r="G142" i="8"/>
  <c r="F142" i="8"/>
  <c r="E142" i="8"/>
  <c r="I141" i="8"/>
  <c r="K141" i="8" s="1"/>
  <c r="H141" i="8"/>
  <c r="G141" i="8"/>
  <c r="F141" i="8"/>
  <c r="E141" i="8"/>
  <c r="I140" i="8"/>
  <c r="K140" i="8" s="1"/>
  <c r="H140" i="8"/>
  <c r="G140" i="8"/>
  <c r="F140" i="8"/>
  <c r="E140" i="8"/>
  <c r="I139" i="8"/>
  <c r="K139" i="8" s="1"/>
  <c r="H139" i="8"/>
  <c r="G139" i="8"/>
  <c r="F139" i="8"/>
  <c r="E139" i="8"/>
  <c r="I138" i="8"/>
  <c r="K138" i="8" s="1"/>
  <c r="H138" i="8"/>
  <c r="G138" i="8"/>
  <c r="F138" i="8"/>
  <c r="E138" i="8"/>
  <c r="H137" i="8"/>
  <c r="G137" i="8"/>
  <c r="F137" i="8"/>
  <c r="E137" i="8"/>
  <c r="H136" i="8"/>
  <c r="G136" i="8"/>
  <c r="F136" i="8"/>
  <c r="E136" i="8"/>
  <c r="X302" i="10" l="1"/>
  <c r="V302" i="10"/>
  <c r="J207" i="33"/>
  <c r="J202" i="33" s="1"/>
  <c r="I202" i="33"/>
  <c r="H202" i="33"/>
  <c r="G202" i="33"/>
  <c r="F202" i="33"/>
  <c r="E202" i="33"/>
  <c r="AW112" i="1" l="1"/>
  <c r="AW113" i="1"/>
  <c r="AX113" i="1"/>
  <c r="AX112" i="1"/>
  <c r="AU113" i="1"/>
  <c r="AU112" i="1"/>
  <c r="AT112" i="1"/>
  <c r="AT113" i="1"/>
  <c r="AV112" i="1"/>
  <c r="AV113" i="1"/>
  <c r="AS112" i="1"/>
  <c r="AS113" i="1"/>
  <c r="V31" i="25"/>
  <c r="R31" i="25"/>
  <c r="O31" i="25"/>
  <c r="T8" i="25"/>
  <c r="T9" i="25"/>
  <c r="P31" i="25" l="1"/>
  <c r="B4" i="36" l="1"/>
  <c r="D13" i="8" l="1"/>
  <c r="D11" i="8"/>
  <c r="CJ352" i="10" l="1"/>
  <c r="CJ354" i="10"/>
  <c r="CJ359" i="10"/>
  <c r="CJ360" i="10"/>
  <c r="CJ364" i="10"/>
  <c r="CJ357" i="10"/>
  <c r="CJ358" i="10"/>
  <c r="CJ353" i="10"/>
  <c r="CJ356" i="10"/>
  <c r="CJ355" i="10"/>
  <c r="CJ361" i="10"/>
  <c r="CJ362" i="10"/>
  <c r="CJ363" i="10"/>
  <c r="CJ145" i="10"/>
  <c r="CJ146" i="10"/>
  <c r="CJ143" i="10"/>
  <c r="CO143" i="10" s="1"/>
  <c r="CL357" i="10"/>
  <c r="CL359" i="10"/>
  <c r="CL352" i="10"/>
  <c r="CN353" i="10"/>
  <c r="CN145" i="10"/>
  <c r="CL355" i="10"/>
  <c r="CN361" i="10"/>
  <c r="CN355" i="10"/>
  <c r="CN363" i="10"/>
  <c r="CJ144" i="10"/>
  <c r="CN359" i="10"/>
  <c r="CN357" i="10"/>
  <c r="CL363" i="10"/>
  <c r="CL353" i="10"/>
  <c r="CL144" i="10"/>
  <c r="CL360" i="10"/>
  <c r="CN143" i="10"/>
  <c r="CL361" i="10"/>
  <c r="CN146" i="10"/>
  <c r="CL364" i="10"/>
  <c r="CN362" i="10"/>
  <c r="CL362" i="10"/>
  <c r="CL146" i="10"/>
  <c r="CN360" i="10"/>
  <c r="CN364" i="10"/>
  <c r="CN144" i="10"/>
  <c r="CL354" i="10"/>
  <c r="CL358" i="10"/>
  <c r="CN358" i="10"/>
  <c r="CL143" i="10"/>
  <c r="CN356" i="10"/>
  <c r="CN354" i="10"/>
  <c r="CL356" i="10"/>
  <c r="CL145" i="10"/>
  <c r="CN352" i="10"/>
  <c r="CJ246" i="10"/>
  <c r="CJ259" i="10"/>
  <c r="CJ274" i="10"/>
  <c r="CJ286" i="10"/>
  <c r="CJ287" i="10"/>
  <c r="CJ285" i="10"/>
  <c r="CN259" i="10"/>
  <c r="CJ292" i="10"/>
  <c r="CJ281" i="10"/>
  <c r="CN292" i="10"/>
  <c r="CL292" i="10"/>
  <c r="CN246" i="10"/>
  <c r="CJ289" i="10"/>
  <c r="CJ280" i="10"/>
  <c r="CJ288" i="10"/>
  <c r="CN274" i="10"/>
  <c r="CJ293" i="10"/>
  <c r="CJ277" i="10"/>
  <c r="CL300" i="10"/>
  <c r="CJ181" i="10"/>
  <c r="CL320" i="10"/>
  <c r="CN277" i="10"/>
  <c r="CL183" i="10"/>
  <c r="CJ306" i="10"/>
  <c r="CL277" i="10"/>
  <c r="CL236" i="10"/>
  <c r="CL306" i="10"/>
  <c r="CJ309" i="10"/>
  <c r="CJ183" i="10"/>
  <c r="CL181" i="10"/>
  <c r="CN306" i="10"/>
  <c r="CJ320" i="10"/>
  <c r="CJ300" i="10"/>
  <c r="CN181" i="10"/>
  <c r="CN300" i="10"/>
  <c r="CN183" i="10"/>
  <c r="CL309" i="10"/>
  <c r="CJ236" i="10"/>
  <c r="CJ276" i="10"/>
  <c r="CJ283" i="10"/>
  <c r="CJ279" i="10"/>
  <c r="CJ291" i="10"/>
  <c r="CJ278" i="10"/>
  <c r="CJ284" i="10"/>
  <c r="CJ273" i="10"/>
  <c r="CJ290" i="10"/>
  <c r="CJ282" i="10"/>
  <c r="CL291" i="10"/>
  <c r="CL278" i="10"/>
  <c r="CN278" i="10"/>
  <c r="CN282" i="10"/>
  <c r="CL282" i="10"/>
  <c r="CN283" i="10"/>
  <c r="CL284" i="10"/>
  <c r="CN276" i="10"/>
  <c r="CN279" i="10"/>
  <c r="CN290" i="10"/>
  <c r="CN284" i="10"/>
  <c r="CL283" i="10"/>
  <c r="CL276" i="10"/>
  <c r="CN291" i="10"/>
  <c r="CL273" i="10"/>
  <c r="CL290" i="10"/>
  <c r="CN273" i="10"/>
  <c r="CL279" i="10"/>
  <c r="CN371" i="10"/>
  <c r="CJ375" i="10"/>
  <c r="CJ380" i="10"/>
  <c r="CJ370" i="10"/>
  <c r="CJ383" i="10"/>
  <c r="CJ367" i="10"/>
  <c r="CJ378" i="10"/>
  <c r="CJ368" i="10"/>
  <c r="CJ379" i="10"/>
  <c r="CJ381" i="10"/>
  <c r="CJ369" i="10"/>
  <c r="CJ365" i="10"/>
  <c r="CO365" i="10" s="1"/>
  <c r="CJ373" i="10"/>
  <c r="CJ372" i="10"/>
  <c r="CJ382" i="10"/>
  <c r="CJ376" i="10"/>
  <c r="CJ366" i="10"/>
  <c r="CJ371" i="10"/>
  <c r="CJ377" i="10"/>
  <c r="CJ374" i="10"/>
  <c r="CO374" i="10" s="1"/>
  <c r="CJ169" i="10"/>
  <c r="CJ305" i="10"/>
  <c r="CJ208" i="10"/>
  <c r="CJ310" i="10"/>
  <c r="CN297" i="10"/>
  <c r="CJ191" i="10"/>
  <c r="CJ308" i="10"/>
  <c r="CJ304" i="10"/>
  <c r="CJ307" i="10"/>
  <c r="CJ179" i="10"/>
  <c r="CJ251" i="10"/>
  <c r="CJ243" i="10"/>
  <c r="CJ295" i="10"/>
  <c r="CJ267" i="10"/>
  <c r="CN383" i="10"/>
  <c r="CJ194" i="10"/>
  <c r="CJ186" i="10"/>
  <c r="CJ303" i="10"/>
  <c r="CJ166" i="10"/>
  <c r="CJ301" i="10"/>
  <c r="CJ213" i="10"/>
  <c r="CJ242" i="10"/>
  <c r="CJ263" i="10"/>
  <c r="CJ244" i="10"/>
  <c r="CJ254" i="10"/>
  <c r="CN379" i="10"/>
  <c r="CN375" i="10"/>
  <c r="CJ297" i="10"/>
  <c r="CJ165" i="10"/>
  <c r="CJ192" i="10"/>
  <c r="CN367" i="10"/>
  <c r="CJ240" i="10"/>
  <c r="CJ176" i="10"/>
  <c r="CN299" i="10"/>
  <c r="CJ196" i="10"/>
  <c r="CJ296" i="10"/>
  <c r="CJ253" i="10"/>
  <c r="CJ252" i="10"/>
  <c r="CJ167" i="10"/>
  <c r="CJ227" i="10"/>
  <c r="CJ268" i="10"/>
  <c r="CJ190" i="10"/>
  <c r="CJ163" i="10"/>
  <c r="CJ322" i="10"/>
  <c r="CJ161" i="10"/>
  <c r="CJ215" i="10"/>
  <c r="CJ265" i="10"/>
  <c r="CJ266" i="10"/>
  <c r="CJ180" i="10"/>
  <c r="CJ187" i="10"/>
  <c r="CJ184" i="10"/>
  <c r="CJ188" i="10"/>
  <c r="CJ299" i="10"/>
  <c r="CJ189" i="10"/>
  <c r="CJ193" i="10"/>
  <c r="CJ321" i="10"/>
  <c r="CJ245" i="10"/>
  <c r="CJ312" i="10"/>
  <c r="CJ313" i="10"/>
  <c r="CJ262" i="10"/>
  <c r="CJ271" i="10"/>
  <c r="CJ182" i="10"/>
  <c r="CJ178" i="10"/>
  <c r="CJ185" i="10"/>
  <c r="CJ249" i="10"/>
  <c r="CJ177" i="10"/>
  <c r="CJ195" i="10"/>
  <c r="CN182" i="10"/>
  <c r="CJ255" i="10"/>
  <c r="CJ315" i="10"/>
  <c r="CJ323" i="10"/>
  <c r="CJ264" i="10"/>
  <c r="CJ314" i="10"/>
  <c r="CJ324" i="10"/>
  <c r="CJ270" i="10"/>
  <c r="CL244" i="10"/>
  <c r="CL252" i="10"/>
  <c r="CN255" i="10"/>
  <c r="CN374" i="10"/>
  <c r="CN381" i="10"/>
  <c r="CN382" i="10"/>
  <c r="CN372" i="10"/>
  <c r="CL381" i="10"/>
  <c r="CN370" i="10"/>
  <c r="CL296" i="10"/>
  <c r="CL254" i="10"/>
  <c r="CL251" i="10"/>
  <c r="CL245" i="10"/>
  <c r="CN243" i="10"/>
  <c r="CN268" i="10"/>
  <c r="CL255" i="10"/>
  <c r="CL373" i="10"/>
  <c r="CN377" i="10"/>
  <c r="CL370" i="10"/>
  <c r="CN376" i="10"/>
  <c r="CL378" i="10"/>
  <c r="CN378" i="10"/>
  <c r="CL268" i="10"/>
  <c r="CN265" i="10"/>
  <c r="CL253" i="10"/>
  <c r="CL271" i="10"/>
  <c r="CN365" i="10"/>
  <c r="CL366" i="10"/>
  <c r="CN242" i="10"/>
  <c r="CL249" i="10"/>
  <c r="CN271" i="10"/>
  <c r="CN252" i="10"/>
  <c r="CN262" i="10"/>
  <c r="CN324" i="10"/>
  <c r="CN253" i="10"/>
  <c r="CN270" i="10"/>
  <c r="CL264" i="10"/>
  <c r="CN249" i="10"/>
  <c r="CL375" i="10"/>
  <c r="CN368" i="10"/>
  <c r="CL368" i="10"/>
  <c r="CL382" i="10"/>
  <c r="CN296" i="10"/>
  <c r="CN263" i="10"/>
  <c r="CL371" i="10"/>
  <c r="CL324" i="10"/>
  <c r="CL265" i="10"/>
  <c r="CL263" i="10"/>
  <c r="CN369" i="10"/>
  <c r="CN266" i="10"/>
  <c r="CL243" i="10"/>
  <c r="CN267" i="10"/>
  <c r="CN264" i="10"/>
  <c r="CL379" i="10"/>
  <c r="CL374" i="10"/>
  <c r="CL376" i="10"/>
  <c r="CN366" i="10"/>
  <c r="CN251" i="10"/>
  <c r="CL270" i="10"/>
  <c r="CL266" i="10"/>
  <c r="CL295" i="10"/>
  <c r="CN254" i="10"/>
  <c r="CL267" i="10"/>
  <c r="CL242" i="10"/>
  <c r="CL262" i="10"/>
  <c r="CN245" i="10"/>
  <c r="CN244" i="10"/>
  <c r="CL377" i="10"/>
  <c r="CL369" i="10"/>
  <c r="CL365" i="10"/>
  <c r="CN380" i="10"/>
  <c r="CL383" i="10"/>
  <c r="CN295" i="10"/>
  <c r="CN373" i="10"/>
  <c r="CL367" i="10"/>
  <c r="CL372" i="10"/>
  <c r="CL380" i="10"/>
  <c r="CJ384" i="10"/>
  <c r="CJ385" i="10"/>
  <c r="CL385" i="10"/>
  <c r="CN385" i="10"/>
  <c r="CN384" i="10"/>
  <c r="CL384" i="10"/>
  <c r="CJ298" i="10"/>
  <c r="CN298" i="10"/>
  <c r="CJ256" i="10"/>
  <c r="CJ247" i="10"/>
  <c r="CJ260" i="10"/>
  <c r="CJ258" i="10"/>
  <c r="CN258" i="10"/>
  <c r="CN247" i="10"/>
  <c r="CN256" i="10"/>
  <c r="CN260" i="10"/>
  <c r="CJ311" i="10"/>
  <c r="CN311" i="10"/>
  <c r="CL311" i="10"/>
  <c r="CJ388" i="10"/>
  <c r="CO388" i="10" s="1"/>
  <c r="CJ392" i="10"/>
  <c r="CJ391" i="10"/>
  <c r="CJ386" i="10"/>
  <c r="CJ393" i="10"/>
  <c r="CO393" i="10" s="1"/>
  <c r="CJ389" i="10"/>
  <c r="CJ387" i="10"/>
  <c r="CJ390" i="10"/>
  <c r="CL387" i="10"/>
  <c r="CL393" i="10"/>
  <c r="CL391" i="10"/>
  <c r="CN393" i="10"/>
  <c r="CN387" i="10"/>
  <c r="CN388" i="10"/>
  <c r="CL388" i="10"/>
  <c r="CN390" i="10"/>
  <c r="CN392" i="10"/>
  <c r="CN391" i="10"/>
  <c r="CL390" i="10"/>
  <c r="CL389" i="10"/>
  <c r="CL386" i="10"/>
  <c r="CL392" i="10"/>
  <c r="CN386" i="10"/>
  <c r="CN389" i="10"/>
  <c r="CJ325" i="10"/>
  <c r="CN325" i="10"/>
  <c r="CL325" i="10"/>
  <c r="J32" i="25"/>
  <c r="K32" i="25"/>
  <c r="L32" i="25"/>
  <c r="M32" i="25"/>
  <c r="N32" i="25"/>
  <c r="J33" i="25"/>
  <c r="K33" i="25"/>
  <c r="L33" i="25"/>
  <c r="M33" i="25"/>
  <c r="N33" i="25"/>
  <c r="J34" i="25"/>
  <c r="K34" i="25"/>
  <c r="L34" i="25"/>
  <c r="M34" i="25"/>
  <c r="N34" i="25"/>
  <c r="J35" i="25"/>
  <c r="K35" i="25"/>
  <c r="L35" i="25"/>
  <c r="M35" i="25"/>
  <c r="N35" i="25"/>
  <c r="J36" i="25"/>
  <c r="K36" i="25"/>
  <c r="L36" i="25"/>
  <c r="M36" i="25"/>
  <c r="N36" i="25"/>
  <c r="J37" i="25"/>
  <c r="K37" i="25"/>
  <c r="L37" i="25"/>
  <c r="M37" i="25"/>
  <c r="N37" i="25"/>
  <c r="J38" i="25"/>
  <c r="K38" i="25"/>
  <c r="L38" i="25"/>
  <c r="M38" i="25"/>
  <c r="N38" i="25"/>
  <c r="CO358" i="10" l="1"/>
  <c r="CO353" i="10"/>
  <c r="CO375" i="10"/>
  <c r="CO145" i="10"/>
  <c r="CO370" i="10"/>
  <c r="CO386" i="10"/>
  <c r="CO369" i="10"/>
  <c r="CO371" i="10"/>
  <c r="CO381" i="10"/>
  <c r="CO357" i="10"/>
  <c r="CO392" i="10"/>
  <c r="CO366" i="10"/>
  <c r="CO379" i="10"/>
  <c r="CO363" i="10"/>
  <c r="CO364" i="10"/>
  <c r="CO380" i="10"/>
  <c r="CO376" i="10"/>
  <c r="CO360" i="10"/>
  <c r="CO390" i="10"/>
  <c r="CO382" i="10"/>
  <c r="CO378" i="10"/>
  <c r="CO361" i="10"/>
  <c r="CO359" i="10"/>
  <c r="CO146" i="10"/>
  <c r="CO391" i="10"/>
  <c r="CO362" i="10"/>
  <c r="CO387" i="10"/>
  <c r="CO385" i="10"/>
  <c r="CO372" i="10"/>
  <c r="CO367" i="10"/>
  <c r="CO144" i="10"/>
  <c r="CO355" i="10"/>
  <c r="CO354" i="10"/>
  <c r="CO377" i="10"/>
  <c r="CO368" i="10"/>
  <c r="CO389" i="10"/>
  <c r="CO384" i="10"/>
  <c r="CO373" i="10"/>
  <c r="CO383" i="10"/>
  <c r="CO356" i="10"/>
  <c r="CO352" i="10"/>
  <c r="D21" i="8"/>
  <c r="D20" i="8"/>
  <c r="D19" i="8"/>
  <c r="F236" i="33" l="1"/>
  <c r="AT127" i="1" s="1"/>
  <c r="G236" i="33"/>
  <c r="AU127" i="1" s="1"/>
  <c r="H236" i="33"/>
  <c r="AV127" i="1" s="1"/>
  <c r="AW127" i="1"/>
  <c r="E236" i="33"/>
  <c r="AS127" i="1" s="1"/>
  <c r="F214" i="33"/>
  <c r="AT121" i="1" s="1"/>
  <c r="G214" i="33"/>
  <c r="AU121" i="1" s="1"/>
  <c r="H214" i="33"/>
  <c r="AV121" i="1" s="1"/>
  <c r="I214" i="33"/>
  <c r="AW121" i="1" s="1"/>
  <c r="F191" i="33"/>
  <c r="AT107" i="1" s="1"/>
  <c r="G191" i="33"/>
  <c r="AU107" i="1" s="1"/>
  <c r="H191" i="33"/>
  <c r="AV107" i="1" s="1"/>
  <c r="I191" i="33"/>
  <c r="AW107" i="1" s="1"/>
  <c r="F188" i="33"/>
  <c r="AT108" i="1" s="1"/>
  <c r="G188" i="33"/>
  <c r="AU108" i="1" s="1"/>
  <c r="H188" i="33"/>
  <c r="AV108" i="1" s="1"/>
  <c r="I188" i="33"/>
  <c r="AW108" i="1" s="1"/>
  <c r="F185" i="33"/>
  <c r="AT110" i="1" s="1"/>
  <c r="G185" i="33"/>
  <c r="AU110" i="1" s="1"/>
  <c r="H185" i="33"/>
  <c r="AV110" i="1" s="1"/>
  <c r="I185" i="33"/>
  <c r="AW110" i="1" s="1"/>
  <c r="F182" i="33"/>
  <c r="AT111" i="1" s="1"/>
  <c r="G182" i="33"/>
  <c r="AU111" i="1" s="1"/>
  <c r="H182" i="33"/>
  <c r="AV111" i="1" s="1"/>
  <c r="I182" i="33"/>
  <c r="AW111" i="1" s="1"/>
  <c r="F173" i="33"/>
  <c r="G173" i="33"/>
  <c r="H173" i="33"/>
  <c r="I173" i="33"/>
  <c r="E173" i="33"/>
  <c r="F165" i="33"/>
  <c r="AT104" i="1" s="1"/>
  <c r="G165" i="33"/>
  <c r="AU104" i="1" s="1"/>
  <c r="H165" i="33"/>
  <c r="AV104" i="1" s="1"/>
  <c r="I165" i="33"/>
  <c r="AW104" i="1" s="1"/>
  <c r="E165" i="33"/>
  <c r="AS104" i="1" s="1"/>
  <c r="F157" i="33"/>
  <c r="AT103" i="1" s="1"/>
  <c r="G157" i="33"/>
  <c r="AU103" i="1" s="1"/>
  <c r="H157" i="33"/>
  <c r="AV103" i="1" s="1"/>
  <c r="I157" i="33"/>
  <c r="AW103" i="1" s="1"/>
  <c r="E157" i="33"/>
  <c r="AS103" i="1" s="1"/>
  <c r="F149" i="33"/>
  <c r="AT102" i="1" s="1"/>
  <c r="G149" i="33"/>
  <c r="AU102" i="1" s="1"/>
  <c r="H149" i="33"/>
  <c r="AV102" i="1" s="1"/>
  <c r="I149" i="33"/>
  <c r="AW102" i="1" s="1"/>
  <c r="AS102" i="1"/>
  <c r="G143" i="33"/>
  <c r="AU101" i="1" s="1"/>
  <c r="H143" i="33"/>
  <c r="AV101" i="1" s="1"/>
  <c r="I143" i="33"/>
  <c r="AW101" i="1" s="1"/>
  <c r="J143" i="33"/>
  <c r="AX101" i="1" s="1"/>
  <c r="AW106" i="1" l="1"/>
  <c r="AW105" i="1"/>
  <c r="AV106" i="1"/>
  <c r="AV105" i="1"/>
  <c r="AU105" i="1"/>
  <c r="AU106" i="1"/>
  <c r="AT106" i="1"/>
  <c r="AT105" i="1"/>
  <c r="AS106" i="1"/>
  <c r="AS105" i="1"/>
  <c r="B101" i="36"/>
  <c r="B7" i="36"/>
  <c r="B5" i="35"/>
  <c r="B4" i="35"/>
  <c r="B85" i="35"/>
  <c r="B7" i="35"/>
  <c r="B5" i="34"/>
  <c r="B4" i="34"/>
  <c r="B7" i="34" l="1"/>
  <c r="K7" i="34" s="1"/>
  <c r="J299" i="33" l="1"/>
  <c r="J296" i="33"/>
  <c r="J287" i="33"/>
  <c r="J281" i="33"/>
  <c r="J275" i="33"/>
  <c r="J269" i="33"/>
  <c r="J261" i="33"/>
  <c r="J255" i="33"/>
  <c r="J238" i="33"/>
  <c r="J236" i="33" s="1"/>
  <c r="AX127" i="1" s="1"/>
  <c r="J244" i="33"/>
  <c r="J235" i="33"/>
  <c r="J229" i="33"/>
  <c r="J222" i="33"/>
  <c r="J214" i="33" s="1"/>
  <c r="AX121" i="1" s="1"/>
  <c r="J201" i="33"/>
  <c r="J196" i="33"/>
  <c r="J191" i="33" s="1"/>
  <c r="AX107" i="1" s="1"/>
  <c r="J190" i="33"/>
  <c r="J188" i="33" s="1"/>
  <c r="AX108" i="1" s="1"/>
  <c r="J187" i="33"/>
  <c r="J185" i="33" s="1"/>
  <c r="AX110" i="1" s="1"/>
  <c r="J184" i="33"/>
  <c r="J182" i="33" s="1"/>
  <c r="AX111" i="1" s="1"/>
  <c r="J181" i="33"/>
  <c r="J173" i="33" s="1"/>
  <c r="J172" i="33"/>
  <c r="J165" i="33" s="1"/>
  <c r="AX104" i="1" s="1"/>
  <c r="J164" i="33"/>
  <c r="J157" i="33" s="1"/>
  <c r="AX103" i="1" s="1"/>
  <c r="J156" i="33"/>
  <c r="J149" i="33" s="1"/>
  <c r="AX102" i="1" s="1"/>
  <c r="AX105" i="1" l="1"/>
  <c r="AX106" i="1"/>
  <c r="K10" i="25"/>
  <c r="L10" i="25"/>
  <c r="M10" i="25"/>
  <c r="N10" i="25"/>
  <c r="K11" i="25"/>
  <c r="L11" i="25"/>
  <c r="M11" i="25"/>
  <c r="N11" i="25"/>
  <c r="K12" i="25"/>
  <c r="L12" i="25"/>
  <c r="M12" i="25"/>
  <c r="N12" i="25"/>
  <c r="K13" i="25"/>
  <c r="L13" i="25"/>
  <c r="M13" i="25"/>
  <c r="N13" i="25"/>
  <c r="K14" i="25"/>
  <c r="L14" i="25"/>
  <c r="M14" i="25"/>
  <c r="N14" i="25"/>
  <c r="K15" i="25"/>
  <c r="L15" i="25"/>
  <c r="M15" i="25"/>
  <c r="N15" i="25"/>
  <c r="K16" i="25"/>
  <c r="L16" i="25"/>
  <c r="M16" i="25"/>
  <c r="N16" i="25"/>
  <c r="K17" i="25"/>
  <c r="L17" i="25"/>
  <c r="M17" i="25"/>
  <c r="N17" i="25"/>
  <c r="K18" i="25"/>
  <c r="L18" i="25"/>
  <c r="M18" i="25"/>
  <c r="N18" i="25"/>
  <c r="K19" i="25"/>
  <c r="L19" i="25"/>
  <c r="M19" i="25"/>
  <c r="N19" i="25"/>
  <c r="K20" i="25"/>
  <c r="L20" i="25"/>
  <c r="M20" i="25"/>
  <c r="N20" i="25"/>
  <c r="K21" i="25"/>
  <c r="L21" i="25"/>
  <c r="M21" i="25"/>
  <c r="N21" i="25"/>
  <c r="K22" i="25"/>
  <c r="L22" i="25"/>
  <c r="M22" i="25"/>
  <c r="N22" i="25"/>
  <c r="K23" i="25"/>
  <c r="L23" i="25"/>
  <c r="M23" i="25"/>
  <c r="N23" i="25"/>
  <c r="K24" i="25"/>
  <c r="L24" i="25"/>
  <c r="M24" i="25"/>
  <c r="N24" i="25"/>
  <c r="K25" i="25"/>
  <c r="L25" i="25"/>
  <c r="M25" i="25"/>
  <c r="N25" i="25"/>
  <c r="K26" i="25"/>
  <c r="L26" i="25"/>
  <c r="M26" i="25"/>
  <c r="N26" i="25"/>
  <c r="K27" i="25"/>
  <c r="L27" i="25"/>
  <c r="M27" i="25"/>
  <c r="N27" i="25"/>
  <c r="K28" i="25"/>
  <c r="L28" i="25"/>
  <c r="M28" i="25"/>
  <c r="N28" i="25"/>
  <c r="K29" i="25"/>
  <c r="L29" i="25"/>
  <c r="M29" i="25"/>
  <c r="N29" i="25"/>
  <c r="K30" i="25"/>
  <c r="L30" i="25"/>
  <c r="M30" i="25"/>
  <c r="N30" i="25"/>
  <c r="J10" i="25"/>
  <c r="J11" i="25"/>
  <c r="J12" i="25"/>
  <c r="J13" i="25"/>
  <c r="J14" i="25"/>
  <c r="J15" i="25"/>
  <c r="J16" i="25"/>
  <c r="J17" i="25"/>
  <c r="J18" i="25"/>
  <c r="J19" i="25"/>
  <c r="J20" i="25"/>
  <c r="J21" i="25"/>
  <c r="J22" i="25"/>
  <c r="J23" i="25"/>
  <c r="J24" i="25"/>
  <c r="J25" i="25"/>
  <c r="J26" i="25"/>
  <c r="J27" i="25"/>
  <c r="J28" i="25"/>
  <c r="J29" i="25"/>
  <c r="J30" i="25"/>
  <c r="V34" i="25"/>
  <c r="V33" i="25"/>
  <c r="V32" i="25"/>
  <c r="V36" i="25"/>
  <c r="V35" i="25"/>
  <c r="V37" i="25"/>
  <c r="V38" i="25"/>
  <c r="V23" i="25"/>
  <c r="V22" i="25"/>
  <c r="V16" i="25"/>
  <c r="C28" i="9"/>
  <c r="C29" i="9"/>
  <c r="C27" i="9"/>
  <c r="C26" i="9"/>
  <c r="C25" i="9"/>
  <c r="C19" i="9"/>
  <c r="C18" i="9"/>
  <c r="C8" i="9"/>
  <c r="C4" i="9"/>
  <c r="C5" i="9"/>
  <c r="C6" i="9"/>
  <c r="C7" i="9"/>
  <c r="A32" i="9"/>
  <c r="A31" i="9"/>
  <c r="A30" i="9"/>
  <c r="A29" i="9"/>
  <c r="A26" i="9"/>
  <c r="A22" i="9"/>
  <c r="A21" i="9"/>
  <c r="A10" i="9"/>
  <c r="R36" i="25" l="1"/>
  <c r="R32" i="25"/>
  <c r="R35" i="25"/>
  <c r="R38" i="25"/>
  <c r="R34" i="25"/>
  <c r="R37" i="25"/>
  <c r="R33" i="25"/>
  <c r="O16" i="25"/>
  <c r="O35" i="25"/>
  <c r="O33" i="25"/>
  <c r="O34" i="25"/>
  <c r="O37" i="25"/>
  <c r="O32" i="25"/>
  <c r="O36" i="25"/>
  <c r="O26" i="25"/>
  <c r="O28" i="25"/>
  <c r="O38" i="25"/>
  <c r="O27" i="25"/>
  <c r="O29" i="25"/>
  <c r="O30" i="25"/>
  <c r="O22" i="25"/>
  <c r="O23" i="25"/>
  <c r="P28" i="25" l="1"/>
  <c r="P37" i="25"/>
  <c r="P16" i="25"/>
  <c r="P29" i="25"/>
  <c r="P26" i="25"/>
  <c r="P34" i="25"/>
  <c r="P27" i="25"/>
  <c r="P33" i="25"/>
  <c r="P30" i="25"/>
  <c r="P23" i="25"/>
  <c r="P36" i="25"/>
  <c r="P22" i="25"/>
  <c r="P38" i="25"/>
  <c r="P32" i="25"/>
  <c r="P35" i="25"/>
  <c r="N2" i="25"/>
  <c r="M2" i="25"/>
  <c r="L2" i="25"/>
  <c r="K2" i="25"/>
  <c r="J2" i="25"/>
  <c r="J43" i="25" s="1"/>
  <c r="M43" i="25" l="1"/>
  <c r="N43" i="25"/>
  <c r="K43" i="25"/>
  <c r="L43" i="25"/>
  <c r="O24" i="25"/>
  <c r="O18" i="25"/>
  <c r="O11" i="25"/>
  <c r="O15" i="25"/>
  <c r="O13" i="25"/>
  <c r="O2" i="25"/>
  <c r="O10" i="25"/>
  <c r="O12" i="25"/>
  <c r="O14" i="25"/>
  <c r="O17" i="25"/>
  <c r="O19" i="25"/>
  <c r="O20" i="25"/>
  <c r="O21" i="25"/>
  <c r="O25" i="25"/>
  <c r="O43" i="25" l="1"/>
  <c r="Y278" i="10" l="1"/>
  <c r="X278" i="10"/>
  <c r="W278" i="10"/>
  <c r="V278" i="10"/>
  <c r="U278" i="10"/>
  <c r="W284" i="10"/>
  <c r="V284" i="10"/>
  <c r="U284" i="10"/>
  <c r="Y284" i="10"/>
  <c r="X284" i="10"/>
  <c r="X283" i="10"/>
  <c r="W283" i="10"/>
  <c r="V283" i="10"/>
  <c r="U283" i="10"/>
  <c r="Y283" i="10"/>
  <c r="X279" i="10"/>
  <c r="W279" i="10"/>
  <c r="U279" i="10"/>
  <c r="Y279" i="10"/>
  <c r="V279" i="10"/>
  <c r="Y282" i="10"/>
  <c r="X282" i="10"/>
  <c r="V282" i="10"/>
  <c r="W282" i="10"/>
  <c r="U282" i="10"/>
  <c r="E13" i="33"/>
  <c r="AS42" i="1" s="1"/>
  <c r="E18" i="33"/>
  <c r="AS43" i="1" s="1"/>
  <c r="F18" i="33"/>
  <c r="AT43" i="1" s="1"/>
  <c r="E23" i="33"/>
  <c r="AS44" i="1" s="1"/>
  <c r="F23" i="33"/>
  <c r="AT44" i="1" s="1"/>
  <c r="E59" i="33"/>
  <c r="AS87" i="1" s="1"/>
  <c r="F59" i="33"/>
  <c r="AT87" i="1" s="1"/>
  <c r="E61" i="33"/>
  <c r="AS89" i="1" s="1"/>
  <c r="F61" i="33"/>
  <c r="AT89" i="1" s="1"/>
  <c r="E63" i="33"/>
  <c r="AS90" i="1" s="1"/>
  <c r="F63" i="33"/>
  <c r="AT90" i="1" s="1"/>
  <c r="E65" i="33"/>
  <c r="AS91" i="1" s="1"/>
  <c r="F65" i="33"/>
  <c r="AT91" i="1" s="1"/>
  <c r="E67" i="33"/>
  <c r="AS88" i="1" s="1"/>
  <c r="E69" i="33"/>
  <c r="AS83" i="1" s="1"/>
  <c r="F69" i="33"/>
  <c r="AT83" i="1" s="1"/>
  <c r="E73" i="33"/>
  <c r="AS84" i="1" s="1"/>
  <c r="F73" i="33"/>
  <c r="AT84" i="1" s="1"/>
  <c r="E77" i="33"/>
  <c r="F77" i="33"/>
  <c r="E81" i="33"/>
  <c r="F81" i="33"/>
  <c r="E86" i="33"/>
  <c r="AS77" i="1" s="1"/>
  <c r="F86" i="33"/>
  <c r="AT77" i="1" s="1"/>
  <c r="E90" i="33"/>
  <c r="AS78" i="1" s="1"/>
  <c r="F90" i="33"/>
  <c r="AT78" i="1" s="1"/>
  <c r="E108" i="33"/>
  <c r="F108" i="33"/>
  <c r="E113" i="33"/>
  <c r="F113" i="33"/>
  <c r="E120" i="33"/>
  <c r="AS331" i="1" s="1"/>
  <c r="F120" i="33"/>
  <c r="AT331" i="1" s="1"/>
  <c r="E143" i="33"/>
  <c r="AS101" i="1" s="1"/>
  <c r="F143" i="33"/>
  <c r="AT101" i="1" s="1"/>
  <c r="E182" i="33"/>
  <c r="AS111" i="1" s="1"/>
  <c r="E185" i="33"/>
  <c r="AS110" i="1" s="1"/>
  <c r="E188" i="33"/>
  <c r="AS108" i="1" s="1"/>
  <c r="E191" i="33"/>
  <c r="AS107" i="1" s="1"/>
  <c r="E197" i="33"/>
  <c r="AS109" i="1" s="1"/>
  <c r="F197" i="33"/>
  <c r="AT109" i="1" s="1"/>
  <c r="G197" i="33"/>
  <c r="AU109" i="1" s="1"/>
  <c r="H197" i="33"/>
  <c r="AV109" i="1" s="1"/>
  <c r="I197" i="33"/>
  <c r="AW109" i="1" s="1"/>
  <c r="J197" i="33"/>
  <c r="AX109" i="1" s="1"/>
  <c r="E208" i="33"/>
  <c r="F208" i="33"/>
  <c r="G208" i="33"/>
  <c r="H208" i="33"/>
  <c r="I208" i="33"/>
  <c r="J208" i="33"/>
  <c r="E214" i="33"/>
  <c r="AS121" i="1" s="1"/>
  <c r="E223" i="33"/>
  <c r="AS122" i="1" s="1"/>
  <c r="F223" i="33"/>
  <c r="AT122" i="1" s="1"/>
  <c r="G223" i="33"/>
  <c r="AU122" i="1" s="1"/>
  <c r="H223" i="33"/>
  <c r="AV122" i="1" s="1"/>
  <c r="I223" i="33"/>
  <c r="AW122" i="1" s="1"/>
  <c r="J223" i="33"/>
  <c r="AX122" i="1" s="1"/>
  <c r="E230" i="33"/>
  <c r="AS126" i="1" s="1"/>
  <c r="F230" i="33"/>
  <c r="AT126" i="1" s="1"/>
  <c r="G230" i="33"/>
  <c r="AU126" i="1" s="1"/>
  <c r="H230" i="33"/>
  <c r="AV126" i="1" s="1"/>
  <c r="I230" i="33"/>
  <c r="AW126" i="1" s="1"/>
  <c r="J230" i="33"/>
  <c r="AX126" i="1" s="1"/>
  <c r="E240" i="33"/>
  <c r="F240" i="33"/>
  <c r="G240" i="33"/>
  <c r="H240" i="33"/>
  <c r="I240" i="33"/>
  <c r="J240" i="33"/>
  <c r="E247" i="33"/>
  <c r="F247" i="33"/>
  <c r="G247" i="33"/>
  <c r="H247" i="33"/>
  <c r="I247" i="33"/>
  <c r="J247" i="33"/>
  <c r="K247" i="33"/>
  <c r="E256" i="33"/>
  <c r="AS131" i="1" s="1"/>
  <c r="F256" i="33"/>
  <c r="AT131" i="1" s="1"/>
  <c r="G256" i="33"/>
  <c r="AU131" i="1" s="1"/>
  <c r="H256" i="33"/>
  <c r="AV131" i="1" s="1"/>
  <c r="I256" i="33"/>
  <c r="AW131" i="1" s="1"/>
  <c r="J256" i="33"/>
  <c r="AX131" i="1" s="1"/>
  <c r="E262" i="33"/>
  <c r="AS130" i="1" s="1"/>
  <c r="F262" i="33"/>
  <c r="AT130" i="1" s="1"/>
  <c r="G262" i="33"/>
  <c r="AU130" i="1" s="1"/>
  <c r="H262" i="33"/>
  <c r="AV130" i="1" s="1"/>
  <c r="I262" i="33"/>
  <c r="AW130" i="1" s="1"/>
  <c r="J262" i="33"/>
  <c r="AX130" i="1" s="1"/>
  <c r="K264" i="33"/>
  <c r="E270" i="33"/>
  <c r="AS132" i="1" s="1"/>
  <c r="F270" i="33"/>
  <c r="AT132" i="1" s="1"/>
  <c r="G270" i="33"/>
  <c r="AU132" i="1" s="1"/>
  <c r="H270" i="33"/>
  <c r="AV132" i="1" s="1"/>
  <c r="I270" i="33"/>
  <c r="AW132" i="1" s="1"/>
  <c r="J270" i="33"/>
  <c r="AX132" i="1" s="1"/>
  <c r="K271" i="33"/>
  <c r="F276" i="33"/>
  <c r="AT135" i="1" s="1"/>
  <c r="G276" i="33"/>
  <c r="AU135" i="1" s="1"/>
  <c r="H276" i="33"/>
  <c r="AV135" i="1" s="1"/>
  <c r="I276" i="33"/>
  <c r="AW135" i="1" s="1"/>
  <c r="J276" i="33"/>
  <c r="AX135" i="1" s="1"/>
  <c r="E282" i="33"/>
  <c r="AS133" i="1" s="1"/>
  <c r="F282" i="33"/>
  <c r="AT133" i="1" s="1"/>
  <c r="G282" i="33"/>
  <c r="AU133" i="1" s="1"/>
  <c r="H282" i="33"/>
  <c r="AV133" i="1" s="1"/>
  <c r="I282" i="33"/>
  <c r="AW133" i="1" s="1"/>
  <c r="J282" i="33"/>
  <c r="AX133" i="1" s="1"/>
  <c r="F288" i="33"/>
  <c r="G288" i="33"/>
  <c r="H288" i="33"/>
  <c r="I288" i="33"/>
  <c r="J288" i="33"/>
  <c r="E297" i="33"/>
  <c r="F297" i="33"/>
  <c r="G297" i="33"/>
  <c r="H297" i="33"/>
  <c r="I297" i="33"/>
  <c r="J297" i="33"/>
  <c r="K306" i="33"/>
  <c r="AS342" i="1" l="1"/>
  <c r="AS15" i="1"/>
  <c r="AT342" i="1"/>
  <c r="AT15" i="1"/>
  <c r="AT343" i="1"/>
  <c r="AT344" i="1"/>
  <c r="AS343" i="1"/>
  <c r="AS344" i="1"/>
  <c r="AT21" i="1"/>
  <c r="AS21" i="1"/>
  <c r="AU136" i="1"/>
  <c r="AU138" i="1"/>
  <c r="AU137" i="1"/>
  <c r="AV123" i="1"/>
  <c r="AV125" i="1"/>
  <c r="AV124" i="1"/>
  <c r="AX128" i="1"/>
  <c r="AX129" i="1"/>
  <c r="AT128" i="1"/>
  <c r="AT129" i="1"/>
  <c r="AW120" i="1"/>
  <c r="AS120" i="1"/>
  <c r="AU124" i="1"/>
  <c r="AU123" i="1"/>
  <c r="AU125" i="1"/>
  <c r="AW129" i="1"/>
  <c r="AW128" i="1"/>
  <c r="AS129" i="1"/>
  <c r="AS128" i="1"/>
  <c r="AU120" i="1"/>
  <c r="AS16" i="1"/>
  <c r="AS17" i="1"/>
  <c r="AX138" i="1"/>
  <c r="AX136" i="1"/>
  <c r="AX137" i="1"/>
  <c r="AT138" i="1"/>
  <c r="AT136" i="1"/>
  <c r="AT137" i="1"/>
  <c r="AV120" i="1"/>
  <c r="AT16" i="1"/>
  <c r="AT17" i="1"/>
  <c r="AT79" i="1"/>
  <c r="AT80" i="1"/>
  <c r="AW138" i="1"/>
  <c r="AW137" i="1"/>
  <c r="AW136" i="1"/>
  <c r="AX124" i="1"/>
  <c r="AX123" i="1"/>
  <c r="AX125" i="1"/>
  <c r="AT124" i="1"/>
  <c r="AT125" i="1"/>
  <c r="AT123" i="1"/>
  <c r="AV129" i="1"/>
  <c r="AV128" i="1"/>
  <c r="AV137" i="1"/>
  <c r="AV138" i="1"/>
  <c r="AV136" i="1"/>
  <c r="AW123" i="1"/>
  <c r="AW125" i="1"/>
  <c r="AW124" i="1"/>
  <c r="AS123" i="1"/>
  <c r="AS125" i="1"/>
  <c r="AS124" i="1"/>
  <c r="AU128" i="1"/>
  <c r="AU129" i="1"/>
  <c r="AX120" i="1"/>
  <c r="AT120" i="1"/>
  <c r="AT81" i="1"/>
  <c r="AT82" i="1"/>
  <c r="AS82" i="1"/>
  <c r="AS81" i="1"/>
  <c r="AS80" i="1"/>
  <c r="AS79" i="1"/>
  <c r="AS5" i="1"/>
  <c r="AE294" i="1" l="1"/>
  <c r="AE272" i="1"/>
  <c r="AE269" i="1"/>
  <c r="AE261" i="1"/>
  <c r="AE257" i="1"/>
  <c r="AE250" i="1"/>
  <c r="AE248" i="1"/>
  <c r="AE241" i="1"/>
  <c r="AE239" i="1"/>
  <c r="AE238" i="1"/>
  <c r="AE237" i="1"/>
  <c r="AE235" i="1"/>
  <c r="AE234" i="1"/>
  <c r="AE233" i="1"/>
  <c r="AE230" i="1"/>
  <c r="AE229" i="1"/>
  <c r="AE228" i="1"/>
  <c r="AE226" i="1"/>
  <c r="AE225" i="1"/>
  <c r="AE224" i="1"/>
  <c r="AE223" i="1"/>
  <c r="AE222" i="1"/>
  <c r="AE221" i="1"/>
  <c r="AE220" i="1"/>
  <c r="AE219" i="1"/>
  <c r="AE218" i="1"/>
  <c r="AE217" i="1"/>
  <c r="AE216" i="1"/>
  <c r="AE210" i="1"/>
  <c r="AE206" i="1"/>
  <c r="AE203" i="1"/>
  <c r="AE201" i="1"/>
  <c r="AE199" i="1"/>
  <c r="AE198" i="1"/>
  <c r="AE158" i="1"/>
  <c r="AE156" i="1"/>
  <c r="AE154" i="1"/>
  <c r="AE153" i="1"/>
  <c r="AE147" i="1"/>
  <c r="AI5" i="1"/>
  <c r="L5" i="1"/>
  <c r="V201" i="10" l="1"/>
  <c r="X201" i="10"/>
  <c r="X224" i="10"/>
  <c r="V224" i="10"/>
  <c r="X235" i="10"/>
  <c r="V235" i="10"/>
  <c r="X318" i="10"/>
  <c r="V318" i="10"/>
  <c r="V153" i="10"/>
  <c r="X153" i="10"/>
  <c r="V162" i="10"/>
  <c r="X162" i="10"/>
  <c r="V174" i="10"/>
  <c r="X174" i="10"/>
  <c r="V203" i="10"/>
  <c r="X203" i="10"/>
  <c r="V217" i="10"/>
  <c r="X217" i="10"/>
  <c r="V221" i="10"/>
  <c r="X221" i="10"/>
  <c r="V225" i="10"/>
  <c r="X225" i="10"/>
  <c r="V230" i="10"/>
  <c r="X230" i="10"/>
  <c r="X237" i="10"/>
  <c r="V237" i="10"/>
  <c r="V248" i="10"/>
  <c r="X248" i="10"/>
  <c r="V269" i="10"/>
  <c r="X269" i="10"/>
  <c r="V294" i="10"/>
  <c r="X294" i="10"/>
  <c r="X319" i="10"/>
  <c r="V319" i="10"/>
  <c r="X158" i="10"/>
  <c r="V158" i="10"/>
  <c r="V216" i="10"/>
  <c r="X216" i="10"/>
  <c r="V229" i="10"/>
  <c r="X229" i="10"/>
  <c r="V261" i="10"/>
  <c r="X261" i="10"/>
  <c r="V154" i="10"/>
  <c r="X154" i="10"/>
  <c r="X164" i="10"/>
  <c r="V164" i="10"/>
  <c r="X198" i="10"/>
  <c r="V198" i="10"/>
  <c r="V206" i="10"/>
  <c r="X206" i="10"/>
  <c r="V218" i="10"/>
  <c r="X218" i="10"/>
  <c r="V222" i="10"/>
  <c r="X222" i="10"/>
  <c r="X226" i="10"/>
  <c r="V226" i="10"/>
  <c r="X233" i="10"/>
  <c r="V233" i="10"/>
  <c r="X238" i="10"/>
  <c r="V238" i="10"/>
  <c r="X250" i="10"/>
  <c r="V250" i="10"/>
  <c r="V272" i="10"/>
  <c r="X272" i="10"/>
  <c r="X316" i="10"/>
  <c r="V316" i="10"/>
  <c r="V147" i="10"/>
  <c r="X147" i="10"/>
  <c r="V173" i="10"/>
  <c r="X173" i="10"/>
  <c r="V220" i="10"/>
  <c r="X220" i="10"/>
  <c r="V241" i="10"/>
  <c r="X241" i="10"/>
  <c r="U276" i="10"/>
  <c r="V276" i="10"/>
  <c r="W276" i="10"/>
  <c r="Y276" i="10"/>
  <c r="X276" i="10"/>
  <c r="X156" i="10"/>
  <c r="V156" i="10"/>
  <c r="X168" i="10"/>
  <c r="V168" i="10"/>
  <c r="X199" i="10"/>
  <c r="V199" i="10"/>
  <c r="X210" i="10"/>
  <c r="V210" i="10"/>
  <c r="V219" i="10"/>
  <c r="X219" i="10"/>
  <c r="X223" i="10"/>
  <c r="V223" i="10"/>
  <c r="V228" i="10"/>
  <c r="X228" i="10"/>
  <c r="V234" i="10"/>
  <c r="X234" i="10"/>
  <c r="V239" i="10"/>
  <c r="X239" i="10"/>
  <c r="X257" i="10"/>
  <c r="V257" i="10"/>
  <c r="X275" i="10"/>
  <c r="V275" i="10"/>
  <c r="V317" i="10"/>
  <c r="X317" i="10"/>
  <c r="D21" i="37"/>
  <c r="D25" i="37"/>
  <c r="D29" i="37"/>
  <c r="D33" i="37"/>
  <c r="D37" i="37"/>
  <c r="D41" i="37"/>
  <c r="D45" i="37"/>
  <c r="D49" i="37"/>
  <c r="D53" i="37"/>
  <c r="D57" i="37"/>
  <c r="D61" i="37"/>
  <c r="D65" i="37"/>
  <c r="D69" i="37"/>
  <c r="D73" i="37"/>
  <c r="D77" i="37"/>
  <c r="D81" i="37"/>
  <c r="D85" i="37"/>
  <c r="D89" i="37"/>
  <c r="D93" i="37"/>
  <c r="D97" i="37"/>
  <c r="D101" i="37"/>
  <c r="D105" i="37"/>
  <c r="D109" i="37"/>
  <c r="D113" i="37"/>
  <c r="D117" i="37"/>
  <c r="D121" i="37"/>
  <c r="D125" i="37"/>
  <c r="D129" i="37"/>
  <c r="D133" i="37"/>
  <c r="D137" i="37"/>
  <c r="D141" i="37"/>
  <c r="D145" i="37"/>
  <c r="D149" i="37"/>
  <c r="D153" i="37"/>
  <c r="D157" i="37"/>
  <c r="D161" i="37"/>
  <c r="D165" i="37"/>
  <c r="D169" i="37"/>
  <c r="D173" i="37"/>
  <c r="D177" i="37"/>
  <c r="D181" i="37"/>
  <c r="D185" i="37"/>
  <c r="D189" i="37"/>
  <c r="D193" i="37"/>
  <c r="D197" i="37"/>
  <c r="D201" i="37"/>
  <c r="D205" i="37"/>
  <c r="D209" i="37"/>
  <c r="D213" i="37"/>
  <c r="D217" i="37"/>
  <c r="D221" i="37"/>
  <c r="D225" i="37"/>
  <c r="D229" i="37"/>
  <c r="D233" i="37"/>
  <c r="D237" i="37"/>
  <c r="D241" i="37"/>
  <c r="D245" i="37"/>
  <c r="D249" i="37"/>
  <c r="D253" i="37"/>
  <c r="D257" i="37"/>
  <c r="D261" i="37"/>
  <c r="D265" i="37"/>
  <c r="D269" i="37"/>
  <c r="D273" i="37"/>
  <c r="D277" i="37"/>
  <c r="D281" i="37"/>
  <c r="D285" i="37"/>
  <c r="D289" i="37"/>
  <c r="D293" i="37"/>
  <c r="D297" i="37"/>
  <c r="D4" i="37"/>
  <c r="D8" i="37"/>
  <c r="D12" i="37"/>
  <c r="D16" i="37"/>
  <c r="D20" i="37"/>
  <c r="D22" i="37"/>
  <c r="D26" i="37"/>
  <c r="D30" i="37"/>
  <c r="D34" i="37"/>
  <c r="D38" i="37"/>
  <c r="D42" i="37"/>
  <c r="D46" i="37"/>
  <c r="D50" i="37"/>
  <c r="D54" i="37"/>
  <c r="D58" i="37"/>
  <c r="D62" i="37"/>
  <c r="D66" i="37"/>
  <c r="D70" i="37"/>
  <c r="D74" i="37"/>
  <c r="D78" i="37"/>
  <c r="D82" i="37"/>
  <c r="D86" i="37"/>
  <c r="D90" i="37"/>
  <c r="D94" i="37"/>
  <c r="D98" i="37"/>
  <c r="D102" i="37"/>
  <c r="D106" i="37"/>
  <c r="D110" i="37"/>
  <c r="D114" i="37"/>
  <c r="D118" i="37"/>
  <c r="D122" i="37"/>
  <c r="D126" i="37"/>
  <c r="D130" i="37"/>
  <c r="D134" i="37"/>
  <c r="D138" i="37"/>
  <c r="D142" i="37"/>
  <c r="D146" i="37"/>
  <c r="D150" i="37"/>
  <c r="D154" i="37"/>
  <c r="D158" i="37"/>
  <c r="D162" i="37"/>
  <c r="D166" i="37"/>
  <c r="D170" i="37"/>
  <c r="D174" i="37"/>
  <c r="D178" i="37"/>
  <c r="D182" i="37"/>
  <c r="D186" i="37"/>
  <c r="D190" i="37"/>
  <c r="D194" i="37"/>
  <c r="D198" i="37"/>
  <c r="D202" i="37"/>
  <c r="D206" i="37"/>
  <c r="D210" i="37"/>
  <c r="D214" i="37"/>
  <c r="D218" i="37"/>
  <c r="D222" i="37"/>
  <c r="D226" i="37"/>
  <c r="D230" i="37"/>
  <c r="D234" i="37"/>
  <c r="D238" i="37"/>
  <c r="D242" i="37"/>
  <c r="D246" i="37"/>
  <c r="D250" i="37"/>
  <c r="D254" i="37"/>
  <c r="D258" i="37"/>
  <c r="D262" i="37"/>
  <c r="D266" i="37"/>
  <c r="D270" i="37"/>
  <c r="D274" i="37"/>
  <c r="D278" i="37"/>
  <c r="D282" i="37"/>
  <c r="D286" i="37"/>
  <c r="D290" i="37"/>
  <c r="D294" i="37"/>
  <c r="D298" i="37"/>
  <c r="D5" i="37"/>
  <c r="D9" i="37"/>
  <c r="D13" i="37"/>
  <c r="D17" i="37"/>
  <c r="D23" i="37"/>
  <c r="D27" i="37"/>
  <c r="D31" i="37"/>
  <c r="D35" i="37"/>
  <c r="D39" i="37"/>
  <c r="D43" i="37"/>
  <c r="D47" i="37"/>
  <c r="D51" i="37"/>
  <c r="D55" i="37"/>
  <c r="D59" i="37"/>
  <c r="D63" i="37"/>
  <c r="D24" i="37"/>
  <c r="D40" i="37"/>
  <c r="D56" i="37"/>
  <c r="D68" i="37"/>
  <c r="D76" i="37"/>
  <c r="D84" i="37"/>
  <c r="D92" i="37"/>
  <c r="D100" i="37"/>
  <c r="D108" i="37"/>
  <c r="D116" i="37"/>
  <c r="D124" i="37"/>
  <c r="D132" i="37"/>
  <c r="D140" i="37"/>
  <c r="D148" i="37"/>
  <c r="D156" i="37"/>
  <c r="D164" i="37"/>
  <c r="D172" i="37"/>
  <c r="D180" i="37"/>
  <c r="D188" i="37"/>
  <c r="D196" i="37"/>
  <c r="D204" i="37"/>
  <c r="D212" i="37"/>
  <c r="D220" i="37"/>
  <c r="D228" i="37"/>
  <c r="D236" i="37"/>
  <c r="D252" i="37"/>
  <c r="D276" i="37"/>
  <c r="D11" i="37"/>
  <c r="D28" i="37"/>
  <c r="D44" i="37"/>
  <c r="D60" i="37"/>
  <c r="D71" i="37"/>
  <c r="D79" i="37"/>
  <c r="D87" i="37"/>
  <c r="D95" i="37"/>
  <c r="D103" i="37"/>
  <c r="D111" i="37"/>
  <c r="D119" i="37"/>
  <c r="D127" i="37"/>
  <c r="D135" i="37"/>
  <c r="D143" i="37"/>
  <c r="D151" i="37"/>
  <c r="D159" i="37"/>
  <c r="D167" i="37"/>
  <c r="D175" i="37"/>
  <c r="D183" i="37"/>
  <c r="D191" i="37"/>
  <c r="D199" i="37"/>
  <c r="D207" i="37"/>
  <c r="D215" i="37"/>
  <c r="D223" i="37"/>
  <c r="D231" i="37"/>
  <c r="D239" i="37"/>
  <c r="D247" i="37"/>
  <c r="D255" i="37"/>
  <c r="D263" i="37"/>
  <c r="D271" i="37"/>
  <c r="D279" i="37"/>
  <c r="D287" i="37"/>
  <c r="D295" i="37"/>
  <c r="D6" i="37"/>
  <c r="D14" i="37"/>
  <c r="D32" i="37"/>
  <c r="D48" i="37"/>
  <c r="D64" i="37"/>
  <c r="D72" i="37"/>
  <c r="D80" i="37"/>
  <c r="D88" i="37"/>
  <c r="D96" i="37"/>
  <c r="D104" i="37"/>
  <c r="D112" i="37"/>
  <c r="D120" i="37"/>
  <c r="D128" i="37"/>
  <c r="D136" i="37"/>
  <c r="D144" i="37"/>
  <c r="D152" i="37"/>
  <c r="D160" i="37"/>
  <c r="D168" i="37"/>
  <c r="D176" i="37"/>
  <c r="D184" i="37"/>
  <c r="D192" i="37"/>
  <c r="D200" i="37"/>
  <c r="D208" i="37"/>
  <c r="D216" i="37"/>
  <c r="D224" i="37"/>
  <c r="D232" i="37"/>
  <c r="D240" i="37"/>
  <c r="D248" i="37"/>
  <c r="D256" i="37"/>
  <c r="D264" i="37"/>
  <c r="D272" i="37"/>
  <c r="D280" i="37"/>
  <c r="D288" i="37"/>
  <c r="D296" i="37"/>
  <c r="D7" i="37"/>
  <c r="D15" i="37"/>
  <c r="D36" i="37"/>
  <c r="D52" i="37"/>
  <c r="D67" i="37"/>
  <c r="D75" i="37"/>
  <c r="D83" i="37"/>
  <c r="D91" i="37"/>
  <c r="D99" i="37"/>
  <c r="D107" i="37"/>
  <c r="D115" i="37"/>
  <c r="D123" i="37"/>
  <c r="D131" i="37"/>
  <c r="D139" i="37"/>
  <c r="D147" i="37"/>
  <c r="D155" i="37"/>
  <c r="D163" i="37"/>
  <c r="D171" i="37"/>
  <c r="D179" i="37"/>
  <c r="D187" i="37"/>
  <c r="D195" i="37"/>
  <c r="D203" i="37"/>
  <c r="D211" i="37"/>
  <c r="D219" i="37"/>
  <c r="D227" i="37"/>
  <c r="D235" i="37"/>
  <c r="D243" i="37"/>
  <c r="D251" i="37"/>
  <c r="D259" i="37"/>
  <c r="D267" i="37"/>
  <c r="D275" i="37"/>
  <c r="D283" i="37"/>
  <c r="D291" i="37"/>
  <c r="D299" i="37"/>
  <c r="D10" i="37"/>
  <c r="D18" i="37"/>
  <c r="D244" i="37"/>
  <c r="D260" i="37"/>
  <c r="D268" i="37"/>
  <c r="D284" i="37"/>
  <c r="D292" i="37"/>
  <c r="D300" i="37"/>
  <c r="D19" i="37"/>
  <c r="D3" i="37"/>
  <c r="AH5" i="1"/>
  <c r="F5" i="10"/>
  <c r="D5" i="10"/>
  <c r="C5" i="10"/>
  <c r="A5" i="10"/>
  <c r="CQ5" i="10" s="1"/>
  <c r="CG4" i="10"/>
  <c r="CF4" i="10"/>
  <c r="CE4" i="10"/>
  <c r="CD4" i="10"/>
  <c r="CC4" i="10"/>
  <c r="CB4" i="10"/>
  <c r="BP4" i="10"/>
  <c r="BO4" i="10"/>
  <c r="BN4" i="10"/>
  <c r="BM4" i="10"/>
  <c r="BL4" i="10"/>
  <c r="BK4" i="10"/>
  <c r="BJ4" i="10"/>
  <c r="C4" i="10"/>
  <c r="B4" i="10"/>
  <c r="BJ356" i="10" l="1"/>
  <c r="BV361" i="10"/>
  <c r="BJ364" i="10"/>
  <c r="BJ358" i="10"/>
  <c r="BV353" i="10"/>
  <c r="BV359" i="10"/>
  <c r="BJ361" i="10"/>
  <c r="BJ355" i="10"/>
  <c r="BV363" i="10"/>
  <c r="BV355" i="10"/>
  <c r="BJ363" i="10"/>
  <c r="BJ359" i="10"/>
  <c r="BQ359" i="10" s="1"/>
  <c r="CA359" i="10" s="1"/>
  <c r="CH359" i="10" s="1"/>
  <c r="CP359" i="10" s="1"/>
  <c r="BV144" i="10"/>
  <c r="BJ143" i="10"/>
  <c r="BJ146" i="10"/>
  <c r="BV274" i="10"/>
  <c r="BJ360" i="10"/>
  <c r="BJ352" i="10"/>
  <c r="BJ259" i="10"/>
  <c r="BJ144" i="10"/>
  <c r="BJ145" i="10"/>
  <c r="BV146" i="10"/>
  <c r="BV299" i="10"/>
  <c r="BJ274" i="10"/>
  <c r="BV246" i="10"/>
  <c r="BV360" i="10"/>
  <c r="BV356" i="10"/>
  <c r="BV143" i="10"/>
  <c r="BV357" i="10"/>
  <c r="BV362" i="10"/>
  <c r="BV297" i="10"/>
  <c r="BV364" i="10"/>
  <c r="BV354" i="10"/>
  <c r="BV259" i="10"/>
  <c r="BJ299" i="10"/>
  <c r="BJ297" i="10"/>
  <c r="BQ297" i="10" s="1"/>
  <c r="BV352" i="10"/>
  <c r="BJ353" i="10"/>
  <c r="BJ354" i="10"/>
  <c r="BJ362" i="10"/>
  <c r="BJ357" i="10"/>
  <c r="BJ246" i="10"/>
  <c r="BV358" i="10"/>
  <c r="BV145" i="10"/>
  <c r="BJ383" i="10"/>
  <c r="BV367" i="10"/>
  <c r="BV383" i="10"/>
  <c r="BJ379" i="10"/>
  <c r="BV382" i="10"/>
  <c r="BJ377" i="10"/>
  <c r="BV370" i="10"/>
  <c r="BJ369" i="10"/>
  <c r="BV372" i="10"/>
  <c r="BV380" i="10"/>
  <c r="BJ374" i="10"/>
  <c r="BJ371" i="10"/>
  <c r="BQ371" i="10" s="1"/>
  <c r="BV375" i="10"/>
  <c r="BV371" i="10"/>
  <c r="BJ370" i="10"/>
  <c r="BV368" i="10"/>
  <c r="BV377" i="10"/>
  <c r="BV378" i="10"/>
  <c r="BJ365" i="10"/>
  <c r="BV376" i="10"/>
  <c r="BV379" i="10"/>
  <c r="BJ382" i="10"/>
  <c r="BJ366" i="10"/>
  <c r="BJ375" i="10"/>
  <c r="BJ373" i="10"/>
  <c r="BV366" i="10"/>
  <c r="BV381" i="10"/>
  <c r="BJ367" i="10"/>
  <c r="BJ368" i="10"/>
  <c r="BJ381" i="10"/>
  <c r="BJ378" i="10"/>
  <c r="BV373" i="10"/>
  <c r="BV374" i="10"/>
  <c r="BJ380" i="10"/>
  <c r="BJ372" i="10"/>
  <c r="BJ376" i="10"/>
  <c r="BQ376" i="10" s="1"/>
  <c r="BV369" i="10"/>
  <c r="BV365" i="10"/>
  <c r="BJ384" i="10"/>
  <c r="BV384" i="10"/>
  <c r="BV385" i="10"/>
  <c r="BJ385" i="10"/>
  <c r="BJ298" i="10"/>
  <c r="BV298" i="10"/>
  <c r="BV393" i="10"/>
  <c r="BV392" i="10"/>
  <c r="BV391" i="10"/>
  <c r="BV386" i="10"/>
  <c r="BJ389" i="10"/>
  <c r="BV388" i="10"/>
  <c r="BJ386" i="10"/>
  <c r="BJ393" i="10"/>
  <c r="BJ390" i="10"/>
  <c r="BJ388" i="10"/>
  <c r="BJ387" i="10"/>
  <c r="BJ392" i="10"/>
  <c r="BJ391" i="10"/>
  <c r="BV390" i="10"/>
  <c r="BV389" i="10"/>
  <c r="BV387" i="10"/>
  <c r="BT354" i="10"/>
  <c r="BK353" i="10"/>
  <c r="BT353" i="10"/>
  <c r="BT364" i="10"/>
  <c r="BT356" i="10"/>
  <c r="BT359" i="10"/>
  <c r="BT361" i="10"/>
  <c r="BT352" i="10"/>
  <c r="BK359" i="10"/>
  <c r="BK361" i="10"/>
  <c r="BT358" i="10"/>
  <c r="BK357" i="10"/>
  <c r="BT146" i="10"/>
  <c r="BT246" i="10"/>
  <c r="BK362" i="10"/>
  <c r="BK352" i="10"/>
  <c r="BK143" i="10"/>
  <c r="BT362" i="10"/>
  <c r="BT357" i="10"/>
  <c r="BT259" i="10"/>
  <c r="BT144" i="10"/>
  <c r="BK299" i="10"/>
  <c r="BK364" i="10"/>
  <c r="BK358" i="10"/>
  <c r="BK354" i="10"/>
  <c r="BK145" i="10"/>
  <c r="BK355" i="10"/>
  <c r="BT363" i="10"/>
  <c r="BK360" i="10"/>
  <c r="BK356" i="10"/>
  <c r="BK144" i="10"/>
  <c r="BK274" i="10"/>
  <c r="BT297" i="10"/>
  <c r="BK297" i="10"/>
  <c r="BT274" i="10"/>
  <c r="BK246" i="10"/>
  <c r="BT355" i="10"/>
  <c r="BK146" i="10"/>
  <c r="BK259" i="10"/>
  <c r="BT145" i="10"/>
  <c r="BT360" i="10"/>
  <c r="BK363" i="10"/>
  <c r="BT299" i="10"/>
  <c r="BT143" i="10"/>
  <c r="BK371" i="10"/>
  <c r="BT377" i="10"/>
  <c r="BT382" i="10"/>
  <c r="BK373" i="10"/>
  <c r="BT375" i="10"/>
  <c r="BK374" i="10"/>
  <c r="BT369" i="10"/>
  <c r="BT378" i="10"/>
  <c r="BK383" i="10"/>
  <c r="BT383" i="10"/>
  <c r="BK382" i="10"/>
  <c r="BT371" i="10"/>
  <c r="BK370" i="10"/>
  <c r="BT376" i="10"/>
  <c r="BT381" i="10"/>
  <c r="BK372" i="10"/>
  <c r="BT365" i="10"/>
  <c r="BT380" i="10"/>
  <c r="BK380" i="10"/>
  <c r="BT374" i="10"/>
  <c r="BT366" i="10"/>
  <c r="BK379" i="10"/>
  <c r="BK375" i="10"/>
  <c r="BK368" i="10"/>
  <c r="BK377" i="10"/>
  <c r="BT370" i="10"/>
  <c r="BK365" i="10"/>
  <c r="BT379" i="10"/>
  <c r="BK378" i="10"/>
  <c r="BK376" i="10"/>
  <c r="BK366" i="10"/>
  <c r="BK367" i="10"/>
  <c r="BT372" i="10"/>
  <c r="BT368" i="10"/>
  <c r="BT373" i="10"/>
  <c r="BT367" i="10"/>
  <c r="BK381" i="10"/>
  <c r="BK369" i="10"/>
  <c r="BT384" i="10"/>
  <c r="BK385" i="10"/>
  <c r="BT385" i="10"/>
  <c r="BK384" i="10"/>
  <c r="BK298" i="10"/>
  <c r="BT298" i="10"/>
  <c r="BT393" i="10"/>
  <c r="BT387" i="10"/>
  <c r="BK392" i="10"/>
  <c r="BT391" i="10"/>
  <c r="BK391" i="10"/>
  <c r="BK388" i="10"/>
  <c r="BK386" i="10"/>
  <c r="BT392" i="10"/>
  <c r="BK390" i="10"/>
  <c r="BK389" i="10"/>
  <c r="BT386" i="10"/>
  <c r="BK393" i="10"/>
  <c r="BT390" i="10"/>
  <c r="BT389" i="10"/>
  <c r="BT388" i="10"/>
  <c r="BK387" i="10"/>
  <c r="BO353" i="10"/>
  <c r="BO359" i="10"/>
  <c r="BO356" i="10"/>
  <c r="BO361" i="10"/>
  <c r="BO352" i="10"/>
  <c r="BO363" i="10"/>
  <c r="BO358" i="10"/>
  <c r="BO357" i="10"/>
  <c r="BO364" i="10"/>
  <c r="BX362" i="10"/>
  <c r="BX259" i="10"/>
  <c r="BX361" i="10"/>
  <c r="BX359" i="10"/>
  <c r="BX355" i="10"/>
  <c r="BX143" i="10"/>
  <c r="BX145" i="10"/>
  <c r="BO259" i="10"/>
  <c r="BX364" i="10"/>
  <c r="BO297" i="10"/>
  <c r="BX358" i="10"/>
  <c r="BX352" i="10"/>
  <c r="BX363" i="10"/>
  <c r="BX353" i="10"/>
  <c r="BO143" i="10"/>
  <c r="BO362" i="10"/>
  <c r="BX299" i="10"/>
  <c r="BO246" i="10"/>
  <c r="BX356" i="10"/>
  <c r="BX144" i="10"/>
  <c r="BO360" i="10"/>
  <c r="BO274" i="10"/>
  <c r="BX274" i="10"/>
  <c r="BO355" i="10"/>
  <c r="BO354" i="10"/>
  <c r="BX297" i="10"/>
  <c r="BX357" i="10"/>
  <c r="BX360" i="10"/>
  <c r="BO299" i="10"/>
  <c r="BX354" i="10"/>
  <c r="BO144" i="10"/>
  <c r="BX146" i="10"/>
  <c r="BO145" i="10"/>
  <c r="BO146" i="10"/>
  <c r="BX246" i="10"/>
  <c r="BO370" i="10"/>
  <c r="BO379" i="10"/>
  <c r="BO374" i="10"/>
  <c r="BO366" i="10"/>
  <c r="BX372" i="10"/>
  <c r="BX368" i="10"/>
  <c r="BO380" i="10"/>
  <c r="BX367" i="10"/>
  <c r="BO365" i="10"/>
  <c r="BX373" i="10"/>
  <c r="BO375" i="10"/>
  <c r="BX377" i="10"/>
  <c r="BX382" i="10"/>
  <c r="BX375" i="10"/>
  <c r="BO373" i="10"/>
  <c r="BX369" i="10"/>
  <c r="BX378" i="10"/>
  <c r="BO376" i="10"/>
  <c r="BO372" i="10"/>
  <c r="BO367" i="10"/>
  <c r="BO383" i="10"/>
  <c r="BO368" i="10"/>
  <c r="BX383" i="10"/>
  <c r="BO381" i="10"/>
  <c r="BX371" i="10"/>
  <c r="BX376" i="10"/>
  <c r="BX381" i="10"/>
  <c r="BX365" i="10"/>
  <c r="BX380" i="10"/>
  <c r="BO378" i="10"/>
  <c r="BX370" i="10"/>
  <c r="BO369" i="10"/>
  <c r="BO371" i="10"/>
  <c r="BX366" i="10"/>
  <c r="BO382" i="10"/>
  <c r="BX379" i="10"/>
  <c r="BO377" i="10"/>
  <c r="BX374" i="10"/>
  <c r="BX385" i="10"/>
  <c r="BO385" i="10"/>
  <c r="BO384" i="10"/>
  <c r="BX384" i="10"/>
  <c r="BX298" i="10"/>
  <c r="BO298" i="10"/>
  <c r="BO392" i="10"/>
  <c r="BX392" i="10"/>
  <c r="BX391" i="10"/>
  <c r="BO388" i="10"/>
  <c r="BO387" i="10"/>
  <c r="BO386" i="10"/>
  <c r="BO393" i="10"/>
  <c r="BO390" i="10"/>
  <c r="BX390" i="10"/>
  <c r="BO389" i="10"/>
  <c r="BX388" i="10"/>
  <c r="BO391" i="10"/>
  <c r="BX389" i="10"/>
  <c r="BX386" i="10"/>
  <c r="BX393" i="10"/>
  <c r="BX387" i="10"/>
  <c r="AH356" i="10"/>
  <c r="AH352" i="10"/>
  <c r="AH361" i="10"/>
  <c r="AH363" i="10"/>
  <c r="AH358" i="10"/>
  <c r="AH360" i="10"/>
  <c r="AH353" i="10"/>
  <c r="AH243" i="10"/>
  <c r="AH198" i="10"/>
  <c r="AI198" i="10" s="1"/>
  <c r="AH143" i="10"/>
  <c r="AH175" i="10"/>
  <c r="AI175" i="10" s="1"/>
  <c r="AH265" i="10"/>
  <c r="AH157" i="10"/>
  <c r="AI157" i="10" s="1"/>
  <c r="AH203" i="10"/>
  <c r="AI203" i="10" s="1"/>
  <c r="AH261" i="10"/>
  <c r="AI261" i="10" s="1"/>
  <c r="AH158" i="10"/>
  <c r="AI158" i="10" s="1"/>
  <c r="AH283" i="10"/>
  <c r="AH277" i="10"/>
  <c r="AH247" i="10"/>
  <c r="AH249" i="10"/>
  <c r="AH298" i="10"/>
  <c r="AH292" i="10"/>
  <c r="AH291" i="10"/>
  <c r="AH290" i="10"/>
  <c r="AH272" i="10"/>
  <c r="AI272" i="10" s="1"/>
  <c r="AH268" i="10"/>
  <c r="AH264" i="10"/>
  <c r="AH260" i="10"/>
  <c r="AH250" i="10"/>
  <c r="AI250" i="10" s="1"/>
  <c r="AH246" i="10"/>
  <c r="AH204" i="10"/>
  <c r="AI204" i="10" s="1"/>
  <c r="AH362" i="10"/>
  <c r="AH357" i="10"/>
  <c r="AH364" i="10"/>
  <c r="AH359" i="10"/>
  <c r="AH318" i="10"/>
  <c r="AI318" i="10" s="1"/>
  <c r="AH267" i="10"/>
  <c r="AH244" i="10"/>
  <c r="AH269" i="10"/>
  <c r="AI269" i="10" s="1"/>
  <c r="AH172" i="10"/>
  <c r="AI172" i="10" s="1"/>
  <c r="AH145" i="10"/>
  <c r="CD142" i="10"/>
  <c r="AH252" i="10"/>
  <c r="AH325" i="10"/>
  <c r="AH241" i="10"/>
  <c r="AI241" i="10" s="1"/>
  <c r="AH297" i="10"/>
  <c r="AH284" i="10"/>
  <c r="AH276" i="10"/>
  <c r="AH274" i="10"/>
  <c r="AH258" i="10"/>
  <c r="AH254" i="10"/>
  <c r="AH257" i="10"/>
  <c r="AI257" i="10" s="1"/>
  <c r="AH263" i="10"/>
  <c r="AH202" i="10"/>
  <c r="AI202" i="10" s="1"/>
  <c r="AH324" i="10"/>
  <c r="AH251" i="10"/>
  <c r="AH255" i="10"/>
  <c r="AH271" i="10"/>
  <c r="AH282" i="10"/>
  <c r="AH262" i="10"/>
  <c r="AH306" i="10"/>
  <c r="AH279" i="10"/>
  <c r="AH248" i="10"/>
  <c r="AI248" i="10" s="1"/>
  <c r="AH245" i="10"/>
  <c r="AH171" i="10"/>
  <c r="AI171" i="10" s="1"/>
  <c r="AH296" i="10"/>
  <c r="AH270" i="10"/>
  <c r="AH256" i="10"/>
  <c r="AH242" i="10"/>
  <c r="AH273" i="10"/>
  <c r="AH317" i="10"/>
  <c r="AI317" i="10" s="1"/>
  <c r="AH144" i="10"/>
  <c r="AH275" i="10"/>
  <c r="AI275" i="10" s="1"/>
  <c r="AH181" i="10"/>
  <c r="AH354" i="10"/>
  <c r="AH183" i="10"/>
  <c r="AH156" i="10"/>
  <c r="AI156" i="10" s="1"/>
  <c r="AH259" i="10"/>
  <c r="AH197" i="10"/>
  <c r="AI197" i="10" s="1"/>
  <c r="AH253" i="10"/>
  <c r="AH146" i="10"/>
  <c r="AH300" i="10"/>
  <c r="AH295" i="10"/>
  <c r="AH266" i="10"/>
  <c r="CD143" i="10"/>
  <c r="AH159" i="10"/>
  <c r="AI159" i="10" s="1"/>
  <c r="AH299" i="10"/>
  <c r="AH355" i="10"/>
  <c r="AH160" i="10"/>
  <c r="AI160" i="10" s="1"/>
  <c r="AH182" i="10"/>
  <c r="AH311" i="10"/>
  <c r="AH278" i="10"/>
  <c r="CD145" i="10"/>
  <c r="CD354" i="10"/>
  <c r="CD352" i="10"/>
  <c r="CD363" i="10"/>
  <c r="CD358" i="10"/>
  <c r="CD259" i="10"/>
  <c r="CD304" i="10"/>
  <c r="CD308" i="10"/>
  <c r="CD307" i="10"/>
  <c r="CD361" i="10"/>
  <c r="CD356" i="10"/>
  <c r="CD163" i="10"/>
  <c r="CD355" i="10"/>
  <c r="CD359" i="10"/>
  <c r="CD208" i="10"/>
  <c r="CD146" i="10"/>
  <c r="CD169" i="10"/>
  <c r="CD353" i="10"/>
  <c r="CD357" i="10"/>
  <c r="CD274" i="10"/>
  <c r="CD246" i="10"/>
  <c r="CD165" i="10"/>
  <c r="CD166" i="10"/>
  <c r="CD364" i="10"/>
  <c r="CD360" i="10"/>
  <c r="CD167" i="10"/>
  <c r="CD144" i="10"/>
  <c r="CD240" i="10"/>
  <c r="CD293" i="10"/>
  <c r="CD362" i="10"/>
  <c r="CD297" i="10"/>
  <c r="CD299" i="10"/>
  <c r="AH367" i="10"/>
  <c r="AH377" i="10"/>
  <c r="AH373" i="10"/>
  <c r="AH374" i="10"/>
  <c r="AH381" i="10"/>
  <c r="AH369" i="10"/>
  <c r="AH366" i="10"/>
  <c r="AH365" i="10"/>
  <c r="AH368" i="10"/>
  <c r="AH382" i="10"/>
  <c r="AH383" i="10"/>
  <c r="AH371" i="10"/>
  <c r="AH375" i="10"/>
  <c r="AH379" i="10"/>
  <c r="AH378" i="10"/>
  <c r="AH370" i="10"/>
  <c r="AH376" i="10"/>
  <c r="AH372" i="10"/>
  <c r="AH380" i="10"/>
  <c r="CD365" i="10"/>
  <c r="CD373" i="10"/>
  <c r="CD371" i="10"/>
  <c r="CD374" i="10"/>
  <c r="CD382" i="10"/>
  <c r="CD372" i="10"/>
  <c r="CD370" i="10"/>
  <c r="CD369" i="10"/>
  <c r="CD381" i="10"/>
  <c r="CD375" i="10"/>
  <c r="CD367" i="10"/>
  <c r="CD368" i="10"/>
  <c r="CD366" i="10"/>
  <c r="CD379" i="10"/>
  <c r="CD376" i="10"/>
  <c r="CD383" i="10"/>
  <c r="CD378" i="10"/>
  <c r="CD377" i="10"/>
  <c r="CD380" i="10"/>
  <c r="AH384" i="10"/>
  <c r="AH385" i="10"/>
  <c r="CD385" i="10"/>
  <c r="CD384" i="10"/>
  <c r="CD298" i="10"/>
  <c r="AH387" i="10"/>
  <c r="AH389" i="10"/>
  <c r="AH388" i="10"/>
  <c r="AH391" i="10"/>
  <c r="AH390" i="10"/>
  <c r="AH386" i="10"/>
  <c r="AH393" i="10"/>
  <c r="AH392" i="10"/>
  <c r="CD389" i="10"/>
  <c r="CD390" i="10"/>
  <c r="CD392" i="10"/>
  <c r="CD387" i="10"/>
  <c r="CD391" i="10"/>
  <c r="CD393" i="10"/>
  <c r="CD386" i="10"/>
  <c r="CD388" i="10"/>
  <c r="BW353" i="10"/>
  <c r="BW359" i="10"/>
  <c r="BW361" i="10"/>
  <c r="BW363" i="10"/>
  <c r="BN299" i="10"/>
  <c r="BW297" i="10"/>
  <c r="BN274" i="10"/>
  <c r="BN364" i="10"/>
  <c r="BW364" i="10"/>
  <c r="BW358" i="10"/>
  <c r="BW354" i="10"/>
  <c r="BN357" i="10"/>
  <c r="BW246" i="10"/>
  <c r="BN143" i="10"/>
  <c r="BW145" i="10"/>
  <c r="BW357" i="10"/>
  <c r="BN354" i="10"/>
  <c r="BN352" i="10"/>
  <c r="BN360" i="10"/>
  <c r="BN358" i="10"/>
  <c r="BW352" i="10"/>
  <c r="BW274" i="10"/>
  <c r="BN145" i="10"/>
  <c r="BW355" i="10"/>
  <c r="BN144" i="10"/>
  <c r="BW356" i="10"/>
  <c r="BW299" i="10"/>
  <c r="BN246" i="10"/>
  <c r="BN353" i="10"/>
  <c r="BW146" i="10"/>
  <c r="BN146" i="10"/>
  <c r="BN356" i="10"/>
  <c r="BW362" i="10"/>
  <c r="BN363" i="10"/>
  <c r="BN297" i="10"/>
  <c r="BW360" i="10"/>
  <c r="BN361" i="10"/>
  <c r="BN359" i="10"/>
  <c r="BN355" i="10"/>
  <c r="BW143" i="10"/>
  <c r="BW259" i="10"/>
  <c r="BN259" i="10"/>
  <c r="BN362" i="10"/>
  <c r="BW144" i="10"/>
  <c r="BW374" i="10"/>
  <c r="BN371" i="10"/>
  <c r="BW371" i="10"/>
  <c r="BW369" i="10"/>
  <c r="BW373" i="10"/>
  <c r="BW375" i="10"/>
  <c r="BN376" i="10"/>
  <c r="BN377" i="10"/>
  <c r="BN378" i="10"/>
  <c r="BW376" i="10"/>
  <c r="BN379" i="10"/>
  <c r="BN367" i="10"/>
  <c r="BN381" i="10"/>
  <c r="BN366" i="10"/>
  <c r="BN380" i="10"/>
  <c r="BN372" i="10"/>
  <c r="BN373" i="10"/>
  <c r="BW377" i="10"/>
  <c r="BN375" i="10"/>
  <c r="BW382" i="10"/>
  <c r="BW372" i="10"/>
  <c r="BN370" i="10"/>
  <c r="BN369" i="10"/>
  <c r="BW367" i="10"/>
  <c r="BW366" i="10"/>
  <c r="BN365" i="10"/>
  <c r="BN368" i="10"/>
  <c r="BW381" i="10"/>
  <c r="BW370" i="10"/>
  <c r="BN374" i="10"/>
  <c r="BW379" i="10"/>
  <c r="BW380" i="10"/>
  <c r="BN383" i="10"/>
  <c r="BW378" i="10"/>
  <c r="BW365" i="10"/>
  <c r="BW383" i="10"/>
  <c r="BN382" i="10"/>
  <c r="BW368" i="10"/>
  <c r="BW384" i="10"/>
  <c r="BN384" i="10"/>
  <c r="BW385" i="10"/>
  <c r="BN385" i="10"/>
  <c r="BW298" i="10"/>
  <c r="BN298" i="10"/>
  <c r="BW390" i="10"/>
  <c r="BN389" i="10"/>
  <c r="BW387" i="10"/>
  <c r="BN393" i="10"/>
  <c r="BN392" i="10"/>
  <c r="BW391" i="10"/>
  <c r="BN390" i="10"/>
  <c r="BN387" i="10"/>
  <c r="BN386" i="10"/>
  <c r="BW393" i="10"/>
  <c r="BW392" i="10"/>
  <c r="BN391" i="10"/>
  <c r="BW389" i="10"/>
  <c r="BW388" i="10"/>
  <c r="BN388" i="10"/>
  <c r="BW386" i="10"/>
  <c r="BL361" i="10"/>
  <c r="BL359" i="10"/>
  <c r="BL353" i="10"/>
  <c r="BL357" i="10"/>
  <c r="BL355" i="10"/>
  <c r="BL352" i="10"/>
  <c r="BL146" i="10"/>
  <c r="BL144" i="10"/>
  <c r="BU274" i="10"/>
  <c r="BL360" i="10"/>
  <c r="BU363" i="10"/>
  <c r="BU353" i="10"/>
  <c r="BU259" i="10"/>
  <c r="BU362" i="10"/>
  <c r="BU356" i="10"/>
  <c r="BU246" i="10"/>
  <c r="BL364" i="10"/>
  <c r="BL358" i="10"/>
  <c r="BL354" i="10"/>
  <c r="BU359" i="10"/>
  <c r="BU355" i="10"/>
  <c r="BL246" i="10"/>
  <c r="BU143" i="10"/>
  <c r="BL143" i="10"/>
  <c r="BL363" i="10"/>
  <c r="BL362" i="10"/>
  <c r="BL299" i="10"/>
  <c r="BL274" i="10"/>
  <c r="BU145" i="10"/>
  <c r="BU299" i="10"/>
  <c r="BU297" i="10"/>
  <c r="BU358" i="10"/>
  <c r="BU357" i="10"/>
  <c r="BU352" i="10"/>
  <c r="BU354" i="10"/>
  <c r="BU360" i="10"/>
  <c r="BL356" i="10"/>
  <c r="BL145" i="10"/>
  <c r="BU144" i="10"/>
  <c r="BU361" i="10"/>
  <c r="BU146" i="10"/>
  <c r="BU364" i="10"/>
  <c r="BL297" i="10"/>
  <c r="BL259" i="10"/>
  <c r="BU375" i="10"/>
  <c r="BU367" i="10"/>
  <c r="BU370" i="10"/>
  <c r="BU376" i="10"/>
  <c r="BL370" i="10"/>
  <c r="BL379" i="10"/>
  <c r="BU373" i="10"/>
  <c r="BU382" i="10"/>
  <c r="BU374" i="10"/>
  <c r="BL372" i="10"/>
  <c r="BL368" i="10"/>
  <c r="BU381" i="10"/>
  <c r="BL367" i="10"/>
  <c r="BL373" i="10"/>
  <c r="BU379" i="10"/>
  <c r="BU383" i="10"/>
  <c r="BU378" i="10"/>
  <c r="BL377" i="10"/>
  <c r="BL382" i="10"/>
  <c r="BU377" i="10"/>
  <c r="BL375" i="10"/>
  <c r="BU369" i="10"/>
  <c r="BL369" i="10"/>
  <c r="BU380" i="10"/>
  <c r="BL378" i="10"/>
  <c r="BU366" i="10"/>
  <c r="BL371" i="10"/>
  <c r="BU365" i="10"/>
  <c r="BL365" i="10"/>
  <c r="BL376" i="10"/>
  <c r="BL374" i="10"/>
  <c r="BU368" i="10"/>
  <c r="BU371" i="10"/>
  <c r="BU372" i="10"/>
  <c r="BL380" i="10"/>
  <c r="BL383" i="10"/>
  <c r="BL381" i="10"/>
  <c r="BL366" i="10"/>
  <c r="BU384" i="10"/>
  <c r="BL384" i="10"/>
  <c r="BL385" i="10"/>
  <c r="BU385" i="10"/>
  <c r="BL298" i="10"/>
  <c r="BU298" i="10"/>
  <c r="BU393" i="10"/>
  <c r="BU391" i="10"/>
  <c r="BU390" i="10"/>
  <c r="BL390" i="10"/>
  <c r="BL388" i="10"/>
  <c r="BL389" i="10"/>
  <c r="BL387" i="10"/>
  <c r="BU387" i="10"/>
  <c r="BL393" i="10"/>
  <c r="BL391" i="10"/>
  <c r="BU392" i="10"/>
  <c r="BL392" i="10"/>
  <c r="BU389" i="10"/>
  <c r="BU388" i="10"/>
  <c r="BU386" i="10"/>
  <c r="BL386" i="10"/>
  <c r="BP361" i="10"/>
  <c r="BP363" i="10"/>
  <c r="BP299" i="10"/>
  <c r="BP297" i="10"/>
  <c r="BP246" i="10"/>
  <c r="BP364" i="10"/>
  <c r="BY361" i="10"/>
  <c r="BP358" i="10"/>
  <c r="BY357" i="10"/>
  <c r="BP354" i="10"/>
  <c r="BP355" i="10"/>
  <c r="BY274" i="10"/>
  <c r="BY363" i="10"/>
  <c r="BY353" i="10"/>
  <c r="BP259" i="10"/>
  <c r="BY259" i="10"/>
  <c r="BP357" i="10"/>
  <c r="BY364" i="10"/>
  <c r="BY362" i="10"/>
  <c r="BY356" i="10"/>
  <c r="BY352" i="10"/>
  <c r="BP145" i="10"/>
  <c r="BY354" i="10"/>
  <c r="BY359" i="10"/>
  <c r="BY355" i="10"/>
  <c r="BY143" i="10"/>
  <c r="BP143" i="10"/>
  <c r="BY358" i="10"/>
  <c r="BP274" i="10"/>
  <c r="BY246" i="10"/>
  <c r="BP359" i="10"/>
  <c r="BP353" i="10"/>
  <c r="BP362" i="10"/>
  <c r="BY145" i="10"/>
  <c r="BP144" i="10"/>
  <c r="BY360" i="10"/>
  <c r="BP352" i="10"/>
  <c r="BY144" i="10"/>
  <c r="BP146" i="10"/>
  <c r="BY299" i="10"/>
  <c r="BY297" i="10"/>
  <c r="BP360" i="10"/>
  <c r="BP356" i="10"/>
  <c r="BY146" i="10"/>
  <c r="BY377" i="10"/>
  <c r="BY381" i="10"/>
  <c r="BY379" i="10"/>
  <c r="BY378" i="10"/>
  <c r="BP383" i="10"/>
  <c r="BP371" i="10"/>
  <c r="BY368" i="10"/>
  <c r="BP376" i="10"/>
  <c r="BP381" i="10"/>
  <c r="BP365" i="10"/>
  <c r="BP380" i="10"/>
  <c r="BP374" i="10"/>
  <c r="BY383" i="10"/>
  <c r="BY367" i="10"/>
  <c r="BY373" i="10"/>
  <c r="BP370" i="10"/>
  <c r="BP379" i="10"/>
  <c r="BY370" i="10"/>
  <c r="BY374" i="10"/>
  <c r="BY382" i="10"/>
  <c r="BY369" i="10"/>
  <c r="BY366" i="10"/>
  <c r="BY371" i="10"/>
  <c r="BY365" i="10"/>
  <c r="BP372" i="10"/>
  <c r="BP368" i="10"/>
  <c r="BY376" i="10"/>
  <c r="BP367" i="10"/>
  <c r="BP373" i="10"/>
  <c r="BY375" i="10"/>
  <c r="BY380" i="10"/>
  <c r="BP366" i="10"/>
  <c r="BY372" i="10"/>
  <c r="BP382" i="10"/>
  <c r="BP375" i="10"/>
  <c r="BP378" i="10"/>
  <c r="BP377" i="10"/>
  <c r="BP369" i="10"/>
  <c r="BY384" i="10"/>
  <c r="BP385" i="10"/>
  <c r="BY385" i="10"/>
  <c r="BP384" i="10"/>
  <c r="BP298" i="10"/>
  <c r="BY298" i="10"/>
  <c r="BY393" i="10"/>
  <c r="BP390" i="10"/>
  <c r="BP389" i="10"/>
  <c r="BY389" i="10"/>
  <c r="BP387" i="10"/>
  <c r="BP393" i="10"/>
  <c r="BP392" i="10"/>
  <c r="BP391" i="10"/>
  <c r="BP388" i="10"/>
  <c r="BY392" i="10"/>
  <c r="BY388" i="10"/>
  <c r="BY386" i="10"/>
  <c r="BY391" i="10"/>
  <c r="BY390" i="10"/>
  <c r="BY387" i="10"/>
  <c r="BP386" i="10"/>
  <c r="CC353" i="10"/>
  <c r="CC145" i="10"/>
  <c r="CC363" i="10"/>
  <c r="CC357" i="10"/>
  <c r="CC352" i="10"/>
  <c r="CC364" i="10"/>
  <c r="CC359" i="10"/>
  <c r="CC355" i="10"/>
  <c r="CC146" i="10"/>
  <c r="CC356" i="10"/>
  <c r="CC354" i="10"/>
  <c r="CC361" i="10"/>
  <c r="CC362" i="10"/>
  <c r="CC358" i="10"/>
  <c r="CC360" i="10"/>
  <c r="CC144" i="10"/>
  <c r="CC143" i="10"/>
  <c r="CC380" i="10"/>
  <c r="CC376" i="10"/>
  <c r="CC379" i="10"/>
  <c r="CC383" i="10"/>
  <c r="CC382" i="10"/>
  <c r="CC381" i="10"/>
  <c r="CC373" i="10"/>
  <c r="CC370" i="10"/>
  <c r="CC377" i="10"/>
  <c r="CC378" i="10"/>
  <c r="CC372" i="10"/>
  <c r="CC367" i="10"/>
  <c r="CC371" i="10"/>
  <c r="CC366" i="10"/>
  <c r="CC365" i="10"/>
  <c r="CC374" i="10"/>
  <c r="CC375" i="10"/>
  <c r="CC369" i="10"/>
  <c r="CC368" i="10"/>
  <c r="CC385" i="10"/>
  <c r="CC384" i="10"/>
  <c r="CC393" i="10"/>
  <c r="CC389" i="10"/>
  <c r="CC392" i="10"/>
  <c r="CC388" i="10"/>
  <c r="CC391" i="10"/>
  <c r="CC387" i="10"/>
  <c r="CC390" i="10"/>
  <c r="CC386" i="10"/>
  <c r="BM362" i="10"/>
  <c r="BM356" i="10"/>
  <c r="BM246" i="10"/>
  <c r="BS356" i="10"/>
  <c r="BS360" i="10"/>
  <c r="BZ360" i="10" s="1"/>
  <c r="BM359" i="10"/>
  <c r="BM355" i="10"/>
  <c r="BM143" i="10"/>
  <c r="BM299" i="10"/>
  <c r="BM297" i="10"/>
  <c r="BM364" i="10"/>
  <c r="BS358" i="10"/>
  <c r="BM358" i="10"/>
  <c r="BM354" i="10"/>
  <c r="BS364" i="10"/>
  <c r="BZ364" i="10" s="1"/>
  <c r="BM360" i="10"/>
  <c r="BS352" i="10"/>
  <c r="BM352" i="10"/>
  <c r="BS361" i="10"/>
  <c r="BZ361" i="10" s="1"/>
  <c r="BS359" i="10"/>
  <c r="BZ359" i="10" s="1"/>
  <c r="BS355" i="10"/>
  <c r="BM145" i="10"/>
  <c r="BS297" i="10"/>
  <c r="BZ297" i="10" s="1"/>
  <c r="CA297" i="10" s="1"/>
  <c r="BS362" i="10"/>
  <c r="BS259" i="10"/>
  <c r="BS357" i="10"/>
  <c r="BM353" i="10"/>
  <c r="BS143" i="10"/>
  <c r="BM259" i="10"/>
  <c r="BM144" i="10"/>
  <c r="BM274" i="10"/>
  <c r="BM363" i="10"/>
  <c r="BM361" i="10"/>
  <c r="BM357" i="10"/>
  <c r="BM146" i="10"/>
  <c r="BS246" i="10"/>
  <c r="BS354" i="10"/>
  <c r="BZ354" i="10" s="1"/>
  <c r="BS363" i="10"/>
  <c r="BS144" i="10"/>
  <c r="BZ144" i="10" s="1"/>
  <c r="BS274" i="10"/>
  <c r="BS299" i="10"/>
  <c r="BZ299" i="10" s="1"/>
  <c r="BS353" i="10"/>
  <c r="BS146" i="10"/>
  <c r="BZ146" i="10" s="1"/>
  <c r="BS145" i="10"/>
  <c r="BM377" i="10"/>
  <c r="BM380" i="10"/>
  <c r="BM374" i="10"/>
  <c r="BS366" i="10"/>
  <c r="BM381" i="10"/>
  <c r="BM379" i="10"/>
  <c r="BM375" i="10"/>
  <c r="BS367" i="10"/>
  <c r="BS378" i="10"/>
  <c r="BM373" i="10"/>
  <c r="BS370" i="10"/>
  <c r="BZ370" i="10" s="1"/>
  <c r="BM371" i="10"/>
  <c r="BS380" i="10"/>
  <c r="BZ380" i="10" s="1"/>
  <c r="BS372" i="10"/>
  <c r="BM378" i="10"/>
  <c r="BS377" i="10"/>
  <c r="BS375" i="10"/>
  <c r="BS369" i="10"/>
  <c r="BM366" i="10"/>
  <c r="BM365" i="10"/>
  <c r="BM370" i="10"/>
  <c r="BS368" i="10"/>
  <c r="BS374" i="10"/>
  <c r="BZ374" i="10" s="1"/>
  <c r="BM368" i="10"/>
  <c r="BM372" i="10"/>
  <c r="BS373" i="10"/>
  <c r="BM383" i="10"/>
  <c r="BM376" i="10"/>
  <c r="BS381" i="10"/>
  <c r="BZ381" i="10" s="1"/>
  <c r="BM369" i="10"/>
  <c r="BS376" i="10"/>
  <c r="BZ376" i="10" s="1"/>
  <c r="CA376" i="10" s="1"/>
  <c r="CH376" i="10" s="1"/>
  <c r="CP376" i="10" s="1"/>
  <c r="BS383" i="10"/>
  <c r="BM382" i="10"/>
  <c r="BS371" i="10"/>
  <c r="BS365" i="10"/>
  <c r="BZ365" i="10" s="1"/>
  <c r="BS382" i="10"/>
  <c r="BZ382" i="10" s="1"/>
  <c r="BS379" i="10"/>
  <c r="BM367" i="10"/>
  <c r="BS385" i="10"/>
  <c r="BZ385" i="10" s="1"/>
  <c r="BM384" i="10"/>
  <c r="BM385" i="10"/>
  <c r="BS384" i="10"/>
  <c r="BM298" i="10"/>
  <c r="BS298" i="10"/>
  <c r="BM392" i="10"/>
  <c r="BM391" i="10"/>
  <c r="BS389" i="10"/>
  <c r="BZ389" i="10" s="1"/>
  <c r="BM388" i="10"/>
  <c r="BS386" i="10"/>
  <c r="BM393" i="10"/>
  <c r="BS390" i="10"/>
  <c r="BZ390" i="10" s="1"/>
  <c r="BM387" i="10"/>
  <c r="BM386" i="10"/>
  <c r="BS391" i="10"/>
  <c r="BM390" i="10"/>
  <c r="BS387" i="10"/>
  <c r="BS393" i="10"/>
  <c r="BS392" i="10"/>
  <c r="BM389" i="10"/>
  <c r="BS388" i="10"/>
  <c r="BZ388" i="10" s="1"/>
  <c r="CB361" i="10"/>
  <c r="CB357" i="10"/>
  <c r="CB246" i="10"/>
  <c r="CB358" i="10"/>
  <c r="CB354" i="10"/>
  <c r="CB362" i="10"/>
  <c r="CB356" i="10"/>
  <c r="CB145" i="10"/>
  <c r="CB353" i="10"/>
  <c r="CB274" i="10"/>
  <c r="CB299" i="10"/>
  <c r="CB297" i="10"/>
  <c r="CB355" i="10"/>
  <c r="CB359" i="10"/>
  <c r="CB146" i="10"/>
  <c r="CB360" i="10"/>
  <c r="CB143" i="10"/>
  <c r="CB363" i="10"/>
  <c r="CB364" i="10"/>
  <c r="CB259" i="10"/>
  <c r="CB144" i="10"/>
  <c r="CB352" i="10"/>
  <c r="CB370" i="10"/>
  <c r="CB379" i="10"/>
  <c r="CB372" i="10"/>
  <c r="CB368" i="10"/>
  <c r="CB367" i="10"/>
  <c r="CB373" i="10"/>
  <c r="CB377" i="10"/>
  <c r="CB382" i="10"/>
  <c r="CB375" i="10"/>
  <c r="CB369" i="10"/>
  <c r="CB383" i="10"/>
  <c r="CB381" i="10"/>
  <c r="CB374" i="10"/>
  <c r="CB380" i="10"/>
  <c r="CB371" i="10"/>
  <c r="CB365" i="10"/>
  <c r="CB378" i="10"/>
  <c r="CB366" i="10"/>
  <c r="CB376" i="10"/>
  <c r="CB385" i="10"/>
  <c r="CB384" i="10"/>
  <c r="CB298" i="10"/>
  <c r="CB392" i="10"/>
  <c r="CB389" i="10"/>
  <c r="CB387" i="10"/>
  <c r="CB386" i="10"/>
  <c r="CB393" i="10"/>
  <c r="CB391" i="10"/>
  <c r="CB390" i="10"/>
  <c r="CB388" i="10"/>
  <c r="Z5" i="25"/>
  <c r="AC5" i="25"/>
  <c r="AN5" i="25"/>
  <c r="AX5" i="25"/>
  <c r="BJ5" i="25"/>
  <c r="S5" i="25"/>
  <c r="AP5" i="25"/>
  <c r="AJ5" i="25"/>
  <c r="BB5" i="25"/>
  <c r="AA5" i="25"/>
  <c r="AL5" i="25"/>
  <c r="AT5" i="25"/>
  <c r="BF5" i="25"/>
  <c r="AB5" i="25"/>
  <c r="AF5" i="25"/>
  <c r="AZ5" i="25"/>
  <c r="AR5" i="25"/>
  <c r="AU5" i="25"/>
  <c r="AS5" i="25"/>
  <c r="BG5" i="25"/>
  <c r="AQ5" i="25"/>
  <c r="AO5" i="25"/>
  <c r="BC5" i="25"/>
  <c r="AM5" i="25"/>
  <c r="BE5" i="25"/>
  <c r="AK5" i="25"/>
  <c r="AY5" i="25"/>
  <c r="AD5" i="25"/>
  <c r="AW5" i="25"/>
  <c r="AG5" i="25"/>
  <c r="BE31" i="25"/>
  <c r="AJ9" i="25"/>
  <c r="AJ8" i="25"/>
  <c r="AS31" i="25"/>
  <c r="BB31" i="25"/>
  <c r="AL31" i="25"/>
  <c r="AB31" i="25"/>
  <c r="S31" i="25"/>
  <c r="AY31" i="25"/>
  <c r="AZ31" i="25"/>
  <c r="AQ31" i="25"/>
  <c r="AT31" i="25"/>
  <c r="AA31" i="25"/>
  <c r="AU31" i="25"/>
  <c r="AW31" i="25"/>
  <c r="BJ31" i="25"/>
  <c r="AR31" i="25"/>
  <c r="AP31" i="25"/>
  <c r="AD31" i="25"/>
  <c r="BC31" i="25"/>
  <c r="Z31" i="25"/>
  <c r="AX31" i="25"/>
  <c r="AJ31" i="25"/>
  <c r="AN31" i="25"/>
  <c r="AF31" i="25"/>
  <c r="BF31" i="25"/>
  <c r="AQ35" i="25"/>
  <c r="AQ37" i="25"/>
  <c r="AQ38" i="25"/>
  <c r="AQ23" i="25"/>
  <c r="AQ22" i="25"/>
  <c r="AQ16" i="25"/>
  <c r="AQ34" i="25"/>
  <c r="AQ32" i="25"/>
  <c r="S22" i="25"/>
  <c r="AN33" i="25"/>
  <c r="AQ36" i="25"/>
  <c r="AN35" i="25"/>
  <c r="AN37" i="25"/>
  <c r="AN38" i="25"/>
  <c r="AN23" i="25"/>
  <c r="AN22" i="25"/>
  <c r="AN16" i="25"/>
  <c r="AQ33" i="25"/>
  <c r="AN36" i="25"/>
  <c r="S23" i="25"/>
  <c r="S16" i="25"/>
  <c r="AN34" i="25"/>
  <c r="AN32" i="25"/>
  <c r="S25" i="25"/>
  <c r="AN24" i="25"/>
  <c r="AQ21" i="25"/>
  <c r="AQ25" i="25"/>
  <c r="AQ24" i="25"/>
  <c r="AN21" i="25"/>
  <c r="S18" i="25"/>
  <c r="AN17" i="25"/>
  <c r="AQ15" i="25"/>
  <c r="S13" i="25"/>
  <c r="AN12" i="25"/>
  <c r="AQ11" i="25"/>
  <c r="AN25" i="25"/>
  <c r="S21" i="25"/>
  <c r="AN15" i="25"/>
  <c r="S12" i="25"/>
  <c r="AQ10" i="25"/>
  <c r="AN18" i="25"/>
  <c r="AQ17" i="25"/>
  <c r="S14" i="25"/>
  <c r="AN13" i="25"/>
  <c r="AQ12" i="25"/>
  <c r="S10" i="25"/>
  <c r="S24" i="25"/>
  <c r="S17" i="25"/>
  <c r="AQ14" i="25"/>
  <c r="AN11" i="25"/>
  <c r="AN10" i="25"/>
  <c r="AQ18" i="25"/>
  <c r="S11" i="25"/>
  <c r="S15" i="25"/>
  <c r="AQ13" i="25"/>
  <c r="AN14" i="25"/>
  <c r="CX5" i="10"/>
  <c r="CW5" i="10"/>
  <c r="CU5" i="10"/>
  <c r="CS5" i="10"/>
  <c r="CR5" i="10"/>
  <c r="CT5" i="10"/>
  <c r="CV5" i="10"/>
  <c r="CA390" i="10" l="1"/>
  <c r="CH390" i="10" s="1"/>
  <c r="CP390" i="10" s="1"/>
  <c r="CA370" i="10"/>
  <c r="CH370" i="10" s="1"/>
  <c r="CP370" i="10" s="1"/>
  <c r="AJ390" i="10"/>
  <c r="AK390" i="10" s="1"/>
  <c r="AI390" i="10"/>
  <c r="AI387" i="10"/>
  <c r="AJ387" i="10"/>
  <c r="AK387" i="10" s="1"/>
  <c r="AJ385" i="10"/>
  <c r="AK385" i="10" s="1"/>
  <c r="AI385" i="10"/>
  <c r="AJ370" i="10"/>
  <c r="AK370" i="10" s="1"/>
  <c r="AI370" i="10"/>
  <c r="AJ371" i="10"/>
  <c r="AK371" i="10" s="1"/>
  <c r="AI371" i="10"/>
  <c r="AJ365" i="10"/>
  <c r="AK365" i="10" s="1"/>
  <c r="AI365" i="10"/>
  <c r="AJ374" i="10"/>
  <c r="AK374" i="10" s="1"/>
  <c r="AI374" i="10"/>
  <c r="AI278" i="10"/>
  <c r="AJ278" i="10"/>
  <c r="AK278" i="10" s="1"/>
  <c r="AJ355" i="10"/>
  <c r="AK355" i="10" s="1"/>
  <c r="AI355" i="10"/>
  <c r="AI266" i="10"/>
  <c r="AJ266" i="10"/>
  <c r="AK266" i="10" s="1"/>
  <c r="AI253" i="10"/>
  <c r="AJ253" i="10"/>
  <c r="AK253" i="10" s="1"/>
  <c r="AJ183" i="10"/>
  <c r="AK183" i="10" s="1"/>
  <c r="AI183" i="10"/>
  <c r="AI144" i="10"/>
  <c r="AJ144" i="10"/>
  <c r="AK144" i="10" s="1"/>
  <c r="AI256" i="10"/>
  <c r="AJ256" i="10"/>
  <c r="AK256" i="10" s="1"/>
  <c r="AI245" i="10"/>
  <c r="AJ245" i="10"/>
  <c r="AK245" i="10" s="1"/>
  <c r="AI262" i="10"/>
  <c r="AJ262" i="10"/>
  <c r="AK262" i="10" s="1"/>
  <c r="AI251" i="10"/>
  <c r="AJ251" i="10"/>
  <c r="AK251" i="10" s="1"/>
  <c r="AI276" i="10"/>
  <c r="AJ276" i="10"/>
  <c r="AK276" i="10" s="1"/>
  <c r="AI325" i="10"/>
  <c r="AJ325" i="10"/>
  <c r="AK325" i="10" s="1"/>
  <c r="AJ362" i="10"/>
  <c r="AK362" i="10" s="1"/>
  <c r="AI362" i="10"/>
  <c r="AI260" i="10"/>
  <c r="AJ260" i="10"/>
  <c r="AK260" i="10" s="1"/>
  <c r="AI290" i="10"/>
  <c r="AJ290" i="10"/>
  <c r="AK290" i="10" s="1"/>
  <c r="AI249" i="10"/>
  <c r="AJ249" i="10"/>
  <c r="AK249" i="10" s="1"/>
  <c r="AI265" i="10"/>
  <c r="AJ265" i="10"/>
  <c r="AK265" i="10" s="1"/>
  <c r="AI243" i="10"/>
  <c r="AJ243" i="10"/>
  <c r="AK243" i="10" s="1"/>
  <c r="AJ363" i="10"/>
  <c r="AK363" i="10" s="1"/>
  <c r="AI363" i="10"/>
  <c r="BQ392" i="10"/>
  <c r="BQ393" i="10"/>
  <c r="BQ367" i="10"/>
  <c r="BQ375" i="10"/>
  <c r="CA371" i="10"/>
  <c r="CH371" i="10" s="1"/>
  <c r="CP371" i="10" s="1"/>
  <c r="BQ369" i="10"/>
  <c r="BQ379" i="10"/>
  <c r="BQ362" i="10"/>
  <c r="BQ274" i="10"/>
  <c r="BQ144" i="10"/>
  <c r="CA144" i="10" s="1"/>
  <c r="CH144" i="10" s="1"/>
  <c r="CP144" i="10" s="1"/>
  <c r="AY144" i="1" s="1"/>
  <c r="BQ355" i="10"/>
  <c r="BQ358" i="10"/>
  <c r="BZ392" i="10"/>
  <c r="CA392" i="10" s="1"/>
  <c r="CH392" i="10" s="1"/>
  <c r="CP392" i="10" s="1"/>
  <c r="BZ391" i="10"/>
  <c r="CA391" i="10" s="1"/>
  <c r="CH391" i="10" s="1"/>
  <c r="CP391" i="10" s="1"/>
  <c r="BZ384" i="10"/>
  <c r="BZ371" i="10"/>
  <c r="BZ373" i="10"/>
  <c r="CA373" i="10" s="1"/>
  <c r="CH373" i="10" s="1"/>
  <c r="CP373" i="10" s="1"/>
  <c r="BZ368" i="10"/>
  <c r="BZ369" i="10"/>
  <c r="BZ372" i="10"/>
  <c r="BZ353" i="10"/>
  <c r="BZ363" i="10"/>
  <c r="BZ357" i="10"/>
  <c r="AI392" i="10"/>
  <c r="AJ392" i="10"/>
  <c r="AK392" i="10" s="1"/>
  <c r="AI391" i="10"/>
  <c r="AJ391" i="10"/>
  <c r="AK391" i="10" s="1"/>
  <c r="AI384" i="10"/>
  <c r="AJ384" i="10"/>
  <c r="AK384" i="10" s="1"/>
  <c r="AI380" i="10"/>
  <c r="AJ380" i="10"/>
  <c r="AK380" i="10" s="1"/>
  <c r="AJ378" i="10"/>
  <c r="AK378" i="10" s="1"/>
  <c r="AI378" i="10"/>
  <c r="AJ383" i="10"/>
  <c r="AK383" i="10" s="1"/>
  <c r="AI383" i="10"/>
  <c r="AJ366" i="10"/>
  <c r="AK366" i="10" s="1"/>
  <c r="AI366" i="10"/>
  <c r="AJ373" i="10"/>
  <c r="AK373" i="10" s="1"/>
  <c r="AI373" i="10"/>
  <c r="AI311" i="10"/>
  <c r="AJ311" i="10"/>
  <c r="AK311" i="10" s="1"/>
  <c r="AJ299" i="10"/>
  <c r="AK299" i="10" s="1"/>
  <c r="AI299" i="10"/>
  <c r="AI295" i="10"/>
  <c r="AJ295" i="10"/>
  <c r="AK295" i="10" s="1"/>
  <c r="AI354" i="10"/>
  <c r="AJ354" i="10"/>
  <c r="AK354" i="10" s="1"/>
  <c r="AI270" i="10"/>
  <c r="AJ270" i="10"/>
  <c r="AK270" i="10" s="1"/>
  <c r="AI282" i="10"/>
  <c r="AJ282" i="10"/>
  <c r="AK282" i="10" s="1"/>
  <c r="AI324" i="10"/>
  <c r="AJ324" i="10"/>
  <c r="AK324" i="10" s="1"/>
  <c r="AI254" i="10"/>
  <c r="AJ254" i="10"/>
  <c r="AK254" i="10" s="1"/>
  <c r="AI284" i="10"/>
  <c r="AJ284" i="10"/>
  <c r="AK284" i="10" s="1"/>
  <c r="AI252" i="10"/>
  <c r="AJ252" i="10"/>
  <c r="AK252" i="10" s="1"/>
  <c r="AI359" i="10"/>
  <c r="AJ359" i="10"/>
  <c r="AK359" i="10" s="1"/>
  <c r="AI264" i="10"/>
  <c r="AJ264" i="10"/>
  <c r="AK264" i="10" s="1"/>
  <c r="AI291" i="10"/>
  <c r="AJ291" i="10"/>
  <c r="AK291" i="10" s="1"/>
  <c r="AI247" i="10"/>
  <c r="AJ247" i="10"/>
  <c r="AK247" i="10" s="1"/>
  <c r="AJ353" i="10"/>
  <c r="AK353" i="10" s="1"/>
  <c r="AI353" i="10"/>
  <c r="AI361" i="10"/>
  <c r="AJ361" i="10"/>
  <c r="AK361" i="10" s="1"/>
  <c r="BQ387" i="10"/>
  <c r="BQ386" i="10"/>
  <c r="BQ298" i="10"/>
  <c r="BQ384" i="10"/>
  <c r="BQ372" i="10"/>
  <c r="BQ378" i="10"/>
  <c r="BQ366" i="10"/>
  <c r="BQ365" i="10"/>
  <c r="CA365" i="10" s="1"/>
  <c r="CH365" i="10" s="1"/>
  <c r="CP365" i="10" s="1"/>
  <c r="BQ370" i="10"/>
  <c r="BQ374" i="10"/>
  <c r="CA374" i="10" s="1"/>
  <c r="CH374" i="10" s="1"/>
  <c r="CP374" i="10" s="1"/>
  <c r="BQ354" i="10"/>
  <c r="CA354" i="10" s="1"/>
  <c r="CH354" i="10" s="1"/>
  <c r="CP354" i="10" s="1"/>
  <c r="BQ299" i="10"/>
  <c r="BQ259" i="10"/>
  <c r="BQ146" i="10"/>
  <c r="CA146" i="10" s="1"/>
  <c r="CH146" i="10" s="1"/>
  <c r="CP146" i="10" s="1"/>
  <c r="AY146" i="1" s="1"/>
  <c r="BQ363" i="10"/>
  <c r="CA363" i="10" s="1"/>
  <c r="CH363" i="10" s="1"/>
  <c r="CP363" i="10" s="1"/>
  <c r="BQ361" i="10"/>
  <c r="CA361" i="10" s="1"/>
  <c r="CH361" i="10" s="1"/>
  <c r="CP361" i="10" s="1"/>
  <c r="BQ364" i="10"/>
  <c r="CA364" i="10" s="1"/>
  <c r="CH364" i="10" s="1"/>
  <c r="CP364" i="10" s="1"/>
  <c r="BZ393" i="10"/>
  <c r="BZ386" i="10"/>
  <c r="CA386" i="10" s="1"/>
  <c r="CH386" i="10" s="1"/>
  <c r="CP386" i="10" s="1"/>
  <c r="BZ379" i="10"/>
  <c r="BZ375" i="10"/>
  <c r="CA380" i="10"/>
  <c r="CH380" i="10" s="1"/>
  <c r="CP380" i="10" s="1"/>
  <c r="BZ378" i="10"/>
  <c r="CA299" i="10"/>
  <c r="BZ259" i="10"/>
  <c r="BZ355" i="10"/>
  <c r="BZ352" i="10"/>
  <c r="CA360" i="10"/>
  <c r="CH360" i="10" s="1"/>
  <c r="CP360" i="10" s="1"/>
  <c r="AJ393" i="10"/>
  <c r="AK393" i="10" s="1"/>
  <c r="AI393" i="10"/>
  <c r="AJ388" i="10"/>
  <c r="AK388" i="10" s="1"/>
  <c r="AI388" i="10"/>
  <c r="AI372" i="10"/>
  <c r="AJ372" i="10"/>
  <c r="AK372" i="10" s="1"/>
  <c r="AI379" i="10"/>
  <c r="AJ379" i="10"/>
  <c r="AK379" i="10" s="1"/>
  <c r="AI382" i="10"/>
  <c r="AJ382" i="10"/>
  <c r="AK382" i="10" s="1"/>
  <c r="AJ369" i="10"/>
  <c r="AK369" i="10" s="1"/>
  <c r="AI369" i="10"/>
  <c r="AJ377" i="10"/>
  <c r="AK377" i="10" s="1"/>
  <c r="AI377" i="10"/>
  <c r="AI182" i="10"/>
  <c r="AJ182" i="10"/>
  <c r="AK182" i="10" s="1"/>
  <c r="AI300" i="10"/>
  <c r="AJ300" i="10"/>
  <c r="AK300" i="10" s="1"/>
  <c r="AI259" i="10"/>
  <c r="AJ259" i="10"/>
  <c r="AK259" i="10" s="1"/>
  <c r="AI181" i="10"/>
  <c r="AJ181" i="10"/>
  <c r="AK181" i="10" s="1"/>
  <c r="AI273" i="10"/>
  <c r="AJ273" i="10"/>
  <c r="AK273" i="10" s="1"/>
  <c r="AI296" i="10"/>
  <c r="AJ296" i="10"/>
  <c r="AK296" i="10" s="1"/>
  <c r="AI279" i="10"/>
  <c r="AJ279" i="10"/>
  <c r="AK279" i="10" s="1"/>
  <c r="AI271" i="10"/>
  <c r="AJ271" i="10"/>
  <c r="AK271" i="10" s="1"/>
  <c r="AI258" i="10"/>
  <c r="AJ258" i="10"/>
  <c r="AK258" i="10" s="1"/>
  <c r="AJ297" i="10"/>
  <c r="AK297" i="10" s="1"/>
  <c r="AI297" i="10"/>
  <c r="AI244" i="10"/>
  <c r="AJ244" i="10"/>
  <c r="AK244" i="10" s="1"/>
  <c r="AJ364" i="10"/>
  <c r="AK364" i="10" s="1"/>
  <c r="AI364" i="10"/>
  <c r="AI246" i="10"/>
  <c r="AJ246" i="10"/>
  <c r="AK246" i="10" s="1"/>
  <c r="AI268" i="10"/>
  <c r="AJ268" i="10"/>
  <c r="AK268" i="10" s="1"/>
  <c r="AI292" i="10"/>
  <c r="AJ292" i="10"/>
  <c r="AK292" i="10" s="1"/>
  <c r="AI277" i="10"/>
  <c r="AJ277" i="10"/>
  <c r="AK277" i="10" s="1"/>
  <c r="AJ143" i="10"/>
  <c r="AK143" i="10" s="1"/>
  <c r="AI143" i="10"/>
  <c r="AJ360" i="10"/>
  <c r="AK360" i="10" s="1"/>
  <c r="AI360" i="10"/>
  <c r="AJ352" i="10"/>
  <c r="AK352" i="10" s="1"/>
  <c r="AI352" i="10"/>
  <c r="BQ388" i="10"/>
  <c r="CA388" i="10" s="1"/>
  <c r="CH388" i="10" s="1"/>
  <c r="CP388" i="10" s="1"/>
  <c r="BQ385" i="10"/>
  <c r="CA385" i="10" s="1"/>
  <c r="CH385" i="10" s="1"/>
  <c r="CP385" i="10" s="1"/>
  <c r="BQ380" i="10"/>
  <c r="BQ381" i="10"/>
  <c r="CA381" i="10" s="1"/>
  <c r="CH381" i="10" s="1"/>
  <c r="CP381" i="10" s="1"/>
  <c r="BQ382" i="10"/>
  <c r="CA382" i="10" s="1"/>
  <c r="CH382" i="10" s="1"/>
  <c r="CP382" i="10" s="1"/>
  <c r="BQ377" i="10"/>
  <c r="BQ246" i="10"/>
  <c r="BQ353" i="10"/>
  <c r="CA353" i="10" s="1"/>
  <c r="CH353" i="10" s="1"/>
  <c r="CP353" i="10" s="1"/>
  <c r="BQ352" i="10"/>
  <c r="BQ143" i="10"/>
  <c r="BZ387" i="10"/>
  <c r="CA387" i="10" s="1"/>
  <c r="CH387" i="10" s="1"/>
  <c r="CP387" i="10" s="1"/>
  <c r="BZ298" i="10"/>
  <c r="BZ383" i="10"/>
  <c r="BZ377" i="10"/>
  <c r="CA377" i="10" s="1"/>
  <c r="CH377" i="10" s="1"/>
  <c r="CP377" i="10" s="1"/>
  <c r="BZ367" i="10"/>
  <c r="BZ366" i="10"/>
  <c r="BZ145" i="10"/>
  <c r="BZ274" i="10"/>
  <c r="CA274" i="10" s="1"/>
  <c r="BZ246" i="10"/>
  <c r="CA246" i="10" s="1"/>
  <c r="BZ143" i="10"/>
  <c r="BZ362" i="10"/>
  <c r="CA362" i="10" s="1"/>
  <c r="CH362" i="10" s="1"/>
  <c r="CP362" i="10" s="1"/>
  <c r="BZ358" i="10"/>
  <c r="CA358" i="10" s="1"/>
  <c r="CH358" i="10" s="1"/>
  <c r="CP358" i="10" s="1"/>
  <c r="BZ356" i="10"/>
  <c r="CA356" i="10" s="1"/>
  <c r="CH356" i="10" s="1"/>
  <c r="CP356" i="10" s="1"/>
  <c r="AJ386" i="10"/>
  <c r="AK386" i="10" s="1"/>
  <c r="AI386" i="10"/>
  <c r="AI389" i="10"/>
  <c r="AJ389" i="10"/>
  <c r="AK389" i="10" s="1"/>
  <c r="AJ376" i="10"/>
  <c r="AK376" i="10" s="1"/>
  <c r="AI376" i="10"/>
  <c r="AJ375" i="10"/>
  <c r="AK375" i="10" s="1"/>
  <c r="AI375" i="10"/>
  <c r="AJ368" i="10"/>
  <c r="AK368" i="10" s="1"/>
  <c r="AI368" i="10"/>
  <c r="AJ381" i="10"/>
  <c r="AK381" i="10" s="1"/>
  <c r="AI381" i="10"/>
  <c r="AJ367" i="10"/>
  <c r="AK367" i="10" s="1"/>
  <c r="AI367" i="10"/>
  <c r="AJ146" i="10"/>
  <c r="AK146" i="10" s="1"/>
  <c r="AI146" i="10"/>
  <c r="AI242" i="10"/>
  <c r="AJ242" i="10"/>
  <c r="AK242" i="10" s="1"/>
  <c r="AJ306" i="10"/>
  <c r="AK306" i="10" s="1"/>
  <c r="AI306" i="10"/>
  <c r="AI255" i="10"/>
  <c r="AJ255" i="10"/>
  <c r="AK255" i="10" s="1"/>
  <c r="AI263" i="10"/>
  <c r="AJ263" i="10"/>
  <c r="AK263" i="10" s="1"/>
  <c r="AI274" i="10"/>
  <c r="AJ274" i="10"/>
  <c r="AK274" i="10" s="1"/>
  <c r="AJ145" i="10"/>
  <c r="AK145" i="10" s="1"/>
  <c r="AI145" i="10"/>
  <c r="AI267" i="10"/>
  <c r="AJ267" i="10"/>
  <c r="AK267" i="10" s="1"/>
  <c r="AI357" i="10"/>
  <c r="AJ357" i="10"/>
  <c r="AK357" i="10" s="1"/>
  <c r="AI298" i="10"/>
  <c r="AJ298" i="10"/>
  <c r="AK298" i="10" s="1"/>
  <c r="AI283" i="10"/>
  <c r="AJ283" i="10"/>
  <c r="AK283" i="10" s="1"/>
  <c r="AI358" i="10"/>
  <c r="AJ358" i="10"/>
  <c r="AK358" i="10" s="1"/>
  <c r="AJ356" i="10"/>
  <c r="AK356" i="10" s="1"/>
  <c r="AI356" i="10"/>
  <c r="BQ391" i="10"/>
  <c r="BQ390" i="10"/>
  <c r="BQ389" i="10"/>
  <c r="CA389" i="10" s="1"/>
  <c r="CH389" i="10" s="1"/>
  <c r="CP389" i="10" s="1"/>
  <c r="BQ368" i="10"/>
  <c r="BQ373" i="10"/>
  <c r="BQ383" i="10"/>
  <c r="CA383" i="10" s="1"/>
  <c r="CH383" i="10" s="1"/>
  <c r="CP383" i="10" s="1"/>
  <c r="BQ357" i="10"/>
  <c r="CA357" i="10" s="1"/>
  <c r="CH357" i="10" s="1"/>
  <c r="CP357" i="10" s="1"/>
  <c r="BQ145" i="10"/>
  <c r="CA145" i="10" s="1"/>
  <c r="CH145" i="10" s="1"/>
  <c r="CP145" i="10" s="1"/>
  <c r="AY145" i="1" s="1"/>
  <c r="BQ360" i="10"/>
  <c r="BQ356" i="10"/>
  <c r="AI5" i="25"/>
  <c r="AH5" i="25"/>
  <c r="T22" i="25"/>
  <c r="T23" i="25"/>
  <c r="T31" i="25"/>
  <c r="T16" i="25"/>
  <c r="BD5" i="25"/>
  <c r="BA5" i="25"/>
  <c r="AV5" i="25"/>
  <c r="BH5" i="25"/>
  <c r="W5" i="25"/>
  <c r="T5" i="25"/>
  <c r="AH31" i="25"/>
  <c r="AV31" i="25"/>
  <c r="BA31" i="25"/>
  <c r="BD31" i="25"/>
  <c r="BH31" i="25"/>
  <c r="W31" i="25"/>
  <c r="W36" i="25"/>
  <c r="W32" i="25"/>
  <c r="W16" i="25"/>
  <c r="W22" i="25"/>
  <c r="W38" i="25"/>
  <c r="W33" i="25"/>
  <c r="W23" i="25"/>
  <c r="W35" i="25"/>
  <c r="W34" i="25"/>
  <c r="W37" i="25"/>
  <c r="W11" i="25"/>
  <c r="W10" i="25"/>
  <c r="W13" i="25"/>
  <c r="W25" i="25"/>
  <c r="W17" i="25"/>
  <c r="W24" i="25"/>
  <c r="W15" i="25"/>
  <c r="W14" i="25"/>
  <c r="W12" i="25"/>
  <c r="W21" i="25"/>
  <c r="W18" i="25"/>
  <c r="CA298" i="10" l="1"/>
  <c r="CA352" i="10"/>
  <c r="CH352" i="10" s="1"/>
  <c r="CP352" i="10" s="1"/>
  <c r="CA259" i="10"/>
  <c r="CA372" i="10"/>
  <c r="CH372" i="10" s="1"/>
  <c r="CP372" i="10" s="1"/>
  <c r="CA375" i="10"/>
  <c r="CH375" i="10" s="1"/>
  <c r="CP375" i="10" s="1"/>
  <c r="CA393" i="10"/>
  <c r="CH393" i="10" s="1"/>
  <c r="CP393" i="10" s="1"/>
  <c r="CA366" i="10"/>
  <c r="CH366" i="10" s="1"/>
  <c r="CP366" i="10" s="1"/>
  <c r="CA143" i="10"/>
  <c r="CH143" i="10" s="1"/>
  <c r="CP143" i="10" s="1"/>
  <c r="AY143" i="1" s="1"/>
  <c r="CA378" i="10"/>
  <c r="CH378" i="10" s="1"/>
  <c r="CP378" i="10" s="1"/>
  <c r="CA369" i="10"/>
  <c r="CH369" i="10" s="1"/>
  <c r="CP369" i="10" s="1"/>
  <c r="CA384" i="10"/>
  <c r="CH384" i="10" s="1"/>
  <c r="CP384" i="10" s="1"/>
  <c r="CA355" i="10"/>
  <c r="CH355" i="10" s="1"/>
  <c r="CP355" i="10" s="1"/>
  <c r="CA379" i="10"/>
  <c r="CH379" i="10" s="1"/>
  <c r="CP379" i="10" s="1"/>
  <c r="CA367" i="10"/>
  <c r="CH367" i="10" s="1"/>
  <c r="CP367" i="10" s="1"/>
  <c r="CA368" i="10"/>
  <c r="CH368" i="10" s="1"/>
  <c r="CP368" i="10" s="1"/>
  <c r="X15" i="25"/>
  <c r="X36" i="25"/>
  <c r="X35" i="25"/>
  <c r="X18" i="25"/>
  <c r="X34" i="25"/>
  <c r="X38" i="25"/>
  <c r="X5" i="25"/>
  <c r="X21" i="25"/>
  <c r="X24" i="25"/>
  <c r="X10" i="25"/>
  <c r="X22" i="25"/>
  <c r="X31" i="25"/>
  <c r="X12" i="25"/>
  <c r="X17" i="25"/>
  <c r="X11" i="25"/>
  <c r="X23" i="25"/>
  <c r="X16" i="25"/>
  <c r="X14" i="25"/>
  <c r="X25" i="25"/>
  <c r="X37" i="25"/>
  <c r="X33" i="25"/>
  <c r="X32" i="25"/>
  <c r="X13" i="25"/>
  <c r="BI5" i="25"/>
  <c r="BI31" i="25"/>
  <c r="BK5" i="25" l="1"/>
  <c r="BK31" i="25"/>
  <c r="F11" i="8"/>
  <c r="E11" i="8"/>
  <c r="B33" i="8" l="1"/>
  <c r="A4" i="9" l="1"/>
  <c r="A5" i="9"/>
  <c r="A6" i="9"/>
  <c r="A7" i="9"/>
  <c r="A8" i="9"/>
  <c r="A9" i="9"/>
  <c r="A11" i="9"/>
  <c r="A12" i="9"/>
  <c r="A13" i="9"/>
  <c r="A14" i="9"/>
  <c r="A15" i="9"/>
  <c r="A16" i="9"/>
  <c r="A17" i="9"/>
  <c r="A18" i="9"/>
  <c r="A19" i="9"/>
  <c r="A20" i="9"/>
  <c r="A23" i="9"/>
  <c r="A24" i="9"/>
  <c r="A25" i="9"/>
  <c r="A27" i="9"/>
  <c r="A28" i="9"/>
  <c r="A33" i="9"/>
  <c r="A34" i="9"/>
  <c r="A35" i="9"/>
  <c r="A36" i="9"/>
  <c r="A3" i="9"/>
  <c r="C3" i="9"/>
  <c r="F2" i="25" l="1"/>
  <c r="H2" i="25"/>
  <c r="C43" i="25" l="1"/>
  <c r="A2" i="25"/>
  <c r="B2" i="25"/>
  <c r="V24" i="25" l="1"/>
  <c r="P24" i="25"/>
  <c r="T24" i="25"/>
  <c r="V18" i="25"/>
  <c r="P18" i="25"/>
  <c r="T18" i="25"/>
  <c r="V13" i="25"/>
  <c r="P13" i="25"/>
  <c r="T13" i="25"/>
  <c r="V21" i="25"/>
  <c r="P21" i="25"/>
  <c r="T21" i="25"/>
  <c r="V17" i="25"/>
  <c r="P17" i="25"/>
  <c r="T17" i="25"/>
  <c r="V12" i="25"/>
  <c r="P12" i="25"/>
  <c r="T12" i="25"/>
  <c r="P2" i="25"/>
  <c r="P20" i="25"/>
  <c r="V15" i="25"/>
  <c r="P15" i="25"/>
  <c r="T15" i="25"/>
  <c r="V11" i="25"/>
  <c r="P11" i="25"/>
  <c r="T11" i="25"/>
  <c r="V25" i="25"/>
  <c r="P25" i="25"/>
  <c r="T25" i="25"/>
  <c r="P19" i="25"/>
  <c r="V14" i="25"/>
  <c r="P14" i="25"/>
  <c r="T14" i="25"/>
  <c r="V10" i="25"/>
  <c r="P10" i="25"/>
  <c r="T10" i="25"/>
  <c r="P43" i="25" l="1"/>
  <c r="D28" i="9"/>
  <c r="D27" i="9"/>
  <c r="D25" i="9"/>
  <c r="D19" i="9"/>
  <c r="D18" i="9"/>
  <c r="D7" i="9"/>
  <c r="D6" i="9"/>
  <c r="D5" i="9"/>
  <c r="D4" i="9"/>
  <c r="D3" i="9"/>
  <c r="I2" i="25" l="1"/>
  <c r="D9" i="27" l="1"/>
  <c r="B1" i="10" s="1"/>
  <c r="A1" i="37" s="1"/>
  <c r="B62" i="8" l="1"/>
  <c r="A326" i="37"/>
  <c r="D329" i="37" l="1"/>
  <c r="D333" i="37"/>
  <c r="D337" i="37"/>
  <c r="D341" i="37"/>
  <c r="D345" i="37"/>
  <c r="D349" i="37"/>
  <c r="D353" i="37"/>
  <c r="D357" i="37"/>
  <c r="D361" i="37"/>
  <c r="D365" i="37"/>
  <c r="D369" i="37"/>
  <c r="D373" i="37"/>
  <c r="D377" i="37"/>
  <c r="D381" i="37"/>
  <c r="D385" i="37"/>
  <c r="D389" i="37"/>
  <c r="D393" i="37"/>
  <c r="D397" i="37"/>
  <c r="D401" i="37"/>
  <c r="D405" i="37"/>
  <c r="D409" i="37"/>
  <c r="D413" i="37"/>
  <c r="D417" i="37"/>
  <c r="D421" i="37"/>
  <c r="D425" i="37"/>
  <c r="D429" i="37"/>
  <c r="D433" i="37"/>
  <c r="D437" i="37"/>
  <c r="D441" i="37"/>
  <c r="D445" i="37"/>
  <c r="D449" i="37"/>
  <c r="D453" i="37"/>
  <c r="D457" i="37"/>
  <c r="D461" i="37"/>
  <c r="D465" i="37"/>
  <c r="D469" i="37"/>
  <c r="D473" i="37"/>
  <c r="D477" i="37"/>
  <c r="D481" i="37"/>
  <c r="D485" i="37"/>
  <c r="D489" i="37"/>
  <c r="D493" i="37"/>
  <c r="D497" i="37"/>
  <c r="D501" i="37"/>
  <c r="D505" i="37"/>
  <c r="D509" i="37"/>
  <c r="D513" i="37"/>
  <c r="D517" i="37"/>
  <c r="D521" i="37"/>
  <c r="D525" i="37"/>
  <c r="D529" i="37"/>
  <c r="D533" i="37"/>
  <c r="D537" i="37"/>
  <c r="D541" i="37"/>
  <c r="D545" i="37"/>
  <c r="D549" i="37"/>
  <c r="D553" i="37"/>
  <c r="D557" i="37"/>
  <c r="D561" i="37"/>
  <c r="D332" i="37"/>
  <c r="D336" i="37"/>
  <c r="D340" i="37"/>
  <c r="D344" i="37"/>
  <c r="D348" i="37"/>
  <c r="D352" i="37"/>
  <c r="D356" i="37"/>
  <c r="D360" i="37"/>
  <c r="D364" i="37"/>
  <c r="D368" i="37"/>
  <c r="D372" i="37"/>
  <c r="D376" i="37"/>
  <c r="D380" i="37"/>
  <c r="D384" i="37"/>
  <c r="D388" i="37"/>
  <c r="D392" i="37"/>
  <c r="D396" i="37"/>
  <c r="D400" i="37"/>
  <c r="D404" i="37"/>
  <c r="D408" i="37"/>
  <c r="D412" i="37"/>
  <c r="D416" i="37"/>
  <c r="D420" i="37"/>
  <c r="D424" i="37"/>
  <c r="D428" i="37"/>
  <c r="D432" i="37"/>
  <c r="D436" i="37"/>
  <c r="D440" i="37"/>
  <c r="D444" i="37"/>
  <c r="D448" i="37"/>
  <c r="D452" i="37"/>
  <c r="D456" i="37"/>
  <c r="D460" i="37"/>
  <c r="D464" i="37"/>
  <c r="D468" i="37"/>
  <c r="D472" i="37"/>
  <c r="D476" i="37"/>
  <c r="D480" i="37"/>
  <c r="D484" i="37"/>
  <c r="D488" i="37"/>
  <c r="D492" i="37"/>
  <c r="D496" i="37"/>
  <c r="D500" i="37"/>
  <c r="D504" i="37"/>
  <c r="D508" i="37"/>
  <c r="D512" i="37"/>
  <c r="D516" i="37"/>
  <c r="D520" i="37"/>
  <c r="D524" i="37"/>
  <c r="D528" i="37"/>
  <c r="D532" i="37"/>
  <c r="D536" i="37"/>
  <c r="D540" i="37"/>
  <c r="D544" i="37"/>
  <c r="D548" i="37"/>
  <c r="D552" i="37"/>
  <c r="D556" i="37"/>
  <c r="D560" i="37"/>
  <c r="D564" i="37"/>
  <c r="D328" i="37"/>
  <c r="D331" i="37"/>
  <c r="D335" i="37"/>
  <c r="D339" i="37"/>
  <c r="D343" i="37"/>
  <c r="D347" i="37"/>
  <c r="D351" i="37"/>
  <c r="D355" i="37"/>
  <c r="D359" i="37"/>
  <c r="D363" i="37"/>
  <c r="D367" i="37"/>
  <c r="D371" i="37"/>
  <c r="D375" i="37"/>
  <c r="D379" i="37"/>
  <c r="D383" i="37"/>
  <c r="D387" i="37"/>
  <c r="D391" i="37"/>
  <c r="D395" i="37"/>
  <c r="D399" i="37"/>
  <c r="D403" i="37"/>
  <c r="D407" i="37"/>
  <c r="D411" i="37"/>
  <c r="D415" i="37"/>
  <c r="D419" i="37"/>
  <c r="D423" i="37"/>
  <c r="D427" i="37"/>
  <c r="D431" i="37"/>
  <c r="D435" i="37"/>
  <c r="D439" i="37"/>
  <c r="D443" i="37"/>
  <c r="D447" i="37"/>
  <c r="D451" i="37"/>
  <c r="D455" i="37"/>
  <c r="D459" i="37"/>
  <c r="D463" i="37"/>
  <c r="D467" i="37"/>
  <c r="D471" i="37"/>
  <c r="D475" i="37"/>
  <c r="D479" i="37"/>
  <c r="D483" i="37"/>
  <c r="D487" i="37"/>
  <c r="D491" i="37"/>
  <c r="D495" i="37"/>
  <c r="D499" i="37"/>
  <c r="D503" i="37"/>
  <c r="D507" i="37"/>
  <c r="D511" i="37"/>
  <c r="D515" i="37"/>
  <c r="D519" i="37"/>
  <c r="D523" i="37"/>
  <c r="D527" i="37"/>
  <c r="D531" i="37"/>
  <c r="D535" i="37"/>
  <c r="D539" i="37"/>
  <c r="D543" i="37"/>
  <c r="D547" i="37"/>
  <c r="D551" i="37"/>
  <c r="D555" i="37"/>
  <c r="D559" i="37"/>
  <c r="D563" i="37"/>
  <c r="D342" i="37"/>
  <c r="D358" i="37"/>
  <c r="D374" i="37"/>
  <c r="D390" i="37"/>
  <c r="D406" i="37"/>
  <c r="D422" i="37"/>
  <c r="D438" i="37"/>
  <c r="D454" i="37"/>
  <c r="D470" i="37"/>
  <c r="D486" i="37"/>
  <c r="D502" i="37"/>
  <c r="D518" i="37"/>
  <c r="D534" i="37"/>
  <c r="D550" i="37"/>
  <c r="D330" i="37"/>
  <c r="D346" i="37"/>
  <c r="D362" i="37"/>
  <c r="D378" i="37"/>
  <c r="D394" i="37"/>
  <c r="D410" i="37"/>
  <c r="D426" i="37"/>
  <c r="D442" i="37"/>
  <c r="D458" i="37"/>
  <c r="D474" i="37"/>
  <c r="D490" i="37"/>
  <c r="D506" i="37"/>
  <c r="D522" i="37"/>
  <c r="D538" i="37"/>
  <c r="D554" i="37"/>
  <c r="D334" i="37"/>
  <c r="D382" i="37"/>
  <c r="D398" i="37"/>
  <c r="D430" i="37"/>
  <c r="D462" i="37"/>
  <c r="D478" i="37"/>
  <c r="D494" i="37"/>
  <c r="D526" i="37"/>
  <c r="D542" i="37"/>
  <c r="D558" i="37"/>
  <c r="D354" i="37"/>
  <c r="D386" i="37"/>
  <c r="D434" i="37"/>
  <c r="D450" i="37"/>
  <c r="D482" i="37"/>
  <c r="D498" i="37"/>
  <c r="D530" i="37"/>
  <c r="D546" i="37"/>
  <c r="D350" i="37"/>
  <c r="D366" i="37"/>
  <c r="D414" i="37"/>
  <c r="D446" i="37"/>
  <c r="D510" i="37"/>
  <c r="D338" i="37"/>
  <c r="D370" i="37"/>
  <c r="D402" i="37"/>
  <c r="D418" i="37"/>
  <c r="D466" i="37"/>
  <c r="D514" i="37"/>
  <c r="D562" i="37"/>
  <c r="D10" i="27"/>
  <c r="B91" i="8" l="1"/>
  <c r="F16" i="8" l="1"/>
  <c r="E16" i="8"/>
  <c r="F14" i="8"/>
  <c r="E14" i="8"/>
  <c r="B63" i="8" l="1"/>
  <c r="Q131" i="8"/>
  <c r="AC122" i="8"/>
  <c r="A93" i="8"/>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64" i="8"/>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B28" i="8"/>
  <c r="C28" i="8" s="1"/>
  <c r="D28" i="8" s="1"/>
  <c r="D10" i="8"/>
  <c r="E10" i="8" s="1"/>
  <c r="F10" i="8" s="1"/>
  <c r="G10" i="8" s="1"/>
  <c r="H10" i="8" s="1"/>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B64" i="8" l="1"/>
  <c r="B34" i="8"/>
  <c r="B92" i="8"/>
  <c r="E28" i="8"/>
  <c r="F28" i="8" s="1"/>
  <c r="G28" i="8" s="1"/>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AJ28" i="8" s="1"/>
  <c r="AK28" i="8" s="1"/>
  <c r="AL28" i="8" s="1"/>
  <c r="AM28" i="8" s="1"/>
  <c r="AN28" i="8" s="1"/>
  <c r="AO28" i="8" s="1"/>
  <c r="AP28" i="8" s="1"/>
  <c r="AQ28" i="8" s="1"/>
  <c r="AR28" i="8" s="1"/>
  <c r="AS28" i="8" s="1"/>
  <c r="AT28" i="8" s="1"/>
  <c r="AU28" i="8" s="1"/>
  <c r="AV28" i="8" s="1"/>
  <c r="AW28" i="8" s="1"/>
  <c r="AX28" i="8" s="1"/>
  <c r="AY28" i="8" s="1"/>
  <c r="AZ28" i="8" s="1"/>
  <c r="BA28" i="8" s="1"/>
  <c r="B65" i="8" l="1"/>
  <c r="B35" i="8"/>
  <c r="B93" i="8"/>
  <c r="BB28" i="8"/>
  <c r="BC28" i="8" s="1"/>
  <c r="BD28" i="8" s="1"/>
  <c r="BE28" i="8" s="1"/>
  <c r="BF28" i="8" s="1"/>
  <c r="BG28" i="8" s="1"/>
  <c r="BH28" i="8" s="1"/>
  <c r="BI28" i="8" s="1"/>
  <c r="BJ28" i="8" s="1"/>
  <c r="BK28" i="8" s="1"/>
  <c r="BL28" i="8" s="1"/>
  <c r="BM28" i="8" s="1"/>
  <c r="BN28" i="8" s="1"/>
  <c r="BO28" i="8" s="1"/>
  <c r="BP28" i="8" s="1"/>
  <c r="BQ28" i="8" s="1"/>
  <c r="BR28" i="8" s="1"/>
  <c r="BS28" i="8" s="1"/>
  <c r="BT28" i="8" s="1"/>
  <c r="BU28" i="8" s="1"/>
  <c r="BV28" i="8" s="1"/>
  <c r="BW28" i="8" s="1"/>
  <c r="BX28" i="8" s="1"/>
  <c r="BY28" i="8" s="1"/>
  <c r="B66" i="8" l="1"/>
  <c r="BZ28" i="8"/>
  <c r="CA28" i="8" s="1"/>
  <c r="CB28" i="8" s="1"/>
  <c r="CC28" i="8" s="1"/>
  <c r="CD28" i="8" s="1"/>
  <c r="B36" i="8"/>
  <c r="B94" i="8"/>
  <c r="B67" i="8" l="1"/>
  <c r="B68" i="8" s="1"/>
  <c r="CE28" i="8"/>
  <c r="CF28" i="8" s="1"/>
  <c r="B37" i="8"/>
  <c r="B95" i="8"/>
  <c r="B38" i="8" l="1"/>
  <c r="CG28" i="8"/>
  <c r="CH28" i="8" s="1"/>
  <c r="CI28" i="8" s="1"/>
  <c r="CJ28" i="8" s="1"/>
  <c r="CK28" i="8" s="1"/>
  <c r="B96" i="8"/>
  <c r="B69" i="8"/>
  <c r="B39" i="8" l="1"/>
  <c r="B70" i="8"/>
  <c r="B97" i="8"/>
  <c r="B40" i="8" l="1"/>
  <c r="B98" i="8"/>
  <c r="B71" i="8"/>
  <c r="B41" i="8" l="1"/>
  <c r="B72" i="8"/>
  <c r="B99" i="8"/>
  <c r="B42" i="8" l="1"/>
  <c r="B100" i="8"/>
  <c r="B73" i="8"/>
  <c r="B43" i="8" l="1"/>
  <c r="B74" i="8"/>
  <c r="B101" i="8"/>
  <c r="B44" i="8" l="1"/>
  <c r="B75" i="8"/>
  <c r="B102" i="8"/>
  <c r="B45" i="8" l="1"/>
  <c r="B76" i="8"/>
  <c r="B103" i="8"/>
  <c r="B46" i="8" l="1"/>
  <c r="B104" i="8"/>
  <c r="B77" i="8"/>
  <c r="B47" i="8" l="1"/>
  <c r="B105" i="8"/>
  <c r="B78" i="8"/>
  <c r="B48" i="8" l="1"/>
  <c r="B79" i="8"/>
  <c r="B106" i="8"/>
  <c r="B49" i="8" l="1"/>
  <c r="B80" i="8"/>
  <c r="B107" i="8"/>
  <c r="B50" i="8" l="1"/>
  <c r="B108" i="8"/>
  <c r="B81" i="8"/>
  <c r="B51" i="8" l="1"/>
  <c r="B82" i="8"/>
  <c r="B109" i="8"/>
  <c r="B52" i="8" l="1"/>
  <c r="B110" i="8"/>
  <c r="B83" i="8"/>
  <c r="B53" i="8" l="1"/>
  <c r="B84" i="8"/>
  <c r="B111" i="8"/>
  <c r="B54" i="8" l="1"/>
  <c r="B85" i="8"/>
  <c r="B112" i="8"/>
  <c r="B55" i="8" l="1"/>
  <c r="B86" i="8"/>
  <c r="B113" i="8"/>
  <c r="B56" i="8" l="1"/>
  <c r="B114" i="8"/>
  <c r="B57" i="8" l="1"/>
  <c r="B115" i="8"/>
  <c r="AX57" i="8" l="1"/>
  <c r="AX53" i="8"/>
  <c r="AX49" i="8"/>
  <c r="AX45" i="8"/>
  <c r="AX41" i="8"/>
  <c r="AX37" i="8"/>
  <c r="AX33" i="8"/>
  <c r="AX56" i="8"/>
  <c r="AX52" i="8"/>
  <c r="AX48" i="8"/>
  <c r="AX44" i="8"/>
  <c r="AX40" i="8"/>
  <c r="AX36" i="8"/>
  <c r="AX55" i="8"/>
  <c r="AX47" i="8"/>
  <c r="AX39" i="8"/>
  <c r="AX43" i="8"/>
  <c r="AX50" i="8"/>
  <c r="AX42" i="8"/>
  <c r="AX54" i="8"/>
  <c r="AX46" i="8"/>
  <c r="AX38" i="8"/>
  <c r="AX51" i="8"/>
  <c r="AX35" i="8"/>
  <c r="AX34" i="8"/>
  <c r="BA37" i="8"/>
  <c r="H127" i="8"/>
  <c r="BA45" i="8"/>
  <c r="BA38" i="8"/>
  <c r="BA54" i="8"/>
  <c r="BA53" i="8"/>
  <c r="BA46" i="8"/>
  <c r="BA49" i="8"/>
  <c r="BA42" i="8"/>
  <c r="BA35" i="8"/>
  <c r="BA57" i="8"/>
  <c r="BA50" i="8"/>
  <c r="BA43" i="8"/>
  <c r="BA36" i="8"/>
  <c r="BA33" i="8"/>
  <c r="BA51" i="8"/>
  <c r="BA44" i="8"/>
  <c r="BA41" i="8"/>
  <c r="BA34" i="8"/>
  <c r="BA52" i="8"/>
  <c r="BA39" i="8"/>
  <c r="BA47" i="8"/>
  <c r="BA55" i="8"/>
  <c r="BA56" i="8"/>
  <c r="BA40" i="8"/>
  <c r="BA48" i="8"/>
  <c r="F13" i="8"/>
  <c r="E13" i="8"/>
  <c r="D12" i="8"/>
  <c r="AA62" i="8" l="1"/>
  <c r="AB62" i="8" s="1"/>
  <c r="AA63" i="8"/>
  <c r="AA64" i="8"/>
  <c r="AA65" i="8"/>
  <c r="AA66" i="8"/>
  <c r="AA67" i="8"/>
  <c r="AA68" i="8"/>
  <c r="AA69" i="8"/>
  <c r="AA70" i="8"/>
  <c r="AA71" i="8"/>
  <c r="AA72" i="8"/>
  <c r="AA73" i="8"/>
  <c r="AA74" i="8"/>
  <c r="AA75" i="8"/>
  <c r="AA76" i="8"/>
  <c r="AA77" i="8"/>
  <c r="AA78" i="8"/>
  <c r="AA79" i="8"/>
  <c r="AA80" i="8"/>
  <c r="AA81" i="8"/>
  <c r="AA82" i="8"/>
  <c r="AA83" i="8"/>
  <c r="AA84" i="8"/>
  <c r="AA85" i="8"/>
  <c r="AA86" i="8"/>
  <c r="U171" i="8"/>
  <c r="E171" i="8"/>
  <c r="W170" i="8"/>
  <c r="S170" i="8"/>
  <c r="O170" i="8"/>
  <c r="K170" i="8"/>
  <c r="G170" i="8"/>
  <c r="X169" i="8"/>
  <c r="T169" i="8"/>
  <c r="P169" i="8"/>
  <c r="L169" i="8"/>
  <c r="H169" i="8"/>
  <c r="Y170" i="8"/>
  <c r="Q170" i="8"/>
  <c r="I170" i="8"/>
  <c r="V169" i="8"/>
  <c r="N169" i="8"/>
  <c r="F169" i="8"/>
  <c r="Y171" i="8"/>
  <c r="X170" i="8"/>
  <c r="P170" i="8"/>
  <c r="H170" i="8"/>
  <c r="U169" i="8"/>
  <c r="M169" i="8"/>
  <c r="I169" i="8"/>
  <c r="Q171" i="8"/>
  <c r="V170" i="8"/>
  <c r="R170" i="8"/>
  <c r="N170" i="8"/>
  <c r="J170" i="8"/>
  <c r="F170" i="8"/>
  <c r="W169" i="8"/>
  <c r="S169" i="8"/>
  <c r="O169" i="8"/>
  <c r="K169" i="8"/>
  <c r="G169" i="8"/>
  <c r="M171" i="8"/>
  <c r="U170" i="8"/>
  <c r="M170" i="8"/>
  <c r="E170" i="8"/>
  <c r="R169" i="8"/>
  <c r="J169" i="8"/>
  <c r="I171" i="8"/>
  <c r="T170" i="8"/>
  <c r="L170" i="8"/>
  <c r="Y169" i="8"/>
  <c r="Q169" i="8"/>
  <c r="E169" i="8"/>
  <c r="F171" i="8"/>
  <c r="V171" i="8"/>
  <c r="S171" i="8"/>
  <c r="P171" i="8"/>
  <c r="K171" i="8"/>
  <c r="X171" i="8"/>
  <c r="O171" i="8"/>
  <c r="J171" i="8"/>
  <c r="G171" i="8"/>
  <c r="W171" i="8"/>
  <c r="T171" i="8"/>
  <c r="N171" i="8"/>
  <c r="H171" i="8"/>
  <c r="R171" i="8"/>
  <c r="L171" i="8"/>
  <c r="AU36" i="8"/>
  <c r="AU40" i="8"/>
  <c r="AU44" i="8"/>
  <c r="AU48" i="8"/>
  <c r="AU52" i="8"/>
  <c r="AU56" i="8"/>
  <c r="AS35" i="8"/>
  <c r="AS39" i="8"/>
  <c r="AS43" i="8"/>
  <c r="AS47" i="8"/>
  <c r="AS51" i="8"/>
  <c r="AS55" i="8"/>
  <c r="Q34" i="8"/>
  <c r="Q38" i="8"/>
  <c r="Q42" i="8"/>
  <c r="Q46" i="8"/>
  <c r="Q50" i="8"/>
  <c r="Q54" i="8"/>
  <c r="O34" i="8"/>
  <c r="O38" i="8"/>
  <c r="O42" i="8"/>
  <c r="O46" i="8"/>
  <c r="O50" i="8"/>
  <c r="O54" i="8"/>
  <c r="Q33" i="8"/>
  <c r="AU37" i="8"/>
  <c r="AU41" i="8"/>
  <c r="AU45" i="8"/>
  <c r="AU49" i="8"/>
  <c r="AU53" i="8"/>
  <c r="AU57" i="8"/>
  <c r="AS36" i="8"/>
  <c r="AS40" i="8"/>
  <c r="AS44" i="8"/>
  <c r="AS48" i="8"/>
  <c r="AS52" i="8"/>
  <c r="AS56" i="8"/>
  <c r="Q35" i="8"/>
  <c r="Q39" i="8"/>
  <c r="Q43" i="8"/>
  <c r="Q47" i="8"/>
  <c r="Q51" i="8"/>
  <c r="Q55" i="8"/>
  <c r="O35" i="8"/>
  <c r="O39" i="8"/>
  <c r="O43" i="8"/>
  <c r="O47" i="8"/>
  <c r="O51" i="8"/>
  <c r="O55" i="8"/>
  <c r="O33" i="8"/>
  <c r="AU34" i="8"/>
  <c r="AU38" i="8"/>
  <c r="AU42" i="8"/>
  <c r="AU46" i="8"/>
  <c r="AU50" i="8"/>
  <c r="AU54" i="8"/>
  <c r="AU33" i="8"/>
  <c r="AS37" i="8"/>
  <c r="AS41" i="8"/>
  <c r="AS45" i="8"/>
  <c r="AS49" i="8"/>
  <c r="AS53" i="8"/>
  <c r="AS57" i="8"/>
  <c r="Q36" i="8"/>
  <c r="Q40" i="8"/>
  <c r="Q44" i="8"/>
  <c r="Q48" i="8"/>
  <c r="Q52" i="8"/>
  <c r="Q56" i="8"/>
  <c r="O36" i="8"/>
  <c r="O40" i="8"/>
  <c r="O44" i="8"/>
  <c r="O48" i="8"/>
  <c r="O52" i="8"/>
  <c r="O56" i="8"/>
  <c r="AU35" i="8"/>
  <c r="AU39" i="8"/>
  <c r="AU43" i="8"/>
  <c r="AU47" i="8"/>
  <c r="AU51" i="8"/>
  <c r="AU55" i="8"/>
  <c r="AS34" i="8"/>
  <c r="AS38" i="8"/>
  <c r="AS42" i="8"/>
  <c r="AS46" i="8"/>
  <c r="AS54" i="8"/>
  <c r="Q45" i="8"/>
  <c r="O37" i="8"/>
  <c r="O53" i="8"/>
  <c r="AS33" i="8"/>
  <c r="Q49" i="8"/>
  <c r="O41" i="8"/>
  <c r="O57" i="8"/>
  <c r="Q37" i="8"/>
  <c r="Q53" i="8"/>
  <c r="O45" i="8"/>
  <c r="AS50" i="8"/>
  <c r="Q41" i="8"/>
  <c r="Q57" i="8"/>
  <c r="O49" i="8"/>
  <c r="CJ37" i="8"/>
  <c r="CJ41" i="8"/>
  <c r="CJ45" i="8"/>
  <c r="CJ49" i="8"/>
  <c r="CJ53" i="8"/>
  <c r="CJ57" i="8"/>
  <c r="CH36" i="8"/>
  <c r="CH40" i="8"/>
  <c r="CH44" i="8"/>
  <c r="CH48" i="8"/>
  <c r="CH52" i="8"/>
  <c r="CH56" i="8"/>
  <c r="CJ44" i="8"/>
  <c r="CH35" i="8"/>
  <c r="CH47" i="8"/>
  <c r="CJ34" i="8"/>
  <c r="CJ38" i="8"/>
  <c r="CJ42" i="8"/>
  <c r="CJ46" i="8"/>
  <c r="CJ50" i="8"/>
  <c r="CJ54" i="8"/>
  <c r="CJ33" i="8"/>
  <c r="CH37" i="8"/>
  <c r="CH41" i="8"/>
  <c r="CH45" i="8"/>
  <c r="CH49" i="8"/>
  <c r="CH53" i="8"/>
  <c r="CH57" i="8"/>
  <c r="CJ36" i="8"/>
  <c r="CJ48" i="8"/>
  <c r="CH39" i="8"/>
  <c r="CH51" i="8"/>
  <c r="CJ35" i="8"/>
  <c r="CJ39" i="8"/>
  <c r="CJ43" i="8"/>
  <c r="CJ47" i="8"/>
  <c r="CJ51" i="8"/>
  <c r="CJ55" i="8"/>
  <c r="CH34" i="8"/>
  <c r="CH38" i="8"/>
  <c r="CH42" i="8"/>
  <c r="CH46" i="8"/>
  <c r="CH50" i="8"/>
  <c r="CH54" i="8"/>
  <c r="CH33" i="8"/>
  <c r="CJ40" i="8"/>
  <c r="CJ52" i="8"/>
  <c r="CJ56" i="8"/>
  <c r="CH43" i="8"/>
  <c r="CH55" i="8"/>
  <c r="AX85" i="8"/>
  <c r="AX81" i="8"/>
  <c r="AX77" i="8"/>
  <c r="AX73" i="8"/>
  <c r="AX69" i="8"/>
  <c r="AX65" i="8"/>
  <c r="AX84" i="8"/>
  <c r="CI161" i="10" s="1"/>
  <c r="AX80" i="8"/>
  <c r="AX76" i="8"/>
  <c r="AX72" i="8"/>
  <c r="AX68" i="8"/>
  <c r="AX64" i="8"/>
  <c r="AX79" i="8"/>
  <c r="AX71" i="8"/>
  <c r="AX63" i="8"/>
  <c r="AX86" i="8"/>
  <c r="AX78" i="8"/>
  <c r="CI187" i="10" s="1"/>
  <c r="AX70" i="8"/>
  <c r="AX62" i="8"/>
  <c r="AX75" i="8"/>
  <c r="AX82" i="8"/>
  <c r="AX74" i="8"/>
  <c r="AX83" i="8"/>
  <c r="AX67" i="8"/>
  <c r="AX66" i="8"/>
  <c r="W33" i="8"/>
  <c r="Y33" i="8"/>
  <c r="Y62" i="8"/>
  <c r="Y91" i="8"/>
  <c r="Y63" i="8"/>
  <c r="Y34" i="8"/>
  <c r="Y64" i="8"/>
  <c r="W34" i="8"/>
  <c r="Y92" i="8"/>
  <c r="Y66" i="8"/>
  <c r="Y35" i="8"/>
  <c r="Y65" i="8"/>
  <c r="W35" i="8"/>
  <c r="Y93" i="8"/>
  <c r="W36" i="8"/>
  <c r="Y94" i="8"/>
  <c r="Y36" i="8"/>
  <c r="Y67" i="8"/>
  <c r="Y95" i="8"/>
  <c r="W37" i="8"/>
  <c r="Y68" i="8"/>
  <c r="Y37" i="8"/>
  <c r="Y96" i="8"/>
  <c r="W38" i="8"/>
  <c r="Y69" i="8"/>
  <c r="Y38" i="8"/>
  <c r="Y70" i="8"/>
  <c r="Y39" i="8"/>
  <c r="Y97" i="8"/>
  <c r="W39" i="8"/>
  <c r="W40" i="8"/>
  <c r="Y71" i="8"/>
  <c r="Y40" i="8"/>
  <c r="Y98" i="8"/>
  <c r="Y72" i="8"/>
  <c r="Y41" i="8"/>
  <c r="Y99" i="8"/>
  <c r="W41" i="8"/>
  <c r="Y73" i="8"/>
  <c r="W42" i="8"/>
  <c r="Y42" i="8"/>
  <c r="Y100" i="8"/>
  <c r="Y74" i="8"/>
  <c r="Y43" i="8"/>
  <c r="Y101" i="8"/>
  <c r="W43" i="8"/>
  <c r="Y102" i="8"/>
  <c r="W44" i="8"/>
  <c r="Y44" i="8"/>
  <c r="Y75" i="8"/>
  <c r="Y76" i="8"/>
  <c r="Y45" i="8"/>
  <c r="Y103" i="8"/>
  <c r="W45" i="8"/>
  <c r="W46" i="8"/>
  <c r="Y104" i="8"/>
  <c r="Y46" i="8"/>
  <c r="Y77" i="8"/>
  <c r="Y105" i="8"/>
  <c r="Y78" i="8"/>
  <c r="Y47" i="8"/>
  <c r="W47" i="8"/>
  <c r="Y106" i="8"/>
  <c r="W48" i="8"/>
  <c r="Y48" i="8"/>
  <c r="Y79" i="8"/>
  <c r="Y80" i="8"/>
  <c r="Y49" i="8"/>
  <c r="Y107" i="8"/>
  <c r="W49" i="8"/>
  <c r="W50" i="8"/>
  <c r="Y81" i="8"/>
  <c r="Y50" i="8"/>
  <c r="Y108" i="8"/>
  <c r="Y82" i="8"/>
  <c r="Y51" i="8"/>
  <c r="Y109" i="8"/>
  <c r="W51" i="8"/>
  <c r="W52" i="8"/>
  <c r="Y83" i="8"/>
  <c r="Y52" i="8"/>
  <c r="Y110" i="8"/>
  <c r="Y84" i="8"/>
  <c r="Y53" i="8"/>
  <c r="Y111" i="8"/>
  <c r="W53" i="8"/>
  <c r="Y85" i="8"/>
  <c r="Y112" i="8"/>
  <c r="W54" i="8"/>
  <c r="Y54" i="8"/>
  <c r="Y86" i="8"/>
  <c r="Y55" i="8"/>
  <c r="W55" i="8"/>
  <c r="Y113" i="8"/>
  <c r="Y56" i="8"/>
  <c r="Y114" i="8"/>
  <c r="W56" i="8"/>
  <c r="W57" i="8"/>
  <c r="Y115" i="8"/>
  <c r="Y57" i="8"/>
  <c r="G57" i="8"/>
  <c r="AK57" i="8"/>
  <c r="AG57" i="8"/>
  <c r="E56" i="8"/>
  <c r="C56" i="8"/>
  <c r="BX55" i="8"/>
  <c r="BB54" i="8"/>
  <c r="C54" i="8"/>
  <c r="BR53" i="8"/>
  <c r="BH53" i="8"/>
  <c r="BX52" i="8"/>
  <c r="BV52" i="8"/>
  <c r="BJ51" i="8"/>
  <c r="K51" i="8"/>
  <c r="BX50" i="8"/>
  <c r="G49" i="8"/>
  <c r="CD49" i="8"/>
  <c r="BJ48" i="8"/>
  <c r="K48" i="8"/>
  <c r="G47" i="8"/>
  <c r="CF47" i="8"/>
  <c r="AE46" i="8"/>
  <c r="BJ46" i="8"/>
  <c r="K46" i="8"/>
  <c r="BR45" i="8"/>
  <c r="BH45" i="8"/>
  <c r="BZ44" i="8"/>
  <c r="BP44" i="8"/>
  <c r="BN44" i="8"/>
  <c r="BR43" i="8"/>
  <c r="S43" i="8"/>
  <c r="BX42" i="8"/>
  <c r="E41" i="8"/>
  <c r="C41" i="8"/>
  <c r="BR40" i="8"/>
  <c r="S40" i="8"/>
  <c r="BZ39" i="8"/>
  <c r="BP39" i="8"/>
  <c r="AE38" i="8"/>
  <c r="BJ38" i="8"/>
  <c r="K38" i="8"/>
  <c r="BZ37" i="8"/>
  <c r="BP37" i="8"/>
  <c r="BX36" i="8"/>
  <c r="BV36" i="8"/>
  <c r="E35" i="8"/>
  <c r="BF35" i="8"/>
  <c r="BJ34" i="8"/>
  <c r="AY34" i="8"/>
  <c r="BP33" i="8"/>
  <c r="G33" i="8"/>
  <c r="BB56" i="8"/>
  <c r="AC55" i="8"/>
  <c r="BD54" i="8"/>
  <c r="BH52" i="8"/>
  <c r="G51" i="8"/>
  <c r="AC50" i="8"/>
  <c r="AA49" i="8"/>
  <c r="BD47" i="8"/>
  <c r="BP43" i="8"/>
  <c r="AM40" i="8"/>
  <c r="BT38" i="8"/>
  <c r="AY37" i="8"/>
  <c r="G36" i="8"/>
  <c r="BP35" i="8"/>
  <c r="BD57" i="8"/>
  <c r="AE54" i="8"/>
  <c r="AY52" i="8"/>
  <c r="BH50" i="8"/>
  <c r="AK49" i="8"/>
  <c r="AM46" i="8"/>
  <c r="AA42" i="8"/>
  <c r="AG41" i="8"/>
  <c r="AM38" i="8"/>
  <c r="BB37" i="8"/>
  <c r="AY36" i="8"/>
  <c r="AA34" i="8"/>
  <c r="AM33" i="8"/>
  <c r="BL57" i="8"/>
  <c r="E57" i="8"/>
  <c r="S56" i="8"/>
  <c r="BF56" i="8"/>
  <c r="E55" i="8"/>
  <c r="C55" i="8"/>
  <c r="BT55" i="8"/>
  <c r="BH54" i="8"/>
  <c r="BX53" i="8"/>
  <c r="BV53" i="8"/>
  <c r="E52" i="8"/>
  <c r="C52" i="8"/>
  <c r="BT52" i="8"/>
  <c r="BP51" i="8"/>
  <c r="I51" i="8"/>
  <c r="E50" i="8"/>
  <c r="C50" i="8"/>
  <c r="U49" i="8"/>
  <c r="AY49" i="8"/>
  <c r="CB49" i="8"/>
  <c r="BP48" i="8"/>
  <c r="BN48" i="8"/>
  <c r="U47" i="8"/>
  <c r="K47" i="8"/>
  <c r="CB47" i="8"/>
  <c r="BP46" i="8"/>
  <c r="I46" i="8"/>
  <c r="BX45" i="8"/>
  <c r="BV45" i="8"/>
  <c r="CF44" i="8"/>
  <c r="BL44" i="8"/>
  <c r="BX43" i="8"/>
  <c r="E42" i="8"/>
  <c r="C42" i="8"/>
  <c r="AC41" i="8"/>
  <c r="BH41" i="8"/>
  <c r="BX40" i="8"/>
  <c r="BV40" i="8"/>
  <c r="CF39" i="8"/>
  <c r="CD39" i="8"/>
  <c r="BL39" i="8"/>
  <c r="BP38" i="8"/>
  <c r="I38" i="8"/>
  <c r="CF37" i="8"/>
  <c r="CD37" i="8"/>
  <c r="E36" i="8"/>
  <c r="C36" i="8"/>
  <c r="BT36" i="8"/>
  <c r="S35" i="8"/>
  <c r="BP34" i="8"/>
  <c r="BN34" i="8"/>
  <c r="BN33" i="8"/>
  <c r="AY33" i="8"/>
  <c r="M57" i="8"/>
  <c r="M48" i="8"/>
  <c r="M55" i="8"/>
  <c r="M52" i="8"/>
  <c r="BF57" i="8"/>
  <c r="BT57" i="8"/>
  <c r="CF56" i="8"/>
  <c r="AA56" i="8"/>
  <c r="I56" i="8"/>
  <c r="U55" i="8"/>
  <c r="BN55" i="8"/>
  <c r="AK54" i="8"/>
  <c r="AA54" i="8"/>
  <c r="BJ53" i="8"/>
  <c r="CF53" i="8"/>
  <c r="AG53" i="8"/>
  <c r="U52" i="8"/>
  <c r="BB51" i="8"/>
  <c r="AI51" i="8"/>
  <c r="U50" i="8"/>
  <c r="BN50" i="8"/>
  <c r="AC49" i="8"/>
  <c r="S49" i="8"/>
  <c r="BB48" i="8"/>
  <c r="AI48" i="8"/>
  <c r="AC47" i="8"/>
  <c r="BV47" i="8"/>
  <c r="BB46" i="8"/>
  <c r="AI46" i="8"/>
  <c r="BJ45" i="8"/>
  <c r="CF45" i="8"/>
  <c r="AG45" i="8"/>
  <c r="E44" i="8"/>
  <c r="BJ43" i="8"/>
  <c r="AY43" i="8"/>
  <c r="U42" i="8"/>
  <c r="BN42" i="8"/>
  <c r="AK41" i="8"/>
  <c r="AA41" i="8"/>
  <c r="BJ40" i="8"/>
  <c r="AY40" i="8"/>
  <c r="AG40" i="8"/>
  <c r="E39" i="8"/>
  <c r="BF39" i="8"/>
  <c r="BB38" i="8"/>
  <c r="AI38" i="8"/>
  <c r="BR37" i="8"/>
  <c r="BF37" i="8"/>
  <c r="U36" i="8"/>
  <c r="AK35" i="8"/>
  <c r="CD35" i="8"/>
  <c r="BL35" i="8"/>
  <c r="BX34" i="8"/>
  <c r="BF33" i="8"/>
  <c r="BV33" i="8"/>
  <c r="M38" i="8"/>
  <c r="K57" i="8"/>
  <c r="AG56" i="8"/>
  <c r="AI54" i="8"/>
  <c r="AM52" i="8"/>
  <c r="AA51" i="8"/>
  <c r="AE48" i="8"/>
  <c r="BT46" i="8"/>
  <c r="BD45" i="8"/>
  <c r="CD44" i="8"/>
  <c r="AK43" i="8"/>
  <c r="AI40" i="8"/>
  <c r="AG39" i="8"/>
  <c r="BL38" i="8"/>
  <c r="AA36" i="8"/>
  <c r="BB35" i="8"/>
  <c r="C57" i="8"/>
  <c r="CB56" i="8"/>
  <c r="BR56" i="8"/>
  <c r="CD55" i="8"/>
  <c r="BL55" i="8"/>
  <c r="K54" i="8"/>
  <c r="CB54" i="8"/>
  <c r="BR54" i="8"/>
  <c r="BN53" i="8"/>
  <c r="CD52" i="8"/>
  <c r="BL52" i="8"/>
  <c r="S51" i="8"/>
  <c r="BZ51" i="8"/>
  <c r="CD50" i="8"/>
  <c r="C49" i="8"/>
  <c r="BT49" i="8"/>
  <c r="S48" i="8"/>
  <c r="BF48" i="8"/>
  <c r="BZ48" i="8"/>
  <c r="C47" i="8"/>
  <c r="BT47" i="8"/>
  <c r="S46" i="8"/>
  <c r="BZ46" i="8"/>
  <c r="BN45" i="8"/>
  <c r="BV44" i="8"/>
  <c r="BD44" i="8"/>
  <c r="AA43" i="8"/>
  <c r="I43" i="8"/>
  <c r="CD42" i="8"/>
  <c r="K41" i="8"/>
  <c r="CB41" i="8"/>
  <c r="AA40" i="8"/>
  <c r="BN40" i="8"/>
  <c r="BV39" i="8"/>
  <c r="BD39" i="8"/>
  <c r="S38" i="8"/>
  <c r="BZ38" i="8"/>
  <c r="BV37" i="8"/>
  <c r="G37" i="8"/>
  <c r="CD36" i="8"/>
  <c r="BL36" i="8"/>
  <c r="K35" i="8"/>
  <c r="CB35" i="8"/>
  <c r="AC35" i="8"/>
  <c r="BF34" i="8"/>
  <c r="BD33" i="8"/>
  <c r="BH33" i="8"/>
  <c r="M56" i="8"/>
  <c r="BZ57" i="8"/>
  <c r="AY55" i="8"/>
  <c r="AI53" i="8"/>
  <c r="AA48" i="8"/>
  <c r="BN47" i="8"/>
  <c r="BL46" i="8"/>
  <c r="AE44" i="8"/>
  <c r="BL42" i="8"/>
  <c r="BP40" i="8"/>
  <c r="AE39" i="8"/>
  <c r="AA38" i="8"/>
  <c r="AG37" i="8"/>
  <c r="I36" i="8"/>
  <c r="AE34" i="8"/>
  <c r="AM57" i="8"/>
  <c r="AM55" i="8"/>
  <c r="U54" i="8"/>
  <c r="AA53" i="8"/>
  <c r="AM51" i="8"/>
  <c r="BF50" i="8"/>
  <c r="AM49" i="8"/>
  <c r="AI47" i="8"/>
  <c r="BF46" i="8"/>
  <c r="AA45" i="8"/>
  <c r="BD43" i="8"/>
  <c r="AC42" i="8"/>
  <c r="AI41" i="8"/>
  <c r="S39" i="8"/>
  <c r="BF38" i="8"/>
  <c r="AI37" i="8"/>
  <c r="AE35" i="8"/>
  <c r="U57" i="8"/>
  <c r="AY57" i="8"/>
  <c r="AA57" i="8"/>
  <c r="BX56" i="8"/>
  <c r="CB55" i="8"/>
  <c r="BR55" i="8"/>
  <c r="I54" i="8"/>
  <c r="BX54" i="8"/>
  <c r="BL53" i="8"/>
  <c r="E53" i="8"/>
  <c r="CB52" i="8"/>
  <c r="BR52" i="8"/>
  <c r="BD51" i="8"/>
  <c r="CF51" i="8"/>
  <c r="CB50" i="8"/>
  <c r="BR50" i="8"/>
  <c r="BZ49" i="8"/>
  <c r="BP49" i="8"/>
  <c r="BD48" i="8"/>
  <c r="CF48" i="8"/>
  <c r="BZ47" i="8"/>
  <c r="G46" i="8"/>
  <c r="CF46" i="8"/>
  <c r="BL45" i="8"/>
  <c r="E45" i="8"/>
  <c r="BT44" i="8"/>
  <c r="BJ44" i="8"/>
  <c r="AG43" i="8"/>
  <c r="BL43" i="8"/>
  <c r="E43" i="8"/>
  <c r="CB42" i="8"/>
  <c r="BR42" i="8"/>
  <c r="I41" i="8"/>
  <c r="BX41" i="8"/>
  <c r="BL40" i="8"/>
  <c r="E40" i="8"/>
  <c r="BT39" i="8"/>
  <c r="BJ39" i="8"/>
  <c r="G38" i="8"/>
  <c r="CF38" i="8"/>
  <c r="BT37" i="8"/>
  <c r="U37" i="8"/>
  <c r="CB36" i="8"/>
  <c r="BR36" i="8"/>
  <c r="I35" i="8"/>
  <c r="AI35" i="8"/>
  <c r="AM34" i="8"/>
  <c r="AK34" i="8"/>
  <c r="E33" i="8"/>
  <c r="AC33" i="8"/>
  <c r="BZ33" i="8"/>
  <c r="M41" i="8"/>
  <c r="M39" i="8"/>
  <c r="BT42" i="8"/>
  <c r="CD33" i="8"/>
  <c r="AC57" i="8"/>
  <c r="BB57" i="8"/>
  <c r="BT56" i="8"/>
  <c r="G56" i="8"/>
  <c r="BV55" i="8"/>
  <c r="AK55" i="8"/>
  <c r="BF53" i="8"/>
  <c r="AE53" i="8"/>
  <c r="AK52" i="8"/>
  <c r="AG51" i="8"/>
  <c r="BV50" i="8"/>
  <c r="BD50" i="8"/>
  <c r="AK50" i="8"/>
  <c r="I49" i="8"/>
  <c r="BB49" i="8"/>
  <c r="AG48" i="8"/>
  <c r="CD47" i="8"/>
  <c r="BB47" i="8"/>
  <c r="AG46" i="8"/>
  <c r="BF45" i="8"/>
  <c r="AE45" i="8"/>
  <c r="CB44" i="8"/>
  <c r="AC44" i="8"/>
  <c r="BF43" i="8"/>
  <c r="AE43" i="8"/>
  <c r="BV42" i="8"/>
  <c r="BD42" i="8"/>
  <c r="AK42" i="8"/>
  <c r="BJ41" i="8"/>
  <c r="BF40" i="8"/>
  <c r="AE40" i="8"/>
  <c r="BN39" i="8"/>
  <c r="CB39" i="8"/>
  <c r="AC39" i="8"/>
  <c r="AG38" i="8"/>
  <c r="BN37" i="8"/>
  <c r="AM37" i="8"/>
  <c r="AK36" i="8"/>
  <c r="BJ35" i="8"/>
  <c r="AG34" i="8"/>
  <c r="G34" i="8"/>
  <c r="E34" i="8"/>
  <c r="CB33" i="8"/>
  <c r="BR33" i="8"/>
  <c r="M53" i="8"/>
  <c r="M44" i="8"/>
  <c r="M50" i="8"/>
  <c r="M51" i="8"/>
  <c r="BV57" i="8"/>
  <c r="AI56" i="8"/>
  <c r="BL54" i="8"/>
  <c r="BD53" i="8"/>
  <c r="G52" i="8"/>
  <c r="BF51" i="8"/>
  <c r="BL50" i="8"/>
  <c r="BH48" i="8"/>
  <c r="BP47" i="8"/>
  <c r="AA46" i="8"/>
  <c r="AK45" i="8"/>
  <c r="AI44" i="8"/>
  <c r="BH43" i="8"/>
  <c r="AY41" i="8"/>
  <c r="BL37" i="8"/>
  <c r="AC36" i="8"/>
  <c r="BD35" i="8"/>
  <c r="I33" i="8"/>
  <c r="J33" i="8" s="1"/>
  <c r="M46" i="8"/>
  <c r="BR57" i="8"/>
  <c r="BH57" i="8"/>
  <c r="AK56" i="8"/>
  <c r="BP56" i="8"/>
  <c r="BN56" i="8"/>
  <c r="BJ55" i="8"/>
  <c r="K55" i="8"/>
  <c r="BZ54" i="8"/>
  <c r="BP54" i="8"/>
  <c r="G53" i="8"/>
  <c r="CD53" i="8"/>
  <c r="BJ52" i="8"/>
  <c r="K52" i="8"/>
  <c r="BX51" i="8"/>
  <c r="AE50" i="8"/>
  <c r="BJ50" i="8"/>
  <c r="K50" i="8"/>
  <c r="BR49" i="8"/>
  <c r="BH49" i="8"/>
  <c r="BX48" i="8"/>
  <c r="BV48" i="8"/>
  <c r="BR47" i="8"/>
  <c r="S47" i="8"/>
  <c r="BX46" i="8"/>
  <c r="G45" i="8"/>
  <c r="CD45" i="8"/>
  <c r="BB44" i="8"/>
  <c r="C44" i="8"/>
  <c r="G43" i="8"/>
  <c r="CF43" i="8"/>
  <c r="AE42" i="8"/>
  <c r="BJ42" i="8"/>
  <c r="K42" i="8"/>
  <c r="BZ41" i="8"/>
  <c r="BP41" i="8"/>
  <c r="G40" i="8"/>
  <c r="CF40" i="8"/>
  <c r="CD40" i="8"/>
  <c r="BB39" i="8"/>
  <c r="C39" i="8"/>
  <c r="BX38" i="8"/>
  <c r="E37" i="8"/>
  <c r="C37" i="8"/>
  <c r="BJ36" i="8"/>
  <c r="K36" i="8"/>
  <c r="BZ35" i="8"/>
  <c r="AA35" i="8"/>
  <c r="AC34" i="8"/>
  <c r="BV34" i="8"/>
  <c r="K33" i="8"/>
  <c r="AI33" i="8"/>
  <c r="M49" i="8"/>
  <c r="M40" i="8"/>
  <c r="M42" i="8"/>
  <c r="M47" i="8"/>
  <c r="AY54" i="8"/>
  <c r="AK53" i="8"/>
  <c r="AE52" i="8"/>
  <c r="BT50" i="8"/>
  <c r="AM47" i="8"/>
  <c r="AI45" i="8"/>
  <c r="BL41" i="8"/>
  <c r="AC38" i="8"/>
  <c r="BD37" i="8"/>
  <c r="C34" i="8"/>
  <c r="BX33" i="8"/>
  <c r="BV56" i="8"/>
  <c r="BF55" i="8"/>
  <c r="AA52" i="8"/>
  <c r="AC51" i="8"/>
  <c r="AY50" i="8"/>
  <c r="AM48" i="8"/>
  <c r="AK47" i="8"/>
  <c r="AY46" i="8"/>
  <c r="S44" i="8"/>
  <c r="BN43" i="8"/>
  <c r="AY42" i="8"/>
  <c r="BD40" i="8"/>
  <c r="U39" i="8"/>
  <c r="AY38" i="8"/>
  <c r="BH36" i="8"/>
  <c r="M36" i="8"/>
  <c r="AE57" i="8"/>
  <c r="AY56" i="8"/>
  <c r="CD56" i="8"/>
  <c r="BL56" i="8"/>
  <c r="BP55" i="8"/>
  <c r="I55" i="8"/>
  <c r="CF54" i="8"/>
  <c r="CD54" i="8"/>
  <c r="U53" i="8"/>
  <c r="AY53" i="8"/>
  <c r="CB53" i="8"/>
  <c r="BP52" i="8"/>
  <c r="BN52" i="8"/>
  <c r="E51" i="8"/>
  <c r="C51" i="8"/>
  <c r="BT51" i="8"/>
  <c r="BP50" i="8"/>
  <c r="I50" i="8"/>
  <c r="BX49" i="8"/>
  <c r="BV49" i="8"/>
  <c r="E48" i="8"/>
  <c r="C48" i="8"/>
  <c r="BT48" i="8"/>
  <c r="BX47" i="8"/>
  <c r="E46" i="8"/>
  <c r="C46" i="8"/>
  <c r="U45" i="8"/>
  <c r="AY45" i="8"/>
  <c r="CB45" i="8"/>
  <c r="BH44" i="8"/>
  <c r="BF44" i="8"/>
  <c r="U43" i="8"/>
  <c r="K43" i="8"/>
  <c r="CB43" i="8"/>
  <c r="BP42" i="8"/>
  <c r="I42" i="8"/>
  <c r="CF41" i="8"/>
  <c r="CD41" i="8"/>
  <c r="U40" i="8"/>
  <c r="K40" i="8"/>
  <c r="CB40" i="8"/>
  <c r="BH39" i="8"/>
  <c r="E38" i="8"/>
  <c r="C38" i="8"/>
  <c r="AC37" i="8"/>
  <c r="BH37" i="8"/>
  <c r="BP36" i="8"/>
  <c r="BN36" i="8"/>
  <c r="CF35" i="8"/>
  <c r="AG35" i="8"/>
  <c r="AI34" i="8"/>
  <c r="BL34" i="8"/>
  <c r="AK33" i="8"/>
  <c r="M34" i="8"/>
  <c r="BR35" i="8"/>
  <c r="M45" i="8"/>
  <c r="I57" i="8"/>
  <c r="CB57" i="8"/>
  <c r="BH56" i="8"/>
  <c r="BB55" i="8"/>
  <c r="AI55" i="8"/>
  <c r="E54" i="8"/>
  <c r="BF54" i="8"/>
  <c r="AC53" i="8"/>
  <c r="S53" i="8"/>
  <c r="BB52" i="8"/>
  <c r="AI52" i="8"/>
  <c r="U51" i="8"/>
  <c r="BN51" i="8"/>
  <c r="BB50" i="8"/>
  <c r="AI50" i="8"/>
  <c r="BJ49" i="8"/>
  <c r="CF49" i="8"/>
  <c r="AG49" i="8"/>
  <c r="U48" i="8"/>
  <c r="BJ47" i="8"/>
  <c r="AY47" i="8"/>
  <c r="U46" i="8"/>
  <c r="BN46" i="8"/>
  <c r="AC45" i="8"/>
  <c r="S45" i="8"/>
  <c r="AK44" i="8"/>
  <c r="AA44" i="8"/>
  <c r="I44" i="8"/>
  <c r="AC43" i="8"/>
  <c r="BV43" i="8"/>
  <c r="BB42" i="8"/>
  <c r="AI42" i="8"/>
  <c r="BR41" i="8"/>
  <c r="BF41" i="8"/>
  <c r="AC40" i="8"/>
  <c r="AK39" i="8"/>
  <c r="AA39" i="8"/>
  <c r="U38" i="8"/>
  <c r="BN38" i="8"/>
  <c r="AK37" i="8"/>
  <c r="AA37" i="8"/>
  <c r="BB36" i="8"/>
  <c r="AI36" i="8"/>
  <c r="BH35" i="8"/>
  <c r="U34" i="8"/>
  <c r="K34" i="8"/>
  <c r="AA33" i="8"/>
  <c r="CF33" i="8"/>
  <c r="M37" i="8"/>
  <c r="M35" i="8"/>
  <c r="CD57" i="8"/>
  <c r="BH55" i="8"/>
  <c r="S54" i="8"/>
  <c r="K53" i="8"/>
  <c r="I52" i="8"/>
  <c r="AY51" i="8"/>
  <c r="BD49" i="8"/>
  <c r="G48" i="8"/>
  <c r="AC46" i="8"/>
  <c r="AM45" i="8"/>
  <c r="AM42" i="8"/>
  <c r="BB41" i="8"/>
  <c r="BH40" i="8"/>
  <c r="BH38" i="8"/>
  <c r="S37" i="8"/>
  <c r="AE36" i="8"/>
  <c r="I34" i="8"/>
  <c r="BJ33" i="8"/>
  <c r="BN57" i="8"/>
  <c r="BD56" i="8"/>
  <c r="S55" i="8"/>
  <c r="BZ55" i="8"/>
  <c r="BV54" i="8"/>
  <c r="G54" i="8"/>
  <c r="C53" i="8"/>
  <c r="BT53" i="8"/>
  <c r="S52" i="8"/>
  <c r="BF52" i="8"/>
  <c r="BZ52" i="8"/>
  <c r="CD51" i="8"/>
  <c r="BL51" i="8"/>
  <c r="S50" i="8"/>
  <c r="BZ50" i="8"/>
  <c r="BN49" i="8"/>
  <c r="CD48" i="8"/>
  <c r="BL48" i="8"/>
  <c r="AA47" i="8"/>
  <c r="I47" i="8"/>
  <c r="CD46" i="8"/>
  <c r="C45" i="8"/>
  <c r="BT45" i="8"/>
  <c r="K44" i="8"/>
  <c r="AG44" i="8"/>
  <c r="BR44" i="8"/>
  <c r="C43" i="8"/>
  <c r="BT43" i="8"/>
  <c r="S42" i="8"/>
  <c r="BZ42" i="8"/>
  <c r="BV41" i="8"/>
  <c r="G41" i="8"/>
  <c r="C40" i="8"/>
  <c r="BT40" i="8"/>
  <c r="K39" i="8"/>
  <c r="BR39" i="8"/>
  <c r="CD38" i="8"/>
  <c r="K37" i="8"/>
  <c r="CB37" i="8"/>
  <c r="S36" i="8"/>
  <c r="BF36" i="8"/>
  <c r="BZ36" i="8"/>
  <c r="G35" i="8"/>
  <c r="CD34" i="8"/>
  <c r="BD34" i="8"/>
  <c r="BB34" i="8"/>
  <c r="BB33" i="8"/>
  <c r="AG33" i="8"/>
  <c r="M33" i="8"/>
  <c r="M54" i="8"/>
  <c r="K56" i="8"/>
  <c r="AA55" i="8"/>
  <c r="BH51" i="8"/>
  <c r="AA50" i="8"/>
  <c r="AY48" i="8"/>
  <c r="BH46" i="8"/>
  <c r="K45" i="8"/>
  <c r="BH42" i="8"/>
  <c r="S41" i="8"/>
  <c r="AI39" i="8"/>
  <c r="AM36" i="8"/>
  <c r="BV35" i="8"/>
  <c r="CF34" i="8"/>
  <c r="M43" i="8"/>
  <c r="U56" i="8"/>
  <c r="AE55" i="8"/>
  <c r="AC52" i="8"/>
  <c r="AE51" i="8"/>
  <c r="AI49" i="8"/>
  <c r="AC48" i="8"/>
  <c r="BH47" i="8"/>
  <c r="U44" i="8"/>
  <c r="AM43" i="8"/>
  <c r="AE41" i="8"/>
  <c r="AK40" i="8"/>
  <c r="AE37" i="8"/>
  <c r="C35" i="8"/>
  <c r="U33" i="8"/>
  <c r="BX57" i="8"/>
  <c r="S57" i="8"/>
  <c r="AE56" i="8"/>
  <c r="BJ56" i="8"/>
  <c r="BD55" i="8"/>
  <c r="CF55" i="8"/>
  <c r="BT54" i="8"/>
  <c r="BJ54" i="8"/>
  <c r="BZ53" i="8"/>
  <c r="BP53" i="8"/>
  <c r="BD52" i="8"/>
  <c r="CF52" i="8"/>
  <c r="CB51" i="8"/>
  <c r="BR51" i="8"/>
  <c r="G50" i="8"/>
  <c r="CF50" i="8"/>
  <c r="BL49" i="8"/>
  <c r="E49" i="8"/>
  <c r="CB48" i="8"/>
  <c r="BR48" i="8"/>
  <c r="AG47" i="8"/>
  <c r="BL47" i="8"/>
  <c r="E47" i="8"/>
  <c r="CB46" i="8"/>
  <c r="BR46" i="8"/>
  <c r="BZ45" i="8"/>
  <c r="BP45" i="8"/>
  <c r="AM44" i="8"/>
  <c r="BX44" i="8"/>
  <c r="BZ43" i="8"/>
  <c r="G42" i="8"/>
  <c r="CF42" i="8"/>
  <c r="BT41" i="8"/>
  <c r="U41" i="8"/>
  <c r="BZ40" i="8"/>
  <c r="I39" i="8"/>
  <c r="AM39" i="8"/>
  <c r="BX39" i="8"/>
  <c r="CB38" i="8"/>
  <c r="BR38" i="8"/>
  <c r="I37" i="8"/>
  <c r="BX37" i="8"/>
  <c r="BD36" i="8"/>
  <c r="CF36" i="8"/>
  <c r="BT35" i="8"/>
  <c r="U35" i="8"/>
  <c r="BT34" i="8"/>
  <c r="BH34" i="8"/>
  <c r="AE33" i="8"/>
  <c r="BL33" i="8"/>
  <c r="S34" i="8"/>
  <c r="BJ57" i="8"/>
  <c r="CF57" i="8"/>
  <c r="BP57" i="8"/>
  <c r="AM56" i="8"/>
  <c r="AC56" i="8"/>
  <c r="AG55" i="8"/>
  <c r="BN54" i="8"/>
  <c r="AM54" i="8"/>
  <c r="AC54" i="8"/>
  <c r="I53" i="8"/>
  <c r="BB53" i="8"/>
  <c r="AG52" i="8"/>
  <c r="BV51" i="8"/>
  <c r="AK51" i="8"/>
  <c r="AG50" i="8"/>
  <c r="BF49" i="8"/>
  <c r="AE49" i="8"/>
  <c r="AK48" i="8"/>
  <c r="BF47" i="8"/>
  <c r="AE47" i="8"/>
  <c r="BV46" i="8"/>
  <c r="BD46" i="8"/>
  <c r="AK46" i="8"/>
  <c r="I45" i="8"/>
  <c r="BB45" i="8"/>
  <c r="G44" i="8"/>
  <c r="CD43" i="8"/>
  <c r="BB43" i="8"/>
  <c r="AG42" i="8"/>
  <c r="BN41" i="8"/>
  <c r="AM41" i="8"/>
  <c r="I40" i="8"/>
  <c r="BB40" i="8"/>
  <c r="G39" i="8"/>
  <c r="BV38" i="8"/>
  <c r="BD38" i="8"/>
  <c r="AK38" i="8"/>
  <c r="BJ37" i="8"/>
  <c r="AG36" i="8"/>
  <c r="BN35" i="8"/>
  <c r="AM35" i="8"/>
  <c r="BX35" i="8"/>
  <c r="CB34" i="8"/>
  <c r="BZ34" i="8"/>
  <c r="C33" i="8"/>
  <c r="BT33" i="8"/>
  <c r="S33" i="8"/>
  <c r="AI57" i="8"/>
  <c r="BZ56" i="8"/>
  <c r="G55" i="8"/>
  <c r="AG54" i="8"/>
  <c r="AM53" i="8"/>
  <c r="AM50" i="8"/>
  <c r="K49" i="8"/>
  <c r="I48" i="8"/>
  <c r="AY44" i="8"/>
  <c r="AI43" i="8"/>
  <c r="BF42" i="8"/>
  <c r="BD41" i="8"/>
  <c r="AY39" i="8"/>
  <c r="AY35" i="8"/>
  <c r="BR34" i="8"/>
  <c r="BA84" i="8"/>
  <c r="BA70" i="8"/>
  <c r="BA86" i="8"/>
  <c r="BA64" i="8"/>
  <c r="BA72" i="8"/>
  <c r="E12" i="8"/>
  <c r="BA74" i="8"/>
  <c r="BA75" i="8"/>
  <c r="BA62" i="8"/>
  <c r="BA77" i="8"/>
  <c r="BA80" i="8"/>
  <c r="BA66" i="8"/>
  <c r="BA82" i="8"/>
  <c r="BA68" i="8"/>
  <c r="BA63" i="8"/>
  <c r="BA83" i="8"/>
  <c r="BA65" i="8"/>
  <c r="BA85" i="8"/>
  <c r="BA71" i="8"/>
  <c r="BA73" i="8"/>
  <c r="BA76" i="8"/>
  <c r="BA78" i="8"/>
  <c r="BA67" i="8"/>
  <c r="BA79" i="8"/>
  <c r="BA69" i="8"/>
  <c r="BA81" i="8"/>
  <c r="BA104" i="8"/>
  <c r="AX111" i="8"/>
  <c r="AX92" i="8"/>
  <c r="AX110" i="8"/>
  <c r="BA106" i="8"/>
  <c r="AX113" i="8"/>
  <c r="AX102" i="8"/>
  <c r="BA92" i="8"/>
  <c r="AX99" i="8"/>
  <c r="BA105" i="8"/>
  <c r="AX112" i="8"/>
  <c r="BA94" i="8"/>
  <c r="AX101" i="8"/>
  <c r="BA107" i="8"/>
  <c r="AX114" i="8"/>
  <c r="BA112" i="8"/>
  <c r="BA93" i="8"/>
  <c r="AX100" i="8"/>
  <c r="BA114" i="8"/>
  <c r="BA95" i="8"/>
  <c r="BA100" i="8"/>
  <c r="AX107" i="8"/>
  <c r="BA113" i="8"/>
  <c r="BA102" i="8"/>
  <c r="AX109" i="8"/>
  <c r="BA115" i="8"/>
  <c r="AX95" i="8"/>
  <c r="BA101" i="8"/>
  <c r="AX108" i="8"/>
  <c r="AX97" i="8"/>
  <c r="BA103" i="8"/>
  <c r="BA108" i="8"/>
  <c r="AX115" i="8"/>
  <c r="AX96" i="8"/>
  <c r="BA110" i="8"/>
  <c r="BA91" i="8"/>
  <c r="AX98" i="8"/>
  <c r="AX94" i="8"/>
  <c r="BA96" i="8"/>
  <c r="AX103" i="8"/>
  <c r="BA109" i="8"/>
  <c r="BA98" i="8"/>
  <c r="AX105" i="8"/>
  <c r="BA111" i="8"/>
  <c r="AX91" i="8"/>
  <c r="BA97" i="8"/>
  <c r="AX104" i="8"/>
  <c r="AX93" i="8"/>
  <c r="BA99" i="8"/>
  <c r="AX106" i="8"/>
  <c r="F12" i="8"/>
  <c r="CM292" i="10" l="1"/>
  <c r="CK292" i="10"/>
  <c r="CI292" i="10"/>
  <c r="CO292" i="10" s="1"/>
  <c r="CI251" i="10"/>
  <c r="CO251" i="10" s="1"/>
  <c r="CK251" i="10"/>
  <c r="CM251" i="10"/>
  <c r="CK309" i="10"/>
  <c r="CI309" i="10"/>
  <c r="CI273" i="10"/>
  <c r="CK273" i="10"/>
  <c r="CM273" i="10"/>
  <c r="CI310" i="10"/>
  <c r="CM183" i="10"/>
  <c r="CM181" i="10"/>
  <c r="CK183" i="10"/>
  <c r="CK181" i="10"/>
  <c r="CI183" i="10"/>
  <c r="CI181" i="10"/>
  <c r="CI185" i="10"/>
  <c r="CM182" i="10"/>
  <c r="CI184" i="10"/>
  <c r="CI180" i="10"/>
  <c r="CI182" i="10"/>
  <c r="CI245" i="10"/>
  <c r="CO245" i="10" s="1"/>
  <c r="CI268" i="10"/>
  <c r="CM245" i="10"/>
  <c r="CK268" i="10"/>
  <c r="CK245" i="10"/>
  <c r="CM268" i="10"/>
  <c r="CI303" i="10"/>
  <c r="CI247" i="10"/>
  <c r="CM247" i="10"/>
  <c r="CI271" i="10"/>
  <c r="CI255" i="10"/>
  <c r="CI267" i="10"/>
  <c r="CI295" i="10"/>
  <c r="CI178" i="10"/>
  <c r="CI177" i="10"/>
  <c r="CI249" i="10"/>
  <c r="CI243" i="10"/>
  <c r="CO243" i="10" s="1"/>
  <c r="CI186" i="10"/>
  <c r="CI213" i="10"/>
  <c r="CI176" i="10"/>
  <c r="CI215" i="10"/>
  <c r="CI179" i="10"/>
  <c r="CK249" i="10"/>
  <c r="CM243" i="10"/>
  <c r="CK271" i="10"/>
  <c r="CK255" i="10"/>
  <c r="CK243" i="10"/>
  <c r="CK267" i="10"/>
  <c r="CM295" i="10"/>
  <c r="CM267" i="10"/>
  <c r="CK295" i="10"/>
  <c r="CM271" i="10"/>
  <c r="CM249" i="10"/>
  <c r="CM255" i="10"/>
  <c r="CI284" i="10"/>
  <c r="CK284" i="10"/>
  <c r="CM284" i="10"/>
  <c r="CI289" i="10"/>
  <c r="CI283" i="10"/>
  <c r="CI282" i="10"/>
  <c r="CI290" i="10"/>
  <c r="CM283" i="10"/>
  <c r="CK290" i="10"/>
  <c r="CM282" i="10"/>
  <c r="CM290" i="10"/>
  <c r="CK282" i="10"/>
  <c r="CK283" i="10"/>
  <c r="CI324" i="10"/>
  <c r="CI252" i="10"/>
  <c r="CO252" i="10" s="1"/>
  <c r="CI262" i="10"/>
  <c r="CM262" i="10"/>
  <c r="CK252" i="10"/>
  <c r="CK324" i="10"/>
  <c r="CK262" i="10"/>
  <c r="CM324" i="10"/>
  <c r="CM252" i="10"/>
  <c r="CI258" i="10"/>
  <c r="CM258" i="10"/>
  <c r="CI236" i="10"/>
  <c r="CK236" i="10"/>
  <c r="CI263" i="10"/>
  <c r="CI196" i="10"/>
  <c r="CI194" i="10"/>
  <c r="CI190" i="10"/>
  <c r="CI193" i="10"/>
  <c r="CI195" i="10"/>
  <c r="CI191" i="10"/>
  <c r="CI192" i="10"/>
  <c r="CM263" i="10"/>
  <c r="CK263" i="10"/>
  <c r="CI280" i="10"/>
  <c r="CI281" i="10"/>
  <c r="CI188" i="10"/>
  <c r="CI244" i="10"/>
  <c r="CI315" i="10"/>
  <c r="CI189" i="10"/>
  <c r="CI296" i="10"/>
  <c r="CI314" i="10"/>
  <c r="CK296" i="10"/>
  <c r="CK244" i="10"/>
  <c r="CM296" i="10"/>
  <c r="CM244" i="10"/>
  <c r="CI286" i="10"/>
  <c r="CI288" i="10"/>
  <c r="CI285" i="10"/>
  <c r="CI287" i="10"/>
  <c r="CI277" i="10"/>
  <c r="CM277" i="10"/>
  <c r="CK300" i="10"/>
  <c r="CK320" i="10"/>
  <c r="CM300" i="10"/>
  <c r="CI300" i="10"/>
  <c r="CK306" i="10"/>
  <c r="CI320" i="10"/>
  <c r="CM306" i="10"/>
  <c r="CI306" i="10"/>
  <c r="CK277" i="10"/>
  <c r="CI276" i="10"/>
  <c r="CI278" i="10"/>
  <c r="CI291" i="10"/>
  <c r="CI279" i="10"/>
  <c r="CK278" i="10"/>
  <c r="CM276" i="10"/>
  <c r="CM291" i="10"/>
  <c r="CK291" i="10"/>
  <c r="CM279" i="10"/>
  <c r="CK276" i="10"/>
  <c r="CM278" i="10"/>
  <c r="CK279" i="10"/>
  <c r="CI242" i="10"/>
  <c r="CI321" i="10"/>
  <c r="CI322" i="10"/>
  <c r="CI265" i="10"/>
  <c r="CO265" i="10" s="1"/>
  <c r="CI254" i="10"/>
  <c r="CI312" i="10"/>
  <c r="CI305" i="10"/>
  <c r="CI323" i="10"/>
  <c r="CI313" i="10"/>
  <c r="CI270" i="10"/>
  <c r="CI301" i="10"/>
  <c r="CM242" i="10"/>
  <c r="CM270" i="10"/>
  <c r="CK254" i="10"/>
  <c r="CK265" i="10"/>
  <c r="CK270" i="10"/>
  <c r="CM254" i="10"/>
  <c r="CK242" i="10"/>
  <c r="CM265" i="10"/>
  <c r="CI256" i="10"/>
  <c r="CI260" i="10"/>
  <c r="CM260" i="10"/>
  <c r="CM256" i="10"/>
  <c r="CI311" i="10"/>
  <c r="CM311" i="10"/>
  <c r="CK311" i="10"/>
  <c r="CI325" i="10"/>
  <c r="CM325" i="10"/>
  <c r="CK325" i="10"/>
  <c r="CI227" i="10"/>
  <c r="CI264" i="10"/>
  <c r="CI253" i="10"/>
  <c r="CM253" i="10"/>
  <c r="CK264" i="10"/>
  <c r="CM264" i="10"/>
  <c r="CK253" i="10"/>
  <c r="CI266" i="10"/>
  <c r="CM266" i="10"/>
  <c r="CK266" i="10"/>
  <c r="CF91" i="8"/>
  <c r="BZ91" i="8"/>
  <c r="BX91" i="8"/>
  <c r="CB91" i="8"/>
  <c r="BV91" i="8"/>
  <c r="CD91" i="8"/>
  <c r="BT91" i="8"/>
  <c r="CD92" i="8"/>
  <c r="BT92" i="8"/>
  <c r="BX92" i="8"/>
  <c r="BV92" i="8"/>
  <c r="CB92" i="8"/>
  <c r="CF92" i="8"/>
  <c r="BZ92" i="8"/>
  <c r="BZ93" i="8"/>
  <c r="CD93" i="8"/>
  <c r="BX93" i="8"/>
  <c r="CB93" i="8"/>
  <c r="BV93" i="8"/>
  <c r="CF93" i="8"/>
  <c r="BT93" i="8"/>
  <c r="BZ94" i="8"/>
  <c r="BX94" i="8"/>
  <c r="CF94" i="8"/>
  <c r="CD94" i="8"/>
  <c r="BT94" i="8"/>
  <c r="CB94" i="8"/>
  <c r="BV94" i="8"/>
  <c r="CF95" i="8"/>
  <c r="BZ95" i="8"/>
  <c r="BX95" i="8"/>
  <c r="BV95" i="8"/>
  <c r="CD95" i="8"/>
  <c r="CB95" i="8"/>
  <c r="BT95" i="8"/>
  <c r="CF96" i="8"/>
  <c r="CB96" i="8"/>
  <c r="BX96" i="8"/>
  <c r="BT96" i="8"/>
  <c r="CD96" i="8"/>
  <c r="BZ96" i="8"/>
  <c r="BV96" i="8"/>
  <c r="CF97" i="8"/>
  <c r="BV97" i="8"/>
  <c r="BZ97" i="8"/>
  <c r="BX97" i="8"/>
  <c r="BT97" i="8"/>
  <c r="CB97" i="8"/>
  <c r="CD97" i="8"/>
  <c r="BZ98" i="8"/>
  <c r="BV98" i="8"/>
  <c r="CB98" i="8"/>
  <c r="CF98" i="8"/>
  <c r="CD98" i="8"/>
  <c r="BT98" i="8"/>
  <c r="BX98" i="8"/>
  <c r="CD99" i="8"/>
  <c r="CF99" i="8"/>
  <c r="BV99" i="8"/>
  <c r="BZ99" i="8"/>
  <c r="BT99" i="8"/>
  <c r="CB99" i="8"/>
  <c r="BX99" i="8"/>
  <c r="CF100" i="8"/>
  <c r="BV100" i="8"/>
  <c r="BX100" i="8"/>
  <c r="CB100" i="8"/>
  <c r="BZ100" i="8"/>
  <c r="BT100" i="8"/>
  <c r="CD100" i="8"/>
  <c r="CB101" i="8"/>
  <c r="BX101" i="8"/>
  <c r="BZ101" i="8"/>
  <c r="BT101" i="8"/>
  <c r="CD101" i="8"/>
  <c r="BV101" i="8"/>
  <c r="CF101" i="8"/>
  <c r="CB102" i="8"/>
  <c r="CF102" i="8"/>
  <c r="CD102" i="8"/>
  <c r="BT102" i="8"/>
  <c r="BX102" i="8"/>
  <c r="BZ102" i="8"/>
  <c r="BV102" i="8"/>
  <c r="CD103" i="8"/>
  <c r="BT103" i="8"/>
  <c r="CB103" i="8"/>
  <c r="BV103" i="8"/>
  <c r="BX103" i="8"/>
  <c r="CF103" i="8"/>
  <c r="BZ103" i="8"/>
  <c r="BV104" i="8"/>
  <c r="CF104" i="8"/>
  <c r="BZ104" i="8"/>
  <c r="CD104" i="8"/>
  <c r="BX104" i="8"/>
  <c r="CB104" i="8"/>
  <c r="BT104" i="8"/>
  <c r="BX105" i="8"/>
  <c r="BZ105" i="8"/>
  <c r="CD105" i="8"/>
  <c r="CF105" i="8"/>
  <c r="CB105" i="8"/>
  <c r="BV105" i="8"/>
  <c r="BT105" i="8"/>
  <c r="CB106" i="8"/>
  <c r="CD106" i="8"/>
  <c r="BT106" i="8"/>
  <c r="CF106" i="8"/>
  <c r="BV106" i="8"/>
  <c r="BX106" i="8"/>
  <c r="BZ106" i="8"/>
  <c r="CD107" i="8"/>
  <c r="BT107" i="8"/>
  <c r="CB107" i="8"/>
  <c r="BV107" i="8"/>
  <c r="CF107" i="8"/>
  <c r="BX107" i="8"/>
  <c r="BZ107" i="8"/>
  <c r="CD108" i="8"/>
  <c r="CF108" i="8"/>
  <c r="BV108" i="8"/>
  <c r="BZ108" i="8"/>
  <c r="BX108" i="8"/>
  <c r="CB108" i="8"/>
  <c r="BT108" i="8"/>
  <c r="BZ109" i="8"/>
  <c r="CD109" i="8"/>
  <c r="CF109" i="8"/>
  <c r="BV109" i="8"/>
  <c r="CB109" i="8"/>
  <c r="BX109" i="8"/>
  <c r="BT109" i="8"/>
  <c r="BZ110" i="8"/>
  <c r="CD110" i="8"/>
  <c r="CB110" i="8"/>
  <c r="BV110" i="8"/>
  <c r="BX110" i="8"/>
  <c r="BT110" i="8"/>
  <c r="CF110" i="8"/>
  <c r="CD111" i="8"/>
  <c r="BZ111" i="8"/>
  <c r="BV111" i="8"/>
  <c r="CF111" i="8"/>
  <c r="CB111" i="8"/>
  <c r="BX111" i="8"/>
  <c r="BT111" i="8"/>
  <c r="CF112" i="8"/>
  <c r="CB112" i="8"/>
  <c r="BX112" i="8"/>
  <c r="BT112" i="8"/>
  <c r="BV112" i="8"/>
  <c r="CD112" i="8"/>
  <c r="BZ112" i="8"/>
  <c r="CF113" i="8"/>
  <c r="CD113" i="8"/>
  <c r="BZ113" i="8"/>
  <c r="BX113" i="8"/>
  <c r="BV113" i="8"/>
  <c r="CB113" i="8"/>
  <c r="BT113" i="8"/>
  <c r="CB114" i="8"/>
  <c r="CF114" i="8"/>
  <c r="BT114" i="8"/>
  <c r="BX114" i="8"/>
  <c r="CD114" i="8"/>
  <c r="BZ114" i="8"/>
  <c r="BV114" i="8"/>
  <c r="CD115" i="8"/>
  <c r="CB115" i="8"/>
  <c r="BV115" i="8"/>
  <c r="BT115" i="8"/>
  <c r="BX115" i="8"/>
  <c r="CF115" i="8"/>
  <c r="BZ115" i="8"/>
  <c r="C62" i="8"/>
  <c r="C63" i="8"/>
  <c r="C64" i="8"/>
  <c r="C65" i="8"/>
  <c r="CJ95" i="8"/>
  <c r="CJ99" i="8"/>
  <c r="CJ103" i="8"/>
  <c r="CJ107" i="8"/>
  <c r="CJ111" i="8"/>
  <c r="CJ115" i="8"/>
  <c r="CH94" i="8"/>
  <c r="CH98" i="8"/>
  <c r="CH102" i="8"/>
  <c r="CH106" i="8"/>
  <c r="CH110" i="8"/>
  <c r="CH114" i="8"/>
  <c r="CJ92" i="8"/>
  <c r="CJ96" i="8"/>
  <c r="CJ100" i="8"/>
  <c r="CJ104" i="8"/>
  <c r="CJ108" i="8"/>
  <c r="CJ112" i="8"/>
  <c r="CJ91" i="8"/>
  <c r="CH95" i="8"/>
  <c r="CH99" i="8"/>
  <c r="CH103" i="8"/>
  <c r="CH107" i="8"/>
  <c r="CH111" i="8"/>
  <c r="CH115" i="8"/>
  <c r="CJ93" i="8"/>
  <c r="CJ97" i="8"/>
  <c r="CJ101" i="8"/>
  <c r="CJ105" i="8"/>
  <c r="CJ109" i="8"/>
  <c r="CJ113" i="8"/>
  <c r="CH92" i="8"/>
  <c r="CH96" i="8"/>
  <c r="CH100" i="8"/>
  <c r="CH104" i="8"/>
  <c r="CH108" i="8"/>
  <c r="CH112" i="8"/>
  <c r="CH91" i="8"/>
  <c r="CJ94" i="8"/>
  <c r="CJ98" i="8"/>
  <c r="CJ102" i="8"/>
  <c r="CJ106" i="8"/>
  <c r="CJ110" i="8"/>
  <c r="CJ114" i="8"/>
  <c r="CH93" i="8"/>
  <c r="CH97" i="8"/>
  <c r="CH101" i="8"/>
  <c r="CH105" i="8"/>
  <c r="CH109" i="8"/>
  <c r="CH113" i="8"/>
  <c r="CJ64" i="8"/>
  <c r="CJ68" i="8"/>
  <c r="CJ72" i="8"/>
  <c r="CJ76" i="8"/>
  <c r="CJ80" i="8"/>
  <c r="CJ84" i="8"/>
  <c r="CH63" i="8"/>
  <c r="CH67" i="8"/>
  <c r="CH71" i="8"/>
  <c r="CH75" i="8"/>
  <c r="CH79" i="8"/>
  <c r="CH83" i="8"/>
  <c r="CH62" i="8"/>
  <c r="CH70" i="8"/>
  <c r="CH82" i="8"/>
  <c r="CJ65" i="8"/>
  <c r="CJ69" i="8"/>
  <c r="CJ73" i="8"/>
  <c r="CJ77" i="8"/>
  <c r="CJ81" i="8"/>
  <c r="CJ85" i="8"/>
  <c r="CH64" i="8"/>
  <c r="CH68" i="8"/>
  <c r="CH72" i="8"/>
  <c r="CH76" i="8"/>
  <c r="CH80" i="8"/>
  <c r="CH84" i="8"/>
  <c r="CJ75" i="8"/>
  <c r="CJ62" i="8"/>
  <c r="CH74" i="8"/>
  <c r="CJ66" i="8"/>
  <c r="CJ70" i="8"/>
  <c r="CJ74" i="8"/>
  <c r="CJ78" i="8"/>
  <c r="CJ82" i="8"/>
  <c r="CJ86" i="8"/>
  <c r="CH65" i="8"/>
  <c r="CH69" i="8"/>
  <c r="CH73" i="8"/>
  <c r="CH77" i="8"/>
  <c r="CH81" i="8"/>
  <c r="CH85" i="8"/>
  <c r="CJ63" i="8"/>
  <c r="CJ67" i="8"/>
  <c r="CJ71" i="8"/>
  <c r="CJ79" i="8"/>
  <c r="CJ83" i="8"/>
  <c r="CH66" i="8"/>
  <c r="CH78" i="8"/>
  <c r="CH86" i="8"/>
  <c r="Z83" i="8"/>
  <c r="Z85" i="8"/>
  <c r="Z62" i="8"/>
  <c r="T56" i="8"/>
  <c r="T40" i="8"/>
  <c r="T49" i="8"/>
  <c r="T55" i="8"/>
  <c r="T39" i="8"/>
  <c r="T50" i="8"/>
  <c r="T37" i="8"/>
  <c r="T52" i="8"/>
  <c r="T41" i="8"/>
  <c r="T51" i="8"/>
  <c r="T48" i="8"/>
  <c r="T33" i="8"/>
  <c r="T53" i="8"/>
  <c r="T44" i="8"/>
  <c r="T38" i="8"/>
  <c r="T57" i="8"/>
  <c r="T43" i="8"/>
  <c r="T54" i="8"/>
  <c r="T45" i="8"/>
  <c r="T36" i="8"/>
  <c r="T35" i="8"/>
  <c r="T42" i="8"/>
  <c r="T46" i="8"/>
  <c r="T47" i="8"/>
  <c r="T34" i="8"/>
  <c r="BM46" i="8"/>
  <c r="BM49" i="8"/>
  <c r="BM33" i="8"/>
  <c r="BM42" i="8"/>
  <c r="BM45" i="8"/>
  <c r="BM50" i="8"/>
  <c r="BM57" i="8"/>
  <c r="BM36" i="8"/>
  <c r="BM43" i="8"/>
  <c r="BM35" i="8"/>
  <c r="BM38" i="8"/>
  <c r="BM53" i="8"/>
  <c r="BM55" i="8"/>
  <c r="BM48" i="8"/>
  <c r="BM54" i="8"/>
  <c r="BM37" i="8"/>
  <c r="BM40" i="8"/>
  <c r="BM52" i="8"/>
  <c r="BM51" i="8"/>
  <c r="BM39" i="8"/>
  <c r="BM44" i="8"/>
  <c r="BM56" i="8"/>
  <c r="BM34" i="8"/>
  <c r="BM41" i="8"/>
  <c r="BM47" i="8"/>
  <c r="AH56" i="8"/>
  <c r="AH41" i="8"/>
  <c r="AH51" i="8"/>
  <c r="AH34" i="8"/>
  <c r="AH40" i="8"/>
  <c r="AH57" i="8"/>
  <c r="AH37" i="8"/>
  <c r="AH36" i="8"/>
  <c r="AH46" i="8"/>
  <c r="AH55" i="8"/>
  <c r="AH49" i="8"/>
  <c r="AH35" i="8"/>
  <c r="AH50" i="8"/>
  <c r="AH48" i="8"/>
  <c r="AH47" i="8"/>
  <c r="AH38" i="8"/>
  <c r="AH45" i="8"/>
  <c r="AH42" i="8"/>
  <c r="AH44" i="8"/>
  <c r="AH43" i="8"/>
  <c r="AH54" i="8"/>
  <c r="AH39" i="8"/>
  <c r="AH53" i="8"/>
  <c r="AH52" i="8"/>
  <c r="AH33" i="8"/>
  <c r="AD43" i="8"/>
  <c r="AD37" i="8"/>
  <c r="AD52" i="8"/>
  <c r="AD42" i="8"/>
  <c r="AD49" i="8"/>
  <c r="AD44" i="8"/>
  <c r="AD55" i="8"/>
  <c r="AD40" i="8"/>
  <c r="AD54" i="8"/>
  <c r="AD41" i="8"/>
  <c r="AD36" i="8"/>
  <c r="AD35" i="8"/>
  <c r="AD34" i="8"/>
  <c r="AD56" i="8"/>
  <c r="AD47" i="8"/>
  <c r="AD45" i="8"/>
  <c r="AD46" i="8"/>
  <c r="AD57" i="8"/>
  <c r="AD48" i="8"/>
  <c r="AD39" i="8"/>
  <c r="AD38" i="8"/>
  <c r="AD51" i="8"/>
  <c r="AD53" i="8"/>
  <c r="AD50" i="8"/>
  <c r="AD33" i="8"/>
  <c r="BE50" i="8"/>
  <c r="BE34" i="8"/>
  <c r="BE53" i="8"/>
  <c r="BE37" i="8"/>
  <c r="BE46" i="8"/>
  <c r="BE49" i="8"/>
  <c r="BE33" i="8"/>
  <c r="BE54" i="8"/>
  <c r="BE36" i="8"/>
  <c r="BE35" i="8"/>
  <c r="BE42" i="8"/>
  <c r="BE55" i="8"/>
  <c r="BE38" i="8"/>
  <c r="BE45" i="8"/>
  <c r="BE51" i="8"/>
  <c r="BE47" i="8"/>
  <c r="BE41" i="8"/>
  <c r="BE44" i="8"/>
  <c r="BE43" i="8"/>
  <c r="BE57" i="8"/>
  <c r="BE48" i="8"/>
  <c r="BE56" i="8"/>
  <c r="BE52" i="8"/>
  <c r="BE39" i="8"/>
  <c r="BE40" i="8"/>
  <c r="X54" i="8"/>
  <c r="X38" i="8"/>
  <c r="X48" i="8"/>
  <c r="X53" i="8"/>
  <c r="X37" i="8"/>
  <c r="X51" i="8"/>
  <c r="X34" i="8"/>
  <c r="X40" i="8"/>
  <c r="X55" i="8"/>
  <c r="X33" i="8"/>
  <c r="X52" i="8"/>
  <c r="X47" i="8"/>
  <c r="X45" i="8"/>
  <c r="X42" i="8"/>
  <c r="X56" i="8"/>
  <c r="X39" i="8"/>
  <c r="X57" i="8"/>
  <c r="X41" i="8"/>
  <c r="X36" i="8"/>
  <c r="X50" i="8"/>
  <c r="X49" i="8"/>
  <c r="X43" i="8"/>
  <c r="X46" i="8"/>
  <c r="X44" i="8"/>
  <c r="X35" i="8"/>
  <c r="Z65" i="8"/>
  <c r="Z76" i="8"/>
  <c r="Z78" i="8"/>
  <c r="Z71" i="8"/>
  <c r="F55" i="8"/>
  <c r="F39" i="8"/>
  <c r="F41" i="8"/>
  <c r="F54" i="8"/>
  <c r="F38" i="8"/>
  <c r="F37" i="8"/>
  <c r="F52" i="8"/>
  <c r="F35" i="8"/>
  <c r="F34" i="8"/>
  <c r="F44" i="8"/>
  <c r="F57" i="8"/>
  <c r="F53" i="8"/>
  <c r="F43" i="8"/>
  <c r="F49" i="8"/>
  <c r="F40" i="8"/>
  <c r="F42" i="8"/>
  <c r="F45" i="8"/>
  <c r="F51" i="8"/>
  <c r="F33" i="8"/>
  <c r="F56" i="8"/>
  <c r="F50" i="8"/>
  <c r="F47" i="8"/>
  <c r="F48" i="8"/>
  <c r="F46" i="8"/>
  <c r="F36" i="8"/>
  <c r="BW49" i="8"/>
  <c r="BW33" i="8"/>
  <c r="BW52" i="8"/>
  <c r="BW36" i="8"/>
  <c r="BW45" i="8"/>
  <c r="BW48" i="8"/>
  <c r="BW53" i="8"/>
  <c r="BW35" i="8"/>
  <c r="BW39" i="8"/>
  <c r="BW34" i="8"/>
  <c r="BW54" i="8"/>
  <c r="BW41" i="8"/>
  <c r="BW56" i="8"/>
  <c r="BW51" i="8"/>
  <c r="BW50" i="8"/>
  <c r="BW57" i="8"/>
  <c r="BW40" i="8"/>
  <c r="BW43" i="8"/>
  <c r="BW55" i="8"/>
  <c r="BW46" i="8"/>
  <c r="BW42" i="8"/>
  <c r="BW47" i="8"/>
  <c r="BW38" i="8"/>
  <c r="BW37" i="8"/>
  <c r="BW44" i="8"/>
  <c r="Z81" i="8"/>
  <c r="Z84" i="8"/>
  <c r="Z66" i="8"/>
  <c r="Z75" i="8"/>
  <c r="P42" i="8"/>
  <c r="P44" i="8"/>
  <c r="P57" i="8"/>
  <c r="P41" i="8"/>
  <c r="P40" i="8"/>
  <c r="P38" i="8"/>
  <c r="P37" i="8"/>
  <c r="P51" i="8"/>
  <c r="P34" i="8"/>
  <c r="P49" i="8"/>
  <c r="P56" i="8"/>
  <c r="P43" i="8"/>
  <c r="P46" i="8"/>
  <c r="P52" i="8"/>
  <c r="P39" i="8"/>
  <c r="P45" i="8"/>
  <c r="P48" i="8"/>
  <c r="P35" i="8"/>
  <c r="P54" i="8"/>
  <c r="P36" i="8"/>
  <c r="P55" i="8"/>
  <c r="P53" i="8"/>
  <c r="P50" i="8"/>
  <c r="P47" i="8"/>
  <c r="P33" i="8"/>
  <c r="D43" i="8"/>
  <c r="D57" i="8"/>
  <c r="D34" i="8"/>
  <c r="D44" i="8"/>
  <c r="D50" i="8"/>
  <c r="D38" i="8"/>
  <c r="D35" i="8"/>
  <c r="D46" i="8"/>
  <c r="D36" i="8"/>
  <c r="D39" i="8"/>
  <c r="D55" i="8"/>
  <c r="D49" i="8"/>
  <c r="D54" i="8"/>
  <c r="D40" i="8"/>
  <c r="D56" i="8"/>
  <c r="D53" i="8"/>
  <c r="D42" i="8"/>
  <c r="D47" i="8"/>
  <c r="D48" i="8"/>
  <c r="D37" i="8"/>
  <c r="D33" i="8"/>
  <c r="D51" i="8"/>
  <c r="D41" i="8"/>
  <c r="D52" i="8"/>
  <c r="D45" i="8"/>
  <c r="BK55" i="8"/>
  <c r="BK39" i="8"/>
  <c r="BK42" i="8"/>
  <c r="BK51" i="8"/>
  <c r="BK35" i="8"/>
  <c r="BK54" i="8"/>
  <c r="BK38" i="8"/>
  <c r="BK43" i="8"/>
  <c r="BK50" i="8"/>
  <c r="BK57" i="8"/>
  <c r="BK56" i="8"/>
  <c r="BK53" i="8"/>
  <c r="BK49" i="8"/>
  <c r="BK45" i="8"/>
  <c r="BK37" i="8"/>
  <c r="BK34" i="8"/>
  <c r="BK36" i="8"/>
  <c r="BK40" i="8"/>
  <c r="BK47" i="8"/>
  <c r="BK33" i="8"/>
  <c r="BK46" i="8"/>
  <c r="BK52" i="8"/>
  <c r="BK48" i="8"/>
  <c r="BK44" i="8"/>
  <c r="BK41" i="8"/>
  <c r="AB52" i="8"/>
  <c r="AB36" i="8"/>
  <c r="AB45" i="8"/>
  <c r="AB51" i="8"/>
  <c r="AB35" i="8"/>
  <c r="AB42" i="8"/>
  <c r="AB33" i="8"/>
  <c r="AB48" i="8"/>
  <c r="AB54" i="8"/>
  <c r="AB47" i="8"/>
  <c r="AB34" i="8"/>
  <c r="AB46" i="8"/>
  <c r="AB57" i="8"/>
  <c r="AB56" i="8"/>
  <c r="AB40" i="8"/>
  <c r="AB38" i="8"/>
  <c r="AB53" i="8"/>
  <c r="AB55" i="8"/>
  <c r="AB39" i="8"/>
  <c r="AB50" i="8"/>
  <c r="AB41" i="8"/>
  <c r="AB37" i="8"/>
  <c r="AB44" i="8"/>
  <c r="AB43" i="8"/>
  <c r="AB49" i="8"/>
  <c r="BY56" i="8"/>
  <c r="BY40" i="8"/>
  <c r="BY43" i="8"/>
  <c r="BY34" i="8"/>
  <c r="BY52" i="8"/>
  <c r="BY36" i="8"/>
  <c r="BY55" i="8"/>
  <c r="BY39" i="8"/>
  <c r="BY35" i="8"/>
  <c r="BY50" i="8"/>
  <c r="BY41" i="8"/>
  <c r="BY48" i="8"/>
  <c r="BY53" i="8"/>
  <c r="BY33" i="8"/>
  <c r="BY51" i="8"/>
  <c r="BY46" i="8"/>
  <c r="BY38" i="8"/>
  <c r="BY47" i="8"/>
  <c r="BY49" i="8"/>
  <c r="BY45" i="8"/>
  <c r="BY42" i="8"/>
  <c r="BY54" i="8"/>
  <c r="BY44" i="8"/>
  <c r="BY37" i="8"/>
  <c r="BY57" i="8"/>
  <c r="CC54" i="8"/>
  <c r="CC38" i="8"/>
  <c r="CC57" i="8"/>
  <c r="CC41" i="8"/>
  <c r="CC48" i="8"/>
  <c r="CC50" i="8"/>
  <c r="CC34" i="8"/>
  <c r="CC53" i="8"/>
  <c r="CC37" i="8"/>
  <c r="CC40" i="8"/>
  <c r="CC42" i="8"/>
  <c r="CC49" i="8"/>
  <c r="CC55" i="8"/>
  <c r="CC43" i="8"/>
  <c r="CC45" i="8"/>
  <c r="CC56" i="8"/>
  <c r="CC47" i="8"/>
  <c r="CC39" i="8"/>
  <c r="CC46" i="8"/>
  <c r="CC44" i="8"/>
  <c r="CC35" i="8"/>
  <c r="CC36" i="8"/>
  <c r="CC33" i="8"/>
  <c r="CC51" i="8"/>
  <c r="CC52" i="8"/>
  <c r="BG57" i="8"/>
  <c r="BG41" i="8"/>
  <c r="BG44" i="8"/>
  <c r="BG53" i="8"/>
  <c r="BG37" i="8"/>
  <c r="BG56" i="8"/>
  <c r="BG40" i="8"/>
  <c r="BG36" i="8"/>
  <c r="BG43" i="8"/>
  <c r="BG39" i="8"/>
  <c r="BG54" i="8"/>
  <c r="BG42" i="8"/>
  <c r="BG47" i="8"/>
  <c r="BG46" i="8"/>
  <c r="BG49" i="8"/>
  <c r="BG38" i="8"/>
  <c r="BG33" i="8"/>
  <c r="BG48" i="8"/>
  <c r="BG51" i="8"/>
  <c r="BG50" i="8"/>
  <c r="BG55" i="8"/>
  <c r="BG35" i="8"/>
  <c r="BG34" i="8"/>
  <c r="BG45" i="8"/>
  <c r="BG52" i="8"/>
  <c r="Z64" i="8"/>
  <c r="Z69" i="8"/>
  <c r="BJ284" i="10" s="1"/>
  <c r="Z70" i="8"/>
  <c r="BJ247" i="10" s="1"/>
  <c r="Z86" i="8"/>
  <c r="Z63" i="8"/>
  <c r="Z79" i="8"/>
  <c r="V47" i="8"/>
  <c r="V41" i="8"/>
  <c r="V56" i="8"/>
  <c r="V46" i="8"/>
  <c r="V53" i="8"/>
  <c r="V44" i="8"/>
  <c r="V45" i="8"/>
  <c r="V36" i="8"/>
  <c r="V55" i="8"/>
  <c r="V57" i="8"/>
  <c r="V38" i="8"/>
  <c r="V37" i="8"/>
  <c r="V51" i="8"/>
  <c r="V35" i="8"/>
  <c r="V49" i="8"/>
  <c r="V50" i="8"/>
  <c r="V34" i="8"/>
  <c r="V52" i="8"/>
  <c r="V43" i="8"/>
  <c r="V33" i="8"/>
  <c r="V48" i="8"/>
  <c r="V42" i="8"/>
  <c r="V39" i="8"/>
  <c r="V40" i="8"/>
  <c r="V54" i="8"/>
  <c r="AJ51" i="8"/>
  <c r="AJ35" i="8"/>
  <c r="AJ54" i="8"/>
  <c r="AJ38" i="8"/>
  <c r="AJ47" i="8"/>
  <c r="AJ50" i="8"/>
  <c r="AJ34" i="8"/>
  <c r="AJ43" i="8"/>
  <c r="AJ46" i="8"/>
  <c r="AJ37" i="8"/>
  <c r="AJ56" i="8"/>
  <c r="AJ36" i="8"/>
  <c r="AJ49" i="8"/>
  <c r="AJ39" i="8"/>
  <c r="AJ42" i="8"/>
  <c r="AJ40" i="8"/>
  <c r="AJ33" i="8"/>
  <c r="AJ57" i="8"/>
  <c r="AJ55" i="8"/>
  <c r="AJ45" i="8"/>
  <c r="AJ41" i="8"/>
  <c r="AJ44" i="8"/>
  <c r="AJ48" i="8"/>
  <c r="AJ53" i="8"/>
  <c r="AJ52" i="8"/>
  <c r="BO53" i="8"/>
  <c r="BO37" i="8"/>
  <c r="BO56" i="8"/>
  <c r="BO40" i="8"/>
  <c r="BO49" i="8"/>
  <c r="BO33" i="8"/>
  <c r="BO52" i="8"/>
  <c r="BO36" i="8"/>
  <c r="BO57" i="8"/>
  <c r="BO39" i="8"/>
  <c r="BO38" i="8"/>
  <c r="BO45" i="8"/>
  <c r="BO50" i="8"/>
  <c r="BO41" i="8"/>
  <c r="BO48" i="8"/>
  <c r="BO43" i="8"/>
  <c r="BO35" i="8"/>
  <c r="BO44" i="8"/>
  <c r="BO47" i="8"/>
  <c r="BO46" i="8"/>
  <c r="BO34" i="8"/>
  <c r="BO51" i="8"/>
  <c r="BO55" i="8"/>
  <c r="BO42" i="8"/>
  <c r="BO54" i="8"/>
  <c r="AN49" i="8"/>
  <c r="AN33" i="8"/>
  <c r="AN52" i="8"/>
  <c r="AN36" i="8"/>
  <c r="AN45" i="8"/>
  <c r="AN48" i="8"/>
  <c r="AN57" i="8"/>
  <c r="AN51" i="8"/>
  <c r="AN39" i="8"/>
  <c r="AN50" i="8"/>
  <c r="AN55" i="8"/>
  <c r="AN46" i="8"/>
  <c r="AN53" i="8"/>
  <c r="AN56" i="8"/>
  <c r="AN42" i="8"/>
  <c r="AN47" i="8"/>
  <c r="AN44" i="8"/>
  <c r="AN35" i="8"/>
  <c r="AN34" i="8"/>
  <c r="AN37" i="8"/>
  <c r="AN40" i="8"/>
  <c r="AN43" i="8"/>
  <c r="AN54" i="8"/>
  <c r="AN41" i="8"/>
  <c r="AN38" i="8"/>
  <c r="H46" i="8"/>
  <c r="H52" i="8"/>
  <c r="H39" i="8"/>
  <c r="H45" i="8"/>
  <c r="H40" i="8"/>
  <c r="H42" i="8"/>
  <c r="H44" i="8"/>
  <c r="H41" i="8"/>
  <c r="H36" i="8"/>
  <c r="H38" i="8"/>
  <c r="H51" i="8"/>
  <c r="H37" i="8"/>
  <c r="H47" i="8"/>
  <c r="H50" i="8"/>
  <c r="H34" i="8"/>
  <c r="H43" i="8"/>
  <c r="H49" i="8"/>
  <c r="H33" i="8"/>
  <c r="H48" i="8"/>
  <c r="H35" i="8"/>
  <c r="H57" i="8"/>
  <c r="H55" i="8"/>
  <c r="H54" i="8"/>
  <c r="H53" i="8"/>
  <c r="H56" i="8"/>
  <c r="BU42" i="8"/>
  <c r="BU45" i="8"/>
  <c r="BU54" i="8"/>
  <c r="BU38" i="8"/>
  <c r="BU57" i="8"/>
  <c r="BU41" i="8"/>
  <c r="BU46" i="8"/>
  <c r="BU53" i="8"/>
  <c r="BU55" i="8"/>
  <c r="BU56" i="8"/>
  <c r="BU34" i="8"/>
  <c r="BU52" i="8"/>
  <c r="BU48" i="8"/>
  <c r="BU40" i="8"/>
  <c r="BU37" i="8"/>
  <c r="BU50" i="8"/>
  <c r="BU33" i="8"/>
  <c r="BU36" i="8"/>
  <c r="BU35" i="8"/>
  <c r="BU49" i="8"/>
  <c r="BU39" i="8"/>
  <c r="BU51" i="8"/>
  <c r="BU44" i="8"/>
  <c r="BU43" i="8"/>
  <c r="BU47" i="8"/>
  <c r="AF50" i="8"/>
  <c r="AF34" i="8"/>
  <c r="AF44" i="8"/>
  <c r="AF49" i="8"/>
  <c r="AF33" i="8"/>
  <c r="AF56" i="8"/>
  <c r="AF47" i="8"/>
  <c r="AF48" i="8"/>
  <c r="AF42" i="8"/>
  <c r="AF41" i="8"/>
  <c r="AF54" i="8"/>
  <c r="AF38" i="8"/>
  <c r="AF52" i="8"/>
  <c r="AF35" i="8"/>
  <c r="AF53" i="8"/>
  <c r="AF37" i="8"/>
  <c r="AF55" i="8"/>
  <c r="AF46" i="8"/>
  <c r="AF36" i="8"/>
  <c r="AF51" i="8"/>
  <c r="AF45" i="8"/>
  <c r="AF39" i="8"/>
  <c r="AF43" i="8"/>
  <c r="AF57" i="8"/>
  <c r="AF40" i="8"/>
  <c r="BC43" i="8"/>
  <c r="BC46" i="8"/>
  <c r="BC55" i="8"/>
  <c r="BC39" i="8"/>
  <c r="BC42" i="8"/>
  <c r="BC47" i="8"/>
  <c r="BC54" i="8"/>
  <c r="BC33" i="8"/>
  <c r="BC40" i="8"/>
  <c r="BC50" i="8"/>
  <c r="BC53" i="8"/>
  <c r="BC52" i="8"/>
  <c r="BC45" i="8"/>
  <c r="BC57" i="8"/>
  <c r="BC51" i="8"/>
  <c r="BC34" i="8"/>
  <c r="BC37" i="8"/>
  <c r="BC41" i="8"/>
  <c r="BC48" i="8"/>
  <c r="BC36" i="8"/>
  <c r="BC49" i="8"/>
  <c r="BC56" i="8"/>
  <c r="BC35" i="8"/>
  <c r="BC38" i="8"/>
  <c r="BC44" i="8"/>
  <c r="CG52" i="8"/>
  <c r="CG36" i="8"/>
  <c r="CG55" i="8"/>
  <c r="CG39" i="8"/>
  <c r="CG48" i="8"/>
  <c r="CG51" i="8"/>
  <c r="CG35" i="8"/>
  <c r="CG54" i="8"/>
  <c r="CG56" i="8"/>
  <c r="CG42" i="8"/>
  <c r="CG49" i="8"/>
  <c r="CG37" i="8"/>
  <c r="CG34" i="8"/>
  <c r="CG41" i="8"/>
  <c r="CG40" i="8"/>
  <c r="CG53" i="8"/>
  <c r="CG43" i="8"/>
  <c r="CG38" i="8"/>
  <c r="CG45" i="8"/>
  <c r="CG50" i="8"/>
  <c r="CG57" i="8"/>
  <c r="CG44" i="8"/>
  <c r="CG33" i="8"/>
  <c r="CG47" i="8"/>
  <c r="CG46" i="8"/>
  <c r="AL42" i="8"/>
  <c r="AL45" i="8"/>
  <c r="AL54" i="8"/>
  <c r="AL38" i="8"/>
  <c r="AL57" i="8"/>
  <c r="AL41" i="8"/>
  <c r="AL50" i="8"/>
  <c r="AL53" i="8"/>
  <c r="AL44" i="8"/>
  <c r="AL43" i="8"/>
  <c r="AL36" i="8"/>
  <c r="AL48" i="8"/>
  <c r="AL34" i="8"/>
  <c r="AL33" i="8"/>
  <c r="AL52" i="8"/>
  <c r="AL47" i="8"/>
  <c r="AL51" i="8"/>
  <c r="AL40" i="8"/>
  <c r="AL46" i="8"/>
  <c r="AL49" i="8"/>
  <c r="AL35" i="8"/>
  <c r="AL55" i="8"/>
  <c r="AL37" i="8"/>
  <c r="AL56" i="8"/>
  <c r="AL39" i="8"/>
  <c r="L44" i="8"/>
  <c r="L34" i="8"/>
  <c r="L49" i="8"/>
  <c r="L43" i="8"/>
  <c r="L45" i="8"/>
  <c r="L56" i="8"/>
  <c r="L54" i="8"/>
  <c r="L55" i="8"/>
  <c r="L50" i="8"/>
  <c r="L37" i="8"/>
  <c r="L52" i="8"/>
  <c r="L46" i="8"/>
  <c r="L35" i="8"/>
  <c r="L42" i="8"/>
  <c r="L48" i="8"/>
  <c r="L38" i="8"/>
  <c r="L57" i="8"/>
  <c r="L47" i="8"/>
  <c r="L53" i="8"/>
  <c r="L40" i="8"/>
  <c r="L41" i="8"/>
  <c r="L39" i="8"/>
  <c r="L36" i="8"/>
  <c r="L33" i="8"/>
  <c r="L51" i="8"/>
  <c r="J53" i="8"/>
  <c r="J37" i="8"/>
  <c r="J42" i="8"/>
  <c r="J52" i="8"/>
  <c r="J36" i="8"/>
  <c r="J47" i="8"/>
  <c r="J38" i="8"/>
  <c r="J49" i="8"/>
  <c r="J34" i="8"/>
  <c r="J48" i="8"/>
  <c r="J45" i="8"/>
  <c r="J44" i="8"/>
  <c r="J57" i="8"/>
  <c r="J41" i="8"/>
  <c r="J35" i="8"/>
  <c r="J50" i="8"/>
  <c r="J56" i="8"/>
  <c r="J40" i="8"/>
  <c r="J55" i="8"/>
  <c r="J46" i="8"/>
  <c r="J51" i="8"/>
  <c r="J39" i="8"/>
  <c r="J43" i="8"/>
  <c r="J54" i="8"/>
  <c r="BS51" i="8"/>
  <c r="BS35" i="8"/>
  <c r="BS54" i="8"/>
  <c r="BS38" i="8"/>
  <c r="BS47" i="8"/>
  <c r="BS50" i="8"/>
  <c r="BS34" i="8"/>
  <c r="BS39" i="8"/>
  <c r="BS46" i="8"/>
  <c r="BS53" i="8"/>
  <c r="BS52" i="8"/>
  <c r="BS40" i="8"/>
  <c r="BS42" i="8"/>
  <c r="BS44" i="8"/>
  <c r="BS37" i="8"/>
  <c r="BS48" i="8"/>
  <c r="BS36" i="8"/>
  <c r="BS43" i="8"/>
  <c r="BS41" i="8"/>
  <c r="BS33" i="8"/>
  <c r="BS56" i="8"/>
  <c r="BS45" i="8"/>
  <c r="BS55" i="8"/>
  <c r="BS57" i="8"/>
  <c r="BS49" i="8"/>
  <c r="CE45" i="8"/>
  <c r="CE48" i="8"/>
  <c r="CE55" i="8"/>
  <c r="CE57" i="8"/>
  <c r="CE41" i="8"/>
  <c r="CE44" i="8"/>
  <c r="CE47" i="8"/>
  <c r="CE49" i="8"/>
  <c r="CE56" i="8"/>
  <c r="CE39" i="8"/>
  <c r="CE37" i="8"/>
  <c r="CE43" i="8"/>
  <c r="CE40" i="8"/>
  <c r="CE53" i="8"/>
  <c r="CE36" i="8"/>
  <c r="CE38" i="8"/>
  <c r="CE34" i="8"/>
  <c r="CE52" i="8"/>
  <c r="CE51" i="8"/>
  <c r="CE54" i="8"/>
  <c r="CE50" i="8"/>
  <c r="CE33" i="8"/>
  <c r="CE35" i="8"/>
  <c r="CE46" i="8"/>
  <c r="CE42" i="8"/>
  <c r="CI43" i="8"/>
  <c r="CI46" i="8"/>
  <c r="CI37" i="8"/>
  <c r="CI55" i="8"/>
  <c r="CI39" i="8"/>
  <c r="CI42" i="8"/>
  <c r="CI38" i="8"/>
  <c r="CI53" i="8"/>
  <c r="CI44" i="8"/>
  <c r="CI51" i="8"/>
  <c r="CI34" i="8"/>
  <c r="CI57" i="8"/>
  <c r="CI36" i="8"/>
  <c r="CI54" i="8"/>
  <c r="CI49" i="8"/>
  <c r="CI56" i="8"/>
  <c r="CI41" i="8"/>
  <c r="CI48" i="8"/>
  <c r="CI35" i="8"/>
  <c r="CI50" i="8"/>
  <c r="CI33" i="8"/>
  <c r="CI40" i="8"/>
  <c r="CI52" i="8"/>
  <c r="CI45" i="8"/>
  <c r="CI47" i="8"/>
  <c r="BQ44" i="8"/>
  <c r="BQ47" i="8"/>
  <c r="BQ56" i="8"/>
  <c r="BQ40" i="8"/>
  <c r="BQ43" i="8"/>
  <c r="BQ39" i="8"/>
  <c r="BQ46" i="8"/>
  <c r="BQ50" i="8"/>
  <c r="BQ41" i="8"/>
  <c r="BQ45" i="8"/>
  <c r="BQ42" i="8"/>
  <c r="BQ52" i="8"/>
  <c r="BQ38" i="8"/>
  <c r="BQ49" i="8"/>
  <c r="BQ33" i="8"/>
  <c r="BQ36" i="8"/>
  <c r="BQ51" i="8"/>
  <c r="BQ54" i="8"/>
  <c r="BQ57" i="8"/>
  <c r="BQ53" i="8"/>
  <c r="BQ35" i="8"/>
  <c r="BQ34" i="8"/>
  <c r="BQ37" i="8"/>
  <c r="BQ48" i="8"/>
  <c r="BQ55" i="8"/>
  <c r="Z73" i="8"/>
  <c r="BJ263" i="10" s="1"/>
  <c r="Z82" i="8"/>
  <c r="N51" i="8"/>
  <c r="N35" i="8"/>
  <c r="N37" i="8"/>
  <c r="N56" i="8"/>
  <c r="N50" i="8"/>
  <c r="N34" i="8"/>
  <c r="N33" i="8"/>
  <c r="N52" i="8"/>
  <c r="N48" i="8"/>
  <c r="N57" i="8"/>
  <c r="N40" i="8"/>
  <c r="N42" i="8"/>
  <c r="N55" i="8"/>
  <c r="N39" i="8"/>
  <c r="N45" i="8"/>
  <c r="N54" i="8"/>
  <c r="N38" i="8"/>
  <c r="N41" i="8"/>
  <c r="N47" i="8"/>
  <c r="N46" i="8"/>
  <c r="N44" i="8"/>
  <c r="N43" i="8"/>
  <c r="N53" i="8"/>
  <c r="N49" i="8"/>
  <c r="N36" i="8"/>
  <c r="CA47" i="8"/>
  <c r="CA50" i="8"/>
  <c r="CA34" i="8"/>
  <c r="CA41" i="8"/>
  <c r="CA43" i="8"/>
  <c r="CA46" i="8"/>
  <c r="CA33" i="8"/>
  <c r="CA35" i="8"/>
  <c r="CA42" i="8"/>
  <c r="CA53" i="8"/>
  <c r="CA44" i="8"/>
  <c r="CA48" i="8"/>
  <c r="CA45" i="8"/>
  <c r="CA55" i="8"/>
  <c r="CA37" i="8"/>
  <c r="CA52" i="8"/>
  <c r="CA36" i="8"/>
  <c r="CA39" i="8"/>
  <c r="CA54" i="8"/>
  <c r="CA49" i="8"/>
  <c r="CA56" i="8"/>
  <c r="CA38" i="8"/>
  <c r="CA40" i="8"/>
  <c r="CA51" i="8"/>
  <c r="CA57" i="8"/>
  <c r="CK54" i="8"/>
  <c r="CK50" i="8"/>
  <c r="CK34" i="8"/>
  <c r="CK53" i="8"/>
  <c r="CK37" i="8"/>
  <c r="CK44" i="8"/>
  <c r="CK46" i="8"/>
  <c r="CK49" i="8"/>
  <c r="CK33" i="8"/>
  <c r="CK36" i="8"/>
  <c r="CK42" i="8"/>
  <c r="CK38" i="8"/>
  <c r="CK45" i="8"/>
  <c r="CK48" i="8"/>
  <c r="CK51" i="8"/>
  <c r="CK56" i="8"/>
  <c r="CK55" i="8"/>
  <c r="CK47" i="8"/>
  <c r="CK39" i="8"/>
  <c r="CK57" i="8"/>
  <c r="CK52" i="8"/>
  <c r="CK41" i="8"/>
  <c r="CK43" i="8"/>
  <c r="CK40" i="8"/>
  <c r="CK35" i="8"/>
  <c r="BI48" i="8"/>
  <c r="BI51" i="8"/>
  <c r="BI35" i="8"/>
  <c r="BI44" i="8"/>
  <c r="BI47" i="8"/>
  <c r="BI36" i="8"/>
  <c r="BI43" i="8"/>
  <c r="BI50" i="8"/>
  <c r="BI49" i="8"/>
  <c r="BI56" i="8"/>
  <c r="BI39" i="8"/>
  <c r="BI41" i="8"/>
  <c r="BI52" i="8"/>
  <c r="BI34" i="8"/>
  <c r="BI40" i="8"/>
  <c r="BI55" i="8"/>
  <c r="BI38" i="8"/>
  <c r="BI45" i="8"/>
  <c r="BI57" i="8"/>
  <c r="BI37" i="8"/>
  <c r="BI42" i="8"/>
  <c r="BI54" i="8"/>
  <c r="BI33" i="8"/>
  <c r="BI46" i="8"/>
  <c r="BI53" i="8"/>
  <c r="R49" i="8"/>
  <c r="R33" i="8"/>
  <c r="R55" i="8"/>
  <c r="R38" i="8"/>
  <c r="R48" i="8"/>
  <c r="R43" i="8"/>
  <c r="R34" i="8"/>
  <c r="R45" i="8"/>
  <c r="R47" i="8"/>
  <c r="R44" i="8"/>
  <c r="R35" i="8"/>
  <c r="R41" i="8"/>
  <c r="R39" i="8"/>
  <c r="R56" i="8"/>
  <c r="R53" i="8"/>
  <c r="R37" i="8"/>
  <c r="R50" i="8"/>
  <c r="R52" i="8"/>
  <c r="R36" i="8"/>
  <c r="R51" i="8"/>
  <c r="R42" i="8"/>
  <c r="R54" i="8"/>
  <c r="R57" i="8"/>
  <c r="R40" i="8"/>
  <c r="R46" i="8"/>
  <c r="AZ52" i="8"/>
  <c r="AZ36" i="8"/>
  <c r="AZ55" i="8"/>
  <c r="AZ39" i="8"/>
  <c r="AZ48" i="8"/>
  <c r="AZ51" i="8"/>
  <c r="AZ35" i="8"/>
  <c r="AZ40" i="8"/>
  <c r="AZ47" i="8"/>
  <c r="AZ54" i="8"/>
  <c r="AZ50" i="8"/>
  <c r="AZ57" i="8"/>
  <c r="AZ53" i="8"/>
  <c r="AZ34" i="8"/>
  <c r="AZ42" i="8"/>
  <c r="AZ37" i="8"/>
  <c r="AZ44" i="8"/>
  <c r="AZ43" i="8"/>
  <c r="AZ46" i="8"/>
  <c r="AZ41" i="8"/>
  <c r="AZ45" i="8"/>
  <c r="AZ49" i="8"/>
  <c r="AZ56" i="8"/>
  <c r="AZ38" i="8"/>
  <c r="AZ33" i="8"/>
  <c r="Z45" i="8"/>
  <c r="Z55" i="8"/>
  <c r="Z38" i="8"/>
  <c r="Z44" i="8"/>
  <c r="Z35" i="8"/>
  <c r="Z41" i="8"/>
  <c r="Z40" i="8"/>
  <c r="Z37" i="8"/>
  <c r="Z52" i="8"/>
  <c r="Z51" i="8"/>
  <c r="Z42" i="8"/>
  <c r="Z49" i="8"/>
  <c r="Z33" i="8"/>
  <c r="Z46" i="8"/>
  <c r="Z48" i="8"/>
  <c r="Z43" i="8"/>
  <c r="Z34" i="8"/>
  <c r="Z57" i="8"/>
  <c r="Z47" i="8"/>
  <c r="Z56" i="8"/>
  <c r="Z50" i="8"/>
  <c r="Z53" i="8"/>
  <c r="Z39" i="8"/>
  <c r="Z54" i="8"/>
  <c r="Z36" i="8"/>
  <c r="Z72" i="8"/>
  <c r="Z68" i="8"/>
  <c r="Z80" i="8"/>
  <c r="Z77" i="8"/>
  <c r="BJ266" i="10" s="1"/>
  <c r="Z74" i="8"/>
  <c r="Z67" i="8"/>
  <c r="BJ273" i="10" s="1"/>
  <c r="W91" i="8"/>
  <c r="W92" i="8"/>
  <c r="W93" i="8"/>
  <c r="W94" i="8"/>
  <c r="W95" i="8"/>
  <c r="W96" i="8"/>
  <c r="W97" i="8"/>
  <c r="W98" i="8"/>
  <c r="W99" i="8"/>
  <c r="W100" i="8"/>
  <c r="W101" i="8"/>
  <c r="W102" i="8"/>
  <c r="W103" i="8"/>
  <c r="W104" i="8"/>
  <c r="W105" i="8"/>
  <c r="W106" i="8"/>
  <c r="W107" i="8"/>
  <c r="W108" i="8"/>
  <c r="W109" i="8"/>
  <c r="W110" i="8"/>
  <c r="W111" i="8"/>
  <c r="W112" i="8"/>
  <c r="W113" i="8"/>
  <c r="W114" i="8"/>
  <c r="W115" i="8"/>
  <c r="W62" i="8"/>
  <c r="W63" i="8"/>
  <c r="W64" i="8"/>
  <c r="W66" i="8"/>
  <c r="W65" i="8"/>
  <c r="W67" i="8"/>
  <c r="W68" i="8"/>
  <c r="W69" i="8"/>
  <c r="W70" i="8"/>
  <c r="W71" i="8"/>
  <c r="W72" i="8"/>
  <c r="W73" i="8"/>
  <c r="W74" i="8"/>
  <c r="W75" i="8"/>
  <c r="W76" i="8"/>
  <c r="W77" i="8"/>
  <c r="W78" i="8"/>
  <c r="W79" i="8"/>
  <c r="W80" i="8"/>
  <c r="W81" i="8"/>
  <c r="W82" i="8"/>
  <c r="W83" i="8"/>
  <c r="W84" i="8"/>
  <c r="W85" i="8"/>
  <c r="W86" i="8"/>
  <c r="C115" i="8"/>
  <c r="BJ115" i="8"/>
  <c r="U114" i="8"/>
  <c r="S113" i="8"/>
  <c r="BD113" i="8"/>
  <c r="I113" i="8"/>
  <c r="BF112" i="8"/>
  <c r="K112" i="8"/>
  <c r="BB112" i="8"/>
  <c r="G112" i="8"/>
  <c r="BF110" i="8"/>
  <c r="AA110" i="8"/>
  <c r="K110" i="8"/>
  <c r="BH109" i="8"/>
  <c r="BR109" i="8"/>
  <c r="BR108" i="8"/>
  <c r="BP107" i="8"/>
  <c r="BL106" i="8"/>
  <c r="AM106" i="8"/>
  <c r="E106" i="8"/>
  <c r="AE105" i="8"/>
  <c r="S104" i="8"/>
  <c r="U104" i="8"/>
  <c r="AC103" i="8"/>
  <c r="S101" i="8"/>
  <c r="BN101" i="8"/>
  <c r="BL101" i="8"/>
  <c r="BP100" i="8"/>
  <c r="I100" i="8"/>
  <c r="AE99" i="8"/>
  <c r="S97" i="8"/>
  <c r="BJ97" i="8"/>
  <c r="BN96" i="8"/>
  <c r="I96" i="8"/>
  <c r="AY95" i="8"/>
  <c r="U94" i="8"/>
  <c r="BB94" i="8"/>
  <c r="BP94" i="8"/>
  <c r="E94" i="8"/>
  <c r="O92" i="8"/>
  <c r="O107" i="8"/>
  <c r="Q102" i="8"/>
  <c r="BN93" i="8"/>
  <c r="M91" i="8"/>
  <c r="C93" i="8"/>
  <c r="AI92" i="8"/>
  <c r="AY91" i="8"/>
  <c r="AM92" i="8"/>
  <c r="U92" i="8"/>
  <c r="BH114" i="8"/>
  <c r="BB113" i="8"/>
  <c r="BD112" i="8"/>
  <c r="AG111" i="8"/>
  <c r="I111" i="8"/>
  <c r="G110" i="8"/>
  <c r="BF109" i="8"/>
  <c r="AI108" i="8"/>
  <c r="AE108" i="8"/>
  <c r="AA108" i="8"/>
  <c r="S107" i="8"/>
  <c r="AY107" i="8"/>
  <c r="BN107" i="8"/>
  <c r="BR106" i="8"/>
  <c r="AA105" i="8"/>
  <c r="BD105" i="8"/>
  <c r="C105" i="8"/>
  <c r="BH104" i="8"/>
  <c r="BJ103" i="8"/>
  <c r="BL103" i="8"/>
  <c r="AM102" i="8"/>
  <c r="AG102" i="8"/>
  <c r="AE102" i="8"/>
  <c r="U102" i="8"/>
  <c r="G101" i="8"/>
  <c r="AM100" i="8"/>
  <c r="S99" i="8"/>
  <c r="AG99" i="8"/>
  <c r="AA98" i="8"/>
  <c r="C98" i="8"/>
  <c r="AI97" i="8"/>
  <c r="AI96" i="8"/>
  <c r="C95" i="8"/>
  <c r="BP95" i="8"/>
  <c r="O96" i="8"/>
  <c r="O111" i="8"/>
  <c r="Q110" i="8"/>
  <c r="G93" i="8"/>
  <c r="BH92" i="8"/>
  <c r="BN91" i="8"/>
  <c r="BH93" i="8"/>
  <c r="AC92" i="8"/>
  <c r="AC93" i="8"/>
  <c r="AC115" i="8"/>
  <c r="K115" i="8"/>
  <c r="AI115" i="8"/>
  <c r="BR114" i="8"/>
  <c r="AM113" i="8"/>
  <c r="AY112" i="8"/>
  <c r="C112" i="8"/>
  <c r="AI112" i="8"/>
  <c r="AY111" i="8"/>
  <c r="BN110" i="8"/>
  <c r="K109" i="8"/>
  <c r="AE109" i="8"/>
  <c r="AK108" i="8"/>
  <c r="BL107" i="8"/>
  <c r="BN106" i="8"/>
  <c r="C106" i="8"/>
  <c r="S105" i="8"/>
  <c r="AY103" i="8"/>
  <c r="BJ101" i="8"/>
  <c r="AA101" i="8"/>
  <c r="AI100" i="8"/>
  <c r="BD100" i="8"/>
  <c r="BN99" i="8"/>
  <c r="BL99" i="8"/>
  <c r="AG98" i="8"/>
  <c r="BD97" i="8"/>
  <c r="AY96" i="8"/>
  <c r="K96" i="8"/>
  <c r="U95" i="8"/>
  <c r="AI95" i="8"/>
  <c r="K94" i="8"/>
  <c r="BD94" i="8"/>
  <c r="Q96" i="8"/>
  <c r="Q105" i="8"/>
  <c r="O98" i="8"/>
  <c r="O109" i="8"/>
  <c r="S91" i="8"/>
  <c r="AK91" i="8"/>
  <c r="BJ91" i="8"/>
  <c r="BR93" i="8"/>
  <c r="AC91" i="8"/>
  <c r="AE92" i="8"/>
  <c r="E115" i="8"/>
  <c r="AY114" i="8"/>
  <c r="BR113" i="8"/>
  <c r="AA112" i="8"/>
  <c r="BL111" i="8"/>
  <c r="AK110" i="8"/>
  <c r="BN115" i="8"/>
  <c r="G114" i="8"/>
  <c r="I114" i="8"/>
  <c r="AG113" i="8"/>
  <c r="E113" i="8"/>
  <c r="E112" i="8"/>
  <c r="BN112" i="8"/>
  <c r="AA111" i="8"/>
  <c r="BP111" i="8"/>
  <c r="BD111" i="8"/>
  <c r="AC110" i="8"/>
  <c r="S110" i="8"/>
  <c r="BP109" i="8"/>
  <c r="S108" i="8"/>
  <c r="C107" i="8"/>
  <c r="BR107" i="8"/>
  <c r="S106" i="8"/>
  <c r="AY105" i="8"/>
  <c r="AC104" i="8"/>
  <c r="C103" i="8"/>
  <c r="AI103" i="8"/>
  <c r="BF102" i="8"/>
  <c r="BH101" i="8"/>
  <c r="AK101" i="8"/>
  <c r="AK100" i="8"/>
  <c r="U100" i="8"/>
  <c r="BN100" i="8"/>
  <c r="BB99" i="8"/>
  <c r="U98" i="8"/>
  <c r="AK96" i="8"/>
  <c r="BR96" i="8"/>
  <c r="G96" i="8"/>
  <c r="AA95" i="8"/>
  <c r="BJ95" i="8"/>
  <c r="BN94" i="8"/>
  <c r="BL94" i="8"/>
  <c r="O106" i="8"/>
  <c r="Q108" i="8"/>
  <c r="Q109" i="8"/>
  <c r="M114" i="8"/>
  <c r="BP93" i="8"/>
  <c r="I91" i="8"/>
  <c r="BB92" i="8"/>
  <c r="AC114" i="8"/>
  <c r="BN114" i="8"/>
  <c r="AE113" i="8"/>
  <c r="BH111" i="8"/>
  <c r="BP110" i="8"/>
  <c r="AK109" i="8"/>
  <c r="BP108" i="8"/>
  <c r="BD108" i="8"/>
  <c r="AC107" i="8"/>
  <c r="AA107" i="8"/>
  <c r="E107" i="8"/>
  <c r="BF106" i="8"/>
  <c r="E105" i="8"/>
  <c r="BF105" i="8"/>
  <c r="AG105" i="8"/>
  <c r="BN104" i="8"/>
  <c r="G104" i="8"/>
  <c r="BD103" i="8"/>
  <c r="AM103" i="8"/>
  <c r="E102" i="8"/>
  <c r="AA102" i="8"/>
  <c r="AI101" i="8"/>
  <c r="K100" i="8"/>
  <c r="AM98" i="8"/>
  <c r="BF98" i="8"/>
  <c r="BR97" i="8"/>
  <c r="BD96" i="8"/>
  <c r="BH95" i="8"/>
  <c r="AC95" i="8"/>
  <c r="AK94" i="8"/>
  <c r="O110" i="8"/>
  <c r="Q91" i="8"/>
  <c r="O91" i="8"/>
  <c r="BB93" i="8"/>
  <c r="AE91" i="8"/>
  <c r="BB91" i="8"/>
  <c r="U91" i="8"/>
  <c r="U115" i="8"/>
  <c r="S115" i="8"/>
  <c r="BF115" i="8"/>
  <c r="AK114" i="8"/>
  <c r="BL114" i="8"/>
  <c r="AY113" i="8"/>
  <c r="AC113" i="8"/>
  <c r="K113" i="8"/>
  <c r="BP112" i="8"/>
  <c r="S111" i="8"/>
  <c r="AM111" i="8"/>
  <c r="AG110" i="8"/>
  <c r="U109" i="8"/>
  <c r="BJ109" i="8"/>
  <c r="E108" i="8"/>
  <c r="AM107" i="8"/>
  <c r="AY106" i="8"/>
  <c r="K106" i="8"/>
  <c r="C104" i="8"/>
  <c r="AG104" i="8"/>
  <c r="G103" i="8"/>
  <c r="BH103" i="8"/>
  <c r="BD102" i="8"/>
  <c r="AM101" i="8"/>
  <c r="AG101" i="8"/>
  <c r="AG100" i="8"/>
  <c r="C100" i="8"/>
  <c r="AA100" i="8"/>
  <c r="AY99" i="8"/>
  <c r="I99" i="8"/>
  <c r="AA99" i="8"/>
  <c r="AY98" i="8"/>
  <c r="G98" i="8"/>
  <c r="AY97" i="8"/>
  <c r="BL97" i="8"/>
  <c r="AE96" i="8"/>
  <c r="BJ96" i="8"/>
  <c r="BL96" i="8"/>
  <c r="BR95" i="8"/>
  <c r="BD95" i="8"/>
  <c r="AI94" i="8"/>
  <c r="BJ94" i="8"/>
  <c r="Q103" i="8"/>
  <c r="O101" i="8"/>
  <c r="O112" i="8"/>
  <c r="BD93" i="8"/>
  <c r="M92" i="8"/>
  <c r="M112" i="8"/>
  <c r="G92" i="8"/>
  <c r="C91" i="8"/>
  <c r="M96" i="8"/>
  <c r="BP115" i="8"/>
  <c r="AE114" i="8"/>
  <c r="BP114" i="8"/>
  <c r="BP113" i="8"/>
  <c r="S112" i="8"/>
  <c r="E110" i="8"/>
  <c r="AM110" i="8"/>
  <c r="BN109" i="8"/>
  <c r="AY109" i="8"/>
  <c r="BD115" i="8"/>
  <c r="AA115" i="8"/>
  <c r="AG114" i="8"/>
  <c r="AK113" i="8"/>
  <c r="BJ113" i="8"/>
  <c r="BL112" i="8"/>
  <c r="AK112" i="8"/>
  <c r="U112" i="8"/>
  <c r="C111" i="8"/>
  <c r="AC111" i="8"/>
  <c r="AI110" i="8"/>
  <c r="BL110" i="8"/>
  <c r="AM109" i="8"/>
  <c r="BB108" i="8"/>
  <c r="BB107" i="8"/>
  <c r="AG106" i="8"/>
  <c r="BB106" i="8"/>
  <c r="I104" i="8"/>
  <c r="AI104" i="8"/>
  <c r="AK103" i="8"/>
  <c r="AG103" i="8"/>
  <c r="U101" i="8"/>
  <c r="K101" i="8"/>
  <c r="BL100" i="8"/>
  <c r="BH99" i="8"/>
  <c r="BP99" i="8"/>
  <c r="AC99" i="8"/>
  <c r="AI98" i="8"/>
  <c r="I97" i="8"/>
  <c r="C97" i="8"/>
  <c r="AC96" i="8"/>
  <c r="S96" i="8"/>
  <c r="G95" i="8"/>
  <c r="BN95" i="8"/>
  <c r="AG94" i="8"/>
  <c r="AY94" i="8"/>
  <c r="G94" i="8"/>
  <c r="Q114" i="8"/>
  <c r="Q115" i="8"/>
  <c r="O115" i="8"/>
  <c r="AI91" i="8"/>
  <c r="BF92" i="8"/>
  <c r="AM91" i="8"/>
  <c r="AA93" i="8"/>
  <c r="M115" i="8"/>
  <c r="E93" i="8"/>
  <c r="M102" i="8"/>
  <c r="I115" i="8"/>
  <c r="BR115" i="8"/>
  <c r="BF114" i="8"/>
  <c r="BB114" i="8"/>
  <c r="U113" i="8"/>
  <c r="AM112" i="8"/>
  <c r="E111" i="8"/>
  <c r="BR111" i="8"/>
  <c r="BH110" i="8"/>
  <c r="BL109" i="8"/>
  <c r="AG108" i="8"/>
  <c r="AG107" i="8"/>
  <c r="I107" i="8"/>
  <c r="AI106" i="8"/>
  <c r="U105" i="8"/>
  <c r="G105" i="8"/>
  <c r="BH105" i="8"/>
  <c r="AK104" i="8"/>
  <c r="BL104" i="8"/>
  <c r="AE104" i="8"/>
  <c r="S102" i="8"/>
  <c r="AY102" i="8"/>
  <c r="AC100" i="8"/>
  <c r="BD98" i="8"/>
  <c r="E98" i="8"/>
  <c r="I98" i="8"/>
  <c r="AM97" i="8"/>
  <c r="K97" i="8"/>
  <c r="BH96" i="8"/>
  <c r="E95" i="8"/>
  <c r="BR94" i="8"/>
  <c r="Q97" i="8"/>
  <c r="O94" i="8"/>
  <c r="O105" i="8"/>
  <c r="G91" i="8"/>
  <c r="E92" i="8"/>
  <c r="E91" i="8"/>
  <c r="AG91" i="8"/>
  <c r="AM115" i="8"/>
  <c r="BH115" i="8"/>
  <c r="AI114" i="8"/>
  <c r="AA114" i="8"/>
  <c r="AA113" i="8"/>
  <c r="BN113" i="8"/>
  <c r="AG112" i="8"/>
  <c r="BR112" i="8"/>
  <c r="AE111" i="8"/>
  <c r="G111" i="8"/>
  <c r="U110" i="8"/>
  <c r="AE110" i="8"/>
  <c r="BJ110" i="8"/>
  <c r="G109" i="8"/>
  <c r="C109" i="8"/>
  <c r="AY108" i="8"/>
  <c r="AC106" i="8"/>
  <c r="BP106" i="8"/>
  <c r="G106" i="8"/>
  <c r="BF104" i="8"/>
  <c r="BP103" i="8"/>
  <c r="BN103" i="8"/>
  <c r="BF101" i="8"/>
  <c r="BB101" i="8"/>
  <c r="E101" i="8"/>
  <c r="BJ100" i="8"/>
  <c r="BF100" i="8"/>
  <c r="BF99" i="8"/>
  <c r="AI99" i="8"/>
  <c r="BR98" i="8"/>
  <c r="BH97" i="8"/>
  <c r="AA96" i="8"/>
  <c r="AE95" i="8"/>
  <c r="AK95" i="8"/>
  <c r="AA94" i="8"/>
  <c r="AM94" i="8"/>
  <c r="C94" i="8"/>
  <c r="O100" i="8"/>
  <c r="Q92" i="8"/>
  <c r="Q93" i="8"/>
  <c r="M106" i="8"/>
  <c r="S93" i="8"/>
  <c r="M98" i="8"/>
  <c r="AE93" i="8"/>
  <c r="M100" i="8"/>
  <c r="AM93" i="8"/>
  <c r="M95" i="8"/>
  <c r="S114" i="8"/>
  <c r="BD114" i="8"/>
  <c r="BJ112" i="8"/>
  <c r="BJ111" i="8"/>
  <c r="AY110" i="8"/>
  <c r="BD109" i="8"/>
  <c r="K108" i="8"/>
  <c r="AG115" i="8"/>
  <c r="AE115" i="8"/>
  <c r="BB115" i="8"/>
  <c r="BJ114" i="8"/>
  <c r="G113" i="8"/>
  <c r="BL113" i="8"/>
  <c r="AC112" i="8"/>
  <c r="BB111" i="8"/>
  <c r="BB110" i="8"/>
  <c r="BR110" i="8"/>
  <c r="I109" i="8"/>
  <c r="AC109" i="8"/>
  <c r="BH107" i="8"/>
  <c r="BH106" i="8"/>
  <c r="BJ106" i="8"/>
  <c r="I105" i="8"/>
  <c r="BR105" i="8"/>
  <c r="AM104" i="8"/>
  <c r="E103" i="8"/>
  <c r="U103" i="8"/>
  <c r="AY101" i="8"/>
  <c r="BR101" i="8"/>
  <c r="AE101" i="8"/>
  <c r="BH100" i="8"/>
  <c r="BB100" i="8"/>
  <c r="G99" i="8"/>
  <c r="C99" i="8"/>
  <c r="BB98" i="8"/>
  <c r="E97" i="8"/>
  <c r="AG96" i="8"/>
  <c r="BB96" i="8"/>
  <c r="I95" i="8"/>
  <c r="S95" i="8"/>
  <c r="S94" i="8"/>
  <c r="BF94" i="8"/>
  <c r="Q112" i="8"/>
  <c r="O93" i="8"/>
  <c r="O104" i="8"/>
  <c r="S92" i="8"/>
  <c r="M93" i="8"/>
  <c r="AY93" i="8"/>
  <c r="M113" i="8"/>
  <c r="BP92" i="8"/>
  <c r="E114" i="8"/>
  <c r="C114" i="8"/>
  <c r="I112" i="8"/>
  <c r="K111" i="8"/>
  <c r="BB109" i="8"/>
  <c r="E109" i="8"/>
  <c r="C108" i="8"/>
  <c r="BL108" i="8"/>
  <c r="AM108" i="8"/>
  <c r="AI107" i="8"/>
  <c r="U107" i="8"/>
  <c r="AK107" i="8"/>
  <c r="AK106" i="8"/>
  <c r="BP105" i="8"/>
  <c r="AM105" i="8"/>
  <c r="AE103" i="8"/>
  <c r="I102" i="8"/>
  <c r="BL102" i="8"/>
  <c r="G102" i="8"/>
  <c r="E100" i="8"/>
  <c r="BD99" i="8"/>
  <c r="E99" i="8"/>
  <c r="BL98" i="8"/>
  <c r="BN98" i="8"/>
  <c r="AE97" i="8"/>
  <c r="AG97" i="8"/>
  <c r="BL95" i="8"/>
  <c r="AG95" i="8"/>
  <c r="BB95" i="8"/>
  <c r="Q95" i="8"/>
  <c r="O97" i="8"/>
  <c r="O108" i="8"/>
  <c r="BL91" i="8"/>
  <c r="M108" i="8"/>
  <c r="AK93" i="8"/>
  <c r="M110" i="8"/>
  <c r="BJ93" i="8"/>
  <c r="M94" i="8"/>
  <c r="BL93" i="8"/>
  <c r="M103" i="8"/>
  <c r="BR91" i="8"/>
  <c r="AY115" i="8"/>
  <c r="G115" i="8"/>
  <c r="BL115" i="8"/>
  <c r="K114" i="8"/>
  <c r="AI113" i="8"/>
  <c r="BH113" i="8"/>
  <c r="BF113" i="8"/>
  <c r="BH112" i="8"/>
  <c r="AE112" i="8"/>
  <c r="BN111" i="8"/>
  <c r="AK111" i="8"/>
  <c r="U111" i="8"/>
  <c r="I110" i="8"/>
  <c r="C110" i="8"/>
  <c r="AG109" i="8"/>
  <c r="BN108" i="8"/>
  <c r="BF107" i="8"/>
  <c r="I106" i="8"/>
  <c r="BD106" i="8"/>
  <c r="BN105" i="8"/>
  <c r="AA104" i="8"/>
  <c r="BP104" i="8"/>
  <c r="I103" i="8"/>
  <c r="AA103" i="8"/>
  <c r="BD101" i="8"/>
  <c r="AC101" i="8"/>
  <c r="C101" i="8"/>
  <c r="AE100" i="8"/>
  <c r="AY100" i="8"/>
  <c r="BJ99" i="8"/>
  <c r="K99" i="8"/>
  <c r="AC98" i="8"/>
  <c r="AA97" i="8"/>
  <c r="BP97" i="8"/>
  <c r="U96" i="8"/>
  <c r="E96" i="8"/>
  <c r="BF95" i="8"/>
  <c r="AC94" i="8"/>
  <c r="I94" i="8"/>
  <c r="Q98" i="8"/>
  <c r="Q99" i="8"/>
  <c r="O95" i="8"/>
  <c r="BN92" i="8"/>
  <c r="AY92" i="8"/>
  <c r="BJ92" i="8"/>
  <c r="I93" i="8"/>
  <c r="AG92" i="8"/>
  <c r="I92" i="8"/>
  <c r="K92" i="8"/>
  <c r="AK115" i="8"/>
  <c r="AM114" i="8"/>
  <c r="C113" i="8"/>
  <c r="AI111" i="8"/>
  <c r="BF111" i="8"/>
  <c r="BD110" i="8"/>
  <c r="AI109" i="8"/>
  <c r="S109" i="8"/>
  <c r="BJ108" i="8"/>
  <c r="I108" i="8"/>
  <c r="BJ107" i="8"/>
  <c r="AA106" i="8"/>
  <c r="AI105" i="8"/>
  <c r="BJ105" i="8"/>
  <c r="K105" i="8"/>
  <c r="BJ104" i="8"/>
  <c r="AY104" i="8"/>
  <c r="K103" i="8"/>
  <c r="BF103" i="8"/>
  <c r="BJ102" i="8"/>
  <c r="AI102" i="8"/>
  <c r="G100" i="8"/>
  <c r="AM99" i="8"/>
  <c r="AE98" i="8"/>
  <c r="K98" i="8"/>
  <c r="BN97" i="8"/>
  <c r="AK97" i="8"/>
  <c r="BP96" i="8"/>
  <c r="BH94" i="8"/>
  <c r="O102" i="8"/>
  <c r="Q100" i="8"/>
  <c r="Q101" i="8"/>
  <c r="K93" i="8"/>
  <c r="M97" i="8"/>
  <c r="AG93" i="8"/>
  <c r="M105" i="8"/>
  <c r="M109" i="8"/>
  <c r="M111" i="8"/>
  <c r="E19" i="8"/>
  <c r="E21" i="8"/>
  <c r="AC108" i="8"/>
  <c r="K107" i="8"/>
  <c r="BD107" i="8"/>
  <c r="AC105" i="8"/>
  <c r="E104" i="8"/>
  <c r="S103" i="8"/>
  <c r="K102" i="8"/>
  <c r="BN102" i="8"/>
  <c r="BB102" i="8"/>
  <c r="I101" i="8"/>
  <c r="S100" i="8"/>
  <c r="AK99" i="8"/>
  <c r="S98" i="8"/>
  <c r="BP98" i="8"/>
  <c r="BF97" i="8"/>
  <c r="AM96" i="8"/>
  <c r="Q106" i="8"/>
  <c r="Q107" i="8"/>
  <c r="O99" i="8"/>
  <c r="BL92" i="8"/>
  <c r="AA92" i="8"/>
  <c r="BH91" i="8"/>
  <c r="BP91" i="8"/>
  <c r="BD92" i="8"/>
  <c r="C92" i="8"/>
  <c r="BD91" i="8"/>
  <c r="BF91" i="8"/>
  <c r="AA109" i="8"/>
  <c r="U108" i="8"/>
  <c r="G107" i="8"/>
  <c r="AE106" i="8"/>
  <c r="AK105" i="8"/>
  <c r="BL105" i="8"/>
  <c r="BD104" i="8"/>
  <c r="BR104" i="8"/>
  <c r="K104" i="8"/>
  <c r="BB103" i="8"/>
  <c r="BP102" i="8"/>
  <c r="AK102" i="8"/>
  <c r="BP101" i="8"/>
  <c r="BR100" i="8"/>
  <c r="BH98" i="8"/>
  <c r="AK98" i="8"/>
  <c r="G97" i="8"/>
  <c r="AC97" i="8"/>
  <c r="BF96" i="8"/>
  <c r="K95" i="8"/>
  <c r="Q104" i="8"/>
  <c r="Q113" i="8"/>
  <c r="O114" i="8"/>
  <c r="O113" i="8"/>
  <c r="AK92" i="8"/>
  <c r="AA91" i="8"/>
  <c r="K91" i="8"/>
  <c r="BR92" i="8"/>
  <c r="E20" i="8"/>
  <c r="G108" i="8"/>
  <c r="BH108" i="8"/>
  <c r="BF108" i="8"/>
  <c r="AE107" i="8"/>
  <c r="U106" i="8"/>
  <c r="BB105" i="8"/>
  <c r="BB104" i="8"/>
  <c r="BR103" i="8"/>
  <c r="C102" i="8"/>
  <c r="AC102" i="8"/>
  <c r="BH102" i="8"/>
  <c r="BR102" i="8"/>
  <c r="BR99" i="8"/>
  <c r="U99" i="8"/>
  <c r="BJ98" i="8"/>
  <c r="BB97" i="8"/>
  <c r="U97" i="8"/>
  <c r="C96" i="8"/>
  <c r="AM95" i="8"/>
  <c r="AE94" i="8"/>
  <c r="Q111" i="8"/>
  <c r="O103" i="8"/>
  <c r="Q94" i="8"/>
  <c r="AI93" i="8"/>
  <c r="M104" i="8"/>
  <c r="BF93" i="8"/>
  <c r="M101" i="8"/>
  <c r="U93" i="8"/>
  <c r="M99" i="8"/>
  <c r="M107" i="8"/>
  <c r="C86" i="8"/>
  <c r="BB86" i="8"/>
  <c r="CB86" i="8"/>
  <c r="I86" i="8"/>
  <c r="BX85" i="8"/>
  <c r="AC82" i="8"/>
  <c r="BB82" i="8"/>
  <c r="BN82" i="8"/>
  <c r="BD81" i="8"/>
  <c r="BB81" i="8"/>
  <c r="BJ80" i="8"/>
  <c r="BX79" i="8"/>
  <c r="S77" i="8"/>
  <c r="I77" i="8"/>
  <c r="AK77" i="8"/>
  <c r="BR76" i="8"/>
  <c r="BF75" i="8"/>
  <c r="BL75" i="8"/>
  <c r="AY74" i="8"/>
  <c r="AI73" i="8"/>
  <c r="C73" i="8"/>
  <c r="BT72" i="8"/>
  <c r="U72" i="8"/>
  <c r="AI71" i="8"/>
  <c r="G71" i="8"/>
  <c r="I71" i="8"/>
  <c r="BB70" i="8"/>
  <c r="BT70" i="8"/>
  <c r="CF69" i="8"/>
  <c r="BF69" i="8"/>
  <c r="G68" i="8"/>
  <c r="BD68" i="8"/>
  <c r="AC67" i="8"/>
  <c r="AM67" i="8"/>
  <c r="BR67" i="8"/>
  <c r="U66" i="8"/>
  <c r="CD85" i="8"/>
  <c r="I85" i="8"/>
  <c r="U84" i="8"/>
  <c r="BL84" i="8"/>
  <c r="K84" i="8"/>
  <c r="BH84" i="8"/>
  <c r="BD83" i="8"/>
  <c r="BZ83" i="8"/>
  <c r="BV83" i="8"/>
  <c r="CD83" i="8"/>
  <c r="BF81" i="8"/>
  <c r="BX81" i="8"/>
  <c r="AI80" i="8"/>
  <c r="AC80" i="8"/>
  <c r="AY79" i="8"/>
  <c r="BZ79" i="8"/>
  <c r="S79" i="8"/>
  <c r="AE79" i="8"/>
  <c r="G78" i="8"/>
  <c r="CD78" i="8"/>
  <c r="BB78" i="8"/>
  <c r="CF77" i="8"/>
  <c r="BP76" i="8"/>
  <c r="AG76" i="8"/>
  <c r="BH76" i="8"/>
  <c r="BJ75" i="8"/>
  <c r="BB75" i="8"/>
  <c r="BV74" i="8"/>
  <c r="BB74" i="8"/>
  <c r="AE74" i="8"/>
  <c r="BF73" i="8"/>
  <c r="G73" i="8"/>
  <c r="BV71" i="8"/>
  <c r="CF71" i="8"/>
  <c r="BX71" i="8"/>
  <c r="AI70" i="8"/>
  <c r="U69" i="8"/>
  <c r="BJ69" i="8"/>
  <c r="AY68" i="8"/>
  <c r="BR68" i="8"/>
  <c r="AG67" i="8"/>
  <c r="AK86" i="8"/>
  <c r="S86" i="8"/>
  <c r="K86" i="8"/>
  <c r="AC85" i="8"/>
  <c r="U85" i="8"/>
  <c r="CB83" i="8"/>
  <c r="BD82" i="8"/>
  <c r="AI82" i="8"/>
  <c r="BV82" i="8"/>
  <c r="BT81" i="8"/>
  <c r="BH81" i="8"/>
  <c r="BB80" i="8"/>
  <c r="BR79" i="8"/>
  <c r="BZ77" i="8"/>
  <c r="BP77" i="8"/>
  <c r="G77" i="8"/>
  <c r="U75" i="8"/>
  <c r="CF74" i="8"/>
  <c r="AY73" i="8"/>
  <c r="BZ73" i="8"/>
  <c r="BP73" i="8"/>
  <c r="G72" i="8"/>
  <c r="AY72" i="8"/>
  <c r="BH71" i="8"/>
  <c r="BJ70" i="8"/>
  <c r="CB69" i="8"/>
  <c r="AC69" i="8"/>
  <c r="BL68" i="8"/>
  <c r="AE68" i="8"/>
  <c r="AM68" i="8"/>
  <c r="BD67" i="8"/>
  <c r="BJ67" i="8"/>
  <c r="BF66" i="8"/>
  <c r="AK66" i="8"/>
  <c r="CB85" i="8"/>
  <c r="E85" i="8"/>
  <c r="S84" i="8"/>
  <c r="AK84" i="8"/>
  <c r="CD84" i="8"/>
  <c r="BR84" i="8"/>
  <c r="AM83" i="8"/>
  <c r="BL83" i="8"/>
  <c r="C83" i="8"/>
  <c r="CF82" i="8"/>
  <c r="AC81" i="8"/>
  <c r="CB80" i="8"/>
  <c r="BR80" i="8"/>
  <c r="BP79" i="8"/>
  <c r="BV79" i="8"/>
  <c r="AK79" i="8"/>
  <c r="AE78" i="8"/>
  <c r="K78" i="8"/>
  <c r="BT78" i="8"/>
  <c r="K77" i="8"/>
  <c r="I76" i="8"/>
  <c r="AE76" i="8"/>
  <c r="AI76" i="8"/>
  <c r="G75" i="8"/>
  <c r="AK74" i="8"/>
  <c r="BF74" i="8"/>
  <c r="C74" i="8"/>
  <c r="CB73" i="8"/>
  <c r="BD72" i="8"/>
  <c r="BH72" i="8"/>
  <c r="AY70" i="8"/>
  <c r="BL70" i="8"/>
  <c r="AM70" i="8"/>
  <c r="BT69" i="8"/>
  <c r="E69" i="8"/>
  <c r="CF68" i="8"/>
  <c r="CB68" i="8"/>
  <c r="S66" i="8"/>
  <c r="S67" i="8"/>
  <c r="Q65" i="8"/>
  <c r="M64" i="8"/>
  <c r="Q76" i="8"/>
  <c r="S64" i="8"/>
  <c r="AE62" i="8"/>
  <c r="CD63" i="8"/>
  <c r="U63" i="8"/>
  <c r="BH65" i="8"/>
  <c r="BT63" i="8"/>
  <c r="O75" i="8"/>
  <c r="BJ65" i="8"/>
  <c r="M79" i="8"/>
  <c r="BR62" i="8"/>
  <c r="BR65" i="8"/>
  <c r="Q84" i="8"/>
  <c r="BH64" i="8"/>
  <c r="M78" i="8"/>
  <c r="Q69" i="8"/>
  <c r="AC64" i="8"/>
  <c r="BZ63" i="8"/>
  <c r="BD62" i="8"/>
  <c r="BL65" i="8"/>
  <c r="O79" i="8"/>
  <c r="BX65" i="8"/>
  <c r="CF62" i="8"/>
  <c r="CD67" i="8"/>
  <c r="G66" i="8"/>
  <c r="O64" i="8"/>
  <c r="BD64" i="8"/>
  <c r="CB62" i="8"/>
  <c r="Q75" i="8"/>
  <c r="AK64" i="8"/>
  <c r="AM62" i="8"/>
  <c r="AM63" i="8"/>
  <c r="E64" i="8"/>
  <c r="BP65" i="8"/>
  <c r="O83" i="8"/>
  <c r="BD65" i="8"/>
  <c r="M80" i="8"/>
  <c r="BX67" i="8"/>
  <c r="I66" i="8"/>
  <c r="O84" i="8"/>
  <c r="AC65" i="8"/>
  <c r="M70" i="8"/>
  <c r="O69" i="8"/>
  <c r="K65" i="8"/>
  <c r="M66" i="8"/>
  <c r="Q85" i="8"/>
  <c r="BF64" i="8"/>
  <c r="I62" i="8"/>
  <c r="Q70" i="8"/>
  <c r="G64" i="8"/>
  <c r="I63" i="8"/>
  <c r="BB62" i="8"/>
  <c r="AI86" i="8"/>
  <c r="BP86" i="8"/>
  <c r="E86" i="8"/>
  <c r="BH86" i="8"/>
  <c r="C85" i="8"/>
  <c r="AE83" i="8"/>
  <c r="BR83" i="8"/>
  <c r="AE82" i="8"/>
  <c r="BR82" i="8"/>
  <c r="AM81" i="8"/>
  <c r="BV81" i="8"/>
  <c r="K81" i="8"/>
  <c r="BP80" i="8"/>
  <c r="BB79" i="8"/>
  <c r="BL78" i="8"/>
  <c r="AC77" i="8"/>
  <c r="U77" i="8"/>
  <c r="AM77" i="8"/>
  <c r="AM76" i="8"/>
  <c r="BJ76" i="8"/>
  <c r="BN75" i="8"/>
  <c r="AG75" i="8"/>
  <c r="AI74" i="8"/>
  <c r="U74" i="8"/>
  <c r="BB73" i="8"/>
  <c r="K73" i="8"/>
  <c r="BZ72" i="8"/>
  <c r="AM71" i="8"/>
  <c r="BN70" i="8"/>
  <c r="E70" i="8"/>
  <c r="K69" i="8"/>
  <c r="BV69" i="8"/>
  <c r="BB68" i="8"/>
  <c r="E67" i="8"/>
  <c r="BB67" i="8"/>
  <c r="AG66" i="8"/>
  <c r="BX66" i="8"/>
  <c r="BP85" i="8"/>
  <c r="G85" i="8"/>
  <c r="E84" i="8"/>
  <c r="BN84" i="8"/>
  <c r="BJ84" i="8"/>
  <c r="BF83" i="8"/>
  <c r="AG83" i="8"/>
  <c r="AY82" i="8"/>
  <c r="BZ82" i="8"/>
  <c r="AG81" i="8"/>
  <c r="BD80" i="8"/>
  <c r="BZ80" i="8"/>
  <c r="AM80" i="8"/>
  <c r="BJ79" i="8"/>
  <c r="C79" i="8"/>
  <c r="CF79" i="8"/>
  <c r="AY78" i="8"/>
  <c r="BR78" i="8"/>
  <c r="E78" i="8"/>
  <c r="C78" i="8"/>
  <c r="BL77" i="8"/>
  <c r="BB76" i="8"/>
  <c r="BN76" i="8"/>
  <c r="AK76" i="8"/>
  <c r="AK75" i="8"/>
  <c r="AI75" i="8"/>
  <c r="S74" i="8"/>
  <c r="BP74" i="8"/>
  <c r="BX74" i="8"/>
  <c r="AM73" i="8"/>
  <c r="U73" i="8"/>
  <c r="BV72" i="8"/>
  <c r="BL71" i="8"/>
  <c r="CB71" i="8"/>
  <c r="BF71" i="8"/>
  <c r="BD70" i="8"/>
  <c r="I70" i="8"/>
  <c r="AY69" i="8"/>
  <c r="BN69" i="8"/>
  <c r="CD68" i="8"/>
  <c r="CD86" i="8"/>
  <c r="BZ86" i="8"/>
  <c r="BJ86" i="8"/>
  <c r="BX86" i="8"/>
  <c r="U86" i="8"/>
  <c r="AG85" i="8"/>
  <c r="BF85" i="8"/>
  <c r="S83" i="8"/>
  <c r="S82" i="8"/>
  <c r="AG82" i="8"/>
  <c r="BF82" i="8"/>
  <c r="I81" i="8"/>
  <c r="E81" i="8"/>
  <c r="U80" i="8"/>
  <c r="AC79" i="8"/>
  <c r="BH78" i="8"/>
  <c r="BF77" i="8"/>
  <c r="BX77" i="8"/>
  <c r="BV77" i="8"/>
  <c r="BF76" i="8"/>
  <c r="BD75" i="8"/>
  <c r="CB75" i="8"/>
  <c r="CD74" i="8"/>
  <c r="CB74" i="8"/>
  <c r="BJ73" i="8"/>
  <c r="I73" i="8"/>
  <c r="I72" i="8"/>
  <c r="E72" i="8"/>
  <c r="BB71" i="8"/>
  <c r="K71" i="8"/>
  <c r="U70" i="8"/>
  <c r="BL69" i="8"/>
  <c r="C69" i="8"/>
  <c r="E68" i="8"/>
  <c r="AC68" i="8"/>
  <c r="BX68" i="8"/>
  <c r="BN67" i="8"/>
  <c r="AC66" i="8"/>
  <c r="AY66" i="8"/>
  <c r="CF85" i="8"/>
  <c r="K85" i="8"/>
  <c r="C84" i="8"/>
  <c r="AM84" i="8"/>
  <c r="CF84" i="8"/>
  <c r="G83" i="8"/>
  <c r="AC83" i="8"/>
  <c r="BX83" i="8"/>
  <c r="I82" i="8"/>
  <c r="U81" i="8"/>
  <c r="BH80" i="8"/>
  <c r="BF80" i="8"/>
  <c r="I80" i="8"/>
  <c r="CD79" i="8"/>
  <c r="BT79" i="8"/>
  <c r="K79" i="8"/>
  <c r="AG79" i="8"/>
  <c r="S78" i="8"/>
  <c r="CF78" i="8"/>
  <c r="CB77" i="8"/>
  <c r="BZ76" i="8"/>
  <c r="K76" i="8"/>
  <c r="BT76" i="8"/>
  <c r="CF75" i="8"/>
  <c r="AY75" i="8"/>
  <c r="BZ74" i="8"/>
  <c r="BL73" i="8"/>
  <c r="AE73" i="8"/>
  <c r="CF72" i="8"/>
  <c r="AC72" i="8"/>
  <c r="BR72" i="8"/>
  <c r="BP71" i="8"/>
  <c r="BZ70" i="8"/>
  <c r="G69" i="8"/>
  <c r="BD69" i="8"/>
  <c r="G67" i="8"/>
  <c r="U67" i="8"/>
  <c r="BF67" i="8"/>
  <c r="BR66" i="8"/>
  <c r="BB66" i="8"/>
  <c r="O72" i="8"/>
  <c r="G65" i="8"/>
  <c r="M72" i="8"/>
  <c r="Q74" i="8"/>
  <c r="BP64" i="8"/>
  <c r="U62" i="8"/>
  <c r="Q82" i="8"/>
  <c r="BJ64" i="8"/>
  <c r="BT62" i="8"/>
  <c r="CF63" i="8"/>
  <c r="BX63" i="8"/>
  <c r="CB65" i="8"/>
  <c r="BH67" i="8"/>
  <c r="C66" i="8"/>
  <c r="O76" i="8"/>
  <c r="U65" i="8"/>
  <c r="M82" i="8"/>
  <c r="Q86" i="8"/>
  <c r="CB64" i="8"/>
  <c r="M85" i="8"/>
  <c r="Q64" i="8"/>
  <c r="AI64" i="8"/>
  <c r="AK62" i="8"/>
  <c r="BZ64" i="8"/>
  <c r="BN63" i="8"/>
  <c r="CF65" i="8"/>
  <c r="BJ63" i="8"/>
  <c r="BZ67" i="8"/>
  <c r="AM66" i="8"/>
  <c r="O80" i="8"/>
  <c r="AG65" i="8"/>
  <c r="M67" i="8"/>
  <c r="O65" i="8"/>
  <c r="BT64" i="8"/>
  <c r="M63" i="8"/>
  <c r="Q77" i="8"/>
  <c r="CD64" i="8"/>
  <c r="CD62" i="8"/>
  <c r="BZ62" i="8"/>
  <c r="U64" i="8"/>
  <c r="AI63" i="8"/>
  <c r="BZ65" i="8"/>
  <c r="CD66" i="8"/>
  <c r="AY64" i="8"/>
  <c r="BF65" i="8"/>
  <c r="S63" i="8"/>
  <c r="O85" i="8"/>
  <c r="M76" i="8"/>
  <c r="O70" i="8"/>
  <c r="AM65" i="8"/>
  <c r="M81" i="8"/>
  <c r="Q66" i="8"/>
  <c r="CF64" i="8"/>
  <c r="AI62" i="8"/>
  <c r="BN86" i="8"/>
  <c r="AM86" i="8"/>
  <c r="CF86" i="8"/>
  <c r="AE85" i="8"/>
  <c r="BD85" i="8"/>
  <c r="I83" i="8"/>
  <c r="K82" i="8"/>
  <c r="G82" i="8"/>
  <c r="CD82" i="8"/>
  <c r="AY81" i="8"/>
  <c r="BZ81" i="8"/>
  <c r="BN81" i="8"/>
  <c r="BL80" i="8"/>
  <c r="AI79" i="8"/>
  <c r="AM78" i="8"/>
  <c r="BJ77" i="8"/>
  <c r="AG77" i="8"/>
  <c r="AE77" i="8"/>
  <c r="CB76" i="8"/>
  <c r="AM75" i="8"/>
  <c r="C75" i="8"/>
  <c r="E74" i="8"/>
  <c r="S73" i="8"/>
  <c r="E73" i="8"/>
  <c r="BF72" i="8"/>
  <c r="BX72" i="8"/>
  <c r="BP72" i="8"/>
  <c r="AG71" i="8"/>
  <c r="AY71" i="8"/>
  <c r="CF70" i="8"/>
  <c r="CD69" i="8"/>
  <c r="BZ69" i="8"/>
  <c r="AG68" i="8"/>
  <c r="BP68" i="8"/>
  <c r="AI67" i="8"/>
  <c r="K67" i="8"/>
  <c r="BJ66" i="8"/>
  <c r="E66" i="8"/>
  <c r="BB85" i="8"/>
  <c r="BL85" i="8"/>
  <c r="AM85" i="8"/>
  <c r="AG84" i="8"/>
  <c r="AC84" i="8"/>
  <c r="BB84" i="8"/>
  <c r="U83" i="8"/>
  <c r="K83" i="8"/>
  <c r="BJ83" i="8"/>
  <c r="E82" i="8"/>
  <c r="C82" i="8"/>
  <c r="S81" i="8"/>
  <c r="AG80" i="8"/>
  <c r="BN80" i="8"/>
  <c r="BT80" i="8"/>
  <c r="AM79" i="8"/>
  <c r="G79" i="8"/>
  <c r="E79" i="8"/>
  <c r="AC78" i="8"/>
  <c r="BN78" i="8"/>
  <c r="BV78" i="8"/>
  <c r="C76" i="8"/>
  <c r="AY76" i="8"/>
  <c r="K75" i="8"/>
  <c r="AC75" i="8"/>
  <c r="AG74" i="8"/>
  <c r="BJ74" i="8"/>
  <c r="I74" i="8"/>
  <c r="CF73" i="8"/>
  <c r="AC73" i="8"/>
  <c r="C72" i="8"/>
  <c r="BN72" i="8"/>
  <c r="AK71" i="8"/>
  <c r="BZ71" i="8"/>
  <c r="AC70" i="8"/>
  <c r="BX70" i="8"/>
  <c r="C70" i="8"/>
  <c r="AI69" i="8"/>
  <c r="BR69" i="8"/>
  <c r="AK68" i="8"/>
  <c r="BN68" i="8"/>
  <c r="I67" i="8"/>
  <c r="AG86" i="8"/>
  <c r="BL86" i="8"/>
  <c r="BF86" i="8"/>
  <c r="BR86" i="8"/>
  <c r="BH85" i="8"/>
  <c r="AY85" i="8"/>
  <c r="AM82" i="8"/>
  <c r="BL82" i="8"/>
  <c r="BJ81" i="8"/>
  <c r="BL81" i="8"/>
  <c r="G81" i="8"/>
  <c r="BF78" i="8"/>
  <c r="E77" i="8"/>
  <c r="BH77" i="8"/>
  <c r="BD77" i="8"/>
  <c r="S76" i="8"/>
  <c r="BL76" i="8"/>
  <c r="BZ75" i="8"/>
  <c r="BP75" i="8"/>
  <c r="AC74" i="8"/>
  <c r="K74" i="8"/>
  <c r="BR73" i="8"/>
  <c r="BH73" i="8"/>
  <c r="AM72" i="8"/>
  <c r="AK72" i="8"/>
  <c r="AC71" i="8"/>
  <c r="BN71" i="8"/>
  <c r="K70" i="8"/>
  <c r="S70" i="8"/>
  <c r="BH69" i="8"/>
  <c r="BX69" i="8"/>
  <c r="I68" i="8"/>
  <c r="U68" i="8"/>
  <c r="BT68" i="8"/>
  <c r="CB67" i="8"/>
  <c r="BD66" i="8"/>
  <c r="AK85" i="8"/>
  <c r="BZ85" i="8"/>
  <c r="G84" i="8"/>
  <c r="AY84" i="8"/>
  <c r="BP84" i="8"/>
  <c r="BN83" i="8"/>
  <c r="AK83" i="8"/>
  <c r="BH83" i="8"/>
  <c r="BX82" i="8"/>
  <c r="BT82" i="8"/>
  <c r="BR81" i="8"/>
  <c r="AK80" i="8"/>
  <c r="CD80" i="8"/>
  <c r="BX80" i="8"/>
  <c r="BF79" i="8"/>
  <c r="U79" i="8"/>
  <c r="U78" i="8"/>
  <c r="AI78" i="8"/>
  <c r="AG78" i="8"/>
  <c r="AI77" i="8"/>
  <c r="CD76" i="8"/>
  <c r="U76" i="8"/>
  <c r="BD76" i="8"/>
  <c r="BV75" i="8"/>
  <c r="AE75" i="8"/>
  <c r="BH74" i="8"/>
  <c r="BT73" i="8"/>
  <c r="BX73" i="8"/>
  <c r="BJ72" i="8"/>
  <c r="AI72" i="8"/>
  <c r="S71" i="8"/>
  <c r="BR70" i="8"/>
  <c r="CD70" i="8"/>
  <c r="BB69" i="8"/>
  <c r="BP69" i="8"/>
  <c r="C67" i="8"/>
  <c r="AY67" i="8"/>
  <c r="CF66" i="8"/>
  <c r="AI66" i="8"/>
  <c r="BJ62" i="8"/>
  <c r="BV65" i="8"/>
  <c r="E63" i="8"/>
  <c r="O73" i="8"/>
  <c r="AY65" i="8"/>
  <c r="M75" i="8"/>
  <c r="Q78" i="8"/>
  <c r="I64" i="8"/>
  <c r="BV62" i="8"/>
  <c r="Q63" i="8"/>
  <c r="BH63" i="8"/>
  <c r="BV67" i="8"/>
  <c r="BZ66" i="8"/>
  <c r="BP63" i="8"/>
  <c r="CD65" i="8"/>
  <c r="BL63" i="8"/>
  <c r="O77" i="8"/>
  <c r="BT65" i="8"/>
  <c r="E62" i="8"/>
  <c r="O62" i="8"/>
  <c r="K64" i="8"/>
  <c r="K62" i="8"/>
  <c r="Q71" i="8"/>
  <c r="BX64" i="8"/>
  <c r="BX62" i="8"/>
  <c r="BV63" i="8"/>
  <c r="BT66" i="8"/>
  <c r="BH62" i="8"/>
  <c r="E65" i="8"/>
  <c r="AK63" i="8"/>
  <c r="O81" i="8"/>
  <c r="AK65" i="8"/>
  <c r="M77" i="8"/>
  <c r="O66" i="8"/>
  <c r="M71" i="8"/>
  <c r="Q79" i="8"/>
  <c r="AM64" i="8"/>
  <c r="M62" i="8"/>
  <c r="AY62" i="8"/>
  <c r="BV66" i="8"/>
  <c r="Q81" i="8"/>
  <c r="BV64" i="8"/>
  <c r="M68" i="8"/>
  <c r="Q62" i="8"/>
  <c r="G63" i="8"/>
  <c r="O86" i="8"/>
  <c r="M84" i="8"/>
  <c r="O71" i="8"/>
  <c r="BN65" i="8"/>
  <c r="M69" i="8"/>
  <c r="AC86" i="8"/>
  <c r="BD86" i="8"/>
  <c r="AY86" i="8"/>
  <c r="BV86" i="8"/>
  <c r="BJ85" i="8"/>
  <c r="CF83" i="8"/>
  <c r="U82" i="8"/>
  <c r="AK82" i="8"/>
  <c r="BH82" i="8"/>
  <c r="CB81" i="8"/>
  <c r="AK81" i="8"/>
  <c r="BP81" i="8"/>
  <c r="S80" i="8"/>
  <c r="AY80" i="8"/>
  <c r="BD79" i="8"/>
  <c r="AY77" i="8"/>
  <c r="BT77" i="8"/>
  <c r="C77" i="8"/>
  <c r="CF76" i="8"/>
  <c r="BT75" i="8"/>
  <c r="BR75" i="8"/>
  <c r="BR74" i="8"/>
  <c r="AM74" i="8"/>
  <c r="CD73" i="8"/>
  <c r="CD72" i="8"/>
  <c r="S72" i="8"/>
  <c r="BL72" i="8"/>
  <c r="BR71" i="8"/>
  <c r="BT71" i="8"/>
  <c r="CB70" i="8"/>
  <c r="BF70" i="8"/>
  <c r="AK69" i="8"/>
  <c r="AE69" i="8"/>
  <c r="S68" i="8"/>
  <c r="AI68" i="8"/>
  <c r="BZ68" i="8"/>
  <c r="BT67" i="8"/>
  <c r="BN66" i="8"/>
  <c r="BH66" i="8"/>
  <c r="BT85" i="8"/>
  <c r="BV85" i="8"/>
  <c r="I84" i="8"/>
  <c r="AE84" i="8"/>
  <c r="AI84" i="8"/>
  <c r="BV84" i="8"/>
  <c r="BX84" i="8"/>
  <c r="BB83" i="8"/>
  <c r="BT83" i="8"/>
  <c r="E83" i="8"/>
  <c r="CB82" i="8"/>
  <c r="AE81" i="8"/>
  <c r="CF81" i="8"/>
  <c r="BV80" i="8"/>
  <c r="G80" i="8"/>
  <c r="CF80" i="8"/>
  <c r="CB79" i="8"/>
  <c r="I79" i="8"/>
  <c r="BP78" i="8"/>
  <c r="BZ78" i="8"/>
  <c r="BJ78" i="8"/>
  <c r="BR77" i="8"/>
  <c r="G76" i="8"/>
  <c r="AC76" i="8"/>
  <c r="I75" i="8"/>
  <c r="BX75" i="8"/>
  <c r="BL74" i="8"/>
  <c r="BD74" i="8"/>
  <c r="AK73" i="8"/>
  <c r="BD73" i="8"/>
  <c r="AG73" i="8"/>
  <c r="AE72" i="8"/>
  <c r="C71" i="8"/>
  <c r="BJ71" i="8"/>
  <c r="AE71" i="8"/>
  <c r="BH70" i="8"/>
  <c r="AK70" i="8"/>
  <c r="AG70" i="8"/>
  <c r="AM69" i="8"/>
  <c r="K68" i="8"/>
  <c r="BH68" i="8"/>
  <c r="BL67" i="8"/>
  <c r="BT86" i="8"/>
  <c r="AE86" i="8"/>
  <c r="G86" i="8"/>
  <c r="BN85" i="8"/>
  <c r="AI85" i="8"/>
  <c r="BR85" i="8"/>
  <c r="BP82" i="8"/>
  <c r="AI81" i="8"/>
  <c r="CD81" i="8"/>
  <c r="AE80" i="8"/>
  <c r="K80" i="8"/>
  <c r="BH79" i="8"/>
  <c r="I78" i="8"/>
  <c r="BB77" i="8"/>
  <c r="CD77" i="8"/>
  <c r="BN77" i="8"/>
  <c r="BX76" i="8"/>
  <c r="BV76" i="8"/>
  <c r="CD75" i="8"/>
  <c r="G74" i="8"/>
  <c r="BN73" i="8"/>
  <c r="CB72" i="8"/>
  <c r="E71" i="8"/>
  <c r="CD71" i="8"/>
  <c r="AE70" i="8"/>
  <c r="G70" i="8"/>
  <c r="I69" i="8"/>
  <c r="S69" i="8"/>
  <c r="C68" i="8"/>
  <c r="BJ68" i="8"/>
  <c r="AK67" i="8"/>
  <c r="BP66" i="8"/>
  <c r="S85" i="8"/>
  <c r="CB84" i="8"/>
  <c r="BZ84" i="8"/>
  <c r="BF84" i="8"/>
  <c r="BD84" i="8"/>
  <c r="BT84" i="8"/>
  <c r="AY83" i="8"/>
  <c r="AI83" i="8"/>
  <c r="BP83" i="8"/>
  <c r="BJ82" i="8"/>
  <c r="C81" i="8"/>
  <c r="C80" i="8"/>
  <c r="E80" i="8"/>
  <c r="BN79" i="8"/>
  <c r="BL79" i="8"/>
  <c r="BX78" i="8"/>
  <c r="AK78" i="8"/>
  <c r="BD78" i="8"/>
  <c r="CB78" i="8"/>
  <c r="E76" i="8"/>
  <c r="BH75" i="8"/>
  <c r="E75" i="8"/>
  <c r="S75" i="8"/>
  <c r="BN74" i="8"/>
  <c r="BT74" i="8"/>
  <c r="BV73" i="8"/>
  <c r="BB72" i="8"/>
  <c r="K72" i="8"/>
  <c r="AG72" i="8"/>
  <c r="BD71" i="8"/>
  <c r="U71" i="8"/>
  <c r="BP70" i="8"/>
  <c r="BV70" i="8"/>
  <c r="AG69" i="8"/>
  <c r="BF68" i="8"/>
  <c r="BV68" i="8"/>
  <c r="BP67" i="8"/>
  <c r="CF67" i="8"/>
  <c r="AE66" i="8"/>
  <c r="AE67" i="8"/>
  <c r="Q72" i="8"/>
  <c r="BB64" i="8"/>
  <c r="K63" i="8"/>
  <c r="BB63" i="8"/>
  <c r="AE65" i="8"/>
  <c r="AG63" i="8"/>
  <c r="O74" i="8"/>
  <c r="I65" i="8"/>
  <c r="M65" i="8"/>
  <c r="Q80" i="8"/>
  <c r="AG64" i="8"/>
  <c r="M73" i="8"/>
  <c r="CB66" i="8"/>
  <c r="Q67" i="8"/>
  <c r="BN64" i="8"/>
  <c r="AC62" i="8"/>
  <c r="BP62" i="8"/>
  <c r="CB63" i="8"/>
  <c r="AI65" i="8"/>
  <c r="BL62" i="8"/>
  <c r="O78" i="8"/>
  <c r="O63" i="8"/>
  <c r="AE64" i="8"/>
  <c r="AG62" i="8"/>
  <c r="BR63" i="8"/>
  <c r="K66" i="8"/>
  <c r="Q73" i="8"/>
  <c r="G62" i="8"/>
  <c r="BR64" i="8"/>
  <c r="BF62" i="8"/>
  <c r="AY63" i="8"/>
  <c r="O82" i="8"/>
  <c r="S65" i="8"/>
  <c r="M83" i="8"/>
  <c r="O67" i="8"/>
  <c r="AE63" i="8"/>
  <c r="M74" i="8"/>
  <c r="BL66" i="8"/>
  <c r="O68" i="8"/>
  <c r="BD63" i="8"/>
  <c r="M86" i="8"/>
  <c r="Q83" i="8"/>
  <c r="S62" i="8"/>
  <c r="Q68" i="8"/>
  <c r="BL64" i="8"/>
  <c r="AC63" i="8"/>
  <c r="BN62" i="8"/>
  <c r="BB65" i="8"/>
  <c r="BF63" i="8"/>
  <c r="CO306" i="10" l="1"/>
  <c r="CO324" i="10"/>
  <c r="CO282" i="10"/>
  <c r="CO270" i="10"/>
  <c r="CO290" i="10"/>
  <c r="BJ253" i="10"/>
  <c r="BJ264" i="10"/>
  <c r="CO277" i="10"/>
  <c r="CO283" i="10"/>
  <c r="BJ306" i="10"/>
  <c r="BJ300" i="10"/>
  <c r="BJ277" i="10"/>
  <c r="BJ291" i="10"/>
  <c r="BJ278" i="10"/>
  <c r="BJ279" i="10"/>
  <c r="BJ276" i="10"/>
  <c r="BJ242" i="10"/>
  <c r="BJ254" i="10"/>
  <c r="BJ270" i="10"/>
  <c r="BJ265" i="10"/>
  <c r="BJ256" i="10"/>
  <c r="BJ260" i="10"/>
  <c r="BJ311" i="10"/>
  <c r="BJ325" i="10"/>
  <c r="CO242" i="10"/>
  <c r="BJ292" i="10"/>
  <c r="BJ251" i="10"/>
  <c r="CO263" i="10"/>
  <c r="CO295" i="10"/>
  <c r="CO264" i="10"/>
  <c r="CO291" i="10"/>
  <c r="CO300" i="10"/>
  <c r="CO267" i="10"/>
  <c r="CO325" i="10"/>
  <c r="CO249" i="10"/>
  <c r="CO253" i="10"/>
  <c r="CO279" i="10"/>
  <c r="CO296" i="10"/>
  <c r="BJ255" i="10"/>
  <c r="BJ295" i="10"/>
  <c r="BJ249" i="10"/>
  <c r="BJ243" i="10"/>
  <c r="BJ271" i="10"/>
  <c r="BJ267" i="10"/>
  <c r="BJ296" i="10"/>
  <c r="BJ244" i="10"/>
  <c r="CO278" i="10"/>
  <c r="CO284" i="10"/>
  <c r="CO255" i="10"/>
  <c r="CO181" i="10"/>
  <c r="BJ181" i="10"/>
  <c r="BJ183" i="10"/>
  <c r="BJ182" i="10"/>
  <c r="BJ245" i="10"/>
  <c r="BJ268" i="10"/>
  <c r="BJ283" i="10"/>
  <c r="BJ282" i="10"/>
  <c r="BJ290" i="10"/>
  <c r="BJ252" i="10"/>
  <c r="BJ324" i="10"/>
  <c r="BJ262" i="10"/>
  <c r="BJ258" i="10"/>
  <c r="CO311" i="10"/>
  <c r="CO266" i="10"/>
  <c r="CO254" i="10"/>
  <c r="CO276" i="10"/>
  <c r="CO244" i="10"/>
  <c r="CO262" i="10"/>
  <c r="CO271" i="10"/>
  <c r="CO268" i="10"/>
  <c r="CO183" i="10"/>
  <c r="CO273" i="10"/>
  <c r="F77" i="8"/>
  <c r="AQ266" i="10" s="1"/>
  <c r="F84" i="8"/>
  <c r="F68" i="8"/>
  <c r="F71" i="8"/>
  <c r="F74" i="8"/>
  <c r="F62" i="8"/>
  <c r="F83" i="8"/>
  <c r="F66" i="8"/>
  <c r="F85" i="8"/>
  <c r="F76" i="8"/>
  <c r="F81" i="8"/>
  <c r="F75" i="8"/>
  <c r="F82" i="8"/>
  <c r="F73" i="8"/>
  <c r="F80" i="8"/>
  <c r="F64" i="8"/>
  <c r="F63" i="8"/>
  <c r="F86" i="8"/>
  <c r="F67" i="8"/>
  <c r="F69" i="8"/>
  <c r="AQ284" i="10" s="1"/>
  <c r="F78" i="8"/>
  <c r="F65" i="8"/>
  <c r="F72" i="8"/>
  <c r="F79" i="8"/>
  <c r="F70" i="8"/>
  <c r="CE81" i="8"/>
  <c r="CE65" i="8"/>
  <c r="CE76" i="8"/>
  <c r="CE71" i="8"/>
  <c r="CE86" i="8"/>
  <c r="CE82" i="8"/>
  <c r="CE74" i="8"/>
  <c r="CE83" i="8"/>
  <c r="CE73" i="8"/>
  <c r="BX263" i="10" s="1"/>
  <c r="CE84" i="8"/>
  <c r="CE70" i="8"/>
  <c r="BX247" i="10" s="1"/>
  <c r="CE85" i="8"/>
  <c r="CE80" i="8"/>
  <c r="CE79" i="8"/>
  <c r="CE62" i="8"/>
  <c r="CE77" i="8"/>
  <c r="BX266" i="10" s="1"/>
  <c r="CE72" i="8"/>
  <c r="CE63" i="8"/>
  <c r="CE78" i="8"/>
  <c r="CE75" i="8"/>
  <c r="CE67" i="8"/>
  <c r="BX273" i="10" s="1"/>
  <c r="CE66" i="8"/>
  <c r="CE68" i="8"/>
  <c r="CE69" i="8"/>
  <c r="BX284" i="10" s="1"/>
  <c r="CE64" i="8"/>
  <c r="V85" i="8"/>
  <c r="V69" i="8"/>
  <c r="V76" i="8"/>
  <c r="V63" i="8"/>
  <c r="CC250" i="10" s="1"/>
  <c r="V67" i="8"/>
  <c r="V66" i="8"/>
  <c r="V86" i="8"/>
  <c r="V77" i="8"/>
  <c r="V68" i="8"/>
  <c r="V79" i="8"/>
  <c r="V73" i="8"/>
  <c r="V80" i="8"/>
  <c r="CC151" i="10" s="1"/>
  <c r="V82" i="8"/>
  <c r="V75" i="8"/>
  <c r="V74" i="8"/>
  <c r="V81" i="8"/>
  <c r="V65" i="8"/>
  <c r="V72" i="8"/>
  <c r="V78" i="8"/>
  <c r="V84" i="8"/>
  <c r="V70" i="8"/>
  <c r="V64" i="8"/>
  <c r="V71" i="8"/>
  <c r="V83" i="8"/>
  <c r="V62" i="8"/>
  <c r="D63" i="8"/>
  <c r="D79" i="8"/>
  <c r="D72" i="8"/>
  <c r="D85" i="8"/>
  <c r="D65" i="8"/>
  <c r="D71" i="8"/>
  <c r="D80" i="8"/>
  <c r="D78" i="8"/>
  <c r="D73" i="8"/>
  <c r="D75" i="8"/>
  <c r="D68" i="8"/>
  <c r="D77" i="8"/>
  <c r="AP266" i="10" s="1"/>
  <c r="D86" i="8"/>
  <c r="D67" i="8"/>
  <c r="D83" i="8"/>
  <c r="D76" i="8"/>
  <c r="D81" i="8"/>
  <c r="D66" i="8"/>
  <c r="D70" i="8"/>
  <c r="D74" i="8"/>
  <c r="D62" i="8"/>
  <c r="D64" i="8"/>
  <c r="D69" i="8"/>
  <c r="AP284" i="10" s="1"/>
  <c r="D82" i="8"/>
  <c r="D84" i="8"/>
  <c r="AB66" i="8"/>
  <c r="AB68" i="8"/>
  <c r="AB79" i="8"/>
  <c r="AB69" i="8"/>
  <c r="BK284" i="10" s="1"/>
  <c r="AB83" i="8"/>
  <c r="AB80" i="8"/>
  <c r="AB82" i="8"/>
  <c r="AB73" i="8"/>
  <c r="BK263" i="10" s="1"/>
  <c r="AB78" i="8"/>
  <c r="AB85" i="8"/>
  <c r="AB71" i="8"/>
  <c r="AB63" i="8"/>
  <c r="AB84" i="8"/>
  <c r="BO73" i="8"/>
  <c r="BO84" i="8"/>
  <c r="BO68" i="8"/>
  <c r="BO79" i="8"/>
  <c r="BO62" i="8"/>
  <c r="BO82" i="8"/>
  <c r="BO75" i="8"/>
  <c r="BO65" i="8"/>
  <c r="BO63" i="8"/>
  <c r="BO78" i="8"/>
  <c r="BO70" i="8"/>
  <c r="BO85" i="8"/>
  <c r="BO69" i="8"/>
  <c r="BO80" i="8"/>
  <c r="BO64" i="8"/>
  <c r="BO71" i="8"/>
  <c r="BO86" i="8"/>
  <c r="BO83" i="8"/>
  <c r="BO66" i="8"/>
  <c r="BO81" i="8"/>
  <c r="BO76" i="8"/>
  <c r="BO67" i="8"/>
  <c r="BO77" i="8"/>
  <c r="BO72" i="8"/>
  <c r="BO74" i="8"/>
  <c r="BQ80" i="8"/>
  <c r="BQ64" i="8"/>
  <c r="BQ75" i="8"/>
  <c r="BQ86" i="8"/>
  <c r="BQ69" i="8"/>
  <c r="BQ74" i="8"/>
  <c r="BQ72" i="8"/>
  <c r="BQ67" i="8"/>
  <c r="BQ65" i="8"/>
  <c r="BQ82" i="8"/>
  <c r="BQ81" i="8"/>
  <c r="BQ68" i="8"/>
  <c r="BQ63" i="8"/>
  <c r="BQ62" i="8"/>
  <c r="BQ73" i="8"/>
  <c r="BQ66" i="8"/>
  <c r="BQ76" i="8"/>
  <c r="BQ71" i="8"/>
  <c r="BQ78" i="8"/>
  <c r="BQ83" i="8"/>
  <c r="BQ70" i="8"/>
  <c r="BQ85" i="8"/>
  <c r="BQ84" i="8"/>
  <c r="BQ79" i="8"/>
  <c r="BQ77" i="8"/>
  <c r="L82" i="8"/>
  <c r="L66" i="8"/>
  <c r="L73" i="8"/>
  <c r="L63" i="8"/>
  <c r="L83" i="8"/>
  <c r="L64" i="8"/>
  <c r="L74" i="8"/>
  <c r="L65" i="8"/>
  <c r="L76" i="8"/>
  <c r="L70" i="8"/>
  <c r="L77" i="8"/>
  <c r="BC266" i="10" s="1"/>
  <c r="L72" i="8"/>
  <c r="L79" i="8"/>
  <c r="L80" i="8"/>
  <c r="L78" i="8"/>
  <c r="BC187" i="10" s="1"/>
  <c r="L62" i="8"/>
  <c r="L85" i="8"/>
  <c r="L69" i="8"/>
  <c r="BC284" i="10" s="1"/>
  <c r="L84" i="8"/>
  <c r="BC161" i="10" s="1"/>
  <c r="L75" i="8"/>
  <c r="L81" i="8"/>
  <c r="L67" i="8"/>
  <c r="L86" i="8"/>
  <c r="L68" i="8"/>
  <c r="L71" i="8"/>
  <c r="BU78" i="8"/>
  <c r="BU62" i="8"/>
  <c r="BU73" i="8"/>
  <c r="BS263" i="10" s="1"/>
  <c r="BU68" i="8"/>
  <c r="BU83" i="8"/>
  <c r="BU79" i="8"/>
  <c r="BU71" i="8"/>
  <c r="BU80" i="8"/>
  <c r="BU70" i="8"/>
  <c r="BS247" i="10" s="1"/>
  <c r="BU81" i="8"/>
  <c r="BU67" i="8"/>
  <c r="BS273" i="10" s="1"/>
  <c r="BU82" i="8"/>
  <c r="BU77" i="8"/>
  <c r="BS266" i="10" s="1"/>
  <c r="BU76" i="8"/>
  <c r="BU74" i="8"/>
  <c r="BU85" i="8"/>
  <c r="BU69" i="8"/>
  <c r="BS284" i="10" s="1"/>
  <c r="BU75" i="8"/>
  <c r="BU72" i="8"/>
  <c r="BU64" i="8"/>
  <c r="BU63" i="8"/>
  <c r="BU86" i="8"/>
  <c r="BU65" i="8"/>
  <c r="BU84" i="8"/>
  <c r="BU66" i="8"/>
  <c r="AN85" i="8"/>
  <c r="AN69" i="8"/>
  <c r="CD284" i="10" s="1"/>
  <c r="AN80" i="8"/>
  <c r="AN64" i="8"/>
  <c r="AN74" i="8"/>
  <c r="AN79" i="8"/>
  <c r="AN86" i="8"/>
  <c r="AN62" i="8"/>
  <c r="AN70" i="8"/>
  <c r="AN72" i="8"/>
  <c r="AN73" i="8"/>
  <c r="AN68" i="8"/>
  <c r="AN81" i="8"/>
  <c r="AN65" i="8"/>
  <c r="AN76" i="8"/>
  <c r="AN83" i="8"/>
  <c r="AN66" i="8"/>
  <c r="AN63" i="8"/>
  <c r="AN77" i="8"/>
  <c r="CD266" i="10" s="1"/>
  <c r="AN75" i="8"/>
  <c r="AN84" i="8"/>
  <c r="CD161" i="10" s="1"/>
  <c r="AN67" i="8"/>
  <c r="AN82" i="8"/>
  <c r="AN78" i="8"/>
  <c r="CD187" i="10" s="1"/>
  <c r="AN71" i="8"/>
  <c r="CG72" i="8"/>
  <c r="CG83" i="8"/>
  <c r="CG67" i="8"/>
  <c r="BY273" i="10" s="1"/>
  <c r="CG78" i="8"/>
  <c r="CG66" i="8"/>
  <c r="CG73" i="8"/>
  <c r="BY263" i="10" s="1"/>
  <c r="CG80" i="8"/>
  <c r="CG81" i="8"/>
  <c r="CG82" i="8"/>
  <c r="CG84" i="8"/>
  <c r="CG68" i="8"/>
  <c r="CG79" i="8"/>
  <c r="CG63" i="8"/>
  <c r="CG70" i="8"/>
  <c r="BY247" i="10" s="1"/>
  <c r="CG85" i="8"/>
  <c r="CG64" i="8"/>
  <c r="CG75" i="8"/>
  <c r="CG62" i="8"/>
  <c r="CG77" i="8"/>
  <c r="BY266" i="10" s="1"/>
  <c r="CG76" i="8"/>
  <c r="CG71" i="8"/>
  <c r="CG86" i="8"/>
  <c r="CG69" i="8"/>
  <c r="BY284" i="10" s="1"/>
  <c r="CG65" i="8"/>
  <c r="CG74" i="8"/>
  <c r="X76" i="8"/>
  <c r="X83" i="8"/>
  <c r="X67" i="8"/>
  <c r="X70" i="8"/>
  <c r="X82" i="8"/>
  <c r="X84" i="8"/>
  <c r="X75" i="8"/>
  <c r="X77" i="8"/>
  <c r="X66" i="8"/>
  <c r="X80" i="8"/>
  <c r="X69" i="8"/>
  <c r="X72" i="8"/>
  <c r="X79" i="8"/>
  <c r="X63" i="8"/>
  <c r="X62" i="8"/>
  <c r="X85" i="8"/>
  <c r="X74" i="8"/>
  <c r="X81" i="8"/>
  <c r="X68" i="8"/>
  <c r="X86" i="8"/>
  <c r="X73" i="8"/>
  <c r="X65" i="8"/>
  <c r="X64" i="8"/>
  <c r="X71" i="8"/>
  <c r="X78" i="8"/>
  <c r="AB86" i="8"/>
  <c r="AH80" i="8"/>
  <c r="AH64" i="8"/>
  <c r="AH75" i="8"/>
  <c r="AH70" i="8"/>
  <c r="BN247" i="10" s="1"/>
  <c r="AH85" i="8"/>
  <c r="AH73" i="8"/>
  <c r="BN263" i="10" s="1"/>
  <c r="BQ263" i="10" s="1"/>
  <c r="AH66" i="8"/>
  <c r="AH72" i="8"/>
  <c r="AH67" i="8"/>
  <c r="BN273" i="10" s="1"/>
  <c r="AH69" i="8"/>
  <c r="BN284" i="10" s="1"/>
  <c r="AH84" i="8"/>
  <c r="AH79" i="8"/>
  <c r="AH65" i="8"/>
  <c r="AH82" i="8"/>
  <c r="AH76" i="8"/>
  <c r="AH71" i="8"/>
  <c r="AH62" i="8"/>
  <c r="AH77" i="8"/>
  <c r="BN266" i="10" s="1"/>
  <c r="AH74" i="8"/>
  <c r="AH83" i="8"/>
  <c r="AH86" i="8"/>
  <c r="AH81" i="8"/>
  <c r="AH68" i="8"/>
  <c r="AH63" i="8"/>
  <c r="AH78" i="8"/>
  <c r="BM82" i="8"/>
  <c r="BM66" i="8"/>
  <c r="BM77" i="8"/>
  <c r="BM72" i="8"/>
  <c r="BM67" i="8"/>
  <c r="BM85" i="8"/>
  <c r="BM86" i="8"/>
  <c r="BM81" i="8"/>
  <c r="BM76" i="8"/>
  <c r="BM78" i="8"/>
  <c r="BM62" i="8"/>
  <c r="BM73" i="8"/>
  <c r="BM64" i="8"/>
  <c r="BM79" i="8"/>
  <c r="BM84" i="8"/>
  <c r="BM74" i="8"/>
  <c r="BM69" i="8"/>
  <c r="BM71" i="8"/>
  <c r="BM75" i="8"/>
  <c r="BM68" i="8"/>
  <c r="BM70" i="8"/>
  <c r="BM65" i="8"/>
  <c r="BM80" i="8"/>
  <c r="BM63" i="8"/>
  <c r="BM83" i="8"/>
  <c r="AD81" i="8"/>
  <c r="AD65" i="8"/>
  <c r="AD72" i="8"/>
  <c r="AD82" i="8"/>
  <c r="AD79" i="8"/>
  <c r="AD86" i="8"/>
  <c r="AD73" i="8"/>
  <c r="BL263" i="10" s="1"/>
  <c r="AD80" i="8"/>
  <c r="AD62" i="8"/>
  <c r="AD66" i="8"/>
  <c r="AD63" i="8"/>
  <c r="AD69" i="8"/>
  <c r="BL284" i="10" s="1"/>
  <c r="AD76" i="8"/>
  <c r="AD77" i="8"/>
  <c r="BL266" i="10" s="1"/>
  <c r="AD84" i="8"/>
  <c r="AD68" i="8"/>
  <c r="AD83" i="8"/>
  <c r="AD78" i="8"/>
  <c r="AD74" i="8"/>
  <c r="AD71" i="8"/>
  <c r="AD70" i="8"/>
  <c r="BL247" i="10" s="1"/>
  <c r="AD64" i="8"/>
  <c r="AD75" i="8"/>
  <c r="AD85" i="8"/>
  <c r="AD67" i="8"/>
  <c r="BL273" i="10" s="1"/>
  <c r="R71" i="8"/>
  <c r="R78" i="8"/>
  <c r="BG187" i="10" s="1"/>
  <c r="R62" i="8"/>
  <c r="R81" i="8"/>
  <c r="R72" i="8"/>
  <c r="R63" i="8"/>
  <c r="R86" i="8"/>
  <c r="R65" i="8"/>
  <c r="R84" i="8"/>
  <c r="BG161" i="10" s="1"/>
  <c r="R76" i="8"/>
  <c r="R66" i="8"/>
  <c r="R80" i="8"/>
  <c r="R83" i="8"/>
  <c r="R67" i="8"/>
  <c r="R74" i="8"/>
  <c r="R73" i="8"/>
  <c r="R64" i="8"/>
  <c r="R79" i="8"/>
  <c r="R70" i="8"/>
  <c r="R77" i="8"/>
  <c r="BG266" i="10" s="1"/>
  <c r="R85" i="8"/>
  <c r="R75" i="8"/>
  <c r="R82" i="8"/>
  <c r="R68" i="8"/>
  <c r="R69" i="8"/>
  <c r="BG284" i="10" s="1"/>
  <c r="BI84" i="8"/>
  <c r="BI68" i="8"/>
  <c r="BI79" i="8"/>
  <c r="BI63" i="8"/>
  <c r="BI73" i="8"/>
  <c r="BI86" i="8"/>
  <c r="BI76" i="8"/>
  <c r="BI71" i="8"/>
  <c r="BI74" i="8"/>
  <c r="BI78" i="8"/>
  <c r="BI72" i="8"/>
  <c r="BI67" i="8"/>
  <c r="BI81" i="8"/>
  <c r="BI80" i="8"/>
  <c r="BI64" i="8"/>
  <c r="BI75" i="8"/>
  <c r="BI82" i="8"/>
  <c r="BI65" i="8"/>
  <c r="BI69" i="8"/>
  <c r="AX284" i="10" s="1"/>
  <c r="BI77" i="8"/>
  <c r="AX266" i="10" s="1"/>
  <c r="BI70" i="8"/>
  <c r="BI85" i="8"/>
  <c r="BI83" i="8"/>
  <c r="BI66" i="8"/>
  <c r="BI62" i="8"/>
  <c r="BY76" i="8"/>
  <c r="BY71" i="8"/>
  <c r="BY82" i="8"/>
  <c r="BY65" i="8"/>
  <c r="BY85" i="8"/>
  <c r="BY68" i="8"/>
  <c r="BY63" i="8"/>
  <c r="BY66" i="8"/>
  <c r="BY81" i="8"/>
  <c r="BY64" i="8"/>
  <c r="BY73" i="8"/>
  <c r="BU263" i="10" s="1"/>
  <c r="BY77" i="8"/>
  <c r="BU266" i="10" s="1"/>
  <c r="BY72" i="8"/>
  <c r="BY83" i="8"/>
  <c r="BY67" i="8"/>
  <c r="BU273" i="10" s="1"/>
  <c r="BY74" i="8"/>
  <c r="BY86" i="8"/>
  <c r="BY69" i="8"/>
  <c r="BU284" i="10" s="1"/>
  <c r="BY78" i="8"/>
  <c r="BY84" i="8"/>
  <c r="BY79" i="8"/>
  <c r="BY70" i="8"/>
  <c r="BU247" i="10" s="1"/>
  <c r="BY62" i="8"/>
  <c r="BY80" i="8"/>
  <c r="BY75" i="8"/>
  <c r="BW85" i="8"/>
  <c r="BW69" i="8"/>
  <c r="BT284" i="10" s="1"/>
  <c r="BW80" i="8"/>
  <c r="BW64" i="8"/>
  <c r="BW75" i="8"/>
  <c r="BW63" i="8"/>
  <c r="BW70" i="8"/>
  <c r="BT247" i="10" s="1"/>
  <c r="BW77" i="8"/>
  <c r="BT266" i="10" s="1"/>
  <c r="BW78" i="8"/>
  <c r="BW84" i="8"/>
  <c r="BW79" i="8"/>
  <c r="BW86" i="8"/>
  <c r="BW81" i="8"/>
  <c r="BW65" i="8"/>
  <c r="BW76" i="8"/>
  <c r="BW67" i="8"/>
  <c r="BT273" i="10" s="1"/>
  <c r="BW82" i="8"/>
  <c r="BW72" i="8"/>
  <c r="BW74" i="8"/>
  <c r="BW73" i="8"/>
  <c r="BT263" i="10" s="1"/>
  <c r="BW68" i="8"/>
  <c r="BW83" i="8"/>
  <c r="BW66" i="8"/>
  <c r="BW62" i="8"/>
  <c r="BW71" i="8"/>
  <c r="BK75" i="8"/>
  <c r="BK86" i="8"/>
  <c r="BK70" i="8"/>
  <c r="BK65" i="8"/>
  <c r="BK80" i="8"/>
  <c r="BK85" i="8"/>
  <c r="BK76" i="8"/>
  <c r="BK68" i="8"/>
  <c r="BK83" i="8"/>
  <c r="BK78" i="8"/>
  <c r="BK64" i="8"/>
  <c r="BK79" i="8"/>
  <c r="BK74" i="8"/>
  <c r="BK73" i="8"/>
  <c r="BK71" i="8"/>
  <c r="BK82" i="8"/>
  <c r="BK66" i="8"/>
  <c r="BK72" i="8"/>
  <c r="BK69" i="8"/>
  <c r="BK67" i="8"/>
  <c r="BK62" i="8"/>
  <c r="BK81" i="8"/>
  <c r="BK63" i="8"/>
  <c r="BK84" i="8"/>
  <c r="BK77" i="8"/>
  <c r="AJ71" i="8"/>
  <c r="AJ82" i="8"/>
  <c r="AJ66" i="8"/>
  <c r="AJ77" i="8"/>
  <c r="BO266" i="10" s="1"/>
  <c r="AJ65" i="8"/>
  <c r="AJ79" i="8"/>
  <c r="AJ80" i="8"/>
  <c r="AJ73" i="8"/>
  <c r="BO263" i="10" s="1"/>
  <c r="AJ86" i="8"/>
  <c r="AJ85" i="8"/>
  <c r="AJ64" i="8"/>
  <c r="AJ83" i="8"/>
  <c r="AJ67" i="8"/>
  <c r="BO273" i="10" s="1"/>
  <c r="AJ78" i="8"/>
  <c r="AJ62" i="8"/>
  <c r="AJ69" i="8"/>
  <c r="BO284" i="10" s="1"/>
  <c r="AJ84" i="8"/>
  <c r="AJ63" i="8"/>
  <c r="AJ74" i="8"/>
  <c r="AJ76" i="8"/>
  <c r="AJ72" i="8"/>
  <c r="AJ75" i="8"/>
  <c r="AJ70" i="8"/>
  <c r="BO247" i="10" s="1"/>
  <c r="AJ68" i="8"/>
  <c r="AJ81" i="8"/>
  <c r="BE86" i="8"/>
  <c r="BE70" i="8"/>
  <c r="BE81" i="8"/>
  <c r="BE65" i="8"/>
  <c r="BE76" i="8"/>
  <c r="BE79" i="8"/>
  <c r="BE72" i="8"/>
  <c r="BE62" i="8"/>
  <c r="BE75" i="8"/>
  <c r="BE85" i="8"/>
  <c r="BE84" i="8"/>
  <c r="BE67" i="8"/>
  <c r="BE71" i="8"/>
  <c r="BE82" i="8"/>
  <c r="BE66" i="8"/>
  <c r="BE77" i="8"/>
  <c r="AV266" i="10" s="1"/>
  <c r="BE68" i="8"/>
  <c r="BE83" i="8"/>
  <c r="BE80" i="8"/>
  <c r="BE63" i="8"/>
  <c r="BE78" i="8"/>
  <c r="BE73" i="8"/>
  <c r="BE64" i="8"/>
  <c r="BE74" i="8"/>
  <c r="BE69" i="8"/>
  <c r="AV284" i="10" s="1"/>
  <c r="AB65" i="8"/>
  <c r="AB70" i="8"/>
  <c r="BK247" i="10" s="1"/>
  <c r="AB76" i="8"/>
  <c r="N73" i="8"/>
  <c r="N80" i="8"/>
  <c r="N64" i="8"/>
  <c r="N67" i="8"/>
  <c r="N81" i="8"/>
  <c r="N72" i="8"/>
  <c r="N63" i="8"/>
  <c r="N74" i="8"/>
  <c r="N71" i="8"/>
  <c r="N77" i="8"/>
  <c r="BD266" i="10" s="1"/>
  <c r="N84" i="8"/>
  <c r="BD161" i="10" s="1"/>
  <c r="N75" i="8"/>
  <c r="N66" i="8"/>
  <c r="N85" i="8"/>
  <c r="N69" i="8"/>
  <c r="BD284" i="10" s="1"/>
  <c r="N76" i="8"/>
  <c r="N79" i="8"/>
  <c r="N86" i="8"/>
  <c r="N82" i="8"/>
  <c r="N78" i="8"/>
  <c r="BD187" i="10" s="1"/>
  <c r="N65" i="8"/>
  <c r="N83" i="8"/>
  <c r="N70" i="8"/>
  <c r="N62" i="8"/>
  <c r="N68" i="8"/>
  <c r="CC74" i="8"/>
  <c r="CC85" i="8"/>
  <c r="CC69" i="8"/>
  <c r="BW284" i="10" s="1"/>
  <c r="CC64" i="8"/>
  <c r="CC79" i="8"/>
  <c r="CC77" i="8"/>
  <c r="BW266" i="10" s="1"/>
  <c r="CC80" i="8"/>
  <c r="CC84" i="8"/>
  <c r="CC76" i="8"/>
  <c r="CC78" i="8"/>
  <c r="CC73" i="8"/>
  <c r="BW263" i="10" s="1"/>
  <c r="CC86" i="8"/>
  <c r="CC70" i="8"/>
  <c r="BW247" i="10" s="1"/>
  <c r="CC81" i="8"/>
  <c r="CC65" i="8"/>
  <c r="CC71" i="8"/>
  <c r="CC75" i="8"/>
  <c r="CC83" i="8"/>
  <c r="CC82" i="8"/>
  <c r="CC66" i="8"/>
  <c r="CC63" i="8"/>
  <c r="CC67" i="8"/>
  <c r="BW273" i="10" s="1"/>
  <c r="CC62" i="8"/>
  <c r="CC72" i="8"/>
  <c r="CC68" i="8"/>
  <c r="T78" i="8"/>
  <c r="T62" i="8"/>
  <c r="T85" i="8"/>
  <c r="T69" i="8"/>
  <c r="CB284" i="10" s="1"/>
  <c r="T79" i="8"/>
  <c r="T84" i="8"/>
  <c r="T83" i="8"/>
  <c r="T70" i="8"/>
  <c r="CB247" i="10" s="1"/>
  <c r="T63" i="8"/>
  <c r="T66" i="8"/>
  <c r="T73" i="8"/>
  <c r="CB263" i="10" s="1"/>
  <c r="T64" i="8"/>
  <c r="T74" i="8"/>
  <c r="T81" i="8"/>
  <c r="T65" i="8"/>
  <c r="T80" i="8"/>
  <c r="T68" i="8"/>
  <c r="T75" i="8"/>
  <c r="T71" i="8"/>
  <c r="T76" i="8"/>
  <c r="T67" i="8"/>
  <c r="CB273" i="10" s="1"/>
  <c r="T86" i="8"/>
  <c r="T77" i="8"/>
  <c r="CB266" i="10" s="1"/>
  <c r="T72" i="8"/>
  <c r="T82" i="8"/>
  <c r="H84" i="8"/>
  <c r="H68" i="8"/>
  <c r="H75" i="8"/>
  <c r="H78" i="8"/>
  <c r="H69" i="8"/>
  <c r="AR284" i="10" s="1"/>
  <c r="H83" i="8"/>
  <c r="H62" i="8"/>
  <c r="H81" i="8"/>
  <c r="H85" i="8"/>
  <c r="H73" i="8"/>
  <c r="H63" i="8"/>
  <c r="H86" i="8"/>
  <c r="H77" i="8"/>
  <c r="AR266" i="10" s="1"/>
  <c r="H80" i="8"/>
  <c r="H64" i="8"/>
  <c r="H71" i="8"/>
  <c r="H70" i="8"/>
  <c r="H82" i="8"/>
  <c r="H76" i="8"/>
  <c r="H67" i="8"/>
  <c r="H66" i="8"/>
  <c r="H72" i="8"/>
  <c r="H79" i="8"/>
  <c r="H65" i="8"/>
  <c r="H74" i="8"/>
  <c r="CI79" i="8"/>
  <c r="CI63" i="8"/>
  <c r="CI74" i="8"/>
  <c r="CI85" i="8"/>
  <c r="CI68" i="8"/>
  <c r="CI66" i="8"/>
  <c r="CI69" i="8"/>
  <c r="AY284" i="10" s="1"/>
  <c r="CI84" i="8"/>
  <c r="CI80" i="8"/>
  <c r="CI83" i="8"/>
  <c r="CI62" i="8"/>
  <c r="CI76" i="8"/>
  <c r="CI75" i="8"/>
  <c r="CI86" i="8"/>
  <c r="CI70" i="8"/>
  <c r="CI77" i="8"/>
  <c r="AY266" i="10" s="1"/>
  <c r="CI72" i="8"/>
  <c r="CI81" i="8"/>
  <c r="CI71" i="8"/>
  <c r="CI82" i="8"/>
  <c r="CI73" i="8"/>
  <c r="CI65" i="8"/>
  <c r="CI67" i="8"/>
  <c r="CI78" i="8"/>
  <c r="CI64" i="8"/>
  <c r="AB81" i="8"/>
  <c r="AB72" i="8"/>
  <c r="AB64" i="8"/>
  <c r="CK86" i="8"/>
  <c r="CK70" i="8"/>
  <c r="CK81" i="8"/>
  <c r="CK65" i="8"/>
  <c r="CK75" i="8"/>
  <c r="CK80" i="8"/>
  <c r="CK63" i="8"/>
  <c r="CK72" i="8"/>
  <c r="CK62" i="8"/>
  <c r="CK73" i="8"/>
  <c r="CK85" i="8"/>
  <c r="CK69" i="8"/>
  <c r="AZ284" i="10" s="1"/>
  <c r="CK68" i="8"/>
  <c r="CK79" i="8"/>
  <c r="CK82" i="8"/>
  <c r="CK66" i="8"/>
  <c r="CK77" i="8"/>
  <c r="AZ266" i="10" s="1"/>
  <c r="CK84" i="8"/>
  <c r="CK67" i="8"/>
  <c r="CK64" i="8"/>
  <c r="CK78" i="8"/>
  <c r="CK76" i="8"/>
  <c r="CK74" i="8"/>
  <c r="CK83" i="8"/>
  <c r="CK71" i="8"/>
  <c r="BG77" i="8"/>
  <c r="AW266" i="10" s="1"/>
  <c r="BG72" i="8"/>
  <c r="BG83" i="8"/>
  <c r="BG66" i="8"/>
  <c r="BG71" i="8"/>
  <c r="BG69" i="8"/>
  <c r="AW284" i="10" s="1"/>
  <c r="BG64" i="8"/>
  <c r="BG86" i="8"/>
  <c r="BG79" i="8"/>
  <c r="BG65" i="8"/>
  <c r="BG70" i="8"/>
  <c r="BG63" i="8"/>
  <c r="BG73" i="8"/>
  <c r="BG84" i="8"/>
  <c r="BG68" i="8"/>
  <c r="BG75" i="8"/>
  <c r="BG85" i="8"/>
  <c r="BG80" i="8"/>
  <c r="BG67" i="8"/>
  <c r="BG82" i="8"/>
  <c r="BG78" i="8"/>
  <c r="BG62" i="8"/>
  <c r="BG81" i="8"/>
  <c r="BG76" i="8"/>
  <c r="BG74" i="8"/>
  <c r="AZ72" i="8"/>
  <c r="AZ83" i="8"/>
  <c r="AZ67" i="8"/>
  <c r="AZ62" i="8"/>
  <c r="AZ77" i="8"/>
  <c r="BE266" i="10" s="1"/>
  <c r="AZ82" i="8"/>
  <c r="AZ65" i="8"/>
  <c r="AZ73" i="8"/>
  <c r="AZ80" i="8"/>
  <c r="AZ64" i="8"/>
  <c r="AZ76" i="8"/>
  <c r="AZ71" i="8"/>
  <c r="AZ70" i="8"/>
  <c r="AZ84" i="8"/>
  <c r="BE161" i="10" s="1"/>
  <c r="AZ68" i="8"/>
  <c r="AZ79" i="8"/>
  <c r="AZ63" i="8"/>
  <c r="AZ86" i="8"/>
  <c r="AZ69" i="8"/>
  <c r="BE284" i="10" s="1"/>
  <c r="AZ66" i="8"/>
  <c r="AZ75" i="8"/>
  <c r="AZ78" i="8"/>
  <c r="BE187" i="10" s="1"/>
  <c r="AZ85" i="8"/>
  <c r="AZ81" i="8"/>
  <c r="AZ74" i="8"/>
  <c r="P80" i="8"/>
  <c r="P64" i="8"/>
  <c r="P71" i="8"/>
  <c r="P74" i="8"/>
  <c r="P70" i="8"/>
  <c r="P77" i="8"/>
  <c r="BF266" i="10" s="1"/>
  <c r="P65" i="8"/>
  <c r="P78" i="8"/>
  <c r="BF187" i="10" s="1"/>
  <c r="P69" i="8"/>
  <c r="BF284" i="10" s="1"/>
  <c r="P79" i="8"/>
  <c r="P84" i="8"/>
  <c r="BF161" i="10" s="1"/>
  <c r="P86" i="8"/>
  <c r="P85" i="8"/>
  <c r="P76" i="8"/>
  <c r="P83" i="8"/>
  <c r="P67" i="8"/>
  <c r="P66" i="8"/>
  <c r="P62" i="8"/>
  <c r="P72" i="8"/>
  <c r="P63" i="8"/>
  <c r="P81" i="8"/>
  <c r="P68" i="8"/>
  <c r="P75" i="8"/>
  <c r="P82" i="8"/>
  <c r="P73" i="8"/>
  <c r="CA83" i="8"/>
  <c r="CA67" i="8"/>
  <c r="BV273" i="10" s="1"/>
  <c r="CA78" i="8"/>
  <c r="CA62" i="8"/>
  <c r="CA72" i="8"/>
  <c r="CA77" i="8"/>
  <c r="BV266" i="10" s="1"/>
  <c r="CA69" i="8"/>
  <c r="BV284" i="10" s="1"/>
  <c r="CA75" i="8"/>
  <c r="CA70" i="8"/>
  <c r="BV247" i="10" s="1"/>
  <c r="CA71" i="8"/>
  <c r="CA66" i="8"/>
  <c r="CA65" i="8"/>
  <c r="CA76" i="8"/>
  <c r="CA85" i="8"/>
  <c r="CA79" i="8"/>
  <c r="CA63" i="8"/>
  <c r="CA74" i="8"/>
  <c r="CA81" i="8"/>
  <c r="CA64" i="8"/>
  <c r="CA86" i="8"/>
  <c r="CA73" i="8"/>
  <c r="BV263" i="10" s="1"/>
  <c r="CA68" i="8"/>
  <c r="CA84" i="8"/>
  <c r="CA82" i="8"/>
  <c r="CA80" i="8"/>
  <c r="AL78" i="8"/>
  <c r="AL62" i="8"/>
  <c r="AL73" i="8"/>
  <c r="BP263" i="10" s="1"/>
  <c r="AL84" i="8"/>
  <c r="AL67" i="8"/>
  <c r="BP273" i="10" s="1"/>
  <c r="AL80" i="8"/>
  <c r="AL86" i="8"/>
  <c r="AL65" i="8"/>
  <c r="AL68" i="8"/>
  <c r="AL83" i="8"/>
  <c r="AL66" i="8"/>
  <c r="AL75" i="8"/>
  <c r="AL74" i="8"/>
  <c r="AL85" i="8"/>
  <c r="AL69" i="8"/>
  <c r="BP284" i="10" s="1"/>
  <c r="AL76" i="8"/>
  <c r="AL79" i="8"/>
  <c r="AL71" i="8"/>
  <c r="AL64" i="8"/>
  <c r="AL63" i="8"/>
  <c r="AL70" i="8"/>
  <c r="BP247" i="10" s="1"/>
  <c r="AL81" i="8"/>
  <c r="AL72" i="8"/>
  <c r="AL82" i="8"/>
  <c r="AL77" i="8"/>
  <c r="BP266" i="10" s="1"/>
  <c r="BC79" i="8"/>
  <c r="BC63" i="8"/>
  <c r="BC74" i="8"/>
  <c r="BC69" i="8"/>
  <c r="AU284" i="10" s="1"/>
  <c r="BC84" i="8"/>
  <c r="BC64" i="8"/>
  <c r="BC82" i="8"/>
  <c r="BC85" i="8"/>
  <c r="BC83" i="8"/>
  <c r="BC78" i="8"/>
  <c r="BC73" i="8"/>
  <c r="BC80" i="8"/>
  <c r="BC75" i="8"/>
  <c r="BC86" i="8"/>
  <c r="BC70" i="8"/>
  <c r="BC76" i="8"/>
  <c r="BC81" i="8"/>
  <c r="BC71" i="8"/>
  <c r="BC66" i="8"/>
  <c r="BC68" i="8"/>
  <c r="BC72" i="8"/>
  <c r="BC65" i="8"/>
  <c r="BC67" i="8"/>
  <c r="BC62" i="8"/>
  <c r="BC77" i="8"/>
  <c r="AU266" i="10" s="1"/>
  <c r="J75" i="8"/>
  <c r="J82" i="8"/>
  <c r="J66" i="8"/>
  <c r="J85" i="8"/>
  <c r="J73" i="8"/>
  <c r="J76" i="8"/>
  <c r="J80" i="8"/>
  <c r="J67" i="8"/>
  <c r="J63" i="8"/>
  <c r="J70" i="8"/>
  <c r="J71" i="8"/>
  <c r="J78" i="8"/>
  <c r="J62" i="8"/>
  <c r="J77" i="8"/>
  <c r="AS266" i="10" s="1"/>
  <c r="J72" i="8"/>
  <c r="J68" i="8"/>
  <c r="J81" i="8"/>
  <c r="J64" i="8"/>
  <c r="J83" i="8"/>
  <c r="J74" i="8"/>
  <c r="J69" i="8"/>
  <c r="AS284" i="10" s="1"/>
  <c r="J65" i="8"/>
  <c r="J79" i="8"/>
  <c r="J86" i="8"/>
  <c r="J84" i="8"/>
  <c r="BS71" i="8"/>
  <c r="BS82" i="8"/>
  <c r="BS66" i="8"/>
  <c r="BS76" i="8"/>
  <c r="BS74" i="8"/>
  <c r="BS77" i="8"/>
  <c r="BR266" i="10" s="1"/>
  <c r="BS81" i="8"/>
  <c r="BS75" i="8"/>
  <c r="BS70" i="8"/>
  <c r="BR247" i="10" s="1"/>
  <c r="BZ247" i="10" s="1"/>
  <c r="BS84" i="8"/>
  <c r="BS83" i="8"/>
  <c r="BS67" i="8"/>
  <c r="BR273" i="10" s="1"/>
  <c r="BS78" i="8"/>
  <c r="BS62" i="8"/>
  <c r="BS85" i="8"/>
  <c r="BS68" i="8"/>
  <c r="BS73" i="8"/>
  <c r="BR263" i="10" s="1"/>
  <c r="BZ263" i="10" s="1"/>
  <c r="BS72" i="8"/>
  <c r="BS80" i="8"/>
  <c r="BS79" i="8"/>
  <c r="BS63" i="8"/>
  <c r="BS64" i="8"/>
  <c r="BS86" i="8"/>
  <c r="BS69" i="8"/>
  <c r="BR284" i="10" s="1"/>
  <c r="BS65" i="8"/>
  <c r="AF84" i="8"/>
  <c r="AF72" i="8"/>
  <c r="AF79" i="8"/>
  <c r="AF63" i="8"/>
  <c r="AF66" i="8"/>
  <c r="AF69" i="8"/>
  <c r="BM284" i="10" s="1"/>
  <c r="AF80" i="8"/>
  <c r="AF83" i="8"/>
  <c r="AF76" i="8"/>
  <c r="AF86" i="8"/>
  <c r="AF74" i="8"/>
  <c r="AF77" i="8"/>
  <c r="BM266" i="10" s="1"/>
  <c r="AF85" i="8"/>
  <c r="AF68" i="8"/>
  <c r="AF75" i="8"/>
  <c r="AF82" i="8"/>
  <c r="AF78" i="8"/>
  <c r="AF81" i="8"/>
  <c r="AF64" i="8"/>
  <c r="AF71" i="8"/>
  <c r="AF73" i="8"/>
  <c r="BM263" i="10" s="1"/>
  <c r="AF70" i="8"/>
  <c r="BM247" i="10" s="1"/>
  <c r="AF67" i="8"/>
  <c r="BM273" i="10" s="1"/>
  <c r="AF65" i="8"/>
  <c r="AF62" i="8"/>
  <c r="AB75" i="8"/>
  <c r="AB77" i="8"/>
  <c r="BK266" i="10" s="1"/>
  <c r="BQ266" i="10" s="1"/>
  <c r="AB67" i="8"/>
  <c r="BK273" i="10" s="1"/>
  <c r="AB74" i="8"/>
  <c r="X93" i="8"/>
  <c r="X97" i="8"/>
  <c r="X110" i="8"/>
  <c r="X94" i="8"/>
  <c r="X100" i="8"/>
  <c r="X113" i="8"/>
  <c r="X112" i="8"/>
  <c r="X106" i="8"/>
  <c r="X101" i="8"/>
  <c r="X108" i="8"/>
  <c r="X114" i="8"/>
  <c r="X105" i="8"/>
  <c r="X91" i="8"/>
  <c r="X95" i="8"/>
  <c r="X103" i="8"/>
  <c r="X92" i="8"/>
  <c r="X96" i="8"/>
  <c r="X107" i="8"/>
  <c r="X115" i="8"/>
  <c r="X109" i="8"/>
  <c r="X104" i="8"/>
  <c r="X98" i="8"/>
  <c r="X102" i="8"/>
  <c r="X111" i="8"/>
  <c r="X99" i="8"/>
  <c r="F19" i="8"/>
  <c r="AQ86" i="8"/>
  <c r="AQ53" i="8"/>
  <c r="AQ35" i="8"/>
  <c r="AQ74" i="8"/>
  <c r="AQ36" i="8"/>
  <c r="AQ48" i="8"/>
  <c r="AQ78" i="8"/>
  <c r="AQ37" i="8"/>
  <c r="AQ56" i="8"/>
  <c r="AQ82" i="8"/>
  <c r="AQ45" i="8"/>
  <c r="AQ34" i="8"/>
  <c r="AQ65" i="8"/>
  <c r="AQ75" i="8"/>
  <c r="AQ39" i="8"/>
  <c r="AQ50" i="8"/>
  <c r="AQ63" i="8"/>
  <c r="AQ44" i="8"/>
  <c r="AQ43" i="8"/>
  <c r="AQ67" i="8"/>
  <c r="AQ52" i="8"/>
  <c r="AQ51" i="8"/>
  <c r="AQ71" i="8"/>
  <c r="AQ38" i="8"/>
  <c r="AQ42" i="8"/>
  <c r="AQ81" i="8"/>
  <c r="AQ68" i="8"/>
  <c r="AQ54" i="8"/>
  <c r="AQ69" i="8"/>
  <c r="AQ79" i="8"/>
  <c r="AQ47" i="8"/>
  <c r="AQ73" i="8"/>
  <c r="AQ83" i="8"/>
  <c r="AQ55" i="8"/>
  <c r="AQ77" i="8"/>
  <c r="AQ64" i="8"/>
  <c r="AQ46" i="8"/>
  <c r="AQ57" i="8"/>
  <c r="AQ70" i="8"/>
  <c r="AQ84" i="8"/>
  <c r="AQ40" i="8"/>
  <c r="AQ85" i="8"/>
  <c r="AQ72" i="8"/>
  <c r="AQ33" i="8"/>
  <c r="AQ62" i="8"/>
  <c r="AQ76" i="8"/>
  <c r="AQ41" i="8"/>
  <c r="AQ66" i="8"/>
  <c r="AQ80" i="8"/>
  <c r="AQ49" i="8"/>
  <c r="BU114" i="8"/>
  <c r="BU110" i="8"/>
  <c r="BU108" i="8"/>
  <c r="BU98" i="8"/>
  <c r="BU94" i="8"/>
  <c r="BU109" i="8"/>
  <c r="BU115" i="8"/>
  <c r="BU103" i="8"/>
  <c r="BU97" i="8"/>
  <c r="BU101" i="8"/>
  <c r="BU106" i="8"/>
  <c r="BU113" i="8"/>
  <c r="BU107" i="8"/>
  <c r="BU100" i="8"/>
  <c r="BU105" i="8"/>
  <c r="BU111" i="8"/>
  <c r="BU96" i="8"/>
  <c r="BU95" i="8"/>
  <c r="BU102" i="8"/>
  <c r="BU91" i="8"/>
  <c r="BU112" i="8"/>
  <c r="BU99" i="8"/>
  <c r="BU104" i="8"/>
  <c r="BU92" i="8"/>
  <c r="BU93" i="8"/>
  <c r="AH107" i="8"/>
  <c r="AH93" i="8"/>
  <c r="AH108" i="8"/>
  <c r="AH95" i="8"/>
  <c r="AH106" i="8"/>
  <c r="AH94" i="8"/>
  <c r="AH102" i="8"/>
  <c r="AH92" i="8"/>
  <c r="AH115" i="8"/>
  <c r="AH105" i="8"/>
  <c r="AH101" i="8"/>
  <c r="AH99" i="8"/>
  <c r="AH103" i="8"/>
  <c r="AH104" i="8"/>
  <c r="AH113" i="8"/>
  <c r="AH96" i="8"/>
  <c r="AH100" i="8"/>
  <c r="AH109" i="8"/>
  <c r="AH97" i="8"/>
  <c r="AH91" i="8"/>
  <c r="AH111" i="8"/>
  <c r="AH112" i="8"/>
  <c r="AH110" i="8"/>
  <c r="AH98" i="8"/>
  <c r="AH114" i="8"/>
  <c r="F93" i="8"/>
  <c r="F103" i="8"/>
  <c r="F112" i="8"/>
  <c r="F110" i="8"/>
  <c r="F101" i="8"/>
  <c r="F96" i="8"/>
  <c r="F106" i="8"/>
  <c r="F94" i="8"/>
  <c r="F108" i="8"/>
  <c r="F111" i="8"/>
  <c r="F109" i="8"/>
  <c r="F99" i="8"/>
  <c r="F95" i="8"/>
  <c r="F105" i="8"/>
  <c r="F100" i="8"/>
  <c r="F91" i="8"/>
  <c r="F98" i="8"/>
  <c r="F92" i="8"/>
  <c r="F102" i="8"/>
  <c r="F115" i="8"/>
  <c r="F113" i="8"/>
  <c r="F107" i="8"/>
  <c r="F97" i="8"/>
  <c r="F104" i="8"/>
  <c r="F114" i="8"/>
  <c r="AJ104" i="8"/>
  <c r="AJ91" i="8"/>
  <c r="AJ94" i="8"/>
  <c r="AJ111" i="8"/>
  <c r="AJ97" i="8"/>
  <c r="AJ114" i="8"/>
  <c r="AJ109" i="8"/>
  <c r="AJ96" i="8"/>
  <c r="AJ115" i="8"/>
  <c r="AJ108" i="8"/>
  <c r="AJ102" i="8"/>
  <c r="AJ107" i="8"/>
  <c r="AJ110" i="8"/>
  <c r="AJ99" i="8"/>
  <c r="AJ103" i="8"/>
  <c r="AJ113" i="8"/>
  <c r="AJ105" i="8"/>
  <c r="AJ100" i="8"/>
  <c r="AJ98" i="8"/>
  <c r="AJ92" i="8"/>
  <c r="AJ95" i="8"/>
  <c r="AJ93" i="8"/>
  <c r="AJ106" i="8"/>
  <c r="AJ101" i="8"/>
  <c r="AJ112" i="8"/>
  <c r="V100" i="8"/>
  <c r="V114" i="8"/>
  <c r="V107" i="8"/>
  <c r="V111" i="8"/>
  <c r="V95" i="8"/>
  <c r="V103" i="8"/>
  <c r="V104" i="8"/>
  <c r="V101" i="8"/>
  <c r="V105" i="8"/>
  <c r="V112" i="8"/>
  <c r="V94" i="8"/>
  <c r="V96" i="8"/>
  <c r="V93" i="8"/>
  <c r="V115" i="8"/>
  <c r="V92" i="8"/>
  <c r="V97" i="8"/>
  <c r="V106" i="8"/>
  <c r="V110" i="8"/>
  <c r="V99" i="8"/>
  <c r="V98" i="8"/>
  <c r="V109" i="8"/>
  <c r="V91" i="8"/>
  <c r="V108" i="8"/>
  <c r="V113" i="8"/>
  <c r="V102" i="8"/>
  <c r="AF111" i="8"/>
  <c r="AF94" i="8"/>
  <c r="AF113" i="8"/>
  <c r="AF112" i="8"/>
  <c r="AF110" i="8"/>
  <c r="AF96" i="8"/>
  <c r="AF100" i="8"/>
  <c r="AF97" i="8"/>
  <c r="AF99" i="8"/>
  <c r="AF91" i="8"/>
  <c r="AF102" i="8"/>
  <c r="AF109" i="8"/>
  <c r="AF104" i="8"/>
  <c r="AF105" i="8"/>
  <c r="AF108" i="8"/>
  <c r="AF115" i="8"/>
  <c r="AF93" i="8"/>
  <c r="AF106" i="8"/>
  <c r="AF101" i="8"/>
  <c r="AF103" i="8"/>
  <c r="AF114" i="8"/>
  <c r="AF107" i="8"/>
  <c r="AF98" i="8"/>
  <c r="AF92" i="8"/>
  <c r="AF95" i="8"/>
  <c r="R99" i="8"/>
  <c r="R115" i="8"/>
  <c r="R94" i="8"/>
  <c r="R111" i="8"/>
  <c r="R96" i="8"/>
  <c r="R92" i="8"/>
  <c r="R95" i="8"/>
  <c r="R101" i="8"/>
  <c r="R100" i="8"/>
  <c r="R107" i="8"/>
  <c r="R112" i="8"/>
  <c r="R108" i="8"/>
  <c r="R93" i="8"/>
  <c r="R104" i="8"/>
  <c r="R114" i="8"/>
  <c r="R103" i="8"/>
  <c r="R105" i="8"/>
  <c r="R106" i="8"/>
  <c r="R91" i="8"/>
  <c r="R113" i="8"/>
  <c r="R98" i="8"/>
  <c r="R97" i="8"/>
  <c r="R110" i="8"/>
  <c r="R102" i="8"/>
  <c r="R109" i="8"/>
  <c r="J108" i="8"/>
  <c r="J111" i="8"/>
  <c r="J95" i="8"/>
  <c r="J113" i="8"/>
  <c r="J114" i="8"/>
  <c r="J102" i="8"/>
  <c r="J100" i="8"/>
  <c r="J101" i="8"/>
  <c r="J92" i="8"/>
  <c r="J98" i="8"/>
  <c r="J109" i="8"/>
  <c r="J106" i="8"/>
  <c r="J97" i="8"/>
  <c r="J110" i="8"/>
  <c r="J103" i="8"/>
  <c r="J93" i="8"/>
  <c r="J115" i="8"/>
  <c r="J107" i="8"/>
  <c r="J94" i="8"/>
  <c r="J104" i="8"/>
  <c r="J91" i="8"/>
  <c r="J99" i="8"/>
  <c r="J105" i="8"/>
  <c r="J96" i="8"/>
  <c r="J112" i="8"/>
  <c r="BK105" i="8"/>
  <c r="BK97" i="8"/>
  <c r="BK102" i="8"/>
  <c r="BK109" i="8"/>
  <c r="BK101" i="8"/>
  <c r="BK98" i="8"/>
  <c r="BK108" i="8"/>
  <c r="BK106" i="8"/>
  <c r="BK94" i="8"/>
  <c r="BK110" i="8"/>
  <c r="BK113" i="8"/>
  <c r="BK103" i="8"/>
  <c r="BK114" i="8"/>
  <c r="BK111" i="8"/>
  <c r="BK115" i="8"/>
  <c r="BK96" i="8"/>
  <c r="BK95" i="8"/>
  <c r="BK99" i="8"/>
  <c r="BK104" i="8"/>
  <c r="BK100" i="8"/>
  <c r="BK92" i="8"/>
  <c r="BK91" i="8"/>
  <c r="BK107" i="8"/>
  <c r="BK112" i="8"/>
  <c r="BK93" i="8"/>
  <c r="BO103" i="8"/>
  <c r="BO99" i="8"/>
  <c r="BO107" i="8"/>
  <c r="BO92" i="8"/>
  <c r="BO113" i="8"/>
  <c r="BO98" i="8"/>
  <c r="BO96" i="8"/>
  <c r="BO105" i="8"/>
  <c r="BO100" i="8"/>
  <c r="BO106" i="8"/>
  <c r="BO95" i="8"/>
  <c r="BO102" i="8"/>
  <c r="BO112" i="8"/>
  <c r="BO93" i="8"/>
  <c r="BO101" i="8"/>
  <c r="BO94" i="8"/>
  <c r="BO104" i="8"/>
  <c r="BO111" i="8"/>
  <c r="BO110" i="8"/>
  <c r="BO114" i="8"/>
  <c r="BO97" i="8"/>
  <c r="BO91" i="8"/>
  <c r="BO109" i="8"/>
  <c r="BO115" i="8"/>
  <c r="BO108" i="8"/>
  <c r="N104" i="8"/>
  <c r="N106" i="8"/>
  <c r="N92" i="8"/>
  <c r="N115" i="8"/>
  <c r="N101" i="8"/>
  <c r="N91" i="8"/>
  <c r="N102" i="8"/>
  <c r="N108" i="8"/>
  <c r="N105" i="8"/>
  <c r="N114" i="8"/>
  <c r="N96" i="8"/>
  <c r="N113" i="8"/>
  <c r="N93" i="8"/>
  <c r="N111" i="8"/>
  <c r="N94" i="8"/>
  <c r="N109" i="8"/>
  <c r="N107" i="8"/>
  <c r="N100" i="8"/>
  <c r="N103" i="8"/>
  <c r="N110" i="8"/>
  <c r="N112" i="8"/>
  <c r="N99" i="8"/>
  <c r="N95" i="8"/>
  <c r="N98" i="8"/>
  <c r="N97" i="8"/>
  <c r="AS67" i="8"/>
  <c r="AS78" i="8"/>
  <c r="AS69" i="8"/>
  <c r="AS81" i="8"/>
  <c r="AS85" i="8"/>
  <c r="AS80" i="8"/>
  <c r="AS70" i="8"/>
  <c r="AS63" i="8"/>
  <c r="AS82" i="8"/>
  <c r="F20" i="8"/>
  <c r="AS65" i="8"/>
  <c r="AS74" i="8"/>
  <c r="AS73" i="8"/>
  <c r="AS83" i="8"/>
  <c r="AS84" i="8"/>
  <c r="AS71" i="8"/>
  <c r="AS72" i="8"/>
  <c r="AS86" i="8"/>
  <c r="AS76" i="8"/>
  <c r="AS66" i="8"/>
  <c r="AS62" i="8"/>
  <c r="AS77" i="8"/>
  <c r="AS68" i="8"/>
  <c r="AS75" i="8"/>
  <c r="AS64" i="8"/>
  <c r="AS79" i="8"/>
  <c r="AB105" i="8"/>
  <c r="AB102" i="8"/>
  <c r="AB100" i="8"/>
  <c r="AB110" i="8"/>
  <c r="AB109" i="8"/>
  <c r="AB95" i="8"/>
  <c r="AB115" i="8"/>
  <c r="AB114" i="8"/>
  <c r="AB104" i="8"/>
  <c r="AB99" i="8"/>
  <c r="AB93" i="8"/>
  <c r="AB112" i="8"/>
  <c r="AB106" i="8"/>
  <c r="AB98" i="8"/>
  <c r="AB101" i="8"/>
  <c r="AB107" i="8"/>
  <c r="AB94" i="8"/>
  <c r="AB91" i="8"/>
  <c r="AB97" i="8"/>
  <c r="AB92" i="8"/>
  <c r="AB103" i="8"/>
  <c r="AB111" i="8"/>
  <c r="AB113" i="8"/>
  <c r="AB108" i="8"/>
  <c r="AB96" i="8"/>
  <c r="Z100" i="8"/>
  <c r="Z92" i="8"/>
  <c r="Z107" i="8"/>
  <c r="Z93" i="8"/>
  <c r="Z91" i="8"/>
  <c r="Z97" i="8"/>
  <c r="Z95" i="8"/>
  <c r="Z115" i="8"/>
  <c r="Z113" i="8"/>
  <c r="Z94" i="8"/>
  <c r="Z109" i="8"/>
  <c r="Z108" i="8"/>
  <c r="Z103" i="8"/>
  <c r="Z112" i="8"/>
  <c r="Z104" i="8"/>
  <c r="Z111" i="8"/>
  <c r="Z114" i="8"/>
  <c r="Z98" i="8"/>
  <c r="Z102" i="8"/>
  <c r="Z110" i="8"/>
  <c r="Z101" i="8"/>
  <c r="Z105" i="8"/>
  <c r="Z99" i="8"/>
  <c r="Z96" i="8"/>
  <c r="Z106" i="8"/>
  <c r="BG110" i="8"/>
  <c r="BG102" i="8"/>
  <c r="BG106" i="8"/>
  <c r="BG115" i="8"/>
  <c r="BG94" i="8"/>
  <c r="BG113" i="8"/>
  <c r="BG107" i="8"/>
  <c r="BG99" i="8"/>
  <c r="BG95" i="8"/>
  <c r="BG112" i="8"/>
  <c r="BG104" i="8"/>
  <c r="BG111" i="8"/>
  <c r="BG114" i="8"/>
  <c r="BG97" i="8"/>
  <c r="BG93" i="8"/>
  <c r="BG101" i="8"/>
  <c r="BG103" i="8"/>
  <c r="BG108" i="8"/>
  <c r="BG109" i="8"/>
  <c r="BG92" i="8"/>
  <c r="BG91" i="8"/>
  <c r="BG96" i="8"/>
  <c r="BG105" i="8"/>
  <c r="BG98" i="8"/>
  <c r="BG100" i="8"/>
  <c r="BQ94" i="8"/>
  <c r="BQ108" i="8"/>
  <c r="BQ93" i="8"/>
  <c r="BQ111" i="8"/>
  <c r="BQ106" i="8"/>
  <c r="BQ114" i="8"/>
  <c r="BQ96" i="8"/>
  <c r="BQ105" i="8"/>
  <c r="BQ98" i="8"/>
  <c r="BQ110" i="8"/>
  <c r="BQ107" i="8"/>
  <c r="BQ99" i="8"/>
  <c r="BQ91" i="8"/>
  <c r="BQ112" i="8"/>
  <c r="BQ113" i="8"/>
  <c r="BQ115" i="8"/>
  <c r="BQ109" i="8"/>
  <c r="BQ103" i="8"/>
  <c r="BQ101" i="8"/>
  <c r="BQ104" i="8"/>
  <c r="BQ95" i="8"/>
  <c r="BQ102" i="8"/>
  <c r="BQ100" i="8"/>
  <c r="BQ92" i="8"/>
  <c r="BQ97" i="8"/>
  <c r="BC103" i="8"/>
  <c r="BC115" i="8"/>
  <c r="BC96" i="8"/>
  <c r="BC109" i="8"/>
  <c r="BC105" i="8"/>
  <c r="BC108" i="8"/>
  <c r="BC113" i="8"/>
  <c r="BC106" i="8"/>
  <c r="BC100" i="8"/>
  <c r="BC98" i="8"/>
  <c r="BC110" i="8"/>
  <c r="BC111" i="8"/>
  <c r="BC95" i="8"/>
  <c r="BC97" i="8"/>
  <c r="BC99" i="8"/>
  <c r="BC114" i="8"/>
  <c r="BC107" i="8"/>
  <c r="BC101" i="8"/>
  <c r="BC93" i="8"/>
  <c r="BC94" i="8"/>
  <c r="BC91" i="8"/>
  <c r="BC102" i="8"/>
  <c r="BC112" i="8"/>
  <c r="BC104" i="8"/>
  <c r="BC92" i="8"/>
  <c r="CA107" i="8"/>
  <c r="CA113" i="8"/>
  <c r="CA103" i="8"/>
  <c r="CA95" i="8"/>
  <c r="CA115" i="8"/>
  <c r="CA96" i="8"/>
  <c r="CA108" i="8"/>
  <c r="CA112" i="8"/>
  <c r="CA93" i="8"/>
  <c r="CA99" i="8"/>
  <c r="CA105" i="8"/>
  <c r="CA106" i="8"/>
  <c r="CA104" i="8"/>
  <c r="CA100" i="8"/>
  <c r="CA111" i="8"/>
  <c r="CA92" i="8"/>
  <c r="CA98" i="8"/>
  <c r="CA94" i="8"/>
  <c r="CA110" i="8"/>
  <c r="CA102" i="8"/>
  <c r="CA97" i="8"/>
  <c r="CA91" i="8"/>
  <c r="CA114" i="8"/>
  <c r="CA109" i="8"/>
  <c r="CA101" i="8"/>
  <c r="AD108" i="8"/>
  <c r="AD95" i="8"/>
  <c r="AD103" i="8"/>
  <c r="AD99" i="8"/>
  <c r="AD111" i="8"/>
  <c r="AD104" i="8"/>
  <c r="AD107" i="8"/>
  <c r="AD93" i="8"/>
  <c r="AD98" i="8"/>
  <c r="AD105" i="8"/>
  <c r="AD113" i="8"/>
  <c r="AD94" i="8"/>
  <c r="AD101" i="8"/>
  <c r="AD91" i="8"/>
  <c r="AD97" i="8"/>
  <c r="AD114" i="8"/>
  <c r="AD109" i="8"/>
  <c r="AD106" i="8"/>
  <c r="AD92" i="8"/>
  <c r="AD102" i="8"/>
  <c r="AD112" i="8"/>
  <c r="AD100" i="8"/>
  <c r="AD110" i="8"/>
  <c r="AD96" i="8"/>
  <c r="AD115" i="8"/>
  <c r="AL96" i="8"/>
  <c r="AL94" i="8"/>
  <c r="AL99" i="8"/>
  <c r="AL115" i="8"/>
  <c r="AL105" i="8"/>
  <c r="AL104" i="8"/>
  <c r="AL102" i="8"/>
  <c r="AL113" i="8"/>
  <c r="AL112" i="8"/>
  <c r="AL95" i="8"/>
  <c r="AL91" i="8"/>
  <c r="AL103" i="8"/>
  <c r="AL101" i="8"/>
  <c r="AL114" i="8"/>
  <c r="AL109" i="8"/>
  <c r="AL107" i="8"/>
  <c r="AL93" i="8"/>
  <c r="AL92" i="8"/>
  <c r="AL110" i="8"/>
  <c r="AL98" i="8"/>
  <c r="AL100" i="8"/>
  <c r="AL106" i="8"/>
  <c r="AL108" i="8"/>
  <c r="AL111" i="8"/>
  <c r="AL97" i="8"/>
  <c r="AZ110" i="8"/>
  <c r="AZ113" i="8"/>
  <c r="AZ106" i="8"/>
  <c r="AZ114" i="8"/>
  <c r="AZ109" i="8"/>
  <c r="AZ104" i="8"/>
  <c r="AZ108" i="8"/>
  <c r="AZ103" i="8"/>
  <c r="AZ91" i="8"/>
  <c r="AZ102" i="8"/>
  <c r="AZ115" i="8"/>
  <c r="AZ94" i="8"/>
  <c r="AZ111" i="8"/>
  <c r="AZ99" i="8"/>
  <c r="AZ95" i="8"/>
  <c r="AZ112" i="8"/>
  <c r="AZ105" i="8"/>
  <c r="AZ100" i="8"/>
  <c r="AZ92" i="8"/>
  <c r="AZ98" i="8"/>
  <c r="AZ96" i="8"/>
  <c r="AZ107" i="8"/>
  <c r="AZ97" i="8"/>
  <c r="AZ93" i="8"/>
  <c r="AZ101" i="8"/>
  <c r="CI101" i="8"/>
  <c r="CI114" i="8"/>
  <c r="CI94" i="8"/>
  <c r="CI102" i="8"/>
  <c r="CI91" i="8"/>
  <c r="CI98" i="8"/>
  <c r="CI112" i="8"/>
  <c r="CI93" i="8"/>
  <c r="CI100" i="8"/>
  <c r="CI92" i="8"/>
  <c r="CI115" i="8"/>
  <c r="CI109" i="8"/>
  <c r="CI113" i="8"/>
  <c r="CI103" i="8"/>
  <c r="CI96" i="8"/>
  <c r="CI108" i="8"/>
  <c r="CI99" i="8"/>
  <c r="CI111" i="8"/>
  <c r="CI105" i="8"/>
  <c r="CI95" i="8"/>
  <c r="CI106" i="8"/>
  <c r="CI97" i="8"/>
  <c r="CI110" i="8"/>
  <c r="CI107" i="8"/>
  <c r="CI104" i="8"/>
  <c r="BE114" i="8"/>
  <c r="BE95" i="8"/>
  <c r="BE104" i="8"/>
  <c r="BE98" i="8"/>
  <c r="BE96" i="8"/>
  <c r="BE92" i="8"/>
  <c r="BE105" i="8"/>
  <c r="BE103" i="8"/>
  <c r="BE101" i="8"/>
  <c r="BE100" i="8"/>
  <c r="BE111" i="8"/>
  <c r="BE99" i="8"/>
  <c r="BE115" i="8"/>
  <c r="BE112" i="8"/>
  <c r="BE107" i="8"/>
  <c r="BE93" i="8"/>
  <c r="BE102" i="8"/>
  <c r="BE109" i="8"/>
  <c r="BE106" i="8"/>
  <c r="BE108" i="8"/>
  <c r="BE94" i="8"/>
  <c r="BE110" i="8"/>
  <c r="BE113" i="8"/>
  <c r="BE91" i="8"/>
  <c r="BE97" i="8"/>
  <c r="BI114" i="8"/>
  <c r="BI110" i="8"/>
  <c r="BI100" i="8"/>
  <c r="BI103" i="8"/>
  <c r="BI102" i="8"/>
  <c r="BI97" i="8"/>
  <c r="BI96" i="8"/>
  <c r="BI95" i="8"/>
  <c r="BI108" i="8"/>
  <c r="BI98" i="8"/>
  <c r="BI107" i="8"/>
  <c r="BI93" i="8"/>
  <c r="BI101" i="8"/>
  <c r="BI112" i="8"/>
  <c r="BI104" i="8"/>
  <c r="BI94" i="8"/>
  <c r="BI111" i="8"/>
  <c r="BI92" i="8"/>
  <c r="BI91" i="8"/>
  <c r="BI99" i="8"/>
  <c r="BI105" i="8"/>
  <c r="BI109" i="8"/>
  <c r="BI106" i="8"/>
  <c r="BI115" i="8"/>
  <c r="BI113" i="8"/>
  <c r="CE112" i="8"/>
  <c r="CE100" i="8"/>
  <c r="CE94" i="8"/>
  <c r="CE110" i="8"/>
  <c r="CE92" i="8"/>
  <c r="CE114" i="8"/>
  <c r="CE111" i="8"/>
  <c r="CE104" i="8"/>
  <c r="CE101" i="8"/>
  <c r="CE93" i="8"/>
  <c r="CE96" i="8"/>
  <c r="CE107" i="8"/>
  <c r="CE115" i="8"/>
  <c r="CE106" i="8"/>
  <c r="CE109" i="8"/>
  <c r="CE102" i="8"/>
  <c r="CE103" i="8"/>
  <c r="CE99" i="8"/>
  <c r="CE105" i="8"/>
  <c r="CE98" i="8"/>
  <c r="CE113" i="8"/>
  <c r="CE97" i="8"/>
  <c r="CE91" i="8"/>
  <c r="CE108" i="8"/>
  <c r="CE95" i="8"/>
  <c r="H112" i="8"/>
  <c r="H102" i="8"/>
  <c r="H97" i="8"/>
  <c r="H91" i="8"/>
  <c r="H101" i="8"/>
  <c r="H95" i="8"/>
  <c r="H106" i="8"/>
  <c r="H110" i="8"/>
  <c r="H111" i="8"/>
  <c r="H115" i="8"/>
  <c r="H98" i="8"/>
  <c r="H107" i="8"/>
  <c r="H94" i="8"/>
  <c r="H105" i="8"/>
  <c r="H109" i="8"/>
  <c r="H99" i="8"/>
  <c r="H96" i="8"/>
  <c r="H108" i="8"/>
  <c r="H113" i="8"/>
  <c r="H104" i="8"/>
  <c r="H93" i="8"/>
  <c r="H100" i="8"/>
  <c r="H114" i="8"/>
  <c r="H92" i="8"/>
  <c r="H103" i="8"/>
  <c r="AN96" i="8"/>
  <c r="AN106" i="8"/>
  <c r="AN97" i="8"/>
  <c r="AN112" i="8"/>
  <c r="AN108" i="8"/>
  <c r="AN101" i="8"/>
  <c r="AN98" i="8"/>
  <c r="AN92" i="8"/>
  <c r="AN100" i="8"/>
  <c r="AN110" i="8"/>
  <c r="AN95" i="8"/>
  <c r="AN103" i="8"/>
  <c r="AN99" i="8"/>
  <c r="AN114" i="8"/>
  <c r="AN107" i="8"/>
  <c r="AN111" i="8"/>
  <c r="AN91" i="8"/>
  <c r="AN105" i="8"/>
  <c r="AN115" i="8"/>
  <c r="AN113" i="8"/>
  <c r="AN109" i="8"/>
  <c r="AN104" i="8"/>
  <c r="AN94" i="8"/>
  <c r="AN102" i="8"/>
  <c r="AN93" i="8"/>
  <c r="D115" i="8"/>
  <c r="D114" i="8"/>
  <c r="D110" i="8"/>
  <c r="D113" i="8"/>
  <c r="D97" i="8"/>
  <c r="D91" i="8"/>
  <c r="D94" i="8"/>
  <c r="D93" i="8"/>
  <c r="D104" i="8"/>
  <c r="D103" i="8"/>
  <c r="D92" i="8"/>
  <c r="D102" i="8"/>
  <c r="D105" i="8"/>
  <c r="D98" i="8"/>
  <c r="D95" i="8"/>
  <c r="D96" i="8"/>
  <c r="D108" i="8"/>
  <c r="D111" i="8"/>
  <c r="D112" i="8"/>
  <c r="D106" i="8"/>
  <c r="D101" i="8"/>
  <c r="D99" i="8"/>
  <c r="D107" i="8"/>
  <c r="D109" i="8"/>
  <c r="D100" i="8"/>
  <c r="BW105" i="8"/>
  <c r="BW111" i="8"/>
  <c r="BW92" i="8"/>
  <c r="BW94" i="8"/>
  <c r="BW98" i="8"/>
  <c r="BW97" i="8"/>
  <c r="BW112" i="8"/>
  <c r="BW108" i="8"/>
  <c r="BW106" i="8"/>
  <c r="BW103" i="8"/>
  <c r="BW95" i="8"/>
  <c r="BW107" i="8"/>
  <c r="BW96" i="8"/>
  <c r="BW113" i="8"/>
  <c r="BW114" i="8"/>
  <c r="BW99" i="8"/>
  <c r="BW110" i="8"/>
  <c r="BW102" i="8"/>
  <c r="BW91" i="8"/>
  <c r="BW101" i="8"/>
  <c r="BW109" i="8"/>
  <c r="BW100" i="8"/>
  <c r="BW115" i="8"/>
  <c r="BW93" i="8"/>
  <c r="BW104" i="8"/>
  <c r="CC104" i="8"/>
  <c r="CC113" i="8"/>
  <c r="CC109" i="8"/>
  <c r="CC106" i="8"/>
  <c r="CC95" i="8"/>
  <c r="CC99" i="8"/>
  <c r="CC92" i="8"/>
  <c r="CC114" i="8"/>
  <c r="CC105" i="8"/>
  <c r="CC110" i="8"/>
  <c r="CC101" i="8"/>
  <c r="CC100" i="8"/>
  <c r="CC108" i="8"/>
  <c r="CC111" i="8"/>
  <c r="CC98" i="8"/>
  <c r="CC96" i="8"/>
  <c r="CC91" i="8"/>
  <c r="CC115" i="8"/>
  <c r="CC112" i="8"/>
  <c r="CC97" i="8"/>
  <c r="CC102" i="8"/>
  <c r="CC103" i="8"/>
  <c r="CC107" i="8"/>
  <c r="CC93" i="8"/>
  <c r="CC94" i="8"/>
  <c r="L96" i="8"/>
  <c r="L91" i="8"/>
  <c r="L95" i="8"/>
  <c r="L115" i="8"/>
  <c r="L102" i="8"/>
  <c r="L111" i="8"/>
  <c r="L100" i="8"/>
  <c r="L114" i="8"/>
  <c r="L109" i="8"/>
  <c r="L107" i="8"/>
  <c r="L108" i="8"/>
  <c r="L103" i="8"/>
  <c r="L105" i="8"/>
  <c r="L93" i="8"/>
  <c r="L110" i="8"/>
  <c r="L94" i="8"/>
  <c r="L98" i="8"/>
  <c r="L112" i="8"/>
  <c r="L113" i="8"/>
  <c r="L106" i="8"/>
  <c r="L101" i="8"/>
  <c r="L92" i="8"/>
  <c r="L97" i="8"/>
  <c r="L104" i="8"/>
  <c r="L99" i="8"/>
  <c r="AU79" i="8"/>
  <c r="AU70" i="8"/>
  <c r="AU67" i="8"/>
  <c r="AU85" i="8"/>
  <c r="F21" i="8"/>
  <c r="AU73" i="8"/>
  <c r="AU77" i="8"/>
  <c r="AU72" i="8"/>
  <c r="AU86" i="8"/>
  <c r="AU83" i="8"/>
  <c r="AU74" i="8"/>
  <c r="AU71" i="8"/>
  <c r="AU62" i="8"/>
  <c r="AU75" i="8"/>
  <c r="AU66" i="8"/>
  <c r="AU65" i="8"/>
  <c r="AU76" i="8"/>
  <c r="AU64" i="8"/>
  <c r="AU78" i="8"/>
  <c r="AU68" i="8"/>
  <c r="AU82" i="8"/>
  <c r="AU63" i="8"/>
  <c r="AU81" i="8"/>
  <c r="AU69" i="8"/>
  <c r="AU80" i="8"/>
  <c r="AU84" i="8"/>
  <c r="BS107" i="8"/>
  <c r="BS102" i="8"/>
  <c r="BS114" i="8"/>
  <c r="BS99" i="8"/>
  <c r="BS115" i="8"/>
  <c r="BS108" i="8"/>
  <c r="BS103" i="8"/>
  <c r="BS110" i="8"/>
  <c r="BS92" i="8"/>
  <c r="BS104" i="8"/>
  <c r="BS97" i="8"/>
  <c r="BS95" i="8"/>
  <c r="BS91" i="8"/>
  <c r="BS93" i="8"/>
  <c r="BS109" i="8"/>
  <c r="BS96" i="8"/>
  <c r="BS112" i="8"/>
  <c r="BS101" i="8"/>
  <c r="BS111" i="8"/>
  <c r="BS106" i="8"/>
  <c r="BS105" i="8"/>
  <c r="BS94" i="8"/>
  <c r="BS98" i="8"/>
  <c r="BS113" i="8"/>
  <c r="BS100" i="8"/>
  <c r="BM107" i="8"/>
  <c r="BM95" i="8"/>
  <c r="BM97" i="8"/>
  <c r="BM109" i="8"/>
  <c r="BM99" i="8"/>
  <c r="BM105" i="8"/>
  <c r="BM104" i="8"/>
  <c r="BM102" i="8"/>
  <c r="BM93" i="8"/>
  <c r="BM113" i="8"/>
  <c r="BM114" i="8"/>
  <c r="BM91" i="8"/>
  <c r="BM101" i="8"/>
  <c r="BM103" i="8"/>
  <c r="BM106" i="8"/>
  <c r="BM115" i="8"/>
  <c r="BM100" i="8"/>
  <c r="BM94" i="8"/>
  <c r="BM96" i="8"/>
  <c r="BM110" i="8"/>
  <c r="BM108" i="8"/>
  <c r="BM98" i="8"/>
  <c r="BM111" i="8"/>
  <c r="BM112" i="8"/>
  <c r="BM92" i="8"/>
  <c r="CK98" i="8"/>
  <c r="CK99" i="8"/>
  <c r="CK95" i="8"/>
  <c r="CK109" i="8"/>
  <c r="CK101" i="8"/>
  <c r="CK104" i="8"/>
  <c r="CK91" i="8"/>
  <c r="CK108" i="8"/>
  <c r="CK107" i="8"/>
  <c r="CK105" i="8"/>
  <c r="CK113" i="8"/>
  <c r="CK96" i="8"/>
  <c r="CK102" i="8"/>
  <c r="CK111" i="8"/>
  <c r="CK112" i="8"/>
  <c r="CK97" i="8"/>
  <c r="CK115" i="8"/>
  <c r="CK106" i="8"/>
  <c r="CK100" i="8"/>
  <c r="CK92" i="8"/>
  <c r="CK93" i="8"/>
  <c r="CK114" i="8"/>
  <c r="CK110" i="8"/>
  <c r="CK103" i="8"/>
  <c r="CK94" i="8"/>
  <c r="P93" i="8"/>
  <c r="P112" i="8"/>
  <c r="P99" i="8"/>
  <c r="P96" i="8"/>
  <c r="P111" i="8"/>
  <c r="P103" i="8"/>
  <c r="P108" i="8"/>
  <c r="P114" i="8"/>
  <c r="P115" i="8"/>
  <c r="P91" i="8"/>
  <c r="P102" i="8"/>
  <c r="P98" i="8"/>
  <c r="P95" i="8"/>
  <c r="P100" i="8"/>
  <c r="P97" i="8"/>
  <c r="P94" i="8"/>
  <c r="P109" i="8"/>
  <c r="P106" i="8"/>
  <c r="P105" i="8"/>
  <c r="P92" i="8"/>
  <c r="P101" i="8"/>
  <c r="P113" i="8"/>
  <c r="P104" i="8"/>
  <c r="P107" i="8"/>
  <c r="P110" i="8"/>
  <c r="CG102" i="8"/>
  <c r="CG110" i="8"/>
  <c r="CG93" i="8"/>
  <c r="CG100" i="8"/>
  <c r="CG112" i="8"/>
  <c r="CG115" i="8"/>
  <c r="CG107" i="8"/>
  <c r="CG96" i="8"/>
  <c r="CG104" i="8"/>
  <c r="CG99" i="8"/>
  <c r="CG103" i="8"/>
  <c r="CG97" i="8"/>
  <c r="CG101" i="8"/>
  <c r="CG94" i="8"/>
  <c r="CG91" i="8"/>
  <c r="CG113" i="8"/>
  <c r="CG105" i="8"/>
  <c r="CG106" i="8"/>
  <c r="CG108" i="8"/>
  <c r="CG114" i="8"/>
  <c r="CG92" i="8"/>
  <c r="CG109" i="8"/>
  <c r="CG111" i="8"/>
  <c r="CG95" i="8"/>
  <c r="CG98" i="8"/>
  <c r="T101" i="8"/>
  <c r="T99" i="8"/>
  <c r="T105" i="8"/>
  <c r="T112" i="8"/>
  <c r="T106" i="8"/>
  <c r="T91" i="8"/>
  <c r="T104" i="8"/>
  <c r="T103" i="8"/>
  <c r="T111" i="8"/>
  <c r="T96" i="8"/>
  <c r="T110" i="8"/>
  <c r="T107" i="8"/>
  <c r="T108" i="8"/>
  <c r="T114" i="8"/>
  <c r="T109" i="8"/>
  <c r="T97" i="8"/>
  <c r="T93" i="8"/>
  <c r="T113" i="8"/>
  <c r="T102" i="8"/>
  <c r="T98" i="8"/>
  <c r="T100" i="8"/>
  <c r="T95" i="8"/>
  <c r="T115" i="8"/>
  <c r="T92" i="8"/>
  <c r="T94" i="8"/>
  <c r="BY98" i="8"/>
  <c r="BY97" i="8"/>
  <c r="BY92" i="8"/>
  <c r="BY93" i="8"/>
  <c r="BY91" i="8"/>
  <c r="BY112" i="8"/>
  <c r="BY94" i="8"/>
  <c r="BY100" i="8"/>
  <c r="BY114" i="8"/>
  <c r="BY96" i="8"/>
  <c r="BY106" i="8"/>
  <c r="BY111" i="8"/>
  <c r="BY108" i="8"/>
  <c r="BY104" i="8"/>
  <c r="BY115" i="8"/>
  <c r="BY102" i="8"/>
  <c r="BY103" i="8"/>
  <c r="BY109" i="8"/>
  <c r="BY113" i="8"/>
  <c r="BY107" i="8"/>
  <c r="BY101" i="8"/>
  <c r="BY99" i="8"/>
  <c r="BY105" i="8"/>
  <c r="BY95" i="8"/>
  <c r="BY110" i="8"/>
  <c r="AT266" i="10" l="1"/>
  <c r="CA263" i="10"/>
  <c r="BQ247" i="10"/>
  <c r="CA247" i="10" s="1"/>
  <c r="BA284" i="10"/>
  <c r="BQ273" i="10"/>
  <c r="BQ284" i="10"/>
  <c r="BM306" i="10"/>
  <c r="BM300" i="10"/>
  <c r="BM277" i="10"/>
  <c r="BM278" i="10"/>
  <c r="BM291" i="10"/>
  <c r="BM276" i="10"/>
  <c r="BM279" i="10"/>
  <c r="BM265" i="10"/>
  <c r="BM254" i="10"/>
  <c r="BM270" i="10"/>
  <c r="BM242" i="10"/>
  <c r="BM256" i="10"/>
  <c r="BM260" i="10"/>
  <c r="BM311" i="10"/>
  <c r="BM325" i="10"/>
  <c r="BP264" i="10"/>
  <c r="BP253" i="10"/>
  <c r="BE215" i="10"/>
  <c r="BE267" i="10"/>
  <c r="BE271" i="10"/>
  <c r="BE176" i="10"/>
  <c r="BE213" i="10"/>
  <c r="BE179" i="10"/>
  <c r="BE243" i="10"/>
  <c r="BE186" i="10"/>
  <c r="BE249" i="10"/>
  <c r="BE177" i="10"/>
  <c r="BE178" i="10"/>
  <c r="BE255" i="10"/>
  <c r="BE295" i="10"/>
  <c r="AW253" i="10"/>
  <c r="AW264" i="10"/>
  <c r="AY183" i="10"/>
  <c r="AY181" i="10"/>
  <c r="AY268" i="10"/>
  <c r="AY245" i="10"/>
  <c r="BN300" i="10"/>
  <c r="BN306" i="10"/>
  <c r="BN277" i="10"/>
  <c r="BN278" i="10"/>
  <c r="BN276" i="10"/>
  <c r="BN291" i="10"/>
  <c r="BN279" i="10"/>
  <c r="BN242" i="10"/>
  <c r="BN265" i="10"/>
  <c r="BN270" i="10"/>
  <c r="BN254" i="10"/>
  <c r="BN256" i="10"/>
  <c r="BN260" i="10"/>
  <c r="BN311" i="10"/>
  <c r="BN325" i="10"/>
  <c r="AP268" i="10"/>
  <c r="AP181" i="10"/>
  <c r="AP183" i="10"/>
  <c r="AP245" i="10"/>
  <c r="CC292" i="10"/>
  <c r="CC251" i="10"/>
  <c r="BX253" i="10"/>
  <c r="BX264" i="10"/>
  <c r="AQ251" i="10"/>
  <c r="AQ292" i="10"/>
  <c r="BR282" i="10"/>
  <c r="BR283" i="10"/>
  <c r="BR290" i="10"/>
  <c r="BR324" i="10"/>
  <c r="BR262" i="10"/>
  <c r="BR252" i="10"/>
  <c r="BR258" i="10"/>
  <c r="BF320" i="10"/>
  <c r="BF323" i="10"/>
  <c r="BF322" i="10"/>
  <c r="BF321" i="10"/>
  <c r="BF242" i="10"/>
  <c r="BF305" i="10"/>
  <c r="BF285" i="10"/>
  <c r="BF287" i="10"/>
  <c r="BF300" i="10"/>
  <c r="BF312" i="10"/>
  <c r="BF277" i="10"/>
  <c r="BF254" i="10"/>
  <c r="BF270" i="10"/>
  <c r="BF301" i="10"/>
  <c r="BF286" i="10"/>
  <c r="BF265" i="10"/>
  <c r="BF291" i="10"/>
  <c r="BF288" i="10"/>
  <c r="BF306" i="10"/>
  <c r="BF313" i="10"/>
  <c r="BF256" i="10"/>
  <c r="BF260" i="10"/>
  <c r="BF311" i="10"/>
  <c r="BF325" i="10"/>
  <c r="BF279" i="10"/>
  <c r="BF278" i="10"/>
  <c r="BF276" i="10"/>
  <c r="AY236" i="10"/>
  <c r="AY263" i="10"/>
  <c r="BD193" i="10"/>
  <c r="BD195" i="10"/>
  <c r="BD190" i="10"/>
  <c r="BD236" i="10"/>
  <c r="BD263" i="10"/>
  <c r="BD192" i="10"/>
  <c r="BD191" i="10"/>
  <c r="BD196" i="10"/>
  <c r="BD194" i="10"/>
  <c r="AV320" i="10"/>
  <c r="AV291" i="10"/>
  <c r="AV265" i="10"/>
  <c r="AV270" i="10"/>
  <c r="AV306" i="10"/>
  <c r="AV277" i="10"/>
  <c r="AV254" i="10"/>
  <c r="AV242" i="10"/>
  <c r="AV300" i="10"/>
  <c r="AV311" i="10"/>
  <c r="AV325" i="10"/>
  <c r="AV278" i="10"/>
  <c r="AV276" i="10"/>
  <c r="AV279" i="10"/>
  <c r="BO255" i="10"/>
  <c r="BO243" i="10"/>
  <c r="BO249" i="10"/>
  <c r="BO271" i="10"/>
  <c r="BO267" i="10"/>
  <c r="BO295" i="10"/>
  <c r="BU182" i="10"/>
  <c r="BU183" i="10"/>
  <c r="BU181" i="10"/>
  <c r="BU245" i="10"/>
  <c r="BU268" i="10"/>
  <c r="BK283" i="10"/>
  <c r="BK282" i="10"/>
  <c r="BK290" i="10"/>
  <c r="BK252" i="10"/>
  <c r="BK262" i="10"/>
  <c r="BK324" i="10"/>
  <c r="BK258" i="10"/>
  <c r="BX271" i="10"/>
  <c r="BX255" i="10"/>
  <c r="BX267" i="10"/>
  <c r="BX249" i="10"/>
  <c r="BX243" i="10"/>
  <c r="BX295" i="10"/>
  <c r="CA266" i="10"/>
  <c r="AS296" i="10"/>
  <c r="AS244" i="10"/>
  <c r="BF315" i="10"/>
  <c r="BF188" i="10"/>
  <c r="BF296" i="10"/>
  <c r="BF281" i="10"/>
  <c r="BF189" i="10"/>
  <c r="BF280" i="10"/>
  <c r="BF314" i="10"/>
  <c r="BF244" i="10"/>
  <c r="BF303" i="10"/>
  <c r="BF247" i="10"/>
  <c r="AW296" i="10"/>
  <c r="AW244" i="10"/>
  <c r="BD227" i="10"/>
  <c r="BD253" i="10"/>
  <c r="BD264" i="10"/>
  <c r="AV309" i="10"/>
  <c r="AV273" i="10"/>
  <c r="BL253" i="10"/>
  <c r="BL264" i="10"/>
  <c r="CD292" i="10"/>
  <c r="CD251" i="10"/>
  <c r="BH266" i="10"/>
  <c r="AQ236" i="10"/>
  <c r="AQ263" i="10"/>
  <c r="BF253" i="10"/>
  <c r="BF264" i="10"/>
  <c r="BF227" i="10"/>
  <c r="BE303" i="10"/>
  <c r="BE247" i="10"/>
  <c r="AY290" i="10"/>
  <c r="AY252" i="10"/>
  <c r="AY324" i="10"/>
  <c r="AY262" i="10"/>
  <c r="AY283" i="10"/>
  <c r="AY282" i="10"/>
  <c r="AR268" i="10"/>
  <c r="AR245" i="10"/>
  <c r="AR183" i="10"/>
  <c r="AR181" i="10"/>
  <c r="CB253" i="10"/>
  <c r="CB264" i="10"/>
  <c r="BO306" i="10"/>
  <c r="BO300" i="10"/>
  <c r="BO277" i="10"/>
  <c r="BO276" i="10"/>
  <c r="BO279" i="10"/>
  <c r="BO291" i="10"/>
  <c r="BO278" i="10"/>
  <c r="BO242" i="10"/>
  <c r="BO270" i="10"/>
  <c r="BO265" i="10"/>
  <c r="BO254" i="10"/>
  <c r="BO256" i="10"/>
  <c r="BO260" i="10"/>
  <c r="BO311" i="10"/>
  <c r="BO325" i="10"/>
  <c r="BG324" i="10"/>
  <c r="BG290" i="10"/>
  <c r="BG252" i="10"/>
  <c r="BG262" i="10"/>
  <c r="BG289" i="10"/>
  <c r="BG258" i="10"/>
  <c r="BG283" i="10"/>
  <c r="BG282" i="10"/>
  <c r="BH284" i="10"/>
  <c r="AP251" i="10"/>
  <c r="AP292" i="10"/>
  <c r="AP249" i="10"/>
  <c r="AP271" i="10"/>
  <c r="AP255" i="10"/>
  <c r="AP243" i="10"/>
  <c r="AP295" i="10"/>
  <c r="AP267" i="10"/>
  <c r="CC319" i="10"/>
  <c r="CC232" i="10"/>
  <c r="CC265" i="10"/>
  <c r="CC300" i="10"/>
  <c r="CC278" i="10"/>
  <c r="CC228" i="10"/>
  <c r="CC242" i="10"/>
  <c r="CC306" i="10"/>
  <c r="CC302" i="10"/>
  <c r="CC276" i="10"/>
  <c r="CC226" i="10"/>
  <c r="CC147" i="10"/>
  <c r="CC311" i="10"/>
  <c r="CC294" i="10"/>
  <c r="CC320" i="10"/>
  <c r="CC325" i="10"/>
  <c r="CC231" i="10"/>
  <c r="CC291" i="10"/>
  <c r="CC198" i="10"/>
  <c r="CC254" i="10"/>
  <c r="CC201" i="10"/>
  <c r="CC156" i="10"/>
  <c r="CC279" i="10"/>
  <c r="CC248" i="10"/>
  <c r="CC277" i="10"/>
  <c r="CC270" i="10"/>
  <c r="CC158" i="10"/>
  <c r="BK253" i="10"/>
  <c r="BK264" i="10"/>
  <c r="BM292" i="10"/>
  <c r="BM251" i="10"/>
  <c r="BZ266" i="10"/>
  <c r="AS243" i="10"/>
  <c r="AS295" i="10"/>
  <c r="AS255" i="10"/>
  <c r="AS271" i="10"/>
  <c r="AS267" i="10"/>
  <c r="AS249" i="10"/>
  <c r="AU320" i="10"/>
  <c r="AU291" i="10"/>
  <c r="AU254" i="10"/>
  <c r="AU265" i="10"/>
  <c r="AU242" i="10"/>
  <c r="AU300" i="10"/>
  <c r="AU270" i="10"/>
  <c r="AU306" i="10"/>
  <c r="AU277" i="10"/>
  <c r="AU311" i="10"/>
  <c r="AU325" i="10"/>
  <c r="AU278" i="10"/>
  <c r="AU276" i="10"/>
  <c r="AU279" i="10"/>
  <c r="BP271" i="10"/>
  <c r="BP255" i="10"/>
  <c r="BP249" i="10"/>
  <c r="BP267" i="10"/>
  <c r="BP295" i="10"/>
  <c r="BP243" i="10"/>
  <c r="BV296" i="10"/>
  <c r="BV244" i="10"/>
  <c r="BV282" i="10"/>
  <c r="BV290" i="10"/>
  <c r="BV283" i="10"/>
  <c r="BV252" i="10"/>
  <c r="BV262" i="10"/>
  <c r="BV324" i="10"/>
  <c r="BV258" i="10"/>
  <c r="BF324" i="10"/>
  <c r="BF289" i="10"/>
  <c r="BF290" i="10"/>
  <c r="BF262" i="10"/>
  <c r="BF252" i="10"/>
  <c r="BF258" i="10"/>
  <c r="BF283" i="10"/>
  <c r="BF282" i="10"/>
  <c r="BE292" i="10"/>
  <c r="BE251" i="10"/>
  <c r="BE324" i="10"/>
  <c r="BE262" i="10"/>
  <c r="BE252" i="10"/>
  <c r="BE289" i="10"/>
  <c r="BE290" i="10"/>
  <c r="BE258" i="10"/>
  <c r="BE282" i="10"/>
  <c r="BE283" i="10"/>
  <c r="AW263" i="10"/>
  <c r="AW236" i="10"/>
  <c r="AW324" i="10"/>
  <c r="AW290" i="10"/>
  <c r="AW262" i="10"/>
  <c r="AW252" i="10"/>
  <c r="AW283" i="10"/>
  <c r="AW282" i="10"/>
  <c r="AZ320" i="10"/>
  <c r="AZ306" i="10"/>
  <c r="AZ300" i="10"/>
  <c r="AZ277" i="10"/>
  <c r="AZ291" i="10"/>
  <c r="AZ242" i="10"/>
  <c r="AZ254" i="10"/>
  <c r="AZ270" i="10"/>
  <c r="AZ265" i="10"/>
  <c r="AZ311" i="10"/>
  <c r="AZ325" i="10"/>
  <c r="AZ278" i="10"/>
  <c r="AZ276" i="10"/>
  <c r="AZ279" i="10"/>
  <c r="AZ295" i="10"/>
  <c r="AZ249" i="10"/>
  <c r="AZ267" i="10"/>
  <c r="AZ255" i="10"/>
  <c r="AZ243" i="10"/>
  <c r="AZ271" i="10"/>
  <c r="BK296" i="10"/>
  <c r="BK244" i="10"/>
  <c r="AY296" i="10"/>
  <c r="AY244" i="10"/>
  <c r="AR320" i="10"/>
  <c r="AR242" i="10"/>
  <c r="AR270" i="10"/>
  <c r="AR291" i="10"/>
  <c r="AR300" i="10"/>
  <c r="AR265" i="10"/>
  <c r="AR277" i="10"/>
  <c r="AR306" i="10"/>
  <c r="AR254" i="10"/>
  <c r="AR311" i="10"/>
  <c r="AR325" i="10"/>
  <c r="AR278" i="10"/>
  <c r="AR279" i="10"/>
  <c r="AR276" i="10"/>
  <c r="CB306" i="10"/>
  <c r="CB300" i="10"/>
  <c r="CB277" i="10"/>
  <c r="CB276" i="10"/>
  <c r="CB279" i="10"/>
  <c r="CB291" i="10"/>
  <c r="CB278" i="10"/>
  <c r="CB270" i="10"/>
  <c r="CB254" i="10"/>
  <c r="CB265" i="10"/>
  <c r="CB242" i="10"/>
  <c r="CB256" i="10"/>
  <c r="CB260" i="10"/>
  <c r="CB311" i="10"/>
  <c r="CB325" i="10"/>
  <c r="BW249" i="10"/>
  <c r="BW295" i="10"/>
  <c r="BW267" i="10"/>
  <c r="BW243" i="10"/>
  <c r="BW255" i="10"/>
  <c r="BW271" i="10"/>
  <c r="BO253" i="10"/>
  <c r="BO264" i="10"/>
  <c r="BO292" i="10"/>
  <c r="BO251" i="10"/>
  <c r="BT296" i="10"/>
  <c r="BT244" i="10"/>
  <c r="AX320" i="10"/>
  <c r="AX300" i="10"/>
  <c r="AX270" i="10"/>
  <c r="AX254" i="10"/>
  <c r="AX265" i="10"/>
  <c r="AX242" i="10"/>
  <c r="AX277" i="10"/>
  <c r="AX306" i="10"/>
  <c r="AX291" i="10"/>
  <c r="AX311" i="10"/>
  <c r="AX325" i="10"/>
  <c r="AX278" i="10"/>
  <c r="AX276" i="10"/>
  <c r="AX279" i="10"/>
  <c r="BG191" i="10"/>
  <c r="BG192" i="10"/>
  <c r="BG195" i="10"/>
  <c r="BG194" i="10"/>
  <c r="BG263" i="10"/>
  <c r="BG236" i="10"/>
  <c r="BG190" i="10"/>
  <c r="BG193" i="10"/>
  <c r="BG196" i="10"/>
  <c r="BL244" i="10"/>
  <c r="BL296" i="10"/>
  <c r="BN253" i="10"/>
  <c r="BN264" i="10"/>
  <c r="BY183" i="10"/>
  <c r="BY181" i="10"/>
  <c r="BY182" i="10"/>
  <c r="BY245" i="10"/>
  <c r="BY268" i="10"/>
  <c r="CD312" i="10"/>
  <c r="CD322" i="10"/>
  <c r="CD286" i="10"/>
  <c r="CD306" i="10"/>
  <c r="CD301" i="10"/>
  <c r="CD300" i="10"/>
  <c r="CD320" i="10"/>
  <c r="CD321" i="10"/>
  <c r="CD305" i="10"/>
  <c r="CD287" i="10"/>
  <c r="CD313" i="10"/>
  <c r="CD285" i="10"/>
  <c r="CD288" i="10"/>
  <c r="CD323" i="10"/>
  <c r="CD277" i="10"/>
  <c r="CD279" i="10"/>
  <c r="CD291" i="10"/>
  <c r="CD276" i="10"/>
  <c r="CD278" i="10"/>
  <c r="CD265" i="10"/>
  <c r="CD270" i="10"/>
  <c r="CD242" i="10"/>
  <c r="CD254" i="10"/>
  <c r="CD260" i="10"/>
  <c r="CD256" i="10"/>
  <c r="CD311" i="10"/>
  <c r="CD325" i="10"/>
  <c r="CD180" i="10"/>
  <c r="CD181" i="10"/>
  <c r="CD185" i="10"/>
  <c r="CD183" i="10"/>
  <c r="CD182" i="10"/>
  <c r="CD184" i="10"/>
  <c r="CD268" i="10"/>
  <c r="CD245" i="10"/>
  <c r="BC324" i="10"/>
  <c r="BC289" i="10"/>
  <c r="BC262" i="10"/>
  <c r="BC290" i="10"/>
  <c r="BC252" i="10"/>
  <c r="BC258" i="10"/>
  <c r="BC282" i="10"/>
  <c r="BC283" i="10"/>
  <c r="BC321" i="10"/>
  <c r="BC323" i="10"/>
  <c r="BC322" i="10"/>
  <c r="BC320" i="10"/>
  <c r="BC306" i="10"/>
  <c r="BC285" i="10"/>
  <c r="BC242" i="10"/>
  <c r="BC312" i="10"/>
  <c r="BC301" i="10"/>
  <c r="BC300" i="10"/>
  <c r="BC270" i="10"/>
  <c r="BC288" i="10"/>
  <c r="BC286" i="10"/>
  <c r="BC265" i="10"/>
  <c r="BC305" i="10"/>
  <c r="BC277" i="10"/>
  <c r="BC254" i="10"/>
  <c r="BC291" i="10"/>
  <c r="BC287" i="10"/>
  <c r="BC313" i="10"/>
  <c r="BC256" i="10"/>
  <c r="BC260" i="10"/>
  <c r="BC311" i="10"/>
  <c r="BC325" i="10"/>
  <c r="BC279" i="10"/>
  <c r="BC278" i="10"/>
  <c r="BC276" i="10"/>
  <c r="AP244" i="10"/>
  <c r="AP296" i="10"/>
  <c r="AP263" i="10"/>
  <c r="AP236" i="10"/>
  <c r="CC271" i="10"/>
  <c r="CC150" i="10"/>
  <c r="CC214" i="10"/>
  <c r="CC255" i="10"/>
  <c r="CC295" i="10"/>
  <c r="CC249" i="10"/>
  <c r="CC267" i="10"/>
  <c r="CC243" i="10"/>
  <c r="CC212" i="10"/>
  <c r="CC222" i="10"/>
  <c r="CC318" i="10"/>
  <c r="CC284" i="10"/>
  <c r="BX306" i="10"/>
  <c r="BX300" i="10"/>
  <c r="BX277" i="10"/>
  <c r="BX291" i="10"/>
  <c r="BX279" i="10"/>
  <c r="BX276" i="10"/>
  <c r="BX278" i="10"/>
  <c r="BX242" i="10"/>
  <c r="BX265" i="10"/>
  <c r="BX254" i="10"/>
  <c r="BX270" i="10"/>
  <c r="BX256" i="10"/>
  <c r="BX260" i="10"/>
  <c r="BX311" i="10"/>
  <c r="BX325" i="10"/>
  <c r="AQ324" i="10"/>
  <c r="AQ290" i="10"/>
  <c r="AQ252" i="10"/>
  <c r="AQ262" i="10"/>
  <c r="AQ283" i="10"/>
  <c r="AQ282" i="10"/>
  <c r="AR267" i="10"/>
  <c r="AR243" i="10"/>
  <c r="AR255" i="10"/>
  <c r="AR295" i="10"/>
  <c r="AR271" i="10"/>
  <c r="AR249" i="10"/>
  <c r="BU290" i="10"/>
  <c r="BU283" i="10"/>
  <c r="BU282" i="10"/>
  <c r="BU324" i="10"/>
  <c r="BU252" i="10"/>
  <c r="BU262" i="10"/>
  <c r="BU258" i="10"/>
  <c r="AX255" i="10"/>
  <c r="AX267" i="10"/>
  <c r="AX243" i="10"/>
  <c r="AX271" i="10"/>
  <c r="AX249" i="10"/>
  <c r="AX295" i="10"/>
  <c r="BG315" i="10"/>
  <c r="BG244" i="10"/>
  <c r="BG189" i="10"/>
  <c r="BG281" i="10"/>
  <c r="BG296" i="10"/>
  <c r="BG188" i="10"/>
  <c r="BG314" i="10"/>
  <c r="BG280" i="10"/>
  <c r="BC243" i="10"/>
  <c r="BC295" i="10"/>
  <c r="BC186" i="10"/>
  <c r="BC176" i="10"/>
  <c r="BC213" i="10"/>
  <c r="BC179" i="10"/>
  <c r="BC215" i="10"/>
  <c r="BC267" i="10"/>
  <c r="BC271" i="10"/>
  <c r="BC255" i="10"/>
  <c r="BC178" i="10"/>
  <c r="BC249" i="10"/>
  <c r="BC177" i="10"/>
  <c r="AU263" i="10"/>
  <c r="AU236" i="10"/>
  <c r="BV300" i="10"/>
  <c r="BV306" i="10"/>
  <c r="BV277" i="10"/>
  <c r="BV278" i="10"/>
  <c r="BV276" i="10"/>
  <c r="BV291" i="10"/>
  <c r="BV279" i="10"/>
  <c r="BV254" i="10"/>
  <c r="BV242" i="10"/>
  <c r="BV270" i="10"/>
  <c r="BV265" i="10"/>
  <c r="BV256" i="10"/>
  <c r="BV260" i="10"/>
  <c r="BV311" i="10"/>
  <c r="BV325" i="10"/>
  <c r="AW320" i="10"/>
  <c r="AW277" i="10"/>
  <c r="AW291" i="10"/>
  <c r="AW300" i="10"/>
  <c r="AW270" i="10"/>
  <c r="AW242" i="10"/>
  <c r="AW306" i="10"/>
  <c r="AW265" i="10"/>
  <c r="AW254" i="10"/>
  <c r="AW311" i="10"/>
  <c r="AW325" i="10"/>
  <c r="AW279" i="10"/>
  <c r="AW278" i="10"/>
  <c r="AW276" i="10"/>
  <c r="AZ290" i="10"/>
  <c r="AZ262" i="10"/>
  <c r="AZ324" i="10"/>
  <c r="AZ252" i="10"/>
  <c r="AZ283" i="10"/>
  <c r="AZ282" i="10"/>
  <c r="AZ181" i="10"/>
  <c r="AZ183" i="10"/>
  <c r="AZ245" i="10"/>
  <c r="AZ268" i="10"/>
  <c r="BD295" i="10"/>
  <c r="BD179" i="10"/>
  <c r="BD178" i="10"/>
  <c r="BD249" i="10"/>
  <c r="BD271" i="10"/>
  <c r="BD186" i="10"/>
  <c r="BD215" i="10"/>
  <c r="BD177" i="10"/>
  <c r="BD255" i="10"/>
  <c r="BD243" i="10"/>
  <c r="BD213" i="10"/>
  <c r="BD176" i="10"/>
  <c r="BD267" i="10"/>
  <c r="AV324" i="10"/>
  <c r="AV252" i="10"/>
  <c r="AV290" i="10"/>
  <c r="AV262" i="10"/>
  <c r="AV282" i="10"/>
  <c r="AV283" i="10"/>
  <c r="BG251" i="10"/>
  <c r="BG292" i="10"/>
  <c r="CC309" i="10"/>
  <c r="CC261" i="10"/>
  <c r="CC272" i="10"/>
  <c r="CC273" i="10"/>
  <c r="AZ292" i="10"/>
  <c r="AZ251" i="10"/>
  <c r="AY306" i="10"/>
  <c r="AY320" i="10"/>
  <c r="AY300" i="10"/>
  <c r="AY277" i="10"/>
  <c r="AY291" i="10"/>
  <c r="AY270" i="10"/>
  <c r="AY265" i="10"/>
  <c r="AY242" i="10"/>
  <c r="AY254" i="10"/>
  <c r="AY311" i="10"/>
  <c r="AY325" i="10"/>
  <c r="AY278" i="10"/>
  <c r="AY279" i="10"/>
  <c r="AY276" i="10"/>
  <c r="AR292" i="10"/>
  <c r="AR251" i="10"/>
  <c r="CB244" i="10"/>
  <c r="CB296" i="10"/>
  <c r="BT292" i="10"/>
  <c r="BT251" i="10"/>
  <c r="BU253" i="10"/>
  <c r="BU264" i="10"/>
  <c r="BG186" i="10"/>
  <c r="BG271" i="10"/>
  <c r="BG213" i="10"/>
  <c r="BG295" i="10"/>
  <c r="BG255" i="10"/>
  <c r="BG243" i="10"/>
  <c r="BG177" i="10"/>
  <c r="BG178" i="10"/>
  <c r="BG179" i="10"/>
  <c r="BG249" i="10"/>
  <c r="BG267" i="10"/>
  <c r="BG176" i="10"/>
  <c r="BG215" i="10"/>
  <c r="BY244" i="10"/>
  <c r="BY296" i="10"/>
  <c r="BS296" i="10"/>
  <c r="BS244" i="10"/>
  <c r="BC236" i="10"/>
  <c r="BC263" i="10"/>
  <c r="BC192" i="10"/>
  <c r="BC193" i="10"/>
  <c r="BC190" i="10"/>
  <c r="BC196" i="10"/>
  <c r="BC191" i="10"/>
  <c r="BC194" i="10"/>
  <c r="BC195" i="10"/>
  <c r="AS183" i="10"/>
  <c r="AS245" i="10"/>
  <c r="AS181" i="10"/>
  <c r="AS268" i="10"/>
  <c r="AU244" i="10"/>
  <c r="AU296" i="10"/>
  <c r="AR309" i="10"/>
  <c r="AR273" i="10"/>
  <c r="BS292" i="10"/>
  <c r="BS251" i="10"/>
  <c r="BK292" i="10"/>
  <c r="BK251" i="10"/>
  <c r="CC239" i="10"/>
  <c r="CC263" i="10"/>
  <c r="CC235" i="10"/>
  <c r="CC237" i="10"/>
  <c r="CC236" i="10"/>
  <c r="CC233" i="10"/>
  <c r="CC234" i="10"/>
  <c r="CC238" i="10"/>
  <c r="BX282" i="10"/>
  <c r="BX290" i="10"/>
  <c r="BX283" i="10"/>
  <c r="BX252" i="10"/>
  <c r="BX262" i="10"/>
  <c r="BX324" i="10"/>
  <c r="BX258" i="10"/>
  <c r="AQ253" i="10"/>
  <c r="AQ264" i="10"/>
  <c r="BM282" i="10"/>
  <c r="BM283" i="10"/>
  <c r="BM290" i="10"/>
  <c r="BM252" i="10"/>
  <c r="BM262" i="10"/>
  <c r="BM324" i="10"/>
  <c r="BM258" i="10"/>
  <c r="BR264" i="10"/>
  <c r="BR253" i="10"/>
  <c r="AS320" i="10"/>
  <c r="AS254" i="10"/>
  <c r="AS306" i="10"/>
  <c r="AS300" i="10"/>
  <c r="AS270" i="10"/>
  <c r="AS242" i="10"/>
  <c r="AS291" i="10"/>
  <c r="AS277" i="10"/>
  <c r="AS265" i="10"/>
  <c r="AS311" i="10"/>
  <c r="AS325" i="10"/>
  <c r="AS276" i="10"/>
  <c r="AS279" i="10"/>
  <c r="AS278" i="10"/>
  <c r="AU309" i="10"/>
  <c r="AU273" i="10"/>
  <c r="BP306" i="10"/>
  <c r="BP300" i="10"/>
  <c r="BP277" i="10"/>
  <c r="BP291" i="10"/>
  <c r="BP279" i="10"/>
  <c r="BP276" i="10"/>
  <c r="BP278" i="10"/>
  <c r="BP254" i="10"/>
  <c r="BP265" i="10"/>
  <c r="BP270" i="10"/>
  <c r="BP242" i="10"/>
  <c r="BP256" i="10"/>
  <c r="BP260" i="10"/>
  <c r="BP311" i="10"/>
  <c r="BP325" i="10"/>
  <c r="BV264" i="10"/>
  <c r="BV253" i="10"/>
  <c r="BF249" i="10"/>
  <c r="BF267" i="10"/>
  <c r="BF215" i="10"/>
  <c r="BF213" i="10"/>
  <c r="BF295" i="10"/>
  <c r="BF177" i="10"/>
  <c r="BF186" i="10"/>
  <c r="BF243" i="10"/>
  <c r="BF179" i="10"/>
  <c r="BF176" i="10"/>
  <c r="BF255" i="10"/>
  <c r="BF178" i="10"/>
  <c r="BF271" i="10"/>
  <c r="BE320" i="10"/>
  <c r="BE321" i="10"/>
  <c r="BE323" i="10"/>
  <c r="BE322" i="10"/>
  <c r="BE254" i="10"/>
  <c r="BE313" i="10"/>
  <c r="BE312" i="10"/>
  <c r="BE301" i="10"/>
  <c r="BE300" i="10"/>
  <c r="BE270" i="10"/>
  <c r="BE242" i="10"/>
  <c r="BE291" i="10"/>
  <c r="BE286" i="10"/>
  <c r="BE285" i="10"/>
  <c r="BE305" i="10"/>
  <c r="BE265" i="10"/>
  <c r="BE277" i="10"/>
  <c r="BE288" i="10"/>
  <c r="BE287" i="10"/>
  <c r="BE306" i="10"/>
  <c r="BE256" i="10"/>
  <c r="BE260" i="10"/>
  <c r="BE311" i="10"/>
  <c r="BE325" i="10"/>
  <c r="BE278" i="10"/>
  <c r="BE279" i="10"/>
  <c r="BE276" i="10"/>
  <c r="BE310" i="10"/>
  <c r="BE309" i="10"/>
  <c r="BE273" i="10"/>
  <c r="AW292" i="10"/>
  <c r="AW251" i="10"/>
  <c r="AY249" i="10"/>
  <c r="AY271" i="10"/>
  <c r="AY255" i="10"/>
  <c r="AY295" i="10"/>
  <c r="AY267" i="10"/>
  <c r="AY243" i="10"/>
  <c r="AR236" i="10"/>
  <c r="AR263" i="10"/>
  <c r="CB282" i="10"/>
  <c r="CB283" i="10"/>
  <c r="CB290" i="10"/>
  <c r="CB252" i="10"/>
  <c r="CB262" i="10"/>
  <c r="CB324" i="10"/>
  <c r="CB258" i="10"/>
  <c r="BW292" i="10"/>
  <c r="BW251" i="10"/>
  <c r="BW182" i="10"/>
  <c r="BW181" i="10"/>
  <c r="BW183" i="10"/>
  <c r="BW268" i="10"/>
  <c r="BW245" i="10"/>
  <c r="BD292" i="10"/>
  <c r="BD251" i="10"/>
  <c r="BD315" i="10"/>
  <c r="BD189" i="10"/>
  <c r="BD314" i="10"/>
  <c r="BD296" i="10"/>
  <c r="BD188" i="10"/>
  <c r="BD244" i="10"/>
  <c r="BD281" i="10"/>
  <c r="BD280" i="10"/>
  <c r="AV183" i="10"/>
  <c r="AV245" i="10"/>
  <c r="AV268" i="10"/>
  <c r="AV181" i="10"/>
  <c r="BT181" i="10"/>
  <c r="BT183" i="10"/>
  <c r="BT182" i="10"/>
  <c r="BT268" i="10"/>
  <c r="BT245" i="10"/>
  <c r="BU295" i="10"/>
  <c r="BU255" i="10"/>
  <c r="BU243" i="10"/>
  <c r="BU249" i="10"/>
  <c r="BU267" i="10"/>
  <c r="BU271" i="10"/>
  <c r="AX268" i="10"/>
  <c r="AX181" i="10"/>
  <c r="AX245" i="10"/>
  <c r="AX183" i="10"/>
  <c r="BG264" i="10"/>
  <c r="BG253" i="10"/>
  <c r="BG227" i="10"/>
  <c r="BG182" i="10"/>
  <c r="BG184" i="10"/>
  <c r="BG180" i="10"/>
  <c r="BG183" i="10"/>
  <c r="BG245" i="10"/>
  <c r="BG185" i="10"/>
  <c r="BG181" i="10"/>
  <c r="BG268" i="10"/>
  <c r="BY283" i="10"/>
  <c r="BY282" i="10"/>
  <c r="BY290" i="10"/>
  <c r="BY324" i="10"/>
  <c r="BY262" i="10"/>
  <c r="BY252" i="10"/>
  <c r="BY258" i="10"/>
  <c r="BY292" i="10"/>
  <c r="BY251" i="10"/>
  <c r="CD309" i="10"/>
  <c r="CD310" i="10"/>
  <c r="CD273" i="10"/>
  <c r="CD178" i="10"/>
  <c r="CD177" i="10"/>
  <c r="CD215" i="10"/>
  <c r="CD176" i="10"/>
  <c r="CD186" i="10"/>
  <c r="CD213" i="10"/>
  <c r="CD179" i="10"/>
  <c r="CD267" i="10"/>
  <c r="CD255" i="10"/>
  <c r="CD271" i="10"/>
  <c r="CD243" i="10"/>
  <c r="CD249" i="10"/>
  <c r="CD295" i="10"/>
  <c r="BS253" i="10"/>
  <c r="BS264" i="10"/>
  <c r="BS282" i="10"/>
  <c r="BS290" i="10"/>
  <c r="BS283" i="10"/>
  <c r="BS324" i="10"/>
  <c r="BS252" i="10"/>
  <c r="BS262" i="10"/>
  <c r="BS258" i="10"/>
  <c r="AP320" i="10"/>
  <c r="AP306" i="10"/>
  <c r="AP254" i="10"/>
  <c r="AP242" i="10"/>
  <c r="AP291" i="10"/>
  <c r="AP300" i="10"/>
  <c r="AT300" i="10" s="1"/>
  <c r="AP270" i="10"/>
  <c r="AP265" i="10"/>
  <c r="AP277" i="10"/>
  <c r="AP311" i="10"/>
  <c r="AP325" i="10"/>
  <c r="AP278" i="10"/>
  <c r="AP276" i="10"/>
  <c r="AP279" i="10"/>
  <c r="AQ309" i="10"/>
  <c r="AQ273" i="10"/>
  <c r="AQ244" i="10"/>
  <c r="AQ296" i="10"/>
  <c r="AS324" i="10"/>
  <c r="AS290" i="10"/>
  <c r="AS252" i="10"/>
  <c r="AS262" i="10"/>
  <c r="AS283" i="10"/>
  <c r="AS282" i="10"/>
  <c r="BW253" i="10"/>
  <c r="BW264" i="10"/>
  <c r="AV243" i="10"/>
  <c r="AV295" i="10"/>
  <c r="AV255" i="10"/>
  <c r="AV271" i="10"/>
  <c r="AV267" i="10"/>
  <c r="AV249" i="10"/>
  <c r="BT290" i="10"/>
  <c r="BT282" i="10"/>
  <c r="BT283" i="10"/>
  <c r="BT324" i="10"/>
  <c r="BT262" i="10"/>
  <c r="BT252" i="10"/>
  <c r="BT258" i="10"/>
  <c r="BL249" i="10"/>
  <c r="BL243" i="10"/>
  <c r="BL255" i="10"/>
  <c r="BL295" i="10"/>
  <c r="BL271" i="10"/>
  <c r="BL267" i="10"/>
  <c r="BN292" i="10"/>
  <c r="BN251" i="10"/>
  <c r="AQ295" i="10"/>
  <c r="AQ267" i="10"/>
  <c r="AQ249" i="10"/>
  <c r="AQ255" i="10"/>
  <c r="AQ243" i="10"/>
  <c r="AQ271" i="10"/>
  <c r="AU264" i="10"/>
  <c r="AU253" i="10"/>
  <c r="BA253" i="10" s="1"/>
  <c r="BU296" i="10"/>
  <c r="BU244" i="10"/>
  <c r="BG303" i="10"/>
  <c r="BG247" i="10"/>
  <c r="BL282" i="10"/>
  <c r="BL290" i="10"/>
  <c r="BL283" i="10"/>
  <c r="BL262" i="10"/>
  <c r="BQ262" i="10" s="1"/>
  <c r="BL252" i="10"/>
  <c r="BL324" i="10"/>
  <c r="BL258" i="10"/>
  <c r="BY264" i="10"/>
  <c r="BY253" i="10"/>
  <c r="AP253" i="10"/>
  <c r="AP264" i="10"/>
  <c r="BQ254" i="10"/>
  <c r="AU324" i="10"/>
  <c r="AU262" i="10"/>
  <c r="AU290" i="10"/>
  <c r="AU252" i="10"/>
  <c r="AU283" i="10"/>
  <c r="AU282" i="10"/>
  <c r="BP292" i="10"/>
  <c r="BP251" i="10"/>
  <c r="BK300" i="10"/>
  <c r="BK306" i="10"/>
  <c r="BK277" i="10"/>
  <c r="BK278" i="10"/>
  <c r="BQ278" i="10" s="1"/>
  <c r="BK279" i="10"/>
  <c r="BK291" i="10"/>
  <c r="BK276" i="10"/>
  <c r="BK270" i="10"/>
  <c r="BQ270" i="10" s="1"/>
  <c r="BK242" i="10"/>
  <c r="BK265" i="10"/>
  <c r="BK254" i="10"/>
  <c r="BK256" i="10"/>
  <c r="BK260" i="10"/>
  <c r="BQ260" i="10" s="1"/>
  <c r="BK311" i="10"/>
  <c r="BK325" i="10"/>
  <c r="BT306" i="10"/>
  <c r="BT300" i="10"/>
  <c r="BT277" i="10"/>
  <c r="BT276" i="10"/>
  <c r="BT278" i="10"/>
  <c r="BT279" i="10"/>
  <c r="BT291" i="10"/>
  <c r="BT254" i="10"/>
  <c r="BT270" i="10"/>
  <c r="BT265" i="10"/>
  <c r="BT242" i="10"/>
  <c r="BT260" i="10"/>
  <c r="BT256" i="10"/>
  <c r="BT311" i="10"/>
  <c r="BT325" i="10"/>
  <c r="BH161" i="10"/>
  <c r="BX183" i="10"/>
  <c r="BX181" i="10"/>
  <c r="BX182" i="10"/>
  <c r="BX245" i="10"/>
  <c r="BX268" i="10"/>
  <c r="BR181" i="10"/>
  <c r="BR183" i="10"/>
  <c r="BR182" i="10"/>
  <c r="BR268" i="10"/>
  <c r="BZ268" i="10" s="1"/>
  <c r="BR245" i="10"/>
  <c r="BR296" i="10"/>
  <c r="BR244" i="10"/>
  <c r="AS309" i="10"/>
  <c r="AS273" i="10"/>
  <c r="AU243" i="10"/>
  <c r="AU267" i="10"/>
  <c r="AU271" i="10"/>
  <c r="BA271" i="10" s="1"/>
  <c r="AU295" i="10"/>
  <c r="AU255" i="10"/>
  <c r="AU249" i="10"/>
  <c r="BV292" i="10"/>
  <c r="BV251" i="10"/>
  <c r="AZ253" i="10"/>
  <c r="AZ264" i="10"/>
  <c r="AY264" i="10"/>
  <c r="AY253" i="10"/>
  <c r="AV296" i="10"/>
  <c r="AV244" i="10"/>
  <c r="BL292" i="10"/>
  <c r="BL251" i="10"/>
  <c r="BC251" i="10"/>
  <c r="BC292" i="10"/>
  <c r="BQ325" i="10"/>
  <c r="BM253" i="10"/>
  <c r="BM264" i="10"/>
  <c r="BM295" i="10"/>
  <c r="BM249" i="10"/>
  <c r="BQ249" i="10" s="1"/>
  <c r="BM271" i="10"/>
  <c r="BM255" i="10"/>
  <c r="BM243" i="10"/>
  <c r="BM267" i="10"/>
  <c r="BR295" i="10"/>
  <c r="BR255" i="10"/>
  <c r="BR249" i="10"/>
  <c r="BR243" i="10"/>
  <c r="BR267" i="10"/>
  <c r="BR271" i="10"/>
  <c r="BZ273" i="10"/>
  <c r="CA273" i="10" s="1"/>
  <c r="BR306" i="10"/>
  <c r="BR300" i="10"/>
  <c r="BR277" i="10"/>
  <c r="BR279" i="10"/>
  <c r="BR276" i="10"/>
  <c r="BR291" i="10"/>
  <c r="BR278" i="10"/>
  <c r="BR242" i="10"/>
  <c r="BR270" i="10"/>
  <c r="BR254" i="10"/>
  <c r="BR265" i="10"/>
  <c r="BR256" i="10"/>
  <c r="BR260" i="10"/>
  <c r="BR311" i="10"/>
  <c r="BR325" i="10"/>
  <c r="AS236" i="10"/>
  <c r="AS263" i="10"/>
  <c r="AU245" i="10"/>
  <c r="AU268" i="10"/>
  <c r="AU181" i="10"/>
  <c r="AU183" i="10"/>
  <c r="BP181" i="10"/>
  <c r="BP182" i="10"/>
  <c r="BP183" i="10"/>
  <c r="BP268" i="10"/>
  <c r="BP245" i="10"/>
  <c r="BF190" i="10"/>
  <c r="BF192" i="10"/>
  <c r="BF196" i="10"/>
  <c r="BF263" i="10"/>
  <c r="BF195" i="10"/>
  <c r="BF194" i="10"/>
  <c r="BF236" i="10"/>
  <c r="BF193" i="10"/>
  <c r="BF191" i="10"/>
  <c r="BF292" i="10"/>
  <c r="BF251" i="10"/>
  <c r="BE184" i="10"/>
  <c r="BE185" i="10"/>
  <c r="BE182" i="10"/>
  <c r="BE245" i="10"/>
  <c r="BE180" i="10"/>
  <c r="BE268" i="10"/>
  <c r="BE183" i="10"/>
  <c r="BE181" i="10"/>
  <c r="AW309" i="10"/>
  <c r="AW273" i="10"/>
  <c r="AR264" i="10"/>
  <c r="AR253" i="10"/>
  <c r="CB292" i="10"/>
  <c r="CB251" i="10"/>
  <c r="BD310" i="10"/>
  <c r="BD309" i="10"/>
  <c r="BD273" i="10"/>
  <c r="AV253" i="10"/>
  <c r="AV264" i="10"/>
  <c r="BO244" i="10"/>
  <c r="BO296" i="10"/>
  <c r="BO182" i="10"/>
  <c r="BO181" i="10"/>
  <c r="BO183" i="10"/>
  <c r="BO245" i="10"/>
  <c r="BO268" i="10"/>
  <c r="BO290" i="10"/>
  <c r="BO283" i="10"/>
  <c r="BO282" i="10"/>
  <c r="BO262" i="10"/>
  <c r="BO324" i="10"/>
  <c r="BO252" i="10"/>
  <c r="BO258" i="10"/>
  <c r="BT253" i="10"/>
  <c r="BT264" i="10"/>
  <c r="BT249" i="10"/>
  <c r="BT267" i="10"/>
  <c r="BT295" i="10"/>
  <c r="BT271" i="10"/>
  <c r="BT243" i="10"/>
  <c r="BT255" i="10"/>
  <c r="AX244" i="10"/>
  <c r="AX296" i="10"/>
  <c r="AX236" i="10"/>
  <c r="AX263" i="10"/>
  <c r="BG310" i="10"/>
  <c r="BG309" i="10"/>
  <c r="BG273" i="10"/>
  <c r="BY300" i="10"/>
  <c r="BY306" i="10"/>
  <c r="BY277" i="10"/>
  <c r="BY278" i="10"/>
  <c r="BY279" i="10"/>
  <c r="BY276" i="10"/>
  <c r="BY291" i="10"/>
  <c r="BY254" i="10"/>
  <c r="BY242" i="10"/>
  <c r="BY265" i="10"/>
  <c r="BY270" i="10"/>
  <c r="BY260" i="10"/>
  <c r="BY256" i="10"/>
  <c r="BY311" i="10"/>
  <c r="BY325" i="10"/>
  <c r="BY267" i="10"/>
  <c r="BY249" i="10"/>
  <c r="BY271" i="10"/>
  <c r="BY295" i="10"/>
  <c r="BY255" i="10"/>
  <c r="BY243" i="10"/>
  <c r="CD189" i="10"/>
  <c r="CD188" i="10"/>
  <c r="CD314" i="10"/>
  <c r="CD280" i="10"/>
  <c r="CD281" i="10"/>
  <c r="CD315" i="10"/>
  <c r="CD244" i="10"/>
  <c r="CD296" i="10"/>
  <c r="CD227" i="10"/>
  <c r="CD253" i="10"/>
  <c r="CD264" i="10"/>
  <c r="BS182" i="10"/>
  <c r="BS183" i="10"/>
  <c r="BS181" i="10"/>
  <c r="BS245" i="10"/>
  <c r="BS268" i="10"/>
  <c r="BS306" i="10"/>
  <c r="BS300" i="10"/>
  <c r="BS277" i="10"/>
  <c r="BS278" i="10"/>
  <c r="BS279" i="10"/>
  <c r="BS276" i="10"/>
  <c r="BS291" i="10"/>
  <c r="BS265" i="10"/>
  <c r="BS254" i="10"/>
  <c r="BS242" i="10"/>
  <c r="BS270" i="10"/>
  <c r="BS260" i="10"/>
  <c r="BS256" i="10"/>
  <c r="BS311" i="10"/>
  <c r="BS325" i="10"/>
  <c r="BS271" i="10"/>
  <c r="BS249" i="10"/>
  <c r="BS295" i="10"/>
  <c r="BS255" i="10"/>
  <c r="BS267" i="10"/>
  <c r="BS243" i="10"/>
  <c r="BC181" i="10"/>
  <c r="BC180" i="10"/>
  <c r="BC184" i="10"/>
  <c r="BC185" i="10"/>
  <c r="BC182" i="10"/>
  <c r="BC183" i="10"/>
  <c r="BC268" i="10"/>
  <c r="BC245" i="10"/>
  <c r="BH187" i="10"/>
  <c r="BC253" i="10"/>
  <c r="BH253" i="10" s="1"/>
  <c r="BC264" i="10"/>
  <c r="BC227" i="10"/>
  <c r="AT284" i="10"/>
  <c r="BB284" i="10" s="1"/>
  <c r="CC175" i="10"/>
  <c r="CC159" i="10"/>
  <c r="CC157" i="10"/>
  <c r="CC173" i="10"/>
  <c r="CC244" i="10"/>
  <c r="CC210" i="10"/>
  <c r="CC203" i="10"/>
  <c r="CC230" i="10"/>
  <c r="CC296" i="10"/>
  <c r="CC257" i="10"/>
  <c r="CC225" i="10"/>
  <c r="CC224" i="10"/>
  <c r="CC202" i="10"/>
  <c r="CC229" i="10"/>
  <c r="CC148" i="10"/>
  <c r="CC266" i="10"/>
  <c r="BX296" i="10"/>
  <c r="BX244" i="10"/>
  <c r="AQ268" i="10"/>
  <c r="AQ245" i="10"/>
  <c r="AQ183" i="10"/>
  <c r="AQ181" i="10"/>
  <c r="AQ320" i="10"/>
  <c r="AQ300" i="10"/>
  <c r="AQ277" i="10"/>
  <c r="AQ291" i="10"/>
  <c r="AQ265" i="10"/>
  <c r="AQ254" i="10"/>
  <c r="AQ242" i="10"/>
  <c r="AQ270" i="10"/>
  <c r="AQ306" i="10"/>
  <c r="AQ311" i="10"/>
  <c r="AQ325" i="10"/>
  <c r="AQ276" i="10"/>
  <c r="AQ279" i="10"/>
  <c r="AQ278" i="10"/>
  <c r="BQ290" i="10"/>
  <c r="AS251" i="10"/>
  <c r="AS292" i="10"/>
  <c r="BE315" i="10"/>
  <c r="BE244" i="10"/>
  <c r="BE281" i="10"/>
  <c r="BE314" i="10"/>
  <c r="BE280" i="10"/>
  <c r="BE188" i="10"/>
  <c r="BE189" i="10"/>
  <c r="BE296" i="10"/>
  <c r="BE195" i="10"/>
  <c r="BE190" i="10"/>
  <c r="BE236" i="10"/>
  <c r="BE192" i="10"/>
  <c r="BE191" i="10"/>
  <c r="BE193" i="10"/>
  <c r="BE196" i="10"/>
  <c r="BE194" i="10"/>
  <c r="BE263" i="10"/>
  <c r="AW267" i="10"/>
  <c r="AW249" i="10"/>
  <c r="AW271" i="10"/>
  <c r="AW295" i="10"/>
  <c r="AW243" i="10"/>
  <c r="AW255" i="10"/>
  <c r="AZ236" i="10"/>
  <c r="AZ263" i="10"/>
  <c r="AY292" i="10"/>
  <c r="AY251" i="10"/>
  <c r="BW306" i="10"/>
  <c r="BW300" i="10"/>
  <c r="BW277" i="10"/>
  <c r="BW291" i="10"/>
  <c r="BW276" i="10"/>
  <c r="BW278" i="10"/>
  <c r="BW279" i="10"/>
  <c r="BW254" i="10"/>
  <c r="BW265" i="10"/>
  <c r="BW242" i="10"/>
  <c r="BW270" i="10"/>
  <c r="BW260" i="10"/>
  <c r="BW256" i="10"/>
  <c r="BW311" i="10"/>
  <c r="BW325" i="10"/>
  <c r="BD184" i="10"/>
  <c r="BD180" i="10"/>
  <c r="BD182" i="10"/>
  <c r="BD268" i="10"/>
  <c r="BD181" i="10"/>
  <c r="BD245" i="10"/>
  <c r="BD185" i="10"/>
  <c r="BD183" i="10"/>
  <c r="AV236" i="10"/>
  <c r="AV263" i="10"/>
  <c r="BL306" i="10"/>
  <c r="BL300" i="10"/>
  <c r="BL277" i="10"/>
  <c r="BL278" i="10"/>
  <c r="BL291" i="10"/>
  <c r="BL276" i="10"/>
  <c r="BQ276" i="10" s="1"/>
  <c r="BL279" i="10"/>
  <c r="BL242" i="10"/>
  <c r="BL270" i="10"/>
  <c r="BL265" i="10"/>
  <c r="BQ265" i="10" s="1"/>
  <c r="BL254" i="10"/>
  <c r="BL260" i="10"/>
  <c r="BL256" i="10"/>
  <c r="BL311" i="10"/>
  <c r="BL325" i="10"/>
  <c r="CD190" i="10"/>
  <c r="CD236" i="10"/>
  <c r="CD196" i="10"/>
  <c r="CD195" i="10"/>
  <c r="CD191" i="10"/>
  <c r="CD194" i="10"/>
  <c r="CD192" i="10"/>
  <c r="CD193" i="10"/>
  <c r="CD263" i="10"/>
  <c r="BC315" i="10"/>
  <c r="BC296" i="10"/>
  <c r="BC280" i="10"/>
  <c r="BC188" i="10"/>
  <c r="BC281" i="10"/>
  <c r="BC314" i="10"/>
  <c r="BH314" i="10" s="1"/>
  <c r="BC244" i="10"/>
  <c r="BC189" i="10"/>
  <c r="AU251" i="10"/>
  <c r="AU292" i="10"/>
  <c r="AW268" i="10"/>
  <c r="AW245" i="10"/>
  <c r="AW181" i="10"/>
  <c r="AW183" i="10"/>
  <c r="BW282" i="10"/>
  <c r="BW290" i="10"/>
  <c r="BW283" i="10"/>
  <c r="BW324" i="10"/>
  <c r="BW252" i="10"/>
  <c r="BW262" i="10"/>
  <c r="BW258" i="10"/>
  <c r="BD324" i="10"/>
  <c r="BD290" i="10"/>
  <c r="BD252" i="10"/>
  <c r="BD289" i="10"/>
  <c r="BD262" i="10"/>
  <c r="BD258" i="10"/>
  <c r="BD282" i="10"/>
  <c r="BD283" i="10"/>
  <c r="BU306" i="10"/>
  <c r="BU300" i="10"/>
  <c r="BU277" i="10"/>
  <c r="BU276" i="10"/>
  <c r="BU291" i="10"/>
  <c r="BU279" i="10"/>
  <c r="BU278" i="10"/>
  <c r="BU270" i="10"/>
  <c r="BU242" i="10"/>
  <c r="BU254" i="10"/>
  <c r="BU265" i="10"/>
  <c r="BU256" i="10"/>
  <c r="BU260" i="10"/>
  <c r="BU311" i="10"/>
  <c r="BU325" i="10"/>
  <c r="BN244" i="10"/>
  <c r="BN296" i="10"/>
  <c r="BK295" i="10"/>
  <c r="BK267" i="10"/>
  <c r="BK255" i="10"/>
  <c r="BK271" i="10"/>
  <c r="BK249" i="10"/>
  <c r="BK243" i="10"/>
  <c r="BX292" i="10"/>
  <c r="BX251" i="10"/>
  <c r="BZ284" i="10"/>
  <c r="CA284" i="10" s="1"/>
  <c r="BV181" i="10"/>
  <c r="BV182" i="10"/>
  <c r="BV183" i="10"/>
  <c r="BV268" i="10"/>
  <c r="BV245" i="10"/>
  <c r="CB181" i="10"/>
  <c r="CB182" i="10"/>
  <c r="CB183" i="10"/>
  <c r="CB245" i="10"/>
  <c r="CB268" i="10"/>
  <c r="BD323" i="10"/>
  <c r="BD320" i="10"/>
  <c r="BD322" i="10"/>
  <c r="BD321" i="10"/>
  <c r="BD277" i="10"/>
  <c r="BD305" i="10"/>
  <c r="BD301" i="10"/>
  <c r="BD285" i="10"/>
  <c r="BD306" i="10"/>
  <c r="BD291" i="10"/>
  <c r="BD265" i="10"/>
  <c r="BD313" i="10"/>
  <c r="BD270" i="10"/>
  <c r="BD312" i="10"/>
  <c r="BD287" i="10"/>
  <c r="BD254" i="10"/>
  <c r="BD286" i="10"/>
  <c r="BD300" i="10"/>
  <c r="BD288" i="10"/>
  <c r="BD242" i="10"/>
  <c r="BD256" i="10"/>
  <c r="BD260" i="10"/>
  <c r="BD311" i="10"/>
  <c r="BD325" i="10"/>
  <c r="BD278" i="10"/>
  <c r="BD279" i="10"/>
  <c r="BD276" i="10"/>
  <c r="BU292" i="10"/>
  <c r="BU251" i="10"/>
  <c r="AX253" i="10"/>
  <c r="AX264" i="10"/>
  <c r="BG322" i="10"/>
  <c r="BG320" i="10"/>
  <c r="BG321" i="10"/>
  <c r="BG323" i="10"/>
  <c r="BG254" i="10"/>
  <c r="BG300" i="10"/>
  <c r="BG286" i="10"/>
  <c r="BG313" i="10"/>
  <c r="BG305" i="10"/>
  <c r="BG301" i="10"/>
  <c r="BG306" i="10"/>
  <c r="BG277" i="10"/>
  <c r="BG270" i="10"/>
  <c r="BG312" i="10"/>
  <c r="BG287" i="10"/>
  <c r="BG265" i="10"/>
  <c r="BG288" i="10"/>
  <c r="BG285" i="10"/>
  <c r="BG291" i="10"/>
  <c r="BG242" i="10"/>
  <c r="BG256" i="10"/>
  <c r="BG260" i="10"/>
  <c r="BG311" i="10"/>
  <c r="BG325" i="10"/>
  <c r="BG278" i="10"/>
  <c r="BG279" i="10"/>
  <c r="BG276" i="10"/>
  <c r="BN181" i="10"/>
  <c r="BN182" i="10"/>
  <c r="BN183" i="10"/>
  <c r="BN245" i="10"/>
  <c r="BN268" i="10"/>
  <c r="CD289" i="10"/>
  <c r="CD290" i="10"/>
  <c r="CD262" i="10"/>
  <c r="CD252" i="10"/>
  <c r="CD324" i="10"/>
  <c r="CD258" i="10"/>
  <c r="CD282" i="10"/>
  <c r="CD283" i="10"/>
  <c r="CD303" i="10"/>
  <c r="CD247" i="10"/>
  <c r="BA266" i="10"/>
  <c r="BB266" i="10" s="1"/>
  <c r="BI266" i="10" s="1"/>
  <c r="BP290" i="10"/>
  <c r="BP282" i="10"/>
  <c r="BP283" i="10"/>
  <c r="BP252" i="10"/>
  <c r="BP262" i="10"/>
  <c r="BP324" i="10"/>
  <c r="BP258" i="10"/>
  <c r="BF180" i="10"/>
  <c r="BF185" i="10"/>
  <c r="BF182" i="10"/>
  <c r="BF184" i="10"/>
  <c r="BF183" i="10"/>
  <c r="BF268" i="10"/>
  <c r="BF181" i="10"/>
  <c r="BF245" i="10"/>
  <c r="CB267" i="10"/>
  <c r="CB271" i="10"/>
  <c r="CB243" i="10"/>
  <c r="CB255" i="10"/>
  <c r="CB295" i="10"/>
  <c r="CB249" i="10"/>
  <c r="BW244" i="10"/>
  <c r="BW296" i="10"/>
  <c r="BD303" i="10"/>
  <c r="BD247" i="10"/>
  <c r="AX251" i="10"/>
  <c r="AX292" i="10"/>
  <c r="AX324" i="10"/>
  <c r="AX252" i="10"/>
  <c r="AX262" i="10"/>
  <c r="AX290" i="10"/>
  <c r="AX283" i="10"/>
  <c r="AX282" i="10"/>
  <c r="BN267" i="10"/>
  <c r="BN255" i="10"/>
  <c r="BN249" i="10"/>
  <c r="BN243" i="10"/>
  <c r="BN271" i="10"/>
  <c r="BN295" i="10"/>
  <c r="BC303" i="10"/>
  <c r="BH303" i="10" s="1"/>
  <c r="BC247" i="10"/>
  <c r="CC223" i="10"/>
  <c r="CC149" i="10"/>
  <c r="BM296" i="10"/>
  <c r="BM244" i="10"/>
  <c r="BM183" i="10"/>
  <c r="BM181" i="10"/>
  <c r="BM182" i="10"/>
  <c r="BM245" i="10"/>
  <c r="BM268" i="10"/>
  <c r="BR292" i="10"/>
  <c r="BR251" i="10"/>
  <c r="AS264" i="10"/>
  <c r="AS253" i="10"/>
  <c r="BP296" i="10"/>
  <c r="BP244" i="10"/>
  <c r="BV255" i="10"/>
  <c r="BV271" i="10"/>
  <c r="BV243" i="10"/>
  <c r="BV295" i="10"/>
  <c r="BV249" i="10"/>
  <c r="BV267" i="10"/>
  <c r="BF309" i="10"/>
  <c r="BF310" i="10"/>
  <c r="BF273" i="10"/>
  <c r="BE253" i="10"/>
  <c r="BE264" i="10"/>
  <c r="BE227" i="10"/>
  <c r="AZ309" i="10"/>
  <c r="AZ273" i="10"/>
  <c r="AZ244" i="10"/>
  <c r="AZ296" i="10"/>
  <c r="AY309" i="10"/>
  <c r="AY273" i="10"/>
  <c r="AR324" i="10"/>
  <c r="AR290" i="10"/>
  <c r="AR262" i="10"/>
  <c r="AR252" i="10"/>
  <c r="AR283" i="10"/>
  <c r="AR282" i="10"/>
  <c r="AR244" i="10"/>
  <c r="AR296" i="10"/>
  <c r="AV292" i="10"/>
  <c r="AV251" i="10"/>
  <c r="AX309" i="10"/>
  <c r="AX273" i="10"/>
  <c r="BL181" i="10"/>
  <c r="BQ181" i="10" s="1"/>
  <c r="BL183" i="10"/>
  <c r="BL182" i="10"/>
  <c r="BL245" i="10"/>
  <c r="BL268" i="10"/>
  <c r="BN282" i="10"/>
  <c r="BN283" i="10"/>
  <c r="BN290" i="10"/>
  <c r="BN324" i="10"/>
  <c r="BQ324" i="10" s="1"/>
  <c r="BN252" i="10"/>
  <c r="BN262" i="10"/>
  <c r="BN258" i="10"/>
  <c r="BK182" i="10"/>
  <c r="BK183" i="10"/>
  <c r="BK181" i="10"/>
  <c r="BK268" i="10"/>
  <c r="BK245" i="10"/>
  <c r="BQ245" i="10" s="1"/>
  <c r="BC309" i="10"/>
  <c r="BC310" i="10"/>
  <c r="BC273" i="10"/>
  <c r="AP309" i="10"/>
  <c r="AP273" i="10"/>
  <c r="AP324" i="10"/>
  <c r="AP290" i="10"/>
  <c r="AP262" i="10"/>
  <c r="AT262" i="10" s="1"/>
  <c r="AP252" i="10"/>
  <c r="AT252" i="10" s="1"/>
  <c r="AP283" i="10"/>
  <c r="AP282" i="10"/>
  <c r="CC290" i="10"/>
  <c r="CC252" i="10"/>
  <c r="CC317" i="10"/>
  <c r="CC174" i="10"/>
  <c r="CC324" i="10"/>
  <c r="CC269" i="10"/>
  <c r="CC241" i="10"/>
  <c r="CC316" i="10"/>
  <c r="CC262" i="10"/>
  <c r="CC197" i="10"/>
  <c r="CC282" i="10"/>
  <c r="CC211" i="10"/>
  <c r="CC283" i="10"/>
  <c r="CC264" i="10"/>
  <c r="CC253" i="10"/>
  <c r="CC216" i="10"/>
  <c r="CC221" i="10"/>
  <c r="CC219" i="10"/>
  <c r="CC183" i="10"/>
  <c r="CC181" i="10"/>
  <c r="CC217" i="10"/>
  <c r="CC153" i="10"/>
  <c r="CC268" i="10"/>
  <c r="CC220" i="10"/>
  <c r="CC218" i="10"/>
  <c r="CC204" i="10"/>
  <c r="CC245" i="10"/>
  <c r="CC160" i="10"/>
  <c r="BQ282" i="10"/>
  <c r="BQ253" i="10"/>
  <c r="AV54" i="8"/>
  <c r="AV38" i="8"/>
  <c r="AV57" i="8"/>
  <c r="AV41" i="8"/>
  <c r="AV50" i="8"/>
  <c r="AV34" i="8"/>
  <c r="AV53" i="8"/>
  <c r="AV37" i="8"/>
  <c r="AV46" i="8"/>
  <c r="AV49" i="8"/>
  <c r="AV40" i="8"/>
  <c r="AV36" i="8"/>
  <c r="AV51" i="8"/>
  <c r="AV39" i="8"/>
  <c r="AV44" i="8"/>
  <c r="AV35" i="8"/>
  <c r="AV42" i="8"/>
  <c r="AV45" i="8"/>
  <c r="AV43" i="8"/>
  <c r="AV33" i="8"/>
  <c r="AV56" i="8"/>
  <c r="AV48" i="8"/>
  <c r="AV52" i="8"/>
  <c r="AV47" i="8"/>
  <c r="AV55" i="8"/>
  <c r="AT83" i="8"/>
  <c r="AT67" i="8"/>
  <c r="AT78" i="8"/>
  <c r="CF187" i="10" s="1"/>
  <c r="AT62" i="8"/>
  <c r="AT73" i="8"/>
  <c r="AT76" i="8"/>
  <c r="AT69" i="8"/>
  <c r="CF284" i="10" s="1"/>
  <c r="AT86" i="8"/>
  <c r="AT84" i="8"/>
  <c r="CF161" i="10" s="1"/>
  <c r="AT71" i="8"/>
  <c r="AT82" i="8"/>
  <c r="AT81" i="8"/>
  <c r="AT85" i="8"/>
  <c r="AT79" i="8"/>
  <c r="AT63" i="8"/>
  <c r="AT74" i="8"/>
  <c r="AT65" i="8"/>
  <c r="AT80" i="8"/>
  <c r="AT77" i="8"/>
  <c r="CF266" i="10" s="1"/>
  <c r="AT75" i="8"/>
  <c r="AT70" i="8"/>
  <c r="AT72" i="8"/>
  <c r="AT66" i="8"/>
  <c r="AT64" i="8"/>
  <c r="AT68" i="8"/>
  <c r="AV74" i="8"/>
  <c r="AV85" i="8"/>
  <c r="AV69" i="8"/>
  <c r="CG284" i="10" s="1"/>
  <c r="AV80" i="8"/>
  <c r="AV63" i="8"/>
  <c r="AV68" i="8"/>
  <c r="AV82" i="8"/>
  <c r="AV66" i="8"/>
  <c r="AV75" i="8"/>
  <c r="AV83" i="8"/>
  <c r="AV76" i="8"/>
  <c r="AV78" i="8"/>
  <c r="CG187" i="10" s="1"/>
  <c r="AV73" i="8"/>
  <c r="AV67" i="8"/>
  <c r="AV86" i="8"/>
  <c r="AV70" i="8"/>
  <c r="AV81" i="8"/>
  <c r="AV65" i="8"/>
  <c r="AV72" i="8"/>
  <c r="AV77" i="8"/>
  <c r="CG266" i="10" s="1"/>
  <c r="AV64" i="8"/>
  <c r="AV79" i="8"/>
  <c r="AV62" i="8"/>
  <c r="AV71" i="8"/>
  <c r="AV84" i="8"/>
  <c r="CG161" i="10" s="1"/>
  <c r="AR76" i="8"/>
  <c r="AR71" i="8"/>
  <c r="AR66" i="8"/>
  <c r="AR81" i="8"/>
  <c r="AR84" i="8"/>
  <c r="CE161" i="10" s="1"/>
  <c r="AR68" i="8"/>
  <c r="AR79" i="8"/>
  <c r="AR80" i="8"/>
  <c r="AR75" i="8"/>
  <c r="AR74" i="8"/>
  <c r="AR70" i="8"/>
  <c r="AR72" i="8"/>
  <c r="AR83" i="8"/>
  <c r="AR67" i="8"/>
  <c r="AR73" i="8"/>
  <c r="AR85" i="8"/>
  <c r="AR78" i="8"/>
  <c r="CE187" i="10" s="1"/>
  <c r="AR63" i="8"/>
  <c r="AR82" i="8"/>
  <c r="AR65" i="8"/>
  <c r="AR86" i="8"/>
  <c r="AR69" i="8"/>
  <c r="CE284" i="10" s="1"/>
  <c r="AR62" i="8"/>
  <c r="AR64" i="8"/>
  <c r="AR77" i="8"/>
  <c r="CE266" i="10" s="1"/>
  <c r="AT47" i="8"/>
  <c r="AT50" i="8"/>
  <c r="AT34" i="8"/>
  <c r="AT43" i="8"/>
  <c r="AT46" i="8"/>
  <c r="AT39" i="8"/>
  <c r="AT42" i="8"/>
  <c r="AT33" i="8"/>
  <c r="AT53" i="8"/>
  <c r="AT44" i="8"/>
  <c r="AT48" i="8"/>
  <c r="AT51" i="8"/>
  <c r="AT54" i="8"/>
  <c r="AT41" i="8"/>
  <c r="AT36" i="8"/>
  <c r="AT40" i="8"/>
  <c r="AT35" i="8"/>
  <c r="AT38" i="8"/>
  <c r="AT57" i="8"/>
  <c r="AT45" i="8"/>
  <c r="AT56" i="8"/>
  <c r="AT55" i="8"/>
  <c r="AT49" i="8"/>
  <c r="AT52" i="8"/>
  <c r="AT37" i="8"/>
  <c r="AR56" i="8"/>
  <c r="AR40" i="8"/>
  <c r="AR43" i="8"/>
  <c r="AR52" i="8"/>
  <c r="AR36" i="8"/>
  <c r="AR55" i="8"/>
  <c r="AR39" i="8"/>
  <c r="AR35" i="8"/>
  <c r="AR45" i="8"/>
  <c r="AR57" i="8"/>
  <c r="AR48" i="8"/>
  <c r="AR42" i="8"/>
  <c r="AR54" i="8"/>
  <c r="AR53" i="8"/>
  <c r="AR44" i="8"/>
  <c r="AR47" i="8"/>
  <c r="AR34" i="8"/>
  <c r="AR38" i="8"/>
  <c r="AR33" i="8"/>
  <c r="AR46" i="8"/>
  <c r="AR37" i="8"/>
  <c r="AR50" i="8"/>
  <c r="AR49" i="8"/>
  <c r="AR51" i="8"/>
  <c r="AR41" i="8"/>
  <c r="AS94" i="8"/>
  <c r="AS104" i="8"/>
  <c r="AS103" i="8"/>
  <c r="AS109" i="8"/>
  <c r="AS96" i="8"/>
  <c r="AS95" i="8"/>
  <c r="AS110" i="8"/>
  <c r="AS105" i="8"/>
  <c r="AS92" i="8"/>
  <c r="AS102" i="8"/>
  <c r="AS97" i="8"/>
  <c r="AS111" i="8"/>
  <c r="AS99" i="8"/>
  <c r="AS98" i="8"/>
  <c r="AS108" i="8"/>
  <c r="AS91" i="8"/>
  <c r="AS113" i="8"/>
  <c r="AS100" i="8"/>
  <c r="AS101" i="8"/>
  <c r="AS115" i="8"/>
  <c r="AS114" i="8"/>
  <c r="AS93" i="8"/>
  <c r="AS107" i="8"/>
  <c r="AS106" i="8"/>
  <c r="AS112" i="8"/>
  <c r="AU108" i="8"/>
  <c r="AU103" i="8"/>
  <c r="AU92" i="8"/>
  <c r="AU114" i="8"/>
  <c r="AU97" i="8"/>
  <c r="AU109" i="8"/>
  <c r="AU99" i="8"/>
  <c r="AU98" i="8"/>
  <c r="AU106" i="8"/>
  <c r="AU91" i="8"/>
  <c r="AU111" i="8"/>
  <c r="AU100" i="8"/>
  <c r="AU101" i="8"/>
  <c r="AU113" i="8"/>
  <c r="AU112" i="8"/>
  <c r="AU93" i="8"/>
  <c r="AU105" i="8"/>
  <c r="AU104" i="8"/>
  <c r="AU110" i="8"/>
  <c r="AU94" i="8"/>
  <c r="AU102" i="8"/>
  <c r="AU115" i="8"/>
  <c r="AU107" i="8"/>
  <c r="AU96" i="8"/>
  <c r="AU95" i="8"/>
  <c r="AQ108" i="8"/>
  <c r="AQ97" i="8"/>
  <c r="AQ92" i="8"/>
  <c r="AQ114" i="8"/>
  <c r="AQ110" i="8"/>
  <c r="AQ109" i="8"/>
  <c r="AQ99" i="8"/>
  <c r="AQ98" i="8"/>
  <c r="AQ106" i="8"/>
  <c r="AQ91" i="8"/>
  <c r="AQ103" i="8"/>
  <c r="AQ100" i="8"/>
  <c r="AQ113" i="8"/>
  <c r="AQ112" i="8"/>
  <c r="AQ101" i="8"/>
  <c r="AQ105" i="8"/>
  <c r="AQ104" i="8"/>
  <c r="AQ93" i="8"/>
  <c r="AQ94" i="8"/>
  <c r="AQ102" i="8"/>
  <c r="AQ115" i="8"/>
  <c r="AQ111" i="8"/>
  <c r="AQ96" i="8"/>
  <c r="AQ95" i="8"/>
  <c r="AQ107" i="8"/>
  <c r="BA183" i="10" l="1"/>
  <c r="AT273" i="10"/>
  <c r="BH309" i="10"/>
  <c r="BQ183" i="10"/>
  <c r="CA183" i="10" s="1"/>
  <c r="CH183" i="10" s="1"/>
  <c r="BQ182" i="10"/>
  <c r="CH284" i="10"/>
  <c r="BQ295" i="10"/>
  <c r="BQ242" i="10"/>
  <c r="BQ279" i="10"/>
  <c r="BQ300" i="10"/>
  <c r="BA324" i="10"/>
  <c r="AT291" i="10"/>
  <c r="BH196" i="10"/>
  <c r="BH295" i="10"/>
  <c r="BH301" i="10"/>
  <c r="BH324" i="10"/>
  <c r="BQ264" i="10"/>
  <c r="BQ296" i="10"/>
  <c r="BQ258" i="10"/>
  <c r="BZ306" i="10"/>
  <c r="CA306" i="10" s="1"/>
  <c r="BQ251" i="10"/>
  <c r="BH271" i="10"/>
  <c r="BH312" i="10"/>
  <c r="AT181" i="10"/>
  <c r="AT290" i="10"/>
  <c r="BQ268" i="10"/>
  <c r="BQ255" i="10"/>
  <c r="BH281" i="10"/>
  <c r="BQ256" i="10"/>
  <c r="BQ291" i="10"/>
  <c r="BH181" i="10"/>
  <c r="BH292" i="10"/>
  <c r="BZ182" i="10"/>
  <c r="BQ283" i="10"/>
  <c r="CA283" i="10" s="1"/>
  <c r="CH283" i="10" s="1"/>
  <c r="BQ292" i="10"/>
  <c r="BH193" i="10"/>
  <c r="BQ271" i="10"/>
  <c r="AT324" i="10"/>
  <c r="BQ243" i="10"/>
  <c r="BQ267" i="10"/>
  <c r="CA267" i="10" s="1"/>
  <c r="CH267" i="10" s="1"/>
  <c r="BH251" i="10"/>
  <c r="BQ311" i="10"/>
  <c r="BQ306" i="10"/>
  <c r="AT279" i="10"/>
  <c r="BH278" i="10"/>
  <c r="BH291" i="10"/>
  <c r="BH300" i="10"/>
  <c r="BH289" i="10"/>
  <c r="BQ244" i="10"/>
  <c r="AT249" i="10"/>
  <c r="BQ252" i="10"/>
  <c r="BQ277" i="10"/>
  <c r="CA255" i="10"/>
  <c r="BA276" i="10"/>
  <c r="CG227" i="10"/>
  <c r="CG264" i="10"/>
  <c r="CG253" i="10"/>
  <c r="BZ242" i="10"/>
  <c r="CA242" i="10" s="1"/>
  <c r="CH242" i="10" s="1"/>
  <c r="BA267" i="10"/>
  <c r="AT276" i="10"/>
  <c r="BA236" i="10"/>
  <c r="CH266" i="10"/>
  <c r="CP266" i="10" s="1"/>
  <c r="AY266" i="1" s="1"/>
  <c r="CE186" i="10"/>
  <c r="CE178" i="10"/>
  <c r="CE179" i="10"/>
  <c r="CE215" i="10"/>
  <c r="CE177" i="10"/>
  <c r="CE176" i="10"/>
  <c r="CE213" i="10"/>
  <c r="CE243" i="10"/>
  <c r="CE295" i="10"/>
  <c r="CE255" i="10"/>
  <c r="CE267" i="10"/>
  <c r="CE271" i="10"/>
  <c r="CE249" i="10"/>
  <c r="BZ325" i="10"/>
  <c r="CA325" i="10" s="1"/>
  <c r="AT264" i="10"/>
  <c r="AT278" i="10"/>
  <c r="BA263" i="10"/>
  <c r="BH267" i="10"/>
  <c r="BH325" i="10"/>
  <c r="BH277" i="10"/>
  <c r="BH283" i="10"/>
  <c r="BA325" i="10"/>
  <c r="BA254" i="10"/>
  <c r="BZ262" i="10"/>
  <c r="CA262" i="10" s="1"/>
  <c r="CH262" i="10" s="1"/>
  <c r="CE310" i="10"/>
  <c r="CE309" i="10"/>
  <c r="CE273" i="10"/>
  <c r="CG181" i="10"/>
  <c r="CG184" i="10"/>
  <c r="CG180" i="10"/>
  <c r="CG182" i="10"/>
  <c r="CG185" i="10"/>
  <c r="CG183" i="10"/>
  <c r="CG245" i="10"/>
  <c r="CG268" i="10"/>
  <c r="CF227" i="10"/>
  <c r="CF264" i="10"/>
  <c r="CF253" i="10"/>
  <c r="CF182" i="10"/>
  <c r="CF185" i="10"/>
  <c r="CF183" i="10"/>
  <c r="CF184" i="10"/>
  <c r="CF180" i="10"/>
  <c r="CF181" i="10"/>
  <c r="CF268" i="10"/>
  <c r="CF245" i="10"/>
  <c r="BB324" i="10"/>
  <c r="BA292" i="10"/>
  <c r="BH280" i="10"/>
  <c r="BH268" i="10"/>
  <c r="BZ311" i="10"/>
  <c r="CA311" i="10" s="1"/>
  <c r="BZ291" i="10"/>
  <c r="CA291" i="10" s="1"/>
  <c r="BZ267" i="10"/>
  <c r="BZ181" i="10"/>
  <c r="CA181" i="10" s="1"/>
  <c r="BA282" i="10"/>
  <c r="AT253" i="10"/>
  <c r="BB253" i="10" s="1"/>
  <c r="BI253" i="10" s="1"/>
  <c r="AT325" i="10"/>
  <c r="BB325" i="10" s="1"/>
  <c r="AT254" i="10"/>
  <c r="BB254" i="10" s="1"/>
  <c r="BI254" i="10" s="1"/>
  <c r="BH192" i="10"/>
  <c r="BH215" i="10"/>
  <c r="AT236" i="10"/>
  <c r="BB236" i="10" s="1"/>
  <c r="BH311" i="10"/>
  <c r="BH305" i="10"/>
  <c r="BH242" i="10"/>
  <c r="BH282" i="10"/>
  <c r="BA311" i="10"/>
  <c r="BA291" i="10"/>
  <c r="AT292" i="10"/>
  <c r="BB292" i="10" s="1"/>
  <c r="BI292" i="10" s="1"/>
  <c r="BZ324" i="10"/>
  <c r="CA324" i="10" s="1"/>
  <c r="BH180" i="10"/>
  <c r="CA268" i="10"/>
  <c r="AT255" i="10"/>
  <c r="CF310" i="10"/>
  <c r="CF309" i="10"/>
  <c r="CF273" i="10"/>
  <c r="BH254" i="10"/>
  <c r="AT271" i="10"/>
  <c r="BB271" i="10" s="1"/>
  <c r="BI271" i="10" s="1"/>
  <c r="AT268" i="10"/>
  <c r="BZ271" i="10"/>
  <c r="CA271" i="10" s="1"/>
  <c r="BA264" i="10"/>
  <c r="CG310" i="10"/>
  <c r="CG309" i="10"/>
  <c r="CG273" i="10"/>
  <c r="CF292" i="10"/>
  <c r="CF251" i="10"/>
  <c r="BA251" i="10"/>
  <c r="BZ276" i="10"/>
  <c r="CA276" i="10" s="1"/>
  <c r="CH276" i="10" s="1"/>
  <c r="AT311" i="10"/>
  <c r="BZ253" i="10"/>
  <c r="CA253" i="10" s="1"/>
  <c r="BH179" i="10"/>
  <c r="AT263" i="10"/>
  <c r="BH265" i="10"/>
  <c r="BA320" i="10"/>
  <c r="AT251" i="10"/>
  <c r="BB251" i="10" s="1"/>
  <c r="BI251" i="10" s="1"/>
  <c r="CE280" i="10"/>
  <c r="CE314" i="10"/>
  <c r="CE315" i="10"/>
  <c r="CE189" i="10"/>
  <c r="CE281" i="10"/>
  <c r="CE188" i="10"/>
  <c r="CE244" i="10"/>
  <c r="CE296" i="10"/>
  <c r="CG195" i="10"/>
  <c r="CG193" i="10"/>
  <c r="CG192" i="10"/>
  <c r="CG194" i="10"/>
  <c r="CG236" i="10"/>
  <c r="CG196" i="10"/>
  <c r="CG190" i="10"/>
  <c r="CG191" i="10"/>
  <c r="CG263" i="10"/>
  <c r="CF215" i="10"/>
  <c r="CF176" i="10"/>
  <c r="CF178" i="10"/>
  <c r="CF179" i="10"/>
  <c r="CF177" i="10"/>
  <c r="CF213" i="10"/>
  <c r="CF186" i="10"/>
  <c r="CF243" i="10"/>
  <c r="CF249" i="10"/>
  <c r="CF295" i="10"/>
  <c r="CF255" i="10"/>
  <c r="CF271" i="10"/>
  <c r="CF267" i="10"/>
  <c r="CF320" i="10"/>
  <c r="CF305" i="10"/>
  <c r="CF287" i="10"/>
  <c r="CF300" i="10"/>
  <c r="CF312" i="10"/>
  <c r="CF321" i="10"/>
  <c r="CF285" i="10"/>
  <c r="CF323" i="10"/>
  <c r="CF301" i="10"/>
  <c r="CF322" i="10"/>
  <c r="CF288" i="10"/>
  <c r="CF313" i="10"/>
  <c r="CF286" i="10"/>
  <c r="CF306" i="10"/>
  <c r="CF277" i="10"/>
  <c r="CF291" i="10"/>
  <c r="CF278" i="10"/>
  <c r="CF276" i="10"/>
  <c r="CF279" i="10"/>
  <c r="CF265" i="10"/>
  <c r="CF254" i="10"/>
  <c r="CF242" i="10"/>
  <c r="CF270" i="10"/>
  <c r="CF256" i="10"/>
  <c r="CF260" i="10"/>
  <c r="CF311" i="10"/>
  <c r="CF325" i="10"/>
  <c r="AT309" i="10"/>
  <c r="BZ292" i="10"/>
  <c r="CA292" i="10" s="1"/>
  <c r="BH315" i="10"/>
  <c r="BH182" i="10"/>
  <c r="BA181" i="10"/>
  <c r="BZ256" i="10"/>
  <c r="CA256" i="10" s="1"/>
  <c r="BZ279" i="10"/>
  <c r="CA279" i="10" s="1"/>
  <c r="BZ249" i="10"/>
  <c r="CA249" i="10" s="1"/>
  <c r="BA249" i="10"/>
  <c r="BB249" i="10" s="1"/>
  <c r="BZ244" i="10"/>
  <c r="CA244" i="10" s="1"/>
  <c r="BA252" i="10"/>
  <c r="AT277" i="10"/>
  <c r="AT320" i="10"/>
  <c r="BB320" i="10" s="1"/>
  <c r="BA309" i="10"/>
  <c r="BZ264" i="10"/>
  <c r="CA264" i="10" s="1"/>
  <c r="BH195" i="10"/>
  <c r="BH236" i="10"/>
  <c r="BH177" i="10"/>
  <c r="BH213" i="10"/>
  <c r="AT296" i="10"/>
  <c r="BH256" i="10"/>
  <c r="BH286" i="10"/>
  <c r="BH306" i="10"/>
  <c r="BH252" i="10"/>
  <c r="BA306" i="10"/>
  <c r="AT267" i="10"/>
  <c r="BI284" i="10"/>
  <c r="CP284" i="10" s="1"/>
  <c r="AY284" i="1" s="1"/>
  <c r="BZ283" i="10"/>
  <c r="CE288" i="10"/>
  <c r="CE301" i="10"/>
  <c r="CE285" i="10"/>
  <c r="CE322" i="10"/>
  <c r="CE306" i="10"/>
  <c r="CE312" i="10"/>
  <c r="CE313" i="10"/>
  <c r="CE323" i="10"/>
  <c r="CE287" i="10"/>
  <c r="CE300" i="10"/>
  <c r="CE321" i="10"/>
  <c r="CE305" i="10"/>
  <c r="CE320" i="10"/>
  <c r="CE286" i="10"/>
  <c r="CE277" i="10"/>
  <c r="CE291" i="10"/>
  <c r="CE279" i="10"/>
  <c r="CE278" i="10"/>
  <c r="CE276" i="10"/>
  <c r="CE270" i="10"/>
  <c r="CE254" i="10"/>
  <c r="CE242" i="10"/>
  <c r="CE265" i="10"/>
  <c r="CE256" i="10"/>
  <c r="CE260" i="10"/>
  <c r="CE311" i="10"/>
  <c r="CE325" i="10"/>
  <c r="BZ270" i="10"/>
  <c r="CA270" i="10" s="1"/>
  <c r="BH323" i="10"/>
  <c r="CG280" i="10"/>
  <c r="CG189" i="10"/>
  <c r="CG314" i="10"/>
  <c r="CG281" i="10"/>
  <c r="CG188" i="10"/>
  <c r="CG315" i="10"/>
  <c r="CG296" i="10"/>
  <c r="CG244" i="10"/>
  <c r="CF289" i="10"/>
  <c r="CF283" i="10"/>
  <c r="CF282" i="10"/>
  <c r="CF290" i="10"/>
  <c r="CF252" i="10"/>
  <c r="CF262" i="10"/>
  <c r="CF324" i="10"/>
  <c r="CF258" i="10"/>
  <c r="BH190" i="10"/>
  <c r="BH243" i="10"/>
  <c r="BH279" i="10"/>
  <c r="BA278" i="10"/>
  <c r="CE190" i="10"/>
  <c r="CE236" i="10"/>
  <c r="CE196" i="10"/>
  <c r="CE192" i="10"/>
  <c r="CE191" i="10"/>
  <c r="CE194" i="10"/>
  <c r="CE195" i="10"/>
  <c r="CE193" i="10"/>
  <c r="CE263" i="10"/>
  <c r="CG303" i="10"/>
  <c r="CG247" i="10"/>
  <c r="BH245" i="10"/>
  <c r="BZ183" i="10"/>
  <c r="AT242" i="10"/>
  <c r="CE184" i="10"/>
  <c r="CE185" i="10"/>
  <c r="CE180" i="10"/>
  <c r="CE182" i="10"/>
  <c r="CE183" i="10"/>
  <c r="CE181" i="10"/>
  <c r="CE268" i="10"/>
  <c r="CE245" i="10"/>
  <c r="CG213" i="10"/>
  <c r="CG178" i="10"/>
  <c r="CG179" i="10"/>
  <c r="CG176" i="10"/>
  <c r="CG186" i="10"/>
  <c r="CG177" i="10"/>
  <c r="CG215" i="10"/>
  <c r="CG243" i="10"/>
  <c r="CG249" i="10"/>
  <c r="CG267" i="10"/>
  <c r="CG255" i="10"/>
  <c r="CG295" i="10"/>
  <c r="CG271" i="10"/>
  <c r="BH296" i="10"/>
  <c r="BZ243" i="10"/>
  <c r="CA243" i="10" s="1"/>
  <c r="BA283" i="10"/>
  <c r="BH263" i="10"/>
  <c r="BH285" i="10"/>
  <c r="BA277" i="10"/>
  <c r="BZ290" i="10"/>
  <c r="CA290" i="10" s="1"/>
  <c r="CE303" i="10"/>
  <c r="CE247" i="10"/>
  <c r="CE292" i="10"/>
  <c r="CE251" i="10"/>
  <c r="CF303" i="10"/>
  <c r="CF247" i="10"/>
  <c r="CF192" i="10"/>
  <c r="CF196" i="10"/>
  <c r="CF190" i="10"/>
  <c r="CF193" i="10"/>
  <c r="CF195" i="10"/>
  <c r="CF194" i="10"/>
  <c r="CF236" i="10"/>
  <c r="CF191" i="10"/>
  <c r="CF263" i="10"/>
  <c r="AT282" i="10"/>
  <c r="BB282" i="10" s="1"/>
  <c r="BH273" i="10"/>
  <c r="BH189" i="10"/>
  <c r="BH227" i="10"/>
  <c r="BH185" i="10"/>
  <c r="BA268" i="10"/>
  <c r="BZ265" i="10"/>
  <c r="CA265" i="10" s="1"/>
  <c r="BZ277" i="10"/>
  <c r="BZ255" i="10"/>
  <c r="BA255" i="10"/>
  <c r="BZ296" i="10"/>
  <c r="CA296" i="10" s="1"/>
  <c r="BA290" i="10"/>
  <c r="BB290" i="10" s="1"/>
  <c r="AT265" i="10"/>
  <c r="BA296" i="10"/>
  <c r="BH194" i="10"/>
  <c r="BH249" i="10"/>
  <c r="BH176" i="10"/>
  <c r="AT244" i="10"/>
  <c r="BH313" i="10"/>
  <c r="BH288" i="10"/>
  <c r="BH320" i="10"/>
  <c r="BH290" i="10"/>
  <c r="BA270" i="10"/>
  <c r="AT295" i="10"/>
  <c r="BB295" i="10" s="1"/>
  <c r="BI295" i="10" s="1"/>
  <c r="BZ282" i="10"/>
  <c r="CA282" i="10" s="1"/>
  <c r="AT245" i="10"/>
  <c r="BB252" i="10"/>
  <c r="BH255" i="10"/>
  <c r="BA242" i="10"/>
  <c r="BZ258" i="10"/>
  <c r="CA258" i="10" s="1"/>
  <c r="BH321" i="10"/>
  <c r="BA265" i="10"/>
  <c r="BZ252" i="10"/>
  <c r="CA252" i="10" s="1"/>
  <c r="CG289" i="10"/>
  <c r="CG283" i="10"/>
  <c r="CG282" i="10"/>
  <c r="CG290" i="10"/>
  <c r="CG324" i="10"/>
  <c r="CG252" i="10"/>
  <c r="CG262" i="10"/>
  <c r="CG258" i="10"/>
  <c r="CG292" i="10"/>
  <c r="CG251" i="10"/>
  <c r="BH188" i="10"/>
  <c r="BZ278" i="10"/>
  <c r="CA278" i="10" s="1"/>
  <c r="BA243" i="10"/>
  <c r="BZ251" i="10"/>
  <c r="CA251" i="10" s="1"/>
  <c r="CH251" i="10" s="1"/>
  <c r="BH183" i="10"/>
  <c r="BZ260" i="10"/>
  <c r="CA260" i="10" s="1"/>
  <c r="AT306" i="10"/>
  <c r="BA273" i="10"/>
  <c r="BB273" i="10" s="1"/>
  <c r="BH260" i="10"/>
  <c r="BH258" i="10"/>
  <c r="CE227" i="10"/>
  <c r="CE253" i="10"/>
  <c r="CE264" i="10"/>
  <c r="CE289" i="10"/>
  <c r="CE282" i="10"/>
  <c r="CE283" i="10"/>
  <c r="CE290" i="10"/>
  <c r="CE252" i="10"/>
  <c r="CE262" i="10"/>
  <c r="CE324" i="10"/>
  <c r="CE258" i="10"/>
  <c r="CG288" i="10"/>
  <c r="CG321" i="10"/>
  <c r="CG313" i="10"/>
  <c r="CG285" i="10"/>
  <c r="CG287" i="10"/>
  <c r="CG305" i="10"/>
  <c r="CG312" i="10"/>
  <c r="CG323" i="10"/>
  <c r="CG306" i="10"/>
  <c r="CG320" i="10"/>
  <c r="CG301" i="10"/>
  <c r="CG286" i="10"/>
  <c r="CG322" i="10"/>
  <c r="CG300" i="10"/>
  <c r="CG277" i="10"/>
  <c r="CG278" i="10"/>
  <c r="CG291" i="10"/>
  <c r="CG276" i="10"/>
  <c r="CG279" i="10"/>
  <c r="CG265" i="10"/>
  <c r="CG254" i="10"/>
  <c r="CG242" i="10"/>
  <c r="CG270" i="10"/>
  <c r="CG256" i="10"/>
  <c r="CG260" i="10"/>
  <c r="CG311" i="10"/>
  <c r="CG325" i="10"/>
  <c r="CF314" i="10"/>
  <c r="CF281" i="10"/>
  <c r="CF315" i="10"/>
  <c r="CF188" i="10"/>
  <c r="CF280" i="10"/>
  <c r="CF189" i="10"/>
  <c r="CF296" i="10"/>
  <c r="CF244" i="10"/>
  <c r="AT283" i="10"/>
  <c r="BB283" i="10" s="1"/>
  <c r="BH310" i="10"/>
  <c r="BH247" i="10"/>
  <c r="BH244" i="10"/>
  <c r="BH264" i="10"/>
  <c r="BH184" i="10"/>
  <c r="BA245" i="10"/>
  <c r="BZ254" i="10"/>
  <c r="CA254" i="10" s="1"/>
  <c r="BZ300" i="10"/>
  <c r="CA300" i="10" s="1"/>
  <c r="BZ295" i="10"/>
  <c r="CA295" i="10" s="1"/>
  <c r="CH295" i="10" s="1"/>
  <c r="BA295" i="10"/>
  <c r="BZ245" i="10"/>
  <c r="CA245" i="10" s="1"/>
  <c r="CH245" i="10" s="1"/>
  <c r="BA262" i="10"/>
  <c r="BB262" i="10" s="1"/>
  <c r="BI262" i="10" s="1"/>
  <c r="AT270" i="10"/>
  <c r="BA244" i="10"/>
  <c r="BH191" i="10"/>
  <c r="BH178" i="10"/>
  <c r="BH186" i="10"/>
  <c r="BH276" i="10"/>
  <c r="BH287" i="10"/>
  <c r="BH270" i="10"/>
  <c r="BH322" i="10"/>
  <c r="BH262" i="10"/>
  <c r="BA279" i="10"/>
  <c r="BA300" i="10"/>
  <c r="BB300" i="10" s="1"/>
  <c r="BI300" i="10" s="1"/>
  <c r="AT243" i="10"/>
  <c r="BB243" i="10" s="1"/>
  <c r="BI243" i="10" s="1"/>
  <c r="AT183" i="10"/>
  <c r="BB183" i="10" s="1"/>
  <c r="AT93" i="8"/>
  <c r="AT108" i="8"/>
  <c r="AT103" i="8"/>
  <c r="AT112" i="8"/>
  <c r="AT100" i="8"/>
  <c r="AT109" i="8"/>
  <c r="AT97" i="8"/>
  <c r="AT101" i="8"/>
  <c r="AT105" i="8"/>
  <c r="AT94" i="8"/>
  <c r="AT107" i="8"/>
  <c r="AT98" i="8"/>
  <c r="AT102" i="8"/>
  <c r="AT113" i="8"/>
  <c r="AT106" i="8"/>
  <c r="AT114" i="8"/>
  <c r="AT92" i="8"/>
  <c r="AT111" i="8"/>
  <c r="AT91" i="8"/>
  <c r="AT115" i="8"/>
  <c r="AT95" i="8"/>
  <c r="AT110" i="8"/>
  <c r="AT96" i="8"/>
  <c r="AT104" i="8"/>
  <c r="AT99" i="8"/>
  <c r="AR94" i="8"/>
  <c r="AR98" i="8"/>
  <c r="AR101" i="8"/>
  <c r="AR102" i="8"/>
  <c r="AR110" i="8"/>
  <c r="AR105" i="8"/>
  <c r="AR99" i="8"/>
  <c r="AR114" i="8"/>
  <c r="AR109" i="8"/>
  <c r="AR95" i="8"/>
  <c r="AR106" i="8"/>
  <c r="AR91" i="8"/>
  <c r="AR115" i="8"/>
  <c r="AR104" i="8"/>
  <c r="AR96" i="8"/>
  <c r="AR103" i="8"/>
  <c r="AR100" i="8"/>
  <c r="AR107" i="8"/>
  <c r="AR92" i="8"/>
  <c r="AR97" i="8"/>
  <c r="AR111" i="8"/>
  <c r="AR108" i="8"/>
  <c r="AR112" i="8"/>
  <c r="AR93" i="8"/>
  <c r="AR113" i="8"/>
  <c r="AV106" i="8"/>
  <c r="AV110" i="8"/>
  <c r="AV114" i="8"/>
  <c r="AV111" i="8"/>
  <c r="AV109" i="8"/>
  <c r="AV113" i="8"/>
  <c r="AV115" i="8"/>
  <c r="AV92" i="8"/>
  <c r="AV99" i="8"/>
  <c r="AV91" i="8"/>
  <c r="AV100" i="8"/>
  <c r="AV103" i="8"/>
  <c r="AV112" i="8"/>
  <c r="AV104" i="8"/>
  <c r="AV107" i="8"/>
  <c r="AV108" i="8"/>
  <c r="AV96" i="8"/>
  <c r="AV105" i="8"/>
  <c r="AV102" i="8"/>
  <c r="AV94" i="8"/>
  <c r="AV93" i="8"/>
  <c r="AV98" i="8"/>
  <c r="AV97" i="8"/>
  <c r="AV95" i="8"/>
  <c r="AV101" i="8"/>
  <c r="CH282" i="10" l="1"/>
  <c r="CH290" i="10"/>
  <c r="CH264" i="10"/>
  <c r="CH279" i="10"/>
  <c r="BB291" i="10"/>
  <c r="BI291" i="10" s="1"/>
  <c r="CH311" i="10"/>
  <c r="BI324" i="10"/>
  <c r="CH273" i="10"/>
  <c r="CP273" i="10" s="1"/>
  <c r="AY273" i="1" s="1"/>
  <c r="CH252" i="10"/>
  <c r="CP262" i="10"/>
  <c r="AY262" i="1" s="1"/>
  <c r="BB279" i="10"/>
  <c r="CH254" i="10"/>
  <c r="CP254" i="10" s="1"/>
  <c r="AY254" i="1" s="1"/>
  <c r="CH243" i="10"/>
  <c r="CH263" i="10"/>
  <c r="CH292" i="10"/>
  <c r="CH253" i="10"/>
  <c r="CP253" i="10" s="1"/>
  <c r="AY253" i="1" s="1"/>
  <c r="CH325" i="10"/>
  <c r="CH270" i="10"/>
  <c r="CH249" i="10"/>
  <c r="CP249" i="10" s="1"/>
  <c r="AY249" i="1" s="1"/>
  <c r="CH291" i="10"/>
  <c r="CP291" i="10" s="1"/>
  <c r="AY291" i="1" s="1"/>
  <c r="BI273" i="10"/>
  <c r="BI290" i="10"/>
  <c r="CA277" i="10"/>
  <c r="CH277" i="10" s="1"/>
  <c r="BI183" i="10"/>
  <c r="CH265" i="10"/>
  <c r="BI249" i="10"/>
  <c r="BB181" i="10"/>
  <c r="BI181" i="10" s="1"/>
  <c r="BB309" i="10"/>
  <c r="BI309" i="10" s="1"/>
  <c r="BB311" i="10"/>
  <c r="BI311" i="10" s="1"/>
  <c r="BB255" i="10"/>
  <c r="CH324" i="10"/>
  <c r="CP324" i="10" s="1"/>
  <c r="AY324" i="1" s="1"/>
  <c r="BI283" i="10"/>
  <c r="CP283" i="10" s="1"/>
  <c r="AY283" i="1" s="1"/>
  <c r="CA182" i="10"/>
  <c r="CP290" i="10"/>
  <c r="AY290" i="1" s="1"/>
  <c r="CP292" i="10"/>
  <c r="AY292" i="1" s="1"/>
  <c r="CP311" i="10"/>
  <c r="AY311" i="1" s="1"/>
  <c r="BI255" i="10"/>
  <c r="CP255" i="10" s="1"/>
  <c r="AY255" i="1" s="1"/>
  <c r="BI320" i="10"/>
  <c r="BB265" i="10"/>
  <c r="BI265" i="10" s="1"/>
  <c r="CP265" i="10" s="1"/>
  <c r="AY265" i="1" s="1"/>
  <c r="CP251" i="10"/>
  <c r="AY251" i="1" s="1"/>
  <c r="BI282" i="10"/>
  <c r="CP282" i="10" s="1"/>
  <c r="AY282" i="1" s="1"/>
  <c r="BI325" i="10"/>
  <c r="CP325" i="10" s="1"/>
  <c r="AY325" i="1" s="1"/>
  <c r="CH181" i="10"/>
  <c r="CP181" i="10" s="1"/>
  <c r="AY181" i="1" s="1"/>
  <c r="CH296" i="10"/>
  <c r="BB296" i="10"/>
  <c r="BI296" i="10" s="1"/>
  <c r="CP296" i="10" s="1"/>
  <c r="AY296" i="1" s="1"/>
  <c r="BB277" i="10"/>
  <c r="BI277" i="10" s="1"/>
  <c r="CP277" i="10" s="1"/>
  <c r="AY277" i="1" s="1"/>
  <c r="CH306" i="10"/>
  <c r="BB278" i="10"/>
  <c r="BI278" i="10" s="1"/>
  <c r="BB270" i="10"/>
  <c r="BI270" i="10" s="1"/>
  <c r="CP270" i="10" s="1"/>
  <c r="AY270" i="1" s="1"/>
  <c r="BB242" i="10"/>
  <c r="BI242" i="10" s="1"/>
  <c r="CP242" i="10" s="1"/>
  <c r="AY242" i="1" s="1"/>
  <c r="BI279" i="10"/>
  <c r="CH255" i="10"/>
  <c r="CH244" i="10"/>
  <c r="CP183" i="10"/>
  <c r="AY183" i="1" s="1"/>
  <c r="CP243" i="10"/>
  <c r="AY243" i="1" s="1"/>
  <c r="BB245" i="10"/>
  <c r="BI245" i="10" s="1"/>
  <c r="CP245" i="10" s="1"/>
  <c r="AY245" i="1" s="1"/>
  <c r="BB244" i="10"/>
  <c r="BI244" i="10" s="1"/>
  <c r="CP244" i="10" s="1"/>
  <c r="AY244" i="1" s="1"/>
  <c r="BB263" i="10"/>
  <c r="BI263" i="10" s="1"/>
  <c r="CP263" i="10" s="1"/>
  <c r="AY263" i="1" s="1"/>
  <c r="BB264" i="10"/>
  <c r="BI264" i="10" s="1"/>
  <c r="CP264" i="10" s="1"/>
  <c r="AY264" i="1" s="1"/>
  <c r="CP295" i="10"/>
  <c r="AY295" i="1" s="1"/>
  <c r="BB306" i="10"/>
  <c r="BI306" i="10" s="1"/>
  <c r="CP306" i="10" s="1"/>
  <c r="AY306" i="1" s="1"/>
  <c r="CH271" i="10"/>
  <c r="CP271" i="10" s="1"/>
  <c r="AY271" i="1" s="1"/>
  <c r="BI252" i="10"/>
  <c r="CP252" i="10" s="1"/>
  <c r="AY252" i="1" s="1"/>
  <c r="BB268" i="10"/>
  <c r="BI268" i="10" s="1"/>
  <c r="CH268" i="10"/>
  <c r="CH300" i="10"/>
  <c r="CP300" i="10" s="1"/>
  <c r="AY300" i="1" s="1"/>
  <c r="CH278" i="10"/>
  <c r="BB267" i="10"/>
  <c r="BI267" i="10" s="1"/>
  <c r="CP267" i="10" s="1"/>
  <c r="AY267" i="1" s="1"/>
  <c r="BI236" i="10"/>
  <c r="BB276" i="10"/>
  <c r="BI276" i="10" s="1"/>
  <c r="CP276" i="10" s="1"/>
  <c r="AY276" i="1" s="1"/>
  <c r="Y43" i="25"/>
  <c r="CP278" i="10" l="1"/>
  <c r="AY278" i="1" s="1"/>
  <c r="CP279" i="10"/>
  <c r="AY279" i="1" s="1"/>
  <c r="CP268" i="10"/>
  <c r="AY268" i="1" s="1"/>
  <c r="V20" i="25"/>
  <c r="V27" i="25"/>
  <c r="V2" i="25"/>
  <c r="U43" i="25"/>
  <c r="V19" i="25"/>
  <c r="V29" i="25"/>
  <c r="V28" i="25"/>
  <c r="V30" i="25"/>
  <c r="V26" i="25"/>
  <c r="V43" i="25" l="1"/>
  <c r="P302" i="1" l="1"/>
  <c r="P257" i="1"/>
  <c r="P241" i="1"/>
  <c r="P294" i="1"/>
  <c r="AM294" i="10" l="1"/>
  <c r="CF294" i="10" s="1"/>
  <c r="CI294" i="10"/>
  <c r="I294" i="10"/>
  <c r="AN294" i="10"/>
  <c r="CG294" i="10" s="1"/>
  <c r="AL294" i="10"/>
  <c r="O294" i="10"/>
  <c r="CJ294" i="10"/>
  <c r="W294" i="10"/>
  <c r="BD294" i="10" s="1"/>
  <c r="U294" i="10"/>
  <c r="Y294" i="10"/>
  <c r="AN241" i="10"/>
  <c r="CG241" i="10" s="1"/>
  <c r="AM241" i="10"/>
  <c r="CF241" i="10" s="1"/>
  <c r="AL241" i="10"/>
  <c r="BJ241" i="10"/>
  <c r="AB241" i="10"/>
  <c r="CB241" i="10"/>
  <c r="BX241" i="10"/>
  <c r="BP241" i="10"/>
  <c r="BM241" i="10"/>
  <c r="BN241" i="10"/>
  <c r="BV241" i="10"/>
  <c r="CI241" i="10"/>
  <c r="I241" i="10"/>
  <c r="BU241" i="10"/>
  <c r="BK241" i="10"/>
  <c r="BL241" i="10"/>
  <c r="BS241" i="10"/>
  <c r="BY241" i="10"/>
  <c r="AF241" i="10"/>
  <c r="AG241" i="10" s="1"/>
  <c r="O241" i="10"/>
  <c r="BT241" i="10"/>
  <c r="BW241" i="10"/>
  <c r="BO241" i="10"/>
  <c r="AJ241" i="10"/>
  <c r="AK241" i="10" s="1"/>
  <c r="CJ241" i="10"/>
  <c r="W241" i="10"/>
  <c r="BD241" i="10" s="1"/>
  <c r="U241" i="10"/>
  <c r="Y241" i="10"/>
  <c r="AJ257" i="10"/>
  <c r="AK257" i="10" s="1"/>
  <c r="BJ257" i="10"/>
  <c r="BV257" i="10"/>
  <c r="BK257" i="10"/>
  <c r="BX257" i="10"/>
  <c r="CB257" i="10"/>
  <c r="AL257" i="10"/>
  <c r="BT257" i="10"/>
  <c r="AM257" i="10"/>
  <c r="CF257" i="10" s="1"/>
  <c r="AN257" i="10"/>
  <c r="CG257" i="10" s="1"/>
  <c r="CI257" i="10"/>
  <c r="BM257" i="10"/>
  <c r="BW257" i="10"/>
  <c r="BO257" i="10"/>
  <c r="BP257" i="10"/>
  <c r="AB257" i="10"/>
  <c r="BN257" i="10"/>
  <c r="BS257" i="10"/>
  <c r="BY257" i="10"/>
  <c r="BL257" i="10"/>
  <c r="I257" i="10"/>
  <c r="BU257" i="10"/>
  <c r="O257" i="10"/>
  <c r="AF257" i="10"/>
  <c r="AG257" i="10" s="1"/>
  <c r="CJ257" i="10"/>
  <c r="Y257" i="10"/>
  <c r="U257" i="10"/>
  <c r="W257" i="10"/>
  <c r="BD257" i="10" s="1"/>
  <c r="CI302" i="10"/>
  <c r="AM302" i="10"/>
  <c r="CF302" i="10" s="1"/>
  <c r="I302" i="10"/>
  <c r="AL302" i="10"/>
  <c r="AN302" i="10"/>
  <c r="CG302" i="10" s="1"/>
  <c r="O302" i="10"/>
  <c r="CJ302" i="10"/>
  <c r="Y302" i="10"/>
  <c r="W302" i="10"/>
  <c r="BD302" i="10" s="1"/>
  <c r="U302" i="10"/>
  <c r="P272" i="1"/>
  <c r="P261" i="1"/>
  <c r="P269" i="1"/>
  <c r="P319" i="1"/>
  <c r="AE212" i="1"/>
  <c r="P316" i="1"/>
  <c r="P317" i="1"/>
  <c r="P318" i="1"/>
  <c r="P248" i="1"/>
  <c r="P250" i="1"/>
  <c r="AE214" i="1"/>
  <c r="P275" i="1"/>
  <c r="BO318" i="10" l="1"/>
  <c r="AN318" i="10"/>
  <c r="CG318" i="10" s="1"/>
  <c r="AM318" i="10"/>
  <c r="CF318" i="10" s="1"/>
  <c r="CI318" i="10"/>
  <c r="BW318" i="10"/>
  <c r="AF318" i="10"/>
  <c r="AG318" i="10" s="1"/>
  <c r="BK318" i="10"/>
  <c r="BJ318" i="10"/>
  <c r="O318" i="10"/>
  <c r="BX318" i="10"/>
  <c r="BM318" i="10"/>
  <c r="BL318" i="10"/>
  <c r="AJ318" i="10"/>
  <c r="AK318" i="10" s="1"/>
  <c r="BT318" i="10"/>
  <c r="BS318" i="10"/>
  <c r="I318" i="10"/>
  <c r="BU318" i="10"/>
  <c r="BV318" i="10"/>
  <c r="BP318" i="10"/>
  <c r="CB318" i="10"/>
  <c r="BN318" i="10"/>
  <c r="AL318" i="10"/>
  <c r="BY318" i="10"/>
  <c r="AB318" i="10"/>
  <c r="CJ318" i="10"/>
  <c r="Y318" i="10"/>
  <c r="W318" i="10"/>
  <c r="BD318" i="10" s="1"/>
  <c r="U318" i="10"/>
  <c r="BG257" i="10"/>
  <c r="BF257" i="10"/>
  <c r="BC257" i="10"/>
  <c r="BE257" i="10"/>
  <c r="CD257" i="10"/>
  <c r="K257" i="10"/>
  <c r="K241" i="10"/>
  <c r="CD241" i="10"/>
  <c r="CN241" i="10"/>
  <c r="BR241" i="10"/>
  <c r="BZ241" i="10" s="1"/>
  <c r="AC241" i="10"/>
  <c r="CM241" i="10"/>
  <c r="K294" i="10"/>
  <c r="CD294" i="10"/>
  <c r="AN275" i="10"/>
  <c r="CG275" i="10" s="1"/>
  <c r="BV275" i="10"/>
  <c r="BN275" i="10"/>
  <c r="AL275" i="10"/>
  <c r="BX275" i="10"/>
  <c r="AM275" i="10"/>
  <c r="CF275" i="10" s="1"/>
  <c r="BS275" i="10"/>
  <c r="BP275" i="10"/>
  <c r="BM275" i="10"/>
  <c r="CB275" i="10"/>
  <c r="BT275" i="10"/>
  <c r="BK275" i="10"/>
  <c r="BO275" i="10"/>
  <c r="BJ275" i="10"/>
  <c r="CI275" i="10"/>
  <c r="BW275" i="10"/>
  <c r="I275" i="10"/>
  <c r="BL275" i="10"/>
  <c r="BU275" i="10"/>
  <c r="BY275" i="10"/>
  <c r="AF275" i="10"/>
  <c r="AG275" i="10" s="1"/>
  <c r="AJ275" i="10"/>
  <c r="AK275" i="10" s="1"/>
  <c r="AB275" i="10"/>
  <c r="CJ275" i="10"/>
  <c r="Y275" i="10"/>
  <c r="W275" i="10"/>
  <c r="BD275" i="10" s="1"/>
  <c r="U275" i="10"/>
  <c r="AL319" i="10"/>
  <c r="AN319" i="10"/>
  <c r="CG319" i="10" s="1"/>
  <c r="AM319" i="10"/>
  <c r="CF319" i="10" s="1"/>
  <c r="O319" i="10"/>
  <c r="CI319" i="10"/>
  <c r="I319" i="10"/>
  <c r="CJ319" i="10"/>
  <c r="Y319" i="10"/>
  <c r="W319" i="10"/>
  <c r="BD319" i="10" s="1"/>
  <c r="U319" i="10"/>
  <c r="AS302" i="10"/>
  <c r="AZ302" i="10"/>
  <c r="CK302" i="10"/>
  <c r="AY302" i="10"/>
  <c r="CL302" i="10"/>
  <c r="P302" i="10"/>
  <c r="AP302" i="10"/>
  <c r="AQ302" i="10"/>
  <c r="AW302" i="10"/>
  <c r="AU302" i="10"/>
  <c r="AV302" i="10"/>
  <c r="AR302" i="10"/>
  <c r="AX302" i="10"/>
  <c r="CN257" i="10"/>
  <c r="CM257" i="10"/>
  <c r="AC257" i="10"/>
  <c r="BR257" i="10"/>
  <c r="BZ257" i="10" s="1"/>
  <c r="BG241" i="10"/>
  <c r="BC241" i="10"/>
  <c r="BE241" i="10"/>
  <c r="BF241" i="10"/>
  <c r="CK241" i="10"/>
  <c r="P241" i="10"/>
  <c r="AY241" i="10"/>
  <c r="AZ241" i="10"/>
  <c r="CL241" i="10"/>
  <c r="AR241" i="10"/>
  <c r="AW241" i="10"/>
  <c r="AU241" i="10"/>
  <c r="AS241" i="10"/>
  <c r="AP241" i="10"/>
  <c r="AV241" i="10"/>
  <c r="AX241" i="10"/>
  <c r="AQ241" i="10"/>
  <c r="BQ241" i="10"/>
  <c r="BF294" i="10"/>
  <c r="BE294" i="10"/>
  <c r="BC294" i="10"/>
  <c r="BG294" i="10"/>
  <c r="CL294" i="10"/>
  <c r="CK294" i="10"/>
  <c r="P294" i="10"/>
  <c r="AZ294" i="10"/>
  <c r="AY294" i="10"/>
  <c r="AS294" i="10"/>
  <c r="AR294" i="10"/>
  <c r="AX294" i="10"/>
  <c r="AU294" i="10"/>
  <c r="AW294" i="10"/>
  <c r="AQ294" i="10"/>
  <c r="AP294" i="10"/>
  <c r="AV294" i="10"/>
  <c r="BQ257" i="10"/>
  <c r="V214" i="10"/>
  <c r="X214" i="10"/>
  <c r="AN317" i="10"/>
  <c r="CG317" i="10" s="1"/>
  <c r="CB317" i="10"/>
  <c r="BP317" i="10"/>
  <c r="AL317" i="10"/>
  <c r="BL317" i="10"/>
  <c r="AM317" i="10"/>
  <c r="CF317" i="10" s="1"/>
  <c r="AB317" i="10"/>
  <c r="BK317" i="10"/>
  <c r="AJ317" i="10"/>
  <c r="AK317" i="10" s="1"/>
  <c r="BS317" i="10"/>
  <c r="BY317" i="10"/>
  <c r="BO317" i="10"/>
  <c r="O317" i="10"/>
  <c r="BN317" i="10"/>
  <c r="BW317" i="10"/>
  <c r="BT317" i="10"/>
  <c r="AF317" i="10"/>
  <c r="AG317" i="10" s="1"/>
  <c r="CI317" i="10"/>
  <c r="BM317" i="10"/>
  <c r="I317" i="10"/>
  <c r="BJ317" i="10"/>
  <c r="BV317" i="10"/>
  <c r="BX317" i="10"/>
  <c r="BU317" i="10"/>
  <c r="CJ317" i="10"/>
  <c r="W317" i="10"/>
  <c r="BD317" i="10" s="1"/>
  <c r="U317" i="10"/>
  <c r="Y317" i="10"/>
  <c r="BV269" i="10"/>
  <c r="AF269" i="10"/>
  <c r="AG269" i="10" s="1"/>
  <c r="BJ269" i="10"/>
  <c r="BN269" i="10"/>
  <c r="BY269" i="10"/>
  <c r="BW269" i="10"/>
  <c r="AB269" i="10"/>
  <c r="BS269" i="10"/>
  <c r="BP269" i="10"/>
  <c r="BL269" i="10"/>
  <c r="BK269" i="10"/>
  <c r="AM269" i="10"/>
  <c r="CF269" i="10" s="1"/>
  <c r="AN269" i="10"/>
  <c r="CG269" i="10" s="1"/>
  <c r="AJ269" i="10"/>
  <c r="AK269" i="10" s="1"/>
  <c r="BX269" i="10"/>
  <c r="BU269" i="10"/>
  <c r="BO269" i="10"/>
  <c r="BT269" i="10"/>
  <c r="CI269" i="10"/>
  <c r="I269" i="10"/>
  <c r="AL269" i="10"/>
  <c r="BM269" i="10"/>
  <c r="CB269" i="10"/>
  <c r="O269" i="10"/>
  <c r="CJ269" i="10"/>
  <c r="U269" i="10"/>
  <c r="Y269" i="10"/>
  <c r="W269" i="10"/>
  <c r="BD269" i="10" s="1"/>
  <c r="BS250" i="10"/>
  <c r="AM250" i="10"/>
  <c r="CF250" i="10" s="1"/>
  <c r="BO250" i="10"/>
  <c r="BN250" i="10"/>
  <c r="CB250" i="10"/>
  <c r="BM250" i="10"/>
  <c r="BT250" i="10"/>
  <c r="BK250" i="10"/>
  <c r="BW250" i="10"/>
  <c r="AL250" i="10"/>
  <c r="I250" i="10"/>
  <c r="BU250" i="10"/>
  <c r="AN250" i="10"/>
  <c r="CG250" i="10" s="1"/>
  <c r="BP250" i="10"/>
  <c r="CI250" i="10"/>
  <c r="BV250" i="10"/>
  <c r="BJ250" i="10"/>
  <c r="BX250" i="10"/>
  <c r="BL250" i="10"/>
  <c r="BY250" i="10"/>
  <c r="AJ250" i="10"/>
  <c r="AK250" i="10" s="1"/>
  <c r="AF250" i="10"/>
  <c r="AG250" i="10" s="1"/>
  <c r="O250" i="10"/>
  <c r="AB250" i="10"/>
  <c r="CJ250" i="10"/>
  <c r="W250" i="10"/>
  <c r="BD250" i="10" s="1"/>
  <c r="Y250" i="10"/>
  <c r="U250" i="10"/>
  <c r="AM316" i="10"/>
  <c r="CF316" i="10" s="1"/>
  <c r="AN316" i="10"/>
  <c r="CG316" i="10" s="1"/>
  <c r="O316" i="10"/>
  <c r="CI316" i="10"/>
  <c r="AL316" i="10"/>
  <c r="I316" i="10"/>
  <c r="CJ316" i="10"/>
  <c r="W316" i="10"/>
  <c r="BD316" i="10" s="1"/>
  <c r="Y316" i="10"/>
  <c r="U316" i="10"/>
  <c r="BV261" i="10"/>
  <c r="BJ261" i="10"/>
  <c r="BK261" i="10"/>
  <c r="AF261" i="10"/>
  <c r="AG261" i="10" s="1"/>
  <c r="BN261" i="10"/>
  <c r="I261" i="10"/>
  <c r="BU261" i="10"/>
  <c r="BW261" i="10"/>
  <c r="BX261" i="10"/>
  <c r="AB261" i="10"/>
  <c r="BS261" i="10"/>
  <c r="BP261" i="10"/>
  <c r="BY261" i="10"/>
  <c r="BL261" i="10"/>
  <c r="O261" i="10"/>
  <c r="AM261" i="10"/>
  <c r="CF261" i="10" s="1"/>
  <c r="AN261" i="10"/>
  <c r="CG261" i="10" s="1"/>
  <c r="AJ261" i="10"/>
  <c r="AK261" i="10" s="1"/>
  <c r="BT261" i="10"/>
  <c r="CI261" i="10"/>
  <c r="BM261" i="10"/>
  <c r="AL261" i="10"/>
  <c r="BO261" i="10"/>
  <c r="CB261" i="10"/>
  <c r="CJ261" i="10"/>
  <c r="U261" i="10"/>
  <c r="W261" i="10"/>
  <c r="BD261" i="10" s="1"/>
  <c r="Y261" i="10"/>
  <c r="BG302" i="10"/>
  <c r="BC302" i="10"/>
  <c r="BF302" i="10"/>
  <c r="BE302" i="10"/>
  <c r="CE302" i="10"/>
  <c r="AO302" i="10"/>
  <c r="CI248" i="10"/>
  <c r="CB248" i="10"/>
  <c r="BL248" i="10"/>
  <c r="BN248" i="10"/>
  <c r="BW248" i="10"/>
  <c r="O248" i="10"/>
  <c r="BY248" i="10"/>
  <c r="BJ248" i="10"/>
  <c r="BV248" i="10"/>
  <c r="BS248" i="10"/>
  <c r="BO248" i="10"/>
  <c r="AM248" i="10"/>
  <c r="CF248" i="10" s="1"/>
  <c r="AL248" i="10"/>
  <c r="BX248" i="10"/>
  <c r="BU248" i="10"/>
  <c r="BP248" i="10"/>
  <c r="BM248" i="10"/>
  <c r="AN248" i="10"/>
  <c r="CG248" i="10" s="1"/>
  <c r="BK248" i="10"/>
  <c r="BT248" i="10"/>
  <c r="I248" i="10"/>
  <c r="AJ248" i="10"/>
  <c r="AK248" i="10" s="1"/>
  <c r="AB248" i="10"/>
  <c r="AF248" i="10"/>
  <c r="AG248" i="10" s="1"/>
  <c r="CJ248" i="10"/>
  <c r="W248" i="10"/>
  <c r="BD248" i="10" s="1"/>
  <c r="Y248" i="10"/>
  <c r="U248" i="10"/>
  <c r="X212" i="10"/>
  <c r="V212" i="10"/>
  <c r="AM272" i="10"/>
  <c r="CF272" i="10" s="1"/>
  <c r="BS272" i="10"/>
  <c r="I272" i="10"/>
  <c r="BU272" i="10"/>
  <c r="AN272" i="10"/>
  <c r="CG272" i="10" s="1"/>
  <c r="BP272" i="10"/>
  <c r="CI272" i="10"/>
  <c r="CB272" i="10"/>
  <c r="BY272" i="10"/>
  <c r="BJ272" i="10"/>
  <c r="BV272" i="10"/>
  <c r="BX272" i="10"/>
  <c r="AL272" i="10"/>
  <c r="BO272" i="10"/>
  <c r="BN272" i="10"/>
  <c r="BW272" i="10"/>
  <c r="BK272" i="10"/>
  <c r="BT272" i="10"/>
  <c r="BL272" i="10"/>
  <c r="BM272" i="10"/>
  <c r="AB272" i="10"/>
  <c r="AJ272" i="10"/>
  <c r="AK272" i="10" s="1"/>
  <c r="O272" i="10"/>
  <c r="AF272" i="10"/>
  <c r="AG272" i="10" s="1"/>
  <c r="CJ272" i="10"/>
  <c r="W272" i="10"/>
  <c r="BD272" i="10" s="1"/>
  <c r="U272" i="10"/>
  <c r="Y272" i="10"/>
  <c r="CD302" i="10"/>
  <c r="K302" i="10"/>
  <c r="AY257" i="10"/>
  <c r="AZ257" i="10"/>
  <c r="CK257" i="10"/>
  <c r="CL257" i="10"/>
  <c r="P257" i="10"/>
  <c r="AP257" i="10"/>
  <c r="AS257" i="10"/>
  <c r="AW257" i="10"/>
  <c r="AR257" i="10"/>
  <c r="AX257" i="10"/>
  <c r="AQ257" i="10"/>
  <c r="AV257" i="10"/>
  <c r="AU257" i="10"/>
  <c r="CE257" i="10"/>
  <c r="AO257" i="10"/>
  <c r="AO241" i="10"/>
  <c r="CE241" i="10"/>
  <c r="CE294" i="10"/>
  <c r="AO294" i="10"/>
  <c r="CA241" i="10" l="1"/>
  <c r="AA29" i="25"/>
  <c r="AT241" i="10"/>
  <c r="BQ250" i="10"/>
  <c r="BQ317" i="10"/>
  <c r="AA28" i="25"/>
  <c r="Z29" i="25"/>
  <c r="BA257" i="10"/>
  <c r="CO241" i="10"/>
  <c r="BA294" i="10"/>
  <c r="Z28" i="25"/>
  <c r="CE248" i="10"/>
  <c r="AO248" i="10"/>
  <c r="CK261" i="10"/>
  <c r="CL261" i="10"/>
  <c r="P261" i="10"/>
  <c r="AY261" i="10"/>
  <c r="AZ261" i="10"/>
  <c r="AV261" i="10"/>
  <c r="AX261" i="10"/>
  <c r="AS261" i="10"/>
  <c r="AR261" i="10"/>
  <c r="AQ261" i="10"/>
  <c r="AU261" i="10"/>
  <c r="AW261" i="10"/>
  <c r="AP261" i="10"/>
  <c r="CE316" i="10"/>
  <c r="AO316" i="10"/>
  <c r="BQ275" i="10"/>
  <c r="CN318" i="10"/>
  <c r="AC318" i="10"/>
  <c r="BR318" i="10"/>
  <c r="BZ318" i="10" s="1"/>
  <c r="CM318" i="10"/>
  <c r="BQ272" i="10"/>
  <c r="BQ248" i="10"/>
  <c r="BH302" i="10"/>
  <c r="CE261" i="10"/>
  <c r="AO261" i="10"/>
  <c r="CN261" i="10"/>
  <c r="BR261" i="10"/>
  <c r="BZ261" i="10" s="1"/>
  <c r="CM261" i="10"/>
  <c r="AC261" i="10"/>
  <c r="K261" i="10"/>
  <c r="CD261" i="10"/>
  <c r="BQ261" i="10"/>
  <c r="AC250" i="10"/>
  <c r="CM250" i="10"/>
  <c r="CN250" i="10"/>
  <c r="BR250" i="10"/>
  <c r="BZ250" i="10" s="1"/>
  <c r="CK269" i="10"/>
  <c r="CL269" i="10"/>
  <c r="P269" i="10"/>
  <c r="AY269" i="10"/>
  <c r="AZ269" i="10"/>
  <c r="AS269" i="10"/>
  <c r="AW269" i="10"/>
  <c r="AX269" i="10"/>
  <c r="AQ269" i="10"/>
  <c r="AU269" i="10"/>
  <c r="AV269" i="10"/>
  <c r="AP269" i="10"/>
  <c r="AR269" i="10"/>
  <c r="K269" i="10"/>
  <c r="CD269" i="10"/>
  <c r="BF317" i="10"/>
  <c r="BG317" i="10"/>
  <c r="BE317" i="10"/>
  <c r="BC317" i="10"/>
  <c r="CD317" i="10"/>
  <c r="K317" i="10"/>
  <c r="CE317" i="10"/>
  <c r="AO317" i="10"/>
  <c r="AT294" i="10"/>
  <c r="CH241" i="10"/>
  <c r="K319" i="10"/>
  <c r="CD319" i="10"/>
  <c r="BC275" i="10"/>
  <c r="BE275" i="10"/>
  <c r="BG275" i="10"/>
  <c r="BF275" i="10"/>
  <c r="CD275" i="10"/>
  <c r="K275" i="10"/>
  <c r="BH257" i="10"/>
  <c r="AY272" i="10"/>
  <c r="P272" i="10"/>
  <c r="CK272" i="10"/>
  <c r="AZ272" i="10"/>
  <c r="CL272" i="10"/>
  <c r="AX272" i="10"/>
  <c r="AR272" i="10"/>
  <c r="AP272" i="10"/>
  <c r="AU272" i="10"/>
  <c r="AS272" i="10"/>
  <c r="AV272" i="10"/>
  <c r="AQ272" i="10"/>
  <c r="AW272" i="10"/>
  <c r="CD248" i="10"/>
  <c r="K248" i="10"/>
  <c r="AQ317" i="10"/>
  <c r="AW317" i="10"/>
  <c r="AY317" i="10"/>
  <c r="AR317" i="10"/>
  <c r="AZ317" i="10"/>
  <c r="AX317" i="10"/>
  <c r="AP317" i="10"/>
  <c r="AV317" i="10"/>
  <c r="AS317" i="10"/>
  <c r="CL317" i="10"/>
  <c r="AU317" i="10"/>
  <c r="P317" i="10"/>
  <c r="CK317" i="10"/>
  <c r="AR28" i="25"/>
  <c r="AC272" i="10"/>
  <c r="CN272" i="10"/>
  <c r="BR272" i="10"/>
  <c r="BZ272" i="10" s="1"/>
  <c r="CM272" i="10"/>
  <c r="CE272" i="10"/>
  <c r="AO272" i="10"/>
  <c r="BE248" i="10"/>
  <c r="BF248" i="10"/>
  <c r="BG248" i="10"/>
  <c r="BC248" i="10"/>
  <c r="CM248" i="10"/>
  <c r="CN248" i="10"/>
  <c r="AC248" i="10"/>
  <c r="BR248" i="10"/>
  <c r="BZ248" i="10" s="1"/>
  <c r="P316" i="10"/>
  <c r="AR316" i="10"/>
  <c r="AW316" i="10"/>
  <c r="AP316" i="10"/>
  <c r="AY316" i="10"/>
  <c r="AS316" i="10"/>
  <c r="AV316" i="10"/>
  <c r="AZ316" i="10"/>
  <c r="CK316" i="10"/>
  <c r="AX316" i="10"/>
  <c r="AU316" i="10"/>
  <c r="CL316" i="10"/>
  <c r="AQ316" i="10"/>
  <c r="BC250" i="10"/>
  <c r="BG250" i="10"/>
  <c r="BF250" i="10"/>
  <c r="BE250" i="10"/>
  <c r="CL250" i="10"/>
  <c r="CK250" i="10"/>
  <c r="AZ250" i="10"/>
  <c r="AY250" i="10"/>
  <c r="P250" i="10"/>
  <c r="AX250" i="10"/>
  <c r="AP250" i="10"/>
  <c r="AU250" i="10"/>
  <c r="AQ250" i="10"/>
  <c r="AR250" i="10"/>
  <c r="AV250" i="10"/>
  <c r="AW250" i="10"/>
  <c r="AS250" i="10"/>
  <c r="CD250" i="10"/>
  <c r="K250" i="10"/>
  <c r="BF269" i="10"/>
  <c r="BE269" i="10"/>
  <c r="BG269" i="10"/>
  <c r="BC269" i="10"/>
  <c r="CN269" i="10"/>
  <c r="BR269" i="10"/>
  <c r="BZ269" i="10" s="1"/>
  <c r="CM269" i="10"/>
  <c r="AC269" i="10"/>
  <c r="BQ269" i="10"/>
  <c r="CM317" i="10"/>
  <c r="BR317" i="10"/>
  <c r="BZ317" i="10" s="1"/>
  <c r="CA317" i="10" s="1"/>
  <c r="AC317" i="10"/>
  <c r="CN317" i="10"/>
  <c r="Q294" i="10"/>
  <c r="S294" i="10"/>
  <c r="R294" i="10"/>
  <c r="T294" i="10"/>
  <c r="BH294" i="10"/>
  <c r="Q241" i="10"/>
  <c r="S241" i="10"/>
  <c r="R241" i="10"/>
  <c r="T241" i="10"/>
  <c r="BH241" i="10"/>
  <c r="CO257" i="10"/>
  <c r="AT302" i="10"/>
  <c r="CE319" i="10"/>
  <c r="AO319" i="10"/>
  <c r="AO275" i="10"/>
  <c r="CE275" i="10"/>
  <c r="BC318" i="10"/>
  <c r="BF318" i="10"/>
  <c r="BG318" i="10"/>
  <c r="BE318" i="10"/>
  <c r="CE318" i="10"/>
  <c r="AO318" i="10"/>
  <c r="T257" i="10"/>
  <c r="Q257" i="10"/>
  <c r="R257" i="10"/>
  <c r="S257" i="10"/>
  <c r="K272" i="10"/>
  <c r="CD272" i="10"/>
  <c r="BC316" i="10"/>
  <c r="BE316" i="10"/>
  <c r="BF316" i="10"/>
  <c r="BG316" i="10"/>
  <c r="CE269" i="10"/>
  <c r="AO269" i="10"/>
  <c r="BA241" i="10"/>
  <c r="CD318" i="10"/>
  <c r="K318" i="10"/>
  <c r="BQ318" i="10"/>
  <c r="AR29" i="25"/>
  <c r="AT257" i="10"/>
  <c r="BE272" i="10"/>
  <c r="BC272" i="10"/>
  <c r="BG272" i="10"/>
  <c r="BF272" i="10"/>
  <c r="AQ248" i="10"/>
  <c r="P248" i="10"/>
  <c r="AY248" i="10"/>
  <c r="AZ248" i="10"/>
  <c r="CL248" i="10"/>
  <c r="CK248" i="10"/>
  <c r="AX248" i="10"/>
  <c r="AV248" i="10"/>
  <c r="AU248" i="10"/>
  <c r="AR248" i="10"/>
  <c r="AW248" i="10"/>
  <c r="AS248" i="10"/>
  <c r="AP248" i="10"/>
  <c r="BF261" i="10"/>
  <c r="BE261" i="10"/>
  <c r="BC261" i="10"/>
  <c r="BG261" i="10"/>
  <c r="K316" i="10"/>
  <c r="CD316" i="10"/>
  <c r="CE250" i="10"/>
  <c r="AO250" i="10"/>
  <c r="CA257" i="10"/>
  <c r="CH257" i="10" s="1"/>
  <c r="BA302" i="10"/>
  <c r="T302" i="10"/>
  <c r="S302" i="10"/>
  <c r="Q302" i="10"/>
  <c r="R302" i="10"/>
  <c r="BG319" i="10"/>
  <c r="BC319" i="10"/>
  <c r="BF319" i="10"/>
  <c r="BE319" i="10"/>
  <c r="P319" i="10"/>
  <c r="AS319" i="10"/>
  <c r="AY319" i="10"/>
  <c r="AX319" i="10"/>
  <c r="CK319" i="10"/>
  <c r="AQ319" i="10"/>
  <c r="AR319" i="10"/>
  <c r="AZ319" i="10"/>
  <c r="AU319" i="10"/>
  <c r="AW319" i="10"/>
  <c r="CL319" i="10"/>
  <c r="AV319" i="10"/>
  <c r="AP319" i="10"/>
  <c r="CM275" i="10"/>
  <c r="AC275" i="10"/>
  <c r="CN275" i="10"/>
  <c r="BR275" i="10"/>
  <c r="BZ275" i="10" s="1"/>
  <c r="CL318" i="10"/>
  <c r="AX318" i="10"/>
  <c r="AP318" i="10"/>
  <c r="CK318" i="10"/>
  <c r="AR318" i="10"/>
  <c r="AZ318" i="10"/>
  <c r="AQ318" i="10"/>
  <c r="AY318" i="10"/>
  <c r="AV318" i="10"/>
  <c r="AU318" i="10"/>
  <c r="P318" i="10"/>
  <c r="AS318" i="10"/>
  <c r="AW318" i="10"/>
  <c r="CA250" i="10" l="1"/>
  <c r="BF28" i="25"/>
  <c r="BB257" i="10"/>
  <c r="BB241" i="10"/>
  <c r="BI241" i="10" s="1"/>
  <c r="CP241" i="10" s="1"/>
  <c r="AY241" i="1" s="1"/>
  <c r="S29" i="25"/>
  <c r="BG29" i="25"/>
  <c r="AX28" i="25"/>
  <c r="CA248" i="10"/>
  <c r="BB294" i="10"/>
  <c r="BG28" i="25"/>
  <c r="BI257" i="10"/>
  <c r="CP257" i="10" s="1"/>
  <c r="AY257" i="1" s="1"/>
  <c r="AY29" i="25"/>
  <c r="AZ29" i="25"/>
  <c r="CA269" i="10"/>
  <c r="CH269" i="10" s="1"/>
  <c r="AZ28" i="25"/>
  <c r="CA272" i="10"/>
  <c r="CH272" i="10" s="1"/>
  <c r="BI294" i="10"/>
  <c r="BH317" i="10"/>
  <c r="CA261" i="10"/>
  <c r="CH261" i="10" s="1"/>
  <c r="BA261" i="10"/>
  <c r="BF29" i="25"/>
  <c r="BH269" i="10"/>
  <c r="S28" i="25"/>
  <c r="CH248" i="10"/>
  <c r="CO248" i="10"/>
  <c r="AX29" i="25"/>
  <c r="CH317" i="10"/>
  <c r="CO272" i="10"/>
  <c r="AT261" i="10"/>
  <c r="AS29" i="25"/>
  <c r="CO318" i="10"/>
  <c r="BH319" i="10"/>
  <c r="AY28" i="25"/>
  <c r="CO250" i="10"/>
  <c r="AT317" i="10"/>
  <c r="AT269" i="10"/>
  <c r="CO261" i="10"/>
  <c r="AS28" i="25"/>
  <c r="S316" i="10"/>
  <c r="Q316" i="10"/>
  <c r="R316" i="10"/>
  <c r="T316" i="10"/>
  <c r="BA272" i="10"/>
  <c r="S269" i="10"/>
  <c r="Q269" i="10"/>
  <c r="R269" i="10"/>
  <c r="T269" i="10"/>
  <c r="CA318" i="10"/>
  <c r="CH318" i="10" s="1"/>
  <c r="T261" i="10"/>
  <c r="Q261" i="10"/>
  <c r="R261" i="10"/>
  <c r="S261" i="10"/>
  <c r="AW28" i="25"/>
  <c r="AT319" i="10"/>
  <c r="BA319" i="10"/>
  <c r="R319" i="10"/>
  <c r="T319" i="10"/>
  <c r="Q319" i="10"/>
  <c r="S319" i="10"/>
  <c r="BH261" i="10"/>
  <c r="BA248" i="10"/>
  <c r="BH318" i="10"/>
  <c r="CO269" i="10"/>
  <c r="AT250" i="10"/>
  <c r="AT316" i="10"/>
  <c r="BH248" i="10"/>
  <c r="CO317" i="10"/>
  <c r="AT272" i="10"/>
  <c r="BA269" i="10"/>
  <c r="AW29" i="25"/>
  <c r="S318" i="10"/>
  <c r="T318" i="10"/>
  <c r="Q318" i="10"/>
  <c r="R318" i="10"/>
  <c r="AT318" i="10"/>
  <c r="BB302" i="10"/>
  <c r="BI302" i="10" s="1"/>
  <c r="BA316" i="10"/>
  <c r="S317" i="10"/>
  <c r="R317" i="10"/>
  <c r="Q317" i="10"/>
  <c r="T317" i="10"/>
  <c r="BA250" i="10"/>
  <c r="BA318" i="10"/>
  <c r="AT248" i="10"/>
  <c r="T248" i="10"/>
  <c r="R248" i="10"/>
  <c r="Q248" i="10"/>
  <c r="S248" i="10"/>
  <c r="BH272" i="10"/>
  <c r="BH316" i="10"/>
  <c r="S250" i="10"/>
  <c r="R250" i="10"/>
  <c r="Q250" i="10"/>
  <c r="T250" i="10"/>
  <c r="BH250" i="10"/>
  <c r="BA317" i="10"/>
  <c r="S272" i="10"/>
  <c r="R272" i="10"/>
  <c r="Q272" i="10"/>
  <c r="T272" i="10"/>
  <c r="BH275" i="10"/>
  <c r="CH250" i="10"/>
  <c r="CA275" i="10"/>
  <c r="W28" i="25" l="1"/>
  <c r="W29" i="25"/>
  <c r="BB261" i="10"/>
  <c r="BI261" i="10" s="1"/>
  <c r="CP261" i="10" s="1"/>
  <c r="AY261" i="1" s="1"/>
  <c r="T29" i="25"/>
  <c r="BB269" i="10"/>
  <c r="BI269" i="10" s="1"/>
  <c r="CP269" i="10" s="1"/>
  <c r="AY269" i="1" s="1"/>
  <c r="BB272" i="10"/>
  <c r="BI272" i="10" s="1"/>
  <c r="CP272" i="10" s="1"/>
  <c r="AY272" i="1" s="1"/>
  <c r="BA28" i="25"/>
  <c r="BA29" i="25"/>
  <c r="BB317" i="10"/>
  <c r="BI317" i="10" s="1"/>
  <c r="CP317" i="10" s="1"/>
  <c r="AY317" i="1" s="1"/>
  <c r="BB250" i="10"/>
  <c r="BI250" i="10" s="1"/>
  <c r="CP250" i="10" s="1"/>
  <c r="AY250" i="1" s="1"/>
  <c r="BB318" i="10"/>
  <c r="BI318" i="10" s="1"/>
  <c r="CP318" i="10" s="1"/>
  <c r="AY318" i="1" s="1"/>
  <c r="T28" i="25"/>
  <c r="BB316" i="10"/>
  <c r="BI316" i="10" s="1"/>
  <c r="BB319" i="10"/>
  <c r="BI319" i="10" s="1"/>
  <c r="BB248" i="10"/>
  <c r="BI248" i="10" s="1"/>
  <c r="CP248" i="10" s="1"/>
  <c r="AY248" i="1" s="1"/>
  <c r="P171" i="1"/>
  <c r="P159" i="1"/>
  <c r="P202" i="1"/>
  <c r="P207" i="1"/>
  <c r="P205" i="1"/>
  <c r="P210" i="1"/>
  <c r="P209" i="1"/>
  <c r="P160" i="1"/>
  <c r="P172" i="1"/>
  <c r="P211" i="1"/>
  <c r="P158" i="1"/>
  <c r="P198" i="1"/>
  <c r="P203" i="1"/>
  <c r="P197" i="1"/>
  <c r="P206" i="1"/>
  <c r="P175" i="1"/>
  <c r="P204" i="1"/>
  <c r="X28" i="25" l="1"/>
  <c r="X29" i="25"/>
  <c r="AN203" i="10"/>
  <c r="CG203" i="10" s="1"/>
  <c r="AM203" i="10"/>
  <c r="CF203" i="10" s="1"/>
  <c r="AL203" i="10"/>
  <c r="BO203" i="10"/>
  <c r="BT203" i="10"/>
  <c r="O203" i="10"/>
  <c r="AB203" i="10"/>
  <c r="BN203" i="10"/>
  <c r="CB203" i="10"/>
  <c r="BJ203" i="10"/>
  <c r="CI203" i="10"/>
  <c r="BM203" i="10"/>
  <c r="BW203" i="10"/>
  <c r="BV203" i="10"/>
  <c r="AF203" i="10"/>
  <c r="AG203" i="10" s="1"/>
  <c r="BK203" i="10"/>
  <c r="BX203" i="10"/>
  <c r="BU203" i="10"/>
  <c r="AJ203" i="10"/>
  <c r="AK203" i="10" s="1"/>
  <c r="BS203" i="10"/>
  <c r="BP203" i="10"/>
  <c r="I203" i="10"/>
  <c r="BY203" i="10"/>
  <c r="BL203" i="10"/>
  <c r="CJ203" i="10"/>
  <c r="Y203" i="10"/>
  <c r="U203" i="10"/>
  <c r="W203" i="10"/>
  <c r="BD203" i="10" s="1"/>
  <c r="BJ171" i="10"/>
  <c r="BV171" i="10"/>
  <c r="AN171" i="10"/>
  <c r="CG171" i="10" s="1"/>
  <c r="BP171" i="10"/>
  <c r="BT171" i="10"/>
  <c r="AL171" i="10"/>
  <c r="CB171" i="10"/>
  <c r="AM171" i="10"/>
  <c r="CF171" i="10" s="1"/>
  <c r="BU171" i="10"/>
  <c r="BS171" i="10"/>
  <c r="BL171" i="10"/>
  <c r="I171" i="10"/>
  <c r="BN171" i="10"/>
  <c r="AF171" i="10"/>
  <c r="AG171" i="10" s="1"/>
  <c r="BY171" i="10"/>
  <c r="BW171" i="10"/>
  <c r="BX171" i="10"/>
  <c r="BO171" i="10"/>
  <c r="BM171" i="10"/>
  <c r="CI171" i="10"/>
  <c r="BK171" i="10"/>
  <c r="AB171" i="10"/>
  <c r="AJ171" i="10"/>
  <c r="AK171" i="10" s="1"/>
  <c r="CJ171" i="10"/>
  <c r="U171" i="10"/>
  <c r="W171" i="10"/>
  <c r="BD171" i="10" s="1"/>
  <c r="Y171" i="10"/>
  <c r="BO198" i="10"/>
  <c r="AM198" i="10"/>
  <c r="CF198" i="10" s="1"/>
  <c r="BN198" i="10"/>
  <c r="BS198" i="10"/>
  <c r="AJ198" i="10"/>
  <c r="AK198" i="10" s="1"/>
  <c r="BM198" i="10"/>
  <c r="BT198" i="10"/>
  <c r="CI198" i="10"/>
  <c r="AL198" i="10"/>
  <c r="BX198" i="10"/>
  <c r="I198" i="10"/>
  <c r="BK198" i="10"/>
  <c r="BL198" i="10"/>
  <c r="BY198" i="10"/>
  <c r="BW198" i="10"/>
  <c r="CB198" i="10"/>
  <c r="BP198" i="10"/>
  <c r="BV198" i="10"/>
  <c r="AN198" i="10"/>
  <c r="CG198" i="10" s="1"/>
  <c r="BJ198" i="10"/>
  <c r="BU198" i="10"/>
  <c r="AF198" i="10"/>
  <c r="AG198" i="10" s="1"/>
  <c r="O198" i="10"/>
  <c r="AB198" i="10"/>
  <c r="CJ198" i="10"/>
  <c r="U198" i="10"/>
  <c r="Y198" i="10"/>
  <c r="W198" i="10"/>
  <c r="BD198" i="10" s="1"/>
  <c r="BL160" i="10"/>
  <c r="BV160" i="10"/>
  <c r="AN160" i="10"/>
  <c r="CG160" i="10" s="1"/>
  <c r="BX160" i="10"/>
  <c r="CB160" i="10"/>
  <c r="BW160" i="10"/>
  <c r="BM160" i="10"/>
  <c r="BK160" i="10"/>
  <c r="CI160" i="10"/>
  <c r="AJ160" i="10"/>
  <c r="AK160" i="10" s="1"/>
  <c r="I160" i="10"/>
  <c r="AM160" i="10"/>
  <c r="CF160" i="10" s="1"/>
  <c r="BN160" i="10"/>
  <c r="AL160" i="10"/>
  <c r="AB160" i="10"/>
  <c r="BT160" i="10"/>
  <c r="O160" i="10"/>
  <c r="BP160" i="10"/>
  <c r="BO160" i="10"/>
  <c r="BJ160" i="10"/>
  <c r="AF160" i="10"/>
  <c r="AG160" i="10" s="1"/>
  <c r="BU160" i="10"/>
  <c r="BS160" i="10"/>
  <c r="BY160" i="10"/>
  <c r="CJ160" i="10"/>
  <c r="Y160" i="10"/>
  <c r="U160" i="10"/>
  <c r="W160" i="10"/>
  <c r="BD160" i="10" s="1"/>
  <c r="AL207" i="10"/>
  <c r="AN207" i="10"/>
  <c r="CG207" i="10" s="1"/>
  <c r="AM207" i="10"/>
  <c r="CF207" i="10" s="1"/>
  <c r="CI207" i="10"/>
  <c r="CJ207" i="10"/>
  <c r="I207" i="10"/>
  <c r="U207" i="10"/>
  <c r="Y207" i="10"/>
  <c r="W207" i="10"/>
  <c r="BD207" i="10" s="1"/>
  <c r="AN172" i="10"/>
  <c r="CG172" i="10" s="1"/>
  <c r="BV172" i="10"/>
  <c r="BL172" i="10"/>
  <c r="BX172" i="10"/>
  <c r="BN172" i="10"/>
  <c r="BT172" i="10"/>
  <c r="AL172" i="10"/>
  <c r="AB172" i="10"/>
  <c r="BK172" i="10"/>
  <c r="CI172" i="10"/>
  <c r="BJ172" i="10"/>
  <c r="AM172" i="10"/>
  <c r="CF172" i="10" s="1"/>
  <c r="BM172" i="10"/>
  <c r="BO172" i="10"/>
  <c r="I172" i="10"/>
  <c r="BP172" i="10"/>
  <c r="CB172" i="10"/>
  <c r="BU172" i="10"/>
  <c r="BY172" i="10"/>
  <c r="AJ172" i="10"/>
  <c r="AK172" i="10" s="1"/>
  <c r="AF172" i="10"/>
  <c r="AG172" i="10" s="1"/>
  <c r="BS172" i="10"/>
  <c r="BW172" i="10"/>
  <c r="CJ172" i="10"/>
  <c r="U172" i="10"/>
  <c r="Y172" i="10"/>
  <c r="W172" i="10"/>
  <c r="BD172" i="10" s="1"/>
  <c r="AL175" i="10"/>
  <c r="AN175" i="10"/>
  <c r="CG175" i="10" s="1"/>
  <c r="AM175" i="10"/>
  <c r="CF175" i="10" s="1"/>
  <c r="CB175" i="10"/>
  <c r="BX175" i="10"/>
  <c r="BP175" i="10"/>
  <c r="BL175" i="10"/>
  <c r="BS175" i="10"/>
  <c r="BT175" i="10"/>
  <c r="I175" i="10"/>
  <c r="AB175" i="10"/>
  <c r="O175" i="10"/>
  <c r="AF175" i="10"/>
  <c r="AG175" i="10" s="1"/>
  <c r="BM175" i="10"/>
  <c r="BW175" i="10"/>
  <c r="BJ175" i="10"/>
  <c r="BV175" i="10"/>
  <c r="BN175" i="10"/>
  <c r="AJ175" i="10"/>
  <c r="AK175" i="10" s="1"/>
  <c r="BU175" i="10"/>
  <c r="BO175" i="10"/>
  <c r="BK175" i="10"/>
  <c r="CI175" i="10"/>
  <c r="BY175" i="10"/>
  <c r="CJ175" i="10"/>
  <c r="U175" i="10"/>
  <c r="W175" i="10"/>
  <c r="BD175" i="10" s="1"/>
  <c r="Y175" i="10"/>
  <c r="CI206" i="10"/>
  <c r="AM206" i="10"/>
  <c r="CF206" i="10" s="1"/>
  <c r="I206" i="10"/>
  <c r="AN206" i="10"/>
  <c r="CG206" i="10" s="1"/>
  <c r="AL206" i="10"/>
  <c r="CJ206" i="10"/>
  <c r="U206" i="10"/>
  <c r="Y206" i="10"/>
  <c r="W206" i="10"/>
  <c r="BD206" i="10" s="1"/>
  <c r="AM158" i="10"/>
  <c r="CF158" i="10" s="1"/>
  <c r="AN158" i="10"/>
  <c r="CG158" i="10" s="1"/>
  <c r="BT158" i="10"/>
  <c r="AF158" i="10"/>
  <c r="AG158" i="10" s="1"/>
  <c r="O158" i="10"/>
  <c r="I158" i="10"/>
  <c r="AL158" i="10"/>
  <c r="BS158" i="10"/>
  <c r="CB158" i="10"/>
  <c r="BL158" i="10"/>
  <c r="BM158" i="10"/>
  <c r="BW158" i="10"/>
  <c r="BN158" i="10"/>
  <c r="BP158" i="10"/>
  <c r="BJ158" i="10"/>
  <c r="BU158" i="10"/>
  <c r="BO158" i="10"/>
  <c r="BK158" i="10"/>
  <c r="BX158" i="10"/>
  <c r="AJ158" i="10"/>
  <c r="AK158" i="10" s="1"/>
  <c r="CI158" i="10"/>
  <c r="BY158" i="10"/>
  <c r="BV158" i="10"/>
  <c r="AB158" i="10"/>
  <c r="CJ158" i="10"/>
  <c r="Y158" i="10"/>
  <c r="U158" i="10"/>
  <c r="W158" i="10"/>
  <c r="BD158" i="10" s="1"/>
  <c r="AM209" i="10"/>
  <c r="CF209" i="10" s="1"/>
  <c r="AL209" i="10"/>
  <c r="AN209" i="10"/>
  <c r="CG209" i="10" s="1"/>
  <c r="CI209" i="10"/>
  <c r="I209" i="10"/>
  <c r="CJ209" i="10"/>
  <c r="U209" i="10"/>
  <c r="Y209" i="10"/>
  <c r="W209" i="10"/>
  <c r="BD209" i="10" s="1"/>
  <c r="AM202" i="10"/>
  <c r="CF202" i="10" s="1"/>
  <c r="CI202" i="10"/>
  <c r="BX202" i="10"/>
  <c r="BN202" i="10"/>
  <c r="BM202" i="10"/>
  <c r="BT202" i="10"/>
  <c r="BK202" i="10"/>
  <c r="AL202" i="10"/>
  <c r="AJ202" i="10"/>
  <c r="AK202" i="10" s="1"/>
  <c r="I202" i="10"/>
  <c r="BU202" i="10"/>
  <c r="AN202" i="10"/>
  <c r="CG202" i="10" s="1"/>
  <c r="BP202" i="10"/>
  <c r="BL202" i="10"/>
  <c r="BS202" i="10"/>
  <c r="BY202" i="10"/>
  <c r="BJ202" i="10"/>
  <c r="BV202" i="10"/>
  <c r="BW202" i="10"/>
  <c r="BO202" i="10"/>
  <c r="CB202" i="10"/>
  <c r="O202" i="10"/>
  <c r="AF202" i="10"/>
  <c r="AG202" i="10" s="1"/>
  <c r="AB202" i="10"/>
  <c r="CJ202" i="10"/>
  <c r="Y202" i="10"/>
  <c r="W202" i="10"/>
  <c r="BD202" i="10" s="1"/>
  <c r="U202" i="10"/>
  <c r="CI204" i="10"/>
  <c r="BM204" i="10"/>
  <c r="BT204" i="10"/>
  <c r="BK204" i="10"/>
  <c r="AL204" i="10"/>
  <c r="I204" i="10"/>
  <c r="BU204" i="10"/>
  <c r="AN204" i="10"/>
  <c r="CG204" i="10" s="1"/>
  <c r="BP204" i="10"/>
  <c r="BL204" i="10"/>
  <c r="BX204" i="10"/>
  <c r="BS204" i="10"/>
  <c r="BY204" i="10"/>
  <c r="BJ204" i="10"/>
  <c r="BV204" i="10"/>
  <c r="BW204" i="10"/>
  <c r="AM204" i="10"/>
  <c r="CF204" i="10" s="1"/>
  <c r="BN204" i="10"/>
  <c r="CB204" i="10"/>
  <c r="BO204" i="10"/>
  <c r="AB204" i="10"/>
  <c r="O204" i="10"/>
  <c r="AJ204" i="10"/>
  <c r="AK204" i="10" s="1"/>
  <c r="AF204" i="10"/>
  <c r="AG204" i="10" s="1"/>
  <c r="CJ204" i="10"/>
  <c r="W204" i="10"/>
  <c r="BD204" i="10" s="1"/>
  <c r="U204" i="10"/>
  <c r="Y204" i="10"/>
  <c r="AL205" i="10"/>
  <c r="AM205" i="10"/>
  <c r="CF205" i="10" s="1"/>
  <c r="AN205" i="10"/>
  <c r="CG205" i="10" s="1"/>
  <c r="CI205" i="10"/>
  <c r="CJ205" i="10"/>
  <c r="W205" i="10"/>
  <c r="BD205" i="10" s="1"/>
  <c r="U205" i="10"/>
  <c r="Y205" i="10"/>
  <c r="I205" i="10"/>
  <c r="AN197" i="10"/>
  <c r="CG197" i="10" s="1"/>
  <c r="BK197" i="10"/>
  <c r="BT197" i="10"/>
  <c r="AL197" i="10"/>
  <c r="BN197" i="10"/>
  <c r="BX197" i="10"/>
  <c r="BS197" i="10"/>
  <c r="BP197" i="10"/>
  <c r="AM197" i="10"/>
  <c r="CF197" i="10" s="1"/>
  <c r="BJ197" i="10"/>
  <c r="CI197" i="10"/>
  <c r="BU197" i="10"/>
  <c r="BO197" i="10"/>
  <c r="AB197" i="10"/>
  <c r="AJ197" i="10"/>
  <c r="AK197" i="10" s="1"/>
  <c r="BL197" i="10"/>
  <c r="BM197" i="10"/>
  <c r="BV197" i="10"/>
  <c r="AF197" i="10"/>
  <c r="AG197" i="10" s="1"/>
  <c r="BW197" i="10"/>
  <c r="BY197" i="10"/>
  <c r="O197" i="10"/>
  <c r="CB197" i="10"/>
  <c r="I197" i="10"/>
  <c r="CJ197" i="10"/>
  <c r="W197" i="10"/>
  <c r="BD197" i="10" s="1"/>
  <c r="U197" i="10"/>
  <c r="Y197" i="10"/>
  <c r="AM211" i="10"/>
  <c r="CF211" i="10" s="1"/>
  <c r="AN211" i="10"/>
  <c r="CG211" i="10" s="1"/>
  <c r="AL211" i="10"/>
  <c r="I211" i="10"/>
  <c r="CI211" i="10"/>
  <c r="O211" i="10"/>
  <c r="CJ211" i="10"/>
  <c r="Y211" i="10"/>
  <c r="U211" i="10"/>
  <c r="W211" i="10"/>
  <c r="BD211" i="10" s="1"/>
  <c r="AM210" i="10"/>
  <c r="CF210" i="10" s="1"/>
  <c r="CI210" i="10"/>
  <c r="I210" i="10"/>
  <c r="O210" i="10"/>
  <c r="AN210" i="10"/>
  <c r="CG210" i="10" s="1"/>
  <c r="AL210" i="10"/>
  <c r="CJ210" i="10"/>
  <c r="Y210" i="10"/>
  <c r="U210" i="10"/>
  <c r="W210" i="10"/>
  <c r="BD210" i="10" s="1"/>
  <c r="AM159" i="10"/>
  <c r="CF159" i="10" s="1"/>
  <c r="BP159" i="10"/>
  <c r="AN159" i="10"/>
  <c r="CG159" i="10" s="1"/>
  <c r="BV159" i="10"/>
  <c r="BX159" i="10"/>
  <c r="AL159" i="10"/>
  <c r="CB159" i="10"/>
  <c r="BL159" i="10"/>
  <c r="BN159" i="10"/>
  <c r="I159" i="10"/>
  <c r="AB159" i="10"/>
  <c r="BS159" i="10"/>
  <c r="AF159" i="10"/>
  <c r="AG159" i="10" s="1"/>
  <c r="BM159" i="10"/>
  <c r="BW159" i="10"/>
  <c r="BJ159" i="10"/>
  <c r="O159" i="10"/>
  <c r="AJ159" i="10"/>
  <c r="AK159" i="10" s="1"/>
  <c r="BT159" i="10"/>
  <c r="BY159" i="10"/>
  <c r="CI159" i="10"/>
  <c r="BK159" i="10"/>
  <c r="BU159" i="10"/>
  <c r="BO159" i="10"/>
  <c r="CJ159" i="10"/>
  <c r="W159" i="10"/>
  <c r="BD159" i="10" s="1"/>
  <c r="U159" i="10"/>
  <c r="Y159" i="10"/>
  <c r="P157" i="1"/>
  <c r="P156" i="1"/>
  <c r="BQ197" i="10" l="1"/>
  <c r="BQ158" i="10"/>
  <c r="BR158" i="10"/>
  <c r="BZ158" i="10" s="1"/>
  <c r="AC158" i="10"/>
  <c r="CM158" i="10"/>
  <c r="CN158" i="10"/>
  <c r="CE206" i="10"/>
  <c r="AO206" i="10"/>
  <c r="CE198" i="10"/>
  <c r="AO198" i="10"/>
  <c r="CD171" i="10"/>
  <c r="K171" i="10"/>
  <c r="AN157" i="10"/>
  <c r="CG157" i="10" s="1"/>
  <c r="AL157" i="10"/>
  <c r="AM157" i="10"/>
  <c r="CF157" i="10" s="1"/>
  <c r="BN157" i="10"/>
  <c r="BS157" i="10"/>
  <c r="BV157" i="10"/>
  <c r="BT157" i="10"/>
  <c r="I157" i="10"/>
  <c r="BM157" i="10"/>
  <c r="BW157" i="10"/>
  <c r="BJ157" i="10"/>
  <c r="BX157" i="10"/>
  <c r="BL157" i="10"/>
  <c r="AJ157" i="10"/>
  <c r="AK157" i="10" s="1"/>
  <c r="O157" i="10"/>
  <c r="AB157" i="10"/>
  <c r="CB157" i="10"/>
  <c r="BK157" i="10"/>
  <c r="BP157" i="10"/>
  <c r="AF157" i="10"/>
  <c r="AG157" i="10" s="1"/>
  <c r="BU157" i="10"/>
  <c r="BO157" i="10"/>
  <c r="BY157" i="10"/>
  <c r="CI157" i="10"/>
  <c r="CJ157" i="10"/>
  <c r="Y157" i="10"/>
  <c r="U157" i="10"/>
  <c r="W157" i="10"/>
  <c r="BD157" i="10" s="1"/>
  <c r="AY159" i="10"/>
  <c r="P159" i="10"/>
  <c r="CL159" i="10"/>
  <c r="AZ159" i="10"/>
  <c r="CK159" i="10"/>
  <c r="AX159" i="10"/>
  <c r="AU159" i="10"/>
  <c r="AQ159" i="10"/>
  <c r="AS159" i="10"/>
  <c r="AV159" i="10"/>
  <c r="AP159" i="10"/>
  <c r="AW159" i="10"/>
  <c r="AR159" i="10"/>
  <c r="CD210" i="10"/>
  <c r="K210" i="10"/>
  <c r="AY204" i="10"/>
  <c r="CL204" i="10"/>
  <c r="AZ204" i="10"/>
  <c r="P204" i="10"/>
  <c r="CK204" i="10"/>
  <c r="AW204" i="10"/>
  <c r="AX204" i="10"/>
  <c r="AQ204" i="10"/>
  <c r="AP204" i="10"/>
  <c r="AR204" i="10"/>
  <c r="AS204" i="10"/>
  <c r="AU204" i="10"/>
  <c r="AV204" i="10"/>
  <c r="BQ204" i="10"/>
  <c r="CD204" i="10"/>
  <c r="K204" i="10"/>
  <c r="BE202" i="10"/>
  <c r="BG202" i="10"/>
  <c r="BC202" i="10"/>
  <c r="BF202" i="10"/>
  <c r="AP202" i="10"/>
  <c r="AY202" i="10"/>
  <c r="AZ202" i="10"/>
  <c r="P202" i="10"/>
  <c r="CL202" i="10"/>
  <c r="CK202" i="10"/>
  <c r="AS202" i="10"/>
  <c r="AR202" i="10"/>
  <c r="AQ202" i="10"/>
  <c r="AV202" i="10"/>
  <c r="AW202" i="10"/>
  <c r="AX202" i="10"/>
  <c r="AU202" i="10"/>
  <c r="K202" i="10"/>
  <c r="CD202" i="10"/>
  <c r="AO158" i="10"/>
  <c r="CE158" i="10"/>
  <c r="BF206" i="10"/>
  <c r="BG206" i="10"/>
  <c r="BE206" i="10"/>
  <c r="BC206" i="10"/>
  <c r="BC175" i="10"/>
  <c r="BE175" i="10"/>
  <c r="BF175" i="10"/>
  <c r="BG175" i="10"/>
  <c r="BQ175" i="10"/>
  <c r="CK175" i="10"/>
  <c r="AY175" i="10"/>
  <c r="CL175" i="10"/>
  <c r="P175" i="10"/>
  <c r="AZ175" i="10"/>
  <c r="AV175" i="10"/>
  <c r="AP175" i="10"/>
  <c r="AR175" i="10"/>
  <c r="AU175" i="10"/>
  <c r="AQ175" i="10"/>
  <c r="AS175" i="10"/>
  <c r="AW175" i="10"/>
  <c r="AX175" i="10"/>
  <c r="CD172" i="10"/>
  <c r="K172" i="10"/>
  <c r="BQ172" i="10"/>
  <c r="CE172" i="10"/>
  <c r="AO172" i="10"/>
  <c r="BG207" i="10"/>
  <c r="BC207" i="10"/>
  <c r="BF207" i="10"/>
  <c r="BE207" i="10"/>
  <c r="BQ160" i="10"/>
  <c r="AC198" i="10"/>
  <c r="BR198" i="10"/>
  <c r="BZ198" i="10" s="1"/>
  <c r="CM198" i="10"/>
  <c r="CN198" i="10"/>
  <c r="BQ198" i="10"/>
  <c r="BE171" i="10"/>
  <c r="BG171" i="10"/>
  <c r="BF171" i="10"/>
  <c r="BC171" i="10"/>
  <c r="CM203" i="10"/>
  <c r="AC203" i="10"/>
  <c r="CN203" i="10"/>
  <c r="BR203" i="10"/>
  <c r="BZ203" i="10" s="1"/>
  <c r="CE203" i="10"/>
  <c r="AO203" i="10"/>
  <c r="AL156" i="10"/>
  <c r="AN156" i="10"/>
  <c r="CG156" i="10" s="1"/>
  <c r="AM156" i="10"/>
  <c r="CF156" i="10" s="1"/>
  <c r="CB156" i="10"/>
  <c r="BN156" i="10"/>
  <c r="AJ156" i="10"/>
  <c r="AK156" i="10" s="1"/>
  <c r="AF156" i="10"/>
  <c r="AG156" i="10" s="1"/>
  <c r="BM156" i="10"/>
  <c r="BW156" i="10"/>
  <c r="BJ156" i="10"/>
  <c r="BX156" i="10"/>
  <c r="BU156" i="10"/>
  <c r="BK156" i="10"/>
  <c r="CI156" i="10"/>
  <c r="BL156" i="10"/>
  <c r="BP156" i="10"/>
  <c r="I156" i="10"/>
  <c r="O156" i="10"/>
  <c r="BS156" i="10"/>
  <c r="BY156" i="10"/>
  <c r="AB156" i="10"/>
  <c r="BT156" i="10"/>
  <c r="BV156" i="10"/>
  <c r="BO156" i="10"/>
  <c r="CJ156" i="10"/>
  <c r="W156" i="10"/>
  <c r="BD156" i="10" s="1"/>
  <c r="Y156" i="10"/>
  <c r="U156" i="10"/>
  <c r="CE159" i="10"/>
  <c r="AO159" i="10"/>
  <c r="BF210" i="10"/>
  <c r="BC210" i="10"/>
  <c r="BG210" i="10"/>
  <c r="BE210" i="10"/>
  <c r="P210" i="10"/>
  <c r="AY210" i="10"/>
  <c r="CL210" i="10"/>
  <c r="CK210" i="10"/>
  <c r="AZ210" i="10"/>
  <c r="AU210" i="10"/>
  <c r="AS210" i="10"/>
  <c r="AQ210" i="10"/>
  <c r="AW210" i="10"/>
  <c r="AP210" i="10"/>
  <c r="AX210" i="10"/>
  <c r="AV210" i="10"/>
  <c r="AR210" i="10"/>
  <c r="AQ197" i="10"/>
  <c r="P197" i="10"/>
  <c r="AZ197" i="10"/>
  <c r="CL197" i="10"/>
  <c r="CK197" i="10"/>
  <c r="AY197" i="10"/>
  <c r="AR197" i="10"/>
  <c r="AX197" i="10"/>
  <c r="AP197" i="10"/>
  <c r="AV197" i="10"/>
  <c r="AW197" i="10"/>
  <c r="AU197" i="10"/>
  <c r="AS197" i="10"/>
  <c r="CE175" i="10"/>
  <c r="AO175" i="10"/>
  <c r="CE207" i="10"/>
  <c r="AO207" i="10"/>
  <c r="AY160" i="10"/>
  <c r="CK160" i="10"/>
  <c r="P160" i="10"/>
  <c r="AZ160" i="10"/>
  <c r="CL160" i="10"/>
  <c r="AW160" i="10"/>
  <c r="AV160" i="10"/>
  <c r="AS160" i="10"/>
  <c r="AQ160" i="10"/>
  <c r="AX160" i="10"/>
  <c r="AU160" i="10"/>
  <c r="AP160" i="10"/>
  <c r="AR160" i="10"/>
  <c r="BQ159" i="10"/>
  <c r="AO210" i="10"/>
  <c r="CE210" i="10"/>
  <c r="BF211" i="10"/>
  <c r="BE211" i="10"/>
  <c r="BG211" i="10"/>
  <c r="BC211" i="10"/>
  <c r="CD211" i="10"/>
  <c r="K211" i="10"/>
  <c r="BG197" i="10"/>
  <c r="BF197" i="10"/>
  <c r="BC197" i="10"/>
  <c r="BE197" i="10"/>
  <c r="CD197" i="10"/>
  <c r="K197" i="10"/>
  <c r="CE197" i="10"/>
  <c r="AO197" i="10"/>
  <c r="K205" i="10"/>
  <c r="CD205" i="10"/>
  <c r="CE205" i="10"/>
  <c r="AO205" i="10"/>
  <c r="AC204" i="10"/>
  <c r="BR204" i="10"/>
  <c r="BZ204" i="10" s="1"/>
  <c r="CM204" i="10"/>
  <c r="CN204" i="10"/>
  <c r="CE204" i="10"/>
  <c r="AO204" i="10"/>
  <c r="BQ202" i="10"/>
  <c r="CE209" i="10"/>
  <c r="AO209" i="10"/>
  <c r="BE158" i="10"/>
  <c r="BF158" i="10"/>
  <c r="BC158" i="10"/>
  <c r="BG158" i="10"/>
  <c r="K158" i="10"/>
  <c r="CD158" i="10"/>
  <c r="CD206" i="10"/>
  <c r="K206" i="10"/>
  <c r="BR175" i="10"/>
  <c r="BZ175" i="10" s="1"/>
  <c r="CN175" i="10"/>
  <c r="AC175" i="10"/>
  <c r="CM175" i="10"/>
  <c r="BG172" i="10"/>
  <c r="BF172" i="10"/>
  <c r="BE172" i="10"/>
  <c r="BC172" i="10"/>
  <c r="AC160" i="10"/>
  <c r="CM160" i="10"/>
  <c r="BR160" i="10"/>
  <c r="BZ160" i="10" s="1"/>
  <c r="CN160" i="10"/>
  <c r="CD160" i="10"/>
  <c r="K160" i="10"/>
  <c r="BE198" i="10"/>
  <c r="BG198" i="10"/>
  <c r="BC198" i="10"/>
  <c r="BF198" i="10"/>
  <c r="AY198" i="10"/>
  <c r="CL198" i="10"/>
  <c r="P198" i="10"/>
  <c r="AZ198" i="10"/>
  <c r="CK198" i="10"/>
  <c r="AX198" i="10"/>
  <c r="AW198" i="10"/>
  <c r="AV198" i="10"/>
  <c r="AS198" i="10"/>
  <c r="AQ198" i="10"/>
  <c r="AU198" i="10"/>
  <c r="AR198" i="10"/>
  <c r="AP198" i="10"/>
  <c r="K198" i="10"/>
  <c r="CD198" i="10"/>
  <c r="CM171" i="10"/>
  <c r="BR171" i="10"/>
  <c r="BZ171" i="10" s="1"/>
  <c r="CN171" i="10"/>
  <c r="AC171" i="10"/>
  <c r="CE171" i="10"/>
  <c r="AO171" i="10"/>
  <c r="BG203" i="10"/>
  <c r="BC203" i="10"/>
  <c r="BE203" i="10"/>
  <c r="BF203" i="10"/>
  <c r="K203" i="10"/>
  <c r="CD203" i="10"/>
  <c r="BQ203" i="10"/>
  <c r="CK203" i="10"/>
  <c r="AZ203" i="10"/>
  <c r="AY203" i="10"/>
  <c r="P203" i="10"/>
  <c r="CL203" i="10"/>
  <c r="AQ203" i="10"/>
  <c r="AS203" i="10"/>
  <c r="AU203" i="10"/>
  <c r="AV203" i="10"/>
  <c r="AW203" i="10"/>
  <c r="AP203" i="10"/>
  <c r="AR203" i="10"/>
  <c r="AX203" i="10"/>
  <c r="CD159" i="10"/>
  <c r="K159" i="10"/>
  <c r="CL211" i="10"/>
  <c r="AZ211" i="10"/>
  <c r="CK211" i="10"/>
  <c r="AY211" i="10"/>
  <c r="P211" i="10"/>
  <c r="AR211" i="10"/>
  <c r="AV211" i="10"/>
  <c r="AP211" i="10"/>
  <c r="AW211" i="10"/>
  <c r="AS211" i="10"/>
  <c r="AX211" i="10"/>
  <c r="AQ211" i="10"/>
  <c r="AU211" i="10"/>
  <c r="CM197" i="10"/>
  <c r="CN197" i="10"/>
  <c r="BR197" i="10"/>
  <c r="BZ197" i="10" s="1"/>
  <c r="AC197" i="10"/>
  <c r="BC209" i="10"/>
  <c r="BF209" i="10"/>
  <c r="BG209" i="10"/>
  <c r="BE209" i="10"/>
  <c r="CN172" i="10"/>
  <c r="CM172" i="10"/>
  <c r="BR172" i="10"/>
  <c r="BZ172" i="10" s="1"/>
  <c r="AC172" i="10"/>
  <c r="BE159" i="10"/>
  <c r="BG159" i="10"/>
  <c r="BF159" i="10"/>
  <c r="BC159" i="10"/>
  <c r="AC159" i="10"/>
  <c r="CM159" i="10"/>
  <c r="BR159" i="10"/>
  <c r="BZ159" i="10" s="1"/>
  <c r="CN159" i="10"/>
  <c r="CE211" i="10"/>
  <c r="AO211" i="10"/>
  <c r="BF205" i="10"/>
  <c r="BE205" i="10"/>
  <c r="BC205" i="10"/>
  <c r="BG205" i="10"/>
  <c r="BE204" i="10"/>
  <c r="BF204" i="10"/>
  <c r="BC204" i="10"/>
  <c r="BG204" i="10"/>
  <c r="AC202" i="10"/>
  <c r="BR202" i="10"/>
  <c r="BZ202" i="10" s="1"/>
  <c r="CM202" i="10"/>
  <c r="CN202" i="10"/>
  <c r="AO202" i="10"/>
  <c r="CE202" i="10"/>
  <c r="CD209" i="10"/>
  <c r="K209" i="10"/>
  <c r="P158" i="10"/>
  <c r="AZ158" i="10"/>
  <c r="CL158" i="10"/>
  <c r="AY158" i="10"/>
  <c r="CK158" i="10"/>
  <c r="AW158" i="10"/>
  <c r="AS158" i="10"/>
  <c r="AU158" i="10"/>
  <c r="AR158" i="10"/>
  <c r="AV158" i="10"/>
  <c r="AX158" i="10"/>
  <c r="AP158" i="10"/>
  <c r="AQ158" i="10"/>
  <c r="CD175" i="10"/>
  <c r="K175" i="10"/>
  <c r="CD207" i="10"/>
  <c r="K207" i="10"/>
  <c r="BE160" i="10"/>
  <c r="BG160" i="10"/>
  <c r="BF160" i="10"/>
  <c r="BC160" i="10"/>
  <c r="CE160" i="10"/>
  <c r="AO160" i="10"/>
  <c r="BQ171" i="10"/>
  <c r="CA197" i="10" l="1"/>
  <c r="CH197" i="10" s="1"/>
  <c r="CA158" i="10"/>
  <c r="CH158" i="10" s="1"/>
  <c r="AT159" i="10"/>
  <c r="CO202" i="10"/>
  <c r="CA198" i="10"/>
  <c r="CH198" i="10" s="1"/>
  <c r="BH203" i="10"/>
  <c r="BA198" i="10"/>
  <c r="BH198" i="10"/>
  <c r="AT160" i="10"/>
  <c r="CO204" i="10"/>
  <c r="CO203" i="10"/>
  <c r="CO158" i="10"/>
  <c r="BH204" i="10"/>
  <c r="BH205" i="10"/>
  <c r="CO197" i="10"/>
  <c r="AT198" i="10"/>
  <c r="CO198" i="10"/>
  <c r="CA160" i="10"/>
  <c r="CH160" i="10" s="1"/>
  <c r="CA159" i="10"/>
  <c r="CH159" i="10" s="1"/>
  <c r="CO160" i="10"/>
  <c r="BQ156" i="10"/>
  <c r="AT202" i="10"/>
  <c r="AT158" i="10"/>
  <c r="CO175" i="10"/>
  <c r="AT175" i="10"/>
  <c r="AT211" i="10"/>
  <c r="AT203" i="10"/>
  <c r="R198" i="10"/>
  <c r="Q198" i="10"/>
  <c r="S198" i="10"/>
  <c r="T198" i="10"/>
  <c r="BH160" i="10"/>
  <c r="S158" i="10"/>
  <c r="R158" i="10"/>
  <c r="T158" i="10"/>
  <c r="Q158" i="10"/>
  <c r="CA202" i="10"/>
  <c r="CH202" i="10" s="1"/>
  <c r="BH172" i="10"/>
  <c r="BH197" i="10"/>
  <c r="T197" i="10"/>
  <c r="Q197" i="10"/>
  <c r="S197" i="10"/>
  <c r="R197" i="10"/>
  <c r="CN156" i="10"/>
  <c r="CM156" i="10"/>
  <c r="BR156" i="10"/>
  <c r="BZ156" i="10" s="1"/>
  <c r="AC156" i="10"/>
  <c r="CD156" i="10"/>
  <c r="K156" i="10"/>
  <c r="CE156" i="10"/>
  <c r="AO156" i="10"/>
  <c r="BH171" i="10"/>
  <c r="BA202" i="10"/>
  <c r="AT204" i="10"/>
  <c r="AC157" i="10"/>
  <c r="CM157" i="10"/>
  <c r="CN157" i="10"/>
  <c r="BR157" i="10"/>
  <c r="BZ157" i="10" s="1"/>
  <c r="CD157" i="10"/>
  <c r="K157" i="10"/>
  <c r="AW156" i="10"/>
  <c r="AY156" i="10"/>
  <c r="CK156" i="10"/>
  <c r="CL156" i="10"/>
  <c r="AZ156" i="10"/>
  <c r="P156" i="10"/>
  <c r="AR156" i="10"/>
  <c r="AQ156" i="10"/>
  <c r="AS156" i="10"/>
  <c r="AV156" i="10"/>
  <c r="AU156" i="10"/>
  <c r="AX156" i="10"/>
  <c r="AP156" i="10"/>
  <c r="BA158" i="10"/>
  <c r="BH159" i="10"/>
  <c r="BH209" i="10"/>
  <c r="CA171" i="10"/>
  <c r="CA204" i="10"/>
  <c r="CH204" i="10" s="1"/>
  <c r="BH211" i="10"/>
  <c r="AT197" i="10"/>
  <c r="BA210" i="10"/>
  <c r="BH210" i="10"/>
  <c r="BH207" i="10"/>
  <c r="CA172" i="10"/>
  <c r="BA175" i="10"/>
  <c r="Q175" i="10"/>
  <c r="T175" i="10"/>
  <c r="R175" i="10"/>
  <c r="S175" i="10"/>
  <c r="CA175" i="10"/>
  <c r="CH175" i="10" s="1"/>
  <c r="BH175" i="10"/>
  <c r="T202" i="10"/>
  <c r="R202" i="10"/>
  <c r="Q202" i="10"/>
  <c r="S202" i="10"/>
  <c r="BA204" i="10"/>
  <c r="T204" i="10"/>
  <c r="S204" i="10"/>
  <c r="R204" i="10"/>
  <c r="Q204" i="10"/>
  <c r="BA159" i="10"/>
  <c r="P157" i="10"/>
  <c r="CK157" i="10"/>
  <c r="AY157" i="10"/>
  <c r="CL157" i="10"/>
  <c r="AZ157" i="10"/>
  <c r="AX157" i="10"/>
  <c r="AV157" i="10"/>
  <c r="AU157" i="10"/>
  <c r="AQ157" i="10"/>
  <c r="AR157" i="10"/>
  <c r="AP157" i="10"/>
  <c r="AW157" i="10"/>
  <c r="AS157" i="10"/>
  <c r="BQ157" i="10"/>
  <c r="CO159" i="10"/>
  <c r="BA211" i="10"/>
  <c r="Q211" i="10"/>
  <c r="T211" i="10"/>
  <c r="R211" i="10"/>
  <c r="S211" i="10"/>
  <c r="BA203" i="10"/>
  <c r="R203" i="10"/>
  <c r="T203" i="10"/>
  <c r="S203" i="10"/>
  <c r="Q203" i="10"/>
  <c r="CA203" i="10"/>
  <c r="CH203" i="10" s="1"/>
  <c r="BH158" i="10"/>
  <c r="BA160" i="10"/>
  <c r="Q160" i="10"/>
  <c r="S160" i="10"/>
  <c r="R160" i="10"/>
  <c r="T160" i="10"/>
  <c r="BA197" i="10"/>
  <c r="AT210" i="10"/>
  <c r="S210" i="10"/>
  <c r="Q210" i="10"/>
  <c r="T210" i="10"/>
  <c r="R210" i="10"/>
  <c r="BG156" i="10"/>
  <c r="BF156" i="10"/>
  <c r="BC156" i="10"/>
  <c r="BE156" i="10"/>
  <c r="BH206" i="10"/>
  <c r="BH202" i="10"/>
  <c r="R159" i="10"/>
  <c r="T159" i="10"/>
  <c r="Q159" i="10"/>
  <c r="S159" i="10"/>
  <c r="BE157" i="10"/>
  <c r="BF157" i="10"/>
  <c r="BC157" i="10"/>
  <c r="BG157" i="10"/>
  <c r="AO157" i="10"/>
  <c r="CE157" i="10"/>
  <c r="BB202" i="10" l="1"/>
  <c r="BB159" i="10"/>
  <c r="BI159" i="10" s="1"/>
  <c r="CP159" i="10" s="1"/>
  <c r="AY159" i="1" s="1"/>
  <c r="BB160" i="10"/>
  <c r="BI160" i="10" s="1"/>
  <c r="CP160" i="10" s="1"/>
  <c r="AY160" i="1" s="1"/>
  <c r="BB175" i="10"/>
  <c r="BI175" i="10" s="1"/>
  <c r="CP175" i="10" s="1"/>
  <c r="AY175" i="1" s="1"/>
  <c r="BB198" i="10"/>
  <c r="BI198" i="10" s="1"/>
  <c r="CP198" i="10" s="1"/>
  <c r="AY198" i="1" s="1"/>
  <c r="CA156" i="10"/>
  <c r="CH156" i="10" s="1"/>
  <c r="BH157" i="10"/>
  <c r="CA157" i="10"/>
  <c r="CH157" i="10" s="1"/>
  <c r="BB158" i="10"/>
  <c r="BI158" i="10" s="1"/>
  <c r="CP158" i="10" s="1"/>
  <c r="AY158" i="1" s="1"/>
  <c r="BB197" i="10"/>
  <c r="BI197" i="10" s="1"/>
  <c r="CP197" i="10" s="1"/>
  <c r="AY197" i="1" s="1"/>
  <c r="BA156" i="10"/>
  <c r="CO156" i="10"/>
  <c r="CO157" i="10"/>
  <c r="R157" i="10"/>
  <c r="S157" i="10"/>
  <c r="Q157" i="10"/>
  <c r="T157" i="10"/>
  <c r="BA157" i="10"/>
  <c r="BB210" i="10"/>
  <c r="BI210" i="10" s="1"/>
  <c r="T156" i="10"/>
  <c r="Q156" i="10"/>
  <c r="S156" i="10"/>
  <c r="R156" i="10"/>
  <c r="AT157" i="10"/>
  <c r="AT156" i="10"/>
  <c r="BB204" i="10"/>
  <c r="BI204" i="10" s="1"/>
  <c r="CP204" i="10" s="1"/>
  <c r="AY204" i="1" s="1"/>
  <c r="BB203" i="10"/>
  <c r="BI203" i="10" s="1"/>
  <c r="CP203" i="10" s="1"/>
  <c r="AY203" i="1" s="1"/>
  <c r="BH156" i="10"/>
  <c r="BI202" i="10"/>
  <c r="CP202" i="10" s="1"/>
  <c r="AY202" i="1" s="1"/>
  <c r="BB211" i="10"/>
  <c r="BI211" i="10" s="1"/>
  <c r="BB156" i="10" l="1"/>
  <c r="BI156" i="10" s="1"/>
  <c r="CP156" i="10" s="1"/>
  <c r="AY156" i="1" s="1"/>
  <c r="BB157" i="10"/>
  <c r="BI157" i="10" s="1"/>
  <c r="CP157" i="10" s="1"/>
  <c r="AY157" i="1" s="1"/>
  <c r="G329" i="10" l="1"/>
  <c r="H329" i="10"/>
  <c r="H351" i="10"/>
  <c r="G351" i="10"/>
  <c r="G334" i="10"/>
  <c r="H334" i="10"/>
  <c r="G336" i="10"/>
  <c r="H336" i="10"/>
  <c r="H342" i="10"/>
  <c r="G342" i="10"/>
  <c r="H326" i="10"/>
  <c r="G326" i="10"/>
  <c r="H332" i="10"/>
  <c r="G332" i="10"/>
  <c r="H328" i="10"/>
  <c r="G328" i="10"/>
  <c r="G347" i="10"/>
  <c r="H347" i="10"/>
  <c r="H333" i="10"/>
  <c r="G333" i="10"/>
  <c r="H338" i="10"/>
  <c r="H349" i="10"/>
  <c r="G341" i="10"/>
  <c r="H337" i="10"/>
  <c r="H348" i="10"/>
  <c r="G330" i="10"/>
  <c r="G12" i="10"/>
  <c r="G7" i="10"/>
  <c r="G6" i="10"/>
  <c r="H133" i="10"/>
  <c r="H340" i="10"/>
  <c r="G327" i="10"/>
  <c r="G345" i="10"/>
  <c r="H339" i="10"/>
  <c r="H350" i="10"/>
  <c r="G338" i="10"/>
  <c r="G340" i="10"/>
  <c r="G10" i="10"/>
  <c r="G9" i="10"/>
  <c r="G8" i="10"/>
  <c r="H121" i="10"/>
  <c r="H137" i="10"/>
  <c r="H344" i="10"/>
  <c r="G337" i="10"/>
  <c r="G346" i="10"/>
  <c r="L346" i="10" s="1"/>
  <c r="G11" i="10"/>
  <c r="H125" i="10"/>
  <c r="H131" i="10"/>
  <c r="H132" i="10"/>
  <c r="H138" i="10"/>
  <c r="H130" i="10"/>
  <c r="G125" i="10"/>
  <c r="H126" i="10"/>
  <c r="G55" i="10"/>
  <c r="H45" i="10"/>
  <c r="H48" i="10"/>
  <c r="G25" i="10"/>
  <c r="H47" i="10"/>
  <c r="G49" i="10"/>
  <c r="G30" i="10"/>
  <c r="G28" i="10"/>
  <c r="G35" i="10"/>
  <c r="H62" i="10"/>
  <c r="G43" i="10"/>
  <c r="G18" i="10"/>
  <c r="G72" i="10"/>
  <c r="G19" i="10"/>
  <c r="H71" i="10"/>
  <c r="H46" i="10"/>
  <c r="G20" i="10"/>
  <c r="G61" i="10"/>
  <c r="H53" i="10"/>
  <c r="H56" i="10"/>
  <c r="H63" i="10"/>
  <c r="H346" i="10"/>
  <c r="G339" i="10"/>
  <c r="H327" i="10"/>
  <c r="G14" i="10"/>
  <c r="G13" i="10"/>
  <c r="H129" i="10"/>
  <c r="H135" i="10"/>
  <c r="H136" i="10"/>
  <c r="H134" i="10"/>
  <c r="H122" i="10"/>
  <c r="G63" i="10"/>
  <c r="G56" i="10"/>
  <c r="H59" i="10"/>
  <c r="H68" i="10"/>
  <c r="G44" i="10"/>
  <c r="G57" i="10"/>
  <c r="G48" i="10"/>
  <c r="H51" i="10"/>
  <c r="G36" i="10"/>
  <c r="H52" i="10"/>
  <c r="G51" i="10"/>
  <c r="L51" i="10" s="1"/>
  <c r="G34" i="10"/>
  <c r="G33" i="10"/>
  <c r="H43" i="10"/>
  <c r="G68" i="10"/>
  <c r="L72" i="10"/>
  <c r="G69" i="10"/>
  <c r="G64" i="10"/>
  <c r="H67" i="10"/>
  <c r="H55" i="10"/>
  <c r="G37" i="10"/>
  <c r="G60" i="10"/>
  <c r="G348" i="10"/>
  <c r="G344" i="10"/>
  <c r="H123" i="10"/>
  <c r="H124" i="10"/>
  <c r="G71" i="10"/>
  <c r="H66" i="10"/>
  <c r="G70" i="10"/>
  <c r="H60" i="10"/>
  <c r="H65" i="10"/>
  <c r="G16" i="10"/>
  <c r="L16" i="10" s="1"/>
  <c r="G59" i="10"/>
  <c r="H50" i="10"/>
  <c r="G54" i="10"/>
  <c r="G22" i="10"/>
  <c r="G17" i="10"/>
  <c r="G24" i="10"/>
  <c r="G21" i="10"/>
  <c r="G31" i="10"/>
  <c r="G99" i="10"/>
  <c r="H104" i="10"/>
  <c r="H41" i="10"/>
  <c r="G98" i="10"/>
  <c r="G135" i="10"/>
  <c r="H91" i="10"/>
  <c r="H35" i="10"/>
  <c r="AE95" i="1"/>
  <c r="H90" i="10"/>
  <c r="G111" i="10"/>
  <c r="H330" i="10"/>
  <c r="G350" i="10"/>
  <c r="G349" i="10"/>
  <c r="H127" i="10"/>
  <c r="H128" i="10"/>
  <c r="G26" i="10"/>
  <c r="G23" i="10"/>
  <c r="G29" i="10"/>
  <c r="G32" i="10"/>
  <c r="G67" i="10"/>
  <c r="H61" i="10"/>
  <c r="H64" i="10"/>
  <c r="G50" i="10"/>
  <c r="H54" i="10"/>
  <c r="G38" i="10"/>
  <c r="H14" i="10"/>
  <c r="H9" i="10"/>
  <c r="H13" i="10"/>
  <c r="G109" i="10"/>
  <c r="H115" i="10"/>
  <c r="G100" i="10"/>
  <c r="H119" i="10"/>
  <c r="H98" i="10"/>
  <c r="G78" i="10"/>
  <c r="H30" i="10"/>
  <c r="H26" i="10"/>
  <c r="H12" i="10"/>
  <c r="H92" i="10"/>
  <c r="G39" i="10"/>
  <c r="G119" i="10"/>
  <c r="H341" i="10"/>
  <c r="G5" i="10"/>
  <c r="G65" i="10"/>
  <c r="H58" i="10"/>
  <c r="G62" i="10"/>
  <c r="H44" i="10"/>
  <c r="H49" i="10"/>
  <c r="G58" i="10"/>
  <c r="G52" i="10"/>
  <c r="H6" i="10"/>
  <c r="G92" i="10"/>
  <c r="G117" i="10"/>
  <c r="G116" i="10"/>
  <c r="G112" i="10"/>
  <c r="H120" i="10"/>
  <c r="G94" i="10"/>
  <c r="H17" i="10"/>
  <c r="H11" i="10"/>
  <c r="G73" i="10"/>
  <c r="H75" i="10"/>
  <c r="H103" i="10"/>
  <c r="L24" i="10"/>
  <c r="AE99" i="1"/>
  <c r="G103" i="10"/>
  <c r="G40" i="10"/>
  <c r="G136" i="10"/>
  <c r="G93" i="10"/>
  <c r="H95" i="10"/>
  <c r="G102" i="10"/>
  <c r="H78" i="10"/>
  <c r="G133" i="10"/>
  <c r="H18" i="10"/>
  <c r="G90" i="10"/>
  <c r="G87" i="10"/>
  <c r="H40" i="10"/>
  <c r="H113" i="10"/>
  <c r="H111" i="10"/>
  <c r="G95" i="10"/>
  <c r="G121" i="10"/>
  <c r="H82" i="10"/>
  <c r="H33" i="10"/>
  <c r="H85" i="10"/>
  <c r="H36" i="10"/>
  <c r="H96" i="10"/>
  <c r="H83" i="10"/>
  <c r="H141" i="10"/>
  <c r="H139" i="10"/>
  <c r="G45" i="10"/>
  <c r="G139" i="10"/>
  <c r="H118" i="10"/>
  <c r="G41" i="10"/>
  <c r="H80" i="10"/>
  <c r="G85" i="10"/>
  <c r="G131" i="10"/>
  <c r="H38" i="10"/>
  <c r="L14" i="10"/>
  <c r="H345" i="10"/>
  <c r="H57" i="10"/>
  <c r="H42" i="10"/>
  <c r="H69" i="10"/>
  <c r="H72" i="10"/>
  <c r="G66" i="10"/>
  <c r="H70" i="10"/>
  <c r="G27" i="10"/>
  <c r="G42" i="10"/>
  <c r="L26" i="10"/>
  <c r="G137" i="10"/>
  <c r="G132" i="10"/>
  <c r="H74" i="10"/>
  <c r="G127" i="10"/>
  <c r="G86" i="10"/>
  <c r="G96" i="10"/>
  <c r="H28" i="10"/>
  <c r="G101" i="10"/>
  <c r="H107" i="10"/>
  <c r="G108" i="10"/>
  <c r="G104" i="10"/>
  <c r="G138" i="10"/>
  <c r="G122" i="10"/>
  <c r="G113" i="10"/>
  <c r="H73" i="10"/>
  <c r="H109" i="10"/>
  <c r="H100" i="10"/>
  <c r="G80" i="10"/>
  <c r="H93" i="10"/>
  <c r="H102" i="10"/>
  <c r="G82" i="10"/>
  <c r="G141" i="10"/>
  <c r="H19" i="10"/>
  <c r="H5" i="10"/>
  <c r="G107" i="10"/>
  <c r="H99" i="10"/>
  <c r="G140" i="10"/>
  <c r="H87" i="10"/>
  <c r="G129" i="10"/>
  <c r="H25" i="10"/>
  <c r="H20" i="10"/>
  <c r="G74" i="10"/>
  <c r="H105" i="10"/>
  <c r="H86" i="10"/>
  <c r="H27" i="10"/>
  <c r="H97" i="10"/>
  <c r="G128" i="10"/>
  <c r="H29" i="10"/>
  <c r="H84" i="10"/>
  <c r="H140" i="10"/>
  <c r="L121" i="10"/>
  <c r="P134" i="1"/>
  <c r="H10" i="10"/>
  <c r="H116" i="10"/>
  <c r="H16" i="10"/>
  <c r="G118" i="10"/>
  <c r="H8" i="10"/>
  <c r="L32" i="10"/>
  <c r="G123" i="10"/>
  <c r="H110" i="10"/>
  <c r="H76" i="10"/>
  <c r="H89" i="10"/>
  <c r="H32" i="10"/>
  <c r="L103" i="10"/>
  <c r="L41" i="10"/>
  <c r="M41" i="10" s="1"/>
  <c r="G120" i="10"/>
  <c r="G134" i="10"/>
  <c r="G106" i="10"/>
  <c r="H23" i="10"/>
  <c r="H112" i="10"/>
  <c r="H101" i="10"/>
  <c r="G77" i="10"/>
  <c r="G91" i="10"/>
  <c r="G124" i="10"/>
  <c r="G105" i="10"/>
  <c r="H81" i="10"/>
  <c r="H22" i="10"/>
  <c r="G130" i="10"/>
  <c r="G88" i="10"/>
  <c r="G84" i="10"/>
  <c r="G46" i="10"/>
  <c r="H39" i="10"/>
  <c r="H7" i="10"/>
  <c r="G75" i="10"/>
  <c r="G97" i="10"/>
  <c r="H106" i="10"/>
  <c r="G89" i="10"/>
  <c r="H77" i="10"/>
  <c r="H94" i="10"/>
  <c r="H37" i="10"/>
  <c r="G76" i="10"/>
  <c r="H114" i="10"/>
  <c r="H34" i="10"/>
  <c r="H31" i="10"/>
  <c r="G47" i="10"/>
  <c r="G53" i="10"/>
  <c r="G15" i="10"/>
  <c r="L108" i="10"/>
  <c r="H15" i="10"/>
  <c r="H24" i="10"/>
  <c r="H79" i="10"/>
  <c r="L80" i="10"/>
  <c r="H108" i="10"/>
  <c r="G126" i="10"/>
  <c r="G79" i="10"/>
  <c r="G115" i="10"/>
  <c r="G81" i="10"/>
  <c r="H88" i="10"/>
  <c r="H117" i="10"/>
  <c r="P94" i="1"/>
  <c r="G110" i="10"/>
  <c r="H21" i="10"/>
  <c r="G114" i="10"/>
  <c r="G83" i="10"/>
  <c r="G335" i="10"/>
  <c r="H335" i="10"/>
  <c r="H343" i="10"/>
  <c r="G343" i="10"/>
  <c r="G331" i="10"/>
  <c r="H331" i="10"/>
  <c r="AE6" i="1"/>
  <c r="L119" i="10" l="1"/>
  <c r="M119" i="10" s="1"/>
  <c r="O119" i="10" s="1"/>
  <c r="L22" i="10"/>
  <c r="M22" i="10" s="1"/>
  <c r="N22" i="10" s="1"/>
  <c r="L37" i="10"/>
  <c r="M37" i="10" s="1"/>
  <c r="O37" i="10" s="1"/>
  <c r="AW37" i="10" s="1"/>
  <c r="L19" i="10"/>
  <c r="M19" i="10" s="1"/>
  <c r="O19" i="10" s="1"/>
  <c r="L20" i="10"/>
  <c r="M20" i="10" s="1"/>
  <c r="L124" i="10"/>
  <c r="M124" i="10" s="1"/>
  <c r="N124" i="10" s="1"/>
  <c r="L78" i="10"/>
  <c r="M78" i="10" s="1"/>
  <c r="L6" i="10"/>
  <c r="M6" i="10" s="1"/>
  <c r="L74" i="10"/>
  <c r="M74" i="10" s="1"/>
  <c r="N74" i="10" s="1"/>
  <c r="L18" i="10"/>
  <c r="M18" i="10" s="1"/>
  <c r="O18" i="10" s="1"/>
  <c r="AZ18" i="10" s="1"/>
  <c r="L45" i="10"/>
  <c r="M45" i="10" s="1"/>
  <c r="L10" i="10"/>
  <c r="M10" i="10" s="1"/>
  <c r="L70" i="10"/>
  <c r="M70" i="10" s="1"/>
  <c r="M346" i="10"/>
  <c r="O346" i="10" s="1"/>
  <c r="AW346" i="10" s="1"/>
  <c r="L31" i="10"/>
  <c r="M31" i="10" s="1"/>
  <c r="L71" i="10"/>
  <c r="M71" i="10" s="1"/>
  <c r="L339" i="10"/>
  <c r="M339" i="10" s="1"/>
  <c r="L335" i="10"/>
  <c r="M335" i="10" s="1"/>
  <c r="L330" i="10"/>
  <c r="M330" i="10" s="1"/>
  <c r="L34" i="10"/>
  <c r="M34" i="10" s="1"/>
  <c r="O34" i="10" s="1"/>
  <c r="AV34" i="10" s="1"/>
  <c r="L85" i="10"/>
  <c r="M85" i="10" s="1"/>
  <c r="N85" i="10" s="1"/>
  <c r="L36" i="10"/>
  <c r="M36" i="10" s="1"/>
  <c r="L15" i="10"/>
  <c r="M15" i="10" s="1"/>
  <c r="L54" i="10"/>
  <c r="M54" i="10" s="1"/>
  <c r="N54" i="10" s="1"/>
  <c r="L109" i="10"/>
  <c r="L112" i="10"/>
  <c r="M112" i="10" s="1"/>
  <c r="L29" i="10"/>
  <c r="M29" i="10" s="1"/>
  <c r="N29" i="10" s="1"/>
  <c r="L101" i="10"/>
  <c r="M101" i="10" s="1"/>
  <c r="N101" i="10" s="1"/>
  <c r="L12" i="10"/>
  <c r="M12" i="10" s="1"/>
  <c r="N12" i="10" s="1"/>
  <c r="L33" i="10"/>
  <c r="M33" i="10" s="1"/>
  <c r="L9" i="10"/>
  <c r="M9" i="10" s="1"/>
  <c r="L327" i="10"/>
  <c r="M327" i="10" s="1"/>
  <c r="L331" i="10"/>
  <c r="M331" i="10" s="1"/>
  <c r="N331" i="10" s="1"/>
  <c r="L17" i="10"/>
  <c r="M17" i="10" s="1"/>
  <c r="O17" i="10" s="1"/>
  <c r="L122" i="10"/>
  <c r="M122" i="10" s="1"/>
  <c r="N122" i="10" s="1"/>
  <c r="L91" i="10"/>
  <c r="M91" i="10" s="1"/>
  <c r="M32" i="10"/>
  <c r="O32" i="10" s="1"/>
  <c r="AW32" i="10" s="1"/>
  <c r="I134" i="10"/>
  <c r="CD134" i="10" s="1"/>
  <c r="L104" i="10"/>
  <c r="M104" i="10" s="1"/>
  <c r="N104" i="10" s="1"/>
  <c r="M14" i="10"/>
  <c r="N14" i="10" s="1"/>
  <c r="M109" i="10"/>
  <c r="O109" i="10" s="1"/>
  <c r="L83" i="10"/>
  <c r="M83" i="10" s="1"/>
  <c r="N83" i="10" s="1"/>
  <c r="L117" i="10"/>
  <c r="M117" i="10" s="1"/>
  <c r="L79" i="10"/>
  <c r="M79" i="10" s="1"/>
  <c r="L75" i="10"/>
  <c r="M75" i="10" s="1"/>
  <c r="L88" i="10"/>
  <c r="M88" i="10" s="1"/>
  <c r="L63" i="10"/>
  <c r="M63" i="10" s="1"/>
  <c r="N63" i="10" s="1"/>
  <c r="L125" i="10"/>
  <c r="M125" i="10" s="1"/>
  <c r="N125" i="10" s="1"/>
  <c r="L49" i="10"/>
  <c r="M49" i="10" s="1"/>
  <c r="L350" i="10"/>
  <c r="M350" i="10" s="1"/>
  <c r="L13" i="10"/>
  <c r="M13" i="10" s="1"/>
  <c r="L8" i="10"/>
  <c r="M8" i="10" s="1"/>
  <c r="L44" i="10"/>
  <c r="M44" i="10" s="1"/>
  <c r="L338" i="10"/>
  <c r="M338" i="10" s="1"/>
  <c r="L7" i="10"/>
  <c r="M7" i="10" s="1"/>
  <c r="N7" i="10" s="1"/>
  <c r="M103" i="10"/>
  <c r="O103" i="10" s="1"/>
  <c r="L67" i="10"/>
  <c r="M67" i="10" s="1"/>
  <c r="L21" i="10"/>
  <c r="M21" i="10" s="1"/>
  <c r="M51" i="10"/>
  <c r="N51" i="10" s="1"/>
  <c r="L347" i="10"/>
  <c r="M347" i="10" s="1"/>
  <c r="L336" i="10"/>
  <c r="M336" i="10" s="1"/>
  <c r="N336" i="10" s="1"/>
  <c r="L38" i="10"/>
  <c r="M38" i="10" s="1"/>
  <c r="M208" i="10"/>
  <c r="CC208" i="10"/>
  <c r="W115" i="10"/>
  <c r="BD115" i="10" s="1"/>
  <c r="BS115" i="10"/>
  <c r="AN115" i="10"/>
  <c r="CG115" i="10" s="1"/>
  <c r="BL115" i="10"/>
  <c r="BX115" i="10"/>
  <c r="U115" i="10"/>
  <c r="BY115" i="10"/>
  <c r="BW115" i="10"/>
  <c r="CB115" i="10"/>
  <c r="V115" i="10"/>
  <c r="AL115" i="10"/>
  <c r="CE115" i="10" s="1"/>
  <c r="I115" i="10"/>
  <c r="BU115" i="10"/>
  <c r="BO115" i="10"/>
  <c r="BT115" i="10"/>
  <c r="Z115" i="10"/>
  <c r="BJ115" i="10"/>
  <c r="Y115" i="10"/>
  <c r="AM115" i="10"/>
  <c r="CF115" i="10" s="1"/>
  <c r="BM115" i="10"/>
  <c r="AD115" i="10"/>
  <c r="BN115" i="10"/>
  <c r="BK115" i="10"/>
  <c r="AH115" i="10"/>
  <c r="BV115" i="10"/>
  <c r="X115" i="10"/>
  <c r="CI115" i="10"/>
  <c r="J115" i="10"/>
  <c r="CJ115" i="10"/>
  <c r="BP115" i="10"/>
  <c r="CC108" i="10"/>
  <c r="CC39" i="10"/>
  <c r="J129" i="10"/>
  <c r="AH129" i="10"/>
  <c r="Z129" i="10"/>
  <c r="AD129" i="10"/>
  <c r="X80" i="10"/>
  <c r="V80" i="10"/>
  <c r="Z80" i="10"/>
  <c r="AD80" i="10"/>
  <c r="J80" i="10"/>
  <c r="AH80" i="10"/>
  <c r="CC74" i="10"/>
  <c r="I137" i="10"/>
  <c r="CD137" i="10" s="1"/>
  <c r="W137" i="10"/>
  <c r="BD137" i="10" s="1"/>
  <c r="BL137" i="10"/>
  <c r="BY137" i="10"/>
  <c r="X137" i="10"/>
  <c r="BO137" i="10"/>
  <c r="CB137" i="10"/>
  <c r="AM137" i="10"/>
  <c r="CF137" i="10" s="1"/>
  <c r="BT137" i="10"/>
  <c r="CJ137" i="10"/>
  <c r="BW137" i="10"/>
  <c r="U137" i="10"/>
  <c r="AN137" i="10"/>
  <c r="CG137" i="10" s="1"/>
  <c r="BM137" i="10"/>
  <c r="CI137" i="10"/>
  <c r="BU137" i="10"/>
  <c r="Y137" i="10"/>
  <c r="BG137" i="10" s="1"/>
  <c r="J137" i="10"/>
  <c r="AH137" i="10"/>
  <c r="BV137" i="10"/>
  <c r="BS137" i="10"/>
  <c r="BP137" i="10"/>
  <c r="V137" i="10"/>
  <c r="AL137" i="10"/>
  <c r="CE137" i="10" s="1"/>
  <c r="BX137" i="10"/>
  <c r="BK137" i="10"/>
  <c r="AD137" i="10"/>
  <c r="BJ137" i="10"/>
  <c r="BN137" i="10"/>
  <c r="Z137" i="10"/>
  <c r="I139" i="10"/>
  <c r="CD139" i="10" s="1"/>
  <c r="AM139" i="10"/>
  <c r="BT139" i="10"/>
  <c r="CJ139" i="10"/>
  <c r="U139" i="10"/>
  <c r="AN139" i="10"/>
  <c r="CG139" i="10" s="1"/>
  <c r="BW139" i="10"/>
  <c r="W139" i="10"/>
  <c r="BD139" i="10" s="1"/>
  <c r="BL139" i="10"/>
  <c r="BY139" i="10"/>
  <c r="CB139" i="10"/>
  <c r="X139" i="10"/>
  <c r="BO139" i="10"/>
  <c r="BM139" i="10"/>
  <c r="CI139" i="10"/>
  <c r="BP139" i="10"/>
  <c r="J139" i="10"/>
  <c r="K139" i="10" s="1"/>
  <c r="AH139" i="10"/>
  <c r="BV139" i="10"/>
  <c r="BS139" i="10"/>
  <c r="BK139" i="10"/>
  <c r="V139" i="10"/>
  <c r="AL139" i="10"/>
  <c r="CE139" i="10" s="1"/>
  <c r="BX139" i="10"/>
  <c r="BN139" i="10"/>
  <c r="Z139" i="10"/>
  <c r="BU139" i="10"/>
  <c r="AD139" i="10"/>
  <c r="Y139" i="10"/>
  <c r="BG139" i="10" s="1"/>
  <c r="BJ139" i="10"/>
  <c r="M313" i="10"/>
  <c r="CC313" i="10"/>
  <c r="CC33" i="10"/>
  <c r="Z87" i="10"/>
  <c r="AD87" i="10"/>
  <c r="J87" i="10"/>
  <c r="AH87" i="10"/>
  <c r="AD102" i="10"/>
  <c r="J102" i="10"/>
  <c r="AH102" i="10"/>
  <c r="Z102" i="10"/>
  <c r="CC182" i="10"/>
  <c r="CH182" i="10" s="1"/>
  <c r="M182" i="10"/>
  <c r="M178" i="10"/>
  <c r="CC178" i="10"/>
  <c r="CC51" i="10"/>
  <c r="CC134" i="10"/>
  <c r="AD14" i="10"/>
  <c r="J14" i="10"/>
  <c r="AH14" i="10"/>
  <c r="Z14" i="10"/>
  <c r="J28" i="10"/>
  <c r="AH28" i="10"/>
  <c r="AD28" i="10"/>
  <c r="Z28" i="10"/>
  <c r="AM11" i="10"/>
  <c r="CF11" i="10" s="1"/>
  <c r="BP11" i="10"/>
  <c r="CB11" i="10"/>
  <c r="AN11" i="10"/>
  <c r="CG11" i="10" s="1"/>
  <c r="BS11" i="10"/>
  <c r="W11" i="10"/>
  <c r="BD11" i="10" s="1"/>
  <c r="BK11" i="10"/>
  <c r="BT11" i="10"/>
  <c r="CI11" i="10"/>
  <c r="BL11" i="10"/>
  <c r="BX11" i="10"/>
  <c r="CJ11" i="10"/>
  <c r="X11" i="10"/>
  <c r="Y11" i="10"/>
  <c r="BG11" i="10" s="1"/>
  <c r="J11" i="10"/>
  <c r="AH11" i="10"/>
  <c r="BV11" i="10"/>
  <c r="BM11" i="10"/>
  <c r="V11" i="10"/>
  <c r="AL11" i="10"/>
  <c r="CE11" i="10" s="1"/>
  <c r="BO11" i="10"/>
  <c r="U11" i="10"/>
  <c r="BY11" i="10"/>
  <c r="BN11" i="10"/>
  <c r="I11" i="10"/>
  <c r="BU11" i="10"/>
  <c r="Z11" i="10"/>
  <c r="BJ11" i="10"/>
  <c r="BW11" i="10"/>
  <c r="AD11" i="10"/>
  <c r="AM337" i="10"/>
  <c r="CF337" i="10" s="1"/>
  <c r="BL337" i="10"/>
  <c r="BV337" i="10"/>
  <c r="AD337" i="10"/>
  <c r="BK337" i="10"/>
  <c r="J337" i="10"/>
  <c r="AN337" i="10"/>
  <c r="CG337" i="10" s="1"/>
  <c r="BO337" i="10"/>
  <c r="BW337" i="10"/>
  <c r="BT337" i="10"/>
  <c r="Z337" i="10"/>
  <c r="AH337" i="10"/>
  <c r="BJ337" i="10"/>
  <c r="BP337" i="10"/>
  <c r="CB337" i="10"/>
  <c r="AL337" i="10"/>
  <c r="CE337" i="10" s="1"/>
  <c r="CJ337" i="10"/>
  <c r="CI337" i="10"/>
  <c r="BM337" i="10"/>
  <c r="BS337" i="10"/>
  <c r="BY337" i="10"/>
  <c r="BN337" i="10"/>
  <c r="I337" i="10"/>
  <c r="BU337" i="10"/>
  <c r="BX337" i="10"/>
  <c r="BN184" i="10"/>
  <c r="Z184" i="10"/>
  <c r="CB184" i="10"/>
  <c r="AD184" i="10"/>
  <c r="AH184" i="10"/>
  <c r="BL184" i="10"/>
  <c r="BS184" i="10"/>
  <c r="BM184" i="10"/>
  <c r="BW184" i="10"/>
  <c r="BP184" i="10"/>
  <c r="BJ184" i="10"/>
  <c r="BU184" i="10"/>
  <c r="BK184" i="10"/>
  <c r="BX184" i="10"/>
  <c r="BV184" i="10"/>
  <c r="BO184" i="10"/>
  <c r="BT184" i="10"/>
  <c r="BY184" i="10"/>
  <c r="CC121" i="10"/>
  <c r="AD340" i="10"/>
  <c r="BJ340" i="10"/>
  <c r="AN340" i="10"/>
  <c r="CG340" i="10" s="1"/>
  <c r="AH340" i="10"/>
  <c r="BO340" i="10"/>
  <c r="AM340" i="10"/>
  <c r="CF340" i="10" s="1"/>
  <c r="BT340" i="10"/>
  <c r="CJ340" i="10"/>
  <c r="BN340" i="10"/>
  <c r="CB340" i="10"/>
  <c r="BX340" i="10"/>
  <c r="J340" i="10"/>
  <c r="BM340" i="10"/>
  <c r="I340" i="10"/>
  <c r="BU340" i="10"/>
  <c r="AL340" i="10"/>
  <c r="CE340" i="10" s="1"/>
  <c r="BW340" i="10"/>
  <c r="BP340" i="10"/>
  <c r="Z340" i="10"/>
  <c r="BL340" i="10"/>
  <c r="BV340" i="10"/>
  <c r="BK340" i="10"/>
  <c r="BY340" i="10"/>
  <c r="CI340" i="10"/>
  <c r="BS340" i="10"/>
  <c r="CC340" i="10"/>
  <c r="AH191" i="10"/>
  <c r="BN191" i="10"/>
  <c r="CB191" i="10"/>
  <c r="BP191" i="10"/>
  <c r="Z191" i="10"/>
  <c r="BT191" i="10"/>
  <c r="AD191" i="10"/>
  <c r="BX191" i="10"/>
  <c r="BK191" i="10"/>
  <c r="BM191" i="10"/>
  <c r="BV191" i="10"/>
  <c r="BO191" i="10"/>
  <c r="BJ191" i="10"/>
  <c r="BL191" i="10"/>
  <c r="BS191" i="10"/>
  <c r="BY191" i="10"/>
  <c r="BW191" i="10"/>
  <c r="BU191" i="10"/>
  <c r="BS301" i="10"/>
  <c r="BK301" i="10"/>
  <c r="BX301" i="10"/>
  <c r="BV301" i="10"/>
  <c r="BJ301" i="10"/>
  <c r="BM301" i="10"/>
  <c r="AD301" i="10"/>
  <c r="BP301" i="10"/>
  <c r="BU301" i="10"/>
  <c r="Z301" i="10"/>
  <c r="BW301" i="10"/>
  <c r="BY301" i="10"/>
  <c r="BL301" i="10"/>
  <c r="AH301" i="10"/>
  <c r="CB301" i="10"/>
  <c r="BN301" i="10"/>
  <c r="BO301" i="10"/>
  <c r="BT301" i="10"/>
  <c r="Z154" i="10"/>
  <c r="AD154" i="10"/>
  <c r="AH154" i="10"/>
  <c r="M184" i="10"/>
  <c r="CC184" i="10"/>
  <c r="Z169" i="10"/>
  <c r="BT169" i="10"/>
  <c r="AD169" i="10"/>
  <c r="BV169" i="10"/>
  <c r="AH169" i="10"/>
  <c r="BL169" i="10"/>
  <c r="CB169" i="10"/>
  <c r="BN169" i="10"/>
  <c r="BM169" i="10"/>
  <c r="BW169" i="10"/>
  <c r="BP169" i="10"/>
  <c r="BJ169" i="10"/>
  <c r="BU169" i="10"/>
  <c r="BK169" i="10"/>
  <c r="BX169" i="10"/>
  <c r="BY169" i="10"/>
  <c r="BO169" i="10"/>
  <c r="BS169" i="10"/>
  <c r="BJ341" i="10"/>
  <c r="BP341" i="10"/>
  <c r="CB341" i="10"/>
  <c r="AH341" i="10"/>
  <c r="AN341" i="10"/>
  <c r="CG341" i="10" s="1"/>
  <c r="AD341" i="10"/>
  <c r="AL341" i="10"/>
  <c r="CE341" i="10" s="1"/>
  <c r="BK341" i="10"/>
  <c r="BT341" i="10"/>
  <c r="CJ341" i="10"/>
  <c r="BW341" i="10"/>
  <c r="J341" i="10"/>
  <c r="AM341" i="10"/>
  <c r="CF341" i="10" s="1"/>
  <c r="BL341" i="10"/>
  <c r="BV341" i="10"/>
  <c r="Z341" i="10"/>
  <c r="BO341" i="10"/>
  <c r="BN341" i="10"/>
  <c r="BX341" i="10"/>
  <c r="I341" i="10"/>
  <c r="BU341" i="10"/>
  <c r="BS341" i="10"/>
  <c r="BY341" i="10"/>
  <c r="CI341" i="10"/>
  <c r="BM341" i="10"/>
  <c r="M307" i="10"/>
  <c r="CC307" i="10"/>
  <c r="M189" i="10"/>
  <c r="CC189" i="10"/>
  <c r="AD322" i="10"/>
  <c r="BJ322" i="10"/>
  <c r="AH322" i="10"/>
  <c r="BO322" i="10"/>
  <c r="BT322" i="10"/>
  <c r="BN322" i="10"/>
  <c r="BM322" i="10"/>
  <c r="BU322" i="10"/>
  <c r="BX322" i="10"/>
  <c r="BY322" i="10"/>
  <c r="CB322" i="10"/>
  <c r="BW322" i="10"/>
  <c r="BS322" i="10"/>
  <c r="BL322" i="10"/>
  <c r="BP322" i="10"/>
  <c r="BK322" i="10"/>
  <c r="Z322" i="10"/>
  <c r="BV322" i="10"/>
  <c r="M180" i="10"/>
  <c r="CC180" i="10"/>
  <c r="AD163" i="10"/>
  <c r="BN163" i="10"/>
  <c r="BX163" i="10"/>
  <c r="BP163" i="10"/>
  <c r="CB163" i="10"/>
  <c r="AH163" i="10"/>
  <c r="BJ163" i="10"/>
  <c r="BT163" i="10"/>
  <c r="Z163" i="10"/>
  <c r="BL163" i="10"/>
  <c r="BV163" i="10"/>
  <c r="BM163" i="10"/>
  <c r="BK163" i="10"/>
  <c r="BU163" i="10"/>
  <c r="BO163" i="10"/>
  <c r="BY163" i="10"/>
  <c r="BS163" i="10"/>
  <c r="BW163" i="10"/>
  <c r="AD189" i="10"/>
  <c r="BT189" i="10"/>
  <c r="AH189" i="10"/>
  <c r="BJ189" i="10"/>
  <c r="BX189" i="10"/>
  <c r="BL189" i="10"/>
  <c r="CB189" i="10"/>
  <c r="Z189" i="10"/>
  <c r="BP189" i="10"/>
  <c r="BO189" i="10"/>
  <c r="BY189" i="10"/>
  <c r="BS189" i="10"/>
  <c r="BU189" i="10"/>
  <c r="BW189" i="10"/>
  <c r="BV189" i="10"/>
  <c r="BN189" i="10"/>
  <c r="BK189" i="10"/>
  <c r="BM189" i="10"/>
  <c r="M301" i="10"/>
  <c r="CC301" i="10"/>
  <c r="M323" i="10"/>
  <c r="CC323" i="10"/>
  <c r="AD207" i="10"/>
  <c r="BP207" i="10"/>
  <c r="AH207" i="10"/>
  <c r="BJ207" i="10"/>
  <c r="BT207" i="10"/>
  <c r="BK207" i="10"/>
  <c r="BV207" i="10"/>
  <c r="BO207" i="10"/>
  <c r="Z207" i="10"/>
  <c r="BX207" i="10"/>
  <c r="BM207" i="10"/>
  <c r="BL207" i="10"/>
  <c r="BS207" i="10"/>
  <c r="BU207" i="10"/>
  <c r="BN207" i="10"/>
  <c r="BY207" i="10"/>
  <c r="CB207" i="10"/>
  <c r="BW207" i="10"/>
  <c r="M213" i="10"/>
  <c r="CC213" i="10"/>
  <c r="M191" i="10"/>
  <c r="CC191" i="10"/>
  <c r="Z180" i="10"/>
  <c r="BL180" i="10"/>
  <c r="AD180" i="10"/>
  <c r="CB180" i="10"/>
  <c r="AH180" i="10"/>
  <c r="BJ180" i="10"/>
  <c r="BU180" i="10"/>
  <c r="BK180" i="10"/>
  <c r="BV180" i="10"/>
  <c r="BP180" i="10"/>
  <c r="BT180" i="10"/>
  <c r="BY180" i="10"/>
  <c r="BO180" i="10"/>
  <c r="BX180" i="10"/>
  <c r="BS180" i="10"/>
  <c r="BM180" i="10"/>
  <c r="BN180" i="10"/>
  <c r="BW180" i="10"/>
  <c r="CC258" i="10"/>
  <c r="CH258" i="10" s="1"/>
  <c r="M258" i="10"/>
  <c r="CC286" i="10"/>
  <c r="M286" i="10"/>
  <c r="M310" i="10"/>
  <c r="CC310" i="10"/>
  <c r="AH194" i="10"/>
  <c r="BP194" i="10"/>
  <c r="CB194" i="10"/>
  <c r="BJ194" i="10"/>
  <c r="BT194" i="10"/>
  <c r="Z194" i="10"/>
  <c r="BL194" i="10"/>
  <c r="BV194" i="10"/>
  <c r="BX194" i="10"/>
  <c r="AD194" i="10"/>
  <c r="BN194" i="10"/>
  <c r="BK194" i="10"/>
  <c r="BU194" i="10"/>
  <c r="BO194" i="10"/>
  <c r="BM194" i="10"/>
  <c r="BS194" i="10"/>
  <c r="BY194" i="10"/>
  <c r="BW194" i="10"/>
  <c r="M205" i="10"/>
  <c r="CC205" i="10"/>
  <c r="M187" i="10"/>
  <c r="CC187" i="10"/>
  <c r="AH192" i="10"/>
  <c r="BP192" i="10"/>
  <c r="Z192" i="10"/>
  <c r="AD192" i="10"/>
  <c r="BK192" i="10"/>
  <c r="BX192" i="10"/>
  <c r="BJ192" i="10"/>
  <c r="BO192" i="10"/>
  <c r="BL192" i="10"/>
  <c r="BN192" i="10"/>
  <c r="BY192" i="10"/>
  <c r="BS192" i="10"/>
  <c r="BT192" i="10"/>
  <c r="BW192" i="10"/>
  <c r="CB192" i="10"/>
  <c r="BV192" i="10"/>
  <c r="BU192" i="10"/>
  <c r="BM192" i="10"/>
  <c r="M293" i="10"/>
  <c r="CC293" i="10"/>
  <c r="CC333" i="10"/>
  <c r="AD328" i="10"/>
  <c r="AH328" i="10"/>
  <c r="Z328" i="10"/>
  <c r="J328" i="10"/>
  <c r="CC328" i="10"/>
  <c r="Z221" i="10"/>
  <c r="AD221" i="10"/>
  <c r="AH221" i="10"/>
  <c r="AD332" i="10"/>
  <c r="AH332" i="10"/>
  <c r="J332" i="10"/>
  <c r="Z332" i="10"/>
  <c r="CC326" i="10"/>
  <c r="AH219" i="10"/>
  <c r="Z219" i="10"/>
  <c r="AD219" i="10"/>
  <c r="Z229" i="10"/>
  <c r="AD229" i="10"/>
  <c r="AH229" i="10"/>
  <c r="Z237" i="10"/>
  <c r="AD237" i="10"/>
  <c r="AH237" i="10"/>
  <c r="CC342" i="10"/>
  <c r="CC336" i="10"/>
  <c r="M168" i="10"/>
  <c r="CC168" i="10"/>
  <c r="AH334" i="10"/>
  <c r="AD334" i="10"/>
  <c r="Z334" i="10"/>
  <c r="J334" i="10"/>
  <c r="AN351" i="10"/>
  <c r="CG351" i="10" s="1"/>
  <c r="BO351" i="10"/>
  <c r="BW351" i="10"/>
  <c r="AM351" i="10"/>
  <c r="CF351" i="10" s="1"/>
  <c r="BV351" i="10"/>
  <c r="J351" i="10"/>
  <c r="AH351" i="10"/>
  <c r="BJ351" i="10"/>
  <c r="BP351" i="10"/>
  <c r="CB351" i="10"/>
  <c r="AD351" i="10"/>
  <c r="BL351" i="10"/>
  <c r="Z351" i="10"/>
  <c r="AL351" i="10"/>
  <c r="BK351" i="10"/>
  <c r="BT351" i="10"/>
  <c r="CJ351" i="10"/>
  <c r="CI351" i="10"/>
  <c r="BX351" i="10"/>
  <c r="BM351" i="10"/>
  <c r="BS351" i="10"/>
  <c r="I351" i="10"/>
  <c r="BU351" i="10"/>
  <c r="BY351" i="10"/>
  <c r="BN351" i="10"/>
  <c r="CC329" i="10"/>
  <c r="AH329" i="10"/>
  <c r="Z329" i="10"/>
  <c r="J329" i="10"/>
  <c r="AD329" i="10"/>
  <c r="L329" i="10"/>
  <c r="M329" i="10" s="1"/>
  <c r="Z217" i="10"/>
  <c r="AD217" i="10"/>
  <c r="AH217" i="10"/>
  <c r="BK302" i="10"/>
  <c r="BS302" i="10"/>
  <c r="BX302" i="10"/>
  <c r="BP302" i="10"/>
  <c r="BY302" i="10"/>
  <c r="BN302" i="10"/>
  <c r="AH302" i="10"/>
  <c r="BW302" i="10"/>
  <c r="BV302" i="10"/>
  <c r="BJ302" i="10"/>
  <c r="BO302" i="10"/>
  <c r="BM302" i="10"/>
  <c r="AD302" i="10"/>
  <c r="BU302" i="10"/>
  <c r="Z302" i="10"/>
  <c r="BT302" i="10"/>
  <c r="BL302" i="10"/>
  <c r="CB302" i="10"/>
  <c r="Z234" i="10"/>
  <c r="AD234" i="10"/>
  <c r="AH234" i="10"/>
  <c r="CC117" i="10"/>
  <c r="CC79" i="10"/>
  <c r="CC24" i="10"/>
  <c r="AH53" i="10"/>
  <c r="AD53" i="10"/>
  <c r="Z53" i="10"/>
  <c r="J53" i="10"/>
  <c r="Z89" i="10"/>
  <c r="AD89" i="10"/>
  <c r="J89" i="10"/>
  <c r="AH89" i="10"/>
  <c r="CC10" i="10"/>
  <c r="CC105" i="10"/>
  <c r="CC107" i="10"/>
  <c r="CC28" i="10"/>
  <c r="L106" i="10"/>
  <c r="M106" i="10" s="1"/>
  <c r="CC139" i="10"/>
  <c r="CC113" i="10"/>
  <c r="Z136" i="10"/>
  <c r="AD136" i="10"/>
  <c r="J136" i="10"/>
  <c r="AH136" i="10"/>
  <c r="AM94" i="10"/>
  <c r="CF94" i="10" s="1"/>
  <c r="BU94" i="10"/>
  <c r="BK94" i="10"/>
  <c r="BY94" i="10"/>
  <c r="BM94" i="10"/>
  <c r="BS94" i="10"/>
  <c r="CI94" i="10"/>
  <c r="Z94" i="10"/>
  <c r="BJ94" i="10"/>
  <c r="BT94" i="10"/>
  <c r="BO94" i="10"/>
  <c r="AD94" i="10"/>
  <c r="BN94" i="10"/>
  <c r="AN94" i="10"/>
  <c r="CG94" i="10" s="1"/>
  <c r="BX94" i="10"/>
  <c r="J94" i="10"/>
  <c r="AH94" i="10"/>
  <c r="BV94" i="10"/>
  <c r="BL94" i="10"/>
  <c r="CB94" i="10"/>
  <c r="BP94" i="10"/>
  <c r="AL94" i="10"/>
  <c r="CE94" i="10" s="1"/>
  <c r="CJ94" i="10"/>
  <c r="BW94" i="10"/>
  <c r="J65" i="10"/>
  <c r="Z65" i="10"/>
  <c r="AD65" i="10"/>
  <c r="X65" i="10"/>
  <c r="AH65" i="10"/>
  <c r="V65" i="10"/>
  <c r="CC12" i="10"/>
  <c r="Z23" i="10"/>
  <c r="AD23" i="10"/>
  <c r="AH23" i="10"/>
  <c r="J23" i="10"/>
  <c r="AE57" i="1"/>
  <c r="V57" i="10" s="1"/>
  <c r="L57" i="10"/>
  <c r="M57" i="10" s="1"/>
  <c r="AM348" i="10"/>
  <c r="CF348" i="10" s="1"/>
  <c r="BT348" i="10"/>
  <c r="AD348" i="10"/>
  <c r="AN348" i="10"/>
  <c r="CG348" i="10" s="1"/>
  <c r="CJ348" i="10"/>
  <c r="AH348" i="10"/>
  <c r="BJ348" i="10"/>
  <c r="BO348" i="10"/>
  <c r="CI348" i="10"/>
  <c r="BN348" i="10"/>
  <c r="CB348" i="10"/>
  <c r="BM348" i="10"/>
  <c r="BW348" i="10"/>
  <c r="AL348" i="10"/>
  <c r="I348" i="10"/>
  <c r="BU348" i="10"/>
  <c r="BL348" i="10"/>
  <c r="BY348" i="10"/>
  <c r="BP348" i="10"/>
  <c r="J348" i="10"/>
  <c r="BV348" i="10"/>
  <c r="BK348" i="10"/>
  <c r="BS348" i="10"/>
  <c r="Z348" i="10"/>
  <c r="AD48" i="10"/>
  <c r="AH48" i="10"/>
  <c r="J48" i="10"/>
  <c r="Z48" i="10"/>
  <c r="L137" i="10"/>
  <c r="M137" i="10" s="1"/>
  <c r="CC327" i="10"/>
  <c r="Z190" i="10"/>
  <c r="BN190" i="10"/>
  <c r="BX190" i="10"/>
  <c r="AD190" i="10"/>
  <c r="BP190" i="10"/>
  <c r="CB190" i="10"/>
  <c r="AH190" i="10"/>
  <c r="BJ190" i="10"/>
  <c r="BT190" i="10"/>
  <c r="BV190" i="10"/>
  <c r="BL190" i="10"/>
  <c r="BO190" i="10"/>
  <c r="BU190" i="10"/>
  <c r="BS190" i="10"/>
  <c r="BM190" i="10"/>
  <c r="BW190" i="10"/>
  <c r="BK190" i="10"/>
  <c r="BY190" i="10"/>
  <c r="Z30" i="10"/>
  <c r="AD30" i="10"/>
  <c r="J30" i="10"/>
  <c r="AH30" i="10"/>
  <c r="M164" i="10"/>
  <c r="CC164" i="10"/>
  <c r="Z218" i="10"/>
  <c r="AD218" i="10"/>
  <c r="AH218" i="10"/>
  <c r="AE58" i="1"/>
  <c r="X58" i="10" s="1"/>
  <c r="L58" i="10"/>
  <c r="M58" i="10" s="1"/>
  <c r="CC15" i="10"/>
  <c r="M108" i="10"/>
  <c r="I47" i="10"/>
  <c r="Z47" i="10"/>
  <c r="AM47" i="10"/>
  <c r="CF47" i="10" s="1"/>
  <c r="BP47" i="10"/>
  <c r="X47" i="10"/>
  <c r="AN47" i="10"/>
  <c r="CG47" i="10" s="1"/>
  <c r="BX47" i="10"/>
  <c r="J47" i="10"/>
  <c r="AD47" i="10"/>
  <c r="BJ47" i="10"/>
  <c r="CJ47" i="10"/>
  <c r="V47" i="10"/>
  <c r="AH47" i="10"/>
  <c r="BN47" i="10"/>
  <c r="AL47" i="10"/>
  <c r="CE47" i="10" s="1"/>
  <c r="BV47" i="10"/>
  <c r="W47" i="10"/>
  <c r="BD47" i="10" s="1"/>
  <c r="BK47" i="10"/>
  <c r="CI47" i="10"/>
  <c r="BT47" i="10"/>
  <c r="BS47" i="10"/>
  <c r="BW47" i="10"/>
  <c r="BY47" i="10"/>
  <c r="U47" i="10"/>
  <c r="BU47" i="10"/>
  <c r="BO47" i="10"/>
  <c r="CB47" i="10"/>
  <c r="Y47" i="10"/>
  <c r="BF47" i="10" s="1"/>
  <c r="BL47" i="10"/>
  <c r="BM47" i="10"/>
  <c r="CC31" i="10"/>
  <c r="L35" i="10"/>
  <c r="M35" i="10" s="1"/>
  <c r="CC94" i="10"/>
  <c r="CC106" i="10"/>
  <c r="Z97" i="10"/>
  <c r="AD97" i="10"/>
  <c r="AH97" i="10"/>
  <c r="J97" i="10"/>
  <c r="Z75" i="10"/>
  <c r="AD75" i="10"/>
  <c r="J75" i="10"/>
  <c r="AH75" i="10"/>
  <c r="L30" i="10"/>
  <c r="M30" i="10" s="1"/>
  <c r="J46" i="10"/>
  <c r="AD46" i="10"/>
  <c r="AH46" i="10"/>
  <c r="Z46" i="10"/>
  <c r="AD105" i="10"/>
  <c r="J105" i="10"/>
  <c r="AH105" i="10"/>
  <c r="Z105" i="10"/>
  <c r="AD91" i="10"/>
  <c r="J91" i="10"/>
  <c r="AH91" i="10"/>
  <c r="Z91" i="10"/>
  <c r="CC101" i="10"/>
  <c r="CC112" i="10"/>
  <c r="AN134" i="10"/>
  <c r="CG134" i="10" s="1"/>
  <c r="CB134" i="10"/>
  <c r="BL134" i="10"/>
  <c r="CJ134" i="10"/>
  <c r="BT134" i="10"/>
  <c r="AM134" i="10"/>
  <c r="CF134" i="10" s="1"/>
  <c r="BW134" i="10"/>
  <c r="BK134" i="10"/>
  <c r="BM134" i="10"/>
  <c r="CI134" i="10"/>
  <c r="J134" i="10"/>
  <c r="AH134" i="10"/>
  <c r="BV134" i="10"/>
  <c r="BP134" i="10"/>
  <c r="BS134" i="10"/>
  <c r="AL134" i="10"/>
  <c r="CE134" i="10" s="1"/>
  <c r="BU134" i="10"/>
  <c r="BX134" i="10"/>
  <c r="BY134" i="10"/>
  <c r="Z134" i="10"/>
  <c r="BJ134" i="10"/>
  <c r="BO134" i="10"/>
  <c r="AD134" i="10"/>
  <c r="BN134" i="10"/>
  <c r="CC32" i="10"/>
  <c r="CC110" i="10"/>
  <c r="L123" i="10"/>
  <c r="M123" i="10" s="1"/>
  <c r="Z123" i="10"/>
  <c r="AD123" i="10"/>
  <c r="J123" i="10"/>
  <c r="AH123" i="10"/>
  <c r="CC8" i="10"/>
  <c r="L28" i="10"/>
  <c r="M28" i="10" s="1"/>
  <c r="M121" i="10"/>
  <c r="CC84" i="10"/>
  <c r="CC29" i="10"/>
  <c r="CC27" i="10"/>
  <c r="CC20" i="10"/>
  <c r="CC25" i="10"/>
  <c r="CC87" i="10"/>
  <c r="L39" i="10"/>
  <c r="M39" i="10" s="1"/>
  <c r="CC19" i="10"/>
  <c r="X82" i="10"/>
  <c r="Z82" i="10"/>
  <c r="AD82" i="10"/>
  <c r="J82" i="10"/>
  <c r="AH82" i="10"/>
  <c r="V82" i="10"/>
  <c r="BM100" i="10"/>
  <c r="CC100" i="10"/>
  <c r="Z122" i="10"/>
  <c r="AD122" i="10"/>
  <c r="J122" i="10"/>
  <c r="AH122" i="10"/>
  <c r="Y104" i="10"/>
  <c r="BG104" i="10" s="1"/>
  <c r="BL104" i="10"/>
  <c r="BU104" i="10"/>
  <c r="U104" i="10"/>
  <c r="AM104" i="10"/>
  <c r="CF104" i="10" s="1"/>
  <c r="BO104" i="10"/>
  <c r="BW104" i="10"/>
  <c r="CJ104" i="10"/>
  <c r="W104" i="10"/>
  <c r="BD104" i="10" s="1"/>
  <c r="AN104" i="10"/>
  <c r="CG104" i="10" s="1"/>
  <c r="BP104" i="10"/>
  <c r="BY104" i="10"/>
  <c r="BK104" i="10"/>
  <c r="BT104" i="10"/>
  <c r="I104" i="10"/>
  <c r="CD104" i="10" s="1"/>
  <c r="CB104" i="10"/>
  <c r="X104" i="10"/>
  <c r="BX104" i="10"/>
  <c r="Z104" i="10"/>
  <c r="BJ104" i="10"/>
  <c r="BS104" i="10"/>
  <c r="AD104" i="10"/>
  <c r="BN104" i="10"/>
  <c r="CI104" i="10"/>
  <c r="J104" i="10"/>
  <c r="AH104" i="10"/>
  <c r="BV104" i="10"/>
  <c r="V104" i="10"/>
  <c r="AL104" i="10"/>
  <c r="CE104" i="10" s="1"/>
  <c r="I108" i="10"/>
  <c r="CD108" i="10" s="1"/>
  <c r="X108" i="10"/>
  <c r="BO108" i="10"/>
  <c r="AM108" i="10"/>
  <c r="CF108" i="10" s="1"/>
  <c r="CJ108" i="10"/>
  <c r="U108" i="10"/>
  <c r="AN108" i="10"/>
  <c r="CG108" i="10" s="1"/>
  <c r="W108" i="10"/>
  <c r="BD108" i="10" s="1"/>
  <c r="BU108" i="10"/>
  <c r="Y108" i="10"/>
  <c r="BG108" i="10" s="1"/>
  <c r="CB108" i="10"/>
  <c r="BX108" i="10"/>
  <c r="BW108" i="10"/>
  <c r="BL108" i="10"/>
  <c r="AD108" i="10"/>
  <c r="BN108" i="10"/>
  <c r="BK108" i="10"/>
  <c r="BT108" i="10"/>
  <c r="J108" i="10"/>
  <c r="AH108" i="10"/>
  <c r="BV108" i="10"/>
  <c r="BM108" i="10"/>
  <c r="CI108" i="10"/>
  <c r="BY108" i="10"/>
  <c r="V108" i="10"/>
  <c r="AL108" i="10"/>
  <c r="CE108" i="10" s="1"/>
  <c r="Z108" i="10"/>
  <c r="BP108" i="10"/>
  <c r="BS108" i="10"/>
  <c r="BJ108" i="10"/>
  <c r="AD96" i="10"/>
  <c r="J96" i="10"/>
  <c r="AH96" i="10"/>
  <c r="Z96" i="10"/>
  <c r="J42" i="10"/>
  <c r="AD42" i="10"/>
  <c r="AH42" i="10"/>
  <c r="Z42" i="10"/>
  <c r="L48" i="10"/>
  <c r="M48" i="10" s="1"/>
  <c r="CC72" i="10"/>
  <c r="CC57" i="10"/>
  <c r="M215" i="10"/>
  <c r="CC215" i="10"/>
  <c r="CC38" i="10"/>
  <c r="L114" i="10"/>
  <c r="M114" i="10" s="1"/>
  <c r="CC118" i="10"/>
  <c r="CC141" i="10"/>
  <c r="CC96" i="10"/>
  <c r="J121" i="10"/>
  <c r="AH121" i="10"/>
  <c r="Z121" i="10"/>
  <c r="AD121" i="10"/>
  <c r="L95" i="10"/>
  <c r="M95" i="10" s="1"/>
  <c r="X95" i="10"/>
  <c r="AD95" i="10"/>
  <c r="J95" i="10"/>
  <c r="AH95" i="10"/>
  <c r="V95" i="10"/>
  <c r="Z95" i="10"/>
  <c r="AD90" i="10"/>
  <c r="J90" i="10"/>
  <c r="AH90" i="10"/>
  <c r="Z90" i="10"/>
  <c r="CC95" i="10"/>
  <c r="CC75" i="10"/>
  <c r="CC17" i="10"/>
  <c r="CC120" i="10"/>
  <c r="U116" i="10"/>
  <c r="AM116" i="10"/>
  <c r="CF116" i="10" s="1"/>
  <c r="CB116" i="10"/>
  <c r="W116" i="10"/>
  <c r="BD116" i="10" s="1"/>
  <c r="BO116" i="10"/>
  <c r="X116" i="10"/>
  <c r="BU116" i="10"/>
  <c r="I116" i="10"/>
  <c r="CD116" i="10" s="1"/>
  <c r="Y116" i="10"/>
  <c r="BE116" i="10" s="1"/>
  <c r="CJ116" i="10"/>
  <c r="AN116" i="10"/>
  <c r="CG116" i="10" s="1"/>
  <c r="BX116" i="10"/>
  <c r="BW116" i="10"/>
  <c r="BL116" i="10"/>
  <c r="V116" i="10"/>
  <c r="AL116" i="10"/>
  <c r="CE116" i="10" s="1"/>
  <c r="BK116" i="10"/>
  <c r="BT116" i="10"/>
  <c r="Z116" i="10"/>
  <c r="BJ116" i="10"/>
  <c r="BM116" i="10"/>
  <c r="CI116" i="10"/>
  <c r="BY116" i="10"/>
  <c r="AD116" i="10"/>
  <c r="BN116" i="10"/>
  <c r="BP116" i="10"/>
  <c r="J116" i="10"/>
  <c r="BS116" i="10"/>
  <c r="BV116" i="10"/>
  <c r="AH116" i="10"/>
  <c r="BS117" i="10"/>
  <c r="AD117" i="10"/>
  <c r="BN117" i="10"/>
  <c r="BK117" i="10"/>
  <c r="BM117" i="10"/>
  <c r="X117" i="10"/>
  <c r="CJ117" i="10"/>
  <c r="BL117" i="10"/>
  <c r="J117" i="10"/>
  <c r="AH117" i="10"/>
  <c r="BV117" i="10"/>
  <c r="BP117" i="10"/>
  <c r="BT117" i="10"/>
  <c r="AM117" i="10"/>
  <c r="CF117" i="10" s="1"/>
  <c r="U117" i="10"/>
  <c r="V117" i="10"/>
  <c r="AL117" i="10"/>
  <c r="CE117" i="10" s="1"/>
  <c r="I117" i="10"/>
  <c r="BU117" i="10"/>
  <c r="CB117" i="10"/>
  <c r="BO117" i="10"/>
  <c r="AN117" i="10"/>
  <c r="CG117" i="10" s="1"/>
  <c r="BY117" i="10"/>
  <c r="Y117" i="10"/>
  <c r="BG117" i="10" s="1"/>
  <c r="BX117" i="10"/>
  <c r="W117" i="10"/>
  <c r="BD117" i="10" s="1"/>
  <c r="Z117" i="10"/>
  <c r="CI117" i="10"/>
  <c r="BJ117" i="10"/>
  <c r="BW117" i="10"/>
  <c r="M16" i="10"/>
  <c r="CC44" i="10"/>
  <c r="L129" i="10"/>
  <c r="M129" i="10" s="1"/>
  <c r="CC92" i="10"/>
  <c r="L111" i="10"/>
  <c r="M111" i="10" s="1"/>
  <c r="CC26" i="10"/>
  <c r="CC115" i="10"/>
  <c r="CC9" i="10"/>
  <c r="CC54" i="10"/>
  <c r="CC64" i="10"/>
  <c r="Z67" i="10"/>
  <c r="J67" i="10"/>
  <c r="AH67" i="10"/>
  <c r="AD67" i="10"/>
  <c r="CC128" i="10"/>
  <c r="J349" i="10"/>
  <c r="AH349" i="10"/>
  <c r="BJ349" i="10"/>
  <c r="BP349" i="10"/>
  <c r="CB349" i="10"/>
  <c r="AD349" i="10"/>
  <c r="BW349" i="10"/>
  <c r="Z349" i="10"/>
  <c r="AL349" i="10"/>
  <c r="CE349" i="10" s="1"/>
  <c r="BK349" i="10"/>
  <c r="BT349" i="10"/>
  <c r="CJ349" i="10"/>
  <c r="AN349" i="10"/>
  <c r="CG349" i="10" s="1"/>
  <c r="AM349" i="10"/>
  <c r="CF349" i="10" s="1"/>
  <c r="BL349" i="10"/>
  <c r="BV349" i="10"/>
  <c r="BO349" i="10"/>
  <c r="CI349" i="10"/>
  <c r="BY349" i="10"/>
  <c r="BS349" i="10"/>
  <c r="BM349" i="10"/>
  <c r="BN349" i="10"/>
  <c r="BU349" i="10"/>
  <c r="I349" i="10"/>
  <c r="BX349" i="10"/>
  <c r="CC330" i="10"/>
  <c r="AD193" i="10"/>
  <c r="AH193" i="10"/>
  <c r="BL193" i="10"/>
  <c r="Z193" i="10"/>
  <c r="BK193" i="10"/>
  <c r="BT193" i="10"/>
  <c r="BO193" i="10"/>
  <c r="BN193" i="10"/>
  <c r="BP193" i="10"/>
  <c r="BS193" i="10"/>
  <c r="BV193" i="10"/>
  <c r="CB193" i="10"/>
  <c r="BW193" i="10"/>
  <c r="BJ193" i="10"/>
  <c r="BY193" i="10"/>
  <c r="BU193" i="10"/>
  <c r="BM193" i="10"/>
  <c r="BX193" i="10"/>
  <c r="CC90" i="10"/>
  <c r="L76" i="10"/>
  <c r="M76" i="10" s="1"/>
  <c r="L84" i="10"/>
  <c r="M84" i="10" s="1"/>
  <c r="CC91" i="10"/>
  <c r="J135" i="10"/>
  <c r="Z135" i="10"/>
  <c r="AD135" i="10"/>
  <c r="AH135" i="10"/>
  <c r="AE98" i="1"/>
  <c r="L98" i="10"/>
  <c r="M98" i="10" s="1"/>
  <c r="I21" i="10"/>
  <c r="AD21" i="10"/>
  <c r="AN21" i="10"/>
  <c r="CG21" i="10" s="1"/>
  <c r="BP21" i="10"/>
  <c r="CB21" i="10"/>
  <c r="AH21" i="10"/>
  <c r="BJ21" i="10"/>
  <c r="BT21" i="10"/>
  <c r="CJ21" i="10"/>
  <c r="J21" i="10"/>
  <c r="AL21" i="10"/>
  <c r="CE21" i="10" s="1"/>
  <c r="BL21" i="10"/>
  <c r="BV21" i="10"/>
  <c r="BX21" i="10"/>
  <c r="BN21" i="10"/>
  <c r="Z21" i="10"/>
  <c r="AM21" i="10"/>
  <c r="CF21" i="10" s="1"/>
  <c r="BW21" i="10"/>
  <c r="BM21" i="10"/>
  <c r="BK21" i="10"/>
  <c r="CI21" i="10"/>
  <c r="BO21" i="10"/>
  <c r="BY21" i="10"/>
  <c r="BS21" i="10"/>
  <c r="BU21" i="10"/>
  <c r="BW17" i="10"/>
  <c r="AM17" i="10"/>
  <c r="CF17" i="10" s="1"/>
  <c r="CI17" i="10"/>
  <c r="BK17" i="10"/>
  <c r="BO17" i="10"/>
  <c r="BS17" i="10"/>
  <c r="J17" i="10"/>
  <c r="AH17" i="10"/>
  <c r="BV17" i="10"/>
  <c r="BT17" i="10"/>
  <c r="BP17" i="10"/>
  <c r="BM17" i="10"/>
  <c r="AL17" i="10"/>
  <c r="CE17" i="10" s="1"/>
  <c r="CB17" i="10"/>
  <c r="BX17" i="10"/>
  <c r="BY17" i="10"/>
  <c r="BN17" i="10"/>
  <c r="I17" i="10"/>
  <c r="BU17" i="10"/>
  <c r="Z17" i="10"/>
  <c r="BJ17" i="10"/>
  <c r="AN17" i="10"/>
  <c r="CG17" i="10" s="1"/>
  <c r="CJ17" i="10"/>
  <c r="AD17" i="10"/>
  <c r="BL17" i="10"/>
  <c r="Z16" i="10"/>
  <c r="AH16" i="10"/>
  <c r="AD16" i="10"/>
  <c r="J16" i="10"/>
  <c r="CC60" i="10"/>
  <c r="CC66" i="10"/>
  <c r="L135" i="10"/>
  <c r="M135" i="10" s="1"/>
  <c r="M315" i="10"/>
  <c r="CC315" i="10"/>
  <c r="L94" i="10"/>
  <c r="M94" i="10" s="1"/>
  <c r="L47" i="10"/>
  <c r="M47" i="10" s="1"/>
  <c r="CC52" i="10"/>
  <c r="L66" i="10"/>
  <c r="M66" i="10" s="1"/>
  <c r="J44" i="10"/>
  <c r="AH44" i="10"/>
  <c r="Z44" i="10"/>
  <c r="AD44" i="10"/>
  <c r="L42" i="10"/>
  <c r="M42" i="10" s="1"/>
  <c r="CC59" i="10"/>
  <c r="J56" i="10"/>
  <c r="Z56" i="10"/>
  <c r="AD56" i="10"/>
  <c r="AH56" i="10"/>
  <c r="J63" i="10"/>
  <c r="AD63" i="10"/>
  <c r="Z63" i="10"/>
  <c r="AH63" i="10"/>
  <c r="L131" i="10"/>
  <c r="M131" i="10" s="1"/>
  <c r="L130" i="10"/>
  <c r="M130" i="10" s="1"/>
  <c r="L140" i="10"/>
  <c r="M140" i="10" s="1"/>
  <c r="AD310" i="10"/>
  <c r="BJ310" i="10"/>
  <c r="AH310" i="10"/>
  <c r="BO310" i="10"/>
  <c r="BT310" i="10"/>
  <c r="BX310" i="10"/>
  <c r="BY310" i="10"/>
  <c r="BS310" i="10"/>
  <c r="BN310" i="10"/>
  <c r="BM310" i="10"/>
  <c r="BU310" i="10"/>
  <c r="BL310" i="10"/>
  <c r="CB310" i="10"/>
  <c r="BK310" i="10"/>
  <c r="BV310" i="10"/>
  <c r="BW310" i="10"/>
  <c r="Z310" i="10"/>
  <c r="BP310" i="10"/>
  <c r="CC200" i="10"/>
  <c r="M200" i="10"/>
  <c r="L89" i="10"/>
  <c r="M89" i="10" s="1"/>
  <c r="AE59" i="1"/>
  <c r="V59" i="10" s="1"/>
  <c r="L59" i="10"/>
  <c r="M59" i="10" s="1"/>
  <c r="J49" i="10"/>
  <c r="Z49" i="10"/>
  <c r="AD49" i="10"/>
  <c r="AH49" i="10"/>
  <c r="CC126" i="10"/>
  <c r="AD125" i="10"/>
  <c r="BN125" i="10"/>
  <c r="BK125" i="10"/>
  <c r="AM125" i="10"/>
  <c r="CF125" i="10" s="1"/>
  <c r="CI125" i="10"/>
  <c r="J125" i="10"/>
  <c r="AH125" i="10"/>
  <c r="BV125" i="10"/>
  <c r="BP125" i="10"/>
  <c r="BO125" i="10"/>
  <c r="AN125" i="10"/>
  <c r="CG125" i="10" s="1"/>
  <c r="W125" i="10"/>
  <c r="BD125" i="10" s="1"/>
  <c r="BY125" i="10"/>
  <c r="V125" i="10"/>
  <c r="AL125" i="10"/>
  <c r="CE125" i="10" s="1"/>
  <c r="I125" i="10"/>
  <c r="BW125" i="10"/>
  <c r="BX125" i="10"/>
  <c r="BM125" i="10"/>
  <c r="U125" i="10"/>
  <c r="BS125" i="10"/>
  <c r="X125" i="10"/>
  <c r="CJ125" i="10"/>
  <c r="BJ125" i="10"/>
  <c r="BT125" i="10"/>
  <c r="CB125" i="10"/>
  <c r="Y125" i="10"/>
  <c r="BG125" i="10" s="1"/>
  <c r="CC130" i="10"/>
  <c r="AD346" i="10"/>
  <c r="BJ346" i="10"/>
  <c r="AH346" i="10"/>
  <c r="BO346" i="10"/>
  <c r="CJ346" i="10"/>
  <c r="AM346" i="10"/>
  <c r="CF346" i="10" s="1"/>
  <c r="BT346" i="10"/>
  <c r="AN346" i="10"/>
  <c r="CG346" i="10" s="1"/>
  <c r="BX346" i="10"/>
  <c r="I346" i="10"/>
  <c r="BU346" i="10"/>
  <c r="BL346" i="10"/>
  <c r="BP346" i="10"/>
  <c r="Z346" i="10"/>
  <c r="CB346" i="10"/>
  <c r="BN346" i="10"/>
  <c r="BY346" i="10"/>
  <c r="AL346" i="10"/>
  <c r="CE346" i="10" s="1"/>
  <c r="CI346" i="10"/>
  <c r="BW346" i="10"/>
  <c r="J346" i="10"/>
  <c r="BV346" i="10"/>
  <c r="BK346" i="10"/>
  <c r="BM346" i="10"/>
  <c r="AH313" i="10"/>
  <c r="BJ313" i="10"/>
  <c r="BP313" i="10"/>
  <c r="CB313" i="10"/>
  <c r="BK313" i="10"/>
  <c r="BT313" i="10"/>
  <c r="Z313" i="10"/>
  <c r="BL313" i="10"/>
  <c r="BV313" i="10"/>
  <c r="AD313" i="10"/>
  <c r="BO313" i="10"/>
  <c r="BW313" i="10"/>
  <c r="BM313" i="10"/>
  <c r="BX313" i="10"/>
  <c r="BU313" i="10"/>
  <c r="BS313" i="10"/>
  <c r="BY313" i="10"/>
  <c r="BN313" i="10"/>
  <c r="AH186" i="10"/>
  <c r="BJ186" i="10"/>
  <c r="BT186" i="10"/>
  <c r="Z186" i="10"/>
  <c r="BL186" i="10"/>
  <c r="BV186" i="10"/>
  <c r="AD186" i="10"/>
  <c r="BN186" i="10"/>
  <c r="BX186" i="10"/>
  <c r="CB186" i="10"/>
  <c r="BP186" i="10"/>
  <c r="BS186" i="10"/>
  <c r="BM186" i="10"/>
  <c r="BW186" i="10"/>
  <c r="BU186" i="10"/>
  <c r="BK186" i="10"/>
  <c r="BO186" i="10"/>
  <c r="BY186" i="10"/>
  <c r="M285" i="10"/>
  <c r="CC285" i="10"/>
  <c r="J8" i="10"/>
  <c r="AD8" i="10"/>
  <c r="AH8" i="10"/>
  <c r="Z8" i="10"/>
  <c r="AD338" i="10"/>
  <c r="CJ338" i="10"/>
  <c r="AN338" i="10"/>
  <c r="CG338" i="10" s="1"/>
  <c r="AH338" i="10"/>
  <c r="BJ338" i="10"/>
  <c r="AM338" i="10"/>
  <c r="CF338" i="10" s="1"/>
  <c r="BO338" i="10"/>
  <c r="BT338" i="10"/>
  <c r="BX338" i="10"/>
  <c r="BM338" i="10"/>
  <c r="I338" i="10"/>
  <c r="BU338" i="10"/>
  <c r="CI338" i="10"/>
  <c r="BW338" i="10"/>
  <c r="CB338" i="10"/>
  <c r="BY338" i="10"/>
  <c r="BS338" i="10"/>
  <c r="BL338" i="10"/>
  <c r="BN338" i="10"/>
  <c r="AL338" i="10"/>
  <c r="CE338" i="10" s="1"/>
  <c r="BP338" i="10"/>
  <c r="J338" i="10"/>
  <c r="BK338" i="10"/>
  <c r="Z338" i="10"/>
  <c r="BV338" i="10"/>
  <c r="AH345" i="10"/>
  <c r="BJ345" i="10"/>
  <c r="BP345" i="10"/>
  <c r="CB345" i="10"/>
  <c r="J345" i="10"/>
  <c r="BO345" i="10"/>
  <c r="Z345" i="10"/>
  <c r="AL345" i="10"/>
  <c r="CE345" i="10" s="1"/>
  <c r="BK345" i="10"/>
  <c r="BT345" i="10"/>
  <c r="CJ345" i="10"/>
  <c r="AD345" i="10"/>
  <c r="AM345" i="10"/>
  <c r="CF345" i="10" s="1"/>
  <c r="BL345" i="10"/>
  <c r="BV345" i="10"/>
  <c r="AN345" i="10"/>
  <c r="CG345" i="10" s="1"/>
  <c r="BW345" i="10"/>
  <c r="BX345" i="10"/>
  <c r="BM345" i="10"/>
  <c r="BN345" i="10"/>
  <c r="BY345" i="10"/>
  <c r="I345" i="10"/>
  <c r="CI345" i="10"/>
  <c r="BS345" i="10"/>
  <c r="BU345" i="10"/>
  <c r="M321" i="10"/>
  <c r="CC321" i="10"/>
  <c r="CC206" i="10"/>
  <c r="M206" i="10"/>
  <c r="M199" i="10"/>
  <c r="CC199" i="10"/>
  <c r="M308" i="10"/>
  <c r="CC308" i="10"/>
  <c r="L128" i="10"/>
  <c r="M128" i="10" s="1"/>
  <c r="V7" i="10"/>
  <c r="AD7" i="10"/>
  <c r="AH7" i="10"/>
  <c r="J7" i="10"/>
  <c r="X7" i="10"/>
  <c r="Z7" i="10"/>
  <c r="BX348" i="10"/>
  <c r="CC348" i="10"/>
  <c r="CC256" i="10"/>
  <c r="CH256" i="10" s="1"/>
  <c r="M256" i="10"/>
  <c r="AH187" i="10"/>
  <c r="BT187" i="10"/>
  <c r="BL187" i="10"/>
  <c r="BV187" i="10"/>
  <c r="Z187" i="10"/>
  <c r="BN187" i="10"/>
  <c r="BX187" i="10"/>
  <c r="AD187" i="10"/>
  <c r="BP187" i="10"/>
  <c r="CB187" i="10"/>
  <c r="BY187" i="10"/>
  <c r="BS187" i="10"/>
  <c r="BJ187" i="10"/>
  <c r="BW187" i="10"/>
  <c r="BM187" i="10"/>
  <c r="BK187" i="10"/>
  <c r="BU187" i="10"/>
  <c r="BO187" i="10"/>
  <c r="AH227" i="10"/>
  <c r="BP227" i="10"/>
  <c r="BJ227" i="10"/>
  <c r="BT227" i="10"/>
  <c r="Z227" i="10"/>
  <c r="BK227" i="10"/>
  <c r="BV227" i="10"/>
  <c r="AD227" i="10"/>
  <c r="BO227" i="10"/>
  <c r="BW227" i="10"/>
  <c r="BS227" i="10"/>
  <c r="CB227" i="10"/>
  <c r="BX227" i="10"/>
  <c r="BL227" i="10"/>
  <c r="BU227" i="10"/>
  <c r="BN227" i="10"/>
  <c r="BY227" i="10"/>
  <c r="BM227" i="10"/>
  <c r="M195" i="10"/>
  <c r="CC195" i="10"/>
  <c r="M303" i="10"/>
  <c r="CC303" i="10"/>
  <c r="CC305" i="10"/>
  <c r="M305" i="10"/>
  <c r="M165" i="10"/>
  <c r="CC165" i="10"/>
  <c r="BT178" i="10"/>
  <c r="Z178" i="10"/>
  <c r="AD178" i="10"/>
  <c r="AH178" i="10"/>
  <c r="BJ178" i="10"/>
  <c r="BU178" i="10"/>
  <c r="BK178" i="10"/>
  <c r="BV178" i="10"/>
  <c r="BX178" i="10"/>
  <c r="BL178" i="10"/>
  <c r="BY178" i="10"/>
  <c r="BO178" i="10"/>
  <c r="BS178" i="10"/>
  <c r="BM178" i="10"/>
  <c r="BN178" i="10"/>
  <c r="BW178" i="10"/>
  <c r="BP178" i="10"/>
  <c r="CB178" i="10"/>
  <c r="M192" i="10"/>
  <c r="CC192" i="10"/>
  <c r="M162" i="10"/>
  <c r="CC162" i="10"/>
  <c r="M190" i="10"/>
  <c r="CC190" i="10"/>
  <c r="BK323" i="10"/>
  <c r="BT323" i="10"/>
  <c r="Z323" i="10"/>
  <c r="BL323" i="10"/>
  <c r="BV323" i="10"/>
  <c r="AD323" i="10"/>
  <c r="BO323" i="10"/>
  <c r="BW323" i="10"/>
  <c r="AH323" i="10"/>
  <c r="BJ323" i="10"/>
  <c r="BP323" i="10"/>
  <c r="CB323" i="10"/>
  <c r="BN323" i="10"/>
  <c r="BU323" i="10"/>
  <c r="BY323" i="10"/>
  <c r="BX323" i="10"/>
  <c r="BS323" i="10"/>
  <c r="BM323" i="10"/>
  <c r="CB288" i="10"/>
  <c r="BX288" i="10"/>
  <c r="BN288" i="10"/>
  <c r="AH288" i="10"/>
  <c r="BY288" i="10"/>
  <c r="BJ288" i="10"/>
  <c r="BK288" i="10"/>
  <c r="BV288" i="10"/>
  <c r="BL288" i="10"/>
  <c r="BO288" i="10"/>
  <c r="BP288" i="10"/>
  <c r="BM288" i="10"/>
  <c r="AD288" i="10"/>
  <c r="BT288" i="10"/>
  <c r="BU288" i="10"/>
  <c r="Z288" i="10"/>
  <c r="BS288" i="10"/>
  <c r="BW288" i="10"/>
  <c r="Z166" i="10"/>
  <c r="BL166" i="10"/>
  <c r="AD166" i="10"/>
  <c r="BT166" i="10"/>
  <c r="CB166" i="10"/>
  <c r="AH166" i="10"/>
  <c r="BJ166" i="10"/>
  <c r="BY166" i="10"/>
  <c r="BO166" i="10"/>
  <c r="BS166" i="10"/>
  <c r="BM166" i="10"/>
  <c r="BW166" i="10"/>
  <c r="BN166" i="10"/>
  <c r="BP166" i="10"/>
  <c r="BU166" i="10"/>
  <c r="BV166" i="10"/>
  <c r="BK166" i="10"/>
  <c r="BX166" i="10"/>
  <c r="M188" i="10"/>
  <c r="CC188" i="10"/>
  <c r="AD176" i="10"/>
  <c r="BT176" i="10"/>
  <c r="AH176" i="10"/>
  <c r="BL176" i="10"/>
  <c r="BV176" i="10"/>
  <c r="BN176" i="10"/>
  <c r="BX176" i="10"/>
  <c r="Z176" i="10"/>
  <c r="BP176" i="10"/>
  <c r="CB176" i="10"/>
  <c r="BU176" i="10"/>
  <c r="BO176" i="10"/>
  <c r="BY176" i="10"/>
  <c r="BS176" i="10"/>
  <c r="BW176" i="10"/>
  <c r="BM176" i="10"/>
  <c r="BK176" i="10"/>
  <c r="BJ176" i="10"/>
  <c r="M227" i="10"/>
  <c r="CC227" i="10"/>
  <c r="BN210" i="10"/>
  <c r="BS210" i="10"/>
  <c r="AH210" i="10"/>
  <c r="BX210" i="10"/>
  <c r="BY210" i="10"/>
  <c r="BJ210" i="10"/>
  <c r="BV210" i="10"/>
  <c r="BW210" i="10"/>
  <c r="BO210" i="10"/>
  <c r="Z210" i="10"/>
  <c r="CB210" i="10"/>
  <c r="BM210" i="10"/>
  <c r="AD210" i="10"/>
  <c r="BT210" i="10"/>
  <c r="BK210" i="10"/>
  <c r="BU210" i="10"/>
  <c r="BL210" i="10"/>
  <c r="BP210" i="10"/>
  <c r="CC347" i="10"/>
  <c r="AH201" i="10"/>
  <c r="Z201" i="10"/>
  <c r="AD201" i="10"/>
  <c r="CC332" i="10"/>
  <c r="M170" i="10"/>
  <c r="CC170" i="10"/>
  <c r="AD342" i="10"/>
  <c r="AH342" i="10"/>
  <c r="J342" i="10"/>
  <c r="Z342" i="10"/>
  <c r="Z214" i="10"/>
  <c r="AH214" i="10"/>
  <c r="AD214" i="10"/>
  <c r="CC351" i="10"/>
  <c r="AD174" i="10"/>
  <c r="AH174" i="10"/>
  <c r="Z174" i="10"/>
  <c r="Z225" i="10"/>
  <c r="AD225" i="10"/>
  <c r="AH225" i="10"/>
  <c r="M80" i="10"/>
  <c r="CC34" i="10"/>
  <c r="J106" i="10"/>
  <c r="AH106" i="10"/>
  <c r="Z106" i="10"/>
  <c r="AD106" i="10"/>
  <c r="CC89" i="10"/>
  <c r="CC97" i="10"/>
  <c r="W138" i="10"/>
  <c r="BD138" i="10" s="1"/>
  <c r="AN138" i="10"/>
  <c r="CG138" i="10" s="1"/>
  <c r="CB138" i="10"/>
  <c r="I138" i="10"/>
  <c r="CD138" i="10" s="1"/>
  <c r="X138" i="10"/>
  <c r="BL138" i="10"/>
  <c r="CJ138" i="10"/>
  <c r="Y138" i="10"/>
  <c r="BE138" i="10" s="1"/>
  <c r="BT138" i="10"/>
  <c r="BW138" i="10"/>
  <c r="U138" i="10"/>
  <c r="AM138" i="10"/>
  <c r="CF138" i="10" s="1"/>
  <c r="BU138" i="10"/>
  <c r="BX138" i="10"/>
  <c r="Z138" i="10"/>
  <c r="BJ138" i="10"/>
  <c r="AD138" i="10"/>
  <c r="BN138" i="10"/>
  <c r="BK138" i="10"/>
  <c r="BM138" i="10"/>
  <c r="CI138" i="10"/>
  <c r="BY138" i="10"/>
  <c r="J138" i="10"/>
  <c r="AH138" i="10"/>
  <c r="BV138" i="10"/>
  <c r="BO138" i="10"/>
  <c r="V138" i="10"/>
  <c r="BP138" i="10"/>
  <c r="AL138" i="10"/>
  <c r="CE138" i="10" s="1"/>
  <c r="BS138" i="10"/>
  <c r="CC83" i="10"/>
  <c r="X73" i="10"/>
  <c r="AD73" i="10"/>
  <c r="J73" i="10"/>
  <c r="AH73" i="10"/>
  <c r="V73" i="10"/>
  <c r="Z73" i="10"/>
  <c r="CC49" i="10"/>
  <c r="L133" i="10"/>
  <c r="M133" i="10" s="1"/>
  <c r="L139" i="10"/>
  <c r="M139" i="10" s="1"/>
  <c r="X111" i="10"/>
  <c r="U111" i="10"/>
  <c r="CJ111" i="10"/>
  <c r="W111" i="10"/>
  <c r="BD111" i="10" s="1"/>
  <c r="AM111" i="10"/>
  <c r="CF111" i="10" s="1"/>
  <c r="AN111" i="10"/>
  <c r="CG111" i="10" s="1"/>
  <c r="BX111" i="10"/>
  <c r="CI111" i="10"/>
  <c r="BO111" i="10"/>
  <c r="BL111" i="10"/>
  <c r="CB111" i="10"/>
  <c r="BW111" i="10"/>
  <c r="BS111" i="10"/>
  <c r="BM111" i="10"/>
  <c r="BY111" i="10"/>
  <c r="BT111" i="10"/>
  <c r="V111" i="10"/>
  <c r="AL111" i="10"/>
  <c r="CE111" i="10" s="1"/>
  <c r="I111" i="10"/>
  <c r="BU111" i="10"/>
  <c r="Z111" i="10"/>
  <c r="BJ111" i="10"/>
  <c r="Y111" i="10"/>
  <c r="BG111" i="10" s="1"/>
  <c r="AD111" i="10"/>
  <c r="BN111" i="10"/>
  <c r="BK111" i="10"/>
  <c r="BP111" i="10"/>
  <c r="J111" i="10"/>
  <c r="BV111" i="10"/>
  <c r="AH111" i="10"/>
  <c r="Z98" i="10"/>
  <c r="AD98" i="10"/>
  <c r="J98" i="10"/>
  <c r="AH98" i="10"/>
  <c r="CC50" i="10"/>
  <c r="U142" i="10"/>
  <c r="Y142" i="10"/>
  <c r="AH142" i="10"/>
  <c r="BJ142" i="10"/>
  <c r="BV142" i="10"/>
  <c r="W142" i="10"/>
  <c r="BD142" i="10" s="1"/>
  <c r="AD142" i="10"/>
  <c r="AM142" i="10"/>
  <c r="CF142" i="10" s="1"/>
  <c r="BN142" i="10"/>
  <c r="CJ142" i="10"/>
  <c r="BT142" i="10"/>
  <c r="V142" i="10"/>
  <c r="AL142" i="10"/>
  <c r="CB142" i="10"/>
  <c r="X142" i="10"/>
  <c r="AN142" i="10"/>
  <c r="CG142" i="10" s="1"/>
  <c r="BL142" i="10"/>
  <c r="Z142" i="10"/>
  <c r="M142" i="10"/>
  <c r="BU142" i="10"/>
  <c r="BK142" i="10"/>
  <c r="CI142" i="10"/>
  <c r="BY142" i="10"/>
  <c r="BO142" i="10"/>
  <c r="BX142" i="10"/>
  <c r="CC142" i="10"/>
  <c r="BS142" i="10"/>
  <c r="BP142" i="10"/>
  <c r="BW142" i="10"/>
  <c r="BM142" i="10"/>
  <c r="CC123" i="10"/>
  <c r="Z57" i="10"/>
  <c r="J57" i="10"/>
  <c r="AD57" i="10"/>
  <c r="AH57" i="10"/>
  <c r="CC122" i="10"/>
  <c r="M289" i="10"/>
  <c r="CC289" i="10"/>
  <c r="M288" i="10"/>
  <c r="CC288" i="10"/>
  <c r="AD235" i="10"/>
  <c r="AH235" i="10"/>
  <c r="Z235" i="10"/>
  <c r="M259" i="10"/>
  <c r="CC259" i="10"/>
  <c r="CH259" i="10" s="1"/>
  <c r="AD164" i="10"/>
  <c r="AH164" i="10"/>
  <c r="Z164" i="10"/>
  <c r="Z81" i="10"/>
  <c r="AD81" i="10"/>
  <c r="J81" i="10"/>
  <c r="AH81" i="10"/>
  <c r="J79" i="10"/>
  <c r="AH79" i="10"/>
  <c r="Z79" i="10"/>
  <c r="AD79" i="10"/>
  <c r="BP114" i="10"/>
  <c r="CC114" i="10"/>
  <c r="CC37" i="10"/>
  <c r="CC7" i="10"/>
  <c r="M163" i="10"/>
  <c r="CC163" i="10"/>
  <c r="Z88" i="10"/>
  <c r="AD88" i="10"/>
  <c r="J88" i="10"/>
  <c r="AH88" i="10"/>
  <c r="CC22" i="10"/>
  <c r="CC23" i="10"/>
  <c r="Z120" i="10"/>
  <c r="AD120" i="10"/>
  <c r="J120" i="10"/>
  <c r="AH120" i="10"/>
  <c r="O41" i="10"/>
  <c r="AU41" i="10" s="1"/>
  <c r="N41" i="10"/>
  <c r="L120" i="10"/>
  <c r="M120" i="10" s="1"/>
  <c r="Y118" i="10"/>
  <c r="BO118" i="10"/>
  <c r="BY118" i="10"/>
  <c r="U118" i="10"/>
  <c r="AN118" i="10"/>
  <c r="CG118" i="10" s="1"/>
  <c r="BW118" i="10"/>
  <c r="W118" i="10"/>
  <c r="BD118" i="10" s="1"/>
  <c r="BK118" i="10"/>
  <c r="CB118" i="10"/>
  <c r="X118" i="10"/>
  <c r="BP118" i="10"/>
  <c r="CJ118" i="10"/>
  <c r="AM118" i="10"/>
  <c r="CF118" i="10" s="1"/>
  <c r="BU118" i="10"/>
  <c r="I118" i="10"/>
  <c r="CD118" i="10" s="1"/>
  <c r="AD118" i="10"/>
  <c r="BN118" i="10"/>
  <c r="BM118" i="10"/>
  <c r="CI118" i="10"/>
  <c r="BT118" i="10"/>
  <c r="J118" i="10"/>
  <c r="AH118" i="10"/>
  <c r="BV118" i="10"/>
  <c r="BS118" i="10"/>
  <c r="BL118" i="10"/>
  <c r="V118" i="10"/>
  <c r="AL118" i="10"/>
  <c r="BJ118" i="10"/>
  <c r="BX118" i="10"/>
  <c r="Z118" i="10"/>
  <c r="CC16" i="10"/>
  <c r="CC140" i="10"/>
  <c r="Z315" i="10"/>
  <c r="BL315" i="10"/>
  <c r="BV315" i="10"/>
  <c r="AD315" i="10"/>
  <c r="BO315" i="10"/>
  <c r="BW315" i="10"/>
  <c r="AH315" i="10"/>
  <c r="BJ315" i="10"/>
  <c r="BP315" i="10"/>
  <c r="CB315" i="10"/>
  <c r="BK315" i="10"/>
  <c r="BT315" i="10"/>
  <c r="BY315" i="10"/>
  <c r="BX315" i="10"/>
  <c r="BS315" i="10"/>
  <c r="BM315" i="10"/>
  <c r="BN315" i="10"/>
  <c r="BU315" i="10"/>
  <c r="J128" i="10"/>
  <c r="AH128" i="10"/>
  <c r="Z128" i="10"/>
  <c r="AD128" i="10"/>
  <c r="CC99" i="10"/>
  <c r="AE96" i="1"/>
  <c r="L96" i="10"/>
  <c r="M96" i="10" s="1"/>
  <c r="J141" i="10"/>
  <c r="AH141" i="10"/>
  <c r="AD141" i="10"/>
  <c r="Z141" i="10"/>
  <c r="CC93" i="10"/>
  <c r="CC109" i="10"/>
  <c r="CC73" i="10"/>
  <c r="W113" i="10"/>
  <c r="BD113" i="10" s="1"/>
  <c r="BM113" i="10"/>
  <c r="BX113" i="10"/>
  <c r="CJ113" i="10"/>
  <c r="AM113" i="10"/>
  <c r="CF113" i="10" s="1"/>
  <c r="BW113" i="10"/>
  <c r="AN113" i="10"/>
  <c r="CG113" i="10" s="1"/>
  <c r="CB113" i="10"/>
  <c r="U113" i="10"/>
  <c r="BO113" i="10"/>
  <c r="X113" i="10"/>
  <c r="BT113" i="10"/>
  <c r="CI113" i="10"/>
  <c r="BL113" i="10"/>
  <c r="AD113" i="10"/>
  <c r="BN113" i="10"/>
  <c r="BK113" i="10"/>
  <c r="J113" i="10"/>
  <c r="AH113" i="10"/>
  <c r="BV113" i="10"/>
  <c r="BP113" i="10"/>
  <c r="BY113" i="10"/>
  <c r="V113" i="10"/>
  <c r="AL113" i="10"/>
  <c r="I113" i="10"/>
  <c r="BU113" i="10"/>
  <c r="Y113" i="10"/>
  <c r="BS113" i="10"/>
  <c r="BJ113" i="10"/>
  <c r="Z113" i="10"/>
  <c r="L105" i="10"/>
  <c r="M105" i="10" s="1"/>
  <c r="L81" i="10"/>
  <c r="M81" i="10" s="1"/>
  <c r="AD86" i="10"/>
  <c r="J86" i="10"/>
  <c r="AH86" i="10"/>
  <c r="Z86" i="10"/>
  <c r="M26" i="10"/>
  <c r="J27" i="10"/>
  <c r="AH27" i="10"/>
  <c r="AD27" i="10"/>
  <c r="Z27" i="10"/>
  <c r="CC69" i="10"/>
  <c r="CC345" i="10"/>
  <c r="BK303" i="10"/>
  <c r="BS303" i="10"/>
  <c r="BX303" i="10"/>
  <c r="BU303" i="10"/>
  <c r="BJ303" i="10"/>
  <c r="BP303" i="10"/>
  <c r="BY303" i="10"/>
  <c r="BN303" i="10"/>
  <c r="BW303" i="10"/>
  <c r="Z303" i="10"/>
  <c r="BV303" i="10"/>
  <c r="BO303" i="10"/>
  <c r="AH303" i="10"/>
  <c r="CB303" i="10"/>
  <c r="BT303" i="10"/>
  <c r="BL303" i="10"/>
  <c r="BM303" i="10"/>
  <c r="AD303" i="10"/>
  <c r="L113" i="10"/>
  <c r="M113" i="10" s="1"/>
  <c r="J131" i="10"/>
  <c r="AH131" i="10"/>
  <c r="Z131" i="10"/>
  <c r="AD131" i="10"/>
  <c r="J85" i="10"/>
  <c r="AH85" i="10"/>
  <c r="Z85" i="10"/>
  <c r="AD85" i="10"/>
  <c r="J41" i="10"/>
  <c r="AD41" i="10"/>
  <c r="AN41" i="10"/>
  <c r="CG41" i="10" s="1"/>
  <c r="CJ41" i="10"/>
  <c r="AM41" i="10"/>
  <c r="CF41" i="10" s="1"/>
  <c r="Z41" i="10"/>
  <c r="BJ41" i="10"/>
  <c r="AH41" i="10"/>
  <c r="BN41" i="10"/>
  <c r="AL41" i="10"/>
  <c r="CE41" i="10" s="1"/>
  <c r="BV41" i="10"/>
  <c r="I41" i="10"/>
  <c r="BM41" i="10"/>
  <c r="BW41" i="10"/>
  <c r="BX41" i="10"/>
  <c r="CB41" i="10"/>
  <c r="BU41" i="10"/>
  <c r="BK41" i="10"/>
  <c r="CI41" i="10"/>
  <c r="BS41" i="10"/>
  <c r="BY41" i="10"/>
  <c r="BO41" i="10"/>
  <c r="BL41" i="10"/>
  <c r="BP41" i="10"/>
  <c r="BT41" i="10"/>
  <c r="AE102" i="1"/>
  <c r="L102" i="10"/>
  <c r="M102" i="10" s="1"/>
  <c r="CC36" i="10"/>
  <c r="CC82" i="10"/>
  <c r="BS294" i="10"/>
  <c r="BK294" i="10"/>
  <c r="BX294" i="10"/>
  <c r="BO294" i="10"/>
  <c r="BP294" i="10"/>
  <c r="BY294" i="10"/>
  <c r="BN294" i="10"/>
  <c r="BW294" i="10"/>
  <c r="Z294" i="10"/>
  <c r="AD294" i="10"/>
  <c r="BV294" i="10"/>
  <c r="BM294" i="10"/>
  <c r="AH294" i="10"/>
  <c r="BU294" i="10"/>
  <c r="BJ294" i="10"/>
  <c r="CB294" i="10"/>
  <c r="BT294" i="10"/>
  <c r="BL294" i="10"/>
  <c r="L118" i="10"/>
  <c r="M118" i="10" s="1"/>
  <c r="CC18" i="10"/>
  <c r="AE97" i="1"/>
  <c r="V97" i="10" s="1"/>
  <c r="L97" i="10"/>
  <c r="M97" i="10" s="1"/>
  <c r="CC11" i="10"/>
  <c r="U112" i="10"/>
  <c r="AM112" i="10"/>
  <c r="CF112" i="10" s="1"/>
  <c r="BO112" i="10"/>
  <c r="BW112" i="10"/>
  <c r="W112" i="10"/>
  <c r="BD112" i="10" s="1"/>
  <c r="BK112" i="10"/>
  <c r="BU112" i="10"/>
  <c r="X112" i="10"/>
  <c r="BL112" i="10"/>
  <c r="BY112" i="10"/>
  <c r="I112" i="10"/>
  <c r="CD112" i="10" s="1"/>
  <c r="Y112" i="10"/>
  <c r="BC112" i="10" s="1"/>
  <c r="BP112" i="10"/>
  <c r="CB112" i="10"/>
  <c r="AN112" i="10"/>
  <c r="CG112" i="10" s="1"/>
  <c r="BT112" i="10"/>
  <c r="CJ112" i="10"/>
  <c r="Z112" i="10"/>
  <c r="BJ112" i="10"/>
  <c r="BM112" i="10"/>
  <c r="CI112" i="10"/>
  <c r="AD112" i="10"/>
  <c r="BN112" i="10"/>
  <c r="BS112" i="10"/>
  <c r="J112" i="10"/>
  <c r="AH112" i="10"/>
  <c r="BV112" i="10"/>
  <c r="AL112" i="10"/>
  <c r="V112" i="10"/>
  <c r="BX112" i="10"/>
  <c r="AD52" i="10"/>
  <c r="J52" i="10"/>
  <c r="Z52" i="10"/>
  <c r="AH52" i="10"/>
  <c r="AH62" i="10"/>
  <c r="AD62" i="10"/>
  <c r="J62" i="10"/>
  <c r="Z62" i="10"/>
  <c r="L141" i="10"/>
  <c r="M141" i="10" s="1"/>
  <c r="M193" i="10"/>
  <c r="CC193" i="10"/>
  <c r="L90" i="10"/>
  <c r="M90" i="10" s="1"/>
  <c r="CC30" i="10"/>
  <c r="CC98" i="10"/>
  <c r="I100" i="10"/>
  <c r="CD100" i="10" s="1"/>
  <c r="AN100" i="10"/>
  <c r="CG100" i="10" s="1"/>
  <c r="BP100" i="10"/>
  <c r="BY100" i="10"/>
  <c r="BK100" i="10"/>
  <c r="BT100" i="10"/>
  <c r="CB100" i="10"/>
  <c r="BL100" i="10"/>
  <c r="BU100" i="10"/>
  <c r="CJ100" i="10"/>
  <c r="AM100" i="10"/>
  <c r="CF100" i="10" s="1"/>
  <c r="BO100" i="10"/>
  <c r="BW100" i="10"/>
  <c r="CI100" i="10"/>
  <c r="AD100" i="10"/>
  <c r="BN100" i="10"/>
  <c r="J100" i="10"/>
  <c r="K100" i="10" s="1"/>
  <c r="AH100" i="10"/>
  <c r="BV100" i="10"/>
  <c r="BX100" i="10"/>
  <c r="AL100" i="10"/>
  <c r="Z100" i="10"/>
  <c r="BS100" i="10"/>
  <c r="BJ100" i="10"/>
  <c r="J109" i="10"/>
  <c r="AH109" i="10"/>
  <c r="BV109" i="10"/>
  <c r="BP109" i="10"/>
  <c r="BT109" i="10"/>
  <c r="AM109" i="10"/>
  <c r="CF109" i="10" s="1"/>
  <c r="U109" i="10"/>
  <c r="V109" i="10"/>
  <c r="AL109" i="10"/>
  <c r="CE109" i="10" s="1"/>
  <c r="I109" i="10"/>
  <c r="BU109" i="10"/>
  <c r="CB109" i="10"/>
  <c r="BO109" i="10"/>
  <c r="AN109" i="10"/>
  <c r="CG109" i="10" s="1"/>
  <c r="BY109" i="10"/>
  <c r="Z109" i="10"/>
  <c r="BJ109" i="10"/>
  <c r="Y109" i="10"/>
  <c r="BG109" i="10" s="1"/>
  <c r="W109" i="10"/>
  <c r="BD109" i="10" s="1"/>
  <c r="CI109" i="10"/>
  <c r="BW109" i="10"/>
  <c r="BX109" i="10"/>
  <c r="BS109" i="10"/>
  <c r="BK109" i="10"/>
  <c r="BL109" i="10"/>
  <c r="BM109" i="10"/>
  <c r="AD109" i="10"/>
  <c r="X109" i="10"/>
  <c r="CJ109" i="10"/>
  <c r="BN109" i="10"/>
  <c r="CC13" i="10"/>
  <c r="CC14" i="10"/>
  <c r="I38" i="10"/>
  <c r="Z38" i="10"/>
  <c r="AM38" i="10"/>
  <c r="CF38" i="10" s="1"/>
  <c r="BV38" i="10"/>
  <c r="J38" i="10"/>
  <c r="AL38" i="10"/>
  <c r="AN38" i="10"/>
  <c r="CG38" i="10" s="1"/>
  <c r="CJ38" i="10"/>
  <c r="AD38" i="10"/>
  <c r="BJ38" i="10"/>
  <c r="AH38" i="10"/>
  <c r="BN38" i="10"/>
  <c r="BU38" i="10"/>
  <c r="BK38" i="10"/>
  <c r="CI38" i="10"/>
  <c r="CB38" i="10"/>
  <c r="BX38" i="10"/>
  <c r="BY38" i="10"/>
  <c r="BO38" i="10"/>
  <c r="BT38" i="10"/>
  <c r="BS38" i="10"/>
  <c r="BL38" i="10"/>
  <c r="BM38" i="10"/>
  <c r="BW38" i="10"/>
  <c r="BP38" i="10"/>
  <c r="AE55" i="1"/>
  <c r="V55" i="10" s="1"/>
  <c r="L55" i="10"/>
  <c r="M55" i="10" s="1"/>
  <c r="BP29" i="10"/>
  <c r="J29" i="10"/>
  <c r="AH29" i="10"/>
  <c r="BV29" i="10"/>
  <c r="BS29" i="10"/>
  <c r="BU29" i="10"/>
  <c r="BT29" i="10"/>
  <c r="AL29" i="10"/>
  <c r="CE29" i="10" s="1"/>
  <c r="CI29" i="10"/>
  <c r="BY29" i="10"/>
  <c r="CJ29" i="10"/>
  <c r="AN29" i="10"/>
  <c r="CG29" i="10" s="1"/>
  <c r="BX29" i="10"/>
  <c r="Z29" i="10"/>
  <c r="BJ29" i="10"/>
  <c r="AM29" i="10"/>
  <c r="CF29" i="10" s="1"/>
  <c r="BO29" i="10"/>
  <c r="BM29" i="10"/>
  <c r="BL29" i="10"/>
  <c r="BK29" i="10"/>
  <c r="CB29" i="10"/>
  <c r="BW29" i="10"/>
  <c r="BN29" i="10"/>
  <c r="AD29" i="10"/>
  <c r="I29" i="10"/>
  <c r="AD26" i="10"/>
  <c r="J26" i="10"/>
  <c r="AH26" i="10"/>
  <c r="Z26" i="10"/>
  <c r="L138" i="10"/>
  <c r="M138" i="10" s="1"/>
  <c r="L87" i="10"/>
  <c r="M87" i="10" s="1"/>
  <c r="BL35" i="10"/>
  <c r="CC35" i="10"/>
  <c r="BM104" i="10"/>
  <c r="CC104" i="10"/>
  <c r="L86" i="10"/>
  <c r="M86" i="10" s="1"/>
  <c r="V54" i="10"/>
  <c r="AD54" i="10"/>
  <c r="J54" i="10"/>
  <c r="Z54" i="10"/>
  <c r="AH54" i="10"/>
  <c r="X54" i="10"/>
  <c r="AH59" i="10"/>
  <c r="J59" i="10"/>
  <c r="Z59" i="10"/>
  <c r="AD59" i="10"/>
  <c r="CC124" i="10"/>
  <c r="AN344" i="10"/>
  <c r="CG344" i="10" s="1"/>
  <c r="CJ344" i="10"/>
  <c r="AM344" i="10"/>
  <c r="CF344" i="10" s="1"/>
  <c r="AD344" i="10"/>
  <c r="BJ344" i="10"/>
  <c r="BT344" i="10"/>
  <c r="AH344" i="10"/>
  <c r="BO344" i="10"/>
  <c r="BX344" i="10"/>
  <c r="BM344" i="10"/>
  <c r="BW344" i="10"/>
  <c r="BV344" i="10"/>
  <c r="BN344" i="10"/>
  <c r="I344" i="10"/>
  <c r="BU344" i="10"/>
  <c r="BL344" i="10"/>
  <c r="BY344" i="10"/>
  <c r="AL344" i="10"/>
  <c r="CE344" i="10" s="1"/>
  <c r="BK344" i="10"/>
  <c r="Z344" i="10"/>
  <c r="BS344" i="10"/>
  <c r="J344" i="10"/>
  <c r="CB344" i="10"/>
  <c r="BP344" i="10"/>
  <c r="Z185" i="10"/>
  <c r="AD185" i="10"/>
  <c r="AH185" i="10"/>
  <c r="BT185" i="10"/>
  <c r="BU185" i="10"/>
  <c r="BK185" i="10"/>
  <c r="BV185" i="10"/>
  <c r="BX185" i="10"/>
  <c r="BL185" i="10"/>
  <c r="BY185" i="10"/>
  <c r="BO185" i="10"/>
  <c r="CB185" i="10"/>
  <c r="BS185" i="10"/>
  <c r="BJ185" i="10"/>
  <c r="BM185" i="10"/>
  <c r="BN185" i="10"/>
  <c r="BW185" i="10"/>
  <c r="BP185" i="10"/>
  <c r="J60" i="10"/>
  <c r="AD60" i="10"/>
  <c r="AH60" i="10"/>
  <c r="Z60" i="10"/>
  <c r="CC55" i="10"/>
  <c r="CC67" i="10"/>
  <c r="AH64" i="10"/>
  <c r="J64" i="10"/>
  <c r="Z64" i="10"/>
  <c r="AD64" i="10"/>
  <c r="AD69" i="10"/>
  <c r="J69" i="10"/>
  <c r="AH69" i="10"/>
  <c r="Z69" i="10"/>
  <c r="Z68" i="10"/>
  <c r="AD68" i="10"/>
  <c r="J68" i="10"/>
  <c r="AH68" i="10"/>
  <c r="I33" i="10"/>
  <c r="CD33" i="10" s="1"/>
  <c r="AM33" i="10"/>
  <c r="CF33" i="10" s="1"/>
  <c r="BT33" i="10"/>
  <c r="BL33" i="10"/>
  <c r="CJ33" i="10"/>
  <c r="BO33" i="10"/>
  <c r="BW33" i="10"/>
  <c r="AN33" i="10"/>
  <c r="CG33" i="10" s="1"/>
  <c r="BY33" i="10"/>
  <c r="BM33" i="10"/>
  <c r="CI33" i="10"/>
  <c r="BP33" i="10"/>
  <c r="Z33" i="10"/>
  <c r="BJ33" i="10"/>
  <c r="BS33" i="10"/>
  <c r="BK33" i="10"/>
  <c r="AD33" i="10"/>
  <c r="BN33" i="10"/>
  <c r="BX33" i="10"/>
  <c r="J33" i="10"/>
  <c r="AH33" i="10"/>
  <c r="BV33" i="10"/>
  <c r="CB33" i="10"/>
  <c r="BU33" i="10"/>
  <c r="AL33" i="10"/>
  <c r="AM34" i="10"/>
  <c r="CF34" i="10" s="1"/>
  <c r="CJ34" i="10"/>
  <c r="I34" i="10"/>
  <c r="CD34" i="10" s="1"/>
  <c r="AN34" i="10"/>
  <c r="CG34" i="10" s="1"/>
  <c r="BT34" i="10"/>
  <c r="BP34" i="10"/>
  <c r="BS34" i="10"/>
  <c r="BO34" i="10"/>
  <c r="CB34" i="10"/>
  <c r="BW34" i="10"/>
  <c r="BX34" i="10"/>
  <c r="BL34" i="10"/>
  <c r="Z34" i="10"/>
  <c r="BJ34" i="10"/>
  <c r="BK34" i="10"/>
  <c r="CI34" i="10"/>
  <c r="AD34" i="10"/>
  <c r="BN34" i="10"/>
  <c r="AL34" i="10"/>
  <c r="BU34" i="10"/>
  <c r="BY34" i="10"/>
  <c r="J34" i="10"/>
  <c r="AH34" i="10"/>
  <c r="BV34" i="10"/>
  <c r="BM34" i="10"/>
  <c r="J36" i="10"/>
  <c r="AD36" i="10"/>
  <c r="AN36" i="10"/>
  <c r="CG36" i="10" s="1"/>
  <c r="AH36" i="10"/>
  <c r="BN36" i="10"/>
  <c r="I36" i="10"/>
  <c r="AL36" i="10"/>
  <c r="CE36" i="10" s="1"/>
  <c r="BV36" i="10"/>
  <c r="AM36" i="10"/>
  <c r="CF36" i="10" s="1"/>
  <c r="CJ36" i="10"/>
  <c r="Z36" i="10"/>
  <c r="BJ36" i="10"/>
  <c r="BY36" i="10"/>
  <c r="BO36" i="10"/>
  <c r="BS36" i="10"/>
  <c r="BL36" i="10"/>
  <c r="BU36" i="10"/>
  <c r="CI36" i="10"/>
  <c r="BX36" i="10"/>
  <c r="BM36" i="10"/>
  <c r="BW36" i="10"/>
  <c r="BT36" i="10"/>
  <c r="BP36" i="10"/>
  <c r="BK36" i="10"/>
  <c r="CB36" i="10"/>
  <c r="L50" i="10"/>
  <c r="M50" i="10" s="1"/>
  <c r="CC68" i="10"/>
  <c r="L69" i="10"/>
  <c r="M69" i="10" s="1"/>
  <c r="CC136" i="10"/>
  <c r="CC135" i="10"/>
  <c r="CC129" i="10"/>
  <c r="L337" i="10"/>
  <c r="M337" i="10" s="1"/>
  <c r="BS346" i="10"/>
  <c r="CC346" i="10"/>
  <c r="Z209" i="10"/>
  <c r="BK209" i="10"/>
  <c r="BV209" i="10"/>
  <c r="AD209" i="10"/>
  <c r="BO209" i="10"/>
  <c r="BP209" i="10"/>
  <c r="BT209" i="10"/>
  <c r="BJ209" i="10"/>
  <c r="AH209" i="10"/>
  <c r="BN209" i="10"/>
  <c r="BY209" i="10"/>
  <c r="CB209" i="10"/>
  <c r="BX209" i="10"/>
  <c r="BM209" i="10"/>
  <c r="BW209" i="10"/>
  <c r="BS209" i="10"/>
  <c r="BU209" i="10"/>
  <c r="BL209" i="10"/>
  <c r="M179" i="10"/>
  <c r="CC179" i="10"/>
  <c r="CC56" i="10"/>
  <c r="CC53" i="10"/>
  <c r="AH61" i="10"/>
  <c r="Z61" i="10"/>
  <c r="AD61" i="10"/>
  <c r="J61" i="10"/>
  <c r="CC46" i="10"/>
  <c r="L43" i="10"/>
  <c r="M43" i="10" s="1"/>
  <c r="AE62" i="1"/>
  <c r="L62" i="10"/>
  <c r="M62" i="10" s="1"/>
  <c r="CC48" i="10"/>
  <c r="CC45" i="10"/>
  <c r="J55" i="10"/>
  <c r="Z55" i="10"/>
  <c r="AD55" i="10"/>
  <c r="AH55" i="10"/>
  <c r="L127" i="10"/>
  <c r="M127" i="10" s="1"/>
  <c r="L126" i="10"/>
  <c r="M126" i="10" s="1"/>
  <c r="L136" i="10"/>
  <c r="M136" i="10" s="1"/>
  <c r="L340" i="10"/>
  <c r="M340" i="10" s="1"/>
  <c r="BS280" i="10"/>
  <c r="CB280" i="10"/>
  <c r="BY280" i="10"/>
  <c r="BJ280" i="10"/>
  <c r="BV280" i="10"/>
  <c r="BO280" i="10"/>
  <c r="Z280" i="10"/>
  <c r="BM280" i="10"/>
  <c r="AD280" i="10"/>
  <c r="BT280" i="10"/>
  <c r="BP280" i="10"/>
  <c r="BX280" i="10"/>
  <c r="BU280" i="10"/>
  <c r="BN280" i="10"/>
  <c r="BK280" i="10"/>
  <c r="AH280" i="10"/>
  <c r="BW280" i="10"/>
  <c r="BL280" i="10"/>
  <c r="M196" i="10"/>
  <c r="CC196" i="10"/>
  <c r="L132" i="10"/>
  <c r="M132" i="10" s="1"/>
  <c r="Z9" i="10"/>
  <c r="AD9" i="10"/>
  <c r="AH9" i="10"/>
  <c r="J9" i="10"/>
  <c r="CC350" i="10"/>
  <c r="AD327" i="10"/>
  <c r="J327" i="10"/>
  <c r="AH327" i="10"/>
  <c r="Z327" i="10"/>
  <c r="M275" i="10"/>
  <c r="CC275" i="10"/>
  <c r="CH275" i="10" s="1"/>
  <c r="BT195" i="10"/>
  <c r="Z195" i="10"/>
  <c r="BV195" i="10"/>
  <c r="AD195" i="10"/>
  <c r="AH195" i="10"/>
  <c r="BL195" i="10"/>
  <c r="BS195" i="10"/>
  <c r="BX195" i="10"/>
  <c r="BM195" i="10"/>
  <c r="BW195" i="10"/>
  <c r="CB195" i="10"/>
  <c r="BN195" i="10"/>
  <c r="BK195" i="10"/>
  <c r="BP195" i="10"/>
  <c r="BY195" i="10"/>
  <c r="BO195" i="10"/>
  <c r="BJ195" i="10"/>
  <c r="BU195" i="10"/>
  <c r="AD161" i="10"/>
  <c r="BV161" i="10"/>
  <c r="AH161" i="10"/>
  <c r="BL161" i="10"/>
  <c r="CB161" i="10"/>
  <c r="BN161" i="10"/>
  <c r="Z161" i="10"/>
  <c r="BT161" i="10"/>
  <c r="BS161" i="10"/>
  <c r="BM161" i="10"/>
  <c r="BW161" i="10"/>
  <c r="BP161" i="10"/>
  <c r="BJ161" i="10"/>
  <c r="BU161" i="10"/>
  <c r="BK161" i="10"/>
  <c r="BX161" i="10"/>
  <c r="BO161" i="10"/>
  <c r="BY161" i="10"/>
  <c r="M207" i="10"/>
  <c r="CC207" i="10"/>
  <c r="CC133" i="10"/>
  <c r="Z12" i="10"/>
  <c r="J12" i="10"/>
  <c r="AD12" i="10"/>
  <c r="AH12" i="10"/>
  <c r="L344" i="10"/>
  <c r="M344" i="10" s="1"/>
  <c r="CC337" i="10"/>
  <c r="L341" i="10"/>
  <c r="M341" i="10" s="1"/>
  <c r="CC349" i="10"/>
  <c r="BL286" i="10"/>
  <c r="BS286" i="10"/>
  <c r="BW286" i="10"/>
  <c r="CB286" i="10"/>
  <c r="BO286" i="10"/>
  <c r="BK286" i="10"/>
  <c r="BM286" i="10"/>
  <c r="AD286" i="10"/>
  <c r="BT286" i="10"/>
  <c r="BV286" i="10"/>
  <c r="BU286" i="10"/>
  <c r="BY286" i="10"/>
  <c r="BN286" i="10"/>
  <c r="Z286" i="10"/>
  <c r="AH286" i="10"/>
  <c r="BP286" i="10"/>
  <c r="BJ286" i="10"/>
  <c r="BX286" i="10"/>
  <c r="M154" i="10"/>
  <c r="CC154" i="10"/>
  <c r="M185" i="10"/>
  <c r="CC185" i="10"/>
  <c r="Z155" i="10"/>
  <c r="AD155" i="10"/>
  <c r="AH155" i="10"/>
  <c r="M194" i="10"/>
  <c r="CC194" i="10"/>
  <c r="M171" i="10"/>
  <c r="CC171" i="10"/>
  <c r="CH171" i="10" s="1"/>
  <c r="AH307" i="10"/>
  <c r="BO307" i="10"/>
  <c r="BW307" i="10"/>
  <c r="BJ307" i="10"/>
  <c r="BP307" i="10"/>
  <c r="CB307" i="10"/>
  <c r="Z307" i="10"/>
  <c r="BK307" i="10"/>
  <c r="BT307" i="10"/>
  <c r="AD307" i="10"/>
  <c r="BL307" i="10"/>
  <c r="BV307" i="10"/>
  <c r="BN307" i="10"/>
  <c r="BU307" i="10"/>
  <c r="BY307" i="10"/>
  <c r="BX307" i="10"/>
  <c r="BM307" i="10"/>
  <c r="BS307" i="10"/>
  <c r="AD314" i="10"/>
  <c r="BJ314" i="10"/>
  <c r="AH314" i="10"/>
  <c r="BO314" i="10"/>
  <c r="BT314" i="10"/>
  <c r="BX314" i="10"/>
  <c r="BU314" i="10"/>
  <c r="BS314" i="10"/>
  <c r="BY314" i="10"/>
  <c r="BN314" i="10"/>
  <c r="BW314" i="10"/>
  <c r="BM314" i="10"/>
  <c r="BL314" i="10"/>
  <c r="CB314" i="10"/>
  <c r="BV314" i="10"/>
  <c r="BP314" i="10"/>
  <c r="Z314" i="10"/>
  <c r="BK314" i="10"/>
  <c r="M176" i="10"/>
  <c r="CC176" i="10"/>
  <c r="BO312" i="10"/>
  <c r="BT312" i="10"/>
  <c r="AD312" i="10"/>
  <c r="AH312" i="10"/>
  <c r="BJ312" i="10"/>
  <c r="BX312" i="10"/>
  <c r="BY312" i="10"/>
  <c r="BS312" i="10"/>
  <c r="BN312" i="10"/>
  <c r="BM312" i="10"/>
  <c r="CB312" i="10"/>
  <c r="BW312" i="10"/>
  <c r="BU312" i="10"/>
  <c r="BL312" i="10"/>
  <c r="BP312" i="10"/>
  <c r="Z312" i="10"/>
  <c r="BK312" i="10"/>
  <c r="BV312" i="10"/>
  <c r="M322" i="10"/>
  <c r="CC322" i="10"/>
  <c r="M172" i="10"/>
  <c r="CC172" i="10"/>
  <c r="CH172" i="10" s="1"/>
  <c r="BX240" i="10"/>
  <c r="BL240" i="10"/>
  <c r="CB240" i="10"/>
  <c r="BN240" i="10"/>
  <c r="BW240" i="10"/>
  <c r="AH240" i="10"/>
  <c r="BS240" i="10"/>
  <c r="BU240" i="10"/>
  <c r="BP240" i="10"/>
  <c r="BY240" i="10"/>
  <c r="BJ240" i="10"/>
  <c r="BV240" i="10"/>
  <c r="BO240" i="10"/>
  <c r="Z240" i="10"/>
  <c r="BK240" i="10"/>
  <c r="BM240" i="10"/>
  <c r="BT240" i="10"/>
  <c r="AD240" i="10"/>
  <c r="AD215" i="10"/>
  <c r="BO215" i="10"/>
  <c r="AH215" i="10"/>
  <c r="BP215" i="10"/>
  <c r="BJ215" i="10"/>
  <c r="BT215" i="10"/>
  <c r="Z215" i="10"/>
  <c r="BK215" i="10"/>
  <c r="BV215" i="10"/>
  <c r="BS215" i="10"/>
  <c r="BY215" i="10"/>
  <c r="BW215" i="10"/>
  <c r="BN215" i="10"/>
  <c r="BL215" i="10"/>
  <c r="BM215" i="10"/>
  <c r="BX215" i="10"/>
  <c r="BU215" i="10"/>
  <c r="CB215" i="10"/>
  <c r="AD308" i="10"/>
  <c r="BJ308" i="10"/>
  <c r="AH308" i="10"/>
  <c r="BO308" i="10"/>
  <c r="BT308" i="10"/>
  <c r="BU308" i="10"/>
  <c r="BX308" i="10"/>
  <c r="BY308" i="10"/>
  <c r="BS308" i="10"/>
  <c r="BL308" i="10"/>
  <c r="BN308" i="10"/>
  <c r="BM308" i="10"/>
  <c r="CB308" i="10"/>
  <c r="BW308" i="10"/>
  <c r="BV308" i="10"/>
  <c r="BP308" i="10"/>
  <c r="BK308" i="10"/>
  <c r="Z308" i="10"/>
  <c r="M169" i="10"/>
  <c r="CC169" i="10"/>
  <c r="Z287" i="10"/>
  <c r="BP287" i="10"/>
  <c r="AD287" i="10"/>
  <c r="BJ287" i="10"/>
  <c r="BT287" i="10"/>
  <c r="AH287" i="10"/>
  <c r="BK287" i="10"/>
  <c r="BV287" i="10"/>
  <c r="BO287" i="10"/>
  <c r="BY287" i="10"/>
  <c r="BN287" i="10"/>
  <c r="CB287" i="10"/>
  <c r="BS287" i="10"/>
  <c r="BM287" i="10"/>
  <c r="BW287" i="10"/>
  <c r="BL287" i="10"/>
  <c r="BU287" i="10"/>
  <c r="BX287" i="10"/>
  <c r="M186" i="10"/>
  <c r="CC186" i="10"/>
  <c r="AH223" i="10"/>
  <c r="Z223" i="10"/>
  <c r="AD223" i="10"/>
  <c r="AD347" i="10"/>
  <c r="J347" i="10"/>
  <c r="AH347" i="10"/>
  <c r="Z347" i="10"/>
  <c r="AH216" i="10"/>
  <c r="AD216" i="10"/>
  <c r="Z216" i="10"/>
  <c r="L332" i="10"/>
  <c r="M332" i="10" s="1"/>
  <c r="Z238" i="10"/>
  <c r="AD238" i="10"/>
  <c r="AH238" i="10"/>
  <c r="AH326" i="10"/>
  <c r="BO326" i="10"/>
  <c r="AM326" i="10"/>
  <c r="CF326" i="10" s="1"/>
  <c r="BT326" i="10"/>
  <c r="AN326" i="10"/>
  <c r="CG326" i="10" s="1"/>
  <c r="CJ326" i="10"/>
  <c r="AD326" i="10"/>
  <c r="BJ326" i="10"/>
  <c r="BX326" i="10"/>
  <c r="I326" i="10"/>
  <c r="BU326" i="10"/>
  <c r="BS326" i="10"/>
  <c r="BY326" i="10"/>
  <c r="BN326" i="10"/>
  <c r="BW326" i="10"/>
  <c r="CI326" i="10"/>
  <c r="BL326" i="10"/>
  <c r="J326" i="10"/>
  <c r="BM326" i="10"/>
  <c r="BV326" i="10"/>
  <c r="BP326" i="10"/>
  <c r="CB326" i="10"/>
  <c r="BK326" i="10"/>
  <c r="AL326" i="10"/>
  <c r="Z326" i="10"/>
  <c r="L326" i="10"/>
  <c r="M326" i="10" s="1"/>
  <c r="BL236" i="10"/>
  <c r="CB236" i="10"/>
  <c r="BN236" i="10"/>
  <c r="AH236" i="10"/>
  <c r="BW236" i="10"/>
  <c r="BX236" i="10"/>
  <c r="BS236" i="10"/>
  <c r="BU236" i="10"/>
  <c r="BP236" i="10"/>
  <c r="BY236" i="10"/>
  <c r="BJ236" i="10"/>
  <c r="BV236" i="10"/>
  <c r="BO236" i="10"/>
  <c r="Z236" i="10"/>
  <c r="AD236" i="10"/>
  <c r="BK236" i="10"/>
  <c r="BM236" i="10"/>
  <c r="BT236" i="10"/>
  <c r="M304" i="10"/>
  <c r="CC304" i="10"/>
  <c r="Z226" i="10"/>
  <c r="AD226" i="10"/>
  <c r="AH226" i="10"/>
  <c r="Z309" i="10"/>
  <c r="BL309" i="10"/>
  <c r="BV309" i="10"/>
  <c r="AD309" i="10"/>
  <c r="BO309" i="10"/>
  <c r="BW309" i="10"/>
  <c r="AH309" i="10"/>
  <c r="BJ309" i="10"/>
  <c r="BP309" i="10"/>
  <c r="CB309" i="10"/>
  <c r="BT309" i="10"/>
  <c r="BK309" i="10"/>
  <c r="BS309" i="10"/>
  <c r="BM309" i="10"/>
  <c r="BN309" i="10"/>
  <c r="BU309" i="10"/>
  <c r="BY309" i="10"/>
  <c r="BX309" i="10"/>
  <c r="BO320" i="10"/>
  <c r="BT320" i="10"/>
  <c r="AD320" i="10"/>
  <c r="BJ320" i="10"/>
  <c r="AH320" i="10"/>
  <c r="BM320" i="10"/>
  <c r="BX320" i="10"/>
  <c r="BU320" i="10"/>
  <c r="BS320" i="10"/>
  <c r="BY320" i="10"/>
  <c r="BL320" i="10"/>
  <c r="BN320" i="10"/>
  <c r="BV320" i="10"/>
  <c r="BP320" i="10"/>
  <c r="Z320" i="10"/>
  <c r="BW320" i="10"/>
  <c r="BK320" i="10"/>
  <c r="CB320" i="10"/>
  <c r="L334" i="10"/>
  <c r="M334" i="10" s="1"/>
  <c r="L351" i="10"/>
  <c r="M351" i="10" s="1"/>
  <c r="AD212" i="10"/>
  <c r="AH212" i="10"/>
  <c r="Z212" i="10"/>
  <c r="CC343" i="10"/>
  <c r="CC21" i="10"/>
  <c r="CC76" i="10"/>
  <c r="L115" i="10"/>
  <c r="M115" i="10" s="1"/>
  <c r="Z66" i="10"/>
  <c r="AH66" i="10"/>
  <c r="AD66" i="10"/>
  <c r="J66" i="10"/>
  <c r="Z133" i="10"/>
  <c r="AD133" i="10"/>
  <c r="J133" i="10"/>
  <c r="AH133" i="10"/>
  <c r="Z92" i="10"/>
  <c r="AD92" i="10"/>
  <c r="AH92" i="10"/>
  <c r="J92" i="10"/>
  <c r="BJ39" i="10"/>
  <c r="J39" i="10"/>
  <c r="AL39" i="10"/>
  <c r="BV39" i="10"/>
  <c r="Z39" i="10"/>
  <c r="AM39" i="10"/>
  <c r="CF39" i="10" s="1"/>
  <c r="CJ39" i="10"/>
  <c r="AD39" i="10"/>
  <c r="AN39" i="10"/>
  <c r="CG39" i="10" s="1"/>
  <c r="AH39" i="10"/>
  <c r="BN39" i="10"/>
  <c r="I39" i="10"/>
  <c r="BY39" i="10"/>
  <c r="BO39" i="10"/>
  <c r="BS39" i="10"/>
  <c r="BL39" i="10"/>
  <c r="BU39" i="10"/>
  <c r="CI39" i="10"/>
  <c r="BX39" i="10"/>
  <c r="BM39" i="10"/>
  <c r="BW39" i="10"/>
  <c r="BP39" i="10"/>
  <c r="BT39" i="10"/>
  <c r="BK39" i="10"/>
  <c r="CB39" i="10"/>
  <c r="I32" i="10"/>
  <c r="CD32" i="10" s="1"/>
  <c r="BW32" i="10"/>
  <c r="AN32" i="10"/>
  <c r="CG32" i="10" s="1"/>
  <c r="CJ32" i="10"/>
  <c r="AM32" i="10"/>
  <c r="CF32" i="10" s="1"/>
  <c r="BP32" i="10"/>
  <c r="BS32" i="10"/>
  <c r="BU32" i="10"/>
  <c r="CI32" i="10"/>
  <c r="AD32" i="10"/>
  <c r="BN32" i="10"/>
  <c r="BM32" i="10"/>
  <c r="BO32" i="10"/>
  <c r="CB32" i="10"/>
  <c r="J32" i="10"/>
  <c r="AH32" i="10"/>
  <c r="BV32" i="10"/>
  <c r="BJ32" i="10"/>
  <c r="BX32" i="10"/>
  <c r="BY32" i="10"/>
  <c r="BL32" i="10"/>
  <c r="AL32" i="10"/>
  <c r="BK32" i="10"/>
  <c r="BT32" i="10"/>
  <c r="Z32" i="10"/>
  <c r="AE60" i="1"/>
  <c r="X60" i="10" s="1"/>
  <c r="L60" i="10"/>
  <c r="M60" i="10" s="1"/>
  <c r="AE56" i="1"/>
  <c r="X56" i="10" s="1"/>
  <c r="L56" i="10"/>
  <c r="M56" i="10" s="1"/>
  <c r="AE52" i="1"/>
  <c r="L52" i="10"/>
  <c r="M52" i="10" s="1"/>
  <c r="Z43" i="10"/>
  <c r="J43" i="10"/>
  <c r="AH43" i="10"/>
  <c r="AD43" i="10"/>
  <c r="I35" i="10"/>
  <c r="CD35" i="10" s="1"/>
  <c r="BN35" i="10"/>
  <c r="CJ35" i="10"/>
  <c r="BP35" i="10"/>
  <c r="AM35" i="10"/>
  <c r="CF35" i="10" s="1"/>
  <c r="BV35" i="10"/>
  <c r="AN35" i="10"/>
  <c r="CG35" i="10" s="1"/>
  <c r="BX35" i="10"/>
  <c r="BJ35" i="10"/>
  <c r="BU35" i="10"/>
  <c r="BO35" i="10"/>
  <c r="AL35" i="10"/>
  <c r="CE35" i="10" s="1"/>
  <c r="CB35" i="10"/>
  <c r="BY35" i="10"/>
  <c r="CI35" i="10"/>
  <c r="BK35" i="10"/>
  <c r="Z35" i="10"/>
  <c r="BM35" i="10"/>
  <c r="J35" i="10"/>
  <c r="BT35" i="10"/>
  <c r="BW35" i="10"/>
  <c r="AD35" i="10"/>
  <c r="BS35" i="10"/>
  <c r="AH35" i="10"/>
  <c r="AD25" i="10"/>
  <c r="J25" i="10"/>
  <c r="Z25" i="10"/>
  <c r="AH25" i="10"/>
  <c r="CC280" i="10"/>
  <c r="M280" i="10"/>
  <c r="CC335" i="10"/>
  <c r="Y114" i="10"/>
  <c r="BO114" i="10"/>
  <c r="W114" i="10"/>
  <c r="BD114" i="10" s="1"/>
  <c r="BL114" i="10"/>
  <c r="CJ114" i="10"/>
  <c r="X114" i="10"/>
  <c r="BT114" i="10"/>
  <c r="I114" i="10"/>
  <c r="CD114" i="10" s="1"/>
  <c r="AM114" i="10"/>
  <c r="CF114" i="10" s="1"/>
  <c r="BU114" i="10"/>
  <c r="AN114" i="10"/>
  <c r="CG114" i="10" s="1"/>
  <c r="CB114" i="10"/>
  <c r="U114" i="10"/>
  <c r="Z114" i="10"/>
  <c r="BJ114" i="10"/>
  <c r="BY114" i="10"/>
  <c r="BM114" i="10"/>
  <c r="CI114" i="10"/>
  <c r="AD114" i="10"/>
  <c r="BN114" i="10"/>
  <c r="BK114" i="10"/>
  <c r="BS114" i="10"/>
  <c r="J114" i="10"/>
  <c r="AH114" i="10"/>
  <c r="BV114" i="10"/>
  <c r="BW114" i="10"/>
  <c r="V114" i="10"/>
  <c r="AL114" i="10"/>
  <c r="BX114" i="10"/>
  <c r="Z170" i="10"/>
  <c r="AD170" i="10"/>
  <c r="AH170" i="10"/>
  <c r="CC331" i="10"/>
  <c r="J331" i="10"/>
  <c r="AH331" i="10"/>
  <c r="BJ331" i="10"/>
  <c r="BP331" i="10"/>
  <c r="CB331" i="10"/>
  <c r="AL331" i="10"/>
  <c r="CE331" i="10" s="1"/>
  <c r="BK331" i="10"/>
  <c r="BT331" i="10"/>
  <c r="Z331" i="10"/>
  <c r="AM331" i="10"/>
  <c r="CF331" i="10" s="1"/>
  <c r="BL331" i="10"/>
  <c r="AD331" i="10"/>
  <c r="BW331" i="10"/>
  <c r="AN331" i="10"/>
  <c r="CG331" i="10" s="1"/>
  <c r="CJ331" i="10"/>
  <c r="BO331" i="10"/>
  <c r="BV331" i="10"/>
  <c r="BS331" i="10"/>
  <c r="BM331" i="10"/>
  <c r="BN331" i="10"/>
  <c r="I331" i="10"/>
  <c r="BU331" i="10"/>
  <c r="CI331" i="10"/>
  <c r="BY331" i="10"/>
  <c r="BX331" i="10"/>
  <c r="I110" i="10"/>
  <c r="CD110" i="10" s="1"/>
  <c r="X110" i="10"/>
  <c r="BK110" i="10"/>
  <c r="BT110" i="10"/>
  <c r="CB110" i="10"/>
  <c r="AM110" i="10"/>
  <c r="CF110" i="10" s="1"/>
  <c r="BP110" i="10"/>
  <c r="U110" i="10"/>
  <c r="AN110" i="10"/>
  <c r="CG110" i="10" s="1"/>
  <c r="BU110" i="10"/>
  <c r="CJ110" i="10"/>
  <c r="W110" i="10"/>
  <c r="BD110" i="10" s="1"/>
  <c r="BL110" i="10"/>
  <c r="BW110" i="10"/>
  <c r="BO110" i="10"/>
  <c r="BY110" i="10"/>
  <c r="Y110" i="10"/>
  <c r="BC110" i="10" s="1"/>
  <c r="BX110" i="10"/>
  <c r="Z110" i="10"/>
  <c r="BJ110" i="10"/>
  <c r="AD110" i="10"/>
  <c r="BN110" i="10"/>
  <c r="BM110" i="10"/>
  <c r="CI110" i="10"/>
  <c r="J110" i="10"/>
  <c r="K110" i="10" s="1"/>
  <c r="AH110" i="10"/>
  <c r="BV110" i="10"/>
  <c r="BS110" i="10"/>
  <c r="AL110" i="10"/>
  <c r="CE110" i="10" s="1"/>
  <c r="V110" i="10"/>
  <c r="CC88" i="10"/>
  <c r="AD15" i="10"/>
  <c r="J15" i="10"/>
  <c r="AH15" i="10"/>
  <c r="Z15" i="10"/>
  <c r="AH224" i="10"/>
  <c r="Z224" i="10"/>
  <c r="AD224" i="10"/>
  <c r="AD343" i="10"/>
  <c r="Z343" i="10"/>
  <c r="J343" i="10"/>
  <c r="AH343" i="10"/>
  <c r="L343" i="10"/>
  <c r="M343" i="10" s="1"/>
  <c r="AH208" i="10"/>
  <c r="BN208" i="10"/>
  <c r="BX208" i="10"/>
  <c r="BS208" i="10"/>
  <c r="BO208" i="10"/>
  <c r="Z208" i="10"/>
  <c r="CB208" i="10"/>
  <c r="BM208" i="10"/>
  <c r="AD208" i="10"/>
  <c r="BT208" i="10"/>
  <c r="BK208" i="10"/>
  <c r="BU208" i="10"/>
  <c r="BP208" i="10"/>
  <c r="BL208" i="10"/>
  <c r="BY208" i="10"/>
  <c r="BW208" i="10"/>
  <c r="BV208" i="10"/>
  <c r="BJ208" i="10"/>
  <c r="AD335" i="10"/>
  <c r="J335" i="10"/>
  <c r="Z335" i="10"/>
  <c r="AH335" i="10"/>
  <c r="J83" i="10"/>
  <c r="AH83" i="10"/>
  <c r="Z83" i="10"/>
  <c r="AD83" i="10"/>
  <c r="I94" i="10"/>
  <c r="CD94" i="10" s="1"/>
  <c r="Z126" i="10"/>
  <c r="AD126" i="10"/>
  <c r="J126" i="10"/>
  <c r="AH126" i="10"/>
  <c r="L92" i="10"/>
  <c r="M92" i="10" s="1"/>
  <c r="J76" i="10"/>
  <c r="AH76" i="10"/>
  <c r="Z76" i="10"/>
  <c r="AD76" i="10"/>
  <c r="CC77" i="10"/>
  <c r="L25" i="10"/>
  <c r="M25" i="10" s="1"/>
  <c r="Z84" i="10"/>
  <c r="AD84" i="10"/>
  <c r="J84" i="10"/>
  <c r="AH84" i="10"/>
  <c r="Z130" i="10"/>
  <c r="AD130" i="10"/>
  <c r="AH130" i="10"/>
  <c r="J130" i="10"/>
  <c r="CC81" i="10"/>
  <c r="AD124" i="10"/>
  <c r="J124" i="10"/>
  <c r="AH124" i="10"/>
  <c r="Z124" i="10"/>
  <c r="J77" i="10"/>
  <c r="AH77" i="10"/>
  <c r="Z77" i="10"/>
  <c r="AD77" i="10"/>
  <c r="CC116" i="10"/>
  <c r="CC260" i="10"/>
  <c r="CH260" i="10" s="1"/>
  <c r="M260" i="10"/>
  <c r="CC86" i="10"/>
  <c r="J74" i="10"/>
  <c r="AH74" i="10"/>
  <c r="Z74" i="10"/>
  <c r="AD74" i="10"/>
  <c r="AD140" i="10"/>
  <c r="J140" i="10"/>
  <c r="AH140" i="10"/>
  <c r="Z140" i="10"/>
  <c r="AN107" i="10"/>
  <c r="CG107" i="10" s="1"/>
  <c r="X107" i="10"/>
  <c r="BX107" i="10"/>
  <c r="BS107" i="10"/>
  <c r="BY107" i="10"/>
  <c r="AM107" i="10"/>
  <c r="CF107" i="10" s="1"/>
  <c r="BL107" i="10"/>
  <c r="BW107" i="10"/>
  <c r="BM107" i="10"/>
  <c r="V107" i="10"/>
  <c r="AL107" i="10"/>
  <c r="I107" i="10"/>
  <c r="BU107" i="10"/>
  <c r="BO107" i="10"/>
  <c r="CI107" i="10"/>
  <c r="Z107" i="10"/>
  <c r="BJ107" i="10"/>
  <c r="Y107" i="10"/>
  <c r="BF107" i="10" s="1"/>
  <c r="U107" i="10"/>
  <c r="W107" i="10"/>
  <c r="BD107" i="10" s="1"/>
  <c r="CB107" i="10"/>
  <c r="AD107" i="10"/>
  <c r="BN107" i="10"/>
  <c r="BK107" i="10"/>
  <c r="BT107" i="10"/>
  <c r="BP107" i="10"/>
  <c r="J107" i="10"/>
  <c r="BV107" i="10"/>
  <c r="CJ107" i="10"/>
  <c r="AH107" i="10"/>
  <c r="L77" i="10"/>
  <c r="M77" i="10" s="1"/>
  <c r="CC102" i="10"/>
  <c r="AE100" i="1"/>
  <c r="Y100" i="10" s="1"/>
  <c r="L100" i="10"/>
  <c r="M100" i="10" s="1"/>
  <c r="L27" i="10"/>
  <c r="M27" i="10" s="1"/>
  <c r="Z101" i="10"/>
  <c r="AD101" i="10"/>
  <c r="J101" i="10"/>
  <c r="AH101" i="10"/>
  <c r="L82" i="10"/>
  <c r="M82" i="10" s="1"/>
  <c r="Z127" i="10"/>
  <c r="AD127" i="10"/>
  <c r="J127" i="10"/>
  <c r="AH127" i="10"/>
  <c r="Z132" i="10"/>
  <c r="AD132" i="10"/>
  <c r="J132" i="10"/>
  <c r="AH132" i="10"/>
  <c r="L107" i="10"/>
  <c r="M107" i="10" s="1"/>
  <c r="CC70" i="10"/>
  <c r="CC42" i="10"/>
  <c r="L23" i="10"/>
  <c r="M23" i="10" s="1"/>
  <c r="CC80" i="10"/>
  <c r="J45" i="10"/>
  <c r="Z45" i="10"/>
  <c r="AD45" i="10"/>
  <c r="AH45" i="10"/>
  <c r="L73" i="10"/>
  <c r="M73" i="10" s="1"/>
  <c r="CC85" i="10"/>
  <c r="CC111" i="10"/>
  <c r="CC40" i="10"/>
  <c r="CC78" i="10"/>
  <c r="AD93" i="10"/>
  <c r="J93" i="10"/>
  <c r="AH93" i="10"/>
  <c r="Z93" i="10"/>
  <c r="AH40" i="10"/>
  <c r="BJ40" i="10"/>
  <c r="CJ40" i="10"/>
  <c r="J40" i="10"/>
  <c r="AM40" i="10"/>
  <c r="CF40" i="10" s="1"/>
  <c r="Z40" i="10"/>
  <c r="AN40" i="10"/>
  <c r="CG40" i="10" s="1"/>
  <c r="AD40" i="10"/>
  <c r="BN40" i="10"/>
  <c r="AL40" i="10"/>
  <c r="CE40" i="10" s="1"/>
  <c r="BV40" i="10"/>
  <c r="I40" i="10"/>
  <c r="BM40" i="10"/>
  <c r="BW40" i="10"/>
  <c r="BT40" i="10"/>
  <c r="BP40" i="10"/>
  <c r="BU40" i="10"/>
  <c r="BK40" i="10"/>
  <c r="CI40" i="10"/>
  <c r="CB40" i="10"/>
  <c r="BX40" i="10"/>
  <c r="BL40" i="10"/>
  <c r="BY40" i="10"/>
  <c r="BO40" i="10"/>
  <c r="BS40" i="10"/>
  <c r="AN103" i="10"/>
  <c r="CG103" i="10" s="1"/>
  <c r="BO103" i="10"/>
  <c r="CJ103" i="10"/>
  <c r="BS103" i="10"/>
  <c r="X103" i="10"/>
  <c r="BY103" i="10"/>
  <c r="AM103" i="10"/>
  <c r="CF103" i="10" s="1"/>
  <c r="BX103" i="10"/>
  <c r="V103" i="10"/>
  <c r="AL103" i="10"/>
  <c r="CE103" i="10" s="1"/>
  <c r="I103" i="10"/>
  <c r="BU103" i="10"/>
  <c r="CB103" i="10"/>
  <c r="BM103" i="10"/>
  <c r="BT103" i="10"/>
  <c r="Z103" i="10"/>
  <c r="BJ103" i="10"/>
  <c r="Y103" i="10"/>
  <c r="BC103" i="10" s="1"/>
  <c r="U103" i="10"/>
  <c r="W103" i="10"/>
  <c r="BD103" i="10" s="1"/>
  <c r="AD103" i="10"/>
  <c r="BN103" i="10"/>
  <c r="BK103" i="10"/>
  <c r="BL103" i="10"/>
  <c r="BP103" i="10"/>
  <c r="CI103" i="10"/>
  <c r="J103" i="10"/>
  <c r="BW103" i="10"/>
  <c r="BV103" i="10"/>
  <c r="AH103" i="10"/>
  <c r="L93" i="10"/>
  <c r="M93" i="10" s="1"/>
  <c r="M24" i="10"/>
  <c r="CC103" i="10"/>
  <c r="L110" i="10"/>
  <c r="M110" i="10" s="1"/>
  <c r="CC6" i="10"/>
  <c r="J58" i="10"/>
  <c r="AH58" i="10"/>
  <c r="Z58" i="10"/>
  <c r="AD58" i="10"/>
  <c r="CC58" i="10"/>
  <c r="CC341" i="10"/>
  <c r="BK293" i="10"/>
  <c r="BS293" i="10"/>
  <c r="BX293" i="10"/>
  <c r="BP293" i="10"/>
  <c r="BY293" i="10"/>
  <c r="BJ293" i="10"/>
  <c r="BN293" i="10"/>
  <c r="BV293" i="10"/>
  <c r="BM293" i="10"/>
  <c r="AD293" i="10"/>
  <c r="Z293" i="10"/>
  <c r="BW293" i="10"/>
  <c r="BT293" i="10"/>
  <c r="BO293" i="10"/>
  <c r="BL293" i="10"/>
  <c r="CB293" i="10"/>
  <c r="BU293" i="10"/>
  <c r="AH293" i="10"/>
  <c r="AM119" i="10"/>
  <c r="CF119" i="10" s="1"/>
  <c r="U119" i="10"/>
  <c r="CI119" i="10"/>
  <c r="W119" i="10"/>
  <c r="BD119" i="10" s="1"/>
  <c r="CJ119" i="10"/>
  <c r="X119" i="10"/>
  <c r="BT119" i="10"/>
  <c r="BY119" i="10"/>
  <c r="CB119" i="10"/>
  <c r="BO119" i="10"/>
  <c r="BL119" i="10"/>
  <c r="BM119" i="10"/>
  <c r="BW119" i="10"/>
  <c r="Z119" i="10"/>
  <c r="BJ119" i="10"/>
  <c r="Y119" i="10"/>
  <c r="BC119" i="10" s="1"/>
  <c r="BS119" i="10"/>
  <c r="AD119" i="10"/>
  <c r="BN119" i="10"/>
  <c r="BK119" i="10"/>
  <c r="BX119" i="10"/>
  <c r="J119" i="10"/>
  <c r="AH119" i="10"/>
  <c r="BV119" i="10"/>
  <c r="BP119" i="10"/>
  <c r="AN119" i="10"/>
  <c r="CG119" i="10" s="1"/>
  <c r="BU119" i="10"/>
  <c r="V119" i="10"/>
  <c r="I119" i="10"/>
  <c r="AL119" i="10"/>
  <c r="CE119" i="10" s="1"/>
  <c r="J78" i="10"/>
  <c r="AH78" i="10"/>
  <c r="Z78" i="10"/>
  <c r="AD78" i="10"/>
  <c r="CC119" i="10"/>
  <c r="L40" i="10"/>
  <c r="M40" i="10" s="1"/>
  <c r="AE64" i="1"/>
  <c r="L64" i="10"/>
  <c r="M64" i="10" s="1"/>
  <c r="AD50" i="10"/>
  <c r="J50" i="10"/>
  <c r="Z50" i="10"/>
  <c r="AH50" i="10"/>
  <c r="CC61" i="10"/>
  <c r="AE61" i="1"/>
  <c r="L61" i="10"/>
  <c r="M61" i="10" s="1"/>
  <c r="CC127" i="10"/>
  <c r="L11" i="10"/>
  <c r="M11" i="10" s="1"/>
  <c r="AL350" i="10"/>
  <c r="CE350" i="10" s="1"/>
  <c r="AH350" i="10"/>
  <c r="BO350" i="10"/>
  <c r="AD350" i="10"/>
  <c r="AM350" i="10"/>
  <c r="CF350" i="10" s="1"/>
  <c r="BT350" i="10"/>
  <c r="BJ350" i="10"/>
  <c r="AN350" i="10"/>
  <c r="CG350" i="10" s="1"/>
  <c r="CJ350" i="10"/>
  <c r="BN350" i="10"/>
  <c r="CB350" i="10"/>
  <c r="I350" i="10"/>
  <c r="BU350" i="10"/>
  <c r="BV350" i="10"/>
  <c r="BL350" i="10"/>
  <c r="BY350" i="10"/>
  <c r="BP350" i="10"/>
  <c r="Z350" i="10"/>
  <c r="CI350" i="10"/>
  <c r="BW350" i="10"/>
  <c r="BK350" i="10"/>
  <c r="J350" i="10"/>
  <c r="BS350" i="10"/>
  <c r="BX350" i="10"/>
  <c r="BM350" i="10"/>
  <c r="Z281" i="10"/>
  <c r="BK281" i="10"/>
  <c r="AD281" i="10"/>
  <c r="BO281" i="10"/>
  <c r="BT281" i="10"/>
  <c r="BV281" i="10"/>
  <c r="BJ281" i="10"/>
  <c r="BS281" i="10"/>
  <c r="BX281" i="10"/>
  <c r="BN281" i="10"/>
  <c r="CB281" i="10"/>
  <c r="BM281" i="10"/>
  <c r="BW281" i="10"/>
  <c r="BP281" i="10"/>
  <c r="BU281" i="10"/>
  <c r="BL281" i="10"/>
  <c r="BY281" i="10"/>
  <c r="AH281" i="10"/>
  <c r="CC41" i="10"/>
  <c r="L99" i="10"/>
  <c r="M99" i="10" s="1"/>
  <c r="X99" i="10"/>
  <c r="V99" i="10"/>
  <c r="Z99" i="10"/>
  <c r="AD99" i="10"/>
  <c r="AH99" i="10"/>
  <c r="J99" i="10"/>
  <c r="L116" i="10"/>
  <c r="M116" i="10" s="1"/>
  <c r="I31" i="10"/>
  <c r="CD31" i="10" s="1"/>
  <c r="BO31" i="10"/>
  <c r="CB31" i="10"/>
  <c r="BL31" i="10"/>
  <c r="CJ31" i="10"/>
  <c r="BT31" i="10"/>
  <c r="AM31" i="10"/>
  <c r="CF31" i="10" s="1"/>
  <c r="BW31" i="10"/>
  <c r="BY31" i="10"/>
  <c r="AN31" i="10"/>
  <c r="CG31" i="10" s="1"/>
  <c r="BP31" i="10"/>
  <c r="J31" i="10"/>
  <c r="AH31" i="10"/>
  <c r="BV31" i="10"/>
  <c r="BM31" i="10"/>
  <c r="CI31" i="10"/>
  <c r="BK31" i="10"/>
  <c r="AL31" i="10"/>
  <c r="BN31" i="10"/>
  <c r="BS31" i="10"/>
  <c r="Z31" i="10"/>
  <c r="BJ31" i="10"/>
  <c r="BX31" i="10"/>
  <c r="BU31" i="10"/>
  <c r="AD31" i="10"/>
  <c r="J24" i="10"/>
  <c r="BV24" i="10"/>
  <c r="CB24" i="10"/>
  <c r="BJ24" i="10"/>
  <c r="BX24" i="10"/>
  <c r="Z24" i="10"/>
  <c r="BM24" i="10"/>
  <c r="AL24" i="10"/>
  <c r="CE24" i="10" s="1"/>
  <c r="BO24" i="10"/>
  <c r="CI24" i="10"/>
  <c r="BP24" i="10"/>
  <c r="BW24" i="10"/>
  <c r="CJ24" i="10"/>
  <c r="BS24" i="10"/>
  <c r="I24" i="10"/>
  <c r="BU24" i="10"/>
  <c r="BL24" i="10"/>
  <c r="AD24" i="10"/>
  <c r="BT24" i="10"/>
  <c r="AH24" i="10"/>
  <c r="AM24" i="10"/>
  <c r="CF24" i="10" s="1"/>
  <c r="BK24" i="10"/>
  <c r="BY24" i="10"/>
  <c r="AN24" i="10"/>
  <c r="CG24" i="10" s="1"/>
  <c r="BN24" i="10"/>
  <c r="J22" i="10"/>
  <c r="Z22" i="10"/>
  <c r="AD22" i="10"/>
  <c r="AH22" i="10"/>
  <c r="CC65" i="10"/>
  <c r="X70" i="10"/>
  <c r="Z70" i="10"/>
  <c r="AD70" i="10"/>
  <c r="J70" i="10"/>
  <c r="AH70" i="10"/>
  <c r="V70" i="10"/>
  <c r="X71" i="10"/>
  <c r="Z71" i="10"/>
  <c r="J71" i="10"/>
  <c r="AH71" i="10"/>
  <c r="V71" i="10"/>
  <c r="AD71" i="10"/>
  <c r="L134" i="10"/>
  <c r="M134" i="10" s="1"/>
  <c r="M312" i="10"/>
  <c r="CC312" i="10"/>
  <c r="I37" i="10"/>
  <c r="Z37" i="10"/>
  <c r="AM37" i="10"/>
  <c r="CF37" i="10" s="1"/>
  <c r="BV37" i="10"/>
  <c r="AH37" i="10"/>
  <c r="BN37" i="10"/>
  <c r="J37" i="10"/>
  <c r="AL37" i="10"/>
  <c r="CE37" i="10" s="1"/>
  <c r="CJ37" i="10"/>
  <c r="AN37" i="10"/>
  <c r="CG37" i="10" s="1"/>
  <c r="AD37" i="10"/>
  <c r="BJ37" i="10"/>
  <c r="BS37" i="10"/>
  <c r="BL37" i="10"/>
  <c r="BM37" i="10"/>
  <c r="BW37" i="10"/>
  <c r="BP37" i="10"/>
  <c r="BT37" i="10"/>
  <c r="BY37" i="10"/>
  <c r="BU37" i="10"/>
  <c r="BK37" i="10"/>
  <c r="CI37" i="10"/>
  <c r="BX37" i="10"/>
  <c r="CB37" i="10"/>
  <c r="BO37" i="10"/>
  <c r="M72" i="10"/>
  <c r="CC43" i="10"/>
  <c r="Z51" i="10"/>
  <c r="J51" i="10"/>
  <c r="AD51" i="10"/>
  <c r="AH51" i="10"/>
  <c r="AE53" i="1"/>
  <c r="V53" i="10" s="1"/>
  <c r="L53" i="10"/>
  <c r="M53" i="10" s="1"/>
  <c r="AN13" i="10"/>
  <c r="CG13" i="10" s="1"/>
  <c r="BS13" i="10"/>
  <c r="CB13" i="10"/>
  <c r="BK13" i="10"/>
  <c r="BT13" i="10"/>
  <c r="CI13" i="10"/>
  <c r="I13" i="10"/>
  <c r="CD13" i="10" s="1"/>
  <c r="BO13" i="10"/>
  <c r="BW13" i="10"/>
  <c r="CJ13" i="10"/>
  <c r="BP13" i="10"/>
  <c r="BX13" i="10"/>
  <c r="AM13" i="10"/>
  <c r="CF13" i="10" s="1"/>
  <c r="AL13" i="10"/>
  <c r="CE13" i="10" s="1"/>
  <c r="Z13" i="10"/>
  <c r="BJ13" i="10"/>
  <c r="BY13" i="10"/>
  <c r="BV13" i="10"/>
  <c r="AH13" i="10"/>
  <c r="BM13" i="10"/>
  <c r="AD13" i="10"/>
  <c r="BN13" i="10"/>
  <c r="BU13" i="10"/>
  <c r="J13" i="10"/>
  <c r="BL13" i="10"/>
  <c r="Z339" i="10"/>
  <c r="AN339" i="10"/>
  <c r="CG339" i="10" s="1"/>
  <c r="BO339" i="10"/>
  <c r="BW339" i="10"/>
  <c r="AM339" i="10"/>
  <c r="CF339" i="10" s="1"/>
  <c r="BV339" i="10"/>
  <c r="AH339" i="10"/>
  <c r="BJ339" i="10"/>
  <c r="BP339" i="10"/>
  <c r="CB339" i="10"/>
  <c r="BL339" i="10"/>
  <c r="AD339" i="10"/>
  <c r="AL339" i="10"/>
  <c r="CE339" i="10" s="1"/>
  <c r="BK339" i="10"/>
  <c r="BT339" i="10"/>
  <c r="CJ339" i="10"/>
  <c r="J339" i="10"/>
  <c r="BN339" i="10"/>
  <c r="BX339" i="10"/>
  <c r="I339" i="10"/>
  <c r="BU339" i="10"/>
  <c r="CI339" i="10"/>
  <c r="BM339" i="10"/>
  <c r="BS339" i="10"/>
  <c r="BY339" i="10"/>
  <c r="CC297" i="10"/>
  <c r="CH297" i="10" s="1"/>
  <c r="M297" i="10"/>
  <c r="CC299" i="10"/>
  <c r="CH299" i="10" s="1"/>
  <c r="M299" i="10"/>
  <c r="BP188" i="10"/>
  <c r="Z188" i="10"/>
  <c r="AD188" i="10"/>
  <c r="AH188" i="10"/>
  <c r="BJ188" i="10"/>
  <c r="BU188" i="10"/>
  <c r="BK188" i="10"/>
  <c r="BY188" i="10"/>
  <c r="BO188" i="10"/>
  <c r="BL188" i="10"/>
  <c r="BX188" i="10"/>
  <c r="BS188" i="10"/>
  <c r="BT188" i="10"/>
  <c r="BN188" i="10"/>
  <c r="BM188" i="10"/>
  <c r="CB188" i="10"/>
  <c r="BV188" i="10"/>
  <c r="BW188" i="10"/>
  <c r="CC63" i="10"/>
  <c r="L68" i="10"/>
  <c r="M68" i="10" s="1"/>
  <c r="I20" i="10"/>
  <c r="AH20" i="10"/>
  <c r="BP20" i="10"/>
  <c r="J20" i="10"/>
  <c r="AL20" i="10"/>
  <c r="BX20" i="10"/>
  <c r="Z20" i="10"/>
  <c r="AM20" i="10"/>
  <c r="CF20" i="10" s="1"/>
  <c r="AN20" i="10"/>
  <c r="CG20" i="10" s="1"/>
  <c r="CJ20" i="10"/>
  <c r="AD20" i="10"/>
  <c r="BS20" i="10"/>
  <c r="BN20" i="10"/>
  <c r="CB20" i="10"/>
  <c r="BU20" i="10"/>
  <c r="BW20" i="10"/>
  <c r="BV20" i="10"/>
  <c r="BM20" i="10"/>
  <c r="BJ20" i="10"/>
  <c r="BL20" i="10"/>
  <c r="BY20" i="10"/>
  <c r="BK20" i="10"/>
  <c r="CI20" i="10"/>
  <c r="BT20" i="10"/>
  <c r="BO20" i="10"/>
  <c r="CC71" i="10"/>
  <c r="Z19" i="10"/>
  <c r="AN19" i="10"/>
  <c r="CG19" i="10" s="1"/>
  <c r="BP19" i="10"/>
  <c r="CB19" i="10"/>
  <c r="AD19" i="10"/>
  <c r="BJ19" i="10"/>
  <c r="BT19" i="10"/>
  <c r="AH19" i="10"/>
  <c r="BL19" i="10"/>
  <c r="BV19" i="10"/>
  <c r="CJ19" i="10"/>
  <c r="AL19" i="10"/>
  <c r="BN19" i="10"/>
  <c r="BX19" i="10"/>
  <c r="J19" i="10"/>
  <c r="BU19" i="10"/>
  <c r="AM19" i="10"/>
  <c r="CF19" i="10" s="1"/>
  <c r="BW19" i="10"/>
  <c r="BY19" i="10"/>
  <c r="BK19" i="10"/>
  <c r="CI19" i="10"/>
  <c r="I19" i="10"/>
  <c r="BS19" i="10"/>
  <c r="BO19" i="10"/>
  <c r="BM19" i="10"/>
  <c r="X72" i="10"/>
  <c r="AD72" i="10"/>
  <c r="J72" i="10"/>
  <c r="AH72" i="10"/>
  <c r="V72" i="10"/>
  <c r="Z72" i="10"/>
  <c r="BO18" i="10"/>
  <c r="J18" i="10"/>
  <c r="AH18" i="10"/>
  <c r="BV18" i="10"/>
  <c r="BT18" i="10"/>
  <c r="BP18" i="10"/>
  <c r="BS18" i="10"/>
  <c r="BW18" i="10"/>
  <c r="BM18" i="10"/>
  <c r="AL18" i="10"/>
  <c r="CE18" i="10" s="1"/>
  <c r="CB18" i="10"/>
  <c r="BX18" i="10"/>
  <c r="CI18" i="10"/>
  <c r="BY18" i="10"/>
  <c r="BL18" i="10"/>
  <c r="AM18" i="10"/>
  <c r="CF18" i="10" s="1"/>
  <c r="I18" i="10"/>
  <c r="BU18" i="10"/>
  <c r="Z18" i="10"/>
  <c r="BJ18" i="10"/>
  <c r="AN18" i="10"/>
  <c r="CG18" i="10" s="1"/>
  <c r="CJ18" i="10"/>
  <c r="BK18" i="10"/>
  <c r="AD18" i="10"/>
  <c r="BN18" i="10"/>
  <c r="CC62" i="10"/>
  <c r="L46" i="10"/>
  <c r="M46" i="10" s="1"/>
  <c r="CC47" i="10"/>
  <c r="L65" i="10"/>
  <c r="M65" i="10" s="1"/>
  <c r="CC138" i="10"/>
  <c r="CC132" i="10"/>
  <c r="CC131" i="10"/>
  <c r="CC125" i="10"/>
  <c r="CI344" i="10"/>
  <c r="CC344" i="10"/>
  <c r="Z199" i="10"/>
  <c r="AH199" i="10"/>
  <c r="AD199" i="10"/>
  <c r="BO321" i="10"/>
  <c r="BW321" i="10"/>
  <c r="AH321" i="10"/>
  <c r="BJ321" i="10"/>
  <c r="BP321" i="10"/>
  <c r="CB321" i="10"/>
  <c r="Z321" i="10"/>
  <c r="BK321" i="10"/>
  <c r="BT321" i="10"/>
  <c r="AD321" i="10"/>
  <c r="BL321" i="10"/>
  <c r="BV321" i="10"/>
  <c r="BX321" i="10"/>
  <c r="BM321" i="10"/>
  <c r="BS321" i="10"/>
  <c r="BU321" i="10"/>
  <c r="BN321" i="10"/>
  <c r="BY321" i="10"/>
  <c r="M167" i="10"/>
  <c r="CC167" i="10"/>
  <c r="CC137" i="10"/>
  <c r="AD10" i="10"/>
  <c r="J10" i="10"/>
  <c r="AH10" i="10"/>
  <c r="Z10" i="10"/>
  <c r="L349" i="10"/>
  <c r="M349" i="10" s="1"/>
  <c r="CC339" i="10"/>
  <c r="L348" i="10"/>
  <c r="M348" i="10" s="1"/>
  <c r="CB305" i="10"/>
  <c r="BL305" i="10"/>
  <c r="BW305" i="10"/>
  <c r="BP305" i="10"/>
  <c r="BK305" i="10"/>
  <c r="BJ305" i="10"/>
  <c r="BY305" i="10"/>
  <c r="BT305" i="10"/>
  <c r="Z305" i="10"/>
  <c r="AD305" i="10"/>
  <c r="BV305" i="10"/>
  <c r="BO305" i="10"/>
  <c r="BM305" i="10"/>
  <c r="AH305" i="10"/>
  <c r="BN305" i="10"/>
  <c r="BU305" i="10"/>
  <c r="BX305" i="10"/>
  <c r="BS305" i="10"/>
  <c r="CC177" i="10"/>
  <c r="M177" i="10"/>
  <c r="M247" i="10"/>
  <c r="CC247" i="10"/>
  <c r="CH247" i="10" s="1"/>
  <c r="CC274" i="10"/>
  <c r="CH274" i="10" s="1"/>
  <c r="M274" i="10"/>
  <c r="BK205" i="10"/>
  <c r="BV205" i="10"/>
  <c r="Z205" i="10"/>
  <c r="BO205" i="10"/>
  <c r="AD205" i="10"/>
  <c r="BP205" i="10"/>
  <c r="AH205" i="10"/>
  <c r="BJ205" i="10"/>
  <c r="BT205" i="10"/>
  <c r="BN205" i="10"/>
  <c r="BY205" i="10"/>
  <c r="BW205" i="10"/>
  <c r="BL205" i="10"/>
  <c r="BX205" i="10"/>
  <c r="BM205" i="10"/>
  <c r="BS205" i="10"/>
  <c r="BU205" i="10"/>
  <c r="CB205" i="10"/>
  <c r="M161" i="10"/>
  <c r="CC161" i="10"/>
  <c r="AD6" i="10"/>
  <c r="AH6" i="10"/>
  <c r="J6" i="10"/>
  <c r="Z6" i="10"/>
  <c r="AD330" i="10"/>
  <c r="AH330" i="10"/>
  <c r="Z330" i="10"/>
  <c r="J330" i="10"/>
  <c r="CC338" i="10"/>
  <c r="L345" i="10"/>
  <c r="M345" i="10" s="1"/>
  <c r="Z162" i="10"/>
  <c r="AD162" i="10"/>
  <c r="AH162" i="10"/>
  <c r="BN206" i="10"/>
  <c r="BM206" i="10"/>
  <c r="AD206" i="10"/>
  <c r="BT206" i="10"/>
  <c r="BK206" i="10"/>
  <c r="BX206" i="10"/>
  <c r="BU206" i="10"/>
  <c r="BP206" i="10"/>
  <c r="BL206" i="10"/>
  <c r="AH206" i="10"/>
  <c r="BY206" i="10"/>
  <c r="BJ206" i="10"/>
  <c r="BV206" i="10"/>
  <c r="BW206" i="10"/>
  <c r="CB206" i="10"/>
  <c r="Z206" i="10"/>
  <c r="BS206" i="10"/>
  <c r="BO206" i="10"/>
  <c r="CC246" i="10"/>
  <c r="CH246" i="10" s="1"/>
  <c r="M246" i="10"/>
  <c r="AH200" i="10"/>
  <c r="AD200" i="10"/>
  <c r="Z200" i="10"/>
  <c r="M155" i="10"/>
  <c r="CC155" i="10"/>
  <c r="Z179" i="10"/>
  <c r="BL179" i="10"/>
  <c r="BV179" i="10"/>
  <c r="AD179" i="10"/>
  <c r="BN179" i="10"/>
  <c r="BX179" i="10"/>
  <c r="AH179" i="10"/>
  <c r="BP179" i="10"/>
  <c r="CB179" i="10"/>
  <c r="BT179" i="10"/>
  <c r="BJ179" i="10"/>
  <c r="BU179" i="10"/>
  <c r="BO179" i="10"/>
  <c r="BY179" i="10"/>
  <c r="BS179" i="10"/>
  <c r="BW179" i="10"/>
  <c r="BM179" i="10"/>
  <c r="BK179" i="10"/>
  <c r="AH177" i="10"/>
  <c r="BV177" i="10"/>
  <c r="BL177" i="10"/>
  <c r="CB177" i="10"/>
  <c r="Z177" i="10"/>
  <c r="BN177" i="10"/>
  <c r="AD177" i="10"/>
  <c r="BT177" i="10"/>
  <c r="BS177" i="10"/>
  <c r="BM177" i="10"/>
  <c r="BW177" i="10"/>
  <c r="BP177" i="10"/>
  <c r="BJ177" i="10"/>
  <c r="BU177" i="10"/>
  <c r="BK177" i="10"/>
  <c r="BX177" i="10"/>
  <c r="BO177" i="10"/>
  <c r="BY177" i="10"/>
  <c r="AH289" i="10"/>
  <c r="BP289" i="10"/>
  <c r="BS289" i="10"/>
  <c r="Z289" i="10"/>
  <c r="BX289" i="10"/>
  <c r="AD289" i="10"/>
  <c r="BK289" i="10"/>
  <c r="BN289" i="10"/>
  <c r="BV289" i="10"/>
  <c r="BJ289" i="10"/>
  <c r="BO289" i="10"/>
  <c r="BT289" i="10"/>
  <c r="BM289" i="10"/>
  <c r="BW289" i="10"/>
  <c r="BL289" i="10"/>
  <c r="BY289" i="10"/>
  <c r="CB289" i="10"/>
  <c r="BU289" i="10"/>
  <c r="CC287" i="10"/>
  <c r="M287" i="10"/>
  <c r="M240" i="10"/>
  <c r="CC240" i="10"/>
  <c r="AH196" i="10"/>
  <c r="BJ196" i="10"/>
  <c r="BX196" i="10"/>
  <c r="BN196" i="10"/>
  <c r="Z196" i="10"/>
  <c r="BP196" i="10"/>
  <c r="AD196" i="10"/>
  <c r="BV196" i="10"/>
  <c r="BO196" i="10"/>
  <c r="BL196" i="10"/>
  <c r="BS196" i="10"/>
  <c r="BT196" i="10"/>
  <c r="BY196" i="10"/>
  <c r="BW196" i="10"/>
  <c r="CB196" i="10"/>
  <c r="BU196" i="10"/>
  <c r="BK196" i="10"/>
  <c r="BM196" i="10"/>
  <c r="CC298" i="10"/>
  <c r="CH298" i="10" s="1"/>
  <c r="M298" i="10"/>
  <c r="AH167" i="10"/>
  <c r="BJ167" i="10"/>
  <c r="BT167" i="10"/>
  <c r="BL167" i="10"/>
  <c r="BV167" i="10"/>
  <c r="Z167" i="10"/>
  <c r="BN167" i="10"/>
  <c r="BX167" i="10"/>
  <c r="CB167" i="10"/>
  <c r="BP167" i="10"/>
  <c r="AD167" i="10"/>
  <c r="BS167" i="10"/>
  <c r="BM167" i="10"/>
  <c r="BW167" i="10"/>
  <c r="BU167" i="10"/>
  <c r="BK167" i="10"/>
  <c r="BY167" i="10"/>
  <c r="BO167" i="10"/>
  <c r="AH165" i="10"/>
  <c r="BL165" i="10"/>
  <c r="CB165" i="10"/>
  <c r="Z165" i="10"/>
  <c r="AD165" i="10"/>
  <c r="BS165" i="10"/>
  <c r="BM165" i="10"/>
  <c r="BW165" i="10"/>
  <c r="BP165" i="10"/>
  <c r="BJ165" i="10"/>
  <c r="BT165" i="10"/>
  <c r="BV165" i="10"/>
  <c r="BU165" i="10"/>
  <c r="BK165" i="10"/>
  <c r="BX165" i="10"/>
  <c r="BY165" i="10"/>
  <c r="BO165" i="10"/>
  <c r="BN165" i="10"/>
  <c r="AH285" i="10"/>
  <c r="BV285" i="10"/>
  <c r="Z285" i="10"/>
  <c r="BK285" i="10"/>
  <c r="AD285" i="10"/>
  <c r="BO285" i="10"/>
  <c r="BP285" i="10"/>
  <c r="BN285" i="10"/>
  <c r="BX285" i="10"/>
  <c r="BS285" i="10"/>
  <c r="BM285" i="10"/>
  <c r="CB285" i="10"/>
  <c r="BU285" i="10"/>
  <c r="BW285" i="10"/>
  <c r="BT285" i="10"/>
  <c r="BY285" i="10"/>
  <c r="BL285" i="10"/>
  <c r="BJ285" i="10"/>
  <c r="CC281" i="10"/>
  <c r="M281" i="10"/>
  <c r="M209" i="10"/>
  <c r="CC209" i="10"/>
  <c r="AH213" i="10"/>
  <c r="BJ213" i="10"/>
  <c r="BT213" i="10"/>
  <c r="BK213" i="10"/>
  <c r="BV213" i="10"/>
  <c r="Z213" i="10"/>
  <c r="BO213" i="10"/>
  <c r="AD213" i="10"/>
  <c r="BP213" i="10"/>
  <c r="BS213" i="10"/>
  <c r="BY213" i="10"/>
  <c r="CB213" i="10"/>
  <c r="BN213" i="10"/>
  <c r="BW213" i="10"/>
  <c r="BM213" i="10"/>
  <c r="BL213" i="10"/>
  <c r="BX213" i="10"/>
  <c r="BU213" i="10"/>
  <c r="M314" i="10"/>
  <c r="CC314" i="10"/>
  <c r="M166" i="10"/>
  <c r="CC166" i="10"/>
  <c r="J333" i="10"/>
  <c r="AH333" i="10"/>
  <c r="Z333" i="10"/>
  <c r="AD333" i="10"/>
  <c r="L333" i="10"/>
  <c r="M333" i="10" s="1"/>
  <c r="AH230" i="10"/>
  <c r="Z230" i="10"/>
  <c r="AD230" i="10"/>
  <c r="L328" i="10"/>
  <c r="M328" i="10" s="1"/>
  <c r="AH220" i="10"/>
  <c r="Z220" i="10"/>
  <c r="AD220" i="10"/>
  <c r="AD222" i="10"/>
  <c r="AH222" i="10"/>
  <c r="Z222" i="10"/>
  <c r="AH233" i="10"/>
  <c r="Z233" i="10"/>
  <c r="AD233" i="10"/>
  <c r="L342" i="10"/>
  <c r="M342" i="10" s="1"/>
  <c r="Z153" i="10"/>
  <c r="AD153" i="10"/>
  <c r="AH153" i="10"/>
  <c r="AD239" i="10"/>
  <c r="AH239" i="10"/>
  <c r="Z239" i="10"/>
  <c r="BK319" i="10"/>
  <c r="BT319" i="10"/>
  <c r="Z319" i="10"/>
  <c r="BL319" i="10"/>
  <c r="BV319" i="10"/>
  <c r="AD319" i="10"/>
  <c r="BO319" i="10"/>
  <c r="BW319" i="10"/>
  <c r="CB319" i="10"/>
  <c r="BP319" i="10"/>
  <c r="AH319" i="10"/>
  <c r="BJ319" i="10"/>
  <c r="BY319" i="10"/>
  <c r="BX319" i="10"/>
  <c r="BS319" i="10"/>
  <c r="BM319" i="10"/>
  <c r="BN319" i="10"/>
  <c r="BU319" i="10"/>
  <c r="AH336" i="10"/>
  <c r="AD336" i="10"/>
  <c r="J336" i="10"/>
  <c r="Z336" i="10"/>
  <c r="BS304" i="10"/>
  <c r="BK304" i="10"/>
  <c r="BP304" i="10"/>
  <c r="BX304" i="10"/>
  <c r="BM304" i="10"/>
  <c r="Z304" i="10"/>
  <c r="BO304" i="10"/>
  <c r="BU304" i="10"/>
  <c r="AH304" i="10"/>
  <c r="AD304" i="10"/>
  <c r="BY304" i="10"/>
  <c r="BN304" i="10"/>
  <c r="BV304" i="10"/>
  <c r="BW304" i="10"/>
  <c r="CB304" i="10"/>
  <c r="BT304" i="10"/>
  <c r="BJ304" i="10"/>
  <c r="BL304" i="10"/>
  <c r="AH228" i="10"/>
  <c r="Z228" i="10"/>
  <c r="AD228" i="10"/>
  <c r="Z168" i="10"/>
  <c r="AD168" i="10"/>
  <c r="AH168" i="10"/>
  <c r="AD173" i="10"/>
  <c r="AH173" i="10"/>
  <c r="Z173" i="10"/>
  <c r="BP211" i="10"/>
  <c r="Z211" i="10"/>
  <c r="BJ211" i="10"/>
  <c r="BT211" i="10"/>
  <c r="AD211" i="10"/>
  <c r="BK211" i="10"/>
  <c r="BV211" i="10"/>
  <c r="BO211" i="10"/>
  <c r="AH211" i="10"/>
  <c r="BX211" i="10"/>
  <c r="BM211" i="10"/>
  <c r="CB211" i="10"/>
  <c r="BS211" i="10"/>
  <c r="BU211" i="10"/>
  <c r="BW211" i="10"/>
  <c r="BN211" i="10"/>
  <c r="BY211" i="10"/>
  <c r="BL211" i="10"/>
  <c r="CC334" i="10"/>
  <c r="AD316" i="10"/>
  <c r="BJ316" i="10"/>
  <c r="AH316" i="10"/>
  <c r="BO316" i="10"/>
  <c r="BT316" i="10"/>
  <c r="BS316" i="10"/>
  <c r="BY316" i="10"/>
  <c r="BN316" i="10"/>
  <c r="BM316" i="10"/>
  <c r="BW316" i="10"/>
  <c r="BL316" i="10"/>
  <c r="BX316" i="10"/>
  <c r="BV316" i="10"/>
  <c r="BP316" i="10"/>
  <c r="Z316" i="10"/>
  <c r="BU316" i="10"/>
  <c r="CB316" i="10"/>
  <c r="BK316" i="10"/>
  <c r="AE33" i="1"/>
  <c r="X33" i="10" s="1"/>
  <c r="AE63" i="1"/>
  <c r="P53" i="1"/>
  <c r="BK53" i="10" s="1"/>
  <c r="P347" i="1"/>
  <c r="I347" i="10" s="1"/>
  <c r="P49" i="1"/>
  <c r="BO49" i="10" s="1"/>
  <c r="P237" i="1"/>
  <c r="P48" i="1"/>
  <c r="BK48" i="10" s="1"/>
  <c r="P69" i="1"/>
  <c r="I69" i="10" s="1"/>
  <c r="CD69" i="10" s="1"/>
  <c r="P72" i="1"/>
  <c r="I72" i="10" s="1"/>
  <c r="P70" i="1"/>
  <c r="I70" i="10" s="1"/>
  <c r="P73" i="1"/>
  <c r="BT73" i="10" s="1"/>
  <c r="P65" i="1"/>
  <c r="BS65" i="10" s="1"/>
  <c r="P71" i="1"/>
  <c r="I71" i="10" s="1"/>
  <c r="CD71" i="10" s="1"/>
  <c r="P235" i="1"/>
  <c r="P52" i="1"/>
  <c r="I52" i="10" s="1"/>
  <c r="P130" i="1"/>
  <c r="I130" i="10" s="1"/>
  <c r="CD130" i="10" s="1"/>
  <c r="P55" i="1"/>
  <c r="BJ55" i="10" s="1"/>
  <c r="P66" i="1"/>
  <c r="I66" i="10" s="1"/>
  <c r="P51" i="1"/>
  <c r="AM51" i="10" s="1"/>
  <c r="CF51" i="10" s="1"/>
  <c r="P133" i="1"/>
  <c r="BL133" i="10" s="1"/>
  <c r="P57" i="1"/>
  <c r="P128" i="1"/>
  <c r="I128" i="10" s="1"/>
  <c r="CD128" i="10" s="1"/>
  <c r="P131" i="1"/>
  <c r="AN131" i="10" s="1"/>
  <c r="CG131" i="10" s="1"/>
  <c r="P201" i="1"/>
  <c r="P221" i="1"/>
  <c r="P220" i="1"/>
  <c r="P219" i="1"/>
  <c r="P229" i="1"/>
  <c r="P101" i="1"/>
  <c r="I101" i="10" s="1"/>
  <c r="P63" i="1"/>
  <c r="AL63" i="10" s="1"/>
  <c r="P173" i="1"/>
  <c r="P26" i="1"/>
  <c r="BS26" i="10" s="1"/>
  <c r="P135" i="1"/>
  <c r="BO135" i="10" s="1"/>
  <c r="P89" i="1"/>
  <c r="AM89" i="10" s="1"/>
  <c r="CF89" i="10" s="1"/>
  <c r="P14" i="1"/>
  <c r="BW14" i="10" s="1"/>
  <c r="P7" i="1"/>
  <c r="BY7" i="10" s="1"/>
  <c r="P78" i="1"/>
  <c r="I78" i="10" s="1"/>
  <c r="P102" i="1"/>
  <c r="BW102" i="10" s="1"/>
  <c r="P129" i="1"/>
  <c r="BT129" i="10" s="1"/>
  <c r="P76" i="1"/>
  <c r="I76" i="10" s="1"/>
  <c r="P91" i="1"/>
  <c r="P84" i="1"/>
  <c r="I84" i="10" s="1"/>
  <c r="P97" i="1"/>
  <c r="BV97" i="10" s="1"/>
  <c r="P50" i="1"/>
  <c r="BN50" i="10" s="1"/>
  <c r="P22" i="1"/>
  <c r="P27" i="1"/>
  <c r="I27" i="10" s="1"/>
  <c r="CD27" i="10" s="1"/>
  <c r="P82" i="1"/>
  <c r="BU82" i="10" s="1"/>
  <c r="P68" i="1"/>
  <c r="I68" i="10" s="1"/>
  <c r="P330" i="1"/>
  <c r="AM330" i="10" s="1"/>
  <c r="CF330" i="10" s="1"/>
  <c r="P224" i="1"/>
  <c r="P238" i="1"/>
  <c r="P216" i="1"/>
  <c r="P336" i="1"/>
  <c r="AN336" i="10" s="1"/>
  <c r="CG336" i="10" s="1"/>
  <c r="P329" i="1"/>
  <c r="CJ329" i="10" s="1"/>
  <c r="X6" i="10"/>
  <c r="L5" i="10"/>
  <c r="M5" i="10" s="1"/>
  <c r="AE5" i="1"/>
  <c r="X5" i="10" s="1"/>
  <c r="AE92" i="1"/>
  <c r="X92" i="10" s="1"/>
  <c r="AE25" i="1"/>
  <c r="X25" i="10" s="1"/>
  <c r="AE105" i="1"/>
  <c r="P25" i="1"/>
  <c r="I25" i="10" s="1"/>
  <c r="AE26" i="1"/>
  <c r="AE8" i="1"/>
  <c r="AE76" i="1"/>
  <c r="X76" i="10" s="1"/>
  <c r="AE84" i="1"/>
  <c r="X84" i="10" s="1"/>
  <c r="AE135" i="1"/>
  <c r="P127" i="1"/>
  <c r="I127" i="10" s="1"/>
  <c r="AE68" i="1"/>
  <c r="AE46" i="1"/>
  <c r="X46" i="10" s="1"/>
  <c r="U348" i="10"/>
  <c r="X333" i="10"/>
  <c r="X332" i="10"/>
  <c r="X326" i="10"/>
  <c r="P170" i="1"/>
  <c r="P164" i="1"/>
  <c r="P42" i="1"/>
  <c r="BU42" i="10" s="1"/>
  <c r="P23" i="1"/>
  <c r="I23" i="10" s="1"/>
  <c r="AE124" i="1"/>
  <c r="V124" i="10" s="1"/>
  <c r="AE15" i="1"/>
  <c r="V15" i="10" s="1"/>
  <c r="AE32" i="1"/>
  <c r="X32" i="10" s="1"/>
  <c r="P16" i="1"/>
  <c r="BM16" i="10" s="1"/>
  <c r="AE77" i="1"/>
  <c r="AE23" i="1"/>
  <c r="P343" i="1"/>
  <c r="I343" i="10" s="1"/>
  <c r="P234" i="1"/>
  <c r="P335" i="1"/>
  <c r="I335" i="10" s="1"/>
  <c r="P93" i="1"/>
  <c r="I93" i="10" s="1"/>
  <c r="CD93" i="10" s="1"/>
  <c r="AE74" i="1"/>
  <c r="AE30" i="1"/>
  <c r="X30" i="10" s="1"/>
  <c r="AE34" i="1"/>
  <c r="W34" i="10" s="1"/>
  <c r="BD34" i="10" s="1"/>
  <c r="AE121" i="1"/>
  <c r="P74" i="1"/>
  <c r="P199" i="1"/>
  <c r="AE93" i="1"/>
  <c r="AE24" i="1"/>
  <c r="V24" i="10" s="1"/>
  <c r="P58" i="1"/>
  <c r="CB58" i="10" s="1"/>
  <c r="AE67" i="1"/>
  <c r="P6" i="1"/>
  <c r="AN6" i="10" s="1"/>
  <c r="CG6" i="10" s="1"/>
  <c r="P98" i="1"/>
  <c r="BM98" i="10" s="1"/>
  <c r="AE42" i="1"/>
  <c r="AE131" i="1"/>
  <c r="X131" i="10" s="1"/>
  <c r="AE130" i="1"/>
  <c r="X130" i="10" s="1"/>
  <c r="AE140" i="1"/>
  <c r="X346" i="10"/>
  <c r="AE89" i="1"/>
  <c r="X89" i="10" s="1"/>
  <c r="P60" i="1"/>
  <c r="BW60" i="10" s="1"/>
  <c r="P153" i="1"/>
  <c r="P228" i="1"/>
  <c r="V331" i="10"/>
  <c r="P225" i="1"/>
  <c r="P218" i="1"/>
  <c r="X335" i="10"/>
  <c r="AE123" i="1"/>
  <c r="P28" i="1"/>
  <c r="AM28" i="10" s="1"/>
  <c r="CF28" i="10" s="1"/>
  <c r="P83" i="1"/>
  <c r="I83" i="10" s="1"/>
  <c r="CD83" i="10" s="1"/>
  <c r="P79" i="1"/>
  <c r="CJ79" i="10" s="1"/>
  <c r="P105" i="1"/>
  <c r="P81" i="1"/>
  <c r="BK81" i="10" s="1"/>
  <c r="P154" i="1"/>
  <c r="P140" i="1"/>
  <c r="I140" i="10" s="1"/>
  <c r="CD140" i="10" s="1"/>
  <c r="AE41" i="1"/>
  <c r="U41" i="10" s="1"/>
  <c r="AE120" i="1"/>
  <c r="X120" i="10" s="1"/>
  <c r="P88" i="1"/>
  <c r="BO88" i="10" s="1"/>
  <c r="P5" i="1"/>
  <c r="CB5" i="10" s="1"/>
  <c r="AE39" i="1"/>
  <c r="Y39" i="10" s="1"/>
  <c r="P86" i="1"/>
  <c r="I86" i="10" s="1"/>
  <c r="AE18" i="1"/>
  <c r="Y18" i="10" s="1"/>
  <c r="AE85" i="1"/>
  <c r="X85" i="10" s="1"/>
  <c r="AE48" i="1"/>
  <c r="AE45" i="1"/>
  <c r="X10" i="10"/>
  <c r="P8" i="1"/>
  <c r="BM8" i="10" s="1"/>
  <c r="P106" i="1"/>
  <c r="P136" i="1"/>
  <c r="CJ136" i="10" s="1"/>
  <c r="AE83" i="1"/>
  <c r="X83" i="10" s="1"/>
  <c r="AE79" i="1"/>
  <c r="V79" i="10" s="1"/>
  <c r="P96" i="1"/>
  <c r="AE29" i="1"/>
  <c r="U29" i="10" s="1"/>
  <c r="AE78" i="1"/>
  <c r="AE37" i="1"/>
  <c r="V37" i="10" s="1"/>
  <c r="AE75" i="1"/>
  <c r="AE133" i="1"/>
  <c r="P9" i="1"/>
  <c r="BP9" i="10" s="1"/>
  <c r="AE101" i="1"/>
  <c r="P87" i="1"/>
  <c r="AE19" i="1"/>
  <c r="U19" i="10" s="1"/>
  <c r="AE88" i="1"/>
  <c r="AE20" i="1"/>
  <c r="Y20" i="10" s="1"/>
  <c r="P43" i="1"/>
  <c r="I43" i="10" s="1"/>
  <c r="X12" i="10"/>
  <c r="P46" i="1"/>
  <c r="BN46" i="10" s="1"/>
  <c r="P59" i="1"/>
  <c r="I59" i="10" s="1"/>
  <c r="P64" i="1"/>
  <c r="I64" i="10" s="1"/>
  <c r="AE50" i="1"/>
  <c r="X50" i="10" s="1"/>
  <c r="AE69" i="1"/>
  <c r="X69" i="10" s="1"/>
  <c r="P132" i="1"/>
  <c r="I132" i="10" s="1"/>
  <c r="CD132" i="10" s="1"/>
  <c r="AE338" i="1"/>
  <c r="W338" i="10" s="1"/>
  <c r="BD338" i="10" s="1"/>
  <c r="W337" i="10"/>
  <c r="BD337" i="10" s="1"/>
  <c r="P56" i="1"/>
  <c r="BM56" i="10" s="1"/>
  <c r="P54" i="1"/>
  <c r="CB54" i="10" s="1"/>
  <c r="AE43" i="1"/>
  <c r="W43" i="10" s="1"/>
  <c r="BD43" i="10" s="1"/>
  <c r="P124" i="1"/>
  <c r="I124" i="10" s="1"/>
  <c r="CD124" i="10" s="1"/>
  <c r="AE127" i="1"/>
  <c r="X127" i="10" s="1"/>
  <c r="AE126" i="1"/>
  <c r="AE136" i="1"/>
  <c r="AE340" i="1"/>
  <c r="X340" i="10" s="1"/>
  <c r="AE132" i="1"/>
  <c r="P327" i="1"/>
  <c r="I327" i="10" s="1"/>
  <c r="W330" i="10"/>
  <c r="BD330" i="10" s="1"/>
  <c r="P121" i="1"/>
  <c r="BM121" i="10" s="1"/>
  <c r="U13" i="10"/>
  <c r="P233" i="1"/>
  <c r="P214" i="1"/>
  <c r="P226" i="1"/>
  <c r="W351" i="10"/>
  <c r="BD351" i="10" s="1"/>
  <c r="AE81" i="1"/>
  <c r="AE31" i="1"/>
  <c r="W31" i="10" s="1"/>
  <c r="BD31" i="10" s="1"/>
  <c r="AE36" i="1"/>
  <c r="V36" i="10" s="1"/>
  <c r="AE16" i="1"/>
  <c r="AE129" i="1"/>
  <c r="V129" i="10" s="1"/>
  <c r="AE349" i="1"/>
  <c r="V349" i="10" s="1"/>
  <c r="P95" i="1"/>
  <c r="AM95" i="10" s="1"/>
  <c r="CF95" i="10" s="1"/>
  <c r="P80" i="1"/>
  <c r="BJ80" i="10" s="1"/>
  <c r="P200" i="1"/>
  <c r="P12" i="1"/>
  <c r="AE44" i="1"/>
  <c r="AE141" i="1"/>
  <c r="V141" i="10" s="1"/>
  <c r="P123" i="1"/>
  <c r="CJ123" i="10" s="1"/>
  <c r="J5" i="10"/>
  <c r="AD5" i="10"/>
  <c r="AH5" i="10"/>
  <c r="Z5" i="10"/>
  <c r="AE90" i="1"/>
  <c r="P10" i="1"/>
  <c r="I10" i="10" s="1"/>
  <c r="P62" i="1"/>
  <c r="I62" i="10" s="1"/>
  <c r="P44" i="1"/>
  <c r="BL44" i="10" s="1"/>
  <c r="X339" i="10"/>
  <c r="P99" i="1"/>
  <c r="I99" i="10" s="1"/>
  <c r="AE87" i="1"/>
  <c r="P30" i="1"/>
  <c r="P77" i="1"/>
  <c r="I77" i="10" s="1"/>
  <c r="CD77" i="10" s="1"/>
  <c r="AE86" i="1"/>
  <c r="Y86" i="10" s="1"/>
  <c r="P45" i="1"/>
  <c r="I45" i="10" s="1"/>
  <c r="AE94" i="1"/>
  <c r="P67" i="1"/>
  <c r="BO67" i="10" s="1"/>
  <c r="P122" i="1"/>
  <c r="CB122" i="10" s="1"/>
  <c r="AE49" i="1"/>
  <c r="P126" i="1"/>
  <c r="I126" i="10" s="1"/>
  <c r="CD126" i="10" s="1"/>
  <c r="P141" i="1"/>
  <c r="BY141" i="10" s="1"/>
  <c r="Y350" i="10"/>
  <c r="V344" i="10"/>
  <c r="AE341" i="1"/>
  <c r="W341" i="10" s="1"/>
  <c r="BD341" i="10" s="1"/>
  <c r="P230" i="1"/>
  <c r="P328" i="1"/>
  <c r="AL328" i="10" s="1"/>
  <c r="P332" i="1"/>
  <c r="BP332" i="10" s="1"/>
  <c r="P342" i="1"/>
  <c r="BV342" i="10" s="1"/>
  <c r="P168" i="1"/>
  <c r="P334" i="1"/>
  <c r="BT334" i="10" s="1"/>
  <c r="P174" i="1"/>
  <c r="P212" i="1"/>
  <c r="AE128" i="1"/>
  <c r="P217" i="1"/>
  <c r="AE22" i="1"/>
  <c r="V22" i="10" s="1"/>
  <c r="AE17" i="1"/>
  <c r="AE122" i="1"/>
  <c r="AE91" i="1"/>
  <c r="P90" i="1"/>
  <c r="AM90" i="10" s="1"/>
  <c r="CF90" i="10" s="1"/>
  <c r="P15" i="1"/>
  <c r="I15" i="10" s="1"/>
  <c r="CC5" i="10"/>
  <c r="AE27" i="1"/>
  <c r="P120" i="1"/>
  <c r="AM120" i="10" s="1"/>
  <c r="CF120" i="10" s="1"/>
  <c r="AE35" i="1"/>
  <c r="U35" i="10" s="1"/>
  <c r="P75" i="1"/>
  <c r="P155" i="1"/>
  <c r="AE28" i="1"/>
  <c r="V28" i="10" s="1"/>
  <c r="P85" i="1"/>
  <c r="BL85" i="10" s="1"/>
  <c r="P92" i="1"/>
  <c r="I92" i="10" s="1"/>
  <c r="AE106" i="1"/>
  <c r="AE9" i="1"/>
  <c r="P162" i="1"/>
  <c r="AE38" i="1"/>
  <c r="Y38" i="10" s="1"/>
  <c r="AE40" i="1"/>
  <c r="V40" i="10" s="1"/>
  <c r="AE21" i="1"/>
  <c r="W21" i="10" s="1"/>
  <c r="BD21" i="10" s="1"/>
  <c r="AE51" i="1"/>
  <c r="X51" i="10" s="1"/>
  <c r="AE134" i="1"/>
  <c r="P61" i="1"/>
  <c r="I61" i="10" s="1"/>
  <c r="AE66" i="1"/>
  <c r="X66" i="10" s="1"/>
  <c r="P333" i="1"/>
  <c r="I333" i="10" s="1"/>
  <c r="P222" i="1"/>
  <c r="P223" i="1"/>
  <c r="P239" i="1"/>
  <c r="Y93" i="10" l="1"/>
  <c r="O22" i="10"/>
  <c r="CL22" i="10" s="1"/>
  <c r="BC137" i="10"/>
  <c r="N32" i="10"/>
  <c r="N37" i="10"/>
  <c r="N346" i="10"/>
  <c r="N18" i="10"/>
  <c r="BF139" i="10"/>
  <c r="AX18" i="10"/>
  <c r="O125" i="10"/>
  <c r="AZ125" i="10" s="1"/>
  <c r="O29" i="10"/>
  <c r="AS29" i="10" s="1"/>
  <c r="BE11" i="10"/>
  <c r="BC139" i="10"/>
  <c r="N119" i="10"/>
  <c r="N103" i="10"/>
  <c r="N34" i="10"/>
  <c r="BF125" i="10"/>
  <c r="BC138" i="10"/>
  <c r="AV346" i="10"/>
  <c r="N19" i="10"/>
  <c r="AY18" i="10"/>
  <c r="BE139" i="10"/>
  <c r="O331" i="10"/>
  <c r="AP331" i="10" s="1"/>
  <c r="AO47" i="10"/>
  <c r="AO104" i="10"/>
  <c r="N109" i="10"/>
  <c r="AS18" i="10"/>
  <c r="AO21" i="10"/>
  <c r="AX41" i="10"/>
  <c r="BG119" i="10"/>
  <c r="K134" i="10"/>
  <c r="AV119" i="10"/>
  <c r="AY119" i="10"/>
  <c r="AP346" i="10"/>
  <c r="AU18" i="10"/>
  <c r="N17" i="10"/>
  <c r="BF111" i="10"/>
  <c r="O104" i="10"/>
  <c r="AV104" i="10" s="1"/>
  <c r="AU346" i="10"/>
  <c r="AP18" i="10"/>
  <c r="BE111" i="10"/>
  <c r="AQ103" i="10"/>
  <c r="AV103" i="10"/>
  <c r="AP19" i="10"/>
  <c r="AQ19" i="10"/>
  <c r="AZ19" i="10"/>
  <c r="AW19" i="10"/>
  <c r="AS19" i="10"/>
  <c r="AX19" i="10"/>
  <c r="W26" i="10"/>
  <c r="BD26" i="10" s="1"/>
  <c r="K13" i="10"/>
  <c r="AZ119" i="10"/>
  <c r="AO116" i="10"/>
  <c r="BC11" i="10"/>
  <c r="AV18" i="10"/>
  <c r="AW18" i="10"/>
  <c r="AQ18" i="10"/>
  <c r="AL88" i="10"/>
  <c r="CE88" i="10" s="1"/>
  <c r="CI73" i="10"/>
  <c r="AO115" i="10"/>
  <c r="W44" i="10"/>
  <c r="BD44" i="10" s="1"/>
  <c r="Y133" i="10"/>
  <c r="BG133" i="10" s="1"/>
  <c r="Y140" i="10"/>
  <c r="BF140" i="10" s="1"/>
  <c r="AY34" i="10"/>
  <c r="Y334" i="10"/>
  <c r="BE334" i="10" s="1"/>
  <c r="U347" i="10"/>
  <c r="BN333" i="10"/>
  <c r="AO137" i="10"/>
  <c r="AR119" i="10"/>
  <c r="BF11" i="10"/>
  <c r="AR18" i="10"/>
  <c r="AU34" i="10"/>
  <c r="K116" i="10"/>
  <c r="Y9" i="10"/>
  <c r="BG9" i="10" s="1"/>
  <c r="W328" i="10"/>
  <c r="BD328" i="10" s="1"/>
  <c r="Y45" i="10"/>
  <c r="BC45" i="10" s="1"/>
  <c r="Y327" i="10"/>
  <c r="BF327" i="10" s="1"/>
  <c r="BF137" i="10"/>
  <c r="BC125" i="10"/>
  <c r="AQ119" i="10"/>
  <c r="AW119" i="10"/>
  <c r="BF116" i="10"/>
  <c r="BG116" i="10"/>
  <c r="AR346" i="10"/>
  <c r="AQ346" i="10"/>
  <c r="BJ59" i="10"/>
  <c r="BE104" i="10"/>
  <c r="BE125" i="10"/>
  <c r="AU119" i="10"/>
  <c r="AP119" i="10"/>
  <c r="AS119" i="10"/>
  <c r="BC116" i="10"/>
  <c r="BW126" i="10"/>
  <c r="AZ346" i="10"/>
  <c r="AS346" i="10"/>
  <c r="AY346" i="10"/>
  <c r="BC104" i="10"/>
  <c r="BX26" i="10"/>
  <c r="BW52" i="10"/>
  <c r="BV6" i="10"/>
  <c r="BE137" i="10"/>
  <c r="AO125" i="10"/>
  <c r="BW51" i="10"/>
  <c r="AX119" i="10"/>
  <c r="AO341" i="10"/>
  <c r="CI15" i="10"/>
  <c r="Y62" i="10"/>
  <c r="BE62" i="10" s="1"/>
  <c r="AX346" i="10"/>
  <c r="AL68" i="10"/>
  <c r="CE68" i="10" s="1"/>
  <c r="BF104" i="10"/>
  <c r="BQ117" i="10"/>
  <c r="AQ109" i="10"/>
  <c r="AR109" i="10"/>
  <c r="AW109" i="10"/>
  <c r="AP17" i="10"/>
  <c r="AX17" i="10"/>
  <c r="AS17" i="10"/>
  <c r="AV17" i="10"/>
  <c r="BN129" i="10"/>
  <c r="U122" i="10"/>
  <c r="W101" i="10"/>
  <c r="BD101" i="10" s="1"/>
  <c r="AS41" i="10"/>
  <c r="AY41" i="10"/>
  <c r="BY132" i="10"/>
  <c r="CI127" i="10"/>
  <c r="BN140" i="10"/>
  <c r="CB130" i="10"/>
  <c r="BJ133" i="10"/>
  <c r="BJ347" i="10"/>
  <c r="V34" i="10"/>
  <c r="AM68" i="10"/>
  <c r="CF68" i="10" s="1"/>
  <c r="BJ54" i="10"/>
  <c r="AN88" i="10"/>
  <c r="CG88" i="10" s="1"/>
  <c r="X57" i="10"/>
  <c r="AS34" i="10"/>
  <c r="AW34" i="10"/>
  <c r="BT65" i="10"/>
  <c r="W126" i="10"/>
  <c r="BD126" i="10" s="1"/>
  <c r="U23" i="10"/>
  <c r="U78" i="10"/>
  <c r="Y42" i="10"/>
  <c r="BF42" i="10" s="1"/>
  <c r="U26" i="10"/>
  <c r="BW333" i="10"/>
  <c r="BS6" i="10"/>
  <c r="BC47" i="10"/>
  <c r="X18" i="10"/>
  <c r="Y51" i="10"/>
  <c r="BG51" i="10" s="1"/>
  <c r="X93" i="10"/>
  <c r="W93" i="10"/>
  <c r="BD93" i="10" s="1"/>
  <c r="BN127" i="10"/>
  <c r="BY76" i="10"/>
  <c r="X55" i="10"/>
  <c r="BY69" i="10"/>
  <c r="BK54" i="10"/>
  <c r="AM62" i="10"/>
  <c r="CF62" i="10" s="1"/>
  <c r="AO11" i="10"/>
  <c r="AP34" i="10"/>
  <c r="AZ34" i="10"/>
  <c r="AR34" i="10"/>
  <c r="AO94" i="10"/>
  <c r="BM80" i="10"/>
  <c r="W336" i="10"/>
  <c r="BD336" i="10" s="1"/>
  <c r="W343" i="10"/>
  <c r="BD343" i="10" s="1"/>
  <c r="U63" i="10"/>
  <c r="U37" i="10"/>
  <c r="Y37" i="10"/>
  <c r="BE37" i="10" s="1"/>
  <c r="AV41" i="10"/>
  <c r="BY50" i="10"/>
  <c r="BY45" i="10"/>
  <c r="AL45" i="10"/>
  <c r="CE45" i="10" s="1"/>
  <c r="BW132" i="10"/>
  <c r="BV76" i="10"/>
  <c r="BJ83" i="10"/>
  <c r="W83" i="10"/>
  <c r="BD83" i="10" s="1"/>
  <c r="BS92" i="10"/>
  <c r="CJ133" i="10"/>
  <c r="BX347" i="10"/>
  <c r="BX327" i="10"/>
  <c r="AM59" i="10"/>
  <c r="CF59" i="10" s="1"/>
  <c r="BK62" i="10"/>
  <c r="CB131" i="10"/>
  <c r="AQ34" i="10"/>
  <c r="AL8" i="10"/>
  <c r="CE8" i="10" s="1"/>
  <c r="AM53" i="10"/>
  <c r="CF53" i="10" s="1"/>
  <c r="CB14" i="10"/>
  <c r="AU19" i="10"/>
  <c r="AV19" i="10"/>
  <c r="AO340" i="10"/>
  <c r="K137" i="10"/>
  <c r="AZ32" i="10"/>
  <c r="AO103" i="10"/>
  <c r="BQ195" i="10"/>
  <c r="AO36" i="10"/>
  <c r="K118" i="10"/>
  <c r="BE119" i="10"/>
  <c r="AZ41" i="10"/>
  <c r="AW41" i="10"/>
  <c r="AQ41" i="10"/>
  <c r="BF119" i="10"/>
  <c r="K33" i="10"/>
  <c r="AO344" i="10"/>
  <c r="AP41" i="10"/>
  <c r="AR41" i="10"/>
  <c r="K114" i="10"/>
  <c r="K34" i="10"/>
  <c r="AU109" i="10"/>
  <c r="AR19" i="10"/>
  <c r="AY19" i="10"/>
  <c r="BW124" i="10"/>
  <c r="BS84" i="10"/>
  <c r="Y25" i="10"/>
  <c r="BG25" i="10" s="1"/>
  <c r="BN66" i="10"/>
  <c r="CI66" i="10"/>
  <c r="BQ34" i="10"/>
  <c r="BW86" i="10"/>
  <c r="Y27" i="10"/>
  <c r="BE27" i="10" s="1"/>
  <c r="Y74" i="10"/>
  <c r="BG74" i="10" s="1"/>
  <c r="U68" i="10"/>
  <c r="W105" i="10"/>
  <c r="BD105" i="10" s="1"/>
  <c r="V336" i="10"/>
  <c r="BU333" i="10"/>
  <c r="AL333" i="10"/>
  <c r="CE333" i="10" s="1"/>
  <c r="BQ285" i="10"/>
  <c r="BY6" i="10"/>
  <c r="BL10" i="10"/>
  <c r="BW10" i="10"/>
  <c r="BG138" i="10"/>
  <c r="BE47" i="10"/>
  <c r="CI51" i="10"/>
  <c r="BK70" i="10"/>
  <c r="BL70" i="10"/>
  <c r="BX99" i="10"/>
  <c r="BT99" i="10"/>
  <c r="Y61" i="10"/>
  <c r="BE61" i="10" s="1"/>
  <c r="BS50" i="10"/>
  <c r="V78" i="10"/>
  <c r="CI58" i="10"/>
  <c r="BL58" i="10"/>
  <c r="AR103" i="10"/>
  <c r="AL93" i="10"/>
  <c r="CE93" i="10" s="1"/>
  <c r="AN93" i="10"/>
  <c r="CG93" i="10" s="1"/>
  <c r="U93" i="10"/>
  <c r="AO111" i="10"/>
  <c r="BO45" i="10"/>
  <c r="BT45" i="10"/>
  <c r="BU127" i="10"/>
  <c r="V140" i="10"/>
  <c r="BV124" i="10"/>
  <c r="BP130" i="10"/>
  <c r="BV84" i="10"/>
  <c r="AM84" i="10"/>
  <c r="CF84" i="10" s="1"/>
  <c r="BS126" i="10"/>
  <c r="BT126" i="10"/>
  <c r="U335" i="10"/>
  <c r="BT335" i="10"/>
  <c r="CJ335" i="10"/>
  <c r="BL15" i="10"/>
  <c r="U25" i="10"/>
  <c r="CJ25" i="10"/>
  <c r="K35" i="10"/>
  <c r="CI92" i="10"/>
  <c r="V92" i="10"/>
  <c r="BO133" i="10"/>
  <c r="O83" i="10"/>
  <c r="CL83" i="10" s="1"/>
  <c r="AL66" i="10"/>
  <c r="CE66" i="10" s="1"/>
  <c r="CJ66" i="10"/>
  <c r="BS347" i="10"/>
  <c r="BL347" i="10"/>
  <c r="BV327" i="10"/>
  <c r="BY9" i="10"/>
  <c r="AO346" i="10"/>
  <c r="BP68" i="10"/>
  <c r="AL69" i="10"/>
  <c r="CE69" i="10" s="1"/>
  <c r="AN69" i="10"/>
  <c r="CG69" i="10" s="1"/>
  <c r="V60" i="10"/>
  <c r="BM59" i="10"/>
  <c r="AN59" i="10"/>
  <c r="CG59" i="10" s="1"/>
  <c r="X59" i="10"/>
  <c r="AO35" i="10"/>
  <c r="X29" i="10"/>
  <c r="AL62" i="10"/>
  <c r="CB52" i="10"/>
  <c r="AO18" i="10"/>
  <c r="BM85" i="10"/>
  <c r="AL85" i="10"/>
  <c r="CE85" i="10" s="1"/>
  <c r="AN85" i="10"/>
  <c r="CG85" i="10" s="1"/>
  <c r="BJ131" i="10"/>
  <c r="BL131" i="10"/>
  <c r="CB27" i="10"/>
  <c r="AS109" i="10"/>
  <c r="AV109" i="10"/>
  <c r="AP109" i="10"/>
  <c r="BJ128" i="10"/>
  <c r="CJ128" i="10"/>
  <c r="CB81" i="10"/>
  <c r="K138" i="10"/>
  <c r="BL7" i="10"/>
  <c r="Y56" i="10"/>
  <c r="BG56" i="10" s="1"/>
  <c r="BV44" i="10"/>
  <c r="AQ17" i="10"/>
  <c r="AU17" i="10"/>
  <c r="AZ17" i="10"/>
  <c r="BT23" i="10"/>
  <c r="CI65" i="10"/>
  <c r="BN53" i="10"/>
  <c r="BQ184" i="10"/>
  <c r="AN10" i="10"/>
  <c r="CG10" i="10" s="1"/>
  <c r="V19" i="10"/>
  <c r="U140" i="10"/>
  <c r="CI124" i="10"/>
  <c r="V84" i="10"/>
  <c r="AL120" i="10"/>
  <c r="CE120" i="10" s="1"/>
  <c r="BN95" i="10"/>
  <c r="W128" i="10"/>
  <c r="BD128" i="10" s="1"/>
  <c r="Y15" i="10"/>
  <c r="BC15" i="10" s="1"/>
  <c r="W333" i="10"/>
  <c r="BD333" i="10" s="1"/>
  <c r="BQ304" i="10"/>
  <c r="BL333" i="10"/>
  <c r="AO338" i="10"/>
  <c r="BN6" i="10"/>
  <c r="BJ10" i="10"/>
  <c r="BF138" i="10"/>
  <c r="BG47" i="10"/>
  <c r="V20" i="10"/>
  <c r="Y13" i="10"/>
  <c r="BC13" i="10" s="1"/>
  <c r="U51" i="10"/>
  <c r="BV70" i="10"/>
  <c r="BT70" i="10"/>
  <c r="U350" i="10"/>
  <c r="W50" i="10"/>
  <c r="BD50" i="10" s="1"/>
  <c r="CJ50" i="10"/>
  <c r="W64" i="10"/>
  <c r="BD64" i="10" s="1"/>
  <c r="BV58" i="10"/>
  <c r="BT58" i="10"/>
  <c r="AZ103" i="10"/>
  <c r="AY103" i="10"/>
  <c r="BV93" i="10"/>
  <c r="BX132" i="10"/>
  <c r="CJ132" i="10"/>
  <c r="BS127" i="10"/>
  <c r="BY127" i="10"/>
  <c r="BL140" i="10"/>
  <c r="BX124" i="10"/>
  <c r="BU124" i="10"/>
  <c r="BV130" i="10"/>
  <c r="BO130" i="10"/>
  <c r="CI84" i="10"/>
  <c r="BN76" i="10"/>
  <c r="BX126" i="10"/>
  <c r="BN83" i="10"/>
  <c r="BX83" i="10"/>
  <c r="BM83" i="10"/>
  <c r="BM335" i="10"/>
  <c r="BV15" i="10"/>
  <c r="BT25" i="10"/>
  <c r="W25" i="10"/>
  <c r="BD25" i="10" s="1"/>
  <c r="Y52" i="10"/>
  <c r="BG52" i="10" s="1"/>
  <c r="BJ92" i="10"/>
  <c r="BX133" i="10"/>
  <c r="W133" i="10"/>
  <c r="BD133" i="10" s="1"/>
  <c r="BV66" i="10"/>
  <c r="CB66" i="10"/>
  <c r="W326" i="10"/>
  <c r="BD326" i="10" s="1"/>
  <c r="BK347" i="10"/>
  <c r="AO337" i="10"/>
  <c r="CI327" i="10"/>
  <c r="BJ9" i="10"/>
  <c r="BN69" i="10"/>
  <c r="AM69" i="10"/>
  <c r="CF69" i="10" s="1"/>
  <c r="U59" i="10"/>
  <c r="AL59" i="10"/>
  <c r="BM54" i="10"/>
  <c r="BL54" i="10"/>
  <c r="BL26" i="10"/>
  <c r="W29" i="10"/>
  <c r="BD29" i="10" s="1"/>
  <c r="BO62" i="10"/>
  <c r="BJ62" i="10"/>
  <c r="CB62" i="10"/>
  <c r="BL52" i="10"/>
  <c r="K112" i="10"/>
  <c r="W97" i="10"/>
  <c r="BD97" i="10" s="1"/>
  <c r="BP85" i="10"/>
  <c r="CJ85" i="10"/>
  <c r="Y131" i="10"/>
  <c r="BG131" i="10" s="1"/>
  <c r="U131" i="10"/>
  <c r="CI27" i="10"/>
  <c r="BT27" i="10"/>
  <c r="V86" i="10"/>
  <c r="W86" i="10"/>
  <c r="BD86" i="10" s="1"/>
  <c r="AY109" i="10"/>
  <c r="AX109" i="10"/>
  <c r="BC109" i="10"/>
  <c r="W96" i="10"/>
  <c r="BD96" i="10" s="1"/>
  <c r="BS128" i="10"/>
  <c r="U128" i="10"/>
  <c r="Y120" i="10"/>
  <c r="BF120" i="10" s="1"/>
  <c r="BJ88" i="10"/>
  <c r="U346" i="10"/>
  <c r="W346" i="10"/>
  <c r="BD346" i="10" s="1"/>
  <c r="BM130" i="10"/>
  <c r="W63" i="10"/>
  <c r="BD63" i="10" s="1"/>
  <c r="BX56" i="10"/>
  <c r="AY17" i="10"/>
  <c r="AR17" i="10"/>
  <c r="AN90" i="10"/>
  <c r="CG90" i="10" s="1"/>
  <c r="BJ121" i="10"/>
  <c r="AM121" i="10"/>
  <c r="CF121" i="10" s="1"/>
  <c r="K104" i="10"/>
  <c r="BK122" i="10"/>
  <c r="CI46" i="10"/>
  <c r="U30" i="10"/>
  <c r="BX48" i="10"/>
  <c r="X351" i="10"/>
  <c r="V351" i="10"/>
  <c r="U328" i="10"/>
  <c r="BQ207" i="10"/>
  <c r="BK102" i="10"/>
  <c r="BQ139" i="10"/>
  <c r="BQ137" i="10"/>
  <c r="BS80" i="10"/>
  <c r="CB129" i="10"/>
  <c r="X336" i="10"/>
  <c r="X19" i="10"/>
  <c r="V50" i="10"/>
  <c r="BY84" i="10"/>
  <c r="V133" i="10"/>
  <c r="BY128" i="10"/>
  <c r="BJ120" i="10"/>
  <c r="Y126" i="10"/>
  <c r="BF126" i="10" s="1"/>
  <c r="W329" i="10"/>
  <c r="BD329" i="10" s="1"/>
  <c r="W132" i="10"/>
  <c r="BD132" i="10" s="1"/>
  <c r="W10" i="10"/>
  <c r="BD10" i="10" s="1"/>
  <c r="W77" i="10"/>
  <c r="W124" i="10"/>
  <c r="BD124" i="10" s="1"/>
  <c r="Y26" i="10"/>
  <c r="BG26" i="10" s="1"/>
  <c r="BQ319" i="10"/>
  <c r="CB333" i="10"/>
  <c r="W6" i="10"/>
  <c r="BD6" i="10" s="1"/>
  <c r="U10" i="10"/>
  <c r="AO138" i="10"/>
  <c r="CB51" i="10"/>
  <c r="CI70" i="10"/>
  <c r="CJ70" i="10"/>
  <c r="BL99" i="10"/>
  <c r="CB99" i="10"/>
  <c r="AN99" i="10"/>
  <c r="CG99" i="10" s="1"/>
  <c r="V350" i="10"/>
  <c r="BU50" i="10"/>
  <c r="BN58" i="10"/>
  <c r="BP58" i="10"/>
  <c r="I58" i="10"/>
  <c r="CD58" i="10" s="1"/>
  <c r="AX103" i="10"/>
  <c r="BF103" i="10"/>
  <c r="BY93" i="10"/>
  <c r="BX45" i="10"/>
  <c r="AM45" i="10"/>
  <c r="CF45" i="10" s="1"/>
  <c r="BV132" i="10"/>
  <c r="X132" i="10"/>
  <c r="BV127" i="10"/>
  <c r="BJ140" i="10"/>
  <c r="K140" i="10"/>
  <c r="AN140" i="10"/>
  <c r="CG140" i="10" s="1"/>
  <c r="V77" i="10"/>
  <c r="X124" i="10"/>
  <c r="BN130" i="10"/>
  <c r="BU130" i="10"/>
  <c r="BM76" i="10"/>
  <c r="CI126" i="10"/>
  <c r="U126" i="10"/>
  <c r="BL83" i="10"/>
  <c r="Y83" i="10"/>
  <c r="BG83" i="10" s="1"/>
  <c r="BP335" i="10"/>
  <c r="AN335" i="10"/>
  <c r="CG335" i="10" s="1"/>
  <c r="X343" i="10"/>
  <c r="BX15" i="10"/>
  <c r="U15" i="10"/>
  <c r="BQ331" i="10"/>
  <c r="BM25" i="10"/>
  <c r="BW25" i="10"/>
  <c r="AN25" i="10"/>
  <c r="CG25" i="10" s="1"/>
  <c r="X35" i="10"/>
  <c r="AN92" i="10"/>
  <c r="CG92" i="10" s="1"/>
  <c r="BM133" i="10"/>
  <c r="BM66" i="10"/>
  <c r="U326" i="10"/>
  <c r="AL347" i="10"/>
  <c r="CE347" i="10" s="1"/>
  <c r="AO349" i="10"/>
  <c r="BN327" i="10"/>
  <c r="AN327" i="10"/>
  <c r="CG327" i="10" s="1"/>
  <c r="V327" i="10"/>
  <c r="BX9" i="10"/>
  <c r="AM9" i="10"/>
  <c r="CF9" i="10" s="1"/>
  <c r="W62" i="10"/>
  <c r="BD62" i="10" s="1"/>
  <c r="Y36" i="10"/>
  <c r="BF36" i="10" s="1"/>
  <c r="BU68" i="10"/>
  <c r="BM68" i="10"/>
  <c r="BW68" i="10"/>
  <c r="BV69" i="10"/>
  <c r="Y69" i="10"/>
  <c r="BE69" i="10" s="1"/>
  <c r="V64" i="10"/>
  <c r="Y344" i="10"/>
  <c r="BG344" i="10" s="1"/>
  <c r="U344" i="10"/>
  <c r="BL59" i="10"/>
  <c r="U54" i="10"/>
  <c r="BJ26" i="10"/>
  <c r="BW26" i="10"/>
  <c r="U38" i="10"/>
  <c r="CJ62" i="10"/>
  <c r="BV52" i="10"/>
  <c r="X52" i="10"/>
  <c r="AN52" i="10"/>
  <c r="CG52" i="10" s="1"/>
  <c r="BJ85" i="10"/>
  <c r="BU131" i="10"/>
  <c r="V131" i="10"/>
  <c r="BS131" i="10"/>
  <c r="AO345" i="10"/>
  <c r="BS27" i="10"/>
  <c r="AM27" i="10"/>
  <c r="CF27" i="10" s="1"/>
  <c r="BM27" i="10"/>
  <c r="AN86" i="10"/>
  <c r="CG86" i="10" s="1"/>
  <c r="BM73" i="10"/>
  <c r="AZ109" i="10"/>
  <c r="BX128" i="10"/>
  <c r="CB128" i="10"/>
  <c r="W120" i="10"/>
  <c r="BD120" i="10" s="1"/>
  <c r="AN81" i="10"/>
  <c r="CG81" i="10" s="1"/>
  <c r="BW73" i="10"/>
  <c r="AW17" i="10"/>
  <c r="CJ90" i="10"/>
  <c r="CJ95" i="10"/>
  <c r="BN122" i="10"/>
  <c r="BW48" i="10"/>
  <c r="BT136" i="10"/>
  <c r="BU89" i="10"/>
  <c r="V329" i="10"/>
  <c r="X341" i="10"/>
  <c r="W28" i="10"/>
  <c r="BD28" i="10" s="1"/>
  <c r="CE63" i="10"/>
  <c r="BG39" i="10"/>
  <c r="BF39" i="10"/>
  <c r="BC39" i="10"/>
  <c r="BE39" i="10"/>
  <c r="BC350" i="10"/>
  <c r="BE350" i="10"/>
  <c r="BF350" i="10"/>
  <c r="BG350" i="10"/>
  <c r="BG86" i="10"/>
  <c r="BE86" i="10"/>
  <c r="BC86" i="10"/>
  <c r="BF86" i="10"/>
  <c r="BF38" i="10"/>
  <c r="BG38" i="10"/>
  <c r="BC38" i="10"/>
  <c r="BE38" i="10"/>
  <c r="CD59" i="10"/>
  <c r="K59" i="10"/>
  <c r="BE20" i="10"/>
  <c r="BF20" i="10"/>
  <c r="BG20" i="10"/>
  <c r="BC20" i="10"/>
  <c r="BC93" i="10"/>
  <c r="BE93" i="10"/>
  <c r="BF93" i="10"/>
  <c r="BG93" i="10"/>
  <c r="BE100" i="10"/>
  <c r="BF100" i="10"/>
  <c r="BG100" i="10"/>
  <c r="BC100" i="10"/>
  <c r="CD23" i="10"/>
  <c r="K23" i="10"/>
  <c r="CE328" i="10"/>
  <c r="CD45" i="10"/>
  <c r="K45" i="10"/>
  <c r="BE18" i="10"/>
  <c r="BF18" i="10"/>
  <c r="BG18" i="10"/>
  <c r="BC18" i="10"/>
  <c r="K52" i="10"/>
  <c r="CD52" i="10"/>
  <c r="W223" i="10"/>
  <c r="BD223" i="10" s="1"/>
  <c r="BJ223" i="10"/>
  <c r="BT223" i="10"/>
  <c r="AL223" i="10"/>
  <c r="BK223" i="10"/>
  <c r="BV223" i="10"/>
  <c r="AM223" i="10"/>
  <c r="CF223" i="10" s="1"/>
  <c r="BO223" i="10"/>
  <c r="CJ223" i="10"/>
  <c r="BP223" i="10"/>
  <c r="AN223" i="10"/>
  <c r="CG223" i="10" s="1"/>
  <c r="CI223" i="10"/>
  <c r="BL223" i="10"/>
  <c r="BN223" i="10"/>
  <c r="BW223" i="10"/>
  <c r="BS223" i="10"/>
  <c r="BX223" i="10"/>
  <c r="U223" i="10"/>
  <c r="BY223" i="10"/>
  <c r="Y223" i="10"/>
  <c r="BM223" i="10"/>
  <c r="BU223" i="10"/>
  <c r="O223" i="10"/>
  <c r="CB223" i="10"/>
  <c r="I223" i="10"/>
  <c r="Y106" i="10"/>
  <c r="W106" i="10"/>
  <c r="BD106" i="10" s="1"/>
  <c r="X106" i="10"/>
  <c r="U106" i="10"/>
  <c r="V106" i="10"/>
  <c r="W91" i="10"/>
  <c r="BD91" i="10" s="1"/>
  <c r="X91" i="10"/>
  <c r="V91" i="10"/>
  <c r="U91" i="10"/>
  <c r="Y90" i="10"/>
  <c r="V90" i="10"/>
  <c r="X90" i="10"/>
  <c r="W90" i="10"/>
  <c r="BD90" i="10" s="1"/>
  <c r="I12" i="10"/>
  <c r="O12" i="10"/>
  <c r="AM226" i="10"/>
  <c r="CF226" i="10" s="1"/>
  <c r="BS226" i="10"/>
  <c r="CB226" i="10"/>
  <c r="AL226" i="10"/>
  <c r="Y226" i="10"/>
  <c r="BO226" i="10"/>
  <c r="BX226" i="10"/>
  <c r="BM226" i="10"/>
  <c r="BT226" i="10"/>
  <c r="BK226" i="10"/>
  <c r="BN226" i="10"/>
  <c r="I226" i="10"/>
  <c r="BU226" i="10"/>
  <c r="AN226" i="10"/>
  <c r="CG226" i="10" s="1"/>
  <c r="CJ226" i="10"/>
  <c r="BP226" i="10"/>
  <c r="BJ226" i="10"/>
  <c r="W226" i="10"/>
  <c r="BD226" i="10" s="1"/>
  <c r="U226" i="10"/>
  <c r="BW226" i="10"/>
  <c r="BY226" i="10"/>
  <c r="BV226" i="10"/>
  <c r="BL226" i="10"/>
  <c r="CI226" i="10"/>
  <c r="O226" i="10"/>
  <c r="U136" i="10"/>
  <c r="X136" i="10"/>
  <c r="V136" i="10"/>
  <c r="Y136" i="10"/>
  <c r="K64" i="10"/>
  <c r="CD64" i="10"/>
  <c r="CD43" i="10"/>
  <c r="K43" i="10"/>
  <c r="I87" i="10"/>
  <c r="BO87" i="10"/>
  <c r="BX87" i="10"/>
  <c r="BM87" i="10"/>
  <c r="BU87" i="10"/>
  <c r="AM87" i="10"/>
  <c r="CF87" i="10" s="1"/>
  <c r="BS87" i="10"/>
  <c r="BJ87" i="10"/>
  <c r="BV87" i="10"/>
  <c r="BP87" i="10"/>
  <c r="BK87" i="10"/>
  <c r="BN87" i="10"/>
  <c r="BW87" i="10"/>
  <c r="BL87" i="10"/>
  <c r="CJ87" i="10"/>
  <c r="X75" i="10"/>
  <c r="V75" i="10"/>
  <c r="U75" i="10"/>
  <c r="I96" i="10"/>
  <c r="CD96" i="10" s="1"/>
  <c r="BK96" i="10"/>
  <c r="AM96" i="10"/>
  <c r="CF96" i="10" s="1"/>
  <c r="AN96" i="10"/>
  <c r="CG96" i="10" s="1"/>
  <c r="BT96" i="10"/>
  <c r="BL96" i="10"/>
  <c r="BO96" i="10"/>
  <c r="CJ96" i="10"/>
  <c r="BN96" i="10"/>
  <c r="BV96" i="10"/>
  <c r="BJ96" i="10"/>
  <c r="CB96" i="10"/>
  <c r="BU96" i="10"/>
  <c r="BW96" i="10"/>
  <c r="BP96" i="10"/>
  <c r="CI96" i="10"/>
  <c r="BX96" i="10"/>
  <c r="BM96" i="10"/>
  <c r="I106" i="10"/>
  <c r="CD106" i="10" s="1"/>
  <c r="BP106" i="10"/>
  <c r="BT106" i="10"/>
  <c r="BO106" i="10"/>
  <c r="AM106" i="10"/>
  <c r="CF106" i="10" s="1"/>
  <c r="BV106" i="10"/>
  <c r="BS106" i="10"/>
  <c r="CI106" i="10"/>
  <c r="BY106" i="10"/>
  <c r="BW106" i="10"/>
  <c r="CJ106" i="10"/>
  <c r="BX106" i="10"/>
  <c r="BN106" i="10"/>
  <c r="BM106" i="10"/>
  <c r="BL106" i="10"/>
  <c r="BJ106" i="10"/>
  <c r="X48" i="10"/>
  <c r="W48" i="10"/>
  <c r="BD48" i="10" s="1"/>
  <c r="Y48" i="10"/>
  <c r="I105" i="10"/>
  <c r="BT105" i="10"/>
  <c r="BX105" i="10"/>
  <c r="BW105" i="10"/>
  <c r="BU105" i="10"/>
  <c r="BY105" i="10"/>
  <c r="BN105" i="10"/>
  <c r="BM105" i="10"/>
  <c r="CB105" i="10"/>
  <c r="BJ105" i="10"/>
  <c r="AN105" i="10"/>
  <c r="CG105" i="10" s="1"/>
  <c r="CJ105" i="10"/>
  <c r="CI105" i="10"/>
  <c r="BK105" i="10"/>
  <c r="BV105" i="10"/>
  <c r="BO105" i="10"/>
  <c r="Y123" i="10"/>
  <c r="X123" i="10"/>
  <c r="I74" i="10"/>
  <c r="O74" i="10"/>
  <c r="AD147" i="10"/>
  <c r="Z147" i="10"/>
  <c r="AH147" i="10"/>
  <c r="K101" i="10"/>
  <c r="CD101" i="10"/>
  <c r="AM57" i="10"/>
  <c r="CF57" i="10" s="1"/>
  <c r="CJ57" i="10"/>
  <c r="BS57" i="10"/>
  <c r="BM57" i="10"/>
  <c r="CB57" i="10"/>
  <c r="BX57" i="10"/>
  <c r="BJ57" i="10"/>
  <c r="BK57" i="10"/>
  <c r="BT57" i="10"/>
  <c r="BN57" i="10"/>
  <c r="BY57" i="10"/>
  <c r="I57" i="10"/>
  <c r="W57" i="10"/>
  <c r="BD57" i="10" s="1"/>
  <c r="AN57" i="10"/>
  <c r="CG57" i="10" s="1"/>
  <c r="BP57" i="10"/>
  <c r="CI57" i="10"/>
  <c r="BW57" i="10"/>
  <c r="Y57" i="10"/>
  <c r="U57" i="10"/>
  <c r="CD72" i="10"/>
  <c r="K72" i="10"/>
  <c r="AB316" i="10"/>
  <c r="AA316" i="10"/>
  <c r="AF173" i="10"/>
  <c r="AG173" i="10" s="1"/>
  <c r="AE173" i="10"/>
  <c r="AI304" i="10"/>
  <c r="AJ304" i="10"/>
  <c r="AK304" i="10" s="1"/>
  <c r="AF222" i="10"/>
  <c r="AG222" i="10" s="1"/>
  <c r="AE222" i="10"/>
  <c r="AB165" i="10"/>
  <c r="AA165" i="10"/>
  <c r="BQ196" i="10"/>
  <c r="AA289" i="10"/>
  <c r="AB289" i="10"/>
  <c r="AE179" i="10"/>
  <c r="AF179" i="10"/>
  <c r="AG179" i="10" s="1"/>
  <c r="BM330" i="10"/>
  <c r="BY330" i="10"/>
  <c r="BJ330" i="10"/>
  <c r="V330" i="10"/>
  <c r="AA205" i="10"/>
  <c r="AB205" i="10"/>
  <c r="AE18" i="10"/>
  <c r="AF18" i="10"/>
  <c r="AG18" i="10" s="1"/>
  <c r="BK72" i="10"/>
  <c r="BT72" i="10"/>
  <c r="BM71" i="10"/>
  <c r="CE20" i="10"/>
  <c r="AO20" i="10"/>
  <c r="N297" i="10"/>
  <c r="O297" i="10"/>
  <c r="CD37" i="10"/>
  <c r="K37" i="10"/>
  <c r="AJ71" i="10"/>
  <c r="AK71" i="10" s="1"/>
  <c r="AI71" i="10"/>
  <c r="AN71" i="10"/>
  <c r="CG71" i="10" s="1"/>
  <c r="BK22" i="10"/>
  <c r="BW22" i="10"/>
  <c r="BX22" i="10"/>
  <c r="BP22" i="10"/>
  <c r="AE24" i="10"/>
  <c r="AF24" i="10"/>
  <c r="AG24" i="10" s="1"/>
  <c r="AI50" i="10"/>
  <c r="AJ50" i="10"/>
  <c r="AK50" i="10" s="1"/>
  <c r="O40" i="10"/>
  <c r="N40" i="10"/>
  <c r="Y78" i="10"/>
  <c r="BS78" i="10"/>
  <c r="BT78" i="10"/>
  <c r="CJ78" i="10"/>
  <c r="K119" i="10"/>
  <c r="CD119" i="10"/>
  <c r="AE58" i="10"/>
  <c r="AF58" i="10"/>
  <c r="AG58" i="10" s="1"/>
  <c r="O24" i="10"/>
  <c r="N24" i="10"/>
  <c r="AI45" i="10"/>
  <c r="AJ45" i="10"/>
  <c r="AK45" i="10" s="1"/>
  <c r="AJ127" i="10"/>
  <c r="AK127" i="10" s="1"/>
  <c r="AI127" i="10"/>
  <c r="AJ107" i="10"/>
  <c r="AK107" i="10" s="1"/>
  <c r="AI107" i="10"/>
  <c r="AF74" i="10"/>
  <c r="AG74" i="10" s="1"/>
  <c r="AE74" i="10"/>
  <c r="BK74" i="10"/>
  <c r="BS74" i="10"/>
  <c r="X74" i="10"/>
  <c r="CB343" i="10"/>
  <c r="BO343" i="10"/>
  <c r="AF110" i="10"/>
  <c r="AG110" i="10" s="1"/>
  <c r="AE110" i="10"/>
  <c r="CD331" i="10"/>
  <c r="K331" i="10"/>
  <c r="BU43" i="10"/>
  <c r="BT43" i="10"/>
  <c r="CJ43" i="10"/>
  <c r="X39" i="10"/>
  <c r="U39" i="10"/>
  <c r="AB320" i="10"/>
  <c r="AA320" i="10"/>
  <c r="AE320" i="10"/>
  <c r="AF320" i="10"/>
  <c r="AG320" i="10" s="1"/>
  <c r="AB309" i="10"/>
  <c r="AA309" i="10"/>
  <c r="AI236" i="10"/>
  <c r="AJ236" i="10"/>
  <c r="AK236" i="10" s="1"/>
  <c r="O326" i="10"/>
  <c r="N326" i="10"/>
  <c r="AE238" i="10"/>
  <c r="AF238" i="10"/>
  <c r="AG238" i="10" s="1"/>
  <c r="AE347" i="10"/>
  <c r="AF347" i="10"/>
  <c r="AG347" i="10" s="1"/>
  <c r="AA223" i="10"/>
  <c r="AB223" i="10"/>
  <c r="BQ308" i="10"/>
  <c r="AI240" i="10"/>
  <c r="AJ240" i="10"/>
  <c r="AK240" i="10" s="1"/>
  <c r="O154" i="10"/>
  <c r="N154" i="10"/>
  <c r="BN12" i="10"/>
  <c r="BM12" i="10"/>
  <c r="AJ161" i="10"/>
  <c r="AK161" i="10" s="1"/>
  <c r="AI161" i="10"/>
  <c r="AB327" i="10"/>
  <c r="AA327" i="10"/>
  <c r="AI327" i="10"/>
  <c r="AJ327" i="10"/>
  <c r="AK327" i="10" s="1"/>
  <c r="BO55" i="10"/>
  <c r="U55" i="10"/>
  <c r="CI55" i="10"/>
  <c r="AI55" i="10"/>
  <c r="AJ55" i="10"/>
  <c r="AK55" i="10" s="1"/>
  <c r="BV55" i="10"/>
  <c r="AE61" i="10"/>
  <c r="AF61" i="10"/>
  <c r="AG61" i="10" s="1"/>
  <c r="Y33" i="10"/>
  <c r="W68" i="10"/>
  <c r="BD68" i="10" s="1"/>
  <c r="Y60" i="10"/>
  <c r="BO60" i="10"/>
  <c r="AB344" i="10"/>
  <c r="AA344" i="10"/>
  <c r="AF26" i="10"/>
  <c r="AG26" i="10" s="1"/>
  <c r="AE26" i="10"/>
  <c r="O55" i="10"/>
  <c r="N55" i="10"/>
  <c r="CE38" i="10"/>
  <c r="AO38" i="10"/>
  <c r="BQ109" i="10"/>
  <c r="AI100" i="10"/>
  <c r="AJ100" i="10"/>
  <c r="AK100" i="10" s="1"/>
  <c r="X100" i="10"/>
  <c r="W100" i="10"/>
  <c r="BD100" i="10" s="1"/>
  <c r="O90" i="10"/>
  <c r="N90" i="10"/>
  <c r="AJ112" i="10"/>
  <c r="AK112" i="10" s="1"/>
  <c r="AI112" i="10"/>
  <c r="AA112" i="10"/>
  <c r="AB112" i="10"/>
  <c r="AJ294" i="10"/>
  <c r="AK294" i="10" s="1"/>
  <c r="AI294" i="10"/>
  <c r="AB294" i="10"/>
  <c r="AA294" i="10"/>
  <c r="AF41" i="10"/>
  <c r="AG41" i="10" s="1"/>
  <c r="AE41" i="10"/>
  <c r="BQ303" i="10"/>
  <c r="U27" i="10"/>
  <c r="V27" i="10"/>
  <c r="Y141" i="10"/>
  <c r="U141" i="10"/>
  <c r="BL141" i="10"/>
  <c r="BL57" i="10"/>
  <c r="BS98" i="10"/>
  <c r="AJ106" i="10"/>
  <c r="AK106" i="10" s="1"/>
  <c r="AI106" i="10"/>
  <c r="Y342" i="10"/>
  <c r="AM342" i="10"/>
  <c r="CF342" i="10" s="1"/>
  <c r="BQ288" i="10"/>
  <c r="AE187" i="10"/>
  <c r="AF187" i="10"/>
  <c r="AG187" i="10" s="1"/>
  <c r="AE310" i="10"/>
  <c r="AF310" i="10"/>
  <c r="AG310" i="10" s="1"/>
  <c r="AA16" i="10"/>
  <c r="AB16" i="10"/>
  <c r="AE17" i="10"/>
  <c r="AF17" i="10"/>
  <c r="AG17" i="10" s="1"/>
  <c r="X98" i="10"/>
  <c r="V98" i="10"/>
  <c r="BW67" i="10"/>
  <c r="U90" i="10"/>
  <c r="BY96" i="10"/>
  <c r="AF91" i="10"/>
  <c r="AG91" i="10" s="1"/>
  <c r="AE91" i="10"/>
  <c r="W75" i="10"/>
  <c r="BD75" i="10" s="1"/>
  <c r="AE47" i="10"/>
  <c r="AF47" i="10"/>
  <c r="AG47" i="10" s="1"/>
  <c r="AB136" i="10"/>
  <c r="AA136" i="10"/>
  <c r="CE351" i="10"/>
  <c r="AO351" i="10"/>
  <c r="AE328" i="10"/>
  <c r="AF328" i="10"/>
  <c r="AG328" i="10" s="1"/>
  <c r="AB341" i="10"/>
  <c r="AA341" i="10"/>
  <c r="BT87" i="10"/>
  <c r="BC115" i="10"/>
  <c r="BG115" i="10"/>
  <c r="BE115" i="10"/>
  <c r="AM222" i="10"/>
  <c r="CF222" i="10" s="1"/>
  <c r="BS222" i="10"/>
  <c r="CB222" i="10"/>
  <c r="AL222" i="10"/>
  <c r="BM222" i="10"/>
  <c r="BT222" i="10"/>
  <c r="BK222" i="10"/>
  <c r="I222" i="10"/>
  <c r="BU222" i="10"/>
  <c r="AN222" i="10"/>
  <c r="CG222" i="10" s="1"/>
  <c r="CJ222" i="10"/>
  <c r="BP222" i="10"/>
  <c r="CI222" i="10"/>
  <c r="W222" i="10"/>
  <c r="BD222" i="10" s="1"/>
  <c r="U222" i="10"/>
  <c r="BY222" i="10"/>
  <c r="BJ222" i="10"/>
  <c r="BV222" i="10"/>
  <c r="BX222" i="10"/>
  <c r="Y222" i="10"/>
  <c r="BN222" i="10"/>
  <c r="BW222" i="10"/>
  <c r="BL222" i="10"/>
  <c r="BO222" i="10"/>
  <c r="O222" i="10"/>
  <c r="Y134" i="10"/>
  <c r="U134" i="10"/>
  <c r="X134" i="10"/>
  <c r="V134" i="10"/>
  <c r="W134" i="10"/>
  <c r="BD134" i="10" s="1"/>
  <c r="K92" i="10"/>
  <c r="CD92" i="10"/>
  <c r="I75" i="10"/>
  <c r="CD75" i="10" s="1"/>
  <c r="BO75" i="10"/>
  <c r="BT75" i="10"/>
  <c r="AN75" i="10"/>
  <c r="CG75" i="10" s="1"/>
  <c r="BJ75" i="10"/>
  <c r="BU75" i="10"/>
  <c r="BP75" i="10"/>
  <c r="BM75" i="10"/>
  <c r="BL75" i="10"/>
  <c r="CB75" i="10"/>
  <c r="BW75" i="10"/>
  <c r="BK75" i="10"/>
  <c r="CI75" i="10"/>
  <c r="BY75" i="10"/>
  <c r="CJ75" i="10"/>
  <c r="BS75" i="10"/>
  <c r="AL75" i="10"/>
  <c r="X122" i="10"/>
  <c r="Y122" i="10"/>
  <c r="V122" i="10"/>
  <c r="W122" i="10"/>
  <c r="BD122" i="10" s="1"/>
  <c r="I334" i="10"/>
  <c r="BO334" i="10"/>
  <c r="BJ334" i="10"/>
  <c r="AL334" i="10"/>
  <c r="BL334" i="10"/>
  <c r="BP334" i="10"/>
  <c r="CB334" i="10"/>
  <c r="BN334" i="10"/>
  <c r="BW334" i="10"/>
  <c r="BS334" i="10"/>
  <c r="BV334" i="10"/>
  <c r="AM334" i="10"/>
  <c r="CF334" i="10" s="1"/>
  <c r="AN334" i="10"/>
  <c r="CG334" i="10" s="1"/>
  <c r="CI334" i="10"/>
  <c r="BM334" i="10"/>
  <c r="BK334" i="10"/>
  <c r="BU334" i="10"/>
  <c r="I332" i="10"/>
  <c r="AM332" i="10"/>
  <c r="CF332" i="10" s="1"/>
  <c r="AN332" i="10"/>
  <c r="CG332" i="10" s="1"/>
  <c r="BN332" i="10"/>
  <c r="AL332" i="10"/>
  <c r="BS332" i="10"/>
  <c r="BW332" i="10"/>
  <c r="BT332" i="10"/>
  <c r="CJ332" i="10"/>
  <c r="CI332" i="10"/>
  <c r="BO332" i="10"/>
  <c r="BL332" i="10"/>
  <c r="CB332" i="10"/>
  <c r="BK332" i="10"/>
  <c r="BV332" i="10"/>
  <c r="BX332" i="10"/>
  <c r="Z151" i="10"/>
  <c r="AD151" i="10"/>
  <c r="AH151" i="10"/>
  <c r="U341" i="10"/>
  <c r="V341" i="10"/>
  <c r="Y341" i="10"/>
  <c r="W94" i="10"/>
  <c r="BD94" i="10" s="1"/>
  <c r="Y94" i="10"/>
  <c r="U94" i="10"/>
  <c r="V94" i="10"/>
  <c r="I30" i="10"/>
  <c r="CD30" i="10" s="1"/>
  <c r="BW30" i="10"/>
  <c r="AM30" i="10"/>
  <c r="CF30" i="10" s="1"/>
  <c r="BK30" i="10"/>
  <c r="BJ30" i="10"/>
  <c r="BL30" i="10"/>
  <c r="AL30" i="10"/>
  <c r="CJ30" i="10"/>
  <c r="BM30" i="10"/>
  <c r="BP30" i="10"/>
  <c r="BU30" i="10"/>
  <c r="CB30" i="10"/>
  <c r="CI30" i="10"/>
  <c r="BS30" i="10"/>
  <c r="BN30" i="10"/>
  <c r="BX30" i="10"/>
  <c r="BV30" i="10"/>
  <c r="I44" i="10"/>
  <c r="AN44" i="10"/>
  <c r="CG44" i="10" s="1"/>
  <c r="CB44" i="10"/>
  <c r="BK44" i="10"/>
  <c r="BO44" i="10"/>
  <c r="BW44" i="10"/>
  <c r="BX44" i="10"/>
  <c r="BP44" i="10"/>
  <c r="CI44" i="10"/>
  <c r="BU44" i="10"/>
  <c r="AL44" i="10"/>
  <c r="AM44" i="10"/>
  <c r="CF44" i="10" s="1"/>
  <c r="BT44" i="10"/>
  <c r="BY44" i="10"/>
  <c r="BS44" i="10"/>
  <c r="I123" i="10"/>
  <c r="BY123" i="10"/>
  <c r="AL123" i="10"/>
  <c r="CI123" i="10"/>
  <c r="BK123" i="10"/>
  <c r="BP123" i="10"/>
  <c r="BS123" i="10"/>
  <c r="BL123" i="10"/>
  <c r="BU123" i="10"/>
  <c r="BJ123" i="10"/>
  <c r="BW123" i="10"/>
  <c r="BM123" i="10"/>
  <c r="BT123" i="10"/>
  <c r="BV123" i="10"/>
  <c r="BX123" i="10"/>
  <c r="AN123" i="10"/>
  <c r="CG123" i="10" s="1"/>
  <c r="CB123" i="10"/>
  <c r="BN200" i="10"/>
  <c r="BX200" i="10"/>
  <c r="W200" i="10"/>
  <c r="BD200" i="10" s="1"/>
  <c r="AM200" i="10"/>
  <c r="CF200" i="10" s="1"/>
  <c r="BO200" i="10"/>
  <c r="AN200" i="10"/>
  <c r="CG200" i="10" s="1"/>
  <c r="BS200" i="10"/>
  <c r="CI200" i="10"/>
  <c r="BJ200" i="10"/>
  <c r="BT200" i="10"/>
  <c r="I200" i="10"/>
  <c r="BU200" i="10"/>
  <c r="BW200" i="10"/>
  <c r="BV200" i="10"/>
  <c r="U200" i="10"/>
  <c r="BY200" i="10"/>
  <c r="BL200" i="10"/>
  <c r="BP200" i="10"/>
  <c r="Y200" i="10"/>
  <c r="BK200" i="10"/>
  <c r="BM200" i="10"/>
  <c r="CB200" i="10"/>
  <c r="AL200" i="10"/>
  <c r="CJ200" i="10"/>
  <c r="X129" i="10"/>
  <c r="Y129" i="10"/>
  <c r="W129" i="10"/>
  <c r="BD129" i="10" s="1"/>
  <c r="U81" i="10"/>
  <c r="X81" i="10"/>
  <c r="V81" i="10"/>
  <c r="W81" i="10"/>
  <c r="BD81" i="10" s="1"/>
  <c r="Y81" i="10"/>
  <c r="U342" i="10"/>
  <c r="X342" i="10"/>
  <c r="W342" i="10"/>
  <c r="BD342" i="10" s="1"/>
  <c r="V342" i="10"/>
  <c r="Z149" i="10"/>
  <c r="AD149" i="10"/>
  <c r="AH149" i="10"/>
  <c r="M152" i="10"/>
  <c r="CC152" i="10"/>
  <c r="W233" i="10"/>
  <c r="BD233" i="10" s="1"/>
  <c r="BO233" i="10"/>
  <c r="AL233" i="10"/>
  <c r="CJ233" i="10"/>
  <c r="O233" i="10"/>
  <c r="AM233" i="10"/>
  <c r="CF233" i="10" s="1"/>
  <c r="AN233" i="10"/>
  <c r="CG233" i="10" s="1"/>
  <c r="BL233" i="10"/>
  <c r="BN233" i="10"/>
  <c r="BW233" i="10"/>
  <c r="BS233" i="10"/>
  <c r="CB233" i="10"/>
  <c r="BX233" i="10"/>
  <c r="BK233" i="10"/>
  <c r="BJ233" i="10"/>
  <c r="BV233" i="10"/>
  <c r="CI233" i="10"/>
  <c r="I233" i="10"/>
  <c r="BU233" i="10"/>
  <c r="U233" i="10"/>
  <c r="BY233" i="10"/>
  <c r="BT233" i="10"/>
  <c r="BP233" i="10"/>
  <c r="Y233" i="10"/>
  <c r="BM233" i="10"/>
  <c r="CD327" i="10"/>
  <c r="K327" i="10"/>
  <c r="U79" i="10"/>
  <c r="W79" i="10"/>
  <c r="BD79" i="10" s="1"/>
  <c r="Y79" i="10"/>
  <c r="CJ8" i="10"/>
  <c r="BU8" i="10"/>
  <c r="CI8" i="10"/>
  <c r="BJ8" i="10"/>
  <c r="AM8" i="10"/>
  <c r="CF8" i="10" s="1"/>
  <c r="BL8" i="10"/>
  <c r="BY8" i="10"/>
  <c r="BO8" i="10"/>
  <c r="BP8" i="10"/>
  <c r="AN8" i="10"/>
  <c r="CG8" i="10" s="1"/>
  <c r="BX8" i="10"/>
  <c r="BN8" i="10"/>
  <c r="BT8" i="10"/>
  <c r="CB8" i="10"/>
  <c r="I79" i="10"/>
  <c r="CD79" i="10" s="1"/>
  <c r="BL79" i="10"/>
  <c r="BV79" i="10"/>
  <c r="AL79" i="10"/>
  <c r="BJ79" i="10"/>
  <c r="BM79" i="10"/>
  <c r="AM79" i="10"/>
  <c r="CF79" i="10" s="1"/>
  <c r="AN79" i="10"/>
  <c r="CG79" i="10" s="1"/>
  <c r="BY79" i="10"/>
  <c r="BU79" i="10"/>
  <c r="BP79" i="10"/>
  <c r="BK79" i="10"/>
  <c r="BO79" i="10"/>
  <c r="BT79" i="10"/>
  <c r="BW79" i="10"/>
  <c r="BX79" i="10"/>
  <c r="BS79" i="10"/>
  <c r="CI79" i="10"/>
  <c r="W228" i="10"/>
  <c r="BD228" i="10" s="1"/>
  <c r="BN228" i="10"/>
  <c r="CI228" i="10"/>
  <c r="BW228" i="10"/>
  <c r="AL228" i="10"/>
  <c r="BX228" i="10"/>
  <c r="CB228" i="10"/>
  <c r="BL228" i="10"/>
  <c r="AM228" i="10"/>
  <c r="CF228" i="10" s="1"/>
  <c r="BS228" i="10"/>
  <c r="O228" i="10"/>
  <c r="U228" i="10"/>
  <c r="BY228" i="10"/>
  <c r="BJ228" i="10"/>
  <c r="BV228" i="10"/>
  <c r="Y228" i="10"/>
  <c r="BO228" i="10"/>
  <c r="BM228" i="10"/>
  <c r="BT228" i="10"/>
  <c r="BK228" i="10"/>
  <c r="BP228" i="10"/>
  <c r="AN228" i="10"/>
  <c r="CG228" i="10" s="1"/>
  <c r="I228" i="10"/>
  <c r="CJ228" i="10"/>
  <c r="BU228" i="10"/>
  <c r="Z148" i="10"/>
  <c r="AD148" i="10"/>
  <c r="AH148" i="10"/>
  <c r="Y89" i="10"/>
  <c r="U89" i="10"/>
  <c r="W89" i="10"/>
  <c r="BD89" i="10" s="1"/>
  <c r="V89" i="10"/>
  <c r="X121" i="10"/>
  <c r="Y121" i="10"/>
  <c r="U121" i="10"/>
  <c r="W121" i="10"/>
  <c r="BD121" i="10" s="1"/>
  <c r="V121" i="10"/>
  <c r="AD231" i="10"/>
  <c r="AH231" i="10"/>
  <c r="Z231" i="10"/>
  <c r="V23" i="10"/>
  <c r="Y23" i="10"/>
  <c r="AH232" i="10"/>
  <c r="Z232" i="10"/>
  <c r="AD232" i="10"/>
  <c r="W164" i="10"/>
  <c r="BD164" i="10" s="1"/>
  <c r="AN164" i="10"/>
  <c r="CG164" i="10" s="1"/>
  <c r="BT164" i="10"/>
  <c r="CJ164" i="10"/>
  <c r="BL164" i="10"/>
  <c r="BV164" i="10"/>
  <c r="U164" i="10"/>
  <c r="Y164" i="10"/>
  <c r="AL164" i="10"/>
  <c r="BN164" i="10"/>
  <c r="BX164" i="10"/>
  <c r="CB164" i="10"/>
  <c r="BP164" i="10"/>
  <c r="AM164" i="10"/>
  <c r="CF164" i="10" s="1"/>
  <c r="I164" i="10"/>
  <c r="CD164" i="10" s="1"/>
  <c r="BU164" i="10"/>
  <c r="BK164" i="10"/>
  <c r="CI164" i="10"/>
  <c r="BY164" i="10"/>
  <c r="BO164" i="10"/>
  <c r="BS164" i="10"/>
  <c r="BJ164" i="10"/>
  <c r="BW164" i="10"/>
  <c r="BM164" i="10"/>
  <c r="K127" i="10"/>
  <c r="CD127" i="10"/>
  <c r="V8" i="10"/>
  <c r="W8" i="10"/>
  <c r="BD8" i="10" s="1"/>
  <c r="X8" i="10"/>
  <c r="Y8" i="10"/>
  <c r="U8" i="10"/>
  <c r="BL216" i="10"/>
  <c r="CB216" i="10"/>
  <c r="W216" i="10"/>
  <c r="BD216" i="10" s="1"/>
  <c r="BN216" i="10"/>
  <c r="CI216" i="10"/>
  <c r="BW216" i="10"/>
  <c r="AL216" i="10"/>
  <c r="BX216" i="10"/>
  <c r="AM216" i="10"/>
  <c r="CF216" i="10" s="1"/>
  <c r="O216" i="10"/>
  <c r="BS216" i="10"/>
  <c r="BM216" i="10"/>
  <c r="BT216" i="10"/>
  <c r="BK216" i="10"/>
  <c r="I216" i="10"/>
  <c r="BU216" i="10"/>
  <c r="AN216" i="10"/>
  <c r="CG216" i="10" s="1"/>
  <c r="CJ216" i="10"/>
  <c r="BP216" i="10"/>
  <c r="U216" i="10"/>
  <c r="BY216" i="10"/>
  <c r="BJ216" i="10"/>
  <c r="BV216" i="10"/>
  <c r="BO216" i="10"/>
  <c r="Y216" i="10"/>
  <c r="K68" i="10"/>
  <c r="CD68" i="10"/>
  <c r="K76" i="10"/>
  <c r="CD76" i="10"/>
  <c r="W7" i="10"/>
  <c r="BD7" i="10" s="1"/>
  <c r="BV7" i="10"/>
  <c r="AM7" i="10"/>
  <c r="CF7" i="10" s="1"/>
  <c r="BW7" i="10"/>
  <c r="BO7" i="10"/>
  <c r="AN7" i="10"/>
  <c r="CG7" i="10" s="1"/>
  <c r="CJ7" i="10"/>
  <c r="BN7" i="10"/>
  <c r="BU7" i="10"/>
  <c r="BK7" i="10"/>
  <c r="I7" i="10"/>
  <c r="BP7" i="10"/>
  <c r="BJ7" i="10"/>
  <c r="AL7" i="10"/>
  <c r="BX7" i="10"/>
  <c r="BS7" i="10"/>
  <c r="Y7" i="10"/>
  <c r="CI7" i="10"/>
  <c r="AL229" i="10"/>
  <c r="CJ229" i="10"/>
  <c r="AM229" i="10"/>
  <c r="CF229" i="10" s="1"/>
  <c r="W229" i="10"/>
  <c r="BD229" i="10" s="1"/>
  <c r="AN229" i="10"/>
  <c r="CG229" i="10" s="1"/>
  <c r="BO229" i="10"/>
  <c r="O229" i="10"/>
  <c r="BK229" i="10"/>
  <c r="CB229" i="10"/>
  <c r="BX229" i="10"/>
  <c r="CI229" i="10"/>
  <c r="BT229" i="10"/>
  <c r="BL229" i="10"/>
  <c r="BN229" i="10"/>
  <c r="BJ229" i="10"/>
  <c r="I229" i="10"/>
  <c r="BU229" i="10"/>
  <c r="BW229" i="10"/>
  <c r="U229" i="10"/>
  <c r="BY229" i="10"/>
  <c r="BV229" i="10"/>
  <c r="BS229" i="10"/>
  <c r="BP229" i="10"/>
  <c r="Y229" i="10"/>
  <c r="BM229" i="10"/>
  <c r="W201" i="10"/>
  <c r="BD201" i="10" s="1"/>
  <c r="AN201" i="10"/>
  <c r="CG201" i="10" s="1"/>
  <c r="BP201" i="10"/>
  <c r="BJ201" i="10"/>
  <c r="BT201" i="10"/>
  <c r="AL201" i="10"/>
  <c r="BK201" i="10"/>
  <c r="BV201" i="10"/>
  <c r="CJ201" i="10"/>
  <c r="AM201" i="10"/>
  <c r="CF201" i="10" s="1"/>
  <c r="BO201" i="10"/>
  <c r="O201" i="10"/>
  <c r="CI201" i="10"/>
  <c r="I201" i="10"/>
  <c r="BU201" i="10"/>
  <c r="BL201" i="10"/>
  <c r="BX201" i="10"/>
  <c r="U201" i="10"/>
  <c r="BY201" i="10"/>
  <c r="BS201" i="10"/>
  <c r="Y201" i="10"/>
  <c r="CB201" i="10"/>
  <c r="BN201" i="10"/>
  <c r="BM201" i="10"/>
  <c r="BW201" i="10"/>
  <c r="I65" i="10"/>
  <c r="AM65" i="10"/>
  <c r="CF65" i="10" s="1"/>
  <c r="U65" i="10"/>
  <c r="BO65" i="10"/>
  <c r="BU65" i="10"/>
  <c r="BL65" i="10"/>
  <c r="BN65" i="10"/>
  <c r="BX65" i="10"/>
  <c r="BJ65" i="10"/>
  <c r="BY65" i="10"/>
  <c r="BM65" i="10"/>
  <c r="AN65" i="10"/>
  <c r="CG65" i="10" s="1"/>
  <c r="CJ65" i="10"/>
  <c r="BP65" i="10"/>
  <c r="BW65" i="10"/>
  <c r="AL65" i="10"/>
  <c r="Y65" i="10"/>
  <c r="K347" i="10"/>
  <c r="CD347" i="10"/>
  <c r="BQ316" i="10"/>
  <c r="AI211" i="10"/>
  <c r="AJ211" i="10"/>
  <c r="AK211" i="10" s="1"/>
  <c r="AF211" i="10"/>
  <c r="AG211" i="10" s="1"/>
  <c r="AE211" i="10"/>
  <c r="AI168" i="10"/>
  <c r="AJ168" i="10"/>
  <c r="AK168" i="10" s="1"/>
  <c r="AA228" i="10"/>
  <c r="AB228" i="10"/>
  <c r="AB336" i="10"/>
  <c r="AA336" i="10"/>
  <c r="BV336" i="10"/>
  <c r="Y336" i="10"/>
  <c r="BW336" i="10"/>
  <c r="BU336" i="10"/>
  <c r="CJ336" i="10"/>
  <c r="AJ319" i="10"/>
  <c r="AK319" i="10" s="1"/>
  <c r="AI319" i="10"/>
  <c r="AA319" i="10"/>
  <c r="AB319" i="10"/>
  <c r="AI239" i="10"/>
  <c r="AJ239" i="10"/>
  <c r="AK239" i="10" s="1"/>
  <c r="AB153" i="10"/>
  <c r="AA153" i="10"/>
  <c r="AJ233" i="10"/>
  <c r="AK233" i="10" s="1"/>
  <c r="AI233" i="10"/>
  <c r="AE220" i="10"/>
  <c r="AF220" i="10"/>
  <c r="AG220" i="10" s="1"/>
  <c r="AE230" i="10"/>
  <c r="AF230" i="10"/>
  <c r="AG230" i="10" s="1"/>
  <c r="BM333" i="10"/>
  <c r="BY333" i="10"/>
  <c r="BX333" i="10"/>
  <c r="AM333" i="10"/>
  <c r="CF333" i="10" s="1"/>
  <c r="CJ333" i="10"/>
  <c r="AB333" i="10"/>
  <c r="AA333" i="10"/>
  <c r="BP333" i="10"/>
  <c r="O314" i="10"/>
  <c r="N314" i="10"/>
  <c r="N209" i="10"/>
  <c r="O209" i="10"/>
  <c r="AF285" i="10"/>
  <c r="AG285" i="10" s="1"/>
  <c r="AE285" i="10"/>
  <c r="AJ285" i="10"/>
  <c r="AK285" i="10" s="1"/>
  <c r="AI285" i="10"/>
  <c r="AI167" i="10"/>
  <c r="AJ167" i="10"/>
  <c r="AK167" i="10" s="1"/>
  <c r="AB196" i="10"/>
  <c r="AA196" i="10"/>
  <c r="AJ196" i="10"/>
  <c r="AK196" i="10" s="1"/>
  <c r="AI196" i="10"/>
  <c r="BQ177" i="10"/>
  <c r="AA177" i="10"/>
  <c r="AB177" i="10"/>
  <c r="AI177" i="10"/>
  <c r="AJ177" i="10"/>
  <c r="AK177" i="10" s="1"/>
  <c r="BQ179" i="10"/>
  <c r="AI179" i="10"/>
  <c r="AJ179" i="10"/>
  <c r="AK179" i="10" s="1"/>
  <c r="O155" i="10"/>
  <c r="N155" i="10"/>
  <c r="N246" i="10"/>
  <c r="O246" i="10"/>
  <c r="AA206" i="10"/>
  <c r="AB206" i="10"/>
  <c r="BQ206" i="10"/>
  <c r="AI162" i="10"/>
  <c r="AJ162" i="10"/>
  <c r="AK162" i="10" s="1"/>
  <c r="BK330" i="10"/>
  <c r="Y330" i="10"/>
  <c r="U330" i="10"/>
  <c r="BS330" i="10"/>
  <c r="AE330" i="10"/>
  <c r="AF330" i="10"/>
  <c r="AG330" i="10" s="1"/>
  <c r="BT330" i="10"/>
  <c r="Y6" i="10"/>
  <c r="BU6" i="10"/>
  <c r="CI6" i="10"/>
  <c r="AA6" i="10"/>
  <c r="AB6" i="10"/>
  <c r="BL6" i="10"/>
  <c r="BT6" i="10"/>
  <c r="CB6" i="10"/>
  <c r="V6" i="10"/>
  <c r="AJ305" i="10"/>
  <c r="AK305" i="10" s="1"/>
  <c r="AI305" i="10"/>
  <c r="AF305" i="10"/>
  <c r="AG305" i="10" s="1"/>
  <c r="AE305" i="10"/>
  <c r="BQ305" i="10"/>
  <c r="O349" i="10"/>
  <c r="N349" i="10"/>
  <c r="AL10" i="10"/>
  <c r="BO10" i="10"/>
  <c r="Y10" i="10"/>
  <c r="BN10" i="10"/>
  <c r="CB10" i="10"/>
  <c r="CJ10" i="10"/>
  <c r="BP10" i="10"/>
  <c r="N65" i="10"/>
  <c r="O65" i="10"/>
  <c r="U18" i="10"/>
  <c r="K18" i="10"/>
  <c r="CD18" i="10"/>
  <c r="AJ18" i="10"/>
  <c r="AK18" i="10" s="1"/>
  <c r="AI18" i="10"/>
  <c r="AB72" i="10"/>
  <c r="AA72" i="10"/>
  <c r="BJ72" i="10"/>
  <c r="BV72" i="10"/>
  <c r="BM72" i="10"/>
  <c r="CB72" i="10"/>
  <c r="W72" i="10"/>
  <c r="BD72" i="10" s="1"/>
  <c r="AM72" i="10"/>
  <c r="CF72" i="10" s="1"/>
  <c r="Y19" i="10"/>
  <c r="U20" i="10"/>
  <c r="BQ20" i="10"/>
  <c r="AE20" i="10"/>
  <c r="AF20" i="10"/>
  <c r="AG20" i="10" s="1"/>
  <c r="X20" i="10"/>
  <c r="W20" i="10"/>
  <c r="BD20" i="10" s="1"/>
  <c r="BQ188" i="10"/>
  <c r="AF339" i="10"/>
  <c r="AG339" i="10" s="1"/>
  <c r="AE339" i="10"/>
  <c r="BQ13" i="10"/>
  <c r="V13" i="10"/>
  <c r="X13" i="10"/>
  <c r="W13" i="10"/>
  <c r="BD13" i="10" s="1"/>
  <c r="BM51" i="10"/>
  <c r="BU51" i="10"/>
  <c r="BY51" i="10"/>
  <c r="BO51" i="10"/>
  <c r="AL51" i="10"/>
  <c r="V51" i="10"/>
  <c r="AN51" i="10"/>
  <c r="CG51" i="10" s="1"/>
  <c r="I51" i="10"/>
  <c r="BJ43" i="10"/>
  <c r="BQ37" i="10"/>
  <c r="AL71" i="10"/>
  <c r="K71" i="10"/>
  <c r="AB71" i="10"/>
  <c r="AA71" i="10"/>
  <c r="BL71" i="10"/>
  <c r="W71" i="10"/>
  <c r="BD71" i="10" s="1"/>
  <c r="U71" i="10"/>
  <c r="BW70" i="10"/>
  <c r="AI70" i="10"/>
  <c r="AJ70" i="10"/>
  <c r="AK70" i="10" s="1"/>
  <c r="BN70" i="10"/>
  <c r="BM70" i="10"/>
  <c r="CB70" i="10"/>
  <c r="W70" i="10"/>
  <c r="BD70" i="10" s="1"/>
  <c r="AM70" i="10"/>
  <c r="CF70" i="10" s="1"/>
  <c r="BU22" i="10"/>
  <c r="BN22" i="10"/>
  <c r="Y22" i="10"/>
  <c r="W22" i="10"/>
  <c r="BD22" i="10" s="1"/>
  <c r="AN22" i="10"/>
  <c r="CG22" i="10" s="1"/>
  <c r="AM22" i="10"/>
  <c r="CF22" i="10" s="1"/>
  <c r="AL22" i="10"/>
  <c r="BQ24" i="10"/>
  <c r="AJ31" i="10"/>
  <c r="AK31" i="10" s="1"/>
  <c r="AI31" i="10"/>
  <c r="U31" i="10"/>
  <c r="N116" i="10"/>
  <c r="O116" i="10"/>
  <c r="BV99" i="10"/>
  <c r="BK99" i="10"/>
  <c r="U99" i="10"/>
  <c r="BS99" i="10"/>
  <c r="BU99" i="10"/>
  <c r="BY99" i="10"/>
  <c r="N21" i="10"/>
  <c r="O21" i="10"/>
  <c r="BQ281" i="10"/>
  <c r="AF281" i="10"/>
  <c r="AG281" i="10" s="1"/>
  <c r="AE281" i="10"/>
  <c r="BQ350" i="10"/>
  <c r="AB350" i="10"/>
  <c r="AA350" i="10"/>
  <c r="X350" i="10"/>
  <c r="W350" i="10"/>
  <c r="BD350" i="10" s="1"/>
  <c r="BW50" i="10"/>
  <c r="BO50" i="10"/>
  <c r="CI50" i="10"/>
  <c r="BP50" i="10"/>
  <c r="BX50" i="10"/>
  <c r="BV50" i="10"/>
  <c r="BT50" i="10"/>
  <c r="I50" i="10"/>
  <c r="AE78" i="10"/>
  <c r="AF78" i="10"/>
  <c r="AG78" i="10" s="1"/>
  <c r="BK78" i="10"/>
  <c r="CB78" i="10"/>
  <c r="BO78" i="10"/>
  <c r="BV78" i="10"/>
  <c r="BL78" i="10"/>
  <c r="W78" i="10"/>
  <c r="BD78" i="10" s="1"/>
  <c r="AM78" i="10"/>
  <c r="CF78" i="10" s="1"/>
  <c r="AI293" i="10"/>
  <c r="AJ293" i="10"/>
  <c r="AK293" i="10" s="1"/>
  <c r="AF293" i="10"/>
  <c r="AG293" i="10" s="1"/>
  <c r="AE293" i="10"/>
  <c r="BQ293" i="10"/>
  <c r="BM58" i="10"/>
  <c r="BS58" i="10"/>
  <c r="BW58" i="10"/>
  <c r="BX58" i="10"/>
  <c r="AM58" i="10"/>
  <c r="CF58" i="10" s="1"/>
  <c r="AJ58" i="10"/>
  <c r="AK58" i="10" s="1"/>
  <c r="AI58" i="10"/>
  <c r="AL58" i="10"/>
  <c r="AP103" i="10"/>
  <c r="AW103" i="10"/>
  <c r="BE103" i="10"/>
  <c r="N93" i="10"/>
  <c r="O93" i="10"/>
  <c r="K103" i="10"/>
  <c r="CD103" i="10"/>
  <c r="W40" i="10"/>
  <c r="BD40" i="10" s="1"/>
  <c r="AB40" i="10"/>
  <c r="AA40" i="10"/>
  <c r="X40" i="10"/>
  <c r="BJ93" i="10"/>
  <c r="V93" i="10"/>
  <c r="AI93" i="10"/>
  <c r="AJ93" i="10"/>
  <c r="AK93" i="10" s="1"/>
  <c r="BN93" i="10"/>
  <c r="BO93" i="10"/>
  <c r="CI93" i="10"/>
  <c r="BS93" i="10"/>
  <c r="BC111" i="10"/>
  <c r="N73" i="10"/>
  <c r="O73" i="10"/>
  <c r="BS45" i="10"/>
  <c r="BM45" i="10"/>
  <c r="V45" i="10"/>
  <c r="BJ45" i="10"/>
  <c r="AN45" i="10"/>
  <c r="CG45" i="10" s="1"/>
  <c r="W45" i="10"/>
  <c r="BD45" i="10" s="1"/>
  <c r="X45" i="10"/>
  <c r="O107" i="10"/>
  <c r="N107" i="10"/>
  <c r="AI132" i="10"/>
  <c r="AJ132" i="10"/>
  <c r="AK132" i="10" s="1"/>
  <c r="BU132" i="10"/>
  <c r="BS132" i="10"/>
  <c r="CI132" i="10"/>
  <c r="BT132" i="10"/>
  <c r="CB132" i="10"/>
  <c r="AM132" i="10"/>
  <c r="CF132" i="10" s="1"/>
  <c r="BX127" i="10"/>
  <c r="CB127" i="10"/>
  <c r="AF127" i="10"/>
  <c r="AG127" i="10" s="1"/>
  <c r="AE127" i="10"/>
  <c r="Y127" i="10"/>
  <c r="BT127" i="10"/>
  <c r="AL127" i="10"/>
  <c r="U127" i="10"/>
  <c r="BM101" i="10"/>
  <c r="V101" i="10"/>
  <c r="AI101" i="10"/>
  <c r="AJ101" i="10"/>
  <c r="AK101" i="10" s="1"/>
  <c r="BN101" i="10"/>
  <c r="Y101" i="10"/>
  <c r="BS101" i="10"/>
  <c r="X101" i="10"/>
  <c r="AM101" i="10"/>
  <c r="CF101" i="10" s="1"/>
  <c r="BQ107" i="10"/>
  <c r="AA140" i="10"/>
  <c r="AB140" i="10"/>
  <c r="BO140" i="10"/>
  <c r="BY140" i="10"/>
  <c r="AE140" i="10"/>
  <c r="AF140" i="10"/>
  <c r="AG140" i="10" s="1"/>
  <c r="X140" i="10"/>
  <c r="W140" i="10"/>
  <c r="BD140" i="10" s="1"/>
  <c r="BT140" i="10"/>
  <c r="BN74" i="10"/>
  <c r="AA74" i="10"/>
  <c r="AB74" i="10"/>
  <c r="AL74" i="10"/>
  <c r="BL74" i="10"/>
  <c r="BT74" i="10"/>
  <c r="U74" i="10"/>
  <c r="BN77" i="10"/>
  <c r="BS77" i="10"/>
  <c r="BX77" i="10"/>
  <c r="BK77" i="10"/>
  <c r="BY77" i="10"/>
  <c r="BW77" i="10"/>
  <c r="AM77" i="10"/>
  <c r="CF77" i="10" s="1"/>
  <c r="AB124" i="10"/>
  <c r="AA124" i="10"/>
  <c r="BT124" i="10"/>
  <c r="AJ124" i="10"/>
  <c r="AK124" i="10" s="1"/>
  <c r="AI124" i="10"/>
  <c r="BM124" i="10"/>
  <c r="Y124" i="10"/>
  <c r="CB124" i="10"/>
  <c r="AM124" i="10"/>
  <c r="CF124" i="10" s="1"/>
  <c r="BJ130" i="10"/>
  <c r="BS130" i="10"/>
  <c r="BX130" i="10"/>
  <c r="BT130" i="10"/>
  <c r="AN130" i="10"/>
  <c r="CG130" i="10" s="1"/>
  <c r="AM130" i="10"/>
  <c r="CF130" i="10" s="1"/>
  <c r="BL130" i="10"/>
  <c r="BX84" i="10"/>
  <c r="AJ84" i="10"/>
  <c r="AK84" i="10" s="1"/>
  <c r="AI84" i="10"/>
  <c r="BU84" i="10"/>
  <c r="BM84" i="10"/>
  <c r="BL84" i="10"/>
  <c r="AN84" i="10"/>
  <c r="CG84" i="10" s="1"/>
  <c r="CJ84" i="10"/>
  <c r="N33" i="10"/>
  <c r="O33" i="10"/>
  <c r="CB76" i="10"/>
  <c r="Y76" i="10"/>
  <c r="BX76" i="10"/>
  <c r="BS76" i="10"/>
  <c r="AI76" i="10"/>
  <c r="AJ76" i="10"/>
  <c r="AK76" i="10" s="1"/>
  <c r="AN76" i="10"/>
  <c r="CG76" i="10" s="1"/>
  <c r="AM76" i="10"/>
  <c r="CF76" i="10" s="1"/>
  <c r="O92" i="10"/>
  <c r="N92" i="10"/>
  <c r="BV126" i="10"/>
  <c r="BN126" i="10"/>
  <c r="BM126" i="10"/>
  <c r="CJ126" i="10"/>
  <c r="CB126" i="10"/>
  <c r="BY126" i="10"/>
  <c r="BK126" i="10"/>
  <c r="BO83" i="10"/>
  <c r="AB83" i="10"/>
  <c r="AA83" i="10"/>
  <c r="AL83" i="10"/>
  <c r="BK83" i="10"/>
  <c r="K83" i="10"/>
  <c r="U83" i="10"/>
  <c r="BT83" i="10"/>
  <c r="BX335" i="10"/>
  <c r="CI335" i="10"/>
  <c r="BS335" i="10"/>
  <c r="BJ335" i="10"/>
  <c r="AB335" i="10"/>
  <c r="AA335" i="10"/>
  <c r="W335" i="10"/>
  <c r="BD335" i="10" s="1"/>
  <c r="BV335" i="10"/>
  <c r="V335" i="10"/>
  <c r="BY343" i="10"/>
  <c r="U343" i="10"/>
  <c r="BN343" i="10"/>
  <c r="BP343" i="10"/>
  <c r="AN343" i="10"/>
  <c r="CG343" i="10" s="1"/>
  <c r="BV343" i="10"/>
  <c r="V343" i="10"/>
  <c r="CB15" i="10"/>
  <c r="BM15" i="10"/>
  <c r="BU15" i="10"/>
  <c r="AI15" i="10"/>
  <c r="AJ15" i="10"/>
  <c r="AK15" i="10" s="1"/>
  <c r="BN15" i="10"/>
  <c r="BS15" i="10"/>
  <c r="BK15" i="10"/>
  <c r="BQ110" i="10"/>
  <c r="N335" i="10"/>
  <c r="O335" i="10"/>
  <c r="U331" i="10"/>
  <c r="AB331" i="10"/>
  <c r="AA331" i="10"/>
  <c r="X331" i="10"/>
  <c r="AI331" i="10"/>
  <c r="AJ331" i="10"/>
  <c r="AK331" i="10" s="1"/>
  <c r="AO331" i="10"/>
  <c r="AI170" i="10"/>
  <c r="AJ170" i="10"/>
  <c r="AK170" i="10" s="1"/>
  <c r="CE114" i="10"/>
  <c r="AO114" i="10"/>
  <c r="AI114" i="10"/>
  <c r="AJ114" i="10"/>
  <c r="AK114" i="10" s="1"/>
  <c r="BU25" i="10"/>
  <c r="BO25" i="10"/>
  <c r="AM25" i="10"/>
  <c r="CF25" i="10" s="1"/>
  <c r="BV25" i="10"/>
  <c r="BK25" i="10"/>
  <c r="BP25" i="10"/>
  <c r="AL25" i="10"/>
  <c r="AJ35" i="10"/>
  <c r="AK35" i="10" s="1"/>
  <c r="AI35" i="10"/>
  <c r="AA35" i="10"/>
  <c r="AB35" i="10"/>
  <c r="W35" i="10"/>
  <c r="BD35" i="10" s="1"/>
  <c r="BO43" i="10"/>
  <c r="CI43" i="10"/>
  <c r="BW43" i="10"/>
  <c r="Y43" i="10"/>
  <c r="AJ43" i="10"/>
  <c r="AK43" i="10" s="1"/>
  <c r="AI43" i="10"/>
  <c r="V43" i="10"/>
  <c r="AI32" i="10"/>
  <c r="AJ32" i="10"/>
  <c r="AK32" i="10" s="1"/>
  <c r="Y32" i="10"/>
  <c r="U32" i="10"/>
  <c r="O101" i="10"/>
  <c r="CD39" i="10"/>
  <c r="K39" i="10"/>
  <c r="AF39" i="10"/>
  <c r="AG39" i="10" s="1"/>
  <c r="AE39" i="10"/>
  <c r="AB39" i="10"/>
  <c r="AA39" i="10"/>
  <c r="BW92" i="10"/>
  <c r="Y92" i="10"/>
  <c r="U92" i="10"/>
  <c r="BN92" i="10"/>
  <c r="W92" i="10"/>
  <c r="BD92" i="10" s="1"/>
  <c r="AB92" i="10"/>
  <c r="AA92" i="10"/>
  <c r="CJ92" i="10"/>
  <c r="BO92" i="10"/>
  <c r="BP133" i="10"/>
  <c r="AB133" i="10"/>
  <c r="AA133" i="10"/>
  <c r="BS133" i="10"/>
  <c r="U133" i="10"/>
  <c r="BT133" i="10"/>
  <c r="X133" i="10"/>
  <c r="I133" i="10"/>
  <c r="CD133" i="10" s="1"/>
  <c r="BK66" i="10"/>
  <c r="Y66" i="10"/>
  <c r="AI66" i="10"/>
  <c r="AJ66" i="10"/>
  <c r="AK66" i="10" s="1"/>
  <c r="BY66" i="10"/>
  <c r="BO66" i="10"/>
  <c r="BS66" i="10"/>
  <c r="AA66" i="10"/>
  <c r="AB66" i="10"/>
  <c r="O54" i="10"/>
  <c r="AI212" i="10"/>
  <c r="AJ212" i="10"/>
  <c r="AK212" i="10" s="1"/>
  <c r="BQ309" i="10"/>
  <c r="AE309" i="10"/>
  <c r="AF309" i="10"/>
  <c r="AG309" i="10" s="1"/>
  <c r="AI226" i="10"/>
  <c r="AJ226" i="10"/>
  <c r="AK226" i="10" s="1"/>
  <c r="N304" i="10"/>
  <c r="O304" i="10"/>
  <c r="AE236" i="10"/>
  <c r="AF236" i="10"/>
  <c r="AG236" i="10" s="1"/>
  <c r="BQ236" i="10"/>
  <c r="AA326" i="10"/>
  <c r="AB326" i="10"/>
  <c r="V326" i="10"/>
  <c r="Y326" i="10"/>
  <c r="BQ326" i="10"/>
  <c r="AB238" i="10"/>
  <c r="AA238" i="10"/>
  <c r="AI216" i="10"/>
  <c r="AJ216" i="10"/>
  <c r="AK216" i="10" s="1"/>
  <c r="Y347" i="10"/>
  <c r="BM347" i="10"/>
  <c r="AB347" i="10"/>
  <c r="AA347" i="10"/>
  <c r="AI347" i="10"/>
  <c r="AJ347" i="10"/>
  <c r="AK347" i="10" s="1"/>
  <c r="BW347" i="10"/>
  <c r="W347" i="10"/>
  <c r="BD347" i="10" s="1"/>
  <c r="AM347" i="10"/>
  <c r="CF347" i="10" s="1"/>
  <c r="AI223" i="10"/>
  <c r="AJ223" i="10"/>
  <c r="AK223" i="10" s="1"/>
  <c r="AA287" i="10"/>
  <c r="AB287" i="10"/>
  <c r="AE308" i="10"/>
  <c r="AF308" i="10"/>
  <c r="AG308" i="10" s="1"/>
  <c r="AA215" i="10"/>
  <c r="AB215" i="10"/>
  <c r="AJ215" i="10"/>
  <c r="AK215" i="10" s="1"/>
  <c r="AI215" i="10"/>
  <c r="O322" i="10"/>
  <c r="N322" i="10"/>
  <c r="AE312" i="10"/>
  <c r="AF312" i="10"/>
  <c r="AG312" i="10" s="1"/>
  <c r="O176" i="10"/>
  <c r="N176" i="10"/>
  <c r="AJ314" i="10"/>
  <c r="AK314" i="10" s="1"/>
  <c r="AI314" i="10"/>
  <c r="AJ307" i="10"/>
  <c r="AK307" i="10" s="1"/>
  <c r="AI307" i="10"/>
  <c r="O194" i="10"/>
  <c r="N194" i="10"/>
  <c r="AA286" i="10"/>
  <c r="AB286" i="10"/>
  <c r="O344" i="10"/>
  <c r="N344" i="10"/>
  <c r="BX12" i="10"/>
  <c r="AE12" i="10"/>
  <c r="AF12" i="10"/>
  <c r="AG12" i="10" s="1"/>
  <c r="BV12" i="10"/>
  <c r="BP12" i="10"/>
  <c r="AA12" i="10"/>
  <c r="AB12" i="10"/>
  <c r="BK12" i="10"/>
  <c r="V12" i="10"/>
  <c r="AF195" i="10"/>
  <c r="AG195" i="10" s="1"/>
  <c r="AE195" i="10"/>
  <c r="BY327" i="10"/>
  <c r="BM327" i="10"/>
  <c r="BK327" i="10"/>
  <c r="CB327" i="10"/>
  <c r="X327" i="10"/>
  <c r="W327" i="10"/>
  <c r="BD327" i="10" s="1"/>
  <c r="BL327" i="10"/>
  <c r="BU9" i="10"/>
  <c r="BN9" i="10"/>
  <c r="CB9" i="10"/>
  <c r="BW9" i="10"/>
  <c r="CI9" i="10"/>
  <c r="W9" i="10"/>
  <c r="BD9" i="10" s="1"/>
  <c r="V9" i="10"/>
  <c r="AA9" i="10"/>
  <c r="AB9" i="10"/>
  <c r="O196" i="10"/>
  <c r="N196" i="10"/>
  <c r="AA280" i="10"/>
  <c r="AB280" i="10"/>
  <c r="O136" i="10"/>
  <c r="N136" i="10"/>
  <c r="BM55" i="10"/>
  <c r="BY55" i="10"/>
  <c r="BK55" i="10"/>
  <c r="AM55" i="10"/>
  <c r="CF55" i="10" s="1"/>
  <c r="BT55" i="10"/>
  <c r="BL55" i="10"/>
  <c r="I55" i="10"/>
  <c r="BJ46" i="10"/>
  <c r="AL61" i="10"/>
  <c r="V61" i="10"/>
  <c r="BN61" i="10"/>
  <c r="CI61" i="10"/>
  <c r="BJ61" i="10"/>
  <c r="AA61" i="10"/>
  <c r="AB61" i="10"/>
  <c r="AM61" i="10"/>
  <c r="CF61" i="10" s="1"/>
  <c r="N337" i="10"/>
  <c r="O337" i="10"/>
  <c r="N69" i="10"/>
  <c r="O69" i="10"/>
  <c r="O50" i="10"/>
  <c r="N50" i="10"/>
  <c r="AB36" i="10"/>
  <c r="AA36" i="10"/>
  <c r="AF36" i="10"/>
  <c r="AG36" i="10" s="1"/>
  <c r="AE36" i="10"/>
  <c r="AF34" i="10"/>
  <c r="AG34" i="10" s="1"/>
  <c r="AE34" i="10"/>
  <c r="AA34" i="10"/>
  <c r="AB34" i="10"/>
  <c r="X34" i="10"/>
  <c r="U34" i="10"/>
  <c r="W33" i="10"/>
  <c r="BD33" i="10" s="1"/>
  <c r="V68" i="10"/>
  <c r="Y68" i="10"/>
  <c r="BN68" i="10"/>
  <c r="BJ68" i="10"/>
  <c r="BY68" i="10"/>
  <c r="AN68" i="10"/>
  <c r="CG68" i="10" s="1"/>
  <c r="CI69" i="10"/>
  <c r="K69" i="10"/>
  <c r="V69" i="10"/>
  <c r="AE69" i="10"/>
  <c r="AF69" i="10"/>
  <c r="AG69" i="10" s="1"/>
  <c r="BL69" i="10"/>
  <c r="W69" i="10"/>
  <c r="BD69" i="10" s="1"/>
  <c r="U69" i="10"/>
  <c r="BM64" i="10"/>
  <c r="BT64" i="10"/>
  <c r="X64" i="10"/>
  <c r="BJ64" i="10"/>
  <c r="BP64" i="10"/>
  <c r="AI64" i="10"/>
  <c r="AJ64" i="10"/>
  <c r="AK64" i="10" s="1"/>
  <c r="AL64" i="10"/>
  <c r="AM64" i="10"/>
  <c r="CF64" i="10" s="1"/>
  <c r="CB60" i="10"/>
  <c r="BU60" i="10"/>
  <c r="BK60" i="10"/>
  <c r="CJ60" i="10"/>
  <c r="W60" i="10"/>
  <c r="BD60" i="10" s="1"/>
  <c r="CI60" i="10"/>
  <c r="AL60" i="10"/>
  <c r="BQ185" i="10"/>
  <c r="AF185" i="10"/>
  <c r="AG185" i="10" s="1"/>
  <c r="AE185" i="10"/>
  <c r="W344" i="10"/>
  <c r="BD344" i="10" s="1"/>
  <c r="BQ344" i="10"/>
  <c r="BP124" i="10"/>
  <c r="BS59" i="10"/>
  <c r="BY59" i="10"/>
  <c r="AE59" i="10"/>
  <c r="AF59" i="10"/>
  <c r="AG59" i="10" s="1"/>
  <c r="AB59" i="10"/>
  <c r="AA59" i="10"/>
  <c r="AI59" i="10"/>
  <c r="AJ59" i="10"/>
  <c r="AK59" i="10" s="1"/>
  <c r="BU54" i="10"/>
  <c r="BY54" i="10"/>
  <c r="BW54" i="10"/>
  <c r="BT54" i="10"/>
  <c r="AI54" i="10"/>
  <c r="AJ54" i="10"/>
  <c r="AK54" i="10" s="1"/>
  <c r="BX54" i="10"/>
  <c r="BP54" i="10"/>
  <c r="I54" i="10"/>
  <c r="N87" i="10"/>
  <c r="O87" i="10"/>
  <c r="CB26" i="10"/>
  <c r="AN26" i="10"/>
  <c r="CG26" i="10" s="1"/>
  <c r="BM26" i="10"/>
  <c r="BT26" i="10"/>
  <c r="CJ26" i="10"/>
  <c r="BO26" i="10"/>
  <c r="AM26" i="10"/>
  <c r="CF26" i="10" s="1"/>
  <c r="I26" i="10"/>
  <c r="CD26" i="10" s="1"/>
  <c r="Y29" i="10"/>
  <c r="BQ29" i="10"/>
  <c r="AJ29" i="10"/>
  <c r="AK29" i="10" s="1"/>
  <c r="AI29" i="10"/>
  <c r="AJ38" i="10"/>
  <c r="AK38" i="10" s="1"/>
  <c r="AI38" i="10"/>
  <c r="X38" i="10"/>
  <c r="AB38" i="10"/>
  <c r="AA38" i="10"/>
  <c r="AO13" i="10"/>
  <c r="AB109" i="10"/>
  <c r="AA109" i="10"/>
  <c r="BQ100" i="10"/>
  <c r="V100" i="10"/>
  <c r="BL62" i="10"/>
  <c r="V62" i="10"/>
  <c r="BY62" i="10"/>
  <c r="AN62" i="10"/>
  <c r="CG62" i="10" s="1"/>
  <c r="BT62" i="10"/>
  <c r="BN62" i="10"/>
  <c r="BS62" i="10"/>
  <c r="N44" i="10"/>
  <c r="O44" i="10"/>
  <c r="U52" i="10"/>
  <c r="BU52" i="10"/>
  <c r="BS52" i="10"/>
  <c r="CI52" i="10"/>
  <c r="AL52" i="10"/>
  <c r="BP52" i="10"/>
  <c r="AE52" i="10"/>
  <c r="AF52" i="10"/>
  <c r="AG52" i="10" s="1"/>
  <c r="N97" i="10"/>
  <c r="O97" i="10"/>
  <c r="BQ41" i="10"/>
  <c r="Y41" i="10"/>
  <c r="W41" i="10"/>
  <c r="BD41" i="10" s="1"/>
  <c r="BN85" i="10"/>
  <c r="AA85" i="10"/>
  <c r="AB85" i="10"/>
  <c r="V85" i="10"/>
  <c r="BX85" i="10"/>
  <c r="W85" i="10"/>
  <c r="BD85" i="10" s="1"/>
  <c r="Y85" i="10"/>
  <c r="AF131" i="10"/>
  <c r="AG131" i="10" s="1"/>
  <c r="AE131" i="10"/>
  <c r="AB131" i="10"/>
  <c r="AA131" i="10"/>
  <c r="BV131" i="10"/>
  <c r="BK131" i="10"/>
  <c r="CJ131" i="10"/>
  <c r="BO131" i="10"/>
  <c r="W131" i="10"/>
  <c r="BD131" i="10" s="1"/>
  <c r="I131" i="10"/>
  <c r="CD131" i="10" s="1"/>
  <c r="BN27" i="10"/>
  <c r="BW27" i="10"/>
  <c r="BL27" i="10"/>
  <c r="BK27" i="10"/>
  <c r="BX27" i="10"/>
  <c r="BV27" i="10"/>
  <c r="X27" i="10"/>
  <c r="O26" i="10"/>
  <c r="N26" i="10"/>
  <c r="CB86" i="10"/>
  <c r="BY86" i="10"/>
  <c r="BP86" i="10"/>
  <c r="CJ86" i="10"/>
  <c r="U86" i="10"/>
  <c r="BM86" i="10"/>
  <c r="N105" i="10"/>
  <c r="O105" i="10"/>
  <c r="BF113" i="10"/>
  <c r="BE113" i="10"/>
  <c r="BG113" i="10"/>
  <c r="AJ113" i="10"/>
  <c r="AK113" i="10" s="1"/>
  <c r="AI113" i="10"/>
  <c r="AE113" i="10"/>
  <c r="AF113" i="10"/>
  <c r="AG113" i="10" s="1"/>
  <c r="BE109" i="10"/>
  <c r="AA141" i="10"/>
  <c r="AB141" i="10"/>
  <c r="CI141" i="10"/>
  <c r="BU141" i="10"/>
  <c r="BV141" i="10"/>
  <c r="BS141" i="10"/>
  <c r="CJ141" i="10"/>
  <c r="BO141" i="10"/>
  <c r="W141" i="10"/>
  <c r="BD141" i="10" s="1"/>
  <c r="BN128" i="10"/>
  <c r="AA128" i="10"/>
  <c r="AB128" i="10"/>
  <c r="BV128" i="10"/>
  <c r="Y128" i="10"/>
  <c r="BT128" i="10"/>
  <c r="BP128" i="10"/>
  <c r="BW128" i="10"/>
  <c r="BQ118" i="10"/>
  <c r="AE118" i="10"/>
  <c r="AF118" i="10"/>
  <c r="AG118" i="10" s="1"/>
  <c r="O120" i="10"/>
  <c r="N120" i="10"/>
  <c r="V120" i="10"/>
  <c r="BX120" i="10"/>
  <c r="BU120" i="10"/>
  <c r="BP120" i="10"/>
  <c r="BV88" i="10"/>
  <c r="AF88" i="10"/>
  <c r="AG88" i="10" s="1"/>
  <c r="AE88" i="10"/>
  <c r="BY88" i="10"/>
  <c r="AI79" i="10"/>
  <c r="AJ79" i="10"/>
  <c r="AK79" i="10" s="1"/>
  <c r="CB79" i="10"/>
  <c r="BJ81" i="10"/>
  <c r="AE164" i="10"/>
  <c r="AF164" i="10"/>
  <c r="AG164" i="10" s="1"/>
  <c r="AJ235" i="10"/>
  <c r="AK235" i="10" s="1"/>
  <c r="AI235" i="10"/>
  <c r="O288" i="10"/>
  <c r="N288" i="10"/>
  <c r="BV57" i="10"/>
  <c r="AB142" i="10"/>
  <c r="AA142" i="10"/>
  <c r="BC142" i="10"/>
  <c r="BF142" i="10"/>
  <c r="BG142" i="10"/>
  <c r="BE142" i="10"/>
  <c r="CB98" i="10"/>
  <c r="BU73" i="10"/>
  <c r="N79" i="10"/>
  <c r="O79" i="10"/>
  <c r="AE106" i="10"/>
  <c r="AF106" i="10"/>
  <c r="AG106" i="10" s="1"/>
  <c r="AN106" i="10"/>
  <c r="CG106" i="10" s="1"/>
  <c r="N80" i="10"/>
  <c r="O80" i="10"/>
  <c r="AB174" i="10"/>
  <c r="AA174" i="10"/>
  <c r="AJ342" i="10"/>
  <c r="AK342" i="10" s="1"/>
  <c r="AI342" i="10"/>
  <c r="U7" i="10"/>
  <c r="CB7" i="10"/>
  <c r="Y338" i="10"/>
  <c r="BK8" i="10"/>
  <c r="I8" i="10"/>
  <c r="AI186" i="10"/>
  <c r="AJ186" i="10"/>
  <c r="AK186" i="10" s="1"/>
  <c r="AA313" i="10"/>
  <c r="AB313" i="10"/>
  <c r="BU49" i="10"/>
  <c r="AI49" i="10"/>
  <c r="AJ49" i="10"/>
  <c r="AK49" i="10" s="1"/>
  <c r="BM63" i="10"/>
  <c r="N66" i="10"/>
  <c r="O66" i="10"/>
  <c r="BV16" i="10"/>
  <c r="CB16" i="10"/>
  <c r="AE21" i="10"/>
  <c r="AF21" i="10"/>
  <c r="AG21" i="10" s="1"/>
  <c r="AL135" i="10"/>
  <c r="BS67" i="10"/>
  <c r="BP67" i="10"/>
  <c r="BT67" i="10"/>
  <c r="BO90" i="10"/>
  <c r="BW95" i="10"/>
  <c r="BW42" i="10"/>
  <c r="BX122" i="10"/>
  <c r="O39" i="10"/>
  <c r="N39" i="10"/>
  <c r="AM123" i="10"/>
  <c r="CF123" i="10" s="1"/>
  <c r="BN123" i="10"/>
  <c r="BO123" i="10"/>
  <c r="AO110" i="10"/>
  <c r="AI91" i="10"/>
  <c r="AJ91" i="10"/>
  <c r="AK91" i="10" s="1"/>
  <c r="AA105" i="10"/>
  <c r="AB105" i="10"/>
  <c r="AM105" i="10"/>
  <c r="CF105" i="10" s="1"/>
  <c r="AA46" i="10"/>
  <c r="AB46" i="10"/>
  <c r="AE46" i="10"/>
  <c r="AF46" i="10"/>
  <c r="AG46" i="10" s="1"/>
  <c r="BX75" i="10"/>
  <c r="BN75" i="10"/>
  <c r="AM75" i="10"/>
  <c r="CF75" i="10" s="1"/>
  <c r="Y97" i="10"/>
  <c r="BO30" i="10"/>
  <c r="AJ190" i="10"/>
  <c r="AK190" i="10" s="1"/>
  <c r="AI190" i="10"/>
  <c r="U48" i="10"/>
  <c r="AJ48" i="10"/>
  <c r="AK48" i="10" s="1"/>
  <c r="AI48" i="10"/>
  <c r="AB348" i="10"/>
  <c r="AA348" i="10"/>
  <c r="Y348" i="10"/>
  <c r="CE348" i="10"/>
  <c r="AO348" i="10"/>
  <c r="AJ348" i="10"/>
  <c r="AK348" i="10" s="1"/>
  <c r="AI348" i="10"/>
  <c r="X23" i="10"/>
  <c r="W23" i="10"/>
  <c r="BD23" i="10" s="1"/>
  <c r="BV65" i="10"/>
  <c r="BK136" i="10"/>
  <c r="BC113" i="10"/>
  <c r="AO117" i="10"/>
  <c r="AI234" i="10"/>
  <c r="AJ234" i="10"/>
  <c r="AK234" i="10" s="1"/>
  <c r="AF302" i="10"/>
  <c r="AG302" i="10" s="1"/>
  <c r="AE302" i="10"/>
  <c r="N329" i="10"/>
  <c r="O329" i="10"/>
  <c r="BY334" i="10"/>
  <c r="AJ334" i="10"/>
  <c r="AK334" i="10" s="1"/>
  <c r="AI334" i="10"/>
  <c r="BU332" i="10"/>
  <c r="AE332" i="10"/>
  <c r="AF332" i="10"/>
  <c r="AG332" i="10" s="1"/>
  <c r="BV328" i="10"/>
  <c r="BL328" i="10"/>
  <c r="BQ340" i="10"/>
  <c r="CJ28" i="10"/>
  <c r="BU28" i="10"/>
  <c r="BM14" i="10"/>
  <c r="AA102" i="10"/>
  <c r="AB102" i="10"/>
  <c r="AE102" i="10"/>
  <c r="AF102" i="10"/>
  <c r="AG102" i="10" s="1"/>
  <c r="AN102" i="10"/>
  <c r="CG102" i="10" s="1"/>
  <c r="AI129" i="10"/>
  <c r="AJ129" i="10"/>
  <c r="AK129" i="10" s="1"/>
  <c r="CD61" i="10"/>
  <c r="K61" i="10"/>
  <c r="U155" i="10"/>
  <c r="Y155" i="10"/>
  <c r="AL155" i="10"/>
  <c r="I155" i="10"/>
  <c r="AM155" i="10"/>
  <c r="CF155" i="10" s="1"/>
  <c r="W155" i="10"/>
  <c r="BD155" i="10" s="1"/>
  <c r="AN155" i="10"/>
  <c r="CG155" i="10" s="1"/>
  <c r="CJ155" i="10"/>
  <c r="BJ155" i="10"/>
  <c r="BU155" i="10"/>
  <c r="BK155" i="10"/>
  <c r="CI155" i="10"/>
  <c r="BX155" i="10"/>
  <c r="BY155" i="10"/>
  <c r="BO155" i="10"/>
  <c r="BL155" i="10"/>
  <c r="BS155" i="10"/>
  <c r="BT155" i="10"/>
  <c r="BN155" i="10"/>
  <c r="BM155" i="10"/>
  <c r="BV155" i="10"/>
  <c r="BP155" i="10"/>
  <c r="BW155" i="10"/>
  <c r="CB155" i="10"/>
  <c r="AL217" i="10"/>
  <c r="CJ217" i="10"/>
  <c r="AM217" i="10"/>
  <c r="CF217" i="10" s="1"/>
  <c r="AN217" i="10"/>
  <c r="CG217" i="10" s="1"/>
  <c r="W217" i="10"/>
  <c r="BD217" i="10" s="1"/>
  <c r="BO217" i="10"/>
  <c r="O217" i="10"/>
  <c r="BT217" i="10"/>
  <c r="BL217" i="10"/>
  <c r="BN217" i="10"/>
  <c r="BJ217" i="10"/>
  <c r="BW217" i="10"/>
  <c r="BS217" i="10"/>
  <c r="BV217" i="10"/>
  <c r="CB217" i="10"/>
  <c r="BX217" i="10"/>
  <c r="BK217" i="10"/>
  <c r="BP217" i="10"/>
  <c r="Y217" i="10"/>
  <c r="BM217" i="10"/>
  <c r="I217" i="10"/>
  <c r="BU217" i="10"/>
  <c r="U217" i="10"/>
  <c r="BY217" i="10"/>
  <c r="CI217" i="10"/>
  <c r="W174" i="10"/>
  <c r="BD174" i="10" s="1"/>
  <c r="AN174" i="10"/>
  <c r="CG174" i="10" s="1"/>
  <c r="CJ174" i="10"/>
  <c r="BL174" i="10"/>
  <c r="U174" i="10"/>
  <c r="Y174" i="10"/>
  <c r="AL174" i="10"/>
  <c r="BT174" i="10"/>
  <c r="AM174" i="10"/>
  <c r="CF174" i="10" s="1"/>
  <c r="CB174" i="10"/>
  <c r="BJ174" i="10"/>
  <c r="O174" i="10"/>
  <c r="I174" i="10"/>
  <c r="BY174" i="10"/>
  <c r="BO174" i="10"/>
  <c r="BS174" i="10"/>
  <c r="BM174" i="10"/>
  <c r="BW174" i="10"/>
  <c r="BN174" i="10"/>
  <c r="BP174" i="10"/>
  <c r="BX174" i="10"/>
  <c r="BK174" i="10"/>
  <c r="CI174" i="10"/>
  <c r="BV174" i="10"/>
  <c r="BU174" i="10"/>
  <c r="I342" i="10"/>
  <c r="BO342" i="10"/>
  <c r="BT342" i="10"/>
  <c r="BN342" i="10"/>
  <c r="BK342" i="10"/>
  <c r="BJ342" i="10"/>
  <c r="CJ342" i="10"/>
  <c r="BY342" i="10"/>
  <c r="CI342" i="10"/>
  <c r="AL342" i="10"/>
  <c r="AN342" i="10"/>
  <c r="CG342" i="10" s="1"/>
  <c r="BM342" i="10"/>
  <c r="CB342" i="10"/>
  <c r="BL342" i="10"/>
  <c r="BP342" i="10"/>
  <c r="I336" i="10"/>
  <c r="O336" i="10"/>
  <c r="I91" i="10"/>
  <c r="BN91" i="10"/>
  <c r="BW91" i="10"/>
  <c r="BV91" i="10"/>
  <c r="BP91" i="10"/>
  <c r="BK91" i="10"/>
  <c r="BO91" i="10"/>
  <c r="AN91" i="10"/>
  <c r="CG91" i="10" s="1"/>
  <c r="BY91" i="10"/>
  <c r="BL91" i="10"/>
  <c r="CI91" i="10"/>
  <c r="CJ91" i="10"/>
  <c r="BX91" i="10"/>
  <c r="CB91" i="10"/>
  <c r="BU91" i="10"/>
  <c r="BS91" i="10"/>
  <c r="CD78" i="10"/>
  <c r="K78" i="10"/>
  <c r="CJ135" i="10"/>
  <c r="CB135" i="10"/>
  <c r="BX135" i="10"/>
  <c r="BK135" i="10"/>
  <c r="I135" i="10"/>
  <c r="CD135" i="10" s="1"/>
  <c r="BL135" i="10"/>
  <c r="BS135" i="10"/>
  <c r="BP135" i="10"/>
  <c r="BJ135" i="10"/>
  <c r="AM135" i="10"/>
  <c r="CF135" i="10" s="1"/>
  <c r="AN135" i="10"/>
  <c r="CG135" i="10" s="1"/>
  <c r="BY135" i="10"/>
  <c r="BM135" i="10"/>
  <c r="BU135" i="10"/>
  <c r="BV135" i="10"/>
  <c r="AL221" i="10"/>
  <c r="CJ221" i="10"/>
  <c r="O221" i="10"/>
  <c r="AM221" i="10"/>
  <c r="CF221" i="10" s="1"/>
  <c r="AN221" i="10"/>
  <c r="CG221" i="10" s="1"/>
  <c r="W221" i="10"/>
  <c r="BD221" i="10" s="1"/>
  <c r="BO221" i="10"/>
  <c r="CB221" i="10"/>
  <c r="BX221" i="10"/>
  <c r="CI221" i="10"/>
  <c r="BL221" i="10"/>
  <c r="BN221" i="10"/>
  <c r="BV221" i="10"/>
  <c r="BW221" i="10"/>
  <c r="BK221" i="10"/>
  <c r="BS221" i="10"/>
  <c r="BT221" i="10"/>
  <c r="BJ221" i="10"/>
  <c r="U221" i="10"/>
  <c r="BY221" i="10"/>
  <c r="BP221" i="10"/>
  <c r="Y221" i="10"/>
  <c r="BM221" i="10"/>
  <c r="I221" i="10"/>
  <c r="BU221" i="10"/>
  <c r="AJ316" i="10"/>
  <c r="AK316" i="10" s="1"/>
  <c r="AI316" i="10"/>
  <c r="BS336" i="10"/>
  <c r="U336" i="10"/>
  <c r="AF153" i="10"/>
  <c r="AG153" i="10" s="1"/>
  <c r="AE153" i="10"/>
  <c r="BQ167" i="10"/>
  <c r="N287" i="10"/>
  <c r="O287" i="10"/>
  <c r="AE6" i="10"/>
  <c r="AF6" i="10"/>
  <c r="AG6" i="10" s="1"/>
  <c r="O161" i="10"/>
  <c r="N161" i="10"/>
  <c r="AE321" i="10"/>
  <c r="AF321" i="10"/>
  <c r="AG321" i="10" s="1"/>
  <c r="AA199" i="10"/>
  <c r="AB199" i="10"/>
  <c r="BW72" i="10"/>
  <c r="AL72" i="10"/>
  <c r="CI72" i="10"/>
  <c r="AI20" i="10"/>
  <c r="AJ20" i="10"/>
  <c r="AK20" i="10" s="1"/>
  <c r="AJ51" i="10"/>
  <c r="AK51" i="10" s="1"/>
  <c r="AI51" i="10"/>
  <c r="AF71" i="10"/>
  <c r="AG71" i="10" s="1"/>
  <c r="AE71" i="10"/>
  <c r="BY71" i="10"/>
  <c r="AM71" i="10"/>
  <c r="CF71" i="10" s="1"/>
  <c r="Y71" i="10"/>
  <c r="AA70" i="10"/>
  <c r="AB70" i="10"/>
  <c r="BO22" i="10"/>
  <c r="X24" i="10"/>
  <c r="V31" i="10"/>
  <c r="AA99" i="10"/>
  <c r="AB99" i="10"/>
  <c r="AB78" i="10"/>
  <c r="AA78" i="10"/>
  <c r="AB293" i="10"/>
  <c r="AA293" i="10"/>
  <c r="AJ40" i="10"/>
  <c r="AK40" i="10" s="1"/>
  <c r="AI40" i="10"/>
  <c r="AO40" i="10"/>
  <c r="CB101" i="10"/>
  <c r="BK101" i="10"/>
  <c r="BX101" i="10"/>
  <c r="BE107" i="10"/>
  <c r="BG107" i="10"/>
  <c r="AA77" i="10"/>
  <c r="AB77" i="10"/>
  <c r="AI83" i="10"/>
  <c r="AJ83" i="10"/>
  <c r="AK83" i="10" s="1"/>
  <c r="CI343" i="10"/>
  <c r="AB343" i="10"/>
  <c r="AA343" i="10"/>
  <c r="BC114" i="10"/>
  <c r="BE114" i="10"/>
  <c r="BF114" i="10"/>
  <c r="BY43" i="10"/>
  <c r="BM43" i="10"/>
  <c r="X43" i="10"/>
  <c r="O60" i="10"/>
  <c r="N60" i="10"/>
  <c r="AJ92" i="10"/>
  <c r="AK92" i="10" s="1"/>
  <c r="AI92" i="10"/>
  <c r="AB308" i="10"/>
  <c r="AA308" i="10"/>
  <c r="AB240" i="10"/>
  <c r="AA240" i="10"/>
  <c r="AB312" i="10"/>
  <c r="AA312" i="10"/>
  <c r="AJ312" i="10"/>
  <c r="AK312" i="10" s="1"/>
  <c r="AI312" i="10"/>
  <c r="AB155" i="10"/>
  <c r="AA155" i="10"/>
  <c r="BJ12" i="10"/>
  <c r="AL12" i="10"/>
  <c r="N207" i="10"/>
  <c r="O207" i="10"/>
  <c r="AB161" i="10"/>
  <c r="AA161" i="10"/>
  <c r="AI195" i="10"/>
  <c r="AJ195" i="10"/>
  <c r="AK195" i="10" s="1"/>
  <c r="AF9" i="10"/>
  <c r="AG9" i="10" s="1"/>
  <c r="AE9" i="10"/>
  <c r="AJ280" i="10"/>
  <c r="AK280" i="10" s="1"/>
  <c r="AI280" i="10"/>
  <c r="BQ280" i="10"/>
  <c r="AF55" i="10"/>
  <c r="AG55" i="10" s="1"/>
  <c r="AE55" i="10"/>
  <c r="BM61" i="10"/>
  <c r="BS61" i="10"/>
  <c r="W61" i="10"/>
  <c r="BD61" i="10" s="1"/>
  <c r="BO61" i="10"/>
  <c r="U33" i="10"/>
  <c r="BL64" i="10"/>
  <c r="BU64" i="10"/>
  <c r="CI64" i="10"/>
  <c r="AB60" i="10"/>
  <c r="AA60" i="10"/>
  <c r="AM60" i="10"/>
  <c r="CF60" i="10" s="1"/>
  <c r="BN60" i="10"/>
  <c r="I60" i="10"/>
  <c r="AI185" i="10"/>
  <c r="AJ185" i="10"/>
  <c r="AK185" i="10" s="1"/>
  <c r="CE100" i="10"/>
  <c r="AO100" i="10"/>
  <c r="U100" i="10"/>
  <c r="AJ52" i="10"/>
  <c r="AK52" i="10" s="1"/>
  <c r="AI52" i="10"/>
  <c r="AF112" i="10"/>
  <c r="AG112" i="10" s="1"/>
  <c r="AE112" i="10"/>
  <c r="AA86" i="10"/>
  <c r="AB86" i="10"/>
  <c r="AJ86" i="10"/>
  <c r="AK86" i="10" s="1"/>
  <c r="AI86" i="10"/>
  <c r="O81" i="10"/>
  <c r="N81" i="10"/>
  <c r="BX141" i="10"/>
  <c r="X96" i="10"/>
  <c r="V96" i="10"/>
  <c r="AE128" i="10"/>
  <c r="AF128" i="10"/>
  <c r="AG128" i="10" s="1"/>
  <c r="O133" i="10"/>
  <c r="N133" i="10"/>
  <c r="AA176" i="10"/>
  <c r="AB176" i="10"/>
  <c r="AJ178" i="10"/>
  <c r="AK178" i="10" s="1"/>
  <c r="AI178" i="10"/>
  <c r="N256" i="10"/>
  <c r="O256" i="10"/>
  <c r="BV49" i="10"/>
  <c r="O89" i="10"/>
  <c r="N89" i="10"/>
  <c r="CI135" i="10"/>
  <c r="BL125" i="10"/>
  <c r="BQ125" i="10" s="1"/>
  <c r="Z125" i="10"/>
  <c r="BU125" i="10"/>
  <c r="CD333" i="10"/>
  <c r="K333" i="10"/>
  <c r="U162" i="10"/>
  <c r="Y162" i="10"/>
  <c r="AL162" i="10"/>
  <c r="BT162" i="10"/>
  <c r="AM162" i="10"/>
  <c r="CF162" i="10" s="1"/>
  <c r="CJ162" i="10"/>
  <c r="W162" i="10"/>
  <c r="BD162" i="10" s="1"/>
  <c r="AN162" i="10"/>
  <c r="CG162" i="10" s="1"/>
  <c r="BJ162" i="10"/>
  <c r="I162" i="10"/>
  <c r="BM162" i="10"/>
  <c r="BW162" i="10"/>
  <c r="BN162" i="10"/>
  <c r="BP162" i="10"/>
  <c r="CB162" i="10"/>
  <c r="BU162" i="10"/>
  <c r="BK162" i="10"/>
  <c r="CI162" i="10"/>
  <c r="BV162" i="10"/>
  <c r="BX162" i="10"/>
  <c r="BL162" i="10"/>
  <c r="BY162" i="10"/>
  <c r="BO162" i="10"/>
  <c r="BS162" i="10"/>
  <c r="I85" i="10"/>
  <c r="CD85" i="10" s="1"/>
  <c r="O85" i="10"/>
  <c r="CD15" i="10"/>
  <c r="K15" i="10"/>
  <c r="W17" i="10"/>
  <c r="BD17" i="10" s="1"/>
  <c r="V17" i="10"/>
  <c r="Y17" i="10"/>
  <c r="U17" i="10"/>
  <c r="X329" i="10"/>
  <c r="Y329" i="10"/>
  <c r="U168" i="10"/>
  <c r="Y168" i="10"/>
  <c r="AL168" i="10"/>
  <c r="BN168" i="10"/>
  <c r="BX168" i="10"/>
  <c r="AM168" i="10"/>
  <c r="CF168" i="10" s="1"/>
  <c r="BP168" i="10"/>
  <c r="CB168" i="10"/>
  <c r="W168" i="10"/>
  <c r="BD168" i="10" s="1"/>
  <c r="AN168" i="10"/>
  <c r="CG168" i="10" s="1"/>
  <c r="BT168" i="10"/>
  <c r="CJ168" i="10"/>
  <c r="BL168" i="10"/>
  <c r="BV168" i="10"/>
  <c r="I168" i="10"/>
  <c r="BY168" i="10"/>
  <c r="BS168" i="10"/>
  <c r="BW168" i="10"/>
  <c r="BJ168" i="10"/>
  <c r="BM168" i="10"/>
  <c r="BK168" i="10"/>
  <c r="CI168" i="10"/>
  <c r="BU168" i="10"/>
  <c r="BO168" i="10"/>
  <c r="I328" i="10"/>
  <c r="BJ328" i="10"/>
  <c r="AM328" i="10"/>
  <c r="CF328" i="10" s="1"/>
  <c r="BU328" i="10"/>
  <c r="BY328" i="10"/>
  <c r="BM328" i="10"/>
  <c r="AN328" i="10"/>
  <c r="CG328" i="10" s="1"/>
  <c r="BT328" i="10"/>
  <c r="CI328" i="10"/>
  <c r="BP328" i="10"/>
  <c r="CJ328" i="10"/>
  <c r="BO328" i="10"/>
  <c r="BN328" i="10"/>
  <c r="BX328" i="10"/>
  <c r="BW328" i="10"/>
  <c r="BS328" i="10"/>
  <c r="X49" i="10"/>
  <c r="W49" i="10"/>
  <c r="BD49" i="10" s="1"/>
  <c r="U49" i="10"/>
  <c r="V49" i="10"/>
  <c r="Y49" i="10"/>
  <c r="I80" i="10"/>
  <c r="AM80" i="10"/>
  <c r="CF80" i="10" s="1"/>
  <c r="BY80" i="10"/>
  <c r="BT80" i="10"/>
  <c r="Y80" i="10"/>
  <c r="BP80" i="10"/>
  <c r="CI80" i="10"/>
  <c r="BW80" i="10"/>
  <c r="W80" i="10"/>
  <c r="BD80" i="10" s="1"/>
  <c r="BO80" i="10"/>
  <c r="BX80" i="10"/>
  <c r="BV80" i="10"/>
  <c r="U80" i="10"/>
  <c r="BL80" i="10"/>
  <c r="CJ80" i="10"/>
  <c r="AL80" i="10"/>
  <c r="BN80" i="10"/>
  <c r="Z152" i="10"/>
  <c r="AD152" i="10"/>
  <c r="AH152" i="10"/>
  <c r="AL56" i="10"/>
  <c r="BK56" i="10"/>
  <c r="BT56" i="10"/>
  <c r="BJ56" i="10"/>
  <c r="AM56" i="10"/>
  <c r="CF56" i="10" s="1"/>
  <c r="BP56" i="10"/>
  <c r="BS56" i="10"/>
  <c r="CI56" i="10"/>
  <c r="BU56" i="10"/>
  <c r="BV56" i="10"/>
  <c r="CJ56" i="10"/>
  <c r="CB56" i="10"/>
  <c r="BL56" i="10"/>
  <c r="BW56" i="10"/>
  <c r="BY56" i="10"/>
  <c r="I153" i="10"/>
  <c r="U153" i="10"/>
  <c r="Y153" i="10"/>
  <c r="AL153" i="10"/>
  <c r="CJ153" i="10"/>
  <c r="AM153" i="10"/>
  <c r="CF153" i="10" s="1"/>
  <c r="W153" i="10"/>
  <c r="BD153" i="10" s="1"/>
  <c r="AN153" i="10"/>
  <c r="CG153" i="10" s="1"/>
  <c r="BJ153" i="10"/>
  <c r="O153" i="10"/>
  <c r="BU153" i="10"/>
  <c r="BK153" i="10"/>
  <c r="CI153" i="10"/>
  <c r="BX153" i="10"/>
  <c r="BY153" i="10"/>
  <c r="BO153" i="10"/>
  <c r="BL153" i="10"/>
  <c r="BS153" i="10"/>
  <c r="BT153" i="10"/>
  <c r="BN153" i="10"/>
  <c r="BP153" i="10"/>
  <c r="BW153" i="10"/>
  <c r="BM153" i="10"/>
  <c r="CB153" i="10"/>
  <c r="BV153" i="10"/>
  <c r="W42" i="10"/>
  <c r="V42" i="10"/>
  <c r="U42" i="10"/>
  <c r="U67" i="10"/>
  <c r="W67" i="10"/>
  <c r="BD67" i="10" s="1"/>
  <c r="X67" i="10"/>
  <c r="V67" i="10"/>
  <c r="Y67" i="10"/>
  <c r="U14" i="10"/>
  <c r="V14" i="10"/>
  <c r="W14" i="10"/>
  <c r="BD14" i="10" s="1"/>
  <c r="X14" i="10"/>
  <c r="CD335" i="10"/>
  <c r="K335" i="10"/>
  <c r="U170" i="10"/>
  <c r="Y170" i="10"/>
  <c r="AL170" i="10"/>
  <c r="BT170" i="10"/>
  <c r="AM170" i="10"/>
  <c r="CF170" i="10" s="1"/>
  <c r="CJ170" i="10"/>
  <c r="W170" i="10"/>
  <c r="BD170" i="10" s="1"/>
  <c r="AN170" i="10"/>
  <c r="CG170" i="10" s="1"/>
  <c r="BJ170" i="10"/>
  <c r="I170" i="10"/>
  <c r="BS170" i="10"/>
  <c r="BM170" i="10"/>
  <c r="BW170" i="10"/>
  <c r="BN170" i="10"/>
  <c r="BP170" i="10"/>
  <c r="CB170" i="10"/>
  <c r="BU170" i="10"/>
  <c r="BK170" i="10"/>
  <c r="CI170" i="10"/>
  <c r="BV170" i="10"/>
  <c r="BX170" i="10"/>
  <c r="BL170" i="10"/>
  <c r="BY170" i="10"/>
  <c r="BO170" i="10"/>
  <c r="X348" i="10"/>
  <c r="W348" i="10"/>
  <c r="BD348" i="10" s="1"/>
  <c r="I82" i="10"/>
  <c r="W82" i="10"/>
  <c r="BD82" i="10" s="1"/>
  <c r="BO82" i="10"/>
  <c r="AN82" i="10"/>
  <c r="CG82" i="10" s="1"/>
  <c r="BN82" i="10"/>
  <c r="Y82" i="10"/>
  <c r="BP82" i="10"/>
  <c r="BL82" i="10"/>
  <c r="AM82" i="10"/>
  <c r="CF82" i="10" s="1"/>
  <c r="BY82" i="10"/>
  <c r="BJ82" i="10"/>
  <c r="BM82" i="10"/>
  <c r="AL82" i="10"/>
  <c r="CB82" i="10"/>
  <c r="BW82" i="10"/>
  <c r="U82" i="10"/>
  <c r="BK82" i="10"/>
  <c r="CI82" i="10"/>
  <c r="BV82" i="10"/>
  <c r="BS82" i="10"/>
  <c r="I129" i="10"/>
  <c r="AN129" i="10"/>
  <c r="CG129" i="10" s="1"/>
  <c r="BL129" i="10"/>
  <c r="BO129" i="10"/>
  <c r="BV129" i="10"/>
  <c r="AL129" i="10"/>
  <c r="CJ129" i="10"/>
  <c r="BX129" i="10"/>
  <c r="CI129" i="10"/>
  <c r="BY129" i="10"/>
  <c r="BP129" i="10"/>
  <c r="BU129" i="10"/>
  <c r="AM129" i="10"/>
  <c r="CF129" i="10" s="1"/>
  <c r="BS129" i="10"/>
  <c r="BW129" i="10"/>
  <c r="BK129" i="10"/>
  <c r="W219" i="10"/>
  <c r="BD219" i="10" s="1"/>
  <c r="BJ219" i="10"/>
  <c r="BT219" i="10"/>
  <c r="AL219" i="10"/>
  <c r="BK219" i="10"/>
  <c r="BV219" i="10"/>
  <c r="AM219" i="10"/>
  <c r="CF219" i="10" s="1"/>
  <c r="BO219" i="10"/>
  <c r="CJ219" i="10"/>
  <c r="AN219" i="10"/>
  <c r="CG219" i="10" s="1"/>
  <c r="BP219" i="10"/>
  <c r="BW219" i="10"/>
  <c r="BS219" i="10"/>
  <c r="O219" i="10"/>
  <c r="CB219" i="10"/>
  <c r="BX219" i="10"/>
  <c r="CI219" i="10"/>
  <c r="BL219" i="10"/>
  <c r="Y219" i="10"/>
  <c r="BN219" i="10"/>
  <c r="BM219" i="10"/>
  <c r="I219" i="10"/>
  <c r="BU219" i="10"/>
  <c r="BY219" i="10"/>
  <c r="U219" i="10"/>
  <c r="I73" i="10"/>
  <c r="CD73" i="10" s="1"/>
  <c r="CB73" i="10"/>
  <c r="CJ73" i="10"/>
  <c r="BL73" i="10"/>
  <c r="BS73" i="10"/>
  <c r="U73" i="10"/>
  <c r="W73" i="10"/>
  <c r="BD73" i="10" s="1"/>
  <c r="BY73" i="10"/>
  <c r="AL73" i="10"/>
  <c r="BJ73" i="10"/>
  <c r="Y73" i="10"/>
  <c r="AM73" i="10"/>
  <c r="CF73" i="10" s="1"/>
  <c r="AN73" i="10"/>
  <c r="CG73" i="10" s="1"/>
  <c r="BN73" i="10"/>
  <c r="BV73" i="10"/>
  <c r="BP73" i="10"/>
  <c r="AE316" i="10"/>
  <c r="AF316" i="10"/>
  <c r="AG316" i="10" s="1"/>
  <c r="AE168" i="10"/>
  <c r="AF168" i="10"/>
  <c r="AG168" i="10" s="1"/>
  <c r="AJ228" i="10"/>
  <c r="AK228" i="10" s="1"/>
  <c r="AI228" i="10"/>
  <c r="AE336" i="10"/>
  <c r="AF336" i="10"/>
  <c r="AG336" i="10" s="1"/>
  <c r="O342" i="10"/>
  <c r="N342" i="10"/>
  <c r="AA220" i="10"/>
  <c r="AB220" i="10"/>
  <c r="AF333" i="10"/>
  <c r="AG333" i="10" s="1"/>
  <c r="AE333" i="10"/>
  <c r="BT333" i="10"/>
  <c r="BO333" i="10"/>
  <c r="BJ333" i="10"/>
  <c r="BQ213" i="10"/>
  <c r="N281" i="10"/>
  <c r="O281" i="10"/>
  <c r="N298" i="10"/>
  <c r="O298" i="10"/>
  <c r="AF289" i="10"/>
  <c r="AG289" i="10" s="1"/>
  <c r="AE289" i="10"/>
  <c r="AB200" i="10"/>
  <c r="AA200" i="10"/>
  <c r="AE206" i="10"/>
  <c r="AF206" i="10"/>
  <c r="AG206" i="10" s="1"/>
  <c r="AF162" i="10"/>
  <c r="AG162" i="10" s="1"/>
  <c r="AE162" i="10"/>
  <c r="BV330" i="10"/>
  <c r="BW330" i="10"/>
  <c r="CI330" i="10"/>
  <c r="CB330" i="10"/>
  <c r="BO330" i="10"/>
  <c r="CJ330" i="10"/>
  <c r="BW6" i="10"/>
  <c r="BO6" i="10"/>
  <c r="BK6" i="10"/>
  <c r="CJ6" i="10"/>
  <c r="AL6" i="10"/>
  <c r="BJ6" i="10"/>
  <c r="BP6" i="10"/>
  <c r="I6" i="10"/>
  <c r="AF205" i="10"/>
  <c r="AG205" i="10" s="1"/>
  <c r="AE205" i="10"/>
  <c r="N247" i="10"/>
  <c r="O247" i="10"/>
  <c r="AA305" i="10"/>
  <c r="AB305" i="10"/>
  <c r="AO339" i="10"/>
  <c r="AA10" i="10"/>
  <c r="AB10" i="10"/>
  <c r="V10" i="10"/>
  <c r="BV10" i="10"/>
  <c r="CI10" i="10"/>
  <c r="AF10" i="10"/>
  <c r="AG10" i="10" s="1"/>
  <c r="AE10" i="10"/>
  <c r="BX10" i="10"/>
  <c r="AM10" i="10"/>
  <c r="CF10" i="10" s="1"/>
  <c r="BQ321" i="10"/>
  <c r="AE199" i="10"/>
  <c r="AF199" i="10"/>
  <c r="AG199" i="10" s="1"/>
  <c r="BQ18" i="10"/>
  <c r="V18" i="10"/>
  <c r="BO72" i="10"/>
  <c r="Y72" i="10"/>
  <c r="BS72" i="10"/>
  <c r="AJ72" i="10"/>
  <c r="AK72" i="10" s="1"/>
  <c r="AI72" i="10"/>
  <c r="BP72" i="10"/>
  <c r="BY72" i="10"/>
  <c r="AN72" i="10"/>
  <c r="CG72" i="10" s="1"/>
  <c r="W19" i="10"/>
  <c r="BD19" i="10" s="1"/>
  <c r="AB20" i="10"/>
  <c r="AA20" i="10"/>
  <c r="CD20" i="10"/>
  <c r="K20" i="10"/>
  <c r="AJ188" i="10"/>
  <c r="AK188" i="10" s="1"/>
  <c r="AI188" i="10"/>
  <c r="N299" i="10"/>
  <c r="O299" i="10"/>
  <c r="U339" i="10"/>
  <c r="Y339" i="10"/>
  <c r="W339" i="10"/>
  <c r="BD339" i="10" s="1"/>
  <c r="BQ339" i="10"/>
  <c r="AI13" i="10"/>
  <c r="AJ13" i="10"/>
  <c r="AK13" i="10" s="1"/>
  <c r="AA13" i="10"/>
  <c r="AB13" i="10"/>
  <c r="O53" i="10"/>
  <c r="N53" i="10"/>
  <c r="BS51" i="10"/>
  <c r="BT51" i="10"/>
  <c r="BX51" i="10"/>
  <c r="BN51" i="10"/>
  <c r="W51" i="10"/>
  <c r="BD51" i="10" s="1"/>
  <c r="BP51" i="10"/>
  <c r="N72" i="10"/>
  <c r="O72" i="10"/>
  <c r="AF37" i="10"/>
  <c r="AG37" i="10" s="1"/>
  <c r="AE37" i="10"/>
  <c r="AJ37" i="10"/>
  <c r="AK37" i="10" s="1"/>
  <c r="AI37" i="10"/>
  <c r="AB37" i="10"/>
  <c r="AA37" i="10"/>
  <c r="O312" i="10"/>
  <c r="N312" i="10"/>
  <c r="BN71" i="10"/>
  <c r="BU71" i="10"/>
  <c r="CI71" i="10"/>
  <c r="BX71" i="10"/>
  <c r="CJ71" i="10"/>
  <c r="CB71" i="10"/>
  <c r="BX70" i="10"/>
  <c r="BU70" i="10"/>
  <c r="AF70" i="10"/>
  <c r="AG70" i="10" s="1"/>
  <c r="AE70" i="10"/>
  <c r="BP70" i="10"/>
  <c r="BY70" i="10"/>
  <c r="AN70" i="10"/>
  <c r="CG70" i="10" s="1"/>
  <c r="O51" i="10"/>
  <c r="BJ22" i="10"/>
  <c r="U22" i="10"/>
  <c r="BV22" i="10"/>
  <c r="CB22" i="10"/>
  <c r="AF22" i="10"/>
  <c r="AG22" i="10" s="1"/>
  <c r="AE22" i="10"/>
  <c r="AB22" i="10"/>
  <c r="AA22" i="10"/>
  <c r="X22" i="10"/>
  <c r="AJ24" i="10"/>
  <c r="AK24" i="10" s="1"/>
  <c r="AI24" i="10"/>
  <c r="W24" i="10"/>
  <c r="BD24" i="10" s="1"/>
  <c r="BQ31" i="10"/>
  <c r="Y31" i="10"/>
  <c r="K31" i="10"/>
  <c r="X31" i="10"/>
  <c r="BP99" i="10"/>
  <c r="BM99" i="10"/>
  <c r="BN99" i="10"/>
  <c r="Y99" i="10"/>
  <c r="W99" i="10"/>
  <c r="BD99" i="10" s="1"/>
  <c r="AL99" i="10"/>
  <c r="BO99" i="10"/>
  <c r="AM99" i="10"/>
  <c r="CF99" i="10" s="1"/>
  <c r="AO41" i="10"/>
  <c r="AI281" i="10"/>
  <c r="AJ281" i="10"/>
  <c r="AK281" i="10" s="1"/>
  <c r="AE350" i="10"/>
  <c r="AF350" i="10"/>
  <c r="AG350" i="10" s="1"/>
  <c r="N11" i="10"/>
  <c r="O11" i="10"/>
  <c r="O61" i="10"/>
  <c r="N61" i="10"/>
  <c r="BM50" i="10"/>
  <c r="Y50" i="10"/>
  <c r="BK50" i="10"/>
  <c r="CB50" i="10"/>
  <c r="BL50" i="10"/>
  <c r="AM50" i="10"/>
  <c r="CF50" i="10" s="1"/>
  <c r="AN50" i="10"/>
  <c r="CG50" i="10" s="1"/>
  <c r="O64" i="10"/>
  <c r="N64" i="10"/>
  <c r="CI78" i="10"/>
  <c r="BP78" i="10"/>
  <c r="BU78" i="10"/>
  <c r="BX78" i="10"/>
  <c r="AI78" i="10"/>
  <c r="AJ78" i="10"/>
  <c r="AK78" i="10" s="1"/>
  <c r="BY78" i="10"/>
  <c r="AN78" i="10"/>
  <c r="CG78" i="10" s="1"/>
  <c r="O38" i="10"/>
  <c r="N38" i="10"/>
  <c r="AJ119" i="10"/>
  <c r="AK119" i="10" s="1"/>
  <c r="AI119" i="10"/>
  <c r="BQ119" i="10"/>
  <c r="N67" i="10"/>
  <c r="O67" i="10"/>
  <c r="U58" i="10"/>
  <c r="Y58" i="10"/>
  <c r="BO58" i="10"/>
  <c r="AN58" i="10"/>
  <c r="CG58" i="10" s="1"/>
  <c r="W58" i="10"/>
  <c r="BD58" i="10" s="1"/>
  <c r="V58" i="10"/>
  <c r="AI103" i="10"/>
  <c r="AJ103" i="10"/>
  <c r="AK103" i="10" s="1"/>
  <c r="CD40" i="10"/>
  <c r="K40" i="10"/>
  <c r="AF40" i="10"/>
  <c r="AG40" i="10" s="1"/>
  <c r="AE40" i="10"/>
  <c r="U40" i="10"/>
  <c r="BT93" i="10"/>
  <c r="CJ93" i="10"/>
  <c r="CB93" i="10"/>
  <c r="K93" i="10"/>
  <c r="AE93" i="10"/>
  <c r="AF93" i="10"/>
  <c r="AG93" i="10" s="1"/>
  <c r="BW93" i="10"/>
  <c r="BU93" i="10"/>
  <c r="AM93" i="10"/>
  <c r="CF93" i="10" s="1"/>
  <c r="O9" i="10"/>
  <c r="N9" i="10"/>
  <c r="BW45" i="10"/>
  <c r="BU45" i="10"/>
  <c r="CI45" i="10"/>
  <c r="CB45" i="10"/>
  <c r="AE45" i="10"/>
  <c r="AF45" i="10"/>
  <c r="AG45" i="10" s="1"/>
  <c r="AA45" i="10"/>
  <c r="AB45" i="10"/>
  <c r="BV45" i="10"/>
  <c r="AL132" i="10"/>
  <c r="K132" i="10"/>
  <c r="BN132" i="10"/>
  <c r="BP132" i="10"/>
  <c r="BM132" i="10"/>
  <c r="Y132" i="10"/>
  <c r="AN132" i="10"/>
  <c r="CG132" i="10" s="1"/>
  <c r="U132" i="10"/>
  <c r="AN127" i="10"/>
  <c r="CG127" i="10" s="1"/>
  <c r="BO127" i="10"/>
  <c r="BJ127" i="10"/>
  <c r="BM127" i="10"/>
  <c r="V127" i="10"/>
  <c r="BL127" i="10"/>
  <c r="BU101" i="10"/>
  <c r="BW101" i="10"/>
  <c r="AF101" i="10"/>
  <c r="AG101" i="10" s="1"/>
  <c r="AE101" i="10"/>
  <c r="BJ101" i="10"/>
  <c r="CI101" i="10"/>
  <c r="CJ101" i="10"/>
  <c r="N27" i="10"/>
  <c r="O27" i="10"/>
  <c r="BM102" i="10"/>
  <c r="AA107" i="10"/>
  <c r="AB107" i="10"/>
  <c r="CD107" i="10"/>
  <c r="K107" i="10"/>
  <c r="BM140" i="10"/>
  <c r="CI140" i="10"/>
  <c r="BV140" i="10"/>
  <c r="BX140" i="10"/>
  <c r="BS140" i="10"/>
  <c r="CJ140" i="10"/>
  <c r="BW140" i="10"/>
  <c r="CB74" i="10"/>
  <c r="BX74" i="10"/>
  <c r="V74" i="10"/>
  <c r="BP74" i="10"/>
  <c r="CI74" i="10"/>
  <c r="W74" i="10"/>
  <c r="BY74" i="10"/>
  <c r="P103" i="10"/>
  <c r="CL103" i="10"/>
  <c r="CK103" i="10"/>
  <c r="BP77" i="10"/>
  <c r="BU77" i="10"/>
  <c r="BV77" i="10"/>
  <c r="BO77" i="10"/>
  <c r="BL77" i="10"/>
  <c r="AN77" i="10"/>
  <c r="CG77" i="10" s="1"/>
  <c r="U77" i="10"/>
  <c r="BJ124" i="10"/>
  <c r="BK124" i="10"/>
  <c r="K124" i="10"/>
  <c r="BN124" i="10"/>
  <c r="CJ124" i="10"/>
  <c r="AN124" i="10"/>
  <c r="CG124" i="10" s="1"/>
  <c r="U124" i="10"/>
  <c r="AE130" i="10"/>
  <c r="AF130" i="10"/>
  <c r="AG130" i="10" s="1"/>
  <c r="AL130" i="10"/>
  <c r="CI130" i="10"/>
  <c r="BK130" i="10"/>
  <c r="W130" i="10"/>
  <c r="BD130" i="10" s="1"/>
  <c r="U130" i="10"/>
  <c r="Y130" i="10"/>
  <c r="AL84" i="10"/>
  <c r="BN84" i="10"/>
  <c r="Y84" i="10"/>
  <c r="W84" i="10"/>
  <c r="BD84" i="10" s="1"/>
  <c r="U84" i="10"/>
  <c r="BO84" i="10"/>
  <c r="BP76" i="10"/>
  <c r="BU76" i="10"/>
  <c r="BW76" i="10"/>
  <c r="BL76" i="10"/>
  <c r="U76" i="10"/>
  <c r="BT76" i="10"/>
  <c r="AL126" i="10"/>
  <c r="AJ126" i="10"/>
  <c r="AK126" i="10" s="1"/>
  <c r="AI126" i="10"/>
  <c r="AF126" i="10"/>
  <c r="AG126" i="10" s="1"/>
  <c r="AE126" i="10"/>
  <c r="BJ126" i="10"/>
  <c r="BU126" i="10"/>
  <c r="BP126" i="10"/>
  <c r="BO126" i="10"/>
  <c r="X126" i="10"/>
  <c r="AE83" i="10"/>
  <c r="AF83" i="10"/>
  <c r="AG83" i="10" s="1"/>
  <c r="BW83" i="10"/>
  <c r="V83" i="10"/>
  <c r="BS83" i="10"/>
  <c r="BY83" i="10"/>
  <c r="AM83" i="10"/>
  <c r="CF83" i="10" s="1"/>
  <c r="Y335" i="10"/>
  <c r="BU335" i="10"/>
  <c r="AL335" i="10"/>
  <c r="AI335" i="10"/>
  <c r="AJ335" i="10"/>
  <c r="AK335" i="10" s="1"/>
  <c r="BW335" i="10"/>
  <c r="BL335" i="10"/>
  <c r="BQ208" i="10"/>
  <c r="AB208" i="10"/>
  <c r="AA208" i="10"/>
  <c r="BS343" i="10"/>
  <c r="BU343" i="10"/>
  <c r="BT343" i="10"/>
  <c r="BJ343" i="10"/>
  <c r="CJ343" i="10"/>
  <c r="BL343" i="10"/>
  <c r="AE224" i="10"/>
  <c r="AF224" i="10"/>
  <c r="AG224" i="10" s="1"/>
  <c r="O7" i="10"/>
  <c r="X15" i="10"/>
  <c r="CJ15" i="10"/>
  <c r="BP15" i="10"/>
  <c r="AF15" i="10"/>
  <c r="AG15" i="10" s="1"/>
  <c r="AE15" i="10"/>
  <c r="W15" i="10"/>
  <c r="BW15" i="10"/>
  <c r="AA110" i="10"/>
  <c r="AB110" i="10"/>
  <c r="Y331" i="10"/>
  <c r="AF331" i="10"/>
  <c r="AG331" i="10" s="1"/>
  <c r="AE331" i="10"/>
  <c r="W331" i="10"/>
  <c r="BD331" i="10" s="1"/>
  <c r="AF170" i="10"/>
  <c r="AG170" i="10" s="1"/>
  <c r="AE170" i="10"/>
  <c r="AF114" i="10"/>
  <c r="AG114" i="10" s="1"/>
  <c r="AE114" i="10"/>
  <c r="BQ114" i="10"/>
  <c r="N280" i="10"/>
  <c r="O280" i="10"/>
  <c r="BS25" i="10"/>
  <c r="BJ25" i="10"/>
  <c r="AB25" i="10"/>
  <c r="AA25" i="10"/>
  <c r="BN25" i="10"/>
  <c r="BY25" i="10"/>
  <c r="V25" i="10"/>
  <c r="BQ35" i="10"/>
  <c r="BL43" i="10"/>
  <c r="BN43" i="10"/>
  <c r="BK43" i="10"/>
  <c r="BP43" i="10"/>
  <c r="AN43" i="10"/>
  <c r="CG43" i="10" s="1"/>
  <c r="U43" i="10"/>
  <c r="BX43" i="10"/>
  <c r="O52" i="10"/>
  <c r="N52" i="10"/>
  <c r="O56" i="10"/>
  <c r="N56" i="10"/>
  <c r="O20" i="10"/>
  <c r="N20" i="10"/>
  <c r="CE32" i="10"/>
  <c r="AO32" i="10"/>
  <c r="K32" i="10"/>
  <c r="V39" i="10"/>
  <c r="BQ39" i="10"/>
  <c r="BL92" i="10"/>
  <c r="BV92" i="10"/>
  <c r="AM92" i="10"/>
  <c r="CF92" i="10" s="1"/>
  <c r="AF92" i="10"/>
  <c r="AG92" i="10" s="1"/>
  <c r="AE92" i="10"/>
  <c r="BT92" i="10"/>
  <c r="BY92" i="10"/>
  <c r="BP92" i="10"/>
  <c r="AL133" i="10"/>
  <c r="BN133" i="10"/>
  <c r="BK133" i="10"/>
  <c r="BW133" i="10"/>
  <c r="AM133" i="10"/>
  <c r="CF133" i="10" s="1"/>
  <c r="BY133" i="10"/>
  <c r="N117" i="10"/>
  <c r="O117" i="10"/>
  <c r="AE66" i="10"/>
  <c r="AF66" i="10"/>
  <c r="AG66" i="10" s="1"/>
  <c r="BJ66" i="10"/>
  <c r="W66" i="10"/>
  <c r="BD66" i="10" s="1"/>
  <c r="U66" i="10"/>
  <c r="V66" i="10"/>
  <c r="BX66" i="10"/>
  <c r="AM66" i="10"/>
  <c r="CF66" i="10" s="1"/>
  <c r="N115" i="10"/>
  <c r="O115" i="10"/>
  <c r="O122" i="10"/>
  <c r="AE212" i="10"/>
  <c r="AF212" i="10"/>
  <c r="AG212" i="10" s="1"/>
  <c r="AJ320" i="10"/>
  <c r="AK320" i="10" s="1"/>
  <c r="AI320" i="10"/>
  <c r="AI309" i="10"/>
  <c r="AJ309" i="10"/>
  <c r="AK309" i="10" s="1"/>
  <c r="AF226" i="10"/>
  <c r="AG226" i="10" s="1"/>
  <c r="AE226" i="10"/>
  <c r="AB236" i="10"/>
  <c r="AA236" i="10"/>
  <c r="CE326" i="10"/>
  <c r="AO326" i="10"/>
  <c r="AE326" i="10"/>
  <c r="AF326" i="10"/>
  <c r="AG326" i="10" s="1"/>
  <c r="AJ326" i="10"/>
  <c r="AK326" i="10" s="1"/>
  <c r="AI326" i="10"/>
  <c r="O332" i="10"/>
  <c r="N332" i="10"/>
  <c r="BN347" i="10"/>
  <c r="BY347" i="10"/>
  <c r="CI347" i="10"/>
  <c r="CB347" i="10"/>
  <c r="X347" i="10"/>
  <c r="BO347" i="10"/>
  <c r="BT347" i="10"/>
  <c r="V347" i="10"/>
  <c r="BQ287" i="10"/>
  <c r="BQ314" i="10"/>
  <c r="BQ307" i="10"/>
  <c r="AJ155" i="10"/>
  <c r="AK155" i="10" s="1"/>
  <c r="AI155" i="10"/>
  <c r="O185" i="10"/>
  <c r="N185" i="10"/>
  <c r="BQ286" i="10"/>
  <c r="BT12" i="10"/>
  <c r="BU12" i="10"/>
  <c r="U12" i="10"/>
  <c r="CJ12" i="10"/>
  <c r="BL12" i="10"/>
  <c r="BY12" i="10"/>
  <c r="BW12" i="10"/>
  <c r="BQ161" i="10"/>
  <c r="AF161" i="10"/>
  <c r="AG161" i="10" s="1"/>
  <c r="AE161" i="10"/>
  <c r="O275" i="10"/>
  <c r="N275" i="10"/>
  <c r="U327" i="10"/>
  <c r="BS327" i="10"/>
  <c r="AL327" i="10"/>
  <c r="BP327" i="10"/>
  <c r="BW327" i="10"/>
  <c r="AM327" i="10"/>
  <c r="CF327" i="10" s="1"/>
  <c r="BL9" i="10"/>
  <c r="BS9" i="10"/>
  <c r="BM9" i="10"/>
  <c r="BO9" i="10"/>
  <c r="X9" i="10"/>
  <c r="BV9" i="10"/>
  <c r="CJ9" i="10"/>
  <c r="I9" i="10"/>
  <c r="N126" i="10"/>
  <c r="O126" i="10"/>
  <c r="Y55" i="10"/>
  <c r="BW55" i="10"/>
  <c r="W55" i="10"/>
  <c r="BD55" i="10" s="1"/>
  <c r="CB55" i="10"/>
  <c r="BX55" i="10"/>
  <c r="AN55" i="10"/>
  <c r="CG55" i="10" s="1"/>
  <c r="AL55" i="10"/>
  <c r="N62" i="10"/>
  <c r="O62" i="10"/>
  <c r="CB61" i="10"/>
  <c r="BY61" i="10"/>
  <c r="BW61" i="10"/>
  <c r="BK61" i="10"/>
  <c r="BV61" i="10"/>
  <c r="BT61" i="10"/>
  <c r="X61" i="10"/>
  <c r="AJ209" i="10"/>
  <c r="AK209" i="10" s="1"/>
  <c r="AI209" i="10"/>
  <c r="AA209" i="10"/>
  <c r="AB209" i="10"/>
  <c r="O338" i="10"/>
  <c r="N338" i="10"/>
  <c r="AJ36" i="10"/>
  <c r="AK36" i="10" s="1"/>
  <c r="AI36" i="10"/>
  <c r="W36" i="10"/>
  <c r="BD36" i="10" s="1"/>
  <c r="CE33" i="10"/>
  <c r="AO33" i="10"/>
  <c r="AI33" i="10"/>
  <c r="AJ33" i="10"/>
  <c r="AK33" i="10" s="1"/>
  <c r="V33" i="10"/>
  <c r="BK68" i="10"/>
  <c r="BS68" i="10"/>
  <c r="BO68" i="10"/>
  <c r="AE68" i="10"/>
  <c r="AF68" i="10"/>
  <c r="AG68" i="10" s="1"/>
  <c r="AA68" i="10"/>
  <c r="AB68" i="10"/>
  <c r="X68" i="10"/>
  <c r="AA69" i="10"/>
  <c r="AB69" i="10"/>
  <c r="BJ69" i="10"/>
  <c r="BK69" i="10"/>
  <c r="BS69" i="10"/>
  <c r="CJ69" i="10"/>
  <c r="CB69" i="10"/>
  <c r="BK64" i="10"/>
  <c r="BW64" i="10"/>
  <c r="Y64" i="10"/>
  <c r="BY64" i="10"/>
  <c r="CJ64" i="10"/>
  <c r="BX64" i="10"/>
  <c r="BS64" i="10"/>
  <c r="BM67" i="10"/>
  <c r="U60" i="10"/>
  <c r="BV60" i="10"/>
  <c r="BJ60" i="10"/>
  <c r="BX60" i="10"/>
  <c r="BS60" i="10"/>
  <c r="BL60" i="10"/>
  <c r="AA185" i="10"/>
  <c r="AB185" i="10"/>
  <c r="AE344" i="10"/>
  <c r="AF344" i="10"/>
  <c r="AG344" i="10" s="1"/>
  <c r="X344" i="10"/>
  <c r="Y59" i="10"/>
  <c r="BU59" i="10"/>
  <c r="BO59" i="10"/>
  <c r="BX59" i="10"/>
  <c r="CB59" i="10"/>
  <c r="CJ59" i="10"/>
  <c r="W59" i="10"/>
  <c r="BD59" i="10" s="1"/>
  <c r="CI54" i="10"/>
  <c r="BS54" i="10"/>
  <c r="BV54" i="10"/>
  <c r="AL54" i="10"/>
  <c r="W54" i="10"/>
  <c r="BD54" i="10" s="1"/>
  <c r="AN54" i="10"/>
  <c r="CG54" i="10" s="1"/>
  <c r="AM54" i="10"/>
  <c r="CF54" i="10" s="1"/>
  <c r="O86" i="10"/>
  <c r="N86" i="10"/>
  <c r="N339" i="10"/>
  <c r="O339" i="10"/>
  <c r="AL26" i="10"/>
  <c r="BU26" i="10"/>
  <c r="BV26" i="10"/>
  <c r="X26" i="10"/>
  <c r="BP26" i="10"/>
  <c r="BY26" i="10"/>
  <c r="CI26" i="10"/>
  <c r="K29" i="10"/>
  <c r="CD29" i="10"/>
  <c r="AB29" i="10"/>
  <c r="AA29" i="10"/>
  <c r="V29" i="10"/>
  <c r="BQ38" i="10"/>
  <c r="V38" i="10"/>
  <c r="AE109" i="10"/>
  <c r="AF109" i="10"/>
  <c r="AG109" i="10" s="1"/>
  <c r="O193" i="10"/>
  <c r="N193" i="10"/>
  <c r="X62" i="10"/>
  <c r="BV62" i="10"/>
  <c r="U62" i="10"/>
  <c r="BU62" i="10"/>
  <c r="AE62" i="10"/>
  <c r="AF62" i="10"/>
  <c r="AG62" i="10" s="1"/>
  <c r="AJ62" i="10"/>
  <c r="AK62" i="10" s="1"/>
  <c r="AI62" i="10"/>
  <c r="BY52" i="10"/>
  <c r="BX52" i="10"/>
  <c r="BJ52" i="10"/>
  <c r="BT52" i="10"/>
  <c r="BK52" i="10"/>
  <c r="W52" i="10"/>
  <c r="BD52" i="10" s="1"/>
  <c r="AB52" i="10"/>
  <c r="AA52" i="10"/>
  <c r="V52" i="10"/>
  <c r="CE112" i="10"/>
  <c r="AO112" i="10"/>
  <c r="BF112" i="10"/>
  <c r="BE112" i="10"/>
  <c r="U97" i="10"/>
  <c r="N118" i="10"/>
  <c r="O118" i="10"/>
  <c r="BQ294" i="10"/>
  <c r="O8" i="10"/>
  <c r="N8" i="10"/>
  <c r="X41" i="10"/>
  <c r="AB41" i="10"/>
  <c r="AA41" i="10"/>
  <c r="AE85" i="10"/>
  <c r="AF85" i="10"/>
  <c r="AG85" i="10" s="1"/>
  <c r="BO85" i="10"/>
  <c r="CB85" i="10"/>
  <c r="BV85" i="10"/>
  <c r="BK85" i="10"/>
  <c r="AM85" i="10"/>
  <c r="CF85" i="10" s="1"/>
  <c r="BT85" i="10"/>
  <c r="BN131" i="10"/>
  <c r="BM131" i="10"/>
  <c r="AI131" i="10"/>
  <c r="AJ131" i="10"/>
  <c r="AK131" i="10" s="1"/>
  <c r="BX131" i="10"/>
  <c r="BT131" i="10"/>
  <c r="BW131" i="10"/>
  <c r="N113" i="10"/>
  <c r="O113" i="10"/>
  <c r="BM69" i="10"/>
  <c r="CJ27" i="10"/>
  <c r="BJ27" i="10"/>
  <c r="W27" i="10"/>
  <c r="BD27" i="10" s="1"/>
  <c r="BO27" i="10"/>
  <c r="AN27" i="10"/>
  <c r="CG27" i="10" s="1"/>
  <c r="AI27" i="10"/>
  <c r="AJ27" i="10"/>
  <c r="AK27" i="10" s="1"/>
  <c r="BU27" i="10"/>
  <c r="BJ86" i="10"/>
  <c r="BN86" i="10"/>
  <c r="BX86" i="10"/>
  <c r="BT86" i="10"/>
  <c r="BU86" i="10"/>
  <c r="CI86" i="10"/>
  <c r="BO86" i="10"/>
  <c r="X86" i="10"/>
  <c r="AB113" i="10"/>
  <c r="AA113" i="10"/>
  <c r="AO109" i="10"/>
  <c r="BN141" i="10"/>
  <c r="AE141" i="10"/>
  <c r="AF141" i="10"/>
  <c r="AG141" i="10" s="1"/>
  <c r="AL141" i="10"/>
  <c r="AJ141" i="10"/>
  <c r="AK141" i="10" s="1"/>
  <c r="AI141" i="10"/>
  <c r="BW141" i="10"/>
  <c r="BT141" i="10"/>
  <c r="X141" i="10"/>
  <c r="I141" i="10"/>
  <c r="CD141" i="10" s="1"/>
  <c r="CI128" i="10"/>
  <c r="AL128" i="10"/>
  <c r="AI128" i="10"/>
  <c r="AJ128" i="10"/>
  <c r="AK128" i="10" s="1"/>
  <c r="BU128" i="10"/>
  <c r="BK128" i="10"/>
  <c r="AN128" i="10"/>
  <c r="CG128" i="10" s="1"/>
  <c r="BO128" i="10"/>
  <c r="AB315" i="10"/>
  <c r="AA315" i="10"/>
  <c r="CE118" i="10"/>
  <c r="AO118" i="10"/>
  <c r="BV120" i="10"/>
  <c r="BN120" i="10"/>
  <c r="CI120" i="10"/>
  <c r="CI88" i="10"/>
  <c r="BM88" i="10"/>
  <c r="AO37" i="10"/>
  <c r="BN79" i="10"/>
  <c r="BP81" i="10"/>
  <c r="BU57" i="10"/>
  <c r="AF98" i="10"/>
  <c r="AG98" i="10" s="1"/>
  <c r="AE98" i="10"/>
  <c r="W98" i="10"/>
  <c r="BD98" i="10" s="1"/>
  <c r="BK73" i="10"/>
  <c r="BO73" i="10"/>
  <c r="AE138" i="10"/>
  <c r="AF138" i="10"/>
  <c r="AG138" i="10" s="1"/>
  <c r="CB106" i="10"/>
  <c r="AI214" i="10"/>
  <c r="AJ214" i="10"/>
  <c r="AK214" i="10" s="1"/>
  <c r="BW342" i="10"/>
  <c r="BM7" i="10"/>
  <c r="O308" i="10"/>
  <c r="N308" i="10"/>
  <c r="BW8" i="10"/>
  <c r="BV8" i="10"/>
  <c r="AE49" i="10"/>
  <c r="AF49" i="10"/>
  <c r="AG49" i="10" s="1"/>
  <c r="BO56" i="10"/>
  <c r="BM44" i="10"/>
  <c r="BJ44" i="10"/>
  <c r="CJ44" i="10"/>
  <c r="N315" i="10"/>
  <c r="O315" i="10"/>
  <c r="AA21" i="10"/>
  <c r="AB21" i="10"/>
  <c r="BN135" i="10"/>
  <c r="BW135" i="10"/>
  <c r="W349" i="10"/>
  <c r="BD349" i="10" s="1"/>
  <c r="X349" i="10"/>
  <c r="BT90" i="10"/>
  <c r="AI90" i="10"/>
  <c r="AJ90" i="10"/>
  <c r="AK90" i="10" s="1"/>
  <c r="U95" i="10"/>
  <c r="BL121" i="10"/>
  <c r="AL121" i="10"/>
  <c r="AJ42" i="10"/>
  <c r="AK42" i="10" s="1"/>
  <c r="AI42" i="10"/>
  <c r="U96" i="10"/>
  <c r="AJ104" i="10"/>
  <c r="AK104" i="10" s="1"/>
  <c r="AI104" i="10"/>
  <c r="AE104" i="10"/>
  <c r="AF104" i="10"/>
  <c r="AG104" i="10" s="1"/>
  <c r="AJ122" i="10"/>
  <c r="AK122" i="10" s="1"/>
  <c r="AI122" i="10"/>
  <c r="BX82" i="10"/>
  <c r="V123" i="10"/>
  <c r="BG112" i="10"/>
  <c r="AM91" i="10"/>
  <c r="CF91" i="10" s="1"/>
  <c r="AL105" i="10"/>
  <c r="BL105" i="10"/>
  <c r="BV75" i="10"/>
  <c r="Y75" i="10"/>
  <c r="X97" i="10"/>
  <c r="BY30" i="10"/>
  <c r="AB30" i="10"/>
  <c r="AA30" i="10"/>
  <c r="AN23" i="10"/>
  <c r="CG23" i="10" s="1"/>
  <c r="CB65" i="10"/>
  <c r="BK65" i="10"/>
  <c r="W65" i="10"/>
  <c r="BD65" i="10" s="1"/>
  <c r="AI94" i="10"/>
  <c r="AJ94" i="10"/>
  <c r="AK94" i="10" s="1"/>
  <c r="X94" i="10"/>
  <c r="CJ89" i="10"/>
  <c r="AN89" i="10"/>
  <c r="CG89" i="10" s="1"/>
  <c r="O124" i="10"/>
  <c r="BX329" i="10"/>
  <c r="BX342" i="10"/>
  <c r="AJ229" i="10"/>
  <c r="AK229" i="10" s="1"/>
  <c r="AI229" i="10"/>
  <c r="AA219" i="10"/>
  <c r="AB219" i="10"/>
  <c r="BY332" i="10"/>
  <c r="BM332" i="10"/>
  <c r="AJ192" i="10"/>
  <c r="AK192" i="10" s="1"/>
  <c r="AI192" i="10"/>
  <c r="O205" i="10"/>
  <c r="N205" i="10"/>
  <c r="O310" i="10"/>
  <c r="N310" i="10"/>
  <c r="AF180" i="10"/>
  <c r="AG180" i="10" s="1"/>
  <c r="AE180" i="10"/>
  <c r="O191" i="10"/>
  <c r="N191" i="10"/>
  <c r="AB207" i="10"/>
  <c r="AA207" i="10"/>
  <c r="AF207" i="10"/>
  <c r="AG207" i="10" s="1"/>
  <c r="AE207" i="10"/>
  <c r="N301" i="10"/>
  <c r="O301" i="10"/>
  <c r="AI189" i="10"/>
  <c r="AJ189" i="10"/>
  <c r="AK189" i="10" s="1"/>
  <c r="AA163" i="10"/>
  <c r="AB163" i="10"/>
  <c r="AE163" i="10"/>
  <c r="AF163" i="10"/>
  <c r="AG163" i="10" s="1"/>
  <c r="AB322" i="10"/>
  <c r="AA322" i="10"/>
  <c r="AE322" i="10"/>
  <c r="AF322" i="10"/>
  <c r="AG322" i="10" s="1"/>
  <c r="O307" i="10"/>
  <c r="N307" i="10"/>
  <c r="AE337" i="10"/>
  <c r="AF337" i="10"/>
  <c r="AG337" i="10" s="1"/>
  <c r="AB11" i="10"/>
  <c r="AA11" i="10"/>
  <c r="AJ28" i="10"/>
  <c r="AK28" i="10" s="1"/>
  <c r="AI28" i="10"/>
  <c r="AB14" i="10"/>
  <c r="AA14" i="10"/>
  <c r="Y14" i="10"/>
  <c r="BV102" i="10"/>
  <c r="AL87" i="10"/>
  <c r="AN87" i="10"/>
  <c r="CG87" i="10" s="1"/>
  <c r="BY87" i="10"/>
  <c r="AA139" i="10"/>
  <c r="AB139" i="10"/>
  <c r="AJ139" i="10"/>
  <c r="AK139" i="10" s="1"/>
  <c r="AI139" i="10"/>
  <c r="CF139" i="10"/>
  <c r="AO139" i="10"/>
  <c r="BK80" i="10"/>
  <c r="BU80" i="10"/>
  <c r="CB80" i="10"/>
  <c r="BJ129" i="10"/>
  <c r="U129" i="10"/>
  <c r="AM230" i="10"/>
  <c r="CF230" i="10" s="1"/>
  <c r="BS230" i="10"/>
  <c r="CB230" i="10"/>
  <c r="AL230" i="10"/>
  <c r="I230" i="10"/>
  <c r="BU230" i="10"/>
  <c r="AN230" i="10"/>
  <c r="CG230" i="10" s="1"/>
  <c r="CJ230" i="10"/>
  <c r="BP230" i="10"/>
  <c r="U230" i="10"/>
  <c r="BY230" i="10"/>
  <c r="BJ230" i="10"/>
  <c r="BV230" i="10"/>
  <c r="CI230" i="10"/>
  <c r="W230" i="10"/>
  <c r="BD230" i="10" s="1"/>
  <c r="Y230" i="10"/>
  <c r="BO230" i="10"/>
  <c r="BX230" i="10"/>
  <c r="BM230" i="10"/>
  <c r="BK230" i="10"/>
  <c r="BN230" i="10"/>
  <c r="BW230" i="10"/>
  <c r="BL230" i="10"/>
  <c r="BT230" i="10"/>
  <c r="O230" i="10"/>
  <c r="I67" i="10"/>
  <c r="CD67" i="10" s="1"/>
  <c r="CB67" i="10"/>
  <c r="CJ67" i="10"/>
  <c r="BY67" i="10"/>
  <c r="BX67" i="10"/>
  <c r="BK67" i="10"/>
  <c r="BV67" i="10"/>
  <c r="BN67" i="10"/>
  <c r="CI67" i="10"/>
  <c r="AL67" i="10"/>
  <c r="AM67" i="10"/>
  <c r="CF67" i="10" s="1"/>
  <c r="AN67" i="10"/>
  <c r="CG67" i="10" s="1"/>
  <c r="BL67" i="10"/>
  <c r="BJ67" i="10"/>
  <c r="U338" i="10"/>
  <c r="V338" i="10"/>
  <c r="X338" i="10"/>
  <c r="I98" i="10"/>
  <c r="CD98" i="10" s="1"/>
  <c r="BL98" i="10"/>
  <c r="AM98" i="10"/>
  <c r="CF98" i="10" s="1"/>
  <c r="AN98" i="10"/>
  <c r="CG98" i="10" s="1"/>
  <c r="BN98" i="10"/>
  <c r="BU98" i="10"/>
  <c r="BO98" i="10"/>
  <c r="BP98" i="10"/>
  <c r="BK98" i="10"/>
  <c r="BJ98" i="10"/>
  <c r="AL98" i="10"/>
  <c r="CJ98" i="10"/>
  <c r="BW98" i="10"/>
  <c r="BY98" i="10"/>
  <c r="BT98" i="10"/>
  <c r="CI98" i="10"/>
  <c r="BX98" i="10"/>
  <c r="K343" i="10"/>
  <c r="CD343" i="10"/>
  <c r="I42" i="10"/>
  <c r="AL42" i="10"/>
  <c r="CJ42" i="10"/>
  <c r="BJ42" i="10"/>
  <c r="BO42" i="10"/>
  <c r="CI42" i="10"/>
  <c r="BT42" i="10"/>
  <c r="BV42" i="10"/>
  <c r="BS42" i="10"/>
  <c r="BX42" i="10"/>
  <c r="BP42" i="10"/>
  <c r="AN42" i="10"/>
  <c r="CG42" i="10" s="1"/>
  <c r="AM42" i="10"/>
  <c r="CF42" i="10" s="1"/>
  <c r="BN42" i="10"/>
  <c r="BL42" i="10"/>
  <c r="BM42" i="10"/>
  <c r="BK42" i="10"/>
  <c r="Y332" i="10"/>
  <c r="W332" i="10"/>
  <c r="BD332" i="10" s="1"/>
  <c r="U332" i="10"/>
  <c r="V332" i="10"/>
  <c r="Y105" i="10"/>
  <c r="X105" i="10"/>
  <c r="V105" i="10"/>
  <c r="U105" i="10"/>
  <c r="I330" i="10"/>
  <c r="BX330" i="10"/>
  <c r="BJ49" i="10"/>
  <c r="BN49" i="10"/>
  <c r="BK49" i="10"/>
  <c r="BY49" i="10"/>
  <c r="AL49" i="10"/>
  <c r="AN49" i="10"/>
  <c r="CG49" i="10" s="1"/>
  <c r="BX49" i="10"/>
  <c r="CB49" i="10"/>
  <c r="AM49" i="10"/>
  <c r="CF49" i="10" s="1"/>
  <c r="CI49" i="10"/>
  <c r="I49" i="10"/>
  <c r="BL49" i="10"/>
  <c r="BT49" i="10"/>
  <c r="BP49" i="10"/>
  <c r="BW49" i="10"/>
  <c r="BS49" i="10"/>
  <c r="AA211" i="10"/>
  <c r="AB211" i="10"/>
  <c r="AE228" i="10"/>
  <c r="AF228" i="10"/>
  <c r="AG228" i="10" s="1"/>
  <c r="CB336" i="10"/>
  <c r="BJ336" i="10"/>
  <c r="BT336" i="10"/>
  <c r="AM336" i="10"/>
  <c r="CF336" i="10" s="1"/>
  <c r="AA239" i="10"/>
  <c r="AB239" i="10"/>
  <c r="AA233" i="10"/>
  <c r="AB233" i="10"/>
  <c r="N328" i="10"/>
  <c r="O328" i="10"/>
  <c r="N333" i="10"/>
  <c r="O333" i="10"/>
  <c r="AF213" i="10"/>
  <c r="AG213" i="10" s="1"/>
  <c r="AE213" i="10"/>
  <c r="AA167" i="10"/>
  <c r="AB167" i="10"/>
  <c r="AJ200" i="10"/>
  <c r="AK200" i="10" s="1"/>
  <c r="AI200" i="10"/>
  <c r="O345" i="10"/>
  <c r="N345" i="10"/>
  <c r="BP330" i="10"/>
  <c r="BU330" i="10"/>
  <c r="X330" i="10"/>
  <c r="AJ205" i="10"/>
  <c r="AK205" i="10" s="1"/>
  <c r="AI205" i="10"/>
  <c r="AF72" i="10"/>
  <c r="AG72" i="10" s="1"/>
  <c r="AE72" i="10"/>
  <c r="CJ72" i="10"/>
  <c r="AB188" i="10"/>
  <c r="AA188" i="10"/>
  <c r="CD339" i="10"/>
  <c r="K339" i="10"/>
  <c r="V339" i="10"/>
  <c r="AE13" i="10"/>
  <c r="AF13" i="10"/>
  <c r="AG13" i="10" s="1"/>
  <c r="AB51" i="10"/>
  <c r="AA51" i="10"/>
  <c r="N134" i="10"/>
  <c r="O134" i="10"/>
  <c r="BJ71" i="10"/>
  <c r="AI22" i="10"/>
  <c r="AJ22" i="10"/>
  <c r="AK22" i="10" s="1"/>
  <c r="BT22" i="10"/>
  <c r="I22" i="10"/>
  <c r="Y24" i="10"/>
  <c r="CD350" i="10"/>
  <c r="K350" i="10"/>
  <c r="AJ350" i="10"/>
  <c r="AK350" i="10" s="1"/>
  <c r="AI350" i="10"/>
  <c r="BM78" i="10"/>
  <c r="O110" i="10"/>
  <c r="N110" i="10"/>
  <c r="AB103" i="10"/>
  <c r="AA103" i="10"/>
  <c r="Y40" i="10"/>
  <c r="AA132" i="10"/>
  <c r="AB132" i="10"/>
  <c r="N82" i="10"/>
  <c r="O82" i="10"/>
  <c r="BV101" i="10"/>
  <c r="U101" i="10"/>
  <c r="BO101" i="10"/>
  <c r="AN101" i="10"/>
  <c r="CG101" i="10" s="1"/>
  <c r="AE107" i="10"/>
  <c r="AF107" i="10"/>
  <c r="AG107" i="10" s="1"/>
  <c r="BJ74" i="10"/>
  <c r="AI74" i="10"/>
  <c r="AJ74" i="10"/>
  <c r="AK74" i="10" s="1"/>
  <c r="AN74" i="10"/>
  <c r="CG74" i="10" s="1"/>
  <c r="CI77" i="10"/>
  <c r="K77" i="10"/>
  <c r="CB77" i="10"/>
  <c r="CJ77" i="10"/>
  <c r="BT77" i="10"/>
  <c r="AJ130" i="10"/>
  <c r="AK130" i="10" s="1"/>
  <c r="AI130" i="10"/>
  <c r="AB84" i="10"/>
  <c r="AA84" i="10"/>
  <c r="O25" i="10"/>
  <c r="N25" i="10"/>
  <c r="AF76" i="10"/>
  <c r="AG76" i="10" s="1"/>
  <c r="AE76" i="10"/>
  <c r="AB76" i="10"/>
  <c r="AA76" i="10"/>
  <c r="V76" i="10"/>
  <c r="W76" i="10"/>
  <c r="BD76" i="10" s="1"/>
  <c r="AF335" i="10"/>
  <c r="AG335" i="10" s="1"/>
  <c r="AE335" i="10"/>
  <c r="N343" i="10"/>
  <c r="O343" i="10"/>
  <c r="Y343" i="10"/>
  <c r="AF343" i="10"/>
  <c r="AG343" i="10" s="1"/>
  <c r="AE343" i="10"/>
  <c r="AI224" i="10"/>
  <c r="AJ224" i="10"/>
  <c r="AK224" i="10" s="1"/>
  <c r="AB15" i="10"/>
  <c r="AA15" i="10"/>
  <c r="BF110" i="10"/>
  <c r="BG110" i="10"/>
  <c r="BE110" i="10"/>
  <c r="AB43" i="10"/>
  <c r="AA43" i="10"/>
  <c r="W39" i="10"/>
  <c r="BD39" i="10" s="1"/>
  <c r="AI133" i="10"/>
  <c r="AJ133" i="10"/>
  <c r="AK133" i="10" s="1"/>
  <c r="O91" i="10"/>
  <c r="N91" i="10"/>
  <c r="AB212" i="10"/>
  <c r="AA212" i="10"/>
  <c r="O334" i="10"/>
  <c r="N334" i="10"/>
  <c r="AF216" i="10"/>
  <c r="AG216" i="10" s="1"/>
  <c r="AE216" i="10"/>
  <c r="AI287" i="10"/>
  <c r="AJ287" i="10"/>
  <c r="AK287" i="10" s="1"/>
  <c r="AE240" i="10"/>
  <c r="AF240" i="10"/>
  <c r="AG240" i="10" s="1"/>
  <c r="AE307" i="10"/>
  <c r="AF307" i="10"/>
  <c r="AG307" i="10" s="1"/>
  <c r="AJ286" i="10"/>
  <c r="AK286" i="10" s="1"/>
  <c r="AI286" i="10"/>
  <c r="N341" i="10"/>
  <c r="O341" i="10"/>
  <c r="CB12" i="10"/>
  <c r="Y12" i="10"/>
  <c r="W12" i="10"/>
  <c r="BD12" i="10" s="1"/>
  <c r="AJ9" i="10"/>
  <c r="AK9" i="10" s="1"/>
  <c r="AI9" i="10"/>
  <c r="O340" i="10"/>
  <c r="N340" i="10"/>
  <c r="BP55" i="10"/>
  <c r="N43" i="10"/>
  <c r="O43" i="10"/>
  <c r="BX61" i="10"/>
  <c r="BP61" i="10"/>
  <c r="N179" i="10"/>
  <c r="O179" i="10"/>
  <c r="BQ36" i="10"/>
  <c r="CD36" i="10"/>
  <c r="K36" i="10"/>
  <c r="AE33" i="10"/>
  <c r="AF33" i="10"/>
  <c r="AG33" i="10" s="1"/>
  <c r="AB33" i="10"/>
  <c r="AA33" i="10"/>
  <c r="AJ68" i="10"/>
  <c r="AK68" i="10" s="1"/>
  <c r="AI68" i="10"/>
  <c r="BO64" i="10"/>
  <c r="CB64" i="10"/>
  <c r="BM60" i="10"/>
  <c r="U102" i="10"/>
  <c r="V102" i="10"/>
  <c r="W102" i="10"/>
  <c r="BD102" i="10" s="1"/>
  <c r="X102" i="10"/>
  <c r="Y102" i="10"/>
  <c r="V41" i="10"/>
  <c r="AI303" i="10"/>
  <c r="AJ303" i="10"/>
  <c r="AK303" i="10" s="1"/>
  <c r="AE86" i="10"/>
  <c r="AF86" i="10"/>
  <c r="AG86" i="10" s="1"/>
  <c r="CE113" i="10"/>
  <c r="AO113" i="10"/>
  <c r="BJ141" i="10"/>
  <c r="BK141" i="10"/>
  <c r="CB141" i="10"/>
  <c r="AI315" i="10"/>
  <c r="AJ315" i="10"/>
  <c r="AK315" i="10" s="1"/>
  <c r="BC118" i="10"/>
  <c r="BG118" i="10"/>
  <c r="BE118" i="10"/>
  <c r="AJ88" i="10"/>
  <c r="AK88" i="10" s="1"/>
  <c r="AI88" i="10"/>
  <c r="AB57" i="10"/>
  <c r="AA57" i="10"/>
  <c r="Y98" i="10"/>
  <c r="CD111" i="10"/>
  <c r="K111" i="10"/>
  <c r="BK106" i="10"/>
  <c r="CJ49" i="10"/>
  <c r="AA310" i="10"/>
  <c r="AB310" i="10"/>
  <c r="N130" i="10"/>
  <c r="O130" i="10"/>
  <c r="AF16" i="10"/>
  <c r="AG16" i="10" s="1"/>
  <c r="AE16" i="10"/>
  <c r="AA116" i="10"/>
  <c r="AB116" i="10"/>
  <c r="CB42" i="10"/>
  <c r="AE82" i="10"/>
  <c r="AF82" i="10"/>
  <c r="AG82" i="10" s="1"/>
  <c r="BJ91" i="10"/>
  <c r="BM91" i="10"/>
  <c r="BS105" i="10"/>
  <c r="AJ47" i="10"/>
  <c r="AK47" i="10" s="1"/>
  <c r="AI47" i="10"/>
  <c r="CD47" i="10"/>
  <c r="K47" i="10"/>
  <c r="AE348" i="10"/>
  <c r="AF348" i="10"/>
  <c r="AG348" i="10" s="1"/>
  <c r="U87" i="10"/>
  <c r="Y87" i="10"/>
  <c r="V87" i="10"/>
  <c r="W87" i="10"/>
  <c r="BD87" i="10" s="1"/>
  <c r="X87" i="10"/>
  <c r="K62" i="10"/>
  <c r="CD62" i="10"/>
  <c r="V16" i="10"/>
  <c r="Y16" i="10"/>
  <c r="U16" i="10"/>
  <c r="X16" i="10"/>
  <c r="W16" i="10"/>
  <c r="BD16" i="10" s="1"/>
  <c r="Y351" i="10"/>
  <c r="U351" i="10"/>
  <c r="BN214" i="10"/>
  <c r="CI214" i="10"/>
  <c r="I214" i="10"/>
  <c r="BU214" i="10"/>
  <c r="AN214" i="10"/>
  <c r="CG214" i="10" s="1"/>
  <c r="CJ214" i="10"/>
  <c r="BP214" i="10"/>
  <c r="BL214" i="10"/>
  <c r="U214" i="10"/>
  <c r="BY214" i="10"/>
  <c r="BJ214" i="10"/>
  <c r="BV214" i="10"/>
  <c r="BW214" i="10"/>
  <c r="Y214" i="10"/>
  <c r="BO214" i="10"/>
  <c r="CB214" i="10"/>
  <c r="BT214" i="10"/>
  <c r="AL214" i="10"/>
  <c r="BX214" i="10"/>
  <c r="W214" i="10"/>
  <c r="BD214" i="10" s="1"/>
  <c r="BM214" i="10"/>
  <c r="BK214" i="10"/>
  <c r="AM214" i="10"/>
  <c r="CF214" i="10" s="1"/>
  <c r="BS214" i="10"/>
  <c r="O214" i="10"/>
  <c r="AL46" i="10"/>
  <c r="BV46" i="10"/>
  <c r="BX46" i="10"/>
  <c r="CB46" i="10"/>
  <c r="BW46" i="10"/>
  <c r="BY46" i="10"/>
  <c r="BU46" i="10"/>
  <c r="I46" i="10"/>
  <c r="BT46" i="10"/>
  <c r="AN46" i="10"/>
  <c r="CG46" i="10" s="1"/>
  <c r="BM46" i="10"/>
  <c r="CJ46" i="10"/>
  <c r="AM46" i="10"/>
  <c r="CF46" i="10" s="1"/>
  <c r="BP46" i="10"/>
  <c r="BK46" i="10"/>
  <c r="BS46" i="10"/>
  <c r="U88" i="10"/>
  <c r="V88" i="10"/>
  <c r="X88" i="10"/>
  <c r="W88" i="10"/>
  <c r="BD88" i="10" s="1"/>
  <c r="Y88" i="10"/>
  <c r="I88" i="10"/>
  <c r="BS88" i="10"/>
  <c r="BU88" i="10"/>
  <c r="BX88" i="10"/>
  <c r="CB88" i="10"/>
  <c r="BK88" i="10"/>
  <c r="BW88" i="10"/>
  <c r="BP88" i="10"/>
  <c r="BN88" i="10"/>
  <c r="BL88" i="10"/>
  <c r="AL154" i="10"/>
  <c r="BL154" i="10"/>
  <c r="CB154" i="10"/>
  <c r="W154" i="10"/>
  <c r="BD154" i="10" s="1"/>
  <c r="AM154" i="10"/>
  <c r="CF154" i="10" s="1"/>
  <c r="BN154" i="10"/>
  <c r="CJ154" i="10"/>
  <c r="AN154" i="10"/>
  <c r="CG154" i="10" s="1"/>
  <c r="BT154" i="10"/>
  <c r="I154" i="10"/>
  <c r="BJ154" i="10"/>
  <c r="BV154" i="10"/>
  <c r="U154" i="10"/>
  <c r="Y154" i="10"/>
  <c r="BU154" i="10"/>
  <c r="BK154" i="10"/>
  <c r="CI154" i="10"/>
  <c r="BY154" i="10"/>
  <c r="BO154" i="10"/>
  <c r="BX154" i="10"/>
  <c r="BS154" i="10"/>
  <c r="BP154" i="10"/>
  <c r="BM154" i="10"/>
  <c r="BW154" i="10"/>
  <c r="AM218" i="10"/>
  <c r="CF218" i="10" s="1"/>
  <c r="BS218" i="10"/>
  <c r="CB218" i="10"/>
  <c r="AL218" i="10"/>
  <c r="U218" i="10"/>
  <c r="BY218" i="10"/>
  <c r="BJ218" i="10"/>
  <c r="BV218" i="10"/>
  <c r="BX218" i="10"/>
  <c r="Y218" i="10"/>
  <c r="BO218" i="10"/>
  <c r="BN218" i="10"/>
  <c r="BM218" i="10"/>
  <c r="BT218" i="10"/>
  <c r="BK218" i="10"/>
  <c r="AN218" i="10"/>
  <c r="CG218" i="10" s="1"/>
  <c r="BW218" i="10"/>
  <c r="I218" i="10"/>
  <c r="CJ218" i="10"/>
  <c r="BL218" i="10"/>
  <c r="BU218" i="10"/>
  <c r="CI218" i="10"/>
  <c r="BP218" i="10"/>
  <c r="W218" i="10"/>
  <c r="BD218" i="10" s="1"/>
  <c r="O218" i="10"/>
  <c r="AH150" i="10"/>
  <c r="Z150" i="10"/>
  <c r="AD150" i="10"/>
  <c r="V346" i="10"/>
  <c r="Y346" i="10"/>
  <c r="W135" i="10"/>
  <c r="BD135" i="10" s="1"/>
  <c r="V135" i="10"/>
  <c r="U135" i="10"/>
  <c r="X135" i="10"/>
  <c r="AM238" i="10"/>
  <c r="CF238" i="10" s="1"/>
  <c r="BS238" i="10"/>
  <c r="CB238" i="10"/>
  <c r="AL238" i="10"/>
  <c r="I238" i="10"/>
  <c r="BU238" i="10"/>
  <c r="AN238" i="10"/>
  <c r="CG238" i="10" s="1"/>
  <c r="CJ238" i="10"/>
  <c r="BP238" i="10"/>
  <c r="U238" i="10"/>
  <c r="BY238" i="10"/>
  <c r="BJ238" i="10"/>
  <c r="BV238" i="10"/>
  <c r="Y238" i="10"/>
  <c r="BO238" i="10"/>
  <c r="CI238" i="10"/>
  <c r="W238" i="10"/>
  <c r="BD238" i="10" s="1"/>
  <c r="BT238" i="10"/>
  <c r="BX238" i="10"/>
  <c r="BM238" i="10"/>
  <c r="BN238" i="10"/>
  <c r="BK238" i="10"/>
  <c r="BL238" i="10"/>
  <c r="BW238" i="10"/>
  <c r="O238" i="10"/>
  <c r="I97" i="10"/>
  <c r="CJ97" i="10"/>
  <c r="BT97" i="10"/>
  <c r="AL97" i="10"/>
  <c r="BS97" i="10"/>
  <c r="BL97" i="10"/>
  <c r="AM97" i="10"/>
  <c r="CF97" i="10" s="1"/>
  <c r="BX97" i="10"/>
  <c r="BU97" i="10"/>
  <c r="BW97" i="10"/>
  <c r="AN97" i="10"/>
  <c r="CG97" i="10" s="1"/>
  <c r="BY97" i="10"/>
  <c r="CB97" i="10"/>
  <c r="BJ97" i="10"/>
  <c r="BN97" i="10"/>
  <c r="BM97" i="10"/>
  <c r="BO97" i="10"/>
  <c r="I14" i="10"/>
  <c r="BL14" i="10"/>
  <c r="BP14" i="10"/>
  <c r="BJ14" i="10"/>
  <c r="BX14" i="10"/>
  <c r="O14" i="10"/>
  <c r="BY14" i="10"/>
  <c r="AM14" i="10"/>
  <c r="CF14" i="10" s="1"/>
  <c r="BS14" i="10"/>
  <c r="CJ14" i="10"/>
  <c r="AL14" i="10"/>
  <c r="CI14" i="10"/>
  <c r="BO14" i="10"/>
  <c r="BV14" i="10"/>
  <c r="BU14" i="10"/>
  <c r="AN14" i="10"/>
  <c r="CG14" i="10" s="1"/>
  <c r="W173" i="10"/>
  <c r="BD173" i="10" s="1"/>
  <c r="AM173" i="10"/>
  <c r="CF173" i="10" s="1"/>
  <c r="AN173" i="10"/>
  <c r="CG173" i="10" s="1"/>
  <c r="U173" i="10"/>
  <c r="Y173" i="10"/>
  <c r="CB173" i="10"/>
  <c r="CJ173" i="10"/>
  <c r="AL173" i="10"/>
  <c r="I173" i="10"/>
  <c r="O173" i="10"/>
  <c r="BM173" i="10"/>
  <c r="BW173" i="10"/>
  <c r="BP173" i="10"/>
  <c r="BJ173" i="10"/>
  <c r="BT173" i="10"/>
  <c r="BV173" i="10"/>
  <c r="BU173" i="10"/>
  <c r="BK173" i="10"/>
  <c r="CI173" i="10"/>
  <c r="BX173" i="10"/>
  <c r="BL173" i="10"/>
  <c r="BY173" i="10"/>
  <c r="BO173" i="10"/>
  <c r="BN173" i="10"/>
  <c r="BS173" i="10"/>
  <c r="BP48" i="10"/>
  <c r="BN48" i="10"/>
  <c r="BM48" i="10"/>
  <c r="BV48" i="10"/>
  <c r="AN48" i="10"/>
  <c r="CG48" i="10" s="1"/>
  <c r="AM48" i="10"/>
  <c r="CF48" i="10" s="1"/>
  <c r="BJ48" i="10"/>
  <c r="BS48" i="10"/>
  <c r="I48" i="10"/>
  <c r="CB48" i="10"/>
  <c r="AL48" i="10"/>
  <c r="CJ48" i="10"/>
  <c r="BO48" i="10"/>
  <c r="CI48" i="10"/>
  <c r="BY48" i="10"/>
  <c r="BT48" i="10"/>
  <c r="BJ53" i="10"/>
  <c r="AL53" i="10"/>
  <c r="CJ53" i="10"/>
  <c r="BS53" i="10"/>
  <c r="CI53" i="10"/>
  <c r="BT53" i="10"/>
  <c r="BO53" i="10"/>
  <c r="I53" i="10"/>
  <c r="BX53" i="10"/>
  <c r="BV53" i="10"/>
  <c r="BL53" i="10"/>
  <c r="BY53" i="10"/>
  <c r="BP53" i="10"/>
  <c r="AN53" i="10"/>
  <c r="CG53" i="10" s="1"/>
  <c r="CB53" i="10"/>
  <c r="BM53" i="10"/>
  <c r="BW53" i="10"/>
  <c r="AB173" i="10"/>
  <c r="AA173" i="10"/>
  <c r="BK336" i="10"/>
  <c r="AL336" i="10"/>
  <c r="CI336" i="10"/>
  <c r="BM336" i="10"/>
  <c r="AF319" i="10"/>
  <c r="AG319" i="10" s="1"/>
  <c r="AE319" i="10"/>
  <c r="AF239" i="10"/>
  <c r="AG239" i="10" s="1"/>
  <c r="AE239" i="10"/>
  <c r="AB222" i="10"/>
  <c r="AA222" i="10"/>
  <c r="AA230" i="10"/>
  <c r="AB230" i="10"/>
  <c r="CI333" i="10"/>
  <c r="U333" i="10"/>
  <c r="AN333" i="10"/>
  <c r="CG333" i="10" s="1"/>
  <c r="AB213" i="10"/>
  <c r="AA213" i="10"/>
  <c r="BQ165" i="10"/>
  <c r="BQ289" i="10"/>
  <c r="AN239" i="10"/>
  <c r="CG239" i="10" s="1"/>
  <c r="BP239" i="10"/>
  <c r="CJ239" i="10"/>
  <c r="W239" i="10"/>
  <c r="BD239" i="10" s="1"/>
  <c r="BJ239" i="10"/>
  <c r="BT239" i="10"/>
  <c r="AL239" i="10"/>
  <c r="BK239" i="10"/>
  <c r="BV239" i="10"/>
  <c r="O239" i="10"/>
  <c r="AM239" i="10"/>
  <c r="CF239" i="10" s="1"/>
  <c r="BO239" i="10"/>
  <c r="BL239" i="10"/>
  <c r="BN239" i="10"/>
  <c r="BW239" i="10"/>
  <c r="BS239" i="10"/>
  <c r="CB239" i="10"/>
  <c r="BX239" i="10"/>
  <c r="Y239" i="10"/>
  <c r="BM239" i="10"/>
  <c r="I239" i="10"/>
  <c r="BU239" i="10"/>
  <c r="U239" i="10"/>
  <c r="CI239" i="10"/>
  <c r="BY239" i="10"/>
  <c r="U21" i="10"/>
  <c r="X21" i="10"/>
  <c r="Y21" i="10"/>
  <c r="V21" i="10"/>
  <c r="Y28" i="10"/>
  <c r="X28" i="10"/>
  <c r="U28" i="10"/>
  <c r="I120" i="10"/>
  <c r="CD120" i="10" s="1"/>
  <c r="AN120" i="10"/>
  <c r="CG120" i="10" s="1"/>
  <c r="BK120" i="10"/>
  <c r="BL120" i="10"/>
  <c r="BO120" i="10"/>
  <c r="BY120" i="10"/>
  <c r="CB120" i="10"/>
  <c r="CJ120" i="10"/>
  <c r="BM120" i="10"/>
  <c r="BS120" i="10"/>
  <c r="I90" i="10"/>
  <c r="CD90" i="10" s="1"/>
  <c r="BK90" i="10"/>
  <c r="BU90" i="10"/>
  <c r="BX90" i="10"/>
  <c r="BV90" i="10"/>
  <c r="BJ90" i="10"/>
  <c r="BY90" i="10"/>
  <c r="BS90" i="10"/>
  <c r="BW90" i="10"/>
  <c r="BL90" i="10"/>
  <c r="AL90" i="10"/>
  <c r="CI90" i="10"/>
  <c r="BN90" i="10"/>
  <c r="CB90" i="10"/>
  <c r="BP90" i="10"/>
  <c r="BN212" i="10"/>
  <c r="BS212" i="10"/>
  <c r="CI212" i="10"/>
  <c r="W212" i="10"/>
  <c r="BD212" i="10" s="1"/>
  <c r="BM212" i="10"/>
  <c r="BT212" i="10"/>
  <c r="BK212" i="10"/>
  <c r="AL212" i="10"/>
  <c r="AM212" i="10"/>
  <c r="CF212" i="10" s="1"/>
  <c r="I212" i="10"/>
  <c r="BU212" i="10"/>
  <c r="AN212" i="10"/>
  <c r="CG212" i="10" s="1"/>
  <c r="CJ212" i="10"/>
  <c r="BP212" i="10"/>
  <c r="BL212" i="10"/>
  <c r="U212" i="10"/>
  <c r="BY212" i="10"/>
  <c r="BJ212" i="10"/>
  <c r="BV212" i="10"/>
  <c r="BW212" i="10"/>
  <c r="BO212" i="10"/>
  <c r="CB212" i="10"/>
  <c r="BX212" i="10"/>
  <c r="Y212" i="10"/>
  <c r="O212" i="10"/>
  <c r="X328" i="10"/>
  <c r="V328" i="10"/>
  <c r="Y328" i="10"/>
  <c r="I122" i="10"/>
  <c r="CD122" i="10" s="1"/>
  <c r="AM122" i="10"/>
  <c r="CF122" i="10" s="1"/>
  <c r="BU122" i="10"/>
  <c r="CJ122" i="10"/>
  <c r="BW122" i="10"/>
  <c r="BP122" i="10"/>
  <c r="BS122" i="10"/>
  <c r="BT122" i="10"/>
  <c r="BM122" i="10"/>
  <c r="BJ122" i="10"/>
  <c r="BL122" i="10"/>
  <c r="BO122" i="10"/>
  <c r="CI122" i="10"/>
  <c r="AL122" i="10"/>
  <c r="BV122" i="10"/>
  <c r="CD99" i="10"/>
  <c r="K99" i="10"/>
  <c r="CD10" i="10"/>
  <c r="K10" i="10"/>
  <c r="U44" i="10"/>
  <c r="V44" i="10"/>
  <c r="Y44" i="10"/>
  <c r="X44" i="10"/>
  <c r="I95" i="10"/>
  <c r="BO95" i="10"/>
  <c r="BY95" i="10"/>
  <c r="BK95" i="10"/>
  <c r="CI95" i="10"/>
  <c r="CB95" i="10"/>
  <c r="BM95" i="10"/>
  <c r="BL95" i="10"/>
  <c r="BV95" i="10"/>
  <c r="BX95" i="10"/>
  <c r="Y95" i="10"/>
  <c r="AN95" i="10"/>
  <c r="CG95" i="10" s="1"/>
  <c r="BT95" i="10"/>
  <c r="W95" i="10"/>
  <c r="BD95" i="10" s="1"/>
  <c r="BP95" i="10"/>
  <c r="AL95" i="10"/>
  <c r="BS95" i="10"/>
  <c r="BJ95" i="10"/>
  <c r="W334" i="10"/>
  <c r="BD334" i="10" s="1"/>
  <c r="X334" i="10"/>
  <c r="V334" i="10"/>
  <c r="U334" i="10"/>
  <c r="I121" i="10"/>
  <c r="BT121" i="10"/>
  <c r="CI121" i="10"/>
  <c r="BX121" i="10"/>
  <c r="BP121" i="10"/>
  <c r="BU121" i="10"/>
  <c r="BK121" i="10"/>
  <c r="BO121" i="10"/>
  <c r="CJ121" i="10"/>
  <c r="BY121" i="10"/>
  <c r="BS121" i="10"/>
  <c r="CB121" i="10"/>
  <c r="AN121" i="10"/>
  <c r="CG121" i="10" s="1"/>
  <c r="BN121" i="10"/>
  <c r="W340" i="10"/>
  <c r="BD340" i="10" s="1"/>
  <c r="Y340" i="10"/>
  <c r="V337" i="10"/>
  <c r="X337" i="10"/>
  <c r="U337" i="10"/>
  <c r="Y337" i="10"/>
  <c r="I136" i="10"/>
  <c r="CD136" i="10" s="1"/>
  <c r="AN136" i="10"/>
  <c r="CG136" i="10" s="1"/>
  <c r="BM136" i="10"/>
  <c r="BJ136" i="10"/>
  <c r="BX136" i="10"/>
  <c r="AM136" i="10"/>
  <c r="CF136" i="10" s="1"/>
  <c r="CB136" i="10"/>
  <c r="CI136" i="10"/>
  <c r="BP136" i="10"/>
  <c r="BN136" i="10"/>
  <c r="BW136" i="10"/>
  <c r="BL136" i="10"/>
  <c r="AL136" i="10"/>
  <c r="BY136" i="10"/>
  <c r="BS136" i="10"/>
  <c r="BU136" i="10"/>
  <c r="BV136" i="10"/>
  <c r="CD86" i="10"/>
  <c r="K86" i="10"/>
  <c r="U120" i="10"/>
  <c r="I81" i="10"/>
  <c r="CD81" i="10" s="1"/>
  <c r="BU81" i="10"/>
  <c r="BM81" i="10"/>
  <c r="BL81" i="10"/>
  <c r="BW81" i="10"/>
  <c r="BX81" i="10"/>
  <c r="AM81" i="10"/>
  <c r="CF81" i="10" s="1"/>
  <c r="BT81" i="10"/>
  <c r="BO81" i="10"/>
  <c r="CI81" i="10"/>
  <c r="BN81" i="10"/>
  <c r="BY81" i="10"/>
  <c r="BS81" i="10"/>
  <c r="AL81" i="10"/>
  <c r="I28" i="10"/>
  <c r="CD28" i="10" s="1"/>
  <c r="BS28" i="10"/>
  <c r="CI28" i="10"/>
  <c r="BV28" i="10"/>
  <c r="AL28" i="10"/>
  <c r="CB28" i="10"/>
  <c r="BN28" i="10"/>
  <c r="BO28" i="10"/>
  <c r="BM28" i="10"/>
  <c r="BT28" i="10"/>
  <c r="AN28" i="10"/>
  <c r="CG28" i="10" s="1"/>
  <c r="BP28" i="10"/>
  <c r="BY28" i="10"/>
  <c r="BK28" i="10"/>
  <c r="BW28" i="10"/>
  <c r="BX28" i="10"/>
  <c r="BJ28" i="10"/>
  <c r="AL225" i="10"/>
  <c r="CJ225" i="10"/>
  <c r="AM225" i="10"/>
  <c r="CF225" i="10" s="1"/>
  <c r="W225" i="10"/>
  <c r="BD225" i="10" s="1"/>
  <c r="AN225" i="10"/>
  <c r="CG225" i="10" s="1"/>
  <c r="BO225" i="10"/>
  <c r="O225" i="10"/>
  <c r="CI225" i="10"/>
  <c r="BT225" i="10"/>
  <c r="BV225" i="10"/>
  <c r="BL225" i="10"/>
  <c r="BN225" i="10"/>
  <c r="BJ225" i="10"/>
  <c r="BK225" i="10"/>
  <c r="BW225" i="10"/>
  <c r="BS225" i="10"/>
  <c r="I225" i="10"/>
  <c r="BU225" i="10"/>
  <c r="CB225" i="10"/>
  <c r="BP225" i="10"/>
  <c r="U225" i="10"/>
  <c r="BY225" i="10"/>
  <c r="BX225" i="10"/>
  <c r="Y225" i="10"/>
  <c r="BM225" i="10"/>
  <c r="W345" i="10"/>
  <c r="BD345" i="10" s="1"/>
  <c r="U345" i="10"/>
  <c r="Y345" i="10"/>
  <c r="AM199" i="10"/>
  <c r="CF199" i="10" s="1"/>
  <c r="BO199" i="10"/>
  <c r="BX199" i="10"/>
  <c r="AN199" i="10"/>
  <c r="CG199" i="10" s="1"/>
  <c r="BP199" i="10"/>
  <c r="CJ199" i="10"/>
  <c r="BJ199" i="10"/>
  <c r="BS199" i="10"/>
  <c r="BK199" i="10"/>
  <c r="BV199" i="10"/>
  <c r="W199" i="10"/>
  <c r="BD199" i="10" s="1"/>
  <c r="BM199" i="10"/>
  <c r="AL199" i="10"/>
  <c r="CI199" i="10"/>
  <c r="I199" i="10"/>
  <c r="BU199" i="10"/>
  <c r="BL199" i="10"/>
  <c r="BT199" i="10"/>
  <c r="U199" i="10"/>
  <c r="BY199" i="10"/>
  <c r="BW199" i="10"/>
  <c r="CB199" i="10"/>
  <c r="BN199" i="10"/>
  <c r="Y199" i="10"/>
  <c r="Y30" i="10"/>
  <c r="W30" i="10"/>
  <c r="BD30" i="10" s="1"/>
  <c r="AL234" i="10"/>
  <c r="AM234" i="10"/>
  <c r="CF234" i="10" s="1"/>
  <c r="BS234" i="10"/>
  <c r="CB234" i="10"/>
  <c r="Y234" i="10"/>
  <c r="BO234" i="10"/>
  <c r="BM234" i="10"/>
  <c r="BT234" i="10"/>
  <c r="BK234" i="10"/>
  <c r="I234" i="10"/>
  <c r="BU234" i="10"/>
  <c r="AN234" i="10"/>
  <c r="CG234" i="10" s="1"/>
  <c r="CJ234" i="10"/>
  <c r="BP234" i="10"/>
  <c r="BY234" i="10"/>
  <c r="BV234" i="10"/>
  <c r="BN234" i="10"/>
  <c r="BJ234" i="10"/>
  <c r="CI234" i="10"/>
  <c r="W234" i="10"/>
  <c r="BD234" i="10" s="1"/>
  <c r="BX234" i="10"/>
  <c r="U234" i="10"/>
  <c r="BW234" i="10"/>
  <c r="BL234" i="10"/>
  <c r="O234" i="10"/>
  <c r="I16" i="10"/>
  <c r="BX16" i="10"/>
  <c r="BJ16" i="10"/>
  <c r="CI16" i="10"/>
  <c r="BP16" i="10"/>
  <c r="BN16" i="10"/>
  <c r="BT16" i="10"/>
  <c r="BW16" i="10"/>
  <c r="AL16" i="10"/>
  <c r="BS16" i="10"/>
  <c r="AN16" i="10"/>
  <c r="CG16" i="10" s="1"/>
  <c r="BL16" i="10"/>
  <c r="AM16" i="10"/>
  <c r="CF16" i="10" s="1"/>
  <c r="BO16" i="10"/>
  <c r="BU16" i="10"/>
  <c r="CJ16" i="10"/>
  <c r="BY16" i="10"/>
  <c r="CI23" i="10"/>
  <c r="BO23" i="10"/>
  <c r="AL23" i="10"/>
  <c r="BK23" i="10"/>
  <c r="BW23" i="10"/>
  <c r="AM23" i="10"/>
  <c r="CF23" i="10" s="1"/>
  <c r="BV23" i="10"/>
  <c r="BJ23" i="10"/>
  <c r="BS23" i="10"/>
  <c r="CB23" i="10"/>
  <c r="BU23" i="10"/>
  <c r="BN23" i="10"/>
  <c r="CJ23" i="10"/>
  <c r="BP23" i="10"/>
  <c r="BY23" i="10"/>
  <c r="V46" i="10"/>
  <c r="W46" i="10"/>
  <c r="BD46" i="10" s="1"/>
  <c r="Y46" i="10"/>
  <c r="U46" i="10"/>
  <c r="K25" i="10"/>
  <c r="CD25" i="10"/>
  <c r="I329" i="10"/>
  <c r="AN329" i="10"/>
  <c r="CG329" i="10" s="1"/>
  <c r="AL329" i="10"/>
  <c r="BT329" i="10"/>
  <c r="BY329" i="10"/>
  <c r="BM329" i="10"/>
  <c r="BL329" i="10"/>
  <c r="BO329" i="10"/>
  <c r="BJ329" i="10"/>
  <c r="BK329" i="10"/>
  <c r="CI329" i="10"/>
  <c r="BU329" i="10"/>
  <c r="BV329" i="10"/>
  <c r="BW329" i="10"/>
  <c r="BP329" i="10"/>
  <c r="AM329" i="10"/>
  <c r="CF329" i="10" s="1"/>
  <c r="BN329" i="10"/>
  <c r="BS329" i="10"/>
  <c r="W224" i="10"/>
  <c r="BD224" i="10" s="1"/>
  <c r="BN224" i="10"/>
  <c r="CI224" i="10"/>
  <c r="BW224" i="10"/>
  <c r="AL224" i="10"/>
  <c r="BX224" i="10"/>
  <c r="BL224" i="10"/>
  <c r="CB224" i="10"/>
  <c r="AM224" i="10"/>
  <c r="CF224" i="10" s="1"/>
  <c r="O224" i="10"/>
  <c r="BS224" i="10"/>
  <c r="U224" i="10"/>
  <c r="BY224" i="10"/>
  <c r="BJ224" i="10"/>
  <c r="BV224" i="10"/>
  <c r="Y224" i="10"/>
  <c r="BO224" i="10"/>
  <c r="BM224" i="10"/>
  <c r="BT224" i="10"/>
  <c r="BK224" i="10"/>
  <c r="BP224" i="10"/>
  <c r="AN224" i="10"/>
  <c r="CG224" i="10" s="1"/>
  <c r="I224" i="10"/>
  <c r="CJ224" i="10"/>
  <c r="BU224" i="10"/>
  <c r="K84" i="10"/>
  <c r="CD84" i="10"/>
  <c r="I102" i="10"/>
  <c r="CD102" i="10" s="1"/>
  <c r="BP102" i="10"/>
  <c r="BT102" i="10"/>
  <c r="BU102" i="10"/>
  <c r="BN102" i="10"/>
  <c r="BX102" i="10"/>
  <c r="BJ102" i="10"/>
  <c r="BY102" i="10"/>
  <c r="CB102" i="10"/>
  <c r="AM102" i="10"/>
  <c r="CF102" i="10" s="1"/>
  <c r="CJ102" i="10"/>
  <c r="BS102" i="10"/>
  <c r="BO102" i="10"/>
  <c r="CI102" i="10"/>
  <c r="AL102" i="10"/>
  <c r="I89" i="10"/>
  <c r="CD89" i="10" s="1"/>
  <c r="CI89" i="10"/>
  <c r="BS89" i="10"/>
  <c r="BT89" i="10"/>
  <c r="BX89" i="10"/>
  <c r="BL89" i="10"/>
  <c r="AL89" i="10"/>
  <c r="BO89" i="10"/>
  <c r="CB89" i="10"/>
  <c r="BP89" i="10"/>
  <c r="BK89" i="10"/>
  <c r="BM89" i="10"/>
  <c r="BY89" i="10"/>
  <c r="BJ89" i="10"/>
  <c r="BN89" i="10"/>
  <c r="I63" i="10"/>
  <c r="O63" i="10"/>
  <c r="AN63" i="10"/>
  <c r="CG63" i="10" s="1"/>
  <c r="BX63" i="10"/>
  <c r="BY63" i="10"/>
  <c r="BL63" i="10"/>
  <c r="CB63" i="10"/>
  <c r="BJ63" i="10"/>
  <c r="BK63" i="10"/>
  <c r="CI63" i="10"/>
  <c r="BW63" i="10"/>
  <c r="BN63" i="10"/>
  <c r="BV63" i="10"/>
  <c r="AM63" i="10"/>
  <c r="CF63" i="10" s="1"/>
  <c r="BO63" i="10"/>
  <c r="CJ63" i="10"/>
  <c r="BS63" i="10"/>
  <c r="BP63" i="10"/>
  <c r="BU63" i="10"/>
  <c r="W220" i="10"/>
  <c r="BD220" i="10" s="1"/>
  <c r="BN220" i="10"/>
  <c r="CI220" i="10"/>
  <c r="BW220" i="10"/>
  <c r="AL220" i="10"/>
  <c r="BX220" i="10"/>
  <c r="BL220" i="10"/>
  <c r="CB220" i="10"/>
  <c r="AM220" i="10"/>
  <c r="CF220" i="10" s="1"/>
  <c r="BS220" i="10"/>
  <c r="O220" i="10"/>
  <c r="Y220" i="10"/>
  <c r="BO220" i="10"/>
  <c r="BM220" i="10"/>
  <c r="BT220" i="10"/>
  <c r="BK220" i="10"/>
  <c r="I220" i="10"/>
  <c r="BU220" i="10"/>
  <c r="AN220" i="10"/>
  <c r="CG220" i="10" s="1"/>
  <c r="CJ220" i="10"/>
  <c r="BP220" i="10"/>
  <c r="BJ220" i="10"/>
  <c r="U220" i="10"/>
  <c r="BY220" i="10"/>
  <c r="BV220" i="10"/>
  <c r="CD66" i="10"/>
  <c r="K66" i="10"/>
  <c r="AN235" i="10"/>
  <c r="CG235" i="10" s="1"/>
  <c r="BP235" i="10"/>
  <c r="CJ235" i="10"/>
  <c r="W235" i="10"/>
  <c r="BD235" i="10" s="1"/>
  <c r="BJ235" i="10"/>
  <c r="BT235" i="10"/>
  <c r="AL235" i="10"/>
  <c r="BK235" i="10"/>
  <c r="BV235" i="10"/>
  <c r="BO235" i="10"/>
  <c r="AM235" i="10"/>
  <c r="CF235" i="10" s="1"/>
  <c r="O235" i="10"/>
  <c r="BW235" i="10"/>
  <c r="BX235" i="10"/>
  <c r="CB235" i="10"/>
  <c r="CI235" i="10"/>
  <c r="BN235" i="10"/>
  <c r="I235" i="10"/>
  <c r="BU235" i="10"/>
  <c r="U235" i="10"/>
  <c r="BY235" i="10"/>
  <c r="BL235" i="10"/>
  <c r="Y235" i="10"/>
  <c r="BM235" i="10"/>
  <c r="BS235" i="10"/>
  <c r="CD70" i="10"/>
  <c r="K70" i="10"/>
  <c r="AL237" i="10"/>
  <c r="CJ237" i="10"/>
  <c r="AM237" i="10"/>
  <c r="CF237" i="10" s="1"/>
  <c r="AN237" i="10"/>
  <c r="CG237" i="10" s="1"/>
  <c r="W237" i="10"/>
  <c r="BD237" i="10" s="1"/>
  <c r="BO237" i="10"/>
  <c r="BK237" i="10"/>
  <c r="O237" i="10"/>
  <c r="BV237" i="10"/>
  <c r="BL237" i="10"/>
  <c r="BN237" i="10"/>
  <c r="BT237" i="10"/>
  <c r="BW237" i="10"/>
  <c r="BS237" i="10"/>
  <c r="BJ237" i="10"/>
  <c r="CB237" i="10"/>
  <c r="BX237" i="10"/>
  <c r="BM237" i="10"/>
  <c r="I237" i="10"/>
  <c r="BU237" i="10"/>
  <c r="CI237" i="10"/>
  <c r="U237" i="10"/>
  <c r="BY237" i="10"/>
  <c r="BP237" i="10"/>
  <c r="Y237" i="10"/>
  <c r="X63" i="10"/>
  <c r="V63" i="10"/>
  <c r="BQ211" i="10"/>
  <c r="AJ173" i="10"/>
  <c r="AK173" i="10" s="1"/>
  <c r="AI173" i="10"/>
  <c r="AA168" i="10"/>
  <c r="AB168" i="10"/>
  <c r="K168" i="1" s="1"/>
  <c r="L168" i="1" s="1"/>
  <c r="AF304" i="10"/>
  <c r="AG304" i="10" s="1"/>
  <c r="AE304" i="10"/>
  <c r="AB304" i="10"/>
  <c r="AA304" i="10"/>
  <c r="BP336" i="10"/>
  <c r="BL336" i="10"/>
  <c r="BN336" i="10"/>
  <c r="BY336" i="10"/>
  <c r="BX336" i="10"/>
  <c r="AJ336" i="10"/>
  <c r="AK336" i="10" s="1"/>
  <c r="AI336" i="10"/>
  <c r="BO336" i="10"/>
  <c r="AJ153" i="10"/>
  <c r="AK153" i="10" s="1"/>
  <c r="AI153" i="10"/>
  <c r="AF233" i="10"/>
  <c r="AG233" i="10" s="1"/>
  <c r="AE233" i="10"/>
  <c r="AI222" i="10"/>
  <c r="AJ222" i="10"/>
  <c r="AK222" i="10" s="1"/>
  <c r="AI220" i="10"/>
  <c r="AJ220" i="10"/>
  <c r="AK220" i="10" s="1"/>
  <c r="AJ230" i="10"/>
  <c r="AK230" i="10" s="1"/>
  <c r="AI230" i="10"/>
  <c r="Y333" i="10"/>
  <c r="BS333" i="10"/>
  <c r="BV333" i="10"/>
  <c r="V333" i="10"/>
  <c r="BK333" i="10"/>
  <c r="AI333" i="10"/>
  <c r="AJ333" i="10"/>
  <c r="AK333" i="10" s="1"/>
  <c r="N166" i="10"/>
  <c r="O166" i="10"/>
  <c r="AI213" i="10"/>
  <c r="AJ213" i="10"/>
  <c r="AK213" i="10" s="1"/>
  <c r="AA285" i="10"/>
  <c r="AB285" i="10"/>
  <c r="AF165" i="10"/>
  <c r="AG165" i="10" s="1"/>
  <c r="AE165" i="10"/>
  <c r="AJ165" i="10"/>
  <c r="AK165" i="10" s="1"/>
  <c r="AI165" i="10"/>
  <c r="AF167" i="10"/>
  <c r="AG167" i="10" s="1"/>
  <c r="AE167" i="10"/>
  <c r="AE196" i="10"/>
  <c r="AF196" i="10"/>
  <c r="AG196" i="10" s="1"/>
  <c r="N240" i="10"/>
  <c r="O240" i="10"/>
  <c r="AJ289" i="10"/>
  <c r="AK289" i="10" s="1"/>
  <c r="AI289" i="10"/>
  <c r="AF177" i="10"/>
  <c r="AG177" i="10" s="1"/>
  <c r="AE177" i="10"/>
  <c r="AB179" i="10"/>
  <c r="AA179" i="10"/>
  <c r="AE200" i="10"/>
  <c r="AF200" i="10"/>
  <c r="AG200" i="10" s="1"/>
  <c r="AI206" i="10"/>
  <c r="AJ206" i="10"/>
  <c r="AK206" i="10" s="1"/>
  <c r="AB162" i="10"/>
  <c r="AA162" i="10"/>
  <c r="AB330" i="10"/>
  <c r="AA330" i="10"/>
  <c r="BN330" i="10"/>
  <c r="BL330" i="10"/>
  <c r="AL330" i="10"/>
  <c r="AJ330" i="10"/>
  <c r="AK330" i="10" s="1"/>
  <c r="AI330" i="10"/>
  <c r="AN330" i="10"/>
  <c r="CG330" i="10" s="1"/>
  <c r="BM6" i="10"/>
  <c r="U6" i="10"/>
  <c r="BX6" i="10"/>
  <c r="AM6" i="10"/>
  <c r="CF6" i="10" s="1"/>
  <c r="AJ6" i="10"/>
  <c r="AK6" i="10" s="1"/>
  <c r="AI6" i="10"/>
  <c r="BQ205" i="10"/>
  <c r="N274" i="10"/>
  <c r="O274" i="10"/>
  <c r="O177" i="10"/>
  <c r="N177" i="10"/>
  <c r="N348" i="10"/>
  <c r="O348" i="10"/>
  <c r="BU10" i="10"/>
  <c r="BM10" i="10"/>
  <c r="AJ10" i="10"/>
  <c r="AK10" i="10" s="1"/>
  <c r="AI10" i="10"/>
  <c r="BT10" i="10"/>
  <c r="BY10" i="10"/>
  <c r="BK10" i="10"/>
  <c r="BS10" i="10"/>
  <c r="O167" i="10"/>
  <c r="N167" i="10"/>
  <c r="AA321" i="10"/>
  <c r="AB321" i="10"/>
  <c r="AI321" i="10"/>
  <c r="AJ321" i="10"/>
  <c r="AK321" i="10" s="1"/>
  <c r="AI199" i="10"/>
  <c r="AJ199" i="10"/>
  <c r="AK199" i="10" s="1"/>
  <c r="O46" i="10"/>
  <c r="N46" i="10"/>
  <c r="W18" i="10"/>
  <c r="BD18" i="10" s="1"/>
  <c r="AB18" i="10"/>
  <c r="AA18" i="10"/>
  <c r="BU72" i="10"/>
  <c r="BX72" i="10"/>
  <c r="BL72" i="10"/>
  <c r="BN72" i="10"/>
  <c r="U72" i="10"/>
  <c r="BQ19" i="10"/>
  <c r="CD19" i="10"/>
  <c r="K19" i="10"/>
  <c r="CE19" i="10"/>
  <c r="AO19" i="10"/>
  <c r="AI19" i="10"/>
  <c r="AJ19" i="10"/>
  <c r="AK19" i="10" s="1"/>
  <c r="AE19" i="10"/>
  <c r="AF19" i="10"/>
  <c r="AG19" i="10" s="1"/>
  <c r="AA19" i="10"/>
  <c r="AB19" i="10"/>
  <c r="N68" i="10"/>
  <c r="O68" i="10"/>
  <c r="AF188" i="10"/>
  <c r="AG188" i="10" s="1"/>
  <c r="AE188" i="10"/>
  <c r="AI339" i="10"/>
  <c r="AJ339" i="10"/>
  <c r="AK339" i="10" s="1"/>
  <c r="AB339" i="10"/>
  <c r="AA339" i="10"/>
  <c r="Y53" i="10"/>
  <c r="W53" i="10"/>
  <c r="BD53" i="10" s="1"/>
  <c r="X53" i="10"/>
  <c r="U53" i="10"/>
  <c r="BV51" i="10"/>
  <c r="BK51" i="10"/>
  <c r="BJ51" i="10"/>
  <c r="BL51" i="10"/>
  <c r="CJ51" i="10"/>
  <c r="AF51" i="10"/>
  <c r="AG51" i="10" s="1"/>
  <c r="AE51" i="10"/>
  <c r="X37" i="10"/>
  <c r="W37" i="10"/>
  <c r="BD37" i="10" s="1"/>
  <c r="N327" i="10"/>
  <c r="O327" i="10"/>
  <c r="BS71" i="10"/>
  <c r="BV71" i="10"/>
  <c r="BK71" i="10"/>
  <c r="BP71" i="10"/>
  <c r="BW71" i="10"/>
  <c r="BT71" i="10"/>
  <c r="BO71" i="10"/>
  <c r="AL70" i="10"/>
  <c r="Y70" i="10"/>
  <c r="BS70" i="10"/>
  <c r="BO70" i="10"/>
  <c r="BJ70" i="10"/>
  <c r="U70" i="10"/>
  <c r="BM22" i="10"/>
  <c r="CI22" i="10"/>
  <c r="BY22" i="10"/>
  <c r="BS22" i="10"/>
  <c r="BL22" i="10"/>
  <c r="CJ22" i="10"/>
  <c r="CD24" i="10"/>
  <c r="K24" i="10"/>
  <c r="U24" i="10"/>
  <c r="AB24" i="10"/>
  <c r="AA24" i="10"/>
  <c r="AE31" i="10"/>
  <c r="AF31" i="10"/>
  <c r="AG31" i="10" s="1"/>
  <c r="AA31" i="10"/>
  <c r="AB31" i="10"/>
  <c r="CE31" i="10"/>
  <c r="AO31" i="10"/>
  <c r="BW99" i="10"/>
  <c r="AJ99" i="10"/>
  <c r="AK99" i="10" s="1"/>
  <c r="AI99" i="10"/>
  <c r="AF99" i="10"/>
  <c r="AG99" i="10" s="1"/>
  <c r="AE99" i="10"/>
  <c r="BJ99" i="10"/>
  <c r="CI99" i="10"/>
  <c r="CJ99" i="10"/>
  <c r="N99" i="10"/>
  <c r="O99" i="10"/>
  <c r="AA281" i="10"/>
  <c r="AB281" i="10"/>
  <c r="U50" i="10"/>
  <c r="BJ50" i="10"/>
  <c r="AL50" i="10"/>
  <c r="AA50" i="10"/>
  <c r="AB50" i="10"/>
  <c r="AF50" i="10"/>
  <c r="AG50" i="10" s="1"/>
  <c r="AE50" i="10"/>
  <c r="AO119" i="10"/>
  <c r="BN78" i="10"/>
  <c r="BJ78" i="10"/>
  <c r="AL78" i="10"/>
  <c r="BW78" i="10"/>
  <c r="X78" i="10"/>
  <c r="AE119" i="10"/>
  <c r="AF119" i="10"/>
  <c r="AG119" i="10" s="1"/>
  <c r="AB119" i="10"/>
  <c r="AA119" i="10"/>
  <c r="BU58" i="10"/>
  <c r="BY58" i="10"/>
  <c r="BK58" i="10"/>
  <c r="BJ58" i="10"/>
  <c r="AA58" i="10"/>
  <c r="AB58" i="10"/>
  <c r="CJ58" i="10"/>
  <c r="AS103" i="10"/>
  <c r="AU103" i="10"/>
  <c r="BG103" i="10"/>
  <c r="AF103" i="10"/>
  <c r="AG103" i="10" s="1"/>
  <c r="AE103" i="10"/>
  <c r="BQ103" i="10"/>
  <c r="BQ40" i="10"/>
  <c r="AB93" i="10"/>
  <c r="AA93" i="10"/>
  <c r="BP93" i="10"/>
  <c r="BL93" i="10"/>
  <c r="BX93" i="10"/>
  <c r="BM93" i="10"/>
  <c r="BK93" i="10"/>
  <c r="U45" i="10"/>
  <c r="BK45" i="10"/>
  <c r="BN45" i="10"/>
  <c r="CJ45" i="10"/>
  <c r="BP45" i="10"/>
  <c r="BL45" i="10"/>
  <c r="O23" i="10"/>
  <c r="N23" i="10"/>
  <c r="V132" i="10"/>
  <c r="BO132" i="10"/>
  <c r="AF132" i="10"/>
  <c r="AG132" i="10" s="1"/>
  <c r="AE132" i="10"/>
  <c r="BJ132" i="10"/>
  <c r="BK132" i="10"/>
  <c r="BL132" i="10"/>
  <c r="CJ127" i="10"/>
  <c r="BP127" i="10"/>
  <c r="BK127" i="10"/>
  <c r="BW127" i="10"/>
  <c r="AA127" i="10"/>
  <c r="AB127" i="10"/>
  <c r="W127" i="10"/>
  <c r="BD127" i="10" s="1"/>
  <c r="AM127" i="10"/>
  <c r="CF127" i="10" s="1"/>
  <c r="AL101" i="10"/>
  <c r="BP101" i="10"/>
  <c r="BL101" i="10"/>
  <c r="BT101" i="10"/>
  <c r="AB101" i="10"/>
  <c r="AA101" i="10"/>
  <c r="BY101" i="10"/>
  <c r="N100" i="10"/>
  <c r="O100" i="10"/>
  <c r="N77" i="10"/>
  <c r="O77" i="10"/>
  <c r="CE107" i="10"/>
  <c r="AO107" i="10"/>
  <c r="BK140" i="10"/>
  <c r="AL140" i="10"/>
  <c r="AI140" i="10"/>
  <c r="AJ140" i="10"/>
  <c r="AK140" i="10" s="1"/>
  <c r="BU140" i="10"/>
  <c r="BP140" i="10"/>
  <c r="CB140" i="10"/>
  <c r="AM140" i="10"/>
  <c r="CF140" i="10" s="1"/>
  <c r="BU74" i="10"/>
  <c r="BW74" i="10"/>
  <c r="BO74" i="10"/>
  <c r="BV74" i="10"/>
  <c r="BM74" i="10"/>
  <c r="CJ74" i="10"/>
  <c r="AM74" i="10"/>
  <c r="CF74" i="10" s="1"/>
  <c r="N260" i="10"/>
  <c r="O260" i="10"/>
  <c r="AE77" i="10"/>
  <c r="AF77" i="10"/>
  <c r="AG77" i="10" s="1"/>
  <c r="BJ77" i="10"/>
  <c r="AL77" i="10"/>
  <c r="AJ77" i="10"/>
  <c r="AK77" i="10" s="1"/>
  <c r="AI77" i="10"/>
  <c r="Y77" i="10"/>
  <c r="X77" i="10"/>
  <c r="BY124" i="10"/>
  <c r="AL124" i="10"/>
  <c r="BS124" i="10"/>
  <c r="BL124" i="10"/>
  <c r="AF124" i="10"/>
  <c r="AG124" i="10" s="1"/>
  <c r="AE124" i="10"/>
  <c r="BO124" i="10"/>
  <c r="K130" i="10"/>
  <c r="AB130" i="10"/>
  <c r="AA130" i="10"/>
  <c r="V130" i="10"/>
  <c r="BY130" i="10"/>
  <c r="BW130" i="10"/>
  <c r="CJ130" i="10"/>
  <c r="BK84" i="10"/>
  <c r="BP84" i="10"/>
  <c r="BT84" i="10"/>
  <c r="AF84" i="10"/>
  <c r="AG84" i="10" s="1"/>
  <c r="AE84" i="10"/>
  <c r="BJ84" i="10"/>
  <c r="CB84" i="10"/>
  <c r="BW84" i="10"/>
  <c r="BM77" i="10"/>
  <c r="BO76" i="10"/>
  <c r="BJ76" i="10"/>
  <c r="AL76" i="10"/>
  <c r="BK76" i="10"/>
  <c r="CI76" i="10"/>
  <c r="CJ76" i="10"/>
  <c r="V126" i="10"/>
  <c r="K126" i="10"/>
  <c r="BL126" i="10"/>
  <c r="AB126" i="10"/>
  <c r="AA126" i="10"/>
  <c r="AN126" i="10"/>
  <c r="CG126" i="10" s="1"/>
  <c r="AM126" i="10"/>
  <c r="CF126" i="10" s="1"/>
  <c r="BU83" i="10"/>
  <c r="BP83" i="10"/>
  <c r="CB83" i="10"/>
  <c r="BV83" i="10"/>
  <c r="CI83" i="10"/>
  <c r="CJ83" i="10"/>
  <c r="AN83" i="10"/>
  <c r="CG83" i="10" s="1"/>
  <c r="BY335" i="10"/>
  <c r="BN335" i="10"/>
  <c r="CB335" i="10"/>
  <c r="BO335" i="10"/>
  <c r="BK335" i="10"/>
  <c r="AM335" i="10"/>
  <c r="CF335" i="10" s="1"/>
  <c r="AE208" i="10"/>
  <c r="AF208" i="10"/>
  <c r="AG208" i="10" s="1"/>
  <c r="AI208" i="10"/>
  <c r="AJ208" i="10"/>
  <c r="AK208" i="10" s="1"/>
  <c r="BM343" i="10"/>
  <c r="BX343" i="10"/>
  <c r="AL343" i="10"/>
  <c r="AI343" i="10"/>
  <c r="AJ343" i="10"/>
  <c r="AK343" i="10" s="1"/>
  <c r="BW343" i="10"/>
  <c r="BK343" i="10"/>
  <c r="AM343" i="10"/>
  <c r="CF343" i="10" s="1"/>
  <c r="AA224" i="10"/>
  <c r="AB224" i="10"/>
  <c r="BJ15" i="10"/>
  <c r="AL15" i="10"/>
  <c r="AN15" i="10"/>
  <c r="CG15" i="10" s="1"/>
  <c r="BT15" i="10"/>
  <c r="BY15" i="10"/>
  <c r="BO15" i="10"/>
  <c r="AM15" i="10"/>
  <c r="CF15" i="10" s="1"/>
  <c r="AI110" i="10"/>
  <c r="AJ110" i="10"/>
  <c r="AK110" i="10" s="1"/>
  <c r="AA170" i="10"/>
  <c r="AB170" i="10"/>
  <c r="AA114" i="10"/>
  <c r="AB114" i="10"/>
  <c r="AJ25" i="10"/>
  <c r="AK25" i="10" s="1"/>
  <c r="AI25" i="10"/>
  <c r="CB25" i="10"/>
  <c r="BL25" i="10"/>
  <c r="AE25" i="10"/>
  <c r="AF25" i="10"/>
  <c r="AG25" i="10" s="1"/>
  <c r="CI25" i="10"/>
  <c r="BX25" i="10"/>
  <c r="AE35" i="10"/>
  <c r="AF35" i="10"/>
  <c r="AG35" i="10" s="1"/>
  <c r="Y35" i="10"/>
  <c r="V35" i="10"/>
  <c r="BS43" i="10"/>
  <c r="CB43" i="10"/>
  <c r="BV43" i="10"/>
  <c r="AF43" i="10"/>
  <c r="AG43" i="10" s="1"/>
  <c r="AE43" i="10"/>
  <c r="AL43" i="10"/>
  <c r="AM43" i="10"/>
  <c r="CF43" i="10" s="1"/>
  <c r="V56" i="10"/>
  <c r="W56" i="10"/>
  <c r="BD56" i="10" s="1"/>
  <c r="U56" i="10"/>
  <c r="AA32" i="10"/>
  <c r="AB32" i="10"/>
  <c r="V32" i="10"/>
  <c r="BQ32" i="10"/>
  <c r="AF32" i="10"/>
  <c r="AG32" i="10" s="1"/>
  <c r="AE32" i="10"/>
  <c r="W32" i="10"/>
  <c r="BD32" i="10" s="1"/>
  <c r="AJ39" i="10"/>
  <c r="AK39" i="10" s="1"/>
  <c r="AI39" i="10"/>
  <c r="CE39" i="10"/>
  <c r="AO39" i="10"/>
  <c r="CB92" i="10"/>
  <c r="BK92" i="10"/>
  <c r="BX92" i="10"/>
  <c r="BU92" i="10"/>
  <c r="BM92" i="10"/>
  <c r="AL92" i="10"/>
  <c r="CK37" i="10"/>
  <c r="CL37" i="10"/>
  <c r="P37" i="10"/>
  <c r="AZ37" i="10"/>
  <c r="AV37" i="10"/>
  <c r="AX37" i="10"/>
  <c r="AS37" i="10"/>
  <c r="AU37" i="10"/>
  <c r="AR37" i="10"/>
  <c r="AY37" i="10"/>
  <c r="AP37" i="10"/>
  <c r="BV133" i="10"/>
  <c r="AF133" i="10"/>
  <c r="AG133" i="10" s="1"/>
  <c r="AE133" i="10"/>
  <c r="BU133" i="10"/>
  <c r="CI133" i="10"/>
  <c r="AN133" i="10"/>
  <c r="CG133" i="10" s="1"/>
  <c r="CB133" i="10"/>
  <c r="BP66" i="10"/>
  <c r="BU66" i="10"/>
  <c r="AN66" i="10"/>
  <c r="CG66" i="10" s="1"/>
  <c r="BT66" i="10"/>
  <c r="BL66" i="10"/>
  <c r="BW66" i="10"/>
  <c r="P32" i="10"/>
  <c r="CK32" i="10"/>
  <c r="CL32" i="10"/>
  <c r="AQ32" i="10"/>
  <c r="AX32" i="10"/>
  <c r="AU32" i="10"/>
  <c r="AS32" i="10"/>
  <c r="AV32" i="10"/>
  <c r="AY32" i="10"/>
  <c r="AR32" i="10"/>
  <c r="N351" i="10"/>
  <c r="O351" i="10"/>
  <c r="BQ320" i="10"/>
  <c r="AB226" i="10"/>
  <c r="AA226" i="10"/>
  <c r="CD326" i="10"/>
  <c r="K326" i="10"/>
  <c r="AJ238" i="10"/>
  <c r="AK238" i="10" s="1"/>
  <c r="AI238" i="10"/>
  <c r="AB216" i="10"/>
  <c r="AA216" i="10"/>
  <c r="BU347" i="10"/>
  <c r="CJ347" i="10"/>
  <c r="BP347" i="10"/>
  <c r="AN347" i="10"/>
  <c r="CG347" i="10" s="1"/>
  <c r="BV347" i="10"/>
  <c r="AF223" i="10"/>
  <c r="AG223" i="10" s="1"/>
  <c r="AE223" i="10"/>
  <c r="O186" i="10"/>
  <c r="N186" i="10"/>
  <c r="AF287" i="10"/>
  <c r="AG287" i="10" s="1"/>
  <c r="AE287" i="10"/>
  <c r="O169" i="10"/>
  <c r="N169" i="10"/>
  <c r="AI308" i="10"/>
  <c r="AJ308" i="10"/>
  <c r="AK308" i="10" s="1"/>
  <c r="BQ215" i="10"/>
  <c r="AF215" i="10"/>
  <c r="AG215" i="10" s="1"/>
  <c r="AE215" i="10"/>
  <c r="BQ240" i="10"/>
  <c r="O172" i="10"/>
  <c r="N172" i="10"/>
  <c r="BQ312" i="10"/>
  <c r="AB314" i="10"/>
  <c r="AA314" i="10"/>
  <c r="AE314" i="10"/>
  <c r="AF314" i="10"/>
  <c r="AG314" i="10" s="1"/>
  <c r="AB307" i="10"/>
  <c r="AA307" i="10"/>
  <c r="O171" i="10"/>
  <c r="N171" i="10"/>
  <c r="AF155" i="10"/>
  <c r="AG155" i="10" s="1"/>
  <c r="AE155" i="10"/>
  <c r="AE286" i="10"/>
  <c r="AF286" i="10"/>
  <c r="AG286" i="10" s="1"/>
  <c r="AJ12" i="10"/>
  <c r="AK12" i="10" s="1"/>
  <c r="AI12" i="10"/>
  <c r="BO12" i="10"/>
  <c r="CI12" i="10"/>
  <c r="BS12" i="10"/>
  <c r="AN12" i="10"/>
  <c r="CG12" i="10" s="1"/>
  <c r="AM12" i="10"/>
  <c r="CF12" i="10" s="1"/>
  <c r="AA195" i="10"/>
  <c r="AB195" i="10"/>
  <c r="O330" i="10"/>
  <c r="N330" i="10"/>
  <c r="BU327" i="10"/>
  <c r="BT327" i="10"/>
  <c r="BJ327" i="10"/>
  <c r="BO327" i="10"/>
  <c r="CJ327" i="10"/>
  <c r="AF327" i="10"/>
  <c r="AG327" i="10" s="1"/>
  <c r="AE327" i="10"/>
  <c r="AO350" i="10"/>
  <c r="U9" i="10"/>
  <c r="BT9" i="10"/>
  <c r="AL9" i="10"/>
  <c r="BK9" i="10"/>
  <c r="AN9" i="10"/>
  <c r="CG9" i="10" s="1"/>
  <c r="N132" i="10"/>
  <c r="O132" i="10"/>
  <c r="AE280" i="10"/>
  <c r="AF280" i="10"/>
  <c r="AG280" i="10" s="1"/>
  <c r="O127" i="10"/>
  <c r="N127" i="10"/>
  <c r="BU55" i="10"/>
  <c r="BS55" i="10"/>
  <c r="CJ55" i="10"/>
  <c r="BN55" i="10"/>
  <c r="AA55" i="10"/>
  <c r="AB55" i="10"/>
  <c r="U61" i="10"/>
  <c r="BL61" i="10"/>
  <c r="BU61" i="10"/>
  <c r="CJ61" i="10"/>
  <c r="AN61" i="10"/>
  <c r="CG61" i="10" s="1"/>
  <c r="AJ61" i="10"/>
  <c r="AK61" i="10" s="1"/>
  <c r="AI61" i="10"/>
  <c r="BQ209" i="10"/>
  <c r="AF209" i="10"/>
  <c r="AG209" i="10" s="1"/>
  <c r="AE209" i="10"/>
  <c r="U36" i="10"/>
  <c r="X36" i="10"/>
  <c r="AJ34" i="10"/>
  <c r="AK34" i="10" s="1"/>
  <c r="AI34" i="10"/>
  <c r="CE34" i="10"/>
  <c r="AO34" i="10"/>
  <c r="Y34" i="10"/>
  <c r="BQ33" i="10"/>
  <c r="BL68" i="10"/>
  <c r="BV68" i="10"/>
  <c r="CI68" i="10"/>
  <c r="CB68" i="10"/>
  <c r="BX68" i="10"/>
  <c r="BT68" i="10"/>
  <c r="CJ68" i="10"/>
  <c r="AJ69" i="10"/>
  <c r="AK69" i="10" s="1"/>
  <c r="AI69" i="10"/>
  <c r="BX69" i="10"/>
  <c r="BP69" i="10"/>
  <c r="BU69" i="10"/>
  <c r="BW69" i="10"/>
  <c r="BT69" i="10"/>
  <c r="BO69" i="10"/>
  <c r="AE64" i="10"/>
  <c r="AF64" i="10"/>
  <c r="AG64" i="10" s="1"/>
  <c r="AA64" i="10"/>
  <c r="AB64" i="10"/>
  <c r="BV64" i="10"/>
  <c r="U64" i="10"/>
  <c r="AN64" i="10"/>
  <c r="CG64" i="10" s="1"/>
  <c r="BN64" i="10"/>
  <c r="BY60" i="10"/>
  <c r="BT60" i="10"/>
  <c r="BP60" i="10"/>
  <c r="AN60" i="10"/>
  <c r="CG60" i="10" s="1"/>
  <c r="AJ60" i="10"/>
  <c r="AK60" i="10" s="1"/>
  <c r="AI60" i="10"/>
  <c r="AF60" i="10"/>
  <c r="AG60" i="10" s="1"/>
  <c r="AE60" i="10"/>
  <c r="CD344" i="10"/>
  <c r="K344" i="10"/>
  <c r="AJ344" i="10"/>
  <c r="AK344" i="10" s="1"/>
  <c r="AI344" i="10"/>
  <c r="CI59" i="10"/>
  <c r="BK59" i="10"/>
  <c r="BW59" i="10"/>
  <c r="BV59" i="10"/>
  <c r="BP59" i="10"/>
  <c r="BN59" i="10"/>
  <c r="BT59" i="10"/>
  <c r="BN54" i="10"/>
  <c r="Y54" i="10"/>
  <c r="BO54" i="10"/>
  <c r="CJ54" i="10"/>
  <c r="AA54" i="10"/>
  <c r="AB54" i="10"/>
  <c r="AE54" i="10"/>
  <c r="AF54" i="10"/>
  <c r="AG54" i="10" s="1"/>
  <c r="N138" i="10"/>
  <c r="O138" i="10"/>
  <c r="V26" i="10"/>
  <c r="AB26" i="10"/>
  <c r="AA26" i="10"/>
  <c r="AJ26" i="10"/>
  <c r="AK26" i="10" s="1"/>
  <c r="AI26" i="10"/>
  <c r="BN26" i="10"/>
  <c r="BK26" i="10"/>
  <c r="AF29" i="10"/>
  <c r="AG29" i="10" s="1"/>
  <c r="AE29" i="10"/>
  <c r="W38" i="10"/>
  <c r="BD38" i="10" s="1"/>
  <c r="AF38" i="10"/>
  <c r="AG38" i="10" s="1"/>
  <c r="AE38" i="10"/>
  <c r="CD38" i="10"/>
  <c r="K38" i="10"/>
  <c r="CD109" i="10"/>
  <c r="K109" i="10"/>
  <c r="AI109" i="10"/>
  <c r="AJ109" i="10"/>
  <c r="AK109" i="10" s="1"/>
  <c r="AA100" i="10"/>
  <c r="AB100" i="10"/>
  <c r="AE100" i="10"/>
  <c r="AF100" i="10"/>
  <c r="AG100" i="10" s="1"/>
  <c r="O141" i="10"/>
  <c r="N141" i="10"/>
  <c r="AB62" i="10"/>
  <c r="AA62" i="10"/>
  <c r="BP62" i="10"/>
  <c r="BW62" i="10"/>
  <c r="BM62" i="10"/>
  <c r="CI62" i="10"/>
  <c r="BX62" i="10"/>
  <c r="BM52" i="10"/>
  <c r="BN52" i="10"/>
  <c r="BO52" i="10"/>
  <c r="AM52" i="10"/>
  <c r="CF52" i="10" s="1"/>
  <c r="CJ52" i="10"/>
  <c r="BQ112" i="10"/>
  <c r="AF294" i="10"/>
  <c r="AG294" i="10" s="1"/>
  <c r="AE294" i="10"/>
  <c r="N102" i="10"/>
  <c r="O102" i="10"/>
  <c r="CD41" i="10"/>
  <c r="K41" i="10"/>
  <c r="AJ41" i="10"/>
  <c r="AK41" i="10" s="1"/>
  <c r="AI41" i="10"/>
  <c r="BY85" i="10"/>
  <c r="CI85" i="10"/>
  <c r="BU85" i="10"/>
  <c r="BW85" i="10"/>
  <c r="AI85" i="10"/>
  <c r="AJ85" i="10"/>
  <c r="AK85" i="10" s="1"/>
  <c r="BS85" i="10"/>
  <c r="U85" i="10"/>
  <c r="CI131" i="10"/>
  <c r="AL131" i="10"/>
  <c r="BP131" i="10"/>
  <c r="AM131" i="10"/>
  <c r="CF131" i="10" s="1"/>
  <c r="BY131" i="10"/>
  <c r="AF303" i="10"/>
  <c r="AG303" i="10" s="1"/>
  <c r="AE303" i="10"/>
  <c r="AB303" i="10"/>
  <c r="AA303" i="10"/>
  <c r="N71" i="10"/>
  <c r="O71" i="10"/>
  <c r="BP27" i="10"/>
  <c r="AB27" i="10"/>
  <c r="AA27" i="10"/>
  <c r="AE27" i="10"/>
  <c r="AF27" i="10"/>
  <c r="AG27" i="10" s="1"/>
  <c r="AL27" i="10"/>
  <c r="BY27" i="10"/>
  <c r="K27" i="10"/>
  <c r="BL86" i="10"/>
  <c r="AL86" i="10"/>
  <c r="BV86" i="10"/>
  <c r="BK86" i="10"/>
  <c r="BS86" i="10"/>
  <c r="AM86" i="10"/>
  <c r="CF86" i="10" s="1"/>
  <c r="N31" i="10"/>
  <c r="O31" i="10"/>
  <c r="BQ113" i="10"/>
  <c r="CD113" i="10"/>
  <c r="K113" i="10"/>
  <c r="BF109" i="10"/>
  <c r="BP141" i="10"/>
  <c r="BM141" i="10"/>
  <c r="AN141" i="10"/>
  <c r="CG141" i="10" s="1"/>
  <c r="AM141" i="10"/>
  <c r="CF141" i="10" s="1"/>
  <c r="N96" i="10"/>
  <c r="O96" i="10"/>
  <c r="BM128" i="10"/>
  <c r="V128" i="10"/>
  <c r="K128" i="10"/>
  <c r="BL128" i="10"/>
  <c r="X128" i="10"/>
  <c r="AM128" i="10"/>
  <c r="CF128" i="10" s="1"/>
  <c r="BQ315" i="10"/>
  <c r="AF315" i="10"/>
  <c r="AG315" i="10" s="1"/>
  <c r="AE315" i="10"/>
  <c r="AA118" i="10"/>
  <c r="AB118" i="10"/>
  <c r="AJ118" i="10"/>
  <c r="AK118" i="10" s="1"/>
  <c r="AI118" i="10"/>
  <c r="CK41" i="10"/>
  <c r="CL41" i="10"/>
  <c r="P41" i="10"/>
  <c r="AJ120" i="10"/>
  <c r="AK120" i="10" s="1"/>
  <c r="AI120" i="10"/>
  <c r="AF120" i="10"/>
  <c r="AG120" i="10" s="1"/>
  <c r="AE120" i="10"/>
  <c r="BW120" i="10"/>
  <c r="BT120" i="10"/>
  <c r="BL23" i="10"/>
  <c r="AM88" i="10"/>
  <c r="CF88" i="10" s="1"/>
  <c r="BT88" i="10"/>
  <c r="CJ88" i="10"/>
  <c r="AQ37" i="10"/>
  <c r="BG114" i="10"/>
  <c r="AB79" i="10"/>
  <c r="AA79" i="10"/>
  <c r="X79" i="10"/>
  <c r="BV81" i="10"/>
  <c r="CJ81" i="10"/>
  <c r="BO57" i="10"/>
  <c r="AL57" i="10"/>
  <c r="BV98" i="10"/>
  <c r="U98" i="10"/>
  <c r="BX73" i="10"/>
  <c r="AL106" i="10"/>
  <c r="BU106" i="10"/>
  <c r="BS342" i="10"/>
  <c r="BU342" i="10"/>
  <c r="AJ201" i="10"/>
  <c r="AK201" i="10" s="1"/>
  <c r="AI201" i="10"/>
  <c r="AA7" i="10"/>
  <c r="AB7" i="10"/>
  <c r="BT7" i="10"/>
  <c r="V345" i="10"/>
  <c r="X345" i="10"/>
  <c r="BS8" i="10"/>
  <c r="BM49" i="10"/>
  <c r="Y63" i="10"/>
  <c r="AB63" i="10"/>
  <c r="AA63" i="10"/>
  <c r="BT63" i="10"/>
  <c r="BN56" i="10"/>
  <c r="AN56" i="10"/>
  <c r="CG56" i="10" s="1"/>
  <c r="I56" i="10"/>
  <c r="BN44" i="10"/>
  <c r="BK16" i="10"/>
  <c r="BQ17" i="10"/>
  <c r="X17" i="10"/>
  <c r="Y135" i="10"/>
  <c r="BT135" i="10"/>
  <c r="Y349" i="10"/>
  <c r="U349" i="10"/>
  <c r="AJ67" i="10"/>
  <c r="AK67" i="10" s="1"/>
  <c r="AI67" i="10"/>
  <c r="BU67" i="10"/>
  <c r="BF115" i="10"/>
  <c r="BM90" i="10"/>
  <c r="BU95" i="10"/>
  <c r="BV121" i="10"/>
  <c r="BW121" i="10"/>
  <c r="BF118" i="10"/>
  <c r="BY42" i="10"/>
  <c r="X42" i="10"/>
  <c r="AL96" i="10"/>
  <c r="BS96" i="10"/>
  <c r="Y96" i="10"/>
  <c r="BY122" i="10"/>
  <c r="AN122" i="10"/>
  <c r="CG122" i="10" s="1"/>
  <c r="BT82" i="10"/>
  <c r="CJ82" i="10"/>
  <c r="AO29" i="10"/>
  <c r="N28" i="10"/>
  <c r="O28" i="10"/>
  <c r="W123" i="10"/>
  <c r="BD123" i="10" s="1"/>
  <c r="U123" i="10"/>
  <c r="AP32" i="10"/>
  <c r="BQ134" i="10"/>
  <c r="BT91" i="10"/>
  <c r="AL91" i="10"/>
  <c r="Y91" i="10"/>
  <c r="BP105" i="10"/>
  <c r="BO46" i="10"/>
  <c r="BL46" i="10"/>
  <c r="AA75" i="10"/>
  <c r="AB75" i="10"/>
  <c r="BP97" i="10"/>
  <c r="BK97" i="10"/>
  <c r="CI97" i="10"/>
  <c r="AE218" i="10"/>
  <c r="AF218" i="10"/>
  <c r="AG218" i="10" s="1"/>
  <c r="V30" i="10"/>
  <c r="BT30" i="10"/>
  <c r="AN30" i="10"/>
  <c r="CG30" i="10" s="1"/>
  <c r="BU48" i="10"/>
  <c r="BL48" i="10"/>
  <c r="V48" i="10"/>
  <c r="V348" i="10"/>
  <c r="BM23" i="10"/>
  <c r="BX23" i="10"/>
  <c r="BO136" i="10"/>
  <c r="W136" i="10"/>
  <c r="BD136" i="10" s="1"/>
  <c r="N106" i="10"/>
  <c r="O106" i="10"/>
  <c r="BC107" i="10"/>
  <c r="BV89" i="10"/>
  <c r="BW89" i="10"/>
  <c r="BU53" i="10"/>
  <c r="AJ53" i="10"/>
  <c r="AK53" i="10" s="1"/>
  <c r="AI53" i="10"/>
  <c r="AO24" i="10"/>
  <c r="U329" i="10"/>
  <c r="CB329" i="10"/>
  <c r="AI329" i="10"/>
  <c r="AJ329" i="10"/>
  <c r="AK329" i="10" s="1"/>
  <c r="BX334" i="10"/>
  <c r="CJ334" i="10"/>
  <c r="BJ332" i="10"/>
  <c r="BK328" i="10"/>
  <c r="CB328" i="10"/>
  <c r="AI154" i="10"/>
  <c r="AJ154" i="10"/>
  <c r="AK154" i="10" s="1"/>
  <c r="BQ301" i="10"/>
  <c r="AE191" i="10"/>
  <c r="AF191" i="10"/>
  <c r="AG191" i="10" s="1"/>
  <c r="U340" i="10"/>
  <c r="CD340" i="10"/>
  <c r="K340" i="10"/>
  <c r="V340" i="10"/>
  <c r="AB337" i="10"/>
  <c r="AA337" i="10"/>
  <c r="BL28" i="10"/>
  <c r="BK14" i="10"/>
  <c r="BT14" i="10"/>
  <c r="BN14" i="10"/>
  <c r="N75" i="10"/>
  <c r="O75" i="10"/>
  <c r="BL102" i="10"/>
  <c r="CB87" i="10"/>
  <c r="CI87" i="10"/>
  <c r="AN80" i="10"/>
  <c r="CG80" i="10" s="1"/>
  <c r="BM129" i="10"/>
  <c r="AA88" i="10"/>
  <c r="AB88" i="10"/>
  <c r="O163" i="10"/>
  <c r="N163" i="10"/>
  <c r="AJ81" i="10"/>
  <c r="AK81" i="10" s="1"/>
  <c r="AI81" i="10"/>
  <c r="AB81" i="10"/>
  <c r="AA81" i="10"/>
  <c r="AF235" i="10"/>
  <c r="AG235" i="10" s="1"/>
  <c r="AE235" i="10"/>
  <c r="N49" i="10"/>
  <c r="O49" i="10"/>
  <c r="CE142" i="10"/>
  <c r="AO142" i="10"/>
  <c r="AJ98" i="10"/>
  <c r="AK98" i="10" s="1"/>
  <c r="AI98" i="10"/>
  <c r="AJ111" i="10"/>
  <c r="AK111" i="10" s="1"/>
  <c r="AI111" i="10"/>
  <c r="BQ111" i="10"/>
  <c r="CK109" i="10"/>
  <c r="CL109" i="10"/>
  <c r="P109" i="10"/>
  <c r="AI138" i="10"/>
  <c r="AJ138" i="10"/>
  <c r="AK138" i="10" s="1"/>
  <c r="BQ138" i="10"/>
  <c r="AJ225" i="10"/>
  <c r="AK225" i="10" s="1"/>
  <c r="AI225" i="10"/>
  <c r="AI174" i="10"/>
  <c r="AJ174" i="10"/>
  <c r="AK174" i="10" s="1"/>
  <c r="AB214" i="10"/>
  <c r="AA214" i="10"/>
  <c r="O170" i="10"/>
  <c r="N170" i="10"/>
  <c r="N347" i="10"/>
  <c r="O347" i="10"/>
  <c r="AJ210" i="10"/>
  <c r="AK210" i="10" s="1"/>
  <c r="AI210" i="10"/>
  <c r="O227" i="10"/>
  <c r="N227" i="10"/>
  <c r="AI176" i="10"/>
  <c r="AJ176" i="10"/>
  <c r="AK176" i="10" s="1"/>
  <c r="O188" i="10"/>
  <c r="N188" i="10"/>
  <c r="BQ166" i="10"/>
  <c r="AF166" i="10"/>
  <c r="AG166" i="10" s="1"/>
  <c r="AE166" i="10"/>
  <c r="AF288" i="10"/>
  <c r="AG288" i="10" s="1"/>
  <c r="AE288" i="10"/>
  <c r="AB323" i="10"/>
  <c r="AA323" i="10"/>
  <c r="O190" i="10"/>
  <c r="N190" i="10"/>
  <c r="O192" i="10"/>
  <c r="N192" i="10"/>
  <c r="AF178" i="10"/>
  <c r="AG178" i="10" s="1"/>
  <c r="AE178" i="10"/>
  <c r="O165" i="10"/>
  <c r="N165" i="10"/>
  <c r="N303" i="10"/>
  <c r="O303" i="10"/>
  <c r="AA227" i="10"/>
  <c r="AB227" i="10"/>
  <c r="AJ227" i="10"/>
  <c r="AK227" i="10" s="1"/>
  <c r="AI227" i="10"/>
  <c r="AB345" i="10"/>
  <c r="AA345" i="10"/>
  <c r="K338" i="10"/>
  <c r="CD338" i="10"/>
  <c r="AA186" i="10"/>
  <c r="AB186" i="10"/>
  <c r="AE313" i="10"/>
  <c r="AF313" i="10"/>
  <c r="AG313" i="10" s="1"/>
  <c r="BQ313" i="10"/>
  <c r="BQ346" i="10"/>
  <c r="AE125" i="10"/>
  <c r="AF125" i="10"/>
  <c r="AG125" i="10" s="1"/>
  <c r="O200" i="10"/>
  <c r="N200" i="10"/>
  <c r="N131" i="10"/>
  <c r="O131" i="10"/>
  <c r="AJ56" i="10"/>
  <c r="AK56" i="10" s="1"/>
  <c r="AI56" i="10"/>
  <c r="AB56" i="10"/>
  <c r="AA56" i="10"/>
  <c r="AF44" i="10"/>
  <c r="AG44" i="10" s="1"/>
  <c r="AE44" i="10"/>
  <c r="AB44" i="10"/>
  <c r="AA44" i="10"/>
  <c r="O47" i="10"/>
  <c r="N47" i="10"/>
  <c r="N135" i="10"/>
  <c r="O135" i="10"/>
  <c r="O70" i="10"/>
  <c r="N70" i="10"/>
  <c r="AI16" i="10"/>
  <c r="AJ16" i="10"/>
  <c r="AK16" i="10" s="1"/>
  <c r="AA17" i="10"/>
  <c r="AB17" i="10"/>
  <c r="AE135" i="10"/>
  <c r="AF135" i="10"/>
  <c r="AG135" i="10" s="1"/>
  <c r="BQ193" i="10"/>
  <c r="AI193" i="10"/>
  <c r="AJ193" i="10"/>
  <c r="AK193" i="10" s="1"/>
  <c r="AB349" i="10"/>
  <c r="AA349" i="10"/>
  <c r="AE67" i="10"/>
  <c r="AF67" i="10"/>
  <c r="AG67" i="10" s="1"/>
  <c r="N111" i="10"/>
  <c r="O111" i="10"/>
  <c r="N129" i="10"/>
  <c r="O129" i="10"/>
  <c r="AJ116" i="10"/>
  <c r="AK116" i="10" s="1"/>
  <c r="AI116" i="10"/>
  <c r="AO17" i="10"/>
  <c r="AA90" i="10"/>
  <c r="AB90" i="10"/>
  <c r="AE95" i="10"/>
  <c r="AF95" i="10"/>
  <c r="AG95" i="10" s="1"/>
  <c r="AA121" i="10"/>
  <c r="AB121" i="10"/>
  <c r="AJ121" i="10"/>
  <c r="AK121" i="10" s="1"/>
  <c r="AI121" i="10"/>
  <c r="O215" i="10"/>
  <c r="N215" i="10"/>
  <c r="AI108" i="10"/>
  <c r="AJ108" i="10"/>
  <c r="AK108" i="10" s="1"/>
  <c r="AE122" i="10"/>
  <c r="AF122" i="10"/>
  <c r="AG122" i="10" s="1"/>
  <c r="AJ123" i="10"/>
  <c r="AK123" i="10" s="1"/>
  <c r="AI123" i="10"/>
  <c r="AF123" i="10"/>
  <c r="AG123" i="10" s="1"/>
  <c r="AE123" i="10"/>
  <c r="AB134" i="10"/>
  <c r="AA134" i="10"/>
  <c r="AI46" i="10"/>
  <c r="AJ46" i="10"/>
  <c r="AK46" i="10" s="1"/>
  <c r="AI75" i="10"/>
  <c r="AJ75" i="10"/>
  <c r="AK75" i="10" s="1"/>
  <c r="AE75" i="10"/>
  <c r="AF75" i="10"/>
  <c r="AG75" i="10" s="1"/>
  <c r="N108" i="10"/>
  <c r="O108" i="10"/>
  <c r="AB218" i="10"/>
  <c r="AA218" i="10"/>
  <c r="O57" i="10"/>
  <c r="N57" i="10"/>
  <c r="AE23" i="10"/>
  <c r="AF23" i="10"/>
  <c r="AG23" i="10" s="1"/>
  <c r="P19" i="10"/>
  <c r="CL19" i="10"/>
  <c r="CK19" i="10"/>
  <c r="K94" i="10"/>
  <c r="AE94" i="10"/>
  <c r="AF94" i="10"/>
  <c r="AG94" i="10" s="1"/>
  <c r="BQ94" i="10"/>
  <c r="N112" i="10"/>
  <c r="O112" i="10"/>
  <c r="AI89" i="10"/>
  <c r="AJ89" i="10"/>
  <c r="AK89" i="10" s="1"/>
  <c r="BC117" i="10"/>
  <c r="AF234" i="10"/>
  <c r="AG234" i="10" s="1"/>
  <c r="AE234" i="10"/>
  <c r="AJ217" i="10"/>
  <c r="AK217" i="10" s="1"/>
  <c r="AI217" i="10"/>
  <c r="AB351" i="10"/>
  <c r="AA351" i="10"/>
  <c r="AJ237" i="10"/>
  <c r="AK237" i="10" s="1"/>
  <c r="AI237" i="10"/>
  <c r="AF229" i="10"/>
  <c r="AG229" i="10" s="1"/>
  <c r="AE229" i="10"/>
  <c r="AJ219" i="10"/>
  <c r="AK219" i="10" s="1"/>
  <c r="AI219" i="10"/>
  <c r="AJ332" i="10"/>
  <c r="AK332" i="10" s="1"/>
  <c r="AI332" i="10"/>
  <c r="AJ221" i="10"/>
  <c r="AK221" i="10" s="1"/>
  <c r="AI221" i="10"/>
  <c r="AF192" i="10"/>
  <c r="AG192" i="10" s="1"/>
  <c r="AE192" i="10"/>
  <c r="AE194" i="10"/>
  <c r="AF194" i="10"/>
  <c r="AG194" i="10" s="1"/>
  <c r="AA194" i="10"/>
  <c r="AB194" i="10"/>
  <c r="N286" i="10"/>
  <c r="O286" i="10"/>
  <c r="BQ180" i="10"/>
  <c r="BQ341" i="10"/>
  <c r="AI169" i="10"/>
  <c r="AJ169" i="10"/>
  <c r="AK169" i="10" s="1"/>
  <c r="AA169" i="10"/>
  <c r="AB169" i="10"/>
  <c r="AF154" i="10"/>
  <c r="AG154" i="10" s="1"/>
  <c r="AE154" i="10"/>
  <c r="AE340" i="10"/>
  <c r="AF340" i="10"/>
  <c r="AG340" i="10" s="1"/>
  <c r="AB184" i="10"/>
  <c r="AA184" i="10"/>
  <c r="AE11" i="10"/>
  <c r="AF11" i="10"/>
  <c r="AG11" i="10" s="1"/>
  <c r="AE28" i="10"/>
  <c r="AF28" i="10"/>
  <c r="AG28" i="10" s="1"/>
  <c r="AF14" i="10"/>
  <c r="AG14" i="10" s="1"/>
  <c r="AE14" i="10"/>
  <c r="O78" i="10"/>
  <c r="N78" i="10"/>
  <c r="AI102" i="10"/>
  <c r="AJ102" i="10"/>
  <c r="AK102" i="10" s="1"/>
  <c r="AF137" i="10"/>
  <c r="AG137" i="10" s="1"/>
  <c r="AE137" i="10"/>
  <c r="AI137" i="10"/>
  <c r="AJ137" i="10"/>
  <c r="AK137" i="10" s="1"/>
  <c r="AB80" i="10"/>
  <c r="AA80" i="10"/>
  <c r="AA129" i="10"/>
  <c r="AB129" i="10"/>
  <c r="O15" i="10"/>
  <c r="N15" i="10"/>
  <c r="AO108" i="10"/>
  <c r="BF108" i="10"/>
  <c r="BE108" i="10"/>
  <c r="AF115" i="10"/>
  <c r="AG115" i="10" s="1"/>
  <c r="AE115" i="10"/>
  <c r="BQ115" i="10"/>
  <c r="AA164" i="10"/>
  <c r="AB164" i="10"/>
  <c r="K164" i="1" s="1"/>
  <c r="L164" i="1" s="1"/>
  <c r="O259" i="10"/>
  <c r="N259" i="10"/>
  <c r="O6" i="10"/>
  <c r="N6" i="10"/>
  <c r="BQ142" i="10"/>
  <c r="AA111" i="10"/>
  <c r="AB111" i="10"/>
  <c r="AI73" i="10"/>
  <c r="AJ73" i="10"/>
  <c r="AK73" i="10" s="1"/>
  <c r="AF73" i="10"/>
  <c r="AG73" i="10" s="1"/>
  <c r="AE73" i="10"/>
  <c r="AB138" i="10"/>
  <c r="AA138" i="10"/>
  <c r="AA106" i="10"/>
  <c r="AB106" i="10"/>
  <c r="AF225" i="10"/>
  <c r="AG225" i="10" s="1"/>
  <c r="AE225" i="10"/>
  <c r="AF174" i="10"/>
  <c r="AG174" i="10" s="1"/>
  <c r="AE174" i="10"/>
  <c r="AA342" i="10"/>
  <c r="AB342" i="10"/>
  <c r="AF201" i="10"/>
  <c r="AG201" i="10" s="1"/>
  <c r="AE201" i="10"/>
  <c r="AA210" i="10"/>
  <c r="AB210" i="10"/>
  <c r="BQ210" i="10"/>
  <c r="BQ176" i="10"/>
  <c r="AI166" i="10"/>
  <c r="AJ166" i="10"/>
  <c r="AK166" i="10" s="1"/>
  <c r="AA288" i="10"/>
  <c r="AB288" i="10"/>
  <c r="AI288" i="10"/>
  <c r="AJ288" i="10"/>
  <c r="AK288" i="10" s="1"/>
  <c r="BQ323" i="10"/>
  <c r="AF323" i="10"/>
  <c r="AG323" i="10" s="1"/>
  <c r="AE323" i="10"/>
  <c r="AA178" i="10"/>
  <c r="AB178" i="10"/>
  <c r="O305" i="10"/>
  <c r="N305" i="10"/>
  <c r="AF227" i="10"/>
  <c r="AG227" i="10" s="1"/>
  <c r="AE227" i="10"/>
  <c r="AI7" i="10"/>
  <c r="AJ7" i="10"/>
  <c r="AK7" i="10" s="1"/>
  <c r="N128" i="10"/>
  <c r="O128" i="10"/>
  <c r="O199" i="10"/>
  <c r="N199" i="10"/>
  <c r="N321" i="10"/>
  <c r="O321" i="10"/>
  <c r="BQ345" i="10"/>
  <c r="AB338" i="10"/>
  <c r="AA338" i="10"/>
  <c r="BQ338" i="10"/>
  <c r="AE338" i="10"/>
  <c r="AF338" i="10"/>
  <c r="AG338" i="10" s="1"/>
  <c r="AB8" i="10"/>
  <c r="AA8" i="10"/>
  <c r="AJ8" i="10"/>
  <c r="AK8" i="10" s="1"/>
  <c r="AI8" i="10"/>
  <c r="AE8" i="10"/>
  <c r="AF8" i="10"/>
  <c r="AG8" i="10" s="1"/>
  <c r="N285" i="10"/>
  <c r="O285" i="10"/>
  <c r="AE186" i="10"/>
  <c r="AF186" i="10"/>
  <c r="AG186" i="10" s="1"/>
  <c r="AI313" i="10"/>
  <c r="AJ313" i="10"/>
  <c r="AK313" i="10" s="1"/>
  <c r="AE346" i="10"/>
  <c r="AF346" i="10"/>
  <c r="AG346" i="10" s="1"/>
  <c r="CD125" i="10"/>
  <c r="K125" i="10"/>
  <c r="O59" i="10"/>
  <c r="N59" i="10"/>
  <c r="AJ310" i="10"/>
  <c r="AK310" i="10" s="1"/>
  <c r="AI310" i="10"/>
  <c r="CL346" i="10"/>
  <c r="P346" i="10"/>
  <c r="CK346" i="10"/>
  <c r="AF63" i="10"/>
  <c r="AG63" i="10" s="1"/>
  <c r="AE63" i="10"/>
  <c r="O42" i="10"/>
  <c r="N42" i="10"/>
  <c r="AJ44" i="10"/>
  <c r="AK44" i="10" s="1"/>
  <c r="AI44" i="10"/>
  <c r="O94" i="10"/>
  <c r="N94" i="10"/>
  <c r="BQ21" i="10"/>
  <c r="CD21" i="10"/>
  <c r="K21" i="10"/>
  <c r="AI135" i="10"/>
  <c r="AJ135" i="10"/>
  <c r="AK135" i="10" s="1"/>
  <c r="O84" i="10"/>
  <c r="N84" i="10"/>
  <c r="AF193" i="10"/>
  <c r="AG193" i="10" s="1"/>
  <c r="AE193" i="10"/>
  <c r="CD349" i="10"/>
  <c r="K349" i="10"/>
  <c r="BQ349" i="10"/>
  <c r="AB67" i="10"/>
  <c r="AA67" i="10"/>
  <c r="N16" i="10"/>
  <c r="O16" i="10"/>
  <c r="AA117" i="10"/>
  <c r="AB117" i="10"/>
  <c r="AE90" i="10"/>
  <c r="AF90" i="10"/>
  <c r="AG90" i="10" s="1"/>
  <c r="N95" i="10"/>
  <c r="O95" i="10"/>
  <c r="AE121" i="10"/>
  <c r="AF121" i="10"/>
  <c r="AG121" i="10" s="1"/>
  <c r="N114" i="10"/>
  <c r="O114" i="10"/>
  <c r="O10" i="10"/>
  <c r="N10" i="10"/>
  <c r="AB42" i="10"/>
  <c r="AA42" i="10"/>
  <c r="AF42" i="10"/>
  <c r="AG42" i="10" s="1"/>
  <c r="AE42" i="10"/>
  <c r="AA108" i="10"/>
  <c r="AB108" i="10"/>
  <c r="K108" i="10"/>
  <c r="AE108" i="10"/>
  <c r="AF108" i="10"/>
  <c r="AG108" i="10" s="1"/>
  <c r="BQ104" i="10"/>
  <c r="CL18" i="10"/>
  <c r="CK18" i="10"/>
  <c r="P18" i="10"/>
  <c r="AI82" i="10"/>
  <c r="AJ82" i="10"/>
  <c r="AK82" i="10" s="1"/>
  <c r="AF134" i="10"/>
  <c r="AG134" i="10" s="1"/>
  <c r="AE134" i="10"/>
  <c r="AJ134" i="10"/>
  <c r="AK134" i="10" s="1"/>
  <c r="AI134" i="10"/>
  <c r="AA91" i="10"/>
  <c r="AB91" i="10"/>
  <c r="AI105" i="10"/>
  <c r="AJ105" i="10"/>
  <c r="AK105" i="10" s="1"/>
  <c r="AJ97" i="10"/>
  <c r="AK97" i="10" s="1"/>
  <c r="AI97" i="10"/>
  <c r="AE97" i="10"/>
  <c r="AF97" i="10"/>
  <c r="AG97" i="10" s="1"/>
  <c r="AB97" i="10"/>
  <c r="AA97" i="10"/>
  <c r="AI30" i="10"/>
  <c r="AJ30" i="10"/>
  <c r="AK30" i="10" s="1"/>
  <c r="AE30" i="10"/>
  <c r="AF30" i="10"/>
  <c r="AG30" i="10" s="1"/>
  <c r="AA190" i="10"/>
  <c r="AB190" i="10"/>
  <c r="AA48" i="10"/>
  <c r="AB48" i="10"/>
  <c r="AA65" i="10"/>
  <c r="AB65" i="10"/>
  <c r="AA94" i="10"/>
  <c r="AB94" i="10"/>
  <c r="AJ136" i="10"/>
  <c r="AK136" i="10" s="1"/>
  <c r="AI136" i="10"/>
  <c r="AF89" i="10"/>
  <c r="AG89" i="10" s="1"/>
  <c r="AE89" i="10"/>
  <c r="AA89" i="10"/>
  <c r="AB89" i="10"/>
  <c r="AB53" i="10"/>
  <c r="AA53" i="10"/>
  <c r="AE53" i="10"/>
  <c r="AF53" i="10"/>
  <c r="AG53" i="10" s="1"/>
  <c r="BF117" i="10"/>
  <c r="CL119" i="10"/>
  <c r="CK119" i="10"/>
  <c r="P119" i="10"/>
  <c r="AA234" i="10"/>
  <c r="AB234" i="10"/>
  <c r="AA302" i="10"/>
  <c r="AB302" i="10"/>
  <c r="AI302" i="10"/>
  <c r="AJ302" i="10"/>
  <c r="AK302" i="10" s="1"/>
  <c r="AF217" i="10"/>
  <c r="AG217" i="10" s="1"/>
  <c r="AE217" i="10"/>
  <c r="AE329" i="10"/>
  <c r="AF329" i="10"/>
  <c r="AG329" i="10" s="1"/>
  <c r="BQ351" i="10"/>
  <c r="AA334" i="10"/>
  <c r="AB334" i="10"/>
  <c r="AF237" i="10"/>
  <c r="AG237" i="10" s="1"/>
  <c r="AE237" i="10"/>
  <c r="AA229" i="10"/>
  <c r="AB229" i="10"/>
  <c r="AB332" i="10"/>
  <c r="AA332" i="10"/>
  <c r="AF221" i="10"/>
  <c r="AG221" i="10" s="1"/>
  <c r="AE221" i="10"/>
  <c r="AB328" i="10"/>
  <c r="AA328" i="10"/>
  <c r="AJ328" i="10"/>
  <c r="AK328" i="10" s="1"/>
  <c r="AI328" i="10"/>
  <c r="N293" i="10"/>
  <c r="O293" i="10"/>
  <c r="BQ192" i="10"/>
  <c r="AB192" i="10"/>
  <c r="AA192" i="10"/>
  <c r="N187" i="10"/>
  <c r="O187" i="10"/>
  <c r="AI194" i="10"/>
  <c r="AJ194" i="10"/>
  <c r="AK194" i="10" s="1"/>
  <c r="AI180" i="10"/>
  <c r="AJ180" i="10"/>
  <c r="AK180" i="10" s="1"/>
  <c r="AB180" i="10"/>
  <c r="AA180" i="10"/>
  <c r="N213" i="10"/>
  <c r="O213" i="10"/>
  <c r="AJ207" i="10"/>
  <c r="AK207" i="10" s="1"/>
  <c r="AI207" i="10"/>
  <c r="N323" i="10"/>
  <c r="O323" i="10"/>
  <c r="AE189" i="10"/>
  <c r="AF189" i="10"/>
  <c r="AG189" i="10" s="1"/>
  <c r="BQ163" i="10"/>
  <c r="O180" i="10"/>
  <c r="N180" i="10"/>
  <c r="AJ322" i="10"/>
  <c r="AK322" i="10" s="1"/>
  <c r="AI322" i="10"/>
  <c r="O189" i="10"/>
  <c r="N189" i="10"/>
  <c r="AI341" i="10"/>
  <c r="AJ341" i="10"/>
  <c r="AK341" i="10" s="1"/>
  <c r="BQ169" i="10"/>
  <c r="AA154" i="10"/>
  <c r="AB154" i="10"/>
  <c r="AF301" i="10"/>
  <c r="AG301" i="10" s="1"/>
  <c r="AE301" i="10"/>
  <c r="BQ191" i="10"/>
  <c r="AB191" i="10"/>
  <c r="AA191" i="10"/>
  <c r="AI191" i="10"/>
  <c r="AJ191" i="10"/>
  <c r="AK191" i="10" s="1"/>
  <c r="AJ340" i="10"/>
  <c r="AK340" i="10" s="1"/>
  <c r="AI340" i="10"/>
  <c r="AJ184" i="10"/>
  <c r="AK184" i="10" s="1"/>
  <c r="AI184" i="10"/>
  <c r="CD337" i="10"/>
  <c r="K337" i="10"/>
  <c r="BQ337" i="10"/>
  <c r="CD11" i="10"/>
  <c r="K11" i="10"/>
  <c r="AA28" i="10"/>
  <c r="AB28" i="10"/>
  <c r="AJ14" i="10"/>
  <c r="AK14" i="10" s="1"/>
  <c r="AI14" i="10"/>
  <c r="O182" i="10"/>
  <c r="N182" i="10"/>
  <c r="AF87" i="10"/>
  <c r="AG87" i="10" s="1"/>
  <c r="AE87" i="10"/>
  <c r="AF139" i="10"/>
  <c r="AG139" i="10" s="1"/>
  <c r="AE139" i="10"/>
  <c r="AB137" i="10"/>
  <c r="AA137" i="10"/>
  <c r="AF80" i="10"/>
  <c r="AG80" i="10" s="1"/>
  <c r="AE80" i="10"/>
  <c r="AF129" i="10"/>
  <c r="AG129" i="10" s="1"/>
  <c r="AE129" i="10"/>
  <c r="CK17" i="10"/>
  <c r="P17" i="10"/>
  <c r="CL17" i="10"/>
  <c r="AI115" i="10"/>
  <c r="AJ115" i="10"/>
  <c r="AK115" i="10" s="1"/>
  <c r="AB115" i="10"/>
  <c r="AA115" i="10"/>
  <c r="K115" i="10"/>
  <c r="CD115" i="10"/>
  <c r="AB120" i="10"/>
  <c r="AA120" i="10"/>
  <c r="AF79" i="10"/>
  <c r="AG79" i="10" s="1"/>
  <c r="AE79" i="10"/>
  <c r="AF81" i="10"/>
  <c r="AG81" i="10" s="1"/>
  <c r="AE81" i="10"/>
  <c r="AJ164" i="10"/>
  <c r="AK164" i="10" s="1"/>
  <c r="AI164" i="10"/>
  <c r="AA235" i="10"/>
  <c r="AB235" i="10"/>
  <c r="N289" i="10"/>
  <c r="O289" i="10"/>
  <c r="AJ57" i="10"/>
  <c r="AK57" i="10" s="1"/>
  <c r="AI57" i="10"/>
  <c r="AE57" i="10"/>
  <c r="AF57" i="10"/>
  <c r="AG57" i="10" s="1"/>
  <c r="N142" i="10"/>
  <c r="O142" i="10"/>
  <c r="AF142" i="10"/>
  <c r="AG142" i="10" s="1"/>
  <c r="AE142" i="10"/>
  <c r="AI142" i="10"/>
  <c r="AJ142" i="10"/>
  <c r="AK142" i="10" s="1"/>
  <c r="AA98" i="10"/>
  <c r="AB98" i="10"/>
  <c r="AE111" i="10"/>
  <c r="AF111" i="10"/>
  <c r="AG111" i="10" s="1"/>
  <c r="N139" i="10"/>
  <c r="O139" i="10"/>
  <c r="AA73" i="10"/>
  <c r="AB73" i="10"/>
  <c r="AA225" i="10"/>
  <c r="AB225" i="10"/>
  <c r="AE214" i="10"/>
  <c r="AF214" i="10"/>
  <c r="AG214" i="10" s="1"/>
  <c r="AE342" i="10"/>
  <c r="AF342" i="10"/>
  <c r="AG342" i="10" s="1"/>
  <c r="AA201" i="10"/>
  <c r="AB201" i="10"/>
  <c r="AF210" i="10"/>
  <c r="AG210" i="10" s="1"/>
  <c r="AE210" i="10"/>
  <c r="AF176" i="10"/>
  <c r="AG176" i="10" s="1"/>
  <c r="AE176" i="10"/>
  <c r="AA166" i="10"/>
  <c r="AB166" i="10"/>
  <c r="AI323" i="10"/>
  <c r="AJ323" i="10"/>
  <c r="AK323" i="10" s="1"/>
  <c r="O162" i="10"/>
  <c r="N162" i="10"/>
  <c r="BQ178" i="10"/>
  <c r="O195" i="10"/>
  <c r="N195" i="10"/>
  <c r="BQ227" i="10"/>
  <c r="BQ187" i="10"/>
  <c r="AA187" i="10"/>
  <c r="AB187" i="10"/>
  <c r="AI187" i="10"/>
  <c r="AJ187" i="10"/>
  <c r="AK187" i="10" s="1"/>
  <c r="AE7" i="10"/>
  <c r="AF7" i="10"/>
  <c r="AG7" i="10" s="1"/>
  <c r="N206" i="10"/>
  <c r="O206" i="10"/>
  <c r="CD345" i="10"/>
  <c r="K345" i="10"/>
  <c r="AF345" i="10"/>
  <c r="AG345" i="10" s="1"/>
  <c r="AE345" i="10"/>
  <c r="AI345" i="10"/>
  <c r="AJ345" i="10"/>
  <c r="AK345" i="10" s="1"/>
  <c r="AJ338" i="10"/>
  <c r="AK338" i="10" s="1"/>
  <c r="AI338" i="10"/>
  <c r="BQ186" i="10"/>
  <c r="AB346" i="10"/>
  <c r="AA346" i="10"/>
  <c r="CD346" i="10"/>
  <c r="K346" i="10"/>
  <c r="AJ346" i="10"/>
  <c r="AK346" i="10" s="1"/>
  <c r="AI346" i="10"/>
  <c r="AI125" i="10"/>
  <c r="AJ125" i="10"/>
  <c r="AK125" i="10" s="1"/>
  <c r="AA49" i="10"/>
  <c r="AB49" i="10"/>
  <c r="BQ310" i="10"/>
  <c r="N140" i="10"/>
  <c r="O140" i="10"/>
  <c r="AJ63" i="10"/>
  <c r="AK63" i="10" s="1"/>
  <c r="AI63" i="10"/>
  <c r="AF56" i="10"/>
  <c r="AG56" i="10" s="1"/>
  <c r="AE56" i="10"/>
  <c r="CD17" i="10"/>
  <c r="K17" i="10"/>
  <c r="AI17" i="10"/>
  <c r="AJ17" i="10"/>
  <c r="AK17" i="10" s="1"/>
  <c r="AI21" i="10"/>
  <c r="AJ21" i="10"/>
  <c r="AK21" i="10" s="1"/>
  <c r="N98" i="10"/>
  <c r="O98" i="10"/>
  <c r="AA135" i="10"/>
  <c r="AB135" i="10"/>
  <c r="N76" i="10"/>
  <c r="O76" i="10"/>
  <c r="AB193" i="10"/>
  <c r="AA193" i="10"/>
  <c r="AF349" i="10"/>
  <c r="AG349" i="10" s="1"/>
  <c r="AE349" i="10"/>
  <c r="AI349" i="10"/>
  <c r="AJ349" i="10"/>
  <c r="AK349" i="10" s="1"/>
  <c r="K117" i="10"/>
  <c r="CD117" i="10"/>
  <c r="AJ117" i="10"/>
  <c r="AK117" i="10" s="1"/>
  <c r="AI117" i="10"/>
  <c r="AF117" i="10"/>
  <c r="AG117" i="10" s="1"/>
  <c r="AE117" i="10"/>
  <c r="AF116" i="10"/>
  <c r="AG116" i="10" s="1"/>
  <c r="AE116" i="10"/>
  <c r="BQ116" i="10"/>
  <c r="N36" i="10"/>
  <c r="O36" i="10"/>
  <c r="AB95" i="10"/>
  <c r="AA95" i="10"/>
  <c r="AJ95" i="10"/>
  <c r="AK95" i="10" s="1"/>
  <c r="AI95" i="10"/>
  <c r="N45" i="10"/>
  <c r="O45" i="10"/>
  <c r="O48" i="10"/>
  <c r="N48" i="10"/>
  <c r="AA96" i="10"/>
  <c r="AB96" i="10"/>
  <c r="AJ96" i="10"/>
  <c r="AK96" i="10" s="1"/>
  <c r="AI96" i="10"/>
  <c r="AE96" i="10"/>
  <c r="AF96" i="10"/>
  <c r="AG96" i="10" s="1"/>
  <c r="BQ108" i="10"/>
  <c r="AB104" i="10"/>
  <c r="AA104" i="10"/>
  <c r="AA122" i="10"/>
  <c r="AB122" i="10"/>
  <c r="AB82" i="10"/>
  <c r="AA82" i="10"/>
  <c r="N121" i="10"/>
  <c r="O121" i="10"/>
  <c r="AA123" i="10"/>
  <c r="AB123" i="10"/>
  <c r="N123" i="10"/>
  <c r="O123" i="10"/>
  <c r="AX34" i="10"/>
  <c r="CK34" i="10"/>
  <c r="P34" i="10"/>
  <c r="CL34" i="10"/>
  <c r="AE105" i="10"/>
  <c r="AF105" i="10"/>
  <c r="AG105" i="10" s="1"/>
  <c r="O30" i="10"/>
  <c r="N30" i="10"/>
  <c r="N35" i="10"/>
  <c r="O35" i="10"/>
  <c r="BQ47" i="10"/>
  <c r="AB47" i="10"/>
  <c r="AA47" i="10"/>
  <c r="N58" i="10"/>
  <c r="O58" i="10"/>
  <c r="AJ218" i="10"/>
  <c r="AK218" i="10" s="1"/>
  <c r="AI218" i="10"/>
  <c r="O164" i="10"/>
  <c r="N164" i="10"/>
  <c r="BQ190" i="10"/>
  <c r="AE190" i="10"/>
  <c r="AF190" i="10"/>
  <c r="AG190" i="10" s="1"/>
  <c r="O137" i="10"/>
  <c r="N137" i="10"/>
  <c r="AE48" i="10"/>
  <c r="AF48" i="10"/>
  <c r="AG48" i="10" s="1"/>
  <c r="K348" i="10"/>
  <c r="CD348" i="10"/>
  <c r="BQ348" i="10"/>
  <c r="N88" i="10"/>
  <c r="O88" i="10"/>
  <c r="AJ23" i="10"/>
  <c r="AK23" i="10" s="1"/>
  <c r="AI23" i="10"/>
  <c r="AB23" i="10"/>
  <c r="AA23" i="10"/>
  <c r="AI65" i="10"/>
  <c r="AJ65" i="10"/>
  <c r="AK65" i="10" s="1"/>
  <c r="AF65" i="10"/>
  <c r="AG65" i="10" s="1"/>
  <c r="AE65" i="10"/>
  <c r="AE136" i="10"/>
  <c r="AF136" i="10"/>
  <c r="AG136" i="10" s="1"/>
  <c r="BE117" i="10"/>
  <c r="BQ302" i="10"/>
  <c r="AA217" i="10"/>
  <c r="AB217" i="10"/>
  <c r="AB329" i="10"/>
  <c r="AA329" i="10"/>
  <c r="K351" i="10"/>
  <c r="CD351" i="10"/>
  <c r="AF351" i="10"/>
  <c r="AG351" i="10" s="1"/>
  <c r="AE351" i="10"/>
  <c r="AI351" i="10"/>
  <c r="AJ351" i="10"/>
  <c r="AK351" i="10" s="1"/>
  <c r="AE334" i="10"/>
  <c r="AF334" i="10"/>
  <c r="AG334" i="10" s="1"/>
  <c r="O168" i="10"/>
  <c r="N168" i="10"/>
  <c r="AA237" i="10"/>
  <c r="AB237" i="10"/>
  <c r="AF219" i="10"/>
  <c r="AG219" i="10" s="1"/>
  <c r="AE219" i="10"/>
  <c r="AB221" i="10"/>
  <c r="AA221" i="10"/>
  <c r="BQ194" i="10"/>
  <c r="N258" i="10"/>
  <c r="O258" i="10"/>
  <c r="AB189" i="10"/>
  <c r="AA189" i="10"/>
  <c r="BQ189" i="10"/>
  <c r="AI163" i="10"/>
  <c r="AJ163" i="10"/>
  <c r="AK163" i="10" s="1"/>
  <c r="BQ322" i="10"/>
  <c r="CD341" i="10"/>
  <c r="K341" i="10"/>
  <c r="AF341" i="10"/>
  <c r="AG341" i="10" s="1"/>
  <c r="AE341" i="10"/>
  <c r="O13" i="10"/>
  <c r="N13" i="10"/>
  <c r="AF169" i="10"/>
  <c r="AG169" i="10" s="1"/>
  <c r="AE169" i="10"/>
  <c r="O184" i="10"/>
  <c r="N184" i="10"/>
  <c r="AI301" i="10"/>
  <c r="AJ301" i="10"/>
  <c r="AK301" i="10" s="1"/>
  <c r="AA301" i="10"/>
  <c r="AB301" i="10"/>
  <c r="O350" i="10"/>
  <c r="N350" i="10"/>
  <c r="AB340" i="10"/>
  <c r="AA340" i="10"/>
  <c r="AF184" i="10"/>
  <c r="AG184" i="10" s="1"/>
  <c r="AE184" i="10"/>
  <c r="AI337" i="10"/>
  <c r="AJ337" i="10"/>
  <c r="AK337" i="10" s="1"/>
  <c r="BQ11" i="10"/>
  <c r="AJ11" i="10"/>
  <c r="AK11" i="10" s="1"/>
  <c r="AI11" i="10"/>
  <c r="AO134" i="10"/>
  <c r="O178" i="10"/>
  <c r="N178" i="10"/>
  <c r="AJ87" i="10"/>
  <c r="AK87" i="10" s="1"/>
  <c r="AI87" i="10"/>
  <c r="AB87" i="10"/>
  <c r="AA87" i="10"/>
  <c r="N313" i="10"/>
  <c r="O313" i="10"/>
  <c r="AJ80" i="10"/>
  <c r="AK80" i="10" s="1"/>
  <c r="AI80" i="10"/>
  <c r="BC108" i="10"/>
  <c r="O208" i="10"/>
  <c r="N208" i="10"/>
  <c r="V5" i="10"/>
  <c r="BU5" i="10"/>
  <c r="W5" i="10"/>
  <c r="AL5" i="10"/>
  <c r="CE5" i="10" s="1"/>
  <c r="BS5" i="10"/>
  <c r="BO5" i="10"/>
  <c r="BW5" i="10"/>
  <c r="BM5" i="10"/>
  <c r="CI5" i="10"/>
  <c r="BK5" i="10"/>
  <c r="CJ5" i="10"/>
  <c r="BJ5" i="10"/>
  <c r="BP5" i="10"/>
  <c r="BL5" i="10"/>
  <c r="BT5" i="10"/>
  <c r="BY5" i="10"/>
  <c r="BV5" i="10"/>
  <c r="BN5" i="10"/>
  <c r="BX5" i="10"/>
  <c r="U5" i="10"/>
  <c r="AM5" i="10"/>
  <c r="CF5" i="10" s="1"/>
  <c r="Y5" i="10"/>
  <c r="BF5" i="10" s="1"/>
  <c r="P149" i="1"/>
  <c r="AA5" i="10"/>
  <c r="AB5" i="10"/>
  <c r="AG2" i="25"/>
  <c r="AG4" i="25"/>
  <c r="P151" i="1"/>
  <c r="AM29" i="25"/>
  <c r="AC27" i="25"/>
  <c r="AM7" i="25"/>
  <c r="AM20" i="25"/>
  <c r="AM3" i="25"/>
  <c r="AM19" i="25"/>
  <c r="AC3" i="25"/>
  <c r="AM2" i="25"/>
  <c r="AF5" i="10"/>
  <c r="AE5" i="10"/>
  <c r="P152" i="1"/>
  <c r="AC19" i="25"/>
  <c r="AM4" i="25"/>
  <c r="AN5" i="10"/>
  <c r="CG5" i="10" s="1"/>
  <c r="I5" i="10"/>
  <c r="AM6" i="25"/>
  <c r="AG30" i="25"/>
  <c r="AC29" i="25"/>
  <c r="AG7" i="25"/>
  <c r="AJ5" i="10"/>
  <c r="AI5" i="10"/>
  <c r="AG29" i="25"/>
  <c r="BE29" i="25"/>
  <c r="AC28" i="25"/>
  <c r="AG3" i="25"/>
  <c r="AM28" i="25"/>
  <c r="AC4" i="25"/>
  <c r="AC7" i="25"/>
  <c r="AC20" i="25"/>
  <c r="P150" i="1"/>
  <c r="P148" i="1"/>
  <c r="AG28" i="25"/>
  <c r="BE28" i="25"/>
  <c r="AC6" i="25"/>
  <c r="P231" i="1"/>
  <c r="AG19" i="25"/>
  <c r="AG6" i="25"/>
  <c r="P147" i="1"/>
  <c r="P232" i="1"/>
  <c r="AC30" i="25"/>
  <c r="AM30" i="25"/>
  <c r="N5" i="10"/>
  <c r="O5" i="10"/>
  <c r="AC2" i="25"/>
  <c r="BD5" i="10" l="1"/>
  <c r="Z2" i="25"/>
  <c r="BD77" i="10"/>
  <c r="Z7" i="25"/>
  <c r="BD15" i="10"/>
  <c r="Z3" i="25"/>
  <c r="BD42" i="10"/>
  <c r="Z4" i="25"/>
  <c r="BD74" i="10"/>
  <c r="Z6" i="25"/>
  <c r="BH29" i="25"/>
  <c r="AI4" i="25"/>
  <c r="AI7" i="25"/>
  <c r="AI29" i="25"/>
  <c r="BH28" i="25"/>
  <c r="AI3" i="25"/>
  <c r="AI30" i="25"/>
  <c r="AI6" i="25"/>
  <c r="AI19" i="25"/>
  <c r="AI28" i="25"/>
  <c r="J168" i="10"/>
  <c r="AR22" i="10"/>
  <c r="AS22" i="10"/>
  <c r="AZ22" i="10"/>
  <c r="AX22" i="10"/>
  <c r="AR125" i="10"/>
  <c r="AV22" i="10"/>
  <c r="AW22" i="10"/>
  <c r="P22" i="10"/>
  <c r="S22" i="10" s="1"/>
  <c r="AQ29" i="10"/>
  <c r="CL29" i="10"/>
  <c r="AV29" i="10"/>
  <c r="P331" i="10"/>
  <c r="Q331" i="10" s="1"/>
  <c r="AP22" i="10"/>
  <c r="AU22" i="10"/>
  <c r="CK22" i="10"/>
  <c r="AY22" i="10"/>
  <c r="AQ22" i="10"/>
  <c r="AR29" i="10"/>
  <c r="AW29" i="10"/>
  <c r="AZ29" i="10"/>
  <c r="CK29" i="10"/>
  <c r="AP29" i="10"/>
  <c r="P29" i="10"/>
  <c r="T29" i="10" s="1"/>
  <c r="AQ125" i="10"/>
  <c r="BH139" i="10"/>
  <c r="AP125" i="10"/>
  <c r="K67" i="10"/>
  <c r="AS125" i="10"/>
  <c r="CK125" i="10"/>
  <c r="CL125" i="10"/>
  <c r="BF51" i="10"/>
  <c r="BC42" i="10"/>
  <c r="AW104" i="10"/>
  <c r="AW125" i="10"/>
  <c r="P125" i="10"/>
  <c r="Q125" i="10" s="1"/>
  <c r="AU125" i="10"/>
  <c r="AU29" i="10"/>
  <c r="CK331" i="10"/>
  <c r="AY29" i="10"/>
  <c r="AU331" i="10"/>
  <c r="AW331" i="10"/>
  <c r="AV125" i="10"/>
  <c r="AY125" i="10"/>
  <c r="AX125" i="10"/>
  <c r="AX29" i="10"/>
  <c r="AS331" i="10"/>
  <c r="AV331" i="10"/>
  <c r="BF52" i="10"/>
  <c r="BF15" i="10"/>
  <c r="AR331" i="10"/>
  <c r="AY331" i="10"/>
  <c r="BH119" i="10"/>
  <c r="K30" i="10"/>
  <c r="BE25" i="10"/>
  <c r="BG126" i="10"/>
  <c r="BH137" i="10"/>
  <c r="BH11" i="10"/>
  <c r="BC25" i="10"/>
  <c r="CL331" i="10"/>
  <c r="BE133" i="10"/>
  <c r="BE15" i="10"/>
  <c r="AQ104" i="10"/>
  <c r="AZ331" i="10"/>
  <c r="AT17" i="10"/>
  <c r="BH138" i="10"/>
  <c r="BF37" i="10"/>
  <c r="BC9" i="10"/>
  <c r="BG140" i="10"/>
  <c r="AX331" i="10"/>
  <c r="AQ331" i="10"/>
  <c r="BF334" i="10"/>
  <c r="BG45" i="10"/>
  <c r="AO59" i="10"/>
  <c r="BF27" i="10"/>
  <c r="BG62" i="10"/>
  <c r="BH104" i="10"/>
  <c r="AZ104" i="10"/>
  <c r="AO68" i="10"/>
  <c r="BG42" i="10"/>
  <c r="AS104" i="10"/>
  <c r="AR104" i="10"/>
  <c r="P104" i="10"/>
  <c r="Q104" i="10" s="1"/>
  <c r="BG120" i="10"/>
  <c r="AY104" i="10"/>
  <c r="BC327" i="10"/>
  <c r="K79" i="10"/>
  <c r="CK104" i="10"/>
  <c r="BH111" i="10"/>
  <c r="BC133" i="10"/>
  <c r="BE327" i="10"/>
  <c r="BE83" i="10"/>
  <c r="K58" i="10"/>
  <c r="P83" i="10"/>
  <c r="R83" i="10" s="1"/>
  <c r="BC83" i="10"/>
  <c r="BF9" i="10"/>
  <c r="BE120" i="10"/>
  <c r="AX104" i="10"/>
  <c r="CL104" i="10"/>
  <c r="BE344" i="10"/>
  <c r="BG37" i="10"/>
  <c r="AO45" i="10"/>
  <c r="BE131" i="10"/>
  <c r="BC37" i="10"/>
  <c r="BF26" i="10"/>
  <c r="BE42" i="10"/>
  <c r="BF133" i="10"/>
  <c r="BE9" i="10"/>
  <c r="BF74" i="10"/>
  <c r="BG327" i="10"/>
  <c r="BC140" i="10"/>
  <c r="AT41" i="10"/>
  <c r="BA346" i="10"/>
  <c r="BA119" i="10"/>
  <c r="BH116" i="10"/>
  <c r="AT346" i="10"/>
  <c r="AT119" i="10"/>
  <c r="AT18" i="10"/>
  <c r="BE26" i="10"/>
  <c r="BE140" i="10"/>
  <c r="BA34" i="10"/>
  <c r="AP104" i="10"/>
  <c r="BC120" i="10"/>
  <c r="AU104" i="10"/>
  <c r="BA19" i="10"/>
  <c r="AT34" i="10"/>
  <c r="BH125" i="10"/>
  <c r="BA18" i="10"/>
  <c r="AT19" i="10"/>
  <c r="AZ83" i="10"/>
  <c r="AO333" i="10"/>
  <c r="BE56" i="10"/>
  <c r="BF62" i="10"/>
  <c r="BE13" i="10"/>
  <c r="BC51" i="10"/>
  <c r="BF69" i="10"/>
  <c r="BC62" i="10"/>
  <c r="BC334" i="10"/>
  <c r="BG334" i="10"/>
  <c r="K75" i="10"/>
  <c r="K106" i="10"/>
  <c r="BH109" i="10"/>
  <c r="AQ83" i="10"/>
  <c r="BG13" i="10"/>
  <c r="K102" i="10"/>
  <c r="K131" i="10"/>
  <c r="BQ84" i="10"/>
  <c r="AO66" i="10"/>
  <c r="CE59" i="10"/>
  <c r="AP83" i="10"/>
  <c r="AX83" i="10"/>
  <c r="BE45" i="10"/>
  <c r="BQ120" i="10"/>
  <c r="BF13" i="10"/>
  <c r="BC61" i="10"/>
  <c r="BF45" i="10"/>
  <c r="K135" i="10"/>
  <c r="BH107" i="10"/>
  <c r="BH110" i="10"/>
  <c r="AY83" i="10"/>
  <c r="AO8" i="10"/>
  <c r="BC69" i="10"/>
  <c r="BE51" i="10"/>
  <c r="BE126" i="10"/>
  <c r="BE74" i="10"/>
  <c r="AO347" i="10"/>
  <c r="BH47" i="10"/>
  <c r="BA109" i="10"/>
  <c r="BA41" i="10"/>
  <c r="BC126" i="10"/>
  <c r="BC74" i="10"/>
  <c r="AT109" i="10"/>
  <c r="K89" i="10"/>
  <c r="K122" i="10"/>
  <c r="K98" i="10"/>
  <c r="K81" i="10"/>
  <c r="K141" i="10"/>
  <c r="BG69" i="10"/>
  <c r="BH103" i="10"/>
  <c r="AO93" i="10"/>
  <c r="AO69" i="10"/>
  <c r="BC52" i="10"/>
  <c r="BC27" i="10"/>
  <c r="K90" i="10"/>
  <c r="AO120" i="10"/>
  <c r="BQ80" i="10"/>
  <c r="BE36" i="10"/>
  <c r="BC131" i="10"/>
  <c r="BQ221" i="10"/>
  <c r="K96" i="10"/>
  <c r="BG36" i="10"/>
  <c r="K133" i="10"/>
  <c r="BF344" i="10"/>
  <c r="BF83" i="10"/>
  <c r="BC26" i="10"/>
  <c r="BE52" i="10"/>
  <c r="BG15" i="10"/>
  <c r="BG27" i="10"/>
  <c r="AO85" i="10"/>
  <c r="BA103" i="10"/>
  <c r="K28" i="10"/>
  <c r="BQ332" i="10"/>
  <c r="BQ54" i="10"/>
  <c r="BQ92" i="10"/>
  <c r="BQ85" i="10"/>
  <c r="BC36" i="10"/>
  <c r="BQ133" i="10"/>
  <c r="BF25" i="10"/>
  <c r="BF131" i="10"/>
  <c r="BC344" i="10"/>
  <c r="BH117" i="10"/>
  <c r="BQ88" i="10"/>
  <c r="BQ131" i="10"/>
  <c r="K136" i="10"/>
  <c r="BQ55" i="10"/>
  <c r="AT37" i="10"/>
  <c r="BQ15" i="10"/>
  <c r="BQ140" i="10"/>
  <c r="BQ9" i="10"/>
  <c r="BQ101" i="10"/>
  <c r="BQ127" i="10"/>
  <c r="BQ333" i="10"/>
  <c r="BQ168" i="10"/>
  <c r="BQ62" i="10"/>
  <c r="AS83" i="10"/>
  <c r="AU83" i="10"/>
  <c r="AR83" i="10"/>
  <c r="BH18" i="10"/>
  <c r="BG61" i="10"/>
  <c r="BF56" i="10"/>
  <c r="BC56" i="10"/>
  <c r="BQ26" i="10"/>
  <c r="BQ59" i="10"/>
  <c r="BQ10" i="10"/>
  <c r="BQ220" i="10"/>
  <c r="BQ95" i="10"/>
  <c r="BQ173" i="10"/>
  <c r="BQ128" i="10"/>
  <c r="BQ86" i="10"/>
  <c r="BQ60" i="10"/>
  <c r="BH113" i="10"/>
  <c r="AO88" i="10"/>
  <c r="BQ83" i="10"/>
  <c r="AT103" i="10"/>
  <c r="BQ65" i="10"/>
  <c r="BQ7" i="10"/>
  <c r="BQ216" i="10"/>
  <c r="BQ228" i="10"/>
  <c r="BH115" i="10"/>
  <c r="AV83" i="10"/>
  <c r="CK83" i="10"/>
  <c r="BQ106" i="10"/>
  <c r="BQ226" i="10"/>
  <c r="BF61" i="10"/>
  <c r="BA17" i="10"/>
  <c r="CE62" i="10"/>
  <c r="AO62" i="10"/>
  <c r="BQ121" i="10"/>
  <c r="BQ98" i="10"/>
  <c r="AW83" i="10"/>
  <c r="AN231" i="10"/>
  <c r="CG231" i="10" s="1"/>
  <c r="BP231" i="10"/>
  <c r="CJ231" i="10"/>
  <c r="W231" i="10"/>
  <c r="BD231" i="10" s="1"/>
  <c r="BJ231" i="10"/>
  <c r="BT231" i="10"/>
  <c r="AL231" i="10"/>
  <c r="BK231" i="10"/>
  <c r="BV231" i="10"/>
  <c r="AM231" i="10"/>
  <c r="CF231" i="10" s="1"/>
  <c r="BO231" i="10"/>
  <c r="O231" i="10"/>
  <c r="CI231" i="10"/>
  <c r="BL231" i="10"/>
  <c r="BN231" i="10"/>
  <c r="BW231" i="10"/>
  <c r="BS231" i="10"/>
  <c r="BX231" i="10"/>
  <c r="I231" i="10"/>
  <c r="BU231" i="10"/>
  <c r="U231" i="10"/>
  <c r="BY231" i="10"/>
  <c r="Y231" i="10"/>
  <c r="BM231" i="10"/>
  <c r="CB231" i="10"/>
  <c r="I149" i="10"/>
  <c r="AM149" i="10"/>
  <c r="CF149" i="10" s="1"/>
  <c r="W149" i="10"/>
  <c r="BD149" i="10" s="1"/>
  <c r="AN149" i="10"/>
  <c r="CG149" i="10" s="1"/>
  <c r="CJ149" i="10"/>
  <c r="U149" i="10"/>
  <c r="AL149" i="10"/>
  <c r="Y149" i="10"/>
  <c r="O149" i="10"/>
  <c r="BY149" i="10"/>
  <c r="BO149" i="10"/>
  <c r="BL149" i="10"/>
  <c r="BS149" i="10"/>
  <c r="BT149" i="10"/>
  <c r="BN149" i="10"/>
  <c r="BJ149" i="10"/>
  <c r="BM149" i="10"/>
  <c r="BW149" i="10"/>
  <c r="CB149" i="10"/>
  <c r="BV149" i="10"/>
  <c r="BP149" i="10"/>
  <c r="BU149" i="10"/>
  <c r="BK149" i="10"/>
  <c r="BX149" i="10"/>
  <c r="CI149" i="10"/>
  <c r="P178" i="10"/>
  <c r="AS178" i="10"/>
  <c r="AX178" i="10"/>
  <c r="AQ178" i="10"/>
  <c r="AP178" i="10"/>
  <c r="AR178" i="10"/>
  <c r="AV178" i="10"/>
  <c r="CK178" i="10"/>
  <c r="CL178" i="10"/>
  <c r="AZ178" i="10"/>
  <c r="AU178" i="10"/>
  <c r="AW178" i="10"/>
  <c r="AY178" i="10"/>
  <c r="BR189" i="10"/>
  <c r="BZ189" i="10" s="1"/>
  <c r="CA189" i="10" s="1"/>
  <c r="CH189" i="10" s="1"/>
  <c r="AC189" i="10"/>
  <c r="CN189" i="10"/>
  <c r="CM189" i="10"/>
  <c r="AW121" i="10"/>
  <c r="P121" i="10"/>
  <c r="CK121" i="10"/>
  <c r="CL121" i="10"/>
  <c r="AQ121" i="10"/>
  <c r="AS121" i="10"/>
  <c r="AU121" i="10"/>
  <c r="AV121" i="10"/>
  <c r="AX121" i="10"/>
  <c r="AP121" i="10"/>
  <c r="AY121" i="10"/>
  <c r="AZ121" i="10"/>
  <c r="AR121" i="10"/>
  <c r="CL45" i="10"/>
  <c r="CK45" i="10"/>
  <c r="P45" i="10"/>
  <c r="AV45" i="10"/>
  <c r="AZ45" i="10"/>
  <c r="AY45" i="10"/>
  <c r="AS45" i="10"/>
  <c r="AU45" i="10"/>
  <c r="AW45" i="10"/>
  <c r="AX45" i="10"/>
  <c r="AQ45" i="10"/>
  <c r="AP45" i="10"/>
  <c r="AR45" i="10"/>
  <c r="P140" i="10"/>
  <c r="CL140" i="10"/>
  <c r="CK140" i="10"/>
  <c r="AU140" i="10"/>
  <c r="AZ140" i="10"/>
  <c r="AQ140" i="10"/>
  <c r="AX140" i="10"/>
  <c r="AR140" i="10"/>
  <c r="AP140" i="10"/>
  <c r="AY140" i="10"/>
  <c r="AS140" i="10"/>
  <c r="AW140" i="10"/>
  <c r="AV140" i="10"/>
  <c r="AC346" i="10"/>
  <c r="BR346" i="10"/>
  <c r="BZ346" i="10" s="1"/>
  <c r="CA346" i="10" s="1"/>
  <c r="CH346" i="10" s="1"/>
  <c r="CN346" i="10"/>
  <c r="CM346" i="10"/>
  <c r="BR235" i="10"/>
  <c r="BZ235" i="10" s="1"/>
  <c r="CN235" i="10"/>
  <c r="CM235" i="10"/>
  <c r="AC235" i="10"/>
  <c r="AQ293" i="10"/>
  <c r="AU293" i="10"/>
  <c r="AV293" i="10"/>
  <c r="CL293" i="10"/>
  <c r="CK293" i="10"/>
  <c r="AY293" i="10"/>
  <c r="AX293" i="10"/>
  <c r="AS293" i="10"/>
  <c r="AW293" i="10"/>
  <c r="AR293" i="10"/>
  <c r="AP293" i="10"/>
  <c r="AZ293" i="10"/>
  <c r="P293" i="10"/>
  <c r="AQ321" i="10"/>
  <c r="AP321" i="10"/>
  <c r="AV321" i="10"/>
  <c r="AY321" i="10"/>
  <c r="AU321" i="10"/>
  <c r="AR321" i="10"/>
  <c r="AX321" i="10"/>
  <c r="AW321" i="10"/>
  <c r="AS321" i="10"/>
  <c r="CK321" i="10"/>
  <c r="P321" i="10"/>
  <c r="CL321" i="10"/>
  <c r="AZ321" i="10"/>
  <c r="BR178" i="10"/>
  <c r="BZ178" i="10" s="1"/>
  <c r="CA178" i="10" s="1"/>
  <c r="CH178" i="10" s="1"/>
  <c r="AC178" i="10"/>
  <c r="CM178" i="10"/>
  <c r="CN178" i="10"/>
  <c r="CK15" i="10"/>
  <c r="CL15" i="10"/>
  <c r="P15" i="10"/>
  <c r="AZ15" i="10"/>
  <c r="AV15" i="10"/>
  <c r="AW15" i="10"/>
  <c r="AS15" i="10"/>
  <c r="AU15" i="10"/>
  <c r="AP15" i="10"/>
  <c r="AX15" i="10"/>
  <c r="AQ15" i="10"/>
  <c r="AR15" i="10"/>
  <c r="AY15" i="10"/>
  <c r="AP200" i="10"/>
  <c r="P200" i="10"/>
  <c r="AR200" i="10"/>
  <c r="AQ200" i="10"/>
  <c r="AW200" i="10"/>
  <c r="CK200" i="10"/>
  <c r="AU200" i="10"/>
  <c r="AV200" i="10"/>
  <c r="AS200" i="10"/>
  <c r="AX200" i="10"/>
  <c r="AY200" i="10"/>
  <c r="AZ200" i="10"/>
  <c r="CL200" i="10"/>
  <c r="AZ227" i="10"/>
  <c r="AQ227" i="10"/>
  <c r="P227" i="10"/>
  <c r="AR227" i="10"/>
  <c r="AS227" i="10"/>
  <c r="AV227" i="10"/>
  <c r="CK227" i="10"/>
  <c r="AW227" i="10"/>
  <c r="AX227" i="10"/>
  <c r="CL227" i="10"/>
  <c r="AY227" i="10"/>
  <c r="AP227" i="10"/>
  <c r="AU227" i="10"/>
  <c r="R37" i="10"/>
  <c r="T37" i="10"/>
  <c r="S37" i="10"/>
  <c r="Q37" i="10"/>
  <c r="CM101" i="10"/>
  <c r="BR101" i="10"/>
  <c r="BZ101" i="10" s="1"/>
  <c r="CN101" i="10"/>
  <c r="AC101" i="10"/>
  <c r="AC58" i="10"/>
  <c r="CM58" i="10"/>
  <c r="BR58" i="10"/>
  <c r="BZ58" i="10" s="1"/>
  <c r="CN58" i="10"/>
  <c r="CE78" i="10"/>
  <c r="AO78" i="10"/>
  <c r="CN162" i="10"/>
  <c r="AC162" i="10"/>
  <c r="BR162" i="10"/>
  <c r="BZ162" i="10" s="1"/>
  <c r="CM162" i="10"/>
  <c r="BF235" i="10"/>
  <c r="BG235" i="10"/>
  <c r="BE235" i="10"/>
  <c r="BC235" i="10"/>
  <c r="CE235" i="10"/>
  <c r="AO235" i="10"/>
  <c r="K63" i="10"/>
  <c r="CD63" i="10"/>
  <c r="BQ224" i="10"/>
  <c r="AV224" i="10"/>
  <c r="AQ224" i="10"/>
  <c r="AZ224" i="10"/>
  <c r="AP224" i="10"/>
  <c r="AS224" i="10"/>
  <c r="AW224" i="10"/>
  <c r="AU224" i="10"/>
  <c r="CK224" i="10"/>
  <c r="AX224" i="10"/>
  <c r="AY224" i="10"/>
  <c r="AR224" i="10"/>
  <c r="CL224" i="10"/>
  <c r="P224" i="10"/>
  <c r="BG30" i="10"/>
  <c r="BC30" i="10"/>
  <c r="BE30" i="10"/>
  <c r="BF30" i="10"/>
  <c r="K225" i="10"/>
  <c r="CD225" i="10"/>
  <c r="CE225" i="10"/>
  <c r="AO225" i="10"/>
  <c r="BQ136" i="10"/>
  <c r="BG28" i="10"/>
  <c r="BC28" i="10"/>
  <c r="BE28" i="10"/>
  <c r="BF28" i="10"/>
  <c r="CL173" i="10"/>
  <c r="AV173" i="10"/>
  <c r="AY173" i="10"/>
  <c r="AU173" i="10"/>
  <c r="AX173" i="10"/>
  <c r="P173" i="10"/>
  <c r="AR173" i="10"/>
  <c r="AP173" i="10"/>
  <c r="AW173" i="10"/>
  <c r="AQ173" i="10"/>
  <c r="AZ173" i="10"/>
  <c r="CK173" i="10"/>
  <c r="AS173" i="10"/>
  <c r="P14" i="10"/>
  <c r="CK14" i="10"/>
  <c r="CL14" i="10"/>
  <c r="AS14" i="10"/>
  <c r="AV14" i="10"/>
  <c r="AU14" i="10"/>
  <c r="AQ14" i="10"/>
  <c r="AW14" i="10"/>
  <c r="AY14" i="10"/>
  <c r="AR14" i="10"/>
  <c r="AP14" i="10"/>
  <c r="AZ14" i="10"/>
  <c r="AX14" i="10"/>
  <c r="BE346" i="10"/>
  <c r="BF346" i="10"/>
  <c r="BC346" i="10"/>
  <c r="BG346" i="10"/>
  <c r="AI150" i="10"/>
  <c r="AJ150" i="10"/>
  <c r="AK150" i="10" s="1"/>
  <c r="BF214" i="10"/>
  <c r="BE214" i="10"/>
  <c r="BC214" i="10"/>
  <c r="BG214" i="10"/>
  <c r="BR57" i="10"/>
  <c r="BZ57" i="10" s="1"/>
  <c r="CN57" i="10"/>
  <c r="CM57" i="10"/>
  <c r="AC57" i="10"/>
  <c r="BC102" i="10"/>
  <c r="BG102" i="10"/>
  <c r="BE102" i="10"/>
  <c r="BF102" i="10"/>
  <c r="BQ230" i="10"/>
  <c r="CN219" i="10"/>
  <c r="BR219" i="10"/>
  <c r="BZ219" i="10" s="1"/>
  <c r="AC219" i="10"/>
  <c r="CM219" i="10"/>
  <c r="CE141" i="10"/>
  <c r="AO141" i="10"/>
  <c r="BE64" i="10"/>
  <c r="BG64" i="10"/>
  <c r="BF64" i="10"/>
  <c r="BC64" i="10"/>
  <c r="BR69" i="10"/>
  <c r="BZ69" i="10" s="1"/>
  <c r="CM69" i="10"/>
  <c r="CN69" i="10"/>
  <c r="AC69" i="10"/>
  <c r="CK338" i="10"/>
  <c r="CL338" i="10"/>
  <c r="P338" i="10"/>
  <c r="AY338" i="10"/>
  <c r="AV338" i="10"/>
  <c r="AW338" i="10"/>
  <c r="AP338" i="10"/>
  <c r="AZ338" i="10"/>
  <c r="AX338" i="10"/>
  <c r="AU338" i="10"/>
  <c r="AQ338" i="10"/>
  <c r="AS338" i="10"/>
  <c r="AR338" i="10"/>
  <c r="BG55" i="10"/>
  <c r="BC55" i="10"/>
  <c r="BF55" i="10"/>
  <c r="BE55" i="10"/>
  <c r="AQ115" i="10"/>
  <c r="CK115" i="10"/>
  <c r="P115" i="10"/>
  <c r="CL115" i="10"/>
  <c r="AZ115" i="10"/>
  <c r="AX115" i="10"/>
  <c r="AP115" i="10"/>
  <c r="AW115" i="10"/>
  <c r="AY115" i="10"/>
  <c r="AS115" i="10"/>
  <c r="AU115" i="10"/>
  <c r="AR115" i="10"/>
  <c r="AV115" i="10"/>
  <c r="CL52" i="10"/>
  <c r="P52" i="10"/>
  <c r="CK52" i="10"/>
  <c r="AW52" i="10"/>
  <c r="AX52" i="10"/>
  <c r="AQ52" i="10"/>
  <c r="AP52" i="10"/>
  <c r="AV52" i="10"/>
  <c r="AU52" i="10"/>
  <c r="AR52" i="10"/>
  <c r="AS52" i="10"/>
  <c r="AZ52" i="10"/>
  <c r="AY52" i="10"/>
  <c r="AU7" i="10"/>
  <c r="P7" i="10"/>
  <c r="CK7" i="10"/>
  <c r="CL7" i="10"/>
  <c r="AS7" i="10"/>
  <c r="AV7" i="10"/>
  <c r="AQ7" i="10"/>
  <c r="AR7" i="10"/>
  <c r="AP7" i="10"/>
  <c r="AY7" i="10"/>
  <c r="AX7" i="10"/>
  <c r="AW7" i="10"/>
  <c r="AZ7" i="10"/>
  <c r="BE130" i="10"/>
  <c r="BG130" i="10"/>
  <c r="BF130" i="10"/>
  <c r="BC130" i="10"/>
  <c r="Q103" i="10"/>
  <c r="S103" i="10"/>
  <c r="R103" i="10"/>
  <c r="T103" i="10"/>
  <c r="CL27" i="10"/>
  <c r="P27" i="10"/>
  <c r="CK27" i="10"/>
  <c r="AR27" i="10"/>
  <c r="AP27" i="10"/>
  <c r="AX27" i="10"/>
  <c r="AZ27" i="10"/>
  <c r="AQ27" i="10"/>
  <c r="AS27" i="10"/>
  <c r="AV27" i="10"/>
  <c r="AY27" i="10"/>
  <c r="AW27" i="10"/>
  <c r="AU27" i="10"/>
  <c r="CE6" i="10"/>
  <c r="AO6" i="10"/>
  <c r="CK342" i="10"/>
  <c r="CL342" i="10"/>
  <c r="P342" i="10"/>
  <c r="AY342" i="10"/>
  <c r="AR342" i="10"/>
  <c r="AV342" i="10"/>
  <c r="AW342" i="10"/>
  <c r="AU342" i="10"/>
  <c r="AS342" i="10"/>
  <c r="AX342" i="10"/>
  <c r="AZ342" i="10"/>
  <c r="AQ342" i="10"/>
  <c r="AP342" i="10"/>
  <c r="CE129" i="10"/>
  <c r="AO129" i="10"/>
  <c r="BG82" i="10"/>
  <c r="BC82" i="10"/>
  <c r="BF82" i="10"/>
  <c r="BE82" i="10"/>
  <c r="CD168" i="10"/>
  <c r="K168" i="10"/>
  <c r="AZ256" i="10"/>
  <c r="AX256" i="10"/>
  <c r="AU256" i="10"/>
  <c r="AY256" i="10"/>
  <c r="AR256" i="10"/>
  <c r="AW256" i="10"/>
  <c r="CK256" i="10"/>
  <c r="AV256" i="10"/>
  <c r="CL256" i="10"/>
  <c r="AP256" i="10"/>
  <c r="AS256" i="10"/>
  <c r="P256" i="10"/>
  <c r="AQ256" i="10"/>
  <c r="CN161" i="10"/>
  <c r="AC161" i="10"/>
  <c r="BR161" i="10"/>
  <c r="BZ161" i="10" s="1"/>
  <c r="CA161" i="10" s="1"/>
  <c r="CH161" i="10" s="1"/>
  <c r="CM161" i="10"/>
  <c r="AC99" i="10"/>
  <c r="CN99" i="10"/>
  <c r="CM99" i="10"/>
  <c r="BR99" i="10"/>
  <c r="BZ99" i="10" s="1"/>
  <c r="CN199" i="10"/>
  <c r="BR199" i="10"/>
  <c r="BZ199" i="10" s="1"/>
  <c r="AC199" i="10"/>
  <c r="CM199" i="10"/>
  <c r="CK287" i="10"/>
  <c r="AY287" i="10"/>
  <c r="AU287" i="10"/>
  <c r="AS287" i="10"/>
  <c r="AZ287" i="10"/>
  <c r="AP287" i="10"/>
  <c r="AQ287" i="10"/>
  <c r="CL287" i="10"/>
  <c r="AV287" i="10"/>
  <c r="AX287" i="10"/>
  <c r="AR287" i="10"/>
  <c r="P287" i="10"/>
  <c r="AW287" i="10"/>
  <c r="CD336" i="10"/>
  <c r="K336" i="10"/>
  <c r="AZ79" i="10"/>
  <c r="CK79" i="10"/>
  <c r="CL79" i="10"/>
  <c r="P79" i="10"/>
  <c r="AW79" i="10"/>
  <c r="AX79" i="10"/>
  <c r="AP79" i="10"/>
  <c r="AU79" i="10"/>
  <c r="AR79" i="10"/>
  <c r="AY79" i="10"/>
  <c r="AV79" i="10"/>
  <c r="AS79" i="10"/>
  <c r="AQ79" i="10"/>
  <c r="P87" i="10"/>
  <c r="CK87" i="10"/>
  <c r="CL87" i="10"/>
  <c r="AU87" i="10"/>
  <c r="AP87" i="10"/>
  <c r="AZ87" i="10"/>
  <c r="AX87" i="10"/>
  <c r="AV87" i="10"/>
  <c r="AS87" i="10"/>
  <c r="AY87" i="10"/>
  <c r="AQ87" i="10"/>
  <c r="AW87" i="10"/>
  <c r="AR87" i="10"/>
  <c r="K54" i="10"/>
  <c r="CD54" i="10"/>
  <c r="BR59" i="10"/>
  <c r="BZ59" i="10" s="1"/>
  <c r="CN59" i="10"/>
  <c r="AC59" i="10"/>
  <c r="CM59" i="10"/>
  <c r="AR322" i="10"/>
  <c r="AY322" i="10"/>
  <c r="AW322" i="10"/>
  <c r="CK322" i="10"/>
  <c r="CL322" i="10"/>
  <c r="AS322" i="10"/>
  <c r="AP322" i="10"/>
  <c r="P322" i="10"/>
  <c r="AQ322" i="10"/>
  <c r="AU322" i="10"/>
  <c r="AX322" i="10"/>
  <c r="AV322" i="10"/>
  <c r="AZ322" i="10"/>
  <c r="CL304" i="10"/>
  <c r="AR304" i="10"/>
  <c r="AQ304" i="10"/>
  <c r="AW304" i="10"/>
  <c r="P304" i="10"/>
  <c r="AZ304" i="10"/>
  <c r="AU304" i="10"/>
  <c r="AV304" i="10"/>
  <c r="AX304" i="10"/>
  <c r="AS304" i="10"/>
  <c r="CK304" i="10"/>
  <c r="AP304" i="10"/>
  <c r="AY304" i="10"/>
  <c r="CN35" i="10"/>
  <c r="CM35" i="10"/>
  <c r="AC35" i="10"/>
  <c r="BR35" i="10"/>
  <c r="BZ35" i="10" s="1"/>
  <c r="CA35" i="10" s="1"/>
  <c r="CH35" i="10" s="1"/>
  <c r="BR40" i="10"/>
  <c r="BZ40" i="10" s="1"/>
  <c r="CA40" i="10" s="1"/>
  <c r="CH40" i="10" s="1"/>
  <c r="CM40" i="10"/>
  <c r="CN40" i="10"/>
  <c r="AC40" i="10"/>
  <c r="CD50" i="10"/>
  <c r="K50" i="10"/>
  <c r="CD51" i="10"/>
  <c r="K51" i="10"/>
  <c r="CM228" i="10"/>
  <c r="BR228" i="10"/>
  <c r="BZ228" i="10" s="1"/>
  <c r="AC228" i="10"/>
  <c r="CN228" i="10"/>
  <c r="BG65" i="10"/>
  <c r="BF65" i="10"/>
  <c r="BC65" i="10"/>
  <c r="BE65" i="10"/>
  <c r="CD201" i="10"/>
  <c r="K201" i="10"/>
  <c r="BF7" i="10"/>
  <c r="BG7" i="10"/>
  <c r="BC7" i="10"/>
  <c r="BE7" i="10"/>
  <c r="AS216" i="10"/>
  <c r="AW216" i="10"/>
  <c r="AP216" i="10"/>
  <c r="AQ216" i="10"/>
  <c r="AU216" i="10"/>
  <c r="CK216" i="10"/>
  <c r="AR216" i="10"/>
  <c r="CL216" i="10"/>
  <c r="AY216" i="10"/>
  <c r="AX216" i="10"/>
  <c r="AV216" i="10"/>
  <c r="AZ216" i="10"/>
  <c r="P216" i="10"/>
  <c r="AA148" i="10"/>
  <c r="AB148" i="10"/>
  <c r="CE79" i="10"/>
  <c r="AO79" i="10"/>
  <c r="BG233" i="10"/>
  <c r="BF233" i="10"/>
  <c r="BE233" i="10"/>
  <c r="BC233" i="10"/>
  <c r="BQ200" i="10"/>
  <c r="CD44" i="10"/>
  <c r="K44" i="10"/>
  <c r="BC94" i="10"/>
  <c r="BG94" i="10"/>
  <c r="BF94" i="10"/>
  <c r="BE94" i="10"/>
  <c r="CD334" i="10"/>
  <c r="K334" i="10"/>
  <c r="BG134" i="10"/>
  <c r="BC134" i="10"/>
  <c r="BF134" i="10"/>
  <c r="BE134" i="10"/>
  <c r="BQ87" i="10"/>
  <c r="BC136" i="10"/>
  <c r="BE136" i="10"/>
  <c r="BF136" i="10"/>
  <c r="BG136" i="10"/>
  <c r="CK226" i="10"/>
  <c r="AX226" i="10"/>
  <c r="AU226" i="10"/>
  <c r="AP226" i="10"/>
  <c r="AQ226" i="10"/>
  <c r="AV226" i="10"/>
  <c r="AS226" i="10"/>
  <c r="AY226" i="10"/>
  <c r="AW226" i="10"/>
  <c r="CL226" i="10"/>
  <c r="AZ226" i="10"/>
  <c r="AR226" i="10"/>
  <c r="P226" i="10"/>
  <c r="BE226" i="10"/>
  <c r="BF226" i="10"/>
  <c r="BG226" i="10"/>
  <c r="BC226" i="10"/>
  <c r="CD223" i="10"/>
  <c r="K223" i="10"/>
  <c r="BH100" i="10"/>
  <c r="U147" i="10"/>
  <c r="Y147" i="10"/>
  <c r="CJ147" i="10"/>
  <c r="W147" i="10"/>
  <c r="BD147" i="10" s="1"/>
  <c r="AM147" i="10"/>
  <c r="CF147" i="10" s="1"/>
  <c r="I147" i="10"/>
  <c r="AN147" i="10"/>
  <c r="CG147" i="10" s="1"/>
  <c r="AL147" i="10"/>
  <c r="BJ147" i="10"/>
  <c r="O147" i="10"/>
  <c r="BM147" i="10"/>
  <c r="BW147" i="10"/>
  <c r="CB147" i="10"/>
  <c r="BV147" i="10"/>
  <c r="BP147" i="10"/>
  <c r="BU147" i="10"/>
  <c r="BK147" i="10"/>
  <c r="CI147" i="10"/>
  <c r="BX147" i="10"/>
  <c r="BY147" i="10"/>
  <c r="BO147" i="10"/>
  <c r="BL147" i="10"/>
  <c r="BN147" i="10"/>
  <c r="BS147" i="10"/>
  <c r="BT147" i="10"/>
  <c r="U150" i="10"/>
  <c r="Y150" i="10"/>
  <c r="BJ150" i="10"/>
  <c r="BV150" i="10"/>
  <c r="I150" i="10"/>
  <c r="AL150" i="10"/>
  <c r="BL150" i="10"/>
  <c r="CB150" i="10"/>
  <c r="W150" i="10"/>
  <c r="BD150" i="10" s="1"/>
  <c r="AM150" i="10"/>
  <c r="CF150" i="10" s="1"/>
  <c r="BN150" i="10"/>
  <c r="CJ150" i="10"/>
  <c r="AN150" i="10"/>
  <c r="CG150" i="10" s="1"/>
  <c r="BT150" i="10"/>
  <c r="O150" i="10"/>
  <c r="BM150" i="10"/>
  <c r="BW150" i="10"/>
  <c r="BP150" i="10"/>
  <c r="BU150" i="10"/>
  <c r="BK150" i="10"/>
  <c r="CI150" i="10"/>
  <c r="BY150" i="10"/>
  <c r="BO150" i="10"/>
  <c r="BS150" i="10"/>
  <c r="BX150" i="10"/>
  <c r="BH108" i="10"/>
  <c r="AS313" i="10"/>
  <c r="AX313" i="10"/>
  <c r="AU313" i="10"/>
  <c r="AQ313" i="10"/>
  <c r="AW313" i="10"/>
  <c r="CL313" i="10"/>
  <c r="AV313" i="10"/>
  <c r="AY313" i="10"/>
  <c r="AZ313" i="10"/>
  <c r="AP313" i="10"/>
  <c r="CK313" i="10"/>
  <c r="P313" i="10"/>
  <c r="AR313" i="10"/>
  <c r="AC301" i="10"/>
  <c r="CN301" i="10"/>
  <c r="BR301" i="10"/>
  <c r="BZ301" i="10" s="1"/>
  <c r="CA301" i="10" s="1"/>
  <c r="CH301" i="10" s="1"/>
  <c r="CM301" i="10"/>
  <c r="CL258" i="10"/>
  <c r="AV258" i="10"/>
  <c r="AP258" i="10"/>
  <c r="CK258" i="10"/>
  <c r="AQ258" i="10"/>
  <c r="AZ258" i="10"/>
  <c r="P258" i="10"/>
  <c r="AS258" i="10"/>
  <c r="AR258" i="10"/>
  <c r="AU258" i="10"/>
  <c r="AY258" i="10"/>
  <c r="AX258" i="10"/>
  <c r="AW258" i="10"/>
  <c r="CN221" i="10"/>
  <c r="BR221" i="10"/>
  <c r="BZ221" i="10" s="1"/>
  <c r="AC221" i="10"/>
  <c r="CM221" i="10"/>
  <c r="BR329" i="10"/>
  <c r="BZ329" i="10" s="1"/>
  <c r="CM329" i="10"/>
  <c r="AC329" i="10"/>
  <c r="CN329" i="10"/>
  <c r="CN23" i="10"/>
  <c r="AC23" i="10"/>
  <c r="BR23" i="10"/>
  <c r="BZ23" i="10" s="1"/>
  <c r="CM23" i="10"/>
  <c r="AS58" i="10"/>
  <c r="P58" i="10"/>
  <c r="CK58" i="10"/>
  <c r="CL58" i="10"/>
  <c r="AY58" i="10"/>
  <c r="AV58" i="10"/>
  <c r="AQ58" i="10"/>
  <c r="AW58" i="10"/>
  <c r="AX58" i="10"/>
  <c r="AP58" i="10"/>
  <c r="AZ58" i="10"/>
  <c r="AU58" i="10"/>
  <c r="AR58" i="10"/>
  <c r="CK30" i="10"/>
  <c r="CL30" i="10"/>
  <c r="P30" i="10"/>
  <c r="AW30" i="10"/>
  <c r="AS30" i="10"/>
  <c r="AX30" i="10"/>
  <c r="AR30" i="10"/>
  <c r="AV30" i="10"/>
  <c r="AY30" i="10"/>
  <c r="AP30" i="10"/>
  <c r="AZ30" i="10"/>
  <c r="AU30" i="10"/>
  <c r="AQ30" i="10"/>
  <c r="T34" i="10"/>
  <c r="R34" i="10"/>
  <c r="S34" i="10"/>
  <c r="Q34" i="10"/>
  <c r="CM95" i="10"/>
  <c r="BR95" i="10"/>
  <c r="BZ95" i="10" s="1"/>
  <c r="AC95" i="10"/>
  <c r="CN95" i="10"/>
  <c r="AC135" i="10"/>
  <c r="CN135" i="10"/>
  <c r="BR135" i="10"/>
  <c r="BZ135" i="10" s="1"/>
  <c r="CM135" i="10"/>
  <c r="CL195" i="10"/>
  <c r="AX195" i="10"/>
  <c r="AV195" i="10"/>
  <c r="AU195" i="10"/>
  <c r="AZ195" i="10"/>
  <c r="P195" i="10"/>
  <c r="AP195" i="10"/>
  <c r="AW195" i="10"/>
  <c r="CK195" i="10"/>
  <c r="AY195" i="10"/>
  <c r="AR195" i="10"/>
  <c r="AS195" i="10"/>
  <c r="AQ195" i="10"/>
  <c r="CN201" i="10"/>
  <c r="BR201" i="10"/>
  <c r="BZ201" i="10" s="1"/>
  <c r="AC201" i="10"/>
  <c r="CM201" i="10"/>
  <c r="AX139" i="10"/>
  <c r="P139" i="10"/>
  <c r="CL139" i="10"/>
  <c r="CK139" i="10"/>
  <c r="AZ139" i="10"/>
  <c r="AQ139" i="10"/>
  <c r="AV139" i="10"/>
  <c r="AP139" i="10"/>
  <c r="AY139" i="10"/>
  <c r="AU139" i="10"/>
  <c r="AR139" i="10"/>
  <c r="AS139" i="10"/>
  <c r="AW139" i="10"/>
  <c r="BR120" i="10"/>
  <c r="BZ120" i="10" s="1"/>
  <c r="CM120" i="10"/>
  <c r="AC120" i="10"/>
  <c r="CN120" i="10"/>
  <c r="BR115" i="10"/>
  <c r="BZ115" i="10" s="1"/>
  <c r="CA115" i="10" s="1"/>
  <c r="CH115" i="10" s="1"/>
  <c r="CM115" i="10"/>
  <c r="CN115" i="10"/>
  <c r="AC115" i="10"/>
  <c r="S17" i="10"/>
  <c r="Q17" i="10"/>
  <c r="R17" i="10"/>
  <c r="T17" i="10"/>
  <c r="AC191" i="10"/>
  <c r="CM191" i="10"/>
  <c r="BR191" i="10"/>
  <c r="BZ191" i="10" s="1"/>
  <c r="CA191" i="10" s="1"/>
  <c r="CH191" i="10" s="1"/>
  <c r="CN191" i="10"/>
  <c r="CM154" i="10"/>
  <c r="AC154" i="10"/>
  <c r="CN154" i="10"/>
  <c r="BR154" i="10"/>
  <c r="BZ154" i="10" s="1"/>
  <c r="BR328" i="10"/>
  <c r="BZ328" i="10" s="1"/>
  <c r="AC328" i="10"/>
  <c r="CM328" i="10"/>
  <c r="CN328" i="10"/>
  <c r="BR332" i="10"/>
  <c r="BZ332" i="10" s="1"/>
  <c r="AC332" i="10"/>
  <c r="CN332" i="10"/>
  <c r="CM332" i="10"/>
  <c r="AC234" i="10"/>
  <c r="CM234" i="10"/>
  <c r="BR234" i="10"/>
  <c r="BZ234" i="10" s="1"/>
  <c r="CN234" i="10"/>
  <c r="CN65" i="10"/>
  <c r="CM65" i="10"/>
  <c r="BR65" i="10"/>
  <c r="BZ65" i="10" s="1"/>
  <c r="AC65" i="10"/>
  <c r="AC190" i="10"/>
  <c r="CM190" i="10"/>
  <c r="CN190" i="10"/>
  <c r="BR190" i="10"/>
  <c r="BZ190" i="10" s="1"/>
  <c r="CA190" i="10" s="1"/>
  <c r="CH190" i="10" s="1"/>
  <c r="CN97" i="10"/>
  <c r="CM97" i="10"/>
  <c r="AC97" i="10"/>
  <c r="BR97" i="10"/>
  <c r="BZ97" i="10" s="1"/>
  <c r="CM91" i="10"/>
  <c r="CN91" i="10"/>
  <c r="BR91" i="10"/>
  <c r="BZ91" i="10" s="1"/>
  <c r="AC91" i="10"/>
  <c r="T18" i="10"/>
  <c r="S18" i="10"/>
  <c r="Q18" i="10"/>
  <c r="R18" i="10"/>
  <c r="CN108" i="10"/>
  <c r="BR108" i="10"/>
  <c r="BZ108" i="10" s="1"/>
  <c r="CA108" i="10" s="1"/>
  <c r="CH108" i="10" s="1"/>
  <c r="AC108" i="10"/>
  <c r="CM108" i="10"/>
  <c r="AW114" i="10"/>
  <c r="P114" i="10"/>
  <c r="CK114" i="10"/>
  <c r="CL114" i="10"/>
  <c r="AX114" i="10"/>
  <c r="AS114" i="10"/>
  <c r="AR114" i="10"/>
  <c r="AP114" i="10"/>
  <c r="AV114" i="10"/>
  <c r="AZ114" i="10"/>
  <c r="AY114" i="10"/>
  <c r="AU114" i="10"/>
  <c r="AQ114" i="10"/>
  <c r="AR95" i="10"/>
  <c r="CL95" i="10"/>
  <c r="CK95" i="10"/>
  <c r="P95" i="10"/>
  <c r="AV95" i="10"/>
  <c r="AS95" i="10"/>
  <c r="AX95" i="10"/>
  <c r="AZ95" i="10"/>
  <c r="AY95" i="10"/>
  <c r="AP95" i="10"/>
  <c r="AU95" i="10"/>
  <c r="AW95" i="10"/>
  <c r="AQ95" i="10"/>
  <c r="AC338" i="10"/>
  <c r="CN338" i="10"/>
  <c r="BR338" i="10"/>
  <c r="BZ338" i="10" s="1"/>
  <c r="CA338" i="10" s="1"/>
  <c r="CH338" i="10" s="1"/>
  <c r="CM338" i="10"/>
  <c r="BR210" i="10"/>
  <c r="BZ210" i="10" s="1"/>
  <c r="CA210" i="10" s="1"/>
  <c r="CH210" i="10" s="1"/>
  <c r="CM210" i="10"/>
  <c r="AC210" i="10"/>
  <c r="CN210" i="10"/>
  <c r="AC342" i="10"/>
  <c r="CN342" i="10"/>
  <c r="BR342" i="10"/>
  <c r="BZ342" i="10" s="1"/>
  <c r="CM342" i="10"/>
  <c r="AY259" i="10"/>
  <c r="AU259" i="10"/>
  <c r="P259" i="10"/>
  <c r="AP259" i="10"/>
  <c r="AS259" i="10"/>
  <c r="AX259" i="10"/>
  <c r="AR259" i="10"/>
  <c r="CK259" i="10"/>
  <c r="AZ259" i="10"/>
  <c r="AQ259" i="10"/>
  <c r="AV259" i="10"/>
  <c r="AW259" i="10"/>
  <c r="CL259" i="10"/>
  <c r="BR129" i="10"/>
  <c r="BZ129" i="10" s="1"/>
  <c r="AC129" i="10"/>
  <c r="CN129" i="10"/>
  <c r="CM129" i="10"/>
  <c r="AZ78" i="10"/>
  <c r="P78" i="10"/>
  <c r="CL78" i="10"/>
  <c r="CK78" i="10"/>
  <c r="AW78" i="10"/>
  <c r="AR78" i="10"/>
  <c r="AS78" i="10"/>
  <c r="AP78" i="10"/>
  <c r="AQ78" i="10"/>
  <c r="AX78" i="10"/>
  <c r="AV78" i="10"/>
  <c r="AY78" i="10"/>
  <c r="AU78" i="10"/>
  <c r="CN351" i="10"/>
  <c r="BR351" i="10"/>
  <c r="BZ351" i="10" s="1"/>
  <c r="CA351" i="10" s="1"/>
  <c r="CH351" i="10" s="1"/>
  <c r="CM351" i="10"/>
  <c r="AC351" i="10"/>
  <c r="P112" i="10"/>
  <c r="CK112" i="10"/>
  <c r="CL112" i="10"/>
  <c r="AP112" i="10"/>
  <c r="AX112" i="10"/>
  <c r="AU112" i="10"/>
  <c r="AY112" i="10"/>
  <c r="AQ112" i="10"/>
  <c r="AS112" i="10"/>
  <c r="AW112" i="10"/>
  <c r="AR112" i="10"/>
  <c r="AZ112" i="10"/>
  <c r="AV112" i="10"/>
  <c r="R19" i="10"/>
  <c r="S19" i="10"/>
  <c r="Q19" i="10"/>
  <c r="T19" i="10"/>
  <c r="AZ57" i="10"/>
  <c r="P57" i="10"/>
  <c r="CL57" i="10"/>
  <c r="CK57" i="10"/>
  <c r="AW57" i="10"/>
  <c r="AU57" i="10"/>
  <c r="AP57" i="10"/>
  <c r="AR57" i="10"/>
  <c r="AV57" i="10"/>
  <c r="AS57" i="10"/>
  <c r="AQ57" i="10"/>
  <c r="AY57" i="10"/>
  <c r="AX57" i="10"/>
  <c r="AU108" i="10"/>
  <c r="CK108" i="10"/>
  <c r="CL108" i="10"/>
  <c r="P108" i="10"/>
  <c r="AQ108" i="10"/>
  <c r="AS108" i="10"/>
  <c r="AY108" i="10"/>
  <c r="AV108" i="10"/>
  <c r="AX108" i="10"/>
  <c r="AW108" i="10"/>
  <c r="AZ108" i="10"/>
  <c r="AR108" i="10"/>
  <c r="AP108" i="10"/>
  <c r="CN121" i="10"/>
  <c r="BR121" i="10"/>
  <c r="BZ121" i="10" s="1"/>
  <c r="AC121" i="10"/>
  <c r="CM121" i="10"/>
  <c r="AR135" i="10"/>
  <c r="CL135" i="10"/>
  <c r="P135" i="10"/>
  <c r="CK135" i="10"/>
  <c r="AP135" i="10"/>
  <c r="AU135" i="10"/>
  <c r="AW135" i="10"/>
  <c r="AV135" i="10"/>
  <c r="AS135" i="10"/>
  <c r="AX135" i="10"/>
  <c r="AQ135" i="10"/>
  <c r="AY135" i="10"/>
  <c r="AZ135" i="10"/>
  <c r="AX131" i="10"/>
  <c r="P131" i="10"/>
  <c r="CL131" i="10"/>
  <c r="CK131" i="10"/>
  <c r="AU131" i="10"/>
  <c r="AS131" i="10"/>
  <c r="AW131" i="10"/>
  <c r="AR131" i="10"/>
  <c r="AP131" i="10"/>
  <c r="AV131" i="10"/>
  <c r="AQ131" i="10"/>
  <c r="AZ131" i="10"/>
  <c r="AY131" i="10"/>
  <c r="BR345" i="10"/>
  <c r="BZ345" i="10" s="1"/>
  <c r="CA345" i="10" s="1"/>
  <c r="CH345" i="10" s="1"/>
  <c r="AC345" i="10"/>
  <c r="CN345" i="10"/>
  <c r="CM345" i="10"/>
  <c r="CL165" i="10"/>
  <c r="AU165" i="10"/>
  <c r="AV165" i="10"/>
  <c r="AZ165" i="10"/>
  <c r="CK165" i="10"/>
  <c r="AY165" i="10"/>
  <c r="AQ165" i="10"/>
  <c r="AW165" i="10"/>
  <c r="AX165" i="10"/>
  <c r="P165" i="10"/>
  <c r="AR165" i="10"/>
  <c r="AP165" i="10"/>
  <c r="AS165" i="10"/>
  <c r="P192" i="10"/>
  <c r="CL192" i="10"/>
  <c r="AX192" i="10"/>
  <c r="AQ192" i="10"/>
  <c r="AV192" i="10"/>
  <c r="AW192" i="10"/>
  <c r="AZ192" i="10"/>
  <c r="AR192" i="10"/>
  <c r="AP192" i="10"/>
  <c r="AU192" i="10"/>
  <c r="CK192" i="10"/>
  <c r="AS192" i="10"/>
  <c r="AY192" i="10"/>
  <c r="CM323" i="10"/>
  <c r="BR323" i="10"/>
  <c r="BZ323" i="10" s="1"/>
  <c r="CA323" i="10" s="1"/>
  <c r="CH323" i="10" s="1"/>
  <c r="AC323" i="10"/>
  <c r="CN323" i="10"/>
  <c r="Q109" i="10"/>
  <c r="S109" i="10"/>
  <c r="R109" i="10"/>
  <c r="T109" i="10"/>
  <c r="AQ163" i="10"/>
  <c r="AX163" i="10"/>
  <c r="AS163" i="10"/>
  <c r="AV163" i="10"/>
  <c r="AY163" i="10"/>
  <c r="CL163" i="10"/>
  <c r="P163" i="10"/>
  <c r="CK163" i="10"/>
  <c r="AR163" i="10"/>
  <c r="AU163" i="10"/>
  <c r="AW163" i="10"/>
  <c r="AZ163" i="10"/>
  <c r="AP163" i="10"/>
  <c r="AZ75" i="10"/>
  <c r="P75" i="10"/>
  <c r="CK75" i="10"/>
  <c r="CL75" i="10"/>
  <c r="AU75" i="10"/>
  <c r="AX75" i="10"/>
  <c r="AS75" i="10"/>
  <c r="AR75" i="10"/>
  <c r="AW75" i="10"/>
  <c r="AQ75" i="10"/>
  <c r="AY75" i="10"/>
  <c r="AP75" i="10"/>
  <c r="AV75" i="10"/>
  <c r="BG91" i="10"/>
  <c r="BE91" i="10"/>
  <c r="BC91" i="10"/>
  <c r="BF91" i="10"/>
  <c r="AT32" i="10"/>
  <c r="CE96" i="10"/>
  <c r="AO96" i="10"/>
  <c r="BG135" i="10"/>
  <c r="BC135" i="10"/>
  <c r="BE135" i="10"/>
  <c r="BF135" i="10"/>
  <c r="CM79" i="10"/>
  <c r="AC79" i="10"/>
  <c r="BR79" i="10"/>
  <c r="BZ79" i="10" s="1"/>
  <c r="CN79" i="10"/>
  <c r="CE86" i="10"/>
  <c r="AO86" i="10"/>
  <c r="CE27" i="10"/>
  <c r="AO27" i="10"/>
  <c r="AC27" i="10"/>
  <c r="CM27" i="10"/>
  <c r="BR27" i="10"/>
  <c r="BZ27" i="10" s="1"/>
  <c r="CN27" i="10"/>
  <c r="CE131" i="10"/>
  <c r="AO131" i="10"/>
  <c r="CN100" i="10"/>
  <c r="BR100" i="10"/>
  <c r="BZ100" i="10" s="1"/>
  <c r="CA100" i="10" s="1"/>
  <c r="CH100" i="10" s="1"/>
  <c r="AC100" i="10"/>
  <c r="CM100" i="10"/>
  <c r="CN54" i="10"/>
  <c r="AC54" i="10"/>
  <c r="CM54" i="10"/>
  <c r="BR54" i="10"/>
  <c r="BZ54" i="10" s="1"/>
  <c r="BE54" i="10"/>
  <c r="BG54" i="10"/>
  <c r="BC54" i="10"/>
  <c r="BF54" i="10"/>
  <c r="AX171" i="10"/>
  <c r="AS171" i="10"/>
  <c r="AQ171" i="10"/>
  <c r="AV171" i="10"/>
  <c r="AW171" i="10"/>
  <c r="AU171" i="10"/>
  <c r="AP171" i="10"/>
  <c r="AR171" i="10"/>
  <c r="AY171" i="10"/>
  <c r="CL171" i="10"/>
  <c r="CK171" i="10"/>
  <c r="AZ171" i="10"/>
  <c r="P171" i="10"/>
  <c r="CE15" i="10"/>
  <c r="AO15" i="10"/>
  <c r="CM126" i="10"/>
  <c r="AC126" i="10"/>
  <c r="CN126" i="10"/>
  <c r="BR126" i="10"/>
  <c r="BZ126" i="10" s="1"/>
  <c r="BQ76" i="10"/>
  <c r="CM130" i="10"/>
  <c r="CN130" i="10"/>
  <c r="BR130" i="10"/>
  <c r="BZ130" i="10" s="1"/>
  <c r="AC130" i="10"/>
  <c r="CE140" i="10"/>
  <c r="AO140" i="10"/>
  <c r="CK23" i="10"/>
  <c r="P23" i="10"/>
  <c r="CL23" i="10"/>
  <c r="AQ23" i="10"/>
  <c r="AZ23" i="10"/>
  <c r="AX23" i="10"/>
  <c r="AU23" i="10"/>
  <c r="AY23" i="10"/>
  <c r="AP23" i="10"/>
  <c r="AS23" i="10"/>
  <c r="AW23" i="10"/>
  <c r="AR23" i="10"/>
  <c r="AV23" i="10"/>
  <c r="BQ78" i="10"/>
  <c r="BQ50" i="10"/>
  <c r="CK99" i="10"/>
  <c r="P99" i="10"/>
  <c r="CL99" i="10"/>
  <c r="AR99" i="10"/>
  <c r="AZ99" i="10"/>
  <c r="AW99" i="10"/>
  <c r="AS99" i="10"/>
  <c r="AU99" i="10"/>
  <c r="AV99" i="10"/>
  <c r="AX99" i="10"/>
  <c r="AQ99" i="10"/>
  <c r="AY99" i="10"/>
  <c r="AP99" i="10"/>
  <c r="BQ99" i="10"/>
  <c r="BR31" i="10"/>
  <c r="BZ31" i="10" s="1"/>
  <c r="CA31" i="10" s="1"/>
  <c r="CH31" i="10" s="1"/>
  <c r="CM31" i="10"/>
  <c r="AC31" i="10"/>
  <c r="CN31" i="10"/>
  <c r="BQ70" i="10"/>
  <c r="CE70" i="10"/>
  <c r="AO70" i="10"/>
  <c r="CK327" i="10"/>
  <c r="P327" i="10"/>
  <c r="CL327" i="10"/>
  <c r="AV327" i="10"/>
  <c r="AW327" i="10"/>
  <c r="AY327" i="10"/>
  <c r="AQ327" i="10"/>
  <c r="AX327" i="10"/>
  <c r="AU327" i="10"/>
  <c r="AS327" i="10"/>
  <c r="AR327" i="10"/>
  <c r="AZ327" i="10"/>
  <c r="AP327" i="10"/>
  <c r="BQ51" i="10"/>
  <c r="CM339" i="10"/>
  <c r="AC339" i="10"/>
  <c r="CN339" i="10"/>
  <c r="BR339" i="10"/>
  <c r="BZ339" i="10" s="1"/>
  <c r="CA339" i="10" s="1"/>
  <c r="CH339" i="10" s="1"/>
  <c r="BR18" i="10"/>
  <c r="BZ18" i="10" s="1"/>
  <c r="CA18" i="10" s="1"/>
  <c r="CH18" i="10" s="1"/>
  <c r="AC18" i="10"/>
  <c r="CN18" i="10"/>
  <c r="CM18" i="10"/>
  <c r="CL46" i="10"/>
  <c r="P46" i="10"/>
  <c r="CK46" i="10"/>
  <c r="AV46" i="10"/>
  <c r="AY46" i="10"/>
  <c r="AZ46" i="10"/>
  <c r="AR46" i="10"/>
  <c r="AX46" i="10"/>
  <c r="AU46" i="10"/>
  <c r="AS46" i="10"/>
  <c r="AW46" i="10"/>
  <c r="AP46" i="10"/>
  <c r="AQ46" i="10"/>
  <c r="BR321" i="10"/>
  <c r="BZ321" i="10" s="1"/>
  <c r="CA321" i="10" s="1"/>
  <c r="CH321" i="10" s="1"/>
  <c r="AC321" i="10"/>
  <c r="CN321" i="10"/>
  <c r="CM321" i="10"/>
  <c r="P177" i="10"/>
  <c r="CL177" i="10"/>
  <c r="AX177" i="10"/>
  <c r="AQ177" i="10"/>
  <c r="AU177" i="10"/>
  <c r="AP177" i="10"/>
  <c r="AZ177" i="10"/>
  <c r="AY177" i="10"/>
  <c r="CK177" i="10"/>
  <c r="AW177" i="10"/>
  <c r="AV177" i="10"/>
  <c r="AS177" i="10"/>
  <c r="AR177" i="10"/>
  <c r="AC285" i="10"/>
  <c r="BR285" i="10"/>
  <c r="BZ285" i="10" s="1"/>
  <c r="CA285" i="10" s="1"/>
  <c r="CH285" i="10" s="1"/>
  <c r="CM285" i="10"/>
  <c r="CN285" i="10"/>
  <c r="P166" i="10"/>
  <c r="AP166" i="10"/>
  <c r="AR166" i="10"/>
  <c r="CL166" i="10"/>
  <c r="AZ166" i="10"/>
  <c r="CK166" i="10"/>
  <c r="AS166" i="10"/>
  <c r="AY166" i="10"/>
  <c r="AW166" i="10"/>
  <c r="AX166" i="10"/>
  <c r="AQ166" i="10"/>
  <c r="AV166" i="10"/>
  <c r="AU166" i="10"/>
  <c r="BF333" i="10"/>
  <c r="BG333" i="10"/>
  <c r="BE333" i="10"/>
  <c r="BC333" i="10"/>
  <c r="AC304" i="10"/>
  <c r="CN304" i="10"/>
  <c r="BR304" i="10"/>
  <c r="BZ304" i="10" s="1"/>
  <c r="CA304" i="10" s="1"/>
  <c r="CH304" i="10" s="1"/>
  <c r="CM304" i="10"/>
  <c r="K237" i="10"/>
  <c r="CD237" i="10"/>
  <c r="BQ237" i="10"/>
  <c r="CD235" i="10"/>
  <c r="K235" i="10"/>
  <c r="CD220" i="10"/>
  <c r="K220" i="10"/>
  <c r="CE220" i="10"/>
  <c r="AO220" i="10"/>
  <c r="BQ63" i="10"/>
  <c r="CE89" i="10"/>
  <c r="AO89" i="10"/>
  <c r="CE224" i="10"/>
  <c r="AO224" i="10"/>
  <c r="CE329" i="10"/>
  <c r="AO329" i="10"/>
  <c r="CE16" i="10"/>
  <c r="AO16" i="10"/>
  <c r="K16" i="10"/>
  <c r="CD16" i="10"/>
  <c r="BQ234" i="10"/>
  <c r="K234" i="10"/>
  <c r="CD234" i="10"/>
  <c r="BG199" i="10"/>
  <c r="BC199" i="10"/>
  <c r="BE199" i="10"/>
  <c r="BF199" i="10"/>
  <c r="BG345" i="10"/>
  <c r="BC345" i="10"/>
  <c r="BE345" i="10"/>
  <c r="BF345" i="10"/>
  <c r="BE225" i="10"/>
  <c r="BF225" i="10"/>
  <c r="BC225" i="10"/>
  <c r="BG225" i="10"/>
  <c r="BQ28" i="10"/>
  <c r="CE28" i="10"/>
  <c r="AO28" i="10"/>
  <c r="K95" i="10"/>
  <c r="CD95" i="10"/>
  <c r="BE328" i="10"/>
  <c r="BG328" i="10"/>
  <c r="BC328" i="10"/>
  <c r="BF328" i="10"/>
  <c r="BE212" i="10"/>
  <c r="BF212" i="10"/>
  <c r="BC212" i="10"/>
  <c r="BG212" i="10"/>
  <c r="CE212" i="10"/>
  <c r="AO212" i="10"/>
  <c r="CE90" i="10"/>
  <c r="AO90" i="10"/>
  <c r="CD239" i="10"/>
  <c r="K239" i="10"/>
  <c r="CM213" i="10"/>
  <c r="CN213" i="10"/>
  <c r="AC213" i="10"/>
  <c r="BR213" i="10"/>
  <c r="BZ213" i="10" s="1"/>
  <c r="CA213" i="10" s="1"/>
  <c r="CH213" i="10" s="1"/>
  <c r="BR230" i="10"/>
  <c r="BZ230" i="10" s="1"/>
  <c r="CM230" i="10"/>
  <c r="CN230" i="10"/>
  <c r="AC230" i="10"/>
  <c r="CD53" i="10"/>
  <c r="K53" i="10"/>
  <c r="CD173" i="10"/>
  <c r="K173" i="10"/>
  <c r="BF173" i="10"/>
  <c r="BG173" i="10"/>
  <c r="BC173" i="10"/>
  <c r="BE173" i="10"/>
  <c r="CD14" i="10"/>
  <c r="K14" i="10"/>
  <c r="BQ97" i="10"/>
  <c r="CK218" i="10"/>
  <c r="AR218" i="10"/>
  <c r="AU218" i="10"/>
  <c r="AP218" i="10"/>
  <c r="AY218" i="10"/>
  <c r="AQ218" i="10"/>
  <c r="AX218" i="10"/>
  <c r="AS218" i="10"/>
  <c r="P218" i="10"/>
  <c r="AZ218" i="10"/>
  <c r="AW218" i="10"/>
  <c r="AV218" i="10"/>
  <c r="CL218" i="10"/>
  <c r="CE154" i="10"/>
  <c r="AO154" i="10"/>
  <c r="K46" i="10"/>
  <c r="CD46" i="10"/>
  <c r="P214" i="10"/>
  <c r="AW214" i="10"/>
  <c r="AS214" i="10"/>
  <c r="CL214" i="10"/>
  <c r="AQ214" i="10"/>
  <c r="AZ214" i="10"/>
  <c r="AX214" i="10"/>
  <c r="AU214" i="10"/>
  <c r="AR214" i="10"/>
  <c r="CK214" i="10"/>
  <c r="AY214" i="10"/>
  <c r="AV214" i="10"/>
  <c r="AP214" i="10"/>
  <c r="BQ91" i="10"/>
  <c r="CN33" i="10"/>
  <c r="BR33" i="10"/>
  <c r="BZ33" i="10" s="1"/>
  <c r="CA33" i="10" s="1"/>
  <c r="CH33" i="10" s="1"/>
  <c r="AC33" i="10"/>
  <c r="CM33" i="10"/>
  <c r="AS43" i="10"/>
  <c r="CL43" i="10"/>
  <c r="CK43" i="10"/>
  <c r="P43" i="10"/>
  <c r="AX43" i="10"/>
  <c r="AQ43" i="10"/>
  <c r="AV43" i="10"/>
  <c r="AW43" i="10"/>
  <c r="AP43" i="10"/>
  <c r="AU43" i="10"/>
  <c r="AY43" i="10"/>
  <c r="AR43" i="10"/>
  <c r="AZ43" i="10"/>
  <c r="P340" i="10"/>
  <c r="CK340" i="10"/>
  <c r="CL340" i="10"/>
  <c r="AY340" i="10"/>
  <c r="AR340" i="10"/>
  <c r="AZ340" i="10"/>
  <c r="AP340" i="10"/>
  <c r="AS340" i="10"/>
  <c r="AV340" i="10"/>
  <c r="AW340" i="10"/>
  <c r="AX340" i="10"/>
  <c r="AU340" i="10"/>
  <c r="AQ340" i="10"/>
  <c r="P334" i="10"/>
  <c r="CK334" i="10"/>
  <c r="CL334" i="10"/>
  <c r="AR334" i="10"/>
  <c r="AV334" i="10"/>
  <c r="AX334" i="10"/>
  <c r="AY334" i="10"/>
  <c r="AW334" i="10"/>
  <c r="AQ334" i="10"/>
  <c r="AP334" i="10"/>
  <c r="AZ334" i="10"/>
  <c r="AS334" i="10"/>
  <c r="AU334" i="10"/>
  <c r="CK91" i="10"/>
  <c r="P91" i="10"/>
  <c r="CL91" i="10"/>
  <c r="AU91" i="10"/>
  <c r="AR91" i="10"/>
  <c r="AY91" i="10"/>
  <c r="AZ91" i="10"/>
  <c r="AQ91" i="10"/>
  <c r="AS91" i="10"/>
  <c r="AV91" i="10"/>
  <c r="AW91" i="10"/>
  <c r="AX91" i="10"/>
  <c r="AP91" i="10"/>
  <c r="CN43" i="10"/>
  <c r="AC43" i="10"/>
  <c r="BR43" i="10"/>
  <c r="BZ43" i="10" s="1"/>
  <c r="CM43" i="10"/>
  <c r="AQ343" i="10"/>
  <c r="CK343" i="10"/>
  <c r="P343" i="10"/>
  <c r="CL343" i="10"/>
  <c r="AR343" i="10"/>
  <c r="AW343" i="10"/>
  <c r="AU343" i="10"/>
  <c r="AS343" i="10"/>
  <c r="AX343" i="10"/>
  <c r="AY343" i="10"/>
  <c r="AP343" i="10"/>
  <c r="AZ343" i="10"/>
  <c r="AV343" i="10"/>
  <c r="CM76" i="10"/>
  <c r="BR76" i="10"/>
  <c r="BZ76" i="10" s="1"/>
  <c r="CN76" i="10"/>
  <c r="AC76" i="10"/>
  <c r="CK25" i="10"/>
  <c r="CL25" i="10"/>
  <c r="P25" i="10"/>
  <c r="AR25" i="10"/>
  <c r="AY25" i="10"/>
  <c r="AQ25" i="10"/>
  <c r="AX25" i="10"/>
  <c r="AS25" i="10"/>
  <c r="AP25" i="10"/>
  <c r="AZ25" i="10"/>
  <c r="AU25" i="10"/>
  <c r="AW25" i="10"/>
  <c r="AV25" i="10"/>
  <c r="BR132" i="10"/>
  <c r="BZ132" i="10" s="1"/>
  <c r="CM132" i="10"/>
  <c r="CN132" i="10"/>
  <c r="AC132" i="10"/>
  <c r="AC103" i="10"/>
  <c r="CN103" i="10"/>
  <c r="BR103" i="10"/>
  <c r="BZ103" i="10" s="1"/>
  <c r="CA103" i="10" s="1"/>
  <c r="CH103" i="10" s="1"/>
  <c r="CM103" i="10"/>
  <c r="BG24" i="10"/>
  <c r="BC24" i="10"/>
  <c r="BF24" i="10"/>
  <c r="BE24" i="10"/>
  <c r="CD49" i="10"/>
  <c r="K49" i="10"/>
  <c r="CD330" i="10"/>
  <c r="K330" i="10"/>
  <c r="BE105" i="10"/>
  <c r="BG105" i="10"/>
  <c r="BF105" i="10"/>
  <c r="BC105" i="10"/>
  <c r="BC332" i="10"/>
  <c r="BE332" i="10"/>
  <c r="BF332" i="10"/>
  <c r="BG332" i="10"/>
  <c r="CE42" i="10"/>
  <c r="AO42" i="10"/>
  <c r="BQ67" i="10"/>
  <c r="CE67" i="10"/>
  <c r="AO67" i="10"/>
  <c r="BQ129" i="10"/>
  <c r="CM139" i="10"/>
  <c r="AC139" i="10"/>
  <c r="CN139" i="10"/>
  <c r="BR139" i="10"/>
  <c r="BZ139" i="10" s="1"/>
  <c r="CA139" i="10" s="1"/>
  <c r="CH139" i="10" s="1"/>
  <c r="CE87" i="10"/>
  <c r="AO87" i="10"/>
  <c r="CK191" i="10"/>
  <c r="AQ191" i="10"/>
  <c r="AR191" i="10"/>
  <c r="P191" i="10"/>
  <c r="AX191" i="10"/>
  <c r="AZ191" i="10"/>
  <c r="AY191" i="10"/>
  <c r="AU191" i="10"/>
  <c r="AS191" i="10"/>
  <c r="CL191" i="10"/>
  <c r="AV191" i="10"/>
  <c r="AW191" i="10"/>
  <c r="AP191" i="10"/>
  <c r="AQ310" i="10"/>
  <c r="CK310" i="10"/>
  <c r="AR310" i="10"/>
  <c r="CL310" i="10"/>
  <c r="AX310" i="10"/>
  <c r="P310" i="10"/>
  <c r="AW310" i="10"/>
  <c r="AY310" i="10"/>
  <c r="AV310" i="10"/>
  <c r="AS310" i="10"/>
  <c r="AP310" i="10"/>
  <c r="AZ310" i="10"/>
  <c r="AU310" i="10"/>
  <c r="AC30" i="10"/>
  <c r="CN30" i="10"/>
  <c r="BR30" i="10"/>
  <c r="BZ30" i="10" s="1"/>
  <c r="CM30" i="10"/>
  <c r="BR21" i="10"/>
  <c r="BZ21" i="10" s="1"/>
  <c r="CA21" i="10" s="1"/>
  <c r="CH21" i="10" s="1"/>
  <c r="AC21" i="10"/>
  <c r="CM21" i="10"/>
  <c r="CN21" i="10"/>
  <c r="CM315" i="10"/>
  <c r="AC315" i="10"/>
  <c r="CN315" i="10"/>
  <c r="BR315" i="10"/>
  <c r="BZ315" i="10" s="1"/>
  <c r="CA315" i="10" s="1"/>
  <c r="CH315" i="10" s="1"/>
  <c r="BR41" i="10"/>
  <c r="BZ41" i="10" s="1"/>
  <c r="CA41" i="10" s="1"/>
  <c r="CH41" i="10" s="1"/>
  <c r="CM41" i="10"/>
  <c r="CN41" i="10"/>
  <c r="AC41" i="10"/>
  <c r="BH112" i="10"/>
  <c r="AZ86" i="10"/>
  <c r="P86" i="10"/>
  <c r="CL86" i="10"/>
  <c r="CK86" i="10"/>
  <c r="AR86" i="10"/>
  <c r="AP86" i="10"/>
  <c r="AY86" i="10"/>
  <c r="AV86" i="10"/>
  <c r="AX86" i="10"/>
  <c r="AQ86" i="10"/>
  <c r="AS86" i="10"/>
  <c r="AU86" i="10"/>
  <c r="AW86" i="10"/>
  <c r="CE54" i="10"/>
  <c r="AO54" i="10"/>
  <c r="AC209" i="10"/>
  <c r="CN209" i="10"/>
  <c r="BR209" i="10"/>
  <c r="BZ209" i="10" s="1"/>
  <c r="CA209" i="10" s="1"/>
  <c r="CH209" i="10" s="1"/>
  <c r="CM209" i="10"/>
  <c r="CK126" i="10"/>
  <c r="P126" i="10"/>
  <c r="CL126" i="10"/>
  <c r="AY126" i="10"/>
  <c r="AR126" i="10"/>
  <c r="AW126" i="10"/>
  <c r="AS126" i="10"/>
  <c r="AP126" i="10"/>
  <c r="AX126" i="10"/>
  <c r="AV126" i="10"/>
  <c r="AZ126" i="10"/>
  <c r="AU126" i="10"/>
  <c r="AQ126" i="10"/>
  <c r="CE133" i="10"/>
  <c r="AO133" i="10"/>
  <c r="CM25" i="10"/>
  <c r="BR25" i="10"/>
  <c r="BZ25" i="10" s="1"/>
  <c r="AC25" i="10"/>
  <c r="CN25" i="10"/>
  <c r="BQ343" i="10"/>
  <c r="BG84" i="10"/>
  <c r="BC84" i="10"/>
  <c r="BF84" i="10"/>
  <c r="BE84" i="10"/>
  <c r="CE130" i="10"/>
  <c r="AO130" i="10"/>
  <c r="CN107" i="10"/>
  <c r="BR107" i="10"/>
  <c r="BZ107" i="10" s="1"/>
  <c r="CA107" i="10" s="1"/>
  <c r="CH107" i="10" s="1"/>
  <c r="AC107" i="10"/>
  <c r="CM107" i="10"/>
  <c r="BE132" i="10"/>
  <c r="BG132" i="10"/>
  <c r="BF132" i="10"/>
  <c r="BC132" i="10"/>
  <c r="AZ9" i="10"/>
  <c r="CL9" i="10"/>
  <c r="P9" i="10"/>
  <c r="CK9" i="10"/>
  <c r="AX9" i="10"/>
  <c r="AR9" i="10"/>
  <c r="AP9" i="10"/>
  <c r="AV9" i="10"/>
  <c r="AY9" i="10"/>
  <c r="AS9" i="10"/>
  <c r="AQ9" i="10"/>
  <c r="AW9" i="10"/>
  <c r="AU9" i="10"/>
  <c r="BF58" i="10"/>
  <c r="BE58" i="10"/>
  <c r="BG58" i="10"/>
  <c r="BC58" i="10"/>
  <c r="CE99" i="10"/>
  <c r="AO99" i="10"/>
  <c r="BG31" i="10"/>
  <c r="BF31" i="10"/>
  <c r="BE31" i="10"/>
  <c r="BC31" i="10"/>
  <c r="AZ72" i="10"/>
  <c r="P72" i="10"/>
  <c r="CK72" i="10"/>
  <c r="CL72" i="10"/>
  <c r="AW72" i="10"/>
  <c r="AU72" i="10"/>
  <c r="AX72" i="10"/>
  <c r="AV72" i="10"/>
  <c r="AR72" i="10"/>
  <c r="AY72" i="10"/>
  <c r="AQ72" i="10"/>
  <c r="AS72" i="10"/>
  <c r="AP72" i="10"/>
  <c r="BC339" i="10"/>
  <c r="BF339" i="10"/>
  <c r="BG339" i="10"/>
  <c r="BE339" i="10"/>
  <c r="CL247" i="10"/>
  <c r="AZ247" i="10"/>
  <c r="AP247" i="10"/>
  <c r="AU247" i="10"/>
  <c r="AY247" i="10"/>
  <c r="AQ247" i="10"/>
  <c r="AR247" i="10"/>
  <c r="AS247" i="10"/>
  <c r="CK247" i="10"/>
  <c r="CO247" i="10" s="1"/>
  <c r="AX247" i="10"/>
  <c r="P247" i="10"/>
  <c r="AW247" i="10"/>
  <c r="AV247" i="10"/>
  <c r="CD6" i="10"/>
  <c r="K6" i="10"/>
  <c r="P281" i="10"/>
  <c r="AQ281" i="10"/>
  <c r="AU281" i="10"/>
  <c r="CK281" i="10"/>
  <c r="AZ281" i="10"/>
  <c r="AR281" i="10"/>
  <c r="AP281" i="10"/>
  <c r="AX281" i="10"/>
  <c r="CL281" i="10"/>
  <c r="AV281" i="10"/>
  <c r="AW281" i="10"/>
  <c r="AS281" i="10"/>
  <c r="AY281" i="10"/>
  <c r="AC220" i="10"/>
  <c r="CN220" i="10"/>
  <c r="CM220" i="10"/>
  <c r="BR220" i="10"/>
  <c r="BZ220" i="10" s="1"/>
  <c r="K129" i="10"/>
  <c r="CD129" i="10"/>
  <c r="CE82" i="10"/>
  <c r="AO82" i="10"/>
  <c r="CD82" i="10"/>
  <c r="K82" i="10"/>
  <c r="AO170" i="10"/>
  <c r="CE170" i="10"/>
  <c r="AP153" i="10"/>
  <c r="AS153" i="10"/>
  <c r="AW153" i="10"/>
  <c r="AR153" i="10"/>
  <c r="AX153" i="10"/>
  <c r="AQ153" i="10"/>
  <c r="AZ153" i="10"/>
  <c r="CL153" i="10"/>
  <c r="AU153" i="10"/>
  <c r="AY153" i="10"/>
  <c r="AV153" i="10"/>
  <c r="P153" i="10"/>
  <c r="CK153" i="10"/>
  <c r="CE56" i="10"/>
  <c r="AO56" i="10"/>
  <c r="BG80" i="10"/>
  <c r="BE80" i="10"/>
  <c r="BF80" i="10"/>
  <c r="BC80" i="10"/>
  <c r="CD80" i="10"/>
  <c r="K80" i="10"/>
  <c r="BQ328" i="10"/>
  <c r="BF168" i="10"/>
  <c r="BE168" i="10"/>
  <c r="BG168" i="10"/>
  <c r="BC168" i="10"/>
  <c r="P89" i="10"/>
  <c r="CK89" i="10"/>
  <c r="CL89" i="10"/>
  <c r="AQ89" i="10"/>
  <c r="AR89" i="10"/>
  <c r="AZ89" i="10"/>
  <c r="AX89" i="10"/>
  <c r="AW89" i="10"/>
  <c r="AY89" i="10"/>
  <c r="AS89" i="10"/>
  <c r="AU89" i="10"/>
  <c r="AP89" i="10"/>
  <c r="AV89" i="10"/>
  <c r="AP207" i="10"/>
  <c r="CK207" i="10"/>
  <c r="P207" i="10"/>
  <c r="AQ207" i="10"/>
  <c r="AR207" i="10"/>
  <c r="AS207" i="10"/>
  <c r="AV207" i="10"/>
  <c r="AU207" i="10"/>
  <c r="AW207" i="10"/>
  <c r="AX207" i="10"/>
  <c r="AY207" i="10"/>
  <c r="CL207" i="10"/>
  <c r="AZ207" i="10"/>
  <c r="AQ60" i="10"/>
  <c r="CK60" i="10"/>
  <c r="CL60" i="10"/>
  <c r="P60" i="10"/>
  <c r="AY60" i="10"/>
  <c r="AU60" i="10"/>
  <c r="AX60" i="10"/>
  <c r="AR60" i="10"/>
  <c r="AZ60" i="10"/>
  <c r="AP60" i="10"/>
  <c r="AV60" i="10"/>
  <c r="AS60" i="10"/>
  <c r="AW60" i="10"/>
  <c r="BH114" i="10"/>
  <c r="CM70" i="10"/>
  <c r="BR70" i="10"/>
  <c r="BZ70" i="10" s="1"/>
  <c r="AC70" i="10"/>
  <c r="CN70" i="10"/>
  <c r="CE72" i="10"/>
  <c r="AO72" i="10"/>
  <c r="P161" i="10"/>
  <c r="CL161" i="10"/>
  <c r="AQ161" i="10"/>
  <c r="AX161" i="10"/>
  <c r="AU161" i="10"/>
  <c r="AP161" i="10"/>
  <c r="AZ161" i="10"/>
  <c r="AS161" i="10"/>
  <c r="AY161" i="10"/>
  <c r="CK161" i="10"/>
  <c r="AV161" i="10"/>
  <c r="AR161" i="10"/>
  <c r="AW161" i="10"/>
  <c r="AO221" i="10"/>
  <c r="CE221" i="10"/>
  <c r="P174" i="10"/>
  <c r="AU174" i="10"/>
  <c r="AV174" i="10"/>
  <c r="AP174" i="10"/>
  <c r="AR174" i="10"/>
  <c r="AZ174" i="10"/>
  <c r="CK174" i="10"/>
  <c r="AS174" i="10"/>
  <c r="AY174" i="10"/>
  <c r="AW174" i="10"/>
  <c r="AQ174" i="10"/>
  <c r="CL174" i="10"/>
  <c r="AX174" i="10"/>
  <c r="K217" i="10"/>
  <c r="CD217" i="10"/>
  <c r="AO217" i="10"/>
  <c r="CE217" i="10"/>
  <c r="BQ155" i="10"/>
  <c r="CM102" i="10"/>
  <c r="AC102" i="10"/>
  <c r="BR102" i="10"/>
  <c r="BZ102" i="10" s="1"/>
  <c r="CN102" i="10"/>
  <c r="BC348" i="10"/>
  <c r="BE348" i="10"/>
  <c r="BF348" i="10"/>
  <c r="BG348" i="10"/>
  <c r="CE135" i="10"/>
  <c r="AO135" i="10"/>
  <c r="AC313" i="10"/>
  <c r="BR313" i="10"/>
  <c r="BZ313" i="10" s="1"/>
  <c r="CA313" i="10" s="1"/>
  <c r="CH313" i="10" s="1"/>
  <c r="CM313" i="10"/>
  <c r="CN313" i="10"/>
  <c r="K8" i="10"/>
  <c r="CD8" i="10"/>
  <c r="BR174" i="10"/>
  <c r="BZ174" i="10" s="1"/>
  <c r="CN174" i="10"/>
  <c r="AC174" i="10"/>
  <c r="CM174" i="10"/>
  <c r="CM142" i="10"/>
  <c r="CN142" i="10"/>
  <c r="BR142" i="10"/>
  <c r="BZ142" i="10" s="1"/>
  <c r="CA142" i="10" s="1"/>
  <c r="CH142" i="10" s="1"/>
  <c r="AC142" i="10"/>
  <c r="BG128" i="10"/>
  <c r="BC128" i="10"/>
  <c r="BE128" i="10"/>
  <c r="BF128" i="10"/>
  <c r="AC141" i="10"/>
  <c r="CN141" i="10"/>
  <c r="CM141" i="10"/>
  <c r="BR141" i="10"/>
  <c r="BZ141" i="10" s="1"/>
  <c r="CL26" i="10"/>
  <c r="P26" i="10"/>
  <c r="CK26" i="10"/>
  <c r="AZ26" i="10"/>
  <c r="AV26" i="10"/>
  <c r="AY26" i="10"/>
  <c r="AS26" i="10"/>
  <c r="AQ26" i="10"/>
  <c r="AR26" i="10"/>
  <c r="AX26" i="10"/>
  <c r="AU26" i="10"/>
  <c r="AP26" i="10"/>
  <c r="AW26" i="10"/>
  <c r="BC85" i="10"/>
  <c r="BF85" i="10"/>
  <c r="BE85" i="10"/>
  <c r="BG85" i="10"/>
  <c r="BR85" i="10"/>
  <c r="BZ85" i="10" s="1"/>
  <c r="CM85" i="10"/>
  <c r="AC85" i="10"/>
  <c r="CN85" i="10"/>
  <c r="BF41" i="10"/>
  <c r="BE41" i="10"/>
  <c r="BG41" i="10"/>
  <c r="BC41" i="10"/>
  <c r="AZ97" i="10"/>
  <c r="P97" i="10"/>
  <c r="CK97" i="10"/>
  <c r="CL97" i="10"/>
  <c r="AV97" i="10"/>
  <c r="AS97" i="10"/>
  <c r="AQ97" i="10"/>
  <c r="AP97" i="10"/>
  <c r="AR97" i="10"/>
  <c r="AU97" i="10"/>
  <c r="AX97" i="10"/>
  <c r="AW97" i="10"/>
  <c r="AY97" i="10"/>
  <c r="BQ68" i="10"/>
  <c r="CD55" i="10"/>
  <c r="K55" i="10"/>
  <c r="AZ136" i="10"/>
  <c r="CL136" i="10"/>
  <c r="P136" i="10"/>
  <c r="CK136" i="10"/>
  <c r="AS136" i="10"/>
  <c r="AP136" i="10"/>
  <c r="AX136" i="10"/>
  <c r="AU136" i="10"/>
  <c r="AY136" i="10"/>
  <c r="AQ136" i="10"/>
  <c r="AR136" i="10"/>
  <c r="AV136" i="10"/>
  <c r="AW136" i="10"/>
  <c r="AS196" i="10"/>
  <c r="AX196" i="10"/>
  <c r="AR196" i="10"/>
  <c r="AQ196" i="10"/>
  <c r="AV196" i="10"/>
  <c r="AU196" i="10"/>
  <c r="CK196" i="10"/>
  <c r="AW196" i="10"/>
  <c r="AY196" i="10"/>
  <c r="AZ196" i="10"/>
  <c r="AP196" i="10"/>
  <c r="CL196" i="10"/>
  <c r="P196" i="10"/>
  <c r="CN347" i="10"/>
  <c r="BR347" i="10"/>
  <c r="BZ347" i="10" s="1"/>
  <c r="CM347" i="10"/>
  <c r="AC347" i="10"/>
  <c r="BC326" i="10"/>
  <c r="BE326" i="10"/>
  <c r="BG326" i="10"/>
  <c r="BF326" i="10"/>
  <c r="AY54" i="10"/>
  <c r="P54" i="10"/>
  <c r="CL54" i="10"/>
  <c r="CK54" i="10"/>
  <c r="AS54" i="10"/>
  <c r="AP54" i="10"/>
  <c r="AR54" i="10"/>
  <c r="AX54" i="10"/>
  <c r="AW54" i="10"/>
  <c r="AV54" i="10"/>
  <c r="AQ54" i="10"/>
  <c r="AU54" i="10"/>
  <c r="AZ54" i="10"/>
  <c r="BE66" i="10"/>
  <c r="BC66" i="10"/>
  <c r="BF66" i="10"/>
  <c r="BG66" i="10"/>
  <c r="AC133" i="10"/>
  <c r="CN133" i="10"/>
  <c r="BR133" i="10"/>
  <c r="BZ133" i="10" s="1"/>
  <c r="CM133" i="10"/>
  <c r="BC32" i="10"/>
  <c r="BE32" i="10"/>
  <c r="BG32" i="10"/>
  <c r="BF32" i="10"/>
  <c r="BQ335" i="10"/>
  <c r="CE83" i="10"/>
  <c r="AO83" i="10"/>
  <c r="CK92" i="10"/>
  <c r="CL92" i="10"/>
  <c r="P92" i="10"/>
  <c r="AP92" i="10"/>
  <c r="AW92" i="10"/>
  <c r="AS92" i="10"/>
  <c r="AR92" i="10"/>
  <c r="AV92" i="10"/>
  <c r="AX92" i="10"/>
  <c r="AZ92" i="10"/>
  <c r="AU92" i="10"/>
  <c r="AY92" i="10"/>
  <c r="AQ92" i="10"/>
  <c r="BC124" i="10"/>
  <c r="BE124" i="10"/>
  <c r="BF124" i="10"/>
  <c r="BG124" i="10"/>
  <c r="BC127" i="10"/>
  <c r="BG127" i="10"/>
  <c r="BE127" i="10"/>
  <c r="BF127" i="10"/>
  <c r="BQ93" i="10"/>
  <c r="CE58" i="10"/>
  <c r="AO58" i="10"/>
  <c r="AW116" i="10"/>
  <c r="CL116" i="10"/>
  <c r="P116" i="10"/>
  <c r="CK116" i="10"/>
  <c r="AX116" i="10"/>
  <c r="AS116" i="10"/>
  <c r="AP116" i="10"/>
  <c r="AV116" i="10"/>
  <c r="AR116" i="10"/>
  <c r="AU116" i="10"/>
  <c r="AY116" i="10"/>
  <c r="AZ116" i="10"/>
  <c r="AQ116" i="10"/>
  <c r="CE71" i="10"/>
  <c r="AO71" i="10"/>
  <c r="AY246" i="10"/>
  <c r="AX246" i="10"/>
  <c r="AS246" i="10"/>
  <c r="P246" i="10"/>
  <c r="CK246" i="10"/>
  <c r="AR246" i="10"/>
  <c r="AU246" i="10"/>
  <c r="AP246" i="10"/>
  <c r="CL246" i="10"/>
  <c r="AZ246" i="10"/>
  <c r="AW246" i="10"/>
  <c r="AQ246" i="10"/>
  <c r="AV246" i="10"/>
  <c r="BR333" i="10"/>
  <c r="BZ333" i="10" s="1"/>
  <c r="CM333" i="10"/>
  <c r="AC333" i="10"/>
  <c r="CN333" i="10"/>
  <c r="CN319" i="10"/>
  <c r="AC319" i="10"/>
  <c r="BR319" i="10"/>
  <c r="BZ319" i="10" s="1"/>
  <c r="CA319" i="10" s="1"/>
  <c r="CH319" i="10" s="1"/>
  <c r="CM319" i="10"/>
  <c r="CE65" i="10"/>
  <c r="AO65" i="10"/>
  <c r="BG201" i="10"/>
  <c r="BC201" i="10"/>
  <c r="BF201" i="10"/>
  <c r="BE201" i="10"/>
  <c r="BF216" i="10"/>
  <c r="BG216" i="10"/>
  <c r="BC216" i="10"/>
  <c r="BE216" i="10"/>
  <c r="BG164" i="10"/>
  <c r="BF164" i="10"/>
  <c r="BE164" i="10"/>
  <c r="BC164" i="10"/>
  <c r="AF232" i="10"/>
  <c r="AG232" i="10" s="1"/>
  <c r="AE232" i="10"/>
  <c r="BG89" i="10"/>
  <c r="BF89" i="10"/>
  <c r="BC89" i="10"/>
  <c r="BE89" i="10"/>
  <c r="CE228" i="10"/>
  <c r="AO228" i="10"/>
  <c r="BQ233" i="10"/>
  <c r="AO233" i="10"/>
  <c r="CE233" i="10"/>
  <c r="O152" i="10"/>
  <c r="N152" i="10"/>
  <c r="BF81" i="10"/>
  <c r="BE81" i="10"/>
  <c r="BC81" i="10"/>
  <c r="BG81" i="10"/>
  <c r="K123" i="10"/>
  <c r="CD123" i="10"/>
  <c r="BQ30" i="10"/>
  <c r="AJ151" i="10"/>
  <c r="AK151" i="10" s="1"/>
  <c r="AI151" i="10"/>
  <c r="BQ334" i="10"/>
  <c r="CE334" i="10"/>
  <c r="AO334" i="10"/>
  <c r="CE75" i="10"/>
  <c r="AO75" i="10"/>
  <c r="BQ75" i="10"/>
  <c r="CL222" i="10"/>
  <c r="P222" i="10"/>
  <c r="AW222" i="10"/>
  <c r="AY222" i="10"/>
  <c r="AX222" i="10"/>
  <c r="AZ222" i="10"/>
  <c r="AQ222" i="10"/>
  <c r="AS222" i="10"/>
  <c r="AR222" i="10"/>
  <c r="AP222" i="10"/>
  <c r="CK222" i="10"/>
  <c r="AU222" i="10"/>
  <c r="AV222" i="10"/>
  <c r="BQ222" i="10"/>
  <c r="CN112" i="10"/>
  <c r="BR112" i="10"/>
  <c r="BZ112" i="10" s="1"/>
  <c r="CA112" i="10" s="1"/>
  <c r="CH112" i="10" s="1"/>
  <c r="CM112" i="10"/>
  <c r="AC112" i="10"/>
  <c r="P55" i="10"/>
  <c r="CL55" i="10"/>
  <c r="CK55" i="10"/>
  <c r="AV55" i="10"/>
  <c r="AQ55" i="10"/>
  <c r="AY55" i="10"/>
  <c r="AU55" i="10"/>
  <c r="AZ55" i="10"/>
  <c r="AW55" i="10"/>
  <c r="AP55" i="10"/>
  <c r="AX55" i="10"/>
  <c r="AS55" i="10"/>
  <c r="AR55" i="10"/>
  <c r="P24" i="10"/>
  <c r="CL24" i="10"/>
  <c r="CK24" i="10"/>
  <c r="AZ24" i="10"/>
  <c r="AS24" i="10"/>
  <c r="AR24" i="10"/>
  <c r="AQ24" i="10"/>
  <c r="AW24" i="10"/>
  <c r="AP24" i="10"/>
  <c r="AX24" i="10"/>
  <c r="AY24" i="10"/>
  <c r="AU24" i="10"/>
  <c r="AV24" i="10"/>
  <c r="P297" i="10"/>
  <c r="AZ297" i="10"/>
  <c r="AW297" i="10"/>
  <c r="AQ297" i="10"/>
  <c r="AX297" i="10"/>
  <c r="CL297" i="10"/>
  <c r="AR297" i="10"/>
  <c r="AV297" i="10"/>
  <c r="AP297" i="10"/>
  <c r="AU297" i="10"/>
  <c r="AS297" i="10"/>
  <c r="CK297" i="10"/>
  <c r="AY297" i="10"/>
  <c r="BR316" i="10"/>
  <c r="BZ316" i="10" s="1"/>
  <c r="CA316" i="10" s="1"/>
  <c r="CH316" i="10" s="1"/>
  <c r="AC316" i="10"/>
  <c r="CM316" i="10"/>
  <c r="CN316" i="10"/>
  <c r="BC57" i="10"/>
  <c r="BE57" i="10"/>
  <c r="BF57" i="10"/>
  <c r="BG57" i="10"/>
  <c r="AP74" i="10"/>
  <c r="CK74" i="10"/>
  <c r="CL74" i="10"/>
  <c r="P74" i="10"/>
  <c r="AV74" i="10"/>
  <c r="AS74" i="10"/>
  <c r="AX74" i="10"/>
  <c r="AR74" i="10"/>
  <c r="AQ74" i="10"/>
  <c r="AW74" i="10"/>
  <c r="AU74" i="10"/>
  <c r="AY74" i="10"/>
  <c r="AZ74" i="10"/>
  <c r="BF48" i="10"/>
  <c r="BE48" i="10"/>
  <c r="BG48" i="10"/>
  <c r="BC48" i="10"/>
  <c r="K226" i="10"/>
  <c r="CD226" i="10"/>
  <c r="CE226" i="10"/>
  <c r="AO226" i="10"/>
  <c r="P12" i="10"/>
  <c r="CK12" i="10"/>
  <c r="CL12" i="10"/>
  <c r="AV12" i="10"/>
  <c r="AR12" i="10"/>
  <c r="AW12" i="10"/>
  <c r="AP12" i="10"/>
  <c r="AQ12" i="10"/>
  <c r="AS12" i="10"/>
  <c r="AZ12" i="10"/>
  <c r="AY12" i="10"/>
  <c r="AX12" i="10"/>
  <c r="AU12" i="10"/>
  <c r="BF223" i="10"/>
  <c r="BE223" i="10"/>
  <c r="BC223" i="10"/>
  <c r="BG223" i="10"/>
  <c r="CE223" i="10"/>
  <c r="AO223" i="10"/>
  <c r="BH350" i="10"/>
  <c r="I152" i="10"/>
  <c r="AL152" i="10"/>
  <c r="BL152" i="10"/>
  <c r="CB152" i="10"/>
  <c r="W152" i="10"/>
  <c r="BD152" i="10" s="1"/>
  <c r="AM152" i="10"/>
  <c r="CF152" i="10" s="1"/>
  <c r="BN152" i="10"/>
  <c r="CJ152" i="10"/>
  <c r="AN152" i="10"/>
  <c r="CG152" i="10" s="1"/>
  <c r="BT152" i="10"/>
  <c r="BV152" i="10"/>
  <c r="BJ152" i="10"/>
  <c r="Y152" i="10"/>
  <c r="U152" i="10"/>
  <c r="BU152" i="10"/>
  <c r="BK152" i="10"/>
  <c r="CI152" i="10"/>
  <c r="BP152" i="10"/>
  <c r="BY152" i="10"/>
  <c r="BO152" i="10"/>
  <c r="BS152" i="10"/>
  <c r="BM152" i="10"/>
  <c r="BW152" i="10"/>
  <c r="BX152" i="10"/>
  <c r="AU208" i="10"/>
  <c r="AS208" i="10"/>
  <c r="AV208" i="10"/>
  <c r="AQ208" i="10"/>
  <c r="AW208" i="10"/>
  <c r="P208" i="10"/>
  <c r="AX208" i="10"/>
  <c r="AZ208" i="10"/>
  <c r="CK208" i="10"/>
  <c r="AR208" i="10"/>
  <c r="AY208" i="10"/>
  <c r="AP208" i="10"/>
  <c r="CL208" i="10"/>
  <c r="BR87" i="10"/>
  <c r="BZ87" i="10" s="1"/>
  <c r="AC87" i="10"/>
  <c r="CM87" i="10"/>
  <c r="CN87" i="10"/>
  <c r="CM237" i="10"/>
  <c r="AC237" i="10"/>
  <c r="CN237" i="10"/>
  <c r="BR237" i="10"/>
  <c r="BZ237" i="10" s="1"/>
  <c r="BR96" i="10"/>
  <c r="BZ96" i="10" s="1"/>
  <c r="CM96" i="10"/>
  <c r="CN96" i="10"/>
  <c r="AC96" i="10"/>
  <c r="CN187" i="10"/>
  <c r="CM187" i="10"/>
  <c r="AC187" i="10"/>
  <c r="BR187" i="10"/>
  <c r="BZ187" i="10" s="1"/>
  <c r="CA187" i="10" s="1"/>
  <c r="CH187" i="10" s="1"/>
  <c r="AQ142" i="10"/>
  <c r="CK142" i="10"/>
  <c r="AY142" i="10"/>
  <c r="AR142" i="10"/>
  <c r="CL142" i="10"/>
  <c r="AW142" i="10"/>
  <c r="AS142" i="10"/>
  <c r="AV142" i="10"/>
  <c r="AU142" i="10"/>
  <c r="AX142" i="10"/>
  <c r="AZ142" i="10"/>
  <c r="P142" i="10"/>
  <c r="AP142" i="10"/>
  <c r="AC137" i="10"/>
  <c r="CN137" i="10"/>
  <c r="CM137" i="10"/>
  <c r="BR137" i="10"/>
  <c r="BZ137" i="10" s="1"/>
  <c r="CA137" i="10" s="1"/>
  <c r="CH137" i="10" s="1"/>
  <c r="P16" i="10"/>
  <c r="CL16" i="10"/>
  <c r="CK16" i="10"/>
  <c r="AQ16" i="10"/>
  <c r="AX16" i="10"/>
  <c r="AS16" i="10"/>
  <c r="AR16" i="10"/>
  <c r="AV16" i="10"/>
  <c r="AZ16" i="10"/>
  <c r="AW16" i="10"/>
  <c r="AY16" i="10"/>
  <c r="AU16" i="10"/>
  <c r="AP16" i="10"/>
  <c r="AZ285" i="10"/>
  <c r="CL285" i="10"/>
  <c r="AP285" i="10"/>
  <c r="AU285" i="10"/>
  <c r="AR285" i="10"/>
  <c r="AS285" i="10"/>
  <c r="AY285" i="10"/>
  <c r="AW285" i="10"/>
  <c r="AX285" i="10"/>
  <c r="AQ285" i="10"/>
  <c r="CK285" i="10"/>
  <c r="AV285" i="10"/>
  <c r="P285" i="10"/>
  <c r="CM349" i="10"/>
  <c r="AC349" i="10"/>
  <c r="CN349" i="10"/>
  <c r="BR349" i="10"/>
  <c r="BZ349" i="10" s="1"/>
  <c r="CA349" i="10" s="1"/>
  <c r="CH349" i="10" s="1"/>
  <c r="AZ70" i="10"/>
  <c r="P70" i="10"/>
  <c r="CL70" i="10"/>
  <c r="CK70" i="10"/>
  <c r="AV70" i="10"/>
  <c r="AY70" i="10"/>
  <c r="AW70" i="10"/>
  <c r="AQ70" i="10"/>
  <c r="AS70" i="10"/>
  <c r="AU70" i="10"/>
  <c r="AR70" i="10"/>
  <c r="AX70" i="10"/>
  <c r="AP70" i="10"/>
  <c r="CM337" i="10"/>
  <c r="AC337" i="10"/>
  <c r="CN337" i="10"/>
  <c r="BR337" i="10"/>
  <c r="BZ337" i="10" s="1"/>
  <c r="CA337" i="10" s="1"/>
  <c r="CH337" i="10" s="1"/>
  <c r="CN75" i="10"/>
  <c r="BR75" i="10"/>
  <c r="BZ75" i="10" s="1"/>
  <c r="CM75" i="10"/>
  <c r="AC75" i="10"/>
  <c r="CM118" i="10"/>
  <c r="AC118" i="10"/>
  <c r="BR118" i="10"/>
  <c r="BZ118" i="10" s="1"/>
  <c r="CA118" i="10" s="1"/>
  <c r="CH118" i="10" s="1"/>
  <c r="CN118" i="10"/>
  <c r="BR55" i="10"/>
  <c r="BZ55" i="10" s="1"/>
  <c r="AC55" i="10"/>
  <c r="CM55" i="10"/>
  <c r="CN55" i="10"/>
  <c r="CE43" i="10"/>
  <c r="AO43" i="10"/>
  <c r="BF35" i="10"/>
  <c r="BE35" i="10"/>
  <c r="BC35" i="10"/>
  <c r="BG35" i="10"/>
  <c r="CK100" i="10"/>
  <c r="P100" i="10"/>
  <c r="CL100" i="10"/>
  <c r="AU100" i="10"/>
  <c r="AR100" i="10"/>
  <c r="AW100" i="10"/>
  <c r="AY100" i="10"/>
  <c r="AV100" i="10"/>
  <c r="AQ100" i="10"/>
  <c r="AS100" i="10"/>
  <c r="AP100" i="10"/>
  <c r="AZ100" i="10"/>
  <c r="AX100" i="10"/>
  <c r="BC70" i="10"/>
  <c r="BG70" i="10"/>
  <c r="BE70" i="10"/>
  <c r="BF70" i="10"/>
  <c r="BR19" i="10"/>
  <c r="BZ19" i="10" s="1"/>
  <c r="CA19" i="10" s="1"/>
  <c r="CH19" i="10" s="1"/>
  <c r="CN19" i="10"/>
  <c r="CM19" i="10"/>
  <c r="AC19" i="10"/>
  <c r="AZ167" i="10"/>
  <c r="AW167" i="10"/>
  <c r="AR167" i="10"/>
  <c r="CL167" i="10"/>
  <c r="CK167" i="10"/>
  <c r="AY167" i="10"/>
  <c r="AS167" i="10"/>
  <c r="P167" i="10"/>
  <c r="AU167" i="10"/>
  <c r="AX167" i="10"/>
  <c r="AQ167" i="10"/>
  <c r="AV167" i="10"/>
  <c r="AP167" i="10"/>
  <c r="AC168" i="10"/>
  <c r="CN168" i="10"/>
  <c r="BR168" i="10"/>
  <c r="BZ168" i="10" s="1"/>
  <c r="CM168" i="10"/>
  <c r="CE102" i="10"/>
  <c r="AO102" i="10"/>
  <c r="AO199" i="10"/>
  <c r="CE199" i="10"/>
  <c r="BG340" i="10"/>
  <c r="BE340" i="10"/>
  <c r="BC340" i="10"/>
  <c r="BF340" i="10"/>
  <c r="CL212" i="10"/>
  <c r="AQ212" i="10"/>
  <c r="AP212" i="10"/>
  <c r="AY212" i="10"/>
  <c r="AX212" i="10"/>
  <c r="AW212" i="10"/>
  <c r="CK212" i="10"/>
  <c r="AS212" i="10"/>
  <c r="P212" i="10"/>
  <c r="AV212" i="10"/>
  <c r="AR212" i="10"/>
  <c r="AZ212" i="10"/>
  <c r="AU212" i="10"/>
  <c r="CD48" i="10"/>
  <c r="K48" i="10"/>
  <c r="BC88" i="10"/>
  <c r="BE88" i="10"/>
  <c r="BF88" i="10"/>
  <c r="BG88" i="10"/>
  <c r="CE46" i="10"/>
  <c r="AO46" i="10"/>
  <c r="CE214" i="10"/>
  <c r="AO214" i="10"/>
  <c r="AC310" i="10"/>
  <c r="CN310" i="10"/>
  <c r="BR310" i="10"/>
  <c r="BZ310" i="10" s="1"/>
  <c r="CA310" i="10" s="1"/>
  <c r="CH310" i="10" s="1"/>
  <c r="CM310" i="10"/>
  <c r="BH118" i="10"/>
  <c r="BC343" i="10"/>
  <c r="BE343" i="10"/>
  <c r="BG343" i="10"/>
  <c r="BF343" i="10"/>
  <c r="AS134" i="10"/>
  <c r="CL134" i="10"/>
  <c r="P134" i="10"/>
  <c r="CK134" i="10"/>
  <c r="AX134" i="10"/>
  <c r="AU134" i="10"/>
  <c r="AY134" i="10"/>
  <c r="AV134" i="10"/>
  <c r="AW134" i="10"/>
  <c r="AZ134" i="10"/>
  <c r="AR134" i="10"/>
  <c r="AP134" i="10"/>
  <c r="AQ134" i="10"/>
  <c r="BF14" i="10"/>
  <c r="BG14" i="10"/>
  <c r="BE14" i="10"/>
  <c r="BC14" i="10"/>
  <c r="CE128" i="10"/>
  <c r="AO128" i="10"/>
  <c r="CL8" i="10"/>
  <c r="P8" i="10"/>
  <c r="CK8" i="10"/>
  <c r="AP8" i="10"/>
  <c r="AQ8" i="10"/>
  <c r="AV8" i="10"/>
  <c r="AR8" i="10"/>
  <c r="AX8" i="10"/>
  <c r="AZ8" i="10"/>
  <c r="AS8" i="10"/>
  <c r="AY8" i="10"/>
  <c r="AW8" i="10"/>
  <c r="AU8" i="10"/>
  <c r="CE335" i="10"/>
  <c r="AO335" i="10"/>
  <c r="BF50" i="10"/>
  <c r="BE50" i="10"/>
  <c r="BG50" i="10"/>
  <c r="BC50" i="10"/>
  <c r="AP11" i="10"/>
  <c r="P11" i="10"/>
  <c r="CL11" i="10"/>
  <c r="CK11" i="10"/>
  <c r="AQ11" i="10"/>
  <c r="AS11" i="10"/>
  <c r="AZ11" i="10"/>
  <c r="AW11" i="10"/>
  <c r="AY11" i="10"/>
  <c r="AU11" i="10"/>
  <c r="AV11" i="10"/>
  <c r="AX11" i="10"/>
  <c r="AR11" i="10"/>
  <c r="AC22" i="10"/>
  <c r="BR22" i="10"/>
  <c r="BZ22" i="10" s="1"/>
  <c r="CM22" i="10"/>
  <c r="CN22" i="10"/>
  <c r="AC10" i="10"/>
  <c r="CN10" i="10"/>
  <c r="BR10" i="10"/>
  <c r="BZ10" i="10" s="1"/>
  <c r="CM10" i="10"/>
  <c r="CE73" i="10"/>
  <c r="AO73" i="10"/>
  <c r="CL219" i="10"/>
  <c r="AU219" i="10"/>
  <c r="AY219" i="10"/>
  <c r="AQ219" i="10"/>
  <c r="AS219" i="10"/>
  <c r="P219" i="10"/>
  <c r="AZ219" i="10"/>
  <c r="AP219" i="10"/>
  <c r="AX219" i="10"/>
  <c r="AR219" i="10"/>
  <c r="AW219" i="10"/>
  <c r="AV219" i="10"/>
  <c r="CK219" i="10"/>
  <c r="BQ219" i="10"/>
  <c r="AA125" i="10"/>
  <c r="AK20" i="25" s="1"/>
  <c r="AB125" i="10"/>
  <c r="CN176" i="10"/>
  <c r="AC176" i="10"/>
  <c r="CM176" i="10"/>
  <c r="BR176" i="10"/>
  <c r="BZ176" i="10" s="1"/>
  <c r="CA176" i="10" s="1"/>
  <c r="CH176" i="10" s="1"/>
  <c r="BQ12" i="10"/>
  <c r="AC240" i="10"/>
  <c r="CN240" i="10"/>
  <c r="BR240" i="10"/>
  <c r="BZ240" i="10" s="1"/>
  <c r="CA240" i="10" s="1"/>
  <c r="CH240" i="10" s="1"/>
  <c r="CM240" i="10"/>
  <c r="BQ135" i="10"/>
  <c r="BR46" i="10"/>
  <c r="BZ46" i="10" s="1"/>
  <c r="AC46" i="10"/>
  <c r="CN46" i="10"/>
  <c r="CM46" i="10"/>
  <c r="AW288" i="10"/>
  <c r="AP288" i="10"/>
  <c r="AS288" i="10"/>
  <c r="AQ288" i="10"/>
  <c r="AU288" i="10"/>
  <c r="CK288" i="10"/>
  <c r="AX288" i="10"/>
  <c r="CL288" i="10"/>
  <c r="AY288" i="10"/>
  <c r="AV288" i="10"/>
  <c r="AR288" i="10"/>
  <c r="AZ288" i="10"/>
  <c r="P288" i="10"/>
  <c r="AS105" i="10"/>
  <c r="P105" i="10"/>
  <c r="CL105" i="10"/>
  <c r="CK105" i="10"/>
  <c r="AV105" i="10"/>
  <c r="AX105" i="10"/>
  <c r="AR105" i="10"/>
  <c r="AP105" i="10"/>
  <c r="AW105" i="10"/>
  <c r="AZ105" i="10"/>
  <c r="AU105" i="10"/>
  <c r="AQ105" i="10"/>
  <c r="AY105" i="10"/>
  <c r="AS44" i="10"/>
  <c r="CK44" i="10"/>
  <c r="P44" i="10"/>
  <c r="CL44" i="10"/>
  <c r="AQ44" i="10"/>
  <c r="AV44" i="10"/>
  <c r="AX44" i="10"/>
  <c r="AR44" i="10"/>
  <c r="AZ44" i="10"/>
  <c r="AU44" i="10"/>
  <c r="AY44" i="10"/>
  <c r="AW44" i="10"/>
  <c r="AP44" i="10"/>
  <c r="CK335" i="10"/>
  <c r="P335" i="10"/>
  <c r="CL335" i="10"/>
  <c r="AQ335" i="10"/>
  <c r="AS335" i="10"/>
  <c r="AW335" i="10"/>
  <c r="AP335" i="10"/>
  <c r="AV335" i="10"/>
  <c r="AY335" i="10"/>
  <c r="AX335" i="10"/>
  <c r="AU335" i="10"/>
  <c r="AR335" i="10"/>
  <c r="AZ335" i="10"/>
  <c r="BG76" i="10"/>
  <c r="BC76" i="10"/>
  <c r="BF76" i="10"/>
  <c r="BE76" i="10"/>
  <c r="AC74" i="10"/>
  <c r="CN74" i="10"/>
  <c r="BR74" i="10"/>
  <c r="BZ74" i="10" s="1"/>
  <c r="CM74" i="10"/>
  <c r="BG101" i="10"/>
  <c r="BC101" i="10"/>
  <c r="BE101" i="10"/>
  <c r="BF101" i="10"/>
  <c r="P21" i="10"/>
  <c r="CL21" i="10"/>
  <c r="CK21" i="10"/>
  <c r="AW21" i="10"/>
  <c r="AV21" i="10"/>
  <c r="AZ21" i="10"/>
  <c r="AX21" i="10"/>
  <c r="AP21" i="10"/>
  <c r="AR21" i="10"/>
  <c r="AS21" i="10"/>
  <c r="AY21" i="10"/>
  <c r="AQ21" i="10"/>
  <c r="AU21" i="10"/>
  <c r="BQ72" i="10"/>
  <c r="CE10" i="10"/>
  <c r="AO10" i="10"/>
  <c r="BF6" i="10"/>
  <c r="BC6" i="10"/>
  <c r="BG6" i="10"/>
  <c r="BE6" i="10"/>
  <c r="CN196" i="10"/>
  <c r="AC196" i="10"/>
  <c r="CM196" i="10"/>
  <c r="BR196" i="10"/>
  <c r="BZ196" i="10" s="1"/>
  <c r="CA196" i="10" s="1"/>
  <c r="CH196" i="10" s="1"/>
  <c r="BC336" i="10"/>
  <c r="BE336" i="10"/>
  <c r="BF336" i="10"/>
  <c r="BG336" i="10"/>
  <c r="BQ229" i="10"/>
  <c r="BF23" i="10"/>
  <c r="BG23" i="10"/>
  <c r="BE23" i="10"/>
  <c r="BC23" i="10"/>
  <c r="BE121" i="10"/>
  <c r="BF121" i="10"/>
  <c r="BC121" i="10"/>
  <c r="BG121" i="10"/>
  <c r="AB149" i="10"/>
  <c r="AA149" i="10"/>
  <c r="BR341" i="10"/>
  <c r="BZ341" i="10" s="1"/>
  <c r="CA341" i="10" s="1"/>
  <c r="CH341" i="10" s="1"/>
  <c r="AC341" i="10"/>
  <c r="CN341" i="10"/>
  <c r="CM341" i="10"/>
  <c r="CN344" i="10"/>
  <c r="BR344" i="10"/>
  <c r="BZ344" i="10" s="1"/>
  <c r="CA344" i="10" s="1"/>
  <c r="CH344" i="10" s="1"/>
  <c r="AC344" i="10"/>
  <c r="CM344" i="10"/>
  <c r="BG33" i="10"/>
  <c r="BE33" i="10"/>
  <c r="BC33" i="10"/>
  <c r="BF33" i="10"/>
  <c r="CM327" i="10"/>
  <c r="CN327" i="10"/>
  <c r="BR327" i="10"/>
  <c r="BZ327" i="10" s="1"/>
  <c r="AC327" i="10"/>
  <c r="CL40" i="10"/>
  <c r="CK40" i="10"/>
  <c r="P40" i="10"/>
  <c r="AX40" i="10"/>
  <c r="AR40" i="10"/>
  <c r="AS40" i="10"/>
  <c r="AY40" i="10"/>
  <c r="AU40" i="10"/>
  <c r="AP40" i="10"/>
  <c r="AW40" i="10"/>
  <c r="AQ40" i="10"/>
  <c r="AV40" i="10"/>
  <c r="AZ40" i="10"/>
  <c r="BQ57" i="10"/>
  <c r="BR340" i="10"/>
  <c r="BZ340" i="10" s="1"/>
  <c r="CA340" i="10" s="1"/>
  <c r="CH340" i="10" s="1"/>
  <c r="AC340" i="10"/>
  <c r="CN340" i="10"/>
  <c r="CM340" i="10"/>
  <c r="CL184" i="10"/>
  <c r="AU184" i="10"/>
  <c r="AX184" i="10"/>
  <c r="AV184" i="10"/>
  <c r="AZ184" i="10"/>
  <c r="AP184" i="10"/>
  <c r="CK184" i="10"/>
  <c r="AY184" i="10"/>
  <c r="P184" i="10"/>
  <c r="AW184" i="10"/>
  <c r="AS184" i="10"/>
  <c r="AQ184" i="10"/>
  <c r="AR184" i="10"/>
  <c r="AV13" i="10"/>
  <c r="CK13" i="10"/>
  <c r="CL13" i="10"/>
  <c r="P13" i="10"/>
  <c r="AR13" i="10"/>
  <c r="AX13" i="10"/>
  <c r="AS13" i="10"/>
  <c r="AP13" i="10"/>
  <c r="AZ13" i="10"/>
  <c r="AY13" i="10"/>
  <c r="AQ13" i="10"/>
  <c r="AU13" i="10"/>
  <c r="AW13" i="10"/>
  <c r="CM217" i="10"/>
  <c r="AC217" i="10"/>
  <c r="CN217" i="10"/>
  <c r="BR217" i="10"/>
  <c r="BZ217" i="10" s="1"/>
  <c r="AS164" i="10"/>
  <c r="AY164" i="10"/>
  <c r="AV164" i="10"/>
  <c r="AU164" i="10"/>
  <c r="AW164" i="10"/>
  <c r="AP164" i="10"/>
  <c r="AZ164" i="10"/>
  <c r="AQ164" i="10"/>
  <c r="AR164" i="10"/>
  <c r="CL164" i="10"/>
  <c r="CK164" i="10"/>
  <c r="AX164" i="10"/>
  <c r="P164" i="10"/>
  <c r="AS35" i="10"/>
  <c r="CK35" i="10"/>
  <c r="CL35" i="10"/>
  <c r="P35" i="10"/>
  <c r="AP35" i="10"/>
  <c r="AX35" i="10"/>
  <c r="AR35" i="10"/>
  <c r="AQ35" i="10"/>
  <c r="AW35" i="10"/>
  <c r="AU35" i="10"/>
  <c r="AY35" i="10"/>
  <c r="AV35" i="10"/>
  <c r="AZ35" i="10"/>
  <c r="BR123" i="10"/>
  <c r="BZ123" i="10" s="1"/>
  <c r="CM123" i="10"/>
  <c r="AC123" i="10"/>
  <c r="CN123" i="10"/>
  <c r="BR82" i="10"/>
  <c r="BZ82" i="10" s="1"/>
  <c r="AC82" i="10"/>
  <c r="CN82" i="10"/>
  <c r="CM82" i="10"/>
  <c r="BR104" i="10"/>
  <c r="BZ104" i="10" s="1"/>
  <c r="CA104" i="10" s="1"/>
  <c r="CH104" i="10" s="1"/>
  <c r="CM104" i="10"/>
  <c r="CN104" i="10"/>
  <c r="AC104" i="10"/>
  <c r="CL36" i="10"/>
  <c r="P36" i="10"/>
  <c r="CK36" i="10"/>
  <c r="AR36" i="10"/>
  <c r="AW36" i="10"/>
  <c r="AU36" i="10"/>
  <c r="AZ36" i="10"/>
  <c r="AY36" i="10"/>
  <c r="AX36" i="10"/>
  <c r="AP36" i="10"/>
  <c r="AV36" i="10"/>
  <c r="AQ36" i="10"/>
  <c r="AS36" i="10"/>
  <c r="BR193" i="10"/>
  <c r="BZ193" i="10" s="1"/>
  <c r="CA193" i="10" s="1"/>
  <c r="CH193" i="10" s="1"/>
  <c r="CM193" i="10"/>
  <c r="AC193" i="10"/>
  <c r="CN193" i="10"/>
  <c r="P206" i="10"/>
  <c r="AW206" i="10"/>
  <c r="AU206" i="10"/>
  <c r="CK206" i="10"/>
  <c r="AZ206" i="10"/>
  <c r="CL206" i="10"/>
  <c r="AV206" i="10"/>
  <c r="AP206" i="10"/>
  <c r="AX206" i="10"/>
  <c r="AS206" i="10"/>
  <c r="AY206" i="10"/>
  <c r="AR206" i="10"/>
  <c r="AQ206" i="10"/>
  <c r="K73" i="10"/>
  <c r="BR98" i="10"/>
  <c r="BZ98" i="10" s="1"/>
  <c r="CN98" i="10"/>
  <c r="CM98" i="10"/>
  <c r="AC98" i="10"/>
  <c r="AZ289" i="10"/>
  <c r="CK289" i="10"/>
  <c r="AS289" i="10"/>
  <c r="AW289" i="10"/>
  <c r="AQ289" i="10"/>
  <c r="AX289" i="10"/>
  <c r="AY289" i="10"/>
  <c r="AU289" i="10"/>
  <c r="AV289" i="10"/>
  <c r="CL289" i="10"/>
  <c r="AP289" i="10"/>
  <c r="AR289" i="10"/>
  <c r="P289" i="10"/>
  <c r="BR28" i="10"/>
  <c r="BZ28" i="10" s="1"/>
  <c r="CN28" i="10"/>
  <c r="AC28" i="10"/>
  <c r="CM28" i="10"/>
  <c r="BR180" i="10"/>
  <c r="BZ180" i="10" s="1"/>
  <c r="CA180" i="10" s="1"/>
  <c r="CH180" i="10" s="1"/>
  <c r="CN180" i="10"/>
  <c r="CM180" i="10"/>
  <c r="AC180" i="10"/>
  <c r="BR192" i="10"/>
  <c r="BZ192" i="10" s="1"/>
  <c r="CA192" i="10" s="1"/>
  <c r="CH192" i="10" s="1"/>
  <c r="CN192" i="10"/>
  <c r="AC192" i="10"/>
  <c r="CM192" i="10"/>
  <c r="CM229" i="10"/>
  <c r="AC229" i="10"/>
  <c r="CN229" i="10"/>
  <c r="BR229" i="10"/>
  <c r="BZ229" i="10" s="1"/>
  <c r="AC334" i="10"/>
  <c r="CN334" i="10"/>
  <c r="CM334" i="10"/>
  <c r="BR334" i="10"/>
  <c r="BZ334" i="10" s="1"/>
  <c r="CN53" i="10"/>
  <c r="BR53" i="10"/>
  <c r="BZ53" i="10" s="1"/>
  <c r="CM53" i="10"/>
  <c r="AC53" i="10"/>
  <c r="BR42" i="10"/>
  <c r="BZ42" i="10" s="1"/>
  <c r="AC42" i="10"/>
  <c r="CM42" i="10"/>
  <c r="CN42" i="10"/>
  <c r="BR117" i="10"/>
  <c r="BZ117" i="10" s="1"/>
  <c r="CA117" i="10" s="1"/>
  <c r="CH117" i="10" s="1"/>
  <c r="CN117" i="10"/>
  <c r="AC117" i="10"/>
  <c r="CM117" i="10"/>
  <c r="AP84" i="10"/>
  <c r="CL84" i="10"/>
  <c r="P84" i="10"/>
  <c r="CK84" i="10"/>
  <c r="AX84" i="10"/>
  <c r="AV84" i="10"/>
  <c r="AY84" i="10"/>
  <c r="AR84" i="10"/>
  <c r="AS84" i="10"/>
  <c r="AZ84" i="10"/>
  <c r="AW84" i="10"/>
  <c r="AU84" i="10"/>
  <c r="AQ84" i="10"/>
  <c r="CL94" i="10"/>
  <c r="CK94" i="10"/>
  <c r="P94" i="10"/>
  <c r="AY94" i="10"/>
  <c r="AP94" i="10"/>
  <c r="AS94" i="10"/>
  <c r="AR94" i="10"/>
  <c r="AW94" i="10"/>
  <c r="AZ94" i="10"/>
  <c r="AQ94" i="10"/>
  <c r="AX94" i="10"/>
  <c r="AV94" i="10"/>
  <c r="AU94" i="10"/>
  <c r="CL42" i="10"/>
  <c r="P42" i="10"/>
  <c r="CK42" i="10"/>
  <c r="AP42" i="10"/>
  <c r="AV42" i="10"/>
  <c r="AQ42" i="10"/>
  <c r="AU42" i="10"/>
  <c r="AX42" i="10"/>
  <c r="AR42" i="10"/>
  <c r="AZ42" i="10"/>
  <c r="AY42" i="10"/>
  <c r="AS42" i="10"/>
  <c r="AW42" i="10"/>
  <c r="Q346" i="10"/>
  <c r="T346" i="10"/>
  <c r="R346" i="10"/>
  <c r="S346" i="10"/>
  <c r="CN138" i="10"/>
  <c r="BR138" i="10"/>
  <c r="BZ138" i="10" s="1"/>
  <c r="CA138" i="10" s="1"/>
  <c r="CH138" i="10" s="1"/>
  <c r="AC138" i="10"/>
  <c r="CM138" i="10"/>
  <c r="CN111" i="10"/>
  <c r="CM111" i="10"/>
  <c r="AC111" i="10"/>
  <c r="BR111" i="10"/>
  <c r="BZ111" i="10" s="1"/>
  <c r="CA111" i="10" s="1"/>
  <c r="CH111" i="10" s="1"/>
  <c r="CN164" i="10"/>
  <c r="AC164" i="10"/>
  <c r="CM164" i="10"/>
  <c r="BR164" i="10"/>
  <c r="BZ164" i="10" s="1"/>
  <c r="CN184" i="10"/>
  <c r="BR184" i="10"/>
  <c r="BZ184" i="10" s="1"/>
  <c r="CA184" i="10" s="1"/>
  <c r="CH184" i="10" s="1"/>
  <c r="AC184" i="10"/>
  <c r="CM184" i="10"/>
  <c r="CL286" i="10"/>
  <c r="AX286" i="10"/>
  <c r="AP286" i="10"/>
  <c r="AZ286" i="10"/>
  <c r="AV286" i="10"/>
  <c r="AS286" i="10"/>
  <c r="CK286" i="10"/>
  <c r="AQ286" i="10"/>
  <c r="AY286" i="10"/>
  <c r="AW286" i="10"/>
  <c r="AR286" i="10"/>
  <c r="P286" i="10"/>
  <c r="AU286" i="10"/>
  <c r="BR134" i="10"/>
  <c r="BZ134" i="10" s="1"/>
  <c r="CA134" i="10" s="1"/>
  <c r="CH134" i="10" s="1"/>
  <c r="CM134" i="10"/>
  <c r="CN134" i="10"/>
  <c r="AC134" i="10"/>
  <c r="CL215" i="10"/>
  <c r="AY215" i="10"/>
  <c r="AP215" i="10"/>
  <c r="AU215" i="10"/>
  <c r="AS215" i="10"/>
  <c r="AX215" i="10"/>
  <c r="CK215" i="10"/>
  <c r="P215" i="10"/>
  <c r="AW215" i="10"/>
  <c r="AR215" i="10"/>
  <c r="AV215" i="10"/>
  <c r="AQ215" i="10"/>
  <c r="AZ215" i="10"/>
  <c r="CN90" i="10"/>
  <c r="BR90" i="10"/>
  <c r="BZ90" i="10" s="1"/>
  <c r="CM90" i="10"/>
  <c r="AC90" i="10"/>
  <c r="AU111" i="10"/>
  <c r="P111" i="10"/>
  <c r="CL111" i="10"/>
  <c r="CK111" i="10"/>
  <c r="AP111" i="10"/>
  <c r="AS111" i="10"/>
  <c r="AR111" i="10"/>
  <c r="AX111" i="10"/>
  <c r="AY111" i="10"/>
  <c r="AZ111" i="10"/>
  <c r="AQ111" i="10"/>
  <c r="AW111" i="10"/>
  <c r="AV111" i="10"/>
  <c r="BR44" i="10"/>
  <c r="BZ44" i="10" s="1"/>
  <c r="CN44" i="10"/>
  <c r="AC44" i="10"/>
  <c r="CM44" i="10"/>
  <c r="CN56" i="10"/>
  <c r="AC56" i="10"/>
  <c r="BR56" i="10"/>
  <c r="BZ56" i="10" s="1"/>
  <c r="CM56" i="10"/>
  <c r="AS303" i="10"/>
  <c r="AU303" i="10"/>
  <c r="AX303" i="10"/>
  <c r="CK303" i="10"/>
  <c r="AY303" i="10"/>
  <c r="AW303" i="10"/>
  <c r="AV303" i="10"/>
  <c r="CL303" i="10"/>
  <c r="AR303" i="10"/>
  <c r="P303" i="10"/>
  <c r="AZ303" i="10"/>
  <c r="AP303" i="10"/>
  <c r="AQ303" i="10"/>
  <c r="P170" i="10"/>
  <c r="AX170" i="10"/>
  <c r="AZ170" i="10"/>
  <c r="AU170" i="10"/>
  <c r="CK170" i="10"/>
  <c r="AY170" i="10"/>
  <c r="AW170" i="10"/>
  <c r="AS170" i="10"/>
  <c r="AQ170" i="10"/>
  <c r="AR170" i="10"/>
  <c r="AV170" i="10"/>
  <c r="CL170" i="10"/>
  <c r="AP170" i="10"/>
  <c r="AC88" i="10"/>
  <c r="CN88" i="10"/>
  <c r="BR88" i="10"/>
  <c r="BZ88" i="10" s="1"/>
  <c r="CM88" i="10"/>
  <c r="AP106" i="10"/>
  <c r="CL106" i="10"/>
  <c r="P106" i="10"/>
  <c r="CK106" i="10"/>
  <c r="AW106" i="10"/>
  <c r="AR106" i="10"/>
  <c r="AU106" i="10"/>
  <c r="AZ106" i="10"/>
  <c r="AS106" i="10"/>
  <c r="AQ106" i="10"/>
  <c r="AV106" i="10"/>
  <c r="AX106" i="10"/>
  <c r="AY106" i="10"/>
  <c r="CE91" i="10"/>
  <c r="AO91" i="10"/>
  <c r="K56" i="10"/>
  <c r="CD56" i="10"/>
  <c r="CM7" i="10"/>
  <c r="AC7" i="10"/>
  <c r="BR7" i="10"/>
  <c r="BZ7" i="10" s="1"/>
  <c r="CN7" i="10"/>
  <c r="CE106" i="10"/>
  <c r="AO106" i="10"/>
  <c r="CM303" i="10"/>
  <c r="BR303" i="10"/>
  <c r="BZ303" i="10" s="1"/>
  <c r="CA303" i="10" s="1"/>
  <c r="CH303" i="10" s="1"/>
  <c r="CN303" i="10"/>
  <c r="AC303" i="10"/>
  <c r="AS141" i="10"/>
  <c r="CL141" i="10"/>
  <c r="P141" i="10"/>
  <c r="CK141" i="10"/>
  <c r="AZ141" i="10"/>
  <c r="AW141" i="10"/>
  <c r="AX141" i="10"/>
  <c r="AP141" i="10"/>
  <c r="AV141" i="10"/>
  <c r="AU141" i="10"/>
  <c r="AR141" i="10"/>
  <c r="AY141" i="10"/>
  <c r="AQ141" i="10"/>
  <c r="P138" i="10"/>
  <c r="CL138" i="10"/>
  <c r="CK138" i="10"/>
  <c r="AP138" i="10"/>
  <c r="AY138" i="10"/>
  <c r="AR138" i="10"/>
  <c r="AZ138" i="10"/>
  <c r="AU138" i="10"/>
  <c r="AQ138" i="10"/>
  <c r="AW138" i="10"/>
  <c r="AV138" i="10"/>
  <c r="AX138" i="10"/>
  <c r="AS138" i="10"/>
  <c r="CM64" i="10"/>
  <c r="BR64" i="10"/>
  <c r="BZ64" i="10" s="1"/>
  <c r="AC64" i="10"/>
  <c r="CN64" i="10"/>
  <c r="BC34" i="10"/>
  <c r="BG34" i="10"/>
  <c r="BF34" i="10"/>
  <c r="BE34" i="10"/>
  <c r="AP132" i="10"/>
  <c r="CK132" i="10"/>
  <c r="P132" i="10"/>
  <c r="CL132" i="10"/>
  <c r="AW132" i="10"/>
  <c r="AU132" i="10"/>
  <c r="AS132" i="10"/>
  <c r="AY132" i="10"/>
  <c r="AX132" i="10"/>
  <c r="AR132" i="10"/>
  <c r="AZ132" i="10"/>
  <c r="AQ132" i="10"/>
  <c r="AV132" i="10"/>
  <c r="CE9" i="10"/>
  <c r="AO9" i="10"/>
  <c r="BQ327" i="10"/>
  <c r="P330" i="10"/>
  <c r="CK330" i="10"/>
  <c r="CL330" i="10"/>
  <c r="AZ330" i="10"/>
  <c r="AS330" i="10"/>
  <c r="AP330" i="10"/>
  <c r="AW330" i="10"/>
  <c r="AX330" i="10"/>
  <c r="AR330" i="10"/>
  <c r="AV330" i="10"/>
  <c r="AQ330" i="10"/>
  <c r="AU330" i="10"/>
  <c r="AY330" i="10"/>
  <c r="AW172" i="10"/>
  <c r="AS172" i="10"/>
  <c r="AU172" i="10"/>
  <c r="AY172" i="10"/>
  <c r="P172" i="10"/>
  <c r="AX172" i="10"/>
  <c r="AV172" i="10"/>
  <c r="AQ172" i="10"/>
  <c r="AP172" i="10"/>
  <c r="AZ172" i="10"/>
  <c r="CL172" i="10"/>
  <c r="CK172" i="10"/>
  <c r="AR172" i="10"/>
  <c r="AP169" i="10"/>
  <c r="P169" i="10"/>
  <c r="AX169" i="10"/>
  <c r="AQ169" i="10"/>
  <c r="CL169" i="10"/>
  <c r="AU169" i="10"/>
  <c r="AY169" i="10"/>
  <c r="AW169" i="10"/>
  <c r="AV169" i="10"/>
  <c r="AR169" i="10"/>
  <c r="AS169" i="10"/>
  <c r="AZ169" i="10"/>
  <c r="CK169" i="10"/>
  <c r="AR186" i="10"/>
  <c r="AZ186" i="10"/>
  <c r="AW186" i="10"/>
  <c r="AP186" i="10"/>
  <c r="AS186" i="10"/>
  <c r="CL186" i="10"/>
  <c r="AY186" i="10"/>
  <c r="AX186" i="10"/>
  <c r="CK186" i="10"/>
  <c r="AU186" i="10"/>
  <c r="AQ186" i="10"/>
  <c r="AV186" i="10"/>
  <c r="P186" i="10"/>
  <c r="CM226" i="10"/>
  <c r="BR226" i="10"/>
  <c r="BZ226" i="10" s="1"/>
  <c r="AC226" i="10"/>
  <c r="CN226" i="10"/>
  <c r="BA32" i="10"/>
  <c r="AC32" i="10"/>
  <c r="CN32" i="10"/>
  <c r="CM32" i="10"/>
  <c r="BR32" i="10"/>
  <c r="BZ32" i="10" s="1"/>
  <c r="CA32" i="10" s="1"/>
  <c r="CH32" i="10" s="1"/>
  <c r="CM170" i="10"/>
  <c r="BR170" i="10"/>
  <c r="BZ170" i="10" s="1"/>
  <c r="CN170" i="10"/>
  <c r="AC170" i="10"/>
  <c r="CE343" i="10"/>
  <c r="AO343" i="10"/>
  <c r="CE77" i="10"/>
  <c r="AO77" i="10"/>
  <c r="CL260" i="10"/>
  <c r="AV260" i="10"/>
  <c r="AU260" i="10"/>
  <c r="AZ260" i="10"/>
  <c r="P260" i="10"/>
  <c r="AP260" i="10"/>
  <c r="AX260" i="10"/>
  <c r="CK260" i="10"/>
  <c r="AQ260" i="10"/>
  <c r="AY260" i="10"/>
  <c r="AR260" i="10"/>
  <c r="AS260" i="10"/>
  <c r="AW260" i="10"/>
  <c r="CK77" i="10"/>
  <c r="CL77" i="10"/>
  <c r="P77" i="10"/>
  <c r="AR77" i="10"/>
  <c r="AX77" i="10"/>
  <c r="AQ77" i="10"/>
  <c r="AP77" i="10"/>
  <c r="AU77" i="10"/>
  <c r="AW77" i="10"/>
  <c r="AV77" i="10"/>
  <c r="AZ77" i="10"/>
  <c r="AY77" i="10"/>
  <c r="AS77" i="10"/>
  <c r="BQ58" i="10"/>
  <c r="AC50" i="10"/>
  <c r="CN50" i="10"/>
  <c r="BR50" i="10"/>
  <c r="BZ50" i="10" s="1"/>
  <c r="CM50" i="10"/>
  <c r="BR24" i="10"/>
  <c r="BZ24" i="10" s="1"/>
  <c r="CA24" i="10" s="1"/>
  <c r="CH24" i="10" s="1"/>
  <c r="AC24" i="10"/>
  <c r="CM24" i="10"/>
  <c r="CN24" i="10"/>
  <c r="AZ68" i="10"/>
  <c r="CK68" i="10"/>
  <c r="CL68" i="10"/>
  <c r="P68" i="10"/>
  <c r="AU68" i="10"/>
  <c r="AQ68" i="10"/>
  <c r="AX68" i="10"/>
  <c r="AS68" i="10"/>
  <c r="AY68" i="10"/>
  <c r="AV68" i="10"/>
  <c r="AW68" i="10"/>
  <c r="AP68" i="10"/>
  <c r="AR68" i="10"/>
  <c r="CL348" i="10"/>
  <c r="CK348" i="10"/>
  <c r="P348" i="10"/>
  <c r="AZ348" i="10"/>
  <c r="AU348" i="10"/>
  <c r="AV348" i="10"/>
  <c r="AP348" i="10"/>
  <c r="AW348" i="10"/>
  <c r="AQ348" i="10"/>
  <c r="AY348" i="10"/>
  <c r="AR348" i="10"/>
  <c r="AS348" i="10"/>
  <c r="AX348" i="10"/>
  <c r="AY274" i="10"/>
  <c r="AX274" i="10"/>
  <c r="AW274" i="10"/>
  <c r="CK274" i="10"/>
  <c r="AR274" i="10"/>
  <c r="AQ274" i="10"/>
  <c r="AU274" i="10"/>
  <c r="CL274" i="10"/>
  <c r="AP274" i="10"/>
  <c r="P274" i="10"/>
  <c r="AV274" i="10"/>
  <c r="AZ274" i="10"/>
  <c r="AS274" i="10"/>
  <c r="CE330" i="10"/>
  <c r="AO330" i="10"/>
  <c r="AC330" i="10"/>
  <c r="CN330" i="10"/>
  <c r="BR330" i="10"/>
  <c r="BZ330" i="10" s="1"/>
  <c r="CM330" i="10"/>
  <c r="CN179" i="10"/>
  <c r="AC179" i="10"/>
  <c r="CM179" i="10"/>
  <c r="BR179" i="10"/>
  <c r="BZ179" i="10" s="1"/>
  <c r="CA179" i="10" s="1"/>
  <c r="CH179" i="10" s="1"/>
  <c r="BQ235" i="10"/>
  <c r="BF220" i="10"/>
  <c r="BE220" i="10"/>
  <c r="BG220" i="10"/>
  <c r="BC220" i="10"/>
  <c r="BQ89" i="10"/>
  <c r="BF224" i="10"/>
  <c r="BG224" i="10"/>
  <c r="BC224" i="10"/>
  <c r="BE224" i="10"/>
  <c r="CE23" i="10"/>
  <c r="AO23" i="10"/>
  <c r="AQ234" i="10"/>
  <c r="AX234" i="10"/>
  <c r="AS234" i="10"/>
  <c r="CL234" i="10"/>
  <c r="AV234" i="10"/>
  <c r="AW234" i="10"/>
  <c r="CK234" i="10"/>
  <c r="AZ234" i="10"/>
  <c r="AY234" i="10"/>
  <c r="AU234" i="10"/>
  <c r="AP234" i="10"/>
  <c r="P234" i="10"/>
  <c r="AR234" i="10"/>
  <c r="BE234" i="10"/>
  <c r="BF234" i="10"/>
  <c r="BC234" i="10"/>
  <c r="BG234" i="10"/>
  <c r="CE234" i="10"/>
  <c r="AO234" i="10"/>
  <c r="K199" i="10"/>
  <c r="CD199" i="10"/>
  <c r="BQ199" i="10"/>
  <c r="AU225" i="10"/>
  <c r="AQ225" i="10"/>
  <c r="AP225" i="10"/>
  <c r="AR225" i="10"/>
  <c r="CK225" i="10"/>
  <c r="AS225" i="10"/>
  <c r="P225" i="10"/>
  <c r="AX225" i="10"/>
  <c r="AY225" i="10"/>
  <c r="CL225" i="10"/>
  <c r="AZ225" i="10"/>
  <c r="AW225" i="10"/>
  <c r="AV225" i="10"/>
  <c r="CE81" i="10"/>
  <c r="AO81" i="10"/>
  <c r="CE95" i="10"/>
  <c r="AO95" i="10"/>
  <c r="BQ90" i="10"/>
  <c r="BF21" i="10"/>
  <c r="BG21" i="10"/>
  <c r="BC21" i="10"/>
  <c r="BE21" i="10"/>
  <c r="BQ239" i="10"/>
  <c r="CN173" i="10"/>
  <c r="BR173" i="10"/>
  <c r="BZ173" i="10" s="1"/>
  <c r="AC173" i="10"/>
  <c r="CM173" i="10"/>
  <c r="CE48" i="10"/>
  <c r="AO48" i="10"/>
  <c r="BQ48" i="10"/>
  <c r="CE173" i="10"/>
  <c r="AO173" i="10"/>
  <c r="BQ14" i="10"/>
  <c r="K97" i="10"/>
  <c r="CD97" i="10"/>
  <c r="BF238" i="10"/>
  <c r="BE238" i="10"/>
  <c r="BG238" i="10"/>
  <c r="BC238" i="10"/>
  <c r="AF150" i="10"/>
  <c r="AG150" i="10" s="1"/>
  <c r="AE150" i="10"/>
  <c r="CE218" i="10"/>
  <c r="AO218" i="10"/>
  <c r="BF87" i="10"/>
  <c r="BC87" i="10"/>
  <c r="BE87" i="10"/>
  <c r="BG87" i="10"/>
  <c r="CN116" i="10"/>
  <c r="BR116" i="10"/>
  <c r="BZ116" i="10" s="1"/>
  <c r="CA116" i="10" s="1"/>
  <c r="CH116" i="10" s="1"/>
  <c r="CM116" i="10"/>
  <c r="AC116" i="10"/>
  <c r="AX130" i="10"/>
  <c r="CK130" i="10"/>
  <c r="P130" i="10"/>
  <c r="CL130" i="10"/>
  <c r="AY130" i="10"/>
  <c r="AW130" i="10"/>
  <c r="AS130" i="10"/>
  <c r="AP130" i="10"/>
  <c r="AR130" i="10"/>
  <c r="AQ130" i="10"/>
  <c r="AV130" i="10"/>
  <c r="AU130" i="10"/>
  <c r="AZ130" i="10"/>
  <c r="BF98" i="10"/>
  <c r="BE98" i="10"/>
  <c r="BG98" i="10"/>
  <c r="BC98" i="10"/>
  <c r="BQ141" i="10"/>
  <c r="K85" i="10"/>
  <c r="BF12" i="10"/>
  <c r="BG12" i="10"/>
  <c r="BE12" i="10"/>
  <c r="BC12" i="10"/>
  <c r="CK82" i="10"/>
  <c r="CL82" i="10"/>
  <c r="P82" i="10"/>
  <c r="AQ82" i="10"/>
  <c r="AV82" i="10"/>
  <c r="AX82" i="10"/>
  <c r="AY82" i="10"/>
  <c r="AS82" i="10"/>
  <c r="AP82" i="10"/>
  <c r="AR82" i="10"/>
  <c r="AZ82" i="10"/>
  <c r="AU82" i="10"/>
  <c r="AW82" i="10"/>
  <c r="K22" i="10"/>
  <c r="CD22" i="10"/>
  <c r="AC167" i="10"/>
  <c r="CM167" i="10"/>
  <c r="BR167" i="10"/>
  <c r="BZ167" i="10" s="1"/>
  <c r="CA167" i="10" s="1"/>
  <c r="CH167" i="10" s="1"/>
  <c r="CN167" i="10"/>
  <c r="CL328" i="10"/>
  <c r="CK328" i="10"/>
  <c r="P328" i="10"/>
  <c r="AQ328" i="10"/>
  <c r="AS328" i="10"/>
  <c r="AU328" i="10"/>
  <c r="AR328" i="10"/>
  <c r="AW328" i="10"/>
  <c r="AV328" i="10"/>
  <c r="AZ328" i="10"/>
  <c r="AY328" i="10"/>
  <c r="AX328" i="10"/>
  <c r="AP328" i="10"/>
  <c r="CN239" i="10"/>
  <c r="AC239" i="10"/>
  <c r="BR239" i="10"/>
  <c r="BZ239" i="10" s="1"/>
  <c r="CM239" i="10"/>
  <c r="BQ336" i="10"/>
  <c r="CM211" i="10"/>
  <c r="CN211" i="10"/>
  <c r="AC211" i="10"/>
  <c r="BR211" i="10"/>
  <c r="BZ211" i="10" s="1"/>
  <c r="CA211" i="10" s="1"/>
  <c r="CH211" i="10" s="1"/>
  <c r="CD42" i="10"/>
  <c r="K42" i="10"/>
  <c r="BR14" i="10"/>
  <c r="BZ14" i="10" s="1"/>
  <c r="AC14" i="10"/>
  <c r="CN14" i="10"/>
  <c r="CM14" i="10"/>
  <c r="CM11" i="10"/>
  <c r="BR11" i="10"/>
  <c r="BZ11" i="10" s="1"/>
  <c r="CA11" i="10" s="1"/>
  <c r="CH11" i="10" s="1"/>
  <c r="AC11" i="10"/>
  <c r="CN11" i="10"/>
  <c r="BR163" i="10"/>
  <c r="BZ163" i="10" s="1"/>
  <c r="CA163" i="10" s="1"/>
  <c r="CH163" i="10" s="1"/>
  <c r="AC163" i="10"/>
  <c r="CM163" i="10"/>
  <c r="CN163" i="10"/>
  <c r="CK301" i="10"/>
  <c r="AY301" i="10"/>
  <c r="AU301" i="10"/>
  <c r="AV301" i="10"/>
  <c r="P301" i="10"/>
  <c r="AS301" i="10"/>
  <c r="AP301" i="10"/>
  <c r="CL301" i="10"/>
  <c r="AR301" i="10"/>
  <c r="AX301" i="10"/>
  <c r="AW301" i="10"/>
  <c r="AZ301" i="10"/>
  <c r="AQ301" i="10"/>
  <c r="CK124" i="10"/>
  <c r="CL124" i="10"/>
  <c r="P124" i="10"/>
  <c r="AV124" i="10"/>
  <c r="AY124" i="10"/>
  <c r="AW124" i="10"/>
  <c r="AU124" i="10"/>
  <c r="AQ124" i="10"/>
  <c r="AX124" i="10"/>
  <c r="AP124" i="10"/>
  <c r="AR124" i="10"/>
  <c r="AS124" i="10"/>
  <c r="AZ124" i="10"/>
  <c r="BQ44" i="10"/>
  <c r="AQ308" i="10"/>
  <c r="CK308" i="10"/>
  <c r="AR308" i="10"/>
  <c r="AP308" i="10"/>
  <c r="AX308" i="10"/>
  <c r="CL308" i="10"/>
  <c r="P308" i="10"/>
  <c r="AY308" i="10"/>
  <c r="AV308" i="10"/>
  <c r="AS308" i="10"/>
  <c r="AZ308" i="10"/>
  <c r="AU308" i="10"/>
  <c r="AW308" i="10"/>
  <c r="CN52" i="10"/>
  <c r="AC52" i="10"/>
  <c r="BR52" i="10"/>
  <c r="BZ52" i="10" s="1"/>
  <c r="CM52" i="10"/>
  <c r="BQ52" i="10"/>
  <c r="AW193" i="10"/>
  <c r="AQ193" i="10"/>
  <c r="AX193" i="10"/>
  <c r="AZ193" i="10"/>
  <c r="AV193" i="10"/>
  <c r="AU193" i="10"/>
  <c r="P193" i="10"/>
  <c r="CK193" i="10"/>
  <c r="AS193" i="10"/>
  <c r="AP193" i="10"/>
  <c r="CL193" i="10"/>
  <c r="AY193" i="10"/>
  <c r="AR193" i="10"/>
  <c r="BR29" i="10"/>
  <c r="BZ29" i="10" s="1"/>
  <c r="CA29" i="10" s="1"/>
  <c r="CH29" i="10" s="1"/>
  <c r="CM29" i="10"/>
  <c r="CN29" i="10"/>
  <c r="AC29" i="10"/>
  <c r="CE55" i="10"/>
  <c r="AO55" i="10"/>
  <c r="CE327" i="10"/>
  <c r="AO327" i="10"/>
  <c r="AY275" i="10"/>
  <c r="AZ275" i="10"/>
  <c r="AU275" i="10"/>
  <c r="P275" i="10"/>
  <c r="AP275" i="10"/>
  <c r="AS275" i="10"/>
  <c r="AX275" i="10"/>
  <c r="AR275" i="10"/>
  <c r="CK275" i="10"/>
  <c r="AW275" i="10"/>
  <c r="AQ275" i="10"/>
  <c r="AV275" i="10"/>
  <c r="CL275" i="10"/>
  <c r="P332" i="10"/>
  <c r="CL332" i="10"/>
  <c r="CK332" i="10"/>
  <c r="AR332" i="10"/>
  <c r="AY332" i="10"/>
  <c r="AU332" i="10"/>
  <c r="AQ332" i="10"/>
  <c r="AW332" i="10"/>
  <c r="AV332" i="10"/>
  <c r="AP332" i="10"/>
  <c r="AZ332" i="10"/>
  <c r="AX332" i="10"/>
  <c r="AS332" i="10"/>
  <c r="BR236" i="10"/>
  <c r="BZ236" i="10" s="1"/>
  <c r="CA236" i="10" s="1"/>
  <c r="CH236" i="10" s="1"/>
  <c r="AC236" i="10"/>
  <c r="CM236" i="10"/>
  <c r="CN236" i="10"/>
  <c r="CK117" i="10"/>
  <c r="CL117" i="10"/>
  <c r="P117" i="10"/>
  <c r="AU117" i="10"/>
  <c r="AY117" i="10"/>
  <c r="AW117" i="10"/>
  <c r="AQ117" i="10"/>
  <c r="AZ117" i="10"/>
  <c r="AR117" i="10"/>
  <c r="AP117" i="10"/>
  <c r="AS117" i="10"/>
  <c r="AV117" i="10"/>
  <c r="AX117" i="10"/>
  <c r="P56" i="10"/>
  <c r="CL56" i="10"/>
  <c r="CK56" i="10"/>
  <c r="AV56" i="10"/>
  <c r="AX56" i="10"/>
  <c r="AW56" i="10"/>
  <c r="AP56" i="10"/>
  <c r="AR56" i="10"/>
  <c r="AY56" i="10"/>
  <c r="AQ56" i="10"/>
  <c r="AZ56" i="10"/>
  <c r="AU56" i="10"/>
  <c r="AS56" i="10"/>
  <c r="BQ25" i="10"/>
  <c r="BF331" i="10"/>
  <c r="BE331" i="10"/>
  <c r="BG331" i="10"/>
  <c r="BC331" i="10"/>
  <c r="BR208" i="10"/>
  <c r="BZ208" i="10" s="1"/>
  <c r="CA208" i="10" s="1"/>
  <c r="CH208" i="10" s="1"/>
  <c r="AC208" i="10"/>
  <c r="CM208" i="10"/>
  <c r="CN208" i="10"/>
  <c r="BE335" i="10"/>
  <c r="BG335" i="10"/>
  <c r="BC335" i="10"/>
  <c r="BF335" i="10"/>
  <c r="BQ126" i="10"/>
  <c r="BQ124" i="10"/>
  <c r="CE132" i="10"/>
  <c r="AO132" i="10"/>
  <c r="CL38" i="10"/>
  <c r="P38" i="10"/>
  <c r="CK38" i="10"/>
  <c r="AU38" i="10"/>
  <c r="AY38" i="10"/>
  <c r="AS38" i="10"/>
  <c r="AV38" i="10"/>
  <c r="AZ38" i="10"/>
  <c r="AX38" i="10"/>
  <c r="AW38" i="10"/>
  <c r="AR38" i="10"/>
  <c r="AP38" i="10"/>
  <c r="AQ38" i="10"/>
  <c r="AS64" i="10"/>
  <c r="CK64" i="10"/>
  <c r="CL64" i="10"/>
  <c r="P64" i="10"/>
  <c r="AQ64" i="10"/>
  <c r="AP64" i="10"/>
  <c r="AW64" i="10"/>
  <c r="AU64" i="10"/>
  <c r="AR64" i="10"/>
  <c r="AV64" i="10"/>
  <c r="AY64" i="10"/>
  <c r="AX64" i="10"/>
  <c r="AZ64" i="10"/>
  <c r="BQ22" i="10"/>
  <c r="CL312" i="10"/>
  <c r="AX312" i="10"/>
  <c r="AY312" i="10"/>
  <c r="AP312" i="10"/>
  <c r="P312" i="10"/>
  <c r="AW312" i="10"/>
  <c r="CK312" i="10"/>
  <c r="AQ312" i="10"/>
  <c r="AR312" i="10"/>
  <c r="AV312" i="10"/>
  <c r="AS312" i="10"/>
  <c r="AZ312" i="10"/>
  <c r="AU312" i="10"/>
  <c r="CL53" i="10"/>
  <c r="P53" i="10"/>
  <c r="CK53" i="10"/>
  <c r="AQ53" i="10"/>
  <c r="AY53" i="10"/>
  <c r="AR53" i="10"/>
  <c r="AP53" i="10"/>
  <c r="AV53" i="10"/>
  <c r="AZ53" i="10"/>
  <c r="AU53" i="10"/>
  <c r="AW53" i="10"/>
  <c r="AS53" i="10"/>
  <c r="AX53" i="10"/>
  <c r="BR20" i="10"/>
  <c r="BZ20" i="10" s="1"/>
  <c r="CA20" i="10" s="1"/>
  <c r="CH20" i="10" s="1"/>
  <c r="CM20" i="10"/>
  <c r="AC20" i="10"/>
  <c r="CN20" i="10"/>
  <c r="BE72" i="10"/>
  <c r="BF72" i="10"/>
  <c r="BG72" i="10"/>
  <c r="BC72" i="10"/>
  <c r="BE73" i="10"/>
  <c r="BG73" i="10"/>
  <c r="BF73" i="10"/>
  <c r="BC73" i="10"/>
  <c r="CE219" i="10"/>
  <c r="AO219" i="10"/>
  <c r="K170" i="10"/>
  <c r="CD170" i="10"/>
  <c r="BG170" i="10"/>
  <c r="BF170" i="10"/>
  <c r="BC170" i="10"/>
  <c r="BE170" i="10"/>
  <c r="BE67" i="10"/>
  <c r="BG67" i="10"/>
  <c r="BC67" i="10"/>
  <c r="BF67" i="10"/>
  <c r="BQ153" i="10"/>
  <c r="CD153" i="10"/>
  <c r="K153" i="10"/>
  <c r="BQ56" i="10"/>
  <c r="AI152" i="10"/>
  <c r="AJ152" i="10"/>
  <c r="AK152" i="10" s="1"/>
  <c r="CE80" i="10"/>
  <c r="AO80" i="10"/>
  <c r="BE49" i="10"/>
  <c r="BC49" i="10"/>
  <c r="BG49" i="10"/>
  <c r="BF49" i="10"/>
  <c r="CD328" i="10"/>
  <c r="K328" i="10"/>
  <c r="BG17" i="10"/>
  <c r="BC17" i="10"/>
  <c r="BE17" i="10"/>
  <c r="BF17" i="10"/>
  <c r="CE162" i="10"/>
  <c r="AO162" i="10"/>
  <c r="BR86" i="10"/>
  <c r="BZ86" i="10" s="1"/>
  <c r="CN86" i="10"/>
  <c r="AC86" i="10"/>
  <c r="CM86" i="10"/>
  <c r="CN155" i="10"/>
  <c r="BR155" i="10"/>
  <c r="BZ155" i="10" s="1"/>
  <c r="AC155" i="10"/>
  <c r="CM155" i="10"/>
  <c r="BR312" i="10"/>
  <c r="BZ312" i="10" s="1"/>
  <c r="CA312" i="10" s="1"/>
  <c r="CH312" i="10" s="1"/>
  <c r="AC312" i="10"/>
  <c r="CN312" i="10"/>
  <c r="CM312" i="10"/>
  <c r="BR308" i="10"/>
  <c r="BZ308" i="10" s="1"/>
  <c r="CA308" i="10" s="1"/>
  <c r="CH308" i="10" s="1"/>
  <c r="AC308" i="10"/>
  <c r="CM308" i="10"/>
  <c r="CN308" i="10"/>
  <c r="CM78" i="10"/>
  <c r="BR78" i="10"/>
  <c r="BZ78" i="10" s="1"/>
  <c r="AC78" i="10"/>
  <c r="CN78" i="10"/>
  <c r="K221" i="10"/>
  <c r="CD221" i="10"/>
  <c r="CD91" i="10"/>
  <c r="K91" i="10"/>
  <c r="CE342" i="10"/>
  <c r="AO342" i="10"/>
  <c r="BQ342" i="10"/>
  <c r="BQ174" i="10"/>
  <c r="AO174" i="10"/>
  <c r="CE174" i="10"/>
  <c r="CD155" i="10"/>
  <c r="K155" i="10"/>
  <c r="BF97" i="10"/>
  <c r="BG97" i="10"/>
  <c r="BE97" i="10"/>
  <c r="BC97" i="10"/>
  <c r="P66" i="10"/>
  <c r="CK66" i="10"/>
  <c r="CL66" i="10"/>
  <c r="AZ66" i="10"/>
  <c r="AP66" i="10"/>
  <c r="AY66" i="10"/>
  <c r="AS66" i="10"/>
  <c r="AU66" i="10"/>
  <c r="AW66" i="10"/>
  <c r="AQ66" i="10"/>
  <c r="AR66" i="10"/>
  <c r="AV66" i="10"/>
  <c r="AX66" i="10"/>
  <c r="AZ80" i="10"/>
  <c r="CK80" i="10"/>
  <c r="CL80" i="10"/>
  <c r="P80" i="10"/>
  <c r="AX80" i="10"/>
  <c r="AR80" i="10"/>
  <c r="AW80" i="10"/>
  <c r="AU80" i="10"/>
  <c r="AS80" i="10"/>
  <c r="AV80" i="10"/>
  <c r="AY80" i="10"/>
  <c r="AP80" i="10"/>
  <c r="AQ80" i="10"/>
  <c r="AQ120" i="10"/>
  <c r="CL120" i="10"/>
  <c r="P120" i="10"/>
  <c r="CK120" i="10"/>
  <c r="AV120" i="10"/>
  <c r="AZ120" i="10"/>
  <c r="AY120" i="10"/>
  <c r="AU120" i="10"/>
  <c r="AS120" i="10"/>
  <c r="AX120" i="10"/>
  <c r="AR120" i="10"/>
  <c r="AW120" i="10"/>
  <c r="AP120" i="10"/>
  <c r="CM131" i="10"/>
  <c r="AC131" i="10"/>
  <c r="BR131" i="10"/>
  <c r="BZ131" i="10" s="1"/>
  <c r="CN131" i="10"/>
  <c r="AU50" i="10"/>
  <c r="P50" i="10"/>
  <c r="CK50" i="10"/>
  <c r="CL50" i="10"/>
  <c r="AP50" i="10"/>
  <c r="AX50" i="10"/>
  <c r="AQ50" i="10"/>
  <c r="AY50" i="10"/>
  <c r="AW50" i="10"/>
  <c r="AZ50" i="10"/>
  <c r="AR50" i="10"/>
  <c r="AS50" i="10"/>
  <c r="AV50" i="10"/>
  <c r="AS337" i="10"/>
  <c r="CK337" i="10"/>
  <c r="CL337" i="10"/>
  <c r="P337" i="10"/>
  <c r="AY337" i="10"/>
  <c r="AZ337" i="10"/>
  <c r="AR337" i="10"/>
  <c r="AW337" i="10"/>
  <c r="AX337" i="10"/>
  <c r="AV337" i="10"/>
  <c r="AU337" i="10"/>
  <c r="AP337" i="10"/>
  <c r="AQ337" i="10"/>
  <c r="BQ61" i="10"/>
  <c r="CE61" i="10"/>
  <c r="AO61" i="10"/>
  <c r="AC280" i="10"/>
  <c r="CM280" i="10"/>
  <c r="CN280" i="10"/>
  <c r="BR280" i="10"/>
  <c r="BZ280" i="10" s="1"/>
  <c r="CA280" i="10" s="1"/>
  <c r="CH280" i="10" s="1"/>
  <c r="CN9" i="10"/>
  <c r="CM9" i="10"/>
  <c r="BR9" i="10"/>
  <c r="BZ9" i="10" s="1"/>
  <c r="AC9" i="10"/>
  <c r="AC12" i="10"/>
  <c r="BR12" i="10"/>
  <c r="BZ12" i="10" s="1"/>
  <c r="CM12" i="10"/>
  <c r="CN12" i="10"/>
  <c r="CL344" i="10"/>
  <c r="P344" i="10"/>
  <c r="CK344" i="10"/>
  <c r="AS344" i="10"/>
  <c r="AV344" i="10"/>
  <c r="AU344" i="10"/>
  <c r="AX344" i="10"/>
  <c r="AP344" i="10"/>
  <c r="AQ344" i="10"/>
  <c r="AR344" i="10"/>
  <c r="AW344" i="10"/>
  <c r="AY344" i="10"/>
  <c r="AZ344" i="10"/>
  <c r="P194" i="10"/>
  <c r="AW194" i="10"/>
  <c r="AV194" i="10"/>
  <c r="CK194" i="10"/>
  <c r="AU194" i="10"/>
  <c r="AY194" i="10"/>
  <c r="AR194" i="10"/>
  <c r="CL194" i="10"/>
  <c r="AS194" i="10"/>
  <c r="AP194" i="10"/>
  <c r="AX194" i="10"/>
  <c r="AZ194" i="10"/>
  <c r="AQ194" i="10"/>
  <c r="BQ347" i="10"/>
  <c r="CM66" i="10"/>
  <c r="CN66" i="10"/>
  <c r="AC66" i="10"/>
  <c r="BR66" i="10"/>
  <c r="BZ66" i="10" s="1"/>
  <c r="BR39" i="10"/>
  <c r="BZ39" i="10" s="1"/>
  <c r="CA39" i="10" s="1"/>
  <c r="CH39" i="10" s="1"/>
  <c r="AC39" i="10"/>
  <c r="CM39" i="10"/>
  <c r="CN39" i="10"/>
  <c r="CN331" i="10"/>
  <c r="AC331" i="10"/>
  <c r="BR331" i="10"/>
  <c r="BZ331" i="10" s="1"/>
  <c r="CA331" i="10" s="1"/>
  <c r="CH331" i="10" s="1"/>
  <c r="CM331" i="10"/>
  <c r="AR33" i="10"/>
  <c r="P33" i="10"/>
  <c r="CK33" i="10"/>
  <c r="CL33" i="10"/>
  <c r="AW33" i="10"/>
  <c r="AQ33" i="10"/>
  <c r="AX33" i="10"/>
  <c r="AS33" i="10"/>
  <c r="AU33" i="10"/>
  <c r="AZ33" i="10"/>
  <c r="AV33" i="10"/>
  <c r="AP33" i="10"/>
  <c r="AY33" i="10"/>
  <c r="BQ130" i="10"/>
  <c r="BR140" i="10"/>
  <c r="BZ140" i="10" s="1"/>
  <c r="CM140" i="10"/>
  <c r="AC140" i="10"/>
  <c r="CN140" i="10"/>
  <c r="BF19" i="10"/>
  <c r="BE19" i="10"/>
  <c r="BG19" i="10"/>
  <c r="BC19" i="10"/>
  <c r="CM72" i="10"/>
  <c r="BR72" i="10"/>
  <c r="BZ72" i="10" s="1"/>
  <c r="CN72" i="10"/>
  <c r="AC72" i="10"/>
  <c r="AS65" i="10"/>
  <c r="CK65" i="10"/>
  <c r="CL65" i="10"/>
  <c r="P65" i="10"/>
  <c r="AQ65" i="10"/>
  <c r="AR65" i="10"/>
  <c r="AY65" i="10"/>
  <c r="AZ65" i="10"/>
  <c r="AW65" i="10"/>
  <c r="AP65" i="10"/>
  <c r="AX65" i="10"/>
  <c r="AU65" i="10"/>
  <c r="AV65" i="10"/>
  <c r="BE10" i="10"/>
  <c r="BG10" i="10"/>
  <c r="BF10" i="10"/>
  <c r="BC10" i="10"/>
  <c r="P349" i="10"/>
  <c r="CL349" i="10"/>
  <c r="CK349" i="10"/>
  <c r="AP349" i="10"/>
  <c r="AX349" i="10"/>
  <c r="AQ349" i="10"/>
  <c r="AY349" i="10"/>
  <c r="AR349" i="10"/>
  <c r="AU349" i="10"/>
  <c r="AW349" i="10"/>
  <c r="AZ349" i="10"/>
  <c r="AS349" i="10"/>
  <c r="AV349" i="10"/>
  <c r="BG330" i="10"/>
  <c r="BF330" i="10"/>
  <c r="BC330" i="10"/>
  <c r="BE330" i="10"/>
  <c r="BR177" i="10"/>
  <c r="BZ177" i="10" s="1"/>
  <c r="CA177" i="10" s="1"/>
  <c r="CH177" i="10" s="1"/>
  <c r="CM177" i="10"/>
  <c r="AC177" i="10"/>
  <c r="CN177" i="10"/>
  <c r="AP314" i="10"/>
  <c r="P314" i="10"/>
  <c r="CK314" i="10"/>
  <c r="AQ314" i="10"/>
  <c r="CL314" i="10"/>
  <c r="AW314" i="10"/>
  <c r="AR314" i="10"/>
  <c r="AV314" i="10"/>
  <c r="AS314" i="10"/>
  <c r="AZ314" i="10"/>
  <c r="AX314" i="10"/>
  <c r="AU314" i="10"/>
  <c r="AY314" i="10"/>
  <c r="BR153" i="10"/>
  <c r="BZ153" i="10" s="1"/>
  <c r="CN153" i="10"/>
  <c r="AC153" i="10"/>
  <c r="CM153" i="10"/>
  <c r="AR201" i="10"/>
  <c r="AY201" i="10"/>
  <c r="AS201" i="10"/>
  <c r="AV201" i="10"/>
  <c r="AW201" i="10"/>
  <c r="P201" i="10"/>
  <c r="AX201" i="10"/>
  <c r="CK201" i="10"/>
  <c r="AZ201" i="10"/>
  <c r="AQ201" i="10"/>
  <c r="AP201" i="10"/>
  <c r="AU201" i="10"/>
  <c r="CL201" i="10"/>
  <c r="BQ201" i="10"/>
  <c r="AO229" i="10"/>
  <c r="CE229" i="10"/>
  <c r="CD7" i="10"/>
  <c r="K7" i="10"/>
  <c r="AB232" i="10"/>
  <c r="AA232" i="10"/>
  <c r="AB231" i="10"/>
  <c r="AA231" i="10"/>
  <c r="AI148" i="10"/>
  <c r="AJ148" i="10"/>
  <c r="AK148" i="10" s="1"/>
  <c r="BF228" i="10"/>
  <c r="BE228" i="10"/>
  <c r="BG228" i="10"/>
  <c r="BC228" i="10"/>
  <c r="BQ8" i="10"/>
  <c r="BE79" i="10"/>
  <c r="BC79" i="10"/>
  <c r="BF79" i="10"/>
  <c r="BG79" i="10"/>
  <c r="K233" i="10"/>
  <c r="CD233" i="10"/>
  <c r="AJ149" i="10"/>
  <c r="AK149" i="10" s="1"/>
  <c r="AI149" i="10"/>
  <c r="CE200" i="10"/>
  <c r="AO200" i="10"/>
  <c r="BG200" i="10"/>
  <c r="BE200" i="10"/>
  <c r="BC200" i="10"/>
  <c r="BF200" i="10"/>
  <c r="K200" i="10"/>
  <c r="CD200" i="10"/>
  <c r="CE44" i="10"/>
  <c r="AO44" i="10"/>
  <c r="BG341" i="10"/>
  <c r="BE341" i="10"/>
  <c r="BC341" i="10"/>
  <c r="BF341" i="10"/>
  <c r="AF151" i="10"/>
  <c r="AG151" i="10" s="1"/>
  <c r="AE151" i="10"/>
  <c r="BF222" i="10"/>
  <c r="BE222" i="10"/>
  <c r="BC222" i="10"/>
  <c r="BG222" i="10"/>
  <c r="K222" i="10"/>
  <c r="CD222" i="10"/>
  <c r="CE222" i="10"/>
  <c r="AO222" i="10"/>
  <c r="BG342" i="10"/>
  <c r="BC342" i="10"/>
  <c r="BE342" i="10"/>
  <c r="BF342" i="10"/>
  <c r="BE141" i="10"/>
  <c r="BC141" i="10"/>
  <c r="BF141" i="10"/>
  <c r="BG141" i="10"/>
  <c r="CM294" i="10"/>
  <c r="BR294" i="10"/>
  <c r="BZ294" i="10" s="1"/>
  <c r="CA294" i="10" s="1"/>
  <c r="CH294" i="10" s="1"/>
  <c r="CN294" i="10"/>
  <c r="AC294" i="10"/>
  <c r="BC60" i="10"/>
  <c r="BF60" i="10"/>
  <c r="BG60" i="10"/>
  <c r="BE60" i="10"/>
  <c r="AQ326" i="10"/>
  <c r="P326" i="10"/>
  <c r="CK326" i="10"/>
  <c r="CL326" i="10"/>
  <c r="AS326" i="10"/>
  <c r="AV326" i="10"/>
  <c r="AU326" i="10"/>
  <c r="AW326" i="10"/>
  <c r="AX326" i="10"/>
  <c r="AR326" i="10"/>
  <c r="AZ326" i="10"/>
  <c r="AP326" i="10"/>
  <c r="AY326" i="10"/>
  <c r="AC309" i="10"/>
  <c r="CN309" i="10"/>
  <c r="BR309" i="10"/>
  <c r="BZ309" i="10" s="1"/>
  <c r="CA309" i="10" s="1"/>
  <c r="CH309" i="10" s="1"/>
  <c r="CM309" i="10"/>
  <c r="BR320" i="10"/>
  <c r="BZ320" i="10" s="1"/>
  <c r="CA320" i="10" s="1"/>
  <c r="CH320" i="10" s="1"/>
  <c r="AC320" i="10"/>
  <c r="CN320" i="10"/>
  <c r="CM320" i="10"/>
  <c r="BE78" i="10"/>
  <c r="BG78" i="10"/>
  <c r="BF78" i="10"/>
  <c r="BC78" i="10"/>
  <c r="BQ330" i="10"/>
  <c r="AJ147" i="10"/>
  <c r="AK147" i="10" s="1"/>
  <c r="AI147" i="10"/>
  <c r="CD74" i="10"/>
  <c r="K74" i="10"/>
  <c r="K12" i="10"/>
  <c r="CD12" i="10"/>
  <c r="BG90" i="10"/>
  <c r="BF90" i="10"/>
  <c r="BE90" i="10"/>
  <c r="BC90" i="10"/>
  <c r="AQ223" i="10"/>
  <c r="AR223" i="10"/>
  <c r="AX223" i="10"/>
  <c r="P223" i="10"/>
  <c r="AV223" i="10"/>
  <c r="AW223" i="10"/>
  <c r="CL223" i="10"/>
  <c r="CK223" i="10"/>
  <c r="AS223" i="10"/>
  <c r="AU223" i="10"/>
  <c r="AP223" i="10"/>
  <c r="AZ223" i="10"/>
  <c r="AY223" i="10"/>
  <c r="AO328" i="10"/>
  <c r="BH93" i="10"/>
  <c r="BH38" i="10"/>
  <c r="BH86" i="10"/>
  <c r="AO63" i="10"/>
  <c r="BL232" i="10"/>
  <c r="CB232" i="10"/>
  <c r="W232" i="10"/>
  <c r="BD232" i="10" s="1"/>
  <c r="BN232" i="10"/>
  <c r="CI232" i="10"/>
  <c r="BW232" i="10"/>
  <c r="BX232" i="10"/>
  <c r="AL232" i="10"/>
  <c r="O232" i="10"/>
  <c r="AM232" i="10"/>
  <c r="CF232" i="10" s="1"/>
  <c r="BS232" i="10"/>
  <c r="I232" i="10"/>
  <c r="BU232" i="10"/>
  <c r="AN232" i="10"/>
  <c r="CG232" i="10" s="1"/>
  <c r="CJ232" i="10"/>
  <c r="BP232" i="10"/>
  <c r="U232" i="10"/>
  <c r="BY232" i="10"/>
  <c r="BJ232" i="10"/>
  <c r="BV232" i="10"/>
  <c r="Y232" i="10"/>
  <c r="BO232" i="10"/>
  <c r="BT232" i="10"/>
  <c r="BM232" i="10"/>
  <c r="BK232" i="10"/>
  <c r="AL148" i="10"/>
  <c r="AN148" i="10"/>
  <c r="CG148" i="10" s="1"/>
  <c r="BT148" i="10"/>
  <c r="BL148" i="10"/>
  <c r="CJ148" i="10"/>
  <c r="W148" i="10"/>
  <c r="BD148" i="10" s="1"/>
  <c r="BN148" i="10"/>
  <c r="AM148" i="10"/>
  <c r="CF148" i="10" s="1"/>
  <c r="BV148" i="10"/>
  <c r="Y148" i="10"/>
  <c r="I148" i="10"/>
  <c r="U148" i="10"/>
  <c r="BJ148" i="10"/>
  <c r="CB148" i="10"/>
  <c r="O148" i="10"/>
  <c r="BS148" i="10"/>
  <c r="BM148" i="10"/>
  <c r="BW148" i="10"/>
  <c r="BX148" i="10"/>
  <c r="BU148" i="10"/>
  <c r="BK148" i="10"/>
  <c r="CI148" i="10"/>
  <c r="BP148" i="10"/>
  <c r="BY148" i="10"/>
  <c r="BO148" i="10"/>
  <c r="CL350" i="10"/>
  <c r="P350" i="10"/>
  <c r="CK350" i="10"/>
  <c r="AW350" i="10"/>
  <c r="AS350" i="10"/>
  <c r="AZ350" i="10"/>
  <c r="AP350" i="10"/>
  <c r="AX350" i="10"/>
  <c r="AV350" i="10"/>
  <c r="AR350" i="10"/>
  <c r="AY350" i="10"/>
  <c r="AU350" i="10"/>
  <c r="AQ350" i="10"/>
  <c r="P88" i="10"/>
  <c r="CL88" i="10"/>
  <c r="CK88" i="10"/>
  <c r="AQ88" i="10"/>
  <c r="AY88" i="10"/>
  <c r="AV88" i="10"/>
  <c r="AR88" i="10"/>
  <c r="AZ88" i="10"/>
  <c r="AS88" i="10"/>
  <c r="AX88" i="10"/>
  <c r="AW88" i="10"/>
  <c r="AU88" i="10"/>
  <c r="AP88" i="10"/>
  <c r="AZ137" i="10"/>
  <c r="P137" i="10"/>
  <c r="CL137" i="10"/>
  <c r="CK137" i="10"/>
  <c r="AQ137" i="10"/>
  <c r="AW137" i="10"/>
  <c r="AY137" i="10"/>
  <c r="AV137" i="10"/>
  <c r="AR137" i="10"/>
  <c r="AU137" i="10"/>
  <c r="AS137" i="10"/>
  <c r="AX137" i="10"/>
  <c r="AP137" i="10"/>
  <c r="BR47" i="10"/>
  <c r="BZ47" i="10" s="1"/>
  <c r="CA47" i="10" s="1"/>
  <c r="CH47" i="10" s="1"/>
  <c r="CN47" i="10"/>
  <c r="CM47" i="10"/>
  <c r="AC47" i="10"/>
  <c r="AU123" i="10"/>
  <c r="P123" i="10"/>
  <c r="CL123" i="10"/>
  <c r="CK123" i="10"/>
  <c r="AX123" i="10"/>
  <c r="AZ123" i="10"/>
  <c r="AQ123" i="10"/>
  <c r="AS123" i="10"/>
  <c r="AP123" i="10"/>
  <c r="AW123" i="10"/>
  <c r="AY123" i="10"/>
  <c r="AR123" i="10"/>
  <c r="AV123" i="10"/>
  <c r="P162" i="10"/>
  <c r="AS162" i="10"/>
  <c r="AY162" i="10"/>
  <c r="AX162" i="10"/>
  <c r="AQ162" i="10"/>
  <c r="AP162" i="10"/>
  <c r="AR162" i="10"/>
  <c r="AV162" i="10"/>
  <c r="CK162" i="10"/>
  <c r="CL162" i="10"/>
  <c r="AZ162" i="10"/>
  <c r="AW162" i="10"/>
  <c r="AU162" i="10"/>
  <c r="AY10" i="10"/>
  <c r="CL10" i="10"/>
  <c r="CK10" i="10"/>
  <c r="P10" i="10"/>
  <c r="AW10" i="10"/>
  <c r="AQ10" i="10"/>
  <c r="AX10" i="10"/>
  <c r="AR10" i="10"/>
  <c r="AS10" i="10"/>
  <c r="AU10" i="10"/>
  <c r="AV10" i="10"/>
  <c r="AZ10" i="10"/>
  <c r="AP10" i="10"/>
  <c r="AV128" i="10"/>
  <c r="CK128" i="10"/>
  <c r="CL128" i="10"/>
  <c r="P128" i="10"/>
  <c r="AS128" i="10"/>
  <c r="AQ128" i="10"/>
  <c r="AW128" i="10"/>
  <c r="AU128" i="10"/>
  <c r="AP128" i="10"/>
  <c r="AY128" i="10"/>
  <c r="AZ128" i="10"/>
  <c r="AR128" i="10"/>
  <c r="AX128" i="10"/>
  <c r="AC80" i="10"/>
  <c r="CN80" i="10"/>
  <c r="CM80" i="10"/>
  <c r="BR80" i="10"/>
  <c r="BZ80" i="10" s="1"/>
  <c r="CN169" i="10"/>
  <c r="BR169" i="10"/>
  <c r="BZ169" i="10" s="1"/>
  <c r="CA169" i="10" s="1"/>
  <c r="CH169" i="10" s="1"/>
  <c r="AC169" i="10"/>
  <c r="CM169" i="10"/>
  <c r="AC194" i="10"/>
  <c r="CM194" i="10"/>
  <c r="CN194" i="10"/>
  <c r="BR194" i="10"/>
  <c r="BZ194" i="10" s="1"/>
  <c r="CA194" i="10" s="1"/>
  <c r="CH194" i="10" s="1"/>
  <c r="CN218" i="10"/>
  <c r="AC218" i="10"/>
  <c r="BR218" i="10"/>
  <c r="BZ218" i="10" s="1"/>
  <c r="CM218" i="10"/>
  <c r="AP129" i="10"/>
  <c r="CL129" i="10"/>
  <c r="CK129" i="10"/>
  <c r="P129" i="10"/>
  <c r="AU129" i="10"/>
  <c r="AQ129" i="10"/>
  <c r="AR129" i="10"/>
  <c r="AS129" i="10"/>
  <c r="AY129" i="10"/>
  <c r="AX129" i="10"/>
  <c r="AZ129" i="10"/>
  <c r="AW129" i="10"/>
  <c r="AV129" i="10"/>
  <c r="P47" i="10"/>
  <c r="CL47" i="10"/>
  <c r="CK47" i="10"/>
  <c r="AP47" i="10"/>
  <c r="AQ47" i="10"/>
  <c r="AW47" i="10"/>
  <c r="AV47" i="10"/>
  <c r="AR47" i="10"/>
  <c r="AX47" i="10"/>
  <c r="AY47" i="10"/>
  <c r="AZ47" i="10"/>
  <c r="AS47" i="10"/>
  <c r="AU47" i="10"/>
  <c r="AC186" i="10"/>
  <c r="CM186" i="10"/>
  <c r="BR186" i="10"/>
  <c r="BZ186" i="10" s="1"/>
  <c r="CA186" i="10" s="1"/>
  <c r="CH186" i="10" s="1"/>
  <c r="CN186" i="10"/>
  <c r="BR227" i="10"/>
  <c r="BZ227" i="10" s="1"/>
  <c r="CA227" i="10" s="1"/>
  <c r="CH227" i="10" s="1"/>
  <c r="CN227" i="10"/>
  <c r="CM227" i="10"/>
  <c r="AC227" i="10"/>
  <c r="AZ188" i="10"/>
  <c r="P188" i="10"/>
  <c r="CL188" i="10"/>
  <c r="AR188" i="10"/>
  <c r="AS188" i="10"/>
  <c r="AQ188" i="10"/>
  <c r="AX188" i="10"/>
  <c r="AP188" i="10"/>
  <c r="AU188" i="10"/>
  <c r="AV188" i="10"/>
  <c r="CK188" i="10"/>
  <c r="AW188" i="10"/>
  <c r="AY188" i="10"/>
  <c r="BR214" i="10"/>
  <c r="BZ214" i="10" s="1"/>
  <c r="AC214" i="10"/>
  <c r="CM214" i="10"/>
  <c r="CN214" i="10"/>
  <c r="CN81" i="10"/>
  <c r="BR81" i="10"/>
  <c r="BZ81" i="10" s="1"/>
  <c r="CM81" i="10"/>
  <c r="AC81" i="10"/>
  <c r="CL28" i="10"/>
  <c r="P28" i="10"/>
  <c r="CK28" i="10"/>
  <c r="AY28" i="10"/>
  <c r="AW28" i="10"/>
  <c r="AQ28" i="10"/>
  <c r="AU28" i="10"/>
  <c r="AS28" i="10"/>
  <c r="AP28" i="10"/>
  <c r="AV28" i="10"/>
  <c r="AX28" i="10"/>
  <c r="AR28" i="10"/>
  <c r="AZ28" i="10"/>
  <c r="BC63" i="10"/>
  <c r="BG63" i="10"/>
  <c r="BF63" i="10"/>
  <c r="BE63" i="10"/>
  <c r="CN62" i="10"/>
  <c r="CM62" i="10"/>
  <c r="BR62" i="10"/>
  <c r="BZ62" i="10" s="1"/>
  <c r="AC62" i="10"/>
  <c r="CN26" i="10"/>
  <c r="CM26" i="10"/>
  <c r="BR26" i="10"/>
  <c r="BZ26" i="10" s="1"/>
  <c r="AC26" i="10"/>
  <c r="AQ351" i="10"/>
  <c r="CK351" i="10"/>
  <c r="P351" i="10"/>
  <c r="CL351" i="10"/>
  <c r="AR351" i="10"/>
  <c r="AX351" i="10"/>
  <c r="AW351" i="10"/>
  <c r="AP351" i="10"/>
  <c r="AY351" i="10"/>
  <c r="AV351" i="10"/>
  <c r="AU351" i="10"/>
  <c r="AZ351" i="10"/>
  <c r="AS351" i="10"/>
  <c r="CE76" i="10"/>
  <c r="AO76" i="10"/>
  <c r="CE124" i="10"/>
  <c r="AO124" i="10"/>
  <c r="CE101" i="10"/>
  <c r="AO101" i="10"/>
  <c r="CE50" i="10"/>
  <c r="AO50" i="10"/>
  <c r="AQ237" i="10"/>
  <c r="AU237" i="10"/>
  <c r="AZ237" i="10"/>
  <c r="AP237" i="10"/>
  <c r="CK237" i="10"/>
  <c r="P237" i="10"/>
  <c r="AS237" i="10"/>
  <c r="AW237" i="10"/>
  <c r="AV237" i="10"/>
  <c r="AR237" i="10"/>
  <c r="AX237" i="10"/>
  <c r="CL237" i="10"/>
  <c r="AY237" i="10"/>
  <c r="BQ102" i="10"/>
  <c r="BQ225" i="10"/>
  <c r="BF337" i="10"/>
  <c r="BC337" i="10"/>
  <c r="BE337" i="10"/>
  <c r="BG337" i="10"/>
  <c r="CL239" i="10"/>
  <c r="AY239" i="10"/>
  <c r="AP239" i="10"/>
  <c r="AU239" i="10"/>
  <c r="AQ239" i="10"/>
  <c r="CK239" i="10"/>
  <c r="AS239" i="10"/>
  <c r="AZ239" i="10"/>
  <c r="P239" i="10"/>
  <c r="AX239" i="10"/>
  <c r="AW239" i="10"/>
  <c r="AV239" i="10"/>
  <c r="AR239" i="10"/>
  <c r="CN222" i="10"/>
  <c r="AC222" i="10"/>
  <c r="BR222" i="10"/>
  <c r="BZ222" i="10" s="1"/>
  <c r="CM222" i="10"/>
  <c r="BQ53" i="10"/>
  <c r="BQ238" i="10"/>
  <c r="CE238" i="10"/>
  <c r="AO238" i="10"/>
  <c r="CD218" i="10"/>
  <c r="K218" i="10"/>
  <c r="BE218" i="10"/>
  <c r="BF218" i="10"/>
  <c r="BC218" i="10"/>
  <c r="BG218" i="10"/>
  <c r="BF154" i="10"/>
  <c r="BG154" i="10"/>
  <c r="BE154" i="10"/>
  <c r="BC154" i="10"/>
  <c r="CD154" i="10"/>
  <c r="K154" i="10"/>
  <c r="AU179" i="10"/>
  <c r="AW179" i="10"/>
  <c r="AV179" i="10"/>
  <c r="AY179" i="10"/>
  <c r="AS179" i="10"/>
  <c r="AR179" i="10"/>
  <c r="AQ179" i="10"/>
  <c r="AX179" i="10"/>
  <c r="CK179" i="10"/>
  <c r="CL179" i="10"/>
  <c r="P179" i="10"/>
  <c r="AP179" i="10"/>
  <c r="AZ179" i="10"/>
  <c r="AV341" i="10"/>
  <c r="CK341" i="10"/>
  <c r="P341" i="10"/>
  <c r="CL341" i="10"/>
  <c r="AQ341" i="10"/>
  <c r="AW341" i="10"/>
  <c r="AY341" i="10"/>
  <c r="AX341" i="10"/>
  <c r="AP341" i="10"/>
  <c r="AS341" i="10"/>
  <c r="AZ341" i="10"/>
  <c r="AU341" i="10"/>
  <c r="AR341" i="10"/>
  <c r="AP333" i="10"/>
  <c r="CK333" i="10"/>
  <c r="P333" i="10"/>
  <c r="CL333" i="10"/>
  <c r="AW333" i="10"/>
  <c r="AR333" i="10"/>
  <c r="AZ333" i="10"/>
  <c r="AS333" i="10"/>
  <c r="AX333" i="10"/>
  <c r="AV333" i="10"/>
  <c r="AU333" i="10"/>
  <c r="AQ333" i="10"/>
  <c r="AY333" i="10"/>
  <c r="CN233" i="10"/>
  <c r="BR233" i="10"/>
  <c r="BZ233" i="10" s="1"/>
  <c r="AC233" i="10"/>
  <c r="CM233" i="10"/>
  <c r="BF230" i="10"/>
  <c r="BE230" i="10"/>
  <c r="BG230" i="10"/>
  <c r="BC230" i="10"/>
  <c r="CE230" i="10"/>
  <c r="AO230" i="10"/>
  <c r="BF75" i="10"/>
  <c r="BC75" i="10"/>
  <c r="BE75" i="10"/>
  <c r="BG75" i="10"/>
  <c r="CN113" i="10"/>
  <c r="CM113" i="10"/>
  <c r="BR113" i="10"/>
  <c r="BZ113" i="10" s="1"/>
  <c r="CA113" i="10" s="1"/>
  <c r="CH113" i="10" s="1"/>
  <c r="AC113" i="10"/>
  <c r="CK118" i="10"/>
  <c r="CL118" i="10"/>
  <c r="P118" i="10"/>
  <c r="AX118" i="10"/>
  <c r="AV118" i="10"/>
  <c r="AQ118" i="10"/>
  <c r="AY118" i="10"/>
  <c r="AZ118" i="10"/>
  <c r="AS118" i="10"/>
  <c r="AP118" i="10"/>
  <c r="AW118" i="10"/>
  <c r="AU118" i="10"/>
  <c r="AR118" i="10"/>
  <c r="CL339" i="10"/>
  <c r="P339" i="10"/>
  <c r="CK339" i="10"/>
  <c r="AQ339" i="10"/>
  <c r="AS339" i="10"/>
  <c r="AR339" i="10"/>
  <c r="AP339" i="10"/>
  <c r="AW339" i="10"/>
  <c r="AU339" i="10"/>
  <c r="AV339" i="10"/>
  <c r="AZ339" i="10"/>
  <c r="AY339" i="10"/>
  <c r="AX339" i="10"/>
  <c r="AQ62" i="10"/>
  <c r="CK62" i="10"/>
  <c r="CL62" i="10"/>
  <c r="P62" i="10"/>
  <c r="AS62" i="10"/>
  <c r="AW62" i="10"/>
  <c r="AY62" i="10"/>
  <c r="AP62" i="10"/>
  <c r="AX62" i="10"/>
  <c r="AZ62" i="10"/>
  <c r="AV62" i="10"/>
  <c r="AR62" i="10"/>
  <c r="AU62" i="10"/>
  <c r="AX20" i="10"/>
  <c r="P20" i="10"/>
  <c r="CK20" i="10"/>
  <c r="CL20" i="10"/>
  <c r="AY20" i="10"/>
  <c r="AS20" i="10"/>
  <c r="AV20" i="10"/>
  <c r="AZ20" i="10"/>
  <c r="AU20" i="10"/>
  <c r="AQ20" i="10"/>
  <c r="AR20" i="10"/>
  <c r="AW20" i="10"/>
  <c r="AP20" i="10"/>
  <c r="CK280" i="10"/>
  <c r="AR280" i="10"/>
  <c r="AW280" i="10"/>
  <c r="AS280" i="10"/>
  <c r="CL280" i="10"/>
  <c r="AV280" i="10"/>
  <c r="AQ280" i="10"/>
  <c r="AZ280" i="10"/>
  <c r="AP280" i="10"/>
  <c r="AX280" i="10"/>
  <c r="AY280" i="10"/>
  <c r="AU280" i="10"/>
  <c r="P280" i="10"/>
  <c r="AC45" i="10"/>
  <c r="CM45" i="10"/>
  <c r="BR45" i="10"/>
  <c r="BZ45" i="10" s="1"/>
  <c r="CN45" i="10"/>
  <c r="BR37" i="10"/>
  <c r="BZ37" i="10" s="1"/>
  <c r="CA37" i="10" s="1"/>
  <c r="CH37" i="10" s="1"/>
  <c r="AC37" i="10"/>
  <c r="CM37" i="10"/>
  <c r="CN37" i="10"/>
  <c r="AC200" i="10"/>
  <c r="BR200" i="10"/>
  <c r="BZ200" i="10" s="1"/>
  <c r="CN200" i="10"/>
  <c r="CM200" i="10"/>
  <c r="CD219" i="10"/>
  <c r="K219" i="10"/>
  <c r="BG153" i="10"/>
  <c r="BF153" i="10"/>
  <c r="BE153" i="10"/>
  <c r="BC153" i="10"/>
  <c r="AA152" i="10"/>
  <c r="AB152" i="10"/>
  <c r="CE168" i="10"/>
  <c r="AO168" i="10"/>
  <c r="BQ162" i="10"/>
  <c r="CD60" i="10"/>
  <c r="K60" i="10"/>
  <c r="CN60" i="10"/>
  <c r="AC60" i="10"/>
  <c r="BR60" i="10"/>
  <c r="BZ60" i="10" s="1"/>
  <c r="CM60" i="10"/>
  <c r="CM293" i="10"/>
  <c r="BR293" i="10"/>
  <c r="BZ293" i="10" s="1"/>
  <c r="CA293" i="10" s="1"/>
  <c r="CH293" i="10" s="1"/>
  <c r="AC293" i="10"/>
  <c r="CN293" i="10"/>
  <c r="BE221" i="10"/>
  <c r="BF221" i="10"/>
  <c r="BG221" i="10"/>
  <c r="BC221" i="10"/>
  <c r="K174" i="10"/>
  <c r="CD174" i="10"/>
  <c r="BG155" i="10"/>
  <c r="BC155" i="10"/>
  <c r="BF155" i="10"/>
  <c r="BE155" i="10"/>
  <c r="AS39" i="10"/>
  <c r="CK39" i="10"/>
  <c r="CL39" i="10"/>
  <c r="P39" i="10"/>
  <c r="AW39" i="10"/>
  <c r="AR39" i="10"/>
  <c r="AZ39" i="10"/>
  <c r="AY39" i="10"/>
  <c r="AX39" i="10"/>
  <c r="AU39" i="10"/>
  <c r="AQ39" i="10"/>
  <c r="AV39" i="10"/>
  <c r="AP39" i="10"/>
  <c r="BQ81" i="10"/>
  <c r="AC109" i="10"/>
  <c r="BR109" i="10"/>
  <c r="BZ109" i="10" s="1"/>
  <c r="CA109" i="10" s="1"/>
  <c r="CH109" i="10" s="1"/>
  <c r="CN109" i="10"/>
  <c r="CM109" i="10"/>
  <c r="BR38" i="10"/>
  <c r="BZ38" i="10" s="1"/>
  <c r="CA38" i="10" s="1"/>
  <c r="CH38" i="10" s="1"/>
  <c r="CN38" i="10"/>
  <c r="CM38" i="10"/>
  <c r="AC38" i="10"/>
  <c r="CN34" i="10"/>
  <c r="BR34" i="10"/>
  <c r="BZ34" i="10" s="1"/>
  <c r="CA34" i="10" s="1"/>
  <c r="CH34" i="10" s="1"/>
  <c r="CM34" i="10"/>
  <c r="AC34" i="10"/>
  <c r="AU69" i="10"/>
  <c r="CL69" i="10"/>
  <c r="P69" i="10"/>
  <c r="CK69" i="10"/>
  <c r="AW69" i="10"/>
  <c r="AZ69" i="10"/>
  <c r="AQ69" i="10"/>
  <c r="AY69" i="10"/>
  <c r="AP69" i="10"/>
  <c r="AR69" i="10"/>
  <c r="AV69" i="10"/>
  <c r="AX69" i="10"/>
  <c r="AS69" i="10"/>
  <c r="BR61" i="10"/>
  <c r="BZ61" i="10" s="1"/>
  <c r="CN61" i="10"/>
  <c r="AC61" i="10"/>
  <c r="CM61" i="10"/>
  <c r="AS176" i="10"/>
  <c r="AU176" i="10"/>
  <c r="AQ176" i="10"/>
  <c r="AZ176" i="10"/>
  <c r="AW176" i="10"/>
  <c r="P176" i="10"/>
  <c r="AY176" i="10"/>
  <c r="AR176" i="10"/>
  <c r="CK176" i="10"/>
  <c r="AP176" i="10"/>
  <c r="AV176" i="10"/>
  <c r="CL176" i="10"/>
  <c r="AX176" i="10"/>
  <c r="CE25" i="10"/>
  <c r="AO25" i="10"/>
  <c r="CM335" i="10"/>
  <c r="BR335" i="10"/>
  <c r="BZ335" i="10" s="1"/>
  <c r="AC335" i="10"/>
  <c r="CN335" i="10"/>
  <c r="CL93" i="10"/>
  <c r="P93" i="10"/>
  <c r="CK93" i="10"/>
  <c r="AP93" i="10"/>
  <c r="AV93" i="10"/>
  <c r="AR93" i="10"/>
  <c r="AZ93" i="10"/>
  <c r="AX93" i="10"/>
  <c r="AW93" i="10"/>
  <c r="AY93" i="10"/>
  <c r="AS93" i="10"/>
  <c r="AQ93" i="10"/>
  <c r="AU93" i="10"/>
  <c r="CE22" i="10"/>
  <c r="AO22" i="10"/>
  <c r="BE22" i="10"/>
  <c r="BG22" i="10"/>
  <c r="BF22" i="10"/>
  <c r="BC22" i="10"/>
  <c r="CM6" i="10"/>
  <c r="AC6" i="10"/>
  <c r="CN6" i="10"/>
  <c r="BR6" i="10"/>
  <c r="BZ6" i="10" s="1"/>
  <c r="AX155" i="10"/>
  <c r="AP155" i="10"/>
  <c r="CK155" i="10"/>
  <c r="AU155" i="10"/>
  <c r="AR155" i="10"/>
  <c r="AW155" i="10"/>
  <c r="AQ155" i="10"/>
  <c r="AV155" i="10"/>
  <c r="P155" i="10"/>
  <c r="AZ155" i="10"/>
  <c r="CL155" i="10"/>
  <c r="AY155" i="10"/>
  <c r="AS155" i="10"/>
  <c r="CD65" i="10"/>
  <c r="K65" i="10"/>
  <c r="CE201" i="10"/>
  <c r="AO201" i="10"/>
  <c r="AQ229" i="10"/>
  <c r="AU229" i="10"/>
  <c r="AX229" i="10"/>
  <c r="AY229" i="10"/>
  <c r="AZ229" i="10"/>
  <c r="CK229" i="10"/>
  <c r="AR229" i="10"/>
  <c r="AP229" i="10"/>
  <c r="P229" i="10"/>
  <c r="AV229" i="10"/>
  <c r="CL229" i="10"/>
  <c r="AS229" i="10"/>
  <c r="AW229" i="10"/>
  <c r="CE164" i="10"/>
  <c r="AO164" i="10"/>
  <c r="AF231" i="10"/>
  <c r="AG231" i="10" s="1"/>
  <c r="AE231" i="10"/>
  <c r="BQ123" i="10"/>
  <c r="BR16" i="10"/>
  <c r="BZ16" i="10" s="1"/>
  <c r="AC16" i="10"/>
  <c r="CN16" i="10"/>
  <c r="CM16" i="10"/>
  <c r="AF147" i="10"/>
  <c r="AG147" i="10" s="1"/>
  <c r="AE147" i="10"/>
  <c r="BE123" i="10"/>
  <c r="BF123" i="10"/>
  <c r="BC123" i="10"/>
  <c r="BG123" i="10"/>
  <c r="CD105" i="10"/>
  <c r="K105" i="10"/>
  <c r="U151" i="10"/>
  <c r="Y151" i="10"/>
  <c r="AL151" i="10"/>
  <c r="CJ151" i="10"/>
  <c r="I151" i="10"/>
  <c r="AM151" i="10"/>
  <c r="CF151" i="10" s="1"/>
  <c r="W151" i="10"/>
  <c r="BD151" i="10" s="1"/>
  <c r="AN151" i="10"/>
  <c r="CG151" i="10" s="1"/>
  <c r="BJ151" i="10"/>
  <c r="O151" i="10"/>
  <c r="BM151" i="10"/>
  <c r="BW151" i="10"/>
  <c r="CB151" i="10"/>
  <c r="BU151" i="10"/>
  <c r="BK151" i="10"/>
  <c r="CI151" i="10"/>
  <c r="BY151" i="10"/>
  <c r="BO151" i="10"/>
  <c r="BL151" i="10"/>
  <c r="BN151" i="10"/>
  <c r="BP151" i="10"/>
  <c r="BT151" i="10"/>
  <c r="BV151" i="10"/>
  <c r="BX151" i="10"/>
  <c r="BS151" i="10"/>
  <c r="AX168" i="10"/>
  <c r="AR168" i="10"/>
  <c r="P168" i="10"/>
  <c r="CL168" i="10"/>
  <c r="AU168" i="10"/>
  <c r="CK168" i="10"/>
  <c r="AV168" i="10"/>
  <c r="AQ168" i="10"/>
  <c r="AW168" i="10"/>
  <c r="AZ168" i="10"/>
  <c r="AY168" i="10"/>
  <c r="AP168" i="10"/>
  <c r="AS168" i="10"/>
  <c r="AC122" i="10"/>
  <c r="CN122" i="10"/>
  <c r="CM122" i="10"/>
  <c r="BR122" i="10"/>
  <c r="BZ122" i="10" s="1"/>
  <c r="AW48" i="10"/>
  <c r="P48" i="10"/>
  <c r="CK48" i="10"/>
  <c r="CL48" i="10"/>
  <c r="AZ48" i="10"/>
  <c r="AX48" i="10"/>
  <c r="AV48" i="10"/>
  <c r="AS48" i="10"/>
  <c r="AY48" i="10"/>
  <c r="AQ48" i="10"/>
  <c r="AR48" i="10"/>
  <c r="AU48" i="10"/>
  <c r="AP48" i="10"/>
  <c r="AX76" i="10"/>
  <c r="CK76" i="10"/>
  <c r="P76" i="10"/>
  <c r="CL76" i="10"/>
  <c r="AP76" i="10"/>
  <c r="AZ76" i="10"/>
  <c r="AU76" i="10"/>
  <c r="AY76" i="10"/>
  <c r="AQ76" i="10"/>
  <c r="AS76" i="10"/>
  <c r="AR76" i="10"/>
  <c r="AW76" i="10"/>
  <c r="AV76" i="10"/>
  <c r="AU98" i="10"/>
  <c r="CL98" i="10"/>
  <c r="P98" i="10"/>
  <c r="CK98" i="10"/>
  <c r="AS98" i="10"/>
  <c r="AW98" i="10"/>
  <c r="AQ98" i="10"/>
  <c r="AZ98" i="10"/>
  <c r="AR98" i="10"/>
  <c r="AV98" i="10"/>
  <c r="AX98" i="10"/>
  <c r="AP98" i="10"/>
  <c r="AY98" i="10"/>
  <c r="CM49" i="10"/>
  <c r="CN49" i="10"/>
  <c r="AC49" i="10"/>
  <c r="BR49" i="10"/>
  <c r="BZ49" i="10" s="1"/>
  <c r="CN166" i="10"/>
  <c r="CM166" i="10"/>
  <c r="AC166" i="10"/>
  <c r="BR166" i="10"/>
  <c r="BZ166" i="10" s="1"/>
  <c r="CA166" i="10" s="1"/>
  <c r="CH166" i="10" s="1"/>
  <c r="BR225" i="10"/>
  <c r="BZ225" i="10" s="1"/>
  <c r="CN225" i="10"/>
  <c r="CM225" i="10"/>
  <c r="AC225" i="10"/>
  <c r="BR73" i="10"/>
  <c r="BZ73" i="10" s="1"/>
  <c r="CM73" i="10"/>
  <c r="AC73" i="10"/>
  <c r="CN73" i="10"/>
  <c r="AR182" i="10"/>
  <c r="AP182" i="10"/>
  <c r="AZ182" i="10"/>
  <c r="P182" i="10"/>
  <c r="AV182" i="10"/>
  <c r="AY182" i="10"/>
  <c r="AX182" i="10"/>
  <c r="CL182" i="10"/>
  <c r="AU182" i="10"/>
  <c r="CK182" i="10"/>
  <c r="AS182" i="10"/>
  <c r="AQ182" i="10"/>
  <c r="AW182" i="10"/>
  <c r="AQ189" i="10"/>
  <c r="P189" i="10"/>
  <c r="AW189" i="10"/>
  <c r="CL189" i="10"/>
  <c r="AV189" i="10"/>
  <c r="CK189" i="10"/>
  <c r="AU189" i="10"/>
  <c r="AS189" i="10"/>
  <c r="AP189" i="10"/>
  <c r="AZ189" i="10"/>
  <c r="AR189" i="10"/>
  <c r="AX189" i="10"/>
  <c r="AY189" i="10"/>
  <c r="P180" i="10"/>
  <c r="AU180" i="10"/>
  <c r="AV180" i="10"/>
  <c r="AS180" i="10"/>
  <c r="CK180" i="10"/>
  <c r="AQ180" i="10"/>
  <c r="AX180" i="10"/>
  <c r="AP180" i="10"/>
  <c r="AW180" i="10"/>
  <c r="CL180" i="10"/>
  <c r="AR180" i="10"/>
  <c r="AY180" i="10"/>
  <c r="AZ180" i="10"/>
  <c r="CK323" i="10"/>
  <c r="AZ323" i="10"/>
  <c r="AP323" i="10"/>
  <c r="AQ323" i="10"/>
  <c r="P323" i="10"/>
  <c r="AU323" i="10"/>
  <c r="CL323" i="10"/>
  <c r="AS323" i="10"/>
  <c r="AW323" i="10"/>
  <c r="AX323" i="10"/>
  <c r="AY323" i="10"/>
  <c r="AR323" i="10"/>
  <c r="AV323" i="10"/>
  <c r="AW213" i="10"/>
  <c r="AR213" i="10"/>
  <c r="AX213" i="10"/>
  <c r="AU213" i="10"/>
  <c r="P213" i="10"/>
  <c r="AV213" i="10"/>
  <c r="AY213" i="10"/>
  <c r="CK213" i="10"/>
  <c r="AS213" i="10"/>
  <c r="AQ213" i="10"/>
  <c r="AP213" i="10"/>
  <c r="CL213" i="10"/>
  <c r="AZ213" i="10"/>
  <c r="AY187" i="10"/>
  <c r="AQ187" i="10"/>
  <c r="AW187" i="10"/>
  <c r="AU187" i="10"/>
  <c r="AV187" i="10"/>
  <c r="AP187" i="10"/>
  <c r="P187" i="10"/>
  <c r="AS187" i="10"/>
  <c r="CK187" i="10"/>
  <c r="CL187" i="10"/>
  <c r="AR187" i="10"/>
  <c r="AZ187" i="10"/>
  <c r="AX187" i="10"/>
  <c r="BR302" i="10"/>
  <c r="BZ302" i="10" s="1"/>
  <c r="CA302" i="10" s="1"/>
  <c r="CH302" i="10" s="1"/>
  <c r="AC302" i="10"/>
  <c r="CM302" i="10"/>
  <c r="CN302" i="10"/>
  <c r="Q119" i="10"/>
  <c r="S119" i="10"/>
  <c r="R119" i="10"/>
  <c r="T119" i="10"/>
  <c r="BR89" i="10"/>
  <c r="BZ89" i="10" s="1"/>
  <c r="CN89" i="10"/>
  <c r="CM89" i="10"/>
  <c r="AC89" i="10"/>
  <c r="AC94" i="10"/>
  <c r="CM94" i="10"/>
  <c r="BR94" i="10"/>
  <c r="BZ94" i="10" s="1"/>
  <c r="CA94" i="10" s="1"/>
  <c r="CH94" i="10" s="1"/>
  <c r="CN94" i="10"/>
  <c r="CN48" i="10"/>
  <c r="AC48" i="10"/>
  <c r="BR48" i="10"/>
  <c r="BZ48" i="10" s="1"/>
  <c r="CM48" i="10"/>
  <c r="CM67" i="10"/>
  <c r="AC67" i="10"/>
  <c r="CN67" i="10"/>
  <c r="BR67" i="10"/>
  <c r="BZ67" i="10" s="1"/>
  <c r="CK59" i="10"/>
  <c r="CL59" i="10"/>
  <c r="P59" i="10"/>
  <c r="AP59" i="10"/>
  <c r="AW59" i="10"/>
  <c r="AX59" i="10"/>
  <c r="AY59" i="10"/>
  <c r="AV59" i="10"/>
  <c r="AS59" i="10"/>
  <c r="AZ59" i="10"/>
  <c r="AU59" i="10"/>
  <c r="AR59" i="10"/>
  <c r="AQ59" i="10"/>
  <c r="CM8" i="10"/>
  <c r="AC8" i="10"/>
  <c r="BR8" i="10"/>
  <c r="BZ8" i="10" s="1"/>
  <c r="CN8" i="10"/>
  <c r="AV199" i="10"/>
  <c r="AW199" i="10"/>
  <c r="AP199" i="10"/>
  <c r="AR199" i="10"/>
  <c r="CL199" i="10"/>
  <c r="P199" i="10"/>
  <c r="AZ199" i="10"/>
  <c r="AS199" i="10"/>
  <c r="CK199" i="10"/>
  <c r="AY199" i="10"/>
  <c r="AQ199" i="10"/>
  <c r="AX199" i="10"/>
  <c r="AU199" i="10"/>
  <c r="AY305" i="10"/>
  <c r="CL305" i="10"/>
  <c r="AV305" i="10"/>
  <c r="P305" i="10"/>
  <c r="AZ305" i="10"/>
  <c r="AW305" i="10"/>
  <c r="CK305" i="10"/>
  <c r="AQ305" i="10"/>
  <c r="AU305" i="10"/>
  <c r="AP305" i="10"/>
  <c r="AS305" i="10"/>
  <c r="AX305" i="10"/>
  <c r="AR305" i="10"/>
  <c r="AC288" i="10"/>
  <c r="CM288" i="10"/>
  <c r="BR288" i="10"/>
  <c r="BZ288" i="10" s="1"/>
  <c r="CA288" i="10" s="1"/>
  <c r="CH288" i="10" s="1"/>
  <c r="CN288" i="10"/>
  <c r="BR106" i="10"/>
  <c r="BZ106" i="10" s="1"/>
  <c r="CM106" i="10"/>
  <c r="CN106" i="10"/>
  <c r="AC106" i="10"/>
  <c r="AS6" i="10"/>
  <c r="CL6" i="10"/>
  <c r="P6" i="10"/>
  <c r="CK6" i="10"/>
  <c r="AR6" i="10"/>
  <c r="AU6" i="10"/>
  <c r="AX6" i="10"/>
  <c r="AZ6" i="10"/>
  <c r="AW6" i="10"/>
  <c r="AQ6" i="10"/>
  <c r="AY6" i="10"/>
  <c r="AV6" i="10"/>
  <c r="AP6" i="10"/>
  <c r="CN17" i="10"/>
  <c r="BR17" i="10"/>
  <c r="BZ17" i="10" s="1"/>
  <c r="CA17" i="10" s="1"/>
  <c r="CH17" i="10" s="1"/>
  <c r="AC17" i="10"/>
  <c r="CM17" i="10"/>
  <c r="CL190" i="10"/>
  <c r="AP190" i="10"/>
  <c r="AQ190" i="10"/>
  <c r="AS190" i="10"/>
  <c r="AX190" i="10"/>
  <c r="AV190" i="10"/>
  <c r="AR190" i="10"/>
  <c r="AZ190" i="10"/>
  <c r="CK190" i="10"/>
  <c r="AY190" i="10"/>
  <c r="P190" i="10"/>
  <c r="AU190" i="10"/>
  <c r="AW190" i="10"/>
  <c r="AU347" i="10"/>
  <c r="CK347" i="10"/>
  <c r="P347" i="10"/>
  <c r="CL347" i="10"/>
  <c r="AQ347" i="10"/>
  <c r="AS347" i="10"/>
  <c r="AP347" i="10"/>
  <c r="AZ347" i="10"/>
  <c r="AV347" i="10"/>
  <c r="AW347" i="10"/>
  <c r="AX347" i="10"/>
  <c r="AR347" i="10"/>
  <c r="AY347" i="10"/>
  <c r="CK49" i="10"/>
  <c r="P49" i="10"/>
  <c r="CL49" i="10"/>
  <c r="AU49" i="10"/>
  <c r="AZ49" i="10"/>
  <c r="AP49" i="10"/>
  <c r="AR49" i="10"/>
  <c r="AY49" i="10"/>
  <c r="AS49" i="10"/>
  <c r="AV49" i="10"/>
  <c r="AW49" i="10"/>
  <c r="AX49" i="10"/>
  <c r="AQ49" i="10"/>
  <c r="BQ23" i="10"/>
  <c r="BG96" i="10"/>
  <c r="BC96" i="10"/>
  <c r="BE96" i="10"/>
  <c r="BF96" i="10"/>
  <c r="BG349" i="10"/>
  <c r="BE349" i="10"/>
  <c r="BC349" i="10"/>
  <c r="BF349" i="10"/>
  <c r="BR63" i="10"/>
  <c r="BZ63" i="10" s="1"/>
  <c r="CM63" i="10"/>
  <c r="CN63" i="10"/>
  <c r="AC63" i="10"/>
  <c r="CE57" i="10"/>
  <c r="AO57" i="10"/>
  <c r="Q41" i="10"/>
  <c r="S41" i="10"/>
  <c r="T41" i="10"/>
  <c r="R41" i="10"/>
  <c r="CL96" i="10"/>
  <c r="CK96" i="10"/>
  <c r="P96" i="10"/>
  <c r="AP96" i="10"/>
  <c r="AS96" i="10"/>
  <c r="AV96" i="10"/>
  <c r="AY96" i="10"/>
  <c r="AX96" i="10"/>
  <c r="AW96" i="10"/>
  <c r="AZ96" i="10"/>
  <c r="AU96" i="10"/>
  <c r="AQ96" i="10"/>
  <c r="AR96" i="10"/>
  <c r="AR31" i="10"/>
  <c r="P31" i="10"/>
  <c r="CK31" i="10"/>
  <c r="CL31" i="10"/>
  <c r="AP31" i="10"/>
  <c r="AQ31" i="10"/>
  <c r="AZ31" i="10"/>
  <c r="AU31" i="10"/>
  <c r="AS31" i="10"/>
  <c r="AY31" i="10"/>
  <c r="AW31" i="10"/>
  <c r="AV31" i="10"/>
  <c r="AX31" i="10"/>
  <c r="AR71" i="10"/>
  <c r="CK71" i="10"/>
  <c r="CL71" i="10"/>
  <c r="P71" i="10"/>
  <c r="AX71" i="10"/>
  <c r="AY71" i="10"/>
  <c r="AV71" i="10"/>
  <c r="AQ71" i="10"/>
  <c r="AP71" i="10"/>
  <c r="AU71" i="10"/>
  <c r="AW71" i="10"/>
  <c r="AS71" i="10"/>
  <c r="AZ71" i="10"/>
  <c r="P102" i="10"/>
  <c r="CK102" i="10"/>
  <c r="CL102" i="10"/>
  <c r="AY102" i="10"/>
  <c r="AX102" i="10"/>
  <c r="AP102" i="10"/>
  <c r="AQ102" i="10"/>
  <c r="AZ102" i="10"/>
  <c r="AW102" i="10"/>
  <c r="AS102" i="10"/>
  <c r="AR102" i="10"/>
  <c r="AU102" i="10"/>
  <c r="AV102" i="10"/>
  <c r="CL127" i="10"/>
  <c r="P127" i="10"/>
  <c r="CK127" i="10"/>
  <c r="AV127" i="10"/>
  <c r="AZ127" i="10"/>
  <c r="AU127" i="10"/>
  <c r="AX127" i="10"/>
  <c r="AW127" i="10"/>
  <c r="AQ127" i="10"/>
  <c r="AY127" i="10"/>
  <c r="AP127" i="10"/>
  <c r="AS127" i="10"/>
  <c r="AR127" i="10"/>
  <c r="AC195" i="10"/>
  <c r="BR195" i="10"/>
  <c r="BZ195" i="10" s="1"/>
  <c r="CA195" i="10" s="1"/>
  <c r="CH195" i="10" s="1"/>
  <c r="CM195" i="10"/>
  <c r="CN195" i="10"/>
  <c r="AC307" i="10"/>
  <c r="CN307" i="10"/>
  <c r="CM307" i="10"/>
  <c r="BR307" i="10"/>
  <c r="BZ307" i="10" s="1"/>
  <c r="CA307" i="10" s="1"/>
  <c r="CH307" i="10" s="1"/>
  <c r="AC314" i="10"/>
  <c r="CN314" i="10"/>
  <c r="BR314" i="10"/>
  <c r="BZ314" i="10" s="1"/>
  <c r="CA314" i="10" s="1"/>
  <c r="CH314" i="10" s="1"/>
  <c r="CM314" i="10"/>
  <c r="CM216" i="10"/>
  <c r="BR216" i="10"/>
  <c r="BZ216" i="10" s="1"/>
  <c r="CN216" i="10"/>
  <c r="AC216" i="10"/>
  <c r="Q32" i="10"/>
  <c r="T32" i="10"/>
  <c r="R32" i="10"/>
  <c r="S32" i="10"/>
  <c r="BA37" i="10"/>
  <c r="CE92" i="10"/>
  <c r="AO92" i="10"/>
  <c r="AC114" i="10"/>
  <c r="CN114" i="10"/>
  <c r="BR114" i="10"/>
  <c r="BZ114" i="10" s="1"/>
  <c r="CA114" i="10" s="1"/>
  <c r="CH114" i="10" s="1"/>
  <c r="CM114" i="10"/>
  <c r="AC224" i="10"/>
  <c r="CN224" i="10"/>
  <c r="CM224" i="10"/>
  <c r="BR224" i="10"/>
  <c r="BZ224" i="10" s="1"/>
  <c r="BC77" i="10"/>
  <c r="BE77" i="10"/>
  <c r="BG77" i="10"/>
  <c r="BF77" i="10"/>
  <c r="BQ77" i="10"/>
  <c r="BR127" i="10"/>
  <c r="BZ127" i="10" s="1"/>
  <c r="CN127" i="10"/>
  <c r="CM127" i="10"/>
  <c r="AC127" i="10"/>
  <c r="BQ132" i="10"/>
  <c r="BR93" i="10"/>
  <c r="BZ93" i="10" s="1"/>
  <c r="CM93" i="10"/>
  <c r="CN93" i="10"/>
  <c r="AC93" i="10"/>
  <c r="BR119" i="10"/>
  <c r="BZ119" i="10" s="1"/>
  <c r="CA119" i="10" s="1"/>
  <c r="CH119" i="10" s="1"/>
  <c r="AC119" i="10"/>
  <c r="CN119" i="10"/>
  <c r="CM119" i="10"/>
  <c r="CM281" i="10"/>
  <c r="CN281" i="10"/>
  <c r="AC281" i="10"/>
  <c r="BR281" i="10"/>
  <c r="BZ281" i="10" s="1"/>
  <c r="CA281" i="10" s="1"/>
  <c r="CH281" i="10" s="1"/>
  <c r="BF53" i="10"/>
  <c r="BG53" i="10"/>
  <c r="BE53" i="10"/>
  <c r="BC53" i="10"/>
  <c r="AZ240" i="10"/>
  <c r="AP240" i="10"/>
  <c r="AU240" i="10"/>
  <c r="AV240" i="10"/>
  <c r="AW240" i="10"/>
  <c r="AS240" i="10"/>
  <c r="AY240" i="10"/>
  <c r="AX240" i="10"/>
  <c r="CL240" i="10"/>
  <c r="P240" i="10"/>
  <c r="AQ240" i="10"/>
  <c r="AR240" i="10"/>
  <c r="CK240" i="10"/>
  <c r="BG237" i="10"/>
  <c r="BF237" i="10"/>
  <c r="BC237" i="10"/>
  <c r="BE237" i="10"/>
  <c r="CE237" i="10"/>
  <c r="AO237" i="10"/>
  <c r="AX235" i="10"/>
  <c r="AW235" i="10"/>
  <c r="CK235" i="10"/>
  <c r="AZ235" i="10"/>
  <c r="AP235" i="10"/>
  <c r="AY235" i="10"/>
  <c r="AR235" i="10"/>
  <c r="AU235" i="10"/>
  <c r="AS235" i="10"/>
  <c r="CL235" i="10"/>
  <c r="P235" i="10"/>
  <c r="AQ235" i="10"/>
  <c r="AV235" i="10"/>
  <c r="P220" i="10"/>
  <c r="AZ220" i="10"/>
  <c r="AV220" i="10"/>
  <c r="CL220" i="10"/>
  <c r="AP220" i="10"/>
  <c r="AS220" i="10"/>
  <c r="AY220" i="10"/>
  <c r="AU220" i="10"/>
  <c r="CK220" i="10"/>
  <c r="AQ220" i="10"/>
  <c r="AX220" i="10"/>
  <c r="AR220" i="10"/>
  <c r="AW220" i="10"/>
  <c r="AY63" i="10"/>
  <c r="P63" i="10"/>
  <c r="CL63" i="10"/>
  <c r="CK63" i="10"/>
  <c r="AQ63" i="10"/>
  <c r="AV63" i="10"/>
  <c r="AP63" i="10"/>
  <c r="AW63" i="10"/>
  <c r="AU63" i="10"/>
  <c r="AZ63" i="10"/>
  <c r="AX63" i="10"/>
  <c r="AS63" i="10"/>
  <c r="AR63" i="10"/>
  <c r="K224" i="10"/>
  <c r="CD224" i="10"/>
  <c r="BQ329" i="10"/>
  <c r="CD329" i="10"/>
  <c r="K329" i="10"/>
  <c r="BF46" i="10"/>
  <c r="BG46" i="10"/>
  <c r="BE46" i="10"/>
  <c r="BC46" i="10"/>
  <c r="BQ16" i="10"/>
  <c r="CE136" i="10"/>
  <c r="AO136" i="10"/>
  <c r="K121" i="10"/>
  <c r="CD121" i="10"/>
  <c r="BE95" i="10"/>
  <c r="BG95" i="10"/>
  <c r="BC95" i="10"/>
  <c r="BF95" i="10"/>
  <c r="BE44" i="10"/>
  <c r="BG44" i="10"/>
  <c r="BF44" i="10"/>
  <c r="BC44" i="10"/>
  <c r="CE122" i="10"/>
  <c r="AO122" i="10"/>
  <c r="BQ122" i="10"/>
  <c r="BQ212" i="10"/>
  <c r="K212" i="10"/>
  <c r="CD212" i="10"/>
  <c r="BF239" i="10"/>
  <c r="BE239" i="10"/>
  <c r="BC239" i="10"/>
  <c r="BG239" i="10"/>
  <c r="CE239" i="10"/>
  <c r="AO239" i="10"/>
  <c r="CE336" i="10"/>
  <c r="AO336" i="10"/>
  <c r="CE53" i="10"/>
  <c r="AO53" i="10"/>
  <c r="CE14" i="10"/>
  <c r="AO14" i="10"/>
  <c r="CE97" i="10"/>
  <c r="AO97" i="10"/>
  <c r="CK238" i="10"/>
  <c r="AR238" i="10"/>
  <c r="AU238" i="10"/>
  <c r="AZ238" i="10"/>
  <c r="AQ238" i="10"/>
  <c r="AV238" i="10"/>
  <c r="AP238" i="10"/>
  <c r="P238" i="10"/>
  <c r="AY238" i="10"/>
  <c r="AW238" i="10"/>
  <c r="CL238" i="10"/>
  <c r="AX238" i="10"/>
  <c r="AS238" i="10"/>
  <c r="CD238" i="10"/>
  <c r="K238" i="10"/>
  <c r="AA150" i="10"/>
  <c r="AB150" i="10"/>
  <c r="BQ218" i="10"/>
  <c r="BQ154" i="10"/>
  <c r="CD88" i="10"/>
  <c r="K88" i="10"/>
  <c r="BQ214" i="10"/>
  <c r="CD214" i="10"/>
  <c r="K214" i="10"/>
  <c r="BC351" i="10"/>
  <c r="BF351" i="10"/>
  <c r="BE351" i="10"/>
  <c r="BG351" i="10"/>
  <c r="BG16" i="10"/>
  <c r="BC16" i="10"/>
  <c r="BF16" i="10"/>
  <c r="BE16" i="10"/>
  <c r="K120" i="10"/>
  <c r="BR212" i="10"/>
  <c r="BZ212" i="10" s="1"/>
  <c r="AC212" i="10"/>
  <c r="CM212" i="10"/>
  <c r="CN212" i="10"/>
  <c r="BR15" i="10"/>
  <c r="BZ15" i="10" s="1"/>
  <c r="AC15" i="10"/>
  <c r="CN15" i="10"/>
  <c r="CM15" i="10"/>
  <c r="CN84" i="10"/>
  <c r="BR84" i="10"/>
  <c r="BZ84" i="10" s="1"/>
  <c r="AC84" i="10"/>
  <c r="CM84" i="10"/>
  <c r="BQ74" i="10"/>
  <c r="BG40" i="10"/>
  <c r="BC40" i="10"/>
  <c r="BF40" i="10"/>
  <c r="BE40" i="10"/>
  <c r="AU110" i="10"/>
  <c r="CK110" i="10"/>
  <c r="CL110" i="10"/>
  <c r="P110" i="10"/>
  <c r="AY110" i="10"/>
  <c r="AX110" i="10"/>
  <c r="AS110" i="10"/>
  <c r="AP110" i="10"/>
  <c r="AQ110" i="10"/>
  <c r="AZ110" i="10"/>
  <c r="AV110" i="10"/>
  <c r="AW110" i="10"/>
  <c r="AR110" i="10"/>
  <c r="BQ71" i="10"/>
  <c r="BR51" i="10"/>
  <c r="BZ51" i="10" s="1"/>
  <c r="CN51" i="10"/>
  <c r="CM51" i="10"/>
  <c r="AC51" i="10"/>
  <c r="CN188" i="10"/>
  <c r="BR188" i="10"/>
  <c r="BZ188" i="10" s="1"/>
  <c r="CA188" i="10" s="1"/>
  <c r="CH188" i="10" s="1"/>
  <c r="AC188" i="10"/>
  <c r="CM188" i="10"/>
  <c r="CL345" i="10"/>
  <c r="P345" i="10"/>
  <c r="CK345" i="10"/>
  <c r="AW345" i="10"/>
  <c r="AP345" i="10"/>
  <c r="AQ345" i="10"/>
  <c r="AX345" i="10"/>
  <c r="AY345" i="10"/>
  <c r="AZ345" i="10"/>
  <c r="AS345" i="10"/>
  <c r="AU345" i="10"/>
  <c r="AV345" i="10"/>
  <c r="AR345" i="10"/>
  <c r="CE49" i="10"/>
  <c r="AO49" i="10"/>
  <c r="BQ49" i="10"/>
  <c r="BQ42" i="10"/>
  <c r="CE98" i="10"/>
  <c r="AO98" i="10"/>
  <c r="AY230" i="10"/>
  <c r="P230" i="10"/>
  <c r="AU230" i="10"/>
  <c r="CL230" i="10"/>
  <c r="AW230" i="10"/>
  <c r="CK230" i="10"/>
  <c r="AR230" i="10"/>
  <c r="AZ230" i="10"/>
  <c r="AP230" i="10"/>
  <c r="AV230" i="10"/>
  <c r="AS230" i="10"/>
  <c r="AX230" i="10"/>
  <c r="AQ230" i="10"/>
  <c r="K230" i="10"/>
  <c r="CD230" i="10"/>
  <c r="P307" i="10"/>
  <c r="CK307" i="10"/>
  <c r="AZ307" i="10"/>
  <c r="AP307" i="10"/>
  <c r="AU307" i="10"/>
  <c r="AQ307" i="10"/>
  <c r="AV307" i="10"/>
  <c r="CL307" i="10"/>
  <c r="AS307" i="10"/>
  <c r="AY307" i="10"/>
  <c r="AW307" i="10"/>
  <c r="AX307" i="10"/>
  <c r="AR307" i="10"/>
  <c r="AC322" i="10"/>
  <c r="CN322" i="10"/>
  <c r="BR322" i="10"/>
  <c r="BZ322" i="10" s="1"/>
  <c r="CA322" i="10" s="1"/>
  <c r="CH322" i="10" s="1"/>
  <c r="CM322" i="10"/>
  <c r="CN207" i="10"/>
  <c r="BR207" i="10"/>
  <c r="BZ207" i="10" s="1"/>
  <c r="CA207" i="10" s="1"/>
  <c r="CH207" i="10" s="1"/>
  <c r="AC207" i="10"/>
  <c r="CM207" i="10"/>
  <c r="AU205" i="10"/>
  <c r="AZ205" i="10"/>
  <c r="AQ205" i="10"/>
  <c r="CL205" i="10"/>
  <c r="AP205" i="10"/>
  <c r="P205" i="10"/>
  <c r="AY205" i="10"/>
  <c r="CK205" i="10"/>
  <c r="AS205" i="10"/>
  <c r="AW205" i="10"/>
  <c r="AX205" i="10"/>
  <c r="AR205" i="10"/>
  <c r="AV205" i="10"/>
  <c r="CE105" i="10"/>
  <c r="AO105" i="10"/>
  <c r="CE121" i="10"/>
  <c r="AO121" i="10"/>
  <c r="CK315" i="10"/>
  <c r="AQ315" i="10"/>
  <c r="AP315" i="10"/>
  <c r="P315" i="10"/>
  <c r="AU315" i="10"/>
  <c r="CL315" i="10"/>
  <c r="AV315" i="10"/>
  <c r="AZ315" i="10"/>
  <c r="AS315" i="10"/>
  <c r="AX315" i="10"/>
  <c r="AR315" i="10"/>
  <c r="AY315" i="10"/>
  <c r="AW315" i="10"/>
  <c r="BQ27" i="10"/>
  <c r="CL113" i="10"/>
  <c r="P113" i="10"/>
  <c r="CK113" i="10"/>
  <c r="AX113" i="10"/>
  <c r="AZ113" i="10"/>
  <c r="AW113" i="10"/>
  <c r="AU113" i="10"/>
  <c r="AQ113" i="10"/>
  <c r="AR113" i="10"/>
  <c r="AV113" i="10"/>
  <c r="AS113" i="10"/>
  <c r="AP113" i="10"/>
  <c r="AY113" i="10"/>
  <c r="CE26" i="10"/>
  <c r="AO26" i="10"/>
  <c r="BF59" i="10"/>
  <c r="BE59" i="10"/>
  <c r="BC59" i="10"/>
  <c r="BG59" i="10"/>
  <c r="AC185" i="10"/>
  <c r="CM185" i="10"/>
  <c r="CN185" i="10"/>
  <c r="BR185" i="10"/>
  <c r="BZ185" i="10" s="1"/>
  <c r="CA185" i="10" s="1"/>
  <c r="CH185" i="10" s="1"/>
  <c r="BQ69" i="10"/>
  <c r="BR68" i="10"/>
  <c r="BZ68" i="10" s="1"/>
  <c r="AC68" i="10"/>
  <c r="CN68" i="10"/>
  <c r="CM68" i="10"/>
  <c r="K9" i="10"/>
  <c r="CD9" i="10"/>
  <c r="P185" i="10"/>
  <c r="AX185" i="10"/>
  <c r="CL185" i="10"/>
  <c r="AP185" i="10"/>
  <c r="AR185" i="10"/>
  <c r="CK185" i="10"/>
  <c r="AZ185" i="10"/>
  <c r="AW185" i="10"/>
  <c r="AV185" i="10"/>
  <c r="AU185" i="10"/>
  <c r="AY185" i="10"/>
  <c r="AS185" i="10"/>
  <c r="AQ185" i="10"/>
  <c r="AP122" i="10"/>
  <c r="CK122" i="10"/>
  <c r="P122" i="10"/>
  <c r="CL122" i="10"/>
  <c r="AU122" i="10"/>
  <c r="AW122" i="10"/>
  <c r="AY122" i="10"/>
  <c r="AX122" i="10"/>
  <c r="AQ122" i="10"/>
  <c r="AV122" i="10"/>
  <c r="AR122" i="10"/>
  <c r="AS122" i="10"/>
  <c r="AZ122" i="10"/>
  <c r="BQ66" i="10"/>
  <c r="CM110" i="10"/>
  <c r="AC110" i="10"/>
  <c r="CN110" i="10"/>
  <c r="BR110" i="10"/>
  <c r="BZ110" i="10" s="1"/>
  <c r="CA110" i="10" s="1"/>
  <c r="CH110" i="10" s="1"/>
  <c r="CE126" i="10"/>
  <c r="AO126" i="10"/>
  <c r="CE84" i="10"/>
  <c r="AO84" i="10"/>
  <c r="AZ67" i="10"/>
  <c r="CL67" i="10"/>
  <c r="P67" i="10"/>
  <c r="CK67" i="10"/>
  <c r="AW67" i="10"/>
  <c r="AX67" i="10"/>
  <c r="AP67" i="10"/>
  <c r="AR67" i="10"/>
  <c r="AV67" i="10"/>
  <c r="AY67" i="10"/>
  <c r="AQ67" i="10"/>
  <c r="AU67" i="10"/>
  <c r="AS67" i="10"/>
  <c r="CK61" i="10"/>
  <c r="P61" i="10"/>
  <c r="CL61" i="10"/>
  <c r="AY61" i="10"/>
  <c r="AX61" i="10"/>
  <c r="AP61" i="10"/>
  <c r="AQ61" i="10"/>
  <c r="AR61" i="10"/>
  <c r="AS61" i="10"/>
  <c r="AU61" i="10"/>
  <c r="AV61" i="10"/>
  <c r="AZ61" i="10"/>
  <c r="AW61" i="10"/>
  <c r="BF99" i="10"/>
  <c r="BE99" i="10"/>
  <c r="BC99" i="10"/>
  <c r="BG99" i="10"/>
  <c r="P51" i="10"/>
  <c r="CL51" i="10"/>
  <c r="CK51" i="10"/>
  <c r="AU51" i="10"/>
  <c r="AV51" i="10"/>
  <c r="AZ51" i="10"/>
  <c r="AY51" i="10"/>
  <c r="AR51" i="10"/>
  <c r="AP51" i="10"/>
  <c r="AS51" i="10"/>
  <c r="AW51" i="10"/>
  <c r="AX51" i="10"/>
  <c r="AQ51" i="10"/>
  <c r="AC13" i="10"/>
  <c r="BR13" i="10"/>
  <c r="BZ13" i="10" s="1"/>
  <c r="CA13" i="10" s="1"/>
  <c r="CH13" i="10" s="1"/>
  <c r="CN13" i="10"/>
  <c r="CM13" i="10"/>
  <c r="CK299" i="10"/>
  <c r="AY299" i="10"/>
  <c r="AW299" i="10"/>
  <c r="AS299" i="10"/>
  <c r="AQ299" i="10"/>
  <c r="AV299" i="10"/>
  <c r="AU299" i="10"/>
  <c r="AR299" i="10"/>
  <c r="AZ299" i="10"/>
  <c r="AX299" i="10"/>
  <c r="P299" i="10"/>
  <c r="AP299" i="10"/>
  <c r="CL299" i="10"/>
  <c r="CM305" i="10"/>
  <c r="BR305" i="10"/>
  <c r="BZ305" i="10" s="1"/>
  <c r="CA305" i="10" s="1"/>
  <c r="CH305" i="10" s="1"/>
  <c r="AC305" i="10"/>
  <c r="CN305" i="10"/>
  <c r="BQ6" i="10"/>
  <c r="CK298" i="10"/>
  <c r="AY298" i="10"/>
  <c r="AV298" i="10"/>
  <c r="AU298" i="10"/>
  <c r="AQ298" i="10"/>
  <c r="AX298" i="10"/>
  <c r="AS298" i="10"/>
  <c r="AZ298" i="10"/>
  <c r="CL298" i="10"/>
  <c r="AP298" i="10"/>
  <c r="P298" i="10"/>
  <c r="AR298" i="10"/>
  <c r="AW298" i="10"/>
  <c r="BQ73" i="10"/>
  <c r="BF219" i="10"/>
  <c r="BE219" i="10"/>
  <c r="BC219" i="10"/>
  <c r="BG219" i="10"/>
  <c r="BQ82" i="10"/>
  <c r="BQ170" i="10"/>
  <c r="CE153" i="10"/>
  <c r="AO153" i="10"/>
  <c r="AF152" i="10"/>
  <c r="AG152" i="10" s="1"/>
  <c r="AE152" i="10"/>
  <c r="BG329" i="10"/>
  <c r="BC329" i="10"/>
  <c r="BF329" i="10"/>
  <c r="BE329" i="10"/>
  <c r="CL85" i="10"/>
  <c r="CK85" i="10"/>
  <c r="P85" i="10"/>
  <c r="AZ85" i="10"/>
  <c r="AR85" i="10"/>
  <c r="AW85" i="10"/>
  <c r="AV85" i="10"/>
  <c r="AX85" i="10"/>
  <c r="AQ85" i="10"/>
  <c r="AP85" i="10"/>
  <c r="AY85" i="10"/>
  <c r="AU85" i="10"/>
  <c r="AS85" i="10"/>
  <c r="K162" i="10"/>
  <c r="CD162" i="10"/>
  <c r="BG162" i="10"/>
  <c r="BC162" i="10"/>
  <c r="BE162" i="10"/>
  <c r="BF162" i="10"/>
  <c r="AX133" i="10"/>
  <c r="CL133" i="10"/>
  <c r="P133" i="10"/>
  <c r="CK133" i="10"/>
  <c r="AQ133" i="10"/>
  <c r="AS133" i="10"/>
  <c r="AW133" i="10"/>
  <c r="AV133" i="10"/>
  <c r="AU133" i="10"/>
  <c r="AR133" i="10"/>
  <c r="AP133" i="10"/>
  <c r="AZ133" i="10"/>
  <c r="AY133" i="10"/>
  <c r="AS81" i="10"/>
  <c r="CK81" i="10"/>
  <c r="P81" i="10"/>
  <c r="CL81" i="10"/>
  <c r="AQ81" i="10"/>
  <c r="AU81" i="10"/>
  <c r="AV81" i="10"/>
  <c r="AW81" i="10"/>
  <c r="AX81" i="10"/>
  <c r="AY81" i="10"/>
  <c r="AP81" i="10"/>
  <c r="AZ81" i="10"/>
  <c r="AR81" i="10"/>
  <c r="K26" i="10"/>
  <c r="CE12" i="10"/>
  <c r="AO12" i="10"/>
  <c r="AC343" i="10"/>
  <c r="CN343" i="10"/>
  <c r="CM343" i="10"/>
  <c r="BR343" i="10"/>
  <c r="BZ343" i="10" s="1"/>
  <c r="CN77" i="10"/>
  <c r="BR77" i="10"/>
  <c r="BZ77" i="10" s="1"/>
  <c r="CM77" i="10"/>
  <c r="AC77" i="10"/>
  <c r="BG71" i="10"/>
  <c r="BF71" i="10"/>
  <c r="BE71" i="10"/>
  <c r="BC71" i="10"/>
  <c r="AR221" i="10"/>
  <c r="AQ221" i="10"/>
  <c r="AU221" i="10"/>
  <c r="CK221" i="10"/>
  <c r="AX221" i="10"/>
  <c r="AY221" i="10"/>
  <c r="AZ221" i="10"/>
  <c r="CL221" i="10"/>
  <c r="AW221" i="10"/>
  <c r="AV221" i="10"/>
  <c r="AP221" i="10"/>
  <c r="AS221" i="10"/>
  <c r="P221" i="10"/>
  <c r="CK336" i="10"/>
  <c r="CL336" i="10"/>
  <c r="P336" i="10"/>
  <c r="AV336" i="10"/>
  <c r="AU336" i="10"/>
  <c r="AY336" i="10"/>
  <c r="AS336" i="10"/>
  <c r="AQ336" i="10"/>
  <c r="AX336" i="10"/>
  <c r="AR336" i="10"/>
  <c r="AP336" i="10"/>
  <c r="AW336" i="10"/>
  <c r="AZ336" i="10"/>
  <c r="K342" i="10"/>
  <c r="CD342" i="10"/>
  <c r="BE174" i="10"/>
  <c r="BG174" i="10"/>
  <c r="BF174" i="10"/>
  <c r="BC174" i="10"/>
  <c r="BG217" i="10"/>
  <c r="BF217" i="10"/>
  <c r="BE217" i="10"/>
  <c r="BC217" i="10"/>
  <c r="BQ217" i="10"/>
  <c r="AU217" i="10"/>
  <c r="AZ217" i="10"/>
  <c r="CK217" i="10"/>
  <c r="AQ217" i="10"/>
  <c r="AP217" i="10"/>
  <c r="P217" i="10"/>
  <c r="AS217" i="10"/>
  <c r="AX217" i="10"/>
  <c r="AY217" i="10"/>
  <c r="AV217" i="10"/>
  <c r="AW217" i="10"/>
  <c r="AR217" i="10"/>
  <c r="CL217" i="10"/>
  <c r="AO155" i="10"/>
  <c r="CE155" i="10"/>
  <c r="CK329" i="10"/>
  <c r="CL329" i="10"/>
  <c r="P329" i="10"/>
  <c r="AU329" i="10"/>
  <c r="AV329" i="10"/>
  <c r="AP329" i="10"/>
  <c r="AZ329" i="10"/>
  <c r="AS329" i="10"/>
  <c r="AR329" i="10"/>
  <c r="AW329" i="10"/>
  <c r="AY329" i="10"/>
  <c r="AX329" i="10"/>
  <c r="AQ329" i="10"/>
  <c r="CM348" i="10"/>
  <c r="AC348" i="10"/>
  <c r="BR348" i="10"/>
  <c r="BZ348" i="10" s="1"/>
  <c r="CA348" i="10" s="1"/>
  <c r="CH348" i="10" s="1"/>
  <c r="CN348" i="10"/>
  <c r="AC105" i="10"/>
  <c r="CN105" i="10"/>
  <c r="BR105" i="10"/>
  <c r="BZ105" i="10" s="1"/>
  <c r="CM105" i="10"/>
  <c r="BG338" i="10"/>
  <c r="BE338" i="10"/>
  <c r="BF338" i="10"/>
  <c r="BC338" i="10"/>
  <c r="BH142" i="10"/>
  <c r="BR128" i="10"/>
  <c r="BZ128" i="10" s="1"/>
  <c r="AC128" i="10"/>
  <c r="CM128" i="10"/>
  <c r="CN128" i="10"/>
  <c r="CE52" i="10"/>
  <c r="AO52" i="10"/>
  <c r="BC29" i="10"/>
  <c r="BF29" i="10"/>
  <c r="BG29" i="10"/>
  <c r="BE29" i="10"/>
  <c r="CE60" i="10"/>
  <c r="AO60" i="10"/>
  <c r="CE64" i="10"/>
  <c r="AO64" i="10"/>
  <c r="BQ64" i="10"/>
  <c r="BG68" i="10"/>
  <c r="BC68" i="10"/>
  <c r="BF68" i="10"/>
  <c r="BE68" i="10"/>
  <c r="BR36" i="10"/>
  <c r="BZ36" i="10" s="1"/>
  <c r="CA36" i="10" s="1"/>
  <c r="CH36" i="10" s="1"/>
  <c r="AC36" i="10"/>
  <c r="CM36" i="10"/>
  <c r="CN36" i="10"/>
  <c r="BQ46" i="10"/>
  <c r="BR286" i="10"/>
  <c r="BZ286" i="10" s="1"/>
  <c r="CA286" i="10" s="1"/>
  <c r="CH286" i="10" s="1"/>
  <c r="AC286" i="10"/>
  <c r="CN286" i="10"/>
  <c r="CM286" i="10"/>
  <c r="CN215" i="10"/>
  <c r="BR215" i="10"/>
  <c r="BZ215" i="10" s="1"/>
  <c r="CA215" i="10" s="1"/>
  <c r="CH215" i="10" s="1"/>
  <c r="AC215" i="10"/>
  <c r="CM215" i="10"/>
  <c r="CN287" i="10"/>
  <c r="AC287" i="10"/>
  <c r="BR287" i="10"/>
  <c r="BZ287" i="10" s="1"/>
  <c r="CA287" i="10" s="1"/>
  <c r="CH287" i="10" s="1"/>
  <c r="CM287" i="10"/>
  <c r="BC347" i="10"/>
  <c r="BE347" i="10"/>
  <c r="BF347" i="10"/>
  <c r="BG347" i="10"/>
  <c r="CN238" i="10"/>
  <c r="AC238" i="10"/>
  <c r="BR238" i="10"/>
  <c r="BZ238" i="10" s="1"/>
  <c r="CM238" i="10"/>
  <c r="AC326" i="10"/>
  <c r="CN326" i="10"/>
  <c r="CM326" i="10"/>
  <c r="BR326" i="10"/>
  <c r="BZ326" i="10" s="1"/>
  <c r="CA326" i="10" s="1"/>
  <c r="CH326" i="10" s="1"/>
  <c r="AC92" i="10"/>
  <c r="CN92" i="10"/>
  <c r="CM92" i="10"/>
  <c r="BR92" i="10"/>
  <c r="BZ92" i="10" s="1"/>
  <c r="BC92" i="10"/>
  <c r="BF92" i="10"/>
  <c r="BE92" i="10"/>
  <c r="BG92" i="10"/>
  <c r="AY101" i="10"/>
  <c r="P101" i="10"/>
  <c r="CK101" i="10"/>
  <c r="CL101" i="10"/>
  <c r="AZ101" i="10"/>
  <c r="AS101" i="10"/>
  <c r="AR101" i="10"/>
  <c r="AU101" i="10"/>
  <c r="AV101" i="10"/>
  <c r="AW101" i="10"/>
  <c r="AP101" i="10"/>
  <c r="AX101" i="10"/>
  <c r="AQ101" i="10"/>
  <c r="BF43" i="10"/>
  <c r="BG43" i="10"/>
  <c r="BE43" i="10"/>
  <c r="BC43" i="10"/>
  <c r="CM83" i="10"/>
  <c r="AC83" i="10"/>
  <c r="BR83" i="10"/>
  <c r="BZ83" i="10" s="1"/>
  <c r="CN83" i="10"/>
  <c r="AC124" i="10"/>
  <c r="CN124" i="10"/>
  <c r="CM124" i="10"/>
  <c r="BR124" i="10"/>
  <c r="BZ124" i="10" s="1"/>
  <c r="CE74" i="10"/>
  <c r="AO74" i="10"/>
  <c r="CE127" i="10"/>
  <c r="AO127" i="10"/>
  <c r="P107" i="10"/>
  <c r="CK107" i="10"/>
  <c r="CL107" i="10"/>
  <c r="AR107" i="10"/>
  <c r="AY107" i="10"/>
  <c r="AX107" i="10"/>
  <c r="AW107" i="10"/>
  <c r="AZ107" i="10"/>
  <c r="AV107" i="10"/>
  <c r="AQ107" i="10"/>
  <c r="AS107" i="10"/>
  <c r="AP107" i="10"/>
  <c r="AU107" i="10"/>
  <c r="BQ45" i="10"/>
  <c r="AP73" i="10"/>
  <c r="CL73" i="10"/>
  <c r="P73" i="10"/>
  <c r="CK73" i="10"/>
  <c r="AU73" i="10"/>
  <c r="AX73" i="10"/>
  <c r="AY73" i="10"/>
  <c r="AV73" i="10"/>
  <c r="AQ73" i="10"/>
  <c r="AW73" i="10"/>
  <c r="AS73" i="10"/>
  <c r="AZ73" i="10"/>
  <c r="AR73" i="10"/>
  <c r="AC350" i="10"/>
  <c r="CM350" i="10"/>
  <c r="BR350" i="10"/>
  <c r="BZ350" i="10" s="1"/>
  <c r="CA350" i="10" s="1"/>
  <c r="CH350" i="10" s="1"/>
  <c r="CN350" i="10"/>
  <c r="CN71" i="10"/>
  <c r="BR71" i="10"/>
  <c r="BZ71" i="10" s="1"/>
  <c r="CM71" i="10"/>
  <c r="AC71" i="10"/>
  <c r="BQ43" i="10"/>
  <c r="CE51" i="10"/>
  <c r="AO51" i="10"/>
  <c r="AC206" i="10"/>
  <c r="CN206" i="10"/>
  <c r="CM206" i="10"/>
  <c r="BR206" i="10"/>
  <c r="BZ206" i="10" s="1"/>
  <c r="CA206" i="10" s="1"/>
  <c r="CH206" i="10" s="1"/>
  <c r="AZ209" i="10"/>
  <c r="AU209" i="10"/>
  <c r="AQ209" i="10"/>
  <c r="CK209" i="10"/>
  <c r="P209" i="10"/>
  <c r="AY209" i="10"/>
  <c r="AW209" i="10"/>
  <c r="AV209" i="10"/>
  <c r="AX209" i="10"/>
  <c r="AS209" i="10"/>
  <c r="AR209" i="10"/>
  <c r="CL209" i="10"/>
  <c r="AP209" i="10"/>
  <c r="BR336" i="10"/>
  <c r="BZ336" i="10" s="1"/>
  <c r="AC336" i="10"/>
  <c r="CM336" i="10"/>
  <c r="CN336" i="10"/>
  <c r="BE229" i="10"/>
  <c r="BF229" i="10"/>
  <c r="BG229" i="10"/>
  <c r="BC229" i="10"/>
  <c r="K229" i="10"/>
  <c r="CD229" i="10"/>
  <c r="CE7" i="10"/>
  <c r="AO7" i="10"/>
  <c r="K216" i="10"/>
  <c r="CD216" i="10"/>
  <c r="CE216" i="10"/>
  <c r="AO216" i="10"/>
  <c r="BF8" i="10"/>
  <c r="BE8" i="10"/>
  <c r="BG8" i="10"/>
  <c r="BC8" i="10"/>
  <c r="BQ164" i="10"/>
  <c r="AI232" i="10"/>
  <c r="AJ232" i="10"/>
  <c r="AK232" i="10" s="1"/>
  <c r="AI231" i="10"/>
  <c r="AJ231" i="10"/>
  <c r="AK231" i="10" s="1"/>
  <c r="AF148" i="10"/>
  <c r="AG148" i="10" s="1"/>
  <c r="AE148" i="10"/>
  <c r="K228" i="10"/>
  <c r="CD228" i="10"/>
  <c r="AP228" i="10"/>
  <c r="AZ228" i="10"/>
  <c r="AS228" i="10"/>
  <c r="AU228" i="10"/>
  <c r="AQ228" i="10"/>
  <c r="AW228" i="10"/>
  <c r="P228" i="10"/>
  <c r="AR228" i="10"/>
  <c r="CK228" i="10"/>
  <c r="AX228" i="10"/>
  <c r="AV228" i="10"/>
  <c r="AY228" i="10"/>
  <c r="CL228" i="10"/>
  <c r="BQ79" i="10"/>
  <c r="AU233" i="10"/>
  <c r="AP233" i="10"/>
  <c r="AQ233" i="10"/>
  <c r="P233" i="10"/>
  <c r="AS233" i="10"/>
  <c r="AR233" i="10"/>
  <c r="AX233" i="10"/>
  <c r="AY233" i="10"/>
  <c r="AZ233" i="10"/>
  <c r="CK233" i="10"/>
  <c r="CL233" i="10"/>
  <c r="AV233" i="10"/>
  <c r="AW233" i="10"/>
  <c r="AF149" i="10"/>
  <c r="AG149" i="10" s="1"/>
  <c r="AE149" i="10"/>
  <c r="BG129" i="10"/>
  <c r="BE129" i="10"/>
  <c r="BC129" i="10"/>
  <c r="BF129" i="10"/>
  <c r="CE123" i="10"/>
  <c r="AO123" i="10"/>
  <c r="CE30" i="10"/>
  <c r="AO30" i="10"/>
  <c r="AB151" i="10"/>
  <c r="AA151" i="10"/>
  <c r="CE332" i="10"/>
  <c r="AO332" i="10"/>
  <c r="CD332" i="10"/>
  <c r="K332" i="10"/>
  <c r="BG122" i="10"/>
  <c r="BF122" i="10"/>
  <c r="BE122" i="10"/>
  <c r="BC122" i="10"/>
  <c r="BR136" i="10"/>
  <c r="BZ136" i="10" s="1"/>
  <c r="CM136" i="10"/>
  <c r="CN136" i="10"/>
  <c r="AC136" i="10"/>
  <c r="CK90" i="10"/>
  <c r="CL90" i="10"/>
  <c r="P90" i="10"/>
  <c r="AV90" i="10"/>
  <c r="AR90" i="10"/>
  <c r="AZ90" i="10"/>
  <c r="AS90" i="10"/>
  <c r="AQ90" i="10"/>
  <c r="AU90" i="10"/>
  <c r="AP90" i="10"/>
  <c r="AX90" i="10"/>
  <c r="AW90" i="10"/>
  <c r="AY90" i="10"/>
  <c r="P154" i="10"/>
  <c r="CL154" i="10"/>
  <c r="AU154" i="10"/>
  <c r="AX154" i="10"/>
  <c r="AS154" i="10"/>
  <c r="AP154" i="10"/>
  <c r="AR154" i="10"/>
  <c r="CK154" i="10"/>
  <c r="AQ154" i="10"/>
  <c r="AY154" i="10"/>
  <c r="AV154" i="10"/>
  <c r="AW154" i="10"/>
  <c r="AZ154" i="10"/>
  <c r="CM223" i="10"/>
  <c r="CN223" i="10"/>
  <c r="AC223" i="10"/>
  <c r="BR223" i="10"/>
  <c r="BZ223" i="10" s="1"/>
  <c r="CN205" i="10"/>
  <c r="AC205" i="10"/>
  <c r="BR205" i="10"/>
  <c r="BZ205" i="10" s="1"/>
  <c r="CA205" i="10" s="1"/>
  <c r="CH205" i="10" s="1"/>
  <c r="CM205" i="10"/>
  <c r="CM289" i="10"/>
  <c r="AC289" i="10"/>
  <c r="CN289" i="10"/>
  <c r="BR289" i="10"/>
  <c r="BZ289" i="10" s="1"/>
  <c r="CA289" i="10" s="1"/>
  <c r="CH289" i="10" s="1"/>
  <c r="BR165" i="10"/>
  <c r="BZ165" i="10" s="1"/>
  <c r="CA165" i="10" s="1"/>
  <c r="CH165" i="10" s="1"/>
  <c r="AC165" i="10"/>
  <c r="CM165" i="10"/>
  <c r="CN165" i="10"/>
  <c r="CD57" i="10"/>
  <c r="K57" i="10"/>
  <c r="AB147" i="10"/>
  <c r="AA147" i="10"/>
  <c r="BQ105" i="10"/>
  <c r="BQ96" i="10"/>
  <c r="CD87" i="10"/>
  <c r="K87" i="10"/>
  <c r="BG106" i="10"/>
  <c r="BC106" i="10"/>
  <c r="BE106" i="10"/>
  <c r="BF106" i="10"/>
  <c r="BQ223" i="10"/>
  <c r="BH20" i="10"/>
  <c r="BH39" i="10"/>
  <c r="BE5" i="10"/>
  <c r="AO6" i="25"/>
  <c r="AG20" i="25"/>
  <c r="AA2" i="25"/>
  <c r="BG5" i="10"/>
  <c r="AG27" i="25"/>
  <c r="BE6" i="25"/>
  <c r="AO30" i="25"/>
  <c r="BE3" i="25"/>
  <c r="BE19" i="25"/>
  <c r="AK28" i="25"/>
  <c r="AO5" i="10"/>
  <c r="BE2" i="25"/>
  <c r="BE30" i="25"/>
  <c r="AK3" i="25"/>
  <c r="BQ5" i="10"/>
  <c r="AR19" i="25"/>
  <c r="AR30" i="25"/>
  <c r="Z30" i="25"/>
  <c r="BC5" i="10"/>
  <c r="AR2" i="25"/>
  <c r="AR6" i="25"/>
  <c r="AB6" i="25"/>
  <c r="AB20" i="25"/>
  <c r="AF3" i="25"/>
  <c r="AR20" i="25"/>
  <c r="AO2" i="25"/>
  <c r="AA20" i="25"/>
  <c r="AO7" i="25"/>
  <c r="AO29" i="25"/>
  <c r="BE7" i="25"/>
  <c r="AC26" i="25"/>
  <c r="AK4" i="25"/>
  <c r="AQ6" i="25"/>
  <c r="AP6" i="25"/>
  <c r="Z19" i="25"/>
  <c r="AI2" i="25"/>
  <c r="AB7" i="25"/>
  <c r="BB29" i="25"/>
  <c r="AF29" i="25"/>
  <c r="AF7" i="25"/>
  <c r="AO4" i="25"/>
  <c r="AF4" i="25"/>
  <c r="BR5" i="10"/>
  <c r="BZ5" i="10" s="1"/>
  <c r="CM5" i="10"/>
  <c r="CN5" i="10"/>
  <c r="AC5" i="10"/>
  <c r="AF2" i="25"/>
  <c r="AB30" i="25"/>
  <c r="AK6" i="25"/>
  <c r="AK19" i="25"/>
  <c r="Z20" i="25"/>
  <c r="AQ4" i="25"/>
  <c r="AP4" i="25"/>
  <c r="AB28" i="25"/>
  <c r="AK5" i="10"/>
  <c r="AQ2" i="25" s="1"/>
  <c r="AP2" i="25"/>
  <c r="AB29" i="25"/>
  <c r="AK30" i="25"/>
  <c r="AN6" i="25"/>
  <c r="AL6" i="25"/>
  <c r="CD5" i="10"/>
  <c r="K5" i="10"/>
  <c r="AN4" i="25"/>
  <c r="AL4" i="25"/>
  <c r="BE20" i="25"/>
  <c r="AB3" i="25"/>
  <c r="AN19" i="25"/>
  <c r="AL19" i="25"/>
  <c r="AA4" i="25"/>
  <c r="BB28" i="25"/>
  <c r="AO3" i="25"/>
  <c r="AN20" i="25"/>
  <c r="AL20" i="25"/>
  <c r="AN7" i="25"/>
  <c r="AL7" i="25"/>
  <c r="AN29" i="25"/>
  <c r="AL29" i="25"/>
  <c r="AR7" i="25"/>
  <c r="AA6" i="25"/>
  <c r="AR4" i="25"/>
  <c r="AK2" i="25"/>
  <c r="AF6" i="25"/>
  <c r="AQ20" i="25"/>
  <c r="AP20" i="25"/>
  <c r="J164" i="10"/>
  <c r="K164" i="10" s="1"/>
  <c r="AA7" i="25"/>
  <c r="AF30" i="25"/>
  <c r="AG5" i="10"/>
  <c r="AN2" i="25" s="1"/>
  <c r="AL2" i="25"/>
  <c r="AN3" i="25"/>
  <c r="AL3" i="25"/>
  <c r="AA3" i="25"/>
  <c r="BE4" i="25"/>
  <c r="CL5" i="10"/>
  <c r="CK5" i="10"/>
  <c r="AB2" i="25"/>
  <c r="P5" i="10"/>
  <c r="AY5" i="10"/>
  <c r="AV5" i="10"/>
  <c r="AW5" i="10"/>
  <c r="AU5" i="10"/>
  <c r="AQ5" i="10"/>
  <c r="AP5" i="10"/>
  <c r="AR5" i="10"/>
  <c r="AS5" i="10"/>
  <c r="AZ5" i="10"/>
  <c r="AX5" i="10"/>
  <c r="AQ30" i="25"/>
  <c r="AP30" i="25"/>
  <c r="AG26" i="25"/>
  <c r="AB4" i="25"/>
  <c r="AN28" i="25"/>
  <c r="AL28" i="25"/>
  <c r="AN30" i="25"/>
  <c r="AL30" i="25"/>
  <c r="AF19" i="25"/>
  <c r="AF28" i="25"/>
  <c r="AQ3" i="25"/>
  <c r="AP3" i="25"/>
  <c r="AM26" i="25"/>
  <c r="AO28" i="25"/>
  <c r="AA19" i="25"/>
  <c r="AQ7" i="25"/>
  <c r="AP7" i="25"/>
  <c r="AQ29" i="25"/>
  <c r="AP29" i="25"/>
  <c r="AK29" i="25"/>
  <c r="AK7" i="25"/>
  <c r="AM27" i="25"/>
  <c r="AQ28" i="25"/>
  <c r="AP28" i="25"/>
  <c r="AB19" i="25"/>
  <c r="AA30" i="25"/>
  <c r="AO19" i="25"/>
  <c r="AO20" i="25"/>
  <c r="AR3" i="25"/>
  <c r="AQ19" i="25"/>
  <c r="AP19" i="25"/>
  <c r="AT331" i="10" l="1"/>
  <c r="BB19" i="10"/>
  <c r="AH4" i="25"/>
  <c r="AH6" i="25"/>
  <c r="AH7" i="25"/>
  <c r="AI27" i="25"/>
  <c r="AH29" i="25"/>
  <c r="AH19" i="25"/>
  <c r="AI26" i="25"/>
  <c r="AH28" i="25"/>
  <c r="AC43" i="25"/>
  <c r="AH3" i="25"/>
  <c r="AH30" i="25"/>
  <c r="AI20" i="25"/>
  <c r="BB109" i="10"/>
  <c r="BI109" i="10" s="1"/>
  <c r="AT22" i="10"/>
  <c r="T22" i="10"/>
  <c r="R331" i="10"/>
  <c r="R22" i="10"/>
  <c r="Q22" i="10"/>
  <c r="BA22" i="10"/>
  <c r="T331" i="10"/>
  <c r="S331" i="10"/>
  <c r="AT29" i="10"/>
  <c r="S29" i="10"/>
  <c r="R29" i="10"/>
  <c r="Q29" i="10"/>
  <c r="T125" i="10"/>
  <c r="BH36" i="10"/>
  <c r="S125" i="10"/>
  <c r="AT125" i="10"/>
  <c r="BH74" i="10"/>
  <c r="BA125" i="10"/>
  <c r="BA29" i="10"/>
  <c r="R125" i="10"/>
  <c r="BH9" i="10"/>
  <c r="CA93" i="10"/>
  <c r="CH93" i="10" s="1"/>
  <c r="CA83" i="10"/>
  <c r="CH83" i="10" s="1"/>
  <c r="CA174" i="10"/>
  <c r="CH174" i="10" s="1"/>
  <c r="CA136" i="10"/>
  <c r="CH136" i="10" s="1"/>
  <c r="BB37" i="10"/>
  <c r="CA86" i="10"/>
  <c r="CH86" i="10" s="1"/>
  <c r="CA219" i="10"/>
  <c r="CH219" i="10" s="1"/>
  <c r="BB41" i="10"/>
  <c r="BA331" i="10"/>
  <c r="BB331" i="10" s="1"/>
  <c r="CA216" i="10"/>
  <c r="CH216" i="10" s="1"/>
  <c r="CA334" i="10"/>
  <c r="CH334" i="10" s="1"/>
  <c r="S104" i="10"/>
  <c r="AT44" i="10"/>
  <c r="CA220" i="10"/>
  <c r="CH220" i="10" s="1"/>
  <c r="BH25" i="10"/>
  <c r="BB34" i="10"/>
  <c r="CA7" i="10"/>
  <c r="CH7" i="10" s="1"/>
  <c r="Q83" i="10"/>
  <c r="CO22" i="10"/>
  <c r="BH126" i="10"/>
  <c r="T83" i="10"/>
  <c r="BB119" i="10"/>
  <c r="BI119" i="10" s="1"/>
  <c r="CA223" i="10"/>
  <c r="CH223" i="10" s="1"/>
  <c r="CA92" i="10"/>
  <c r="CH92" i="10" s="1"/>
  <c r="S83" i="10"/>
  <c r="BB17" i="10"/>
  <c r="BH69" i="10"/>
  <c r="BB18" i="10"/>
  <c r="BI18" i="10" s="1"/>
  <c r="BA104" i="10"/>
  <c r="BH37" i="10"/>
  <c r="CA28" i="10"/>
  <c r="CH28" i="10" s="1"/>
  <c r="CA133" i="10"/>
  <c r="CH133" i="10" s="1"/>
  <c r="BH15" i="10"/>
  <c r="CA221" i="10"/>
  <c r="CH221" i="10" s="1"/>
  <c r="BH133" i="10"/>
  <c r="BH327" i="10"/>
  <c r="CA224" i="10"/>
  <c r="CH224" i="10" s="1"/>
  <c r="CA9" i="10"/>
  <c r="CH9" i="10" s="1"/>
  <c r="CO330" i="10"/>
  <c r="R104" i="10"/>
  <c r="CA87" i="10"/>
  <c r="CH87" i="10" s="1"/>
  <c r="CA25" i="10"/>
  <c r="CH25" i="10" s="1"/>
  <c r="T104" i="10"/>
  <c r="CA228" i="10"/>
  <c r="CH228" i="10" s="1"/>
  <c r="AT104" i="10"/>
  <c r="BB104" i="10" s="1"/>
  <c r="BI104" i="10" s="1"/>
  <c r="CA89" i="10"/>
  <c r="CH89" i="10" s="1"/>
  <c r="CA22" i="10"/>
  <c r="BH13" i="10"/>
  <c r="BB346" i="10"/>
  <c r="BH42" i="10"/>
  <c r="CA54" i="10"/>
  <c r="CH54" i="10" s="1"/>
  <c r="CA168" i="10"/>
  <c r="CH168" i="10" s="1"/>
  <c r="BH27" i="10"/>
  <c r="CA238" i="10"/>
  <c r="CH238" i="10" s="1"/>
  <c r="CA217" i="10"/>
  <c r="CH217" i="10" s="1"/>
  <c r="CA15" i="10"/>
  <c r="CH15" i="10" s="1"/>
  <c r="CA67" i="10"/>
  <c r="CH67" i="10" s="1"/>
  <c r="CA60" i="10"/>
  <c r="CH60" i="10" s="1"/>
  <c r="CA131" i="10"/>
  <c r="CH131" i="10" s="1"/>
  <c r="CA333" i="10"/>
  <c r="CH333" i="10" s="1"/>
  <c r="BH61" i="10"/>
  <c r="BH120" i="10"/>
  <c r="BH26" i="10"/>
  <c r="BH140" i="10"/>
  <c r="CA66" i="10"/>
  <c r="CH66" i="10" s="1"/>
  <c r="CA96" i="10"/>
  <c r="CH96" i="10" s="1"/>
  <c r="CO230" i="10"/>
  <c r="CO6" i="10"/>
  <c r="CA335" i="10"/>
  <c r="CH335" i="10" s="1"/>
  <c r="CA26" i="10"/>
  <c r="CH26" i="10" s="1"/>
  <c r="CA98" i="10"/>
  <c r="CH98" i="10" s="1"/>
  <c r="CA332" i="10"/>
  <c r="CH332" i="10" s="1"/>
  <c r="CA120" i="10"/>
  <c r="CH120" i="10" s="1"/>
  <c r="CO342" i="10"/>
  <c r="CA42" i="10"/>
  <c r="CH42" i="10" s="1"/>
  <c r="CA162" i="10"/>
  <c r="CH162" i="10" s="1"/>
  <c r="CA62" i="10"/>
  <c r="CH62" i="10" s="1"/>
  <c r="AT35" i="10"/>
  <c r="AT164" i="10"/>
  <c r="BH334" i="10"/>
  <c r="BH51" i="10"/>
  <c r="CA77" i="10"/>
  <c r="CH77" i="10" s="1"/>
  <c r="CO224" i="10"/>
  <c r="CA63" i="10"/>
  <c r="CH63" i="10" s="1"/>
  <c r="CO168" i="10"/>
  <c r="CA56" i="10"/>
  <c r="CH56" i="10" s="1"/>
  <c r="CA88" i="10"/>
  <c r="CH88" i="10" s="1"/>
  <c r="CO334" i="10"/>
  <c r="CA68" i="10"/>
  <c r="CH68" i="10" s="1"/>
  <c r="CA140" i="10"/>
  <c r="CH140" i="10" s="1"/>
  <c r="CA14" i="10"/>
  <c r="CH14" i="10" s="1"/>
  <c r="CO234" i="10"/>
  <c r="CO41" i="10"/>
  <c r="CO135" i="10"/>
  <c r="CO57" i="10"/>
  <c r="BH131" i="10"/>
  <c r="BH83" i="10"/>
  <c r="BH45" i="10"/>
  <c r="CA226" i="10"/>
  <c r="CH226" i="10" s="1"/>
  <c r="CA43" i="10"/>
  <c r="CH43" i="10" s="1"/>
  <c r="CA128" i="10"/>
  <c r="CH128" i="10" s="1"/>
  <c r="CA84" i="10"/>
  <c r="CH84" i="10" s="1"/>
  <c r="CA127" i="10"/>
  <c r="CH127" i="10" s="1"/>
  <c r="CO28" i="10"/>
  <c r="CO86" i="10"/>
  <c r="CA173" i="10"/>
  <c r="CH173" i="10" s="1"/>
  <c r="CO18" i="10"/>
  <c r="CA61" i="10"/>
  <c r="CH61" i="10" s="1"/>
  <c r="CA106" i="10"/>
  <c r="CH106" i="10" s="1"/>
  <c r="CO333" i="10"/>
  <c r="AT167" i="10"/>
  <c r="BH62" i="10"/>
  <c r="CO119" i="10"/>
  <c r="CO199" i="10"/>
  <c r="CO16" i="10"/>
  <c r="CO320" i="10"/>
  <c r="CP320" i="10" s="1"/>
  <c r="AY320" i="1" s="1"/>
  <c r="CA10" i="10"/>
  <c r="CH10" i="10" s="1"/>
  <c r="BH56" i="10"/>
  <c r="BH344" i="10"/>
  <c r="CA200" i="10"/>
  <c r="CH200" i="10" s="1"/>
  <c r="CA80" i="10"/>
  <c r="CH80" i="10" s="1"/>
  <c r="CA85" i="10"/>
  <c r="CH85" i="10" s="1"/>
  <c r="CO126" i="10"/>
  <c r="CA65" i="10"/>
  <c r="CH65" i="10" s="1"/>
  <c r="CO121" i="10"/>
  <c r="BH52" i="10"/>
  <c r="BH16" i="10"/>
  <c r="CO237" i="10"/>
  <c r="CO80" i="10"/>
  <c r="CO173" i="10"/>
  <c r="CO35" i="10"/>
  <c r="CO161" i="10"/>
  <c r="AT91" i="10"/>
  <c r="CO171" i="10"/>
  <c r="AT60" i="10"/>
  <c r="CA45" i="10"/>
  <c r="CH45" i="10" s="1"/>
  <c r="AT133" i="10"/>
  <c r="AT122" i="10"/>
  <c r="CO341" i="10"/>
  <c r="CA222" i="10"/>
  <c r="CH222" i="10" s="1"/>
  <c r="CO130" i="10"/>
  <c r="AT234" i="10"/>
  <c r="CA76" i="10"/>
  <c r="CH76" i="10" s="1"/>
  <c r="AT23" i="10"/>
  <c r="AT171" i="10"/>
  <c r="CO259" i="10"/>
  <c r="AT259" i="10"/>
  <c r="AT58" i="10"/>
  <c r="AT322" i="10"/>
  <c r="BA83" i="10"/>
  <c r="BB103" i="10"/>
  <c r="BI103" i="10" s="1"/>
  <c r="CO229" i="10"/>
  <c r="AT65" i="10"/>
  <c r="BH234" i="10"/>
  <c r="CA336" i="10"/>
  <c r="CH336" i="10" s="1"/>
  <c r="CA71" i="10"/>
  <c r="CH71" i="10" s="1"/>
  <c r="CO83" i="10"/>
  <c r="CO85" i="10"/>
  <c r="CO51" i="10"/>
  <c r="CO63" i="10"/>
  <c r="CO220" i="10"/>
  <c r="AT220" i="10"/>
  <c r="CO235" i="10"/>
  <c r="CO93" i="10"/>
  <c r="CO49" i="10"/>
  <c r="CO347" i="10"/>
  <c r="CO48" i="10"/>
  <c r="CO302" i="10"/>
  <c r="CP302" i="10" s="1"/>
  <c r="AY302" i="1" s="1"/>
  <c r="AT213" i="10"/>
  <c r="AT310" i="10"/>
  <c r="CO103" i="10"/>
  <c r="BA224" i="10"/>
  <c r="AT121" i="10"/>
  <c r="BA35" i="10"/>
  <c r="AT184" i="10"/>
  <c r="BH336" i="10"/>
  <c r="CO74" i="10"/>
  <c r="BA44" i="10"/>
  <c r="BA105" i="10"/>
  <c r="AT83" i="10"/>
  <c r="CO81" i="10"/>
  <c r="CO61" i="10"/>
  <c r="BA107" i="10"/>
  <c r="CO217" i="10"/>
  <c r="CO67" i="10"/>
  <c r="CO39" i="10"/>
  <c r="CO45" i="10"/>
  <c r="CO218" i="10"/>
  <c r="CA153" i="10"/>
  <c r="CH153" i="10" s="1"/>
  <c r="BH73" i="10"/>
  <c r="BA53" i="10"/>
  <c r="AT301" i="10"/>
  <c r="CO82" i="10"/>
  <c r="CA199" i="10"/>
  <c r="CH199" i="10" s="1"/>
  <c r="CO260" i="10"/>
  <c r="CO219" i="10"/>
  <c r="CO87" i="10"/>
  <c r="AT208" i="10"/>
  <c r="BA24" i="10"/>
  <c r="CO55" i="10"/>
  <c r="CO26" i="10"/>
  <c r="CO174" i="10"/>
  <c r="AT161" i="10"/>
  <c r="BA60" i="10"/>
  <c r="CO25" i="10"/>
  <c r="BA86" i="10"/>
  <c r="CA101" i="10"/>
  <c r="CH101" i="10" s="1"/>
  <c r="CO329" i="10"/>
  <c r="AT107" i="10"/>
  <c r="CO17" i="10"/>
  <c r="CO8" i="10"/>
  <c r="CO59" i="10"/>
  <c r="CO69" i="10"/>
  <c r="CO109" i="10"/>
  <c r="CO239" i="10"/>
  <c r="BH337" i="10"/>
  <c r="CO129" i="10"/>
  <c r="CO88" i="10"/>
  <c r="BH222" i="10"/>
  <c r="CO201" i="10"/>
  <c r="CO72" i="10"/>
  <c r="CO120" i="10"/>
  <c r="BH224" i="10"/>
  <c r="BH220" i="10"/>
  <c r="CO68" i="10"/>
  <c r="CO32" i="10"/>
  <c r="CO172" i="10"/>
  <c r="BA330" i="10"/>
  <c r="CA327" i="10"/>
  <c r="CH327" i="10" s="1"/>
  <c r="AT132" i="10"/>
  <c r="BH14" i="10"/>
  <c r="BH343" i="10"/>
  <c r="AT100" i="10"/>
  <c r="BH35" i="10"/>
  <c r="CA55" i="10"/>
  <c r="CH55" i="10" s="1"/>
  <c r="AT55" i="10"/>
  <c r="CO336" i="10"/>
  <c r="CO194" i="10"/>
  <c r="CO312" i="10"/>
  <c r="CO170" i="10"/>
  <c r="CO206" i="10"/>
  <c r="CA82" i="10"/>
  <c r="CH82" i="10" s="1"/>
  <c r="CA123" i="10"/>
  <c r="CH123" i="10" s="1"/>
  <c r="CO335" i="10"/>
  <c r="CO44" i="10"/>
  <c r="CO92" i="10"/>
  <c r="CA343" i="10"/>
  <c r="CH343" i="10" s="1"/>
  <c r="CO343" i="10"/>
  <c r="CO78" i="10"/>
  <c r="BH99" i="10"/>
  <c r="CO212" i="10"/>
  <c r="CO238" i="10"/>
  <c r="CA16" i="10"/>
  <c r="CH16" i="10" s="1"/>
  <c r="CO127" i="10"/>
  <c r="CO71" i="10"/>
  <c r="AT280" i="10"/>
  <c r="CO280" i="10"/>
  <c r="CO62" i="10"/>
  <c r="CO118" i="10"/>
  <c r="BH75" i="10"/>
  <c r="BH230" i="10"/>
  <c r="AT333" i="10"/>
  <c r="CO65" i="10"/>
  <c r="BA308" i="10"/>
  <c r="AT308" i="10"/>
  <c r="AT124" i="10"/>
  <c r="CO124" i="10"/>
  <c r="CO14" i="10"/>
  <c r="AT186" i="10"/>
  <c r="AT169" i="10"/>
  <c r="BA289" i="10"/>
  <c r="BA219" i="10"/>
  <c r="BA167" i="10"/>
  <c r="CO167" i="10"/>
  <c r="BH70" i="10"/>
  <c r="BH48" i="10"/>
  <c r="BH57" i="10"/>
  <c r="CA233" i="10"/>
  <c r="CH233" i="10" s="1"/>
  <c r="BH89" i="10"/>
  <c r="BH127" i="10"/>
  <c r="AT92" i="10"/>
  <c r="BA54" i="10"/>
  <c r="CO54" i="10"/>
  <c r="CO136" i="10"/>
  <c r="AT97" i="10"/>
  <c r="CO97" i="10"/>
  <c r="AT26" i="10"/>
  <c r="CA155" i="10"/>
  <c r="CH155" i="10" s="1"/>
  <c r="BH173" i="10"/>
  <c r="BA163" i="10"/>
  <c r="AT165" i="10"/>
  <c r="CA121" i="10"/>
  <c r="CH121" i="10" s="1"/>
  <c r="BA139" i="10"/>
  <c r="CO216" i="10"/>
  <c r="CO228" i="10"/>
  <c r="CA230" i="10"/>
  <c r="CH230" i="10" s="1"/>
  <c r="CA57" i="10"/>
  <c r="CH57" i="10" s="1"/>
  <c r="BH346" i="10"/>
  <c r="BH30" i="10"/>
  <c r="AT224" i="10"/>
  <c r="BH235" i="10"/>
  <c r="BQ149" i="10"/>
  <c r="CO154" i="10"/>
  <c r="CO90" i="10"/>
  <c r="CO221" i="10"/>
  <c r="BA113" i="10"/>
  <c r="CO113" i="10"/>
  <c r="AT307" i="10"/>
  <c r="BA345" i="10"/>
  <c r="CO345" i="10"/>
  <c r="CO76" i="10"/>
  <c r="CO34" i="10"/>
  <c r="CO37" i="10"/>
  <c r="BA280" i="10"/>
  <c r="BA20" i="10"/>
  <c r="CO339" i="10"/>
  <c r="BA351" i="10"/>
  <c r="AT351" i="10"/>
  <c r="BH63" i="10"/>
  <c r="CA81" i="10"/>
  <c r="CH81" i="10" s="1"/>
  <c r="CO188" i="10"/>
  <c r="AT129" i="10"/>
  <c r="CO128" i="10"/>
  <c r="BA162" i="10"/>
  <c r="CO162" i="10"/>
  <c r="AT137" i="10"/>
  <c r="BA88" i="10"/>
  <c r="BQ232" i="10"/>
  <c r="CO309" i="10"/>
  <c r="CP309" i="10" s="1"/>
  <c r="AY309" i="1" s="1"/>
  <c r="CO314" i="10"/>
  <c r="BH330" i="10"/>
  <c r="BH49" i="10"/>
  <c r="AT38" i="10"/>
  <c r="BH331" i="10"/>
  <c r="CO56" i="10"/>
  <c r="CO236" i="10"/>
  <c r="CP236" i="10" s="1"/>
  <c r="AY236" i="1" s="1"/>
  <c r="CO29" i="10"/>
  <c r="CO211" i="10"/>
  <c r="CP211" i="10" s="1"/>
  <c r="AY211" i="1" s="1"/>
  <c r="BH98" i="10"/>
  <c r="CO132" i="10"/>
  <c r="AT303" i="10"/>
  <c r="CO303" i="10"/>
  <c r="AT111" i="10"/>
  <c r="AT286" i="10"/>
  <c r="BA94" i="10"/>
  <c r="AT94" i="10"/>
  <c r="CA12" i="10"/>
  <c r="CH12" i="10" s="1"/>
  <c r="BH340" i="10"/>
  <c r="CO75" i="10"/>
  <c r="BA70" i="10"/>
  <c r="CO285" i="10"/>
  <c r="AT12" i="10"/>
  <c r="CO153" i="10"/>
  <c r="CO9" i="10"/>
  <c r="BH24" i="10"/>
  <c r="BA25" i="10"/>
  <c r="BA343" i="10"/>
  <c r="CO91" i="10"/>
  <c r="AT334" i="10"/>
  <c r="AT340" i="10"/>
  <c r="CO33" i="10"/>
  <c r="CO214" i="10"/>
  <c r="AT166" i="10"/>
  <c r="AT46" i="10"/>
  <c r="CO99" i="10"/>
  <c r="CO23" i="10"/>
  <c r="CO79" i="10"/>
  <c r="BH91" i="10"/>
  <c r="AT163" i="10"/>
  <c r="AT135" i="10"/>
  <c r="CA95" i="10"/>
  <c r="CH95" i="10" s="1"/>
  <c r="AT313" i="10"/>
  <c r="CO226" i="10"/>
  <c r="CA59" i="10"/>
  <c r="CH59" i="10" s="1"/>
  <c r="BA27" i="10"/>
  <c r="CO27" i="10"/>
  <c r="CO52" i="10"/>
  <c r="AT14" i="10"/>
  <c r="BH122" i="10"/>
  <c r="BH129" i="10"/>
  <c r="CO233" i="10"/>
  <c r="AT101" i="10"/>
  <c r="CO101" i="10"/>
  <c r="AT217" i="10"/>
  <c r="AT221" i="10"/>
  <c r="CO77" i="10"/>
  <c r="AT81" i="10"/>
  <c r="BA133" i="10"/>
  <c r="BA85" i="10"/>
  <c r="CO13" i="10"/>
  <c r="CO122" i="10"/>
  <c r="BH44" i="10"/>
  <c r="CO102" i="10"/>
  <c r="BA96" i="10"/>
  <c r="CO96" i="10"/>
  <c r="BH96" i="10"/>
  <c r="AT49" i="10"/>
  <c r="AT347" i="10"/>
  <c r="BA6" i="10"/>
  <c r="CO288" i="10"/>
  <c r="BA213" i="10"/>
  <c r="CO323" i="10"/>
  <c r="BA180" i="10"/>
  <c r="BA189" i="10"/>
  <c r="CO182" i="10"/>
  <c r="AT182" i="10"/>
  <c r="AT98" i="10"/>
  <c r="CO98" i="10"/>
  <c r="AT76" i="10"/>
  <c r="AT168" i="10"/>
  <c r="CO155" i="10"/>
  <c r="CO176" i="10"/>
  <c r="BA237" i="10"/>
  <c r="CO10" i="10"/>
  <c r="AT123" i="10"/>
  <c r="CO223" i="10"/>
  <c r="CA8" i="10"/>
  <c r="CH8" i="10" s="1"/>
  <c r="CO349" i="10"/>
  <c r="CO337" i="10"/>
  <c r="AT50" i="10"/>
  <c r="CO50" i="10"/>
  <c r="CO131" i="10"/>
  <c r="CO53" i="10"/>
  <c r="AT64" i="10"/>
  <c r="CO64" i="10"/>
  <c r="CO332" i="10"/>
  <c r="AT193" i="10"/>
  <c r="CO301" i="10"/>
  <c r="AT77" i="10"/>
  <c r="BA106" i="10"/>
  <c r="CO106" i="10"/>
  <c r="CO111" i="10"/>
  <c r="CO42" i="10"/>
  <c r="AT40" i="10"/>
  <c r="AT105" i="10"/>
  <c r="CO105" i="10"/>
  <c r="CO19" i="10"/>
  <c r="AT70" i="10"/>
  <c r="BA208" i="10"/>
  <c r="CO12" i="10"/>
  <c r="CO222" i="10"/>
  <c r="BA116" i="10"/>
  <c r="CO191" i="10"/>
  <c r="AT214" i="10"/>
  <c r="CO46" i="10"/>
  <c r="CO327" i="10"/>
  <c r="AT192" i="10"/>
  <c r="AT108" i="10"/>
  <c r="AT95" i="10"/>
  <c r="CO95" i="10"/>
  <c r="CA234" i="10"/>
  <c r="CH234" i="10" s="1"/>
  <c r="CO328" i="10"/>
  <c r="AT139" i="10"/>
  <c r="BA79" i="10"/>
  <c r="BA287" i="10"/>
  <c r="BA227" i="10"/>
  <c r="CO200" i="10"/>
  <c r="AT140" i="10"/>
  <c r="CO140" i="10"/>
  <c r="AT178" i="10"/>
  <c r="BA348" i="10"/>
  <c r="AT206" i="10"/>
  <c r="T288" i="10"/>
  <c r="S288" i="10"/>
  <c r="Q288" i="10"/>
  <c r="R288" i="10"/>
  <c r="T219" i="10"/>
  <c r="Q219" i="10"/>
  <c r="S219" i="10"/>
  <c r="R219" i="10"/>
  <c r="Q285" i="10"/>
  <c r="S285" i="10"/>
  <c r="R285" i="10"/>
  <c r="T285" i="10"/>
  <c r="T142" i="10"/>
  <c r="R142" i="10"/>
  <c r="Q142" i="10"/>
  <c r="S142" i="10"/>
  <c r="BA55" i="10"/>
  <c r="R196" i="10"/>
  <c r="S196" i="10"/>
  <c r="Q196" i="10"/>
  <c r="T196" i="10"/>
  <c r="S89" i="10"/>
  <c r="Q89" i="10"/>
  <c r="R89" i="10"/>
  <c r="T89" i="10"/>
  <c r="Q153" i="10"/>
  <c r="R153" i="10"/>
  <c r="T153" i="10"/>
  <c r="S153" i="10"/>
  <c r="CO281" i="10"/>
  <c r="Q247" i="10"/>
  <c r="R247" i="10"/>
  <c r="T247" i="10"/>
  <c r="S247" i="10"/>
  <c r="AT247" i="10"/>
  <c r="CA30" i="10"/>
  <c r="CH30" i="10" s="1"/>
  <c r="AT191" i="10"/>
  <c r="Q25" i="10"/>
  <c r="T25" i="10"/>
  <c r="R25" i="10"/>
  <c r="S25" i="10"/>
  <c r="R43" i="10"/>
  <c r="Q43" i="10"/>
  <c r="S43" i="10"/>
  <c r="T43" i="10"/>
  <c r="AT218" i="10"/>
  <c r="Q327" i="10"/>
  <c r="T327" i="10"/>
  <c r="S327" i="10"/>
  <c r="R327" i="10"/>
  <c r="BA23" i="10"/>
  <c r="BA75" i="10"/>
  <c r="CO192" i="10"/>
  <c r="BA131" i="10"/>
  <c r="BA135" i="10"/>
  <c r="R112" i="10"/>
  <c r="Q112" i="10"/>
  <c r="S112" i="10"/>
  <c r="T112" i="10"/>
  <c r="CO114" i="10"/>
  <c r="CA91" i="10"/>
  <c r="CH91" i="10" s="1"/>
  <c r="CO139" i="10"/>
  <c r="CO195" i="10"/>
  <c r="R30" i="10"/>
  <c r="S30" i="10"/>
  <c r="T30" i="10"/>
  <c r="Q30" i="10"/>
  <c r="BQ147" i="10"/>
  <c r="R79" i="10"/>
  <c r="T79" i="10"/>
  <c r="Q79" i="10"/>
  <c r="S79" i="10"/>
  <c r="AT27" i="10"/>
  <c r="T7" i="10"/>
  <c r="R7" i="10"/>
  <c r="Q7" i="10"/>
  <c r="S7" i="10"/>
  <c r="AT52" i="10"/>
  <c r="CO338" i="10"/>
  <c r="R14" i="10"/>
  <c r="T14" i="10"/>
  <c r="S14" i="10"/>
  <c r="Q14" i="10"/>
  <c r="R173" i="10"/>
  <c r="S173" i="10"/>
  <c r="Q173" i="10"/>
  <c r="T173" i="10"/>
  <c r="R200" i="10"/>
  <c r="S200" i="10"/>
  <c r="Q200" i="10"/>
  <c r="T200" i="10"/>
  <c r="S15" i="10"/>
  <c r="Q15" i="10"/>
  <c r="R15" i="10"/>
  <c r="T15" i="10"/>
  <c r="T293" i="10"/>
  <c r="S293" i="10"/>
  <c r="Q293" i="10"/>
  <c r="R293" i="10"/>
  <c r="CO293" i="10"/>
  <c r="CA235" i="10"/>
  <c r="CH235" i="10" s="1"/>
  <c r="T45" i="10"/>
  <c r="Q45" i="10"/>
  <c r="S45" i="10"/>
  <c r="R45" i="10"/>
  <c r="R178" i="10"/>
  <c r="T178" i="10"/>
  <c r="Q178" i="10"/>
  <c r="S178" i="10"/>
  <c r="BG231" i="10"/>
  <c r="BE231" i="10"/>
  <c r="BF231" i="10"/>
  <c r="BC231" i="10"/>
  <c r="K231" i="10"/>
  <c r="CD231" i="10"/>
  <c r="CE231" i="10"/>
  <c r="AO231" i="10"/>
  <c r="BA154" i="10"/>
  <c r="BA217" i="10"/>
  <c r="Q298" i="10"/>
  <c r="R298" i="10"/>
  <c r="S298" i="10"/>
  <c r="T298" i="10"/>
  <c r="Q240" i="10"/>
  <c r="R240" i="10"/>
  <c r="T240" i="10"/>
  <c r="S240" i="10"/>
  <c r="AT240" i="10"/>
  <c r="AT31" i="10"/>
  <c r="CO305" i="10"/>
  <c r="CO213" i="10"/>
  <c r="BG151" i="10"/>
  <c r="BC151" i="10"/>
  <c r="BF151" i="10"/>
  <c r="BE151" i="10"/>
  <c r="Q39" i="10"/>
  <c r="R39" i="10"/>
  <c r="S39" i="10"/>
  <c r="T39" i="10"/>
  <c r="S179" i="10"/>
  <c r="Q179" i="10"/>
  <c r="R179" i="10"/>
  <c r="T179" i="10"/>
  <c r="S237" i="10"/>
  <c r="T237" i="10"/>
  <c r="Q237" i="10"/>
  <c r="R237" i="10"/>
  <c r="Q28" i="10"/>
  <c r="S28" i="10"/>
  <c r="T28" i="10"/>
  <c r="R28" i="10"/>
  <c r="BA129" i="10"/>
  <c r="T10" i="10"/>
  <c r="S10" i="10"/>
  <c r="Q10" i="10"/>
  <c r="R10" i="10"/>
  <c r="T123" i="10"/>
  <c r="R123" i="10"/>
  <c r="S123" i="10"/>
  <c r="Q123" i="10"/>
  <c r="BC148" i="10"/>
  <c r="BF148" i="10"/>
  <c r="BG148" i="10"/>
  <c r="BE148" i="10"/>
  <c r="S326" i="10"/>
  <c r="Q326" i="10"/>
  <c r="T326" i="10"/>
  <c r="R326" i="10"/>
  <c r="R33" i="10"/>
  <c r="S33" i="10"/>
  <c r="Q33" i="10"/>
  <c r="T33" i="10"/>
  <c r="S80" i="10"/>
  <c r="Q80" i="10"/>
  <c r="T80" i="10"/>
  <c r="R80" i="10"/>
  <c r="R53" i="10"/>
  <c r="Q53" i="10"/>
  <c r="S53" i="10"/>
  <c r="T53" i="10"/>
  <c r="CH22" i="10"/>
  <c r="BA38" i="10"/>
  <c r="S328" i="10"/>
  <c r="R328" i="10"/>
  <c r="Q328" i="10"/>
  <c r="T328" i="10"/>
  <c r="CO274" i="10"/>
  <c r="R141" i="10"/>
  <c r="Q141" i="10"/>
  <c r="S141" i="10"/>
  <c r="T141" i="10"/>
  <c r="BA111" i="10"/>
  <c r="AT42" i="10"/>
  <c r="S8" i="10"/>
  <c r="Q8" i="10"/>
  <c r="T8" i="10"/>
  <c r="R8" i="10"/>
  <c r="CO208" i="10"/>
  <c r="AT74" i="10"/>
  <c r="Q207" i="10"/>
  <c r="S207" i="10"/>
  <c r="R207" i="10"/>
  <c r="T207" i="10"/>
  <c r="BH106" i="10"/>
  <c r="AT154" i="10"/>
  <c r="T90" i="10"/>
  <c r="S90" i="10"/>
  <c r="Q90" i="10"/>
  <c r="R90" i="10"/>
  <c r="BA233" i="10"/>
  <c r="AT228" i="10"/>
  <c r="T101" i="10"/>
  <c r="R101" i="10"/>
  <c r="S101" i="10"/>
  <c r="Q101" i="10"/>
  <c r="BH29" i="10"/>
  <c r="BH338" i="10"/>
  <c r="AT329" i="10"/>
  <c r="BA336" i="10"/>
  <c r="BA81" i="10"/>
  <c r="Q133" i="10"/>
  <c r="R133" i="10"/>
  <c r="T133" i="10"/>
  <c r="S133" i="10"/>
  <c r="BH219" i="10"/>
  <c r="AT298" i="10"/>
  <c r="AT299" i="10"/>
  <c r="BA122" i="10"/>
  <c r="BA185" i="10"/>
  <c r="CO185" i="10"/>
  <c r="CA69" i="10"/>
  <c r="CH69" i="10" s="1"/>
  <c r="R113" i="10"/>
  <c r="Q113" i="10"/>
  <c r="T113" i="10"/>
  <c r="S113" i="10"/>
  <c r="BA315" i="10"/>
  <c r="CO315" i="10"/>
  <c r="T205" i="10"/>
  <c r="R205" i="10"/>
  <c r="Q205" i="10"/>
  <c r="S205" i="10"/>
  <c r="BA230" i="10"/>
  <c r="Q345" i="10"/>
  <c r="T345" i="10"/>
  <c r="S345" i="10"/>
  <c r="R345" i="10"/>
  <c r="AT110" i="10"/>
  <c r="S110" i="10"/>
  <c r="Q110" i="10"/>
  <c r="T110" i="10"/>
  <c r="R110" i="10"/>
  <c r="BH351" i="10"/>
  <c r="AC150" i="10"/>
  <c r="CN150" i="10"/>
  <c r="BR150" i="10"/>
  <c r="BZ150" i="10" s="1"/>
  <c r="CM150" i="10"/>
  <c r="BH95" i="10"/>
  <c r="BA63" i="10"/>
  <c r="BA220" i="10"/>
  <c r="CO240" i="10"/>
  <c r="AT127" i="10"/>
  <c r="AT102" i="10"/>
  <c r="BA31" i="10"/>
  <c r="BH349" i="10"/>
  <c r="T190" i="10"/>
  <c r="Q190" i="10"/>
  <c r="S190" i="10"/>
  <c r="R190" i="10"/>
  <c r="AT6" i="10"/>
  <c r="AT305" i="10"/>
  <c r="AT199" i="10"/>
  <c r="AT59" i="10"/>
  <c r="AT187" i="10"/>
  <c r="CO180" i="10"/>
  <c r="Q180" i="10"/>
  <c r="S180" i="10"/>
  <c r="R180" i="10"/>
  <c r="T180" i="10"/>
  <c r="CO189" i="10"/>
  <c r="R189" i="10"/>
  <c r="S189" i="10"/>
  <c r="Q189" i="10"/>
  <c r="T189" i="10"/>
  <c r="BA182" i="10"/>
  <c r="CA73" i="10"/>
  <c r="CH73" i="10" s="1"/>
  <c r="CO166" i="10"/>
  <c r="Q98" i="10"/>
  <c r="T98" i="10"/>
  <c r="R98" i="10"/>
  <c r="S98" i="10"/>
  <c r="T168" i="10"/>
  <c r="S168" i="10"/>
  <c r="Q168" i="10"/>
  <c r="R168" i="10"/>
  <c r="BQ151" i="10"/>
  <c r="CD151" i="10"/>
  <c r="K151" i="10"/>
  <c r="BH123" i="10"/>
  <c r="AT155" i="10"/>
  <c r="BA93" i="10"/>
  <c r="AT69" i="10"/>
  <c r="BA69" i="10"/>
  <c r="CN152" i="10"/>
  <c r="BR152" i="10"/>
  <c r="BZ152" i="10" s="1"/>
  <c r="CM152" i="10"/>
  <c r="AC152" i="10"/>
  <c r="AT20" i="10"/>
  <c r="AT339" i="10"/>
  <c r="BA118" i="10"/>
  <c r="AT341" i="10"/>
  <c r="BH154" i="10"/>
  <c r="S239" i="10"/>
  <c r="R239" i="10"/>
  <c r="Q239" i="10"/>
  <c r="T239" i="10"/>
  <c r="Q351" i="10"/>
  <c r="R351" i="10"/>
  <c r="S351" i="10"/>
  <c r="T351" i="10"/>
  <c r="AT28" i="10"/>
  <c r="CA214" i="10"/>
  <c r="CH214" i="10" s="1"/>
  <c r="S188" i="10"/>
  <c r="T188" i="10"/>
  <c r="R188" i="10"/>
  <c r="Q188" i="10"/>
  <c r="CO227" i="10"/>
  <c r="CO47" i="10"/>
  <c r="S129" i="10"/>
  <c r="T129" i="10"/>
  <c r="Q129" i="10"/>
  <c r="R129" i="10"/>
  <c r="AT128" i="10"/>
  <c r="BA123" i="10"/>
  <c r="R137" i="10"/>
  <c r="S137" i="10"/>
  <c r="Q137" i="10"/>
  <c r="T137" i="10"/>
  <c r="BA350" i="10"/>
  <c r="BQ148" i="10"/>
  <c r="CE148" i="10"/>
  <c r="AO148" i="10"/>
  <c r="S223" i="10"/>
  <c r="Q223" i="10"/>
  <c r="R223" i="10"/>
  <c r="T223" i="10"/>
  <c r="BH90" i="10"/>
  <c r="BA326" i="10"/>
  <c r="BH141" i="10"/>
  <c r="BH342" i="10"/>
  <c r="BR231" i="10"/>
  <c r="BZ231" i="10" s="1"/>
  <c r="CM231" i="10"/>
  <c r="CN231" i="10"/>
  <c r="AC231" i="10"/>
  <c r="R314" i="10"/>
  <c r="T314" i="10"/>
  <c r="Q314" i="10"/>
  <c r="S314" i="10"/>
  <c r="AT349" i="10"/>
  <c r="BH10" i="10"/>
  <c r="BA33" i="10"/>
  <c r="AT344" i="10"/>
  <c r="BA337" i="10"/>
  <c r="R50" i="10"/>
  <c r="Q50" i="10"/>
  <c r="S50" i="10"/>
  <c r="T50" i="10"/>
  <c r="BA66" i="10"/>
  <c r="BH97" i="10"/>
  <c r="BH17" i="10"/>
  <c r="BH170" i="10"/>
  <c r="BH72" i="10"/>
  <c r="CO38" i="10"/>
  <c r="BH335" i="10"/>
  <c r="Q56" i="10"/>
  <c r="R56" i="10"/>
  <c r="T56" i="10"/>
  <c r="S56" i="10"/>
  <c r="AT117" i="10"/>
  <c r="CO275" i="10"/>
  <c r="AT275" i="10"/>
  <c r="BA193" i="10"/>
  <c r="S308" i="10"/>
  <c r="Q308" i="10"/>
  <c r="T308" i="10"/>
  <c r="R308" i="10"/>
  <c r="BA328" i="10"/>
  <c r="AT82" i="10"/>
  <c r="BA130" i="10"/>
  <c r="AT130" i="10"/>
  <c r="BH238" i="10"/>
  <c r="BA225" i="10"/>
  <c r="BA274" i="10"/>
  <c r="BA260" i="10"/>
  <c r="S132" i="10"/>
  <c r="Q132" i="10"/>
  <c r="R132" i="10"/>
  <c r="T132" i="10"/>
  <c r="Q138" i="10"/>
  <c r="T138" i="10"/>
  <c r="R138" i="10"/>
  <c r="S138" i="10"/>
  <c r="BA141" i="10"/>
  <c r="T106" i="10"/>
  <c r="Q106" i="10"/>
  <c r="S106" i="10"/>
  <c r="R106" i="10"/>
  <c r="AT170" i="10"/>
  <c r="Q170" i="10"/>
  <c r="S170" i="10"/>
  <c r="R170" i="10"/>
  <c r="T170" i="10"/>
  <c r="BA42" i="10"/>
  <c r="AT84" i="10"/>
  <c r="AT289" i="10"/>
  <c r="BA206" i="10"/>
  <c r="BA13" i="10"/>
  <c r="R13" i="10"/>
  <c r="S13" i="10"/>
  <c r="Q13" i="10"/>
  <c r="T13" i="10"/>
  <c r="Q184" i="10"/>
  <c r="S184" i="10"/>
  <c r="T184" i="10"/>
  <c r="R184" i="10"/>
  <c r="BA40" i="10"/>
  <c r="BH23" i="10"/>
  <c r="CO21" i="10"/>
  <c r="CA74" i="10"/>
  <c r="CH74" i="10" s="1"/>
  <c r="AC125" i="10"/>
  <c r="AJ20" i="25" s="1"/>
  <c r="CM125" i="10"/>
  <c r="CN125" i="10"/>
  <c r="BR125" i="10"/>
  <c r="BZ125" i="10" s="1"/>
  <c r="CA125" i="10" s="1"/>
  <c r="CH125" i="10" s="1"/>
  <c r="CO11" i="10"/>
  <c r="BH50" i="10"/>
  <c r="BA8" i="10"/>
  <c r="CO134" i="10"/>
  <c r="BA212" i="10"/>
  <c r="S212" i="10"/>
  <c r="T212" i="10"/>
  <c r="R212" i="10"/>
  <c r="Q212" i="10"/>
  <c r="T167" i="10"/>
  <c r="Q167" i="10"/>
  <c r="S167" i="10"/>
  <c r="R167" i="10"/>
  <c r="T100" i="10"/>
  <c r="R100" i="10"/>
  <c r="Q100" i="10"/>
  <c r="S100" i="10"/>
  <c r="BA285" i="10"/>
  <c r="AT16" i="10"/>
  <c r="Q16" i="10"/>
  <c r="R16" i="10"/>
  <c r="T16" i="10"/>
  <c r="S16" i="10"/>
  <c r="AT142" i="10"/>
  <c r="BQ152" i="10"/>
  <c r="T74" i="10"/>
  <c r="R74" i="10"/>
  <c r="S74" i="10"/>
  <c r="Q74" i="10"/>
  <c r="BA297" i="10"/>
  <c r="CO24" i="10"/>
  <c r="AT222" i="10"/>
  <c r="S222" i="10"/>
  <c r="T222" i="10"/>
  <c r="R222" i="10"/>
  <c r="Q222" i="10"/>
  <c r="BH81" i="10"/>
  <c r="AU152" i="10"/>
  <c r="AP152" i="10"/>
  <c r="AW152" i="10"/>
  <c r="AZ152" i="10"/>
  <c r="CK152" i="10"/>
  <c r="AQ152" i="10"/>
  <c r="AR152" i="10"/>
  <c r="AV152" i="10"/>
  <c r="AY152" i="10"/>
  <c r="CL152" i="10"/>
  <c r="AX152" i="10"/>
  <c r="P152" i="10"/>
  <c r="AS152" i="10"/>
  <c r="BH164" i="10"/>
  <c r="BH201" i="10"/>
  <c r="CO319" i="10"/>
  <c r="CP319" i="10" s="1"/>
  <c r="AY319" i="1" s="1"/>
  <c r="CO246" i="10"/>
  <c r="BA92" i="10"/>
  <c r="S92" i="10"/>
  <c r="R92" i="10"/>
  <c r="T92" i="10"/>
  <c r="Q92" i="10"/>
  <c r="BH66" i="10"/>
  <c r="BH326" i="10"/>
  <c r="BA97" i="10"/>
  <c r="T97" i="10"/>
  <c r="R97" i="10"/>
  <c r="S97" i="10"/>
  <c r="Q97" i="10"/>
  <c r="BA26" i="10"/>
  <c r="CO141" i="10"/>
  <c r="CA102" i="10"/>
  <c r="CH102" i="10" s="1"/>
  <c r="BA174" i="10"/>
  <c r="BA161" i="10"/>
  <c r="R161" i="10"/>
  <c r="Q161" i="10"/>
  <c r="S161" i="10"/>
  <c r="T161" i="10"/>
  <c r="CO207" i="10"/>
  <c r="AT89" i="10"/>
  <c r="BH168" i="10"/>
  <c r="BH80" i="10"/>
  <c r="AT281" i="10"/>
  <c r="BA281" i="10"/>
  <c r="BH31" i="10"/>
  <c r="AT9" i="10"/>
  <c r="Q9" i="10"/>
  <c r="S9" i="10"/>
  <c r="T9" i="10"/>
  <c r="R9" i="10"/>
  <c r="BH132" i="10"/>
  <c r="BA126" i="10"/>
  <c r="AT126" i="10"/>
  <c r="BA191" i="10"/>
  <c r="R191" i="10"/>
  <c r="S191" i="10"/>
  <c r="Q191" i="10"/>
  <c r="T191" i="10"/>
  <c r="CA132" i="10"/>
  <c r="CH132" i="10" s="1"/>
  <c r="AT343" i="10"/>
  <c r="Q343" i="10"/>
  <c r="S343" i="10"/>
  <c r="R343" i="10"/>
  <c r="T343" i="10"/>
  <c r="BA91" i="10"/>
  <c r="BA334" i="10"/>
  <c r="S334" i="10"/>
  <c r="T334" i="10"/>
  <c r="Q334" i="10"/>
  <c r="R334" i="10"/>
  <c r="CO340" i="10"/>
  <c r="CO43" i="10"/>
  <c r="R214" i="10"/>
  <c r="Q214" i="10"/>
  <c r="S214" i="10"/>
  <c r="T214" i="10"/>
  <c r="BA218" i="10"/>
  <c r="BH225" i="10"/>
  <c r="BH333" i="10"/>
  <c r="BA166" i="10"/>
  <c r="R166" i="10"/>
  <c r="T166" i="10"/>
  <c r="Q166" i="10"/>
  <c r="S166" i="10"/>
  <c r="AT177" i="10"/>
  <c r="AT327" i="10"/>
  <c r="BA327" i="10"/>
  <c r="CO31" i="10"/>
  <c r="T99" i="10"/>
  <c r="R99" i="10"/>
  <c r="Q99" i="10"/>
  <c r="S99" i="10"/>
  <c r="T23" i="10"/>
  <c r="S23" i="10"/>
  <c r="R23" i="10"/>
  <c r="Q23" i="10"/>
  <c r="CO100" i="10"/>
  <c r="CA27" i="10"/>
  <c r="CH27" i="10" s="1"/>
  <c r="CA79" i="10"/>
  <c r="CH79" i="10" s="1"/>
  <c r="AT75" i="10"/>
  <c r="BA192" i="10"/>
  <c r="AT57" i="10"/>
  <c r="Q78" i="10"/>
  <c r="T78" i="10"/>
  <c r="S78" i="10"/>
  <c r="R78" i="10"/>
  <c r="R259" i="10"/>
  <c r="T259" i="10"/>
  <c r="S259" i="10"/>
  <c r="Q259" i="10"/>
  <c r="CA342" i="10"/>
  <c r="CH342" i="10" s="1"/>
  <c r="R114" i="10"/>
  <c r="S114" i="10"/>
  <c r="T114" i="10"/>
  <c r="Q114" i="10"/>
  <c r="CO115" i="10"/>
  <c r="BA195" i="10"/>
  <c r="AT30" i="10"/>
  <c r="CO58" i="10"/>
  <c r="CA23" i="10"/>
  <c r="CH23" i="10" s="1"/>
  <c r="CO258" i="10"/>
  <c r="P150" i="10"/>
  <c r="AX150" i="10"/>
  <c r="AU150" i="10"/>
  <c r="CL150" i="10"/>
  <c r="AP150" i="10"/>
  <c r="AS150" i="10"/>
  <c r="AY150" i="10"/>
  <c r="AQ150" i="10"/>
  <c r="AW150" i="10"/>
  <c r="AZ150" i="10"/>
  <c r="AV150" i="10"/>
  <c r="AR150" i="10"/>
  <c r="CK150" i="10"/>
  <c r="BQ150" i="10"/>
  <c r="AO147" i="10"/>
  <c r="CE147" i="10"/>
  <c r="BH226" i="10"/>
  <c r="Q226" i="10"/>
  <c r="S226" i="10"/>
  <c r="T226" i="10"/>
  <c r="R226" i="10"/>
  <c r="BH136" i="10"/>
  <c r="BH233" i="10"/>
  <c r="Q216" i="10"/>
  <c r="R216" i="10"/>
  <c r="S216" i="10"/>
  <c r="T216" i="10"/>
  <c r="BA216" i="10"/>
  <c r="BH65" i="10"/>
  <c r="T304" i="10"/>
  <c r="S304" i="10"/>
  <c r="Q304" i="10"/>
  <c r="R304" i="10"/>
  <c r="BA322" i="10"/>
  <c r="AT87" i="10"/>
  <c r="Q87" i="10"/>
  <c r="S87" i="10"/>
  <c r="R87" i="10"/>
  <c r="T87" i="10"/>
  <c r="AT79" i="10"/>
  <c r="AT287" i="10"/>
  <c r="Q256" i="10"/>
  <c r="S256" i="10"/>
  <c r="T256" i="10"/>
  <c r="R256" i="10"/>
  <c r="BH82" i="10"/>
  <c r="AT342" i="10"/>
  <c r="BH130" i="10"/>
  <c r="AT7" i="10"/>
  <c r="BA7" i="10"/>
  <c r="R52" i="10"/>
  <c r="S52" i="10"/>
  <c r="T52" i="10"/>
  <c r="Q52" i="10"/>
  <c r="BA115" i="10"/>
  <c r="AT115" i="10"/>
  <c r="Q115" i="10"/>
  <c r="T115" i="10"/>
  <c r="S115" i="10"/>
  <c r="R115" i="10"/>
  <c r="BH64" i="10"/>
  <c r="BH102" i="10"/>
  <c r="BH28" i="10"/>
  <c r="AT227" i="10"/>
  <c r="AT200" i="10"/>
  <c r="Q321" i="10"/>
  <c r="R321" i="10"/>
  <c r="S321" i="10"/>
  <c r="T321" i="10"/>
  <c r="CO346" i="10"/>
  <c r="T140" i="10"/>
  <c r="R140" i="10"/>
  <c r="Q140" i="10"/>
  <c r="S140" i="10"/>
  <c r="BA121" i="10"/>
  <c r="CO178" i="10"/>
  <c r="AR149" i="10"/>
  <c r="AS149" i="10"/>
  <c r="AU149" i="10"/>
  <c r="AZ149" i="10"/>
  <c r="AX149" i="10"/>
  <c r="AV149" i="10"/>
  <c r="P149" i="10"/>
  <c r="AY149" i="10"/>
  <c r="CK149" i="10"/>
  <c r="AQ149" i="10"/>
  <c r="AP149" i="10"/>
  <c r="AW149" i="10"/>
  <c r="CL149" i="10"/>
  <c r="K149" i="10"/>
  <c r="CD149" i="10"/>
  <c r="CN147" i="10"/>
  <c r="BR147" i="10"/>
  <c r="BZ147" i="10" s="1"/>
  <c r="AC147" i="10"/>
  <c r="CM147" i="10"/>
  <c r="AT233" i="10"/>
  <c r="CO209" i="10"/>
  <c r="Q73" i="10"/>
  <c r="R73" i="10"/>
  <c r="T73" i="10"/>
  <c r="S73" i="10"/>
  <c r="T107" i="10"/>
  <c r="Q107" i="10"/>
  <c r="S107" i="10"/>
  <c r="R107" i="10"/>
  <c r="BA221" i="10"/>
  <c r="S81" i="10"/>
  <c r="T81" i="10"/>
  <c r="Q81" i="10"/>
  <c r="R81" i="10"/>
  <c r="CO299" i="10"/>
  <c r="R63" i="10"/>
  <c r="S63" i="10"/>
  <c r="T63" i="10"/>
  <c r="Q63" i="10"/>
  <c r="S220" i="10"/>
  <c r="Q220" i="10"/>
  <c r="T220" i="10"/>
  <c r="R220" i="10"/>
  <c r="R71" i="10"/>
  <c r="T71" i="10"/>
  <c r="Q71" i="10"/>
  <c r="S71" i="10"/>
  <c r="S49" i="10"/>
  <c r="T49" i="10"/>
  <c r="R49" i="10"/>
  <c r="Q49" i="10"/>
  <c r="Q347" i="10"/>
  <c r="R347" i="10"/>
  <c r="T347" i="10"/>
  <c r="S347" i="10"/>
  <c r="BA190" i="10"/>
  <c r="Q187" i="10"/>
  <c r="S187" i="10"/>
  <c r="T187" i="10"/>
  <c r="R187" i="10"/>
  <c r="R323" i="10"/>
  <c r="Q323" i="10"/>
  <c r="T323" i="10"/>
  <c r="S323" i="10"/>
  <c r="R48" i="10"/>
  <c r="Q48" i="10"/>
  <c r="S48" i="10"/>
  <c r="T48" i="10"/>
  <c r="AZ151" i="10"/>
  <c r="AY151" i="10"/>
  <c r="AR151" i="10"/>
  <c r="AS151" i="10"/>
  <c r="AW151" i="10"/>
  <c r="AQ151" i="10"/>
  <c r="CL151" i="10"/>
  <c r="AV151" i="10"/>
  <c r="P151" i="10"/>
  <c r="AU151" i="10"/>
  <c r="AP151" i="10"/>
  <c r="CK151" i="10"/>
  <c r="AX151" i="10"/>
  <c r="AT229" i="10"/>
  <c r="R93" i="10"/>
  <c r="T93" i="10"/>
  <c r="Q93" i="10"/>
  <c r="S93" i="10"/>
  <c r="R280" i="10"/>
  <c r="Q280" i="10"/>
  <c r="S280" i="10"/>
  <c r="T280" i="10"/>
  <c r="Q20" i="10"/>
  <c r="T20" i="10"/>
  <c r="S20" i="10"/>
  <c r="R20" i="10"/>
  <c r="AT47" i="10"/>
  <c r="S162" i="10"/>
  <c r="R162" i="10"/>
  <c r="T162" i="10"/>
  <c r="Q162" i="10"/>
  <c r="T201" i="10"/>
  <c r="S201" i="10"/>
  <c r="Q201" i="10"/>
  <c r="R201" i="10"/>
  <c r="Q349" i="10"/>
  <c r="T349" i="10"/>
  <c r="R349" i="10"/>
  <c r="S349" i="10"/>
  <c r="T120" i="10"/>
  <c r="R120" i="10"/>
  <c r="S120" i="10"/>
  <c r="Q120" i="10"/>
  <c r="T66" i="10"/>
  <c r="R66" i="10"/>
  <c r="S66" i="10"/>
  <c r="Q66" i="10"/>
  <c r="S193" i="10"/>
  <c r="Q193" i="10"/>
  <c r="R193" i="10"/>
  <c r="T193" i="10"/>
  <c r="BA301" i="10"/>
  <c r="S234" i="10"/>
  <c r="T234" i="10"/>
  <c r="R234" i="10"/>
  <c r="Q234" i="10"/>
  <c r="T68" i="10"/>
  <c r="R68" i="10"/>
  <c r="Q68" i="10"/>
  <c r="S68" i="10"/>
  <c r="S77" i="10"/>
  <c r="Q77" i="10"/>
  <c r="T77" i="10"/>
  <c r="R77" i="10"/>
  <c r="CO169" i="10"/>
  <c r="CO286" i="10"/>
  <c r="CO164" i="10"/>
  <c r="AT21" i="10"/>
  <c r="BA288" i="10"/>
  <c r="AT11" i="10"/>
  <c r="CD152" i="10"/>
  <c r="K152" i="10"/>
  <c r="R154" i="10"/>
  <c r="Q154" i="10"/>
  <c r="S154" i="10"/>
  <c r="T154" i="10"/>
  <c r="AT90" i="10"/>
  <c r="CN151" i="10"/>
  <c r="AC151" i="10"/>
  <c r="CM151" i="10"/>
  <c r="BR151" i="10"/>
  <c r="BZ151" i="10" s="1"/>
  <c r="T233" i="10"/>
  <c r="R233" i="10"/>
  <c r="Q233" i="10"/>
  <c r="S233" i="10"/>
  <c r="BA228" i="10"/>
  <c r="BA209" i="10"/>
  <c r="BA73" i="10"/>
  <c r="AT73" i="10"/>
  <c r="BH43" i="10"/>
  <c r="BH92" i="10"/>
  <c r="BH347" i="10"/>
  <c r="CA105" i="10"/>
  <c r="CH105" i="10" s="1"/>
  <c r="BA329" i="10"/>
  <c r="BH217" i="10"/>
  <c r="BH174" i="10"/>
  <c r="R221" i="10"/>
  <c r="T221" i="10"/>
  <c r="S221" i="10"/>
  <c r="Q221" i="10"/>
  <c r="S85" i="10"/>
  <c r="T85" i="10"/>
  <c r="Q85" i="10"/>
  <c r="R85" i="10"/>
  <c r="CA170" i="10"/>
  <c r="CH170" i="10" s="1"/>
  <c r="CO298" i="10"/>
  <c r="S299" i="10"/>
  <c r="T299" i="10"/>
  <c r="Q299" i="10"/>
  <c r="R299" i="10"/>
  <c r="BA299" i="10"/>
  <c r="AT51" i="10"/>
  <c r="R51" i="10"/>
  <c r="Q51" i="10"/>
  <c r="T51" i="10"/>
  <c r="S51" i="10"/>
  <c r="BA61" i="10"/>
  <c r="AT61" i="10"/>
  <c r="Q61" i="10"/>
  <c r="S61" i="10"/>
  <c r="T61" i="10"/>
  <c r="R61" i="10"/>
  <c r="BA67" i="10"/>
  <c r="Q185" i="10"/>
  <c r="S185" i="10"/>
  <c r="R185" i="10"/>
  <c r="T185" i="10"/>
  <c r="S315" i="10"/>
  <c r="R315" i="10"/>
  <c r="Q315" i="10"/>
  <c r="T315" i="10"/>
  <c r="AT205" i="10"/>
  <c r="BA205" i="10"/>
  <c r="CO307" i="10"/>
  <c r="R230" i="10"/>
  <c r="Q230" i="10"/>
  <c r="S230" i="10"/>
  <c r="T230" i="10"/>
  <c r="AT345" i="10"/>
  <c r="CA51" i="10"/>
  <c r="CH51" i="10" s="1"/>
  <c r="BA110" i="10"/>
  <c r="CA212" i="10"/>
  <c r="CH212" i="10" s="1"/>
  <c r="R238" i="10"/>
  <c r="Q238" i="10"/>
  <c r="S238" i="10"/>
  <c r="T238" i="10"/>
  <c r="AT235" i="10"/>
  <c r="BA235" i="10"/>
  <c r="BH237" i="10"/>
  <c r="BH53" i="10"/>
  <c r="BA127" i="10"/>
  <c r="T127" i="10"/>
  <c r="S127" i="10"/>
  <c r="Q127" i="10"/>
  <c r="R127" i="10"/>
  <c r="T102" i="10"/>
  <c r="Q102" i="10"/>
  <c r="R102" i="10"/>
  <c r="S102" i="10"/>
  <c r="BA71" i="10"/>
  <c r="AT96" i="10"/>
  <c r="BA49" i="10"/>
  <c r="BA347" i="10"/>
  <c r="AT190" i="10"/>
  <c r="BA305" i="10"/>
  <c r="S199" i="10"/>
  <c r="R199" i="10"/>
  <c r="Q199" i="10"/>
  <c r="T199" i="10"/>
  <c r="BA59" i="10"/>
  <c r="S59" i="10"/>
  <c r="T59" i="10"/>
  <c r="R59" i="10"/>
  <c r="Q59" i="10"/>
  <c r="CO187" i="10"/>
  <c r="AT323" i="10"/>
  <c r="AT180" i="10"/>
  <c r="AT189" i="10"/>
  <c r="R182" i="10"/>
  <c r="T182" i="10"/>
  <c r="Q182" i="10"/>
  <c r="S182" i="10"/>
  <c r="CO73" i="10"/>
  <c r="BA98" i="10"/>
  <c r="BA76" i="10"/>
  <c r="T76" i="10"/>
  <c r="R76" i="10"/>
  <c r="S76" i="10"/>
  <c r="Q76" i="10"/>
  <c r="BA48" i="10"/>
  <c r="CA122" i="10"/>
  <c r="CH122" i="10" s="1"/>
  <c r="BA229" i="10"/>
  <c r="R155" i="10"/>
  <c r="Q155" i="10"/>
  <c r="T155" i="10"/>
  <c r="S155" i="10"/>
  <c r="AT93" i="10"/>
  <c r="BA39" i="10"/>
  <c r="BH155" i="10"/>
  <c r="BA62" i="10"/>
  <c r="Q339" i="10"/>
  <c r="T339" i="10"/>
  <c r="R339" i="10"/>
  <c r="S339" i="10"/>
  <c r="T118" i="10"/>
  <c r="R118" i="10"/>
  <c r="Q118" i="10"/>
  <c r="S118" i="10"/>
  <c r="BA333" i="10"/>
  <c r="Q333" i="10"/>
  <c r="S333" i="10"/>
  <c r="T333" i="10"/>
  <c r="R333" i="10"/>
  <c r="CO179" i="10"/>
  <c r="BA179" i="10"/>
  <c r="BH218" i="10"/>
  <c r="BA239" i="10"/>
  <c r="CA225" i="10"/>
  <c r="CH225" i="10" s="1"/>
  <c r="AT237" i="10"/>
  <c r="CO351" i="10"/>
  <c r="BA188" i="10"/>
  <c r="CA218" i="10"/>
  <c r="CH218" i="10" s="1"/>
  <c r="BA128" i="10"/>
  <c r="T128" i="10"/>
  <c r="R128" i="10"/>
  <c r="S128" i="10"/>
  <c r="Q128" i="10"/>
  <c r="BA10" i="10"/>
  <c r="AT350" i="10"/>
  <c r="CO350" i="10"/>
  <c r="BF232" i="10"/>
  <c r="BC232" i="10"/>
  <c r="BE232" i="10"/>
  <c r="BG232" i="10"/>
  <c r="AV232" i="10"/>
  <c r="AP232" i="10"/>
  <c r="AZ232" i="10"/>
  <c r="AU232" i="10"/>
  <c r="AS232" i="10"/>
  <c r="AQ232" i="10"/>
  <c r="AW232" i="10"/>
  <c r="CL232" i="10"/>
  <c r="CK232" i="10"/>
  <c r="P232" i="10"/>
  <c r="AX232" i="10"/>
  <c r="AR232" i="10"/>
  <c r="AY232" i="10"/>
  <c r="AT223" i="10"/>
  <c r="AT326" i="10"/>
  <c r="CO294" i="10"/>
  <c r="CP294" i="10" s="1"/>
  <c r="AY294" i="1" s="1"/>
  <c r="BH79" i="10"/>
  <c r="BH228" i="10"/>
  <c r="BA201" i="10"/>
  <c r="AT314" i="10"/>
  <c r="BA349" i="10"/>
  <c r="BA65" i="10"/>
  <c r="T65" i="10"/>
  <c r="Q65" i="10"/>
  <c r="R65" i="10"/>
  <c r="S65" i="10"/>
  <c r="BH19" i="10"/>
  <c r="BI19" i="10" s="1"/>
  <c r="AT33" i="10"/>
  <c r="CO331" i="10"/>
  <c r="AT194" i="10"/>
  <c r="CO344" i="10"/>
  <c r="AT337" i="10"/>
  <c r="Q337" i="10"/>
  <c r="S337" i="10"/>
  <c r="T337" i="10"/>
  <c r="R337" i="10"/>
  <c r="BA50" i="10"/>
  <c r="AT120" i="10"/>
  <c r="BA80" i="10"/>
  <c r="AT80" i="10"/>
  <c r="CA78" i="10"/>
  <c r="CH78" i="10" s="1"/>
  <c r="BA312" i="10"/>
  <c r="Q312" i="10"/>
  <c r="T312" i="10"/>
  <c r="R312" i="10"/>
  <c r="S312" i="10"/>
  <c r="BA64" i="10"/>
  <c r="S64" i="10"/>
  <c r="Q64" i="10"/>
  <c r="T64" i="10"/>
  <c r="R64" i="10"/>
  <c r="S38" i="10"/>
  <c r="Q38" i="10"/>
  <c r="T38" i="10"/>
  <c r="R38" i="10"/>
  <c r="CA124" i="10"/>
  <c r="CH124" i="10" s="1"/>
  <c r="BA56" i="10"/>
  <c r="CO117" i="10"/>
  <c r="AT332" i="10"/>
  <c r="BA332" i="10"/>
  <c r="R275" i="10"/>
  <c r="S275" i="10"/>
  <c r="T275" i="10"/>
  <c r="Q275" i="10"/>
  <c r="CO308" i="10"/>
  <c r="Q301" i="10"/>
  <c r="T301" i="10"/>
  <c r="R301" i="10"/>
  <c r="S301" i="10"/>
  <c r="AT328" i="10"/>
  <c r="BA82" i="10"/>
  <c r="BH12" i="10"/>
  <c r="R130" i="10"/>
  <c r="T130" i="10"/>
  <c r="S130" i="10"/>
  <c r="Q130" i="10"/>
  <c r="CO116" i="10"/>
  <c r="BA234" i="10"/>
  <c r="CA330" i="10"/>
  <c r="CH330" i="10" s="1"/>
  <c r="S274" i="10"/>
  <c r="T274" i="10"/>
  <c r="R274" i="10"/>
  <c r="Q274" i="10"/>
  <c r="AT348" i="10"/>
  <c r="S348" i="10"/>
  <c r="Q348" i="10"/>
  <c r="R348" i="10"/>
  <c r="T348" i="10"/>
  <c r="AT68" i="10"/>
  <c r="AT260" i="10"/>
  <c r="BA186" i="10"/>
  <c r="AT172" i="10"/>
  <c r="Q172" i="10"/>
  <c r="T172" i="10"/>
  <c r="S172" i="10"/>
  <c r="R172" i="10"/>
  <c r="AT330" i="10"/>
  <c r="BA132" i="10"/>
  <c r="BA138" i="10"/>
  <c r="AT138" i="10"/>
  <c r="BA170" i="10"/>
  <c r="T303" i="10"/>
  <c r="S303" i="10"/>
  <c r="Q303" i="10"/>
  <c r="R303" i="10"/>
  <c r="BA303" i="10"/>
  <c r="S215" i="10"/>
  <c r="T215" i="10"/>
  <c r="Q215" i="10"/>
  <c r="R215" i="10"/>
  <c r="BA215" i="10"/>
  <c r="BA286" i="10"/>
  <c r="T42" i="10"/>
  <c r="S42" i="10"/>
  <c r="Q42" i="10"/>
  <c r="R42" i="10"/>
  <c r="T94" i="10"/>
  <c r="S94" i="10"/>
  <c r="Q94" i="10"/>
  <c r="R94" i="10"/>
  <c r="BA84" i="10"/>
  <c r="CO84" i="10"/>
  <c r="CO289" i="10"/>
  <c r="CO36" i="10"/>
  <c r="S35" i="10"/>
  <c r="T35" i="10"/>
  <c r="R35" i="10"/>
  <c r="Q35" i="10"/>
  <c r="R164" i="10"/>
  <c r="T164" i="10"/>
  <c r="S164" i="10"/>
  <c r="Q164" i="10"/>
  <c r="AT13" i="10"/>
  <c r="S40" i="10"/>
  <c r="Q40" i="10"/>
  <c r="R40" i="10"/>
  <c r="T40" i="10"/>
  <c r="BH33" i="10"/>
  <c r="BH121" i="10"/>
  <c r="CA229" i="10"/>
  <c r="CH229" i="10" s="1"/>
  <c r="BH6" i="10"/>
  <c r="CA72" i="10"/>
  <c r="CH72" i="10" s="1"/>
  <c r="BH101" i="10"/>
  <c r="BH76" i="10"/>
  <c r="BA335" i="10"/>
  <c r="AT335" i="10"/>
  <c r="Q105" i="10"/>
  <c r="S105" i="10"/>
  <c r="T105" i="10"/>
  <c r="R105" i="10"/>
  <c r="AT219" i="10"/>
  <c r="AT8" i="10"/>
  <c r="AT134" i="10"/>
  <c r="T134" i="10"/>
  <c r="R134" i="10"/>
  <c r="S134" i="10"/>
  <c r="Q134" i="10"/>
  <c r="BH88" i="10"/>
  <c r="CO70" i="10"/>
  <c r="AT285" i="10"/>
  <c r="BA16" i="10"/>
  <c r="BA12" i="10"/>
  <c r="S12" i="10"/>
  <c r="T12" i="10"/>
  <c r="Q12" i="10"/>
  <c r="R12" i="10"/>
  <c r="BA74" i="10"/>
  <c r="CO316" i="10"/>
  <c r="CP316" i="10" s="1"/>
  <c r="AY316" i="1" s="1"/>
  <c r="AT297" i="10"/>
  <c r="S297" i="10"/>
  <c r="T297" i="10"/>
  <c r="Q297" i="10"/>
  <c r="R297" i="10"/>
  <c r="S55" i="10"/>
  <c r="R55" i="10"/>
  <c r="T55" i="10"/>
  <c r="Q55" i="10"/>
  <c r="AT246" i="10"/>
  <c r="T246" i="10"/>
  <c r="R246" i="10"/>
  <c r="Q246" i="10"/>
  <c r="S246" i="10"/>
  <c r="BH124" i="10"/>
  <c r="BH32" i="10"/>
  <c r="AT54" i="10"/>
  <c r="S54" i="10"/>
  <c r="T54" i="10"/>
  <c r="R54" i="10"/>
  <c r="Q54" i="10"/>
  <c r="CA347" i="10"/>
  <c r="CH347" i="10" s="1"/>
  <c r="AT196" i="10"/>
  <c r="CO196" i="10"/>
  <c r="BA136" i="10"/>
  <c r="BH85" i="10"/>
  <c r="Q26" i="10"/>
  <c r="S26" i="10"/>
  <c r="T26" i="10"/>
  <c r="R26" i="10"/>
  <c r="BH128" i="10"/>
  <c r="T174" i="10"/>
  <c r="Q174" i="10"/>
  <c r="S174" i="10"/>
  <c r="R174" i="10"/>
  <c r="CA70" i="10"/>
  <c r="CH70" i="10" s="1"/>
  <c r="R60" i="10"/>
  <c r="T60" i="10"/>
  <c r="S60" i="10"/>
  <c r="Q60" i="10"/>
  <c r="AT207" i="10"/>
  <c r="BA89" i="10"/>
  <c r="AT72" i="10"/>
  <c r="BH84" i="10"/>
  <c r="AT86" i="10"/>
  <c r="S86" i="10"/>
  <c r="Q86" i="10"/>
  <c r="R86" i="10"/>
  <c r="T86" i="10"/>
  <c r="R310" i="10"/>
  <c r="S310" i="10"/>
  <c r="Q310" i="10"/>
  <c r="T310" i="10"/>
  <c r="CO310" i="10"/>
  <c r="BH332" i="10"/>
  <c r="BH105" i="10"/>
  <c r="AT25" i="10"/>
  <c r="R340" i="10"/>
  <c r="T340" i="10"/>
  <c r="Q340" i="10"/>
  <c r="S340" i="10"/>
  <c r="BA43" i="10"/>
  <c r="BA214" i="10"/>
  <c r="BH212" i="10"/>
  <c r="BH328" i="10"/>
  <c r="BH345" i="10"/>
  <c r="BH199" i="10"/>
  <c r="CA237" i="10"/>
  <c r="CH237" i="10" s="1"/>
  <c r="CO177" i="10"/>
  <c r="BA177" i="10"/>
  <c r="R177" i="10"/>
  <c r="Q177" i="10"/>
  <c r="S177" i="10"/>
  <c r="T177" i="10"/>
  <c r="S46" i="10"/>
  <c r="T46" i="10"/>
  <c r="Q46" i="10"/>
  <c r="R46" i="10"/>
  <c r="AT99" i="10"/>
  <c r="CA130" i="10"/>
  <c r="CH130" i="10" s="1"/>
  <c r="CA126" i="10"/>
  <c r="CH126" i="10" s="1"/>
  <c r="T171" i="10"/>
  <c r="R171" i="10"/>
  <c r="S171" i="10"/>
  <c r="Q171" i="10"/>
  <c r="BH54" i="10"/>
  <c r="BH135" i="10"/>
  <c r="BB32" i="10"/>
  <c r="BI32" i="10" s="1"/>
  <c r="CO163" i="10"/>
  <c r="R192" i="10"/>
  <c r="T192" i="10"/>
  <c r="Q192" i="10"/>
  <c r="S192" i="10"/>
  <c r="R165" i="10"/>
  <c r="S165" i="10"/>
  <c r="Q165" i="10"/>
  <c r="T165" i="10"/>
  <c r="BA165" i="10"/>
  <c r="BA108" i="10"/>
  <c r="BA57" i="10"/>
  <c r="Q57" i="10"/>
  <c r="S57" i="10"/>
  <c r="R57" i="10"/>
  <c r="T57" i="10"/>
  <c r="AT112" i="10"/>
  <c r="BA78" i="10"/>
  <c r="CA129" i="10"/>
  <c r="CH129" i="10" s="1"/>
  <c r="BA259" i="10"/>
  <c r="CO210" i="10"/>
  <c r="CP210" i="10" s="1"/>
  <c r="AY210" i="1" s="1"/>
  <c r="R95" i="10"/>
  <c r="S95" i="10"/>
  <c r="T95" i="10"/>
  <c r="Q95" i="10"/>
  <c r="CA328" i="10"/>
  <c r="CH328" i="10" s="1"/>
  <c r="S139" i="10"/>
  <c r="T139" i="10"/>
  <c r="R139" i="10"/>
  <c r="Q139" i="10"/>
  <c r="CA201" i="10"/>
  <c r="CH201" i="10" s="1"/>
  <c r="AT195" i="10"/>
  <c r="BA58" i="10"/>
  <c r="T58" i="10"/>
  <c r="R58" i="10"/>
  <c r="Q58" i="10"/>
  <c r="S58" i="10"/>
  <c r="Q258" i="10"/>
  <c r="S258" i="10"/>
  <c r="T258" i="10"/>
  <c r="R258" i="10"/>
  <c r="AT258" i="10"/>
  <c r="S313" i="10"/>
  <c r="T313" i="10"/>
  <c r="Q313" i="10"/>
  <c r="R313" i="10"/>
  <c r="AO150" i="10"/>
  <c r="CE150" i="10"/>
  <c r="BF150" i="10"/>
  <c r="BC150" i="10"/>
  <c r="BG150" i="10"/>
  <c r="BE150" i="10"/>
  <c r="AT226" i="10"/>
  <c r="BH134" i="10"/>
  <c r="AT304" i="10"/>
  <c r="BA87" i="10"/>
  <c r="CO287" i="10"/>
  <c r="CO256" i="10"/>
  <c r="BA256" i="10"/>
  <c r="BA342" i="10"/>
  <c r="CO7" i="10"/>
  <c r="BA52" i="10"/>
  <c r="BH55" i="10"/>
  <c r="AT338" i="10"/>
  <c r="T338" i="10"/>
  <c r="R338" i="10"/>
  <c r="S338" i="10"/>
  <c r="Q338" i="10"/>
  <c r="BH214" i="10"/>
  <c r="AT173" i="10"/>
  <c r="BA173" i="10"/>
  <c r="S224" i="10"/>
  <c r="T224" i="10"/>
  <c r="Q224" i="10"/>
  <c r="R224" i="10"/>
  <c r="Q227" i="10"/>
  <c r="S227" i="10"/>
  <c r="R227" i="10"/>
  <c r="T227" i="10"/>
  <c r="AT15" i="10"/>
  <c r="CO15" i="10"/>
  <c r="CO321" i="10"/>
  <c r="AT321" i="10"/>
  <c r="AT293" i="10"/>
  <c r="BA140" i="10"/>
  <c r="Q121" i="10"/>
  <c r="S121" i="10"/>
  <c r="R121" i="10"/>
  <c r="T121" i="10"/>
  <c r="BA178" i="10"/>
  <c r="BF149" i="10"/>
  <c r="BE149" i="10"/>
  <c r="BC149" i="10"/>
  <c r="BG149" i="10"/>
  <c r="BQ231" i="10"/>
  <c r="Q117" i="10"/>
  <c r="S117" i="10"/>
  <c r="R117" i="10"/>
  <c r="T117" i="10"/>
  <c r="BA172" i="10"/>
  <c r="BA184" i="10"/>
  <c r="Q70" i="10"/>
  <c r="T70" i="10"/>
  <c r="R70" i="10"/>
  <c r="S70" i="10"/>
  <c r="BF152" i="10"/>
  <c r="BG152" i="10"/>
  <c r="BE152" i="10"/>
  <c r="BC152" i="10"/>
  <c r="AT136" i="10"/>
  <c r="BA90" i="10"/>
  <c r="S228" i="10"/>
  <c r="Q228" i="10"/>
  <c r="R228" i="10"/>
  <c r="T228" i="10"/>
  <c r="BH8" i="10"/>
  <c r="BH229" i="10"/>
  <c r="AT209" i="10"/>
  <c r="T209" i="10"/>
  <c r="Q209" i="10"/>
  <c r="R209" i="10"/>
  <c r="S209" i="10"/>
  <c r="CO107" i="10"/>
  <c r="BA101" i="10"/>
  <c r="CA46" i="10"/>
  <c r="CH46" i="10" s="1"/>
  <c r="BH68" i="10"/>
  <c r="Q329" i="10"/>
  <c r="T329" i="10"/>
  <c r="S329" i="10"/>
  <c r="R329" i="10"/>
  <c r="R217" i="10"/>
  <c r="S217" i="10"/>
  <c r="T217" i="10"/>
  <c r="Q217" i="10"/>
  <c r="AT336" i="10"/>
  <c r="T336" i="10"/>
  <c r="R336" i="10"/>
  <c r="S336" i="10"/>
  <c r="Q336" i="10"/>
  <c r="BH71" i="10"/>
  <c r="BH162" i="10"/>
  <c r="AT85" i="10"/>
  <c r="BH329" i="10"/>
  <c r="BA298" i="10"/>
  <c r="BA51" i="10"/>
  <c r="AT67" i="10"/>
  <c r="T67" i="10"/>
  <c r="S67" i="10"/>
  <c r="Q67" i="10"/>
  <c r="R67" i="10"/>
  <c r="S122" i="10"/>
  <c r="Q122" i="10"/>
  <c r="R122" i="10"/>
  <c r="T122" i="10"/>
  <c r="AT185" i="10"/>
  <c r="BH59" i="10"/>
  <c r="AT113" i="10"/>
  <c r="AT315" i="10"/>
  <c r="CO205" i="10"/>
  <c r="BA307" i="10"/>
  <c r="Q307" i="10"/>
  <c r="R307" i="10"/>
  <c r="S307" i="10"/>
  <c r="T307" i="10"/>
  <c r="AT230" i="10"/>
  <c r="CO110" i="10"/>
  <c r="BH40" i="10"/>
  <c r="AT238" i="10"/>
  <c r="BA238" i="10"/>
  <c r="BH239" i="10"/>
  <c r="BH46" i="10"/>
  <c r="AT63" i="10"/>
  <c r="S235" i="10"/>
  <c r="Q235" i="10"/>
  <c r="R235" i="10"/>
  <c r="T235" i="10"/>
  <c r="BA240" i="10"/>
  <c r="BH77" i="10"/>
  <c r="BA102" i="10"/>
  <c r="AT71" i="10"/>
  <c r="S31" i="10"/>
  <c r="T31" i="10"/>
  <c r="R31" i="10"/>
  <c r="Q31" i="10"/>
  <c r="S96" i="10"/>
  <c r="Q96" i="10"/>
  <c r="R96" i="10"/>
  <c r="T96" i="10"/>
  <c r="CO190" i="10"/>
  <c r="R6" i="10"/>
  <c r="Q6" i="10"/>
  <c r="T6" i="10"/>
  <c r="S6" i="10"/>
  <c r="S305" i="10"/>
  <c r="T305" i="10"/>
  <c r="Q305" i="10"/>
  <c r="R305" i="10"/>
  <c r="BA199" i="10"/>
  <c r="BA187" i="10"/>
  <c r="S213" i="10"/>
  <c r="T213" i="10"/>
  <c r="Q213" i="10"/>
  <c r="R213" i="10"/>
  <c r="BA323" i="10"/>
  <c r="CO225" i="10"/>
  <c r="CA49" i="10"/>
  <c r="CH49" i="10" s="1"/>
  <c r="AT48" i="10"/>
  <c r="BA168" i="10"/>
  <c r="CE151" i="10"/>
  <c r="AO151" i="10"/>
  <c r="T229" i="10"/>
  <c r="Q229" i="10"/>
  <c r="R229" i="10"/>
  <c r="S229" i="10"/>
  <c r="BA155" i="10"/>
  <c r="CA6" i="10"/>
  <c r="CH6" i="10" s="1"/>
  <c r="BH22" i="10"/>
  <c r="AT176" i="10"/>
  <c r="Q176" i="10"/>
  <c r="R176" i="10"/>
  <c r="S176" i="10"/>
  <c r="T176" i="10"/>
  <c r="BA176" i="10"/>
  <c r="R69" i="10"/>
  <c r="Q69" i="10"/>
  <c r="T69" i="10"/>
  <c r="S69" i="10"/>
  <c r="AT39" i="10"/>
  <c r="BH221" i="10"/>
  <c r="BH153" i="10"/>
  <c r="CO20" i="10"/>
  <c r="AT62" i="10"/>
  <c r="T62" i="10"/>
  <c r="S62" i="10"/>
  <c r="R62" i="10"/>
  <c r="Q62" i="10"/>
  <c r="BA339" i="10"/>
  <c r="AT118" i="10"/>
  <c r="BA341" i="10"/>
  <c r="S341" i="10"/>
  <c r="Q341" i="10"/>
  <c r="R341" i="10"/>
  <c r="T341" i="10"/>
  <c r="AT179" i="10"/>
  <c r="CA53" i="10"/>
  <c r="CH53" i="10" s="1"/>
  <c r="AT239" i="10"/>
  <c r="BA28" i="10"/>
  <c r="AT188" i="10"/>
  <c r="CO186" i="10"/>
  <c r="BA47" i="10"/>
  <c r="R47" i="10"/>
  <c r="S47" i="10"/>
  <c r="T47" i="10"/>
  <c r="Q47" i="10"/>
  <c r="AT10" i="10"/>
  <c r="AT162" i="10"/>
  <c r="BA137" i="10"/>
  <c r="CO137" i="10"/>
  <c r="AT88" i="10"/>
  <c r="T88" i="10"/>
  <c r="Q88" i="10"/>
  <c r="S88" i="10"/>
  <c r="R88" i="10"/>
  <c r="Q350" i="10"/>
  <c r="T350" i="10"/>
  <c r="R350" i="10"/>
  <c r="S350" i="10"/>
  <c r="P148" i="10"/>
  <c r="CL148" i="10"/>
  <c r="AU148" i="10"/>
  <c r="AX148" i="10"/>
  <c r="AP148" i="10"/>
  <c r="AS148" i="10"/>
  <c r="AV148" i="10"/>
  <c r="AR148" i="10"/>
  <c r="CK148" i="10"/>
  <c r="AY148" i="10"/>
  <c r="AZ148" i="10"/>
  <c r="AW148" i="10"/>
  <c r="AQ148" i="10"/>
  <c r="CD148" i="10"/>
  <c r="K148" i="10"/>
  <c r="K232" i="10"/>
  <c r="CD232" i="10"/>
  <c r="CE232" i="10"/>
  <c r="AO232" i="10"/>
  <c r="BA223" i="10"/>
  <c r="BH78" i="10"/>
  <c r="CO326" i="10"/>
  <c r="BH60" i="10"/>
  <c r="BH341" i="10"/>
  <c r="BH200" i="10"/>
  <c r="AC232" i="10"/>
  <c r="CN232" i="10"/>
  <c r="BR232" i="10"/>
  <c r="BZ232" i="10" s="1"/>
  <c r="CM232" i="10"/>
  <c r="AT201" i="10"/>
  <c r="BA314" i="10"/>
  <c r="BA194" i="10"/>
  <c r="S194" i="10"/>
  <c r="T194" i="10"/>
  <c r="R194" i="10"/>
  <c r="Q194" i="10"/>
  <c r="BA344" i="10"/>
  <c r="Q344" i="10"/>
  <c r="R344" i="10"/>
  <c r="T344" i="10"/>
  <c r="S344" i="10"/>
  <c r="BA120" i="10"/>
  <c r="AT66" i="10"/>
  <c r="CO66" i="10"/>
  <c r="BH67" i="10"/>
  <c r="AT53" i="10"/>
  <c r="AT312" i="10"/>
  <c r="AT56" i="10"/>
  <c r="BA117" i="10"/>
  <c r="S332" i="10"/>
  <c r="Q332" i="10"/>
  <c r="T332" i="10"/>
  <c r="R332" i="10"/>
  <c r="BA275" i="10"/>
  <c r="CO193" i="10"/>
  <c r="CA52" i="10"/>
  <c r="CH52" i="10" s="1"/>
  <c r="BA124" i="10"/>
  <c r="R124" i="10"/>
  <c r="T124" i="10"/>
  <c r="S124" i="10"/>
  <c r="Q124" i="10"/>
  <c r="CA239" i="10"/>
  <c r="CH239" i="10" s="1"/>
  <c r="R82" i="10"/>
  <c r="S82" i="10"/>
  <c r="T82" i="10"/>
  <c r="Q82" i="10"/>
  <c r="CA141" i="10"/>
  <c r="CH141" i="10" s="1"/>
  <c r="BH87" i="10"/>
  <c r="CA48" i="10"/>
  <c r="CH48" i="10" s="1"/>
  <c r="BH21" i="10"/>
  <c r="Q225" i="10"/>
  <c r="S225" i="10"/>
  <c r="R225" i="10"/>
  <c r="T225" i="10"/>
  <c r="AT225" i="10"/>
  <c r="AT274" i="10"/>
  <c r="CO348" i="10"/>
  <c r="BA68" i="10"/>
  <c r="BA77" i="10"/>
  <c r="R260" i="10"/>
  <c r="Q260" i="10"/>
  <c r="S260" i="10"/>
  <c r="T260" i="10"/>
  <c r="T186" i="10"/>
  <c r="S186" i="10"/>
  <c r="Q186" i="10"/>
  <c r="R186" i="10"/>
  <c r="BA169" i="10"/>
  <c r="R169" i="10"/>
  <c r="T169" i="10"/>
  <c r="Q169" i="10"/>
  <c r="S169" i="10"/>
  <c r="T330" i="10"/>
  <c r="S330" i="10"/>
  <c r="R330" i="10"/>
  <c r="Q330" i="10"/>
  <c r="BH34" i="10"/>
  <c r="CA64" i="10"/>
  <c r="CH64" i="10" s="1"/>
  <c r="CO138" i="10"/>
  <c r="AT141" i="10"/>
  <c r="AT106" i="10"/>
  <c r="CA44" i="10"/>
  <c r="CH44" i="10" s="1"/>
  <c r="Q111" i="10"/>
  <c r="T111" i="10"/>
  <c r="S111" i="10"/>
  <c r="R111" i="10"/>
  <c r="CA90" i="10"/>
  <c r="CH90" i="10" s="1"/>
  <c r="CO215" i="10"/>
  <c r="AT215" i="10"/>
  <c r="Q286" i="10"/>
  <c r="S286" i="10"/>
  <c r="T286" i="10"/>
  <c r="R286" i="10"/>
  <c r="CA164" i="10"/>
  <c r="CH164" i="10" s="1"/>
  <c r="CO94" i="10"/>
  <c r="T84" i="10"/>
  <c r="R84" i="10"/>
  <c r="Q84" i="10"/>
  <c r="S84" i="10"/>
  <c r="Q289" i="10"/>
  <c r="S289" i="10"/>
  <c r="T289" i="10"/>
  <c r="R289" i="10"/>
  <c r="T206" i="10"/>
  <c r="R206" i="10"/>
  <c r="Q206" i="10"/>
  <c r="S206" i="10"/>
  <c r="AT36" i="10"/>
  <c r="BA36" i="10"/>
  <c r="R36" i="10"/>
  <c r="S36" i="10"/>
  <c r="Q36" i="10"/>
  <c r="T36" i="10"/>
  <c r="CO104" i="10"/>
  <c r="CO123" i="10"/>
  <c r="BA164" i="10"/>
  <c r="CO184" i="10"/>
  <c r="CO40" i="10"/>
  <c r="CN149" i="10"/>
  <c r="AC149" i="10"/>
  <c r="BR149" i="10"/>
  <c r="BZ149" i="10" s="1"/>
  <c r="CM149" i="10"/>
  <c r="BA21" i="10"/>
  <c r="R21" i="10"/>
  <c r="T21" i="10"/>
  <c r="S21" i="10"/>
  <c r="Q21" i="10"/>
  <c r="Q335" i="10"/>
  <c r="R335" i="10"/>
  <c r="T335" i="10"/>
  <c r="S335" i="10"/>
  <c r="Q44" i="10"/>
  <c r="T44" i="10"/>
  <c r="S44" i="10"/>
  <c r="R44" i="10"/>
  <c r="AT288" i="10"/>
  <c r="BA11" i="10"/>
  <c r="T11" i="10"/>
  <c r="S11" i="10"/>
  <c r="Q11" i="10"/>
  <c r="R11" i="10"/>
  <c r="BA134" i="10"/>
  <c r="AT212" i="10"/>
  <c r="BA100" i="10"/>
  <c r="BA142" i="10"/>
  <c r="CO142" i="10"/>
  <c r="Q208" i="10"/>
  <c r="R208" i="10"/>
  <c r="S208" i="10"/>
  <c r="T208" i="10"/>
  <c r="AO152" i="10"/>
  <c r="CE152" i="10"/>
  <c r="BH223" i="10"/>
  <c r="CO297" i="10"/>
  <c r="AT24" i="10"/>
  <c r="R24" i="10"/>
  <c r="T24" i="10"/>
  <c r="Q24" i="10"/>
  <c r="S24" i="10"/>
  <c r="BA222" i="10"/>
  <c r="CA75" i="10"/>
  <c r="CH75" i="10" s="1"/>
  <c r="BH216" i="10"/>
  <c r="BA246" i="10"/>
  <c r="AT116" i="10"/>
  <c r="S116" i="10"/>
  <c r="Q116" i="10"/>
  <c r="R116" i="10"/>
  <c r="T116" i="10"/>
  <c r="CO133" i="10"/>
  <c r="BA196" i="10"/>
  <c r="T136" i="10"/>
  <c r="R136" i="10"/>
  <c r="S136" i="10"/>
  <c r="Q136" i="10"/>
  <c r="BH41" i="10"/>
  <c r="BH348" i="10"/>
  <c r="AT174" i="10"/>
  <c r="CO60" i="10"/>
  <c r="BA207" i="10"/>
  <c r="CO89" i="10"/>
  <c r="BA153" i="10"/>
  <c r="AT153" i="10"/>
  <c r="S281" i="10"/>
  <c r="T281" i="10"/>
  <c r="Q281" i="10"/>
  <c r="R281" i="10"/>
  <c r="BA247" i="10"/>
  <c r="BH339" i="10"/>
  <c r="BA72" i="10"/>
  <c r="T72" i="10"/>
  <c r="R72" i="10"/>
  <c r="Q72" i="10"/>
  <c r="S72" i="10"/>
  <c r="BH58" i="10"/>
  <c r="BA9" i="10"/>
  <c r="T126" i="10"/>
  <c r="R126" i="10"/>
  <c r="Q126" i="10"/>
  <c r="S126" i="10"/>
  <c r="CO30" i="10"/>
  <c r="BA310" i="10"/>
  <c r="T91" i="10"/>
  <c r="Q91" i="10"/>
  <c r="S91" i="10"/>
  <c r="R91" i="10"/>
  <c r="BA340" i="10"/>
  <c r="AT43" i="10"/>
  <c r="S218" i="10"/>
  <c r="T218" i="10"/>
  <c r="R218" i="10"/>
  <c r="Q218" i="10"/>
  <c r="BA46" i="10"/>
  <c r="BA99" i="10"/>
  <c r="CA50" i="10"/>
  <c r="CH50" i="10" s="1"/>
  <c r="BA171" i="10"/>
  <c r="R75" i="10"/>
  <c r="Q75" i="10"/>
  <c r="T75" i="10"/>
  <c r="S75" i="10"/>
  <c r="S163" i="10"/>
  <c r="Q163" i="10"/>
  <c r="T163" i="10"/>
  <c r="R163" i="10"/>
  <c r="CO165" i="10"/>
  <c r="AT131" i="10"/>
  <c r="S131" i="10"/>
  <c r="T131" i="10"/>
  <c r="Q131" i="10"/>
  <c r="R131" i="10"/>
  <c r="R135" i="10"/>
  <c r="S135" i="10"/>
  <c r="Q135" i="10"/>
  <c r="T135" i="10"/>
  <c r="R108" i="10"/>
  <c r="Q108" i="10"/>
  <c r="T108" i="10"/>
  <c r="S108" i="10"/>
  <c r="BA112" i="10"/>
  <c r="CO112" i="10"/>
  <c r="AT78" i="10"/>
  <c r="BA95" i="10"/>
  <c r="BA114" i="10"/>
  <c r="AT114" i="10"/>
  <c r="CO108" i="10"/>
  <c r="CA97" i="10"/>
  <c r="CH97" i="10" s="1"/>
  <c r="CA154" i="10"/>
  <c r="CH154" i="10" s="1"/>
  <c r="R195" i="10"/>
  <c r="T195" i="10"/>
  <c r="Q195" i="10"/>
  <c r="S195" i="10"/>
  <c r="CA135" i="10"/>
  <c r="CH135" i="10" s="1"/>
  <c r="BA30" i="10"/>
  <c r="CA329" i="10"/>
  <c r="CH329" i="10" s="1"/>
  <c r="BA258" i="10"/>
  <c r="CO313" i="10"/>
  <c r="BA313" i="10"/>
  <c r="CD150" i="10"/>
  <c r="K150" i="10"/>
  <c r="AY147" i="10"/>
  <c r="CL147" i="10"/>
  <c r="AS147" i="10"/>
  <c r="AP147" i="10"/>
  <c r="CK147" i="10"/>
  <c r="AX147" i="10"/>
  <c r="AR147" i="10"/>
  <c r="AW147" i="10"/>
  <c r="AU147" i="10"/>
  <c r="AQ147" i="10"/>
  <c r="AZ147" i="10"/>
  <c r="AV147" i="10"/>
  <c r="P147" i="10"/>
  <c r="K147" i="10"/>
  <c r="CD147" i="10"/>
  <c r="BG147" i="10"/>
  <c r="BC147" i="10"/>
  <c r="BF147" i="10"/>
  <c r="BE147" i="10"/>
  <c r="BA226" i="10"/>
  <c r="BH94" i="10"/>
  <c r="CN148" i="10"/>
  <c r="AC148" i="10"/>
  <c r="CM148" i="10"/>
  <c r="BR148" i="10"/>
  <c r="BZ148" i="10" s="1"/>
  <c r="AT216" i="10"/>
  <c r="BH7" i="10"/>
  <c r="CO304" i="10"/>
  <c r="BA304" i="10"/>
  <c r="R322" i="10"/>
  <c r="T322" i="10"/>
  <c r="Q322" i="10"/>
  <c r="S322" i="10"/>
  <c r="CO322" i="10"/>
  <c r="T287" i="10"/>
  <c r="Q287" i="10"/>
  <c r="R287" i="10"/>
  <c r="S287" i="10"/>
  <c r="CA99" i="10"/>
  <c r="CH99" i="10" s="1"/>
  <c r="AT256" i="10"/>
  <c r="T342" i="10"/>
  <c r="S342" i="10"/>
  <c r="R342" i="10"/>
  <c r="Q342" i="10"/>
  <c r="Q27" i="10"/>
  <c r="T27" i="10"/>
  <c r="R27" i="10"/>
  <c r="S27" i="10"/>
  <c r="BA338" i="10"/>
  <c r="BA14" i="10"/>
  <c r="CA58" i="10"/>
  <c r="CH58" i="10" s="1"/>
  <c r="BA200" i="10"/>
  <c r="BA15" i="10"/>
  <c r="BA321" i="10"/>
  <c r="BA293" i="10"/>
  <c r="AT45" i="10"/>
  <c r="BA45" i="10"/>
  <c r="AO149" i="10"/>
  <c r="CE149" i="10"/>
  <c r="AZ231" i="10"/>
  <c r="AQ231" i="10"/>
  <c r="CL231" i="10"/>
  <c r="AU231" i="10"/>
  <c r="AY231" i="10"/>
  <c r="AR231" i="10"/>
  <c r="AS231" i="10"/>
  <c r="CK231" i="10"/>
  <c r="AP231" i="10"/>
  <c r="AX231" i="10"/>
  <c r="P231" i="10"/>
  <c r="AV231" i="10"/>
  <c r="AW231" i="10"/>
  <c r="BH5" i="10"/>
  <c r="CA5" i="10"/>
  <c r="CH5" i="10" s="1"/>
  <c r="AX6" i="25"/>
  <c r="BF19" i="25"/>
  <c r="AS30" i="25"/>
  <c r="AY2" i="25"/>
  <c r="BF30" i="25"/>
  <c r="AK27" i="25"/>
  <c r="BF7" i="25"/>
  <c r="BF6" i="25"/>
  <c r="AS19" i="25"/>
  <c r="AA27" i="25"/>
  <c r="AO26" i="25"/>
  <c r="S30" i="25"/>
  <c r="BB6" i="25"/>
  <c r="S6" i="25"/>
  <c r="BG19" i="25"/>
  <c r="BB7" i="25"/>
  <c r="AZ30" i="25"/>
  <c r="BG3" i="25"/>
  <c r="BB3" i="25"/>
  <c r="BG2" i="25"/>
  <c r="AS3" i="25"/>
  <c r="S19" i="25"/>
  <c r="AS2" i="25"/>
  <c r="S2" i="25"/>
  <c r="AX19" i="25"/>
  <c r="BG30" i="25"/>
  <c r="AY7" i="25"/>
  <c r="BE27" i="25"/>
  <c r="AX30" i="25"/>
  <c r="AZ2" i="25"/>
  <c r="AJ19" i="25"/>
  <c r="BB30" i="25"/>
  <c r="AO27" i="25"/>
  <c r="AA26" i="25"/>
  <c r="AR26" i="25"/>
  <c r="AW3" i="25"/>
  <c r="BC6" i="25"/>
  <c r="AY4" i="25"/>
  <c r="AJ7" i="25"/>
  <c r="AF20" i="25"/>
  <c r="AZ19" i="25"/>
  <c r="AB26" i="25"/>
  <c r="AJ30" i="25"/>
  <c r="AZ7" i="25"/>
  <c r="AJ6" i="25"/>
  <c r="AY30" i="25"/>
  <c r="BG7" i="25"/>
  <c r="AZ4" i="25"/>
  <c r="BF2" i="25"/>
  <c r="AD29" i="25"/>
  <c r="BC29" i="25"/>
  <c r="AG43" i="25"/>
  <c r="AW2" i="25"/>
  <c r="AY20" i="25"/>
  <c r="AJ3" i="25"/>
  <c r="AD6" i="25"/>
  <c r="BB20" i="25"/>
  <c r="BE26" i="25"/>
  <c r="AY3" i="25"/>
  <c r="AW7" i="25"/>
  <c r="BF4" i="25"/>
  <c r="BG4" i="25"/>
  <c r="AY6" i="25"/>
  <c r="BF3" i="25"/>
  <c r="AX4" i="25"/>
  <c r="AD3" i="25"/>
  <c r="AD30" i="25"/>
  <c r="AH2" i="25"/>
  <c r="BC2" i="25"/>
  <c r="AL27" i="25"/>
  <c r="AJ29" i="25"/>
  <c r="AW20" i="25"/>
  <c r="AS20" i="25"/>
  <c r="AX2" i="25"/>
  <c r="AQ26" i="25"/>
  <c r="AP26" i="25"/>
  <c r="AD20" i="25"/>
  <c r="BF20" i="25"/>
  <c r="BC28" i="25"/>
  <c r="BC19" i="25"/>
  <c r="AQ27" i="25"/>
  <c r="AS4" i="25"/>
  <c r="AW6" i="25"/>
  <c r="AD7" i="25"/>
  <c r="AX20" i="25"/>
  <c r="AF27" i="25"/>
  <c r="Z27" i="25"/>
  <c r="BA5" i="10"/>
  <c r="T5" i="10"/>
  <c r="Q5" i="10"/>
  <c r="AD2" i="25"/>
  <c r="R5" i="10"/>
  <c r="S5" i="10"/>
  <c r="AX3" i="25"/>
  <c r="AD28" i="25"/>
  <c r="AJ4" i="25"/>
  <c r="BC7" i="25"/>
  <c r="BG20" i="25"/>
  <c r="BG6" i="25"/>
  <c r="AW19" i="25"/>
  <c r="BB19" i="25"/>
  <c r="AF26" i="25"/>
  <c r="BB4" i="25"/>
  <c r="S7" i="25"/>
  <c r="S20" i="25"/>
  <c r="BB2" i="25"/>
  <c r="AD19" i="25"/>
  <c r="AW30" i="25"/>
  <c r="AY19" i="25"/>
  <c r="AN26" i="25"/>
  <c r="AL26" i="25"/>
  <c r="AJ28" i="25"/>
  <c r="Z26" i="25"/>
  <c r="AD4" i="25"/>
  <c r="AK26" i="25"/>
  <c r="AP27" i="25"/>
  <c r="AT5" i="10"/>
  <c r="CO5" i="10"/>
  <c r="AB27" i="25"/>
  <c r="AZ3" i="25"/>
  <c r="BC30" i="25"/>
  <c r="AX7" i="25"/>
  <c r="S4" i="25"/>
  <c r="AZ6" i="25"/>
  <c r="S3" i="25"/>
  <c r="AS7" i="25"/>
  <c r="AW4" i="25"/>
  <c r="AJ2" i="25"/>
  <c r="BC4" i="25"/>
  <c r="AN27" i="25"/>
  <c r="AZ20" i="25"/>
  <c r="BC3" i="25"/>
  <c r="AR27" i="25"/>
  <c r="AS6" i="25"/>
  <c r="AI43" i="25" l="1"/>
  <c r="BD28" i="25"/>
  <c r="W19" i="25"/>
  <c r="W30" i="25"/>
  <c r="AH26" i="25"/>
  <c r="AH27" i="25"/>
  <c r="AH20" i="25"/>
  <c r="BD29" i="25"/>
  <c r="T6" i="25"/>
  <c r="BB22" i="10"/>
  <c r="BB29" i="10"/>
  <c r="BI29" i="10" s="1"/>
  <c r="CP29" i="10" s="1"/>
  <c r="AY29" i="1" s="1"/>
  <c r="BI41" i="10"/>
  <c r="CP41" i="10" s="1"/>
  <c r="AY41" i="1" s="1"/>
  <c r="BI17" i="10"/>
  <c r="CP17" i="10" s="1"/>
  <c r="AY17" i="1" s="1"/>
  <c r="BB125" i="10"/>
  <c r="BI125" i="10" s="1"/>
  <c r="BB259" i="10"/>
  <c r="BI259" i="10" s="1"/>
  <c r="CP259" i="10" s="1"/>
  <c r="AY259" i="1" s="1"/>
  <c r="BB340" i="10"/>
  <c r="BI340" i="10" s="1"/>
  <c r="CP340" i="10" s="1"/>
  <c r="AY340" i="1" s="1"/>
  <c r="BB322" i="10"/>
  <c r="BI322" i="10" s="1"/>
  <c r="CP322" i="10" s="1"/>
  <c r="AY322" i="1" s="1"/>
  <c r="BB171" i="10"/>
  <c r="BI171" i="10" s="1"/>
  <c r="CP171" i="10" s="1"/>
  <c r="AY171" i="1" s="1"/>
  <c r="CA148" i="10"/>
  <c r="CH148" i="10" s="1"/>
  <c r="BB24" i="10"/>
  <c r="BI24" i="10" s="1"/>
  <c r="CP24" i="10" s="1"/>
  <c r="AY24" i="1" s="1"/>
  <c r="BI34" i="10"/>
  <c r="CP34" i="10" s="1"/>
  <c r="AY34" i="1" s="1"/>
  <c r="CP109" i="10"/>
  <c r="AY109" i="1" s="1"/>
  <c r="CP18" i="10"/>
  <c r="AY18" i="1" s="1"/>
  <c r="BB330" i="10"/>
  <c r="BI330" i="10" s="1"/>
  <c r="CP330" i="10" s="1"/>
  <c r="AY330" i="1" s="1"/>
  <c r="BB44" i="10"/>
  <c r="BI44" i="10" s="1"/>
  <c r="CP44" i="10" s="1"/>
  <c r="AY44" i="1" s="1"/>
  <c r="BI37" i="10"/>
  <c r="CP37" i="10" s="1"/>
  <c r="AY37" i="1" s="1"/>
  <c r="BB65" i="10"/>
  <c r="BI65" i="10" s="1"/>
  <c r="CP65" i="10" s="1"/>
  <c r="AY65" i="1" s="1"/>
  <c r="CA232" i="10"/>
  <c r="CH232" i="10" s="1"/>
  <c r="BI331" i="10"/>
  <c r="CP331" i="10" s="1"/>
  <c r="AY331" i="1" s="1"/>
  <c r="BI346" i="10"/>
  <c r="CP346" i="10" s="1"/>
  <c r="AY346" i="1" s="1"/>
  <c r="CP119" i="10"/>
  <c r="AY119" i="1" s="1"/>
  <c r="BB164" i="10"/>
  <c r="BI164" i="10" s="1"/>
  <c r="CP164" i="10" s="1"/>
  <c r="AY164" i="1" s="1"/>
  <c r="BB169" i="10"/>
  <c r="BI169" i="10" s="1"/>
  <c r="CP169" i="10" s="1"/>
  <c r="AY169" i="1" s="1"/>
  <c r="BB191" i="10"/>
  <c r="BI191" i="10" s="1"/>
  <c r="CP191" i="10" s="1"/>
  <c r="AY191" i="1" s="1"/>
  <c r="BB239" i="10"/>
  <c r="BI239" i="10" s="1"/>
  <c r="CP239" i="10" s="1"/>
  <c r="AY239" i="1" s="1"/>
  <c r="BB46" i="10"/>
  <c r="BI46" i="10" s="1"/>
  <c r="CP46" i="10" s="1"/>
  <c r="AY46" i="1" s="1"/>
  <c r="BB53" i="10"/>
  <c r="BI53" i="10" s="1"/>
  <c r="CP53" i="10" s="1"/>
  <c r="AY53" i="1" s="1"/>
  <c r="BB25" i="10"/>
  <c r="BI25" i="10" s="1"/>
  <c r="CP25" i="10" s="1"/>
  <c r="AY25" i="1" s="1"/>
  <c r="BB60" i="10"/>
  <c r="BI60" i="10" s="1"/>
  <c r="CP60" i="10" s="1"/>
  <c r="AY60" i="1" s="1"/>
  <c r="BB184" i="10"/>
  <c r="BI184" i="10" s="1"/>
  <c r="CP184" i="10" s="1"/>
  <c r="AY184" i="1" s="1"/>
  <c r="BB234" i="10"/>
  <c r="BI234" i="10" s="1"/>
  <c r="CP234" i="10" s="1"/>
  <c r="AY234" i="1" s="1"/>
  <c r="BB213" i="10"/>
  <c r="BI213" i="10" s="1"/>
  <c r="CP213" i="10" s="1"/>
  <c r="AY213" i="1" s="1"/>
  <c r="BB101" i="10"/>
  <c r="BI101" i="10" s="1"/>
  <c r="CP101" i="10" s="1"/>
  <c r="AY101" i="1" s="1"/>
  <c r="BB122" i="10"/>
  <c r="BI122" i="10" s="1"/>
  <c r="CP122" i="10" s="1"/>
  <c r="AY122" i="1" s="1"/>
  <c r="BB118" i="10"/>
  <c r="BI118" i="10" s="1"/>
  <c r="CP118" i="10" s="1"/>
  <c r="AY118" i="1" s="1"/>
  <c r="BB75" i="10"/>
  <c r="BI75" i="10" s="1"/>
  <c r="CP75" i="10" s="1"/>
  <c r="AY75" i="1" s="1"/>
  <c r="BB217" i="10"/>
  <c r="BI217" i="10" s="1"/>
  <c r="CP217" i="10" s="1"/>
  <c r="AY217" i="1" s="1"/>
  <c r="BB107" i="10"/>
  <c r="BI107" i="10" s="1"/>
  <c r="CP107" i="10" s="1"/>
  <c r="AY107" i="1" s="1"/>
  <c r="BB112" i="10"/>
  <c r="BI112" i="10" s="1"/>
  <c r="CP112" i="10" s="1"/>
  <c r="AY112" i="1" s="1"/>
  <c r="BB347" i="10"/>
  <c r="BI347" i="10" s="1"/>
  <c r="CP347" i="10" s="1"/>
  <c r="AY347" i="1" s="1"/>
  <c r="BB108" i="10"/>
  <c r="BI108" i="10" s="1"/>
  <c r="CP108" i="10" s="1"/>
  <c r="AY108" i="1" s="1"/>
  <c r="BB326" i="10"/>
  <c r="BI326" i="10" s="1"/>
  <c r="CP326" i="10" s="1"/>
  <c r="AY326" i="1" s="1"/>
  <c r="BB182" i="10"/>
  <c r="BI182" i="10" s="1"/>
  <c r="CP182" i="10" s="1"/>
  <c r="AY182" i="1" s="1"/>
  <c r="CP103" i="10"/>
  <c r="AY103" i="1" s="1"/>
  <c r="BB341" i="10"/>
  <c r="BI341" i="10" s="1"/>
  <c r="CP341" i="10" s="1"/>
  <c r="AY341" i="1" s="1"/>
  <c r="BB165" i="10"/>
  <c r="BI165" i="10" s="1"/>
  <c r="CP165" i="10" s="1"/>
  <c r="AY165" i="1" s="1"/>
  <c r="BB212" i="10"/>
  <c r="BI212" i="10" s="1"/>
  <c r="CP212" i="10" s="1"/>
  <c r="AY212" i="1" s="1"/>
  <c r="BB137" i="10"/>
  <c r="BI137" i="10" s="1"/>
  <c r="CP137" i="10" s="1"/>
  <c r="AY137" i="1" s="1"/>
  <c r="BB50" i="10"/>
  <c r="BI50" i="10" s="1"/>
  <c r="CP50" i="10" s="1"/>
  <c r="AY50" i="1" s="1"/>
  <c r="BB228" i="10"/>
  <c r="BI228" i="10" s="1"/>
  <c r="CP228" i="10" s="1"/>
  <c r="AY228" i="1" s="1"/>
  <c r="BB38" i="10"/>
  <c r="BI38" i="10" s="1"/>
  <c r="CP38" i="10" s="1"/>
  <c r="AY38" i="1" s="1"/>
  <c r="BB70" i="10"/>
  <c r="BI70" i="10" s="1"/>
  <c r="CP70" i="10" s="1"/>
  <c r="AY70" i="1" s="1"/>
  <c r="BB208" i="10"/>
  <c r="BI208" i="10" s="1"/>
  <c r="CP208" i="10" s="1"/>
  <c r="AY208" i="1" s="1"/>
  <c r="BB167" i="10"/>
  <c r="BI167" i="10" s="1"/>
  <c r="CP167" i="10" s="1"/>
  <c r="AY167" i="1" s="1"/>
  <c r="CA231" i="10"/>
  <c r="CH231" i="10" s="1"/>
  <c r="CP32" i="10"/>
  <c r="AY32" i="1" s="1"/>
  <c r="BB64" i="10"/>
  <c r="BI64" i="10" s="1"/>
  <c r="CP64" i="10" s="1"/>
  <c r="AY64" i="1" s="1"/>
  <c r="BB121" i="10"/>
  <c r="BI121" i="10" s="1"/>
  <c r="CP121" i="10" s="1"/>
  <c r="AY121" i="1" s="1"/>
  <c r="BB161" i="10"/>
  <c r="BI161" i="10" s="1"/>
  <c r="CP161" i="10" s="1"/>
  <c r="AY161" i="1" s="1"/>
  <c r="BB26" i="10"/>
  <c r="BI26" i="10" s="1"/>
  <c r="CP26" i="10" s="1"/>
  <c r="AY26" i="1" s="1"/>
  <c r="BB286" i="10"/>
  <c r="BI286" i="10" s="1"/>
  <c r="CP286" i="10" s="1"/>
  <c r="AY286" i="1" s="1"/>
  <c r="BB189" i="10"/>
  <c r="BI189" i="10" s="1"/>
  <c r="CP189" i="10" s="1"/>
  <c r="AY189" i="1" s="1"/>
  <c r="BB129" i="10"/>
  <c r="BI129" i="10" s="1"/>
  <c r="CP129" i="10" s="1"/>
  <c r="AY129" i="1" s="1"/>
  <c r="BB308" i="10"/>
  <c r="BI308" i="10" s="1"/>
  <c r="CP308" i="10" s="1"/>
  <c r="AY308" i="1" s="1"/>
  <c r="BB35" i="10"/>
  <c r="BI35" i="10" s="1"/>
  <c r="CP35" i="10" s="1"/>
  <c r="AY35" i="1" s="1"/>
  <c r="BB288" i="10"/>
  <c r="BI288" i="10" s="1"/>
  <c r="CP288" i="10" s="1"/>
  <c r="AY288" i="1" s="1"/>
  <c r="BB39" i="10"/>
  <c r="BI39" i="10" s="1"/>
  <c r="CP39" i="10" s="1"/>
  <c r="AY39" i="1" s="1"/>
  <c r="BB133" i="10"/>
  <c r="BI133" i="10" s="1"/>
  <c r="CP133" i="10" s="1"/>
  <c r="AY133" i="1" s="1"/>
  <c r="BB215" i="10"/>
  <c r="BI215" i="10" s="1"/>
  <c r="CP215" i="10" s="1"/>
  <c r="AY215" i="1" s="1"/>
  <c r="BB214" i="10"/>
  <c r="BI214" i="10" s="1"/>
  <c r="CP214" i="10" s="1"/>
  <c r="AY214" i="1" s="1"/>
  <c r="BB219" i="10"/>
  <c r="BI219" i="10" s="1"/>
  <c r="CP219" i="10" s="1"/>
  <c r="AY219" i="1" s="1"/>
  <c r="BB332" i="10"/>
  <c r="BI332" i="10" s="1"/>
  <c r="CP332" i="10" s="1"/>
  <c r="AY332" i="1" s="1"/>
  <c r="BB80" i="10"/>
  <c r="BI80" i="10" s="1"/>
  <c r="CP80" i="10" s="1"/>
  <c r="AY80" i="1" s="1"/>
  <c r="BB337" i="10"/>
  <c r="BI337" i="10" s="1"/>
  <c r="CP337" i="10" s="1"/>
  <c r="AY337" i="1" s="1"/>
  <c r="BB98" i="10"/>
  <c r="BI98" i="10" s="1"/>
  <c r="CP98" i="10" s="1"/>
  <c r="AY98" i="1" s="1"/>
  <c r="BB83" i="10"/>
  <c r="BI83" i="10" s="1"/>
  <c r="CP83" i="10" s="1"/>
  <c r="AY83" i="1" s="1"/>
  <c r="BB174" i="10"/>
  <c r="BI174" i="10" s="1"/>
  <c r="CP174" i="10" s="1"/>
  <c r="AY174" i="1" s="1"/>
  <c r="BB179" i="10"/>
  <c r="BI179" i="10" s="1"/>
  <c r="CP179" i="10" s="1"/>
  <c r="AY179" i="1" s="1"/>
  <c r="BB310" i="10"/>
  <c r="BI310" i="10" s="1"/>
  <c r="CP310" i="10" s="1"/>
  <c r="AY310" i="1" s="1"/>
  <c r="BB140" i="10"/>
  <c r="BI140" i="10" s="1"/>
  <c r="CP140" i="10" s="1"/>
  <c r="AY140" i="1" s="1"/>
  <c r="BB220" i="10"/>
  <c r="BI220" i="10" s="1"/>
  <c r="CP220" i="10" s="1"/>
  <c r="AY220" i="1" s="1"/>
  <c r="BB312" i="10"/>
  <c r="BI312" i="10" s="1"/>
  <c r="CP312" i="10" s="1"/>
  <c r="AY312" i="1" s="1"/>
  <c r="BB297" i="10"/>
  <c r="BI297" i="10" s="1"/>
  <c r="CP297" i="10" s="1"/>
  <c r="AY297" i="1" s="1"/>
  <c r="BB59" i="10"/>
  <c r="BI59" i="10" s="1"/>
  <c r="CP59" i="10" s="1"/>
  <c r="AY59" i="1" s="1"/>
  <c r="BB79" i="10"/>
  <c r="BI79" i="10" s="1"/>
  <c r="CP79" i="10" s="1"/>
  <c r="AY79" i="1" s="1"/>
  <c r="BB192" i="10"/>
  <c r="BI192" i="10" s="1"/>
  <c r="CP192" i="10" s="1"/>
  <c r="AY192" i="1" s="1"/>
  <c r="BB193" i="10"/>
  <c r="BI193" i="10" s="1"/>
  <c r="CP193" i="10" s="1"/>
  <c r="AY193" i="1" s="1"/>
  <c r="BB6" i="10"/>
  <c r="BI6" i="10" s="1"/>
  <c r="CP6" i="10" s="1"/>
  <c r="AY6" i="1" s="1"/>
  <c r="BB95" i="10"/>
  <c r="BI95" i="10" s="1"/>
  <c r="CP95" i="10" s="1"/>
  <c r="AY95" i="1" s="1"/>
  <c r="BB131" i="10"/>
  <c r="BI131" i="10" s="1"/>
  <c r="CP131" i="10" s="1"/>
  <c r="AY131" i="1" s="1"/>
  <c r="BB113" i="10"/>
  <c r="BI113" i="10" s="1"/>
  <c r="CP113" i="10" s="1"/>
  <c r="AY113" i="1" s="1"/>
  <c r="BB58" i="10"/>
  <c r="BI58" i="10" s="1"/>
  <c r="CP58" i="10" s="1"/>
  <c r="AY58" i="1" s="1"/>
  <c r="BB89" i="10"/>
  <c r="BI89" i="10" s="1"/>
  <c r="CP89" i="10" s="1"/>
  <c r="AY89" i="1" s="1"/>
  <c r="BB123" i="10"/>
  <c r="BI123" i="10" s="1"/>
  <c r="CP123" i="10" s="1"/>
  <c r="AY123" i="1" s="1"/>
  <c r="CP104" i="10"/>
  <c r="AY104" i="1" s="1"/>
  <c r="BB86" i="10"/>
  <c r="BI86" i="10" s="1"/>
  <c r="CP86" i="10" s="1"/>
  <c r="AY86" i="1" s="1"/>
  <c r="BB54" i="10"/>
  <c r="BI54" i="10" s="1"/>
  <c r="CP54" i="10" s="1"/>
  <c r="AY54" i="1" s="1"/>
  <c r="BB93" i="10"/>
  <c r="BI93" i="10" s="1"/>
  <c r="CP93" i="10" s="1"/>
  <c r="AY93" i="1" s="1"/>
  <c r="BB115" i="10"/>
  <c r="BI115" i="10" s="1"/>
  <c r="CP115" i="10" s="1"/>
  <c r="AY115" i="1" s="1"/>
  <c r="BB91" i="10"/>
  <c r="BI91" i="10" s="1"/>
  <c r="CP91" i="10" s="1"/>
  <c r="AY91" i="1" s="1"/>
  <c r="BB224" i="10"/>
  <c r="BI224" i="10" s="1"/>
  <c r="CP224" i="10" s="1"/>
  <c r="AY224" i="1" s="1"/>
  <c r="BB100" i="10"/>
  <c r="BI100" i="10" s="1"/>
  <c r="CP100" i="10" s="1"/>
  <c r="AY100" i="1" s="1"/>
  <c r="CA149" i="10"/>
  <c r="CH149" i="10" s="1"/>
  <c r="BB260" i="10"/>
  <c r="BI260" i="10" s="1"/>
  <c r="CP260" i="10" s="1"/>
  <c r="AY260" i="1" s="1"/>
  <c r="BB343" i="10"/>
  <c r="BI343" i="10" s="1"/>
  <c r="CP343" i="10" s="1"/>
  <c r="AY343" i="1" s="1"/>
  <c r="BB40" i="10"/>
  <c r="BI40" i="10" s="1"/>
  <c r="CP40" i="10" s="1"/>
  <c r="AY40" i="1" s="1"/>
  <c r="BB23" i="10"/>
  <c r="BI23" i="10" s="1"/>
  <c r="CP23" i="10" s="1"/>
  <c r="AY23" i="1" s="1"/>
  <c r="BB334" i="10"/>
  <c r="BI334" i="10" s="1"/>
  <c r="CP334" i="10" s="1"/>
  <c r="AY334" i="1" s="1"/>
  <c r="BB72" i="10"/>
  <c r="BI72" i="10" s="1"/>
  <c r="CP72" i="10" s="1"/>
  <c r="AY72" i="1" s="1"/>
  <c r="BB323" i="10"/>
  <c r="BI323" i="10" s="1"/>
  <c r="CP323" i="10" s="1"/>
  <c r="AY323" i="1" s="1"/>
  <c r="BB221" i="10"/>
  <c r="BI221" i="10" s="1"/>
  <c r="CP221" i="10" s="1"/>
  <c r="AY221" i="1" s="1"/>
  <c r="BB166" i="10"/>
  <c r="BI166" i="10" s="1"/>
  <c r="CP166" i="10" s="1"/>
  <c r="AY166" i="1" s="1"/>
  <c r="BB301" i="10"/>
  <c r="BI301" i="10" s="1"/>
  <c r="CP301" i="10" s="1"/>
  <c r="AY301" i="1" s="1"/>
  <c r="BB142" i="10"/>
  <c r="BI142" i="10" s="1"/>
  <c r="CP142" i="10" s="1"/>
  <c r="AY142" i="1" s="1"/>
  <c r="BB225" i="10"/>
  <c r="BI225" i="10" s="1"/>
  <c r="CP225" i="10" s="1"/>
  <c r="AY225" i="1" s="1"/>
  <c r="BB303" i="10"/>
  <c r="BI303" i="10" s="1"/>
  <c r="CP303" i="10" s="1"/>
  <c r="AY303" i="1" s="1"/>
  <c r="BB186" i="10"/>
  <c r="BI186" i="10" s="1"/>
  <c r="CP186" i="10" s="1"/>
  <c r="AY186" i="1" s="1"/>
  <c r="BB49" i="10"/>
  <c r="BI49" i="10" s="1"/>
  <c r="CP49" i="10" s="1"/>
  <c r="AY49" i="1" s="1"/>
  <c r="BB111" i="10"/>
  <c r="BI111" i="10" s="1"/>
  <c r="CP111" i="10" s="1"/>
  <c r="AY111" i="1" s="1"/>
  <c r="BB351" i="10"/>
  <c r="BI351" i="10" s="1"/>
  <c r="CP351" i="10" s="1"/>
  <c r="AY351" i="1" s="1"/>
  <c r="BB163" i="10"/>
  <c r="BI163" i="10" s="1"/>
  <c r="CP163" i="10" s="1"/>
  <c r="AY163" i="1" s="1"/>
  <c r="BB194" i="10"/>
  <c r="BI194" i="10" s="1"/>
  <c r="CP194" i="10" s="1"/>
  <c r="AY194" i="1" s="1"/>
  <c r="CO231" i="10"/>
  <c r="BB321" i="10"/>
  <c r="BI321" i="10" s="1"/>
  <c r="CP321" i="10" s="1"/>
  <c r="AY321" i="1" s="1"/>
  <c r="BB14" i="10"/>
  <c r="BI14" i="10" s="1"/>
  <c r="CP14" i="10" s="1"/>
  <c r="AY14" i="1" s="1"/>
  <c r="BB216" i="10"/>
  <c r="BI216" i="10" s="1"/>
  <c r="CP216" i="10" s="1"/>
  <c r="AY216" i="1" s="1"/>
  <c r="CO147" i="10"/>
  <c r="BB313" i="10"/>
  <c r="BI313" i="10" s="1"/>
  <c r="CP313" i="10" s="1"/>
  <c r="AY313" i="1" s="1"/>
  <c r="BB78" i="10"/>
  <c r="BI78" i="10" s="1"/>
  <c r="CP78" i="10" s="1"/>
  <c r="AY78" i="1" s="1"/>
  <c r="BB116" i="10"/>
  <c r="BI116" i="10" s="1"/>
  <c r="CP116" i="10" s="1"/>
  <c r="AY116" i="1" s="1"/>
  <c r="BB77" i="10"/>
  <c r="BI77" i="10" s="1"/>
  <c r="CP77" i="10" s="1"/>
  <c r="AY77" i="1" s="1"/>
  <c r="BB88" i="10"/>
  <c r="BI88" i="10" s="1"/>
  <c r="CP88" i="10" s="1"/>
  <c r="AY88" i="1" s="1"/>
  <c r="BB10" i="10"/>
  <c r="BI10" i="10" s="1"/>
  <c r="CP10" i="10" s="1"/>
  <c r="AY10" i="1" s="1"/>
  <c r="BB71" i="10"/>
  <c r="BI71" i="10" s="1"/>
  <c r="CP71" i="10" s="1"/>
  <c r="AY71" i="1" s="1"/>
  <c r="BB63" i="10"/>
  <c r="BI63" i="10" s="1"/>
  <c r="CP63" i="10" s="1"/>
  <c r="AY63" i="1" s="1"/>
  <c r="BB238" i="10"/>
  <c r="BI238" i="10" s="1"/>
  <c r="CP238" i="10" s="1"/>
  <c r="AY238" i="1" s="1"/>
  <c r="BB307" i="10"/>
  <c r="BI307" i="10" s="1"/>
  <c r="CP307" i="10" s="1"/>
  <c r="AY307" i="1" s="1"/>
  <c r="BB298" i="10"/>
  <c r="BI298" i="10" s="1"/>
  <c r="CP298" i="10" s="1"/>
  <c r="AY298" i="1" s="1"/>
  <c r="BB209" i="10"/>
  <c r="BI209" i="10" s="1"/>
  <c r="CP209" i="10" s="1"/>
  <c r="AY209" i="1" s="1"/>
  <c r="BB136" i="10"/>
  <c r="BI136" i="10" s="1"/>
  <c r="CP136" i="10" s="1"/>
  <c r="AY136" i="1" s="1"/>
  <c r="BB178" i="10"/>
  <c r="BI178" i="10" s="1"/>
  <c r="CP178" i="10" s="1"/>
  <c r="AY178" i="1" s="1"/>
  <c r="BB173" i="10"/>
  <c r="BI173" i="10" s="1"/>
  <c r="CP173" i="10" s="1"/>
  <c r="AY173" i="1" s="1"/>
  <c r="BB132" i="10"/>
  <c r="BI132" i="10" s="1"/>
  <c r="CP132" i="10" s="1"/>
  <c r="AY132" i="1" s="1"/>
  <c r="BB237" i="10"/>
  <c r="BI237" i="10" s="1"/>
  <c r="CP237" i="10" s="1"/>
  <c r="AY237" i="1" s="1"/>
  <c r="BB76" i="10"/>
  <c r="BI76" i="10" s="1"/>
  <c r="CP76" i="10" s="1"/>
  <c r="AY76" i="1" s="1"/>
  <c r="BB180" i="10"/>
  <c r="BI180" i="10" s="1"/>
  <c r="CP180" i="10" s="1"/>
  <c r="AY180" i="1" s="1"/>
  <c r="BB135" i="10"/>
  <c r="BI135" i="10" s="1"/>
  <c r="CP135" i="10" s="1"/>
  <c r="AY135" i="1" s="1"/>
  <c r="BB105" i="10"/>
  <c r="BI105" i="10" s="1"/>
  <c r="CP105" i="10" s="1"/>
  <c r="AY105" i="1" s="1"/>
  <c r="BB20" i="10"/>
  <c r="BI20" i="10" s="1"/>
  <c r="CP20" i="10" s="1"/>
  <c r="AY20" i="1" s="1"/>
  <c r="BB55" i="10"/>
  <c r="BI55" i="10" s="1"/>
  <c r="CP55" i="10" s="1"/>
  <c r="AY55" i="1" s="1"/>
  <c r="BB45" i="10"/>
  <c r="BI45" i="10" s="1"/>
  <c r="CP45" i="10" s="1"/>
  <c r="AY45" i="1" s="1"/>
  <c r="BB256" i="10"/>
  <c r="BI256" i="10" s="1"/>
  <c r="CP256" i="10" s="1"/>
  <c r="AY256" i="1" s="1"/>
  <c r="BB36" i="10"/>
  <c r="BI36" i="10" s="1"/>
  <c r="CP36" i="10" s="1"/>
  <c r="AY36" i="1" s="1"/>
  <c r="BB106" i="10"/>
  <c r="BI106" i="10" s="1"/>
  <c r="CP106" i="10" s="1"/>
  <c r="AY106" i="1" s="1"/>
  <c r="BB124" i="10"/>
  <c r="BI124" i="10" s="1"/>
  <c r="CP124" i="10" s="1"/>
  <c r="AY124" i="1" s="1"/>
  <c r="BB85" i="10"/>
  <c r="BI85" i="10" s="1"/>
  <c r="CP85" i="10" s="1"/>
  <c r="AY85" i="1" s="1"/>
  <c r="BB333" i="10"/>
  <c r="BI333" i="10" s="1"/>
  <c r="CP333" i="10" s="1"/>
  <c r="AY333" i="1" s="1"/>
  <c r="CO151" i="10"/>
  <c r="BB21" i="10"/>
  <c r="BI21" i="10" s="1"/>
  <c r="CP21" i="10" s="1"/>
  <c r="AY21" i="1" s="1"/>
  <c r="AT151" i="10"/>
  <c r="BB233" i="10"/>
  <c r="BI233" i="10" s="1"/>
  <c r="CP233" i="10" s="1"/>
  <c r="AY233" i="1" s="1"/>
  <c r="BB227" i="10"/>
  <c r="BI227" i="10" s="1"/>
  <c r="CP227" i="10" s="1"/>
  <c r="AY227" i="1" s="1"/>
  <c r="BB81" i="10"/>
  <c r="BI81" i="10" s="1"/>
  <c r="CP81" i="10" s="1"/>
  <c r="AY81" i="1" s="1"/>
  <c r="BB94" i="10"/>
  <c r="BI94" i="10" s="1"/>
  <c r="CP94" i="10" s="1"/>
  <c r="AY94" i="1" s="1"/>
  <c r="BB97" i="10"/>
  <c r="BI97" i="10" s="1"/>
  <c r="CP97" i="10" s="1"/>
  <c r="AY97" i="1" s="1"/>
  <c r="BB92" i="10"/>
  <c r="BI92" i="10" s="1"/>
  <c r="CP92" i="10" s="1"/>
  <c r="AY92" i="1" s="1"/>
  <c r="BB114" i="10"/>
  <c r="BI114" i="10" s="1"/>
  <c r="CP114" i="10" s="1"/>
  <c r="AY114" i="1" s="1"/>
  <c r="BB207" i="10"/>
  <c r="BI207" i="10" s="1"/>
  <c r="CP207" i="10" s="1"/>
  <c r="AY207" i="1" s="1"/>
  <c r="BB102" i="10"/>
  <c r="BI102" i="10" s="1"/>
  <c r="CP102" i="10" s="1"/>
  <c r="AY102" i="1" s="1"/>
  <c r="BB185" i="10"/>
  <c r="BI185" i="10" s="1"/>
  <c r="CP185" i="10" s="1"/>
  <c r="AY185" i="1" s="1"/>
  <c r="BB226" i="10"/>
  <c r="BI226" i="10" s="1"/>
  <c r="CP226" i="10" s="1"/>
  <c r="AY226" i="1" s="1"/>
  <c r="CO232" i="10"/>
  <c r="BB345" i="10"/>
  <c r="BI345" i="10" s="1"/>
  <c r="CP345" i="10" s="1"/>
  <c r="AY345" i="1" s="1"/>
  <c r="BB73" i="10"/>
  <c r="BI73" i="10" s="1"/>
  <c r="CP73" i="10" s="1"/>
  <c r="AY73" i="1" s="1"/>
  <c r="BB90" i="10"/>
  <c r="BI90" i="10" s="1"/>
  <c r="CP90" i="10" s="1"/>
  <c r="AY90" i="1" s="1"/>
  <c r="BB9" i="10"/>
  <c r="BI9" i="10" s="1"/>
  <c r="CP9" i="10" s="1"/>
  <c r="AY9" i="1" s="1"/>
  <c r="CO152" i="10"/>
  <c r="CA152" i="10"/>
  <c r="CH152" i="10" s="1"/>
  <c r="BB130" i="10"/>
  <c r="BI130" i="10" s="1"/>
  <c r="CP130" i="10" s="1"/>
  <c r="AY130" i="1" s="1"/>
  <c r="BB240" i="10"/>
  <c r="BI240" i="10" s="1"/>
  <c r="CP240" i="10" s="1"/>
  <c r="AY240" i="1" s="1"/>
  <c r="BB206" i="10"/>
  <c r="BI206" i="10" s="1"/>
  <c r="CP206" i="10" s="1"/>
  <c r="AY206" i="1" s="1"/>
  <c r="BB258" i="10"/>
  <c r="BI258" i="10" s="1"/>
  <c r="CP258" i="10" s="1"/>
  <c r="AY258" i="1" s="1"/>
  <c r="BB293" i="10"/>
  <c r="BI293" i="10" s="1"/>
  <c r="CP293" i="10" s="1"/>
  <c r="AY293" i="1" s="1"/>
  <c r="BB15" i="10"/>
  <c r="BI15" i="10" s="1"/>
  <c r="CP15" i="10" s="1"/>
  <c r="AY15" i="1" s="1"/>
  <c r="BB195" i="10"/>
  <c r="BI195" i="10" s="1"/>
  <c r="CP195" i="10" s="1"/>
  <c r="AY195" i="1" s="1"/>
  <c r="BB328" i="10"/>
  <c r="BI328" i="10" s="1"/>
  <c r="CP328" i="10" s="1"/>
  <c r="AY328" i="1" s="1"/>
  <c r="BB96" i="10"/>
  <c r="BI96" i="10" s="1"/>
  <c r="CP96" i="10" s="1"/>
  <c r="AY96" i="1" s="1"/>
  <c r="CA147" i="10"/>
  <c r="CH147" i="10" s="1"/>
  <c r="CO149" i="10"/>
  <c r="BB274" i="10"/>
  <c r="BI274" i="10" s="1"/>
  <c r="CP274" i="10" s="1"/>
  <c r="AY274" i="1" s="1"/>
  <c r="BB154" i="10"/>
  <c r="BI154" i="10" s="1"/>
  <c r="CP154" i="10" s="1"/>
  <c r="AY154" i="1" s="1"/>
  <c r="BB139" i="10"/>
  <c r="BI139" i="10" s="1"/>
  <c r="CP139" i="10" s="1"/>
  <c r="AY139" i="1" s="1"/>
  <c r="BB134" i="10"/>
  <c r="BI134" i="10" s="1"/>
  <c r="CP134" i="10" s="1"/>
  <c r="AY134" i="1" s="1"/>
  <c r="CO148" i="10"/>
  <c r="BB162" i="10"/>
  <c r="BI162" i="10" s="1"/>
  <c r="CP162" i="10" s="1"/>
  <c r="AY162" i="1" s="1"/>
  <c r="BB168" i="10"/>
  <c r="BI168" i="10" s="1"/>
  <c r="CP168" i="10" s="1"/>
  <c r="AY168" i="1" s="1"/>
  <c r="BB12" i="10"/>
  <c r="BI12" i="10" s="1"/>
  <c r="CP12" i="10" s="1"/>
  <c r="AY12" i="1" s="1"/>
  <c r="BB138" i="10"/>
  <c r="BI138" i="10" s="1"/>
  <c r="CP138" i="10" s="1"/>
  <c r="AY138" i="1" s="1"/>
  <c r="CP19" i="10"/>
  <c r="AY19" i="1" s="1"/>
  <c r="BB188" i="10"/>
  <c r="BI188" i="10" s="1"/>
  <c r="CP188" i="10" s="1"/>
  <c r="AY188" i="1" s="1"/>
  <c r="BB329" i="10"/>
  <c r="BI329" i="10" s="1"/>
  <c r="CP329" i="10" s="1"/>
  <c r="AY329" i="1" s="1"/>
  <c r="BB287" i="10"/>
  <c r="BI287" i="10" s="1"/>
  <c r="CP287" i="10" s="1"/>
  <c r="AY287" i="1" s="1"/>
  <c r="AT150" i="10"/>
  <c r="BB30" i="10"/>
  <c r="BI30" i="10" s="1"/>
  <c r="CP30" i="10" s="1"/>
  <c r="AY30" i="1" s="1"/>
  <c r="BB57" i="10"/>
  <c r="BI57" i="10" s="1"/>
  <c r="CP57" i="10" s="1"/>
  <c r="AY57" i="1" s="1"/>
  <c r="CO125" i="10"/>
  <c r="BB289" i="10"/>
  <c r="BI289" i="10" s="1"/>
  <c r="CP289" i="10" s="1"/>
  <c r="AY289" i="1" s="1"/>
  <c r="BB141" i="10"/>
  <c r="BI141" i="10" s="1"/>
  <c r="CP141" i="10" s="1"/>
  <c r="AY141" i="1" s="1"/>
  <c r="BB69" i="10"/>
  <c r="BI69" i="10" s="1"/>
  <c r="CP69" i="10" s="1"/>
  <c r="AY69" i="1" s="1"/>
  <c r="BB199" i="10"/>
  <c r="BI199" i="10" s="1"/>
  <c r="CP199" i="10" s="1"/>
  <c r="AY199" i="1" s="1"/>
  <c r="BB31" i="10"/>
  <c r="BI31" i="10" s="1"/>
  <c r="CP31" i="10" s="1"/>
  <c r="AY31" i="1" s="1"/>
  <c r="BB230" i="10"/>
  <c r="BI230" i="10" s="1"/>
  <c r="CP230" i="10" s="1"/>
  <c r="AY230" i="1" s="1"/>
  <c r="BB336" i="10"/>
  <c r="BI336" i="10" s="1"/>
  <c r="CP336" i="10" s="1"/>
  <c r="AY336" i="1" s="1"/>
  <c r="BB27" i="10"/>
  <c r="BI27" i="10" s="1"/>
  <c r="CP27" i="10" s="1"/>
  <c r="AY27" i="1" s="1"/>
  <c r="BB280" i="10"/>
  <c r="BI280" i="10" s="1"/>
  <c r="CP280" i="10" s="1"/>
  <c r="AY280" i="1" s="1"/>
  <c r="BH147" i="10"/>
  <c r="T147" i="10"/>
  <c r="S147" i="10"/>
  <c r="Q147" i="10"/>
  <c r="R147" i="10"/>
  <c r="BA147" i="10"/>
  <c r="BB56" i="10"/>
  <c r="BI56" i="10" s="1"/>
  <c r="CP56" i="10" s="1"/>
  <c r="AY56" i="1" s="1"/>
  <c r="BB176" i="10"/>
  <c r="BI176" i="10" s="1"/>
  <c r="CP176" i="10" s="1"/>
  <c r="AY176" i="1" s="1"/>
  <c r="BH152" i="10"/>
  <c r="BB338" i="10"/>
  <c r="BI338" i="10" s="1"/>
  <c r="CP338" i="10" s="1"/>
  <c r="AY338" i="1" s="1"/>
  <c r="BB246" i="10"/>
  <c r="BI246" i="10" s="1"/>
  <c r="CP246" i="10" s="1"/>
  <c r="AY246" i="1" s="1"/>
  <c r="BB68" i="10"/>
  <c r="BI68" i="10" s="1"/>
  <c r="CP68" i="10" s="1"/>
  <c r="AY68" i="1" s="1"/>
  <c r="T232" i="10"/>
  <c r="S232" i="10"/>
  <c r="R232" i="10"/>
  <c r="Q232" i="10"/>
  <c r="BH232" i="10"/>
  <c r="BB62" i="10"/>
  <c r="BI62" i="10" s="1"/>
  <c r="CP62" i="10" s="1"/>
  <c r="AY62" i="1" s="1"/>
  <c r="BB61" i="10"/>
  <c r="BI61" i="10" s="1"/>
  <c r="CP61" i="10" s="1"/>
  <c r="AY61" i="1" s="1"/>
  <c r="BB11" i="10"/>
  <c r="BI11" i="10" s="1"/>
  <c r="CP11" i="10" s="1"/>
  <c r="AY11" i="1" s="1"/>
  <c r="BB190" i="10"/>
  <c r="BI190" i="10" s="1"/>
  <c r="CP190" i="10" s="1"/>
  <c r="AY190" i="1" s="1"/>
  <c r="BB342" i="10"/>
  <c r="BI342" i="10" s="1"/>
  <c r="CP342" i="10" s="1"/>
  <c r="AY342" i="1" s="1"/>
  <c r="BB87" i="10"/>
  <c r="BI87" i="10" s="1"/>
  <c r="CP87" i="10" s="1"/>
  <c r="AY87" i="1" s="1"/>
  <c r="BB327" i="10"/>
  <c r="BI327" i="10" s="1"/>
  <c r="CP327" i="10" s="1"/>
  <c r="AY327" i="1" s="1"/>
  <c r="BB126" i="10"/>
  <c r="BI126" i="10" s="1"/>
  <c r="CP126" i="10" s="1"/>
  <c r="AY126" i="1" s="1"/>
  <c r="BA152" i="10"/>
  <c r="BB117" i="10"/>
  <c r="BI117" i="10" s="1"/>
  <c r="CP117" i="10" s="1"/>
  <c r="AY117" i="1" s="1"/>
  <c r="BB349" i="10"/>
  <c r="BI349" i="10" s="1"/>
  <c r="CP349" i="10" s="1"/>
  <c r="AY349" i="1" s="1"/>
  <c r="BB339" i="10"/>
  <c r="BI339" i="10" s="1"/>
  <c r="CP339" i="10" s="1"/>
  <c r="AY339" i="1" s="1"/>
  <c r="BB187" i="10"/>
  <c r="BI187" i="10" s="1"/>
  <c r="CP187" i="10" s="1"/>
  <c r="AY187" i="1" s="1"/>
  <c r="BB305" i="10"/>
  <c r="BI305" i="10" s="1"/>
  <c r="CP305" i="10" s="1"/>
  <c r="AY305" i="1" s="1"/>
  <c r="CA150" i="10"/>
  <c r="CH150" i="10" s="1"/>
  <c r="BI22" i="10"/>
  <c r="CP22" i="10" s="1"/>
  <c r="AY22" i="1" s="1"/>
  <c r="BB52" i="10"/>
  <c r="BI52" i="10" s="1"/>
  <c r="CP52" i="10" s="1"/>
  <c r="AY52" i="1" s="1"/>
  <c r="BB247" i="10"/>
  <c r="BI247" i="10" s="1"/>
  <c r="CP247" i="10" s="1"/>
  <c r="AY247" i="1" s="1"/>
  <c r="R231" i="10"/>
  <c r="T231" i="10"/>
  <c r="S231" i="10"/>
  <c r="Q231" i="10"/>
  <c r="BA148" i="10"/>
  <c r="AT231" i="10"/>
  <c r="AT147" i="10"/>
  <c r="BB43" i="10"/>
  <c r="BI43" i="10" s="1"/>
  <c r="CP43" i="10" s="1"/>
  <c r="AY43" i="1" s="1"/>
  <c r="BB66" i="10"/>
  <c r="BI66" i="10" s="1"/>
  <c r="CP66" i="10" s="1"/>
  <c r="AY66" i="1" s="1"/>
  <c r="AT148" i="10"/>
  <c r="R148" i="10"/>
  <c r="S148" i="10"/>
  <c r="T148" i="10"/>
  <c r="Q148" i="10"/>
  <c r="BB67" i="10"/>
  <c r="BI67" i="10" s="1"/>
  <c r="CP67" i="10" s="1"/>
  <c r="AY67" i="1" s="1"/>
  <c r="BH149" i="10"/>
  <c r="BB304" i="10"/>
  <c r="BI304" i="10" s="1"/>
  <c r="CP304" i="10" s="1"/>
  <c r="AY304" i="1" s="1"/>
  <c r="BB172" i="10"/>
  <c r="BI172" i="10" s="1"/>
  <c r="CP172" i="10" s="1"/>
  <c r="AY172" i="1" s="1"/>
  <c r="BB348" i="10"/>
  <c r="BI348" i="10" s="1"/>
  <c r="CP348" i="10" s="1"/>
  <c r="AY348" i="1" s="1"/>
  <c r="BB314" i="10"/>
  <c r="BI314" i="10" s="1"/>
  <c r="CP314" i="10" s="1"/>
  <c r="AY314" i="1" s="1"/>
  <c r="BB200" i="10"/>
  <c r="BI200" i="10" s="1"/>
  <c r="CP200" i="10" s="1"/>
  <c r="AY200" i="1" s="1"/>
  <c r="BA150" i="10"/>
  <c r="BB177" i="10"/>
  <c r="BI177" i="10" s="1"/>
  <c r="CP177" i="10" s="1"/>
  <c r="AY177" i="1" s="1"/>
  <c r="T152" i="10"/>
  <c r="Q152" i="10"/>
  <c r="R152" i="10"/>
  <c r="S152" i="10"/>
  <c r="BB82" i="10"/>
  <c r="BI82" i="10" s="1"/>
  <c r="CP82" i="10" s="1"/>
  <c r="AY82" i="1" s="1"/>
  <c r="BB344" i="10"/>
  <c r="BI344" i="10" s="1"/>
  <c r="CP344" i="10" s="1"/>
  <c r="AY344" i="1" s="1"/>
  <c r="BB128" i="10"/>
  <c r="BI128" i="10" s="1"/>
  <c r="CP128" i="10" s="1"/>
  <c r="AY128" i="1" s="1"/>
  <c r="BB28" i="10"/>
  <c r="BI28" i="10" s="1"/>
  <c r="CP28" i="10" s="1"/>
  <c r="AY28" i="1" s="1"/>
  <c r="BB155" i="10"/>
  <c r="BI155" i="10" s="1"/>
  <c r="CP155" i="10" s="1"/>
  <c r="AY155" i="1" s="1"/>
  <c r="CA151" i="10"/>
  <c r="CH151" i="10" s="1"/>
  <c r="BB127" i="10"/>
  <c r="BI127" i="10" s="1"/>
  <c r="CP127" i="10" s="1"/>
  <c r="AY127" i="1" s="1"/>
  <c r="BB315" i="10"/>
  <c r="BI315" i="10" s="1"/>
  <c r="CP315" i="10" s="1"/>
  <c r="AY315" i="1" s="1"/>
  <c r="BB74" i="10"/>
  <c r="BI74" i="10" s="1"/>
  <c r="CP74" i="10" s="1"/>
  <c r="AY74" i="1" s="1"/>
  <c r="BB42" i="10"/>
  <c r="BI42" i="10" s="1"/>
  <c r="CP42" i="10" s="1"/>
  <c r="AY42" i="1" s="1"/>
  <c r="BH148" i="10"/>
  <c r="BH231" i="10"/>
  <c r="BB218" i="10"/>
  <c r="BI218" i="10" s="1"/>
  <c r="CP218" i="10" s="1"/>
  <c r="AY218" i="1" s="1"/>
  <c r="BA231" i="10"/>
  <c r="BB153" i="10"/>
  <c r="BI153" i="10" s="1"/>
  <c r="CP153" i="10" s="1"/>
  <c r="AY153" i="1" s="1"/>
  <c r="BB196" i="10"/>
  <c r="BI196" i="10" s="1"/>
  <c r="CP196" i="10" s="1"/>
  <c r="AY196" i="1" s="1"/>
  <c r="BB120" i="10"/>
  <c r="BI120" i="10" s="1"/>
  <c r="CP120" i="10" s="1"/>
  <c r="AY120" i="1" s="1"/>
  <c r="BB223" i="10"/>
  <c r="BI223" i="10" s="1"/>
  <c r="CP223" i="10" s="1"/>
  <c r="AY223" i="1" s="1"/>
  <c r="BH150" i="10"/>
  <c r="BB99" i="10"/>
  <c r="BI99" i="10" s="1"/>
  <c r="CP99" i="10" s="1"/>
  <c r="AY99" i="1" s="1"/>
  <c r="BB285" i="10"/>
  <c r="BI285" i="10" s="1"/>
  <c r="CP285" i="10" s="1"/>
  <c r="AY285" i="1" s="1"/>
  <c r="BB335" i="10"/>
  <c r="BI335" i="10" s="1"/>
  <c r="CP335" i="10" s="1"/>
  <c r="AY335" i="1" s="1"/>
  <c r="BB13" i="10"/>
  <c r="BI13" i="10" s="1"/>
  <c r="CP13" i="10" s="1"/>
  <c r="AY13" i="1" s="1"/>
  <c r="BB201" i="10"/>
  <c r="BI201" i="10" s="1"/>
  <c r="CP201" i="10" s="1"/>
  <c r="AY201" i="1" s="1"/>
  <c r="AT232" i="10"/>
  <c r="BA232" i="10"/>
  <c r="BB48" i="10"/>
  <c r="BI48" i="10" s="1"/>
  <c r="CP48" i="10" s="1"/>
  <c r="AY48" i="1" s="1"/>
  <c r="BB235" i="10"/>
  <c r="BI235" i="10" s="1"/>
  <c r="CP235" i="10" s="1"/>
  <c r="AY235" i="1" s="1"/>
  <c r="BB205" i="10"/>
  <c r="BI205" i="10" s="1"/>
  <c r="CP205" i="10" s="1"/>
  <c r="AY205" i="1" s="1"/>
  <c r="BB51" i="10"/>
  <c r="BI51" i="10" s="1"/>
  <c r="CP51" i="10" s="1"/>
  <c r="AY51" i="1" s="1"/>
  <c r="BB229" i="10"/>
  <c r="BI229" i="10" s="1"/>
  <c r="CP229" i="10" s="1"/>
  <c r="AY229" i="1" s="1"/>
  <c r="BA151" i="10"/>
  <c r="AT149" i="10"/>
  <c r="Q149" i="10"/>
  <c r="R149" i="10"/>
  <c r="S149" i="10"/>
  <c r="T149" i="10"/>
  <c r="BA149" i="10"/>
  <c r="BB7" i="10"/>
  <c r="BI7" i="10" s="1"/>
  <c r="CP7" i="10" s="1"/>
  <c r="AY7" i="1" s="1"/>
  <c r="BB281" i="10"/>
  <c r="BI281" i="10" s="1"/>
  <c r="CP281" i="10" s="1"/>
  <c r="AY281" i="1" s="1"/>
  <c r="BB222" i="10"/>
  <c r="BI222" i="10" s="1"/>
  <c r="CP222" i="10" s="1"/>
  <c r="AY222" i="1" s="1"/>
  <c r="BB16" i="10"/>
  <c r="BI16" i="10" s="1"/>
  <c r="CP16" i="10" s="1"/>
  <c r="AY16" i="1" s="1"/>
  <c r="BB170" i="10"/>
  <c r="BI170" i="10" s="1"/>
  <c r="CP170" i="10" s="1"/>
  <c r="AY170" i="1" s="1"/>
  <c r="BB275" i="10"/>
  <c r="BI275" i="10" s="1"/>
  <c r="CP275" i="10" s="1"/>
  <c r="AY275" i="1" s="1"/>
  <c r="BB33" i="10"/>
  <c r="BI33" i="10" s="1"/>
  <c r="CP33" i="10" s="1"/>
  <c r="AY33" i="1" s="1"/>
  <c r="BB350" i="10"/>
  <c r="BI350" i="10" s="1"/>
  <c r="CP350" i="10" s="1"/>
  <c r="AY350" i="1" s="1"/>
  <c r="BB110" i="10"/>
  <c r="BI110" i="10" s="1"/>
  <c r="CP110" i="10" s="1"/>
  <c r="AY110" i="1" s="1"/>
  <c r="BB299" i="10"/>
  <c r="BI299" i="10" s="1"/>
  <c r="CP299" i="10" s="1"/>
  <c r="AY299" i="1" s="1"/>
  <c r="BH151" i="10"/>
  <c r="BB47" i="10"/>
  <c r="BI47" i="10" s="1"/>
  <c r="CP47" i="10" s="1"/>
  <c r="AY47" i="1" s="1"/>
  <c r="R151" i="10"/>
  <c r="S151" i="10"/>
  <c r="T151" i="10"/>
  <c r="Q151" i="10"/>
  <c r="R150" i="10"/>
  <c r="Q150" i="10"/>
  <c r="S150" i="10"/>
  <c r="T150" i="10"/>
  <c r="AT152" i="10"/>
  <c r="BB8" i="10"/>
  <c r="BI8" i="10" s="1"/>
  <c r="CP8" i="10" s="1"/>
  <c r="AY8" i="1" s="1"/>
  <c r="BB84" i="10"/>
  <c r="BI84" i="10" s="1"/>
  <c r="CP84" i="10" s="1"/>
  <c r="AY84" i="1" s="1"/>
  <c r="CO150" i="10"/>
  <c r="AD27" i="25"/>
  <c r="BH30" i="25"/>
  <c r="AK43" i="25"/>
  <c r="BH19" i="25"/>
  <c r="BH7" i="25"/>
  <c r="AX27" i="25"/>
  <c r="AS27" i="25"/>
  <c r="AW27" i="25"/>
  <c r="BH6" i="25"/>
  <c r="BB27" i="25"/>
  <c r="S27" i="25"/>
  <c r="AZ27" i="25"/>
  <c r="BG27" i="25"/>
  <c r="BF27" i="25"/>
  <c r="AJ27" i="25"/>
  <c r="BH3" i="25"/>
  <c r="AA43" i="25"/>
  <c r="AY27" i="25"/>
  <c r="BD3" i="25"/>
  <c r="T2" i="25"/>
  <c r="BD6" i="25"/>
  <c r="BD7" i="25"/>
  <c r="T19" i="25"/>
  <c r="BD30" i="25"/>
  <c r="W6" i="25"/>
  <c r="AL43" i="25"/>
  <c r="AN43" i="25"/>
  <c r="T30" i="25"/>
  <c r="BJ29" i="25"/>
  <c r="AT7" i="25"/>
  <c r="BJ19" i="25"/>
  <c r="Z43" i="25"/>
  <c r="AQ43" i="25"/>
  <c r="BD19" i="25"/>
  <c r="AB43" i="25"/>
  <c r="BA30" i="25"/>
  <c r="BH20" i="25"/>
  <c r="BH4" i="25"/>
  <c r="BA19" i="25"/>
  <c r="AR43" i="25"/>
  <c r="AP43" i="25"/>
  <c r="BA7" i="25"/>
  <c r="AT2" i="25"/>
  <c r="BB5" i="10"/>
  <c r="BI5" i="10" s="1"/>
  <c r="CP5" i="10" s="1"/>
  <c r="AY5" i="1" s="1"/>
  <c r="AU7" i="25"/>
  <c r="AT30" i="25"/>
  <c r="AY26" i="25"/>
  <c r="AJ26" i="25"/>
  <c r="S26" i="25"/>
  <c r="AF43" i="25"/>
  <c r="BH2" i="25"/>
  <c r="AT3" i="25"/>
  <c r="BJ7" i="25"/>
  <c r="BA4" i="25"/>
  <c r="W20" i="25"/>
  <c r="T20" i="25"/>
  <c r="AT20" i="25"/>
  <c r="AU30" i="25"/>
  <c r="AU29" i="25"/>
  <c r="BJ2" i="25"/>
  <c r="AT19" i="25"/>
  <c r="BD4" i="25"/>
  <c r="BC26" i="25"/>
  <c r="BB26" i="25"/>
  <c r="AU19" i="25"/>
  <c r="AU20" i="25"/>
  <c r="AU3" i="25"/>
  <c r="AX26" i="25"/>
  <c r="T7" i="25"/>
  <c r="W7" i="25"/>
  <c r="AU28" i="25"/>
  <c r="AU2" i="25"/>
  <c r="BF26" i="25"/>
  <c r="BJ28" i="25"/>
  <c r="AT6" i="25"/>
  <c r="BC20" i="25"/>
  <c r="BG26" i="25"/>
  <c r="BJ3" i="25"/>
  <c r="T3" i="25"/>
  <c r="W3" i="25"/>
  <c r="BD2" i="25"/>
  <c r="AT4" i="25"/>
  <c r="BJ6" i="25"/>
  <c r="BA6" i="25"/>
  <c r="AW26" i="25"/>
  <c r="BJ30" i="25"/>
  <c r="W4" i="25"/>
  <c r="T4" i="25"/>
  <c r="BC27" i="25"/>
  <c r="AT29" i="25"/>
  <c r="AU6" i="25"/>
  <c r="AT28" i="25"/>
  <c r="BA20" i="25"/>
  <c r="AU4" i="25"/>
  <c r="BA2" i="25"/>
  <c r="AD26" i="25"/>
  <c r="BA3" i="25"/>
  <c r="BJ4" i="25"/>
  <c r="AS26" i="25"/>
  <c r="AZ26" i="25"/>
  <c r="BE43" i="25"/>
  <c r="AH43" i="25" l="1"/>
  <c r="BD20" i="25"/>
  <c r="X6" i="25"/>
  <c r="X3" i="25"/>
  <c r="X4" i="25"/>
  <c r="X19" i="25"/>
  <c r="X20" i="25"/>
  <c r="W27" i="25"/>
  <c r="X7" i="25"/>
  <c r="X30" i="25"/>
  <c r="CP125" i="10"/>
  <c r="AY125" i="1" s="1"/>
  <c r="BB150" i="10"/>
  <c r="BI150" i="10" s="1"/>
  <c r="CP150" i="10" s="1"/>
  <c r="AY150" i="1" s="1"/>
  <c r="BB152" i="10"/>
  <c r="BI152" i="10" s="1"/>
  <c r="CP152" i="10" s="1"/>
  <c r="AY152" i="1" s="1"/>
  <c r="BB147" i="10"/>
  <c r="BI147" i="10" s="1"/>
  <c r="CP147" i="10" s="1"/>
  <c r="AY147" i="1" s="1"/>
  <c r="BB151" i="10"/>
  <c r="BI151" i="10" s="1"/>
  <c r="CP151" i="10" s="1"/>
  <c r="AY151" i="1" s="1"/>
  <c r="BB148" i="10"/>
  <c r="BI148" i="10" s="1"/>
  <c r="CP148" i="10" s="1"/>
  <c r="AY148" i="1" s="1"/>
  <c r="BJ20" i="25"/>
  <c r="BB149" i="10"/>
  <c r="BI149" i="10" s="1"/>
  <c r="CP149" i="10" s="1"/>
  <c r="AY149" i="1" s="1"/>
  <c r="BB231" i="10"/>
  <c r="BI231" i="10" s="1"/>
  <c r="CP231" i="10" s="1"/>
  <c r="AY231" i="1" s="1"/>
  <c r="BB232" i="10"/>
  <c r="BI232" i="10" s="1"/>
  <c r="CP232" i="10" s="1"/>
  <c r="AY232" i="1" s="1"/>
  <c r="AD43" i="25"/>
  <c r="AJ43" i="25"/>
  <c r="AX43" i="25"/>
  <c r="AT27" i="25"/>
  <c r="AS43" i="25"/>
  <c r="AW43" i="25"/>
  <c r="AZ43" i="25"/>
  <c r="AU27" i="25"/>
  <c r="BJ27" i="25"/>
  <c r="BH27" i="25"/>
  <c r="BA27" i="25"/>
  <c r="AV29" i="25"/>
  <c r="S43" i="25"/>
  <c r="AY43" i="25"/>
  <c r="T27" i="25"/>
  <c r="BD27" i="25"/>
  <c r="BF43" i="25"/>
  <c r="AV7" i="25"/>
  <c r="BJ26" i="25"/>
  <c r="BH26" i="25"/>
  <c r="BD26" i="25"/>
  <c r="I397" i="10"/>
  <c r="I398" i="10"/>
  <c r="BG43" i="25"/>
  <c r="AV19" i="25"/>
  <c r="AV3" i="25"/>
  <c r="AV30" i="25"/>
  <c r="AV28" i="25"/>
  <c r="AV4" i="25"/>
  <c r="BB43" i="25"/>
  <c r="AV20" i="25"/>
  <c r="W26" i="25"/>
  <c r="T26" i="25"/>
  <c r="AV2" i="25"/>
  <c r="AT26" i="25"/>
  <c r="BA26" i="25"/>
  <c r="AV6" i="25"/>
  <c r="AU26" i="25"/>
  <c r="BC43" i="25"/>
  <c r="BI6" i="25" l="1"/>
  <c r="BI4" i="25"/>
  <c r="BI30" i="25"/>
  <c r="BI19" i="25"/>
  <c r="X26" i="25"/>
  <c r="BI28" i="25"/>
  <c r="BI3" i="25"/>
  <c r="BI29" i="25"/>
  <c r="BI20" i="25"/>
  <c r="BI7" i="25"/>
  <c r="X27" i="25"/>
  <c r="AV27" i="25"/>
  <c r="AT43" i="25"/>
  <c r="AU43" i="25"/>
  <c r="BD43" i="25"/>
  <c r="BH43" i="25"/>
  <c r="BJ43" i="25"/>
  <c r="BA43" i="25"/>
  <c r="T43" i="25"/>
  <c r="BI2" i="25"/>
  <c r="AV26" i="25"/>
  <c r="BI26" i="25" l="1"/>
  <c r="BK30" i="25"/>
  <c r="BI27" i="25"/>
  <c r="BK20" i="25"/>
  <c r="BK7" i="25"/>
  <c r="BK29" i="25"/>
  <c r="BK28" i="25"/>
  <c r="BK19" i="25"/>
  <c r="BK4" i="25"/>
  <c r="BK3" i="25"/>
  <c r="BK6" i="25"/>
  <c r="BK2" i="25"/>
  <c r="AV43" i="25"/>
  <c r="BI43" i="25" l="1"/>
  <c r="BK27" i="25"/>
  <c r="BK26" i="25"/>
  <c r="BK43" i="25" l="1"/>
  <c r="R43" i="25" l="1"/>
  <c r="Q2" i="25"/>
  <c r="W2" i="25" l="1"/>
  <c r="X2" i="25" s="1"/>
  <c r="X43" i="25" s="1"/>
  <c r="J3" i="9"/>
  <c r="Q43" i="25"/>
  <c r="W43" i="25" l="1"/>
</calcChain>
</file>

<file path=xl/comments1.xml><?xml version="1.0" encoding="utf-8"?>
<comments xmlns="http://schemas.openxmlformats.org/spreadsheetml/2006/main">
  <authors>
    <author>Melanie Coen</author>
  </authors>
  <commentList>
    <comment ref="M13" authorId="0" shapeId="0">
      <text>
        <r>
          <rPr>
            <b/>
            <sz val="9"/>
            <color indexed="81"/>
            <rFont val="Tahoma"/>
            <family val="2"/>
          </rPr>
          <t>Melanie Coen:</t>
        </r>
        <r>
          <rPr>
            <sz val="9"/>
            <color indexed="81"/>
            <rFont val="Tahoma"/>
            <family val="2"/>
          </rPr>
          <t xml:space="preserve">
this is 10% in SW model</t>
        </r>
      </text>
    </comment>
  </commentList>
</comments>
</file>

<file path=xl/sharedStrings.xml><?xml version="1.0" encoding="utf-8"?>
<sst xmlns="http://schemas.openxmlformats.org/spreadsheetml/2006/main" count="9022" uniqueCount="1779">
  <si>
    <t>a</t>
  </si>
  <si>
    <t>b</t>
  </si>
  <si>
    <t>x</t>
  </si>
  <si>
    <t>Impact Factors</t>
  </si>
  <si>
    <t>Energy Savings</t>
  </si>
  <si>
    <t>Capacity Savings</t>
  </si>
  <si>
    <t>Non-Electric Benefits</t>
  </si>
  <si>
    <t>Sector</t>
  </si>
  <si>
    <t>Program</t>
  </si>
  <si>
    <t>Measure</t>
  </si>
  <si>
    <t>End Use</t>
  </si>
  <si>
    <t>Total Resource Cost</t>
  </si>
  <si>
    <t>Incentive</t>
  </si>
  <si>
    <t>Customer Cost</t>
  </si>
  <si>
    <t>Free-Ridership Rate</t>
  </si>
  <si>
    <t>In-Service Rate</t>
  </si>
  <si>
    <t>Gross Annual kWh Saved</t>
  </si>
  <si>
    <t>Winter Peak Energy 
%</t>
  </si>
  <si>
    <t>Winter Off-Peak Energy 
%</t>
  </si>
  <si>
    <t>Summer Peak Energy 
%</t>
  </si>
  <si>
    <t>Summer Off-Peak Energy 
%</t>
  </si>
  <si>
    <t xml:space="preserve">Maximum Load Reduction (kW) </t>
  </si>
  <si>
    <t>Summer Coincident (%)</t>
  </si>
  <si>
    <t>Winter Coincident (%)</t>
  </si>
  <si>
    <t>Trans. Coincident (%)</t>
  </si>
  <si>
    <t>Dist. Coincident (%)</t>
  </si>
  <si>
    <t>Res Water Savings (Gallons per Year)</t>
  </si>
  <si>
    <t>C&amp;I Water Savings (Gallons per Year)</t>
  </si>
  <si>
    <t>C&amp;I Sewer Savings (Gallons per Year)</t>
  </si>
  <si>
    <t>LS_ID</t>
  </si>
  <si>
    <t>Max Demand Factor</t>
  </si>
  <si>
    <t>Load Shape Description</t>
  </si>
  <si>
    <t>A - Residential</t>
  </si>
  <si>
    <t>Fuel Oil - Residential Distillate</t>
  </si>
  <si>
    <t>Propane</t>
  </si>
  <si>
    <t>ls_3</t>
  </si>
  <si>
    <t>Res Single Family Electric Heating</t>
  </si>
  <si>
    <t/>
  </si>
  <si>
    <t>ls_11</t>
  </si>
  <si>
    <t>Residential Electric Cooling - Central AC</t>
  </si>
  <si>
    <t>NG - Res Hot Water</t>
  </si>
  <si>
    <t>ls_8</t>
  </si>
  <si>
    <t xml:space="preserve">Res Single Family Electric Water Heat </t>
  </si>
  <si>
    <t>ls_7</t>
  </si>
  <si>
    <t>Res Single Family Electric Refrigeration</t>
  </si>
  <si>
    <t>ls_4</t>
  </si>
  <si>
    <t>Res Single Family Electric Lighting- Indoor</t>
  </si>
  <si>
    <t>ls_68</t>
  </si>
  <si>
    <t xml:space="preserve">Res Single Family Combo Cooling and Heating </t>
  </si>
  <si>
    <t>ls_2</t>
  </si>
  <si>
    <t xml:space="preserve">Res Single Family Electric Heating Heat Pump </t>
  </si>
  <si>
    <t>ls_6</t>
  </si>
  <si>
    <t>Res Single Family Electric Plug Load New</t>
  </si>
  <si>
    <t>ls_24</t>
  </si>
  <si>
    <t>Res Multi Family Electric Heating (BUILDING_FURNACE) Normal</t>
  </si>
  <si>
    <t>ls_36</t>
  </si>
  <si>
    <t>Res Multi Family Electric Refrigeration (REFRIGERATOR) Normal</t>
  </si>
  <si>
    <t>ls_32</t>
  </si>
  <si>
    <t>Res Multi Family Electric Lighting - Indoor (LIGHTING) Normal</t>
  </si>
  <si>
    <t>ls_33</t>
  </si>
  <si>
    <t>Res Multi Family Electric Lighting - Outdoor (LIGHTING) Normal</t>
  </si>
  <si>
    <t>ls_23</t>
  </si>
  <si>
    <t>Res Multi Family Electric Cooling (BUILDING_AC) Normal</t>
  </si>
  <si>
    <t>ls_25</t>
  </si>
  <si>
    <t>Res Multi Family Electric Water Heat (BUILDING_WATER_HEAT) Normal</t>
  </si>
  <si>
    <t>ls_18</t>
  </si>
  <si>
    <t>Residential Electric Cooling - Room AC</t>
  </si>
  <si>
    <t>ls_21</t>
  </si>
  <si>
    <t>Res Multi Family Electric Cooling (HEAT_PUMP_COOL) Normal</t>
  </si>
  <si>
    <t>ls_34</t>
  </si>
  <si>
    <t>Res Multi Family Electric Whole House (MISCELLANEOUS) Normal</t>
  </si>
  <si>
    <t>ls_38</t>
  </si>
  <si>
    <t>Res Multi Family Electric Plug Load (TELEVISION) Normal</t>
  </si>
  <si>
    <t>ls_13</t>
  </si>
  <si>
    <t>Res Multi Family Electric Water Heat (UNIT_WATER_HEAT) Normal</t>
  </si>
  <si>
    <t>ls_5</t>
  </si>
  <si>
    <t>Res Single Family Electric Lighting- Outdoor</t>
  </si>
  <si>
    <t>ls_1</t>
  </si>
  <si>
    <t>Residential Laundry (Clothes Washer)</t>
  </si>
  <si>
    <t>B - Low Income</t>
  </si>
  <si>
    <t>Heating System Retrofit</t>
  </si>
  <si>
    <t>ls_31</t>
  </si>
  <si>
    <t>Res Multi Family Electric Refrigeration (FREEZER) Normal</t>
  </si>
  <si>
    <t>C - Commercial &amp; Industrial</t>
  </si>
  <si>
    <t>HVAC - Custom</t>
  </si>
  <si>
    <t>HVAC - Prescriptive</t>
  </si>
  <si>
    <t>Process</t>
  </si>
  <si>
    <t>NG - C&amp;I Gas Heat</t>
  </si>
  <si>
    <t>Refrigeration</t>
  </si>
  <si>
    <t>Hot Water</t>
  </si>
  <si>
    <t>Grand Total</t>
  </si>
  <si>
    <t>Total Energy %</t>
  </si>
  <si>
    <t>Demand Factor</t>
  </si>
  <si>
    <t>Summer</t>
  </si>
  <si>
    <t>Winter</t>
  </si>
  <si>
    <t xml:space="preserve">Max </t>
  </si>
  <si>
    <t>Summer CF</t>
  </si>
  <si>
    <t>Winter CF</t>
  </si>
  <si>
    <t>OnPeak</t>
  </si>
  <si>
    <t>OffPeak</t>
  </si>
  <si>
    <t>ls_9</t>
  </si>
  <si>
    <t xml:space="preserve">Res Single Family Natural Gas Water Heat </t>
  </si>
  <si>
    <t>ls_10</t>
  </si>
  <si>
    <t>Res Single Family Natural Gas Heating</t>
  </si>
  <si>
    <t>ls_12</t>
  </si>
  <si>
    <t>Res Multi Family Electric Heating (UNIT_CENTRAL_HEAT) Normal</t>
  </si>
  <si>
    <t>ls_14</t>
  </si>
  <si>
    <t>Res Multi Family Electric Cooling (UNIT_CENTRAL_AC) Mild</t>
  </si>
  <si>
    <t>ls_15</t>
  </si>
  <si>
    <t>Res Multi Family Electric Heating (UNIT_CENTRAL_HEAT) Mild</t>
  </si>
  <si>
    <t>ls_16</t>
  </si>
  <si>
    <t>Res Multi Family Electric Cooling (UNIT_CENTRAL_AC) Xtreme</t>
  </si>
  <si>
    <t>ls_17</t>
  </si>
  <si>
    <t>Res Multi Family Electric Heating (UNIT_CENTRAL_HEAT) Xtreme</t>
  </si>
  <si>
    <t>ls_19</t>
  </si>
  <si>
    <t>Res Multi Family Electric Cooling (UNIT_ROOM_AC) Mild</t>
  </si>
  <si>
    <t>ls_20</t>
  </si>
  <si>
    <t>Res Multi Family Electric Cooling (UNIT_ROOM_AC) Xtreme</t>
  </si>
  <si>
    <t>ls_22</t>
  </si>
  <si>
    <t>Res Multi Family Electric Heating (HEAT_PUMP_HEAT) Normal</t>
  </si>
  <si>
    <t>ls_26</t>
  </si>
  <si>
    <t>Res Multi Family Electric Water Heat (CLOTHES_WASHER) Normal</t>
  </si>
  <si>
    <t>ls_27</t>
  </si>
  <si>
    <t>Res Multi Family Electric Cooking (COOKING) Normal</t>
  </si>
  <si>
    <t>ls_28</t>
  </si>
  <si>
    <t>Res Multi Family Natural Gas Cooking (COOKING) Normal</t>
  </si>
  <si>
    <t>ls_29</t>
  </si>
  <si>
    <t>Res Multi Family Electric Water Heat (DISHWASHER) Normal</t>
  </si>
  <si>
    <t>ls_30</t>
  </si>
  <si>
    <t>Res Multi Family Electric Plug Load (DRYER) Normal</t>
  </si>
  <si>
    <t>ls_35</t>
  </si>
  <si>
    <t>Res Multi Family Natural Gas Whole House (MISCELLANEOUS) Normal</t>
  </si>
  <si>
    <t>ls_37</t>
  </si>
  <si>
    <t>Res Multi Family Electric Whole House (SPA) Normal</t>
  </si>
  <si>
    <t>ls_39</t>
  </si>
  <si>
    <t>Res Multi Family Electric Cooling (HEAT_PUMP_COOL) Mild</t>
  </si>
  <si>
    <t>ls_40</t>
  </si>
  <si>
    <t>Res Multi Family Electric Heating (HEAT_PUMP_HEAT) Mild</t>
  </si>
  <si>
    <t>ls_41</t>
  </si>
  <si>
    <t>Res Multi Family Electric Cooling (HEAT_PUMP_COOL) Xtreme</t>
  </si>
  <si>
    <t>ls_42</t>
  </si>
  <si>
    <t>Res Multi Family Electric Heating (HEAT_PUMP_HEAT) Xtreme</t>
  </si>
  <si>
    <t>ls_43</t>
  </si>
  <si>
    <t>Res Multi Family Electric Heating (UNIT_ROOM_HEAT) Normal</t>
  </si>
  <si>
    <t>ls_44</t>
  </si>
  <si>
    <t>Res Multi Family Electric Heating (UNIT_ROOM_HEAT) Mild</t>
  </si>
  <si>
    <t>ls_45</t>
  </si>
  <si>
    <t>Res Multi Family Electric Heating (UNIT_ROOM_HEAT) Xtreme</t>
  </si>
  <si>
    <t>ls_46</t>
  </si>
  <si>
    <t>Res Multi Family Natural Gas Heating (UNIT_CENTRAL_HEAT) Normal</t>
  </si>
  <si>
    <t>ls_47</t>
  </si>
  <si>
    <t>Res Multi Family Natural Gas Heating (UNIT_CENTRAL_HEAT) Mild</t>
  </si>
  <si>
    <t>ls_48</t>
  </si>
  <si>
    <t>Res Multi Family Electric Cooling (BUILDING_AC) Mild</t>
  </si>
  <si>
    <t>ls_49</t>
  </si>
  <si>
    <t>Res Multi Family Electric Heating (BUILDING_FURNACE) Mild</t>
  </si>
  <si>
    <t>ls_50</t>
  </si>
  <si>
    <t>Res Multi Family Natural Gas Heating (UNIT_CENTRAL_HEAT) Xtreme</t>
  </si>
  <si>
    <t>ls_51</t>
  </si>
  <si>
    <t>Res Multi Family Natural Gas Heating (UNIT_ROOM_HEAT) Normal</t>
  </si>
  <si>
    <t>ls_52</t>
  </si>
  <si>
    <t>Res Multi Family Natural Gas Heating (UNIT_ROOM_HEAT) Mild</t>
  </si>
  <si>
    <t>ls_53</t>
  </si>
  <si>
    <t>Res Multi Family Natural Gas Heating (UNIT_ROOM_HEAT) Xtreme</t>
  </si>
  <si>
    <t>ls_54</t>
  </si>
  <si>
    <t>Res Multi Family Electric Cooling (BUILDING_AC) Xtreme</t>
  </si>
  <si>
    <t>ls_55</t>
  </si>
  <si>
    <t>Res Multi Family Electric Heating (BUILDING_FURNACE) Xtreme</t>
  </si>
  <si>
    <t>ls_56</t>
  </si>
  <si>
    <t>Res Multi Family Natural Gas Heating (BUILDING_FURNACE) Normal</t>
  </si>
  <si>
    <t>ls_57</t>
  </si>
  <si>
    <t>Res Multi Family Electric Cooling (VENTILATION_AND_CIRCULATION) Normal</t>
  </si>
  <si>
    <t>ls_58</t>
  </si>
  <si>
    <t>Res Multi Family Electric Heating (VENTILATION_AND_CIRCULATION) Normal</t>
  </si>
  <si>
    <t>ls_59</t>
  </si>
  <si>
    <t>Res Multi Family Natural Gas Heating (BUILDING_FURNACE) Mild</t>
  </si>
  <si>
    <t>ls_60</t>
  </si>
  <si>
    <t>Res Multi Family Electric Cooling (VENTILATION_AND_CIRCULATION) Mild</t>
  </si>
  <si>
    <t>ls_61</t>
  </si>
  <si>
    <t>Res Multi Family Electric Heating (VENTILATION_AND_CIRCULATION) Mild</t>
  </si>
  <si>
    <t>ls_62</t>
  </si>
  <si>
    <t>Res Multi Family Natural Gas Heating (BUILDING_FURNACE) Xtreme</t>
  </si>
  <si>
    <t>ls_63</t>
  </si>
  <si>
    <t>Res Multi Family Electric Cooling (VENTILATION_AND_CIRCULATION) Xtreme</t>
  </si>
  <si>
    <t>ls_64</t>
  </si>
  <si>
    <t>Res Multi Family Electric Heating (VENTILATION_AND_CIRCULATION) Xtreme</t>
  </si>
  <si>
    <t>ls_65</t>
  </si>
  <si>
    <t>Res Multi Family Natural Gas Heating (BUILDING_BOILER) Normal</t>
  </si>
  <si>
    <t>ls_66</t>
  </si>
  <si>
    <t>Res Multi Family Natural Gas Heating (BUILDING_BOILER) Mild</t>
  </si>
  <si>
    <t>ls_67</t>
  </si>
  <si>
    <t>Res Multi Family Natural Gas Heating (BUILDING_BOILER) Xtreme</t>
  </si>
  <si>
    <t>Winter Peak Energy</t>
  </si>
  <si>
    <t>Winter Off-Peak Energy</t>
  </si>
  <si>
    <t>Summer Peak Energy</t>
  </si>
  <si>
    <t>Summer Off-Peak Energy</t>
  </si>
  <si>
    <t>Summer Generation</t>
  </si>
  <si>
    <t>Winter Generation</t>
  </si>
  <si>
    <t>Transmission</t>
  </si>
  <si>
    <t>Distribution</t>
  </si>
  <si>
    <t>NG - C&amp;I Gas All</t>
  </si>
  <si>
    <t>Water</t>
  </si>
  <si>
    <t>Res Water</t>
  </si>
  <si>
    <t>C&amp;I Water</t>
  </si>
  <si>
    <t>C&amp;I Sewer</t>
  </si>
  <si>
    <t>Non-Resource Annual</t>
  </si>
  <si>
    <t>Non-Resource</t>
  </si>
  <si>
    <t>Winter Peak Energy DRIPE</t>
  </si>
  <si>
    <t>Winter Off-Peak Energy DRIPE</t>
  </si>
  <si>
    <t>Summer Peak Energy DRIPE</t>
  </si>
  <si>
    <t>Summer Off-Peak Energy DRIPE</t>
  </si>
  <si>
    <t>Winter Peak Energy CO2 Costs</t>
  </si>
  <si>
    <t>Winter Off-Peak Energy CO2 Costs</t>
  </si>
  <si>
    <t>Summer Peak Energy CO2 Costs</t>
  </si>
  <si>
    <t>Summer Off-Peak Energy CO2 Costs</t>
  </si>
  <si>
    <t>Notes</t>
  </si>
  <si>
    <t>Green = Electric Energy</t>
  </si>
  <si>
    <t>Yellow = Electric Capacity</t>
  </si>
  <si>
    <t>Blue = Non-Electric (NEB)</t>
  </si>
  <si>
    <t>Electric and TR Benefit</t>
  </si>
  <si>
    <t>TR Benefit only</t>
  </si>
  <si>
    <t>Avoided Costs do NOT include line losses.  Those are added in during the calculation of the benefit</t>
  </si>
  <si>
    <t>Avoided Cost Data - Forecasts can be entered in either "NOMINAL" or "REAL" dollars</t>
  </si>
  <si>
    <t xml:space="preserve"> - If "NOMINAL", enter values directly in the appropriate section below</t>
  </si>
  <si>
    <t xml:space="preserve"> - If "Real", enter specific values in the "REAL" dollars sections further down this page and the Model will convert them to NOMINAL below </t>
  </si>
  <si>
    <t>AESC Tables are located at the bottom of this worksheet beginning in row 221</t>
  </si>
  <si>
    <t>LINE LOSS FACTORS</t>
  </si>
  <si>
    <t>Energy</t>
  </si>
  <si>
    <t>Capacity</t>
  </si>
  <si>
    <t>Nominal Discount Rate</t>
  </si>
  <si>
    <t>Sectors</t>
  </si>
  <si>
    <t>Winter Peak</t>
  </si>
  <si>
    <t>Winter Off-Peak</t>
  </si>
  <si>
    <t>Summer Peak</t>
  </si>
  <si>
    <t>Summer Off-Peak</t>
  </si>
  <si>
    <t>Summer Gener.</t>
  </si>
  <si>
    <t>Winter Gener.</t>
  </si>
  <si>
    <t>Transm.</t>
  </si>
  <si>
    <t>Inflation</t>
  </si>
  <si>
    <t>Residential</t>
  </si>
  <si>
    <t>Real Discount Rate</t>
  </si>
  <si>
    <t>Com/Ind</t>
  </si>
  <si>
    <t>Half-Year Factor</t>
  </si>
  <si>
    <t>Source</t>
  </si>
  <si>
    <t>Reserve Margin Multiplier (to be applied to Summer Generation Capacity Avoided Cost Value only)</t>
  </si>
  <si>
    <t>Capacity DRIPE</t>
  </si>
  <si>
    <t>Yes</t>
  </si>
  <si>
    <t>Energy DRIPE</t>
  </si>
  <si>
    <t>Environmental Externalities</t>
  </si>
  <si>
    <t>Year 1 Avoided Cost Data - In Nominal Dollars</t>
  </si>
  <si>
    <t xml:space="preserve">Annual </t>
  </si>
  <si>
    <t>Cumulative</t>
  </si>
  <si>
    <t>Winter Off-Peak Energy ($ per kWh)</t>
  </si>
  <si>
    <t>Summer Peak Energy ($ per kWh)</t>
  </si>
  <si>
    <t>Summer Off-Peak Energy ($ per kWh)</t>
  </si>
  <si>
    <t>Summer Generation ($ per kW)</t>
  </si>
  <si>
    <t>Winter Generation ($ per kW)</t>
  </si>
  <si>
    <t>Transmission
 ($ per kW)</t>
  </si>
  <si>
    <t>Distribution
 ($ per kW)</t>
  </si>
  <si>
    <t>Fuel Oil - Residential Distillate
 ($ per MMBtu)</t>
  </si>
  <si>
    <t>Fuel Oil - Com #2 Oil
 ($ per MMBtu)</t>
  </si>
  <si>
    <t>NG - Res Hot Water
 ($ per MMBtu)</t>
  </si>
  <si>
    <t>NG - C&amp;I Gas Heat
 ($ per MMBtu)</t>
  </si>
  <si>
    <t>NG - C&amp;I Gas All
 ($ per MMBtu)</t>
  </si>
  <si>
    <t>Propane (11)
 ($ per MMBtu)</t>
  </si>
  <si>
    <t>Res Water ($ per gallon)</t>
  </si>
  <si>
    <t>C&amp;I Water ($ per gallon)</t>
  </si>
  <si>
    <t>C&amp;I Sewer ($ per gallon)</t>
  </si>
  <si>
    <t>DRIPE ($ per kW)</t>
  </si>
  <si>
    <t>Kerosene</t>
  </si>
  <si>
    <t>RESIDENTIAL</t>
  </si>
  <si>
    <t>COMMERCIAL &amp; INDUSTRIAL</t>
  </si>
  <si>
    <t>Commercial</t>
  </si>
  <si>
    <t>Industrial</t>
  </si>
  <si>
    <t>Units:</t>
  </si>
  <si>
    <t>$/kWh</t>
  </si>
  <si>
    <t>$/kW-yr</t>
  </si>
  <si>
    <t>Heating</t>
  </si>
  <si>
    <t>All</t>
  </si>
  <si>
    <t>Period:</t>
  </si>
  <si>
    <t>Year</t>
  </si>
  <si>
    <t>$/MMBtu</t>
  </si>
  <si>
    <t>Category</t>
  </si>
  <si>
    <t>Inputs</t>
  </si>
  <si>
    <t>Measure Life</t>
  </si>
  <si>
    <t>Quantity</t>
  </si>
  <si>
    <t>Max Net kW</t>
  </si>
  <si>
    <t xml:space="preserve">Transmission </t>
  </si>
  <si>
    <t>Total</t>
  </si>
  <si>
    <t>PA</t>
  </si>
  <si>
    <t>Costs</t>
  </si>
  <si>
    <t>Spillover [Participant] Rate</t>
  </si>
  <si>
    <t>Spillover [Non-Participant] Rate</t>
  </si>
  <si>
    <t xml:space="preserve"> </t>
  </si>
  <si>
    <t>TD_Year</t>
  </si>
  <si>
    <t>Wt_Year</t>
  </si>
  <si>
    <t>Gas Supply DRIPE</t>
  </si>
  <si>
    <t>Res Non-Heating Gas to Electric DRIPE</t>
  </si>
  <si>
    <t>Res Hot Water Energy Gas to Electric DRIPE</t>
  </si>
  <si>
    <t>Res Heating Energy Gas to Electric DRIPE</t>
  </si>
  <si>
    <t>Res All Energy Gas to Electric DRIPE</t>
  </si>
  <si>
    <t>C&amp;I Non-Heating Gas to Electric DRIPE</t>
  </si>
  <si>
    <t>C&amp;I Heating Energy Gas to Electric DRIPE</t>
  </si>
  <si>
    <t>C&amp;I All Energy Gas to Electric DRIPE</t>
  </si>
  <si>
    <t>AESC 2013 Appendix B Workbooks</t>
  </si>
  <si>
    <t>MA</t>
  </si>
  <si>
    <t>Page One of Two</t>
  </si>
  <si>
    <t>Table Two: Inputs to Avoided Cost Calculations</t>
  </si>
  <si>
    <t>Page Two of Two</t>
  </si>
  <si>
    <t>State</t>
  </si>
  <si>
    <t>Massachusetts (Statewide)</t>
  </si>
  <si>
    <t>Zone:</t>
  </si>
  <si>
    <t>User-defined Inputs</t>
  </si>
  <si>
    <t>Wholesale Risk Premium (WRP)</t>
  </si>
  <si>
    <t>Distribution Losses</t>
  </si>
  <si>
    <t>Pcnt of Capacity Bid into FCM (%Bid)</t>
  </si>
  <si>
    <r>
      <t xml:space="preserve"> Avoided Unit Cost of Electric Energy</t>
    </r>
    <r>
      <rPr>
        <b/>
        <vertAlign val="superscript"/>
        <sz val="10"/>
        <rFont val="Arial"/>
        <family val="2"/>
      </rPr>
      <t>1</t>
    </r>
  </si>
  <si>
    <r>
      <t>Avoided Unit Cost of Electric Capacity</t>
    </r>
    <r>
      <rPr>
        <b/>
        <vertAlign val="superscript"/>
        <sz val="10"/>
        <rFont val="Arial"/>
        <family val="2"/>
      </rPr>
      <t>2</t>
    </r>
  </si>
  <si>
    <t>Avoided Non-Embedded Costs</t>
  </si>
  <si>
    <t xml:space="preserve">Wholesale Avoided Costs of Electricity </t>
  </si>
  <si>
    <t>Avoided REC Costs to Load</t>
  </si>
  <si>
    <t>Intrastate</t>
  </si>
  <si>
    <t>Electric Cross-DRIPE</t>
  </si>
  <si>
    <t>Rest-of-Pool</t>
  </si>
  <si>
    <r>
      <t>kW sold into FCA (PA to determine quantity)</t>
    </r>
    <r>
      <rPr>
        <b/>
        <vertAlign val="superscript"/>
        <sz val="10"/>
        <rFont val="Arial"/>
        <family val="2"/>
      </rPr>
      <t>3</t>
    </r>
  </si>
  <si>
    <t>kW purchased from FCA (PA to determine quantity)</t>
  </si>
  <si>
    <t>Weighted Average Avoided Cost Based on Percent Capacity Bid</t>
  </si>
  <si>
    <t>Capacity (See note 2)</t>
  </si>
  <si>
    <t xml:space="preserve">Summer Peak </t>
  </si>
  <si>
    <t>Annual Value</t>
  </si>
  <si>
    <t>FCA Price</t>
  </si>
  <si>
    <t>Reserve Margin</t>
  </si>
  <si>
    <t>REC Costs</t>
  </si>
  <si>
    <t>$/kw-yr</t>
  </si>
  <si>
    <t>%</t>
  </si>
  <si>
    <t>c</t>
  </si>
  <si>
    <t>d</t>
  </si>
  <si>
    <t>e=y*1.08</t>
  </si>
  <si>
    <t>f=y*(1+ac)*(1+PTF Loss)*(1+WRP)*(1+Dist Loss)</t>
  </si>
  <si>
    <t>g=(e*%Bid)+(f*(1+%Bid))</t>
  </si>
  <si>
    <t>h</t>
  </si>
  <si>
    <t>i</t>
  </si>
  <si>
    <t>j</t>
  </si>
  <si>
    <t>k</t>
  </si>
  <si>
    <t>l</t>
  </si>
  <si>
    <t>m</t>
  </si>
  <si>
    <t>n</t>
  </si>
  <si>
    <t>o</t>
  </si>
  <si>
    <t>p</t>
  </si>
  <si>
    <t>q</t>
  </si>
  <si>
    <t>r</t>
  </si>
  <si>
    <t>s</t>
  </si>
  <si>
    <t>t</t>
  </si>
  <si>
    <t>u</t>
  </si>
  <si>
    <t>v</t>
  </si>
  <si>
    <t>w</t>
  </si>
  <si>
    <t>y</t>
  </si>
  <si>
    <t>z</t>
  </si>
  <si>
    <t>aa</t>
  </si>
  <si>
    <t>ab</t>
  </si>
  <si>
    <t>ac</t>
  </si>
  <si>
    <t>ad</t>
  </si>
  <si>
    <t>ae</t>
  </si>
  <si>
    <t>af</t>
  </si>
  <si>
    <t>ag</t>
  </si>
  <si>
    <t>ah</t>
  </si>
  <si>
    <t>ai</t>
  </si>
  <si>
    <t>aj</t>
  </si>
  <si>
    <t>ak</t>
  </si>
  <si>
    <t>al</t>
  </si>
  <si>
    <t>Levelized Costs</t>
  </si>
  <si>
    <t xml:space="preserve">NOTES: </t>
  </si>
  <si>
    <t>General</t>
  </si>
  <si>
    <t>ISO NE periods: Summer is June through September, Winter is all other months. Peak hours are: Monday through Friday  7 AM - 11 PM; Off-Peak Hours are all other hours</t>
  </si>
  <si>
    <t>ISO NE periods: Summer is June through September, Winter is all other months. Peak hours are: Monday through Friday 7am - 11pm; Off-Peak Hours are all other hours</t>
  </si>
  <si>
    <t>Proceeds from selling into the FCM also include the ISO-NE loss factor of 8%</t>
  </si>
  <si>
    <t>AESC 2013 Appendix C Workbooks for Gas DRIPE Amended August 27, 2013</t>
  </si>
  <si>
    <t>Exhibit C-10. Massachusetts - 2015 Gas efficiency Installations</t>
  </si>
  <si>
    <t>Gas Supply DRIPE applicable to every MMBtu Reduction</t>
  </si>
  <si>
    <t>Gas to Electric DRIPE</t>
  </si>
  <si>
    <t>ALL RETAIL END USES</t>
  </si>
  <si>
    <t>Non Heating</t>
  </si>
  <si>
    <t>(a)</t>
  </si>
  <si>
    <t>Levelized 
(2014-2023)</t>
  </si>
  <si>
    <t>Levelized 
(2014-2028)</t>
  </si>
  <si>
    <t>(b)</t>
  </si>
  <si>
    <t>Levelized 
(2014-2043)</t>
  </si>
  <si>
    <t>Real (constant $) riskless annual rate of return:</t>
  </si>
  <si>
    <t xml:space="preserve">Values from Exhibit 7-20 apply to both 2014 and 2015 Installations </t>
  </si>
  <si>
    <t>2 to 4</t>
  </si>
  <si>
    <t>Exhibit 7-29. weighted average values per percentage annual baseload and winter</t>
  </si>
  <si>
    <t>CAGR 2019-2028</t>
  </si>
  <si>
    <t>Weighted average per Percentage of residential load columns 2 to 4</t>
  </si>
  <si>
    <t>6 to 7</t>
  </si>
  <si>
    <t>Weighted average per Percentage of commercial load columns 6 and 7</t>
  </si>
  <si>
    <t>Weighted average per Percentage of residential and commercial load columns 5 and 8</t>
  </si>
  <si>
    <t>Fuel Oils</t>
  </si>
  <si>
    <t>Other Fuels</t>
  </si>
  <si>
    <t>Distillate Fuel Oil</t>
  </si>
  <si>
    <t>Residual Fuel Oil</t>
  </si>
  <si>
    <t>Weighted Average</t>
  </si>
  <si>
    <t>Cord Wood</t>
  </si>
  <si>
    <t>Pellets</t>
  </si>
  <si>
    <t>Gas Electric Cross DRIPE</t>
  </si>
  <si>
    <t>NG - Res Gas Heating</t>
  </si>
  <si>
    <t>NG - Res Gas Non-Heating</t>
  </si>
  <si>
    <t>NG - C&amp;I Gas Non-Heating</t>
  </si>
  <si>
    <t>NG - Res All</t>
  </si>
  <si>
    <t>C&amp;I Non-Heating GECD</t>
  </si>
  <si>
    <t>Res Non-Heating GECD</t>
  </si>
  <si>
    <t>Electric Cross DRIPE</t>
  </si>
  <si>
    <t>TOTAL</t>
  </si>
  <si>
    <t>Electric Energy DRIPE</t>
  </si>
  <si>
    <t>CFL Bulb</t>
  </si>
  <si>
    <t>LED Bulb</t>
  </si>
  <si>
    <t>Participants</t>
  </si>
  <si>
    <t xml:space="preserve">Total Benefits </t>
  </si>
  <si>
    <t>Total Gas Benefits</t>
  </si>
  <si>
    <t>Total Other Resource Benefits</t>
  </si>
  <si>
    <t>Initiative</t>
  </si>
  <si>
    <t>Program Planning and Administration</t>
  </si>
  <si>
    <t>Marketing and Advertising</t>
  </si>
  <si>
    <t>Participant Incentive</t>
  </si>
  <si>
    <t>Sales, Technical Assistance &amp; Training</t>
  </si>
  <si>
    <t>Evaluation and Market Research</t>
  </si>
  <si>
    <t>Total Program Costs</t>
  </si>
  <si>
    <t>Performance Incentive</t>
  </si>
  <si>
    <t>Participant Costs</t>
  </si>
  <si>
    <t>Benefit Burden</t>
  </si>
  <si>
    <t>Total Resource Costs</t>
  </si>
  <si>
    <t>Total Energy Benefits</t>
  </si>
  <si>
    <t>Summer Capacity Benefits</t>
  </si>
  <si>
    <t>Transmission Capacity Benefits</t>
  </si>
  <si>
    <t>Distribution Capacity Benefits</t>
  </si>
  <si>
    <t>DRIPE Capacity Benefits</t>
  </si>
  <si>
    <t>Total Capacity Benefits</t>
  </si>
  <si>
    <t>Natural Gas Benefits</t>
  </si>
  <si>
    <t>Natural Gas DRIPE Benefits</t>
  </si>
  <si>
    <t>Oil Benefits</t>
  </si>
  <si>
    <t>Propane Benefits</t>
  </si>
  <si>
    <t>Water Benefits</t>
  </si>
  <si>
    <t>Total Resource Benefits</t>
  </si>
  <si>
    <t>Low-Income</t>
  </si>
  <si>
    <t>Commercial &amp; Industrial</t>
  </si>
  <si>
    <t>CHECKS</t>
  </si>
  <si>
    <t>total</t>
  </si>
  <si>
    <t>Total Program Costs (2016$)</t>
  </si>
  <si>
    <t>Performance Incentive (2016$)</t>
  </si>
  <si>
    <t>Participant Costs (2016$)</t>
  </si>
  <si>
    <t>Benefit Burden (2016$)</t>
  </si>
  <si>
    <t>Total Resource Costs (2016$)</t>
  </si>
  <si>
    <t>Heating (High Rise)</t>
  </si>
  <si>
    <t>Duct Sealing</t>
  </si>
  <si>
    <t>Custom/Future</t>
  </si>
  <si>
    <r>
      <t xml:space="preserve">Transmission ($ per kW) </t>
    </r>
    <r>
      <rPr>
        <sz val="10"/>
        <color indexed="10"/>
        <rFont val="Arial"/>
        <family val="2"/>
      </rPr>
      <t>in 2016$</t>
    </r>
  </si>
  <si>
    <r>
      <t xml:space="preserve">Distribution ($ per kW) </t>
    </r>
    <r>
      <rPr>
        <sz val="10"/>
        <color indexed="10"/>
        <rFont val="Arial"/>
        <family val="2"/>
      </rPr>
      <t>in 2016$</t>
    </r>
  </si>
  <si>
    <r>
      <t xml:space="preserve">Res Water &amp; Sewer </t>
    </r>
    <r>
      <rPr>
        <sz val="10"/>
        <color indexed="10"/>
        <rFont val="Arial"/>
        <family val="2"/>
      </rPr>
      <t>in 2016$</t>
    </r>
  </si>
  <si>
    <r>
      <t xml:space="preserve">CI Water </t>
    </r>
    <r>
      <rPr>
        <sz val="10"/>
        <color indexed="10"/>
        <rFont val="Arial"/>
        <family val="2"/>
      </rPr>
      <t>in 2016$</t>
    </r>
  </si>
  <si>
    <r>
      <t xml:space="preserve">CI Sewer </t>
    </r>
    <r>
      <rPr>
        <sz val="10"/>
        <color indexed="10"/>
        <rFont val="Arial"/>
        <family val="2"/>
      </rPr>
      <t>in 2016$</t>
    </r>
  </si>
  <si>
    <t>Lighting</t>
  </si>
  <si>
    <t>Envelope</t>
  </si>
  <si>
    <t>Compressed Air</t>
  </si>
  <si>
    <t>A1 - Residential Whole House</t>
  </si>
  <si>
    <t>B1 - Low Income Retrofit</t>
  </si>
  <si>
    <t xml:space="preserve">C1 - C&amp;I New Construction </t>
  </si>
  <si>
    <t>A2 - Residential Products</t>
  </si>
  <si>
    <t>Non Energy Impacts</t>
  </si>
  <si>
    <t xml:space="preserve">Savings from Fuel Type #1 (MMBtu/Year)
</t>
  </si>
  <si>
    <t xml:space="preserve">Savings from Fuel Type #2 (MMBtu/Year)
</t>
  </si>
  <si>
    <t xml:space="preserve">Savings from Fuel Type #3 (MMBtu/Year)
</t>
  </si>
  <si>
    <t xml:space="preserve">Fossil Fuel Type #1
</t>
  </si>
  <si>
    <t xml:space="preserve">Fossil Fuel Type #2
</t>
  </si>
  <si>
    <t xml:space="preserve">Fossil Fuel Type #3
</t>
  </si>
  <si>
    <t>CLC</t>
  </si>
  <si>
    <t>National Grid</t>
  </si>
  <si>
    <t>Unitil</t>
  </si>
  <si>
    <t>Both Sectors, Electric</t>
  </si>
  <si>
    <t>Rate Discounts</t>
  </si>
  <si>
    <t>Lighting Quality and Lifetime</t>
  </si>
  <si>
    <t>Notices</t>
  </si>
  <si>
    <t>Thermal Comfort</t>
  </si>
  <si>
    <t>Noise Reduction</t>
  </si>
  <si>
    <t>Home Durability</t>
  </si>
  <si>
    <t>Equipment Maintenance</t>
  </si>
  <si>
    <t>Health Benefits</t>
  </si>
  <si>
    <t>Property Value Increase</t>
  </si>
  <si>
    <t>Arrearages</t>
  </si>
  <si>
    <t>Price Hedging</t>
  </si>
  <si>
    <t>Safety Related Emergency Calls</t>
  </si>
  <si>
    <t>Improved Safety</t>
  </si>
  <si>
    <t>Reduced Tenant Complaints</t>
  </si>
  <si>
    <t>Rental Unit Increased Property Value</t>
  </si>
  <si>
    <t>Property Durability</t>
  </si>
  <si>
    <t>Insulation</t>
  </si>
  <si>
    <t>Heating System Replacement</t>
  </si>
  <si>
    <t>Air Sealing</t>
  </si>
  <si>
    <t>Rental Units Marketability</t>
  </si>
  <si>
    <t>Annual per Unit</t>
  </si>
  <si>
    <t>One time per Unit</t>
  </si>
  <si>
    <t>Annual per Therm</t>
  </si>
  <si>
    <t>One time per Therm</t>
  </si>
  <si>
    <t>Showerhead</t>
  </si>
  <si>
    <t xml:space="preserve">Price Hedging </t>
  </si>
  <si>
    <t xml:space="preserve">Rate Discounts </t>
  </si>
  <si>
    <t>On Demand Tankless Water Heater</t>
  </si>
  <si>
    <t>Rental Unit Marketability</t>
  </si>
  <si>
    <t>Equipment Maintenance Reliability Due to Thermostats</t>
  </si>
  <si>
    <t>Annual per kWh</t>
  </si>
  <si>
    <t>One time per KWh</t>
  </si>
  <si>
    <t>Administrator:</t>
  </si>
  <si>
    <t>Basic Lookups and Assumptions</t>
  </si>
  <si>
    <t>Electric Savings: Energy</t>
  </si>
  <si>
    <t>Net to Gross</t>
  </si>
  <si>
    <t>Electric Savings: Capacity</t>
  </si>
  <si>
    <t>Net Lifetime MWh Savings</t>
  </si>
  <si>
    <t>Winter Peak Energy MWh Net Lifetime</t>
  </si>
  <si>
    <t>Winter Off-Peak Energy MWh Net Lifetime</t>
  </si>
  <si>
    <t>Summer Peak Energy MWh Net Lifetime</t>
  </si>
  <si>
    <t>Summer Off-Peak Energy MWh Net Lifetime</t>
  </si>
  <si>
    <t>Non-Electric Savings</t>
  </si>
  <si>
    <t>Electric Benefits: Energy</t>
  </si>
  <si>
    <t>Electric Benefits: Capacity</t>
  </si>
  <si>
    <t>Electric Benefits: Energy DRIPE</t>
  </si>
  <si>
    <t>Total Gas DRIPE</t>
  </si>
  <si>
    <t xml:space="preserve">Non-Electric Resource Benefits: Natural Gas </t>
  </si>
  <si>
    <t xml:space="preserve">Non-Electric Resource Benefits: Natural Gas DRIPE </t>
  </si>
  <si>
    <t>Total Non-Electric Resource Benefits</t>
  </si>
  <si>
    <t>Line Losses</t>
  </si>
  <si>
    <t>BCR</t>
  </si>
  <si>
    <t>Years</t>
  </si>
  <si>
    <t>Other Fuel Savings</t>
  </si>
  <si>
    <t>Fuel Type in AESC</t>
  </si>
  <si>
    <t xml:space="preserve">Adjusted Gross Annual MWh Savings </t>
  </si>
  <si>
    <t xml:space="preserve">Adjusted Gross Lifetime MWh Savings </t>
  </si>
  <si>
    <t xml:space="preserve">Net Annual MWh Savings </t>
  </si>
  <si>
    <t>Programs</t>
  </si>
  <si>
    <t>ls_69</t>
  </si>
  <si>
    <t>ls_71</t>
  </si>
  <si>
    <t>Res Single Family Electric Lighting- Indoor (Efficient Lighting) -NMR</t>
  </si>
  <si>
    <t>ls_70</t>
  </si>
  <si>
    <t>Res Single Family Electric Lighting- Indoor (All Bulb) - NMR</t>
  </si>
  <si>
    <t>Res Single Family Electric Lighting- Outdoor (Efficient Lighting) - NMR</t>
  </si>
  <si>
    <t>ls_72</t>
  </si>
  <si>
    <t>Res Single Family Electric Lighting- Outdoor (All Bulb) - NMR</t>
  </si>
  <si>
    <t>Program Year:</t>
  </si>
  <si>
    <t>Food Service</t>
  </si>
  <si>
    <t>kWh Realization Rate</t>
  </si>
  <si>
    <t>kW Winter Realization Rate</t>
  </si>
  <si>
    <t>kW Summer Realization Rate</t>
  </si>
  <si>
    <t>Non Electric Realization Rate</t>
  </si>
  <si>
    <t>Winter Peak Energy Benefits ($)</t>
  </si>
  <si>
    <t>Winter Off-Peak Energy Benefits ($)</t>
  </si>
  <si>
    <t>Summer Peak Energy Benefits ($)</t>
  </si>
  <si>
    <t>Summer Off-Peak Energy Benefits ($)</t>
  </si>
  <si>
    <t>Total Avoided Electric Benefits ($)</t>
  </si>
  <si>
    <t>Winter Peak Energy DRIPE Benefits ($)</t>
  </si>
  <si>
    <t>Winter Off-Peak Energy DRIPE Benefits ($)</t>
  </si>
  <si>
    <t>Summer Peak Energy DRIPE Benefits ($)</t>
  </si>
  <si>
    <t>Summer Off-Peak Energy DRIPE Benefits ($)</t>
  </si>
  <si>
    <t>Total Energy DRIPE Benefits ($)</t>
  </si>
  <si>
    <t>Total Electric Energy Benefits ($)</t>
  </si>
  <si>
    <t>Total Electric Capacity Benefits ($)</t>
  </si>
  <si>
    <t>Sub-Total</t>
  </si>
  <si>
    <t>Summer Generation Benefits ($)</t>
  </si>
  <si>
    <t>Electric Capacity DRIPE ($)</t>
  </si>
  <si>
    <t>Winter Generation ($)</t>
  </si>
  <si>
    <t>Total Electric Benefits ($)</t>
  </si>
  <si>
    <t>Transmission Benefits ($)</t>
  </si>
  <si>
    <t>Distribution Benefits ($)</t>
  </si>
  <si>
    <t>Total Avoided Gas Benefits ($)</t>
  </si>
  <si>
    <t>Annual Net Winter kW</t>
  </si>
  <si>
    <t>Annual Net Summer kw</t>
  </si>
  <si>
    <t>Annual Adjusted Gross Winter kW</t>
  </si>
  <si>
    <t>Lifetime Non-Electric Resource Benefits: Other</t>
  </si>
  <si>
    <t>Total Gas Resource Benefits</t>
  </si>
  <si>
    <t>One time per KWh (Total Net)</t>
  </si>
  <si>
    <t>Lifetime per Unit (Net)</t>
  </si>
  <si>
    <t>One time per Unit (Net)</t>
  </si>
  <si>
    <t>Lifetime per kWh (Net)</t>
  </si>
  <si>
    <t>Lifetime per Therm (Net)</t>
  </si>
  <si>
    <t>One time per Therm (Net)</t>
  </si>
  <si>
    <t xml:space="preserve">Total Lifetime Non-Resource  Benefits </t>
  </si>
  <si>
    <t xml:space="preserve">Non-Resource  Benefits </t>
  </si>
  <si>
    <t>Net Annual Gas Savings (MMBTU)</t>
  </si>
  <si>
    <t>Net Lifetime Gas Savings (MMBTU)</t>
  </si>
  <si>
    <t>Net Annual Oil Savings (MMBTU)</t>
  </si>
  <si>
    <t>Net Lifetime Oil Savings (MMBTU)</t>
  </si>
  <si>
    <t>Net Annual Propane Savings (MMBTU)</t>
  </si>
  <si>
    <t>Net Lifetime Propane Savings (MMBTU)</t>
  </si>
  <si>
    <t>Net Annual Res Water  &amp; Sewer Savings Gallons</t>
  </si>
  <si>
    <t>Net Annual C&amp;I Water Savings Gallons</t>
  </si>
  <si>
    <t>Net Annual C&amp;I Sewer Savings Gallons</t>
  </si>
  <si>
    <t>Net Lifetime Water Savings Gallons</t>
  </si>
  <si>
    <t>Adj. Gross Annual Gas Savings (MMBTU)</t>
  </si>
  <si>
    <t>Adj. Gross Lifetime Gas Savings (MMBTU)</t>
  </si>
  <si>
    <t>Adj Gross Annual Oil Savings (MMBTU)</t>
  </si>
  <si>
    <t>Adj Gross Lifetime Oil Savings (MMBTU)</t>
  </si>
  <si>
    <t>Adj Gross Annual Propane Savings (MMBTU)</t>
  </si>
  <si>
    <t>Adj Gross Lifetime Propane Savings (MMBTU)</t>
  </si>
  <si>
    <t>Total Benefits</t>
  </si>
  <si>
    <t>Sub Total</t>
  </si>
  <si>
    <t>Benefit Cost Ratio</t>
  </si>
  <si>
    <t>Annual Adjusted Gross  Summer kw</t>
  </si>
  <si>
    <t>Comprehensive Design - Custom</t>
  </si>
  <si>
    <t>Food Services - Custom</t>
  </si>
  <si>
    <t>Food Services - Prescriptive</t>
  </si>
  <si>
    <t>Process - Custom</t>
  </si>
  <si>
    <t>Other - Custom</t>
  </si>
  <si>
    <t>Other - Prescriptive</t>
  </si>
  <si>
    <t>TOTAL COSTS</t>
  </si>
  <si>
    <t>Program Planning &amp; Administration</t>
  </si>
  <si>
    <t>Marketing Advertising</t>
  </si>
  <si>
    <t>Evaluation &amp; Market Research</t>
  </si>
  <si>
    <t>Performance Incentives</t>
  </si>
  <si>
    <t>Fuel</t>
  </si>
  <si>
    <t>A1a - Residential New Construction</t>
  </si>
  <si>
    <t>Net Benefits</t>
  </si>
  <si>
    <t>Total TRC Test Benefits</t>
  </si>
  <si>
    <t>Total TRC Test Costs</t>
  </si>
  <si>
    <t>Program Administrator</t>
  </si>
  <si>
    <t>Reporting Period</t>
  </si>
  <si>
    <t>Sum of B/C Ratio</t>
  </si>
  <si>
    <t>Sum of Net Benefits</t>
  </si>
  <si>
    <t xml:space="preserve">Sum of Total Benefits </t>
  </si>
  <si>
    <t>Sum of Participant Costs (2016$)</t>
  </si>
  <si>
    <t>Sum of Total Resource Costs (2016$)</t>
  </si>
  <si>
    <t>Electric Energy Benefits</t>
  </si>
  <si>
    <t>Electric DRIPE Energy Benefits</t>
  </si>
  <si>
    <t>Period</t>
  </si>
  <si>
    <t>Electric Benefits</t>
  </si>
  <si>
    <t>Natural Gas</t>
  </si>
  <si>
    <t>Natural Gas DRIPE</t>
  </si>
  <si>
    <t>Oil</t>
  </si>
  <si>
    <t>Sum of Summer Capacity Benefits</t>
  </si>
  <si>
    <t>Sum of Transmission Capacity Benefits</t>
  </si>
  <si>
    <t>Sum of Distribution Capacity Benefits</t>
  </si>
  <si>
    <t>Sum of DRIPE Capacity Benefits</t>
  </si>
  <si>
    <t>Sum of Total Capacity Benefits</t>
  </si>
  <si>
    <t>Sum of Total Energy Benefits</t>
  </si>
  <si>
    <t>Sum of Natural Gas Benefits</t>
  </si>
  <si>
    <t>Sum of Natural Gas DRIPE Benefits</t>
  </si>
  <si>
    <t>Sum of Total Gas Benefits</t>
  </si>
  <si>
    <t>Sum of Oil Benefits</t>
  </si>
  <si>
    <t>Sum of Propane Benefits</t>
  </si>
  <si>
    <t>Sum of Water Benefits</t>
  </si>
  <si>
    <t>Sum of Total Resource Benefits</t>
  </si>
  <si>
    <t>CALCULATION</t>
  </si>
  <si>
    <t># of Participants</t>
  </si>
  <si>
    <t>Electric Savings</t>
  </si>
  <si>
    <t>Annual Capacity (kW)</t>
  </si>
  <si>
    <t>Annual</t>
  </si>
  <si>
    <t>Lifetime</t>
  </si>
  <si>
    <t>Sum of Participants</t>
  </si>
  <si>
    <t>ls_0</t>
  </si>
  <si>
    <t>Non-Electric Measures</t>
  </si>
  <si>
    <t>Measure ID Lookups</t>
  </si>
  <si>
    <t>TRC (Total)</t>
  </si>
  <si>
    <t>Incentive (Total)</t>
  </si>
  <si>
    <t>Customer Cost (Total)</t>
  </si>
  <si>
    <t>C2b - C&amp;I Small Business</t>
  </si>
  <si>
    <t>Participant</t>
  </si>
  <si>
    <t>C1a - C&amp;I New Buildings &amp; Major Renovations</t>
  </si>
  <si>
    <t>DRIPE: 2016 vintage measures</t>
  </si>
  <si>
    <t>DRIPE: 2017 vintage measures</t>
  </si>
  <si>
    <t>10 years (2016-2025)</t>
  </si>
  <si>
    <t>15 years (2016-2030)</t>
  </si>
  <si>
    <t>30 years (2016-2045)</t>
  </si>
  <si>
    <t>2016-2025</t>
  </si>
  <si>
    <t>2016-2030</t>
  </si>
  <si>
    <t>2016-2045</t>
  </si>
  <si>
    <t>Table One: Avoided Cost of Electricity (2015$) Results :</t>
  </si>
  <si>
    <t>Gas Suppy DRIPE and Gas to Electric DRIPE  (2015$/MMBtu)</t>
  </si>
  <si>
    <t>2015$</t>
  </si>
  <si>
    <t>Exhibit C-8. Massachusetts</t>
  </si>
  <si>
    <t>AESC 2015  - Gas Supply DRIPE and Gas Cross DRIPE  (2015$/MMBtu)</t>
  </si>
  <si>
    <t>Values for years 2016 through 2030 from AESC 2015 modeling.</t>
  </si>
  <si>
    <t>Values for years from 2031 onward held at 2030 levels.</t>
  </si>
  <si>
    <t>Illustrative real discount rate:</t>
  </si>
  <si>
    <t>Real discount rate:</t>
  </si>
  <si>
    <t>Values 2031-2045 extrapolated per Compound Annual Growth Rate (2021-2030)</t>
  </si>
  <si>
    <t>Energy Electric Cross DRIPE Benefits Summer ($)</t>
  </si>
  <si>
    <t>Energy Electric Cross DRIPE Summer</t>
  </si>
  <si>
    <t>Energy Electric Cross DRIPE Winter</t>
  </si>
  <si>
    <t>Energy Electric Cross DRIPE Benefits Winter ($)</t>
  </si>
  <si>
    <t>NG - Res Heating
 ($ per MMBtu)</t>
  </si>
  <si>
    <t>NG - Res Non Heating
 ($ per MMBtu)</t>
  </si>
  <si>
    <t>NG - C&amp;I Gas Non Heating
 ($ per MMBtu)</t>
  </si>
  <si>
    <t>Res Hot Water  GECD</t>
  </si>
  <si>
    <t>Res Heating  GECD</t>
  </si>
  <si>
    <t>Res All  GECD</t>
  </si>
  <si>
    <t>C&amp;I All  GECD</t>
  </si>
  <si>
    <t>C&amp;I Heating  GECD</t>
  </si>
  <si>
    <t>Year 2 Avoided Cost Data - In 2016$</t>
  </si>
  <si>
    <t>Year 3 Avoided Cost Data - In 2016$</t>
  </si>
  <si>
    <t xml:space="preserve">Gross Annual MWh Savings </t>
  </si>
  <si>
    <t>Fuel Oil - Industrial Oil
 ($ per MMBtu)</t>
  </si>
  <si>
    <t>Fuel Oil - Industrial Oil</t>
  </si>
  <si>
    <t>NG - Res All
 ($ per MMBtu)</t>
  </si>
  <si>
    <t>Low Income Rate Discount (Elec)</t>
  </si>
  <si>
    <t>Low Income Rate Discount (Gas)</t>
  </si>
  <si>
    <t>This is PA-specific for the purpose of NEI calculations; if gas PA, enter 0</t>
  </si>
  <si>
    <t>This is PA-specific for the purpose of NEI calculations; if elec PA, enter 0</t>
  </si>
  <si>
    <t>2031-2045 costs extrapolated based on 2021-2030 compound annual growth rate</t>
  </si>
  <si>
    <t>Real discount rate</t>
  </si>
  <si>
    <t>AESC 2015 Exhibit D-1: Avoided Costs of Petroleum Fuels by  Sector, asnd Other Fuels (2015$/MMBtu)</t>
  </si>
  <si>
    <t>AESC 2015 Appendix C Workbooks for Gas DRIPE April 3, 2015</t>
  </si>
  <si>
    <t>All Avoided Costs are in Year 2015 Dollars</t>
  </si>
  <si>
    <t>Avoided cost of electric energy = (wholesale energy avoided cost + REC cost to load) * risk premium, e.g.  A = (v+ad) * (1+Wholesale Risk Premium)</t>
  </si>
  <si>
    <t xml:space="preserve">Absolute value of avoided capacity costs and capacity DRIPE each year is function of quantity of kW reduction in year, PA strategy re bidding that reduction into applicable FCAs, and unit values in columns e and f. 
</t>
  </si>
  <si>
    <t>PTF loss =</t>
  </si>
  <si>
    <t>Electric Cross -DRIPE is electric owen fuel DRIPE + Electric Cross-DRIPE</t>
  </si>
  <si>
    <t>Exhibit C-2: Avoided Cost of Natural Gas Delivered to Retail Customers by End Use for Southern New England (CT, MA, RI) Assuming Some Avoidable Retail Margin (2015$/MMBtu)</t>
  </si>
  <si>
    <t>Fuel Oil - Com Fuel Oil</t>
  </si>
  <si>
    <t>Weighted Average 2 and 4</t>
  </si>
  <si>
    <t>#6</t>
  </si>
  <si>
    <t>BCR Measure ID</t>
  </si>
  <si>
    <t>Fuel Oil - Com Fuel Oil
 ($ per MMBtu)</t>
  </si>
  <si>
    <t>ls_73</t>
  </si>
  <si>
    <t>Res Single Family Furnace Fan</t>
  </si>
  <si>
    <t>Other - Codes and Standards</t>
  </si>
  <si>
    <t>HVAC - Multifamily High Rise</t>
  </si>
  <si>
    <t>HVAC - Multifamily Low Rise</t>
  </si>
  <si>
    <t>Custom</t>
  </si>
  <si>
    <t>Savings Persistence</t>
  </si>
  <si>
    <t>Codes and Standards</t>
  </si>
  <si>
    <t>A1b - Residential Multi-Family Retrofit</t>
  </si>
  <si>
    <t>Insulation (with central AC)</t>
  </si>
  <si>
    <t>Heating System Replacement, Boiler</t>
  </si>
  <si>
    <t>Heating System Replacement, Furnace</t>
  </si>
  <si>
    <t>Duct Insulation</t>
  </si>
  <si>
    <t>Pipe Wrap (Water Heating)</t>
  </si>
  <si>
    <t>Pipe Wrap (Heating)</t>
  </si>
  <si>
    <t>Faucet Aerator</t>
  </si>
  <si>
    <t>Low-Flow Showerhead</t>
  </si>
  <si>
    <t>Low-Flow Showerhead with TSV</t>
  </si>
  <si>
    <t>Thermostatic Shut-off Valve</t>
  </si>
  <si>
    <t>Programmable Thermostat (also controls elec cooling)</t>
  </si>
  <si>
    <t>Wi-Fi Thermostat</t>
  </si>
  <si>
    <t>Wi-Fi Thermostat (also controls elec cooling)</t>
  </si>
  <si>
    <t xml:space="preserve">Water Heating </t>
  </si>
  <si>
    <t>Rebate Cost Adjustment* (pre-wx, etc.)</t>
  </si>
  <si>
    <t>A1c - Residential Home Energy Services - Measures</t>
  </si>
  <si>
    <t>Early Retirement Boiler, Forced Hot Water (EE)</t>
  </si>
  <si>
    <t>Early Retirement Boiler, Forced Hot Water (Retire)</t>
  </si>
  <si>
    <t>Early Retirement Boiler, Steam (EE)</t>
  </si>
  <si>
    <t>Early Retirement Boiler, Steam (Retire)</t>
  </si>
  <si>
    <t>Early Retirement Furnace, (EE)</t>
  </si>
  <si>
    <t>Early Retirement Furnace, (Retire)</t>
  </si>
  <si>
    <t>A1e - Residential Behavior/Feedback Program</t>
  </si>
  <si>
    <t>A2a - Residential Heating &amp; Cooling Equipment</t>
  </si>
  <si>
    <t>Boiler 90%</t>
  </si>
  <si>
    <t>Boiler 95%</t>
  </si>
  <si>
    <t>Furnace w/ECM 95%</t>
  </si>
  <si>
    <t>Furnace w/ECM 95% - Muni</t>
  </si>
  <si>
    <t>Furnace w/ECM 97%</t>
  </si>
  <si>
    <t>Furnace w/ECM 97% - Muni</t>
  </si>
  <si>
    <t>Combo Condensing Boiler/Water Heater 90%</t>
  </si>
  <si>
    <t>Combo Condensing Boiler/Water Heater 95%</t>
  </si>
  <si>
    <t>Heat Recovery Ventilator</t>
  </si>
  <si>
    <t>Wi-Fi Thermostat (controls gas heat only)</t>
  </si>
  <si>
    <t>Wi-Fi Thermostat (controls elec cooling &amp; gas heat )</t>
  </si>
  <si>
    <t>B1a - Low-Income Single Family Retrofit</t>
  </si>
  <si>
    <t>Participant/TLC Kit</t>
  </si>
  <si>
    <t>Weatherization</t>
  </si>
  <si>
    <t>Repairs</t>
  </si>
  <si>
    <t>B1b - Low-Income Multi-Family Retrofit</t>
  </si>
  <si>
    <t>B4b07</t>
  </si>
  <si>
    <t>Building Shell - Custom</t>
  </si>
  <si>
    <t>Heating - Custom</t>
  </si>
  <si>
    <t>Heating - Prescriptive</t>
  </si>
  <si>
    <t>Hot Water - Custom</t>
  </si>
  <si>
    <t>Hot Water - Prescriptive</t>
  </si>
  <si>
    <t>Hot Water - Multifamily High Rise</t>
  </si>
  <si>
    <t>Hot Water - Multifamily Low Rise</t>
  </si>
  <si>
    <t xml:space="preserve">Other - Custom </t>
  </si>
  <si>
    <t>Condensing Boiler &lt;= 300 mbh (.95 TE)</t>
  </si>
  <si>
    <t>Condensing Boiler &lt;= 300 mbh (.90 TE)</t>
  </si>
  <si>
    <t>Condensing Boiler 301-499 mbh  (.90 TE)</t>
  </si>
  <si>
    <t>Condensing Boiler 500-999 mbh  (.90 TE)</t>
  </si>
  <si>
    <t>Condensing Boiler 1000-1700 mbh  (.90 TE)</t>
  </si>
  <si>
    <t>Condensing Boiler 1701+ mbh  (.90 TE)</t>
  </si>
  <si>
    <t>Condensing Unit Heater &lt;= 300 mbh</t>
  </si>
  <si>
    <t>Infrared Heaters</t>
  </si>
  <si>
    <t>Combination Oven</t>
  </si>
  <si>
    <t>Convection Oven</t>
  </si>
  <si>
    <t>Conveyer Oven</t>
  </si>
  <si>
    <t xml:space="preserve">Rack Oven </t>
  </si>
  <si>
    <t>Griddle</t>
  </si>
  <si>
    <t>Fryer</t>
  </si>
  <si>
    <t>Steamer</t>
  </si>
  <si>
    <t>Tankless Water Heater 0.82 - Upstream</t>
  </si>
  <si>
    <t>Indirect Water Heater - Upstream</t>
  </si>
  <si>
    <t>Stand Alone Water Heater 0.67 - Upstream</t>
  </si>
  <si>
    <t>Heat Recovery - Custom</t>
  </si>
  <si>
    <t>Steam Trap - Custom</t>
  </si>
  <si>
    <t>Steam Trap - Prescriptive</t>
  </si>
  <si>
    <t>Ventilation - Custom</t>
  </si>
  <si>
    <t>Pre-Rinse Spray Valve</t>
  </si>
  <si>
    <t>Hot Water Pipe Insulation, &lt;=1.5"</t>
  </si>
  <si>
    <t>Hot Water Pipe Insulation, 2"</t>
  </si>
  <si>
    <t>Steam Pipe Insulation, &lt;=1.5"</t>
  </si>
  <si>
    <t>Steam Pipe Insulation, 3"</t>
  </si>
  <si>
    <t>Gas</t>
  </si>
  <si>
    <t>Thermostat (per house receiving tstat)</t>
  </si>
  <si>
    <t>Early Retirement Boiler Gas FHW (Retire)</t>
  </si>
  <si>
    <t>Early Retirement Boiler Gas FHW (EE)</t>
  </si>
  <si>
    <t>Early Retirement Boiler Gas Steam (Retire)</t>
  </si>
  <si>
    <t>Early Retirement Boiler Gas Steam (EE)</t>
  </si>
  <si>
    <t>Early Retirement Furnace Gas (Retire)</t>
  </si>
  <si>
    <t>Early Retirement Furnace Gas (EE)</t>
  </si>
  <si>
    <t>DHW - Condensing 0.95</t>
  </si>
  <si>
    <t>DHW - Tankless 0.82</t>
  </si>
  <si>
    <t>DHW - Tankless 0.94</t>
  </si>
  <si>
    <t>DHW - Indirect</t>
  </si>
  <si>
    <t>DHW - Stand Alone 0.67</t>
  </si>
  <si>
    <t>Combo Condensing Boiler/DHW 90%</t>
  </si>
  <si>
    <t>Combo Condensing Boiler/DHW 95%</t>
  </si>
  <si>
    <t>Wi-Fi Thermostats (controls gas heat only)</t>
  </si>
  <si>
    <t>Wi-Fi Thermostats (controls gas heat and electric cooling)</t>
  </si>
  <si>
    <t>Bad-Debt Write-off</t>
  </si>
  <si>
    <t>Terminations &amp; Reconnections</t>
  </si>
  <si>
    <t>Customer Calls &amp; Collections</t>
  </si>
  <si>
    <t xml:space="preserve">Insulation  </t>
  </si>
  <si>
    <t>Aerator</t>
  </si>
  <si>
    <t>Pipe Wrap</t>
  </si>
  <si>
    <t>Indirect Water Heaters</t>
  </si>
  <si>
    <t>Improved Saftey</t>
  </si>
  <si>
    <t>Storage Water Heater</t>
  </si>
  <si>
    <t>Boiler Reset Controls</t>
  </si>
  <si>
    <t>Admin costs, material movement, other costs, other labor, O&amp;M, product spoilage, waste disposal</t>
  </si>
  <si>
    <t>Steam Traps</t>
  </si>
  <si>
    <t>Admin costs, fees, material movement, O&amp;M, product spoilage, rent revenue</t>
  </si>
  <si>
    <t>ls_74</t>
  </si>
  <si>
    <t>Total Non Energy Impacts</t>
  </si>
  <si>
    <t>ls_75</t>
  </si>
  <si>
    <t>Res Single Family Combo Cooling and Furnace Fan for HES (gas ht)</t>
  </si>
  <si>
    <t>Res Single Family Combo Cooling and Furnace Fan for LI SF (gas ht)</t>
  </si>
  <si>
    <t>ls_76</t>
  </si>
  <si>
    <t>Res Single Family Combo Cooling and Furnace Fan for HES (oil ht)</t>
  </si>
  <si>
    <t>ls_77</t>
  </si>
  <si>
    <t>Res Single Family Combo Cooling and Furnace Fan for LI SF (oil ht)</t>
  </si>
  <si>
    <t>C2a - C&amp;I Existing Building Retrofit</t>
  </si>
  <si>
    <t>A1d - Residential Home Energy Services - RCS</t>
  </si>
  <si>
    <r>
      <t>A1c - Residential Home Energy Services</t>
    </r>
    <r>
      <rPr>
        <sz val="11"/>
        <rFont val="Calibri"/>
        <family val="2"/>
      </rPr>
      <t xml:space="preserve"> - Measures</t>
    </r>
  </si>
  <si>
    <t>A2b - Residential Consumer Products</t>
  </si>
  <si>
    <t>A2c - Residential Lighting</t>
  </si>
  <si>
    <t>A3 - Residential Hard-to-Measure</t>
  </si>
  <si>
    <t>A3a - Residential Statewide Marketing</t>
  </si>
  <si>
    <t>A3b - Residential Statewide Database</t>
  </si>
  <si>
    <t>A3c - Residential DOER Assessment</t>
  </si>
  <si>
    <t>A3d - Residential EEAC Consultants</t>
  </si>
  <si>
    <t>A3e - Residential Sponsorships &amp; Subscriptions</t>
  </si>
  <si>
    <t>A3f - Residential HEAT Loan</t>
  </si>
  <si>
    <t>A3g - Residential Workforce Development</t>
  </si>
  <si>
    <t>A3h - Residential R&amp;D and Demonstration</t>
  </si>
  <si>
    <t>A3i - Residential Education</t>
  </si>
  <si>
    <t>B2 - Low-Income Hard-to-Measure</t>
  </si>
  <si>
    <t>B2a - Low-Income Statewide Marketing</t>
  </si>
  <si>
    <t>B2b - Low-Income Statewide Database</t>
  </si>
  <si>
    <t>B2c - Low-Income DOER Assessment</t>
  </si>
  <si>
    <t>B2d - Low-Income Energy Affordability Network</t>
  </si>
  <si>
    <t>B2e - Low-Income Sponsorships &amp; Subscriptions</t>
  </si>
  <si>
    <t>C3 - C&amp;I Hard-to-Measure</t>
  </si>
  <si>
    <t>C3a - C&amp;I Statewide Marketing</t>
  </si>
  <si>
    <t>C3b - C&amp;I Statewide Database</t>
  </si>
  <si>
    <t>C3c - C&amp;I DOER Assessment</t>
  </si>
  <si>
    <t>C3d - C&amp;I EEAC Consultants</t>
  </si>
  <si>
    <t>C3e - C&amp;I Sponsorships &amp; Subscriptions</t>
  </si>
  <si>
    <t>C3f - C&amp;I Workforce Development</t>
  </si>
  <si>
    <t>C3g - C&amp;I R&amp;D and Demonstration</t>
  </si>
  <si>
    <t>C2 - C&amp;I Retrofit</t>
  </si>
  <si>
    <t>Sum of Total Non Energy Impacts</t>
  </si>
  <si>
    <t>B1 - Low-Income Whole House</t>
  </si>
  <si>
    <t>C1 - C&amp;I New Construction</t>
  </si>
  <si>
    <t>IV.D  Cost Effectiveness</t>
  </si>
  <si>
    <t>3.1.i. Benefits Summary Table</t>
  </si>
  <si>
    <t>Deliverable Fuel Benefits</t>
  </si>
  <si>
    <t>Other Benefits</t>
  </si>
  <si>
    <t>Non-Energy Impacts</t>
  </si>
  <si>
    <t>Energy Benefits per Participant</t>
  </si>
  <si>
    <t>Electric Energy</t>
  </si>
  <si>
    <t>Total Electric Energy Benefits</t>
  </si>
  <si>
    <t>C2d - C&amp;I Upstream Lighting</t>
  </si>
  <si>
    <t>Notes:</t>
  </si>
  <si>
    <t>IV.D. Cost Effectiveness</t>
  </si>
  <si>
    <t>1. Summary Table</t>
  </si>
  <si>
    <t>Benefit-Cost Ratio</t>
  </si>
  <si>
    <t>Sum of Total Program Costs (2016$)</t>
  </si>
  <si>
    <t>Sum of Performance Incentive (2016$)</t>
  </si>
  <si>
    <t>The Benefit-Cost Ratio is the Total TRC Test Benefits divided by the Total TRC Test Costs.</t>
  </si>
  <si>
    <t>The Net Benefits are the Total TRC Test Benefits minus the the Total TRC Test Costs.</t>
  </si>
  <si>
    <t>For supporting information on the Total TRC Test Benefits, see Table IV.D.3.1.i.</t>
  </si>
  <si>
    <t>For supporting information on the Total Program Costs, see Table IV.C.1.</t>
  </si>
  <si>
    <t>For supporting information on the Performance Incentive, refer to the Performance Incentive Model.</t>
  </si>
  <si>
    <t>The Total TRC Costs are the sum of the Total Program Costs, Performance Incentives, and Participant Costs.</t>
  </si>
  <si>
    <t>3.2.i. Savings Summary Table</t>
  </si>
  <si>
    <t>Natural Gas Savings</t>
  </si>
  <si>
    <t>Deliverable Fuel Savings</t>
  </si>
  <si>
    <t>Other Savings</t>
  </si>
  <si>
    <t>Electric Energy (MWh)</t>
  </si>
  <si>
    <t>Therms</t>
  </si>
  <si>
    <t>Oil (MMBTU)</t>
  </si>
  <si>
    <t>Propane (MMBTU)</t>
  </si>
  <si>
    <t>Water (Gallons)</t>
  </si>
  <si>
    <t>C2c - C&amp;I Multi-Family</t>
  </si>
  <si>
    <t>Core Initiative</t>
  </si>
  <si>
    <t>Core Initiatives</t>
  </si>
  <si>
    <r>
      <t>C2c - C&amp;I Multifamily Retrofit</t>
    </r>
    <r>
      <rPr>
        <sz val="12"/>
        <rFont val="Times New Roman"/>
        <family val="1"/>
      </rPr>
      <t xml:space="preserve"> </t>
    </r>
  </si>
  <si>
    <r>
      <t>C1b - C&amp;I Initial Purchase &amp; End of Useful Life</t>
    </r>
    <r>
      <rPr>
        <sz val="12"/>
        <rFont val="Times New Roman"/>
        <family val="1"/>
      </rPr>
      <t xml:space="preserve"> </t>
    </r>
  </si>
  <si>
    <r>
      <t>A2a - Residential Heating &amp; Cooling Equipment</t>
    </r>
    <r>
      <rPr>
        <sz val="12"/>
        <rFont val="Times New Roman"/>
        <family val="1"/>
      </rPr>
      <t xml:space="preserve"> </t>
    </r>
  </si>
  <si>
    <t xml:space="preserve">A2a - Residential Heating &amp; Cooling Equipment </t>
  </si>
  <si>
    <t xml:space="preserve">C1b - C&amp;I Initial Purchase &amp; End of Useful Life </t>
  </si>
  <si>
    <t xml:space="preserve">C2c - C&amp;I Multifamily Retrofit </t>
  </si>
  <si>
    <t>April 9, 2015</t>
  </si>
  <si>
    <t>Sum of Electric DRIPE Energy Benefits</t>
  </si>
  <si>
    <t>Sum of Electric Energy Benefits</t>
  </si>
  <si>
    <t>Smart Strip</t>
  </si>
  <si>
    <t>T&amp;D Weighting  (NOTE: This only applies to the gas model)</t>
  </si>
  <si>
    <t>Transmission 2016</t>
  </si>
  <si>
    <t>Distribution 2016</t>
  </si>
  <si>
    <t>Transmission 2017</t>
  </si>
  <si>
    <t>Distribution 2017</t>
  </si>
  <si>
    <t>Transmission 2018</t>
  </si>
  <si>
    <t>Distribution 2018</t>
  </si>
  <si>
    <t>Eversource/NSTAR</t>
  </si>
  <si>
    <t>Eversource/WMECo</t>
  </si>
  <si>
    <t>Statewide Average:</t>
  </si>
  <si>
    <t>Deep Energy Retrofit</t>
  </si>
  <si>
    <t>Thermostat</t>
  </si>
  <si>
    <t>Early Retirement Clothes Washer, Gas DHW &amp; Elec Dryer (EE)</t>
  </si>
  <si>
    <t>Early Retirement Clothes Washer, Gas DHW &amp; Elec Dryer (Retire)</t>
  </si>
  <si>
    <t>Early Retirement Clothes Washer, Elec DHW &amp; Gas Dryer (EE)</t>
  </si>
  <si>
    <t>Early Retirement Clothes Washer, Elec DHW &amp; Gas Dryer (Retire)</t>
  </si>
  <si>
    <t>Early Retirement Clothes Washer, Gas DHW &amp; Gas Dryer (EE)</t>
  </si>
  <si>
    <t>Early Retirement Clothes Washer, Gas DHW &amp; Gas Dryer (Retire)</t>
  </si>
  <si>
    <t>G16A1a01</t>
  </si>
  <si>
    <t>G16A1a02</t>
  </si>
  <si>
    <t>G16A1a03</t>
  </si>
  <si>
    <t>G16A1a04</t>
  </si>
  <si>
    <t>G16A1a05</t>
  </si>
  <si>
    <t>G16A1a06</t>
  </si>
  <si>
    <t>G16A1a07</t>
  </si>
  <si>
    <t>G16A1a08</t>
  </si>
  <si>
    <t>G16A1a09</t>
  </si>
  <si>
    <t>G16A1a10</t>
  </si>
  <si>
    <t>G16A1b01</t>
  </si>
  <si>
    <t>G16A1b02</t>
  </si>
  <si>
    <t>G16A1b03</t>
  </si>
  <si>
    <t>G16A1b04</t>
  </si>
  <si>
    <t>G16A1b05</t>
  </si>
  <si>
    <t>G16A1b06</t>
  </si>
  <si>
    <t>G16A1b07</t>
  </si>
  <si>
    <t>G16A1b08</t>
  </si>
  <si>
    <t>G16A1b09</t>
  </si>
  <si>
    <t>G16A1b10</t>
  </si>
  <si>
    <t>G16A1b11</t>
  </si>
  <si>
    <t>G16A1b12</t>
  </si>
  <si>
    <t>G16A1b13</t>
  </si>
  <si>
    <t>G16A1b14</t>
  </si>
  <si>
    <t>G16A1b15</t>
  </si>
  <si>
    <t>G16A1b16</t>
  </si>
  <si>
    <t>G16A1b17</t>
  </si>
  <si>
    <t>G16A1b18</t>
  </si>
  <si>
    <t>G16A1b19</t>
  </si>
  <si>
    <t>G16A1b20</t>
  </si>
  <si>
    <t>G16A1b21</t>
  </si>
  <si>
    <t>G16A1c01</t>
  </si>
  <si>
    <t>G16A1c02</t>
  </si>
  <si>
    <t>G16A1c03</t>
  </si>
  <si>
    <t>G16A1c04</t>
  </si>
  <si>
    <t>G16A1c05</t>
  </si>
  <si>
    <t>G16A1c06</t>
  </si>
  <si>
    <t>G16A1c07</t>
  </si>
  <si>
    <t>G16A1c08</t>
  </si>
  <si>
    <t>G16A1c09</t>
  </si>
  <si>
    <t>G16A1c10</t>
  </si>
  <si>
    <t>G16A1c11</t>
  </si>
  <si>
    <t>G16A1c12</t>
  </si>
  <si>
    <t>G16A1c13</t>
  </si>
  <si>
    <t>G16A1c14</t>
  </si>
  <si>
    <t>G16A1c15</t>
  </si>
  <si>
    <t>G16A1c16</t>
  </si>
  <si>
    <t>G16A1c17</t>
  </si>
  <si>
    <t>G16A1c18</t>
  </si>
  <si>
    <t>G16A1c19</t>
  </si>
  <si>
    <t>G16A1c21</t>
  </si>
  <si>
    <t>G16A1c22</t>
  </si>
  <si>
    <t>G16A1c23</t>
  </si>
  <si>
    <t>G16A1c24</t>
  </si>
  <si>
    <t>G16A1c25</t>
  </si>
  <si>
    <t>G16A1c27</t>
  </si>
  <si>
    <t>G16A1c29</t>
  </si>
  <si>
    <t>G16A1c30</t>
  </si>
  <si>
    <t>G16A1c31</t>
  </si>
  <si>
    <t>G16A1c32</t>
  </si>
  <si>
    <t>G16A1c33</t>
  </si>
  <si>
    <t>G16A1c34</t>
  </si>
  <si>
    <t>G16A1c35</t>
  </si>
  <si>
    <t>G16A2a01</t>
  </si>
  <si>
    <t>G16A2a02</t>
  </si>
  <si>
    <t>G16A2a03</t>
  </si>
  <si>
    <t>G16A2a04</t>
  </si>
  <si>
    <t>G16A2a05</t>
  </si>
  <si>
    <t>G16A2a06</t>
  </si>
  <si>
    <t>G16A2a07</t>
  </si>
  <si>
    <t>G16A2a08</t>
  </si>
  <si>
    <t>G16A2a09</t>
  </si>
  <si>
    <t>G16A2a10</t>
  </si>
  <si>
    <t>G16A2a11</t>
  </si>
  <si>
    <t>G16A2a12</t>
  </si>
  <si>
    <t>G16A2a13</t>
  </si>
  <si>
    <t>G16A2a14</t>
  </si>
  <si>
    <t>G16A2a15</t>
  </si>
  <si>
    <t>G16A2a16</t>
  </si>
  <si>
    <t>G16A2a17</t>
  </si>
  <si>
    <t>G16A2a18</t>
  </si>
  <si>
    <t>G16B1a01</t>
  </si>
  <si>
    <t>G16B1a02</t>
  </si>
  <si>
    <t>G16B1a03</t>
  </si>
  <si>
    <t>G16B1a04</t>
  </si>
  <si>
    <t>G16B1a05</t>
  </si>
  <si>
    <t>G16B1a06</t>
  </si>
  <si>
    <t>G16B1a07</t>
  </si>
  <si>
    <t>G16B1a08</t>
  </si>
  <si>
    <t>G16B1a09</t>
  </si>
  <si>
    <t>G16B1a10</t>
  </si>
  <si>
    <t>G16B1a11</t>
  </si>
  <si>
    <t>G16B1a12</t>
  </si>
  <si>
    <t>G16B1a13</t>
  </si>
  <si>
    <t>G16B1b01</t>
  </si>
  <si>
    <t>G16B1b02</t>
  </si>
  <si>
    <t>G16B1b03</t>
  </si>
  <si>
    <t>G16B1b04</t>
  </si>
  <si>
    <t>G16B1b05</t>
  </si>
  <si>
    <t>G16B1b06</t>
  </si>
  <si>
    <t>G16B1b07</t>
  </si>
  <si>
    <t>G16B1b08</t>
  </si>
  <si>
    <t>G16B1b09</t>
  </si>
  <si>
    <t>G16B1b10</t>
  </si>
  <si>
    <t>G16B1b11</t>
  </si>
  <si>
    <t>G16B1b12</t>
  </si>
  <si>
    <t>G16B1b13</t>
  </si>
  <si>
    <t>G16B1b14</t>
  </si>
  <si>
    <t>G16B1b15</t>
  </si>
  <si>
    <t>G16B1b16</t>
  </si>
  <si>
    <t>G16B1b17</t>
  </si>
  <si>
    <t>G16B1b18</t>
  </si>
  <si>
    <t>G16B1b19</t>
  </si>
  <si>
    <t>G16B1b20</t>
  </si>
  <si>
    <t>G16C1a01</t>
  </si>
  <si>
    <t>G16C1a02</t>
  </si>
  <si>
    <t>G16C1a03</t>
  </si>
  <si>
    <t>G16C1a04</t>
  </si>
  <si>
    <t>G16C1a05</t>
  </si>
  <si>
    <t>G16C1a06</t>
  </si>
  <si>
    <t>G16C1a07</t>
  </si>
  <si>
    <t>G16C1a08</t>
  </si>
  <si>
    <t>G16C1a09</t>
  </si>
  <si>
    <t>G16C1a10</t>
  </si>
  <si>
    <t>G16C1a11</t>
  </si>
  <si>
    <t>G16C1a12</t>
  </si>
  <si>
    <t>G16C1a13</t>
  </si>
  <si>
    <t>G16C1a14</t>
  </si>
  <si>
    <t>G16C1a15</t>
  </si>
  <si>
    <t>G16C1a16</t>
  </si>
  <si>
    <t>G16C1a17</t>
  </si>
  <si>
    <t>G16C1a18</t>
  </si>
  <si>
    <t>G16C1a19</t>
  </si>
  <si>
    <t>G16C1a20</t>
  </si>
  <si>
    <t>G16C1a21</t>
  </si>
  <si>
    <t>G16C1a22</t>
  </si>
  <si>
    <t>G16C1a23</t>
  </si>
  <si>
    <t>G16C1a24</t>
  </si>
  <si>
    <t>G16C1a25</t>
  </si>
  <si>
    <t>G16C1a26</t>
  </si>
  <si>
    <t>G16C1a27</t>
  </si>
  <si>
    <t>G16C1a28</t>
  </si>
  <si>
    <t>G16C1a29</t>
  </si>
  <si>
    <t>G16C1a30</t>
  </si>
  <si>
    <t>G16C1a31</t>
  </si>
  <si>
    <t>G16C1a32</t>
  </si>
  <si>
    <t>G16C1a33</t>
  </si>
  <si>
    <t>G16C1a34</t>
  </si>
  <si>
    <t>G16C1a35</t>
  </si>
  <si>
    <t>G16C1a36</t>
  </si>
  <si>
    <t>G16C1a37</t>
  </si>
  <si>
    <t>G16C1a38</t>
  </si>
  <si>
    <t>G16C1a39</t>
  </si>
  <si>
    <t>G16C1b01</t>
  </si>
  <si>
    <t>G16C1b02</t>
  </si>
  <si>
    <t>G16C1b03</t>
  </si>
  <si>
    <t>G16C1b04</t>
  </si>
  <si>
    <t>G16C1b05</t>
  </si>
  <si>
    <t>G16C1b06</t>
  </si>
  <si>
    <t>G16C1b07</t>
  </si>
  <si>
    <t>G16C1b08</t>
  </si>
  <si>
    <t>G16C1b09</t>
  </si>
  <si>
    <t>G16C1b10</t>
  </si>
  <si>
    <t>G16C1b11</t>
  </si>
  <si>
    <t>G16C1b12</t>
  </si>
  <si>
    <t>G16C1b13</t>
  </si>
  <si>
    <t>G16C1b14</t>
  </si>
  <si>
    <t>G16C1b15</t>
  </si>
  <si>
    <t>G16C1b16</t>
  </si>
  <si>
    <t>G16C1b17</t>
  </si>
  <si>
    <t>G16C1b18</t>
  </si>
  <si>
    <t>G16C1b19</t>
  </si>
  <si>
    <t>G16C1b20</t>
  </si>
  <si>
    <t>G16C1b21</t>
  </si>
  <si>
    <t>G16C1b22</t>
  </si>
  <si>
    <t>G16C1b23</t>
  </si>
  <si>
    <t>G16C1b24</t>
  </si>
  <si>
    <t>G16C1b25</t>
  </si>
  <si>
    <t>G16C1b26</t>
  </si>
  <si>
    <t>G16C1b27</t>
  </si>
  <si>
    <t>G16C1b28</t>
  </si>
  <si>
    <t>G16C1b29</t>
  </si>
  <si>
    <t>G16C1b30</t>
  </si>
  <si>
    <t>G16C1b31</t>
  </si>
  <si>
    <t>G16C1b32</t>
  </si>
  <si>
    <t>G16C1b33</t>
  </si>
  <si>
    <t>G16C1b34</t>
  </si>
  <si>
    <t>G16C1b35</t>
  </si>
  <si>
    <t>G16C1b36</t>
  </si>
  <si>
    <t>G16C1b37</t>
  </si>
  <si>
    <t>G16C2a01</t>
  </si>
  <si>
    <t>G16C2a02</t>
  </si>
  <si>
    <t>G16C2a03</t>
  </si>
  <si>
    <t>G16C2a04</t>
  </si>
  <si>
    <t>G16C2a05</t>
  </si>
  <si>
    <t>G16C2a06</t>
  </si>
  <si>
    <t>G16C2a07</t>
  </si>
  <si>
    <t>G16C2a08</t>
  </si>
  <si>
    <t>G16C2a09</t>
  </si>
  <si>
    <t>G16C2a10</t>
  </si>
  <si>
    <t>G16C2a11</t>
  </si>
  <si>
    <t>G16C2a13</t>
  </si>
  <si>
    <t>G16C2a14</t>
  </si>
  <si>
    <t>G16C2a15</t>
  </si>
  <si>
    <t>G16C2a16</t>
  </si>
  <si>
    <t>G16C2a17</t>
  </si>
  <si>
    <t>G16C2a18</t>
  </si>
  <si>
    <t>G16C2a19</t>
  </si>
  <si>
    <t>G16C2a20</t>
  </si>
  <si>
    <t>G16C2a21</t>
  </si>
  <si>
    <t>G16C2a22</t>
  </si>
  <si>
    <t>G16C2a23</t>
  </si>
  <si>
    <t>G16C2a24</t>
  </si>
  <si>
    <t>G16C2a25</t>
  </si>
  <si>
    <t>G16C2a26</t>
  </si>
  <si>
    <t>G16C2a27</t>
  </si>
  <si>
    <t>G16C2a28</t>
  </si>
  <si>
    <t>G16C2a29</t>
  </si>
  <si>
    <t>G16C2a30</t>
  </si>
  <si>
    <t>G16C2b01</t>
  </si>
  <si>
    <t>G16C2b02</t>
  </si>
  <si>
    <t>G16C2b03</t>
  </si>
  <si>
    <t>G16C2b04</t>
  </si>
  <si>
    <t>G16C2b05</t>
  </si>
  <si>
    <t>G16C2b06</t>
  </si>
  <si>
    <t>G16C2b07</t>
  </si>
  <si>
    <t>G16C2b08</t>
  </si>
  <si>
    <t>G16C2b09</t>
  </si>
  <si>
    <t>G16C2b10</t>
  </si>
  <si>
    <t>G16C2b11</t>
  </si>
  <si>
    <t>G16C2b12</t>
  </si>
  <si>
    <t>G16C2b13</t>
  </si>
  <si>
    <t>G16C2b14</t>
  </si>
  <si>
    <t>G16C2b15</t>
  </si>
  <si>
    <t>G16C2b16</t>
  </si>
  <si>
    <t>G16C2b17</t>
  </si>
  <si>
    <t>G16C2b18</t>
  </si>
  <si>
    <t>G16C2b19</t>
  </si>
  <si>
    <t>G16C2b20</t>
  </si>
  <si>
    <t>G16C2b21</t>
  </si>
  <si>
    <t>G16C2b22</t>
  </si>
  <si>
    <t>G16C2b23</t>
  </si>
  <si>
    <t>G16C2b24</t>
  </si>
  <si>
    <t>G16C2b25</t>
  </si>
  <si>
    <t>G16C2b26</t>
  </si>
  <si>
    <t>G16C2b27</t>
  </si>
  <si>
    <t>G16C2b28</t>
  </si>
  <si>
    <t>G16C2c01</t>
  </si>
  <si>
    <t>G16C2c02</t>
  </si>
  <si>
    <t>G16C2c03</t>
  </si>
  <si>
    <t>G16C2c04</t>
  </si>
  <si>
    <t>G16C2c05</t>
  </si>
  <si>
    <t>G16C2c06</t>
  </si>
  <si>
    <t>G16C2c07</t>
  </si>
  <si>
    <t>G16C2c08</t>
  </si>
  <si>
    <t>G16C2c09</t>
  </si>
  <si>
    <t>G16C2c10</t>
  </si>
  <si>
    <t>G16C2c11</t>
  </si>
  <si>
    <t>G16C2c12</t>
  </si>
  <si>
    <t>G16C2c13</t>
  </si>
  <si>
    <t>G16C2c14</t>
  </si>
  <si>
    <t>G16C2c15</t>
  </si>
  <si>
    <t>G16C2c16</t>
  </si>
  <si>
    <t>Average # thermostats per home (HES)</t>
  </si>
  <si>
    <t>This is PA-specific for the purpose of NEI calculations</t>
  </si>
  <si>
    <t>Average # thermostats per unit (MF)</t>
  </si>
  <si>
    <t>Average # thermostats per home (HEHE)</t>
  </si>
  <si>
    <t>Distribution Company</t>
  </si>
  <si>
    <t>DPU Filing Date</t>
  </si>
  <si>
    <t>Docket #</t>
  </si>
  <si>
    <t>Values</t>
  </si>
  <si>
    <t>Sum of Quantity</t>
  </si>
  <si>
    <t>Sum of Incentive (Total)</t>
  </si>
  <si>
    <t xml:space="preserve">Sum of Net Annual MWh Savings </t>
  </si>
  <si>
    <t>Sum of Net Lifetime MWh Savings</t>
  </si>
  <si>
    <t>Sum of Net Annual Gas Savings (MMBTU)</t>
  </si>
  <si>
    <t>Sum of Net Lifetime Gas Savings (MMBTU)</t>
  </si>
  <si>
    <t>Sum of Net Annual Oil Savings (MMBTU)</t>
  </si>
  <si>
    <t>Sum of Net Lifetime Oil Savings (MMBTU)</t>
  </si>
  <si>
    <t>Sum of Net Annual Propane Savings (MMBTU)</t>
  </si>
  <si>
    <t>Sum of Net Lifetime Propane Savings (MMBTU)</t>
  </si>
  <si>
    <t>Sum of Annual Water Savings (Gallons)</t>
  </si>
  <si>
    <t>Sum of Net Lifetime Water Savings Gallons</t>
  </si>
  <si>
    <t>Sum of Total Electric Benefits ($)</t>
  </si>
  <si>
    <t>Sum of Total Gas Resource Benefits</t>
  </si>
  <si>
    <t>Sum of Total Oil Benefits</t>
  </si>
  <si>
    <t>Sum of Propane</t>
  </si>
  <si>
    <t>Sum of Total Water Benefits</t>
  </si>
  <si>
    <t xml:space="preserve">Sum of Total Lifetime Non-Resource  Benefits </t>
  </si>
  <si>
    <t>Sum of Total Benefits ($)</t>
  </si>
  <si>
    <t>Net Annual Energy (MWh)</t>
  </si>
  <si>
    <t>Adj Gross Annual Energy (MWh)</t>
  </si>
  <si>
    <t>Net Annual Natural Gas (MMBTU)</t>
  </si>
  <si>
    <t>Adj Gross Annual Natural Gas (MMBTU)</t>
  </si>
  <si>
    <t>Net Annual Natural Gas (Therms)</t>
  </si>
  <si>
    <t>Adj Gross Annual Natural Gas (Therms)</t>
  </si>
  <si>
    <t>Net Annual Oil (MMBTU)</t>
  </si>
  <si>
    <t>Adj Gross Annual Oil (MMBTU)</t>
  </si>
  <si>
    <t>Sum of Net Annual Energy (MWh)</t>
  </si>
  <si>
    <t>Sum of Net Annual Oil (MMBTU)</t>
  </si>
  <si>
    <t>Sum of Net Annual Natural Gas (Therms)</t>
  </si>
  <si>
    <t>G16A1e1</t>
  </si>
  <si>
    <t>Net Lifetime Energy (MWh)</t>
  </si>
  <si>
    <t>Adj Gross Lifetime Energy (MWh)</t>
  </si>
  <si>
    <t>Net Lifetime Natural Gas, Therms</t>
  </si>
  <si>
    <t>Adj Gross Lifetime Natural Gas (Therms)</t>
  </si>
  <si>
    <t>Net Lifetime Oil, MMBTU</t>
  </si>
  <si>
    <t>Adj Gross Lifetime Oil (MMBTU)</t>
  </si>
  <si>
    <t>Behavior</t>
  </si>
  <si>
    <t>Custom Measures</t>
  </si>
  <si>
    <t>Energy Star Homes</t>
  </si>
  <si>
    <t>Home Energy Services</t>
  </si>
  <si>
    <t>HVAC</t>
  </si>
  <si>
    <t>Motors/Drives</t>
  </si>
  <si>
    <t>Sum of Net Lifetime Energy (MWh)</t>
  </si>
  <si>
    <t>Sum of Net Lifetime Natural Gas, Therms</t>
  </si>
  <si>
    <t>Sum of Net Lifetime Oil, MMBTU</t>
  </si>
  <si>
    <t>Net Annual Propane (MMBTU)</t>
  </si>
  <si>
    <t>Net Lifetime Propane (MMBTU)</t>
  </si>
  <si>
    <t>Net Annual Water (Gallons)</t>
  </si>
  <si>
    <t>Net Lifetime Water (Gallons)</t>
  </si>
  <si>
    <t>Net Winter Capacity (kW)</t>
  </si>
  <si>
    <t>Net Summer Capacity (kW)</t>
  </si>
  <si>
    <t>Sum of Net Summer Capacity (kW)</t>
  </si>
  <si>
    <t>Sum of Net Winter Capacity (kW)</t>
  </si>
  <si>
    <t>Sum of Net Annual Propane (MMBTU)</t>
  </si>
  <si>
    <t>Sum of Net Lifetime Propane (MMBTU)</t>
  </si>
  <si>
    <t>Sum of Net Annual Water (Gallons)</t>
  </si>
  <si>
    <t>Sum of Net Lifetime Water (Gallons)</t>
  </si>
  <si>
    <t>G16A2a19</t>
  </si>
  <si>
    <t>G16A2a20</t>
  </si>
  <si>
    <t>G16A2a21</t>
  </si>
  <si>
    <t>Controls - Custom</t>
  </si>
  <si>
    <t>G16C1a40</t>
  </si>
  <si>
    <t>Volume Water Heater 0.85 TE - Upstream</t>
  </si>
  <si>
    <t>Volume Water Heater 0.92 TE - Upstream</t>
  </si>
  <si>
    <t>G16C1b38</t>
  </si>
  <si>
    <t>G16C1b39</t>
  </si>
  <si>
    <t>Condensing Water Heater 0.90 - Upstream</t>
  </si>
  <si>
    <t>Tankless Water Heater 0.90 - Upstream</t>
  </si>
  <si>
    <t>G16C2a31</t>
  </si>
  <si>
    <t>G16C2b29</t>
  </si>
  <si>
    <t>Food Services</t>
  </si>
  <si>
    <t>Furnace</t>
  </si>
  <si>
    <t>Boiler</t>
  </si>
  <si>
    <t>G16C2a32</t>
  </si>
  <si>
    <t>LED Bulb (Reflectors)</t>
  </si>
  <si>
    <t>G16C2c17</t>
  </si>
  <si>
    <t>G16C2c18</t>
  </si>
  <si>
    <t>G16C2c19</t>
  </si>
  <si>
    <t>G16C2c20</t>
  </si>
  <si>
    <t>G16C2c21</t>
  </si>
  <si>
    <t>G16C2c22</t>
  </si>
  <si>
    <t>G16C2c23</t>
  </si>
  <si>
    <t>G16C2c24</t>
  </si>
  <si>
    <t>G16C2c25</t>
  </si>
  <si>
    <t>Low Rise NC Heating</t>
  </si>
  <si>
    <t>Low Rise NC Cooling</t>
  </si>
  <si>
    <t>Low Rise NC Water Heating</t>
  </si>
  <si>
    <t xml:space="preserve">High Rise NC Heating </t>
  </si>
  <si>
    <t>High Rise NC Cooling</t>
  </si>
  <si>
    <t>High Rise NC Water Heating</t>
  </si>
  <si>
    <t>High Rise NC Lighting</t>
  </si>
  <si>
    <t>Air Sealing, Gas</t>
  </si>
  <si>
    <t>Insulation, Gas</t>
  </si>
  <si>
    <t>Insulation, Gas (with central AC)</t>
  </si>
  <si>
    <t>Duct Seal, Gas</t>
  </si>
  <si>
    <t>Pipe Wrap (Water Heating), Gas</t>
  </si>
  <si>
    <t>Pipe Wrap (Heating), Gas</t>
  </si>
  <si>
    <t>Faucet Aerator, Gas</t>
  </si>
  <si>
    <t>Low Flow Showerhead, Gas</t>
  </si>
  <si>
    <t>Low Flow Showerhead with TSV, Gas</t>
  </si>
  <si>
    <t>Thermostatic Shut Off Valve, Gas</t>
  </si>
  <si>
    <t>Demand Circulator, Gas</t>
  </si>
  <si>
    <t>Programmable Thermostat, Gas</t>
  </si>
  <si>
    <t>Programmable Thermostat, Gas (with cooling)</t>
  </si>
  <si>
    <t>Duct Seal</t>
  </si>
  <si>
    <t>Duct Insulation, Gas</t>
  </si>
  <si>
    <t>Forced Hot Water Boiler, Gas 90%</t>
  </si>
  <si>
    <t>Forced Hot Water Boiler, Gas 95%</t>
  </si>
  <si>
    <t>Furnace, Gas 95%</t>
  </si>
  <si>
    <t>Furnace, Gas 95% Muni</t>
  </si>
  <si>
    <t>Furnace, Gas 97%</t>
  </si>
  <si>
    <t>Furnace, Gas 97% Muni</t>
  </si>
  <si>
    <t>Boiler Reset Control, Gas</t>
  </si>
  <si>
    <t>Condensing Water Heater, Gas 0.95</t>
  </si>
  <si>
    <t>Stand Alone Water Heater, Gas 0.67</t>
  </si>
  <si>
    <t>On Demand Water Heater, Gas 0.82</t>
  </si>
  <si>
    <t>On Demand Water Heater, Gas 0.94</t>
  </si>
  <si>
    <t>Indirect Water Heater, Gas</t>
  </si>
  <si>
    <t>Weatherization, Gas</t>
  </si>
  <si>
    <t>Boiler Retrofit, Gas</t>
  </si>
  <si>
    <t>Furnace Retrofit, Gas</t>
  </si>
  <si>
    <t>Commercial Boiler Retrofit, Gas</t>
  </si>
  <si>
    <t>On Demand Water Heater, Gas</t>
  </si>
  <si>
    <t>Thermostatic Shut-off Valve, Gas</t>
  </si>
  <si>
    <t>G16A1b22</t>
  </si>
  <si>
    <t>G16B1b21</t>
  </si>
  <si>
    <t>Unique ID</t>
  </si>
  <si>
    <t>Install CO2 &amp; Smoke Detectors?</t>
  </si>
  <si>
    <t>no</t>
  </si>
  <si>
    <t>Wifi Thermostat – cooling only</t>
  </si>
  <si>
    <t>G16A1b23</t>
  </si>
  <si>
    <t>Building Shell - Custom 10</t>
  </si>
  <si>
    <t>Building Shell - Custom 18</t>
  </si>
  <si>
    <t>Building Shell - Custom 20</t>
  </si>
  <si>
    <t>Comprehensive Design - Custom 13</t>
  </si>
  <si>
    <t>Comprehensive Design - Custom 16</t>
  </si>
  <si>
    <t>Comprehensive Design - Custom 17</t>
  </si>
  <si>
    <t>Comprehensive Design - Custom 18</t>
  </si>
  <si>
    <t>Comprehensive Design - Custom 19</t>
  </si>
  <si>
    <t>Comprehensive Design - Custom 20</t>
  </si>
  <si>
    <t>Building Shell - Custom 15</t>
  </si>
  <si>
    <t>Building Shell - Custom 25</t>
  </si>
  <si>
    <t>Food Services - Custom 15</t>
  </si>
  <si>
    <t>Heat Recovery - Custom  15</t>
  </si>
  <si>
    <t>Heat Recovery - Custom  20</t>
  </si>
  <si>
    <t>Heating - Custom 10</t>
  </si>
  <si>
    <t>Heating - Custom 15</t>
  </si>
  <si>
    <t>Heating - Custom 18</t>
  </si>
  <si>
    <t>Heating - Custom 20</t>
  </si>
  <si>
    <t>Heating - Custom 25</t>
  </si>
  <si>
    <t>Hot Water - Custom 15</t>
  </si>
  <si>
    <t>Hot Water - Custom 20</t>
  </si>
  <si>
    <t>Process - Custom 10</t>
  </si>
  <si>
    <t>Process - Custom 15</t>
  </si>
  <si>
    <t>Process - Custom 20</t>
  </si>
  <si>
    <t>Other - Custom  15</t>
  </si>
  <si>
    <t>Food Services - Custom 12</t>
  </si>
  <si>
    <t>Hot Water - Custom 13</t>
  </si>
  <si>
    <t>Other - Custom  25</t>
  </si>
  <si>
    <t>Building Shell - Custom 5</t>
  </si>
  <si>
    <t>Hot Water - Custom 10</t>
  </si>
  <si>
    <t>Heating - Custom 2</t>
  </si>
  <si>
    <t>Heating - Custom 5</t>
  </si>
  <si>
    <t>Heating - Custom 13</t>
  </si>
  <si>
    <t>Heat Recovery - Custom 10</t>
  </si>
  <si>
    <t>Heat Recovery - Custom 18</t>
  </si>
  <si>
    <t>Other - Custom 2</t>
  </si>
  <si>
    <t>Other - Custom 10</t>
  </si>
  <si>
    <t>Other - Custom 12</t>
  </si>
  <si>
    <t>Other - Custom 13</t>
  </si>
  <si>
    <t>Other - Custom 15</t>
  </si>
  <si>
    <t>Other - Custom 18</t>
  </si>
  <si>
    <t>Other - Custom 25</t>
  </si>
  <si>
    <t>Process - Custom 18</t>
  </si>
  <si>
    <t>Steam Trap - Custom 6</t>
  </si>
  <si>
    <t>G16A1c38</t>
  </si>
  <si>
    <t>Home Energy Report</t>
  </si>
  <si>
    <t>Wi-Fi Thermostat (also Control elec cooling)</t>
  </si>
  <si>
    <t>Wi-Fi Thermostat (Control gas heat only)</t>
  </si>
  <si>
    <t>Wi-Fi Thermostat (Control elec cooling &amp; gas heat )</t>
  </si>
  <si>
    <t>Evaluated</t>
  </si>
  <si>
    <t>G16C2C10</t>
  </si>
  <si>
    <t>G16C2C11</t>
  </si>
  <si>
    <t>G16B1b22</t>
  </si>
  <si>
    <t>Low Income</t>
  </si>
  <si>
    <t>C1b - C&amp;I Initial Purchase &amp; End of Useful Life</t>
  </si>
  <si>
    <t>C2c - C&amp;I Multifamily Retrofit</t>
  </si>
  <si>
    <t>Low-Flow Showerhead, Gas</t>
  </si>
  <si>
    <t>Wi-Fi Thermostat (controls elec cooling and gas heat)</t>
  </si>
  <si>
    <t>G17A1a05</t>
  </si>
  <si>
    <t>LED Bulb (Specialty)</t>
  </si>
  <si>
    <t>G17A1b21</t>
  </si>
  <si>
    <t>G17A1c13</t>
  </si>
  <si>
    <t>G17A1c36</t>
  </si>
  <si>
    <t>G17A1c37</t>
  </si>
  <si>
    <t xml:space="preserve">Food Services - Custom </t>
  </si>
  <si>
    <t xml:space="preserve">Hot Water - Custom </t>
  </si>
  <si>
    <t xml:space="preserve">Steam Trap - Custom </t>
  </si>
  <si>
    <t>Ozonated Laundry - Custom</t>
  </si>
  <si>
    <t>G16C2a35</t>
  </si>
  <si>
    <t xml:space="preserve">HVAC </t>
  </si>
  <si>
    <t>Building Operator Certification</t>
  </si>
  <si>
    <t>Behavioral</t>
  </si>
  <si>
    <t>Building Operator Certification Plus</t>
  </si>
  <si>
    <t>G17C2c16</t>
  </si>
  <si>
    <t xml:space="preserve">Equipment Maintenance Reliability </t>
  </si>
  <si>
    <t>CFL Bulb (Carryover)</t>
  </si>
  <si>
    <t>Custom non-Lighting</t>
  </si>
  <si>
    <t>Custom - Non Lighting</t>
  </si>
  <si>
    <t>G16C2c26</t>
  </si>
  <si>
    <t>Residential New ConstructionLow Rise Heating</t>
  </si>
  <si>
    <t>Residential New ConstructionLow Rise NC Cooling</t>
  </si>
  <si>
    <t>Residential New ConstructionLow Rise Water Heating</t>
  </si>
  <si>
    <t>Residential New ConstructionCFL</t>
  </si>
  <si>
    <t>Residential New ConstructionLED Bulbs</t>
  </si>
  <si>
    <t>Residential New ConstructionMFHR_HEATING</t>
  </si>
  <si>
    <t>Residential New ConstructionMFHR-DHW</t>
  </si>
  <si>
    <t>Residential New ConstructionCODES AND STANDARDS</t>
  </si>
  <si>
    <t>Residential Multi-Family RetrofitAir Sealing_MF</t>
  </si>
  <si>
    <t>Residential Multi-Family RetrofitINSULATION_MF</t>
  </si>
  <si>
    <t>Residential Multi-Family RetrofitDuct Sealing_MF</t>
  </si>
  <si>
    <t>Residential Multi-Family RetrofitDuct Insulation_MF</t>
  </si>
  <si>
    <t>Residential Multi-Family RetrofitPipe Wrap DHW_MF</t>
  </si>
  <si>
    <t>Residential Multi-Family RetrofitPipe Wrap-Heating_MF</t>
  </si>
  <si>
    <t>Residential Multi-Family RetrofitAerator_MF</t>
  </si>
  <si>
    <t>Residential Multi-Family RetrofitShowerhead_MF</t>
  </si>
  <si>
    <t>Residential Multi-Family RetrofitTSV Showerhead_MF</t>
  </si>
  <si>
    <t>Residential Multi-Family RetrofitTHERMOSTAT_MF</t>
  </si>
  <si>
    <t>Residential Multi-Family RetrofitCONTROLS_MF</t>
  </si>
  <si>
    <t>Residential Multi-Family RetrofitCUST NON-LGT</t>
  </si>
  <si>
    <t>Residential Home Energy Services - MeasureINSULATION</t>
  </si>
  <si>
    <t>Residential Home Energy Services - MeasureAIR SEALING</t>
  </si>
  <si>
    <t>Residential Home Energy Services - MeasureDUCTSEAL</t>
  </si>
  <si>
    <t>Residential Home Energy Services - MeasureDUCTINS</t>
  </si>
  <si>
    <t>Residential Home Energy Services - MeasureDHW Pipe Wrap</t>
  </si>
  <si>
    <t>Residential Home Energy Services - MeasureAERATOR</t>
  </si>
  <si>
    <t>Residential Home Energy Services - MeasureSHOWERHEAD</t>
  </si>
  <si>
    <t>Residential Home Energy Services - MeasureTHERMOSTAT</t>
  </si>
  <si>
    <t>Residential Home Energy Services - MeasureWiFi Tstat-heat only</t>
  </si>
  <si>
    <t>Residential Home Energy Services - MeasureWiFi Tstat-heat and cool</t>
  </si>
  <si>
    <t>Residential Home Energy Services - MeasureWiFi Tstat-cool only</t>
  </si>
  <si>
    <t>Residential Home Energy Services - MeasureCFL</t>
  </si>
  <si>
    <t>Residential Home Energy Services - MeasureLED Bulbs</t>
  </si>
  <si>
    <t>Residential Home Energy Services - MeasureLED EISA EXEMPT</t>
  </si>
  <si>
    <t>Residential Home Energy Services - MeasureLED Reflectors</t>
  </si>
  <si>
    <t>Residential Home Energy Services - MeasureERB_REMAIN_FHWGAS</t>
  </si>
  <si>
    <t>Residential Home Energy Services - MeasureERB_RETIRE_FHWGAS</t>
  </si>
  <si>
    <t>Residential Home Energy Services - MeasureERB_REMAIN_STEAMGAS</t>
  </si>
  <si>
    <t>Residential Home Energy Services - MeasureERB_RETIRE_STEAMGAS</t>
  </si>
  <si>
    <t>Residential Home Energy Services - MeasureEFR_REMAIN_GAS</t>
  </si>
  <si>
    <t>Residential Home Energy Services - MeasureEFR_RETIRE_GAS</t>
  </si>
  <si>
    <t>Residential Home Energy Services - MeasureSmart Strip</t>
  </si>
  <si>
    <t>Residential Home Energy Services - MeasureERCW, Gas DHW &amp; Elec Dryer_REMAIN</t>
  </si>
  <si>
    <t>Residential Home Energy Services - MeasureERCW, Gas DHW &amp; Elec Dryer_RETIRE</t>
  </si>
  <si>
    <t>Residential Home Energy Services - MeasureERCW, Elec DHW &amp; Gas Dryer_REMAIN</t>
  </si>
  <si>
    <t>Residential Home Energy Services - MeasureERCW, Elec DHW &amp; Gas Dryer_RETIRE</t>
  </si>
  <si>
    <t>Residential Home Energy Services - MeasureERCW, Gas DHW &amp; Gas Dryer_REMAIN</t>
  </si>
  <si>
    <t>Residential Home Energy Services - MeasureERCW, Gas DHW &amp; Gas Dryer_RETIRE</t>
  </si>
  <si>
    <t>Residential Behavior/FeedbackHome Energy Reports</t>
  </si>
  <si>
    <t>Residential Heating &amp; Cooling EquipmentBoiler90</t>
  </si>
  <si>
    <t>Residential Heating &amp; Cooling EquipmentBoiler95</t>
  </si>
  <si>
    <t>Residential Heating &amp; Cooling EquipmentFurnace95ECM</t>
  </si>
  <si>
    <t>Residential Heating &amp; Cooling EquipmentFurnace97ECM</t>
  </si>
  <si>
    <t>Residential Heating &amp; Cooling EquipmentCOMBO CONDENSING</t>
  </si>
  <si>
    <t>Residential Heating &amp; Cooling EquipmentCOMBO CONDENSING 95</t>
  </si>
  <si>
    <t>Residential Heating &amp; Cooling EquipmentBOILER RESET</t>
  </si>
  <si>
    <t>Residential Heating &amp; Cooling EquipmentHEAT RECOVERY VENT</t>
  </si>
  <si>
    <t>Residential Heating &amp; Cooling EquipmentTANK WATER HEATER 67</t>
  </si>
  <si>
    <t>Residential Heating &amp; Cooling EquipmentWATER HEATER - ON-DEMAND 82</t>
  </si>
  <si>
    <t>Residential Heating &amp; Cooling EquipmentWATER HEATER - ON-DEMAND 94</t>
  </si>
  <si>
    <t>Residential Heating &amp; Cooling EquipmentWATER HEATER - INDIRECT</t>
  </si>
  <si>
    <t>Residential Heating &amp; Cooling EquipmentTHERMOSTAT</t>
  </si>
  <si>
    <t>Residential Heating &amp; Cooling EquipmentWiFi Thermostat - gas ht only</t>
  </si>
  <si>
    <t>Residential Heating &amp; Cooling EquipmentWiFi Thermostat - cooling and htg</t>
  </si>
  <si>
    <t>Residential Heating &amp; Cooling EquipmentTSV Showerhead</t>
  </si>
  <si>
    <t>Residential Heating &amp; Cooling EquipmentTSVs</t>
  </si>
  <si>
    <t>Residential Heating &amp; Cooling EquipmentLFShowerhead</t>
  </si>
  <si>
    <t>Low-Income Single Family RetrofitBoiler</t>
  </si>
  <si>
    <t>Low-Income Single Family RetrofitFURNACE</t>
  </si>
  <si>
    <t>Low-Income Single Family RetrofitWEATHER</t>
  </si>
  <si>
    <t>Low-Income Multi-Family RetrofitAerator_LI</t>
  </si>
  <si>
    <t>Low-Income Multi-Family RetrofitAir Sealing_LI</t>
  </si>
  <si>
    <t>Low-Income Multi-Family RetrofitINSULATION_LI</t>
  </si>
  <si>
    <t>Low-Income Multi-Family RetrofitDuct Sealing_LI</t>
  </si>
  <si>
    <t>Low-Income Multi-Family RetrofitDuct Insulation_LI</t>
  </si>
  <si>
    <t>Low-Income Multi-Family RetrofitPipe Wrap DHW_LI</t>
  </si>
  <si>
    <t>Low-Income Multi-Family RetrofitShowerhead_LI</t>
  </si>
  <si>
    <t>Low-Income Multi-Family RetrofitBoiler</t>
  </si>
  <si>
    <t>Low-Income Multi-Family RetrofitCUST NON-LGT</t>
  </si>
  <si>
    <t>Low-Income Multi-Family RetrofitParticipants_MF_LI</t>
  </si>
  <si>
    <t>Low-Income Multi-Family RetrofitFURNACE_LI</t>
  </si>
  <si>
    <t>Low-Income Multi-Family RetrofitPipe Wrap-Heating_LI</t>
  </si>
  <si>
    <t>Low-Income Multi-Family RetrofitON DEMAND WH_LI</t>
  </si>
  <si>
    <t>Low-Income Multi-Family RetrofitINDIRECT_LI</t>
  </si>
  <si>
    <t>Low-Income Multi-Family RetrofitTANK WH_LI</t>
  </si>
  <si>
    <t>Low-Income Multi-Family RetrofitTSV Showerhead_LI</t>
  </si>
  <si>
    <t>Low-Income Multi-Family RetrofitTHERMOSTAT_LI</t>
  </si>
  <si>
    <t>Residential Multi-Family RetrofitWiFi Thermostat w AC_MF</t>
  </si>
  <si>
    <t>Residential Heating &amp; Cooling EquipmentCOND WATER HEATER 95%MIN 75-300</t>
  </si>
  <si>
    <t>Comprehensive Design - Custom 15</t>
  </si>
  <si>
    <t>Control - Custom 10</t>
  </si>
  <si>
    <t>Control - Custom 15</t>
  </si>
  <si>
    <t>Other - Custom  10</t>
  </si>
  <si>
    <t>Other - Custom  20</t>
  </si>
  <si>
    <t>Process - Custom  10</t>
  </si>
  <si>
    <t>Heat Recovery - Custom 15</t>
  </si>
  <si>
    <t>Other - Custom 6</t>
  </si>
  <si>
    <t>Other - Custom 16</t>
  </si>
  <si>
    <t>Hot Water - Custom  15</t>
  </si>
  <si>
    <t>G16C2a36</t>
  </si>
  <si>
    <t>O&amp;M</t>
  </si>
  <si>
    <t>Pipe Wrap (Heating Only)</t>
  </si>
  <si>
    <t xml:space="preserve">HVAC - Custom </t>
  </si>
  <si>
    <t xml:space="preserve">Heating - Custom </t>
  </si>
  <si>
    <t>C&amp;I Multifamily RetrofitBuilding Shell-Custom_MF</t>
  </si>
  <si>
    <t>C&amp;I Multifamily RetrofitHEATING _Custom</t>
  </si>
  <si>
    <t>C&amp;I Multifamily RetrofitHot Water-Custom_MF</t>
  </si>
  <si>
    <t>C&amp;I Multifamily RetrofitDuct Sealing_MF</t>
  </si>
  <si>
    <t>C&amp;I Multifamily RetrofitPipe Wrap DHW_MF</t>
  </si>
  <si>
    <t>C&amp;I Multifamily RetrofitPipe Wrap-Heating_MF</t>
  </si>
  <si>
    <t>C&amp;I Multifamily RetrofitAerator_MF</t>
  </si>
  <si>
    <t>C&amp;I Multifamily RetrofitShowerhead_MF</t>
  </si>
  <si>
    <t>C&amp;I Multifamily RetrofitTHERMOSTAT_MF</t>
  </si>
  <si>
    <t>C&amp;I Multifamily RetrofitAir Sealing_MF</t>
  </si>
  <si>
    <t>C&amp;I Multifamily RetrofitINSULATION_MF</t>
  </si>
  <si>
    <t>C&amp;I Multifamily RetrofitTSV Showerhead_MF</t>
  </si>
  <si>
    <t>C&amp;I Multifamily RetrofitCONTROLS_MF</t>
  </si>
  <si>
    <t>C&amp;I Initial Purchase &amp; End of Useful LifeCondensing boiler 1000-1700 mbh</t>
  </si>
  <si>
    <t>C&amp;I Initial Purchase &amp; End of Useful LifeCondensing boiler 1701+ mbh</t>
  </si>
  <si>
    <t>C&amp;I Initial Purchase &amp; End of Useful LifeCondensing boiler 500-999 mbh</t>
  </si>
  <si>
    <t>C&amp;I Initial Purchase &amp; End of Useful LifeCondensing boiler 300-499 mbh</t>
  </si>
  <si>
    <t>C&amp;I Initial Purchase &amp; End of Useful LifeBoiler95</t>
  </si>
  <si>
    <t>C&amp;I Initial Purchase &amp; End of Useful LifeCondensing boiler &lt;= 300 mbh</t>
  </si>
  <si>
    <t>2424</t>
  </si>
  <si>
    <t>5325</t>
  </si>
  <si>
    <t>C&amp;I New Buildings &amp; Major RenovationsCD</t>
  </si>
  <si>
    <t>C&amp;I New Buildings &amp; Major RenovationsBSHL</t>
  </si>
  <si>
    <t>C&amp;I New Buildings &amp; Major RenovationsCondensing boiler 500-999 mbh</t>
  </si>
  <si>
    <t>C&amp;I New Buildings &amp; Major RenovationsMFHR-DHW</t>
  </si>
  <si>
    <t>C&amp;I New Buildings &amp; Major RenovationsMFHR_HEATING</t>
  </si>
  <si>
    <t>C&amp;I New Buildings &amp; Major RenovationsHTREC_A</t>
  </si>
  <si>
    <t>C&amp;I New Buildings &amp; Major RenovationsCODES AND STANDARDS</t>
  </si>
  <si>
    <t>C&amp;I New Buildings &amp; Major RenovationsHVAC</t>
  </si>
  <si>
    <t>C&amp;I Initial Purchase &amp; End of Useful LifeHTREC_A</t>
  </si>
  <si>
    <t>C&amp;I Initial Purchase &amp; End of Useful LifeHVAC</t>
  </si>
  <si>
    <t>C&amp;I Initial Purchase &amp; End of Useful LifeOTHR</t>
  </si>
  <si>
    <t>C&amp;I Initial Purchase &amp; End of Useful LifePROC</t>
  </si>
  <si>
    <t>C&amp;I Initial Purchase &amp; End of Useful LifeFurnace95ECM</t>
  </si>
  <si>
    <t>C&amp;I Initial Purchase &amp; End of Useful LifeFurnace97ECM</t>
  </si>
  <si>
    <t>C&amp;I Initial Purchase &amp; End of Useful LifeCONDENSING UNIT HEATER 151-400 MBH</t>
  </si>
  <si>
    <t>C&amp;I Initial Purchase &amp; End of Useful LifeINFRARED HEATER - LOW INT</t>
  </si>
  <si>
    <t>C&amp;I Initial Purchase &amp; End of Useful LifeWATER HEATER - ON-DEMAND 82</t>
  </si>
  <si>
    <t>C&amp;I Initial Purchase &amp; End of Useful LifeWATER HEATER - ON-DEMAND 90</t>
  </si>
  <si>
    <t>C&amp;I Initial Purchase &amp; End of Useful LifeWATER HEATER - INDIRECT</t>
  </si>
  <si>
    <t>C&amp;I Initial Purchase &amp; End of Useful LifeCOND WATER HEATER 90%MIN 75-800</t>
  </si>
  <si>
    <t>C&amp;I Initial Purchase &amp; End of Useful LifeCOMBO COND BOIL/WTR HTR 90+</t>
  </si>
  <si>
    <t>C&amp;I Initial Purchase &amp; End of Useful LifeCOMBO COND BOIL/WTR HTR 95+</t>
  </si>
  <si>
    <t>C&amp;I Initial Purchase &amp; End of Useful LifeWater Heating Boiler - 85% TE</t>
  </si>
  <si>
    <t>C&amp;I Initial Purchase &amp; End of Useful LifeCOOKING-COMBO OVEN 1</t>
  </si>
  <si>
    <t>C&amp;I Initial Purchase &amp; End of Useful LifeCOOKING-CONVECTION OVEN 1</t>
  </si>
  <si>
    <t>C&amp;I Initial Purchase &amp; End of Useful LifeCOOKING-CONVEYOR OVEN 1</t>
  </si>
  <si>
    <t>C&amp;I Initial Purchase &amp; End of Useful LifeCOOKING-RACK OVEN 1</t>
  </si>
  <si>
    <t>C&amp;I Initial Purchase &amp; End of Useful LifeCOOKING-GRIDDLE 1</t>
  </si>
  <si>
    <t>C&amp;I Initial Purchase &amp; End of Useful LifeCOOKING-FRYER-1000</t>
  </si>
  <si>
    <t>C&amp;I Initial Purchase &amp; End of Useful LifeCOOKING-STEAMER-1000</t>
  </si>
  <si>
    <t>C&amp;I Small BusinessBSHL</t>
  </si>
  <si>
    <t>C&amp;I Small BusinessDHW</t>
  </si>
  <si>
    <t>C&amp;I Small BusinessHVAC</t>
  </si>
  <si>
    <t>C&amp;I Small BusinessST-TRAP</t>
  </si>
  <si>
    <t>C&amp;I Small BusinessFAUCET_AERATOR_0.5_DI</t>
  </si>
  <si>
    <t>LF_PRE_RINSE_SPRAY_NZL</t>
  </si>
  <si>
    <t>C&amp;I Small BusinessINSUL_PIPE_DI_1.5IN_H2O</t>
  </si>
  <si>
    <t>C&amp;I Small BusinessINSUL_PIPE_DI_2IN_H2O</t>
  </si>
  <si>
    <t>Workbook Contents</t>
  </si>
  <si>
    <t>Metrics appear in blue font.</t>
  </si>
  <si>
    <t>Spreadsheet</t>
  </si>
  <si>
    <t>General Description</t>
  </si>
  <si>
    <t>Heading</t>
  </si>
  <si>
    <t>Data Description</t>
  </si>
  <si>
    <t>Inputs Yr 2</t>
  </si>
  <si>
    <t>Program and Measure Input Data for TRC Test</t>
  </si>
  <si>
    <t>Utility customer sector (Low-Income, Residential, Commercial &amp; Industrial)</t>
  </si>
  <si>
    <t>(per unit)</t>
  </si>
  <si>
    <t>EE Program</t>
  </si>
  <si>
    <t>Some programs are subdivided according to various attributes.</t>
  </si>
  <si>
    <t>EE measure type</t>
  </si>
  <si>
    <t>Measure Identification Code</t>
  </si>
  <si>
    <t>End use category</t>
  </si>
  <si>
    <t>Number of measures installed in program implementation Year 1</t>
  </si>
  <si>
    <t>The useful life of the measure in years.</t>
  </si>
  <si>
    <t>Incremental measure cost</t>
  </si>
  <si>
    <t>Incentive amount per measure</t>
  </si>
  <si>
    <t>The amount the customer pays for the measure net of the incentive (=Total Resource Cost - Incentive).</t>
  </si>
  <si>
    <t>The % of gross savings that would have occurred in the absence of the program</t>
  </si>
  <si>
    <t>The % of gross savings from non-program measures  installed by participants that would not have been installed in the absence of the program.</t>
  </si>
  <si>
    <t>The % of gross savings from non-program measures  installed by non-participants that would not have been installed in the absence of the program.</t>
  </si>
  <si>
    <t>The ratio Net Annual kWh Saved to  Gross Annual kWh Saved</t>
  </si>
  <si>
    <t>The ratio of verified to reported Gross Annual kWh Saved</t>
  </si>
  <si>
    <t>The ratio of verified to reported Winter kW Saved</t>
  </si>
  <si>
    <t>The ratio of verified to reported Summer kW Saved</t>
  </si>
  <si>
    <t>The annual electric energy savings per measure.</t>
  </si>
  <si>
    <t>Load Shape Identification Code</t>
  </si>
  <si>
    <t>[not used in calculations]</t>
  </si>
  <si>
    <t>Description of load shape corresponding to LS_ID</t>
  </si>
  <si>
    <t>% of annual electric savings during Winter Peak hours</t>
  </si>
  <si>
    <t>% of annual electric savings during Winter Off- Peak hours</t>
  </si>
  <si>
    <t>% of annual electric savings during Summer Peak hours</t>
  </si>
  <si>
    <t>% of annual electric savings during Summer Off- Peak hours</t>
  </si>
  <si>
    <t>Maximum hourly load reduction</t>
  </si>
  <si>
    <t>Ratio of Summer Peak kW savings to Maximum Load Reduction</t>
  </si>
  <si>
    <t>Ratio of Winter Peak kW savings to Maximum Load Reduction</t>
  </si>
  <si>
    <t>type of fossil fuel savings</t>
  </si>
  <si>
    <t>annual  energy savings per measure for Fossil Fuel Type #1</t>
  </si>
  <si>
    <t>annual  energy savings per measure for Fossil Fuel Type #2</t>
  </si>
  <si>
    <t>annual  energy savings per measure for Fossil Fuel Type #3</t>
  </si>
  <si>
    <t>annual Residential  water consumption savings</t>
  </si>
  <si>
    <t>annual Commercial and Industrial water consumption savings</t>
  </si>
  <si>
    <t xml:space="preserve">  </t>
  </si>
  <si>
    <t>annual Commercial and Industrial waste water consumption savings</t>
  </si>
  <si>
    <t>NEI Lookup</t>
  </si>
  <si>
    <t>Non-Energy Impact identification code</t>
  </si>
  <si>
    <t>NEI Name</t>
  </si>
  <si>
    <t>Non-Energy Impact measure anme</t>
  </si>
  <si>
    <t>Non-Energy Impact annual value per unit</t>
  </si>
  <si>
    <t>Non-Energy Impact present value per unit</t>
  </si>
  <si>
    <t>Non-Energy Impact annual value per kWh saved</t>
  </si>
  <si>
    <t>Non-Energy Impact present value per kWh saved</t>
  </si>
  <si>
    <t>Non-Energy Impact annual value per Therm saved</t>
  </si>
  <si>
    <t>Non-Energy Impact present value per Therm saved</t>
  </si>
  <si>
    <t>Total Resource Cost Benefit-Cost Ratio (measure level)</t>
  </si>
  <si>
    <t>Calculations Yr 2</t>
  </si>
  <si>
    <t>Program and Measure Calculations for TRC Test</t>
  </si>
  <si>
    <t>(per unit input data x quantity)</t>
  </si>
  <si>
    <t xml:space="preserve">[Calculation substitutes [Period] Energy DRIPE for Avoided Energy Cost in corresponding Energy Benefits formula.] </t>
  </si>
  <si>
    <t xml:space="preserve">[Calculation substitutes Energy Electric Cross DRIPE [Period] for Avoided Energy Cost in corresponding Energy Benefits formula.] </t>
  </si>
  <si>
    <t xml:space="preserve">Winter Peak Energy Line Losses </t>
  </si>
  <si>
    <t>Winter Off-Peak Energy Line Losses</t>
  </si>
  <si>
    <t>Summer Peak Energy Line Losses</t>
  </si>
  <si>
    <t>Summer Off-Peak Energy Line Losses</t>
  </si>
  <si>
    <t>Summer Generation Line Losses</t>
  </si>
  <si>
    <t>Winter Generation Line Losses</t>
  </si>
  <si>
    <t>Transmission Line Losses</t>
  </si>
  <si>
    <t>Distribution Line Losses</t>
  </si>
  <si>
    <t>[NOTE: Line Losses are expressed as a % of corresponding kWh or kW savings.]</t>
  </si>
  <si>
    <t>Cost Table</t>
  </si>
  <si>
    <t xml:space="preserve">Program Implementation Cost </t>
  </si>
  <si>
    <t>Program implementation year</t>
  </si>
  <si>
    <t>(Breakdown by Cost Category)</t>
  </si>
  <si>
    <t>Utility Program Administrator (Eversource Electric/Eversource Gas)</t>
  </si>
  <si>
    <t xml:space="preserve">Utility customer sector (Residential/C&amp;I) </t>
  </si>
  <si>
    <t>EE program</t>
  </si>
  <si>
    <t>Categorized by measure type/end use/fuel type.</t>
  </si>
  <si>
    <t xml:space="preserve">Number of installed measures. </t>
  </si>
  <si>
    <t>Master Data</t>
  </si>
  <si>
    <t>Program Level Cost and Benefit Data</t>
  </si>
  <si>
    <t>Savings</t>
  </si>
  <si>
    <t>Program Level Savings Summary</t>
  </si>
  <si>
    <t>(Participants, Annual and Lifetime Savings)</t>
  </si>
  <si>
    <t>Benefits</t>
  </si>
  <si>
    <t>Program Level Benefits Summary</t>
  </si>
  <si>
    <t>(Electric, Non-Electric, Water, NEI)</t>
  </si>
  <si>
    <t>Cost-Effectiveness</t>
  </si>
  <si>
    <t>Program Level Total Resource Cost Results</t>
  </si>
  <si>
    <t>Measure Summary</t>
  </si>
  <si>
    <t>Compilation of Program x Measure Level Data</t>
  </si>
  <si>
    <t>(Quantity, Incentive, Savings, Benefits</t>
  </si>
  <si>
    <t>from 'Calculations Yr 2')</t>
  </si>
  <si>
    <t>Acronyms/Abbreviations</t>
  </si>
  <si>
    <t>AFUE</t>
  </si>
  <si>
    <t>Annual Fuel Utilization Efficiency</t>
  </si>
  <si>
    <t>BD</t>
  </si>
  <si>
    <t>Blower Door</t>
  </si>
  <si>
    <t>BOC</t>
  </si>
  <si>
    <t>CEE</t>
  </si>
  <si>
    <t xml:space="preserve">Consortium for Energy Efficiency </t>
  </si>
  <si>
    <t>CEM</t>
  </si>
  <si>
    <t>Certified Energy Manager</t>
  </si>
  <si>
    <t>CHP</t>
  </si>
  <si>
    <t>Combined Heat and Power</t>
  </si>
  <si>
    <t>CI</t>
  </si>
  <si>
    <t>Commercial and Industrial</t>
  </si>
  <si>
    <t>CNG</t>
  </si>
  <si>
    <t>Compressed Natural Gas</t>
  </si>
  <si>
    <t>DHW</t>
  </si>
  <si>
    <t>Domestic Hot water</t>
  </si>
  <si>
    <t>DMSHP</t>
  </si>
  <si>
    <t>Ductless Mini-Split Heat Pump</t>
  </si>
  <si>
    <t>DRIPE</t>
  </si>
  <si>
    <t>Demand Reduction Induced Price Effect</t>
  </si>
  <si>
    <t>DS</t>
  </si>
  <si>
    <t>ECM</t>
  </si>
  <si>
    <t>Electronically Commutated Motors</t>
  </si>
  <si>
    <t>ES</t>
  </si>
  <si>
    <t>Energy Star</t>
  </si>
  <si>
    <t>Ext</t>
  </si>
  <si>
    <t>Exterior</t>
  </si>
  <si>
    <t>FF</t>
  </si>
  <si>
    <t>Fossil Fuel</t>
  </si>
  <si>
    <t>FHW</t>
  </si>
  <si>
    <t>Forced Hot Water</t>
  </si>
  <si>
    <t>FL</t>
  </si>
  <si>
    <t>Full Load</t>
  </si>
  <si>
    <t>GECD</t>
  </si>
  <si>
    <t xml:space="preserve">       Gas-to-electric cross-DRIPE</t>
  </si>
  <si>
    <t>GSHP</t>
  </si>
  <si>
    <t>Ground Source Heat Pump</t>
  </si>
  <si>
    <t>HEA</t>
  </si>
  <si>
    <t>Home Energy Assistance</t>
  </si>
  <si>
    <t>HES</t>
  </si>
  <si>
    <t>Home Energy Solutions</t>
  </si>
  <si>
    <t>HP</t>
  </si>
  <si>
    <t>Heat Pump</t>
  </si>
  <si>
    <t>HPwES</t>
  </si>
  <si>
    <t>Home Performance with Energy Star</t>
  </si>
  <si>
    <t>HPWH</t>
  </si>
  <si>
    <t>Heat Pump Water Heater</t>
  </si>
  <si>
    <t>HSPF</t>
  </si>
  <si>
    <t>Heating Seasonal Performance Factor</t>
  </si>
  <si>
    <t>Heating Ventilation and Air Conditioning</t>
  </si>
  <si>
    <t>IPLV</t>
  </si>
  <si>
    <t>Integrated Part Load Value</t>
  </si>
  <si>
    <t>LCI</t>
  </si>
  <si>
    <t>Large Commercial and Industrial</t>
  </si>
  <si>
    <t>LI</t>
  </si>
  <si>
    <t>MF</t>
  </si>
  <si>
    <t>Multi-Family</t>
  </si>
  <si>
    <t>Muni</t>
  </si>
  <si>
    <t>Municipality</t>
  </si>
  <si>
    <t>NC</t>
  </si>
  <si>
    <t>New Construction</t>
  </si>
  <si>
    <t>NEB</t>
  </si>
  <si>
    <t>Non-Energy Benefit</t>
  </si>
  <si>
    <t>NEI</t>
  </si>
  <si>
    <t>Non-Energy Impact</t>
  </si>
  <si>
    <t>NMR</t>
  </si>
  <si>
    <t>Nexus Market Research</t>
  </si>
  <si>
    <t>Operations and Maintenance</t>
  </si>
  <si>
    <t>OS</t>
  </si>
  <si>
    <t xml:space="preserve">Occupancy Sensors </t>
  </si>
  <si>
    <t>QIV</t>
  </si>
  <si>
    <t>Quality Installation and Verification</t>
  </si>
  <si>
    <t>RCx</t>
  </si>
  <si>
    <t>Retrocommissioning</t>
  </si>
  <si>
    <t>RNC</t>
  </si>
  <si>
    <t>Residential New Construction</t>
  </si>
  <si>
    <t>RR</t>
  </si>
  <si>
    <t>Realization Rate</t>
  </si>
  <si>
    <t>SCG</t>
  </si>
  <si>
    <t>Supplemental Natural Gas</t>
  </si>
  <si>
    <t>SCI</t>
  </si>
  <si>
    <t>Small Commercial and Industrial</t>
  </si>
  <si>
    <t>SEER</t>
  </si>
  <si>
    <t>Seasonal Energy Efficiency Ratio</t>
  </si>
  <si>
    <t>SF</t>
  </si>
  <si>
    <t>Single Family</t>
  </si>
  <si>
    <t>TLC Kit</t>
  </si>
  <si>
    <t>Direct installation measures including aerators, LED night lights, and hot water thermometers</t>
  </si>
  <si>
    <t>TSV</t>
  </si>
  <si>
    <t>Thermostatic shut-off valve</t>
  </si>
  <si>
    <t>VFD</t>
  </si>
  <si>
    <t>Variable Frequency Drive</t>
  </si>
  <si>
    <t>VRF</t>
  </si>
  <si>
    <t>Variable Refrigerant Flow</t>
  </si>
  <si>
    <t>Wxn</t>
  </si>
  <si>
    <t xml:space="preserve">   </t>
  </si>
  <si>
    <t xml:space="preserve">The  ratio of verified to reported number of installed measures. </t>
  </si>
  <si>
    <t>The ratio of verified to reported non-electric energy savings</t>
  </si>
  <si>
    <t>= Quantity x Total Resource Cost x Net to Gross</t>
  </si>
  <si>
    <t>= Quantity x Incentive</t>
  </si>
  <si>
    <t>Appendix E</t>
  </si>
  <si>
    <t>National Grid MA Gas 2017 measure cost workbook</t>
  </si>
  <si>
    <t>National Grid 2017 Gas BCR Model.xlsx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</si>
</sst>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8" formatCode="&quot;$&quot;#,##0.00_);[Red]\(&quot;$&quot;#,##0.00\)"/>
    <numFmt numFmtId="44" formatCode="_(&quot;$&quot;* #,##0.00_);_(&quot;$&quot;* \(#,##0.00\);_(&quot;$&quot;* &quot;-&quot;??_);_(@_)"/>
    <numFmt numFmtId="43" formatCode="_(* #,##0.00_);_(* \(#,##0.00\);_(* &quot;-&quot;??_);_(@_)"/>
    <numFmt numFmtId="164" formatCode="#,##0.000"/>
    <numFmt numFmtId="165" formatCode="&quot;$&quot;#,##0.00"/>
    <numFmt numFmtId="166" formatCode="0.0%"/>
    <numFmt numFmtId="167" formatCode="&quot;$&quot;#,##0"/>
    <numFmt numFmtId="168" formatCode="0.0"/>
    <numFmt numFmtId="169" formatCode="0.000"/>
    <numFmt numFmtId="170" formatCode="_(&quot;$&quot;* #,##0_);_(&quot;$&quot;* \(#,##0\);_(&quot;$&quot;* &quot;-&quot;??_);_(@_)"/>
    <numFmt numFmtId="171" formatCode="_(* #,##0_);_(* \(#,##0\);_(* &quot;-&quot;??_);_(@_)"/>
    <numFmt numFmtId="172" formatCode="&quot;$&quot;#,##0.000"/>
    <numFmt numFmtId="173" formatCode="&quot;$&quot;#,##0.0000"/>
    <numFmt numFmtId="174" formatCode="#,##0.0"/>
    <numFmt numFmtId="175" formatCode="_(&quot;$&quot;* #,##0.000_);_(&quot;$&quot;* \(#,##0.000\);_(&quot;$&quot;* &quot;-&quot;??_);_(@_)"/>
    <numFmt numFmtId="176" formatCode="&quot;$&quot;#,##0.00000"/>
    <numFmt numFmtId="177" formatCode="0.000000"/>
    <numFmt numFmtId="178" formatCode="[$-409]m/d/yy\ h:mm\ AM/PM;@"/>
    <numFmt numFmtId="179" formatCode="0.00000000000000000000"/>
    <numFmt numFmtId="180" formatCode="0.0000"/>
    <numFmt numFmtId="181" formatCode="&quot;$&quot;#,##0&quot;/MWh&quot;;\(&quot;$&quot;#,##0\)&quot;/MWh&quot;"/>
    <numFmt numFmtId="182" formatCode="_(* #,##0.000_);_(* \(#,##0.000\);_(* &quot;-&quot;??_);_(@_)"/>
    <numFmt numFmtId="183" formatCode="0.00000"/>
    <numFmt numFmtId="184" formatCode="&quot;$&quot;#,##0&quot;/kW&quot;;\(&quot;$&quot;#,##0\)&quot;/kW&quot;"/>
    <numFmt numFmtId="185" formatCode="&quot;$&quot;#,##0&quot;/kWh&quot;;\(&quot;$&quot;#,##0\)&quot;/kWh&quot;"/>
    <numFmt numFmtId="186" formatCode="&quot;$&quot;#,##0&quot;/kW-yr&quot;;\(&quot;$&quot;#,##0\)&quot;/kW-yr&quot;"/>
    <numFmt numFmtId="187" formatCode="&quot;$&quot;#,##0_)&quot;M&quot;;\(&quot;$&quot;#,##0\)&quot;M&quot;"/>
    <numFmt numFmtId="188" formatCode="0.00&quot;¢/kWh&quot;"/>
    <numFmt numFmtId="189" formatCode="_([$€-2]* #,##0.00_);_([$€-2]* \(#,##0.00\);_([$€-2]* &quot;-&quot;??_)"/>
    <numFmt numFmtId="190" formatCode="0.000%"/>
    <numFmt numFmtId="191" formatCode="0.0000_)"/>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0"/>
      <name val="Arial"/>
      <family val="2"/>
    </font>
    <font>
      <b/>
      <sz val="10"/>
      <color indexed="12"/>
      <name val="Arial"/>
      <family val="2"/>
    </font>
    <font>
      <sz val="8"/>
      <name val="Arial"/>
      <family val="2"/>
    </font>
    <font>
      <sz val="10"/>
      <color indexed="9"/>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i/>
      <sz val="10"/>
      <name val="Helv"/>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Garamond"/>
      <family val="1"/>
    </font>
    <font>
      <sz val="10"/>
      <color indexed="12"/>
      <name val="Arial"/>
      <family val="2"/>
    </font>
    <font>
      <sz val="10"/>
      <color indexed="10"/>
      <name val="Arial"/>
      <family val="2"/>
    </font>
    <font>
      <sz val="10"/>
      <name val="MS Sans Serif"/>
      <family val="2"/>
    </font>
    <font>
      <sz val="8"/>
      <color indexed="48"/>
      <name val="Arial"/>
      <family val="2"/>
    </font>
    <font>
      <sz val="8"/>
      <color indexed="23"/>
      <name val="Arial"/>
      <family val="2"/>
    </font>
    <font>
      <sz val="10"/>
      <color indexed="14"/>
      <name val="Arial"/>
      <family val="2"/>
    </font>
    <font>
      <b/>
      <sz val="12"/>
      <name val="Arial"/>
      <family val="2"/>
    </font>
    <font>
      <sz val="10"/>
      <color indexed="13"/>
      <name val="Arial"/>
      <family val="2"/>
    </font>
    <font>
      <b/>
      <sz val="10"/>
      <color indexed="22"/>
      <name val="Arial"/>
      <family val="2"/>
    </font>
    <font>
      <b/>
      <sz val="14"/>
      <name val="Arial"/>
      <family val="2"/>
    </font>
    <font>
      <sz val="12"/>
      <name val="Arial"/>
      <family val="2"/>
    </font>
    <font>
      <sz val="12"/>
      <color indexed="12"/>
      <name val="Arial"/>
      <family val="2"/>
    </font>
    <font>
      <b/>
      <u/>
      <sz val="18"/>
      <name val="Arial"/>
      <family val="2"/>
    </font>
    <font>
      <b/>
      <u/>
      <sz val="16"/>
      <name val="Arial"/>
      <family val="2"/>
    </font>
    <font>
      <b/>
      <u/>
      <sz val="12"/>
      <name val="Arial"/>
      <family val="2"/>
    </font>
    <font>
      <sz val="14"/>
      <name val="Arial"/>
      <family val="2"/>
    </font>
    <font>
      <b/>
      <sz val="16"/>
      <name val="Arial"/>
      <family val="2"/>
    </font>
    <font>
      <b/>
      <vertAlign val="superscript"/>
      <sz val="10"/>
      <name val="Arial"/>
      <family val="2"/>
    </font>
    <font>
      <i/>
      <sz val="10"/>
      <name val="Arial"/>
      <family val="2"/>
    </font>
    <font>
      <b/>
      <sz val="10"/>
      <name val="Arial Black"/>
      <family val="2"/>
    </font>
    <font>
      <b/>
      <sz val="11"/>
      <color theme="1"/>
      <name val="Calibri"/>
      <family val="2"/>
      <scheme val="minor"/>
    </font>
    <font>
      <sz val="10"/>
      <name val="Arial"/>
      <family val="2"/>
    </font>
    <font>
      <sz val="10"/>
      <name val="Arial"/>
      <family val="2"/>
    </font>
    <font>
      <b/>
      <sz val="11"/>
      <name val="Calibri"/>
      <family val="2"/>
    </font>
    <font>
      <sz val="11"/>
      <name val="Calibri"/>
      <family val="2"/>
      <scheme val="minor"/>
    </font>
    <font>
      <sz val="11"/>
      <name val="Calibri"/>
      <family val="2"/>
    </font>
    <font>
      <sz val="11"/>
      <color indexed="14"/>
      <name val="Calibri"/>
      <family val="2"/>
    </font>
    <font>
      <b/>
      <sz val="10"/>
      <color indexed="64"/>
      <name val="Arial"/>
      <family val="2"/>
    </font>
    <font>
      <b/>
      <sz val="15"/>
      <color indexed="62"/>
      <name val="Calibri"/>
      <family val="2"/>
    </font>
    <font>
      <b/>
      <sz val="13"/>
      <color indexed="62"/>
      <name val="Calibri"/>
      <family val="2"/>
    </font>
    <font>
      <b/>
      <sz val="11"/>
      <color indexed="62"/>
      <name val="Calibri"/>
      <family val="2"/>
    </font>
    <font>
      <sz val="10"/>
      <color indexed="64"/>
      <name val="Arial"/>
      <family val="2"/>
    </font>
    <font>
      <b/>
      <sz val="18"/>
      <color indexed="62"/>
      <name val="Cambria"/>
      <family val="2"/>
    </font>
    <font>
      <i/>
      <sz val="11"/>
      <color theme="1"/>
      <name val="Calibri"/>
      <family val="2"/>
      <scheme val="minor"/>
    </font>
    <font>
      <i/>
      <sz val="11"/>
      <name val="Calibri"/>
      <family val="2"/>
    </font>
    <font>
      <i/>
      <sz val="11"/>
      <color indexed="10"/>
      <name val="Calibri"/>
      <family val="2"/>
    </font>
    <font>
      <b/>
      <sz val="10"/>
      <color theme="0"/>
      <name val="Arial"/>
      <family val="2"/>
    </font>
    <font>
      <b/>
      <sz val="11"/>
      <color theme="0"/>
      <name val="Calibri"/>
      <family val="2"/>
      <scheme val="minor"/>
    </font>
    <font>
      <b/>
      <i/>
      <sz val="10"/>
      <color theme="0" tint="-0.499984740745262"/>
      <name val="Arial"/>
      <family val="2"/>
    </font>
    <font>
      <sz val="10"/>
      <name val="Calibri"/>
      <family val="2"/>
      <scheme val="minor"/>
    </font>
    <font>
      <b/>
      <i/>
      <sz val="11"/>
      <name val="Calibri"/>
      <family val="2"/>
      <scheme val="minor"/>
    </font>
    <font>
      <b/>
      <sz val="10"/>
      <color rgb="FFFF0000"/>
      <name val="Calibri"/>
      <family val="2"/>
      <scheme val="minor"/>
    </font>
    <font>
      <i/>
      <sz val="10"/>
      <color rgb="FFFF0000"/>
      <name val="Calibri"/>
      <family val="2"/>
      <scheme val="minor"/>
    </font>
    <font>
      <b/>
      <sz val="10"/>
      <name val="Calibri"/>
      <family val="2"/>
      <scheme val="minor"/>
    </font>
    <font>
      <b/>
      <i/>
      <sz val="14"/>
      <color indexed="8"/>
      <name val="Calibri"/>
      <family val="2"/>
    </font>
    <font>
      <b/>
      <sz val="11"/>
      <color indexed="8"/>
      <name val="Calibri"/>
      <family val="2"/>
      <scheme val="minor"/>
    </font>
    <font>
      <b/>
      <sz val="11"/>
      <name val="Calibri"/>
      <family val="2"/>
      <scheme val="minor"/>
    </font>
    <font>
      <sz val="11"/>
      <color theme="0" tint="-0.499984740745262"/>
      <name val="Calibri"/>
      <family val="2"/>
      <scheme val="minor"/>
    </font>
    <font>
      <i/>
      <sz val="11"/>
      <color theme="0" tint="-0.499984740745262"/>
      <name val="Calibri"/>
      <family val="2"/>
      <scheme val="minor"/>
    </font>
    <font>
      <sz val="10"/>
      <color theme="0" tint="-0.499984740745262"/>
      <name val="Arial"/>
      <family val="2"/>
    </font>
    <font>
      <i/>
      <sz val="10"/>
      <color theme="0" tint="-0.499984740745262"/>
      <name val="Arial"/>
      <family val="2"/>
    </font>
    <font>
      <b/>
      <sz val="11"/>
      <color theme="0"/>
      <name val="Arial"/>
      <family val="2"/>
    </font>
    <font>
      <b/>
      <i/>
      <sz val="12"/>
      <name val="Calibri"/>
      <family val="2"/>
      <scheme val="minor"/>
    </font>
    <font>
      <b/>
      <u/>
      <sz val="12"/>
      <name val="Calibri"/>
      <family val="2"/>
      <scheme val="minor"/>
    </font>
    <font>
      <sz val="12"/>
      <color theme="1"/>
      <name val="Calibri"/>
      <family val="2"/>
      <charset val="129"/>
      <scheme val="minor"/>
    </font>
    <font>
      <u/>
      <sz val="12"/>
      <color theme="11"/>
      <name val="Calibri"/>
      <family val="2"/>
      <charset val="129"/>
      <scheme val="minor"/>
    </font>
    <font>
      <u/>
      <sz val="12"/>
      <color theme="10"/>
      <name val="Calibri"/>
      <family val="2"/>
      <charset val="129"/>
      <scheme val="minor"/>
    </font>
    <font>
      <sz val="12"/>
      <color theme="1"/>
      <name val="Calibri"/>
      <family val="2"/>
      <scheme val="minor"/>
    </font>
    <font>
      <b/>
      <i/>
      <sz val="16"/>
      <color theme="1"/>
      <name val="Calibri"/>
      <family val="2"/>
      <scheme val="minor"/>
    </font>
    <font>
      <b/>
      <i/>
      <sz val="14"/>
      <color theme="1"/>
      <name val="Calibri"/>
      <family val="2"/>
      <scheme val="minor"/>
    </font>
    <font>
      <i/>
      <sz val="12"/>
      <name val="Calibri"/>
      <family val="2"/>
      <scheme val="minor"/>
    </font>
    <font>
      <b/>
      <sz val="12"/>
      <name val="Calibri"/>
      <family val="2"/>
      <scheme val="minor"/>
    </font>
    <font>
      <b/>
      <i/>
      <sz val="14"/>
      <name val="Calibri"/>
      <family val="2"/>
      <scheme val="minor"/>
    </font>
    <font>
      <sz val="14"/>
      <color theme="1"/>
      <name val="Calibri"/>
      <family val="2"/>
      <scheme val="minor"/>
    </font>
    <font>
      <sz val="10"/>
      <color theme="1"/>
      <name val="Calibri"/>
      <family val="2"/>
      <scheme val="minor"/>
    </font>
    <font>
      <sz val="10"/>
      <name val="Arial"/>
      <family val="2"/>
    </font>
    <font>
      <sz val="12"/>
      <name val="Times New Roman"/>
      <family val="1"/>
    </font>
    <font>
      <sz val="10"/>
      <color rgb="FFFF0000"/>
      <name val="Calibri"/>
      <family val="2"/>
      <scheme val="minor"/>
    </font>
    <font>
      <i/>
      <sz val="11"/>
      <name val="Calibri"/>
      <family val="2"/>
      <scheme val="minor"/>
    </font>
    <font>
      <sz val="10"/>
      <name val="Calibri"/>
      <family val="2"/>
    </font>
    <font>
      <strike/>
      <sz val="10"/>
      <name val="Arial"/>
      <family val="2"/>
    </font>
    <font>
      <b/>
      <strike/>
      <sz val="10"/>
      <name val="Arial"/>
      <family val="2"/>
    </font>
    <font>
      <sz val="10"/>
      <name val="Courier"/>
      <family val="3"/>
    </font>
    <font>
      <u/>
      <sz val="8.25"/>
      <color indexed="12"/>
      <name val="Calibri"/>
      <family val="2"/>
    </font>
    <font>
      <sz val="9"/>
      <color indexed="8"/>
      <name val="Arial"/>
      <family val="2"/>
    </font>
    <font>
      <i/>
      <sz val="10"/>
      <name val="Calibri"/>
      <family val="2"/>
      <scheme val="minor"/>
    </font>
    <font>
      <sz val="10"/>
      <color indexed="64"/>
      <name val="Arial"/>
      <family val="2"/>
    </font>
    <font>
      <b/>
      <sz val="10"/>
      <color indexed="64"/>
      <name val="Arial"/>
      <family val="2"/>
    </font>
    <font>
      <sz val="9"/>
      <color indexed="81"/>
      <name val="Tahoma"/>
      <family val="2"/>
    </font>
    <font>
      <b/>
      <sz val="9"/>
      <color indexed="81"/>
      <name val="Tahoma"/>
      <family val="2"/>
    </font>
    <font>
      <sz val="10"/>
      <color indexed="64"/>
      <name val="Arial"/>
      <family val="2"/>
    </font>
    <font>
      <b/>
      <sz val="12"/>
      <color theme="1"/>
      <name val="Calibri"/>
      <family val="2"/>
      <scheme val="minor"/>
    </font>
    <font>
      <sz val="12"/>
      <color rgb="FF0070C0"/>
      <name val="Calibri"/>
      <family val="2"/>
      <scheme val="minor"/>
    </font>
    <font>
      <u/>
      <sz val="12"/>
      <color theme="1"/>
      <name val="Calibri"/>
      <family val="2"/>
      <scheme val="minor"/>
    </font>
    <font>
      <b/>
      <u/>
      <sz val="12"/>
      <color theme="1"/>
      <name val="Calibri"/>
      <family val="2"/>
      <scheme val="minor"/>
    </font>
    <font>
      <sz val="12"/>
      <color rgb="FFFF0000"/>
      <name val="Calibri"/>
      <family val="2"/>
      <scheme val="minor"/>
    </font>
    <font>
      <sz val="11"/>
      <color theme="1"/>
      <name val="Calibri"/>
      <family val="2"/>
    </font>
  </fonts>
  <fills count="79">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9"/>
      </patternFill>
    </fill>
    <fill>
      <patternFill patternType="solid">
        <fgColor indexed="42"/>
      </patternFill>
    </fill>
    <fill>
      <patternFill patternType="solid">
        <fgColor indexed="27"/>
      </patternFill>
    </fill>
    <fill>
      <patternFill patternType="solid">
        <fgColor indexed="46"/>
      </patternFill>
    </fill>
    <fill>
      <patternFill patternType="solid">
        <fgColor indexed="26"/>
      </patternFill>
    </fill>
    <fill>
      <patternFill patternType="solid">
        <fgColor indexed="47"/>
      </patternFill>
    </fill>
    <fill>
      <patternFill patternType="solid">
        <fgColor indexed="48"/>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0"/>
      </patternFill>
    </fill>
    <fill>
      <patternFill patternType="solid">
        <fgColor indexed="36"/>
      </patternFill>
    </fill>
    <fill>
      <patternFill patternType="solid">
        <fgColor indexed="49"/>
      </patternFill>
    </fill>
    <fill>
      <patternFill patternType="solid">
        <fgColor indexed="13"/>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4"/>
      </patternFill>
    </fill>
    <fill>
      <patternFill patternType="solid">
        <fgColor indexed="57"/>
      </patternFill>
    </fill>
    <fill>
      <patternFill patternType="solid">
        <fgColor indexed="50"/>
      </patternFill>
    </fill>
    <fill>
      <patternFill patternType="solid">
        <fgColor indexed="53"/>
      </patternFill>
    </fill>
    <fill>
      <patternFill patternType="solid">
        <fgColor indexed="55"/>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0"/>
        <bgColor indexed="64"/>
      </patternFill>
    </fill>
    <fill>
      <patternFill patternType="solid">
        <fgColor indexed="14"/>
        <bgColor indexed="64"/>
      </patternFill>
    </fill>
    <fill>
      <patternFill patternType="solid">
        <fgColor indexed="26"/>
        <bgColor indexed="64"/>
      </patternFill>
    </fill>
    <fill>
      <patternFill patternType="solid">
        <fgColor indexed="45"/>
        <bgColor indexed="64"/>
      </patternFill>
    </fill>
    <fill>
      <patternFill patternType="solid">
        <fgColor theme="0" tint="-0.249977111117893"/>
        <bgColor indexed="64"/>
      </patternFill>
    </fill>
    <fill>
      <patternFill patternType="solid">
        <fgColor rgb="FFFFFF00"/>
        <bgColor indexed="64"/>
      </patternFill>
    </fill>
    <fill>
      <patternFill patternType="solid">
        <fgColor rgb="FFFF3399"/>
        <bgColor indexed="64"/>
      </patternFill>
    </fill>
    <fill>
      <patternFill patternType="solid">
        <fgColor rgb="FFFFCCCC"/>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0000"/>
        <bgColor indexed="64"/>
      </patternFill>
    </fill>
    <fill>
      <patternFill patternType="solid">
        <fgColor theme="7"/>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indexed="19"/>
      </patternFill>
    </fill>
    <fill>
      <patternFill patternType="solid">
        <fgColor theme="0" tint="-0.499984740745262"/>
        <bgColor indexed="64"/>
      </patternFill>
    </fill>
    <fill>
      <patternFill patternType="solid">
        <fgColor theme="0" tint="-0.14999847407452621"/>
        <bgColor indexed="64"/>
      </patternFill>
    </fill>
    <fill>
      <patternFill patternType="solid">
        <fgColor rgb="FF008000"/>
        <bgColor indexed="64"/>
      </patternFill>
    </fill>
    <fill>
      <patternFill patternType="solid">
        <fgColor rgb="FFCC99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006600"/>
        <bgColor indexed="64"/>
      </patternFill>
    </fill>
    <fill>
      <patternFill patternType="solid">
        <fgColor rgb="FF99FF99"/>
        <bgColor indexed="64"/>
      </patternFill>
    </fill>
    <fill>
      <patternFill patternType="solid">
        <fgColor theme="7" tint="0.79998168889431442"/>
        <bgColor indexed="64"/>
      </patternFill>
    </fill>
    <fill>
      <patternFill patternType="solid">
        <fgColor rgb="FFCCECFF"/>
        <bgColor indexed="64"/>
      </patternFill>
    </fill>
    <fill>
      <patternFill patternType="solid">
        <fgColor rgb="FF99CCFF"/>
        <bgColor indexed="64"/>
      </patternFill>
    </fill>
    <fill>
      <patternFill patternType="solid">
        <fgColor rgb="FF0099CC"/>
        <bgColor indexed="64"/>
      </patternFill>
    </fill>
    <fill>
      <patternFill patternType="solid">
        <fgColor rgb="FF0070C0"/>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003300"/>
        <bgColor indexed="64"/>
      </patternFill>
    </fill>
    <fill>
      <patternFill patternType="solid">
        <fgColor rgb="FF00CC00"/>
        <bgColor indexed="64"/>
      </patternFill>
    </fill>
    <fill>
      <patternFill patternType="solid">
        <fgColor theme="1" tint="0.249977111117893"/>
        <bgColor indexed="64"/>
      </patternFill>
    </fill>
    <fill>
      <patternFill patternType="solid">
        <fgColor rgb="FFCCCCFF"/>
        <bgColor indexed="64"/>
      </patternFill>
    </fill>
    <fill>
      <patternFill patternType="solid">
        <fgColor rgb="FF7030A0"/>
        <bgColor indexed="64"/>
      </patternFill>
    </fill>
    <fill>
      <patternFill patternType="solid">
        <fgColor rgb="FF00FF00"/>
        <bgColor indexed="64"/>
      </patternFill>
    </fill>
    <fill>
      <patternFill patternType="solid">
        <fgColor theme="7" tint="0.59999389629810485"/>
        <bgColor indexed="64"/>
      </patternFill>
    </fill>
    <fill>
      <patternFill patternType="solid">
        <fgColor theme="0" tint="-0.24994659260841701"/>
        <bgColor indexed="64"/>
      </patternFill>
    </fill>
  </fills>
  <borders count="1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48"/>
      </bottom>
      <diagonal/>
    </border>
    <border>
      <left/>
      <right/>
      <top/>
      <bottom style="medium">
        <color indexed="30"/>
      </bottom>
      <diagonal/>
    </border>
    <border>
      <left/>
      <right/>
      <top/>
      <bottom style="medium">
        <color indexed="4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hair">
        <color indexed="64"/>
      </left>
      <right style="thin">
        <color indexed="64"/>
      </right>
      <top/>
      <bottom/>
      <diagonal/>
    </border>
    <border>
      <left style="hair">
        <color indexed="64"/>
      </left>
      <right style="medium">
        <color indexed="64"/>
      </right>
      <top/>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right style="dash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hair">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hair">
        <color theme="0" tint="-0.24994659260841701"/>
      </bottom>
      <diagonal/>
    </border>
    <border>
      <left/>
      <right/>
      <top style="thin">
        <color indexed="64"/>
      </top>
      <bottom style="hair">
        <color theme="0" tint="-0.24994659260841701"/>
      </bottom>
      <diagonal/>
    </border>
    <border>
      <left/>
      <right style="thin">
        <color indexed="64"/>
      </right>
      <top style="thin">
        <color indexed="64"/>
      </top>
      <bottom style="hair">
        <color theme="0" tint="-0.24994659260841701"/>
      </bottom>
      <diagonal/>
    </border>
    <border>
      <left style="thin">
        <color indexed="64"/>
      </left>
      <right style="thin">
        <color indexed="64"/>
      </right>
      <top style="thin">
        <color indexed="64"/>
      </top>
      <bottom style="hair">
        <color theme="0" tint="-0.24994659260841701"/>
      </bottom>
      <diagonal/>
    </border>
    <border>
      <left style="thin">
        <color indexed="64"/>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right style="thin">
        <color indexed="64"/>
      </right>
      <top style="hair">
        <color theme="0" tint="-0.24994659260841701"/>
      </top>
      <bottom style="thin">
        <color indexed="64"/>
      </bottom>
      <diagonal/>
    </border>
    <border>
      <left style="thin">
        <color indexed="64"/>
      </left>
      <right style="thin">
        <color indexed="64"/>
      </right>
      <top style="hair">
        <color theme="0" tint="-0.24994659260841701"/>
      </top>
      <bottom style="thin">
        <color indexed="64"/>
      </bottom>
      <diagonal/>
    </border>
    <border>
      <left/>
      <right style="thin">
        <color indexed="64"/>
      </right>
      <top/>
      <bottom style="medium">
        <color indexed="64"/>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style="medium">
        <color indexed="64"/>
      </left>
      <right style="hair">
        <color indexed="64"/>
      </right>
      <top/>
      <bottom style="medium">
        <color indexed="64"/>
      </bottom>
      <diagonal/>
    </border>
    <border>
      <left style="hair">
        <color indexed="64"/>
      </left>
      <right style="medium">
        <color indexed="64"/>
      </right>
      <top style="hair">
        <color indexed="64"/>
      </top>
      <bottom/>
      <diagonal/>
    </border>
    <border>
      <left style="thin">
        <color indexed="64"/>
      </left>
      <right style="hair">
        <color indexed="64"/>
      </right>
      <top/>
      <bottom style="medium">
        <color indexed="64"/>
      </bottom>
      <diagonal/>
    </border>
    <border>
      <left/>
      <right/>
      <top style="thin">
        <color indexed="8"/>
      </top>
      <bottom/>
      <diagonal/>
    </border>
    <border>
      <left style="medium">
        <color indexed="64"/>
      </left>
      <right style="hair">
        <color indexed="64"/>
      </right>
      <top style="double">
        <color indexed="64"/>
      </top>
      <bottom/>
      <diagonal/>
    </border>
    <border>
      <left style="medium">
        <color indexed="64"/>
      </left>
      <right style="hair">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8"/>
      </left>
      <right style="medium">
        <color indexed="8"/>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31"/>
      </right>
      <top style="thin">
        <color indexed="31"/>
      </top>
      <bottom style="thin">
        <color indexed="31"/>
      </bottom>
      <diagonal/>
    </border>
    <border>
      <left style="thin">
        <color indexed="64"/>
      </left>
      <right style="thin">
        <color indexed="64"/>
      </right>
      <top style="thin">
        <color indexed="64"/>
      </top>
      <bottom/>
      <diagonal/>
    </border>
  </borders>
  <cellStyleXfs count="43671">
    <xf numFmtId="0" fontId="0" fillId="0" borderId="0"/>
    <xf numFmtId="184" fontId="24" fillId="0" borderId="0">
      <alignment horizontal="right" wrapText="1"/>
    </xf>
    <xf numFmtId="185" fontId="24" fillId="0" borderId="0">
      <alignment horizontal="right" wrapText="1"/>
    </xf>
    <xf numFmtId="186" fontId="24" fillId="0" borderId="0">
      <alignment horizontal="right" wrapText="1"/>
    </xf>
    <xf numFmtId="181" fontId="24" fillId="0" borderId="0">
      <alignment horizontal="right" wrapText="1"/>
    </xf>
    <xf numFmtId="187" fontId="24" fillId="0" borderId="0">
      <alignment horizontal="right" wrapText="1"/>
    </xf>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9" borderId="0" applyNumberFormat="0" applyBorder="0" applyAlignment="0" applyProtection="0"/>
    <xf numFmtId="0" fontId="31" fillId="3"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9"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1" borderId="0" applyNumberFormat="0" applyBorder="0" applyAlignment="0" applyProtection="0"/>
    <xf numFmtId="0" fontId="32" fillId="19" borderId="0" applyNumberFormat="0" applyBorder="0" applyAlignment="0" applyProtection="0"/>
    <xf numFmtId="0" fontId="32" fillId="3"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2" fillId="3" borderId="0" applyNumberFormat="0" applyBorder="0" applyAlignment="0" applyProtection="0"/>
    <xf numFmtId="0" fontId="32" fillId="20"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15"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0" fontId="34" fillId="13" borderId="1" applyNumberFormat="0" applyAlignment="0" applyProtection="0"/>
    <xf numFmtId="188" fontId="24" fillId="0" borderId="0"/>
    <xf numFmtId="0" fontId="35" fillId="30" borderId="2" applyNumberFormat="0" applyAlignment="0" applyProtection="0"/>
    <xf numFmtId="0" fontId="35" fillId="30" borderId="2" applyNumberFormat="0" applyAlignment="0" applyProtection="0"/>
    <xf numFmtId="43" fontId="22"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xf numFmtId="44" fontId="22" fillId="0" borderId="0" applyFont="0" applyFill="0" applyBorder="0" applyAlignment="0" applyProtection="0"/>
    <xf numFmtId="44" fontId="36"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6" borderId="0" applyNumberFormat="0" applyBorder="0" applyAlignment="0" applyProtection="0"/>
    <xf numFmtId="0" fontId="39" fillId="0" borderId="0"/>
    <xf numFmtId="0" fontId="40" fillId="0" borderId="3"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4" fillId="10" borderId="1" applyNumberFormat="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6" fillId="15" borderId="0" applyNumberFormat="0" applyBorder="0" applyAlignment="0" applyProtection="0"/>
    <xf numFmtId="0" fontId="46" fillId="15" borderId="0" applyNumberFormat="0" applyBorder="0" applyAlignment="0" applyProtection="0"/>
    <xf numFmtId="0" fontId="31" fillId="0" borderId="0"/>
    <xf numFmtId="0" fontId="24" fillId="0" borderId="0"/>
    <xf numFmtId="0" fontId="24" fillId="0" borderId="0"/>
    <xf numFmtId="178" fontId="24" fillId="0" borderId="0"/>
    <xf numFmtId="0" fontId="36" fillId="0" borderId="0"/>
    <xf numFmtId="0" fontId="31" fillId="0" borderId="0"/>
    <xf numFmtId="0" fontId="31" fillId="0" borderId="0"/>
    <xf numFmtId="0" fontId="31" fillId="0" borderId="0"/>
    <xf numFmtId="178" fontId="54" fillId="0" borderId="0"/>
    <xf numFmtId="0" fontId="31" fillId="0" borderId="0"/>
    <xf numFmtId="0" fontId="31" fillId="0" borderId="0"/>
    <xf numFmtId="0" fontId="31" fillId="0" borderId="0"/>
    <xf numFmtId="0" fontId="24" fillId="0" borderId="0"/>
    <xf numFmtId="0" fontId="24" fillId="0" borderId="0"/>
    <xf numFmtId="0" fontId="22"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31" fillId="9" borderId="10" applyNumberFormat="0" applyFon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0" fontId="47" fillId="13" borderId="11" applyNumberFormat="0" applyAlignment="0" applyProtection="0"/>
    <xf numFmtId="9" fontId="22" fillId="0" borderId="0" applyFont="0" applyFill="0" applyBorder="0" applyAlignment="0" applyProtection="0"/>
    <xf numFmtId="9" fontId="31"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12" applyNumberFormat="0" applyFill="0" applyAlignment="0" applyProtection="0"/>
    <xf numFmtId="0" fontId="49" fillId="0" borderId="13"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1" fontId="25" fillId="0" borderId="0">
      <alignment horizontal="center"/>
    </xf>
    <xf numFmtId="44" fontId="24" fillId="0" borderId="0" applyFont="0" applyFill="0" applyBorder="0" applyAlignment="0" applyProtection="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4" borderId="0" applyNumberFormat="0" applyBorder="0" applyAlignment="0" applyProtection="0"/>
    <xf numFmtId="0" fontId="31" fillId="8" borderId="0" applyNumberFormat="0" applyBorder="0" applyAlignment="0" applyProtection="0"/>
    <xf numFmtId="0" fontId="31" fillId="16" borderId="0" applyNumberFormat="0" applyBorder="0" applyAlignment="0" applyProtection="0"/>
    <xf numFmtId="0" fontId="32" fillId="17"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44" fontId="24" fillId="0" borderId="0" applyFont="0" applyFill="0" applyBorder="0" applyAlignment="0" applyProtection="0"/>
    <xf numFmtId="0" fontId="40" fillId="0" borderId="3" applyNumberFormat="0" applyFill="0" applyAlignment="0" applyProtection="0"/>
    <xf numFmtId="0" fontId="41" fillId="0" borderId="5" applyNumberFormat="0" applyFill="0" applyAlignment="0" applyProtection="0"/>
    <xf numFmtId="0" fontId="42" fillId="0" borderId="7" applyNumberFormat="0" applyFill="0" applyAlignment="0" applyProtection="0"/>
    <xf numFmtId="0" fontId="24" fillId="0" borderId="0"/>
    <xf numFmtId="0" fontId="24" fillId="9" borderId="10" applyNumberFormat="0" applyFont="0" applyAlignment="0" applyProtection="0"/>
    <xf numFmtId="0" fontId="24" fillId="9" borderId="10" applyNumberFormat="0" applyFont="0" applyAlignment="0" applyProtection="0"/>
    <xf numFmtId="43" fontId="22" fillId="0" borderId="0" applyFont="0" applyFill="0" applyBorder="0" applyAlignment="0" applyProtection="0"/>
    <xf numFmtId="3" fontId="73" fillId="0" borderId="0"/>
    <xf numFmtId="189" fontId="73"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74"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10" borderId="0" applyNumberFormat="0" applyBorder="0" applyAlignment="0" applyProtection="0"/>
    <xf numFmtId="0" fontId="31" fillId="4" borderId="0" applyNumberFormat="0" applyBorder="0" applyAlignment="0" applyProtection="0"/>
    <xf numFmtId="0" fontId="31" fillId="9" borderId="0" applyNumberFormat="0" applyBorder="0" applyAlignment="0" applyProtection="0"/>
    <xf numFmtId="0" fontId="31" fillId="6"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3"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2" fillId="20" borderId="0" applyNumberFormat="0" applyBorder="0" applyAlignment="0" applyProtection="0"/>
    <xf numFmtId="0" fontId="32"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3"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10" borderId="0" applyNumberFormat="0" applyBorder="0" applyAlignment="0" applyProtection="0"/>
    <xf numFmtId="0" fontId="32" fillId="22"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53" borderId="0" applyNumberFormat="0" applyBorder="0" applyAlignment="0" applyProtection="0"/>
    <xf numFmtId="0" fontId="32" fillId="25" borderId="0" applyNumberFormat="0" applyBorder="0" applyAlignment="0" applyProtection="0"/>
    <xf numFmtId="0" fontId="32" fillId="53" borderId="0" applyNumberFormat="0" applyBorder="0" applyAlignment="0" applyProtection="0"/>
    <xf numFmtId="0" fontId="32" fillId="27" borderId="0" applyNumberFormat="0" applyBorder="0" applyAlignment="0" applyProtection="0"/>
    <xf numFmtId="0" fontId="32" fillId="2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9" borderId="0" applyNumberFormat="0" applyBorder="0" applyAlignment="0" applyProtection="0"/>
    <xf numFmtId="0" fontId="78" fillId="4" borderId="0" applyNumberFormat="0" applyBorder="0" applyAlignment="0" applyProtection="0"/>
    <xf numFmtId="0" fontId="33" fillId="4" borderId="0" applyNumberFormat="0" applyBorder="0" applyAlignment="0" applyProtection="0"/>
    <xf numFmtId="0" fontId="34" fillId="5" borderId="1" applyNumberFormat="0" applyAlignment="0" applyProtection="0"/>
    <xf numFmtId="0" fontId="34" fillId="13" borderId="1" applyNumberFormat="0" applyAlignment="0" applyProtection="0"/>
    <xf numFmtId="0" fontId="35" fillId="30" borderId="2"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xf numFmtId="3" fontId="22"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7" fillId="0" borderId="0" applyNumberFormat="0" applyFill="0" applyBorder="0" applyAlignment="0" applyProtection="0"/>
    <xf numFmtId="0" fontId="38" fillId="6" borderId="0" applyNumberFormat="0" applyBorder="0" applyAlignment="0" applyProtection="0"/>
    <xf numFmtId="0" fontId="80" fillId="0" borderId="111" applyNumberFormat="0" applyFill="0" applyAlignment="0" applyProtection="0"/>
    <xf numFmtId="0" fontId="40" fillId="0" borderId="3" applyNumberFormat="0" applyFill="0" applyAlignment="0" applyProtection="0"/>
    <xf numFmtId="0" fontId="81" fillId="0" borderId="5" applyNumberFormat="0" applyFill="0" applyAlignment="0" applyProtection="0"/>
    <xf numFmtId="0" fontId="41" fillId="0" borderId="5" applyNumberFormat="0" applyFill="0" applyAlignment="0" applyProtection="0"/>
    <xf numFmtId="0" fontId="82" fillId="0" borderId="112" applyNumberFormat="0" applyFill="0" applyAlignment="0" applyProtection="0"/>
    <xf numFmtId="0" fontId="42" fillId="0" borderId="7" applyNumberFormat="0" applyFill="0" applyAlignment="0" applyProtection="0"/>
    <xf numFmtId="0" fontId="82" fillId="0" borderId="0" applyNumberFormat="0" applyFill="0" applyBorder="0" applyAlignment="0" applyProtection="0"/>
    <xf numFmtId="0" fontId="42" fillId="0" borderId="0" applyNumberFormat="0" applyFill="0" applyBorder="0" applyAlignment="0" applyProtection="0"/>
    <xf numFmtId="0" fontId="44" fillId="10" borderId="1" applyNumberFormat="0" applyAlignment="0" applyProtection="0"/>
    <xf numFmtId="0" fontId="45" fillId="0" borderId="9" applyNumberFormat="0" applyFill="0" applyAlignment="0" applyProtection="0"/>
    <xf numFmtId="0" fontId="46" fillId="15" borderId="0" applyNumberFormat="0" applyBorder="0" applyAlignment="0" applyProtection="0"/>
    <xf numFmtId="0" fontId="22" fillId="0" borderId="0"/>
    <xf numFmtId="0" fontId="83" fillId="0" borderId="0"/>
    <xf numFmtId="0" fontId="22" fillId="0" borderId="0"/>
    <xf numFmtId="0" fontId="22" fillId="0" borderId="0"/>
    <xf numFmtId="0" fontId="22" fillId="0" borderId="0"/>
    <xf numFmtId="0" fontId="22" fillId="9" borderId="10" applyNumberFormat="0" applyFont="0" applyAlignment="0" applyProtection="0"/>
    <xf numFmtId="0" fontId="31" fillId="9" borderId="10" applyNumberFormat="0" applyFont="0" applyAlignment="0" applyProtection="0"/>
    <xf numFmtId="0" fontId="22" fillId="9" borderId="10" applyNumberFormat="0" applyFont="0" applyAlignment="0" applyProtection="0"/>
    <xf numFmtId="0" fontId="22" fillId="9" borderId="10" applyNumberFormat="0" applyFont="0" applyAlignment="0" applyProtection="0"/>
    <xf numFmtId="0" fontId="22" fillId="9" borderId="10" applyNumberFormat="0" applyFont="0" applyAlignment="0" applyProtection="0"/>
    <xf numFmtId="0" fontId="22" fillId="9" borderId="10" applyNumberFormat="0" applyFont="0" applyAlignment="0" applyProtection="0"/>
    <xf numFmtId="0" fontId="22" fillId="9" borderId="10" applyNumberFormat="0" applyFont="0" applyAlignment="0" applyProtection="0"/>
    <xf numFmtId="0" fontId="22" fillId="9" borderId="10" applyNumberFormat="0" applyFont="0" applyAlignment="0" applyProtection="0"/>
    <xf numFmtId="0" fontId="47" fillId="5" borderId="11" applyNumberFormat="0" applyAlignment="0" applyProtection="0"/>
    <xf numFmtId="0" fontId="47" fillId="13" borderId="11"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49" fillId="0" borderId="113" applyNumberFormat="0" applyFill="0" applyAlignment="0" applyProtection="0"/>
    <xf numFmtId="0" fontId="49" fillId="0" borderId="113" applyNumberFormat="0" applyFill="0" applyAlignment="0" applyProtection="0"/>
    <xf numFmtId="0" fontId="49" fillId="0" borderId="12" applyNumberFormat="0" applyFill="0" applyAlignment="0" applyProtection="0"/>
    <xf numFmtId="0" fontId="50" fillId="0" borderId="0" applyNumberFormat="0" applyFill="0" applyBorder="0" applyAlignment="0" applyProtection="0"/>
    <xf numFmtId="0" fontId="19" fillId="0" borderId="0"/>
    <xf numFmtId="44" fontId="31" fillId="0" borderId="0" applyFont="0" applyFill="0" applyBorder="0" applyAlignment="0" applyProtection="0"/>
    <xf numFmtId="0" fontId="18" fillId="0" borderId="0"/>
    <xf numFmtId="0" fontId="17" fillId="0" borderId="0"/>
    <xf numFmtId="0" fontId="22" fillId="0" borderId="0"/>
    <xf numFmtId="0" fontId="31" fillId="0" borderId="0"/>
    <xf numFmtId="0" fontId="16" fillId="0" borderId="0"/>
    <xf numFmtId="0" fontId="16" fillId="0" borderId="0"/>
    <xf numFmtId="184" fontId="22" fillId="0" borderId="0">
      <alignment horizontal="right" wrapText="1"/>
    </xf>
    <xf numFmtId="185" fontId="22" fillId="0" borderId="0">
      <alignment horizontal="right" wrapText="1"/>
    </xf>
    <xf numFmtId="186" fontId="22" fillId="0" borderId="0">
      <alignment horizontal="right" wrapText="1"/>
    </xf>
    <xf numFmtId="181" fontId="22" fillId="0" borderId="0">
      <alignment horizontal="right" wrapText="1"/>
    </xf>
    <xf numFmtId="187" fontId="22" fillId="0" borderId="0">
      <alignment horizontal="right" wrapText="1"/>
    </xf>
    <xf numFmtId="0" fontId="31" fillId="5" borderId="0" applyNumberFormat="0" applyBorder="0" applyAlignment="0" applyProtection="0"/>
    <xf numFmtId="178" fontId="31" fillId="2" borderId="0" applyNumberFormat="0" applyBorder="0" applyAlignment="0" applyProtection="0"/>
    <xf numFmtId="0" fontId="31" fillId="10" borderId="0" applyNumberFormat="0" applyBorder="0" applyAlignment="0" applyProtection="0"/>
    <xf numFmtId="178" fontId="31" fillId="4" borderId="0" applyNumberFormat="0" applyBorder="0" applyAlignment="0" applyProtection="0"/>
    <xf numFmtId="0" fontId="31" fillId="9" borderId="0" applyNumberFormat="0" applyBorder="0" applyAlignment="0" applyProtection="0"/>
    <xf numFmtId="178" fontId="31" fillId="6" borderId="0" applyNumberFormat="0" applyBorder="0" applyAlignment="0" applyProtection="0"/>
    <xf numFmtId="0" fontId="31" fillId="5" borderId="0" applyNumberFormat="0" applyBorder="0" applyAlignment="0" applyProtection="0"/>
    <xf numFmtId="178" fontId="31" fillId="8" borderId="0" applyNumberFormat="0" applyBorder="0" applyAlignment="0" applyProtection="0"/>
    <xf numFmtId="0" fontId="31" fillId="7" borderId="0" applyNumberFormat="0" applyBorder="0" applyAlignment="0" applyProtection="0"/>
    <xf numFmtId="178" fontId="31" fillId="7" borderId="0" applyNumberFormat="0" applyBorder="0" applyAlignment="0" applyProtection="0"/>
    <xf numFmtId="0" fontId="31" fillId="10" borderId="0" applyNumberFormat="0" applyBorder="0" applyAlignment="0" applyProtection="0"/>
    <xf numFmtId="178" fontId="31" fillId="10" borderId="0" applyNumberFormat="0" applyBorder="0" applyAlignment="0" applyProtection="0"/>
    <xf numFmtId="0" fontId="31" fillId="13" borderId="0" applyNumberFormat="0" applyBorder="0" applyAlignment="0" applyProtection="0"/>
    <xf numFmtId="178" fontId="31" fillId="3" borderId="0" applyNumberFormat="0" applyBorder="0" applyAlignment="0" applyProtection="0"/>
    <xf numFmtId="0" fontId="31" fillId="12" borderId="0" applyNumberFormat="0" applyBorder="0" applyAlignment="0" applyProtection="0"/>
    <xf numFmtId="178" fontId="31" fillId="12" borderId="0" applyNumberFormat="0" applyBorder="0" applyAlignment="0" applyProtection="0"/>
    <xf numFmtId="0" fontId="31" fillId="15" borderId="0" applyNumberFormat="0" applyBorder="0" applyAlignment="0" applyProtection="0"/>
    <xf numFmtId="178" fontId="31" fillId="14" borderId="0" applyNumberFormat="0" applyBorder="0" applyAlignment="0" applyProtection="0"/>
    <xf numFmtId="0" fontId="31" fillId="13" borderId="0" applyNumberFormat="0" applyBorder="0" applyAlignment="0" applyProtection="0"/>
    <xf numFmtId="178" fontId="31" fillId="8" borderId="0" applyNumberFormat="0" applyBorder="0" applyAlignment="0" applyProtection="0"/>
    <xf numFmtId="0" fontId="31" fillId="3" borderId="0" applyNumberFormat="0" applyBorder="0" applyAlignment="0" applyProtection="0"/>
    <xf numFmtId="178" fontId="31" fillId="3" borderId="0" applyNumberFormat="0" applyBorder="0" applyAlignment="0" applyProtection="0"/>
    <xf numFmtId="0" fontId="31" fillId="10" borderId="0" applyNumberFormat="0" applyBorder="0" applyAlignment="0" applyProtection="0"/>
    <xf numFmtId="178" fontId="31" fillId="16" borderId="0" applyNumberFormat="0" applyBorder="0" applyAlignment="0" applyProtection="0"/>
    <xf numFmtId="0" fontId="32" fillId="20" borderId="0" applyNumberFormat="0" applyBorder="0" applyAlignment="0" applyProtection="0"/>
    <xf numFmtId="178" fontId="32" fillId="17" borderId="0" applyNumberFormat="0" applyBorder="0" applyAlignment="0" applyProtection="0"/>
    <xf numFmtId="0" fontId="32" fillId="12" borderId="0" applyNumberFormat="0" applyBorder="0" applyAlignment="0" applyProtection="0"/>
    <xf numFmtId="178" fontId="32" fillId="12" borderId="0" applyNumberFormat="0" applyBorder="0" applyAlignment="0" applyProtection="0"/>
    <xf numFmtId="0" fontId="32" fillId="15" borderId="0" applyNumberFormat="0" applyBorder="0" applyAlignment="0" applyProtection="0"/>
    <xf numFmtId="178" fontId="32" fillId="14" borderId="0" applyNumberFormat="0" applyBorder="0" applyAlignment="0" applyProtection="0"/>
    <xf numFmtId="0" fontId="32" fillId="13" borderId="0" applyNumberFormat="0" applyBorder="0" applyAlignment="0" applyProtection="0"/>
    <xf numFmtId="178" fontId="32" fillId="19" borderId="0" applyNumberFormat="0" applyBorder="0" applyAlignment="0" applyProtection="0"/>
    <xf numFmtId="0" fontId="32" fillId="20" borderId="0" applyNumberFormat="0" applyBorder="0" applyAlignment="0" applyProtection="0"/>
    <xf numFmtId="178" fontId="32" fillId="20" borderId="0" applyNumberFormat="0" applyBorder="0" applyAlignment="0" applyProtection="0"/>
    <xf numFmtId="0" fontId="32" fillId="10" borderId="0" applyNumberFormat="0" applyBorder="0" applyAlignment="0" applyProtection="0"/>
    <xf numFmtId="178" fontId="32" fillId="22" borderId="0" applyNumberFormat="0" applyBorder="0" applyAlignment="0" applyProtection="0"/>
    <xf numFmtId="0" fontId="32" fillId="20" borderId="0" applyNumberFormat="0" applyBorder="0" applyAlignment="0" applyProtection="0"/>
    <xf numFmtId="178" fontId="32" fillId="23" borderId="0" applyNumberFormat="0" applyBorder="0" applyAlignment="0" applyProtection="0"/>
    <xf numFmtId="0" fontId="32" fillId="53" borderId="0" applyNumberFormat="0" applyBorder="0" applyAlignment="0" applyProtection="0"/>
    <xf numFmtId="178" fontId="32" fillId="25" borderId="0" applyNumberFormat="0" applyBorder="0" applyAlignment="0" applyProtection="0"/>
    <xf numFmtId="0" fontId="32" fillId="53" borderId="0" applyNumberFormat="0" applyBorder="0" applyAlignment="0" applyProtection="0"/>
    <xf numFmtId="178" fontId="32" fillId="27" borderId="0" applyNumberFormat="0" applyBorder="0" applyAlignment="0" applyProtection="0"/>
    <xf numFmtId="0" fontId="32" fillId="26" borderId="0" applyNumberFormat="0" applyBorder="0" applyAlignment="0" applyProtection="0"/>
    <xf numFmtId="178" fontId="32" fillId="19" borderId="0" applyNumberFormat="0" applyBorder="0" applyAlignment="0" applyProtection="0"/>
    <xf numFmtId="0" fontId="32" fillId="20" borderId="0" applyNumberFormat="0" applyBorder="0" applyAlignment="0" applyProtection="0"/>
    <xf numFmtId="178" fontId="32" fillId="20" borderId="0" applyNumberFormat="0" applyBorder="0" applyAlignment="0" applyProtection="0"/>
    <xf numFmtId="0" fontId="32" fillId="29" borderId="0" applyNumberFormat="0" applyBorder="0" applyAlignment="0" applyProtection="0"/>
    <xf numFmtId="178" fontId="32" fillId="29" borderId="0" applyNumberFormat="0" applyBorder="0" applyAlignment="0" applyProtection="0"/>
    <xf numFmtId="0" fontId="78" fillId="4" borderId="0" applyNumberFormat="0" applyBorder="0" applyAlignment="0" applyProtection="0"/>
    <xf numFmtId="178" fontId="33" fillId="4" borderId="0" applyNumberFormat="0" applyBorder="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178" fontId="34" fillId="13" borderId="121" applyNumberFormat="0" applyAlignment="0" applyProtection="0"/>
    <xf numFmtId="0" fontId="34" fillId="13" borderId="121" applyNumberFormat="0" applyAlignment="0" applyProtection="0"/>
    <xf numFmtId="0" fontId="34" fillId="5" borderId="121" applyNumberFormat="0" applyAlignment="0" applyProtection="0"/>
    <xf numFmtId="0" fontId="34" fillId="13" borderId="121" applyNumberFormat="0" applyAlignment="0" applyProtection="0"/>
    <xf numFmtId="188" fontId="22" fillId="0" borderId="0"/>
    <xf numFmtId="0" fontId="35" fillId="30" borderId="2" applyNumberFormat="0" applyAlignment="0" applyProtection="0"/>
    <xf numFmtId="178" fontId="35" fillId="30" borderId="2" applyNumberFormat="0" applyAlignment="0" applyProtection="0"/>
    <xf numFmtId="3" fontId="22" fillId="0" borderId="0" applyFont="0" applyFill="0" applyBorder="0" applyAlignment="0" applyProtection="0"/>
    <xf numFmtId="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22"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xf numFmtId="44" fontId="22" fillId="0" borderId="0" applyFont="0" applyFill="0" applyBorder="0" applyAlignment="0" applyProtection="0"/>
    <xf numFmtId="44" fontId="3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89" fontId="22" fillId="0" borderId="0" applyFont="0" applyFill="0" applyBorder="0" applyAlignment="0" applyProtection="0"/>
    <xf numFmtId="0" fontId="37" fillId="0" borderId="0" applyNumberFormat="0" applyFill="0" applyBorder="0" applyAlignment="0" applyProtection="0"/>
    <xf numFmtId="178" fontId="3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38" fillId="6" borderId="0" applyNumberFormat="0" applyBorder="0" applyAlignment="0" applyProtection="0"/>
    <xf numFmtId="178" fontId="38" fillId="6" borderId="0" applyNumberFormat="0" applyBorder="0" applyAlignment="0" applyProtection="0"/>
    <xf numFmtId="0" fontId="80" fillId="0" borderId="111" applyNumberFormat="0" applyFill="0" applyAlignment="0" applyProtection="0"/>
    <xf numFmtId="178" fontId="40" fillId="0" borderId="3" applyNumberFormat="0" applyFill="0" applyAlignment="0" applyProtection="0"/>
    <xf numFmtId="0" fontId="81" fillId="0" borderId="5" applyNumberFormat="0" applyFill="0" applyAlignment="0" applyProtection="0"/>
    <xf numFmtId="178" fontId="41" fillId="0" borderId="5" applyNumberFormat="0" applyFill="0" applyAlignment="0" applyProtection="0"/>
    <xf numFmtId="0" fontId="82" fillId="0" borderId="112" applyNumberFormat="0" applyFill="0" applyAlignment="0" applyProtection="0"/>
    <xf numFmtId="178" fontId="42" fillId="0" borderId="7" applyNumberFormat="0" applyFill="0" applyAlignment="0" applyProtection="0"/>
    <xf numFmtId="0" fontId="82" fillId="0" borderId="0" applyNumberFormat="0" applyFill="0" applyBorder="0" applyAlignment="0" applyProtection="0"/>
    <xf numFmtId="178" fontId="42"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178"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5" fillId="0" borderId="9" applyNumberFormat="0" applyFill="0" applyAlignment="0" applyProtection="0"/>
    <xf numFmtId="178" fontId="45" fillId="0" borderId="9" applyNumberFormat="0" applyFill="0" applyAlignment="0" applyProtection="0"/>
    <xf numFmtId="0" fontId="46" fillId="15" borderId="0" applyNumberFormat="0" applyBorder="0" applyAlignment="0" applyProtection="0"/>
    <xf numFmtId="178" fontId="46" fillId="15" borderId="0" applyNumberFormat="0" applyBorder="0" applyAlignment="0" applyProtection="0"/>
    <xf numFmtId="0" fontId="22" fillId="0" borderId="0"/>
    <xf numFmtId="0" fontId="106" fillId="0" borderId="0"/>
    <xf numFmtId="0" fontId="16" fillId="0" borderId="0"/>
    <xf numFmtId="0" fontId="16" fillId="0" borderId="0"/>
    <xf numFmtId="0" fontId="22" fillId="0" borderId="0"/>
    <xf numFmtId="0" fontId="22" fillId="0" borderId="0"/>
    <xf numFmtId="0" fontId="31" fillId="0" borderId="0"/>
    <xf numFmtId="0" fontId="109" fillId="0" borderId="0"/>
    <xf numFmtId="0" fontId="22" fillId="0" borderId="0"/>
    <xf numFmtId="178" fontId="22" fillId="0" borderId="0"/>
    <xf numFmtId="178"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178" fontId="54" fillId="0" borderId="0"/>
    <xf numFmtId="0" fontId="22" fillId="0" borderId="0"/>
    <xf numFmtId="0" fontId="22"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178"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178" fontId="47" fillId="13" borderId="123" applyNumberFormat="0" applyAlignment="0" applyProtection="0"/>
    <xf numFmtId="0" fontId="47" fillId="5" borderId="123" applyNumberFormat="0" applyAlignment="0" applyProtection="0"/>
    <xf numFmtId="0" fontId="47" fillId="13" borderId="123" applyNumberFormat="0" applyAlignment="0" applyProtection="0"/>
    <xf numFmtId="9" fontId="31"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22" fillId="0" borderId="0" applyFont="0" applyFill="0" applyBorder="0" applyAlignment="0" applyProtection="0"/>
    <xf numFmtId="0" fontId="84" fillId="0" borderId="0" applyNumberFormat="0" applyFill="0" applyBorder="0" applyAlignment="0" applyProtection="0"/>
    <xf numFmtId="178" fontId="48" fillId="0" borderId="0" applyNumberFormat="0" applyFill="0" applyBorder="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178" fontId="49" fillId="0" borderId="124"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50" fillId="0" borderId="0" applyNumberFormat="0" applyFill="0" applyBorder="0" applyAlignment="0" applyProtection="0"/>
    <xf numFmtId="178" fontId="50" fillId="0" borderId="0" applyNumberFormat="0" applyFill="0" applyBorder="0" applyAlignment="0" applyProtection="0"/>
    <xf numFmtId="0" fontId="14" fillId="0" borderId="0"/>
    <xf numFmtId="0" fontId="14" fillId="0" borderId="0"/>
    <xf numFmtId="9" fontId="117" fillId="0" borderId="0" applyFont="0" applyFill="0" applyBorder="0" applyAlignment="0" applyProtection="0"/>
    <xf numFmtId="0" fontId="22" fillId="0" borderId="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2" fillId="17"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9" borderId="0" applyNumberFormat="0" applyBorder="0" applyAlignment="0" applyProtection="0"/>
    <xf numFmtId="0" fontId="33" fillId="4" borderId="0" applyNumberFormat="0" applyBorder="0" applyAlignment="0" applyProtection="0"/>
    <xf numFmtId="0" fontId="34" fillId="13" borderId="121" applyNumberFormat="0" applyAlignment="0" applyProtection="0"/>
    <xf numFmtId="0" fontId="35" fillId="30" borderId="2"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37" fillId="0" borderId="0" applyNumberFormat="0" applyFill="0" applyBorder="0" applyAlignment="0" applyProtection="0"/>
    <xf numFmtId="0" fontId="38" fillId="6" borderId="0" applyNumberFormat="0" applyBorder="0" applyAlignment="0" applyProtection="0"/>
    <xf numFmtId="0" fontId="40" fillId="0" borderId="3" applyNumberFormat="0" applyFill="0" applyAlignment="0" applyProtection="0"/>
    <xf numFmtId="0" fontId="41" fillId="0" borderId="5"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4" fillId="10" borderId="121" applyNumberFormat="0" applyAlignment="0" applyProtection="0"/>
    <xf numFmtId="0" fontId="45" fillId="0" borderId="9" applyNumberFormat="0" applyFill="0" applyAlignment="0" applyProtection="0"/>
    <xf numFmtId="0" fontId="46" fillId="15" borderId="0" applyNumberFormat="0" applyBorder="0" applyAlignment="0" applyProtection="0"/>
    <xf numFmtId="0" fontId="22" fillId="9" borderId="122" applyNumberFormat="0" applyFont="0" applyAlignment="0" applyProtection="0"/>
    <xf numFmtId="0" fontId="47" fillId="13" borderId="123" applyNumberFormat="0" applyAlignment="0" applyProtection="0"/>
    <xf numFmtId="9" fontId="22" fillId="0" borderId="0" applyFont="0" applyFill="0" applyBorder="0" applyAlignment="0" applyProtection="0"/>
    <xf numFmtId="0" fontId="48" fillId="0" borderId="0" applyNumberFormat="0" applyFill="0" applyBorder="0" applyAlignment="0" applyProtection="0"/>
    <xf numFmtId="0" fontId="49" fillId="0" borderId="124" applyNumberFormat="0" applyFill="0" applyAlignment="0" applyProtection="0"/>
    <xf numFmtId="0" fontId="50" fillId="0" borderId="0" applyNumberForma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22" fillId="0" borderId="0" applyFont="0" applyFill="0" applyBorder="0" applyAlignment="0" applyProtection="0"/>
    <xf numFmtId="0" fontId="34" fillId="13" borderId="121"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4" fillId="5" borderId="121" applyNumberFormat="0" applyAlignment="0" applyProtection="0"/>
    <xf numFmtId="0" fontId="31" fillId="9" borderId="122" applyNumberFormat="0" applyFont="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43" fontId="22" fillId="0" borderId="0" applyFont="0" applyFill="0" applyBorder="0" applyAlignment="0" applyProtection="0"/>
    <xf numFmtId="0" fontId="47" fillId="13" borderId="123" applyNumberFormat="0" applyAlignment="0" applyProtection="0"/>
    <xf numFmtId="0" fontId="44" fillId="10" borderId="121" applyNumberFormat="0" applyAlignment="0" applyProtection="0"/>
    <xf numFmtId="178" fontId="34" fillId="13" borderId="121" applyNumberFormat="0" applyAlignment="0" applyProtection="0"/>
    <xf numFmtId="0" fontId="47" fillId="5" borderId="123" applyNumberFormat="0" applyAlignment="0" applyProtection="0"/>
    <xf numFmtId="43" fontId="22" fillId="0" borderId="0" applyFont="0" applyFill="0" applyBorder="0" applyAlignment="0" applyProtection="0"/>
    <xf numFmtId="0" fontId="31" fillId="9" borderId="122" applyNumberFormat="0" applyFont="0" applyAlignment="0" applyProtection="0"/>
    <xf numFmtId="43" fontId="22" fillId="0" borderId="0" applyFont="0" applyFill="0" applyBorder="0" applyAlignment="0" applyProtection="0"/>
    <xf numFmtId="0" fontId="47" fillId="13" borderId="123" applyNumberFormat="0" applyAlignment="0" applyProtection="0"/>
    <xf numFmtId="178" fontId="34" fillId="13" borderId="121" applyNumberFormat="0" applyAlignment="0" applyProtection="0"/>
    <xf numFmtId="0" fontId="49" fillId="0" borderId="124" applyNumberFormat="0" applyFill="0" applyAlignment="0" applyProtection="0"/>
    <xf numFmtId="0" fontId="31" fillId="9" borderId="122" applyNumberFormat="0" applyFont="0" applyAlignment="0" applyProtection="0"/>
    <xf numFmtId="0" fontId="34" fillId="13" borderId="121" applyNumberFormat="0" applyAlignment="0" applyProtection="0"/>
    <xf numFmtId="0" fontId="47" fillId="13" borderId="123" applyNumberFormat="0" applyAlignment="0" applyProtection="0"/>
    <xf numFmtId="0" fontId="44" fillId="10" borderId="121" applyNumberFormat="0" applyAlignment="0" applyProtection="0"/>
    <xf numFmtId="43" fontId="22" fillId="0" borderId="0" applyFont="0" applyFill="0" applyBorder="0" applyAlignment="0" applyProtection="0"/>
    <xf numFmtId="0" fontId="49" fillId="0" borderId="124" applyNumberFormat="0" applyFill="0" applyAlignment="0" applyProtection="0"/>
    <xf numFmtId="0" fontId="44" fillId="10" borderId="121" applyNumberFormat="0" applyAlignment="0" applyProtection="0"/>
    <xf numFmtId="0" fontId="47" fillId="13" borderId="123" applyNumberFormat="0" applyAlignment="0" applyProtection="0"/>
    <xf numFmtId="43" fontId="22" fillId="0" borderId="0" applyFont="0" applyFill="0" applyBorder="0" applyAlignment="0" applyProtection="0"/>
    <xf numFmtId="0" fontId="49" fillId="0" borderId="124" applyNumberFormat="0" applyFill="0" applyAlignment="0" applyProtection="0"/>
    <xf numFmtId="0" fontId="34" fillId="13" borderId="121" applyNumberFormat="0" applyAlignment="0" applyProtection="0"/>
    <xf numFmtId="43" fontId="22" fillId="0" borderId="0" applyFont="0" applyFill="0" applyBorder="0" applyAlignment="0" applyProtection="0"/>
    <xf numFmtId="0" fontId="44" fillId="10" borderId="121" applyNumberFormat="0" applyAlignment="0" applyProtection="0"/>
    <xf numFmtId="0" fontId="22" fillId="9" borderId="122" applyNumberFormat="0" applyFont="0" applyAlignment="0" applyProtection="0"/>
    <xf numFmtId="178" fontId="44" fillId="10" borderId="121" applyNumberFormat="0" applyAlignment="0" applyProtection="0"/>
    <xf numFmtId="0" fontId="44" fillId="10" borderId="121"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22" fillId="9" borderId="122"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44" fillId="10" borderId="121" applyNumberFormat="0" applyAlignment="0" applyProtection="0"/>
    <xf numFmtId="0" fontId="49" fillId="0" borderId="124" applyNumberFormat="0" applyFill="0" applyAlignment="0" applyProtection="0"/>
    <xf numFmtId="0" fontId="49" fillId="0" borderId="125" applyNumberFormat="0" applyFill="0" applyAlignment="0" applyProtection="0"/>
    <xf numFmtId="0" fontId="34" fillId="13" borderId="121" applyNumberFormat="0" applyAlignment="0" applyProtection="0"/>
    <xf numFmtId="0" fontId="22" fillId="9" borderId="122" applyNumberFormat="0" applyFont="0" applyAlignment="0" applyProtection="0"/>
    <xf numFmtId="43" fontId="22" fillId="0" borderId="0" applyFont="0" applyFill="0" applyBorder="0" applyAlignment="0" applyProtection="0"/>
    <xf numFmtId="0" fontId="47" fillId="13" borderId="123" applyNumberFormat="0" applyAlignment="0" applyProtection="0"/>
    <xf numFmtId="0" fontId="44" fillId="10" borderId="121" applyNumberFormat="0" applyAlignment="0" applyProtection="0"/>
    <xf numFmtId="178" fontId="22" fillId="9" borderId="122" applyNumberFormat="0" applyFont="0" applyAlignment="0" applyProtection="0"/>
    <xf numFmtId="0" fontId="34" fillId="13" borderId="121" applyNumberFormat="0" applyAlignment="0" applyProtection="0"/>
    <xf numFmtId="178" fontId="44" fillId="10" borderId="121" applyNumberFormat="0" applyAlignment="0" applyProtection="0"/>
    <xf numFmtId="0" fontId="47" fillId="13" borderId="123" applyNumberFormat="0" applyAlignment="0" applyProtection="0"/>
    <xf numFmtId="0" fontId="31" fillId="9" borderId="122" applyNumberFormat="0" applyFont="0" applyAlignment="0" applyProtection="0"/>
    <xf numFmtId="0" fontId="44" fillId="10" borderId="121" applyNumberFormat="0" applyAlignment="0" applyProtection="0"/>
    <xf numFmtId="43" fontId="22" fillId="0" borderId="0" applyFont="0" applyFill="0" applyBorder="0" applyAlignment="0" applyProtection="0"/>
    <xf numFmtId="0" fontId="22" fillId="9" borderId="122" applyNumberFormat="0" applyFont="0" applyAlignment="0" applyProtection="0"/>
    <xf numFmtId="0" fontId="44" fillId="10" borderId="121" applyNumberFormat="0" applyAlignment="0" applyProtection="0"/>
    <xf numFmtId="0" fontId="34" fillId="13" borderId="121" applyNumberFormat="0" applyAlignment="0" applyProtection="0"/>
    <xf numFmtId="43" fontId="22" fillId="0" borderId="0" applyFont="0" applyFill="0" applyBorder="0" applyAlignment="0" applyProtection="0"/>
    <xf numFmtId="178" fontId="47" fillId="13" borderId="123" applyNumberFormat="0" applyAlignment="0" applyProtection="0"/>
    <xf numFmtId="0" fontId="44" fillId="10" borderId="121" applyNumberFormat="0" applyAlignment="0" applyProtection="0"/>
    <xf numFmtId="43" fontId="22" fillId="0" borderId="0" applyFont="0" applyFill="0" applyBorder="0" applyAlignment="0" applyProtection="0"/>
    <xf numFmtId="0" fontId="31" fillId="9" borderId="122" applyNumberFormat="0" applyFont="0" applyAlignment="0" applyProtection="0"/>
    <xf numFmtId="0" fontId="22" fillId="9" borderId="122" applyNumberFormat="0" applyFont="0" applyAlignment="0" applyProtection="0"/>
    <xf numFmtId="0" fontId="49" fillId="0" borderId="124" applyNumberFormat="0" applyFill="0" applyAlignment="0" applyProtection="0"/>
    <xf numFmtId="0" fontId="31" fillId="9" borderId="122" applyNumberFormat="0" applyFont="0" applyAlignment="0" applyProtection="0"/>
    <xf numFmtId="43" fontId="22" fillId="0" borderId="0" applyFont="0" applyFill="0" applyBorder="0" applyAlignment="0" applyProtection="0"/>
    <xf numFmtId="0" fontId="22" fillId="9" borderId="122" applyNumberFormat="0" applyFont="0" applyAlignment="0" applyProtection="0"/>
    <xf numFmtId="43" fontId="22" fillId="0" borderId="0" applyFont="0" applyFill="0" applyBorder="0" applyAlignment="0" applyProtection="0"/>
    <xf numFmtId="0" fontId="44" fillId="10" borderId="121" applyNumberFormat="0" applyAlignment="0" applyProtection="0"/>
    <xf numFmtId="0" fontId="22" fillId="9" borderId="122" applyNumberFormat="0" applyFont="0" applyAlignment="0" applyProtection="0"/>
    <xf numFmtId="178" fontId="49" fillId="0" borderId="124" applyNumberFormat="0" applyFill="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178" fontId="34" fillId="13" borderId="121" applyNumberFormat="0" applyAlignment="0" applyProtection="0"/>
    <xf numFmtId="0" fontId="34" fillId="13" borderId="121" applyNumberFormat="0" applyAlignment="0" applyProtection="0"/>
    <xf numFmtId="0" fontId="34" fillId="5" borderId="121" applyNumberFormat="0" applyAlignment="0" applyProtection="0"/>
    <xf numFmtId="0" fontId="34" fillId="13" borderId="121" applyNumberFormat="0" applyAlignment="0" applyProtection="0"/>
    <xf numFmtId="0" fontId="44" fillId="10" borderId="121" applyNumberFormat="0" applyAlignment="0" applyProtection="0"/>
    <xf numFmtId="0" fontId="34" fillId="5" borderId="121" applyNumberFormat="0" applyAlignment="0" applyProtection="0"/>
    <xf numFmtId="0" fontId="34" fillId="13"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9" fillId="0" borderId="124" applyNumberFormat="0" applyFill="0" applyAlignment="0" applyProtection="0"/>
    <xf numFmtId="43" fontId="22" fillId="0" borderId="0" applyFont="0" applyFill="0" applyBorder="0" applyAlignment="0" applyProtection="0"/>
    <xf numFmtId="0" fontId="49" fillId="0" borderId="124" applyNumberFormat="0" applyFill="0" applyAlignment="0" applyProtection="0"/>
    <xf numFmtId="0" fontId="49" fillId="0" borderId="124" applyNumberFormat="0" applyFill="0" applyAlignment="0" applyProtection="0"/>
    <xf numFmtId="0" fontId="22" fillId="9" borderId="122" applyNumberFormat="0" applyFont="0" applyAlignment="0" applyProtection="0"/>
    <xf numFmtId="0" fontId="44" fillId="10" borderId="121" applyNumberFormat="0" applyAlignment="0" applyProtection="0"/>
    <xf numFmtId="43" fontId="22" fillId="0" borderId="0" applyFont="0" applyFill="0" applyBorder="0" applyAlignment="0" applyProtection="0"/>
    <xf numFmtId="0" fontId="44" fillId="10" borderId="121" applyNumberFormat="0" applyAlignment="0" applyProtection="0"/>
    <xf numFmtId="43" fontId="22" fillId="0" borderId="0" applyFont="0" applyFill="0" applyBorder="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43" fontId="22" fillId="0" borderId="0" applyFont="0" applyFill="0" applyBorder="0" applyAlignment="0" applyProtection="0"/>
    <xf numFmtId="0" fontId="49" fillId="0" borderId="124" applyNumberFormat="0" applyFill="0" applyAlignment="0" applyProtection="0"/>
    <xf numFmtId="0" fontId="31" fillId="9" borderId="122" applyNumberFormat="0" applyFont="0" applyAlignment="0" applyProtection="0"/>
    <xf numFmtId="0" fontId="34" fillId="13" borderId="121" applyNumberFormat="0" applyAlignment="0" applyProtection="0"/>
    <xf numFmtId="0" fontId="44" fillId="10" borderId="121" applyNumberFormat="0" applyAlignment="0" applyProtection="0"/>
    <xf numFmtId="0" fontId="44" fillId="10" borderId="121" applyNumberFormat="0" applyAlignment="0" applyProtection="0"/>
    <xf numFmtId="43" fontId="22" fillId="0" borderId="0" applyFont="0" applyFill="0" applyBorder="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178"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43" fontId="22" fillId="0" borderId="0" applyFont="0" applyFill="0" applyBorder="0" applyAlignment="0" applyProtection="0"/>
    <xf numFmtId="0" fontId="47" fillId="13" borderId="123" applyNumberFormat="0" applyAlignment="0" applyProtection="0"/>
    <xf numFmtId="0" fontId="47" fillId="13" borderId="123" applyNumberFormat="0" applyAlignment="0" applyProtection="0"/>
    <xf numFmtId="0" fontId="22"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178"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178" fontId="47" fillId="13" borderId="123" applyNumberFormat="0" applyAlignment="0" applyProtection="0"/>
    <xf numFmtId="0" fontId="47" fillId="5" borderId="123" applyNumberFormat="0" applyAlignment="0" applyProtection="0"/>
    <xf numFmtId="0" fontId="47" fillId="13" borderId="123"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178" fontId="49" fillId="0" borderId="124"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43" fontId="22" fillId="0" borderId="0" applyFont="0" applyFill="0" applyBorder="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43" fontId="22" fillId="0" borderId="0" applyFont="0" applyFill="0" applyBorder="0" applyAlignment="0" applyProtection="0"/>
    <xf numFmtId="0" fontId="31" fillId="9" borderId="122" applyNumberFormat="0" applyFont="0" applyAlignment="0" applyProtection="0"/>
    <xf numFmtId="0" fontId="34" fillId="13" borderId="121" applyNumberFormat="0" applyAlignment="0" applyProtection="0"/>
    <xf numFmtId="43" fontId="22" fillId="0" borderId="0" applyFont="0" applyFill="0" applyBorder="0" applyAlignment="0" applyProtection="0"/>
    <xf numFmtId="0" fontId="47" fillId="13" borderId="123" applyNumberFormat="0" applyAlignment="0" applyProtection="0"/>
    <xf numFmtId="0" fontId="47" fillId="13" borderId="123" applyNumberFormat="0" applyAlignment="0" applyProtection="0"/>
    <xf numFmtId="0" fontId="22" fillId="9" borderId="122" applyNumberFormat="0" applyFont="0" applyAlignment="0" applyProtection="0"/>
    <xf numFmtId="0" fontId="47" fillId="13" borderId="123" applyNumberFormat="0" applyAlignment="0" applyProtection="0"/>
    <xf numFmtId="43" fontId="22" fillId="0" borderId="0" applyFont="0" applyFill="0" applyBorder="0" applyAlignment="0" applyProtection="0"/>
    <xf numFmtId="0" fontId="22" fillId="9" borderId="122" applyNumberFormat="0" applyFont="0" applyAlignment="0" applyProtection="0"/>
    <xf numFmtId="0" fontId="34" fillId="13" borderId="121" applyNumberFormat="0" applyAlignment="0" applyProtection="0"/>
    <xf numFmtId="0" fontId="34" fillId="13" borderId="121" applyNumberFormat="0" applyAlignment="0" applyProtection="0"/>
    <xf numFmtId="0" fontId="22" fillId="9" borderId="122" applyNumberFormat="0" applyFont="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22"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178"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178" fontId="47" fillId="13" borderId="123" applyNumberFormat="0" applyAlignment="0" applyProtection="0"/>
    <xf numFmtId="0" fontId="47" fillId="5" borderId="123" applyNumberFormat="0" applyAlignment="0" applyProtection="0"/>
    <xf numFmtId="0" fontId="47" fillId="13" borderId="123" applyNumberFormat="0" applyAlignment="0" applyProtection="0"/>
    <xf numFmtId="43" fontId="22" fillId="0" borderId="0" applyFont="0" applyFill="0" applyBorder="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178" fontId="49" fillId="0" borderId="124"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9" fontId="22" fillId="0" borderId="0" applyFont="0" applyFill="0" applyBorder="0" applyAlignment="0" applyProtection="0"/>
    <xf numFmtId="0" fontId="8" fillId="0" borderId="0"/>
    <xf numFmtId="0" fontId="8" fillId="0" borderId="0"/>
    <xf numFmtId="184" fontId="22" fillId="0" borderId="0">
      <alignment horizontal="right" wrapText="1"/>
    </xf>
    <xf numFmtId="185" fontId="22" fillId="0" borderId="0">
      <alignment horizontal="right" wrapText="1"/>
    </xf>
    <xf numFmtId="186" fontId="22" fillId="0" borderId="0">
      <alignment horizontal="right" wrapText="1"/>
    </xf>
    <xf numFmtId="181" fontId="22" fillId="0" borderId="0">
      <alignment horizontal="right" wrapText="1"/>
    </xf>
    <xf numFmtId="187" fontId="22" fillId="0" borderId="0">
      <alignment horizontal="right" wrapText="1"/>
    </xf>
    <xf numFmtId="0" fontId="31" fillId="9" borderId="122" applyNumberFormat="0" applyFont="0" applyAlignment="0" applyProtection="0"/>
    <xf numFmtId="0" fontId="31" fillId="9" borderId="122" applyNumberFormat="0" applyFont="0" applyAlignment="0" applyProtection="0"/>
    <xf numFmtId="0" fontId="44" fillId="10" borderId="121" applyNumberFormat="0" applyAlignment="0" applyProtection="0"/>
    <xf numFmtId="0" fontId="22" fillId="9" borderId="122" applyNumberFormat="0" applyFont="0" applyAlignment="0" applyProtection="0"/>
    <xf numFmtId="0" fontId="47" fillId="13" borderId="123"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22" fillId="9" borderId="122" applyNumberFormat="0" applyFont="0" applyAlignment="0" applyProtection="0"/>
    <xf numFmtId="0" fontId="47" fillId="13" borderId="123"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44" fillId="10" borderId="121" applyNumberFormat="0" applyAlignment="0" applyProtection="0"/>
    <xf numFmtId="0" fontId="49" fillId="0" borderId="124" applyNumberFormat="0" applyFill="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7" fillId="13" borderId="123"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188" fontId="22" fillId="0" borderId="0"/>
    <xf numFmtId="0" fontId="34" fillId="5" borderId="121" applyNumberFormat="0" applyAlignment="0" applyProtection="0"/>
    <xf numFmtId="3" fontId="22" fillId="0" borderId="0" applyFont="0" applyFill="0" applyBorder="0" applyAlignment="0" applyProtection="0"/>
    <xf numFmtId="3" fontId="22" fillId="0" borderId="0" applyFont="0" applyFill="0" applyBorder="0" applyAlignment="0" applyProtection="0"/>
    <xf numFmtId="0" fontId="47" fillId="13" borderId="123" applyNumberFormat="0" applyAlignment="0" applyProtection="0"/>
    <xf numFmtId="0" fontId="47" fillId="13" borderId="123" applyNumberFormat="0" applyAlignment="0" applyProtection="0"/>
    <xf numFmtId="43" fontId="22" fillId="0" borderId="0" applyFont="0" applyFill="0" applyBorder="0" applyAlignment="0" applyProtection="0"/>
    <xf numFmtId="0" fontId="34" fillId="13" borderId="121" applyNumberFormat="0" applyAlignment="0" applyProtection="0"/>
    <xf numFmtId="43" fontId="22" fillId="0" borderId="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22" fillId="0" borderId="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44" fontId="22" fillId="0" borderId="0" applyFont="0" applyFill="0" applyBorder="0" applyAlignment="0" applyProtection="0"/>
    <xf numFmtId="0" fontId="31" fillId="9" borderId="122" applyNumberFormat="0" applyFont="0" applyAlignment="0" applyProtection="0"/>
    <xf numFmtId="0" fontId="34" fillId="13" borderId="121" applyNumberFormat="0" applyAlignment="0" applyProtection="0"/>
    <xf numFmtId="0" fontId="44" fillId="10" borderId="121" applyNumberFormat="0" applyAlignment="0" applyProtection="0"/>
    <xf numFmtId="0" fontId="44" fillId="10" borderId="121" applyNumberFormat="0" applyAlignment="0" applyProtection="0"/>
    <xf numFmtId="0" fontId="49" fillId="0" borderId="124" applyNumberFormat="0" applyFill="0" applyAlignment="0" applyProtection="0"/>
    <xf numFmtId="0" fontId="31" fillId="9" borderId="122" applyNumberFormat="0" applyFont="0" applyAlignment="0" applyProtection="0"/>
    <xf numFmtId="0" fontId="49" fillId="0" borderId="124" applyNumberFormat="0" applyFill="0" applyAlignment="0" applyProtection="0"/>
    <xf numFmtId="0" fontId="47" fillId="13" borderId="123" applyNumberFormat="0" applyAlignment="0" applyProtection="0"/>
    <xf numFmtId="0" fontId="22" fillId="0" borderId="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189" fontId="22" fillId="0" borderId="0" applyFont="0" applyFill="0" applyBorder="0" applyAlignment="0" applyProtection="0"/>
    <xf numFmtId="0" fontId="22" fillId="9" borderId="122" applyNumberFormat="0" applyFont="0" applyAlignment="0" applyProtection="0"/>
    <xf numFmtId="43" fontId="22"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47" fillId="13" borderId="123" applyNumberFormat="0" applyAlignment="0" applyProtection="0"/>
    <xf numFmtId="0" fontId="49" fillId="0" borderId="124" applyNumberFormat="0" applyFill="0" applyAlignment="0" applyProtection="0"/>
    <xf numFmtId="0" fontId="22" fillId="9" borderId="122" applyNumberFormat="0" applyFont="0" applyAlignment="0" applyProtection="0"/>
    <xf numFmtId="0" fontId="44" fillId="10" borderId="121" applyNumberFormat="0" applyAlignment="0" applyProtection="0"/>
    <xf numFmtId="0" fontId="47" fillId="13" borderId="123" applyNumberFormat="0" applyAlignment="0" applyProtection="0"/>
    <xf numFmtId="0" fontId="49" fillId="0" borderId="125" applyNumberFormat="0" applyFill="0" applyAlignment="0" applyProtection="0"/>
    <xf numFmtId="0" fontId="34" fillId="13" borderId="121" applyNumberFormat="0" applyAlignment="0" applyProtection="0"/>
    <xf numFmtId="0" fontId="34" fillId="13" borderId="121" applyNumberFormat="0" applyAlignment="0" applyProtection="0"/>
    <xf numFmtId="0" fontId="34" fillId="5"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22" fillId="9" borderId="122" applyNumberFormat="0" applyFont="0" applyAlignment="0" applyProtection="0"/>
    <xf numFmtId="0" fontId="31" fillId="9" borderId="122" applyNumberFormat="0" applyFont="0" applyAlignment="0" applyProtection="0"/>
    <xf numFmtId="0" fontId="49" fillId="0" borderId="124" applyNumberFormat="0" applyFill="0" applyAlignment="0" applyProtection="0"/>
    <xf numFmtId="0" fontId="47" fillId="13" borderId="123" applyNumberFormat="0" applyAlignment="0" applyProtection="0"/>
    <xf numFmtId="0" fontId="47" fillId="13" borderId="123" applyNumberFormat="0" applyAlignment="0" applyProtection="0"/>
    <xf numFmtId="0" fontId="44" fillId="10" borderId="121" applyNumberFormat="0" applyAlignment="0" applyProtection="0"/>
    <xf numFmtId="0" fontId="47" fillId="13" borderId="123" applyNumberFormat="0" applyAlignment="0" applyProtection="0"/>
    <xf numFmtId="0" fontId="34" fillId="5" borderId="121" applyNumberFormat="0" applyAlignment="0" applyProtection="0"/>
    <xf numFmtId="0" fontId="34" fillId="5" borderId="121" applyNumberFormat="0" applyAlignment="0" applyProtection="0"/>
    <xf numFmtId="0" fontId="34" fillId="13" borderId="121" applyNumberFormat="0" applyAlignment="0" applyProtection="0"/>
    <xf numFmtId="0" fontId="44" fillId="10" borderId="121"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7" fillId="13" borderId="123" applyNumberFormat="0" applyAlignment="0" applyProtection="0"/>
    <xf numFmtId="0" fontId="47" fillId="13" borderId="123"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7" fillId="13" borderId="123" applyNumberFormat="0" applyAlignment="0" applyProtection="0"/>
    <xf numFmtId="0" fontId="31" fillId="9" borderId="122" applyNumberFormat="0" applyFont="0" applyAlignment="0" applyProtection="0"/>
    <xf numFmtId="0" fontId="47" fillId="13" borderId="123" applyNumberFormat="0" applyAlignment="0" applyProtection="0"/>
    <xf numFmtId="0" fontId="34" fillId="13" borderId="121" applyNumberFormat="0" applyAlignment="0" applyProtection="0"/>
    <xf numFmtId="0" fontId="34" fillId="13" borderId="121" applyNumberFormat="0" applyAlignment="0" applyProtection="0"/>
    <xf numFmtId="0" fontId="22" fillId="9" borderId="122" applyNumberFormat="0" applyFont="0" applyAlignment="0" applyProtection="0"/>
    <xf numFmtId="0" fontId="44" fillId="10" borderId="121" applyNumberForma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5" borderId="123" applyNumberFormat="0" applyAlignment="0" applyProtection="0"/>
    <xf numFmtId="0" fontId="47" fillId="13" borderId="123" applyNumberFormat="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47" fillId="13" borderId="12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22" borderId="0" applyNumberFormat="0" applyBorder="0" applyAlignment="0" applyProtection="0"/>
    <xf numFmtId="178" fontId="22" fillId="0" borderId="0"/>
    <xf numFmtId="0" fontId="34" fillId="13" borderId="121" applyNumberFormat="0" applyAlignment="0" applyProtection="0"/>
    <xf numFmtId="37" fontId="124" fillId="0" borderId="137"/>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91" fontId="124" fillId="0" borderId="137"/>
    <xf numFmtId="0" fontId="43"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44" fillId="10" borderId="121" applyNumberFormat="0" applyAlignment="0" applyProtection="0"/>
    <xf numFmtId="0" fontId="31" fillId="0" borderId="0"/>
    <xf numFmtId="178"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77" fillId="0" borderId="0"/>
    <xf numFmtId="0" fontId="7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31" fillId="9" borderId="122" applyNumberFormat="0" applyFont="0" applyAlignment="0" applyProtection="0"/>
    <xf numFmtId="0" fontId="47" fillId="13" borderId="123" applyNumberFormat="0" applyAlignment="0" applyProtection="0"/>
    <xf numFmtId="9" fontId="22" fillId="0" borderId="0" applyFont="0" applyFill="0" applyBorder="0" applyAlignment="0" applyProtection="0"/>
    <xf numFmtId="0" fontId="49" fillId="0" borderId="124" applyNumberFormat="0" applyFill="0" applyAlignment="0" applyProtection="0"/>
    <xf numFmtId="178" fontId="54" fillId="0" borderId="0"/>
    <xf numFmtId="178" fontId="54" fillId="0" borderId="0"/>
    <xf numFmtId="178" fontId="54" fillId="0" borderId="0"/>
    <xf numFmtId="178" fontId="54" fillId="0" borderId="0"/>
    <xf numFmtId="0" fontId="31" fillId="9" borderId="122" applyNumberFormat="0" applyFont="0" applyAlignment="0" applyProtection="0"/>
    <xf numFmtId="0" fontId="22" fillId="9" borderId="122" applyNumberFormat="0" applyFont="0" applyAlignment="0" applyProtection="0"/>
    <xf numFmtId="0" fontId="49" fillId="0" borderId="124" applyNumberFormat="0" applyFill="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31" fillId="9" borderId="122" applyNumberFormat="0" applyFont="0" applyAlignment="0" applyProtection="0"/>
    <xf numFmtId="0" fontId="47" fillId="13" borderId="123" applyNumberFormat="0" applyAlignment="0" applyProtection="0"/>
    <xf numFmtId="0" fontId="49" fillId="0" borderId="124" applyNumberFormat="0" applyFill="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47" fillId="13" borderId="123" applyNumberFormat="0" applyAlignment="0" applyProtection="0"/>
    <xf numFmtId="0" fontId="34" fillId="13" borderId="121" applyNumberFormat="0" applyAlignment="0" applyProtection="0"/>
    <xf numFmtId="0" fontId="47" fillId="13" borderId="123" applyNumberFormat="0" applyAlignment="0" applyProtection="0"/>
    <xf numFmtId="0" fontId="49" fillId="0" borderId="124" applyNumberFormat="0" applyFill="0" applyAlignment="0" applyProtection="0"/>
    <xf numFmtId="0" fontId="47" fillId="13" borderId="123" applyNumberFormat="0" applyAlignment="0" applyProtection="0"/>
    <xf numFmtId="0" fontId="49" fillId="0" borderId="124" applyNumberFormat="0" applyFill="0" applyAlignment="0" applyProtection="0"/>
    <xf numFmtId="0" fontId="31" fillId="9" borderId="122" applyNumberFormat="0" applyFont="0" applyAlignment="0" applyProtection="0"/>
    <xf numFmtId="0" fontId="47" fillId="13" borderId="123" applyNumberFormat="0" applyAlignment="0" applyProtection="0"/>
    <xf numFmtId="0" fontId="44" fillId="10" borderId="121" applyNumberFormat="0" applyAlignment="0" applyProtection="0"/>
    <xf numFmtId="0" fontId="34" fillId="13" borderId="121" applyNumberFormat="0" applyAlignment="0" applyProtection="0"/>
    <xf numFmtId="0" fontId="49" fillId="0" borderId="124" applyNumberFormat="0" applyFill="0" applyAlignment="0" applyProtection="0"/>
    <xf numFmtId="0" fontId="49" fillId="0" borderId="125" applyNumberFormat="0" applyFill="0" applyAlignment="0" applyProtection="0"/>
    <xf numFmtId="0" fontId="44" fillId="10" borderId="121" applyNumberFormat="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34" fillId="13" borderId="121" applyNumberFormat="0" applyAlignment="0" applyProtection="0"/>
    <xf numFmtId="0" fontId="34" fillId="5" borderId="121" applyNumberFormat="0" applyAlignment="0" applyProtection="0"/>
    <xf numFmtId="0" fontId="49" fillId="0" borderId="124" applyNumberFormat="0" applyFill="0" applyAlignment="0" applyProtection="0"/>
    <xf numFmtId="0" fontId="31" fillId="9" borderId="122" applyNumberFormat="0" applyFont="0" applyAlignment="0" applyProtection="0"/>
    <xf numFmtId="0" fontId="34" fillId="13" borderId="121" applyNumberFormat="0" applyAlignment="0" applyProtection="0"/>
    <xf numFmtId="0" fontId="44" fillId="10" borderId="121" applyNumberFormat="0" applyAlignment="0" applyProtection="0"/>
    <xf numFmtId="0" fontId="31" fillId="9" borderId="122" applyNumberFormat="0" applyFont="0" applyAlignment="0" applyProtection="0"/>
    <xf numFmtId="0" fontId="47" fillId="13" borderId="123" applyNumberFormat="0" applyAlignment="0" applyProtection="0"/>
    <xf numFmtId="0" fontId="44" fillId="10" borderId="121" applyNumberFormat="0" applyAlignment="0" applyProtection="0"/>
    <xf numFmtId="0" fontId="49" fillId="0" borderId="124" applyNumberFormat="0" applyFill="0" applyAlignment="0" applyProtection="0"/>
    <xf numFmtId="0" fontId="47" fillId="13" borderId="123" applyNumberFormat="0" applyAlignment="0" applyProtection="0"/>
    <xf numFmtId="0" fontId="44" fillId="10" borderId="121" applyNumberFormat="0" applyAlignment="0" applyProtection="0"/>
    <xf numFmtId="0" fontId="22" fillId="9" borderId="122" applyNumberFormat="0" applyFont="0" applyAlignment="0" applyProtection="0"/>
    <xf numFmtId="0" fontId="22" fillId="9" borderId="122" applyNumberFormat="0" applyFont="0" applyAlignment="0" applyProtection="0"/>
    <xf numFmtId="0" fontId="47" fillId="13" borderId="123" applyNumberFormat="0" applyAlignment="0" applyProtection="0"/>
    <xf numFmtId="0" fontId="44" fillId="10" borderId="121" applyNumberFormat="0" applyAlignment="0" applyProtection="0"/>
    <xf numFmtId="0" fontId="44" fillId="10" borderId="121" applyNumberFormat="0" applyAlignment="0" applyProtection="0"/>
    <xf numFmtId="0" fontId="47" fillId="13" borderId="123" applyNumberFormat="0" applyAlignment="0" applyProtection="0"/>
    <xf numFmtId="0" fontId="49" fillId="0" borderId="125" applyNumberFormat="0" applyFill="0" applyAlignment="0" applyProtection="0"/>
    <xf numFmtId="0" fontId="34" fillId="13" borderId="121"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31" fillId="9" borderId="122" applyNumberFormat="0" applyFont="0" applyAlignment="0" applyProtection="0"/>
    <xf numFmtId="0" fontId="31" fillId="9" borderId="122" applyNumberFormat="0" applyFont="0" applyAlignment="0" applyProtection="0"/>
    <xf numFmtId="0" fontId="47" fillId="13" borderId="123"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44" fillId="10" borderId="121" applyNumberFormat="0" applyAlignment="0" applyProtection="0"/>
    <xf numFmtId="0" fontId="49" fillId="0" borderId="124" applyNumberFormat="0" applyFill="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47" fillId="13" borderId="123" applyNumberFormat="0" applyAlignment="0" applyProtection="0"/>
    <xf numFmtId="0" fontId="34" fillId="13" borderId="121"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47" fillId="13" borderId="123" applyNumberFormat="0" applyAlignment="0" applyProtection="0"/>
    <xf numFmtId="0" fontId="49" fillId="0" borderId="124" applyNumberFormat="0" applyFill="0" applyAlignment="0" applyProtection="0"/>
    <xf numFmtId="0" fontId="47" fillId="13" borderId="123"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8" fillId="0" borderId="0"/>
    <xf numFmtId="0" fontId="8" fillId="0" borderId="0"/>
    <xf numFmtId="0" fontId="34" fillId="13" borderId="121" applyNumberFormat="0" applyAlignment="0" applyProtection="0"/>
    <xf numFmtId="0" fontId="47" fillId="13" borderId="123" applyNumberFormat="0" applyAlignment="0" applyProtection="0"/>
    <xf numFmtId="0" fontId="8" fillId="0" borderId="0"/>
    <xf numFmtId="0" fontId="31" fillId="9" borderId="122" applyNumberFormat="0" applyFont="0" applyAlignment="0" applyProtection="0"/>
    <xf numFmtId="0" fontId="8" fillId="0" borderId="0"/>
    <xf numFmtId="0" fontId="8" fillId="0" borderId="0"/>
    <xf numFmtId="0" fontId="8" fillId="0" borderId="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5" borderId="123" applyNumberFormat="0" applyAlignment="0" applyProtection="0"/>
    <xf numFmtId="0" fontId="47" fillId="13" borderId="123"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31" fillId="9" borderId="122" applyNumberFormat="0" applyFont="0" applyAlignment="0" applyProtection="0"/>
    <xf numFmtId="0" fontId="34" fillId="13" borderId="121" applyNumberForma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0" fontId="49" fillId="0" borderId="124" applyNumberFormat="0" applyFill="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5" borderId="123" applyNumberFormat="0" applyAlignment="0" applyProtection="0"/>
    <xf numFmtId="0" fontId="47" fillId="13" borderId="123" applyNumberFormat="0" applyAlignment="0" applyProtection="0"/>
    <xf numFmtId="0" fontId="34" fillId="13" borderId="121" applyNumberFormat="0" applyAlignment="0" applyProtection="0"/>
    <xf numFmtId="0" fontId="49" fillId="0" borderId="124" applyNumberFormat="0" applyFill="0" applyAlignment="0" applyProtection="0"/>
    <xf numFmtId="0" fontId="49" fillId="0" borderId="124" applyNumberFormat="0" applyFill="0" applyAlignment="0" applyProtection="0"/>
    <xf numFmtId="0" fontId="47" fillId="13" borderId="123"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44" fillId="10" borderId="121" applyNumberFormat="0" applyAlignment="0" applyProtection="0"/>
    <xf numFmtId="0" fontId="34" fillId="13" borderId="121" applyNumberForma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5" borderId="123" applyNumberFormat="0" applyAlignment="0" applyProtection="0"/>
    <xf numFmtId="0" fontId="47" fillId="13" borderId="123" applyNumberFormat="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44" fillId="10" borderId="121" applyNumberForma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5" borderId="123" applyNumberFormat="0" applyAlignment="0" applyProtection="0"/>
    <xf numFmtId="0" fontId="47" fillId="13" borderId="123" applyNumberFormat="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128"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22" fillId="0" borderId="0">
      <alignment wrapText="1"/>
    </xf>
    <xf numFmtId="0" fontId="22" fillId="0" borderId="0">
      <alignment wrapText="1"/>
    </xf>
    <xf numFmtId="0" fontId="22" fillId="0" borderId="0">
      <alignment wrapText="1"/>
    </xf>
    <xf numFmtId="0" fontId="22" fillId="0" borderId="0">
      <alignment wrapText="1"/>
    </xf>
    <xf numFmtId="0" fontId="132" fillId="0" borderId="0"/>
    <xf numFmtId="0" fontId="2" fillId="0" borderId="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2" fillId="17"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9" borderId="0" applyNumberFormat="0" applyBorder="0" applyAlignment="0" applyProtection="0"/>
    <xf numFmtId="0" fontId="33" fillId="4" borderId="0" applyNumberFormat="0" applyBorder="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5"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4" fillId="13" borderId="121" applyNumberFormat="0" applyAlignment="0" applyProtection="0"/>
    <xf numFmtId="0" fontId="35" fillId="30" borderId="2" applyNumberFormat="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2" fillId="0" borderId="0" applyFont="0" applyFill="0" applyBorder="0" applyAlignment="0" applyProtection="0"/>
    <xf numFmtId="44" fontId="3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7" fillId="0" borderId="0" applyNumberFormat="0" applyFill="0" applyBorder="0" applyAlignment="0" applyProtection="0"/>
    <xf numFmtId="0" fontId="38" fillId="6" borderId="0" applyNumberFormat="0" applyBorder="0" applyAlignment="0" applyProtection="0"/>
    <xf numFmtId="0" fontId="40" fillId="0" borderId="3" applyNumberFormat="0" applyFill="0" applyAlignment="0" applyProtection="0"/>
    <xf numFmtId="0" fontId="41" fillId="0" borderId="5"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4" fillId="10" borderId="121" applyNumberFormat="0" applyAlignment="0" applyProtection="0"/>
    <xf numFmtId="0" fontId="45" fillId="0" borderId="9" applyNumberFormat="0" applyFill="0" applyAlignment="0" applyProtection="0"/>
    <xf numFmtId="0" fontId="46"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31"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22" fillId="9" borderId="122" applyNumberFormat="0" applyFon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5"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0" fontId="47" fillId="13" borderId="123"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0" fontId="48" fillId="0" borderId="0" applyNumberFormat="0" applyFill="0" applyBorder="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5"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6"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49" fillId="0" borderId="124" applyNumberFormat="0" applyFill="0" applyAlignment="0" applyProtection="0"/>
    <xf numFmtId="0" fontId="50" fillId="0" borderId="0" applyNumberFormat="0" applyFill="0" applyBorder="0" applyAlignment="0" applyProtection="0"/>
    <xf numFmtId="0" fontId="1" fillId="0" borderId="0"/>
  </cellStyleXfs>
  <cellXfs count="1222">
    <xf numFmtId="0" fontId="0" fillId="0" borderId="0" xfId="0"/>
    <xf numFmtId="0" fontId="24" fillId="0" borderId="0" xfId="0" applyFont="1" applyFill="1" applyBorder="1" applyProtection="1">
      <protection locked="0"/>
    </xf>
    <xf numFmtId="165" fontId="25" fillId="0" borderId="0" xfId="0" applyNumberFormat="1" applyFont="1" applyFill="1" applyAlignment="1" applyProtection="1">
      <alignment horizontal="center"/>
      <protection locked="0"/>
    </xf>
    <xf numFmtId="0" fontId="0" fillId="0" borderId="0" xfId="0" applyFill="1" applyProtection="1">
      <protection locked="0"/>
    </xf>
    <xf numFmtId="0" fontId="0" fillId="0" borderId="0" xfId="0" applyFill="1"/>
    <xf numFmtId="0" fontId="24" fillId="0" borderId="0" xfId="0" applyFont="1" applyProtection="1">
      <protection locked="0"/>
    </xf>
    <xf numFmtId="0" fontId="0" fillId="0" borderId="0" xfId="0" applyProtection="1">
      <protection locked="0"/>
    </xf>
    <xf numFmtId="0" fontId="0" fillId="0" borderId="0" xfId="0" applyFill="1" applyBorder="1" applyProtection="1">
      <protection locked="0"/>
    </xf>
    <xf numFmtId="0" fontId="25" fillId="0" borderId="0" xfId="0" applyFont="1" applyFill="1" applyBorder="1" applyProtection="1">
      <protection locked="0"/>
    </xf>
    <xf numFmtId="0" fontId="27" fillId="0" borderId="0" xfId="0" applyFont="1" applyFill="1" applyBorder="1" applyProtection="1">
      <protection locked="0"/>
    </xf>
    <xf numFmtId="0" fontId="24" fillId="0" borderId="0" xfId="0" applyFont="1"/>
    <xf numFmtId="177" fontId="0" fillId="0" borderId="0" xfId="0" applyNumberFormat="1"/>
    <xf numFmtId="177" fontId="0" fillId="0" borderId="0" xfId="0" applyNumberFormat="1" applyAlignment="1">
      <alignment horizontal="center"/>
    </xf>
    <xf numFmtId="10" fontId="0" fillId="0" borderId="0" xfId="0" applyNumberFormat="1"/>
    <xf numFmtId="179" fontId="51" fillId="0" borderId="0" xfId="122" quotePrefix="1" applyNumberFormat="1" applyFont="1" applyAlignment="1">
      <alignment horizontal="center"/>
    </xf>
    <xf numFmtId="9" fontId="24" fillId="0" borderId="0" xfId="122" applyNumberFormat="1"/>
    <xf numFmtId="178" fontId="24" fillId="0" borderId="0" xfId="122" applyNumberFormat="1"/>
    <xf numFmtId="178" fontId="51" fillId="0" borderId="0" xfId="122" applyNumberFormat="1" applyFont="1" applyAlignment="1">
      <alignment horizontal="center"/>
    </xf>
    <xf numFmtId="171" fontId="52" fillId="0" borderId="0" xfId="70" applyNumberFormat="1" applyFont="1" applyFill="1" applyBorder="1" applyProtection="1">
      <protection locked="0"/>
    </xf>
    <xf numFmtId="166" fontId="52" fillId="0" borderId="0" xfId="144" applyNumberFormat="1" applyFont="1" applyFill="1" applyBorder="1" applyProtection="1">
      <protection locked="0"/>
    </xf>
    <xf numFmtId="182" fontId="52" fillId="0" borderId="0" xfId="70" applyNumberFormat="1" applyFont="1" applyFill="1" applyBorder="1" applyProtection="1">
      <protection locked="0"/>
    </xf>
    <xf numFmtId="0" fontId="24" fillId="0" borderId="0" xfId="0" applyFont="1" applyBorder="1"/>
    <xf numFmtId="178" fontId="51" fillId="0" borderId="0" xfId="122" applyNumberFormat="1" applyFont="1" applyFill="1" applyAlignment="1">
      <alignment horizontal="center"/>
    </xf>
    <xf numFmtId="0" fontId="24" fillId="0" borderId="0" xfId="0" applyFont="1" applyFill="1" applyBorder="1"/>
    <xf numFmtId="0" fontId="0" fillId="0" borderId="0" xfId="0" applyBorder="1" applyProtection="1">
      <protection locked="0"/>
    </xf>
    <xf numFmtId="0" fontId="0" fillId="0" borderId="0" xfId="0" applyAlignment="1" applyProtection="1">
      <alignment horizontal="center"/>
      <protection locked="0"/>
    </xf>
    <xf numFmtId="0" fontId="25" fillId="0" borderId="0" xfId="0" applyFont="1" applyProtection="1">
      <protection locked="0"/>
    </xf>
    <xf numFmtId="166" fontId="27" fillId="31" borderId="41" xfId="0" applyNumberFormat="1" applyFont="1" applyFill="1" applyBorder="1" applyProtection="1">
      <protection locked="0"/>
    </xf>
    <xf numFmtId="0" fontId="55" fillId="31" borderId="42" xfId="0" applyFont="1" applyFill="1" applyBorder="1" applyProtection="1">
      <protection locked="0"/>
    </xf>
    <xf numFmtId="0" fontId="27" fillId="33" borderId="41" xfId="0" applyFont="1" applyFill="1" applyBorder="1" applyProtection="1">
      <protection locked="0"/>
    </xf>
    <xf numFmtId="0" fontId="27" fillId="33" borderId="43" xfId="0" applyFont="1" applyFill="1" applyBorder="1" applyProtection="1">
      <protection locked="0"/>
    </xf>
    <xf numFmtId="0" fontId="27" fillId="34" borderId="42" xfId="0" applyFont="1" applyFill="1" applyBorder="1" applyProtection="1">
      <protection locked="0"/>
    </xf>
    <xf numFmtId="0" fontId="0" fillId="34" borderId="43" xfId="0" applyFill="1" applyBorder="1" applyProtection="1">
      <protection locked="0"/>
    </xf>
    <xf numFmtId="166" fontId="27" fillId="31" borderId="44" xfId="0" applyNumberFormat="1" applyFont="1" applyFill="1" applyBorder="1" applyProtection="1">
      <protection locked="0"/>
    </xf>
    <xf numFmtId="0" fontId="55" fillId="31" borderId="24" xfId="0" applyFont="1" applyFill="1" applyBorder="1" applyProtection="1">
      <protection locked="0"/>
    </xf>
    <xf numFmtId="0" fontId="27" fillId="33" borderId="44" xfId="0" applyFont="1" applyFill="1" applyBorder="1" applyProtection="1">
      <protection locked="0"/>
    </xf>
    <xf numFmtId="0" fontId="27" fillId="33" borderId="21" xfId="0" applyFont="1" applyFill="1" applyBorder="1" applyProtection="1">
      <protection locked="0"/>
    </xf>
    <xf numFmtId="0" fontId="27" fillId="34" borderId="24" xfId="0" applyFont="1" applyFill="1" applyBorder="1" applyProtection="1">
      <protection locked="0"/>
    </xf>
    <xf numFmtId="0" fontId="0" fillId="34" borderId="21" xfId="0" applyFill="1" applyBorder="1" applyProtection="1">
      <protection locked="0"/>
    </xf>
    <xf numFmtId="0" fontId="25" fillId="0" borderId="0" xfId="0" applyFont="1" applyAlignment="1" applyProtection="1">
      <alignment horizontal="left"/>
      <protection locked="0"/>
    </xf>
    <xf numFmtId="0" fontId="56" fillId="0" borderId="0" xfId="0" applyFont="1" applyFill="1" applyProtection="1">
      <protection locked="0"/>
    </xf>
    <xf numFmtId="10" fontId="25" fillId="0" borderId="0" xfId="0" applyNumberFormat="1" applyFont="1" applyBorder="1" applyProtection="1">
      <protection locked="0"/>
    </xf>
    <xf numFmtId="0" fontId="0" fillId="0" borderId="0" xfId="0" applyFill="1" applyBorder="1" applyProtection="1"/>
    <xf numFmtId="0" fontId="29" fillId="0" borderId="0" xfId="0" applyFont="1" applyFill="1" applyAlignment="1" applyProtection="1">
      <alignment horizontal="right"/>
      <protection locked="0"/>
    </xf>
    <xf numFmtId="0" fontId="0" fillId="0" borderId="14" xfId="0" applyBorder="1" applyProtection="1">
      <protection locked="0"/>
    </xf>
    <xf numFmtId="166" fontId="29" fillId="0" borderId="0" xfId="144" applyNumberFormat="1" applyFont="1" applyFill="1"/>
    <xf numFmtId="10" fontId="0" fillId="0" borderId="14" xfId="0" applyNumberFormat="1" applyBorder="1" applyAlignment="1" applyProtection="1">
      <alignment wrapText="1"/>
      <protection locked="0"/>
    </xf>
    <xf numFmtId="0" fontId="0" fillId="0" borderId="0" xfId="0" applyBorder="1" applyAlignment="1" applyProtection="1">
      <alignment wrapText="1"/>
      <protection locked="0"/>
    </xf>
    <xf numFmtId="0" fontId="0" fillId="0" borderId="0" xfId="0" applyBorder="1" applyAlignment="1" applyProtection="1">
      <protection locked="0"/>
    </xf>
    <xf numFmtId="166" fontId="29" fillId="0" borderId="0" xfId="144" applyNumberFormat="1" applyFont="1" applyFill="1" applyAlignment="1" applyProtection="1">
      <alignment horizontal="right"/>
      <protection locked="0"/>
    </xf>
    <xf numFmtId="166" fontId="29" fillId="0" borderId="0" xfId="144" applyNumberFormat="1" applyFont="1" applyFill="1" applyAlignment="1">
      <alignment horizontal="right"/>
    </xf>
    <xf numFmtId="0" fontId="0" fillId="0" borderId="0" xfId="0" applyFill="1" applyBorder="1" applyAlignment="1" applyProtection="1">
      <protection locked="0"/>
    </xf>
    <xf numFmtId="0" fontId="0" fillId="0" borderId="0" xfId="0" applyAlignment="1" applyProtection="1">
      <alignment horizontal="left"/>
      <protection locked="0"/>
    </xf>
    <xf numFmtId="0" fontId="24" fillId="0" borderId="0" xfId="0" applyFont="1" applyFill="1" applyAlignment="1" applyProtection="1">
      <alignment horizontal="left"/>
      <protection locked="0"/>
    </xf>
    <xf numFmtId="0" fontId="58" fillId="0" borderId="0" xfId="0" applyFont="1" applyProtection="1">
      <protection locked="0"/>
    </xf>
    <xf numFmtId="0" fontId="27" fillId="0" borderId="0" xfId="0" applyFont="1" applyAlignment="1" applyProtection="1">
      <alignment horizontal="center"/>
      <protection locked="0"/>
    </xf>
    <xf numFmtId="0" fontId="0" fillId="0" borderId="0" xfId="0" applyAlignment="1" applyProtection="1">
      <alignment horizontal="center"/>
    </xf>
    <xf numFmtId="172" fontId="0" fillId="0" borderId="53" xfId="0" applyNumberFormat="1" applyBorder="1" applyProtection="1"/>
    <xf numFmtId="172" fontId="0" fillId="0" borderId="54" xfId="0" applyNumberFormat="1" applyBorder="1" applyProtection="1"/>
    <xf numFmtId="172" fontId="0" fillId="0" borderId="55" xfId="0" applyNumberFormat="1" applyBorder="1" applyProtection="1"/>
    <xf numFmtId="165" fontId="0" fillId="0" borderId="55" xfId="0" applyNumberFormat="1" applyBorder="1" applyProtection="1"/>
    <xf numFmtId="173" fontId="0" fillId="0" borderId="55" xfId="0" applyNumberFormat="1" applyBorder="1" applyProtection="1"/>
    <xf numFmtId="172" fontId="0" fillId="0" borderId="27" xfId="0" applyNumberFormat="1" applyBorder="1" applyProtection="1">
      <protection locked="0"/>
    </xf>
    <xf numFmtId="165" fontId="0" fillId="0" borderId="22" xfId="0" applyNumberFormat="1" applyBorder="1" applyProtection="1">
      <protection locked="0"/>
    </xf>
    <xf numFmtId="173" fontId="0" fillId="0" borderId="22" xfId="0" applyNumberFormat="1" applyBorder="1" applyProtection="1">
      <protection locked="0"/>
    </xf>
    <xf numFmtId="172" fontId="0" fillId="0" borderId="31" xfId="0" applyNumberFormat="1" applyBorder="1" applyProtection="1">
      <protection locked="0"/>
    </xf>
    <xf numFmtId="172" fontId="0" fillId="0" borderId="56" xfId="0" applyNumberFormat="1" applyBorder="1" applyProtection="1"/>
    <xf numFmtId="172" fontId="0" fillId="0" borderId="57" xfId="0" applyNumberFormat="1" applyBorder="1" applyProtection="1"/>
    <xf numFmtId="172" fontId="0" fillId="0" borderId="58" xfId="0" applyNumberFormat="1" applyBorder="1" applyProtection="1"/>
    <xf numFmtId="165" fontId="0" fillId="0" borderId="59" xfId="0" applyNumberFormat="1" applyBorder="1" applyProtection="1">
      <protection locked="0"/>
    </xf>
    <xf numFmtId="165" fontId="0" fillId="0" borderId="58" xfId="0" applyNumberFormat="1" applyBorder="1" applyProtection="1"/>
    <xf numFmtId="173" fontId="0" fillId="0" borderId="59" xfId="0" applyNumberFormat="1" applyBorder="1" applyProtection="1">
      <protection locked="0"/>
    </xf>
    <xf numFmtId="173" fontId="0" fillId="0" borderId="58" xfId="0" applyNumberFormat="1" applyBorder="1" applyProtection="1"/>
    <xf numFmtId="0" fontId="60" fillId="0" borderId="0" xfId="0" applyFont="1" applyProtection="1">
      <protection locked="0"/>
    </xf>
    <xf numFmtId="172" fontId="0" fillId="0" borderId="27" xfId="0" applyNumberFormat="1" applyFill="1" applyBorder="1" applyProtection="1">
      <protection locked="0"/>
    </xf>
    <xf numFmtId="172" fontId="0" fillId="0" borderId="31" xfId="0" applyNumberFormat="1" applyFill="1" applyBorder="1" applyProtection="1">
      <protection locked="0"/>
    </xf>
    <xf numFmtId="0" fontId="28" fillId="0" borderId="0" xfId="0" applyFont="1" applyFill="1" applyBorder="1" applyProtection="1">
      <protection locked="0"/>
    </xf>
    <xf numFmtId="0" fontId="59" fillId="0" borderId="0" xfId="0" applyFont="1" applyFill="1" applyBorder="1" applyProtection="1">
      <protection locked="0"/>
    </xf>
    <xf numFmtId="172" fontId="0" fillId="0" borderId="0" xfId="0" applyNumberFormat="1" applyFill="1" applyBorder="1" applyProtection="1">
      <protection locked="0"/>
    </xf>
    <xf numFmtId="165" fontId="0" fillId="0" borderId="0" xfId="0" applyNumberFormat="1" applyFill="1" applyBorder="1" applyProtection="1"/>
    <xf numFmtId="165" fontId="0" fillId="0" borderId="0" xfId="0" applyNumberFormat="1" applyFill="1" applyBorder="1" applyProtection="1">
      <protection locked="0"/>
    </xf>
    <xf numFmtId="173" fontId="0" fillId="0" borderId="0" xfId="0" applyNumberFormat="1" applyFill="1" applyBorder="1" applyProtection="1">
      <protection locked="0"/>
    </xf>
    <xf numFmtId="172" fontId="0" fillId="0" borderId="0" xfId="0" applyNumberFormat="1" applyFill="1" applyBorder="1" applyProtection="1"/>
    <xf numFmtId="173" fontId="0" fillId="0" borderId="0" xfId="0" applyNumberFormat="1" applyFill="1" applyBorder="1" applyProtection="1"/>
    <xf numFmtId="0" fontId="0" fillId="0" borderId="0" xfId="0" applyBorder="1" applyAlignment="1" applyProtection="1">
      <alignment horizontal="center"/>
    </xf>
    <xf numFmtId="167" fontId="0" fillId="0" borderId="0" xfId="0" quotePrefix="1" applyNumberFormat="1" applyFill="1" applyBorder="1"/>
    <xf numFmtId="0" fontId="0" fillId="0" borderId="0" xfId="0" applyProtection="1"/>
    <xf numFmtId="171" fontId="25" fillId="0" borderId="0" xfId="70" applyNumberFormat="1" applyFont="1" applyFill="1" applyBorder="1" applyAlignment="1" applyProtection="1">
      <alignment horizontal="center" wrapText="1"/>
    </xf>
    <xf numFmtId="171" fontId="25" fillId="0" borderId="0" xfId="70" applyNumberFormat="1" applyFont="1" applyFill="1" applyBorder="1" applyAlignment="1" applyProtection="1">
      <alignment horizontal="center"/>
    </xf>
    <xf numFmtId="171" fontId="22" fillId="0" borderId="0" xfId="70" applyNumberFormat="1" applyFont="1" applyFill="1" applyBorder="1" applyAlignment="1" applyProtection="1">
      <alignment wrapText="1"/>
    </xf>
    <xf numFmtId="171" fontId="22" fillId="0" borderId="0" xfId="70" applyNumberFormat="1" applyFont="1" applyFill="1" applyProtection="1"/>
    <xf numFmtId="0" fontId="0" fillId="0" borderId="20" xfId="0" applyFill="1" applyBorder="1" applyAlignment="1" applyProtection="1">
      <alignment horizontal="left"/>
    </xf>
    <xf numFmtId="0" fontId="0" fillId="0" borderId="0" xfId="0" applyFill="1" applyBorder="1" applyAlignment="1" applyProtection="1">
      <alignment horizontal="left"/>
    </xf>
    <xf numFmtId="0" fontId="0" fillId="0" borderId="20" xfId="0" applyFill="1" applyBorder="1" applyAlignment="1" applyProtection="1">
      <alignment horizontal="center"/>
    </xf>
    <xf numFmtId="1" fontId="0" fillId="0" borderId="20" xfId="0" applyNumberFormat="1" applyFill="1" applyBorder="1" applyAlignment="1" applyProtection="1">
      <alignment horizontal="center"/>
    </xf>
    <xf numFmtId="3" fontId="0" fillId="0" borderId="20" xfId="0" applyNumberFormat="1" applyFill="1" applyBorder="1" applyAlignment="1" applyProtection="1">
      <alignment horizontal="center"/>
    </xf>
    <xf numFmtId="167" fontId="0" fillId="0" borderId="0" xfId="0" applyNumberFormat="1" applyFill="1" applyBorder="1" applyProtection="1"/>
    <xf numFmtId="0" fontId="22" fillId="0" borderId="0" xfId="0" applyFont="1" applyFill="1" applyBorder="1"/>
    <xf numFmtId="0" fontId="22" fillId="0" borderId="22" xfId="0" applyFont="1" applyFill="1" applyBorder="1"/>
    <xf numFmtId="0" fontId="22" fillId="0" borderId="0" xfId="0" applyFont="1" applyFill="1"/>
    <xf numFmtId="0" fontId="0" fillId="0" borderId="0" xfId="0" applyFill="1" applyBorder="1" applyAlignment="1" applyProtection="1">
      <alignment horizontal="center" wrapText="1"/>
      <protection locked="0"/>
    </xf>
    <xf numFmtId="0" fontId="0" fillId="0" borderId="0" xfId="0" applyAlignment="1" applyProtection="1">
      <alignment horizontal="center" vertical="center"/>
      <protection locked="0"/>
    </xf>
    <xf numFmtId="0" fontId="27" fillId="0" borderId="0" xfId="0" applyFont="1" applyAlignment="1" applyProtection="1">
      <alignment horizontal="center" vertical="center"/>
      <protection locked="0"/>
    </xf>
    <xf numFmtId="0" fontId="27" fillId="32" borderId="48" xfId="0" applyFont="1" applyFill="1" applyBorder="1" applyAlignment="1" applyProtection="1">
      <alignment horizontal="center" vertical="center"/>
      <protection locked="0"/>
    </xf>
    <xf numFmtId="0" fontId="27" fillId="32" borderId="49" xfId="0" applyFont="1" applyFill="1" applyBorder="1" applyAlignment="1" applyProtection="1">
      <alignment horizontal="center" vertical="center"/>
      <protection locked="0"/>
    </xf>
    <xf numFmtId="0" fontId="27" fillId="32" borderId="50" xfId="0" applyFont="1" applyFill="1" applyBorder="1" applyAlignment="1" applyProtection="1">
      <alignment horizontal="center" vertical="center"/>
      <protection locked="0"/>
    </xf>
    <xf numFmtId="0" fontId="27" fillId="32" borderId="51" xfId="0" applyFont="1" applyFill="1" applyBorder="1" applyAlignment="1" applyProtection="1">
      <alignment horizontal="center" vertical="center"/>
      <protection locked="0"/>
    </xf>
    <xf numFmtId="0" fontId="27" fillId="32" borderId="52" xfId="0" applyFont="1" applyFill="1" applyBorder="1" applyAlignment="1" applyProtection="1">
      <alignment horizontal="center" vertical="center"/>
      <protection locked="0"/>
    </xf>
    <xf numFmtId="0" fontId="27" fillId="35" borderId="50" xfId="0" applyFont="1" applyFill="1" applyBorder="1" applyAlignment="1" applyProtection="1">
      <alignment horizontal="center" vertical="center"/>
      <protection locked="0"/>
    </xf>
    <xf numFmtId="0" fontId="27" fillId="35" borderId="52" xfId="0" applyFont="1" applyFill="1" applyBorder="1" applyAlignment="1" applyProtection="1">
      <alignment horizontal="center" vertical="center"/>
      <protection locked="0"/>
    </xf>
    <xf numFmtId="0" fontId="27" fillId="36" borderId="50" xfId="0" applyFont="1" applyFill="1" applyBorder="1" applyAlignment="1" applyProtection="1">
      <alignment horizontal="center" vertical="center"/>
      <protection locked="0"/>
    </xf>
    <xf numFmtId="0" fontId="27" fillId="36" borderId="52" xfId="0" applyFont="1" applyFill="1" applyBorder="1" applyAlignment="1" applyProtection="1">
      <alignment horizontal="center" vertical="center"/>
      <protection locked="0"/>
    </xf>
    <xf numFmtId="0" fontId="27" fillId="36" borderId="49" xfId="0" applyFont="1" applyFill="1" applyBorder="1" applyAlignment="1" applyProtection="1">
      <alignment horizontal="center" vertical="center"/>
      <protection locked="0"/>
    </xf>
    <xf numFmtId="0" fontId="24" fillId="42" borderId="74" xfId="0" applyFont="1" applyFill="1" applyBorder="1" applyAlignment="1" applyProtection="1">
      <alignment horizontal="center" vertical="center"/>
      <protection locked="0"/>
    </xf>
    <xf numFmtId="0" fontId="24" fillId="43" borderId="82" xfId="0" applyFont="1" applyFill="1" applyBorder="1" applyAlignment="1" applyProtection="1">
      <alignment horizontal="center" vertical="center" wrapText="1"/>
      <protection locked="0"/>
    </xf>
    <xf numFmtId="176" fontId="0" fillId="0" borderId="28" xfId="0" applyNumberFormat="1" applyBorder="1" applyProtection="1"/>
    <xf numFmtId="176" fontId="0" fillId="0" borderId="30" xfId="0" applyNumberFormat="1" applyBorder="1" applyProtection="1"/>
    <xf numFmtId="0" fontId="24" fillId="0" borderId="0" xfId="0" applyFont="1" applyFill="1" applyBorder="1" applyProtection="1"/>
    <xf numFmtId="0" fontId="24" fillId="0" borderId="0" xfId="0" applyFont="1" applyAlignment="1" applyProtection="1">
      <alignment horizontal="left"/>
    </xf>
    <xf numFmtId="0" fontId="0" fillId="0" borderId="0" xfId="0" applyAlignment="1" applyProtection="1">
      <alignment horizontal="right"/>
    </xf>
    <xf numFmtId="0" fontId="24" fillId="0" borderId="0" xfId="0" applyFont="1" applyAlignment="1">
      <alignment horizontal="left"/>
    </xf>
    <xf numFmtId="0" fontId="0" fillId="0" borderId="0" xfId="0" applyAlignment="1">
      <alignment horizontal="right"/>
    </xf>
    <xf numFmtId="0" fontId="24" fillId="0" borderId="0" xfId="111"/>
    <xf numFmtId="0" fontId="24" fillId="0" borderId="0" xfId="111" applyAlignment="1">
      <alignment horizontal="center"/>
    </xf>
    <xf numFmtId="0" fontId="24" fillId="44" borderId="31" xfId="111" applyFill="1" applyBorder="1" applyAlignment="1">
      <alignment horizontal="center"/>
    </xf>
    <xf numFmtId="0" fontId="24" fillId="44" borderId="15" xfId="111" applyFill="1" applyBorder="1" applyAlignment="1">
      <alignment wrapText="1"/>
    </xf>
    <xf numFmtId="0" fontId="24" fillId="44" borderId="15" xfId="111" applyFill="1" applyBorder="1" applyAlignment="1">
      <alignment horizontal="center"/>
    </xf>
    <xf numFmtId="0" fontId="21" fillId="44" borderId="15" xfId="111" applyFont="1" applyFill="1" applyBorder="1" applyAlignment="1">
      <alignment horizontal="left"/>
    </xf>
    <xf numFmtId="0" fontId="0" fillId="0" borderId="0" xfId="0"/>
    <xf numFmtId="0" fontId="0" fillId="0" borderId="0" xfId="0" applyAlignment="1">
      <alignment wrapText="1"/>
    </xf>
    <xf numFmtId="0" fontId="22" fillId="0" borderId="0" xfId="0" applyFont="1" applyFill="1" applyProtection="1">
      <protection locked="0"/>
    </xf>
    <xf numFmtId="0" fontId="22" fillId="0" borderId="0" xfId="0" applyFont="1"/>
    <xf numFmtId="0" fontId="22" fillId="0" borderId="20" xfId="0" applyFont="1" applyFill="1" applyBorder="1"/>
    <xf numFmtId="0" fontId="22" fillId="0" borderId="0" xfId="0" applyFont="1" applyFill="1" applyBorder="1" applyProtection="1">
      <protection locked="0"/>
    </xf>
    <xf numFmtId="0" fontId="20" fillId="0" borderId="0" xfId="197"/>
    <xf numFmtId="170" fontId="0" fillId="47" borderId="23" xfId="198" applyNumberFormat="1" applyFont="1" applyFill="1" applyBorder="1"/>
    <xf numFmtId="170" fontId="0" fillId="50" borderId="23" xfId="198" applyNumberFormat="1" applyFont="1" applyFill="1" applyBorder="1"/>
    <xf numFmtId="170" fontId="0" fillId="50" borderId="21" xfId="198" applyNumberFormat="1" applyFont="1" applyFill="1" applyBorder="1"/>
    <xf numFmtId="171" fontId="0" fillId="47" borderId="23" xfId="199" applyNumberFormat="1" applyFont="1" applyFill="1" applyBorder="1"/>
    <xf numFmtId="170" fontId="76" fillId="47" borderId="23" xfId="198" applyNumberFormat="1" applyFont="1" applyFill="1" applyBorder="1"/>
    <xf numFmtId="170" fontId="76" fillId="51" borderId="23" xfId="198" applyNumberFormat="1" applyFont="1" applyFill="1" applyBorder="1"/>
    <xf numFmtId="170" fontId="76" fillId="0" borderId="0" xfId="198" applyNumberFormat="1" applyFont="1"/>
    <xf numFmtId="170" fontId="0" fillId="0" borderId="0" xfId="198" applyNumberFormat="1" applyFont="1"/>
    <xf numFmtId="171" fontId="0" fillId="0" borderId="0" xfId="199" applyNumberFormat="1" applyFont="1"/>
    <xf numFmtId="170" fontId="77" fillId="0" borderId="0" xfId="198" applyNumberFormat="1" applyFont="1"/>
    <xf numFmtId="0" fontId="22" fillId="0" borderId="20" xfId="0" applyFont="1" applyFill="1" applyBorder="1" applyProtection="1">
      <protection locked="0"/>
    </xf>
    <xf numFmtId="0" fontId="22" fillId="0" borderId="40" xfId="0" applyFont="1" applyFill="1" applyBorder="1"/>
    <xf numFmtId="0" fontId="22" fillId="0" borderId="40" xfId="0" applyFont="1" applyFill="1" applyBorder="1" applyProtection="1">
      <protection locked="0"/>
    </xf>
    <xf numFmtId="0" fontId="25" fillId="0" borderId="37" xfId="0" applyFont="1" applyBorder="1" applyAlignment="1" applyProtection="1">
      <alignment vertical="top" wrapText="1"/>
      <protection locked="0"/>
    </xf>
    <xf numFmtId="0" fontId="22" fillId="0" borderId="15" xfId="0" applyFont="1" applyFill="1" applyBorder="1"/>
    <xf numFmtId="0" fontId="22" fillId="0" borderId="22" xfId="0" applyFont="1" applyFill="1" applyBorder="1" applyProtection="1">
      <protection locked="0"/>
    </xf>
    <xf numFmtId="0" fontId="22" fillId="0" borderId="0" xfId="0" applyFont="1" applyAlignment="1" applyProtection="1">
      <alignment horizontal="center" vertical="center"/>
      <protection locked="0"/>
    </xf>
    <xf numFmtId="165" fontId="22" fillId="0" borderId="0" xfId="0" applyNumberFormat="1" applyFont="1" applyFill="1" applyProtection="1">
      <protection locked="0"/>
    </xf>
    <xf numFmtId="43" fontId="22" fillId="0" borderId="0" xfId="70" applyFont="1" applyFill="1" applyAlignment="1" applyProtection="1">
      <alignment horizontal="center"/>
      <protection locked="0"/>
    </xf>
    <xf numFmtId="9" fontId="22" fillId="0" borderId="0" xfId="0" applyNumberFormat="1" applyFont="1" applyFill="1" applyAlignment="1" applyProtection="1">
      <alignment horizontal="center"/>
      <protection locked="0"/>
    </xf>
    <xf numFmtId="0" fontId="22" fillId="0" borderId="0" xfId="0" applyNumberFormat="1" applyFont="1" applyFill="1" applyAlignment="1" applyProtection="1">
      <alignment horizontal="center"/>
      <protection locked="0"/>
    </xf>
    <xf numFmtId="1" fontId="22" fillId="0" borderId="0" xfId="0" applyNumberFormat="1" applyFont="1" applyFill="1" applyAlignment="1" applyProtection="1">
      <alignment horizontal="right"/>
      <protection locked="0"/>
    </xf>
    <xf numFmtId="2" fontId="22" fillId="0" borderId="0" xfId="0" applyNumberFormat="1" applyFont="1" applyFill="1" applyAlignment="1" applyProtection="1">
      <alignment horizontal="right"/>
      <protection locked="0"/>
    </xf>
    <xf numFmtId="3" fontId="22" fillId="0" borderId="0" xfId="0" applyNumberFormat="1" applyFont="1" applyFill="1" applyAlignment="1" applyProtection="1">
      <alignment horizontal="right"/>
      <protection locked="0"/>
    </xf>
    <xf numFmtId="167" fontId="22" fillId="0" borderId="0" xfId="0" applyNumberFormat="1" applyFont="1" applyFill="1" applyAlignment="1" applyProtection="1">
      <alignment horizontal="right"/>
      <protection locked="0"/>
    </xf>
    <xf numFmtId="0" fontId="22" fillId="0" borderId="15"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165" fontId="22" fillId="0" borderId="0" xfId="0" applyNumberFormat="1" applyFont="1" applyAlignment="1" applyProtection="1">
      <alignment horizontal="center" vertical="center"/>
      <protection locked="0"/>
    </xf>
    <xf numFmtId="2" fontId="22" fillId="52" borderId="77" xfId="0" applyNumberFormat="1" applyFont="1" applyFill="1" applyBorder="1" applyAlignment="1" applyProtection="1">
      <alignment vertical="top" wrapText="1"/>
      <protection locked="0"/>
    </xf>
    <xf numFmtId="3" fontId="22" fillId="52" borderId="37" xfId="0" applyNumberFormat="1" applyFont="1" applyFill="1" applyBorder="1" applyAlignment="1" applyProtection="1">
      <alignment vertical="top" wrapText="1"/>
      <protection locked="0"/>
    </xf>
    <xf numFmtId="3" fontId="22" fillId="0" borderId="20" xfId="0" applyNumberFormat="1" applyFont="1" applyFill="1" applyBorder="1" applyAlignment="1" applyProtection="1">
      <alignment horizontal="center"/>
      <protection locked="0"/>
    </xf>
    <xf numFmtId="170" fontId="22" fillId="0" borderId="20" xfId="78" applyNumberFormat="1" applyFont="1" applyFill="1" applyBorder="1" applyProtection="1">
      <protection locked="0"/>
    </xf>
    <xf numFmtId="2" fontId="22" fillId="0" borderId="20" xfId="0" applyNumberFormat="1" applyFont="1" applyFill="1" applyBorder="1" applyAlignment="1" applyProtection="1">
      <alignment horizontal="right"/>
      <protection locked="0"/>
    </xf>
    <xf numFmtId="43" fontId="22" fillId="0" borderId="20" xfId="70" applyFont="1" applyFill="1" applyBorder="1" applyAlignment="1" applyProtection="1">
      <alignment horizontal="right"/>
      <protection locked="0"/>
    </xf>
    <xf numFmtId="3" fontId="22" fillId="0" borderId="20" xfId="0" applyNumberFormat="1" applyFont="1" applyFill="1" applyBorder="1" applyAlignment="1" applyProtection="1">
      <alignment horizontal="right"/>
      <protection locked="0"/>
    </xf>
    <xf numFmtId="3" fontId="22" fillId="0" borderId="20" xfId="123" applyNumberFormat="1" applyFont="1" applyFill="1" applyBorder="1" applyAlignment="1" applyProtection="1">
      <alignment horizontal="right"/>
      <protection locked="0"/>
    </xf>
    <xf numFmtId="1" fontId="22" fillId="0" borderId="20" xfId="0" applyNumberFormat="1" applyFont="1" applyFill="1" applyBorder="1" applyAlignment="1" applyProtection="1">
      <alignment horizontal="right"/>
      <protection locked="0"/>
    </xf>
    <xf numFmtId="3" fontId="22" fillId="0" borderId="40" xfId="0" applyNumberFormat="1" applyFont="1" applyFill="1" applyBorder="1" applyAlignment="1" applyProtection="1">
      <alignment horizontal="center"/>
      <protection locked="0"/>
    </xf>
    <xf numFmtId="170" fontId="22" fillId="0" borderId="40" xfId="78" applyNumberFormat="1" applyFont="1" applyFill="1" applyBorder="1" applyProtection="1">
      <protection locked="0"/>
    </xf>
    <xf numFmtId="2" fontId="22" fillId="0" borderId="40" xfId="0" applyNumberFormat="1" applyFont="1" applyFill="1" applyBorder="1" applyAlignment="1" applyProtection="1">
      <alignment horizontal="right"/>
      <protection locked="0"/>
    </xf>
    <xf numFmtId="1" fontId="22" fillId="0" borderId="40" xfId="0" applyNumberFormat="1" applyFont="1" applyFill="1" applyBorder="1" applyAlignment="1" applyProtection="1">
      <alignment horizontal="right"/>
      <protection locked="0"/>
    </xf>
    <xf numFmtId="2" fontId="22" fillId="0" borderId="19" xfId="0" applyNumberFormat="1" applyFont="1" applyFill="1" applyBorder="1" applyAlignment="1" applyProtection="1">
      <alignment horizontal="right"/>
      <protection locked="0"/>
    </xf>
    <xf numFmtId="0" fontId="22" fillId="0" borderId="59" xfId="0" applyFont="1" applyFill="1" applyBorder="1"/>
    <xf numFmtId="166" fontId="22" fillId="0" borderId="20" xfId="0" applyNumberFormat="1" applyFont="1" applyFill="1" applyBorder="1" applyProtection="1">
      <protection locked="0"/>
    </xf>
    <xf numFmtId="4" fontId="22" fillId="0" borderId="20" xfId="123" applyNumberFormat="1" applyFont="1" applyFill="1" applyBorder="1" applyProtection="1">
      <protection locked="0"/>
    </xf>
    <xf numFmtId="0" fontId="25" fillId="0" borderId="0" xfId="0" applyFont="1" applyFill="1" applyAlignment="1" applyProtection="1">
      <alignment horizontal="right"/>
      <protection locked="0"/>
    </xf>
    <xf numFmtId="170" fontId="49" fillId="0" borderId="15" xfId="78" applyNumberFormat="1" applyFont="1" applyBorder="1" applyAlignment="1">
      <alignment wrapText="1"/>
    </xf>
    <xf numFmtId="166" fontId="24" fillId="0" borderId="53" xfId="0" applyNumberFormat="1" applyFont="1" applyBorder="1" applyAlignment="1">
      <alignment horizontal="center"/>
    </xf>
    <xf numFmtId="166" fontId="24" fillId="0" borderId="0" xfId="0" applyNumberFormat="1" applyFont="1" applyBorder="1" applyAlignment="1">
      <alignment horizontal="center"/>
    </xf>
    <xf numFmtId="166" fontId="24" fillId="0" borderId="0" xfId="0" applyNumberFormat="1" applyFont="1" applyAlignment="1">
      <alignment horizontal="center"/>
    </xf>
    <xf numFmtId="166" fontId="0" fillId="0" borderId="53" xfId="0" applyNumberFormat="1" applyBorder="1"/>
    <xf numFmtId="166" fontId="0" fillId="0" borderId="0" xfId="0" applyNumberFormat="1" applyBorder="1"/>
    <xf numFmtId="166" fontId="0" fillId="0" borderId="0" xfId="0" applyNumberFormat="1"/>
    <xf numFmtId="166" fontId="24" fillId="0" borderId="53" xfId="0" applyNumberFormat="1" applyFont="1" applyBorder="1"/>
    <xf numFmtId="166" fontId="24" fillId="0" borderId="0" xfId="0" applyNumberFormat="1" applyFont="1" applyBorder="1"/>
    <xf numFmtId="166" fontId="24" fillId="0" borderId="0" xfId="0" applyNumberFormat="1" applyFont="1"/>
    <xf numFmtId="0" fontId="22" fillId="0" borderId="0" xfId="0" applyFont="1" applyAlignment="1" applyProtection="1">
      <alignment vertical="top" wrapText="1"/>
    </xf>
    <xf numFmtId="171" fontId="25" fillId="0" borderId="0" xfId="70" applyNumberFormat="1" applyFont="1" applyFill="1" applyBorder="1" applyAlignment="1" applyProtection="1">
      <alignment wrapText="1"/>
    </xf>
    <xf numFmtId="171" fontId="25" fillId="0" borderId="22" xfId="70" applyNumberFormat="1" applyFont="1" applyFill="1" applyBorder="1" applyProtection="1"/>
    <xf numFmtId="164" fontId="0" fillId="0" borderId="20" xfId="0" applyNumberFormat="1" applyFill="1" applyBorder="1" applyProtection="1"/>
    <xf numFmtId="165" fontId="0" fillId="0" borderId="20" xfId="0" quotePrefix="1" applyNumberFormat="1" applyFill="1" applyBorder="1" applyProtection="1"/>
    <xf numFmtId="165" fontId="25" fillId="0" borderId="20" xfId="0" applyNumberFormat="1" applyFont="1" applyFill="1" applyBorder="1" applyProtection="1"/>
    <xf numFmtId="165" fontId="0" fillId="0" borderId="20" xfId="0" applyNumberFormat="1" applyFill="1" applyBorder="1" applyProtection="1"/>
    <xf numFmtId="44" fontId="25" fillId="0" borderId="20" xfId="78" applyFont="1" applyFill="1" applyBorder="1" applyProtection="1"/>
    <xf numFmtId="9" fontId="0" fillId="0" borderId="20" xfId="0" applyNumberFormat="1" applyFill="1" applyBorder="1" applyProtection="1"/>
    <xf numFmtId="9" fontId="0" fillId="0" borderId="22" xfId="0" applyNumberFormat="1" applyFill="1" applyBorder="1" applyProtection="1"/>
    <xf numFmtId="0" fontId="0" fillId="0" borderId="0" xfId="0" applyBorder="1" applyProtection="1"/>
    <xf numFmtId="0" fontId="91" fillId="0" borderId="0" xfId="0" applyFont="1"/>
    <xf numFmtId="0" fontId="92" fillId="0" borderId="0" xfId="0" applyFont="1"/>
    <xf numFmtId="0" fontId="93" fillId="0" borderId="0" xfId="0" applyFont="1"/>
    <xf numFmtId="0" fontId="91" fillId="0" borderId="0" xfId="0" applyFont="1" applyFill="1"/>
    <xf numFmtId="0" fontId="91" fillId="0" borderId="0" xfId="0" applyFont="1" applyFill="1" applyBorder="1"/>
    <xf numFmtId="0" fontId="91" fillId="0" borderId="0" xfId="0" applyFont="1" applyBorder="1"/>
    <xf numFmtId="0" fontId="94" fillId="0" borderId="0" xfId="0" applyFont="1" applyBorder="1"/>
    <xf numFmtId="0" fontId="94" fillId="0" borderId="0" xfId="0" applyFont="1"/>
    <xf numFmtId="0" fontId="95" fillId="0" borderId="24" xfId="0" applyFont="1" applyFill="1" applyBorder="1"/>
    <xf numFmtId="0" fontId="91" fillId="0" borderId="24" xfId="0" applyFont="1" applyFill="1" applyBorder="1"/>
    <xf numFmtId="0" fontId="95" fillId="0" borderId="0" xfId="0" applyFont="1"/>
    <xf numFmtId="165" fontId="0" fillId="0" borderId="0" xfId="0" quotePrefix="1" applyNumberFormat="1" applyFill="1" applyBorder="1" applyProtection="1"/>
    <xf numFmtId="0" fontId="0" fillId="0" borderId="0" xfId="0" applyFill="1" applyBorder="1" applyAlignment="1" applyProtection="1">
      <alignment horizontal="center"/>
    </xf>
    <xf numFmtId="3" fontId="0" fillId="0" borderId="0" xfId="0" applyNumberFormat="1" applyFill="1" applyBorder="1" applyAlignment="1" applyProtection="1">
      <alignment horizontal="center"/>
    </xf>
    <xf numFmtId="164" fontId="0" fillId="0" borderId="0" xfId="0" applyNumberFormat="1" applyFill="1" applyBorder="1" applyProtection="1"/>
    <xf numFmtId="3" fontId="0" fillId="0" borderId="0" xfId="0" applyNumberFormat="1" applyFill="1" applyBorder="1" applyProtection="1"/>
    <xf numFmtId="167" fontId="25" fillId="0" borderId="0" xfId="0" applyNumberFormat="1" applyFont="1" applyFill="1" applyBorder="1" applyProtection="1"/>
    <xf numFmtId="0" fontId="25" fillId="0" borderId="0" xfId="0" applyFont="1" applyFill="1" applyBorder="1" applyProtection="1"/>
    <xf numFmtId="10" fontId="0" fillId="0" borderId="0" xfId="0" applyNumberFormat="1" applyFill="1" applyBorder="1" applyProtection="1"/>
    <xf numFmtId="166" fontId="22" fillId="0" borderId="40" xfId="0" applyNumberFormat="1" applyFont="1" applyFill="1" applyBorder="1" applyProtection="1">
      <protection locked="0"/>
    </xf>
    <xf numFmtId="4" fontId="22" fillId="0" borderId="40" xfId="123" applyNumberFormat="1" applyFont="1" applyFill="1" applyBorder="1" applyProtection="1">
      <protection locked="0"/>
    </xf>
    <xf numFmtId="178" fontId="22" fillId="0" borderId="0" xfId="122" applyNumberFormat="1" applyFont="1"/>
    <xf numFmtId="9" fontId="22" fillId="0" borderId="0" xfId="144" applyFont="1"/>
    <xf numFmtId="180" fontId="22" fillId="0" borderId="0" xfId="0" applyNumberFormat="1" applyFont="1"/>
    <xf numFmtId="9" fontId="0" fillId="0" borderId="0" xfId="144" applyFont="1"/>
    <xf numFmtId="0" fontId="22" fillId="0" borderId="0" xfId="0" applyFont="1" applyBorder="1"/>
    <xf numFmtId="0" fontId="25" fillId="0" borderId="0" xfId="0" applyFont="1" applyFill="1" applyAlignment="1" applyProtection="1">
      <alignment horizontal="right" vertical="center"/>
      <protection locked="0"/>
    </xf>
    <xf numFmtId="1" fontId="22" fillId="47" borderId="0" xfId="0" applyNumberFormat="1" applyFont="1" applyFill="1" applyAlignment="1" applyProtection="1">
      <alignment horizontal="left" vertical="center"/>
      <protection locked="0"/>
    </xf>
    <xf numFmtId="44" fontId="25" fillId="0" borderId="22" xfId="78" applyFont="1" applyFill="1" applyBorder="1" applyProtection="1"/>
    <xf numFmtId="0" fontId="22" fillId="0" borderId="0" xfId="0" applyFont="1" applyFill="1" applyBorder="1" applyAlignment="1" applyProtection="1">
      <alignment horizontal="center"/>
      <protection locked="0"/>
    </xf>
    <xf numFmtId="1" fontId="22" fillId="0" borderId="20" xfId="0" applyNumberFormat="1" applyFont="1" applyFill="1" applyBorder="1" applyAlignment="1" applyProtection="1">
      <alignment horizontal="center"/>
      <protection locked="0"/>
    </xf>
    <xf numFmtId="1" fontId="22" fillId="0" borderId="40" xfId="0" applyNumberFormat="1" applyFont="1" applyFill="1" applyBorder="1" applyAlignment="1" applyProtection="1">
      <alignment horizontal="center"/>
      <protection locked="0"/>
    </xf>
    <xf numFmtId="0" fontId="22" fillId="0" borderId="20" xfId="0" applyFont="1" applyFill="1" applyBorder="1" applyAlignment="1" applyProtection="1">
      <alignment horizontal="center"/>
      <protection locked="0"/>
    </xf>
    <xf numFmtId="0" fontId="22" fillId="0" borderId="40" xfId="0" applyFont="1" applyFill="1" applyBorder="1" applyAlignment="1" applyProtection="1">
      <alignment horizontal="center"/>
      <protection locked="0"/>
    </xf>
    <xf numFmtId="0" fontId="22" fillId="0" borderId="19" xfId="0" applyFont="1" applyFill="1" applyBorder="1" applyAlignment="1" applyProtection="1">
      <alignment horizontal="center"/>
      <protection locked="0"/>
    </xf>
    <xf numFmtId="0" fontId="22" fillId="0" borderId="20" xfId="123" applyFont="1" applyFill="1" applyBorder="1" applyAlignment="1" applyProtection="1">
      <alignment horizontal="center"/>
      <protection locked="0"/>
    </xf>
    <xf numFmtId="0" fontId="22" fillId="0" borderId="40" xfId="123" applyFont="1" applyFill="1" applyBorder="1" applyAlignment="1" applyProtection="1">
      <alignment horizontal="center"/>
      <protection locked="0"/>
    </xf>
    <xf numFmtId="0" fontId="25" fillId="0" borderId="36"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3" fontId="25" fillId="0" borderId="23" xfId="0" applyNumberFormat="1" applyFont="1" applyFill="1" applyBorder="1" applyAlignment="1" applyProtection="1">
      <alignment vertical="center" textRotation="90" wrapText="1"/>
      <protection locked="0"/>
    </xf>
    <xf numFmtId="165" fontId="25" fillId="0" borderId="37" xfId="0" applyNumberFormat="1" applyFont="1" applyBorder="1" applyAlignment="1" applyProtection="1">
      <alignment horizontal="center" vertical="center" textRotation="90" wrapText="1"/>
      <protection locked="0"/>
    </xf>
    <xf numFmtId="165" fontId="25" fillId="0" borderId="37" xfId="0" applyNumberFormat="1" applyFont="1" applyBorder="1" applyAlignment="1" applyProtection="1">
      <alignment vertical="center" textRotation="90" wrapText="1"/>
      <protection locked="0"/>
    </xf>
    <xf numFmtId="0" fontId="25" fillId="31" borderId="108" xfId="0" applyFont="1" applyFill="1" applyBorder="1" applyAlignment="1" applyProtection="1">
      <alignment vertical="center" wrapText="1"/>
      <protection locked="0"/>
    </xf>
    <xf numFmtId="0" fontId="25" fillId="46" borderId="24" xfId="0" applyFont="1" applyFill="1" applyBorder="1" applyAlignment="1">
      <alignment vertical="center"/>
    </xf>
    <xf numFmtId="168" fontId="22" fillId="46" borderId="24" xfId="0" applyNumberFormat="1" applyFont="1" applyFill="1" applyBorder="1" applyAlignment="1" applyProtection="1">
      <alignment vertical="center" wrapText="1"/>
      <protection locked="0"/>
    </xf>
    <xf numFmtId="0" fontId="22" fillId="46" borderId="24" xfId="0" applyFont="1" applyFill="1" applyBorder="1" applyAlignment="1">
      <alignment vertical="center"/>
    </xf>
    <xf numFmtId="9" fontId="22" fillId="46" borderId="109" xfId="0" applyNumberFormat="1" applyFont="1" applyFill="1" applyBorder="1" applyAlignment="1" applyProtection="1">
      <alignment horizontal="center" vertical="center" textRotation="90" wrapText="1"/>
      <protection locked="0"/>
    </xf>
    <xf numFmtId="9" fontId="22" fillId="46" borderId="110" xfId="0" applyNumberFormat="1" applyFont="1" applyFill="1" applyBorder="1" applyAlignment="1" applyProtection="1">
      <alignment horizontal="center" vertical="center" textRotation="90" wrapText="1"/>
      <protection locked="0"/>
    </xf>
    <xf numFmtId="0" fontId="22" fillId="47" borderId="76" xfId="0" applyNumberFormat="1" applyFont="1" applyFill="1" applyBorder="1" applyAlignment="1" applyProtection="1">
      <alignment horizontal="center" vertical="center" textRotation="90" wrapText="1"/>
      <protection locked="0"/>
    </xf>
    <xf numFmtId="9" fontId="22" fillId="47" borderId="75" xfId="0" applyNumberFormat="1" applyFont="1" applyFill="1" applyBorder="1" applyAlignment="1" applyProtection="1">
      <alignment horizontal="center" vertical="center" textRotation="90" wrapText="1"/>
      <protection locked="0"/>
    </xf>
    <xf numFmtId="44" fontId="22" fillId="0" borderId="0" xfId="78" applyFont="1" applyFill="1" applyAlignment="1" applyProtection="1">
      <alignment horizontal="right"/>
      <protection locked="0"/>
    </xf>
    <xf numFmtId="44" fontId="31" fillId="45" borderId="23" xfId="78" applyFont="1" applyFill="1" applyBorder="1" applyAlignment="1">
      <alignment vertical="top" wrapText="1"/>
    </xf>
    <xf numFmtId="44" fontId="25" fillId="0" borderId="0" xfId="78" applyFont="1" applyFill="1" applyBorder="1" applyAlignment="1" applyProtection="1">
      <alignment wrapText="1"/>
    </xf>
    <xf numFmtId="44" fontId="25" fillId="0" borderId="0" xfId="78" applyFont="1" applyFill="1" applyBorder="1" applyProtection="1"/>
    <xf numFmtId="182" fontId="22" fillId="0" borderId="0" xfId="70" applyNumberFormat="1" applyFont="1" applyFill="1" applyBorder="1" applyAlignment="1" applyProtection="1">
      <alignment horizontal="center" vertical="center" wrapText="1"/>
    </xf>
    <xf numFmtId="182" fontId="22" fillId="0" borderId="20" xfId="70" quotePrefix="1" applyNumberFormat="1" applyFont="1" applyFill="1" applyBorder="1" applyAlignment="1" applyProtection="1">
      <alignment horizontal="center" vertical="center"/>
    </xf>
    <xf numFmtId="182" fontId="22" fillId="0" borderId="20" xfId="70" applyNumberFormat="1" applyFont="1" applyFill="1" applyBorder="1" applyAlignment="1" applyProtection="1">
      <alignment horizontal="center" vertical="center"/>
    </xf>
    <xf numFmtId="182" fontId="22" fillId="0" borderId="0" xfId="70" applyNumberFormat="1" applyFont="1" applyFill="1" applyBorder="1" applyAlignment="1" applyProtection="1">
      <alignment horizontal="center" vertical="center"/>
    </xf>
    <xf numFmtId="182" fontId="22" fillId="0" borderId="19" xfId="70" applyNumberFormat="1" applyFont="1" applyFill="1" applyBorder="1" applyAlignment="1" applyProtection="1">
      <alignment horizontal="center" vertical="center"/>
    </xf>
    <xf numFmtId="0" fontId="49" fillId="0" borderId="15" xfId="197" applyFont="1" applyBorder="1" applyAlignment="1">
      <alignment horizontal="center" vertical="top" wrapText="1"/>
    </xf>
    <xf numFmtId="170" fontId="49" fillId="0" borderId="15" xfId="198" applyNumberFormat="1" applyFont="1" applyBorder="1" applyAlignment="1">
      <alignment horizontal="center" vertical="top" wrapText="1"/>
    </xf>
    <xf numFmtId="170" fontId="49" fillId="0" borderId="15" xfId="198" applyNumberFormat="1" applyFont="1" applyFill="1" applyBorder="1" applyAlignment="1">
      <alignment horizontal="center" vertical="top" wrapText="1"/>
    </xf>
    <xf numFmtId="171" fontId="49" fillId="0" borderId="15" xfId="199" applyNumberFormat="1" applyFont="1" applyBorder="1" applyAlignment="1">
      <alignment horizontal="center" vertical="top" wrapText="1"/>
    </xf>
    <xf numFmtId="171" fontId="49" fillId="0" borderId="15" xfId="199" applyNumberFormat="1" applyFont="1" applyFill="1" applyBorder="1" applyAlignment="1">
      <alignment horizontal="center" vertical="top" wrapText="1"/>
    </xf>
    <xf numFmtId="170" fontId="75" fillId="0" borderId="15" xfId="198" applyNumberFormat="1" applyFont="1" applyBorder="1" applyAlignment="1">
      <alignment horizontal="center" vertical="top" wrapText="1"/>
    </xf>
    <xf numFmtId="0" fontId="20" fillId="0" borderId="0" xfId="197" applyAlignment="1">
      <alignment horizontal="center" vertical="top" wrapText="1"/>
    </xf>
    <xf numFmtId="0" fontId="96" fillId="0" borderId="0" xfId="327" applyFont="1" applyAlignment="1">
      <alignment horizontal="center"/>
    </xf>
    <xf numFmtId="171" fontId="0" fillId="73" borderId="0" xfId="199" applyNumberFormat="1" applyFont="1" applyFill="1" applyBorder="1"/>
    <xf numFmtId="170" fontId="76" fillId="73" borderId="0" xfId="198" applyNumberFormat="1" applyFont="1" applyFill="1" applyBorder="1"/>
    <xf numFmtId="170" fontId="0" fillId="47" borderId="20" xfId="198" applyNumberFormat="1" applyFont="1" applyFill="1" applyBorder="1"/>
    <xf numFmtId="0" fontId="20" fillId="0" borderId="15" xfId="197" applyBorder="1"/>
    <xf numFmtId="170" fontId="0" fillId="47" borderId="67" xfId="198" applyNumberFormat="1" applyFont="1" applyFill="1" applyBorder="1"/>
    <xf numFmtId="0" fontId="75" fillId="0" borderId="15" xfId="119" applyFont="1" applyBorder="1" applyAlignment="1">
      <alignment wrapText="1"/>
    </xf>
    <xf numFmtId="43" fontId="0" fillId="47" borderId="23" xfId="70" applyFont="1" applyFill="1" applyBorder="1"/>
    <xf numFmtId="43" fontId="0" fillId="73" borderId="0" xfId="70" applyFont="1" applyFill="1" applyBorder="1"/>
    <xf numFmtId="43" fontId="0" fillId="51" borderId="23" xfId="70" applyFont="1" applyFill="1" applyBorder="1"/>
    <xf numFmtId="43" fontId="76" fillId="47" borderId="23" xfId="70" applyFont="1" applyFill="1" applyBorder="1"/>
    <xf numFmtId="43" fontId="76" fillId="73" borderId="0" xfId="70" applyFont="1" applyFill="1" applyBorder="1"/>
    <xf numFmtId="0" fontId="31" fillId="55" borderId="23" xfId="119" applyFill="1" applyBorder="1"/>
    <xf numFmtId="171" fontId="0" fillId="73" borderId="15" xfId="199" applyNumberFormat="1" applyFont="1" applyFill="1" applyBorder="1"/>
    <xf numFmtId="43" fontId="0" fillId="73" borderId="15" xfId="70" applyFont="1" applyFill="1" applyBorder="1"/>
    <xf numFmtId="43" fontId="76" fillId="73" borderId="15" xfId="70" applyFont="1" applyFill="1" applyBorder="1"/>
    <xf numFmtId="170" fontId="76" fillId="73" borderId="15" xfId="198" applyNumberFormat="1" applyFont="1" applyFill="1" applyBorder="1"/>
    <xf numFmtId="0" fontId="31" fillId="55" borderId="115" xfId="119" applyFill="1" applyBorder="1"/>
    <xf numFmtId="0" fontId="20" fillId="0" borderId="115" xfId="197" applyBorder="1"/>
    <xf numFmtId="0" fontId="22" fillId="0" borderId="115" xfId="0" applyFont="1" applyFill="1" applyBorder="1" applyProtection="1">
      <protection locked="0"/>
    </xf>
    <xf numFmtId="0" fontId="20" fillId="0" borderId="23" xfId="197" applyBorder="1"/>
    <xf numFmtId="0" fontId="31" fillId="55" borderId="67" xfId="119" applyFill="1" applyBorder="1"/>
    <xf numFmtId="0" fontId="20" fillId="0" borderId="67" xfId="197" applyBorder="1"/>
    <xf numFmtId="165" fontId="22" fillId="39" borderId="36" xfId="0" applyNumberFormat="1" applyFont="1" applyFill="1" applyBorder="1" applyAlignment="1" applyProtection="1">
      <alignment vertical="center" textRotation="90" wrapText="1"/>
      <protection locked="0"/>
    </xf>
    <xf numFmtId="165" fontId="22" fillId="39" borderId="37" xfId="0" applyNumberFormat="1" applyFont="1" applyFill="1" applyBorder="1" applyAlignment="1" applyProtection="1">
      <alignment vertical="center" textRotation="90" wrapText="1"/>
      <protection locked="0"/>
    </xf>
    <xf numFmtId="165" fontId="22" fillId="40" borderId="37" xfId="0" applyNumberFormat="1" applyFont="1" applyFill="1" applyBorder="1" applyAlignment="1" applyProtection="1">
      <alignment horizontal="center" vertical="center" textRotation="90" wrapText="1"/>
      <protection locked="0"/>
    </xf>
    <xf numFmtId="165" fontId="22" fillId="39" borderId="37" xfId="0" applyNumberFormat="1" applyFont="1" applyFill="1" applyBorder="1" applyAlignment="1" applyProtection="1">
      <alignment horizontal="center" vertical="center" textRotation="90" wrapText="1"/>
      <protection locked="0"/>
    </xf>
    <xf numFmtId="165" fontId="22" fillId="39" borderId="23" xfId="0" applyNumberFormat="1" applyFont="1" applyFill="1" applyBorder="1" applyAlignment="1" applyProtection="1">
      <alignment horizontal="center" vertical="center" textRotation="90" wrapText="1"/>
      <protection locked="0"/>
    </xf>
    <xf numFmtId="165" fontId="22" fillId="40" borderId="50" xfId="0" applyNumberFormat="1" applyFont="1" applyFill="1" applyBorder="1" applyAlignment="1" applyProtection="1">
      <alignment vertical="center" textRotation="90" wrapText="1"/>
      <protection locked="0"/>
    </xf>
    <xf numFmtId="0" fontId="22" fillId="0" borderId="0" xfId="0" applyFont="1" applyAlignment="1">
      <alignment horizontal="center"/>
    </xf>
    <xf numFmtId="170" fontId="0" fillId="0" borderId="20" xfId="78" applyNumberFormat="1" applyFont="1" applyFill="1" applyBorder="1" applyAlignment="1" applyProtection="1">
      <alignment horizontal="center"/>
    </xf>
    <xf numFmtId="43" fontId="22" fillId="0" borderId="20" xfId="70" applyNumberFormat="1" applyFont="1" applyFill="1" applyBorder="1" applyAlignment="1" applyProtection="1">
      <alignment horizontal="right"/>
      <protection locked="0"/>
    </xf>
    <xf numFmtId="0" fontId="22" fillId="0" borderId="0" xfId="0" applyFont="1" applyFill="1" applyAlignment="1" applyProtection="1">
      <alignment horizontal="center" vertical="center"/>
      <protection locked="0"/>
    </xf>
    <xf numFmtId="0" fontId="25" fillId="0" borderId="37" xfId="0" applyFont="1" applyFill="1" applyBorder="1" applyAlignment="1" applyProtection="1">
      <alignment vertical="center" textRotation="90" wrapText="1"/>
      <protection locked="0"/>
    </xf>
    <xf numFmtId="43" fontId="22" fillId="0" borderId="40" xfId="70" applyNumberFormat="1" applyFont="1" applyFill="1" applyBorder="1" applyAlignment="1" applyProtection="1">
      <alignment horizontal="right"/>
      <protection locked="0"/>
    </xf>
    <xf numFmtId="43" fontId="22" fillId="0" borderId="40" xfId="70" applyFont="1" applyFill="1" applyBorder="1" applyAlignment="1" applyProtection="1">
      <alignment horizontal="right"/>
      <protection locked="0"/>
    </xf>
    <xf numFmtId="0" fontId="0" fillId="48" borderId="0" xfId="0" applyFill="1" applyProtection="1"/>
    <xf numFmtId="0" fontId="24" fillId="48" borderId="0" xfId="111" applyFill="1"/>
    <xf numFmtId="0" fontId="21" fillId="48" borderId="14" xfId="111" applyFont="1" applyFill="1" applyBorder="1" applyAlignment="1">
      <alignment horizontal="center" wrapText="1"/>
    </xf>
    <xf numFmtId="0" fontId="24" fillId="48" borderId="27" xfId="111" applyFill="1" applyBorder="1"/>
    <xf numFmtId="0" fontId="72" fillId="48" borderId="0" xfId="111" applyFont="1" applyFill="1" applyBorder="1" applyAlignment="1">
      <alignment horizontal="center" wrapText="1"/>
    </xf>
    <xf numFmtId="0" fontId="24" fillId="48" borderId="0" xfId="111" applyFill="1" applyBorder="1" applyAlignment="1">
      <alignment horizontal="center"/>
    </xf>
    <xf numFmtId="0" fontId="24" fillId="48" borderId="44" xfId="111" applyFill="1" applyBorder="1" applyAlignment="1">
      <alignment horizontal="center" vertical="center" wrapText="1"/>
    </xf>
    <xf numFmtId="0" fontId="24" fillId="48" borderId="24" xfId="111" applyFill="1" applyBorder="1" applyAlignment="1">
      <alignment horizontal="center" vertical="center" wrapText="1"/>
    </xf>
    <xf numFmtId="0" fontId="24" fillId="48" borderId="21" xfId="111" applyFill="1" applyBorder="1" applyAlignment="1">
      <alignment horizontal="center" vertical="center" wrapText="1"/>
    </xf>
    <xf numFmtId="0" fontId="24" fillId="48" borderId="0" xfId="111" applyFill="1" applyBorder="1" applyAlignment="1">
      <alignment horizontal="center" wrapText="1"/>
    </xf>
    <xf numFmtId="2" fontId="24" fillId="48" borderId="14" xfId="111" applyNumberFormat="1" applyFill="1" applyBorder="1" applyAlignment="1">
      <alignment horizontal="center"/>
    </xf>
    <xf numFmtId="0" fontId="24" fillId="48" borderId="14" xfId="111" applyFill="1" applyBorder="1"/>
    <xf numFmtId="2" fontId="24" fillId="48" borderId="0" xfId="111" applyNumberFormat="1" applyFill="1" applyBorder="1" applyAlignment="1">
      <alignment horizontal="center"/>
    </xf>
    <xf numFmtId="2" fontId="24" fillId="48" borderId="20" xfId="111" applyNumberFormat="1" applyFill="1" applyBorder="1" applyAlignment="1">
      <alignment horizontal="center"/>
    </xf>
    <xf numFmtId="0" fontId="21" fillId="48" borderId="0" xfId="111" applyFont="1" applyFill="1" applyBorder="1" applyAlignment="1">
      <alignment horizontal="left"/>
    </xf>
    <xf numFmtId="2" fontId="24" fillId="48" borderId="98" xfId="111" applyNumberFormat="1" applyFill="1" applyBorder="1" applyAlignment="1">
      <alignment horizontal="center"/>
    </xf>
    <xf numFmtId="2" fontId="24" fillId="48" borderId="95" xfId="111" applyNumberFormat="1" applyFill="1" applyBorder="1" applyAlignment="1">
      <alignment horizontal="center"/>
    </xf>
    <xf numFmtId="2" fontId="24" fillId="48" borderId="96" xfId="111" applyNumberFormat="1" applyFill="1" applyBorder="1" applyAlignment="1">
      <alignment horizontal="center"/>
    </xf>
    <xf numFmtId="2" fontId="24" fillId="48" borderId="97" xfId="111" applyNumberFormat="1" applyFill="1" applyBorder="1" applyAlignment="1">
      <alignment horizontal="center"/>
    </xf>
    <xf numFmtId="0" fontId="24" fillId="48" borderId="0" xfId="111" applyFill="1" applyBorder="1" applyAlignment="1">
      <alignment horizontal="left"/>
    </xf>
    <xf numFmtId="2" fontId="24" fillId="48" borderId="102" xfId="111" applyNumberFormat="1" applyFill="1" applyBorder="1" applyAlignment="1">
      <alignment horizontal="center"/>
    </xf>
    <xf numFmtId="0" fontId="24" fillId="48" borderId="0" xfId="111" applyFill="1" applyBorder="1"/>
    <xf numFmtId="2" fontId="24" fillId="48" borderId="99" xfId="111" applyNumberFormat="1" applyFill="1" applyBorder="1" applyAlignment="1">
      <alignment horizontal="center"/>
    </xf>
    <xf numFmtId="2" fontId="24" fillId="48" borderId="100" xfId="111" applyNumberFormat="1" applyFill="1" applyBorder="1" applyAlignment="1">
      <alignment horizontal="center"/>
    </xf>
    <xf numFmtId="2" fontId="24" fillId="48" borderId="101" xfId="111" applyNumberFormat="1" applyFill="1" applyBorder="1" applyAlignment="1">
      <alignment horizontal="center"/>
    </xf>
    <xf numFmtId="2" fontId="24" fillId="48" borderId="106" xfId="111" applyNumberFormat="1" applyFill="1" applyBorder="1" applyAlignment="1">
      <alignment horizontal="center"/>
    </xf>
    <xf numFmtId="2" fontId="24" fillId="48" borderId="103" xfId="111" applyNumberFormat="1" applyFill="1" applyBorder="1" applyAlignment="1">
      <alignment horizontal="center"/>
    </xf>
    <xf numFmtId="2" fontId="24" fillId="48" borderId="104" xfId="111" applyNumberFormat="1" applyFill="1" applyBorder="1" applyAlignment="1">
      <alignment horizontal="center"/>
    </xf>
    <xf numFmtId="2" fontId="24" fillId="48" borderId="105" xfId="111" applyNumberFormat="1" applyFill="1" applyBorder="1" applyAlignment="1">
      <alignment horizontal="center"/>
    </xf>
    <xf numFmtId="0" fontId="24" fillId="48" borderId="27" xfId="111" applyFill="1" applyBorder="1" applyAlignment="1">
      <alignment horizontal="right" wrapText="1"/>
    </xf>
    <xf numFmtId="0" fontId="24" fillId="48" borderId="0" xfId="111" applyFill="1" applyBorder="1" applyAlignment="1">
      <alignment horizontal="right" wrapText="1"/>
    </xf>
    <xf numFmtId="10" fontId="24" fillId="48" borderId="0" xfId="111" applyNumberFormat="1" applyFill="1" applyBorder="1" applyAlignment="1">
      <alignment horizontal="center"/>
    </xf>
    <xf numFmtId="0" fontId="24" fillId="48" borderId="0" xfId="111" applyFill="1" applyBorder="1" applyAlignment="1">
      <alignment wrapText="1"/>
    </xf>
    <xf numFmtId="0" fontId="21" fillId="48" borderId="0" xfId="111" applyFont="1" applyFill="1" applyBorder="1" applyAlignment="1">
      <alignment horizontal="right"/>
    </xf>
    <xf numFmtId="0" fontId="24" fillId="48" borderId="31" xfId="111" applyFill="1" applyBorder="1" applyAlignment="1">
      <alignment horizontal="center"/>
    </xf>
    <xf numFmtId="0" fontId="24" fillId="48" borderId="15" xfId="111" applyFill="1" applyBorder="1" applyAlignment="1">
      <alignment wrapText="1"/>
    </xf>
    <xf numFmtId="0" fontId="24" fillId="48" borderId="15" xfId="111" applyFill="1" applyBorder="1" applyAlignment="1">
      <alignment horizontal="center"/>
    </xf>
    <xf numFmtId="0" fontId="21" fillId="48" borderId="15" xfId="111" applyFont="1" applyFill="1" applyBorder="1" applyAlignment="1">
      <alignment horizontal="left"/>
    </xf>
    <xf numFmtId="0" fontId="0" fillId="55" borderId="0" xfId="0" applyFill="1" applyProtection="1"/>
    <xf numFmtId="0" fontId="64" fillId="55" borderId="0" xfId="0" applyFont="1" applyFill="1" applyBorder="1" applyProtection="1"/>
    <xf numFmtId="0" fontId="64" fillId="55" borderId="0" xfId="0" applyFont="1" applyFill="1" applyBorder="1" applyAlignment="1" applyProtection="1">
      <alignment horizontal="left"/>
    </xf>
    <xf numFmtId="0" fontId="24" fillId="55" borderId="0" xfId="0" applyFont="1" applyFill="1" applyBorder="1" applyProtection="1"/>
    <xf numFmtId="0" fontId="65" fillId="55" borderId="0" xfId="0" applyFont="1" applyFill="1" applyBorder="1" applyAlignment="1" applyProtection="1">
      <alignment horizontal="left"/>
    </xf>
    <xf numFmtId="0" fontId="66" fillId="55" borderId="0" xfId="0" applyFont="1" applyFill="1" applyBorder="1" applyAlignment="1" applyProtection="1">
      <alignment horizontal="left"/>
    </xf>
    <xf numFmtId="0" fontId="24" fillId="55" borderId="0" xfId="0" applyFont="1" applyFill="1" applyBorder="1"/>
    <xf numFmtId="0" fontId="61" fillId="55" borderId="0" xfId="0" applyFont="1" applyFill="1" applyBorder="1" applyProtection="1"/>
    <xf numFmtId="0" fontId="67" fillId="55" borderId="0" xfId="0" applyFont="1" applyFill="1" applyBorder="1" applyAlignment="1" applyProtection="1">
      <alignment horizontal="left"/>
    </xf>
    <xf numFmtId="0" fontId="68" fillId="55" borderId="0" xfId="0" applyFont="1" applyFill="1" applyBorder="1" applyAlignment="1" applyProtection="1">
      <alignment horizontal="left"/>
    </xf>
    <xf numFmtId="9" fontId="24" fillId="55" borderId="0" xfId="0" applyNumberFormat="1" applyFont="1" applyFill="1" applyBorder="1" applyAlignment="1" applyProtection="1">
      <alignment horizontal="right"/>
      <protection locked="0"/>
    </xf>
    <xf numFmtId="0" fontId="24" fillId="55" borderId="0" xfId="0" applyFont="1" applyFill="1" applyBorder="1" applyAlignment="1" applyProtection="1">
      <alignment horizontal="left"/>
    </xf>
    <xf numFmtId="10" fontId="24" fillId="55" borderId="0" xfId="0" applyNumberFormat="1" applyFont="1" applyFill="1" applyBorder="1" applyAlignment="1" applyProtection="1">
      <alignment horizontal="right"/>
      <protection locked="0"/>
    </xf>
    <xf numFmtId="0" fontId="62" fillId="55" borderId="14" xfId="0" applyFont="1" applyFill="1" applyBorder="1" applyProtection="1"/>
    <xf numFmtId="0" fontId="24" fillId="55" borderId="14" xfId="0" applyFont="1" applyFill="1" applyBorder="1" applyProtection="1"/>
    <xf numFmtId="0" fontId="25" fillId="55" borderId="0" xfId="0" applyFont="1" applyFill="1" applyBorder="1" applyAlignment="1" applyProtection="1">
      <alignment horizontal="left"/>
    </xf>
    <xf numFmtId="0" fontId="0" fillId="55" borderId="0" xfId="0" applyFill="1" applyBorder="1" applyAlignment="1">
      <alignment wrapText="1"/>
    </xf>
    <xf numFmtId="0" fontId="25" fillId="55" borderId="69" xfId="0" applyFont="1" applyFill="1" applyBorder="1" applyAlignment="1" applyProtection="1">
      <alignment vertical="center" wrapText="1"/>
    </xf>
    <xf numFmtId="0" fontId="25" fillId="55" borderId="68" xfId="0" applyFont="1" applyFill="1" applyBorder="1" applyAlignment="1" applyProtection="1">
      <alignment vertical="center" wrapText="1"/>
    </xf>
    <xf numFmtId="0" fontId="25" fillId="55" borderId="0" xfId="0" applyFont="1" applyFill="1" applyBorder="1" applyAlignment="1" applyProtection="1">
      <alignment horizontal="center" vertical="center"/>
    </xf>
    <xf numFmtId="0" fontId="25" fillId="55" borderId="39" xfId="0" applyFont="1" applyFill="1" applyBorder="1" applyAlignment="1" applyProtection="1">
      <alignment horizontal="center" vertical="center" wrapText="1"/>
    </xf>
    <xf numFmtId="0" fontId="25" fillId="55" borderId="67" xfId="0" applyFont="1" applyFill="1" applyBorder="1" applyAlignment="1" applyProtection="1">
      <alignment horizontal="center" vertical="center" wrapText="1"/>
    </xf>
    <xf numFmtId="0" fontId="25" fillId="55" borderId="68" xfId="0" applyFont="1" applyFill="1" applyBorder="1" applyAlignment="1" applyProtection="1">
      <alignment horizontal="center" vertical="center" wrapText="1"/>
    </xf>
    <xf numFmtId="0" fontId="25" fillId="55" borderId="64" xfId="0" applyFont="1" applyFill="1" applyBorder="1" applyAlignment="1" applyProtection="1">
      <alignment horizontal="center" vertical="center" wrapText="1"/>
    </xf>
    <xf numFmtId="0" fontId="25" fillId="55" borderId="91" xfId="0" applyFont="1" applyFill="1" applyBorder="1" applyAlignment="1" applyProtection="1">
      <alignment horizontal="center" vertical="center" wrapText="1"/>
    </xf>
    <xf numFmtId="0" fontId="25" fillId="55" borderId="65" xfId="0" applyFont="1" applyFill="1" applyBorder="1" applyAlignment="1" applyProtection="1">
      <alignment horizontal="center" vertical="center" wrapText="1"/>
    </xf>
    <xf numFmtId="0" fontId="25" fillId="55" borderId="92" xfId="0" applyFont="1" applyFill="1" applyBorder="1" applyAlignment="1" applyProtection="1">
      <alignment horizontal="center" vertical="center" wrapText="1"/>
    </xf>
    <xf numFmtId="0" fontId="25" fillId="55" borderId="66" xfId="0" applyFont="1" applyFill="1" applyBorder="1" applyAlignment="1" applyProtection="1">
      <alignment horizontal="center" vertical="center" wrapText="1"/>
    </xf>
    <xf numFmtId="0" fontId="25" fillId="55" borderId="0" xfId="0" applyFont="1" applyFill="1" applyBorder="1" applyAlignment="1" applyProtection="1">
      <alignment horizontal="center" vertical="center" wrapText="1"/>
    </xf>
    <xf numFmtId="0" fontId="25" fillId="55" borderId="72" xfId="0" applyFont="1" applyFill="1" applyBorder="1" applyAlignment="1" applyProtection="1">
      <alignment horizontal="center" vertical="center" wrapText="1"/>
    </xf>
    <xf numFmtId="0" fontId="25" fillId="55" borderId="28" xfId="0" applyFont="1" applyFill="1" applyBorder="1" applyAlignment="1" applyProtection="1">
      <alignment horizontal="center" vertical="center" wrapText="1"/>
    </xf>
    <xf numFmtId="0" fontId="25" fillId="55" borderId="74" xfId="0" applyFont="1" applyFill="1" applyBorder="1" applyAlignment="1" applyProtection="1">
      <alignment horizontal="center" vertical="center"/>
    </xf>
    <xf numFmtId="0" fontId="25" fillId="55" borderId="38" xfId="0" applyFont="1" applyFill="1" applyBorder="1" applyAlignment="1" applyProtection="1">
      <alignment horizontal="center" vertical="center"/>
    </xf>
    <xf numFmtId="0" fontId="25" fillId="55" borderId="14" xfId="0" applyFont="1" applyFill="1" applyBorder="1" applyAlignment="1" applyProtection="1">
      <alignment horizontal="center" vertical="center"/>
    </xf>
    <xf numFmtId="0" fontId="25" fillId="55" borderId="46" xfId="0" applyFont="1" applyFill="1" applyBorder="1" applyAlignment="1" applyProtection="1">
      <alignment horizontal="center" vertical="center"/>
    </xf>
    <xf numFmtId="0" fontId="25" fillId="55" borderId="61" xfId="0" applyFont="1" applyFill="1" applyBorder="1" applyAlignment="1" applyProtection="1">
      <alignment horizontal="center" vertical="center"/>
    </xf>
    <xf numFmtId="0" fontId="25" fillId="55" borderId="36" xfId="0" applyFont="1" applyFill="1" applyBorder="1" applyAlignment="1" applyProtection="1">
      <alignment horizontal="center" vertical="center"/>
    </xf>
    <xf numFmtId="0" fontId="25" fillId="55" borderId="37" xfId="0" applyFont="1" applyFill="1" applyBorder="1" applyAlignment="1" applyProtection="1">
      <alignment horizontal="center" vertical="center"/>
    </xf>
    <xf numFmtId="0" fontId="25" fillId="55" borderId="50" xfId="0" applyFont="1" applyFill="1" applyBorder="1" applyAlignment="1" applyProtection="1">
      <alignment horizontal="center" vertical="center"/>
    </xf>
    <xf numFmtId="0" fontId="25" fillId="55" borderId="60" xfId="0" applyFont="1" applyFill="1" applyBorder="1" applyAlignment="1" applyProtection="1">
      <alignment horizontal="center" vertical="center"/>
    </xf>
    <xf numFmtId="0" fontId="25" fillId="55" borderId="51" xfId="0" applyFont="1" applyFill="1" applyBorder="1" applyAlignment="1" applyProtection="1">
      <alignment horizontal="center" vertical="center"/>
    </xf>
    <xf numFmtId="0" fontId="25" fillId="55" borderId="49" xfId="0" applyFont="1" applyFill="1" applyBorder="1" applyAlignment="1" applyProtection="1">
      <alignment horizontal="center" vertical="center"/>
    </xf>
    <xf numFmtId="0" fontId="25" fillId="55" borderId="93" xfId="0" applyFont="1" applyFill="1" applyBorder="1" applyAlignment="1" applyProtection="1">
      <alignment horizontal="center"/>
    </xf>
    <xf numFmtId="0" fontId="25" fillId="55" borderId="38" xfId="0" applyFont="1" applyFill="1" applyBorder="1" applyAlignment="1" applyProtection="1">
      <alignment horizontal="center"/>
    </xf>
    <xf numFmtId="0" fontId="25" fillId="55" borderId="14" xfId="0" applyFont="1" applyFill="1" applyBorder="1" applyAlignment="1" applyProtection="1">
      <alignment horizontal="center"/>
    </xf>
    <xf numFmtId="0" fontId="25" fillId="55" borderId="46" xfId="0" applyFont="1" applyFill="1" applyBorder="1" applyAlignment="1" applyProtection="1">
      <alignment horizontal="center"/>
    </xf>
    <xf numFmtId="2" fontId="25" fillId="55" borderId="61" xfId="0" applyNumberFormat="1" applyFont="1" applyFill="1" applyBorder="1" applyAlignment="1" applyProtection="1">
      <alignment horizontal="center" wrapText="1"/>
    </xf>
    <xf numFmtId="2" fontId="25" fillId="55" borderId="46" xfId="0" applyNumberFormat="1" applyFont="1" applyFill="1" applyBorder="1" applyAlignment="1" applyProtection="1">
      <alignment horizontal="center" wrapText="1"/>
    </xf>
    <xf numFmtId="0" fontId="25" fillId="55" borderId="61" xfId="0" applyFont="1" applyFill="1" applyBorder="1" applyAlignment="1" applyProtection="1">
      <alignment horizontal="center"/>
    </xf>
    <xf numFmtId="0" fontId="25" fillId="55" borderId="0" xfId="0" applyFont="1" applyFill="1" applyBorder="1" applyAlignment="1" applyProtection="1">
      <alignment horizontal="center"/>
    </xf>
    <xf numFmtId="0" fontId="25" fillId="55" borderId="62" xfId="0" applyFont="1" applyFill="1" applyBorder="1" applyAlignment="1" applyProtection="1">
      <alignment horizontal="center"/>
    </xf>
    <xf numFmtId="169" fontId="24" fillId="55" borderId="38" xfId="0" applyNumberFormat="1" applyFont="1" applyFill="1" applyBorder="1" applyAlignment="1" applyProtection="1">
      <alignment horizontal="center"/>
    </xf>
    <xf numFmtId="169" fontId="24" fillId="55" borderId="14" xfId="0" applyNumberFormat="1" applyFont="1" applyFill="1" applyBorder="1" applyAlignment="1" applyProtection="1">
      <alignment horizontal="center"/>
    </xf>
    <xf numFmtId="169" fontId="24" fillId="55" borderId="46" xfId="0" applyNumberFormat="1" applyFont="1" applyFill="1" applyBorder="1" applyAlignment="1" applyProtection="1">
      <alignment horizontal="center"/>
    </xf>
    <xf numFmtId="169" fontId="24" fillId="55" borderId="0" xfId="0" applyNumberFormat="1" applyFont="1" applyFill="1" applyBorder="1" applyAlignment="1" applyProtection="1">
      <alignment horizontal="center"/>
    </xf>
    <xf numFmtId="169" fontId="24" fillId="55" borderId="87" xfId="0" applyNumberFormat="1" applyFont="1" applyFill="1" applyBorder="1" applyAlignment="1" applyProtection="1">
      <alignment horizontal="center"/>
    </xf>
    <xf numFmtId="2" fontId="24" fillId="55" borderId="14" xfId="0" applyNumberFormat="1" applyFont="1" applyFill="1" applyBorder="1" applyAlignment="1" applyProtection="1">
      <alignment horizontal="center"/>
    </xf>
    <xf numFmtId="166" fontId="24" fillId="55" borderId="45" xfId="0" applyNumberFormat="1" applyFont="1" applyFill="1" applyBorder="1" applyAlignment="1" applyProtection="1">
      <alignment horizontal="center"/>
    </xf>
    <xf numFmtId="180" fontId="24" fillId="55" borderId="45" xfId="0" applyNumberFormat="1" applyFont="1" applyFill="1" applyBorder="1" applyAlignment="1" applyProtection="1">
      <alignment horizontal="center"/>
    </xf>
    <xf numFmtId="166" fontId="24" fillId="55" borderId="46" xfId="0" applyNumberFormat="1" applyFont="1" applyFill="1" applyBorder="1" applyAlignment="1" applyProtection="1">
      <alignment horizontal="center"/>
    </xf>
    <xf numFmtId="0" fontId="25" fillId="55" borderId="94" xfId="0" applyFont="1" applyFill="1" applyBorder="1" applyAlignment="1" applyProtection="1">
      <alignment horizontal="center"/>
    </xf>
    <xf numFmtId="169" fontId="24" fillId="55" borderId="39" xfId="0" applyNumberFormat="1" applyFont="1" applyFill="1" applyBorder="1" applyAlignment="1" applyProtection="1">
      <alignment horizontal="center"/>
    </xf>
    <xf numFmtId="169" fontId="24" fillId="55" borderId="67" xfId="0" applyNumberFormat="1" applyFont="1" applyFill="1" applyBorder="1" applyAlignment="1" applyProtection="1">
      <alignment horizontal="center"/>
    </xf>
    <xf numFmtId="169" fontId="24" fillId="55" borderId="68" xfId="0" applyNumberFormat="1" applyFont="1" applyFill="1" applyBorder="1" applyAlignment="1" applyProtection="1">
      <alignment horizontal="center"/>
    </xf>
    <xf numFmtId="169" fontId="24" fillId="55" borderId="70" xfId="0" applyNumberFormat="1" applyFont="1" applyFill="1" applyBorder="1" applyAlignment="1" applyProtection="1">
      <alignment horizontal="center"/>
    </xf>
    <xf numFmtId="2" fontId="24" fillId="55" borderId="67" xfId="0" applyNumberFormat="1" applyFont="1" applyFill="1" applyBorder="1" applyAlignment="1" applyProtection="1">
      <alignment horizontal="center"/>
    </xf>
    <xf numFmtId="166" fontId="24" fillId="55" borderId="68" xfId="0" applyNumberFormat="1" applyFont="1" applyFill="1" applyBorder="1" applyAlignment="1" applyProtection="1">
      <alignment horizontal="center"/>
    </xf>
    <xf numFmtId="180" fontId="24" fillId="55" borderId="72" xfId="0" applyNumberFormat="1" applyFont="1" applyFill="1" applyBorder="1" applyAlignment="1" applyProtection="1">
      <alignment horizontal="center"/>
    </xf>
    <xf numFmtId="2" fontId="24" fillId="55" borderId="0" xfId="0" applyNumberFormat="1" applyFont="1" applyFill="1" applyBorder="1" applyAlignment="1" applyProtection="1">
      <alignment horizontal="center"/>
    </xf>
    <xf numFmtId="169" fontId="53" fillId="55" borderId="0" xfId="0" applyNumberFormat="1" applyFont="1" applyFill="1" applyBorder="1" applyAlignment="1" applyProtection="1">
      <alignment horizontal="center"/>
    </xf>
    <xf numFmtId="2" fontId="53" fillId="55" borderId="0" xfId="0" applyNumberFormat="1" applyFont="1" applyFill="1" applyBorder="1" applyAlignment="1" applyProtection="1">
      <alignment horizontal="center"/>
    </xf>
    <xf numFmtId="166" fontId="24" fillId="55" borderId="0" xfId="0" applyNumberFormat="1" applyFont="1" applyFill="1" applyBorder="1" applyAlignment="1" applyProtection="1">
      <alignment horizontal="center"/>
    </xf>
    <xf numFmtId="180" fontId="24" fillId="55" borderId="0" xfId="0" applyNumberFormat="1" applyFont="1" applyFill="1" applyBorder="1" applyAlignment="1" applyProtection="1">
      <alignment horizontal="center"/>
    </xf>
    <xf numFmtId="169" fontId="25" fillId="55" borderId="33" xfId="0" applyNumberFormat="1" applyFont="1" applyFill="1" applyBorder="1" applyAlignment="1" applyProtection="1">
      <alignment horizontal="left"/>
    </xf>
    <xf numFmtId="0" fontId="24" fillId="55" borderId="28" xfId="0" applyFont="1" applyFill="1" applyBorder="1" applyProtection="1"/>
    <xf numFmtId="0" fontId="24" fillId="55" borderId="33" xfId="0" applyFont="1" applyFill="1" applyBorder="1"/>
    <xf numFmtId="169" fontId="24" fillId="55" borderId="34" xfId="0" applyNumberFormat="1" applyFont="1" applyFill="1" applyBorder="1" applyAlignment="1" applyProtection="1">
      <alignment horizontal="center"/>
    </xf>
    <xf numFmtId="169" fontId="24" fillId="55" borderId="33" xfId="0" applyNumberFormat="1" applyFont="1" applyFill="1" applyBorder="1" applyAlignment="1" applyProtection="1">
      <alignment horizontal="center"/>
    </xf>
    <xf numFmtId="169" fontId="24" fillId="55" borderId="49" xfId="0" applyNumberFormat="1" applyFont="1" applyFill="1" applyBorder="1" applyAlignment="1" applyProtection="1">
      <alignment horizontal="center"/>
    </xf>
    <xf numFmtId="169" fontId="24" fillId="55" borderId="52" xfId="0" applyNumberFormat="1" applyFont="1" applyFill="1" applyBorder="1" applyAlignment="1" applyProtection="1">
      <alignment horizontal="center"/>
    </xf>
    <xf numFmtId="169" fontId="53" fillId="55" borderId="34" xfId="0" applyNumberFormat="1" applyFont="1" applyFill="1" applyBorder="1" applyAlignment="1" applyProtection="1">
      <alignment horizontal="center"/>
    </xf>
    <xf numFmtId="2" fontId="24" fillId="55" borderId="35" xfId="0" applyNumberFormat="1" applyFont="1" applyFill="1" applyBorder="1" applyAlignment="1" applyProtection="1">
      <alignment horizontal="center"/>
    </xf>
    <xf numFmtId="169" fontId="24" fillId="55" borderId="35" xfId="0" applyNumberFormat="1" applyFont="1" applyFill="1" applyBorder="1" applyAlignment="1" applyProtection="1">
      <alignment horizontal="center"/>
    </xf>
    <xf numFmtId="169" fontId="25" fillId="55" borderId="25" xfId="0" applyNumberFormat="1" applyFont="1" applyFill="1" applyBorder="1" applyAlignment="1" applyProtection="1">
      <alignment horizontal="left"/>
    </xf>
    <xf numFmtId="169" fontId="25" fillId="55" borderId="48" xfId="0" applyNumberFormat="1" applyFont="1" applyFill="1" applyBorder="1" applyAlignment="1" applyProtection="1">
      <alignment horizontal="left"/>
    </xf>
    <xf numFmtId="2" fontId="24" fillId="55" borderId="34" xfId="0" applyNumberFormat="1" applyFont="1" applyFill="1" applyBorder="1" applyAlignment="1" applyProtection="1">
      <alignment horizontal="center"/>
    </xf>
    <xf numFmtId="0" fontId="24" fillId="55" borderId="74" xfId="0" applyFont="1" applyFill="1" applyBorder="1" applyProtection="1"/>
    <xf numFmtId="0" fontId="25" fillId="55" borderId="27" xfId="0" applyFont="1" applyFill="1" applyBorder="1" applyAlignment="1" applyProtection="1"/>
    <xf numFmtId="0" fontId="25" fillId="55" borderId="28" xfId="0" applyFont="1" applyFill="1" applyBorder="1" applyAlignment="1" applyProtection="1"/>
    <xf numFmtId="0" fontId="25" fillId="55" borderId="31" xfId="0" applyFont="1" applyFill="1" applyBorder="1" applyAlignment="1" applyProtection="1"/>
    <xf numFmtId="0" fontId="25" fillId="55" borderId="30" xfId="0" applyFont="1" applyFill="1" applyBorder="1" applyAlignment="1" applyProtection="1"/>
    <xf numFmtId="0" fontId="25" fillId="55" borderId="0" xfId="0" applyFont="1" applyFill="1" applyBorder="1" applyAlignment="1" applyProtection="1">
      <alignment wrapText="1"/>
    </xf>
    <xf numFmtId="0" fontId="71" fillId="55" borderId="0" xfId="0" applyFont="1" applyFill="1" applyBorder="1" applyProtection="1"/>
    <xf numFmtId="169" fontId="24" fillId="55" borderId="0" xfId="0" applyNumberFormat="1" applyFont="1" applyFill="1" applyBorder="1" applyAlignment="1" applyProtection="1">
      <alignment horizontal="left" vertical="center"/>
    </xf>
    <xf numFmtId="168" fontId="24" fillId="55" borderId="0" xfId="0" applyNumberFormat="1" applyFont="1" applyFill="1" applyBorder="1" applyAlignment="1" applyProtection="1">
      <alignment horizontal="center"/>
    </xf>
    <xf numFmtId="169" fontId="24" fillId="55" borderId="0" xfId="0" applyNumberFormat="1" applyFont="1" applyFill="1" applyBorder="1" applyAlignment="1" applyProtection="1">
      <alignment horizontal="left"/>
    </xf>
    <xf numFmtId="0" fontId="24" fillId="55" borderId="0" xfId="0" applyFont="1" applyFill="1" applyBorder="1" applyAlignment="1" applyProtection="1"/>
    <xf numFmtId="0" fontId="25" fillId="76" borderId="16" xfId="0" applyFont="1" applyFill="1" applyBorder="1" applyAlignment="1" applyProtection="1">
      <alignment horizontal="left"/>
    </xf>
    <xf numFmtId="169" fontId="24" fillId="76" borderId="17" xfId="0" applyNumberFormat="1" applyFont="1" applyFill="1" applyBorder="1" applyAlignment="1" applyProtection="1">
      <alignment horizontal="center"/>
    </xf>
    <xf numFmtId="0" fontId="24" fillId="76" borderId="18" xfId="0" applyFont="1" applyFill="1" applyBorder="1" applyProtection="1"/>
    <xf numFmtId="0" fontId="24" fillId="76" borderId="16" xfId="0" applyFont="1" applyFill="1" applyBorder="1" applyAlignment="1" applyProtection="1">
      <alignment horizontal="left"/>
    </xf>
    <xf numFmtId="0" fontId="24" fillId="76" borderId="17" xfId="0" applyFont="1" applyFill="1" applyBorder="1" applyProtection="1"/>
    <xf numFmtId="10" fontId="24" fillId="76" borderId="18" xfId="0" applyNumberFormat="1" applyFont="1" applyFill="1" applyBorder="1" applyAlignment="1" applyProtection="1">
      <alignment horizontal="right"/>
      <protection locked="0"/>
    </xf>
    <xf numFmtId="0" fontId="24" fillId="76" borderId="31" xfId="0" applyFont="1" applyFill="1" applyBorder="1" applyAlignment="1" applyProtection="1">
      <alignment horizontal="left"/>
    </xf>
    <xf numFmtId="0" fontId="24" fillId="76" borderId="15" xfId="0" applyFont="1" applyFill="1" applyBorder="1" applyProtection="1"/>
    <xf numFmtId="10" fontId="24" fillId="76" borderId="32" xfId="0" applyNumberFormat="1" applyFont="1" applyFill="1" applyBorder="1" applyAlignment="1" applyProtection="1">
      <alignment horizontal="right"/>
      <protection locked="0"/>
    </xf>
    <xf numFmtId="0" fontId="24" fillId="76" borderId="33" xfId="0" applyFont="1" applyFill="1" applyBorder="1" applyAlignment="1" applyProtection="1">
      <alignment horizontal="left"/>
    </xf>
    <xf numFmtId="0" fontId="24" fillId="76" borderId="34" xfId="0" applyFont="1" applyFill="1" applyBorder="1" applyProtection="1"/>
    <xf numFmtId="10" fontId="24" fillId="76" borderId="25" xfId="0" applyNumberFormat="1" applyFont="1" applyFill="1" applyBorder="1" applyAlignment="1" applyProtection="1">
      <alignment horizontal="right"/>
      <protection locked="0"/>
    </xf>
    <xf numFmtId="182" fontId="89" fillId="58" borderId="115" xfId="0" applyNumberFormat="1" applyFont="1" applyFill="1" applyBorder="1" applyAlignment="1" applyProtection="1">
      <alignment horizontal="centerContinuous" vertical="center" wrapText="1"/>
    </xf>
    <xf numFmtId="173" fontId="89" fillId="56" borderId="115" xfId="111" applyNumberFormat="1" applyFont="1" applyFill="1" applyBorder="1" applyAlignment="1" applyProtection="1">
      <alignment horizontal="centerContinuous"/>
    </xf>
    <xf numFmtId="173" fontId="89" fillId="60" borderId="115" xfId="111" applyNumberFormat="1" applyFont="1" applyFill="1" applyBorder="1" applyAlignment="1" applyProtection="1">
      <alignment horizontal="centerContinuous"/>
    </xf>
    <xf numFmtId="0" fontId="89" fillId="71" borderId="115" xfId="0" applyFont="1" applyFill="1" applyBorder="1" applyAlignment="1">
      <alignment horizontal="center" vertical="center"/>
    </xf>
    <xf numFmtId="0" fontId="89" fillId="57" borderId="115" xfId="0" applyFont="1" applyFill="1" applyBorder="1" applyAlignment="1">
      <alignment horizontal="centerContinuous"/>
    </xf>
    <xf numFmtId="0" fontId="89" fillId="49" borderId="115" xfId="0" applyFont="1" applyFill="1" applyBorder="1" applyAlignment="1">
      <alignment horizontal="center" vertical="center"/>
    </xf>
    <xf numFmtId="167" fontId="89" fillId="65" borderId="115" xfId="111" applyNumberFormat="1" applyFont="1" applyFill="1" applyBorder="1" applyAlignment="1" applyProtection="1">
      <alignment horizontal="centerContinuous" wrapText="1"/>
    </xf>
    <xf numFmtId="167" fontId="89" fillId="58" borderId="115" xfId="111" applyNumberFormat="1" applyFont="1" applyFill="1" applyBorder="1" applyAlignment="1" applyProtection="1">
      <alignment horizontal="centerContinuous" wrapText="1"/>
    </xf>
    <xf numFmtId="0" fontId="89" fillId="75" borderId="115" xfId="0" applyFont="1" applyFill="1" applyBorder="1" applyAlignment="1">
      <alignment horizontal="center"/>
    </xf>
    <xf numFmtId="0" fontId="22" fillId="0" borderId="115" xfId="0" applyFont="1" applyBorder="1" applyAlignment="1" applyProtection="1">
      <alignment horizontal="center" vertical="top" wrapText="1"/>
    </xf>
    <xf numFmtId="3" fontId="22" fillId="0" borderId="115" xfId="0" applyNumberFormat="1" applyFont="1" applyBorder="1" applyAlignment="1" applyProtection="1">
      <alignment horizontal="center" vertical="top" wrapText="1"/>
    </xf>
    <xf numFmtId="3" fontId="22" fillId="55" borderId="115" xfId="0" applyNumberFormat="1" applyFont="1" applyFill="1" applyBorder="1" applyAlignment="1" applyProtection="1">
      <alignment horizontal="center" vertical="top" wrapText="1"/>
    </xf>
    <xf numFmtId="164" fontId="22" fillId="31" borderId="115" xfId="0" applyNumberFormat="1" applyFont="1" applyFill="1" applyBorder="1" applyAlignment="1" applyProtection="1">
      <alignment vertical="top" wrapText="1"/>
    </xf>
    <xf numFmtId="171" fontId="22" fillId="0" borderId="0" xfId="70" applyNumberFormat="1" applyFont="1" applyFill="1" applyBorder="1" applyProtection="1"/>
    <xf numFmtId="171" fontId="25" fillId="0" borderId="0" xfId="70" applyNumberFormat="1" applyFont="1" applyFill="1" applyBorder="1" applyProtection="1"/>
    <xf numFmtId="0" fontId="90" fillId="0" borderId="0" xfId="0" applyFont="1" applyBorder="1" applyProtection="1"/>
    <xf numFmtId="0" fontId="0" fillId="0" borderId="0" xfId="0" applyBorder="1" applyAlignment="1" applyProtection="1">
      <alignment horizontal="left"/>
    </xf>
    <xf numFmtId="3" fontId="0" fillId="0" borderId="0" xfId="0" applyNumberFormat="1" applyBorder="1" applyAlignment="1" applyProtection="1">
      <alignment horizontal="center"/>
    </xf>
    <xf numFmtId="164" fontId="0" fillId="0" borderId="0" xfId="0" applyNumberFormat="1" applyBorder="1" applyProtection="1"/>
    <xf numFmtId="3" fontId="0" fillId="0" borderId="0" xfId="0" applyNumberFormat="1" applyBorder="1" applyProtection="1"/>
    <xf numFmtId="174" fontId="0" fillId="0" borderId="0" xfId="0" applyNumberFormat="1" applyBorder="1" applyProtection="1"/>
    <xf numFmtId="182" fontId="22" fillId="0" borderId="0" xfId="70" applyNumberFormat="1" applyFont="1" applyBorder="1" applyAlignment="1" applyProtection="1">
      <alignment horizontal="center" vertical="center"/>
    </xf>
    <xf numFmtId="167" fontId="0" fillId="0" borderId="0" xfId="0" applyNumberFormat="1" applyBorder="1" applyProtection="1"/>
    <xf numFmtId="0" fontId="25" fillId="0" borderId="0" xfId="0" applyFont="1" applyBorder="1" applyProtection="1"/>
    <xf numFmtId="167" fontId="25" fillId="0" borderId="0" xfId="0" applyNumberFormat="1" applyFont="1" applyBorder="1" applyProtection="1"/>
    <xf numFmtId="44" fontId="25" fillId="0" borderId="0" xfId="78" applyFont="1" applyBorder="1" applyProtection="1"/>
    <xf numFmtId="10" fontId="0" fillId="0" borderId="0" xfId="0" applyNumberFormat="1" applyBorder="1" applyProtection="1"/>
    <xf numFmtId="164" fontId="22" fillId="31" borderId="115" xfId="111" applyNumberFormat="1" applyFont="1" applyFill="1" applyBorder="1" applyAlignment="1" applyProtection="1">
      <alignment horizontal="center" vertical="top" wrapText="1"/>
    </xf>
    <xf numFmtId="3" fontId="22" fillId="31" borderId="115" xfId="111" applyNumberFormat="1" applyFont="1" applyFill="1" applyBorder="1" applyAlignment="1" applyProtection="1">
      <alignment horizontal="center" vertical="top" wrapText="1"/>
    </xf>
    <xf numFmtId="3" fontId="22" fillId="41" borderId="115" xfId="111" applyNumberFormat="1" applyFont="1" applyFill="1" applyBorder="1" applyAlignment="1" applyProtection="1">
      <alignment horizontal="center" vertical="top" wrapText="1"/>
    </xf>
    <xf numFmtId="164" fontId="22" fillId="33" borderId="115" xfId="0" applyNumberFormat="1" applyFont="1" applyFill="1" applyBorder="1" applyAlignment="1" applyProtection="1">
      <alignment vertical="top" wrapText="1"/>
    </xf>
    <xf numFmtId="174" fontId="22" fillId="33" borderId="115" xfId="0" applyNumberFormat="1" applyFont="1" applyFill="1" applyBorder="1" applyAlignment="1" applyProtection="1">
      <alignment vertical="top" wrapText="1"/>
    </xf>
    <xf numFmtId="182" fontId="22" fillId="59" borderId="115" xfId="70" applyNumberFormat="1" applyFont="1" applyFill="1" applyBorder="1" applyAlignment="1" applyProtection="1">
      <alignment horizontal="center" vertical="top" wrapText="1"/>
    </xf>
    <xf numFmtId="0" fontId="62" fillId="0" borderId="0" xfId="0" applyFont="1" applyBorder="1" applyAlignment="1" applyProtection="1">
      <alignment horizontal="left"/>
    </xf>
    <xf numFmtId="0" fontId="63" fillId="0" borderId="0" xfId="0" applyNumberFormat="1" applyFont="1" applyFill="1" applyBorder="1" applyAlignment="1" applyProtection="1">
      <alignment horizontal="left"/>
    </xf>
    <xf numFmtId="3" fontId="22" fillId="41" borderId="116" xfId="111" applyNumberFormat="1" applyFont="1" applyFill="1" applyBorder="1" applyAlignment="1" applyProtection="1">
      <alignment horizontal="center" vertical="top" wrapText="1"/>
    </xf>
    <xf numFmtId="174" fontId="0" fillId="0" borderId="0" xfId="0" applyNumberFormat="1" applyFill="1" applyBorder="1" applyProtection="1"/>
    <xf numFmtId="164" fontId="25" fillId="31" borderId="115" xfId="111" applyNumberFormat="1" applyFont="1" applyFill="1" applyBorder="1" applyAlignment="1" applyProtection="1">
      <alignment horizontal="center" vertical="top" wrapText="1"/>
    </xf>
    <xf numFmtId="164" fontId="25" fillId="61" borderId="115" xfId="111" applyNumberFormat="1" applyFont="1" applyFill="1" applyBorder="1" applyAlignment="1" applyProtection="1">
      <alignment horizontal="center" vertical="top" wrapText="1"/>
    </xf>
    <xf numFmtId="0" fontId="25" fillId="72" borderId="115" xfId="0" applyFont="1" applyFill="1" applyBorder="1" applyAlignment="1">
      <alignment horizontal="center" vertical="top" wrapText="1"/>
    </xf>
    <xf numFmtId="174" fontId="25" fillId="33" borderId="115" xfId="111" applyNumberFormat="1" applyFont="1" applyFill="1" applyBorder="1" applyAlignment="1" applyProtection="1">
      <alignment horizontal="center" vertical="top" wrapText="1"/>
    </xf>
    <xf numFmtId="0" fontId="25" fillId="62" borderId="115" xfId="0" applyFont="1" applyFill="1" applyBorder="1" applyAlignment="1">
      <alignment horizontal="center" vertical="top" wrapText="1"/>
    </xf>
    <xf numFmtId="164" fontId="22" fillId="61" borderId="115" xfId="111" applyNumberFormat="1" applyFont="1" applyFill="1" applyBorder="1" applyAlignment="1" applyProtection="1">
      <alignment horizontal="center" vertical="top" wrapText="1"/>
    </xf>
    <xf numFmtId="167" fontId="22" fillId="70" borderId="115" xfId="111" applyNumberFormat="1" applyFont="1" applyFill="1" applyBorder="1" applyAlignment="1" applyProtection="1">
      <alignment horizontal="center" vertical="top" wrapText="1"/>
    </xf>
    <xf numFmtId="0" fontId="25" fillId="63" borderId="115" xfId="0" applyFont="1" applyFill="1" applyBorder="1" applyAlignment="1" applyProtection="1">
      <alignment horizontal="center" vertical="top" wrapText="1"/>
      <protection locked="0"/>
    </xf>
    <xf numFmtId="0" fontId="25" fillId="64" borderId="115" xfId="0" applyFont="1" applyFill="1" applyBorder="1" applyAlignment="1" applyProtection="1">
      <alignment horizontal="center" vertical="top" wrapText="1"/>
      <protection locked="0"/>
    </xf>
    <xf numFmtId="44" fontId="103" fillId="75" borderId="115" xfId="78" applyFont="1" applyFill="1" applyBorder="1" applyAlignment="1">
      <alignment horizontal="center" vertical="top" wrapText="1"/>
    </xf>
    <xf numFmtId="44" fontId="25" fillId="68" borderId="115" xfId="78" applyFont="1" applyFill="1" applyBorder="1" applyAlignment="1">
      <alignment horizontal="center" vertical="top" wrapText="1"/>
    </xf>
    <xf numFmtId="164" fontId="22" fillId="33" borderId="115" xfId="111" applyNumberFormat="1" applyFont="1" applyFill="1" applyBorder="1" applyAlignment="1" applyProtection="1">
      <alignment horizontal="center" vertical="top" wrapText="1"/>
    </xf>
    <xf numFmtId="174" fontId="22" fillId="33" borderId="115" xfId="111" applyNumberFormat="1" applyFont="1" applyFill="1" applyBorder="1" applyAlignment="1" applyProtection="1">
      <alignment horizontal="center" vertical="top" wrapText="1"/>
    </xf>
    <xf numFmtId="0" fontId="22" fillId="63" borderId="115" xfId="0" applyFont="1" applyFill="1" applyBorder="1" applyAlignment="1" applyProtection="1">
      <alignment horizontal="center" vertical="top" wrapText="1"/>
      <protection locked="0"/>
    </xf>
    <xf numFmtId="0" fontId="22" fillId="64" borderId="115" xfId="0" applyFont="1" applyFill="1" applyBorder="1" applyAlignment="1" applyProtection="1">
      <alignment horizontal="center" vertical="top" wrapText="1"/>
      <protection locked="0"/>
    </xf>
    <xf numFmtId="167" fontId="22" fillId="34" borderId="115" xfId="0" applyNumberFormat="1" applyFont="1" applyFill="1" applyBorder="1" applyAlignment="1" applyProtection="1">
      <alignment vertical="top" wrapText="1"/>
    </xf>
    <xf numFmtId="165" fontId="0" fillId="0" borderId="22" xfId="70" applyNumberFormat="1" applyFont="1" applyFill="1" applyBorder="1" applyProtection="1"/>
    <xf numFmtId="165" fontId="25" fillId="0" borderId="22" xfId="78" applyNumberFormat="1" applyFont="1" applyFill="1" applyBorder="1" applyProtection="1"/>
    <xf numFmtId="0" fontId="22" fillId="68" borderId="115" xfId="0" applyFont="1" applyFill="1" applyBorder="1" applyAlignment="1">
      <alignment horizontal="center" vertical="top" wrapText="1"/>
    </xf>
    <xf numFmtId="0" fontId="104" fillId="0" borderId="0" xfId="0" applyFont="1"/>
    <xf numFmtId="0" fontId="105" fillId="0" borderId="0" xfId="0" applyFont="1"/>
    <xf numFmtId="0" fontId="0" fillId="55" borderId="25" xfId="0" applyFill="1" applyBorder="1" applyAlignment="1" applyProtection="1">
      <alignment horizontal="left"/>
      <protection locked="0"/>
    </xf>
    <xf numFmtId="10" fontId="52" fillId="55" borderId="18" xfId="0" applyNumberFormat="1" applyFont="1" applyFill="1" applyBorder="1" applyAlignment="1" applyProtection="1">
      <protection locked="0"/>
    </xf>
    <xf numFmtId="10" fontId="52" fillId="55" borderId="26" xfId="0" applyNumberFormat="1" applyFont="1" applyFill="1" applyBorder="1" applyAlignment="1" applyProtection="1">
      <protection locked="0"/>
    </xf>
    <xf numFmtId="166" fontId="52" fillId="55" borderId="26" xfId="0" applyNumberFormat="1" applyFont="1" applyFill="1" applyBorder="1" applyAlignment="1" applyProtection="1">
      <protection locked="0"/>
    </xf>
    <xf numFmtId="0" fontId="0" fillId="55" borderId="28" xfId="0" applyFill="1" applyBorder="1" applyAlignment="1" applyProtection="1">
      <alignment horizontal="left"/>
      <protection locked="0"/>
    </xf>
    <xf numFmtId="10" fontId="52" fillId="55" borderId="45" xfId="0" applyNumberFormat="1" applyFont="1" applyFill="1" applyBorder="1" applyAlignment="1" applyProtection="1"/>
    <xf numFmtId="10" fontId="52" fillId="55" borderId="46" xfId="0" applyNumberFormat="1" applyFont="1" applyFill="1" applyBorder="1" applyAlignment="1" applyProtection="1"/>
    <xf numFmtId="166" fontId="52" fillId="55" borderId="32" xfId="0" applyNumberFormat="1" applyFont="1" applyFill="1" applyBorder="1" applyAlignment="1" applyProtection="1">
      <protection locked="0"/>
    </xf>
    <xf numFmtId="166" fontId="52" fillId="55" borderId="47" xfId="0" applyNumberFormat="1" applyFont="1" applyFill="1" applyBorder="1" applyAlignment="1" applyProtection="1">
      <protection locked="0"/>
    </xf>
    <xf numFmtId="44" fontId="52" fillId="55" borderId="47" xfId="78" applyFont="1" applyFill="1" applyBorder="1" applyAlignment="1" applyProtection="1">
      <protection locked="0"/>
    </xf>
    <xf numFmtId="175" fontId="52" fillId="55" borderId="32" xfId="78" applyNumberFormat="1" applyFont="1" applyFill="1" applyBorder="1" applyAlignment="1" applyProtection="1">
      <protection locked="0"/>
    </xf>
    <xf numFmtId="175" fontId="52" fillId="55" borderId="47" xfId="78" applyNumberFormat="1" applyFont="1" applyFill="1" applyBorder="1" applyAlignment="1" applyProtection="1">
      <protection locked="0"/>
    </xf>
    <xf numFmtId="0" fontId="0" fillId="55" borderId="30" xfId="0" applyFill="1" applyBorder="1" applyAlignment="1" applyProtection="1">
      <alignment horizontal="left"/>
      <protection locked="0"/>
    </xf>
    <xf numFmtId="175" fontId="26" fillId="55" borderId="25" xfId="78" applyNumberFormat="1" applyFont="1" applyFill="1" applyBorder="1" applyAlignment="1" applyProtection="1">
      <alignment horizontal="center"/>
      <protection locked="0"/>
    </xf>
    <xf numFmtId="175" fontId="52" fillId="55" borderId="34" xfId="78" applyNumberFormat="1" applyFont="1" applyFill="1" applyBorder="1" applyAlignment="1" applyProtection="1">
      <protection locked="0"/>
    </xf>
    <xf numFmtId="175" fontId="52" fillId="55" borderId="35" xfId="78" applyNumberFormat="1" applyFont="1" applyFill="1" applyBorder="1" applyAlignment="1" applyProtection="1">
      <protection locked="0"/>
    </xf>
    <xf numFmtId="175" fontId="26" fillId="55" borderId="28" xfId="78" applyNumberFormat="1" applyFont="1" applyFill="1" applyBorder="1" applyAlignment="1" applyProtection="1">
      <alignment horizontal="center"/>
      <protection locked="0"/>
    </xf>
    <xf numFmtId="175" fontId="52" fillId="55" borderId="0" xfId="78" applyNumberFormat="1" applyFont="1" applyFill="1" applyBorder="1" applyAlignment="1" applyProtection="1">
      <protection locked="0"/>
    </xf>
    <xf numFmtId="175" fontId="52" fillId="55" borderId="29" xfId="78" applyNumberFormat="1" applyFont="1" applyFill="1" applyBorder="1" applyAlignment="1" applyProtection="1">
      <protection locked="0"/>
    </xf>
    <xf numFmtId="0" fontId="24" fillId="55" borderId="28" xfId="0" applyFont="1" applyFill="1" applyBorder="1" applyAlignment="1" applyProtection="1">
      <alignment horizontal="left"/>
      <protection locked="0"/>
    </xf>
    <xf numFmtId="175" fontId="24" fillId="55" borderId="0" xfId="78" applyNumberFormat="1" applyFont="1" applyFill="1" applyBorder="1" applyAlignment="1" applyProtection="1">
      <protection locked="0"/>
    </xf>
    <xf numFmtId="175" fontId="24" fillId="55" borderId="29" xfId="78" applyNumberFormat="1" applyFont="1" applyFill="1" applyBorder="1" applyAlignment="1" applyProtection="1">
      <protection locked="0"/>
    </xf>
    <xf numFmtId="0" fontId="22" fillId="55" borderId="28" xfId="0" applyFont="1" applyFill="1" applyBorder="1" applyAlignment="1" applyProtection="1">
      <alignment horizontal="left"/>
      <protection locked="0"/>
    </xf>
    <xf numFmtId="175" fontId="26" fillId="55" borderId="30" xfId="78" applyNumberFormat="1" applyFont="1" applyFill="1" applyBorder="1" applyAlignment="1" applyProtection="1">
      <alignment horizontal="center"/>
      <protection locked="0"/>
    </xf>
    <xf numFmtId="175" fontId="24" fillId="55" borderId="15" xfId="78" applyNumberFormat="1" applyFont="1" applyFill="1" applyBorder="1" applyAlignment="1" applyProtection="1">
      <protection locked="0"/>
    </xf>
    <xf numFmtId="175" fontId="24" fillId="55" borderId="32" xfId="78" applyNumberFormat="1" applyFont="1" applyFill="1" applyBorder="1" applyAlignment="1" applyProtection="1">
      <protection locked="0"/>
    </xf>
    <xf numFmtId="0" fontId="24" fillId="55" borderId="0" xfId="111" applyFill="1"/>
    <xf numFmtId="0" fontId="24" fillId="55" borderId="14" xfId="111" applyFill="1" applyBorder="1"/>
    <xf numFmtId="0" fontId="24" fillId="55" borderId="41" xfId="111" applyFill="1" applyBorder="1"/>
    <xf numFmtId="0" fontId="24" fillId="55" borderId="42" xfId="111" applyFill="1" applyBorder="1"/>
    <xf numFmtId="0" fontId="24" fillId="55" borderId="22" xfId="111" applyFill="1" applyBorder="1"/>
    <xf numFmtId="0" fontId="24" fillId="55" borderId="0" xfId="111" applyFill="1" applyBorder="1"/>
    <xf numFmtId="0" fontId="25" fillId="55" borderId="14" xfId="111" applyFont="1" applyFill="1" applyBorder="1" applyAlignment="1">
      <alignment wrapText="1"/>
    </xf>
    <xf numFmtId="0" fontId="25" fillId="55" borderId="0" xfId="111" applyFont="1" applyFill="1" applyBorder="1" applyAlignment="1"/>
    <xf numFmtId="0" fontId="25" fillId="55" borderId="0" xfId="111" applyFont="1" applyFill="1" applyBorder="1" applyAlignment="1">
      <alignment horizontal="center"/>
    </xf>
    <xf numFmtId="0" fontId="24" fillId="55" borderId="0" xfId="111" applyFill="1" applyBorder="1" applyAlignment="1">
      <alignment horizontal="center"/>
    </xf>
    <xf numFmtId="0" fontId="25" fillId="55" borderId="14" xfId="111" applyFont="1" applyFill="1" applyBorder="1" applyAlignment="1">
      <alignment horizontal="center"/>
    </xf>
    <xf numFmtId="0" fontId="25" fillId="55" borderId="14" xfId="111" applyFont="1" applyFill="1" applyBorder="1" applyAlignment="1">
      <alignment horizontal="center" wrapText="1"/>
    </xf>
    <xf numFmtId="0" fontId="25" fillId="55" borderId="0" xfId="111" applyFont="1" applyFill="1" applyBorder="1" applyAlignment="1">
      <alignment horizontal="center" wrapText="1"/>
    </xf>
    <xf numFmtId="0" fontId="25" fillId="55" borderId="61" xfId="111" applyFont="1" applyFill="1" applyBorder="1" applyAlignment="1">
      <alignment horizontal="center" wrapText="1"/>
    </xf>
    <xf numFmtId="0" fontId="25" fillId="55" borderId="23" xfId="111" applyFont="1" applyFill="1" applyBorder="1" applyAlignment="1">
      <alignment horizontal="center" wrapText="1"/>
    </xf>
    <xf numFmtId="0" fontId="25" fillId="55" borderId="14" xfId="111" applyFont="1" applyFill="1" applyBorder="1" applyAlignment="1" applyProtection="1">
      <alignment horizontal="center"/>
    </xf>
    <xf numFmtId="0" fontId="25" fillId="55" borderId="0" xfId="111" applyFont="1" applyFill="1" applyBorder="1" applyAlignment="1" applyProtection="1">
      <alignment horizontal="center"/>
    </xf>
    <xf numFmtId="0" fontId="25" fillId="55" borderId="61" xfId="111" applyFont="1" applyFill="1" applyBorder="1" applyAlignment="1">
      <alignment horizontal="center"/>
    </xf>
    <xf numFmtId="0" fontId="24" fillId="55" borderId="0" xfId="111" applyFont="1" applyFill="1" applyBorder="1" applyAlignment="1">
      <alignment horizontal="center"/>
    </xf>
    <xf numFmtId="0" fontId="25" fillId="55" borderId="62" xfId="111" quotePrefix="1" applyFont="1" applyFill="1" applyBorder="1" applyAlignment="1">
      <alignment horizontal="center"/>
    </xf>
    <xf numFmtId="0" fontId="25" fillId="55" borderId="0" xfId="111" quotePrefix="1" applyFont="1" applyFill="1" applyBorder="1" applyAlignment="1">
      <alignment horizontal="center"/>
    </xf>
    <xf numFmtId="0" fontId="25" fillId="55" borderId="42" xfId="111" quotePrefix="1" applyFont="1" applyFill="1" applyBorder="1" applyAlignment="1">
      <alignment horizontal="center"/>
    </xf>
    <xf numFmtId="4" fontId="24" fillId="55" borderId="14" xfId="111" applyNumberFormat="1" applyFont="1" applyFill="1" applyBorder="1" applyAlignment="1">
      <alignment horizontal="center" wrapText="1"/>
    </xf>
    <xf numFmtId="2" fontId="24" fillId="55" borderId="0" xfId="111" applyNumberFormat="1" applyFont="1" applyFill="1" applyBorder="1" applyAlignment="1">
      <alignment horizontal="center"/>
    </xf>
    <xf numFmtId="165" fontId="24" fillId="55" borderId="14" xfId="111" applyNumberFormat="1" applyFont="1" applyFill="1" applyBorder="1" applyAlignment="1">
      <alignment horizontal="center"/>
    </xf>
    <xf numFmtId="165" fontId="24" fillId="55" borderId="0" xfId="111" applyNumberFormat="1" applyFont="1" applyFill="1" applyBorder="1" applyAlignment="1">
      <alignment horizontal="center"/>
    </xf>
    <xf numFmtId="0" fontId="24" fillId="55" borderId="19" xfId="111" applyFill="1" applyBorder="1"/>
    <xf numFmtId="0" fontId="25" fillId="55" borderId="22" xfId="111" applyFont="1" applyFill="1" applyBorder="1"/>
    <xf numFmtId="0" fontId="25" fillId="55" borderId="0" xfId="111" applyFont="1" applyFill="1" applyBorder="1"/>
    <xf numFmtId="4" fontId="24" fillId="55" borderId="14" xfId="111" applyNumberFormat="1" applyFont="1" applyFill="1" applyBorder="1" applyAlignment="1">
      <alignment horizontal="right" wrapText="1"/>
    </xf>
    <xf numFmtId="0" fontId="24" fillId="55" borderId="0" xfId="111" applyFont="1" applyFill="1" applyBorder="1" applyAlignment="1">
      <alignment horizontal="right"/>
    </xf>
    <xf numFmtId="8" fontId="24" fillId="55" borderId="0" xfId="111" applyNumberFormat="1" applyFill="1" applyBorder="1" applyAlignment="1">
      <alignment horizontal="right"/>
    </xf>
    <xf numFmtId="0" fontId="24" fillId="55" borderId="0" xfId="111" applyFill="1" applyBorder="1" applyAlignment="1">
      <alignment horizontal="right"/>
    </xf>
    <xf numFmtId="0" fontId="24" fillId="55" borderId="22" xfId="111" applyFont="1" applyFill="1" applyBorder="1"/>
    <xf numFmtId="0" fontId="23" fillId="55" borderId="22" xfId="111" applyFont="1" applyFill="1" applyBorder="1"/>
    <xf numFmtId="0" fontId="23" fillId="55" borderId="0" xfId="111" applyFont="1" applyFill="1" applyBorder="1"/>
    <xf numFmtId="0" fontId="23" fillId="55" borderId="44" xfId="111" applyFont="1" applyFill="1" applyBorder="1"/>
    <xf numFmtId="0" fontId="23" fillId="55" borderId="24" xfId="111" applyFont="1" applyFill="1" applyBorder="1"/>
    <xf numFmtId="0" fontId="24" fillId="55" borderId="24" xfId="111" applyFill="1" applyBorder="1"/>
    <xf numFmtId="0" fontId="24" fillId="55" borderId="21" xfId="111" applyFill="1" applyBorder="1"/>
    <xf numFmtId="169" fontId="22" fillId="55" borderId="0" xfId="0" applyNumberFormat="1" applyFont="1" applyFill="1" applyBorder="1" applyAlignment="1" applyProtection="1">
      <alignment horizontal="left" vertical="center"/>
    </xf>
    <xf numFmtId="0" fontId="0" fillId="55" borderId="0" xfId="0" applyFill="1" applyAlignment="1" applyProtection="1">
      <alignment horizontal="right"/>
    </xf>
    <xf numFmtId="0" fontId="0" fillId="55" borderId="0" xfId="0" applyFill="1"/>
    <xf numFmtId="0" fontId="24" fillId="55" borderId="31" xfId="0" applyFont="1" applyFill="1" applyBorder="1" applyAlignment="1" applyProtection="1">
      <alignment horizontal="left"/>
    </xf>
    <xf numFmtId="0" fontId="24" fillId="55" borderId="15" xfId="0" applyFont="1" applyFill="1" applyBorder="1" applyProtection="1"/>
    <xf numFmtId="10" fontId="24" fillId="55" borderId="32" xfId="0" applyNumberFormat="1" applyFont="1" applyFill="1" applyBorder="1" applyAlignment="1" applyProtection="1">
      <alignment horizontal="right"/>
      <protection locked="0"/>
    </xf>
    <xf numFmtId="0" fontId="0" fillId="55" borderId="0" xfId="0" applyFill="1" applyAlignment="1">
      <alignment horizontal="center"/>
    </xf>
    <xf numFmtId="0" fontId="24" fillId="55" borderId="42" xfId="111" applyFill="1" applyBorder="1" applyAlignment="1">
      <alignment horizontal="center"/>
    </xf>
    <xf numFmtId="0" fontId="24" fillId="55" borderId="43" xfId="111" applyFill="1" applyBorder="1"/>
    <xf numFmtId="0" fontId="24" fillId="55" borderId="44" xfId="111" applyFill="1" applyBorder="1" applyAlignment="1">
      <alignment horizontal="center" wrapText="1"/>
    </xf>
    <xf numFmtId="0" fontId="24" fillId="55" borderId="24" xfId="111" applyFill="1" applyBorder="1" applyAlignment="1">
      <alignment horizontal="center" wrapText="1"/>
    </xf>
    <xf numFmtId="0" fontId="24" fillId="55" borderId="21" xfId="111" applyFill="1" applyBorder="1" applyAlignment="1">
      <alignment horizontal="center" wrapText="1"/>
    </xf>
    <xf numFmtId="0" fontId="24" fillId="55" borderId="0" xfId="111" applyFill="1" applyBorder="1" applyAlignment="1">
      <alignment horizontal="center" wrapText="1"/>
    </xf>
    <xf numFmtId="2" fontId="24" fillId="55" borderId="95" xfId="111" applyNumberFormat="1" applyFill="1" applyBorder="1" applyAlignment="1">
      <alignment horizontal="center"/>
    </xf>
    <xf numFmtId="2" fontId="24" fillId="55" borderId="96" xfId="111" applyNumberFormat="1" applyFill="1" applyBorder="1" applyAlignment="1">
      <alignment horizontal="center"/>
    </xf>
    <xf numFmtId="2" fontId="24" fillId="55" borderId="97" xfId="111" applyNumberFormat="1" applyFill="1" applyBorder="1" applyAlignment="1">
      <alignment horizontal="center"/>
    </xf>
    <xf numFmtId="2" fontId="24" fillId="55" borderId="0" xfId="111" applyNumberFormat="1" applyFill="1" applyBorder="1" applyAlignment="1">
      <alignment horizontal="center"/>
    </xf>
    <xf numFmtId="2" fontId="24" fillId="55" borderId="98" xfId="111" applyNumberFormat="1" applyFill="1" applyBorder="1" applyAlignment="1">
      <alignment horizontal="center"/>
    </xf>
    <xf numFmtId="2" fontId="24" fillId="55" borderId="19" xfId="111" applyNumberFormat="1" applyFill="1" applyBorder="1"/>
    <xf numFmtId="2" fontId="24" fillId="55" borderId="99" xfId="111" applyNumberFormat="1" applyFill="1" applyBorder="1" applyAlignment="1">
      <alignment horizontal="center"/>
    </xf>
    <xf numFmtId="2" fontId="24" fillId="55" borderId="100" xfId="111" applyNumberFormat="1" applyFill="1" applyBorder="1" applyAlignment="1">
      <alignment horizontal="center"/>
    </xf>
    <xf numFmtId="2" fontId="24" fillId="55" borderId="101" xfId="111" applyNumberFormat="1" applyFill="1" applyBorder="1" applyAlignment="1">
      <alignment horizontal="center"/>
    </xf>
    <xf numFmtId="2" fontId="24" fillId="55" borderId="102" xfId="111" applyNumberFormat="1" applyFill="1" applyBorder="1" applyAlignment="1">
      <alignment horizontal="center"/>
    </xf>
    <xf numFmtId="2" fontId="24" fillId="55" borderId="103" xfId="111" applyNumberFormat="1" applyFill="1" applyBorder="1" applyAlignment="1">
      <alignment horizontal="center"/>
    </xf>
    <xf numFmtId="2" fontId="24" fillId="55" borderId="104" xfId="111" applyNumberFormat="1" applyFill="1" applyBorder="1" applyAlignment="1">
      <alignment horizontal="center"/>
    </xf>
    <xf numFmtId="2" fontId="24" fillId="55" borderId="105" xfId="111" applyNumberFormat="1" applyFill="1" applyBorder="1" applyAlignment="1">
      <alignment horizontal="center"/>
    </xf>
    <xf numFmtId="2" fontId="24" fillId="55" borderId="106" xfId="111" applyNumberFormat="1" applyFill="1" applyBorder="1" applyAlignment="1">
      <alignment horizontal="center"/>
    </xf>
    <xf numFmtId="0" fontId="24" fillId="55" borderId="22" xfId="111" applyFill="1" applyBorder="1" applyAlignment="1">
      <alignment horizontal="right" wrapText="1"/>
    </xf>
    <xf numFmtId="0" fontId="24" fillId="55" borderId="0" xfId="111" applyFill="1" applyBorder="1" applyAlignment="1">
      <alignment horizontal="right" wrapText="1"/>
    </xf>
    <xf numFmtId="0" fontId="24" fillId="55" borderId="0" xfId="111" applyFill="1" applyBorder="1" applyAlignment="1">
      <alignment horizontal="left"/>
    </xf>
    <xf numFmtId="10" fontId="24" fillId="55" borderId="0" xfId="144" applyNumberFormat="1" applyFont="1" applyFill="1" applyBorder="1" applyAlignment="1">
      <alignment horizontal="center"/>
    </xf>
    <xf numFmtId="10" fontId="24" fillId="55" borderId="0" xfId="111" applyNumberFormat="1" applyFill="1" applyBorder="1" applyAlignment="1">
      <alignment horizontal="center"/>
    </xf>
    <xf numFmtId="0" fontId="24" fillId="55" borderId="44" xfId="111" applyFill="1" applyBorder="1"/>
    <xf numFmtId="0" fontId="24" fillId="55" borderId="24" xfId="111" applyFill="1" applyBorder="1" applyAlignment="1">
      <alignment horizontal="center"/>
    </xf>
    <xf numFmtId="0" fontId="24" fillId="55" borderId="24" xfId="111" applyFill="1" applyBorder="1" applyAlignment="1">
      <alignment horizontal="left"/>
    </xf>
    <xf numFmtId="0" fontId="24" fillId="55" borderId="0" xfId="111" applyFill="1" applyAlignment="1">
      <alignment horizontal="center"/>
    </xf>
    <xf numFmtId="0" fontId="24" fillId="55" borderId="14" xfId="111" applyFont="1" applyFill="1" applyBorder="1"/>
    <xf numFmtId="0" fontId="21" fillId="55" borderId="14" xfId="111" applyFont="1" applyFill="1" applyBorder="1" applyAlignment="1">
      <alignment horizontal="center" wrapText="1"/>
    </xf>
    <xf numFmtId="0" fontId="24" fillId="55" borderId="27" xfId="111" applyFill="1" applyBorder="1"/>
    <xf numFmtId="0" fontId="72" fillId="55" borderId="0" xfId="111" applyFont="1" applyFill="1" applyBorder="1" applyAlignment="1">
      <alignment horizontal="center" wrapText="1"/>
    </xf>
    <xf numFmtId="0" fontId="24" fillId="55" borderId="44" xfId="111" applyFill="1" applyBorder="1" applyAlignment="1">
      <alignment horizontal="center" vertical="center" wrapText="1"/>
    </xf>
    <xf numFmtId="0" fontId="24" fillId="55" borderId="24" xfId="111" applyFill="1" applyBorder="1" applyAlignment="1">
      <alignment horizontal="center" vertical="center" wrapText="1"/>
    </xf>
    <xf numFmtId="0" fontId="24" fillId="55" borderId="21" xfId="111" applyFill="1" applyBorder="1" applyAlignment="1">
      <alignment horizontal="center" vertical="center" wrapText="1"/>
    </xf>
    <xf numFmtId="2" fontId="24" fillId="55" borderId="14" xfId="111" applyNumberFormat="1" applyFill="1" applyBorder="1" applyAlignment="1">
      <alignment horizontal="center"/>
    </xf>
    <xf numFmtId="0" fontId="21" fillId="55" borderId="0" xfId="111" applyFont="1" applyFill="1" applyBorder="1" applyAlignment="1">
      <alignment horizontal="left"/>
    </xf>
    <xf numFmtId="0" fontId="24" fillId="55" borderId="27" xfId="111" applyFill="1" applyBorder="1" applyAlignment="1">
      <alignment horizontal="right" wrapText="1"/>
    </xf>
    <xf numFmtId="0" fontId="24" fillId="55" borderId="0" xfId="111" applyFill="1" applyBorder="1" applyAlignment="1">
      <alignment wrapText="1"/>
    </xf>
    <xf numFmtId="0" fontId="25" fillId="55" borderId="0" xfId="111" applyFont="1" applyFill="1" applyBorder="1" applyAlignment="1">
      <alignment wrapText="1"/>
    </xf>
    <xf numFmtId="0" fontId="21" fillId="55" borderId="0" xfId="111" applyFont="1" applyFill="1" applyBorder="1" applyAlignment="1">
      <alignment horizontal="right"/>
    </xf>
    <xf numFmtId="165" fontId="0" fillId="0" borderId="22" xfId="0" applyNumberFormat="1" applyFill="1" applyBorder="1" applyProtection="1">
      <protection locked="0"/>
    </xf>
    <xf numFmtId="165" fontId="0" fillId="0" borderId="55" xfId="0" applyNumberFormat="1" applyFill="1" applyBorder="1" applyProtection="1"/>
    <xf numFmtId="165" fontId="0" fillId="0" borderId="59" xfId="0" applyNumberFormat="1" applyFill="1" applyBorder="1" applyProtection="1">
      <protection locked="0"/>
    </xf>
    <xf numFmtId="165" fontId="0" fillId="0" borderId="58" xfId="0" applyNumberFormat="1" applyFill="1" applyBorder="1" applyProtection="1"/>
    <xf numFmtId="0" fontId="0" fillId="0" borderId="0" xfId="0" applyFill="1" applyAlignment="1" applyProtection="1">
      <alignment horizontal="center"/>
    </xf>
    <xf numFmtId="172" fontId="0" fillId="0" borderId="33" xfId="0" applyNumberFormat="1" applyFill="1" applyBorder="1" applyProtection="1">
      <protection locked="0"/>
    </xf>
    <xf numFmtId="172" fontId="0" fillId="0" borderId="83" xfId="0" applyNumberFormat="1" applyFill="1" applyBorder="1" applyProtection="1"/>
    <xf numFmtId="172" fontId="0" fillId="0" borderId="54" xfId="0" applyNumberFormat="1" applyFill="1" applyBorder="1" applyProtection="1"/>
    <xf numFmtId="172" fontId="0" fillId="0" borderId="53" xfId="0" applyNumberFormat="1" applyFill="1" applyBorder="1" applyProtection="1"/>
    <xf numFmtId="172" fontId="0" fillId="0" borderId="55" xfId="0" applyNumberFormat="1" applyFill="1" applyBorder="1" applyProtection="1"/>
    <xf numFmtId="173" fontId="0" fillId="0" borderId="22" xfId="0" applyNumberFormat="1" applyFill="1" applyBorder="1" applyProtection="1">
      <protection locked="0"/>
    </xf>
    <xf numFmtId="176" fontId="0" fillId="0" borderId="28" xfId="0" applyNumberFormat="1" applyFill="1" applyBorder="1" applyProtection="1"/>
    <xf numFmtId="172" fontId="0" fillId="0" borderId="22" xfId="0" applyNumberFormat="1" applyFill="1" applyBorder="1" applyProtection="1">
      <protection locked="0"/>
    </xf>
    <xf numFmtId="173" fontId="0" fillId="0" borderId="55" xfId="0" applyNumberFormat="1" applyFill="1" applyBorder="1" applyProtection="1"/>
    <xf numFmtId="166" fontId="0" fillId="55" borderId="0" xfId="144" applyNumberFormat="1" applyFont="1" applyFill="1" applyAlignment="1" applyProtection="1">
      <alignment horizontal="left"/>
    </xf>
    <xf numFmtId="0" fontId="24" fillId="55" borderId="0" xfId="0" applyFont="1" applyFill="1" applyBorder="1" applyAlignment="1">
      <alignment horizontal="right" vertical="center"/>
    </xf>
    <xf numFmtId="0" fontId="24" fillId="55" borderId="0" xfId="0" applyFont="1" applyFill="1" applyBorder="1" applyAlignment="1" applyProtection="1">
      <alignment horizontal="right" vertical="center"/>
    </xf>
    <xf numFmtId="0" fontId="0" fillId="55" borderId="0" xfId="0" applyFill="1" applyAlignment="1" applyProtection="1">
      <alignment horizontal="right" vertical="center"/>
    </xf>
    <xf numFmtId="0" fontId="0" fillId="55" borderId="0" xfId="0" applyFill="1" applyAlignment="1">
      <alignment horizontal="right" vertical="center"/>
    </xf>
    <xf numFmtId="43" fontId="25" fillId="47" borderId="115" xfId="70" applyFont="1" applyFill="1" applyBorder="1" applyAlignment="1" applyProtection="1">
      <alignment horizontal="left"/>
      <protection locked="0"/>
    </xf>
    <xf numFmtId="164" fontId="22" fillId="0" borderId="22" xfId="0" applyNumberFormat="1" applyFont="1" applyFill="1" applyBorder="1" applyProtection="1">
      <protection locked="0"/>
    </xf>
    <xf numFmtId="0" fontId="22" fillId="0" borderId="22" xfId="0" applyFont="1" applyBorder="1" applyAlignment="1" applyProtection="1">
      <alignment horizontal="center" vertical="center"/>
      <protection locked="0"/>
    </xf>
    <xf numFmtId="0" fontId="25" fillId="0" borderId="50" xfId="0" applyFont="1" applyBorder="1" applyAlignment="1" applyProtection="1">
      <alignment horizontal="left" vertical="center" wrapText="1"/>
      <protection locked="0"/>
    </xf>
    <xf numFmtId="0" fontId="0" fillId="0" borderId="22" xfId="0" applyFill="1" applyBorder="1"/>
    <xf numFmtId="166" fontId="22" fillId="0" borderId="20" xfId="0" applyNumberFormat="1" applyFont="1" applyFill="1" applyBorder="1" applyAlignment="1" applyProtection="1">
      <alignment horizontal="center"/>
      <protection locked="0"/>
    </xf>
    <xf numFmtId="2" fontId="22" fillId="0" borderId="22" xfId="0" applyNumberFormat="1" applyFont="1" applyFill="1" applyBorder="1" applyAlignment="1" applyProtection="1">
      <alignment horizontal="right"/>
      <protection locked="0"/>
    </xf>
    <xf numFmtId="166" fontId="22" fillId="0" borderId="67" xfId="144" applyNumberFormat="1" applyFont="1" applyFill="1" applyBorder="1"/>
    <xf numFmtId="166" fontId="22" fillId="0" borderId="67" xfId="0" applyNumberFormat="1" applyFont="1" applyFill="1" applyBorder="1" applyAlignment="1" applyProtection="1">
      <alignment horizontal="center"/>
      <protection locked="0"/>
    </xf>
    <xf numFmtId="169" fontId="22" fillId="0" borderId="67" xfId="0" applyNumberFormat="1" applyFont="1" applyFill="1" applyBorder="1" applyAlignment="1" applyProtection="1">
      <alignment horizontal="center"/>
      <protection locked="0"/>
    </xf>
    <xf numFmtId="166" fontId="22" fillId="0" borderId="40" xfId="0" applyNumberFormat="1" applyFont="1" applyFill="1" applyBorder="1" applyAlignment="1" applyProtection="1">
      <alignment horizontal="center"/>
      <protection locked="0"/>
    </xf>
    <xf numFmtId="1" fontId="22" fillId="0" borderId="22" xfId="0" applyNumberFormat="1" applyFont="1" applyFill="1" applyBorder="1" applyAlignment="1" applyProtection="1">
      <alignment horizontal="right"/>
      <protection locked="0"/>
    </xf>
    <xf numFmtId="0" fontId="22" fillId="0" borderId="22" xfId="123" applyFont="1" applyFill="1" applyBorder="1"/>
    <xf numFmtId="0" fontId="22" fillId="0" borderId="22" xfId="123" applyFont="1" applyFill="1" applyBorder="1" applyProtection="1">
      <protection locked="0"/>
    </xf>
    <xf numFmtId="0" fontId="22" fillId="0" borderId="59" xfId="0" applyFont="1" applyFill="1" applyBorder="1" applyProtection="1">
      <protection locked="0"/>
    </xf>
    <xf numFmtId="0" fontId="77" fillId="0" borderId="22" xfId="330" applyFont="1" applyFill="1" applyBorder="1" applyProtection="1">
      <protection locked="0"/>
    </xf>
    <xf numFmtId="0" fontId="16" fillId="0" borderId="0" xfId="331" applyFont="1" applyFill="1" applyBorder="1" applyAlignment="1">
      <alignment vertical="center" wrapText="1"/>
    </xf>
    <xf numFmtId="0" fontId="16" fillId="0" borderId="0" xfId="331" applyFont="1" applyFill="1" applyBorder="1"/>
    <xf numFmtId="44" fontId="16" fillId="0" borderId="0" xfId="326" applyNumberFormat="1" applyFont="1" applyFill="1" applyBorder="1"/>
    <xf numFmtId="44" fontId="16" fillId="0" borderId="0" xfId="331" applyNumberFormat="1" applyFont="1" applyFill="1" applyBorder="1"/>
    <xf numFmtId="44" fontId="16" fillId="0" borderId="0" xfId="331" applyNumberFormat="1" applyFill="1" applyBorder="1"/>
    <xf numFmtId="0" fontId="86" fillId="0" borderId="22" xfId="330" applyFont="1" applyFill="1" applyBorder="1" applyProtection="1">
      <protection locked="0"/>
    </xf>
    <xf numFmtId="0" fontId="85" fillId="0" borderId="0" xfId="331" applyFont="1" applyFill="1" applyBorder="1" applyAlignment="1">
      <alignment vertical="center" wrapText="1"/>
    </xf>
    <xf numFmtId="0" fontId="85" fillId="0" borderId="0" xfId="331" applyFont="1" applyFill="1" applyBorder="1"/>
    <xf numFmtId="44" fontId="85" fillId="0" borderId="0" xfId="326" applyNumberFormat="1" applyFont="1" applyFill="1" applyBorder="1"/>
    <xf numFmtId="44" fontId="85" fillId="0" borderId="0" xfId="331" applyNumberFormat="1" applyFont="1" applyFill="1" applyBorder="1"/>
    <xf numFmtId="44" fontId="86" fillId="0" borderId="0" xfId="331" applyNumberFormat="1" applyFont="1" applyFill="1" applyBorder="1"/>
    <xf numFmtId="44" fontId="77" fillId="0" borderId="0" xfId="331" applyNumberFormat="1" applyFont="1" applyFill="1" applyBorder="1"/>
    <xf numFmtId="0" fontId="16" fillId="0" borderId="0" xfId="331" applyFont="1" applyFill="1" applyBorder="1" applyAlignment="1">
      <alignment vertical="center"/>
    </xf>
    <xf numFmtId="0" fontId="85" fillId="0" borderId="0" xfId="331" applyFont="1" applyFill="1" applyBorder="1" applyAlignment="1">
      <alignment vertical="center"/>
    </xf>
    <xf numFmtId="44" fontId="86" fillId="0" borderId="0" xfId="326" applyNumberFormat="1" applyFont="1" applyFill="1" applyBorder="1" applyAlignment="1">
      <alignment horizontal="left" indent="1"/>
    </xf>
    <xf numFmtId="44" fontId="77" fillId="0" borderId="0" xfId="326" applyNumberFormat="1" applyFont="1" applyFill="1" applyBorder="1" applyAlignment="1">
      <alignment horizontal="left" indent="1"/>
    </xf>
    <xf numFmtId="44" fontId="85" fillId="0" borderId="0" xfId="326" applyNumberFormat="1" applyFont="1" applyFill="1" applyBorder="1" applyAlignment="1">
      <alignment horizontal="left" indent="1"/>
    </xf>
    <xf numFmtId="44" fontId="86" fillId="0" borderId="0" xfId="326" applyNumberFormat="1" applyFont="1" applyFill="1" applyBorder="1"/>
    <xf numFmtId="0" fontId="86" fillId="0" borderId="0" xfId="331" applyFont="1" applyFill="1" applyBorder="1"/>
    <xf numFmtId="0" fontId="77" fillId="0" borderId="0" xfId="331" applyFont="1" applyFill="1" applyBorder="1"/>
    <xf numFmtId="44" fontId="77" fillId="0" borderId="0" xfId="326" applyNumberFormat="1" applyFont="1" applyFill="1" applyBorder="1"/>
    <xf numFmtId="0" fontId="77" fillId="0" borderId="0" xfId="331" applyFont="1" applyFill="1" applyBorder="1" applyAlignment="1">
      <alignment wrapText="1"/>
    </xf>
    <xf numFmtId="0" fontId="16" fillId="0" borderId="0" xfId="332" applyFill="1" applyBorder="1"/>
    <xf numFmtId="0" fontId="99" fillId="0" borderId="0" xfId="332" applyFont="1" applyFill="1" applyBorder="1"/>
    <xf numFmtId="44" fontId="16" fillId="0" borderId="0" xfId="332" applyNumberFormat="1" applyFill="1" applyBorder="1"/>
    <xf numFmtId="0" fontId="16" fillId="0" borderId="22" xfId="332" applyFill="1" applyBorder="1"/>
    <xf numFmtId="0" fontId="85" fillId="0" borderId="0" xfId="332" applyFont="1" applyFill="1" applyBorder="1"/>
    <xf numFmtId="0" fontId="100" fillId="0" borderId="0" xfId="332" applyFont="1" applyFill="1" applyBorder="1"/>
    <xf numFmtId="44" fontId="85" fillId="0" borderId="0" xfId="332" applyNumberFormat="1" applyFont="1" applyFill="1" applyBorder="1"/>
    <xf numFmtId="0" fontId="102" fillId="0" borderId="0" xfId="301" applyFont="1" applyFill="1" applyBorder="1"/>
    <xf numFmtId="0" fontId="101" fillId="0" borderId="0" xfId="301" applyFont="1" applyFill="1" applyBorder="1"/>
    <xf numFmtId="0" fontId="22" fillId="0" borderId="0" xfId="301" applyFont="1" applyFill="1" applyBorder="1"/>
    <xf numFmtId="44" fontId="16" fillId="0" borderId="0" xfId="332" applyNumberFormat="1" applyFill="1" applyBorder="1" applyAlignment="1">
      <alignment wrapText="1"/>
    </xf>
    <xf numFmtId="0" fontId="16" fillId="0" borderId="120" xfId="332" applyFill="1" applyBorder="1"/>
    <xf numFmtId="0" fontId="99" fillId="0" borderId="120" xfId="332" applyFont="1" applyFill="1" applyBorder="1"/>
    <xf numFmtId="44" fontId="16" fillId="0" borderId="120" xfId="332" applyNumberFormat="1" applyFill="1" applyBorder="1" applyAlignment="1"/>
    <xf numFmtId="0" fontId="16" fillId="0" borderId="119" xfId="332" applyFill="1" applyBorder="1"/>
    <xf numFmtId="0" fontId="0" fillId="0" borderId="0" xfId="0"/>
    <xf numFmtId="10" fontId="0" fillId="0" borderId="0" xfId="0" applyNumberFormat="1" applyProtection="1">
      <protection locked="0"/>
    </xf>
    <xf numFmtId="170" fontId="0" fillId="0" borderId="22" xfId="78" applyNumberFormat="1" applyFont="1" applyFill="1" applyBorder="1" applyProtection="1"/>
    <xf numFmtId="170" fontId="0" fillId="47" borderId="118" xfId="198" applyNumberFormat="1" applyFont="1" applyFill="1" applyBorder="1"/>
    <xf numFmtId="178" fontId="22" fillId="0" borderId="0" xfId="122" applyNumberFormat="1" applyFont="1" applyFill="1"/>
    <xf numFmtId="166" fontId="22" fillId="0" borderId="53" xfId="144" applyNumberFormat="1" applyFont="1" applyBorder="1"/>
    <xf numFmtId="166" fontId="22" fillId="0" borderId="0" xfId="144" applyNumberFormat="1" applyFont="1" applyBorder="1"/>
    <xf numFmtId="166" fontId="22" fillId="0" borderId="0" xfId="144" applyNumberFormat="1" applyFont="1"/>
    <xf numFmtId="183" fontId="22" fillId="0" borderId="0" xfId="122" applyNumberFormat="1" applyFont="1"/>
    <xf numFmtId="0" fontId="0" fillId="0" borderId="0" xfId="0" applyBorder="1"/>
    <xf numFmtId="170" fontId="0" fillId="47" borderId="115" xfId="198" applyNumberFormat="1" applyFont="1" applyFill="1" applyBorder="1"/>
    <xf numFmtId="170" fontId="0" fillId="50" borderId="115" xfId="198" applyNumberFormat="1" applyFont="1" applyFill="1" applyBorder="1"/>
    <xf numFmtId="0" fontId="15" fillId="0" borderId="115" xfId="197" applyFont="1" applyBorder="1"/>
    <xf numFmtId="0" fontId="15" fillId="0" borderId="67" xfId="197" applyFont="1" applyBorder="1"/>
    <xf numFmtId="0" fontId="0" fillId="0" borderId="15" xfId="0" applyBorder="1"/>
    <xf numFmtId="165" fontId="22" fillId="0" borderId="0" xfId="0" applyNumberFormat="1" applyFont="1" applyFill="1" applyBorder="1" applyProtection="1">
      <protection locked="0"/>
    </xf>
    <xf numFmtId="4" fontId="0" fillId="0" borderId="0" xfId="0" applyNumberFormat="1" applyBorder="1" applyAlignment="1" applyProtection="1">
      <alignment horizontal="center"/>
    </xf>
    <xf numFmtId="172" fontId="0" fillId="0" borderId="58" xfId="0" applyNumberFormat="1" applyFill="1" applyBorder="1" applyProtection="1"/>
    <xf numFmtId="173" fontId="0" fillId="0" borderId="127" xfId="0" applyNumberFormat="1" applyBorder="1" applyProtection="1">
      <protection locked="0"/>
    </xf>
    <xf numFmtId="172" fontId="0" fillId="0" borderId="128" xfId="0" applyNumberFormat="1" applyFill="1" applyBorder="1" applyProtection="1"/>
    <xf numFmtId="165" fontId="0" fillId="0" borderId="127" xfId="0" applyNumberFormat="1" applyFill="1" applyBorder="1" applyProtection="1">
      <protection locked="0"/>
    </xf>
    <xf numFmtId="170" fontId="0" fillId="50" borderId="67" xfId="198" applyNumberFormat="1" applyFont="1" applyFill="1" applyBorder="1"/>
    <xf numFmtId="0" fontId="22" fillId="0" borderId="23" xfId="0" applyFont="1" applyFill="1" applyBorder="1" applyProtection="1">
      <protection locked="0"/>
    </xf>
    <xf numFmtId="0" fontId="20" fillId="0" borderId="0" xfId="197" applyBorder="1"/>
    <xf numFmtId="170" fontId="0" fillId="50" borderId="116" xfId="198" applyNumberFormat="1" applyFont="1" applyFill="1" applyBorder="1"/>
    <xf numFmtId="170" fontId="0" fillId="50" borderId="69" xfId="198" applyNumberFormat="1" applyFont="1" applyFill="1" applyBorder="1"/>
    <xf numFmtId="166" fontId="22" fillId="0" borderId="115" xfId="144" applyNumberFormat="1" applyFont="1" applyFill="1" applyBorder="1"/>
    <xf numFmtId="166" fontId="22" fillId="0" borderId="115" xfId="0" applyNumberFormat="1" applyFont="1" applyFill="1" applyBorder="1" applyAlignment="1" applyProtection="1">
      <alignment horizontal="center"/>
      <protection locked="0"/>
    </xf>
    <xf numFmtId="169" fontId="22" fillId="0" borderId="115" xfId="0" applyNumberFormat="1" applyFont="1" applyFill="1" applyBorder="1" applyAlignment="1" applyProtection="1">
      <alignment horizontal="center"/>
      <protection locked="0"/>
    </xf>
    <xf numFmtId="0" fontId="110" fillId="0" borderId="0" xfId="667" applyFont="1" applyAlignment="1"/>
    <xf numFmtId="0" fontId="14" fillId="0" borderId="0" xfId="668" applyFont="1" applyAlignment="1"/>
    <xf numFmtId="0" fontId="76" fillId="0" borderId="0" xfId="593" applyFont="1"/>
    <xf numFmtId="0" fontId="14" fillId="0" borderId="0" xfId="668" applyFont="1"/>
    <xf numFmtId="0" fontId="111" fillId="0" borderId="0" xfId="667" applyFont="1" applyAlignment="1">
      <alignment horizontal="left"/>
    </xf>
    <xf numFmtId="0" fontId="14" fillId="0" borderId="0" xfId="667" applyFont="1" applyAlignment="1">
      <alignment horizontal="right"/>
    </xf>
    <xf numFmtId="0" fontId="76" fillId="0" borderId="0" xfId="593" applyFont="1" applyAlignment="1"/>
    <xf numFmtId="0" fontId="112" fillId="0" borderId="0" xfId="593" applyFont="1" applyFill="1" applyBorder="1" applyAlignment="1"/>
    <xf numFmtId="0" fontId="76" fillId="0" borderId="0" xfId="593" applyFont="1" applyFill="1" applyBorder="1" applyAlignment="1">
      <alignment horizontal="right"/>
    </xf>
    <xf numFmtId="0" fontId="76" fillId="0" borderId="0" xfId="593" applyFont="1" applyFill="1" applyBorder="1" applyAlignment="1"/>
    <xf numFmtId="167" fontId="98" fillId="0" borderId="115" xfId="593" applyNumberFormat="1" applyFont="1" applyBorder="1" applyAlignment="1">
      <alignment horizontal="center" vertical="center" wrapText="1"/>
    </xf>
    <xf numFmtId="167" fontId="98" fillId="0" borderId="115" xfId="593" applyNumberFormat="1" applyFont="1" applyFill="1" applyBorder="1" applyAlignment="1">
      <alignment horizontal="center" vertical="center" wrapText="1"/>
    </xf>
    <xf numFmtId="167" fontId="98" fillId="0" borderId="0" xfId="593" applyNumberFormat="1" applyFont="1" applyBorder="1" applyAlignment="1">
      <alignment horizontal="center" vertical="center" wrapText="1"/>
    </xf>
    <xf numFmtId="167" fontId="98" fillId="0" borderId="0" xfId="593" applyNumberFormat="1" applyFont="1" applyFill="1" applyBorder="1" applyAlignment="1">
      <alignment horizontal="center" vertical="center" wrapText="1"/>
    </xf>
    <xf numFmtId="167" fontId="97" fillId="0" borderId="0" xfId="593" applyNumberFormat="1" applyFont="1" applyBorder="1" applyAlignment="1">
      <alignment horizontal="center" vertical="center" wrapText="1"/>
    </xf>
    <xf numFmtId="167" fontId="97" fillId="0" borderId="0" xfId="593" applyNumberFormat="1" applyFont="1" applyBorder="1" applyAlignment="1">
      <alignment horizontal="center" vertical="center" wrapText="1" shrinkToFit="1"/>
    </xf>
    <xf numFmtId="167" fontId="97" fillId="0" borderId="0" xfId="593" applyNumberFormat="1" applyFont="1" applyFill="1" applyBorder="1" applyAlignment="1">
      <alignment horizontal="center" vertical="center" wrapText="1"/>
    </xf>
    <xf numFmtId="0" fontId="97" fillId="0" borderId="0" xfId="668" applyFont="1" applyFill="1" applyBorder="1" applyAlignment="1">
      <alignment horizontal="center" vertical="center" wrapText="1"/>
    </xf>
    <xf numFmtId="0" fontId="14" fillId="0" borderId="0" xfId="668" applyFont="1" applyBorder="1"/>
    <xf numFmtId="0" fontId="14" fillId="0" borderId="0" xfId="668" applyFont="1" applyAlignment="1">
      <alignment wrapText="1"/>
    </xf>
    <xf numFmtId="0" fontId="14" fillId="0" borderId="115" xfId="668" applyFont="1" applyBorder="1" applyAlignment="1">
      <alignment wrapText="1"/>
    </xf>
    <xf numFmtId="0" fontId="14" fillId="0" borderId="0" xfId="668" applyFont="1" applyFill="1" applyBorder="1"/>
    <xf numFmtId="43" fontId="95" fillId="78" borderId="115" xfId="301" applyNumberFormat="1" applyFont="1" applyFill="1" applyBorder="1"/>
    <xf numFmtId="171" fontId="14" fillId="0" borderId="0" xfId="668" applyNumberFormat="1" applyFont="1" applyFill="1" applyBorder="1"/>
    <xf numFmtId="43" fontId="14" fillId="0" borderId="0" xfId="668" applyNumberFormat="1" applyFont="1" applyFill="1" applyBorder="1"/>
    <xf numFmtId="43" fontId="91" fillId="74" borderId="115" xfId="301" applyNumberFormat="1" applyFont="1" applyFill="1" applyBorder="1"/>
    <xf numFmtId="43" fontId="91" fillId="0" borderId="115" xfId="301" applyNumberFormat="1" applyFont="1" applyFill="1" applyBorder="1"/>
    <xf numFmtId="43" fontId="95" fillId="40" borderId="115" xfId="301" applyNumberFormat="1" applyFont="1" applyFill="1" applyBorder="1"/>
    <xf numFmtId="0" fontId="14" fillId="0" borderId="0" xfId="667" applyFont="1"/>
    <xf numFmtId="0" fontId="114" fillId="0" borderId="0" xfId="667" applyFont="1" applyAlignment="1">
      <alignment horizontal="left"/>
    </xf>
    <xf numFmtId="0" fontId="115" fillId="0" borderId="0" xfId="667" applyFont="1"/>
    <xf numFmtId="167" fontId="98" fillId="0" borderId="0" xfId="424" applyNumberFormat="1" applyFont="1" applyBorder="1" applyAlignment="1">
      <alignment horizontal="center" vertical="center" wrapText="1"/>
    </xf>
    <xf numFmtId="0" fontId="97" fillId="0" borderId="0" xfId="667" applyFont="1" applyFill="1" applyBorder="1" applyAlignment="1">
      <alignment horizontal="center" vertical="center" wrapText="1"/>
    </xf>
    <xf numFmtId="0" fontId="14" fillId="0" borderId="0" xfId="667" applyFont="1" applyBorder="1"/>
    <xf numFmtId="0" fontId="14" fillId="0" borderId="0" xfId="667" applyFont="1" applyAlignment="1"/>
    <xf numFmtId="43" fontId="14" fillId="0" borderId="0" xfId="667" applyNumberFormat="1" applyFont="1" applyFill="1" applyBorder="1"/>
    <xf numFmtId="0" fontId="14" fillId="0" borderId="0" xfId="667" applyFont="1" applyFill="1" applyBorder="1"/>
    <xf numFmtId="0" fontId="72" fillId="0" borderId="0" xfId="667" applyFont="1"/>
    <xf numFmtId="0" fontId="116" fillId="0" borderId="0" xfId="667" applyFont="1"/>
    <xf numFmtId="3" fontId="98" fillId="0" borderId="115" xfId="407" applyNumberFormat="1" applyFont="1" applyBorder="1" applyAlignment="1">
      <alignment horizontal="center" vertical="center" wrapText="1"/>
    </xf>
    <xf numFmtId="3" fontId="98" fillId="0" borderId="115" xfId="407" applyNumberFormat="1" applyFont="1" applyFill="1" applyBorder="1" applyAlignment="1">
      <alignment horizontal="center" vertical="center" wrapText="1"/>
    </xf>
    <xf numFmtId="3" fontId="98" fillId="0" borderId="0" xfId="407" applyNumberFormat="1" applyFont="1" applyBorder="1" applyAlignment="1">
      <alignment horizontal="center" vertical="center" wrapText="1"/>
    </xf>
    <xf numFmtId="3" fontId="98" fillId="0" borderId="0" xfId="407" applyNumberFormat="1" applyFont="1" applyFill="1" applyBorder="1" applyAlignment="1">
      <alignment horizontal="center" vertical="center" wrapText="1"/>
    </xf>
    <xf numFmtId="0" fontId="13" fillId="0" borderId="0" xfId="197" applyFont="1"/>
    <xf numFmtId="0" fontId="13" fillId="0" borderId="22" xfId="332" applyFont="1" applyFill="1" applyBorder="1"/>
    <xf numFmtId="172" fontId="0" fillId="0" borderId="129" xfId="0" applyNumberFormat="1" applyFill="1" applyBorder="1" applyProtection="1">
      <protection locked="0"/>
    </xf>
    <xf numFmtId="173" fontId="0" fillId="0" borderId="31" xfId="0" applyNumberFormat="1" applyFill="1" applyBorder="1" applyProtection="1">
      <protection locked="0"/>
    </xf>
    <xf numFmtId="173" fontId="0" fillId="0" borderId="129" xfId="0" applyNumberFormat="1" applyFill="1" applyBorder="1" applyProtection="1">
      <protection locked="0"/>
    </xf>
    <xf numFmtId="165" fontId="0" fillId="0" borderId="31" xfId="0" applyNumberFormat="1" applyFill="1" applyBorder="1" applyProtection="1">
      <protection locked="0"/>
    </xf>
    <xf numFmtId="165" fontId="0" fillId="0" borderId="129" xfId="0" applyNumberFormat="1" applyFill="1" applyBorder="1" applyProtection="1">
      <protection locked="0"/>
    </xf>
    <xf numFmtId="165" fontId="22" fillId="0" borderId="20" xfId="0" quotePrefix="1" applyNumberFormat="1" applyFont="1" applyFill="1" applyBorder="1" applyProtection="1"/>
    <xf numFmtId="0" fontId="91" fillId="0" borderId="24" xfId="0" applyFont="1" applyFill="1" applyBorder="1" applyAlignment="1">
      <alignment horizontal="center" wrapText="1"/>
    </xf>
    <xf numFmtId="166" fontId="91" fillId="0" borderId="0" xfId="144" applyNumberFormat="1" applyFont="1" applyFill="1" applyAlignment="1">
      <alignment horizontal="center"/>
    </xf>
    <xf numFmtId="44" fontId="91" fillId="0" borderId="0" xfId="78" applyFont="1" applyFill="1" applyAlignment="1">
      <alignment horizontal="center"/>
    </xf>
    <xf numFmtId="166" fontId="91" fillId="0" borderId="24" xfId="144" applyNumberFormat="1" applyFont="1" applyFill="1" applyBorder="1" applyAlignment="1">
      <alignment horizontal="center"/>
    </xf>
    <xf numFmtId="44" fontId="91" fillId="0" borderId="24" xfId="78" applyFont="1" applyFill="1" applyBorder="1" applyAlignment="1">
      <alignment horizontal="center"/>
    </xf>
    <xf numFmtId="0" fontId="95" fillId="0" borderId="0" xfId="0" applyFont="1" applyFill="1"/>
    <xf numFmtId="44" fontId="95" fillId="0" borderId="0" xfId="78" applyFont="1" applyFill="1" applyAlignment="1">
      <alignment horizontal="center"/>
    </xf>
    <xf numFmtId="44" fontId="57" fillId="55" borderId="32" xfId="78" applyNumberFormat="1" applyFont="1" applyFill="1" applyBorder="1" applyAlignment="1" applyProtection="1">
      <protection locked="0"/>
    </xf>
    <xf numFmtId="10" fontId="57" fillId="31" borderId="115" xfId="301" applyNumberFormat="1" applyFont="1" applyFill="1" applyBorder="1" applyProtection="1">
      <protection locked="0"/>
    </xf>
    <xf numFmtId="171" fontId="0" fillId="0" borderId="130" xfId="0" applyNumberFormat="1" applyBorder="1"/>
    <xf numFmtId="171" fontId="0" fillId="0" borderId="0" xfId="0" applyNumberFormat="1"/>
    <xf numFmtId="165" fontId="0" fillId="0" borderId="131" xfId="0" applyNumberFormat="1" applyFill="1" applyBorder="1" applyProtection="1">
      <protection locked="0"/>
    </xf>
    <xf numFmtId="165" fontId="0" fillId="0" borderId="132" xfId="0" applyNumberFormat="1" applyFill="1" applyBorder="1" applyProtection="1">
      <protection locked="0"/>
    </xf>
    <xf numFmtId="170" fontId="22" fillId="73" borderId="23" xfId="198" applyNumberFormat="1" applyFont="1" applyFill="1" applyBorder="1"/>
    <xf numFmtId="170" fontId="0" fillId="73" borderId="23" xfId="198" applyNumberFormat="1" applyFont="1" applyFill="1" applyBorder="1"/>
    <xf numFmtId="170" fontId="0" fillId="73" borderId="115" xfId="198" applyNumberFormat="1" applyFont="1" applyFill="1" applyBorder="1"/>
    <xf numFmtId="171" fontId="0" fillId="73" borderId="115" xfId="199" applyNumberFormat="1" applyFont="1" applyFill="1" applyBorder="1"/>
    <xf numFmtId="43" fontId="0" fillId="73" borderId="115" xfId="70" applyFont="1" applyFill="1" applyBorder="1"/>
    <xf numFmtId="43" fontId="0" fillId="73" borderId="23" xfId="70" applyFont="1" applyFill="1" applyBorder="1"/>
    <xf numFmtId="43" fontId="76" fillId="73" borderId="115" xfId="70" applyFont="1" applyFill="1" applyBorder="1"/>
    <xf numFmtId="170" fontId="76" fillId="73" borderId="115" xfId="198" applyNumberFormat="1" applyFont="1" applyFill="1" applyBorder="1"/>
    <xf numFmtId="170" fontId="0" fillId="73" borderId="118" xfId="198" applyNumberFormat="1" applyFont="1" applyFill="1" applyBorder="1"/>
    <xf numFmtId="170" fontId="0" fillId="73" borderId="21" xfId="198" applyNumberFormat="1" applyFont="1" applyFill="1" applyBorder="1"/>
    <xf numFmtId="171" fontId="0" fillId="73" borderId="23" xfId="199" applyNumberFormat="1" applyFont="1" applyFill="1" applyBorder="1"/>
    <xf numFmtId="43" fontId="76" fillId="73" borderId="23" xfId="70" applyFont="1" applyFill="1" applyBorder="1"/>
    <xf numFmtId="170" fontId="76" fillId="73" borderId="23" xfId="198" applyNumberFormat="1" applyFont="1" applyFill="1" applyBorder="1"/>
    <xf numFmtId="0" fontId="12" fillId="0" borderId="0" xfId="331" applyFont="1" applyFill="1" applyBorder="1" applyAlignment="1">
      <alignment vertical="center" wrapText="1"/>
    </xf>
    <xf numFmtId="0" fontId="70" fillId="0" borderId="0" xfId="0" applyFont="1" applyFill="1" applyBorder="1"/>
    <xf numFmtId="4" fontId="0" fillId="0" borderId="0" xfId="0" applyNumberFormat="1" applyFill="1" applyBorder="1" applyAlignment="1" applyProtection="1">
      <alignment horizontal="center"/>
    </xf>
    <xf numFmtId="0" fontId="119" fillId="0" borderId="0" xfId="0" applyFont="1" applyFill="1"/>
    <xf numFmtId="180" fontId="22" fillId="55" borderId="133" xfId="0" applyNumberFormat="1" applyFont="1" applyFill="1" applyBorder="1" applyAlignment="1" applyProtection="1">
      <alignment horizontal="center"/>
    </xf>
    <xf numFmtId="180" fontId="22" fillId="55" borderId="115" xfId="0" applyNumberFormat="1" applyFont="1" applyFill="1" applyBorder="1" applyAlignment="1" applyProtection="1">
      <alignment horizontal="center"/>
    </xf>
    <xf numFmtId="180" fontId="22" fillId="55" borderId="134" xfId="0" applyNumberFormat="1" applyFont="1" applyFill="1" applyBorder="1" applyAlignment="1" applyProtection="1">
      <alignment horizontal="center"/>
    </xf>
    <xf numFmtId="180" fontId="22" fillId="55" borderId="116" xfId="0" applyNumberFormat="1" applyFont="1" applyFill="1" applyBorder="1" applyAlignment="1" applyProtection="1">
      <alignment horizontal="center"/>
    </xf>
    <xf numFmtId="180" fontId="70" fillId="55" borderId="116" xfId="0" applyNumberFormat="1" applyFont="1" applyFill="1" applyBorder="1" applyAlignment="1" applyProtection="1">
      <alignment horizontal="center"/>
    </xf>
    <xf numFmtId="180" fontId="22" fillId="55" borderId="39" xfId="0" applyNumberFormat="1" applyFont="1" applyFill="1" applyBorder="1" applyAlignment="1" applyProtection="1">
      <alignment horizontal="center"/>
    </xf>
    <xf numFmtId="180" fontId="22" fillId="55" borderId="67" xfId="0" applyNumberFormat="1" applyFont="1" applyFill="1" applyBorder="1" applyAlignment="1" applyProtection="1">
      <alignment horizontal="center"/>
    </xf>
    <xf numFmtId="180" fontId="22" fillId="55" borderId="68" xfId="0" applyNumberFormat="1" applyFont="1" applyFill="1" applyBorder="1" applyAlignment="1" applyProtection="1">
      <alignment horizontal="center"/>
    </xf>
    <xf numFmtId="0" fontId="22" fillId="55" borderId="28" xfId="0" applyFont="1" applyFill="1" applyBorder="1" applyProtection="1"/>
    <xf numFmtId="169" fontId="22" fillId="55" borderId="133" xfId="0" applyNumberFormat="1" applyFont="1" applyFill="1" applyBorder="1" applyAlignment="1" applyProtection="1">
      <alignment horizontal="center"/>
    </xf>
    <xf numFmtId="0" fontId="77" fillId="0" borderId="0" xfId="326" applyNumberFormat="1" applyFont="1" applyFill="1" applyBorder="1" applyAlignment="1">
      <alignment horizontal="left" indent="1"/>
    </xf>
    <xf numFmtId="0" fontId="61" fillId="0" borderId="0" xfId="0" applyFont="1" applyAlignment="1">
      <alignment wrapText="1"/>
    </xf>
    <xf numFmtId="0" fontId="0" fillId="0" borderId="0" xfId="0" applyNumberFormat="1" applyAlignment="1">
      <alignment wrapText="1"/>
    </xf>
    <xf numFmtId="1" fontId="0" fillId="0" borderId="0" xfId="0" applyNumberFormat="1"/>
    <xf numFmtId="3" fontId="0" fillId="0" borderId="0" xfId="0" applyNumberFormat="1"/>
    <xf numFmtId="167" fontId="0" fillId="0" borderId="0" xfId="0" applyNumberFormat="1"/>
    <xf numFmtId="0" fontId="0" fillId="0" borderId="0" xfId="0" applyNumberFormat="1"/>
    <xf numFmtId="170" fontId="0" fillId="0" borderId="0" xfId="0" applyNumberFormat="1"/>
    <xf numFmtId="165" fontId="0" fillId="0" borderId="0" xfId="0" applyNumberFormat="1"/>
    <xf numFmtId="168" fontId="0" fillId="0" borderId="0" xfId="0" applyNumberFormat="1"/>
    <xf numFmtId="171" fontId="0" fillId="0" borderId="0" xfId="70" applyNumberFormat="1" applyFont="1"/>
    <xf numFmtId="170" fontId="0" fillId="0" borderId="0" xfId="78" applyNumberFormat="1" applyFont="1"/>
    <xf numFmtId="0" fontId="0" fillId="0" borderId="0" xfId="0" pivotButton="1" applyAlignment="1">
      <alignment wrapText="1"/>
    </xf>
    <xf numFmtId="0" fontId="0" fillId="0" borderId="0" xfId="0" pivotButton="1"/>
    <xf numFmtId="37" fontId="0" fillId="0" borderId="0" xfId="198" applyNumberFormat="1" applyFont="1"/>
    <xf numFmtId="180" fontId="22" fillId="0" borderId="0" xfId="122" applyNumberFormat="1" applyFont="1"/>
    <xf numFmtId="166" fontId="22" fillId="0" borderId="53" xfId="144" applyNumberFormat="1" applyFont="1" applyFill="1" applyBorder="1" applyProtection="1">
      <protection locked="0"/>
    </xf>
    <xf numFmtId="166" fontId="22" fillId="0" borderId="0" xfId="144" applyNumberFormat="1" applyFont="1" applyFill="1" applyBorder="1" applyProtection="1">
      <protection locked="0"/>
    </xf>
    <xf numFmtId="9" fontId="22" fillId="0" borderId="0" xfId="0" applyNumberFormat="1" applyFont="1"/>
    <xf numFmtId="166" fontId="22" fillId="0" borderId="23" xfId="144" applyNumberFormat="1" applyFont="1" applyFill="1" applyBorder="1"/>
    <xf numFmtId="166" fontId="22" fillId="0" borderId="23" xfId="0" applyNumberFormat="1" applyFont="1" applyFill="1" applyBorder="1" applyAlignment="1" applyProtection="1">
      <alignment horizontal="center"/>
      <protection locked="0"/>
    </xf>
    <xf numFmtId="169" fontId="22" fillId="0" borderId="23" xfId="0" applyNumberFormat="1" applyFont="1" applyFill="1" applyBorder="1" applyAlignment="1" applyProtection="1">
      <alignment horizontal="center"/>
      <protection locked="0"/>
    </xf>
    <xf numFmtId="43" fontId="22" fillId="0" borderId="0" xfId="0" applyNumberFormat="1" applyFont="1" applyFill="1" applyBorder="1" applyProtection="1">
      <protection locked="0"/>
    </xf>
    <xf numFmtId="44" fontId="85" fillId="0" borderId="0" xfId="328" applyNumberFormat="1" applyFont="1" applyFill="1"/>
    <xf numFmtId="0" fontId="85" fillId="0" borderId="0" xfId="328" applyFont="1" applyFill="1"/>
    <xf numFmtId="170" fontId="0" fillId="73" borderId="20" xfId="198" applyNumberFormat="1" applyFont="1" applyFill="1" applyBorder="1"/>
    <xf numFmtId="170" fontId="121" fillId="50" borderId="115" xfId="198" applyNumberFormat="1" applyFont="1" applyFill="1" applyBorder="1"/>
    <xf numFmtId="170" fontId="121" fillId="50" borderId="67" xfId="198" applyNumberFormat="1" applyFont="1" applyFill="1" applyBorder="1"/>
    <xf numFmtId="170" fontId="121" fillId="50" borderId="23" xfId="198" applyNumberFormat="1" applyFont="1" applyFill="1" applyBorder="1"/>
    <xf numFmtId="0" fontId="75" fillId="0" borderId="15" xfId="119" applyFont="1" applyBorder="1" applyAlignment="1">
      <alignment vertical="top" wrapText="1"/>
    </xf>
    <xf numFmtId="43" fontId="22" fillId="0" borderId="20" xfId="70" applyFont="1" applyFill="1" applyBorder="1" applyProtection="1">
      <protection locked="0"/>
    </xf>
    <xf numFmtId="0" fontId="22" fillId="0" borderId="0" xfId="301" applyFont="1" applyFill="1"/>
    <xf numFmtId="0" fontId="70" fillId="0" borderId="0" xfId="301" applyFont="1" applyFill="1"/>
    <xf numFmtId="0" fontId="70" fillId="0" borderId="0" xfId="301" applyFont="1" applyFill="1" applyBorder="1"/>
    <xf numFmtId="0" fontId="16" fillId="0" borderId="0" xfId="331" applyFill="1" applyBorder="1"/>
    <xf numFmtId="0" fontId="16" fillId="0" borderId="22" xfId="331" applyFont="1" applyFill="1" applyBorder="1"/>
    <xf numFmtId="0" fontId="10" fillId="0" borderId="0" xfId="331" applyFont="1" applyFill="1" applyBorder="1"/>
    <xf numFmtId="0" fontId="85" fillId="0" borderId="22" xfId="331" applyFont="1" applyFill="1" applyBorder="1"/>
    <xf numFmtId="44" fontId="87" fillId="0" borderId="0" xfId="331" applyNumberFormat="1" applyFont="1" applyFill="1" applyBorder="1"/>
    <xf numFmtId="0" fontId="12" fillId="0" borderId="0" xfId="331" applyFont="1" applyFill="1" applyBorder="1"/>
    <xf numFmtId="0" fontId="11" fillId="0" borderId="0" xfId="331" applyFont="1" applyFill="1" applyBorder="1"/>
    <xf numFmtId="0" fontId="122" fillId="0" borderId="0" xfId="0" applyFont="1" applyFill="1" applyBorder="1" applyProtection="1">
      <protection locked="0"/>
    </xf>
    <xf numFmtId="0" fontId="123" fillId="0" borderId="0" xfId="0" applyFont="1" applyFill="1" applyBorder="1" applyProtection="1">
      <protection locked="0"/>
    </xf>
    <xf numFmtId="0" fontId="22" fillId="0" borderId="0" xfId="0" applyFont="1" applyFill="1" applyBorder="1" applyAlignment="1" applyProtection="1">
      <alignment vertical="top" textRotation="75" wrapText="1"/>
      <protection locked="0"/>
    </xf>
    <xf numFmtId="0" fontId="0" fillId="0" borderId="0" xfId="0" applyFill="1" applyBorder="1"/>
    <xf numFmtId="0" fontId="22" fillId="0" borderId="136" xfId="0" applyFont="1" applyFill="1" applyBorder="1"/>
    <xf numFmtId="0" fontId="22" fillId="0" borderId="0" xfId="0" applyFont="1" applyFill="1" applyBorder="1" applyAlignment="1" applyProtection="1">
      <alignment horizontal="center" vertical="center"/>
      <protection locked="0"/>
    </xf>
    <xf numFmtId="43" fontId="22" fillId="0" borderId="0" xfId="70" applyNumberFormat="1" applyFont="1" applyFill="1" applyBorder="1" applyAlignment="1" applyProtection="1">
      <alignment horizontal="right"/>
      <protection locked="0"/>
    </xf>
    <xf numFmtId="43" fontId="22" fillId="0" borderId="0" xfId="70" applyFont="1" applyFill="1" applyBorder="1" applyAlignment="1" applyProtection="1">
      <alignment horizontal="center"/>
      <protection locked="0"/>
    </xf>
    <xf numFmtId="2" fontId="22" fillId="0" borderId="20" xfId="70" applyNumberFormat="1" applyFont="1" applyFill="1" applyBorder="1" applyAlignment="1" applyProtection="1">
      <protection locked="0"/>
    </xf>
    <xf numFmtId="2" fontId="22" fillId="0" borderId="20" xfId="70" applyNumberFormat="1" applyFont="1" applyFill="1" applyBorder="1" applyProtection="1">
      <protection locked="0"/>
    </xf>
    <xf numFmtId="166" fontId="22" fillId="0" borderId="118" xfId="144" applyNumberFormat="1" applyFont="1" applyFill="1" applyBorder="1"/>
    <xf numFmtId="166" fontId="22" fillId="0" borderId="118" xfId="0" applyNumberFormat="1" applyFont="1" applyFill="1" applyBorder="1" applyAlignment="1" applyProtection="1">
      <alignment horizontal="center"/>
      <protection locked="0"/>
    </xf>
    <xf numFmtId="0" fontId="22" fillId="0" borderId="107" xfId="0" applyFont="1" applyFill="1" applyBorder="1" applyProtection="1">
      <protection locked="0"/>
    </xf>
    <xf numFmtId="0" fontId="22" fillId="0" borderId="22" xfId="1006" applyFont="1" applyFill="1" applyBorder="1" applyProtection="1">
      <protection locked="0"/>
    </xf>
    <xf numFmtId="44" fontId="22" fillId="0" borderId="20" xfId="78" applyFont="1" applyFill="1" applyBorder="1" applyAlignment="1" applyProtection="1">
      <alignment horizontal="right"/>
      <protection locked="0"/>
    </xf>
    <xf numFmtId="174" fontId="22" fillId="0" borderId="20" xfId="329" applyNumberFormat="1" applyFont="1" applyFill="1" applyBorder="1" applyProtection="1">
      <protection locked="0"/>
    </xf>
    <xf numFmtId="0" fontId="6" fillId="0" borderId="0" xfId="332" applyFont="1" applyFill="1" applyBorder="1"/>
    <xf numFmtId="166" fontId="22" fillId="0" borderId="40" xfId="144" applyNumberFormat="1" applyFont="1" applyFill="1" applyBorder="1"/>
    <xf numFmtId="169" fontId="22" fillId="0" borderId="40" xfId="0" applyNumberFormat="1" applyFont="1" applyFill="1" applyBorder="1" applyAlignment="1" applyProtection="1">
      <alignment horizontal="center"/>
      <protection locked="0"/>
    </xf>
    <xf numFmtId="44" fontId="22" fillId="0" borderId="40" xfId="78" applyFont="1" applyFill="1" applyBorder="1" applyAlignment="1" applyProtection="1">
      <alignment horizontal="right"/>
      <protection locked="0"/>
    </xf>
    <xf numFmtId="0" fontId="7" fillId="0" borderId="0" xfId="331" applyFont="1" applyFill="1" applyBorder="1" applyAlignment="1">
      <alignment vertical="center" wrapText="1"/>
    </xf>
    <xf numFmtId="3" fontId="22" fillId="0" borderId="136" xfId="1006" applyNumberFormat="1" applyFont="1" applyFill="1" applyBorder="1" applyProtection="1">
      <protection locked="0"/>
    </xf>
    <xf numFmtId="0" fontId="0" fillId="0" borderId="15" xfId="0" applyFill="1" applyBorder="1"/>
    <xf numFmtId="44" fontId="0" fillId="0" borderId="0" xfId="0" applyNumberFormat="1" applyFill="1" applyBorder="1"/>
    <xf numFmtId="43" fontId="22" fillId="0" borderId="15" xfId="70" applyNumberFormat="1" applyFont="1" applyFill="1" applyBorder="1" applyAlignment="1" applyProtection="1">
      <alignment horizontal="right"/>
      <protection locked="0"/>
    </xf>
    <xf numFmtId="0" fontId="120" fillId="0" borderId="0" xfId="0" applyFont="1" applyFill="1" applyAlignment="1">
      <alignment horizontal="right"/>
    </xf>
    <xf numFmtId="0" fontId="127" fillId="0" borderId="0" xfId="0" applyFont="1" applyFill="1" applyAlignment="1">
      <alignment horizontal="right"/>
    </xf>
    <xf numFmtId="0" fontId="91" fillId="0" borderId="0" xfId="0" applyFont="1" applyFill="1" applyAlignment="1">
      <alignment horizontal="left"/>
    </xf>
    <xf numFmtId="190" fontId="91" fillId="0" borderId="0" xfId="144" applyNumberFormat="1" applyFont="1" applyFill="1"/>
    <xf numFmtId="0" fontId="91" fillId="0" borderId="0" xfId="0" applyFont="1" applyFill="1" applyAlignment="1">
      <alignment horizontal="right"/>
    </xf>
    <xf numFmtId="0" fontId="83" fillId="0" borderId="0" xfId="3341" applyFont="1" applyFill="1"/>
    <xf numFmtId="170" fontId="22" fillId="40" borderId="20" xfId="78" applyNumberFormat="1" applyFont="1" applyFill="1" applyBorder="1" applyProtection="1">
      <protection locked="0"/>
    </xf>
    <xf numFmtId="166" fontId="22" fillId="40" borderId="20" xfId="0" applyNumberFormat="1" applyFont="1" applyFill="1" applyBorder="1" applyProtection="1">
      <protection locked="0"/>
    </xf>
    <xf numFmtId="4" fontId="22" fillId="0" borderId="20" xfId="1006" applyNumberFormat="1" applyFont="1" applyFill="1" applyBorder="1" applyProtection="1">
      <protection locked="0"/>
    </xf>
    <xf numFmtId="0" fontId="22" fillId="0" borderId="22" xfId="1006" applyFont="1" applyFill="1" applyBorder="1"/>
    <xf numFmtId="0" fontId="22" fillId="0" borderId="0" xfId="123" applyFont="1" applyFill="1" applyBorder="1" applyProtection="1">
      <protection locked="0"/>
    </xf>
    <xf numFmtId="0" fontId="22" fillId="0" borderId="135" xfId="0" applyFont="1" applyFill="1" applyBorder="1"/>
    <xf numFmtId="175" fontId="0" fillId="0" borderId="0" xfId="78" applyNumberFormat="1" applyFont="1" applyFill="1"/>
    <xf numFmtId="166" fontId="22" fillId="40" borderId="40" xfId="0" applyNumberFormat="1" applyFont="1" applyFill="1" applyBorder="1" applyProtection="1">
      <protection locked="0"/>
    </xf>
    <xf numFmtId="166" fontId="22" fillId="40" borderId="20" xfId="144" applyNumberFormat="1" applyFont="1" applyFill="1" applyBorder="1" applyProtection="1">
      <protection locked="0"/>
    </xf>
    <xf numFmtId="0" fontId="22" fillId="40" borderId="15" xfId="0" applyFont="1" applyFill="1" applyBorder="1"/>
    <xf numFmtId="170" fontId="22" fillId="40" borderId="40" xfId="78" applyNumberFormat="1" applyFont="1" applyFill="1" applyBorder="1" applyProtection="1">
      <protection locked="0"/>
    </xf>
    <xf numFmtId="170" fontId="22" fillId="40" borderId="20" xfId="78" applyNumberFormat="1" applyFont="1" applyFill="1" applyBorder="1" applyAlignment="1" applyProtection="1">
      <alignment horizontal="right"/>
      <protection locked="0"/>
    </xf>
    <xf numFmtId="0" fontId="5" fillId="0" borderId="0" xfId="331" applyFont="1" applyFill="1" applyBorder="1"/>
    <xf numFmtId="0" fontId="5" fillId="0" borderId="0" xfId="331" applyFont="1" applyFill="1" applyBorder="1" applyAlignment="1">
      <alignment vertical="center" wrapText="1"/>
    </xf>
    <xf numFmtId="2" fontId="22" fillId="0" borderId="22" xfId="0" applyNumberFormat="1" applyFont="1" applyFill="1" applyBorder="1"/>
    <xf numFmtId="2" fontId="22" fillId="0" borderId="59" xfId="0" applyNumberFormat="1" applyFont="1" applyFill="1" applyBorder="1"/>
    <xf numFmtId="2" fontId="22" fillId="0" borderId="0" xfId="0" applyNumberFormat="1" applyFont="1" applyFill="1" applyBorder="1"/>
    <xf numFmtId="49" fontId="22" fillId="0" borderId="22" xfId="0" applyNumberFormat="1" applyFont="1" applyFill="1" applyBorder="1"/>
    <xf numFmtId="2" fontId="22" fillId="0" borderId="0" xfId="0" applyNumberFormat="1" applyFont="1" applyFill="1"/>
    <xf numFmtId="0" fontId="22" fillId="0" borderId="0" xfId="0" applyNumberFormat="1" applyFont="1" applyFill="1" applyBorder="1"/>
    <xf numFmtId="0" fontId="22" fillId="0" borderId="0" xfId="0" applyNumberFormat="1" applyFont="1" applyFill="1"/>
    <xf numFmtId="0" fontId="22" fillId="0" borderId="138" xfId="0" applyFont="1" applyFill="1" applyBorder="1"/>
    <xf numFmtId="166" fontId="22" fillId="0" borderId="20" xfId="144" applyNumberFormat="1" applyFont="1" applyFill="1" applyBorder="1"/>
    <xf numFmtId="169" fontId="22" fillId="0" borderId="20" xfId="0" applyNumberFormat="1" applyFont="1" applyFill="1" applyBorder="1" applyAlignment="1" applyProtection="1">
      <alignment horizontal="center"/>
      <protection locked="0"/>
    </xf>
    <xf numFmtId="0" fontId="22" fillId="0" borderId="19" xfId="0" applyFont="1" applyFill="1" applyBorder="1" applyProtection="1">
      <protection locked="0"/>
    </xf>
    <xf numFmtId="0" fontId="22" fillId="0" borderId="140" xfId="0" applyFont="1" applyFill="1" applyBorder="1"/>
    <xf numFmtId="0" fontId="22" fillId="0" borderId="19" xfId="0" applyFont="1" applyFill="1" applyBorder="1"/>
    <xf numFmtId="0" fontId="22" fillId="0" borderId="107" xfId="0" applyFont="1" applyFill="1" applyBorder="1"/>
    <xf numFmtId="0" fontId="126" fillId="0" borderId="141" xfId="0" applyFont="1" applyFill="1" applyBorder="1" applyAlignment="1">
      <alignment horizontal="left" wrapText="1"/>
    </xf>
    <xf numFmtId="0" fontId="0" fillId="0" borderId="40" xfId="0" applyFill="1" applyBorder="1"/>
    <xf numFmtId="2" fontId="22" fillId="0" borderId="0" xfId="0" applyNumberFormat="1" applyFont="1" applyFill="1" applyBorder="1" applyProtection="1">
      <protection locked="0"/>
    </xf>
    <xf numFmtId="2" fontId="22" fillId="0" borderId="22" xfId="123" applyNumberFormat="1" applyFont="1" applyFill="1" applyBorder="1" applyProtection="1">
      <protection locked="0"/>
    </xf>
    <xf numFmtId="2" fontId="0" fillId="0" borderId="59" xfId="0" applyNumberFormat="1" applyFill="1" applyBorder="1"/>
    <xf numFmtId="3" fontId="22" fillId="0" borderId="20" xfId="123" applyNumberFormat="1" applyFont="1" applyFill="1" applyBorder="1" applyProtection="1">
      <protection locked="0"/>
    </xf>
    <xf numFmtId="43" fontId="22" fillId="0" borderId="20" xfId="70" applyNumberFormat="1" applyFont="1" applyFill="1" applyBorder="1" applyAlignment="1" applyProtection="1">
      <alignment horizontal="left"/>
      <protection locked="0"/>
    </xf>
    <xf numFmtId="43" fontId="22" fillId="0" borderId="40" xfId="70" applyNumberFormat="1" applyFont="1" applyFill="1" applyBorder="1" applyAlignment="1" applyProtection="1">
      <alignment horizontal="left"/>
      <protection locked="0"/>
    </xf>
    <xf numFmtId="1" fontId="22" fillId="0" borderId="138" xfId="0" applyNumberFormat="1" applyFont="1" applyFill="1" applyBorder="1" applyAlignment="1" applyProtection="1">
      <alignment horizontal="right"/>
      <protection locked="0"/>
    </xf>
    <xf numFmtId="1" fontId="22" fillId="0" borderId="138" xfId="0" applyNumberFormat="1" applyFont="1" applyFill="1" applyBorder="1" applyAlignment="1" applyProtection="1">
      <alignment horizontal="center"/>
      <protection locked="0"/>
    </xf>
    <xf numFmtId="170" fontId="22" fillId="40" borderId="138" xfId="78" applyNumberFormat="1" applyFont="1" applyFill="1" applyBorder="1" applyProtection="1">
      <protection locked="0"/>
    </xf>
    <xf numFmtId="1" fontId="22" fillId="0" borderId="19" xfId="0" applyNumberFormat="1" applyFont="1" applyFill="1" applyBorder="1" applyAlignment="1" applyProtection="1">
      <alignment horizontal="center"/>
      <protection locked="0"/>
    </xf>
    <xf numFmtId="168" fontId="25" fillId="77" borderId="60" xfId="0" applyNumberFormat="1" applyFont="1" applyFill="1" applyBorder="1" applyAlignment="1" applyProtection="1">
      <alignment vertical="top" wrapText="1"/>
      <protection locked="0"/>
    </xf>
    <xf numFmtId="168" fontId="22" fillId="77" borderId="139" xfId="0" applyNumberFormat="1" applyFont="1" applyFill="1" applyBorder="1" applyAlignment="1" applyProtection="1">
      <alignment horizontal="center" vertical="top" wrapText="1"/>
      <protection locked="0"/>
    </xf>
    <xf numFmtId="43" fontId="22" fillId="0" borderId="139" xfId="70" applyFont="1" applyFill="1" applyBorder="1" applyAlignment="1" applyProtection="1">
      <alignment horizontal="center"/>
      <protection locked="0"/>
    </xf>
    <xf numFmtId="43" fontId="22" fillId="0" borderId="92" xfId="70" applyFont="1" applyFill="1" applyBorder="1" applyAlignment="1" applyProtection="1">
      <alignment horizontal="center"/>
      <protection locked="0"/>
    </xf>
    <xf numFmtId="43" fontId="22" fillId="0" borderId="47" xfId="70" applyFont="1" applyFill="1" applyBorder="1" applyAlignment="1" applyProtection="1">
      <alignment horizontal="center"/>
      <protection locked="0"/>
    </xf>
    <xf numFmtId="0" fontId="126" fillId="0" borderId="0" xfId="0" applyFont="1" applyFill="1" applyBorder="1" applyAlignment="1">
      <alignment horizontal="left" wrapText="1"/>
    </xf>
    <xf numFmtId="0" fontId="0" fillId="0" borderId="20" xfId="0" applyFill="1" applyBorder="1"/>
    <xf numFmtId="0" fontId="0" fillId="0" borderId="0" xfId="0" applyFill="1"/>
    <xf numFmtId="0" fontId="22" fillId="0" borderId="0" xfId="0" applyFont="1" applyFill="1" applyBorder="1"/>
    <xf numFmtId="0" fontId="22" fillId="0" borderId="0" xfId="0" applyFont="1" applyFill="1"/>
    <xf numFmtId="170" fontId="22" fillId="0" borderId="22" xfId="78" applyNumberFormat="1" applyFont="1" applyFill="1" applyBorder="1" applyProtection="1">
      <protection locked="0"/>
    </xf>
    <xf numFmtId="170" fontId="22" fillId="40" borderId="0" xfId="78" applyNumberFormat="1" applyFont="1" applyFill="1" applyBorder="1" applyProtection="1">
      <protection locked="0"/>
    </xf>
    <xf numFmtId="182" fontId="22" fillId="0" borderId="20" xfId="70" applyNumberFormat="1" applyFont="1" applyFill="1" applyBorder="1" applyAlignment="1" applyProtection="1">
      <alignment horizontal="right"/>
      <protection locked="0"/>
    </xf>
    <xf numFmtId="168" fontId="22" fillId="0" borderId="20" xfId="70" applyNumberFormat="1" applyFont="1" applyFill="1" applyBorder="1" applyProtection="1">
      <protection locked="0"/>
    </xf>
    <xf numFmtId="0" fontId="3" fillId="0" borderId="0" xfId="331" applyFont="1" applyFill="1" applyBorder="1"/>
    <xf numFmtId="165" fontId="25" fillId="41" borderId="22" xfId="78" applyNumberFormat="1" applyFont="1" applyFill="1" applyBorder="1" applyProtection="1"/>
    <xf numFmtId="44" fontId="22" fillId="40" borderId="20" xfId="78" applyNumberFormat="1" applyFont="1" applyFill="1" applyBorder="1" applyProtection="1">
      <protection locked="0"/>
    </xf>
    <xf numFmtId="44" fontId="22" fillId="40" borderId="20" xfId="78" applyNumberFormat="1" applyFont="1" applyFill="1" applyBorder="1" applyAlignment="1" applyProtection="1">
      <alignment horizontal="right"/>
      <protection locked="0"/>
    </xf>
    <xf numFmtId="0" fontId="3" fillId="0" borderId="0" xfId="331" applyFont="1" applyFill="1" applyBorder="1" applyAlignment="1">
      <alignment vertical="center" wrapText="1"/>
    </xf>
    <xf numFmtId="0" fontId="4" fillId="0" borderId="0" xfId="331" applyFont="1" applyFill="1" applyBorder="1"/>
    <xf numFmtId="166" fontId="22" fillId="0" borderId="19" xfId="0" applyNumberFormat="1" applyFont="1" applyFill="1" applyBorder="1" applyProtection="1">
      <protection locked="0"/>
    </xf>
    <xf numFmtId="0" fontId="22" fillId="40" borderId="19" xfId="0" applyFont="1" applyFill="1" applyBorder="1"/>
    <xf numFmtId="166" fontId="22" fillId="40" borderId="19" xfId="0" applyNumberFormat="1" applyFont="1" applyFill="1" applyBorder="1" applyProtection="1">
      <protection locked="0"/>
    </xf>
    <xf numFmtId="166" fontId="22" fillId="0" borderId="142" xfId="144" applyNumberFormat="1" applyFont="1" applyFill="1" applyBorder="1"/>
    <xf numFmtId="166" fontId="22" fillId="0" borderId="142" xfId="0" applyNumberFormat="1" applyFont="1" applyFill="1" applyBorder="1" applyAlignment="1" applyProtection="1">
      <alignment horizontal="center"/>
      <protection locked="0"/>
    </xf>
    <xf numFmtId="169" fontId="22" fillId="0" borderId="142" xfId="0" applyNumberFormat="1" applyFont="1" applyFill="1" applyBorder="1" applyAlignment="1" applyProtection="1">
      <alignment horizontal="center"/>
      <protection locked="0"/>
    </xf>
    <xf numFmtId="0" fontId="22" fillId="0" borderId="115" xfId="0" applyFont="1" applyFill="1" applyBorder="1"/>
    <xf numFmtId="2" fontId="22" fillId="0" borderId="40" xfId="70" applyNumberFormat="1" applyFont="1" applyFill="1" applyBorder="1" applyProtection="1">
      <protection locked="0"/>
    </xf>
    <xf numFmtId="0" fontId="0" fillId="0" borderId="40" xfId="0" applyBorder="1"/>
    <xf numFmtId="0" fontId="0" fillId="0" borderId="59" xfId="0" applyBorder="1"/>
    <xf numFmtId="43" fontId="22" fillId="0" borderId="19" xfId="70" applyNumberFormat="1" applyFont="1" applyFill="1" applyBorder="1" applyAlignment="1" applyProtection="1">
      <alignment horizontal="right"/>
      <protection locked="0"/>
    </xf>
    <xf numFmtId="1" fontId="22" fillId="0" borderId="107" xfId="0" applyNumberFormat="1" applyFont="1" applyFill="1" applyBorder="1" applyAlignment="1" applyProtection="1">
      <alignment horizontal="center"/>
      <protection locked="0"/>
    </xf>
    <xf numFmtId="0" fontId="22" fillId="0" borderId="67" xfId="0" applyFont="1" applyFill="1" applyBorder="1"/>
    <xf numFmtId="44" fontId="0" fillId="0" borderId="35" xfId="0" applyNumberFormat="1" applyFill="1" applyBorder="1"/>
    <xf numFmtId="44" fontId="0" fillId="0" borderId="32" xfId="0" applyNumberFormat="1" applyFill="1" applyBorder="1"/>
    <xf numFmtId="170" fontId="22" fillId="0" borderId="20" xfId="78" applyNumberFormat="1" applyFont="1" applyFill="1" applyBorder="1" applyAlignment="1" applyProtection="1">
      <alignment horizontal="right"/>
      <protection locked="0"/>
    </xf>
    <xf numFmtId="44" fontId="22" fillId="0" borderId="20" xfId="78" applyNumberFormat="1" applyFont="1" applyFill="1" applyBorder="1" applyProtection="1">
      <protection locked="0"/>
    </xf>
    <xf numFmtId="44" fontId="22" fillId="0" borderId="20" xfId="78" applyNumberFormat="1" applyFont="1" applyFill="1" applyBorder="1" applyAlignment="1" applyProtection="1">
      <protection locked="0"/>
    </xf>
    <xf numFmtId="170" fontId="22" fillId="0" borderId="20" xfId="0" applyNumberFormat="1" applyFont="1" applyFill="1" applyBorder="1" applyAlignment="1" applyProtection="1">
      <alignment horizontal="center"/>
      <protection locked="0"/>
    </xf>
    <xf numFmtId="44" fontId="0" fillId="0" borderId="15" xfId="0" applyNumberFormat="1" applyFill="1" applyBorder="1"/>
    <xf numFmtId="0" fontId="22" fillId="0" borderId="20" xfId="1006" applyFont="1" applyFill="1" applyBorder="1" applyAlignment="1" applyProtection="1">
      <alignment horizontal="center"/>
      <protection locked="0"/>
    </xf>
    <xf numFmtId="44" fontId="0" fillId="0" borderId="40" xfId="0" applyNumberFormat="1" applyFill="1" applyBorder="1"/>
    <xf numFmtId="44" fontId="22" fillId="0" borderId="40" xfId="78" applyNumberFormat="1" applyFont="1" applyFill="1" applyBorder="1" applyProtection="1">
      <protection locked="0"/>
    </xf>
    <xf numFmtId="44" fontId="22" fillId="0" borderId="20" xfId="78" applyNumberFormat="1" applyFont="1" applyFill="1" applyBorder="1" applyAlignment="1" applyProtection="1">
      <alignment horizontal="right"/>
      <protection locked="0"/>
    </xf>
    <xf numFmtId="44" fontId="22" fillId="0" borderId="20" xfId="0" applyNumberFormat="1" applyFont="1" applyFill="1" applyBorder="1" applyAlignment="1" applyProtection="1">
      <alignment horizontal="right"/>
      <protection locked="0"/>
    </xf>
    <xf numFmtId="44" fontId="22" fillId="0" borderId="19" xfId="78" applyNumberFormat="1" applyFont="1" applyFill="1" applyBorder="1" applyProtection="1">
      <protection locked="0"/>
    </xf>
    <xf numFmtId="44" fontId="22" fillId="0" borderId="20" xfId="0" applyNumberFormat="1" applyFont="1" applyFill="1" applyBorder="1"/>
    <xf numFmtId="44" fontId="22" fillId="0" borderId="40" xfId="0" applyNumberFormat="1" applyFont="1" applyFill="1" applyBorder="1"/>
    <xf numFmtId="44" fontId="22" fillId="0" borderId="40" xfId="78" applyNumberFormat="1" applyFont="1" applyFill="1" applyBorder="1" applyAlignment="1" applyProtection="1">
      <alignment horizontal="right"/>
      <protection locked="0"/>
    </xf>
    <xf numFmtId="44" fontId="22" fillId="0" borderId="20" xfId="0" applyNumberFormat="1" applyFont="1" applyFill="1" applyBorder="1" applyAlignment="1" applyProtection="1">
      <alignment horizontal="center"/>
      <protection locked="0"/>
    </xf>
    <xf numFmtId="166" fontId="22" fillId="0" borderId="20" xfId="144" applyNumberFormat="1" applyFont="1" applyFill="1" applyBorder="1" applyAlignment="1" applyProtection="1">
      <protection locked="0"/>
    </xf>
    <xf numFmtId="166" fontId="22" fillId="0" borderId="40" xfId="144" applyNumberFormat="1" applyFont="1" applyFill="1" applyBorder="1" applyAlignment="1" applyProtection="1">
      <protection locked="0"/>
    </xf>
    <xf numFmtId="166" fontId="22" fillId="0" borderId="20" xfId="0" applyNumberFormat="1" applyFont="1" applyFill="1" applyBorder="1" applyAlignment="1" applyProtection="1">
      <protection locked="0"/>
    </xf>
    <xf numFmtId="166" fontId="22" fillId="0" borderId="40" xfId="0" applyNumberFormat="1" applyFont="1" applyFill="1" applyBorder="1" applyAlignment="1" applyProtection="1">
      <protection locked="0"/>
    </xf>
    <xf numFmtId="0" fontId="22" fillId="0" borderId="20" xfId="0" applyFont="1" applyFill="1" applyBorder="1" applyAlignment="1"/>
    <xf numFmtId="0" fontId="22" fillId="0" borderId="19" xfId="0" applyFont="1" applyFill="1" applyBorder="1" applyAlignment="1"/>
    <xf numFmtId="0" fontId="22" fillId="0" borderId="40" xfId="0" applyFont="1" applyFill="1" applyBorder="1" applyAlignment="1"/>
    <xf numFmtId="0" fontId="22" fillId="0" borderId="107" xfId="0" applyFont="1" applyFill="1" applyBorder="1" applyAlignment="1"/>
    <xf numFmtId="166" fontId="22" fillId="0" borderId="0" xfId="0" applyNumberFormat="1" applyFont="1" applyFill="1" applyBorder="1" applyAlignment="1" applyProtection="1">
      <protection locked="0"/>
    </xf>
    <xf numFmtId="166" fontId="22" fillId="0" borderId="19" xfId="0" applyNumberFormat="1" applyFont="1" applyFill="1" applyBorder="1" applyAlignment="1" applyProtection="1">
      <protection locked="0"/>
    </xf>
    <xf numFmtId="166" fontId="22" fillId="0" borderId="19" xfId="144" applyNumberFormat="1" applyFont="1" applyFill="1" applyBorder="1" applyAlignment="1" applyProtection="1">
      <protection locked="0"/>
    </xf>
    <xf numFmtId="9" fontId="22" fillId="0" borderId="20" xfId="144" applyFont="1" applyFill="1" applyBorder="1" applyAlignment="1" applyProtection="1">
      <protection locked="0"/>
    </xf>
    <xf numFmtId="166" fontId="22" fillId="0" borderId="23" xfId="144" applyNumberFormat="1" applyFont="1" applyFill="1" applyBorder="1" applyAlignment="1" applyProtection="1">
      <protection locked="0"/>
    </xf>
    <xf numFmtId="166" fontId="22" fillId="0" borderId="138" xfId="144" applyNumberFormat="1" applyFont="1" applyFill="1" applyBorder="1" applyAlignment="1" applyProtection="1">
      <protection locked="0"/>
    </xf>
    <xf numFmtId="169" fontId="22" fillId="0" borderId="138" xfId="0" applyNumberFormat="1" applyFont="1" applyFill="1" applyBorder="1" applyAlignment="1" applyProtection="1">
      <alignment horizontal="center"/>
      <protection locked="0"/>
    </xf>
    <xf numFmtId="169" fontId="22" fillId="0" borderId="37" xfId="0" applyNumberFormat="1" applyFont="1" applyFill="1" applyBorder="1" applyAlignment="1" applyProtection="1">
      <alignment horizontal="center"/>
      <protection locked="0"/>
    </xf>
    <xf numFmtId="43" fontId="22" fillId="0" borderId="40" xfId="70" applyFont="1" applyFill="1" applyBorder="1" applyProtection="1">
      <protection locked="0"/>
    </xf>
    <xf numFmtId="0" fontId="91" fillId="0" borderId="115" xfId="0" pivotButton="1" applyFont="1" applyBorder="1"/>
    <xf numFmtId="0" fontId="91" fillId="0" borderId="115" xfId="0" applyFont="1" applyBorder="1"/>
    <xf numFmtId="0" fontId="91" fillId="0" borderId="115" xfId="0" applyFont="1" applyBorder="1" applyAlignment="1">
      <alignment horizontal="left"/>
    </xf>
    <xf numFmtId="0" fontId="95" fillId="40" borderId="115" xfId="0" applyFont="1" applyFill="1" applyBorder="1" applyAlignment="1">
      <alignment horizontal="left"/>
    </xf>
    <xf numFmtId="171" fontId="95" fillId="40" borderId="115" xfId="0" applyNumberFormat="1" applyFont="1" applyFill="1" applyBorder="1"/>
    <xf numFmtId="0" fontId="91" fillId="74" borderId="115" xfId="0" applyFont="1" applyFill="1" applyBorder="1" applyAlignment="1">
      <alignment horizontal="left" indent="1"/>
    </xf>
    <xf numFmtId="171" fontId="91" fillId="0" borderId="115" xfId="0" applyNumberFormat="1" applyFont="1" applyFill="1" applyBorder="1"/>
    <xf numFmtId="0" fontId="91" fillId="0" borderId="115" xfId="0" applyFont="1" applyBorder="1" applyAlignment="1">
      <alignment horizontal="left" indent="2"/>
    </xf>
    <xf numFmtId="0" fontId="91" fillId="0" borderId="115" xfId="0" applyFont="1" applyFill="1" applyBorder="1" applyAlignment="1">
      <alignment horizontal="left"/>
    </xf>
    <xf numFmtId="0" fontId="91" fillId="0" borderId="115" xfId="0" applyFont="1" applyBorder="1" applyAlignment="1">
      <alignment wrapText="1"/>
    </xf>
    <xf numFmtId="171" fontId="91" fillId="74" borderId="115" xfId="0" applyNumberFormat="1" applyFont="1" applyFill="1" applyBorder="1" applyAlignment="1">
      <alignment horizontal="left" indent="1"/>
    </xf>
    <xf numFmtId="2" fontId="95" fillId="40" borderId="115" xfId="0" applyNumberFormat="1" applyFont="1" applyFill="1" applyBorder="1" applyAlignment="1">
      <alignment horizontal="center"/>
    </xf>
    <xf numFmtId="3" fontId="95" fillId="40" borderId="115" xfId="0" applyNumberFormat="1" applyFont="1" applyFill="1" applyBorder="1" applyAlignment="1">
      <alignment horizontal="right"/>
    </xf>
    <xf numFmtId="171" fontId="95" fillId="74" borderId="115" xfId="0" applyNumberFormat="1" applyFont="1" applyFill="1" applyBorder="1" applyAlignment="1">
      <alignment horizontal="left" indent="1"/>
    </xf>
    <xf numFmtId="2" fontId="95" fillId="74" borderId="115" xfId="0" applyNumberFormat="1" applyFont="1" applyFill="1" applyBorder="1" applyAlignment="1">
      <alignment horizontal="center" vertical="center"/>
    </xf>
    <xf numFmtId="3" fontId="95" fillId="74" borderId="115" xfId="0" applyNumberFormat="1" applyFont="1" applyFill="1" applyBorder="1" applyAlignment="1">
      <alignment horizontal="right"/>
    </xf>
    <xf numFmtId="2" fontId="95" fillId="0" borderId="115" xfId="0" applyNumberFormat="1" applyFont="1" applyFill="1" applyBorder="1" applyAlignment="1">
      <alignment horizontal="center"/>
    </xf>
    <xf numFmtId="3" fontId="95" fillId="0" borderId="115" xfId="0" applyNumberFormat="1" applyFont="1" applyFill="1" applyBorder="1" applyAlignment="1">
      <alignment horizontal="right"/>
    </xf>
    <xf numFmtId="0" fontId="133" fillId="0" borderId="0" xfId="3350" applyFont="1" applyAlignment="1">
      <alignment horizontal="right"/>
    </xf>
    <xf numFmtId="0" fontId="109" fillId="0" borderId="0" xfId="3350" applyFont="1"/>
    <xf numFmtId="0" fontId="109" fillId="0" borderId="0" xfId="3350" applyFont="1" applyAlignment="1">
      <alignment horizontal="left"/>
    </xf>
    <xf numFmtId="0" fontId="134" fillId="0" borderId="0" xfId="301" applyFont="1" applyAlignment="1">
      <alignment horizontal="right"/>
    </xf>
    <xf numFmtId="0" fontId="135" fillId="0" borderId="0" xfId="3350" applyFont="1"/>
    <xf numFmtId="0" fontId="136" fillId="0" borderId="0" xfId="3350" applyFont="1" applyAlignment="1">
      <alignment horizontal="left"/>
    </xf>
    <xf numFmtId="0" fontId="136" fillId="0" borderId="0" xfId="3350" applyFont="1" applyAlignment="1">
      <alignment horizontal="right"/>
    </xf>
    <xf numFmtId="0" fontId="136" fillId="0" borderId="0" xfId="3350" applyFont="1" applyAlignment="1">
      <alignment horizontal="center"/>
    </xf>
    <xf numFmtId="0" fontId="136" fillId="0" borderId="0" xfId="3350" applyFont="1"/>
    <xf numFmtId="0" fontId="109" fillId="0" borderId="0" xfId="3350" applyFont="1" applyAlignment="1">
      <alignment horizontal="center"/>
    </xf>
    <xf numFmtId="0" fontId="109" fillId="0" borderId="0" xfId="3350" applyFont="1" applyAlignment="1">
      <alignment horizontal="right"/>
    </xf>
    <xf numFmtId="0" fontId="134" fillId="0" borderId="0" xfId="3350" applyFont="1" applyAlignment="1">
      <alignment horizontal="right"/>
    </xf>
    <xf numFmtId="0" fontId="109" fillId="0" borderId="0" xfId="301" applyFont="1"/>
    <xf numFmtId="0" fontId="109" fillId="0" borderId="0" xfId="3350" applyFont="1" applyAlignment="1"/>
    <xf numFmtId="1" fontId="109" fillId="0" borderId="0" xfId="3350" applyNumberFormat="1" applyFont="1" applyAlignment="1">
      <alignment horizontal="right"/>
    </xf>
    <xf numFmtId="0" fontId="137" fillId="0" borderId="0" xfId="3350" applyFont="1"/>
    <xf numFmtId="0" fontId="134" fillId="0" borderId="0" xfId="3350" applyFont="1" applyAlignment="1">
      <alignment horizontal="center"/>
    </xf>
    <xf numFmtId="0" fontId="133" fillId="0" borderId="0" xfId="301" applyFont="1" applyAlignment="1">
      <alignment horizontal="right"/>
    </xf>
    <xf numFmtId="0" fontId="109" fillId="0" borderId="0" xfId="301" applyFont="1" applyAlignment="1">
      <alignment horizontal="right"/>
    </xf>
    <xf numFmtId="0" fontId="109" fillId="0" borderId="0" xfId="301" applyFont="1" applyAlignment="1">
      <alignment horizontal="left" indent="2"/>
    </xf>
    <xf numFmtId="0" fontId="109" fillId="41" borderId="0" xfId="3350" applyFont="1" applyFill="1"/>
    <xf numFmtId="0" fontId="109" fillId="0" borderId="0" xfId="3350" applyFont="1" applyFill="1"/>
    <xf numFmtId="0" fontId="109" fillId="0" borderId="0" xfId="3349" applyFont="1"/>
    <xf numFmtId="0" fontId="109" fillId="0" borderId="0" xfId="43670" applyFont="1"/>
    <xf numFmtId="0" fontId="99" fillId="0" borderId="0" xfId="332" applyFont="1" applyFill="1" applyBorder="1" applyAlignment="1">
      <alignment horizontal="center"/>
    </xf>
    <xf numFmtId="166" fontId="24" fillId="0" borderId="22" xfId="0" applyNumberFormat="1" applyFont="1" applyBorder="1" applyAlignment="1">
      <alignment horizontal="center"/>
    </xf>
    <xf numFmtId="166" fontId="24" fillId="0" borderId="0" xfId="0" applyNumberFormat="1" applyFont="1" applyBorder="1" applyAlignment="1">
      <alignment horizontal="center"/>
    </xf>
    <xf numFmtId="166" fontId="24" fillId="0" borderId="19" xfId="0" applyNumberFormat="1" applyFont="1" applyBorder="1" applyAlignment="1">
      <alignment horizontal="center"/>
    </xf>
    <xf numFmtId="0" fontId="24" fillId="0" borderId="61" xfId="0" applyFont="1" applyBorder="1" applyAlignment="1">
      <alignment horizontal="center"/>
    </xf>
    <xf numFmtId="0" fontId="24" fillId="0" borderId="62" xfId="0" applyFont="1" applyBorder="1" applyAlignment="1">
      <alignment horizontal="center"/>
    </xf>
    <xf numFmtId="0" fontId="24" fillId="0" borderId="63" xfId="0" applyFont="1" applyBorder="1" applyAlignment="1">
      <alignment horizontal="center"/>
    </xf>
    <xf numFmtId="0" fontId="25" fillId="55" borderId="14" xfId="111" applyFont="1" applyFill="1" applyBorder="1" applyAlignment="1">
      <alignment horizontal="center"/>
    </xf>
    <xf numFmtId="0" fontId="21" fillId="48" borderId="64" xfId="111" applyFont="1" applyFill="1" applyBorder="1" applyAlignment="1">
      <alignment horizontal="center" vertical="center" wrapText="1"/>
    </xf>
    <xf numFmtId="0" fontId="21" fillId="48" borderId="20" xfId="111" applyFont="1" applyFill="1" applyBorder="1" applyAlignment="1">
      <alignment horizontal="center" vertical="center" wrapText="1"/>
    </xf>
    <xf numFmtId="0" fontId="21" fillId="48" borderId="23" xfId="111" applyFont="1" applyFill="1" applyBorder="1" applyAlignment="1">
      <alignment horizontal="center" vertical="center" wrapText="1"/>
    </xf>
    <xf numFmtId="0" fontId="21" fillId="48" borderId="61" xfId="111" applyFont="1" applyFill="1" applyBorder="1" applyAlignment="1">
      <alignment horizontal="center"/>
    </xf>
    <xf numFmtId="0" fontId="24" fillId="48" borderId="62" xfId="111" applyFill="1" applyBorder="1" applyAlignment="1">
      <alignment horizontal="center"/>
    </xf>
    <xf numFmtId="0" fontId="24" fillId="48" borderId="63" xfId="111" applyFill="1" applyBorder="1" applyAlignment="1">
      <alignment horizontal="center"/>
    </xf>
    <xf numFmtId="0" fontId="24" fillId="55" borderId="61" xfId="111" applyFill="1" applyBorder="1" applyAlignment="1">
      <alignment horizontal="center"/>
    </xf>
    <xf numFmtId="0" fontId="24" fillId="55" borderId="62" xfId="111" applyFill="1" applyBorder="1" applyAlignment="1">
      <alignment horizontal="center"/>
    </xf>
    <xf numFmtId="0" fontId="24" fillId="55" borderId="63" xfId="111" applyFill="1" applyBorder="1" applyAlignment="1">
      <alignment horizontal="center"/>
    </xf>
    <xf numFmtId="0" fontId="24" fillId="55" borderId="64" xfId="111" applyFill="1" applyBorder="1" applyAlignment="1">
      <alignment horizontal="center" wrapText="1"/>
    </xf>
    <xf numFmtId="0" fontId="24" fillId="55" borderId="23" xfId="111" applyFill="1" applyBorder="1" applyAlignment="1">
      <alignment horizontal="center" wrapText="1"/>
    </xf>
    <xf numFmtId="0" fontId="24" fillId="55" borderId="44" xfId="111" applyFill="1" applyBorder="1" applyAlignment="1">
      <alignment horizontal="center"/>
    </xf>
    <xf numFmtId="0" fontId="24" fillId="55" borderId="24" xfId="111" applyFill="1" applyBorder="1" applyAlignment="1">
      <alignment horizontal="center"/>
    </xf>
    <xf numFmtId="0" fontId="24" fillId="55" borderId="21" xfId="111" applyFill="1" applyBorder="1" applyAlignment="1">
      <alignment horizontal="center"/>
    </xf>
    <xf numFmtId="0" fontId="24" fillId="55" borderId="44" xfId="111" applyFill="1" applyBorder="1" applyAlignment="1">
      <alignment horizontal="center" wrapText="1"/>
    </xf>
    <xf numFmtId="0" fontId="24" fillId="55" borderId="24" xfId="111" applyFill="1" applyBorder="1" applyAlignment="1">
      <alignment horizontal="center" wrapText="1"/>
    </xf>
    <xf numFmtId="0" fontId="24" fillId="55" borderId="21" xfId="111" applyFill="1" applyBorder="1" applyAlignment="1">
      <alignment horizontal="center" wrapText="1"/>
    </xf>
    <xf numFmtId="0" fontId="24" fillId="55" borderId="20" xfId="111" applyFill="1" applyBorder="1" applyAlignment="1">
      <alignment horizontal="center" wrapText="1"/>
    </xf>
    <xf numFmtId="0" fontId="24" fillId="48" borderId="44" xfId="111" applyFill="1" applyBorder="1" applyAlignment="1">
      <alignment horizontal="center"/>
    </xf>
    <xf numFmtId="0" fontId="24" fillId="48" borderId="24" xfId="111" applyFill="1" applyBorder="1" applyAlignment="1">
      <alignment horizontal="center"/>
    </xf>
    <xf numFmtId="0" fontId="24" fillId="48" borderId="21" xfId="111" applyFill="1" applyBorder="1" applyAlignment="1">
      <alignment horizontal="center"/>
    </xf>
    <xf numFmtId="0" fontId="24" fillId="48" borderId="44" xfId="111" applyFill="1" applyBorder="1" applyAlignment="1">
      <alignment horizontal="center" wrapText="1"/>
    </xf>
    <xf numFmtId="0" fontId="24" fillId="48" borderId="24" xfId="111" applyFill="1" applyBorder="1" applyAlignment="1">
      <alignment horizontal="center" wrapText="1"/>
    </xf>
    <xf numFmtId="0" fontId="24" fillId="48" borderId="21" xfId="111" applyFill="1" applyBorder="1" applyAlignment="1">
      <alignment horizontal="center" wrapText="1"/>
    </xf>
    <xf numFmtId="0" fontId="24" fillId="48" borderId="20" xfId="111" applyFill="1" applyBorder="1" applyAlignment="1">
      <alignment horizontal="center" wrapText="1"/>
    </xf>
    <xf numFmtId="0" fontId="24" fillId="48" borderId="23" xfId="111" applyFill="1" applyBorder="1" applyAlignment="1">
      <alignment horizontal="center" wrapText="1"/>
    </xf>
    <xf numFmtId="0" fontId="24" fillId="55" borderId="22" xfId="111" applyFill="1" applyBorder="1" applyAlignment="1">
      <alignment horizontal="right" wrapText="1"/>
    </xf>
    <xf numFmtId="0" fontId="24" fillId="55" borderId="0" xfId="111" applyFill="1" applyBorder="1" applyAlignment="1">
      <alignment horizontal="right" wrapText="1"/>
    </xf>
    <xf numFmtId="0" fontId="21" fillId="55" borderId="27" xfId="111" applyFont="1" applyFill="1" applyBorder="1" applyAlignment="1">
      <alignment horizontal="right" wrapText="1"/>
    </xf>
    <xf numFmtId="0" fontId="21" fillId="48" borderId="27" xfId="111" applyFont="1" applyFill="1" applyBorder="1" applyAlignment="1">
      <alignment horizontal="right" wrapText="1"/>
    </xf>
    <xf numFmtId="0" fontId="24" fillId="48" borderId="0" xfId="111" applyFill="1" applyBorder="1" applyAlignment="1">
      <alignment horizontal="right" wrapText="1"/>
    </xf>
    <xf numFmtId="0" fontId="21" fillId="55" borderId="22" xfId="111" applyFont="1" applyFill="1" applyBorder="1" applyAlignment="1">
      <alignment horizontal="right" wrapText="1"/>
    </xf>
    <xf numFmtId="0" fontId="25" fillId="55" borderId="87" xfId="0" applyFont="1" applyFill="1" applyBorder="1" applyAlignment="1" applyProtection="1">
      <alignment horizontal="center" vertical="center"/>
    </xf>
    <xf numFmtId="0" fontId="25" fillId="55" borderId="62" xfId="0" applyFont="1" applyFill="1" applyBorder="1" applyAlignment="1" applyProtection="1">
      <alignment horizontal="center" vertical="center"/>
    </xf>
    <xf numFmtId="0" fontId="25" fillId="55" borderId="45" xfId="0" applyFont="1" applyFill="1" applyBorder="1" applyAlignment="1" applyProtection="1">
      <alignment horizontal="center" vertical="center"/>
    </xf>
    <xf numFmtId="0" fontId="25" fillId="55" borderId="88" xfId="0" applyFont="1" applyFill="1" applyBorder="1" applyAlignment="1" applyProtection="1">
      <alignment horizontal="center" vertical="center" wrapText="1"/>
    </xf>
    <xf numFmtId="0" fontId="0" fillId="55" borderId="90" xfId="0" applyFill="1" applyBorder="1" applyAlignment="1">
      <alignment horizontal="center" vertical="center" wrapText="1"/>
    </xf>
    <xf numFmtId="0" fontId="25" fillId="55" borderId="22" xfId="0" applyFont="1" applyFill="1" applyBorder="1" applyAlignment="1" applyProtection="1">
      <alignment horizontal="center" vertical="center" wrapText="1"/>
    </xf>
    <xf numFmtId="0" fontId="0" fillId="55" borderId="59" xfId="0" applyFill="1" applyBorder="1" applyAlignment="1">
      <alignment horizontal="center" vertical="center" wrapText="1"/>
    </xf>
    <xf numFmtId="0" fontId="25" fillId="55" borderId="66" xfId="0" applyFont="1" applyFill="1" applyBorder="1" applyAlignment="1" applyProtection="1">
      <alignment horizontal="center" vertical="center" wrapText="1"/>
    </xf>
    <xf numFmtId="0" fontId="0" fillId="55" borderId="47" xfId="0" applyFill="1" applyBorder="1" applyAlignment="1">
      <alignment horizontal="center" vertical="center" wrapText="1"/>
    </xf>
    <xf numFmtId="0" fontId="25" fillId="55" borderId="70" xfId="0" applyFont="1" applyFill="1" applyBorder="1" applyAlignment="1" applyProtection="1">
      <alignment horizontal="center" vertical="center"/>
    </xf>
    <xf numFmtId="0" fontId="25" fillId="55" borderId="71" xfId="0" applyFont="1" applyFill="1" applyBorder="1" applyAlignment="1" applyProtection="1">
      <alignment horizontal="center" vertical="center"/>
    </xf>
    <xf numFmtId="0" fontId="25" fillId="55" borderId="89" xfId="0" applyFont="1" applyFill="1" applyBorder="1" applyAlignment="1" applyProtection="1">
      <alignment horizontal="center" vertical="center"/>
    </xf>
    <xf numFmtId="0" fontId="25" fillId="55" borderId="72" xfId="0" applyFont="1" applyFill="1" applyBorder="1" applyAlignment="1" applyProtection="1">
      <alignment horizontal="center" vertical="center"/>
    </xf>
    <xf numFmtId="0" fontId="25" fillId="55" borderId="44" xfId="111" applyFont="1" applyFill="1" applyBorder="1" applyAlignment="1">
      <alignment horizontal="center"/>
    </xf>
    <xf numFmtId="0" fontId="25" fillId="55" borderId="24" xfId="111" applyFont="1" applyFill="1" applyBorder="1" applyAlignment="1">
      <alignment horizontal="center"/>
    </xf>
    <xf numFmtId="0" fontId="25" fillId="55" borderId="21" xfId="111" applyFont="1" applyFill="1" applyBorder="1" applyAlignment="1">
      <alignment horizontal="center"/>
    </xf>
    <xf numFmtId="0" fontId="25" fillId="55" borderId="14" xfId="111" applyFont="1" applyFill="1" applyBorder="1" applyAlignment="1">
      <alignment horizontal="center" wrapText="1"/>
    </xf>
    <xf numFmtId="0" fontId="22" fillId="55" borderId="0" xfId="0" applyFont="1" applyFill="1" applyAlignment="1">
      <alignment horizontal="center"/>
    </xf>
    <xf numFmtId="0" fontId="24" fillId="55" borderId="0" xfId="0" applyFont="1" applyFill="1" applyAlignment="1">
      <alignment horizontal="center"/>
    </xf>
    <xf numFmtId="0" fontId="24" fillId="48" borderId="0" xfId="0" applyFont="1" applyFill="1" applyAlignment="1">
      <alignment horizontal="center"/>
    </xf>
    <xf numFmtId="0" fontId="72" fillId="55" borderId="0" xfId="111" applyFont="1" applyFill="1" applyBorder="1" applyAlignment="1">
      <alignment horizontal="center" wrapText="1"/>
    </xf>
    <xf numFmtId="0" fontId="72" fillId="48" borderId="0" xfId="111" applyFont="1" applyFill="1" applyBorder="1" applyAlignment="1">
      <alignment horizontal="center" wrapText="1"/>
    </xf>
    <xf numFmtId="0" fontId="72" fillId="55" borderId="0" xfId="111" applyFont="1" applyFill="1" applyAlignment="1">
      <alignment horizontal="center" wrapText="1"/>
    </xf>
    <xf numFmtId="0" fontId="72" fillId="48" borderId="0" xfId="111" applyFont="1" applyFill="1" applyAlignment="1">
      <alignment horizontal="center" wrapText="1"/>
    </xf>
    <xf numFmtId="0" fontId="22" fillId="55" borderId="0" xfId="111" applyFont="1" applyFill="1" applyAlignment="1">
      <alignment horizontal="center" wrapText="1"/>
    </xf>
    <xf numFmtId="0" fontId="24" fillId="55" borderId="0" xfId="111" applyFill="1" applyAlignment="1">
      <alignment horizontal="center" wrapText="1"/>
    </xf>
    <xf numFmtId="0" fontId="21" fillId="55" borderId="64" xfId="111" applyFont="1" applyFill="1" applyBorder="1" applyAlignment="1">
      <alignment horizontal="center" vertical="center" wrapText="1"/>
    </xf>
    <xf numFmtId="0" fontId="21" fillId="55" borderId="20" xfId="111" applyFont="1" applyFill="1" applyBorder="1" applyAlignment="1">
      <alignment horizontal="center" vertical="center" wrapText="1"/>
    </xf>
    <xf numFmtId="0" fontId="21" fillId="55" borderId="23" xfId="111" applyFont="1" applyFill="1" applyBorder="1" applyAlignment="1">
      <alignment horizontal="center" vertical="center" wrapText="1"/>
    </xf>
    <xf numFmtId="0" fontId="21" fillId="55" borderId="61" xfId="111" applyFont="1" applyFill="1" applyBorder="1" applyAlignment="1">
      <alignment horizontal="center"/>
    </xf>
    <xf numFmtId="0" fontId="24" fillId="48" borderId="0" xfId="111" applyFill="1" applyAlignment="1">
      <alignment horizontal="center" wrapText="1"/>
    </xf>
    <xf numFmtId="0" fontId="0" fillId="31" borderId="81" xfId="0" applyFill="1" applyBorder="1" applyAlignment="1" applyProtection="1">
      <alignment horizontal="center" vertical="center" wrapText="1"/>
      <protection locked="0"/>
    </xf>
    <xf numFmtId="0" fontId="0" fillId="31" borderId="79" xfId="0" applyFill="1" applyBorder="1" applyAlignment="1" applyProtection="1">
      <alignment horizontal="center" vertical="center" wrapText="1"/>
      <protection locked="0"/>
    </xf>
    <xf numFmtId="0" fontId="0" fillId="31" borderId="78" xfId="0" applyFill="1" applyBorder="1" applyAlignment="1" applyProtection="1">
      <alignment horizontal="center" vertical="center" wrapText="1"/>
      <protection locked="0"/>
    </xf>
    <xf numFmtId="0" fontId="0" fillId="31" borderId="80" xfId="0" applyFill="1" applyBorder="1" applyAlignment="1" applyProtection="1">
      <alignment horizontal="center" vertical="center" wrapText="1"/>
      <protection locked="0"/>
    </xf>
    <xf numFmtId="0" fontId="0" fillId="38" borderId="81" xfId="0" applyFill="1" applyBorder="1" applyAlignment="1" applyProtection="1">
      <alignment horizontal="center" vertical="center" wrapText="1"/>
      <protection locked="0"/>
    </xf>
    <xf numFmtId="0" fontId="0" fillId="38" borderId="80" xfId="0" applyFill="1" applyBorder="1" applyAlignment="1" applyProtection="1">
      <alignment horizontal="center" vertical="center" wrapText="1"/>
      <protection locked="0"/>
    </xf>
    <xf numFmtId="0" fontId="0" fillId="34" borderId="81" xfId="0" applyFill="1" applyBorder="1" applyAlignment="1" applyProtection="1">
      <alignment horizontal="center" vertical="center" wrapText="1"/>
      <protection locked="0"/>
    </xf>
    <xf numFmtId="0" fontId="0" fillId="34" borderId="80" xfId="0" applyFill="1" applyBorder="1" applyAlignment="1" applyProtection="1">
      <alignment horizontal="center" vertical="center" wrapText="1"/>
      <protection locked="0"/>
    </xf>
    <xf numFmtId="0" fontId="25" fillId="55" borderId="84" xfId="0" applyFont="1" applyFill="1" applyBorder="1" applyAlignment="1" applyProtection="1">
      <alignment horizontal="center" vertical="center"/>
    </xf>
    <xf numFmtId="0" fontId="25" fillId="55" borderId="24" xfId="0" applyFont="1" applyFill="1" applyBorder="1" applyAlignment="1" applyProtection="1">
      <alignment horizontal="center" vertical="center"/>
    </xf>
    <xf numFmtId="0" fontId="25" fillId="55" borderId="85" xfId="0" applyFont="1" applyFill="1" applyBorder="1" applyAlignment="1" applyProtection="1">
      <alignment horizontal="center" vertical="center"/>
    </xf>
    <xf numFmtId="0" fontId="22" fillId="34" borderId="81" xfId="0" applyFont="1" applyFill="1" applyBorder="1" applyAlignment="1" applyProtection="1">
      <alignment horizontal="center" vertical="center" wrapText="1"/>
      <protection locked="0"/>
    </xf>
    <xf numFmtId="0" fontId="25" fillId="55" borderId="27" xfId="0" applyFont="1" applyFill="1" applyBorder="1" applyAlignment="1" applyProtection="1">
      <alignment vertical="center" wrapText="1"/>
    </xf>
    <xf numFmtId="0" fontId="0" fillId="55" borderId="0" xfId="0" applyFill="1" applyBorder="1" applyAlignment="1">
      <alignment vertical="center" wrapText="1"/>
    </xf>
    <xf numFmtId="0" fontId="0" fillId="55" borderId="29" xfId="0" applyFill="1" applyBorder="1" applyAlignment="1">
      <alignment vertical="center" wrapText="1"/>
    </xf>
    <xf numFmtId="0" fontId="0" fillId="55" borderId="27" xfId="0" applyFill="1" applyBorder="1" applyAlignment="1">
      <alignment vertical="center" wrapText="1"/>
    </xf>
    <xf numFmtId="0" fontId="0" fillId="55" borderId="84" xfId="0" applyFill="1" applyBorder="1" applyAlignment="1">
      <alignment vertical="center" wrapText="1"/>
    </xf>
    <xf numFmtId="0" fontId="0" fillId="55" borderId="24" xfId="0" applyFill="1" applyBorder="1" applyAlignment="1">
      <alignment vertical="center" wrapText="1"/>
    </xf>
    <xf numFmtId="0" fontId="0" fillId="55" borderId="85" xfId="0" applyFill="1" applyBorder="1" applyAlignment="1">
      <alignment vertical="center" wrapText="1"/>
    </xf>
    <xf numFmtId="0" fontId="25" fillId="55" borderId="27" xfId="0" applyFont="1" applyFill="1" applyBorder="1" applyAlignment="1" applyProtection="1">
      <alignment horizontal="center" vertical="center" wrapText="1"/>
    </xf>
    <xf numFmtId="0" fontId="25" fillId="55" borderId="0" xfId="0" applyFont="1" applyFill="1" applyBorder="1" applyAlignment="1" applyProtection="1">
      <alignment horizontal="center" vertical="center" wrapText="1"/>
    </xf>
    <xf numFmtId="0" fontId="25" fillId="55" borderId="29" xfId="0" applyFont="1" applyFill="1" applyBorder="1" applyAlignment="1" applyProtection="1">
      <alignment horizontal="center" vertical="center" wrapText="1"/>
    </xf>
    <xf numFmtId="0" fontId="25" fillId="55" borderId="84" xfId="0" applyFont="1" applyFill="1" applyBorder="1" applyAlignment="1" applyProtection="1">
      <alignment horizontal="center" vertical="center" wrapText="1"/>
    </xf>
    <xf numFmtId="0" fontId="25" fillId="55" borderId="24" xfId="0" applyFont="1" applyFill="1" applyBorder="1" applyAlignment="1" applyProtection="1">
      <alignment horizontal="center" vertical="center" wrapText="1"/>
    </xf>
    <xf numFmtId="0" fontId="25" fillId="55" borderId="85" xfId="0" applyFont="1" applyFill="1" applyBorder="1" applyAlignment="1" applyProtection="1">
      <alignment horizontal="center" vertical="center" wrapText="1"/>
    </xf>
    <xf numFmtId="0" fontId="0" fillId="55" borderId="0" xfId="0" applyFill="1" applyBorder="1" applyAlignment="1">
      <alignment wrapText="1"/>
    </xf>
    <xf numFmtId="0" fontId="0" fillId="55" borderId="29" xfId="0" applyFill="1" applyBorder="1" applyAlignment="1">
      <alignment wrapText="1"/>
    </xf>
    <xf numFmtId="0" fontId="0" fillId="55" borderId="27" xfId="0" applyFill="1" applyBorder="1" applyAlignment="1">
      <alignment wrapText="1"/>
    </xf>
    <xf numFmtId="0" fontId="0" fillId="55" borderId="84" xfId="0" applyFill="1" applyBorder="1" applyAlignment="1">
      <alignment wrapText="1"/>
    </xf>
    <xf numFmtId="0" fontId="0" fillId="55" borderId="24" xfId="0" applyFill="1" applyBorder="1" applyAlignment="1">
      <alignment wrapText="1"/>
    </xf>
    <xf numFmtId="0" fontId="0" fillId="55" borderId="85" xfId="0" applyFill="1" applyBorder="1" applyAlignment="1">
      <alignment wrapText="1"/>
    </xf>
    <xf numFmtId="0" fontId="25" fillId="55" borderId="28" xfId="0" applyFont="1" applyFill="1" applyBorder="1" applyAlignment="1" applyProtection="1">
      <alignment horizontal="center" vertical="center" wrapText="1"/>
    </xf>
    <xf numFmtId="0" fontId="0" fillId="55" borderId="28" xfId="0" applyFill="1" applyBorder="1" applyAlignment="1">
      <alignment horizontal="center" vertical="center" wrapText="1"/>
    </xf>
    <xf numFmtId="0" fontId="0" fillId="55" borderId="30" xfId="0" applyFill="1" applyBorder="1" applyAlignment="1">
      <alignment horizontal="center" vertical="center" wrapText="1"/>
    </xf>
    <xf numFmtId="0" fontId="25" fillId="55" borderId="41" xfId="0" applyFont="1" applyFill="1" applyBorder="1" applyAlignment="1" applyProtection="1">
      <alignment horizontal="center" vertical="center" wrapText="1"/>
    </xf>
    <xf numFmtId="0" fontId="25" fillId="55" borderId="43" xfId="0" applyFont="1" applyFill="1" applyBorder="1" applyAlignment="1" applyProtection="1">
      <alignment horizontal="center" vertical="center" wrapText="1"/>
    </xf>
    <xf numFmtId="0" fontId="25" fillId="55" borderId="44" xfId="0" applyFont="1" applyFill="1" applyBorder="1" applyAlignment="1" applyProtection="1">
      <alignment horizontal="center" vertical="center" wrapText="1"/>
    </xf>
    <xf numFmtId="0" fontId="25" fillId="55" borderId="21" xfId="0" applyFont="1" applyFill="1" applyBorder="1" applyAlignment="1" applyProtection="1">
      <alignment horizontal="center" vertical="center" wrapText="1"/>
    </xf>
    <xf numFmtId="0" fontId="25" fillId="55" borderId="41" xfId="0" applyFont="1" applyFill="1" applyBorder="1" applyAlignment="1" applyProtection="1">
      <alignment horizontal="center" vertical="center"/>
    </xf>
    <xf numFmtId="0" fontId="25" fillId="55" borderId="86" xfId="0" applyFont="1" applyFill="1" applyBorder="1" applyAlignment="1" applyProtection="1">
      <alignment horizontal="center" vertical="center"/>
    </xf>
    <xf numFmtId="0" fontId="25" fillId="55" borderId="44" xfId="0" applyFont="1" applyFill="1" applyBorder="1" applyAlignment="1" applyProtection="1">
      <alignment horizontal="center" vertical="center"/>
    </xf>
    <xf numFmtId="0" fontId="25" fillId="55" borderId="27" xfId="0" applyFont="1" applyFill="1" applyBorder="1" applyAlignment="1" applyProtection="1">
      <alignment horizontal="center" vertical="center"/>
    </xf>
    <xf numFmtId="0" fontId="25" fillId="55" borderId="0" xfId="0" applyFont="1" applyFill="1" applyBorder="1" applyAlignment="1" applyProtection="1">
      <alignment horizontal="center" vertical="center"/>
    </xf>
    <xf numFmtId="0" fontId="25" fillId="55" borderId="29" xfId="0" applyFont="1" applyFill="1" applyBorder="1" applyAlignment="1" applyProtection="1">
      <alignment horizontal="center" vertical="center"/>
    </xf>
    <xf numFmtId="0" fontId="25" fillId="55" borderId="73" xfId="0" applyFont="1" applyFill="1" applyBorder="1" applyAlignment="1" applyProtection="1">
      <alignment horizontal="center" vertical="center"/>
    </xf>
    <xf numFmtId="0" fontId="25" fillId="55" borderId="42" xfId="0" applyFont="1" applyFill="1" applyBorder="1" applyAlignment="1" applyProtection="1">
      <alignment horizontal="center" vertical="center"/>
    </xf>
    <xf numFmtId="0" fontId="25" fillId="55" borderId="43" xfId="0" applyFont="1" applyFill="1" applyBorder="1" applyAlignment="1" applyProtection="1">
      <alignment horizontal="center" vertical="center"/>
    </xf>
    <xf numFmtId="0" fontId="25" fillId="55" borderId="21" xfId="0" applyFont="1" applyFill="1" applyBorder="1" applyAlignment="1" applyProtection="1">
      <alignment horizontal="center" vertical="center"/>
    </xf>
    <xf numFmtId="0" fontId="0" fillId="34" borderId="78" xfId="0" applyFill="1" applyBorder="1" applyAlignment="1" applyProtection="1">
      <alignment horizontal="center" vertical="center" wrapText="1"/>
      <protection locked="0"/>
    </xf>
    <xf numFmtId="0" fontId="0" fillId="34" borderId="79" xfId="0" applyFill="1" applyBorder="1" applyAlignment="1" applyProtection="1">
      <alignment horizontal="center" vertical="center" wrapText="1"/>
      <protection locked="0"/>
    </xf>
    <xf numFmtId="0" fontId="0" fillId="0" borderId="61" xfId="0" applyBorder="1" applyAlignment="1" applyProtection="1">
      <alignment horizontal="center"/>
      <protection locked="0"/>
    </xf>
    <xf numFmtId="0" fontId="0" fillId="0" borderId="62" xfId="0" applyBorder="1" applyAlignment="1" applyProtection="1">
      <alignment horizontal="center"/>
      <protection locked="0"/>
    </xf>
    <xf numFmtId="0" fontId="0" fillId="0" borderId="63" xfId="0" applyBorder="1" applyAlignment="1" applyProtection="1">
      <alignment horizontal="center"/>
      <protection locked="0"/>
    </xf>
    <xf numFmtId="0" fontId="0" fillId="0" borderId="61" xfId="0" applyFill="1" applyBorder="1" applyAlignment="1" applyProtection="1">
      <alignment horizontal="center" wrapText="1"/>
    </xf>
    <xf numFmtId="0" fontId="0" fillId="0" borderId="62" xfId="0" applyFill="1" applyBorder="1" applyAlignment="1" applyProtection="1">
      <alignment horizontal="center" wrapText="1"/>
    </xf>
    <xf numFmtId="0" fontId="0" fillId="0" borderId="63" xfId="0" applyFill="1" applyBorder="1" applyAlignment="1" applyProtection="1">
      <alignment horizontal="center" wrapText="1"/>
    </xf>
    <xf numFmtId="0" fontId="22" fillId="0" borderId="81" xfId="0" applyFont="1" applyFill="1" applyBorder="1" applyAlignment="1" applyProtection="1">
      <alignment horizontal="center" vertical="center" wrapText="1"/>
      <protection locked="0"/>
    </xf>
    <xf numFmtId="0" fontId="0" fillId="0" borderId="80" xfId="0"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22" fillId="31" borderId="81" xfId="0" applyFont="1" applyFill="1" applyBorder="1" applyAlignment="1" applyProtection="1">
      <alignment horizontal="center" vertical="center" wrapText="1"/>
      <protection locked="0"/>
    </xf>
    <xf numFmtId="44" fontId="25" fillId="45" borderId="16" xfId="78" applyFont="1" applyFill="1" applyBorder="1" applyAlignment="1" applyProtection="1">
      <alignment horizontal="center" vertical="center"/>
      <protection locked="0"/>
    </xf>
    <xf numFmtId="44" fontId="25" fillId="45" borderId="17" xfId="78" applyFont="1" applyFill="1" applyBorder="1" applyAlignment="1" applyProtection="1">
      <alignment horizontal="center" vertical="center"/>
      <protection locked="0"/>
    </xf>
    <xf numFmtId="2" fontId="25" fillId="33" borderId="16" xfId="0" applyNumberFormat="1" applyFont="1" applyFill="1" applyBorder="1" applyAlignment="1" applyProtection="1">
      <alignment horizontal="center" vertical="center" wrapText="1"/>
      <protection locked="0"/>
    </xf>
    <xf numFmtId="2" fontId="25" fillId="33" borderId="17" xfId="0" applyNumberFormat="1" applyFont="1" applyFill="1" applyBorder="1" applyAlignment="1" applyProtection="1">
      <alignment horizontal="center" vertical="center" wrapText="1"/>
      <protection locked="0"/>
    </xf>
    <xf numFmtId="2" fontId="25" fillId="33" borderId="18" xfId="0" applyNumberFormat="1" applyFont="1" applyFill="1" applyBorder="1" applyAlignment="1" applyProtection="1">
      <alignment horizontal="center" vertical="center" wrapText="1"/>
      <protection locked="0"/>
    </xf>
    <xf numFmtId="0" fontId="25" fillId="32" borderId="16" xfId="0" applyFont="1" applyFill="1" applyBorder="1" applyAlignment="1" applyProtection="1">
      <alignment horizontal="center" vertical="center"/>
      <protection locked="0"/>
    </xf>
    <xf numFmtId="0" fontId="25" fillId="32" borderId="17" xfId="0" applyFont="1" applyFill="1" applyBorder="1" applyAlignment="1" applyProtection="1">
      <alignment horizontal="center" vertical="center"/>
      <protection locked="0"/>
    </xf>
    <xf numFmtId="0" fontId="25" fillId="32" borderId="18" xfId="0" applyFont="1" applyFill="1" applyBorder="1" applyAlignment="1" applyProtection="1">
      <alignment horizontal="center" vertical="center"/>
      <protection locked="0"/>
    </xf>
    <xf numFmtId="1" fontId="25" fillId="52" borderId="16" xfId="0" applyNumberFormat="1" applyFont="1" applyFill="1" applyBorder="1" applyAlignment="1" applyProtection="1">
      <alignment horizontal="center" vertical="center"/>
      <protection locked="0"/>
    </xf>
    <xf numFmtId="1" fontId="25" fillId="52" borderId="17" xfId="0" applyNumberFormat="1" applyFont="1" applyFill="1" applyBorder="1" applyAlignment="1" applyProtection="1">
      <alignment horizontal="center" vertical="center"/>
      <protection locked="0"/>
    </xf>
    <xf numFmtId="165" fontId="25" fillId="37" borderId="16" xfId="0" applyNumberFormat="1" applyFont="1" applyFill="1" applyBorder="1" applyAlignment="1" applyProtection="1">
      <alignment horizontal="center" vertical="center"/>
      <protection locked="0"/>
    </xf>
    <xf numFmtId="165" fontId="25" fillId="37" borderId="17" xfId="0" applyNumberFormat="1" applyFont="1" applyFill="1" applyBorder="1" applyAlignment="1" applyProtection="1">
      <alignment horizontal="center" vertical="center"/>
      <protection locked="0"/>
    </xf>
    <xf numFmtId="0" fontId="89" fillId="69" borderId="115" xfId="0" applyFont="1" applyFill="1" applyBorder="1" applyAlignment="1">
      <alignment horizontal="center"/>
    </xf>
    <xf numFmtId="167" fontId="89" fillId="66" borderId="115" xfId="111" applyNumberFormat="1" applyFont="1" applyFill="1" applyBorder="1" applyAlignment="1" applyProtection="1">
      <alignment horizontal="center" wrapText="1"/>
    </xf>
    <xf numFmtId="0" fontId="25" fillId="0" borderId="115" xfId="0" applyFont="1" applyFill="1" applyBorder="1" applyAlignment="1" applyProtection="1">
      <alignment horizontal="center"/>
    </xf>
    <xf numFmtId="0" fontId="88" fillId="54" borderId="115" xfId="0" applyFont="1" applyFill="1" applyBorder="1" applyAlignment="1" applyProtection="1">
      <alignment horizontal="center"/>
    </xf>
    <xf numFmtId="0" fontId="89" fillId="56" borderId="115" xfId="0" applyFont="1" applyFill="1" applyBorder="1" applyAlignment="1">
      <alignment horizontal="center"/>
    </xf>
    <xf numFmtId="0" fontId="89" fillId="56" borderId="116" xfId="0" applyFont="1" applyFill="1" applyBorder="1" applyAlignment="1">
      <alignment horizontal="center"/>
    </xf>
    <xf numFmtId="0" fontId="89" fillId="57" borderId="115" xfId="0" applyFont="1" applyFill="1" applyBorder="1" applyAlignment="1">
      <alignment horizontal="center"/>
    </xf>
    <xf numFmtId="0" fontId="89" fillId="67" borderId="115" xfId="0" applyFont="1" applyFill="1" applyBorder="1" applyAlignment="1">
      <alignment horizontal="center"/>
    </xf>
    <xf numFmtId="3" fontId="98" fillId="0" borderId="115" xfId="407" applyNumberFormat="1" applyFont="1" applyFill="1" applyBorder="1" applyAlignment="1">
      <alignment horizontal="center" vertical="center" wrapText="1"/>
    </xf>
    <xf numFmtId="0" fontId="113" fillId="52" borderId="115" xfId="668" applyFont="1" applyFill="1" applyBorder="1" applyAlignment="1">
      <alignment horizontal="center"/>
    </xf>
    <xf numFmtId="0" fontId="98" fillId="0" borderId="115" xfId="593" applyFont="1" applyBorder="1" applyAlignment="1">
      <alignment horizontal="center" vertical="center" wrapText="1"/>
    </xf>
    <xf numFmtId="3" fontId="98" fillId="0" borderId="115" xfId="407" applyNumberFormat="1" applyFont="1" applyBorder="1" applyAlignment="1">
      <alignment horizontal="center" vertical="center" wrapText="1"/>
    </xf>
    <xf numFmtId="3" fontId="98" fillId="0" borderId="115" xfId="407" applyNumberFormat="1" applyFont="1" applyBorder="1" applyAlignment="1">
      <alignment horizontal="center"/>
    </xf>
    <xf numFmtId="3" fontId="98" fillId="0" borderId="115" xfId="407" applyNumberFormat="1" applyFont="1" applyFill="1" applyBorder="1" applyAlignment="1">
      <alignment horizontal="center"/>
    </xf>
    <xf numFmtId="167" fontId="98" fillId="0" borderId="115" xfId="593" applyNumberFormat="1" applyFont="1" applyFill="1" applyBorder="1" applyAlignment="1">
      <alignment horizontal="center" vertical="center" wrapText="1"/>
    </xf>
    <xf numFmtId="167" fontId="98" fillId="0" borderId="116" xfId="593" applyNumberFormat="1" applyFont="1" applyFill="1" applyBorder="1" applyAlignment="1">
      <alignment horizontal="center" vertical="center" wrapText="1"/>
    </xf>
    <xf numFmtId="0" fontId="113" fillId="52" borderId="116" xfId="668" applyFont="1" applyFill="1" applyBorder="1" applyAlignment="1">
      <alignment horizontal="center"/>
    </xf>
    <xf numFmtId="0" fontId="113" fillId="52" borderId="114" xfId="668" applyFont="1" applyFill="1" applyBorder="1" applyAlignment="1">
      <alignment horizontal="center"/>
    </xf>
    <xf numFmtId="0" fontId="113" fillId="52" borderId="117" xfId="668" applyFont="1" applyFill="1" applyBorder="1" applyAlignment="1">
      <alignment horizontal="center"/>
    </xf>
    <xf numFmtId="0" fontId="98" fillId="0" borderId="23" xfId="593" applyFont="1" applyBorder="1" applyAlignment="1">
      <alignment horizontal="center" vertical="center" wrapText="1"/>
    </xf>
    <xf numFmtId="167" fontId="97" fillId="0" borderId="115" xfId="593" applyNumberFormat="1" applyFont="1" applyBorder="1" applyAlignment="1">
      <alignment horizontal="center"/>
    </xf>
    <xf numFmtId="167" fontId="98" fillId="0" borderId="115" xfId="593" applyNumberFormat="1" applyFont="1" applyFill="1" applyBorder="1" applyAlignment="1">
      <alignment horizontal="center" wrapText="1"/>
    </xf>
    <xf numFmtId="167" fontId="98" fillId="0" borderId="118" xfId="593" applyNumberFormat="1" applyFont="1" applyFill="1" applyBorder="1" applyAlignment="1">
      <alignment horizontal="center" vertical="center" wrapText="1"/>
    </xf>
    <xf numFmtId="167" fontId="98" fillId="0" borderId="23" xfId="593" applyNumberFormat="1" applyFont="1" applyFill="1" applyBorder="1" applyAlignment="1">
      <alignment horizontal="center" vertical="center" wrapText="1"/>
    </xf>
    <xf numFmtId="167" fontId="97" fillId="0" borderId="23" xfId="593" applyNumberFormat="1" applyFont="1" applyBorder="1" applyAlignment="1">
      <alignment horizontal="center" vertical="center" wrapText="1"/>
    </xf>
    <xf numFmtId="167" fontId="97" fillId="0" borderId="115" xfId="593" applyNumberFormat="1" applyFont="1" applyBorder="1" applyAlignment="1">
      <alignment horizontal="center" vertical="center" wrapText="1"/>
    </xf>
    <xf numFmtId="167" fontId="97" fillId="0" borderId="20" xfId="593" applyNumberFormat="1" applyFont="1" applyFill="1" applyBorder="1" applyAlignment="1">
      <alignment horizontal="center" vertical="center" wrapText="1" shrinkToFit="1"/>
    </xf>
    <xf numFmtId="167" fontId="97" fillId="0" borderId="23" xfId="593" applyNumberFormat="1" applyFont="1" applyFill="1" applyBorder="1" applyAlignment="1">
      <alignment horizontal="center" vertical="center" wrapText="1" shrinkToFit="1"/>
    </xf>
    <xf numFmtId="167" fontId="98" fillId="0" borderId="23" xfId="593" applyNumberFormat="1" applyFont="1" applyBorder="1" applyAlignment="1">
      <alignment horizontal="center" vertical="center" wrapText="1"/>
    </xf>
    <xf numFmtId="167" fontId="98" fillId="0" borderId="115" xfId="593" applyNumberFormat="1" applyFont="1" applyBorder="1" applyAlignment="1">
      <alignment horizontal="center" vertical="center" wrapText="1"/>
    </xf>
    <xf numFmtId="167" fontId="97" fillId="0" borderId="20" xfId="593" applyNumberFormat="1" applyFont="1" applyFill="1" applyBorder="1" applyAlignment="1">
      <alignment horizontal="center" vertical="center" wrapText="1"/>
    </xf>
    <xf numFmtId="167" fontId="97" fillId="0" borderId="23" xfId="593" applyNumberFormat="1" applyFont="1" applyFill="1" applyBorder="1" applyAlignment="1">
      <alignment horizontal="center" vertical="center" wrapText="1"/>
    </xf>
    <xf numFmtId="0" fontId="113" fillId="52" borderId="116" xfId="667" applyFont="1" applyFill="1" applyBorder="1" applyAlignment="1">
      <alignment horizontal="center"/>
    </xf>
    <xf numFmtId="0" fontId="113" fillId="52" borderId="114" xfId="667" applyFont="1" applyFill="1" applyBorder="1" applyAlignment="1">
      <alignment horizontal="center"/>
    </xf>
    <xf numFmtId="0" fontId="113" fillId="52" borderId="117" xfId="667" applyFont="1" applyFill="1" applyBorder="1" applyAlignment="1">
      <alignment horizontal="center"/>
    </xf>
    <xf numFmtId="0" fontId="97" fillId="0" borderId="118" xfId="667" applyFont="1" applyFill="1" applyBorder="1" applyAlignment="1">
      <alignment horizontal="center" vertical="center"/>
    </xf>
    <xf numFmtId="0" fontId="97" fillId="0" borderId="23" xfId="667" applyFont="1" applyFill="1" applyBorder="1" applyAlignment="1">
      <alignment horizontal="center" vertical="center"/>
    </xf>
    <xf numFmtId="4" fontId="98" fillId="0" borderId="115" xfId="593" applyNumberFormat="1" applyFont="1" applyFill="1" applyBorder="1" applyAlignment="1">
      <alignment horizontal="center" vertical="center" wrapText="1"/>
    </xf>
    <xf numFmtId="167" fontId="98" fillId="0" borderId="115" xfId="424" applyNumberFormat="1" applyFont="1" applyBorder="1" applyAlignment="1">
      <alignment horizontal="center" vertical="center" wrapText="1"/>
    </xf>
    <xf numFmtId="167" fontId="98" fillId="0" borderId="114" xfId="593" applyNumberFormat="1" applyFont="1" applyFill="1" applyBorder="1" applyAlignment="1">
      <alignment horizontal="center" vertical="center" wrapText="1"/>
    </xf>
    <xf numFmtId="167" fontId="98" fillId="0" borderId="117" xfId="593" applyNumberFormat="1" applyFont="1" applyFill="1" applyBorder="1" applyAlignment="1">
      <alignment horizontal="center" vertical="center" wrapText="1"/>
    </xf>
    <xf numFmtId="0" fontId="133" fillId="0" borderId="0" xfId="3350" applyFont="1"/>
  </cellXfs>
  <cellStyles count="43671">
    <cellStyle name="$/kW" xfId="1"/>
    <cellStyle name="$/kW 2" xfId="333"/>
    <cellStyle name="$/kW 3" xfId="1010"/>
    <cellStyle name="$/kWh" xfId="2"/>
    <cellStyle name="$/kWh 2" xfId="334"/>
    <cellStyle name="$/kWh 3" xfId="1011"/>
    <cellStyle name="$/kW-yr" xfId="3"/>
    <cellStyle name="$/kW-yr 2" xfId="335"/>
    <cellStyle name="$/kW-yr 3" xfId="1012"/>
    <cellStyle name="$/MWh" xfId="4"/>
    <cellStyle name="$/MWh 2" xfId="336"/>
    <cellStyle name="$/MWh 3" xfId="1013"/>
    <cellStyle name="$M" xfId="5"/>
    <cellStyle name="$M 2" xfId="337"/>
    <cellStyle name="$M 3" xfId="1014"/>
    <cellStyle name="20% - Accent1" xfId="6" builtinId="30" customBuiltin="1"/>
    <cellStyle name="20% - Accent1 2" xfId="7"/>
    <cellStyle name="20% - Accent1 2 2" xfId="165"/>
    <cellStyle name="20% - Accent1 3" xfId="200"/>
    <cellStyle name="20% - Accent1 3 2" xfId="338"/>
    <cellStyle name="20% - Accent1 3 3" xfId="339"/>
    <cellStyle name="20% - Accent1 3 4" xfId="1184"/>
    <cellStyle name="20% - Accent1 4" xfId="201"/>
    <cellStyle name="20% - Accent1 5" xfId="671"/>
    <cellStyle name="20% - Accent1 6" xfId="3351"/>
    <cellStyle name="20% - Accent2" xfId="8" builtinId="34" customBuiltin="1"/>
    <cellStyle name="20% - Accent2 2" xfId="9"/>
    <cellStyle name="20% - Accent2 2 2" xfId="166"/>
    <cellStyle name="20% - Accent2 3" xfId="202"/>
    <cellStyle name="20% - Accent2 3 2" xfId="340"/>
    <cellStyle name="20% - Accent2 3 3" xfId="341"/>
    <cellStyle name="20% - Accent2 3 4" xfId="1185"/>
    <cellStyle name="20% - Accent2 4" xfId="203"/>
    <cellStyle name="20% - Accent2 5" xfId="672"/>
    <cellStyle name="20% - Accent2 6" xfId="3352"/>
    <cellStyle name="20% - Accent3" xfId="10" builtinId="38" customBuiltin="1"/>
    <cellStyle name="20% - Accent3 2" xfId="11"/>
    <cellStyle name="20% - Accent3 2 2" xfId="167"/>
    <cellStyle name="20% - Accent3 3" xfId="204"/>
    <cellStyle name="20% - Accent3 3 2" xfId="342"/>
    <cellStyle name="20% - Accent3 3 3" xfId="343"/>
    <cellStyle name="20% - Accent3 3 4" xfId="1186"/>
    <cellStyle name="20% - Accent3 4" xfId="205"/>
    <cellStyle name="20% - Accent3 5" xfId="673"/>
    <cellStyle name="20% - Accent3 6" xfId="3353"/>
    <cellStyle name="20% - Accent4" xfId="12" builtinId="42" customBuiltin="1"/>
    <cellStyle name="20% - Accent4 2" xfId="13"/>
    <cellStyle name="20% - Accent4 2 2" xfId="168"/>
    <cellStyle name="20% - Accent4 3" xfId="206"/>
    <cellStyle name="20% - Accent4 3 2" xfId="344"/>
    <cellStyle name="20% - Accent4 3 3" xfId="345"/>
    <cellStyle name="20% - Accent4 3 4" xfId="1187"/>
    <cellStyle name="20% - Accent4 4" xfId="207"/>
    <cellStyle name="20% - Accent4 5" xfId="674"/>
    <cellStyle name="20% - Accent4 6" xfId="3354"/>
    <cellStyle name="20% - Accent5" xfId="14" builtinId="46" customBuiltin="1"/>
    <cellStyle name="20% - Accent5 2" xfId="15"/>
    <cellStyle name="20% - Accent5 3" xfId="208"/>
    <cellStyle name="20% - Accent5 3 2" xfId="346"/>
    <cellStyle name="20% - Accent5 3 3" xfId="347"/>
    <cellStyle name="20% - Accent5 4" xfId="675"/>
    <cellStyle name="20% - Accent5 5" xfId="3355"/>
    <cellStyle name="20% - Accent6" xfId="16" builtinId="50" customBuiltin="1"/>
    <cellStyle name="20% - Accent6 2" xfId="17"/>
    <cellStyle name="20% - Accent6 3" xfId="209"/>
    <cellStyle name="20% - Accent6 3 2" xfId="348"/>
    <cellStyle name="20% - Accent6 3 3" xfId="349"/>
    <cellStyle name="20% - Accent6 4" xfId="676"/>
    <cellStyle name="20% - Accent6 5" xfId="3356"/>
    <cellStyle name="40% - Accent1" xfId="18" builtinId="31" customBuiltin="1"/>
    <cellStyle name="40% - Accent1 2" xfId="19"/>
    <cellStyle name="40% - Accent1 2 2" xfId="169"/>
    <cellStyle name="40% - Accent1 3" xfId="210"/>
    <cellStyle name="40% - Accent1 3 2" xfId="350"/>
    <cellStyle name="40% - Accent1 3 3" xfId="351"/>
    <cellStyle name="40% - Accent1 4" xfId="211"/>
    <cellStyle name="40% - Accent1 5" xfId="677"/>
    <cellStyle name="40% - Accent1 6" xfId="3357"/>
    <cellStyle name="40% - Accent2" xfId="20" builtinId="35" customBuiltin="1"/>
    <cellStyle name="40% - Accent2 2" xfId="21"/>
    <cellStyle name="40% - Accent2 3" xfId="212"/>
    <cellStyle name="40% - Accent2 3 2" xfId="352"/>
    <cellStyle name="40% - Accent2 3 3" xfId="353"/>
    <cellStyle name="40% - Accent2 4" xfId="678"/>
    <cellStyle name="40% - Accent2 5" xfId="3358"/>
    <cellStyle name="40% - Accent3" xfId="22" builtinId="39" customBuiltin="1"/>
    <cellStyle name="40% - Accent3 2" xfId="23"/>
    <cellStyle name="40% - Accent3 2 2" xfId="170"/>
    <cellStyle name="40% - Accent3 3" xfId="213"/>
    <cellStyle name="40% - Accent3 3 2" xfId="354"/>
    <cellStyle name="40% - Accent3 3 3" xfId="355"/>
    <cellStyle name="40% - Accent3 3 4" xfId="1188"/>
    <cellStyle name="40% - Accent3 4" xfId="214"/>
    <cellStyle name="40% - Accent3 5" xfId="679"/>
    <cellStyle name="40% - Accent3 6" xfId="3359"/>
    <cellStyle name="40% - Accent4" xfId="24" builtinId="43" customBuiltin="1"/>
    <cellStyle name="40% - Accent4 2" xfId="25"/>
    <cellStyle name="40% - Accent4 2 2" xfId="171"/>
    <cellStyle name="40% - Accent4 3" xfId="215"/>
    <cellStyle name="40% - Accent4 3 2" xfId="356"/>
    <cellStyle name="40% - Accent4 3 3" xfId="357"/>
    <cellStyle name="40% - Accent4 4" xfId="216"/>
    <cellStyle name="40% - Accent4 5" xfId="680"/>
    <cellStyle name="40% - Accent4 6" xfId="3360"/>
    <cellStyle name="40% - Accent5" xfId="26" builtinId="47" customBuiltin="1"/>
    <cellStyle name="40% - Accent5 2" xfId="27"/>
    <cellStyle name="40% - Accent5 3" xfId="217"/>
    <cellStyle name="40% - Accent5 3 2" xfId="358"/>
    <cellStyle name="40% - Accent5 3 3" xfId="359"/>
    <cellStyle name="40% - Accent5 4" xfId="681"/>
    <cellStyle name="40% - Accent5 5" xfId="3361"/>
    <cellStyle name="40% - Accent6" xfId="28" builtinId="51" customBuiltin="1"/>
    <cellStyle name="40% - Accent6 2" xfId="29"/>
    <cellStyle name="40% - Accent6 2 2" xfId="172"/>
    <cellStyle name="40% - Accent6 3" xfId="218"/>
    <cellStyle name="40% - Accent6 3 2" xfId="360"/>
    <cellStyle name="40% - Accent6 3 3" xfId="361"/>
    <cellStyle name="40% - Accent6 4" xfId="219"/>
    <cellStyle name="40% - Accent6 5" xfId="682"/>
    <cellStyle name="40% - Accent6 6" xfId="3362"/>
    <cellStyle name="60% - Accent1" xfId="30" builtinId="32" customBuiltin="1"/>
    <cellStyle name="60% - Accent1 2" xfId="31"/>
    <cellStyle name="60% - Accent1 2 2" xfId="173"/>
    <cellStyle name="60% - Accent1 3" xfId="220"/>
    <cellStyle name="60% - Accent1 3 2" xfId="362"/>
    <cellStyle name="60% - Accent1 3 3" xfId="363"/>
    <cellStyle name="60% - Accent1 4" xfId="221"/>
    <cellStyle name="60% - Accent1 5" xfId="683"/>
    <cellStyle name="60% - Accent1 6" xfId="3363"/>
    <cellStyle name="60% - Accent2" xfId="32" builtinId="36" customBuiltin="1"/>
    <cellStyle name="60% - Accent2 2" xfId="33"/>
    <cellStyle name="60% - Accent2 3" xfId="222"/>
    <cellStyle name="60% - Accent2 3 2" xfId="364"/>
    <cellStyle name="60% - Accent2 3 3" xfId="365"/>
    <cellStyle name="60% - Accent2 4" xfId="684"/>
    <cellStyle name="60% - Accent2 5" xfId="3364"/>
    <cellStyle name="60% - Accent3" xfId="34" builtinId="40" customBuiltin="1"/>
    <cellStyle name="60% - Accent3 2" xfId="35"/>
    <cellStyle name="60% - Accent3 2 2" xfId="174"/>
    <cellStyle name="60% - Accent3 3" xfId="223"/>
    <cellStyle name="60% - Accent3 3 2" xfId="366"/>
    <cellStyle name="60% - Accent3 3 3" xfId="367"/>
    <cellStyle name="60% - Accent3 3 4" xfId="1189"/>
    <cellStyle name="60% - Accent3 4" xfId="224"/>
    <cellStyle name="60% - Accent3 5" xfId="685"/>
    <cellStyle name="60% - Accent3 6" xfId="3365"/>
    <cellStyle name="60% - Accent4" xfId="36" builtinId="44" customBuiltin="1"/>
    <cellStyle name="60% - Accent4 2" xfId="37"/>
    <cellStyle name="60% - Accent4 2 2" xfId="175"/>
    <cellStyle name="60% - Accent4 3" xfId="225"/>
    <cellStyle name="60% - Accent4 3 2" xfId="368"/>
    <cellStyle name="60% - Accent4 3 3" xfId="369"/>
    <cellStyle name="60% - Accent4 3 4" xfId="1190"/>
    <cellStyle name="60% - Accent4 4" xfId="226"/>
    <cellStyle name="60% - Accent4 5" xfId="686"/>
    <cellStyle name="60% - Accent4 6" xfId="3366"/>
    <cellStyle name="60% - Accent5" xfId="38" builtinId="48" customBuiltin="1"/>
    <cellStyle name="60% - Accent5 2" xfId="39"/>
    <cellStyle name="60% - Accent5 3" xfId="227"/>
    <cellStyle name="60% - Accent5 3 2" xfId="370"/>
    <cellStyle name="60% - Accent5 3 3" xfId="371"/>
    <cellStyle name="60% - Accent5 4" xfId="687"/>
    <cellStyle name="60% - Accent5 5" xfId="3367"/>
    <cellStyle name="60% - Accent6" xfId="40" builtinId="52" customBuiltin="1"/>
    <cellStyle name="60% - Accent6 2" xfId="41"/>
    <cellStyle name="60% - Accent6 2 2" xfId="176"/>
    <cellStyle name="60% - Accent6 3" xfId="228"/>
    <cellStyle name="60% - Accent6 3 2" xfId="372"/>
    <cellStyle name="60% - Accent6 3 3" xfId="373"/>
    <cellStyle name="60% - Accent6 3 4" xfId="1191"/>
    <cellStyle name="60% - Accent6 4" xfId="229"/>
    <cellStyle name="60% - Accent6 5" xfId="688"/>
    <cellStyle name="60% - Accent6 6" xfId="3368"/>
    <cellStyle name="Accent1" xfId="42" builtinId="29" customBuiltin="1"/>
    <cellStyle name="Accent1 2" xfId="43"/>
    <cellStyle name="Accent1 2 2" xfId="177"/>
    <cellStyle name="Accent1 3" xfId="230"/>
    <cellStyle name="Accent1 3 2" xfId="374"/>
    <cellStyle name="Accent1 3 3" xfId="375"/>
    <cellStyle name="Accent1 4" xfId="231"/>
    <cellStyle name="Accent1 5" xfId="689"/>
    <cellStyle name="Accent1 6" xfId="3369"/>
    <cellStyle name="Accent2" xfId="44" builtinId="33" customBuiltin="1"/>
    <cellStyle name="Accent2 2" xfId="45"/>
    <cellStyle name="Accent2 2 2" xfId="178"/>
    <cellStyle name="Accent2 3" xfId="232"/>
    <cellStyle name="Accent2 3 2" xfId="376"/>
    <cellStyle name="Accent2 3 3" xfId="377"/>
    <cellStyle name="Accent2 4" xfId="233"/>
    <cellStyle name="Accent2 5" xfId="690"/>
    <cellStyle name="Accent2 6" xfId="3370"/>
    <cellStyle name="Accent3" xfId="46" builtinId="37" customBuiltin="1"/>
    <cellStyle name="Accent3 2" xfId="47"/>
    <cellStyle name="Accent3 2 2" xfId="179"/>
    <cellStyle name="Accent3 3" xfId="234"/>
    <cellStyle name="Accent3 3 2" xfId="378"/>
    <cellStyle name="Accent3 3 3" xfId="379"/>
    <cellStyle name="Accent3 4" xfId="235"/>
    <cellStyle name="Accent3 5" xfId="691"/>
    <cellStyle name="Accent3 6" xfId="3371"/>
    <cellStyle name="Accent4" xfId="48" builtinId="41" customBuiltin="1"/>
    <cellStyle name="Accent4 2" xfId="49"/>
    <cellStyle name="Accent4 2 2" xfId="180"/>
    <cellStyle name="Accent4 3" xfId="236"/>
    <cellStyle name="Accent4 3 2" xfId="380"/>
    <cellStyle name="Accent4 3 3" xfId="381"/>
    <cellStyle name="Accent4 4" xfId="237"/>
    <cellStyle name="Accent4 5" xfId="692"/>
    <cellStyle name="Accent4 6" xfId="3372"/>
    <cellStyle name="Accent5" xfId="50" builtinId="45" customBuiltin="1"/>
    <cellStyle name="Accent5 2" xfId="51"/>
    <cellStyle name="Accent5 3" xfId="238"/>
    <cellStyle name="Accent5 3 2" xfId="382"/>
    <cellStyle name="Accent5 3 3" xfId="383"/>
    <cellStyle name="Accent5 4" xfId="693"/>
    <cellStyle name="Accent5 5" xfId="3373"/>
    <cellStyle name="Accent6" xfId="52" builtinId="49" customBuiltin="1"/>
    <cellStyle name="Accent6 2" xfId="53"/>
    <cellStyle name="Accent6 3" xfId="239"/>
    <cellStyle name="Accent6 3 2" xfId="384"/>
    <cellStyle name="Accent6 3 3" xfId="385"/>
    <cellStyle name="Accent6 4" xfId="694"/>
    <cellStyle name="Accent6 5" xfId="3374"/>
    <cellStyle name="Bad" xfId="54" builtinId="27" customBuiltin="1"/>
    <cellStyle name="Bad 2" xfId="55"/>
    <cellStyle name="Bad 3" xfId="240"/>
    <cellStyle name="Bad 3 2" xfId="386"/>
    <cellStyle name="Bad 3 3" xfId="387"/>
    <cellStyle name="Bad 4" xfId="241"/>
    <cellStyle name="Bad 5" xfId="695"/>
    <cellStyle name="Bad 6" xfId="3375"/>
    <cellStyle name="Calculation" xfId="56" builtinId="22" customBuiltin="1"/>
    <cellStyle name="Calculation 10" xfId="1026"/>
    <cellStyle name="Calculation 11" xfId="3291"/>
    <cellStyle name="Calculation 2" xfId="57"/>
    <cellStyle name="Calculation 2 10" xfId="1041"/>
    <cellStyle name="Calculation 2 10 10" xfId="3376"/>
    <cellStyle name="Calculation 2 10 11" xfId="3377"/>
    <cellStyle name="Calculation 2 10 12" xfId="3378"/>
    <cellStyle name="Calculation 2 10 2" xfId="3379"/>
    <cellStyle name="Calculation 2 10 2 2" xfId="3380"/>
    <cellStyle name="Calculation 2 10 2 2 2" xfId="3381"/>
    <cellStyle name="Calculation 2 10 2 2 3" xfId="3382"/>
    <cellStyle name="Calculation 2 10 2 2 4" xfId="3383"/>
    <cellStyle name="Calculation 2 10 2 3" xfId="3384"/>
    <cellStyle name="Calculation 2 10 2 3 2" xfId="3385"/>
    <cellStyle name="Calculation 2 10 2 3 3" xfId="3386"/>
    <cellStyle name="Calculation 2 10 2 3 4" xfId="3387"/>
    <cellStyle name="Calculation 2 10 2 4" xfId="3388"/>
    <cellStyle name="Calculation 2 10 2 4 2" xfId="3389"/>
    <cellStyle name="Calculation 2 10 2 4 3" xfId="3390"/>
    <cellStyle name="Calculation 2 10 2 4 4" xfId="3391"/>
    <cellStyle name="Calculation 2 10 2 5" xfId="3392"/>
    <cellStyle name="Calculation 2 10 2 6" xfId="3393"/>
    <cellStyle name="Calculation 2 10 2 7" xfId="3394"/>
    <cellStyle name="Calculation 2 10 3" xfId="3395"/>
    <cellStyle name="Calculation 2 10 3 2" xfId="3396"/>
    <cellStyle name="Calculation 2 10 3 2 2" xfId="3397"/>
    <cellStyle name="Calculation 2 10 3 2 3" xfId="3398"/>
    <cellStyle name="Calculation 2 10 3 2 4" xfId="3399"/>
    <cellStyle name="Calculation 2 10 3 3" xfId="3400"/>
    <cellStyle name="Calculation 2 10 3 3 2" xfId="3401"/>
    <cellStyle name="Calculation 2 10 3 3 3" xfId="3402"/>
    <cellStyle name="Calculation 2 10 3 3 4" xfId="3403"/>
    <cellStyle name="Calculation 2 10 3 4" xfId="3404"/>
    <cellStyle name="Calculation 2 10 3 4 2" xfId="3405"/>
    <cellStyle name="Calculation 2 10 3 4 3" xfId="3406"/>
    <cellStyle name="Calculation 2 10 3 4 4" xfId="3407"/>
    <cellStyle name="Calculation 2 10 3 5" xfId="3408"/>
    <cellStyle name="Calculation 2 10 3 6" xfId="3409"/>
    <cellStyle name="Calculation 2 10 3 7" xfId="3410"/>
    <cellStyle name="Calculation 2 10 4" xfId="3411"/>
    <cellStyle name="Calculation 2 10 4 2" xfId="3412"/>
    <cellStyle name="Calculation 2 10 4 2 2" xfId="3413"/>
    <cellStyle name="Calculation 2 10 4 2 3" xfId="3414"/>
    <cellStyle name="Calculation 2 10 4 2 4" xfId="3415"/>
    <cellStyle name="Calculation 2 10 4 3" xfId="3416"/>
    <cellStyle name="Calculation 2 10 4 3 2" xfId="3417"/>
    <cellStyle name="Calculation 2 10 4 3 3" xfId="3418"/>
    <cellStyle name="Calculation 2 10 4 3 4" xfId="3419"/>
    <cellStyle name="Calculation 2 10 4 4" xfId="3420"/>
    <cellStyle name="Calculation 2 10 4 4 2" xfId="3421"/>
    <cellStyle name="Calculation 2 10 4 4 3" xfId="3422"/>
    <cellStyle name="Calculation 2 10 4 4 4" xfId="3423"/>
    <cellStyle name="Calculation 2 10 4 5" xfId="3424"/>
    <cellStyle name="Calculation 2 10 4 6" xfId="3425"/>
    <cellStyle name="Calculation 2 10 4 7" xfId="3426"/>
    <cellStyle name="Calculation 2 10 5" xfId="3427"/>
    <cellStyle name="Calculation 2 10 5 2" xfId="3428"/>
    <cellStyle name="Calculation 2 10 5 2 2" xfId="3429"/>
    <cellStyle name="Calculation 2 10 5 2 3" xfId="3430"/>
    <cellStyle name="Calculation 2 10 5 2 4" xfId="3431"/>
    <cellStyle name="Calculation 2 10 5 3" xfId="3432"/>
    <cellStyle name="Calculation 2 10 5 3 2" xfId="3433"/>
    <cellStyle name="Calculation 2 10 5 3 3" xfId="3434"/>
    <cellStyle name="Calculation 2 10 5 3 4" xfId="3435"/>
    <cellStyle name="Calculation 2 10 5 4" xfId="3436"/>
    <cellStyle name="Calculation 2 10 5 4 2" xfId="3437"/>
    <cellStyle name="Calculation 2 10 5 4 3" xfId="3438"/>
    <cellStyle name="Calculation 2 10 5 4 4" xfId="3439"/>
    <cellStyle name="Calculation 2 10 5 5" xfId="3440"/>
    <cellStyle name="Calculation 2 10 5 6" xfId="3441"/>
    <cellStyle name="Calculation 2 10 5 7" xfId="3442"/>
    <cellStyle name="Calculation 2 10 6" xfId="3443"/>
    <cellStyle name="Calculation 2 10 6 2" xfId="3444"/>
    <cellStyle name="Calculation 2 10 6 2 2" xfId="3445"/>
    <cellStyle name="Calculation 2 10 6 2 3" xfId="3446"/>
    <cellStyle name="Calculation 2 10 6 2 4" xfId="3447"/>
    <cellStyle name="Calculation 2 10 6 3" xfId="3448"/>
    <cellStyle name="Calculation 2 10 6 3 2" xfId="3449"/>
    <cellStyle name="Calculation 2 10 6 3 3" xfId="3450"/>
    <cellStyle name="Calculation 2 10 6 3 4" xfId="3451"/>
    <cellStyle name="Calculation 2 10 6 4" xfId="3452"/>
    <cellStyle name="Calculation 2 10 6 4 2" xfId="3453"/>
    <cellStyle name="Calculation 2 10 6 4 3" xfId="3454"/>
    <cellStyle name="Calculation 2 10 6 4 4" xfId="3455"/>
    <cellStyle name="Calculation 2 10 6 5" xfId="3456"/>
    <cellStyle name="Calculation 2 10 6 6" xfId="3457"/>
    <cellStyle name="Calculation 2 10 6 7" xfId="3458"/>
    <cellStyle name="Calculation 2 10 7" xfId="3459"/>
    <cellStyle name="Calculation 2 10 7 2" xfId="3460"/>
    <cellStyle name="Calculation 2 10 7 3" xfId="3461"/>
    <cellStyle name="Calculation 2 10 7 4" xfId="3462"/>
    <cellStyle name="Calculation 2 10 8" xfId="3463"/>
    <cellStyle name="Calculation 2 10 8 2" xfId="3464"/>
    <cellStyle name="Calculation 2 10 8 3" xfId="3465"/>
    <cellStyle name="Calculation 2 10 8 4" xfId="3466"/>
    <cellStyle name="Calculation 2 10 9" xfId="3467"/>
    <cellStyle name="Calculation 2 10 9 2" xfId="3468"/>
    <cellStyle name="Calculation 2 10 9 3" xfId="3469"/>
    <cellStyle name="Calculation 2 10 9 4" xfId="3470"/>
    <cellStyle name="Calculation 2 11" xfId="3136"/>
    <cellStyle name="Calculation 2 12" xfId="3132"/>
    <cellStyle name="Calculation 2 13" xfId="1058"/>
    <cellStyle name="Calculation 2 14" xfId="3253"/>
    <cellStyle name="Calculation 2 2" xfId="58"/>
    <cellStyle name="Calculation 2 2 2" xfId="388"/>
    <cellStyle name="Calculation 2 2 2 10" xfId="3471"/>
    <cellStyle name="Calculation 2 2 2 10 2" xfId="3472"/>
    <cellStyle name="Calculation 2 2 2 10 2 2" xfId="3473"/>
    <cellStyle name="Calculation 2 2 2 10 2 3" xfId="3474"/>
    <cellStyle name="Calculation 2 2 2 10 2 4" xfId="3475"/>
    <cellStyle name="Calculation 2 2 2 10 3" xfId="3476"/>
    <cellStyle name="Calculation 2 2 2 10 3 2" xfId="3477"/>
    <cellStyle name="Calculation 2 2 2 10 3 3" xfId="3478"/>
    <cellStyle name="Calculation 2 2 2 10 3 4" xfId="3479"/>
    <cellStyle name="Calculation 2 2 2 10 4" xfId="3480"/>
    <cellStyle name="Calculation 2 2 2 10 4 2" xfId="3481"/>
    <cellStyle name="Calculation 2 2 2 10 4 3" xfId="3482"/>
    <cellStyle name="Calculation 2 2 2 10 4 4" xfId="3483"/>
    <cellStyle name="Calculation 2 2 2 10 5" xfId="3484"/>
    <cellStyle name="Calculation 2 2 2 10 6" xfId="3485"/>
    <cellStyle name="Calculation 2 2 2 10 7" xfId="3486"/>
    <cellStyle name="Calculation 2 2 2 11" xfId="3487"/>
    <cellStyle name="Calculation 2 2 2 11 2" xfId="3488"/>
    <cellStyle name="Calculation 2 2 2 11 2 2" xfId="3489"/>
    <cellStyle name="Calculation 2 2 2 11 2 3" xfId="3490"/>
    <cellStyle name="Calculation 2 2 2 11 2 4" xfId="3491"/>
    <cellStyle name="Calculation 2 2 2 11 3" xfId="3492"/>
    <cellStyle name="Calculation 2 2 2 11 3 2" xfId="3493"/>
    <cellStyle name="Calculation 2 2 2 11 3 3" xfId="3494"/>
    <cellStyle name="Calculation 2 2 2 11 3 4" xfId="3495"/>
    <cellStyle name="Calculation 2 2 2 11 4" xfId="3496"/>
    <cellStyle name="Calculation 2 2 2 11 4 2" xfId="3497"/>
    <cellStyle name="Calculation 2 2 2 11 4 3" xfId="3498"/>
    <cellStyle name="Calculation 2 2 2 11 4 4" xfId="3499"/>
    <cellStyle name="Calculation 2 2 2 11 5" xfId="3500"/>
    <cellStyle name="Calculation 2 2 2 11 6" xfId="3501"/>
    <cellStyle name="Calculation 2 2 2 11 7" xfId="3502"/>
    <cellStyle name="Calculation 2 2 2 12" xfId="3503"/>
    <cellStyle name="Calculation 2 2 2 12 2" xfId="3504"/>
    <cellStyle name="Calculation 2 2 2 12 2 2" xfId="3505"/>
    <cellStyle name="Calculation 2 2 2 12 2 3" xfId="3506"/>
    <cellStyle name="Calculation 2 2 2 12 2 4" xfId="3507"/>
    <cellStyle name="Calculation 2 2 2 12 3" xfId="3508"/>
    <cellStyle name="Calculation 2 2 2 12 3 2" xfId="3509"/>
    <cellStyle name="Calculation 2 2 2 12 3 3" xfId="3510"/>
    <cellStyle name="Calculation 2 2 2 12 3 4" xfId="3511"/>
    <cellStyle name="Calculation 2 2 2 12 4" xfId="3512"/>
    <cellStyle name="Calculation 2 2 2 12 4 2" xfId="3513"/>
    <cellStyle name="Calculation 2 2 2 12 4 3" xfId="3514"/>
    <cellStyle name="Calculation 2 2 2 12 4 4" xfId="3515"/>
    <cellStyle name="Calculation 2 2 2 12 5" xfId="3516"/>
    <cellStyle name="Calculation 2 2 2 12 6" xfId="3517"/>
    <cellStyle name="Calculation 2 2 2 12 7" xfId="3518"/>
    <cellStyle name="Calculation 2 2 2 13" xfId="3519"/>
    <cellStyle name="Calculation 2 2 2 13 2" xfId="3520"/>
    <cellStyle name="Calculation 2 2 2 13 2 2" xfId="3521"/>
    <cellStyle name="Calculation 2 2 2 13 2 3" xfId="3522"/>
    <cellStyle name="Calculation 2 2 2 13 2 4" xfId="3523"/>
    <cellStyle name="Calculation 2 2 2 13 3" xfId="3524"/>
    <cellStyle name="Calculation 2 2 2 13 3 2" xfId="3525"/>
    <cellStyle name="Calculation 2 2 2 13 3 3" xfId="3526"/>
    <cellStyle name="Calculation 2 2 2 13 3 4" xfId="3527"/>
    <cellStyle name="Calculation 2 2 2 13 4" xfId="3528"/>
    <cellStyle name="Calculation 2 2 2 13 4 2" xfId="3529"/>
    <cellStyle name="Calculation 2 2 2 13 4 3" xfId="3530"/>
    <cellStyle name="Calculation 2 2 2 13 4 4" xfId="3531"/>
    <cellStyle name="Calculation 2 2 2 13 5" xfId="3532"/>
    <cellStyle name="Calculation 2 2 2 13 6" xfId="3533"/>
    <cellStyle name="Calculation 2 2 2 13 7" xfId="3534"/>
    <cellStyle name="Calculation 2 2 2 14" xfId="3535"/>
    <cellStyle name="Calculation 2 2 2 14 2" xfId="3536"/>
    <cellStyle name="Calculation 2 2 2 14 3" xfId="3537"/>
    <cellStyle name="Calculation 2 2 2 14 4" xfId="3538"/>
    <cellStyle name="Calculation 2 2 2 15" xfId="3539"/>
    <cellStyle name="Calculation 2 2 2 15 2" xfId="3540"/>
    <cellStyle name="Calculation 2 2 2 15 3" xfId="3541"/>
    <cellStyle name="Calculation 2 2 2 15 4" xfId="3542"/>
    <cellStyle name="Calculation 2 2 2 16" xfId="3543"/>
    <cellStyle name="Calculation 2 2 2 16 2" xfId="3544"/>
    <cellStyle name="Calculation 2 2 2 16 3" xfId="3545"/>
    <cellStyle name="Calculation 2 2 2 16 4" xfId="3546"/>
    <cellStyle name="Calculation 2 2 2 17" xfId="3547"/>
    <cellStyle name="Calculation 2 2 2 18" xfId="3548"/>
    <cellStyle name="Calculation 2 2 2 19" xfId="3549"/>
    <cellStyle name="Calculation 2 2 2 2" xfId="812"/>
    <cellStyle name="Calculation 2 2 2 2 10" xfId="3550"/>
    <cellStyle name="Calculation 2 2 2 2 11" xfId="3551"/>
    <cellStyle name="Calculation 2 2 2 2 12" xfId="3552"/>
    <cellStyle name="Calculation 2 2 2 2 2" xfId="3553"/>
    <cellStyle name="Calculation 2 2 2 2 2 2" xfId="3554"/>
    <cellStyle name="Calculation 2 2 2 2 2 2 2" xfId="3555"/>
    <cellStyle name="Calculation 2 2 2 2 2 2 3" xfId="3556"/>
    <cellStyle name="Calculation 2 2 2 2 2 2 4" xfId="3557"/>
    <cellStyle name="Calculation 2 2 2 2 2 3" xfId="3558"/>
    <cellStyle name="Calculation 2 2 2 2 2 3 2" xfId="3559"/>
    <cellStyle name="Calculation 2 2 2 2 2 3 3" xfId="3560"/>
    <cellStyle name="Calculation 2 2 2 2 2 3 4" xfId="3561"/>
    <cellStyle name="Calculation 2 2 2 2 2 4" xfId="3562"/>
    <cellStyle name="Calculation 2 2 2 2 2 4 2" xfId="3563"/>
    <cellStyle name="Calculation 2 2 2 2 2 4 3" xfId="3564"/>
    <cellStyle name="Calculation 2 2 2 2 2 4 4" xfId="3565"/>
    <cellStyle name="Calculation 2 2 2 2 2 5" xfId="3566"/>
    <cellStyle name="Calculation 2 2 2 2 2 6" xfId="3567"/>
    <cellStyle name="Calculation 2 2 2 2 2 7" xfId="3568"/>
    <cellStyle name="Calculation 2 2 2 2 3" xfId="3569"/>
    <cellStyle name="Calculation 2 2 2 2 3 2" xfId="3570"/>
    <cellStyle name="Calculation 2 2 2 2 3 2 2" xfId="3571"/>
    <cellStyle name="Calculation 2 2 2 2 3 2 3" xfId="3572"/>
    <cellStyle name="Calculation 2 2 2 2 3 2 4" xfId="3573"/>
    <cellStyle name="Calculation 2 2 2 2 3 3" xfId="3574"/>
    <cellStyle name="Calculation 2 2 2 2 3 3 2" xfId="3575"/>
    <cellStyle name="Calculation 2 2 2 2 3 3 3" xfId="3576"/>
    <cellStyle name="Calculation 2 2 2 2 3 3 4" xfId="3577"/>
    <cellStyle name="Calculation 2 2 2 2 3 4" xfId="3578"/>
    <cellStyle name="Calculation 2 2 2 2 3 4 2" xfId="3579"/>
    <cellStyle name="Calculation 2 2 2 2 3 4 3" xfId="3580"/>
    <cellStyle name="Calculation 2 2 2 2 3 4 4" xfId="3581"/>
    <cellStyle name="Calculation 2 2 2 2 3 5" xfId="3582"/>
    <cellStyle name="Calculation 2 2 2 2 3 6" xfId="3583"/>
    <cellStyle name="Calculation 2 2 2 2 3 7" xfId="3584"/>
    <cellStyle name="Calculation 2 2 2 2 4" xfId="3585"/>
    <cellStyle name="Calculation 2 2 2 2 4 2" xfId="3586"/>
    <cellStyle name="Calculation 2 2 2 2 4 2 2" xfId="3587"/>
    <cellStyle name="Calculation 2 2 2 2 4 2 3" xfId="3588"/>
    <cellStyle name="Calculation 2 2 2 2 4 2 4" xfId="3589"/>
    <cellStyle name="Calculation 2 2 2 2 4 3" xfId="3590"/>
    <cellStyle name="Calculation 2 2 2 2 4 3 2" xfId="3591"/>
    <cellStyle name="Calculation 2 2 2 2 4 3 3" xfId="3592"/>
    <cellStyle name="Calculation 2 2 2 2 4 3 4" xfId="3593"/>
    <cellStyle name="Calculation 2 2 2 2 4 4" xfId="3594"/>
    <cellStyle name="Calculation 2 2 2 2 4 4 2" xfId="3595"/>
    <cellStyle name="Calculation 2 2 2 2 4 4 3" xfId="3596"/>
    <cellStyle name="Calculation 2 2 2 2 4 4 4" xfId="3597"/>
    <cellStyle name="Calculation 2 2 2 2 4 5" xfId="3598"/>
    <cellStyle name="Calculation 2 2 2 2 4 6" xfId="3599"/>
    <cellStyle name="Calculation 2 2 2 2 4 7" xfId="3600"/>
    <cellStyle name="Calculation 2 2 2 2 5" xfId="3601"/>
    <cellStyle name="Calculation 2 2 2 2 5 2" xfId="3602"/>
    <cellStyle name="Calculation 2 2 2 2 5 2 2" xfId="3603"/>
    <cellStyle name="Calculation 2 2 2 2 5 2 3" xfId="3604"/>
    <cellStyle name="Calculation 2 2 2 2 5 2 4" xfId="3605"/>
    <cellStyle name="Calculation 2 2 2 2 5 3" xfId="3606"/>
    <cellStyle name="Calculation 2 2 2 2 5 3 2" xfId="3607"/>
    <cellStyle name="Calculation 2 2 2 2 5 3 3" xfId="3608"/>
    <cellStyle name="Calculation 2 2 2 2 5 3 4" xfId="3609"/>
    <cellStyle name="Calculation 2 2 2 2 5 4" xfId="3610"/>
    <cellStyle name="Calculation 2 2 2 2 5 4 2" xfId="3611"/>
    <cellStyle name="Calculation 2 2 2 2 5 4 3" xfId="3612"/>
    <cellStyle name="Calculation 2 2 2 2 5 4 4" xfId="3613"/>
    <cellStyle name="Calculation 2 2 2 2 5 5" xfId="3614"/>
    <cellStyle name="Calculation 2 2 2 2 5 6" xfId="3615"/>
    <cellStyle name="Calculation 2 2 2 2 5 7" xfId="3616"/>
    <cellStyle name="Calculation 2 2 2 2 6" xfId="3617"/>
    <cellStyle name="Calculation 2 2 2 2 6 2" xfId="3618"/>
    <cellStyle name="Calculation 2 2 2 2 6 2 2" xfId="3619"/>
    <cellStyle name="Calculation 2 2 2 2 6 2 3" xfId="3620"/>
    <cellStyle name="Calculation 2 2 2 2 6 2 4" xfId="3621"/>
    <cellStyle name="Calculation 2 2 2 2 6 3" xfId="3622"/>
    <cellStyle name="Calculation 2 2 2 2 6 3 2" xfId="3623"/>
    <cellStyle name="Calculation 2 2 2 2 6 3 3" xfId="3624"/>
    <cellStyle name="Calculation 2 2 2 2 6 3 4" xfId="3625"/>
    <cellStyle name="Calculation 2 2 2 2 6 4" xfId="3626"/>
    <cellStyle name="Calculation 2 2 2 2 6 4 2" xfId="3627"/>
    <cellStyle name="Calculation 2 2 2 2 6 4 3" xfId="3628"/>
    <cellStyle name="Calculation 2 2 2 2 6 4 4" xfId="3629"/>
    <cellStyle name="Calculation 2 2 2 2 6 5" xfId="3630"/>
    <cellStyle name="Calculation 2 2 2 2 6 6" xfId="3631"/>
    <cellStyle name="Calculation 2 2 2 2 6 7" xfId="3632"/>
    <cellStyle name="Calculation 2 2 2 2 7" xfId="3633"/>
    <cellStyle name="Calculation 2 2 2 2 7 2" xfId="3634"/>
    <cellStyle name="Calculation 2 2 2 2 7 3" xfId="3635"/>
    <cellStyle name="Calculation 2 2 2 2 7 4" xfId="3636"/>
    <cellStyle name="Calculation 2 2 2 2 8" xfId="3637"/>
    <cellStyle name="Calculation 2 2 2 2 8 2" xfId="3638"/>
    <cellStyle name="Calculation 2 2 2 2 8 3" xfId="3639"/>
    <cellStyle name="Calculation 2 2 2 2 8 4" xfId="3640"/>
    <cellStyle name="Calculation 2 2 2 2 9" xfId="3641"/>
    <cellStyle name="Calculation 2 2 2 2 9 2" xfId="3642"/>
    <cellStyle name="Calculation 2 2 2 2 9 3" xfId="3643"/>
    <cellStyle name="Calculation 2 2 2 2 9 4" xfId="3644"/>
    <cellStyle name="Calculation 2 2 2 3" xfId="922"/>
    <cellStyle name="Calculation 2 2 2 3 10" xfId="3645"/>
    <cellStyle name="Calculation 2 2 2 3 11" xfId="3646"/>
    <cellStyle name="Calculation 2 2 2 3 12" xfId="3647"/>
    <cellStyle name="Calculation 2 2 2 3 2" xfId="3648"/>
    <cellStyle name="Calculation 2 2 2 3 2 2" xfId="3649"/>
    <cellStyle name="Calculation 2 2 2 3 2 2 2" xfId="3650"/>
    <cellStyle name="Calculation 2 2 2 3 2 2 3" xfId="3651"/>
    <cellStyle name="Calculation 2 2 2 3 2 2 4" xfId="3652"/>
    <cellStyle name="Calculation 2 2 2 3 2 3" xfId="3653"/>
    <cellStyle name="Calculation 2 2 2 3 2 3 2" xfId="3654"/>
    <cellStyle name="Calculation 2 2 2 3 2 3 3" xfId="3655"/>
    <cellStyle name="Calculation 2 2 2 3 2 3 4" xfId="3656"/>
    <cellStyle name="Calculation 2 2 2 3 2 4" xfId="3657"/>
    <cellStyle name="Calculation 2 2 2 3 2 4 2" xfId="3658"/>
    <cellStyle name="Calculation 2 2 2 3 2 4 3" xfId="3659"/>
    <cellStyle name="Calculation 2 2 2 3 2 4 4" xfId="3660"/>
    <cellStyle name="Calculation 2 2 2 3 2 5" xfId="3661"/>
    <cellStyle name="Calculation 2 2 2 3 2 6" xfId="3662"/>
    <cellStyle name="Calculation 2 2 2 3 2 7" xfId="3663"/>
    <cellStyle name="Calculation 2 2 2 3 3" xfId="3664"/>
    <cellStyle name="Calculation 2 2 2 3 3 2" xfId="3665"/>
    <cellStyle name="Calculation 2 2 2 3 3 2 2" xfId="3666"/>
    <cellStyle name="Calculation 2 2 2 3 3 2 3" xfId="3667"/>
    <cellStyle name="Calculation 2 2 2 3 3 2 4" xfId="3668"/>
    <cellStyle name="Calculation 2 2 2 3 3 3" xfId="3669"/>
    <cellStyle name="Calculation 2 2 2 3 3 3 2" xfId="3670"/>
    <cellStyle name="Calculation 2 2 2 3 3 3 3" xfId="3671"/>
    <cellStyle name="Calculation 2 2 2 3 3 3 4" xfId="3672"/>
    <cellStyle name="Calculation 2 2 2 3 3 4" xfId="3673"/>
    <cellStyle name="Calculation 2 2 2 3 3 4 2" xfId="3674"/>
    <cellStyle name="Calculation 2 2 2 3 3 4 3" xfId="3675"/>
    <cellStyle name="Calculation 2 2 2 3 3 4 4" xfId="3676"/>
    <cellStyle name="Calculation 2 2 2 3 3 5" xfId="3677"/>
    <cellStyle name="Calculation 2 2 2 3 3 6" xfId="3678"/>
    <cellStyle name="Calculation 2 2 2 3 3 7" xfId="3679"/>
    <cellStyle name="Calculation 2 2 2 3 4" xfId="3680"/>
    <cellStyle name="Calculation 2 2 2 3 4 2" xfId="3681"/>
    <cellStyle name="Calculation 2 2 2 3 4 2 2" xfId="3682"/>
    <cellStyle name="Calculation 2 2 2 3 4 2 3" xfId="3683"/>
    <cellStyle name="Calculation 2 2 2 3 4 2 4" xfId="3684"/>
    <cellStyle name="Calculation 2 2 2 3 4 3" xfId="3685"/>
    <cellStyle name="Calculation 2 2 2 3 4 3 2" xfId="3686"/>
    <cellStyle name="Calculation 2 2 2 3 4 3 3" xfId="3687"/>
    <cellStyle name="Calculation 2 2 2 3 4 3 4" xfId="3688"/>
    <cellStyle name="Calculation 2 2 2 3 4 4" xfId="3689"/>
    <cellStyle name="Calculation 2 2 2 3 4 4 2" xfId="3690"/>
    <cellStyle name="Calculation 2 2 2 3 4 4 3" xfId="3691"/>
    <cellStyle name="Calculation 2 2 2 3 4 4 4" xfId="3692"/>
    <cellStyle name="Calculation 2 2 2 3 4 5" xfId="3693"/>
    <cellStyle name="Calculation 2 2 2 3 4 6" xfId="3694"/>
    <cellStyle name="Calculation 2 2 2 3 4 7" xfId="3695"/>
    <cellStyle name="Calculation 2 2 2 3 5" xfId="3696"/>
    <cellStyle name="Calculation 2 2 2 3 5 2" xfId="3697"/>
    <cellStyle name="Calculation 2 2 2 3 5 2 2" xfId="3698"/>
    <cellStyle name="Calculation 2 2 2 3 5 2 3" xfId="3699"/>
    <cellStyle name="Calculation 2 2 2 3 5 2 4" xfId="3700"/>
    <cellStyle name="Calculation 2 2 2 3 5 3" xfId="3701"/>
    <cellStyle name="Calculation 2 2 2 3 5 3 2" xfId="3702"/>
    <cellStyle name="Calculation 2 2 2 3 5 3 3" xfId="3703"/>
    <cellStyle name="Calculation 2 2 2 3 5 3 4" xfId="3704"/>
    <cellStyle name="Calculation 2 2 2 3 5 4" xfId="3705"/>
    <cellStyle name="Calculation 2 2 2 3 5 4 2" xfId="3706"/>
    <cellStyle name="Calculation 2 2 2 3 5 4 3" xfId="3707"/>
    <cellStyle name="Calculation 2 2 2 3 5 4 4" xfId="3708"/>
    <cellStyle name="Calculation 2 2 2 3 5 5" xfId="3709"/>
    <cellStyle name="Calculation 2 2 2 3 5 6" xfId="3710"/>
    <cellStyle name="Calculation 2 2 2 3 5 7" xfId="3711"/>
    <cellStyle name="Calculation 2 2 2 3 6" xfId="3712"/>
    <cellStyle name="Calculation 2 2 2 3 6 2" xfId="3713"/>
    <cellStyle name="Calculation 2 2 2 3 6 2 2" xfId="3714"/>
    <cellStyle name="Calculation 2 2 2 3 6 2 3" xfId="3715"/>
    <cellStyle name="Calculation 2 2 2 3 6 2 4" xfId="3716"/>
    <cellStyle name="Calculation 2 2 2 3 6 3" xfId="3717"/>
    <cellStyle name="Calculation 2 2 2 3 6 3 2" xfId="3718"/>
    <cellStyle name="Calculation 2 2 2 3 6 3 3" xfId="3719"/>
    <cellStyle name="Calculation 2 2 2 3 6 3 4" xfId="3720"/>
    <cellStyle name="Calculation 2 2 2 3 6 4" xfId="3721"/>
    <cellStyle name="Calculation 2 2 2 3 6 4 2" xfId="3722"/>
    <cellStyle name="Calculation 2 2 2 3 6 4 3" xfId="3723"/>
    <cellStyle name="Calculation 2 2 2 3 6 4 4" xfId="3724"/>
    <cellStyle name="Calculation 2 2 2 3 6 5" xfId="3725"/>
    <cellStyle name="Calculation 2 2 2 3 6 6" xfId="3726"/>
    <cellStyle name="Calculation 2 2 2 3 6 7" xfId="3727"/>
    <cellStyle name="Calculation 2 2 2 3 7" xfId="3728"/>
    <cellStyle name="Calculation 2 2 2 3 7 2" xfId="3729"/>
    <cellStyle name="Calculation 2 2 2 3 7 3" xfId="3730"/>
    <cellStyle name="Calculation 2 2 2 3 7 4" xfId="3731"/>
    <cellStyle name="Calculation 2 2 2 3 8" xfId="3732"/>
    <cellStyle name="Calculation 2 2 2 3 8 2" xfId="3733"/>
    <cellStyle name="Calculation 2 2 2 3 8 3" xfId="3734"/>
    <cellStyle name="Calculation 2 2 2 3 8 4" xfId="3735"/>
    <cellStyle name="Calculation 2 2 2 3 9" xfId="3736"/>
    <cellStyle name="Calculation 2 2 2 3 9 2" xfId="3737"/>
    <cellStyle name="Calculation 2 2 2 3 9 3" xfId="3738"/>
    <cellStyle name="Calculation 2 2 2 3 9 4" xfId="3739"/>
    <cellStyle name="Calculation 2 2 2 4" xfId="773"/>
    <cellStyle name="Calculation 2 2 2 4 10" xfId="3740"/>
    <cellStyle name="Calculation 2 2 2 4 11" xfId="3741"/>
    <cellStyle name="Calculation 2 2 2 4 12" xfId="3742"/>
    <cellStyle name="Calculation 2 2 2 4 2" xfId="3743"/>
    <cellStyle name="Calculation 2 2 2 4 2 2" xfId="3744"/>
    <cellStyle name="Calculation 2 2 2 4 2 2 2" xfId="3745"/>
    <cellStyle name="Calculation 2 2 2 4 2 2 3" xfId="3746"/>
    <cellStyle name="Calculation 2 2 2 4 2 2 4" xfId="3747"/>
    <cellStyle name="Calculation 2 2 2 4 2 3" xfId="3748"/>
    <cellStyle name="Calculation 2 2 2 4 2 3 2" xfId="3749"/>
    <cellStyle name="Calculation 2 2 2 4 2 3 3" xfId="3750"/>
    <cellStyle name="Calculation 2 2 2 4 2 3 4" xfId="3751"/>
    <cellStyle name="Calculation 2 2 2 4 2 4" xfId="3752"/>
    <cellStyle name="Calculation 2 2 2 4 2 4 2" xfId="3753"/>
    <cellStyle name="Calculation 2 2 2 4 2 4 3" xfId="3754"/>
    <cellStyle name="Calculation 2 2 2 4 2 4 4" xfId="3755"/>
    <cellStyle name="Calculation 2 2 2 4 2 5" xfId="3756"/>
    <cellStyle name="Calculation 2 2 2 4 2 6" xfId="3757"/>
    <cellStyle name="Calculation 2 2 2 4 2 7" xfId="3758"/>
    <cellStyle name="Calculation 2 2 2 4 3" xfId="3759"/>
    <cellStyle name="Calculation 2 2 2 4 3 2" xfId="3760"/>
    <cellStyle name="Calculation 2 2 2 4 3 2 2" xfId="3761"/>
    <cellStyle name="Calculation 2 2 2 4 3 2 3" xfId="3762"/>
    <cellStyle name="Calculation 2 2 2 4 3 2 4" xfId="3763"/>
    <cellStyle name="Calculation 2 2 2 4 3 3" xfId="3764"/>
    <cellStyle name="Calculation 2 2 2 4 3 3 2" xfId="3765"/>
    <cellStyle name="Calculation 2 2 2 4 3 3 3" xfId="3766"/>
    <cellStyle name="Calculation 2 2 2 4 3 3 4" xfId="3767"/>
    <cellStyle name="Calculation 2 2 2 4 3 4" xfId="3768"/>
    <cellStyle name="Calculation 2 2 2 4 3 4 2" xfId="3769"/>
    <cellStyle name="Calculation 2 2 2 4 3 4 3" xfId="3770"/>
    <cellStyle name="Calculation 2 2 2 4 3 4 4" xfId="3771"/>
    <cellStyle name="Calculation 2 2 2 4 3 5" xfId="3772"/>
    <cellStyle name="Calculation 2 2 2 4 3 6" xfId="3773"/>
    <cellStyle name="Calculation 2 2 2 4 3 7" xfId="3774"/>
    <cellStyle name="Calculation 2 2 2 4 4" xfId="3775"/>
    <cellStyle name="Calculation 2 2 2 4 4 2" xfId="3776"/>
    <cellStyle name="Calculation 2 2 2 4 4 2 2" xfId="3777"/>
    <cellStyle name="Calculation 2 2 2 4 4 2 3" xfId="3778"/>
    <cellStyle name="Calculation 2 2 2 4 4 2 4" xfId="3779"/>
    <cellStyle name="Calculation 2 2 2 4 4 3" xfId="3780"/>
    <cellStyle name="Calculation 2 2 2 4 4 3 2" xfId="3781"/>
    <cellStyle name="Calculation 2 2 2 4 4 3 3" xfId="3782"/>
    <cellStyle name="Calculation 2 2 2 4 4 3 4" xfId="3783"/>
    <cellStyle name="Calculation 2 2 2 4 4 4" xfId="3784"/>
    <cellStyle name="Calculation 2 2 2 4 4 4 2" xfId="3785"/>
    <cellStyle name="Calculation 2 2 2 4 4 4 3" xfId="3786"/>
    <cellStyle name="Calculation 2 2 2 4 4 4 4" xfId="3787"/>
    <cellStyle name="Calculation 2 2 2 4 4 5" xfId="3788"/>
    <cellStyle name="Calculation 2 2 2 4 4 6" xfId="3789"/>
    <cellStyle name="Calculation 2 2 2 4 4 7" xfId="3790"/>
    <cellStyle name="Calculation 2 2 2 4 5" xfId="3791"/>
    <cellStyle name="Calculation 2 2 2 4 5 2" xfId="3792"/>
    <cellStyle name="Calculation 2 2 2 4 5 2 2" xfId="3793"/>
    <cellStyle name="Calculation 2 2 2 4 5 2 3" xfId="3794"/>
    <cellStyle name="Calculation 2 2 2 4 5 2 4" xfId="3795"/>
    <cellStyle name="Calculation 2 2 2 4 5 3" xfId="3796"/>
    <cellStyle name="Calculation 2 2 2 4 5 3 2" xfId="3797"/>
    <cellStyle name="Calculation 2 2 2 4 5 3 3" xfId="3798"/>
    <cellStyle name="Calculation 2 2 2 4 5 3 4" xfId="3799"/>
    <cellStyle name="Calculation 2 2 2 4 5 4" xfId="3800"/>
    <cellStyle name="Calculation 2 2 2 4 5 4 2" xfId="3801"/>
    <cellStyle name="Calculation 2 2 2 4 5 4 3" xfId="3802"/>
    <cellStyle name="Calculation 2 2 2 4 5 4 4" xfId="3803"/>
    <cellStyle name="Calculation 2 2 2 4 5 5" xfId="3804"/>
    <cellStyle name="Calculation 2 2 2 4 5 6" xfId="3805"/>
    <cellStyle name="Calculation 2 2 2 4 5 7" xfId="3806"/>
    <cellStyle name="Calculation 2 2 2 4 6" xfId="3807"/>
    <cellStyle name="Calculation 2 2 2 4 6 2" xfId="3808"/>
    <cellStyle name="Calculation 2 2 2 4 6 2 2" xfId="3809"/>
    <cellStyle name="Calculation 2 2 2 4 6 2 3" xfId="3810"/>
    <cellStyle name="Calculation 2 2 2 4 6 2 4" xfId="3811"/>
    <cellStyle name="Calculation 2 2 2 4 6 3" xfId="3812"/>
    <cellStyle name="Calculation 2 2 2 4 6 3 2" xfId="3813"/>
    <cellStyle name="Calculation 2 2 2 4 6 3 3" xfId="3814"/>
    <cellStyle name="Calculation 2 2 2 4 6 3 4" xfId="3815"/>
    <cellStyle name="Calculation 2 2 2 4 6 4" xfId="3816"/>
    <cellStyle name="Calculation 2 2 2 4 6 4 2" xfId="3817"/>
    <cellStyle name="Calculation 2 2 2 4 6 4 3" xfId="3818"/>
    <cellStyle name="Calculation 2 2 2 4 6 4 4" xfId="3819"/>
    <cellStyle name="Calculation 2 2 2 4 6 5" xfId="3820"/>
    <cellStyle name="Calculation 2 2 2 4 6 6" xfId="3821"/>
    <cellStyle name="Calculation 2 2 2 4 6 7" xfId="3822"/>
    <cellStyle name="Calculation 2 2 2 4 7" xfId="3823"/>
    <cellStyle name="Calculation 2 2 2 4 7 2" xfId="3824"/>
    <cellStyle name="Calculation 2 2 2 4 7 3" xfId="3825"/>
    <cellStyle name="Calculation 2 2 2 4 7 4" xfId="3826"/>
    <cellStyle name="Calculation 2 2 2 4 8" xfId="3827"/>
    <cellStyle name="Calculation 2 2 2 4 8 2" xfId="3828"/>
    <cellStyle name="Calculation 2 2 2 4 8 3" xfId="3829"/>
    <cellStyle name="Calculation 2 2 2 4 8 4" xfId="3830"/>
    <cellStyle name="Calculation 2 2 2 4 9" xfId="3831"/>
    <cellStyle name="Calculation 2 2 2 4 9 2" xfId="3832"/>
    <cellStyle name="Calculation 2 2 2 4 9 3" xfId="3833"/>
    <cellStyle name="Calculation 2 2 2 4 9 4" xfId="3834"/>
    <cellStyle name="Calculation 2 2 2 5" xfId="3835"/>
    <cellStyle name="Calculation 2 2 2 5 10" xfId="3836"/>
    <cellStyle name="Calculation 2 2 2 5 11" xfId="3837"/>
    <cellStyle name="Calculation 2 2 2 5 12" xfId="3838"/>
    <cellStyle name="Calculation 2 2 2 5 2" xfId="3839"/>
    <cellStyle name="Calculation 2 2 2 5 2 2" xfId="3840"/>
    <cellStyle name="Calculation 2 2 2 5 2 2 2" xfId="3841"/>
    <cellStyle name="Calculation 2 2 2 5 2 2 3" xfId="3842"/>
    <cellStyle name="Calculation 2 2 2 5 2 2 4" xfId="3843"/>
    <cellStyle name="Calculation 2 2 2 5 2 3" xfId="3844"/>
    <cellStyle name="Calculation 2 2 2 5 2 3 2" xfId="3845"/>
    <cellStyle name="Calculation 2 2 2 5 2 3 3" xfId="3846"/>
    <cellStyle name="Calculation 2 2 2 5 2 3 4" xfId="3847"/>
    <cellStyle name="Calculation 2 2 2 5 2 4" xfId="3848"/>
    <cellStyle name="Calculation 2 2 2 5 2 4 2" xfId="3849"/>
    <cellStyle name="Calculation 2 2 2 5 2 4 3" xfId="3850"/>
    <cellStyle name="Calculation 2 2 2 5 2 4 4" xfId="3851"/>
    <cellStyle name="Calculation 2 2 2 5 2 5" xfId="3852"/>
    <cellStyle name="Calculation 2 2 2 5 2 6" xfId="3853"/>
    <cellStyle name="Calculation 2 2 2 5 2 7" xfId="3854"/>
    <cellStyle name="Calculation 2 2 2 5 3" xfId="3855"/>
    <cellStyle name="Calculation 2 2 2 5 3 2" xfId="3856"/>
    <cellStyle name="Calculation 2 2 2 5 3 2 2" xfId="3857"/>
    <cellStyle name="Calculation 2 2 2 5 3 2 3" xfId="3858"/>
    <cellStyle name="Calculation 2 2 2 5 3 2 4" xfId="3859"/>
    <cellStyle name="Calculation 2 2 2 5 3 3" xfId="3860"/>
    <cellStyle name="Calculation 2 2 2 5 3 3 2" xfId="3861"/>
    <cellStyle name="Calculation 2 2 2 5 3 3 3" xfId="3862"/>
    <cellStyle name="Calculation 2 2 2 5 3 3 4" xfId="3863"/>
    <cellStyle name="Calculation 2 2 2 5 3 4" xfId="3864"/>
    <cellStyle name="Calculation 2 2 2 5 3 4 2" xfId="3865"/>
    <cellStyle name="Calculation 2 2 2 5 3 4 3" xfId="3866"/>
    <cellStyle name="Calculation 2 2 2 5 3 4 4" xfId="3867"/>
    <cellStyle name="Calculation 2 2 2 5 3 5" xfId="3868"/>
    <cellStyle name="Calculation 2 2 2 5 3 6" xfId="3869"/>
    <cellStyle name="Calculation 2 2 2 5 3 7" xfId="3870"/>
    <cellStyle name="Calculation 2 2 2 5 4" xfId="3871"/>
    <cellStyle name="Calculation 2 2 2 5 4 2" xfId="3872"/>
    <cellStyle name="Calculation 2 2 2 5 4 2 2" xfId="3873"/>
    <cellStyle name="Calculation 2 2 2 5 4 2 3" xfId="3874"/>
    <cellStyle name="Calculation 2 2 2 5 4 2 4" xfId="3875"/>
    <cellStyle name="Calculation 2 2 2 5 4 3" xfId="3876"/>
    <cellStyle name="Calculation 2 2 2 5 4 3 2" xfId="3877"/>
    <cellStyle name="Calculation 2 2 2 5 4 3 3" xfId="3878"/>
    <cellStyle name="Calculation 2 2 2 5 4 3 4" xfId="3879"/>
    <cellStyle name="Calculation 2 2 2 5 4 4" xfId="3880"/>
    <cellStyle name="Calculation 2 2 2 5 4 4 2" xfId="3881"/>
    <cellStyle name="Calculation 2 2 2 5 4 4 3" xfId="3882"/>
    <cellStyle name="Calculation 2 2 2 5 4 4 4" xfId="3883"/>
    <cellStyle name="Calculation 2 2 2 5 4 5" xfId="3884"/>
    <cellStyle name="Calculation 2 2 2 5 4 6" xfId="3885"/>
    <cellStyle name="Calculation 2 2 2 5 4 7" xfId="3886"/>
    <cellStyle name="Calculation 2 2 2 5 5" xfId="3887"/>
    <cellStyle name="Calculation 2 2 2 5 5 2" xfId="3888"/>
    <cellStyle name="Calculation 2 2 2 5 5 2 2" xfId="3889"/>
    <cellStyle name="Calculation 2 2 2 5 5 2 3" xfId="3890"/>
    <cellStyle name="Calculation 2 2 2 5 5 2 4" xfId="3891"/>
    <cellStyle name="Calculation 2 2 2 5 5 3" xfId="3892"/>
    <cellStyle name="Calculation 2 2 2 5 5 3 2" xfId="3893"/>
    <cellStyle name="Calculation 2 2 2 5 5 3 3" xfId="3894"/>
    <cellStyle name="Calculation 2 2 2 5 5 3 4" xfId="3895"/>
    <cellStyle name="Calculation 2 2 2 5 5 4" xfId="3896"/>
    <cellStyle name="Calculation 2 2 2 5 5 4 2" xfId="3897"/>
    <cellStyle name="Calculation 2 2 2 5 5 4 3" xfId="3898"/>
    <cellStyle name="Calculation 2 2 2 5 5 4 4" xfId="3899"/>
    <cellStyle name="Calculation 2 2 2 5 5 5" xfId="3900"/>
    <cellStyle name="Calculation 2 2 2 5 5 6" xfId="3901"/>
    <cellStyle name="Calculation 2 2 2 5 5 7" xfId="3902"/>
    <cellStyle name="Calculation 2 2 2 5 6" xfId="3903"/>
    <cellStyle name="Calculation 2 2 2 5 6 2" xfId="3904"/>
    <cellStyle name="Calculation 2 2 2 5 6 2 2" xfId="3905"/>
    <cellStyle name="Calculation 2 2 2 5 6 2 3" xfId="3906"/>
    <cellStyle name="Calculation 2 2 2 5 6 2 4" xfId="3907"/>
    <cellStyle name="Calculation 2 2 2 5 6 3" xfId="3908"/>
    <cellStyle name="Calculation 2 2 2 5 6 3 2" xfId="3909"/>
    <cellStyle name="Calculation 2 2 2 5 6 3 3" xfId="3910"/>
    <cellStyle name="Calculation 2 2 2 5 6 3 4" xfId="3911"/>
    <cellStyle name="Calculation 2 2 2 5 6 4" xfId="3912"/>
    <cellStyle name="Calculation 2 2 2 5 6 4 2" xfId="3913"/>
    <cellStyle name="Calculation 2 2 2 5 6 4 3" xfId="3914"/>
    <cellStyle name="Calculation 2 2 2 5 6 4 4" xfId="3915"/>
    <cellStyle name="Calculation 2 2 2 5 6 5" xfId="3916"/>
    <cellStyle name="Calculation 2 2 2 5 6 6" xfId="3917"/>
    <cellStyle name="Calculation 2 2 2 5 6 7" xfId="3918"/>
    <cellStyle name="Calculation 2 2 2 5 7" xfId="3919"/>
    <cellStyle name="Calculation 2 2 2 5 7 2" xfId="3920"/>
    <cellStyle name="Calculation 2 2 2 5 7 3" xfId="3921"/>
    <cellStyle name="Calculation 2 2 2 5 7 4" xfId="3922"/>
    <cellStyle name="Calculation 2 2 2 5 8" xfId="3923"/>
    <cellStyle name="Calculation 2 2 2 5 8 2" xfId="3924"/>
    <cellStyle name="Calculation 2 2 2 5 8 3" xfId="3925"/>
    <cellStyle name="Calculation 2 2 2 5 8 4" xfId="3926"/>
    <cellStyle name="Calculation 2 2 2 5 9" xfId="3927"/>
    <cellStyle name="Calculation 2 2 2 5 9 2" xfId="3928"/>
    <cellStyle name="Calculation 2 2 2 5 9 3" xfId="3929"/>
    <cellStyle name="Calculation 2 2 2 5 9 4" xfId="3930"/>
    <cellStyle name="Calculation 2 2 2 6" xfId="3931"/>
    <cellStyle name="Calculation 2 2 2 6 2" xfId="3932"/>
    <cellStyle name="Calculation 2 2 2 6 2 2" xfId="3933"/>
    <cellStyle name="Calculation 2 2 2 6 2 3" xfId="3934"/>
    <cellStyle name="Calculation 2 2 2 6 2 4" xfId="3935"/>
    <cellStyle name="Calculation 2 2 2 6 3" xfId="3936"/>
    <cellStyle name="Calculation 2 2 2 6 3 2" xfId="3937"/>
    <cellStyle name="Calculation 2 2 2 6 3 3" xfId="3938"/>
    <cellStyle name="Calculation 2 2 2 6 3 4" xfId="3939"/>
    <cellStyle name="Calculation 2 2 2 6 4" xfId="3940"/>
    <cellStyle name="Calculation 2 2 2 6 4 2" xfId="3941"/>
    <cellStyle name="Calculation 2 2 2 6 4 3" xfId="3942"/>
    <cellStyle name="Calculation 2 2 2 6 4 4" xfId="3943"/>
    <cellStyle name="Calculation 2 2 2 6 5" xfId="3944"/>
    <cellStyle name="Calculation 2 2 2 6 6" xfId="3945"/>
    <cellStyle name="Calculation 2 2 2 6 7" xfId="3946"/>
    <cellStyle name="Calculation 2 2 2 7" xfId="3947"/>
    <cellStyle name="Calculation 2 2 2 7 2" xfId="3948"/>
    <cellStyle name="Calculation 2 2 2 7 2 2" xfId="3949"/>
    <cellStyle name="Calculation 2 2 2 7 2 3" xfId="3950"/>
    <cellStyle name="Calculation 2 2 2 7 2 4" xfId="3951"/>
    <cellStyle name="Calculation 2 2 2 7 3" xfId="3952"/>
    <cellStyle name="Calculation 2 2 2 7 3 2" xfId="3953"/>
    <cellStyle name="Calculation 2 2 2 7 3 3" xfId="3954"/>
    <cellStyle name="Calculation 2 2 2 7 3 4" xfId="3955"/>
    <cellStyle name="Calculation 2 2 2 7 4" xfId="3956"/>
    <cellStyle name="Calculation 2 2 2 7 4 2" xfId="3957"/>
    <cellStyle name="Calculation 2 2 2 7 4 3" xfId="3958"/>
    <cellStyle name="Calculation 2 2 2 7 4 4" xfId="3959"/>
    <cellStyle name="Calculation 2 2 2 7 5" xfId="3960"/>
    <cellStyle name="Calculation 2 2 2 7 6" xfId="3961"/>
    <cellStyle name="Calculation 2 2 2 7 7" xfId="3962"/>
    <cellStyle name="Calculation 2 2 2 8" xfId="3963"/>
    <cellStyle name="Calculation 2 2 2 8 2" xfId="3964"/>
    <cellStyle name="Calculation 2 2 2 8 2 2" xfId="3965"/>
    <cellStyle name="Calculation 2 2 2 8 2 3" xfId="3966"/>
    <cellStyle name="Calculation 2 2 2 8 2 4" xfId="3967"/>
    <cellStyle name="Calculation 2 2 2 8 3" xfId="3968"/>
    <cellStyle name="Calculation 2 2 2 8 3 2" xfId="3969"/>
    <cellStyle name="Calculation 2 2 2 8 3 3" xfId="3970"/>
    <cellStyle name="Calculation 2 2 2 8 3 4" xfId="3971"/>
    <cellStyle name="Calculation 2 2 2 8 4" xfId="3972"/>
    <cellStyle name="Calculation 2 2 2 8 4 2" xfId="3973"/>
    <cellStyle name="Calculation 2 2 2 8 4 3" xfId="3974"/>
    <cellStyle name="Calculation 2 2 2 8 4 4" xfId="3975"/>
    <cellStyle name="Calculation 2 2 2 8 5" xfId="3976"/>
    <cellStyle name="Calculation 2 2 2 8 6" xfId="3977"/>
    <cellStyle name="Calculation 2 2 2 8 7" xfId="3978"/>
    <cellStyle name="Calculation 2 2 2 9" xfId="3979"/>
    <cellStyle name="Calculation 2 2 2 9 2" xfId="3980"/>
    <cellStyle name="Calculation 2 2 2 9 2 2" xfId="3981"/>
    <cellStyle name="Calculation 2 2 2 9 2 3" xfId="3982"/>
    <cellStyle name="Calculation 2 2 2 9 2 4" xfId="3983"/>
    <cellStyle name="Calculation 2 2 2 9 3" xfId="3984"/>
    <cellStyle name="Calculation 2 2 2 9 3 2" xfId="3985"/>
    <cellStyle name="Calculation 2 2 2 9 3 3" xfId="3986"/>
    <cellStyle name="Calculation 2 2 2 9 3 4" xfId="3987"/>
    <cellStyle name="Calculation 2 2 2 9 4" xfId="3988"/>
    <cellStyle name="Calculation 2 2 2 9 4 2" xfId="3989"/>
    <cellStyle name="Calculation 2 2 2 9 4 3" xfId="3990"/>
    <cellStyle name="Calculation 2 2 2 9 4 4" xfId="3991"/>
    <cellStyle name="Calculation 2 2 2 9 5" xfId="3992"/>
    <cellStyle name="Calculation 2 2 2 9 6" xfId="3993"/>
    <cellStyle name="Calculation 2 2 2 9 7" xfId="3994"/>
    <cellStyle name="Calculation 2 2 3" xfId="1042"/>
    <cellStyle name="Calculation 2 2 3 10" xfId="3995"/>
    <cellStyle name="Calculation 2 2 3 11" xfId="3996"/>
    <cellStyle name="Calculation 2 2 3 12" xfId="3997"/>
    <cellStyle name="Calculation 2 2 3 2" xfId="3998"/>
    <cellStyle name="Calculation 2 2 3 2 2" xfId="3999"/>
    <cellStyle name="Calculation 2 2 3 2 2 2" xfId="4000"/>
    <cellStyle name="Calculation 2 2 3 2 2 3" xfId="4001"/>
    <cellStyle name="Calculation 2 2 3 2 2 4" xfId="4002"/>
    <cellStyle name="Calculation 2 2 3 2 3" xfId="4003"/>
    <cellStyle name="Calculation 2 2 3 2 3 2" xfId="4004"/>
    <cellStyle name="Calculation 2 2 3 2 3 3" xfId="4005"/>
    <cellStyle name="Calculation 2 2 3 2 3 4" xfId="4006"/>
    <cellStyle name="Calculation 2 2 3 2 4" xfId="4007"/>
    <cellStyle name="Calculation 2 2 3 2 4 2" xfId="4008"/>
    <cellStyle name="Calculation 2 2 3 2 4 3" xfId="4009"/>
    <cellStyle name="Calculation 2 2 3 2 4 4" xfId="4010"/>
    <cellStyle name="Calculation 2 2 3 2 5" xfId="4011"/>
    <cellStyle name="Calculation 2 2 3 2 6" xfId="4012"/>
    <cellStyle name="Calculation 2 2 3 2 7" xfId="4013"/>
    <cellStyle name="Calculation 2 2 3 3" xfId="4014"/>
    <cellStyle name="Calculation 2 2 3 3 2" xfId="4015"/>
    <cellStyle name="Calculation 2 2 3 3 2 2" xfId="4016"/>
    <cellStyle name="Calculation 2 2 3 3 2 3" xfId="4017"/>
    <cellStyle name="Calculation 2 2 3 3 2 4" xfId="4018"/>
    <cellStyle name="Calculation 2 2 3 3 3" xfId="4019"/>
    <cellStyle name="Calculation 2 2 3 3 3 2" xfId="4020"/>
    <cellStyle name="Calculation 2 2 3 3 3 3" xfId="4021"/>
    <cellStyle name="Calculation 2 2 3 3 3 4" xfId="4022"/>
    <cellStyle name="Calculation 2 2 3 3 4" xfId="4023"/>
    <cellStyle name="Calculation 2 2 3 3 4 2" xfId="4024"/>
    <cellStyle name="Calculation 2 2 3 3 4 3" xfId="4025"/>
    <cellStyle name="Calculation 2 2 3 3 4 4" xfId="4026"/>
    <cellStyle name="Calculation 2 2 3 3 5" xfId="4027"/>
    <cellStyle name="Calculation 2 2 3 3 6" xfId="4028"/>
    <cellStyle name="Calculation 2 2 3 3 7" xfId="4029"/>
    <cellStyle name="Calculation 2 2 3 4" xfId="4030"/>
    <cellStyle name="Calculation 2 2 3 4 2" xfId="4031"/>
    <cellStyle name="Calculation 2 2 3 4 2 2" xfId="4032"/>
    <cellStyle name="Calculation 2 2 3 4 2 3" xfId="4033"/>
    <cellStyle name="Calculation 2 2 3 4 2 4" xfId="4034"/>
    <cellStyle name="Calculation 2 2 3 4 3" xfId="4035"/>
    <cellStyle name="Calculation 2 2 3 4 3 2" xfId="4036"/>
    <cellStyle name="Calculation 2 2 3 4 3 3" xfId="4037"/>
    <cellStyle name="Calculation 2 2 3 4 3 4" xfId="4038"/>
    <cellStyle name="Calculation 2 2 3 4 4" xfId="4039"/>
    <cellStyle name="Calculation 2 2 3 4 4 2" xfId="4040"/>
    <cellStyle name="Calculation 2 2 3 4 4 3" xfId="4041"/>
    <cellStyle name="Calculation 2 2 3 4 4 4" xfId="4042"/>
    <cellStyle name="Calculation 2 2 3 4 5" xfId="4043"/>
    <cellStyle name="Calculation 2 2 3 4 6" xfId="4044"/>
    <cellStyle name="Calculation 2 2 3 4 7" xfId="4045"/>
    <cellStyle name="Calculation 2 2 3 5" xfId="4046"/>
    <cellStyle name="Calculation 2 2 3 5 2" xfId="4047"/>
    <cellStyle name="Calculation 2 2 3 5 2 2" xfId="4048"/>
    <cellStyle name="Calculation 2 2 3 5 2 3" xfId="4049"/>
    <cellStyle name="Calculation 2 2 3 5 2 4" xfId="4050"/>
    <cellStyle name="Calculation 2 2 3 5 3" xfId="4051"/>
    <cellStyle name="Calculation 2 2 3 5 3 2" xfId="4052"/>
    <cellStyle name="Calculation 2 2 3 5 3 3" xfId="4053"/>
    <cellStyle name="Calculation 2 2 3 5 3 4" xfId="4054"/>
    <cellStyle name="Calculation 2 2 3 5 4" xfId="4055"/>
    <cellStyle name="Calculation 2 2 3 5 4 2" xfId="4056"/>
    <cellStyle name="Calculation 2 2 3 5 4 3" xfId="4057"/>
    <cellStyle name="Calculation 2 2 3 5 4 4" xfId="4058"/>
    <cellStyle name="Calculation 2 2 3 5 5" xfId="4059"/>
    <cellStyle name="Calculation 2 2 3 5 6" xfId="4060"/>
    <cellStyle name="Calculation 2 2 3 5 7" xfId="4061"/>
    <cellStyle name="Calculation 2 2 3 6" xfId="4062"/>
    <cellStyle name="Calculation 2 2 3 6 2" xfId="4063"/>
    <cellStyle name="Calculation 2 2 3 6 2 2" xfId="4064"/>
    <cellStyle name="Calculation 2 2 3 6 2 3" xfId="4065"/>
    <cellStyle name="Calculation 2 2 3 6 2 4" xfId="4066"/>
    <cellStyle name="Calculation 2 2 3 6 3" xfId="4067"/>
    <cellStyle name="Calculation 2 2 3 6 3 2" xfId="4068"/>
    <cellStyle name="Calculation 2 2 3 6 3 3" xfId="4069"/>
    <cellStyle name="Calculation 2 2 3 6 3 4" xfId="4070"/>
    <cellStyle name="Calculation 2 2 3 6 4" xfId="4071"/>
    <cellStyle name="Calculation 2 2 3 6 4 2" xfId="4072"/>
    <cellStyle name="Calculation 2 2 3 6 4 3" xfId="4073"/>
    <cellStyle name="Calculation 2 2 3 6 4 4" xfId="4074"/>
    <cellStyle name="Calculation 2 2 3 6 5" xfId="4075"/>
    <cellStyle name="Calculation 2 2 3 6 6" xfId="4076"/>
    <cellStyle name="Calculation 2 2 3 6 7" xfId="4077"/>
    <cellStyle name="Calculation 2 2 3 7" xfId="4078"/>
    <cellStyle name="Calculation 2 2 3 7 2" xfId="4079"/>
    <cellStyle name="Calculation 2 2 3 7 3" xfId="4080"/>
    <cellStyle name="Calculation 2 2 3 7 4" xfId="4081"/>
    <cellStyle name="Calculation 2 2 3 8" xfId="4082"/>
    <cellStyle name="Calculation 2 2 3 8 2" xfId="4083"/>
    <cellStyle name="Calculation 2 2 3 8 3" xfId="4084"/>
    <cellStyle name="Calculation 2 2 3 8 4" xfId="4085"/>
    <cellStyle name="Calculation 2 2 3 9" xfId="4086"/>
    <cellStyle name="Calculation 2 2 3 9 2" xfId="4087"/>
    <cellStyle name="Calculation 2 2 3 9 3" xfId="4088"/>
    <cellStyle name="Calculation 2 2 3 9 4" xfId="4089"/>
    <cellStyle name="Calculation 2 2 4" xfId="1023"/>
    <cellStyle name="Calculation 2 2 5" xfId="1031"/>
    <cellStyle name="Calculation 2 2 6" xfId="3265"/>
    <cellStyle name="Calculation 2 2 7" xfId="3254"/>
    <cellStyle name="Calculation 2 3" xfId="59"/>
    <cellStyle name="Calculation 2 3 2" xfId="389"/>
    <cellStyle name="Calculation 2 3 2 10" xfId="4090"/>
    <cellStyle name="Calculation 2 3 2 10 2" xfId="4091"/>
    <cellStyle name="Calculation 2 3 2 10 2 2" xfId="4092"/>
    <cellStyle name="Calculation 2 3 2 10 2 3" xfId="4093"/>
    <cellStyle name="Calculation 2 3 2 10 2 4" xfId="4094"/>
    <cellStyle name="Calculation 2 3 2 10 3" xfId="4095"/>
    <cellStyle name="Calculation 2 3 2 10 3 2" xfId="4096"/>
    <cellStyle name="Calculation 2 3 2 10 3 3" xfId="4097"/>
    <cellStyle name="Calculation 2 3 2 10 3 4" xfId="4098"/>
    <cellStyle name="Calculation 2 3 2 10 4" xfId="4099"/>
    <cellStyle name="Calculation 2 3 2 10 4 2" xfId="4100"/>
    <cellStyle name="Calculation 2 3 2 10 4 3" xfId="4101"/>
    <cellStyle name="Calculation 2 3 2 10 4 4" xfId="4102"/>
    <cellStyle name="Calculation 2 3 2 10 5" xfId="4103"/>
    <cellStyle name="Calculation 2 3 2 10 6" xfId="4104"/>
    <cellStyle name="Calculation 2 3 2 10 7" xfId="4105"/>
    <cellStyle name="Calculation 2 3 2 11" xfId="4106"/>
    <cellStyle name="Calculation 2 3 2 11 2" xfId="4107"/>
    <cellStyle name="Calculation 2 3 2 11 2 2" xfId="4108"/>
    <cellStyle name="Calculation 2 3 2 11 2 3" xfId="4109"/>
    <cellStyle name="Calculation 2 3 2 11 2 4" xfId="4110"/>
    <cellStyle name="Calculation 2 3 2 11 3" xfId="4111"/>
    <cellStyle name="Calculation 2 3 2 11 3 2" xfId="4112"/>
    <cellStyle name="Calculation 2 3 2 11 3 3" xfId="4113"/>
    <cellStyle name="Calculation 2 3 2 11 3 4" xfId="4114"/>
    <cellStyle name="Calculation 2 3 2 11 4" xfId="4115"/>
    <cellStyle name="Calculation 2 3 2 11 4 2" xfId="4116"/>
    <cellStyle name="Calculation 2 3 2 11 4 3" xfId="4117"/>
    <cellStyle name="Calculation 2 3 2 11 4 4" xfId="4118"/>
    <cellStyle name="Calculation 2 3 2 11 5" xfId="4119"/>
    <cellStyle name="Calculation 2 3 2 11 6" xfId="4120"/>
    <cellStyle name="Calculation 2 3 2 11 7" xfId="4121"/>
    <cellStyle name="Calculation 2 3 2 12" xfId="4122"/>
    <cellStyle name="Calculation 2 3 2 12 2" xfId="4123"/>
    <cellStyle name="Calculation 2 3 2 12 2 2" xfId="4124"/>
    <cellStyle name="Calculation 2 3 2 12 2 3" xfId="4125"/>
    <cellStyle name="Calculation 2 3 2 12 2 4" xfId="4126"/>
    <cellStyle name="Calculation 2 3 2 12 3" xfId="4127"/>
    <cellStyle name="Calculation 2 3 2 12 3 2" xfId="4128"/>
    <cellStyle name="Calculation 2 3 2 12 3 3" xfId="4129"/>
    <cellStyle name="Calculation 2 3 2 12 3 4" xfId="4130"/>
    <cellStyle name="Calculation 2 3 2 12 4" xfId="4131"/>
    <cellStyle name="Calculation 2 3 2 12 4 2" xfId="4132"/>
    <cellStyle name="Calculation 2 3 2 12 4 3" xfId="4133"/>
    <cellStyle name="Calculation 2 3 2 12 4 4" xfId="4134"/>
    <cellStyle name="Calculation 2 3 2 12 5" xfId="4135"/>
    <cellStyle name="Calculation 2 3 2 12 6" xfId="4136"/>
    <cellStyle name="Calculation 2 3 2 12 7" xfId="4137"/>
    <cellStyle name="Calculation 2 3 2 13" xfId="4138"/>
    <cellStyle name="Calculation 2 3 2 13 2" xfId="4139"/>
    <cellStyle name="Calculation 2 3 2 13 2 2" xfId="4140"/>
    <cellStyle name="Calculation 2 3 2 13 2 3" xfId="4141"/>
    <cellStyle name="Calculation 2 3 2 13 2 4" xfId="4142"/>
    <cellStyle name="Calculation 2 3 2 13 3" xfId="4143"/>
    <cellStyle name="Calculation 2 3 2 13 3 2" xfId="4144"/>
    <cellStyle name="Calculation 2 3 2 13 3 3" xfId="4145"/>
    <cellStyle name="Calculation 2 3 2 13 3 4" xfId="4146"/>
    <cellStyle name="Calculation 2 3 2 13 4" xfId="4147"/>
    <cellStyle name="Calculation 2 3 2 13 4 2" xfId="4148"/>
    <cellStyle name="Calculation 2 3 2 13 4 3" xfId="4149"/>
    <cellStyle name="Calculation 2 3 2 13 4 4" xfId="4150"/>
    <cellStyle name="Calculation 2 3 2 13 5" xfId="4151"/>
    <cellStyle name="Calculation 2 3 2 13 6" xfId="4152"/>
    <cellStyle name="Calculation 2 3 2 13 7" xfId="4153"/>
    <cellStyle name="Calculation 2 3 2 14" xfId="4154"/>
    <cellStyle name="Calculation 2 3 2 14 2" xfId="4155"/>
    <cellStyle name="Calculation 2 3 2 14 3" xfId="4156"/>
    <cellStyle name="Calculation 2 3 2 14 4" xfId="4157"/>
    <cellStyle name="Calculation 2 3 2 15" xfId="4158"/>
    <cellStyle name="Calculation 2 3 2 15 2" xfId="4159"/>
    <cellStyle name="Calculation 2 3 2 15 3" xfId="4160"/>
    <cellStyle name="Calculation 2 3 2 15 4" xfId="4161"/>
    <cellStyle name="Calculation 2 3 2 16" xfId="4162"/>
    <cellStyle name="Calculation 2 3 2 16 2" xfId="4163"/>
    <cellStyle name="Calculation 2 3 2 16 3" xfId="4164"/>
    <cellStyle name="Calculation 2 3 2 16 4" xfId="4165"/>
    <cellStyle name="Calculation 2 3 2 17" xfId="4166"/>
    <cellStyle name="Calculation 2 3 2 18" xfId="4167"/>
    <cellStyle name="Calculation 2 3 2 19" xfId="4168"/>
    <cellStyle name="Calculation 2 3 2 2" xfId="813"/>
    <cellStyle name="Calculation 2 3 2 2 10" xfId="4169"/>
    <cellStyle name="Calculation 2 3 2 2 11" xfId="4170"/>
    <cellStyle name="Calculation 2 3 2 2 12" xfId="4171"/>
    <cellStyle name="Calculation 2 3 2 2 2" xfId="4172"/>
    <cellStyle name="Calculation 2 3 2 2 2 2" xfId="4173"/>
    <cellStyle name="Calculation 2 3 2 2 2 2 2" xfId="4174"/>
    <cellStyle name="Calculation 2 3 2 2 2 2 3" xfId="4175"/>
    <cellStyle name="Calculation 2 3 2 2 2 2 4" xfId="4176"/>
    <cellStyle name="Calculation 2 3 2 2 2 3" xfId="4177"/>
    <cellStyle name="Calculation 2 3 2 2 2 3 2" xfId="4178"/>
    <cellStyle name="Calculation 2 3 2 2 2 3 3" xfId="4179"/>
    <cellStyle name="Calculation 2 3 2 2 2 3 4" xfId="4180"/>
    <cellStyle name="Calculation 2 3 2 2 2 4" xfId="4181"/>
    <cellStyle name="Calculation 2 3 2 2 2 4 2" xfId="4182"/>
    <cellStyle name="Calculation 2 3 2 2 2 4 3" xfId="4183"/>
    <cellStyle name="Calculation 2 3 2 2 2 4 4" xfId="4184"/>
    <cellStyle name="Calculation 2 3 2 2 2 5" xfId="4185"/>
    <cellStyle name="Calculation 2 3 2 2 2 6" xfId="4186"/>
    <cellStyle name="Calculation 2 3 2 2 2 7" xfId="4187"/>
    <cellStyle name="Calculation 2 3 2 2 3" xfId="4188"/>
    <cellStyle name="Calculation 2 3 2 2 3 2" xfId="4189"/>
    <cellStyle name="Calculation 2 3 2 2 3 2 2" xfId="4190"/>
    <cellStyle name="Calculation 2 3 2 2 3 2 3" xfId="4191"/>
    <cellStyle name="Calculation 2 3 2 2 3 2 4" xfId="4192"/>
    <cellStyle name="Calculation 2 3 2 2 3 3" xfId="4193"/>
    <cellStyle name="Calculation 2 3 2 2 3 3 2" xfId="4194"/>
    <cellStyle name="Calculation 2 3 2 2 3 3 3" xfId="4195"/>
    <cellStyle name="Calculation 2 3 2 2 3 3 4" xfId="4196"/>
    <cellStyle name="Calculation 2 3 2 2 3 4" xfId="4197"/>
    <cellStyle name="Calculation 2 3 2 2 3 4 2" xfId="4198"/>
    <cellStyle name="Calculation 2 3 2 2 3 4 3" xfId="4199"/>
    <cellStyle name="Calculation 2 3 2 2 3 4 4" xfId="4200"/>
    <cellStyle name="Calculation 2 3 2 2 3 5" xfId="4201"/>
    <cellStyle name="Calculation 2 3 2 2 3 6" xfId="4202"/>
    <cellStyle name="Calculation 2 3 2 2 3 7" xfId="4203"/>
    <cellStyle name="Calculation 2 3 2 2 4" xfId="4204"/>
    <cellStyle name="Calculation 2 3 2 2 4 2" xfId="4205"/>
    <cellStyle name="Calculation 2 3 2 2 4 2 2" xfId="4206"/>
    <cellStyle name="Calculation 2 3 2 2 4 2 3" xfId="4207"/>
    <cellStyle name="Calculation 2 3 2 2 4 2 4" xfId="4208"/>
    <cellStyle name="Calculation 2 3 2 2 4 3" xfId="4209"/>
    <cellStyle name="Calculation 2 3 2 2 4 3 2" xfId="4210"/>
    <cellStyle name="Calculation 2 3 2 2 4 3 3" xfId="4211"/>
    <cellStyle name="Calculation 2 3 2 2 4 3 4" xfId="4212"/>
    <cellStyle name="Calculation 2 3 2 2 4 4" xfId="4213"/>
    <cellStyle name="Calculation 2 3 2 2 4 4 2" xfId="4214"/>
    <cellStyle name="Calculation 2 3 2 2 4 4 3" xfId="4215"/>
    <cellStyle name="Calculation 2 3 2 2 4 4 4" xfId="4216"/>
    <cellStyle name="Calculation 2 3 2 2 4 5" xfId="4217"/>
    <cellStyle name="Calculation 2 3 2 2 4 6" xfId="4218"/>
    <cellStyle name="Calculation 2 3 2 2 4 7" xfId="4219"/>
    <cellStyle name="Calculation 2 3 2 2 5" xfId="4220"/>
    <cellStyle name="Calculation 2 3 2 2 5 2" xfId="4221"/>
    <cellStyle name="Calculation 2 3 2 2 5 2 2" xfId="4222"/>
    <cellStyle name="Calculation 2 3 2 2 5 2 3" xfId="4223"/>
    <cellStyle name="Calculation 2 3 2 2 5 2 4" xfId="4224"/>
    <cellStyle name="Calculation 2 3 2 2 5 3" xfId="4225"/>
    <cellStyle name="Calculation 2 3 2 2 5 3 2" xfId="4226"/>
    <cellStyle name="Calculation 2 3 2 2 5 3 3" xfId="4227"/>
    <cellStyle name="Calculation 2 3 2 2 5 3 4" xfId="4228"/>
    <cellStyle name="Calculation 2 3 2 2 5 4" xfId="4229"/>
    <cellStyle name="Calculation 2 3 2 2 5 4 2" xfId="4230"/>
    <cellStyle name="Calculation 2 3 2 2 5 4 3" xfId="4231"/>
    <cellStyle name="Calculation 2 3 2 2 5 4 4" xfId="4232"/>
    <cellStyle name="Calculation 2 3 2 2 5 5" xfId="4233"/>
    <cellStyle name="Calculation 2 3 2 2 5 6" xfId="4234"/>
    <cellStyle name="Calculation 2 3 2 2 5 7" xfId="4235"/>
    <cellStyle name="Calculation 2 3 2 2 6" xfId="4236"/>
    <cellStyle name="Calculation 2 3 2 2 6 2" xfId="4237"/>
    <cellStyle name="Calculation 2 3 2 2 6 2 2" xfId="4238"/>
    <cellStyle name="Calculation 2 3 2 2 6 2 3" xfId="4239"/>
    <cellStyle name="Calculation 2 3 2 2 6 2 4" xfId="4240"/>
    <cellStyle name="Calculation 2 3 2 2 6 3" xfId="4241"/>
    <cellStyle name="Calculation 2 3 2 2 6 3 2" xfId="4242"/>
    <cellStyle name="Calculation 2 3 2 2 6 3 3" xfId="4243"/>
    <cellStyle name="Calculation 2 3 2 2 6 3 4" xfId="4244"/>
    <cellStyle name="Calculation 2 3 2 2 6 4" xfId="4245"/>
    <cellStyle name="Calculation 2 3 2 2 6 4 2" xfId="4246"/>
    <cellStyle name="Calculation 2 3 2 2 6 4 3" xfId="4247"/>
    <cellStyle name="Calculation 2 3 2 2 6 4 4" xfId="4248"/>
    <cellStyle name="Calculation 2 3 2 2 6 5" xfId="4249"/>
    <cellStyle name="Calculation 2 3 2 2 6 6" xfId="4250"/>
    <cellStyle name="Calculation 2 3 2 2 6 7" xfId="4251"/>
    <cellStyle name="Calculation 2 3 2 2 7" xfId="4252"/>
    <cellStyle name="Calculation 2 3 2 2 7 2" xfId="4253"/>
    <cellStyle name="Calculation 2 3 2 2 7 3" xfId="4254"/>
    <cellStyle name="Calculation 2 3 2 2 7 4" xfId="4255"/>
    <cellStyle name="Calculation 2 3 2 2 8" xfId="4256"/>
    <cellStyle name="Calculation 2 3 2 2 8 2" xfId="4257"/>
    <cellStyle name="Calculation 2 3 2 2 8 3" xfId="4258"/>
    <cellStyle name="Calculation 2 3 2 2 8 4" xfId="4259"/>
    <cellStyle name="Calculation 2 3 2 2 9" xfId="4260"/>
    <cellStyle name="Calculation 2 3 2 2 9 2" xfId="4261"/>
    <cellStyle name="Calculation 2 3 2 2 9 3" xfId="4262"/>
    <cellStyle name="Calculation 2 3 2 2 9 4" xfId="4263"/>
    <cellStyle name="Calculation 2 3 2 3" xfId="844"/>
    <cellStyle name="Calculation 2 3 2 3 10" xfId="4264"/>
    <cellStyle name="Calculation 2 3 2 3 11" xfId="4265"/>
    <cellStyle name="Calculation 2 3 2 3 12" xfId="4266"/>
    <cellStyle name="Calculation 2 3 2 3 2" xfId="4267"/>
    <cellStyle name="Calculation 2 3 2 3 2 2" xfId="4268"/>
    <cellStyle name="Calculation 2 3 2 3 2 2 2" xfId="4269"/>
    <cellStyle name="Calculation 2 3 2 3 2 2 3" xfId="4270"/>
    <cellStyle name="Calculation 2 3 2 3 2 2 4" xfId="4271"/>
    <cellStyle name="Calculation 2 3 2 3 2 3" xfId="4272"/>
    <cellStyle name="Calculation 2 3 2 3 2 3 2" xfId="4273"/>
    <cellStyle name="Calculation 2 3 2 3 2 3 3" xfId="4274"/>
    <cellStyle name="Calculation 2 3 2 3 2 3 4" xfId="4275"/>
    <cellStyle name="Calculation 2 3 2 3 2 4" xfId="4276"/>
    <cellStyle name="Calculation 2 3 2 3 2 4 2" xfId="4277"/>
    <cellStyle name="Calculation 2 3 2 3 2 4 3" xfId="4278"/>
    <cellStyle name="Calculation 2 3 2 3 2 4 4" xfId="4279"/>
    <cellStyle name="Calculation 2 3 2 3 2 5" xfId="4280"/>
    <cellStyle name="Calculation 2 3 2 3 2 6" xfId="4281"/>
    <cellStyle name="Calculation 2 3 2 3 2 7" xfId="4282"/>
    <cellStyle name="Calculation 2 3 2 3 3" xfId="4283"/>
    <cellStyle name="Calculation 2 3 2 3 3 2" xfId="4284"/>
    <cellStyle name="Calculation 2 3 2 3 3 2 2" xfId="4285"/>
    <cellStyle name="Calculation 2 3 2 3 3 2 3" xfId="4286"/>
    <cellStyle name="Calculation 2 3 2 3 3 2 4" xfId="4287"/>
    <cellStyle name="Calculation 2 3 2 3 3 3" xfId="4288"/>
    <cellStyle name="Calculation 2 3 2 3 3 3 2" xfId="4289"/>
    <cellStyle name="Calculation 2 3 2 3 3 3 3" xfId="4290"/>
    <cellStyle name="Calculation 2 3 2 3 3 3 4" xfId="4291"/>
    <cellStyle name="Calculation 2 3 2 3 3 4" xfId="4292"/>
    <cellStyle name="Calculation 2 3 2 3 3 4 2" xfId="4293"/>
    <cellStyle name="Calculation 2 3 2 3 3 4 3" xfId="4294"/>
    <cellStyle name="Calculation 2 3 2 3 3 4 4" xfId="4295"/>
    <cellStyle name="Calculation 2 3 2 3 3 5" xfId="4296"/>
    <cellStyle name="Calculation 2 3 2 3 3 6" xfId="4297"/>
    <cellStyle name="Calculation 2 3 2 3 3 7" xfId="4298"/>
    <cellStyle name="Calculation 2 3 2 3 4" xfId="4299"/>
    <cellStyle name="Calculation 2 3 2 3 4 2" xfId="4300"/>
    <cellStyle name="Calculation 2 3 2 3 4 2 2" xfId="4301"/>
    <cellStyle name="Calculation 2 3 2 3 4 2 3" xfId="4302"/>
    <cellStyle name="Calculation 2 3 2 3 4 2 4" xfId="4303"/>
    <cellStyle name="Calculation 2 3 2 3 4 3" xfId="4304"/>
    <cellStyle name="Calculation 2 3 2 3 4 3 2" xfId="4305"/>
    <cellStyle name="Calculation 2 3 2 3 4 3 3" xfId="4306"/>
    <cellStyle name="Calculation 2 3 2 3 4 3 4" xfId="4307"/>
    <cellStyle name="Calculation 2 3 2 3 4 4" xfId="4308"/>
    <cellStyle name="Calculation 2 3 2 3 4 4 2" xfId="4309"/>
    <cellStyle name="Calculation 2 3 2 3 4 4 3" xfId="4310"/>
    <cellStyle name="Calculation 2 3 2 3 4 4 4" xfId="4311"/>
    <cellStyle name="Calculation 2 3 2 3 4 5" xfId="4312"/>
    <cellStyle name="Calculation 2 3 2 3 4 6" xfId="4313"/>
    <cellStyle name="Calculation 2 3 2 3 4 7" xfId="4314"/>
    <cellStyle name="Calculation 2 3 2 3 5" xfId="4315"/>
    <cellStyle name="Calculation 2 3 2 3 5 2" xfId="4316"/>
    <cellStyle name="Calculation 2 3 2 3 5 2 2" xfId="4317"/>
    <cellStyle name="Calculation 2 3 2 3 5 2 3" xfId="4318"/>
    <cellStyle name="Calculation 2 3 2 3 5 2 4" xfId="4319"/>
    <cellStyle name="Calculation 2 3 2 3 5 3" xfId="4320"/>
    <cellStyle name="Calculation 2 3 2 3 5 3 2" xfId="4321"/>
    <cellStyle name="Calculation 2 3 2 3 5 3 3" xfId="4322"/>
    <cellStyle name="Calculation 2 3 2 3 5 3 4" xfId="4323"/>
    <cellStyle name="Calculation 2 3 2 3 5 4" xfId="4324"/>
    <cellStyle name="Calculation 2 3 2 3 5 4 2" xfId="4325"/>
    <cellStyle name="Calculation 2 3 2 3 5 4 3" xfId="4326"/>
    <cellStyle name="Calculation 2 3 2 3 5 4 4" xfId="4327"/>
    <cellStyle name="Calculation 2 3 2 3 5 5" xfId="4328"/>
    <cellStyle name="Calculation 2 3 2 3 5 6" xfId="4329"/>
    <cellStyle name="Calculation 2 3 2 3 5 7" xfId="4330"/>
    <cellStyle name="Calculation 2 3 2 3 6" xfId="4331"/>
    <cellStyle name="Calculation 2 3 2 3 6 2" xfId="4332"/>
    <cellStyle name="Calculation 2 3 2 3 6 2 2" xfId="4333"/>
    <cellStyle name="Calculation 2 3 2 3 6 2 3" xfId="4334"/>
    <cellStyle name="Calculation 2 3 2 3 6 2 4" xfId="4335"/>
    <cellStyle name="Calculation 2 3 2 3 6 3" xfId="4336"/>
    <cellStyle name="Calculation 2 3 2 3 6 3 2" xfId="4337"/>
    <cellStyle name="Calculation 2 3 2 3 6 3 3" xfId="4338"/>
    <cellStyle name="Calculation 2 3 2 3 6 3 4" xfId="4339"/>
    <cellStyle name="Calculation 2 3 2 3 6 4" xfId="4340"/>
    <cellStyle name="Calculation 2 3 2 3 6 4 2" xfId="4341"/>
    <cellStyle name="Calculation 2 3 2 3 6 4 3" xfId="4342"/>
    <cellStyle name="Calculation 2 3 2 3 6 4 4" xfId="4343"/>
    <cellStyle name="Calculation 2 3 2 3 6 5" xfId="4344"/>
    <cellStyle name="Calculation 2 3 2 3 6 6" xfId="4345"/>
    <cellStyle name="Calculation 2 3 2 3 6 7" xfId="4346"/>
    <cellStyle name="Calculation 2 3 2 3 7" xfId="4347"/>
    <cellStyle name="Calculation 2 3 2 3 7 2" xfId="4348"/>
    <cellStyle name="Calculation 2 3 2 3 7 3" xfId="4349"/>
    <cellStyle name="Calculation 2 3 2 3 7 4" xfId="4350"/>
    <cellStyle name="Calculation 2 3 2 3 8" xfId="4351"/>
    <cellStyle name="Calculation 2 3 2 3 8 2" xfId="4352"/>
    <cellStyle name="Calculation 2 3 2 3 8 3" xfId="4353"/>
    <cellStyle name="Calculation 2 3 2 3 8 4" xfId="4354"/>
    <cellStyle name="Calculation 2 3 2 3 9" xfId="4355"/>
    <cellStyle name="Calculation 2 3 2 3 9 2" xfId="4356"/>
    <cellStyle name="Calculation 2 3 2 3 9 3" xfId="4357"/>
    <cellStyle name="Calculation 2 3 2 3 9 4" xfId="4358"/>
    <cellStyle name="Calculation 2 3 2 4" xfId="782"/>
    <cellStyle name="Calculation 2 3 2 4 10" xfId="4359"/>
    <cellStyle name="Calculation 2 3 2 4 11" xfId="4360"/>
    <cellStyle name="Calculation 2 3 2 4 12" xfId="4361"/>
    <cellStyle name="Calculation 2 3 2 4 2" xfId="4362"/>
    <cellStyle name="Calculation 2 3 2 4 2 2" xfId="4363"/>
    <cellStyle name="Calculation 2 3 2 4 2 2 2" xfId="4364"/>
    <cellStyle name="Calculation 2 3 2 4 2 2 3" xfId="4365"/>
    <cellStyle name="Calculation 2 3 2 4 2 2 4" xfId="4366"/>
    <cellStyle name="Calculation 2 3 2 4 2 3" xfId="4367"/>
    <cellStyle name="Calculation 2 3 2 4 2 3 2" xfId="4368"/>
    <cellStyle name="Calculation 2 3 2 4 2 3 3" xfId="4369"/>
    <cellStyle name="Calculation 2 3 2 4 2 3 4" xfId="4370"/>
    <cellStyle name="Calculation 2 3 2 4 2 4" xfId="4371"/>
    <cellStyle name="Calculation 2 3 2 4 2 4 2" xfId="4372"/>
    <cellStyle name="Calculation 2 3 2 4 2 4 3" xfId="4373"/>
    <cellStyle name="Calculation 2 3 2 4 2 4 4" xfId="4374"/>
    <cellStyle name="Calculation 2 3 2 4 2 5" xfId="4375"/>
    <cellStyle name="Calculation 2 3 2 4 2 6" xfId="4376"/>
    <cellStyle name="Calculation 2 3 2 4 2 7" xfId="4377"/>
    <cellStyle name="Calculation 2 3 2 4 3" xfId="4378"/>
    <cellStyle name="Calculation 2 3 2 4 3 2" xfId="4379"/>
    <cellStyle name="Calculation 2 3 2 4 3 2 2" xfId="4380"/>
    <cellStyle name="Calculation 2 3 2 4 3 2 3" xfId="4381"/>
    <cellStyle name="Calculation 2 3 2 4 3 2 4" xfId="4382"/>
    <cellStyle name="Calculation 2 3 2 4 3 3" xfId="4383"/>
    <cellStyle name="Calculation 2 3 2 4 3 3 2" xfId="4384"/>
    <cellStyle name="Calculation 2 3 2 4 3 3 3" xfId="4385"/>
    <cellStyle name="Calculation 2 3 2 4 3 3 4" xfId="4386"/>
    <cellStyle name="Calculation 2 3 2 4 3 4" xfId="4387"/>
    <cellStyle name="Calculation 2 3 2 4 3 4 2" xfId="4388"/>
    <cellStyle name="Calculation 2 3 2 4 3 4 3" xfId="4389"/>
    <cellStyle name="Calculation 2 3 2 4 3 4 4" xfId="4390"/>
    <cellStyle name="Calculation 2 3 2 4 3 5" xfId="4391"/>
    <cellStyle name="Calculation 2 3 2 4 3 6" xfId="4392"/>
    <cellStyle name="Calculation 2 3 2 4 3 7" xfId="4393"/>
    <cellStyle name="Calculation 2 3 2 4 4" xfId="4394"/>
    <cellStyle name="Calculation 2 3 2 4 4 2" xfId="4395"/>
    <cellStyle name="Calculation 2 3 2 4 4 2 2" xfId="4396"/>
    <cellStyle name="Calculation 2 3 2 4 4 2 3" xfId="4397"/>
    <cellStyle name="Calculation 2 3 2 4 4 2 4" xfId="4398"/>
    <cellStyle name="Calculation 2 3 2 4 4 3" xfId="4399"/>
    <cellStyle name="Calculation 2 3 2 4 4 3 2" xfId="4400"/>
    <cellStyle name="Calculation 2 3 2 4 4 3 3" xfId="4401"/>
    <cellStyle name="Calculation 2 3 2 4 4 3 4" xfId="4402"/>
    <cellStyle name="Calculation 2 3 2 4 4 4" xfId="4403"/>
    <cellStyle name="Calculation 2 3 2 4 4 4 2" xfId="4404"/>
    <cellStyle name="Calculation 2 3 2 4 4 4 3" xfId="4405"/>
    <cellStyle name="Calculation 2 3 2 4 4 4 4" xfId="4406"/>
    <cellStyle name="Calculation 2 3 2 4 4 5" xfId="4407"/>
    <cellStyle name="Calculation 2 3 2 4 4 6" xfId="4408"/>
    <cellStyle name="Calculation 2 3 2 4 4 7" xfId="4409"/>
    <cellStyle name="Calculation 2 3 2 4 5" xfId="4410"/>
    <cellStyle name="Calculation 2 3 2 4 5 2" xfId="4411"/>
    <cellStyle name="Calculation 2 3 2 4 5 2 2" xfId="4412"/>
    <cellStyle name="Calculation 2 3 2 4 5 2 3" xfId="4413"/>
    <cellStyle name="Calculation 2 3 2 4 5 2 4" xfId="4414"/>
    <cellStyle name="Calculation 2 3 2 4 5 3" xfId="4415"/>
    <cellStyle name="Calculation 2 3 2 4 5 3 2" xfId="4416"/>
    <cellStyle name="Calculation 2 3 2 4 5 3 3" xfId="4417"/>
    <cellStyle name="Calculation 2 3 2 4 5 3 4" xfId="4418"/>
    <cellStyle name="Calculation 2 3 2 4 5 4" xfId="4419"/>
    <cellStyle name="Calculation 2 3 2 4 5 4 2" xfId="4420"/>
    <cellStyle name="Calculation 2 3 2 4 5 4 3" xfId="4421"/>
    <cellStyle name="Calculation 2 3 2 4 5 4 4" xfId="4422"/>
    <cellStyle name="Calculation 2 3 2 4 5 5" xfId="4423"/>
    <cellStyle name="Calculation 2 3 2 4 5 6" xfId="4424"/>
    <cellStyle name="Calculation 2 3 2 4 5 7" xfId="4425"/>
    <cellStyle name="Calculation 2 3 2 4 6" xfId="4426"/>
    <cellStyle name="Calculation 2 3 2 4 6 2" xfId="4427"/>
    <cellStyle name="Calculation 2 3 2 4 6 2 2" xfId="4428"/>
    <cellStyle name="Calculation 2 3 2 4 6 2 3" xfId="4429"/>
    <cellStyle name="Calculation 2 3 2 4 6 2 4" xfId="4430"/>
    <cellStyle name="Calculation 2 3 2 4 6 3" xfId="4431"/>
    <cellStyle name="Calculation 2 3 2 4 6 3 2" xfId="4432"/>
    <cellStyle name="Calculation 2 3 2 4 6 3 3" xfId="4433"/>
    <cellStyle name="Calculation 2 3 2 4 6 3 4" xfId="4434"/>
    <cellStyle name="Calculation 2 3 2 4 6 4" xfId="4435"/>
    <cellStyle name="Calculation 2 3 2 4 6 4 2" xfId="4436"/>
    <cellStyle name="Calculation 2 3 2 4 6 4 3" xfId="4437"/>
    <cellStyle name="Calculation 2 3 2 4 6 4 4" xfId="4438"/>
    <cellStyle name="Calculation 2 3 2 4 6 5" xfId="4439"/>
    <cellStyle name="Calculation 2 3 2 4 6 6" xfId="4440"/>
    <cellStyle name="Calculation 2 3 2 4 6 7" xfId="4441"/>
    <cellStyle name="Calculation 2 3 2 4 7" xfId="4442"/>
    <cellStyle name="Calculation 2 3 2 4 7 2" xfId="4443"/>
    <cellStyle name="Calculation 2 3 2 4 7 3" xfId="4444"/>
    <cellStyle name="Calculation 2 3 2 4 7 4" xfId="4445"/>
    <cellStyle name="Calculation 2 3 2 4 8" xfId="4446"/>
    <cellStyle name="Calculation 2 3 2 4 8 2" xfId="4447"/>
    <cellStyle name="Calculation 2 3 2 4 8 3" xfId="4448"/>
    <cellStyle name="Calculation 2 3 2 4 8 4" xfId="4449"/>
    <cellStyle name="Calculation 2 3 2 4 9" xfId="4450"/>
    <cellStyle name="Calculation 2 3 2 4 9 2" xfId="4451"/>
    <cellStyle name="Calculation 2 3 2 4 9 3" xfId="4452"/>
    <cellStyle name="Calculation 2 3 2 4 9 4" xfId="4453"/>
    <cellStyle name="Calculation 2 3 2 5" xfId="4454"/>
    <cellStyle name="Calculation 2 3 2 5 10" xfId="4455"/>
    <cellStyle name="Calculation 2 3 2 5 11" xfId="4456"/>
    <cellStyle name="Calculation 2 3 2 5 12" xfId="4457"/>
    <cellStyle name="Calculation 2 3 2 5 2" xfId="4458"/>
    <cellStyle name="Calculation 2 3 2 5 2 2" xfId="4459"/>
    <cellStyle name="Calculation 2 3 2 5 2 2 2" xfId="4460"/>
    <cellStyle name="Calculation 2 3 2 5 2 2 3" xfId="4461"/>
    <cellStyle name="Calculation 2 3 2 5 2 2 4" xfId="4462"/>
    <cellStyle name="Calculation 2 3 2 5 2 3" xfId="4463"/>
    <cellStyle name="Calculation 2 3 2 5 2 3 2" xfId="4464"/>
    <cellStyle name="Calculation 2 3 2 5 2 3 3" xfId="4465"/>
    <cellStyle name="Calculation 2 3 2 5 2 3 4" xfId="4466"/>
    <cellStyle name="Calculation 2 3 2 5 2 4" xfId="4467"/>
    <cellStyle name="Calculation 2 3 2 5 2 4 2" xfId="4468"/>
    <cellStyle name="Calculation 2 3 2 5 2 4 3" xfId="4469"/>
    <cellStyle name="Calculation 2 3 2 5 2 4 4" xfId="4470"/>
    <cellStyle name="Calculation 2 3 2 5 2 5" xfId="4471"/>
    <cellStyle name="Calculation 2 3 2 5 2 6" xfId="4472"/>
    <cellStyle name="Calculation 2 3 2 5 2 7" xfId="4473"/>
    <cellStyle name="Calculation 2 3 2 5 3" xfId="4474"/>
    <cellStyle name="Calculation 2 3 2 5 3 2" xfId="4475"/>
    <cellStyle name="Calculation 2 3 2 5 3 2 2" xfId="4476"/>
    <cellStyle name="Calculation 2 3 2 5 3 2 3" xfId="4477"/>
    <cellStyle name="Calculation 2 3 2 5 3 2 4" xfId="4478"/>
    <cellStyle name="Calculation 2 3 2 5 3 3" xfId="4479"/>
    <cellStyle name="Calculation 2 3 2 5 3 3 2" xfId="4480"/>
    <cellStyle name="Calculation 2 3 2 5 3 3 3" xfId="4481"/>
    <cellStyle name="Calculation 2 3 2 5 3 3 4" xfId="4482"/>
    <cellStyle name="Calculation 2 3 2 5 3 4" xfId="4483"/>
    <cellStyle name="Calculation 2 3 2 5 3 4 2" xfId="4484"/>
    <cellStyle name="Calculation 2 3 2 5 3 4 3" xfId="4485"/>
    <cellStyle name="Calculation 2 3 2 5 3 4 4" xfId="4486"/>
    <cellStyle name="Calculation 2 3 2 5 3 5" xfId="4487"/>
    <cellStyle name="Calculation 2 3 2 5 3 6" xfId="4488"/>
    <cellStyle name="Calculation 2 3 2 5 3 7" xfId="4489"/>
    <cellStyle name="Calculation 2 3 2 5 4" xfId="4490"/>
    <cellStyle name="Calculation 2 3 2 5 4 2" xfId="4491"/>
    <cellStyle name="Calculation 2 3 2 5 4 2 2" xfId="4492"/>
    <cellStyle name="Calculation 2 3 2 5 4 2 3" xfId="4493"/>
    <cellStyle name="Calculation 2 3 2 5 4 2 4" xfId="4494"/>
    <cellStyle name="Calculation 2 3 2 5 4 3" xfId="4495"/>
    <cellStyle name="Calculation 2 3 2 5 4 3 2" xfId="4496"/>
    <cellStyle name="Calculation 2 3 2 5 4 3 3" xfId="4497"/>
    <cellStyle name="Calculation 2 3 2 5 4 3 4" xfId="4498"/>
    <cellStyle name="Calculation 2 3 2 5 4 4" xfId="4499"/>
    <cellStyle name="Calculation 2 3 2 5 4 4 2" xfId="4500"/>
    <cellStyle name="Calculation 2 3 2 5 4 4 3" xfId="4501"/>
    <cellStyle name="Calculation 2 3 2 5 4 4 4" xfId="4502"/>
    <cellStyle name="Calculation 2 3 2 5 4 5" xfId="4503"/>
    <cellStyle name="Calculation 2 3 2 5 4 6" xfId="4504"/>
    <cellStyle name="Calculation 2 3 2 5 4 7" xfId="4505"/>
    <cellStyle name="Calculation 2 3 2 5 5" xfId="4506"/>
    <cellStyle name="Calculation 2 3 2 5 5 2" xfId="4507"/>
    <cellStyle name="Calculation 2 3 2 5 5 2 2" xfId="4508"/>
    <cellStyle name="Calculation 2 3 2 5 5 2 3" xfId="4509"/>
    <cellStyle name="Calculation 2 3 2 5 5 2 4" xfId="4510"/>
    <cellStyle name="Calculation 2 3 2 5 5 3" xfId="4511"/>
    <cellStyle name="Calculation 2 3 2 5 5 3 2" xfId="4512"/>
    <cellStyle name="Calculation 2 3 2 5 5 3 3" xfId="4513"/>
    <cellStyle name="Calculation 2 3 2 5 5 3 4" xfId="4514"/>
    <cellStyle name="Calculation 2 3 2 5 5 4" xfId="4515"/>
    <cellStyle name="Calculation 2 3 2 5 5 4 2" xfId="4516"/>
    <cellStyle name="Calculation 2 3 2 5 5 4 3" xfId="4517"/>
    <cellStyle name="Calculation 2 3 2 5 5 4 4" xfId="4518"/>
    <cellStyle name="Calculation 2 3 2 5 5 5" xfId="4519"/>
    <cellStyle name="Calculation 2 3 2 5 5 6" xfId="4520"/>
    <cellStyle name="Calculation 2 3 2 5 5 7" xfId="4521"/>
    <cellStyle name="Calculation 2 3 2 5 6" xfId="4522"/>
    <cellStyle name="Calculation 2 3 2 5 6 2" xfId="4523"/>
    <cellStyle name="Calculation 2 3 2 5 6 2 2" xfId="4524"/>
    <cellStyle name="Calculation 2 3 2 5 6 2 3" xfId="4525"/>
    <cellStyle name="Calculation 2 3 2 5 6 2 4" xfId="4526"/>
    <cellStyle name="Calculation 2 3 2 5 6 3" xfId="4527"/>
    <cellStyle name="Calculation 2 3 2 5 6 3 2" xfId="4528"/>
    <cellStyle name="Calculation 2 3 2 5 6 3 3" xfId="4529"/>
    <cellStyle name="Calculation 2 3 2 5 6 3 4" xfId="4530"/>
    <cellStyle name="Calculation 2 3 2 5 6 4" xfId="4531"/>
    <cellStyle name="Calculation 2 3 2 5 6 4 2" xfId="4532"/>
    <cellStyle name="Calculation 2 3 2 5 6 4 3" xfId="4533"/>
    <cellStyle name="Calculation 2 3 2 5 6 4 4" xfId="4534"/>
    <cellStyle name="Calculation 2 3 2 5 6 5" xfId="4535"/>
    <cellStyle name="Calculation 2 3 2 5 6 6" xfId="4536"/>
    <cellStyle name="Calculation 2 3 2 5 6 7" xfId="4537"/>
    <cellStyle name="Calculation 2 3 2 5 7" xfId="4538"/>
    <cellStyle name="Calculation 2 3 2 5 7 2" xfId="4539"/>
    <cellStyle name="Calculation 2 3 2 5 7 3" xfId="4540"/>
    <cellStyle name="Calculation 2 3 2 5 7 4" xfId="4541"/>
    <cellStyle name="Calculation 2 3 2 5 8" xfId="4542"/>
    <cellStyle name="Calculation 2 3 2 5 8 2" xfId="4543"/>
    <cellStyle name="Calculation 2 3 2 5 8 3" xfId="4544"/>
    <cellStyle name="Calculation 2 3 2 5 8 4" xfId="4545"/>
    <cellStyle name="Calculation 2 3 2 5 9" xfId="4546"/>
    <cellStyle name="Calculation 2 3 2 5 9 2" xfId="4547"/>
    <cellStyle name="Calculation 2 3 2 5 9 3" xfId="4548"/>
    <cellStyle name="Calculation 2 3 2 5 9 4" xfId="4549"/>
    <cellStyle name="Calculation 2 3 2 6" xfId="4550"/>
    <cellStyle name="Calculation 2 3 2 6 2" xfId="4551"/>
    <cellStyle name="Calculation 2 3 2 6 2 2" xfId="4552"/>
    <cellStyle name="Calculation 2 3 2 6 2 3" xfId="4553"/>
    <cellStyle name="Calculation 2 3 2 6 2 4" xfId="4554"/>
    <cellStyle name="Calculation 2 3 2 6 3" xfId="4555"/>
    <cellStyle name="Calculation 2 3 2 6 3 2" xfId="4556"/>
    <cellStyle name="Calculation 2 3 2 6 3 3" xfId="4557"/>
    <cellStyle name="Calculation 2 3 2 6 3 4" xfId="4558"/>
    <cellStyle name="Calculation 2 3 2 6 4" xfId="4559"/>
    <cellStyle name="Calculation 2 3 2 6 4 2" xfId="4560"/>
    <cellStyle name="Calculation 2 3 2 6 4 3" xfId="4561"/>
    <cellStyle name="Calculation 2 3 2 6 4 4" xfId="4562"/>
    <cellStyle name="Calculation 2 3 2 6 5" xfId="4563"/>
    <cellStyle name="Calculation 2 3 2 6 6" xfId="4564"/>
    <cellStyle name="Calculation 2 3 2 6 7" xfId="4565"/>
    <cellStyle name="Calculation 2 3 2 7" xfId="4566"/>
    <cellStyle name="Calculation 2 3 2 7 2" xfId="4567"/>
    <cellStyle name="Calculation 2 3 2 7 2 2" xfId="4568"/>
    <cellStyle name="Calculation 2 3 2 7 2 3" xfId="4569"/>
    <cellStyle name="Calculation 2 3 2 7 2 4" xfId="4570"/>
    <cellStyle name="Calculation 2 3 2 7 3" xfId="4571"/>
    <cellStyle name="Calculation 2 3 2 7 3 2" xfId="4572"/>
    <cellStyle name="Calculation 2 3 2 7 3 3" xfId="4573"/>
    <cellStyle name="Calculation 2 3 2 7 3 4" xfId="4574"/>
    <cellStyle name="Calculation 2 3 2 7 4" xfId="4575"/>
    <cellStyle name="Calculation 2 3 2 7 4 2" xfId="4576"/>
    <cellStyle name="Calculation 2 3 2 7 4 3" xfId="4577"/>
    <cellStyle name="Calculation 2 3 2 7 4 4" xfId="4578"/>
    <cellStyle name="Calculation 2 3 2 7 5" xfId="4579"/>
    <cellStyle name="Calculation 2 3 2 7 6" xfId="4580"/>
    <cellStyle name="Calculation 2 3 2 7 7" xfId="4581"/>
    <cellStyle name="Calculation 2 3 2 8" xfId="4582"/>
    <cellStyle name="Calculation 2 3 2 8 2" xfId="4583"/>
    <cellStyle name="Calculation 2 3 2 8 2 2" xfId="4584"/>
    <cellStyle name="Calculation 2 3 2 8 2 3" xfId="4585"/>
    <cellStyle name="Calculation 2 3 2 8 2 4" xfId="4586"/>
    <cellStyle name="Calculation 2 3 2 8 3" xfId="4587"/>
    <cellStyle name="Calculation 2 3 2 8 3 2" xfId="4588"/>
    <cellStyle name="Calculation 2 3 2 8 3 3" xfId="4589"/>
    <cellStyle name="Calculation 2 3 2 8 3 4" xfId="4590"/>
    <cellStyle name="Calculation 2 3 2 8 4" xfId="4591"/>
    <cellStyle name="Calculation 2 3 2 8 4 2" xfId="4592"/>
    <cellStyle name="Calculation 2 3 2 8 4 3" xfId="4593"/>
    <cellStyle name="Calculation 2 3 2 8 4 4" xfId="4594"/>
    <cellStyle name="Calculation 2 3 2 8 5" xfId="4595"/>
    <cellStyle name="Calculation 2 3 2 8 6" xfId="4596"/>
    <cellStyle name="Calculation 2 3 2 8 7" xfId="4597"/>
    <cellStyle name="Calculation 2 3 2 9" xfId="4598"/>
    <cellStyle name="Calculation 2 3 2 9 2" xfId="4599"/>
    <cellStyle name="Calculation 2 3 2 9 2 2" xfId="4600"/>
    <cellStyle name="Calculation 2 3 2 9 2 3" xfId="4601"/>
    <cellStyle name="Calculation 2 3 2 9 2 4" xfId="4602"/>
    <cellStyle name="Calculation 2 3 2 9 3" xfId="4603"/>
    <cellStyle name="Calculation 2 3 2 9 3 2" xfId="4604"/>
    <cellStyle name="Calculation 2 3 2 9 3 3" xfId="4605"/>
    <cellStyle name="Calculation 2 3 2 9 3 4" xfId="4606"/>
    <cellStyle name="Calculation 2 3 2 9 4" xfId="4607"/>
    <cellStyle name="Calculation 2 3 2 9 4 2" xfId="4608"/>
    <cellStyle name="Calculation 2 3 2 9 4 3" xfId="4609"/>
    <cellStyle name="Calculation 2 3 2 9 4 4" xfId="4610"/>
    <cellStyle name="Calculation 2 3 2 9 5" xfId="4611"/>
    <cellStyle name="Calculation 2 3 2 9 6" xfId="4612"/>
    <cellStyle name="Calculation 2 3 2 9 7" xfId="4613"/>
    <cellStyle name="Calculation 2 3 3" xfId="1043"/>
    <cellStyle name="Calculation 2 3 3 10" xfId="4614"/>
    <cellStyle name="Calculation 2 3 3 11" xfId="4615"/>
    <cellStyle name="Calculation 2 3 3 12" xfId="4616"/>
    <cellStyle name="Calculation 2 3 3 2" xfId="4617"/>
    <cellStyle name="Calculation 2 3 3 2 2" xfId="4618"/>
    <cellStyle name="Calculation 2 3 3 2 2 2" xfId="4619"/>
    <cellStyle name="Calculation 2 3 3 2 2 3" xfId="4620"/>
    <cellStyle name="Calculation 2 3 3 2 2 4" xfId="4621"/>
    <cellStyle name="Calculation 2 3 3 2 3" xfId="4622"/>
    <cellStyle name="Calculation 2 3 3 2 3 2" xfId="4623"/>
    <cellStyle name="Calculation 2 3 3 2 3 3" xfId="4624"/>
    <cellStyle name="Calculation 2 3 3 2 3 4" xfId="4625"/>
    <cellStyle name="Calculation 2 3 3 2 4" xfId="4626"/>
    <cellStyle name="Calculation 2 3 3 2 4 2" xfId="4627"/>
    <cellStyle name="Calculation 2 3 3 2 4 3" xfId="4628"/>
    <cellStyle name="Calculation 2 3 3 2 4 4" xfId="4629"/>
    <cellStyle name="Calculation 2 3 3 2 5" xfId="4630"/>
    <cellStyle name="Calculation 2 3 3 2 6" xfId="4631"/>
    <cellStyle name="Calculation 2 3 3 2 7" xfId="4632"/>
    <cellStyle name="Calculation 2 3 3 3" xfId="4633"/>
    <cellStyle name="Calculation 2 3 3 3 2" xfId="4634"/>
    <cellStyle name="Calculation 2 3 3 3 2 2" xfId="4635"/>
    <cellStyle name="Calculation 2 3 3 3 2 3" xfId="4636"/>
    <cellStyle name="Calculation 2 3 3 3 2 4" xfId="4637"/>
    <cellStyle name="Calculation 2 3 3 3 3" xfId="4638"/>
    <cellStyle name="Calculation 2 3 3 3 3 2" xfId="4639"/>
    <cellStyle name="Calculation 2 3 3 3 3 3" xfId="4640"/>
    <cellStyle name="Calculation 2 3 3 3 3 4" xfId="4641"/>
    <cellStyle name="Calculation 2 3 3 3 4" xfId="4642"/>
    <cellStyle name="Calculation 2 3 3 3 4 2" xfId="4643"/>
    <cellStyle name="Calculation 2 3 3 3 4 3" xfId="4644"/>
    <cellStyle name="Calculation 2 3 3 3 4 4" xfId="4645"/>
    <cellStyle name="Calculation 2 3 3 3 5" xfId="4646"/>
    <cellStyle name="Calculation 2 3 3 3 6" xfId="4647"/>
    <cellStyle name="Calculation 2 3 3 3 7" xfId="4648"/>
    <cellStyle name="Calculation 2 3 3 4" xfId="4649"/>
    <cellStyle name="Calculation 2 3 3 4 2" xfId="4650"/>
    <cellStyle name="Calculation 2 3 3 4 2 2" xfId="4651"/>
    <cellStyle name="Calculation 2 3 3 4 2 3" xfId="4652"/>
    <cellStyle name="Calculation 2 3 3 4 2 4" xfId="4653"/>
    <cellStyle name="Calculation 2 3 3 4 3" xfId="4654"/>
    <cellStyle name="Calculation 2 3 3 4 3 2" xfId="4655"/>
    <cellStyle name="Calculation 2 3 3 4 3 3" xfId="4656"/>
    <cellStyle name="Calculation 2 3 3 4 3 4" xfId="4657"/>
    <cellStyle name="Calculation 2 3 3 4 4" xfId="4658"/>
    <cellStyle name="Calculation 2 3 3 4 4 2" xfId="4659"/>
    <cellStyle name="Calculation 2 3 3 4 4 3" xfId="4660"/>
    <cellStyle name="Calculation 2 3 3 4 4 4" xfId="4661"/>
    <cellStyle name="Calculation 2 3 3 4 5" xfId="4662"/>
    <cellStyle name="Calculation 2 3 3 4 6" xfId="4663"/>
    <cellStyle name="Calculation 2 3 3 4 7" xfId="4664"/>
    <cellStyle name="Calculation 2 3 3 5" xfId="4665"/>
    <cellStyle name="Calculation 2 3 3 5 2" xfId="4666"/>
    <cellStyle name="Calculation 2 3 3 5 2 2" xfId="4667"/>
    <cellStyle name="Calculation 2 3 3 5 2 3" xfId="4668"/>
    <cellStyle name="Calculation 2 3 3 5 2 4" xfId="4669"/>
    <cellStyle name="Calculation 2 3 3 5 3" xfId="4670"/>
    <cellStyle name="Calculation 2 3 3 5 3 2" xfId="4671"/>
    <cellStyle name="Calculation 2 3 3 5 3 3" xfId="4672"/>
    <cellStyle name="Calculation 2 3 3 5 3 4" xfId="4673"/>
    <cellStyle name="Calculation 2 3 3 5 4" xfId="4674"/>
    <cellStyle name="Calculation 2 3 3 5 4 2" xfId="4675"/>
    <cellStyle name="Calculation 2 3 3 5 4 3" xfId="4676"/>
    <cellStyle name="Calculation 2 3 3 5 4 4" xfId="4677"/>
    <cellStyle name="Calculation 2 3 3 5 5" xfId="4678"/>
    <cellStyle name="Calculation 2 3 3 5 6" xfId="4679"/>
    <cellStyle name="Calculation 2 3 3 5 7" xfId="4680"/>
    <cellStyle name="Calculation 2 3 3 6" xfId="4681"/>
    <cellStyle name="Calculation 2 3 3 6 2" xfId="4682"/>
    <cellStyle name="Calculation 2 3 3 6 2 2" xfId="4683"/>
    <cellStyle name="Calculation 2 3 3 6 2 3" xfId="4684"/>
    <cellStyle name="Calculation 2 3 3 6 2 4" xfId="4685"/>
    <cellStyle name="Calculation 2 3 3 6 3" xfId="4686"/>
    <cellStyle name="Calculation 2 3 3 6 3 2" xfId="4687"/>
    <cellStyle name="Calculation 2 3 3 6 3 3" xfId="4688"/>
    <cellStyle name="Calculation 2 3 3 6 3 4" xfId="4689"/>
    <cellStyle name="Calculation 2 3 3 6 4" xfId="4690"/>
    <cellStyle name="Calculation 2 3 3 6 4 2" xfId="4691"/>
    <cellStyle name="Calculation 2 3 3 6 4 3" xfId="4692"/>
    <cellStyle name="Calculation 2 3 3 6 4 4" xfId="4693"/>
    <cellStyle name="Calculation 2 3 3 6 5" xfId="4694"/>
    <cellStyle name="Calculation 2 3 3 6 6" xfId="4695"/>
    <cellStyle name="Calculation 2 3 3 6 7" xfId="4696"/>
    <cellStyle name="Calculation 2 3 3 7" xfId="4697"/>
    <cellStyle name="Calculation 2 3 3 7 2" xfId="4698"/>
    <cellStyle name="Calculation 2 3 3 7 3" xfId="4699"/>
    <cellStyle name="Calculation 2 3 3 7 4" xfId="4700"/>
    <cellStyle name="Calculation 2 3 3 8" xfId="4701"/>
    <cellStyle name="Calculation 2 3 3 8 2" xfId="4702"/>
    <cellStyle name="Calculation 2 3 3 8 3" xfId="4703"/>
    <cellStyle name="Calculation 2 3 3 8 4" xfId="4704"/>
    <cellStyle name="Calculation 2 3 3 9" xfId="4705"/>
    <cellStyle name="Calculation 2 3 3 9 2" xfId="4706"/>
    <cellStyle name="Calculation 2 3 3 9 3" xfId="4707"/>
    <cellStyle name="Calculation 2 3 3 9 4" xfId="4708"/>
    <cellStyle name="Calculation 2 3 4" xfId="3134"/>
    <cellStyle name="Calculation 2 3 5" xfId="3144"/>
    <cellStyle name="Calculation 2 3 6" xfId="3150"/>
    <cellStyle name="Calculation 2 3 7" xfId="3161"/>
    <cellStyle name="Calculation 2 4" xfId="60"/>
    <cellStyle name="Calculation 2 4 2" xfId="390"/>
    <cellStyle name="Calculation 2 4 2 10" xfId="4709"/>
    <cellStyle name="Calculation 2 4 2 10 2" xfId="4710"/>
    <cellStyle name="Calculation 2 4 2 10 2 2" xfId="4711"/>
    <cellStyle name="Calculation 2 4 2 10 2 3" xfId="4712"/>
    <cellStyle name="Calculation 2 4 2 10 2 4" xfId="4713"/>
    <cellStyle name="Calculation 2 4 2 10 3" xfId="4714"/>
    <cellStyle name="Calculation 2 4 2 10 3 2" xfId="4715"/>
    <cellStyle name="Calculation 2 4 2 10 3 3" xfId="4716"/>
    <cellStyle name="Calculation 2 4 2 10 3 4" xfId="4717"/>
    <cellStyle name="Calculation 2 4 2 10 4" xfId="4718"/>
    <cellStyle name="Calculation 2 4 2 10 4 2" xfId="4719"/>
    <cellStyle name="Calculation 2 4 2 10 4 3" xfId="4720"/>
    <cellStyle name="Calculation 2 4 2 10 4 4" xfId="4721"/>
    <cellStyle name="Calculation 2 4 2 10 5" xfId="4722"/>
    <cellStyle name="Calculation 2 4 2 10 6" xfId="4723"/>
    <cellStyle name="Calculation 2 4 2 10 7" xfId="4724"/>
    <cellStyle name="Calculation 2 4 2 11" xfId="4725"/>
    <cellStyle name="Calculation 2 4 2 11 2" xfId="4726"/>
    <cellStyle name="Calculation 2 4 2 11 2 2" xfId="4727"/>
    <cellStyle name="Calculation 2 4 2 11 2 3" xfId="4728"/>
    <cellStyle name="Calculation 2 4 2 11 2 4" xfId="4729"/>
    <cellStyle name="Calculation 2 4 2 11 3" xfId="4730"/>
    <cellStyle name="Calculation 2 4 2 11 3 2" xfId="4731"/>
    <cellStyle name="Calculation 2 4 2 11 3 3" xfId="4732"/>
    <cellStyle name="Calculation 2 4 2 11 3 4" xfId="4733"/>
    <cellStyle name="Calculation 2 4 2 11 4" xfId="4734"/>
    <cellStyle name="Calculation 2 4 2 11 4 2" xfId="4735"/>
    <cellStyle name="Calculation 2 4 2 11 4 3" xfId="4736"/>
    <cellStyle name="Calculation 2 4 2 11 4 4" xfId="4737"/>
    <cellStyle name="Calculation 2 4 2 11 5" xfId="4738"/>
    <cellStyle name="Calculation 2 4 2 11 6" xfId="4739"/>
    <cellStyle name="Calculation 2 4 2 11 7" xfId="4740"/>
    <cellStyle name="Calculation 2 4 2 12" xfId="4741"/>
    <cellStyle name="Calculation 2 4 2 12 2" xfId="4742"/>
    <cellStyle name="Calculation 2 4 2 12 2 2" xfId="4743"/>
    <cellStyle name="Calculation 2 4 2 12 2 3" xfId="4744"/>
    <cellStyle name="Calculation 2 4 2 12 2 4" xfId="4745"/>
    <cellStyle name="Calculation 2 4 2 12 3" xfId="4746"/>
    <cellStyle name="Calculation 2 4 2 12 3 2" xfId="4747"/>
    <cellStyle name="Calculation 2 4 2 12 3 3" xfId="4748"/>
    <cellStyle name="Calculation 2 4 2 12 3 4" xfId="4749"/>
    <cellStyle name="Calculation 2 4 2 12 4" xfId="4750"/>
    <cellStyle name="Calculation 2 4 2 12 4 2" xfId="4751"/>
    <cellStyle name="Calculation 2 4 2 12 4 3" xfId="4752"/>
    <cellStyle name="Calculation 2 4 2 12 4 4" xfId="4753"/>
    <cellStyle name="Calculation 2 4 2 12 5" xfId="4754"/>
    <cellStyle name="Calculation 2 4 2 12 6" xfId="4755"/>
    <cellStyle name="Calculation 2 4 2 12 7" xfId="4756"/>
    <cellStyle name="Calculation 2 4 2 13" xfId="4757"/>
    <cellStyle name="Calculation 2 4 2 13 2" xfId="4758"/>
    <cellStyle name="Calculation 2 4 2 13 2 2" xfId="4759"/>
    <cellStyle name="Calculation 2 4 2 13 2 3" xfId="4760"/>
    <cellStyle name="Calculation 2 4 2 13 2 4" xfId="4761"/>
    <cellStyle name="Calculation 2 4 2 13 3" xfId="4762"/>
    <cellStyle name="Calculation 2 4 2 13 3 2" xfId="4763"/>
    <cellStyle name="Calculation 2 4 2 13 3 3" xfId="4764"/>
    <cellStyle name="Calculation 2 4 2 13 3 4" xfId="4765"/>
    <cellStyle name="Calculation 2 4 2 13 4" xfId="4766"/>
    <cellStyle name="Calculation 2 4 2 13 4 2" xfId="4767"/>
    <cellStyle name="Calculation 2 4 2 13 4 3" xfId="4768"/>
    <cellStyle name="Calculation 2 4 2 13 4 4" xfId="4769"/>
    <cellStyle name="Calculation 2 4 2 13 5" xfId="4770"/>
    <cellStyle name="Calculation 2 4 2 13 6" xfId="4771"/>
    <cellStyle name="Calculation 2 4 2 13 7" xfId="4772"/>
    <cellStyle name="Calculation 2 4 2 14" xfId="4773"/>
    <cellStyle name="Calculation 2 4 2 14 2" xfId="4774"/>
    <cellStyle name="Calculation 2 4 2 14 3" xfId="4775"/>
    <cellStyle name="Calculation 2 4 2 14 4" xfId="4776"/>
    <cellStyle name="Calculation 2 4 2 15" xfId="4777"/>
    <cellStyle name="Calculation 2 4 2 15 2" xfId="4778"/>
    <cellStyle name="Calculation 2 4 2 15 3" xfId="4779"/>
    <cellStyle name="Calculation 2 4 2 15 4" xfId="4780"/>
    <cellStyle name="Calculation 2 4 2 16" xfId="4781"/>
    <cellStyle name="Calculation 2 4 2 16 2" xfId="4782"/>
    <cellStyle name="Calculation 2 4 2 16 3" xfId="4783"/>
    <cellStyle name="Calculation 2 4 2 16 4" xfId="4784"/>
    <cellStyle name="Calculation 2 4 2 17" xfId="4785"/>
    <cellStyle name="Calculation 2 4 2 18" xfId="4786"/>
    <cellStyle name="Calculation 2 4 2 19" xfId="4787"/>
    <cellStyle name="Calculation 2 4 2 2" xfId="814"/>
    <cellStyle name="Calculation 2 4 2 2 10" xfId="4788"/>
    <cellStyle name="Calculation 2 4 2 2 11" xfId="4789"/>
    <cellStyle name="Calculation 2 4 2 2 12" xfId="4790"/>
    <cellStyle name="Calculation 2 4 2 2 2" xfId="4791"/>
    <cellStyle name="Calculation 2 4 2 2 2 2" xfId="4792"/>
    <cellStyle name="Calculation 2 4 2 2 2 2 2" xfId="4793"/>
    <cellStyle name="Calculation 2 4 2 2 2 2 3" xfId="4794"/>
    <cellStyle name="Calculation 2 4 2 2 2 2 4" xfId="4795"/>
    <cellStyle name="Calculation 2 4 2 2 2 3" xfId="4796"/>
    <cellStyle name="Calculation 2 4 2 2 2 3 2" xfId="4797"/>
    <cellStyle name="Calculation 2 4 2 2 2 3 3" xfId="4798"/>
    <cellStyle name="Calculation 2 4 2 2 2 3 4" xfId="4799"/>
    <cellStyle name="Calculation 2 4 2 2 2 4" xfId="4800"/>
    <cellStyle name="Calculation 2 4 2 2 2 4 2" xfId="4801"/>
    <cellStyle name="Calculation 2 4 2 2 2 4 3" xfId="4802"/>
    <cellStyle name="Calculation 2 4 2 2 2 4 4" xfId="4803"/>
    <cellStyle name="Calculation 2 4 2 2 2 5" xfId="4804"/>
    <cellStyle name="Calculation 2 4 2 2 2 6" xfId="4805"/>
    <cellStyle name="Calculation 2 4 2 2 2 7" xfId="4806"/>
    <cellStyle name="Calculation 2 4 2 2 3" xfId="4807"/>
    <cellStyle name="Calculation 2 4 2 2 3 2" xfId="4808"/>
    <cellStyle name="Calculation 2 4 2 2 3 2 2" xfId="4809"/>
    <cellStyle name="Calculation 2 4 2 2 3 2 3" xfId="4810"/>
    <cellStyle name="Calculation 2 4 2 2 3 2 4" xfId="4811"/>
    <cellStyle name="Calculation 2 4 2 2 3 3" xfId="4812"/>
    <cellStyle name="Calculation 2 4 2 2 3 3 2" xfId="4813"/>
    <cellStyle name="Calculation 2 4 2 2 3 3 3" xfId="4814"/>
    <cellStyle name="Calculation 2 4 2 2 3 3 4" xfId="4815"/>
    <cellStyle name="Calculation 2 4 2 2 3 4" xfId="4816"/>
    <cellStyle name="Calculation 2 4 2 2 3 4 2" xfId="4817"/>
    <cellStyle name="Calculation 2 4 2 2 3 4 3" xfId="4818"/>
    <cellStyle name="Calculation 2 4 2 2 3 4 4" xfId="4819"/>
    <cellStyle name="Calculation 2 4 2 2 3 5" xfId="4820"/>
    <cellStyle name="Calculation 2 4 2 2 3 6" xfId="4821"/>
    <cellStyle name="Calculation 2 4 2 2 3 7" xfId="4822"/>
    <cellStyle name="Calculation 2 4 2 2 4" xfId="4823"/>
    <cellStyle name="Calculation 2 4 2 2 4 2" xfId="4824"/>
    <cellStyle name="Calculation 2 4 2 2 4 2 2" xfId="4825"/>
    <cellStyle name="Calculation 2 4 2 2 4 2 3" xfId="4826"/>
    <cellStyle name="Calculation 2 4 2 2 4 2 4" xfId="4827"/>
    <cellStyle name="Calculation 2 4 2 2 4 3" xfId="4828"/>
    <cellStyle name="Calculation 2 4 2 2 4 3 2" xfId="4829"/>
    <cellStyle name="Calculation 2 4 2 2 4 3 3" xfId="4830"/>
    <cellStyle name="Calculation 2 4 2 2 4 3 4" xfId="4831"/>
    <cellStyle name="Calculation 2 4 2 2 4 4" xfId="4832"/>
    <cellStyle name="Calculation 2 4 2 2 4 4 2" xfId="4833"/>
    <cellStyle name="Calculation 2 4 2 2 4 4 3" xfId="4834"/>
    <cellStyle name="Calculation 2 4 2 2 4 4 4" xfId="4835"/>
    <cellStyle name="Calculation 2 4 2 2 4 5" xfId="4836"/>
    <cellStyle name="Calculation 2 4 2 2 4 6" xfId="4837"/>
    <cellStyle name="Calculation 2 4 2 2 4 7" xfId="4838"/>
    <cellStyle name="Calculation 2 4 2 2 5" xfId="4839"/>
    <cellStyle name="Calculation 2 4 2 2 5 2" xfId="4840"/>
    <cellStyle name="Calculation 2 4 2 2 5 2 2" xfId="4841"/>
    <cellStyle name="Calculation 2 4 2 2 5 2 3" xfId="4842"/>
    <cellStyle name="Calculation 2 4 2 2 5 2 4" xfId="4843"/>
    <cellStyle name="Calculation 2 4 2 2 5 3" xfId="4844"/>
    <cellStyle name="Calculation 2 4 2 2 5 3 2" xfId="4845"/>
    <cellStyle name="Calculation 2 4 2 2 5 3 3" xfId="4846"/>
    <cellStyle name="Calculation 2 4 2 2 5 3 4" xfId="4847"/>
    <cellStyle name="Calculation 2 4 2 2 5 4" xfId="4848"/>
    <cellStyle name="Calculation 2 4 2 2 5 4 2" xfId="4849"/>
    <cellStyle name="Calculation 2 4 2 2 5 4 3" xfId="4850"/>
    <cellStyle name="Calculation 2 4 2 2 5 4 4" xfId="4851"/>
    <cellStyle name="Calculation 2 4 2 2 5 5" xfId="4852"/>
    <cellStyle name="Calculation 2 4 2 2 5 6" xfId="4853"/>
    <cellStyle name="Calculation 2 4 2 2 5 7" xfId="4854"/>
    <cellStyle name="Calculation 2 4 2 2 6" xfId="4855"/>
    <cellStyle name="Calculation 2 4 2 2 6 2" xfId="4856"/>
    <cellStyle name="Calculation 2 4 2 2 6 2 2" xfId="4857"/>
    <cellStyle name="Calculation 2 4 2 2 6 2 3" xfId="4858"/>
    <cellStyle name="Calculation 2 4 2 2 6 2 4" xfId="4859"/>
    <cellStyle name="Calculation 2 4 2 2 6 3" xfId="4860"/>
    <cellStyle name="Calculation 2 4 2 2 6 3 2" xfId="4861"/>
    <cellStyle name="Calculation 2 4 2 2 6 3 3" xfId="4862"/>
    <cellStyle name="Calculation 2 4 2 2 6 3 4" xfId="4863"/>
    <cellStyle name="Calculation 2 4 2 2 6 4" xfId="4864"/>
    <cellStyle name="Calculation 2 4 2 2 6 4 2" xfId="4865"/>
    <cellStyle name="Calculation 2 4 2 2 6 4 3" xfId="4866"/>
    <cellStyle name="Calculation 2 4 2 2 6 4 4" xfId="4867"/>
    <cellStyle name="Calculation 2 4 2 2 6 5" xfId="4868"/>
    <cellStyle name="Calculation 2 4 2 2 6 6" xfId="4869"/>
    <cellStyle name="Calculation 2 4 2 2 6 7" xfId="4870"/>
    <cellStyle name="Calculation 2 4 2 2 7" xfId="4871"/>
    <cellStyle name="Calculation 2 4 2 2 7 2" xfId="4872"/>
    <cellStyle name="Calculation 2 4 2 2 7 3" xfId="4873"/>
    <cellStyle name="Calculation 2 4 2 2 7 4" xfId="4874"/>
    <cellStyle name="Calculation 2 4 2 2 8" xfId="4875"/>
    <cellStyle name="Calculation 2 4 2 2 8 2" xfId="4876"/>
    <cellStyle name="Calculation 2 4 2 2 8 3" xfId="4877"/>
    <cellStyle name="Calculation 2 4 2 2 8 4" xfId="4878"/>
    <cellStyle name="Calculation 2 4 2 2 9" xfId="4879"/>
    <cellStyle name="Calculation 2 4 2 2 9 2" xfId="4880"/>
    <cellStyle name="Calculation 2 4 2 2 9 3" xfId="4881"/>
    <cellStyle name="Calculation 2 4 2 2 9 4" xfId="4882"/>
    <cellStyle name="Calculation 2 4 2 3" xfId="934"/>
    <cellStyle name="Calculation 2 4 2 3 10" xfId="4883"/>
    <cellStyle name="Calculation 2 4 2 3 11" xfId="4884"/>
    <cellStyle name="Calculation 2 4 2 3 12" xfId="4885"/>
    <cellStyle name="Calculation 2 4 2 3 2" xfId="4886"/>
    <cellStyle name="Calculation 2 4 2 3 2 2" xfId="4887"/>
    <cellStyle name="Calculation 2 4 2 3 2 2 2" xfId="4888"/>
    <cellStyle name="Calculation 2 4 2 3 2 2 3" xfId="4889"/>
    <cellStyle name="Calculation 2 4 2 3 2 2 4" xfId="4890"/>
    <cellStyle name="Calculation 2 4 2 3 2 3" xfId="4891"/>
    <cellStyle name="Calculation 2 4 2 3 2 3 2" xfId="4892"/>
    <cellStyle name="Calculation 2 4 2 3 2 3 3" xfId="4893"/>
    <cellStyle name="Calculation 2 4 2 3 2 3 4" xfId="4894"/>
    <cellStyle name="Calculation 2 4 2 3 2 4" xfId="4895"/>
    <cellStyle name="Calculation 2 4 2 3 2 4 2" xfId="4896"/>
    <cellStyle name="Calculation 2 4 2 3 2 4 3" xfId="4897"/>
    <cellStyle name="Calculation 2 4 2 3 2 4 4" xfId="4898"/>
    <cellStyle name="Calculation 2 4 2 3 2 5" xfId="4899"/>
    <cellStyle name="Calculation 2 4 2 3 2 6" xfId="4900"/>
    <cellStyle name="Calculation 2 4 2 3 2 7" xfId="4901"/>
    <cellStyle name="Calculation 2 4 2 3 3" xfId="4902"/>
    <cellStyle name="Calculation 2 4 2 3 3 2" xfId="4903"/>
    <cellStyle name="Calculation 2 4 2 3 3 2 2" xfId="4904"/>
    <cellStyle name="Calculation 2 4 2 3 3 2 3" xfId="4905"/>
    <cellStyle name="Calculation 2 4 2 3 3 2 4" xfId="4906"/>
    <cellStyle name="Calculation 2 4 2 3 3 3" xfId="4907"/>
    <cellStyle name="Calculation 2 4 2 3 3 3 2" xfId="4908"/>
    <cellStyle name="Calculation 2 4 2 3 3 3 3" xfId="4909"/>
    <cellStyle name="Calculation 2 4 2 3 3 3 4" xfId="4910"/>
    <cellStyle name="Calculation 2 4 2 3 3 4" xfId="4911"/>
    <cellStyle name="Calculation 2 4 2 3 3 4 2" xfId="4912"/>
    <cellStyle name="Calculation 2 4 2 3 3 4 3" xfId="4913"/>
    <cellStyle name="Calculation 2 4 2 3 3 4 4" xfId="4914"/>
    <cellStyle name="Calculation 2 4 2 3 3 5" xfId="4915"/>
    <cellStyle name="Calculation 2 4 2 3 3 6" xfId="4916"/>
    <cellStyle name="Calculation 2 4 2 3 3 7" xfId="4917"/>
    <cellStyle name="Calculation 2 4 2 3 4" xfId="4918"/>
    <cellStyle name="Calculation 2 4 2 3 4 2" xfId="4919"/>
    <cellStyle name="Calculation 2 4 2 3 4 2 2" xfId="4920"/>
    <cellStyle name="Calculation 2 4 2 3 4 2 3" xfId="4921"/>
    <cellStyle name="Calculation 2 4 2 3 4 2 4" xfId="4922"/>
    <cellStyle name="Calculation 2 4 2 3 4 3" xfId="4923"/>
    <cellStyle name="Calculation 2 4 2 3 4 3 2" xfId="4924"/>
    <cellStyle name="Calculation 2 4 2 3 4 3 3" xfId="4925"/>
    <cellStyle name="Calculation 2 4 2 3 4 3 4" xfId="4926"/>
    <cellStyle name="Calculation 2 4 2 3 4 4" xfId="4927"/>
    <cellStyle name="Calculation 2 4 2 3 4 4 2" xfId="4928"/>
    <cellStyle name="Calculation 2 4 2 3 4 4 3" xfId="4929"/>
    <cellStyle name="Calculation 2 4 2 3 4 4 4" xfId="4930"/>
    <cellStyle name="Calculation 2 4 2 3 4 5" xfId="4931"/>
    <cellStyle name="Calculation 2 4 2 3 4 6" xfId="4932"/>
    <cellStyle name="Calculation 2 4 2 3 4 7" xfId="4933"/>
    <cellStyle name="Calculation 2 4 2 3 5" xfId="4934"/>
    <cellStyle name="Calculation 2 4 2 3 5 2" xfId="4935"/>
    <cellStyle name="Calculation 2 4 2 3 5 2 2" xfId="4936"/>
    <cellStyle name="Calculation 2 4 2 3 5 2 3" xfId="4937"/>
    <cellStyle name="Calculation 2 4 2 3 5 2 4" xfId="4938"/>
    <cellStyle name="Calculation 2 4 2 3 5 3" xfId="4939"/>
    <cellStyle name="Calculation 2 4 2 3 5 3 2" xfId="4940"/>
    <cellStyle name="Calculation 2 4 2 3 5 3 3" xfId="4941"/>
    <cellStyle name="Calculation 2 4 2 3 5 3 4" xfId="4942"/>
    <cellStyle name="Calculation 2 4 2 3 5 4" xfId="4943"/>
    <cellStyle name="Calculation 2 4 2 3 5 4 2" xfId="4944"/>
    <cellStyle name="Calculation 2 4 2 3 5 4 3" xfId="4945"/>
    <cellStyle name="Calculation 2 4 2 3 5 4 4" xfId="4946"/>
    <cellStyle name="Calculation 2 4 2 3 5 5" xfId="4947"/>
    <cellStyle name="Calculation 2 4 2 3 5 6" xfId="4948"/>
    <cellStyle name="Calculation 2 4 2 3 5 7" xfId="4949"/>
    <cellStyle name="Calculation 2 4 2 3 6" xfId="4950"/>
    <cellStyle name="Calculation 2 4 2 3 6 2" xfId="4951"/>
    <cellStyle name="Calculation 2 4 2 3 6 2 2" xfId="4952"/>
    <cellStyle name="Calculation 2 4 2 3 6 2 3" xfId="4953"/>
    <cellStyle name="Calculation 2 4 2 3 6 2 4" xfId="4954"/>
    <cellStyle name="Calculation 2 4 2 3 6 3" xfId="4955"/>
    <cellStyle name="Calculation 2 4 2 3 6 3 2" xfId="4956"/>
    <cellStyle name="Calculation 2 4 2 3 6 3 3" xfId="4957"/>
    <cellStyle name="Calculation 2 4 2 3 6 3 4" xfId="4958"/>
    <cellStyle name="Calculation 2 4 2 3 6 4" xfId="4959"/>
    <cellStyle name="Calculation 2 4 2 3 6 4 2" xfId="4960"/>
    <cellStyle name="Calculation 2 4 2 3 6 4 3" xfId="4961"/>
    <cellStyle name="Calculation 2 4 2 3 6 4 4" xfId="4962"/>
    <cellStyle name="Calculation 2 4 2 3 6 5" xfId="4963"/>
    <cellStyle name="Calculation 2 4 2 3 6 6" xfId="4964"/>
    <cellStyle name="Calculation 2 4 2 3 6 7" xfId="4965"/>
    <cellStyle name="Calculation 2 4 2 3 7" xfId="4966"/>
    <cellStyle name="Calculation 2 4 2 3 7 2" xfId="4967"/>
    <cellStyle name="Calculation 2 4 2 3 7 3" xfId="4968"/>
    <cellStyle name="Calculation 2 4 2 3 7 4" xfId="4969"/>
    <cellStyle name="Calculation 2 4 2 3 8" xfId="4970"/>
    <cellStyle name="Calculation 2 4 2 3 8 2" xfId="4971"/>
    <cellStyle name="Calculation 2 4 2 3 8 3" xfId="4972"/>
    <cellStyle name="Calculation 2 4 2 3 8 4" xfId="4973"/>
    <cellStyle name="Calculation 2 4 2 3 9" xfId="4974"/>
    <cellStyle name="Calculation 2 4 2 3 9 2" xfId="4975"/>
    <cellStyle name="Calculation 2 4 2 3 9 3" xfId="4976"/>
    <cellStyle name="Calculation 2 4 2 3 9 4" xfId="4977"/>
    <cellStyle name="Calculation 2 4 2 4" xfId="775"/>
    <cellStyle name="Calculation 2 4 2 4 10" xfId="4978"/>
    <cellStyle name="Calculation 2 4 2 4 11" xfId="4979"/>
    <cellStyle name="Calculation 2 4 2 4 12" xfId="4980"/>
    <cellStyle name="Calculation 2 4 2 4 2" xfId="4981"/>
    <cellStyle name="Calculation 2 4 2 4 2 2" xfId="4982"/>
    <cellStyle name="Calculation 2 4 2 4 2 2 2" xfId="4983"/>
    <cellStyle name="Calculation 2 4 2 4 2 2 3" xfId="4984"/>
    <cellStyle name="Calculation 2 4 2 4 2 2 4" xfId="4985"/>
    <cellStyle name="Calculation 2 4 2 4 2 3" xfId="4986"/>
    <cellStyle name="Calculation 2 4 2 4 2 3 2" xfId="4987"/>
    <cellStyle name="Calculation 2 4 2 4 2 3 3" xfId="4988"/>
    <cellStyle name="Calculation 2 4 2 4 2 3 4" xfId="4989"/>
    <cellStyle name="Calculation 2 4 2 4 2 4" xfId="4990"/>
    <cellStyle name="Calculation 2 4 2 4 2 4 2" xfId="4991"/>
    <cellStyle name="Calculation 2 4 2 4 2 4 3" xfId="4992"/>
    <cellStyle name="Calculation 2 4 2 4 2 4 4" xfId="4993"/>
    <cellStyle name="Calculation 2 4 2 4 2 5" xfId="4994"/>
    <cellStyle name="Calculation 2 4 2 4 2 6" xfId="4995"/>
    <cellStyle name="Calculation 2 4 2 4 2 7" xfId="4996"/>
    <cellStyle name="Calculation 2 4 2 4 3" xfId="4997"/>
    <cellStyle name="Calculation 2 4 2 4 3 2" xfId="4998"/>
    <cellStyle name="Calculation 2 4 2 4 3 2 2" xfId="4999"/>
    <cellStyle name="Calculation 2 4 2 4 3 2 3" xfId="5000"/>
    <cellStyle name="Calculation 2 4 2 4 3 2 4" xfId="5001"/>
    <cellStyle name="Calculation 2 4 2 4 3 3" xfId="5002"/>
    <cellStyle name="Calculation 2 4 2 4 3 3 2" xfId="5003"/>
    <cellStyle name="Calculation 2 4 2 4 3 3 3" xfId="5004"/>
    <cellStyle name="Calculation 2 4 2 4 3 3 4" xfId="5005"/>
    <cellStyle name="Calculation 2 4 2 4 3 4" xfId="5006"/>
    <cellStyle name="Calculation 2 4 2 4 3 4 2" xfId="5007"/>
    <cellStyle name="Calculation 2 4 2 4 3 4 3" xfId="5008"/>
    <cellStyle name="Calculation 2 4 2 4 3 4 4" xfId="5009"/>
    <cellStyle name="Calculation 2 4 2 4 3 5" xfId="5010"/>
    <cellStyle name="Calculation 2 4 2 4 3 6" xfId="5011"/>
    <cellStyle name="Calculation 2 4 2 4 3 7" xfId="5012"/>
    <cellStyle name="Calculation 2 4 2 4 4" xfId="5013"/>
    <cellStyle name="Calculation 2 4 2 4 4 2" xfId="5014"/>
    <cellStyle name="Calculation 2 4 2 4 4 2 2" xfId="5015"/>
    <cellStyle name="Calculation 2 4 2 4 4 2 3" xfId="5016"/>
    <cellStyle name="Calculation 2 4 2 4 4 2 4" xfId="5017"/>
    <cellStyle name="Calculation 2 4 2 4 4 3" xfId="5018"/>
    <cellStyle name="Calculation 2 4 2 4 4 3 2" xfId="5019"/>
    <cellStyle name="Calculation 2 4 2 4 4 3 3" xfId="5020"/>
    <cellStyle name="Calculation 2 4 2 4 4 3 4" xfId="5021"/>
    <cellStyle name="Calculation 2 4 2 4 4 4" xfId="5022"/>
    <cellStyle name="Calculation 2 4 2 4 4 4 2" xfId="5023"/>
    <cellStyle name="Calculation 2 4 2 4 4 4 3" xfId="5024"/>
    <cellStyle name="Calculation 2 4 2 4 4 4 4" xfId="5025"/>
    <cellStyle name="Calculation 2 4 2 4 4 5" xfId="5026"/>
    <cellStyle name="Calculation 2 4 2 4 4 6" xfId="5027"/>
    <cellStyle name="Calculation 2 4 2 4 4 7" xfId="5028"/>
    <cellStyle name="Calculation 2 4 2 4 5" xfId="5029"/>
    <cellStyle name="Calculation 2 4 2 4 5 2" xfId="5030"/>
    <cellStyle name="Calculation 2 4 2 4 5 2 2" xfId="5031"/>
    <cellStyle name="Calculation 2 4 2 4 5 2 3" xfId="5032"/>
    <cellStyle name="Calculation 2 4 2 4 5 2 4" xfId="5033"/>
    <cellStyle name="Calculation 2 4 2 4 5 3" xfId="5034"/>
    <cellStyle name="Calculation 2 4 2 4 5 3 2" xfId="5035"/>
    <cellStyle name="Calculation 2 4 2 4 5 3 3" xfId="5036"/>
    <cellStyle name="Calculation 2 4 2 4 5 3 4" xfId="5037"/>
    <cellStyle name="Calculation 2 4 2 4 5 4" xfId="5038"/>
    <cellStyle name="Calculation 2 4 2 4 5 4 2" xfId="5039"/>
    <cellStyle name="Calculation 2 4 2 4 5 4 3" xfId="5040"/>
    <cellStyle name="Calculation 2 4 2 4 5 4 4" xfId="5041"/>
    <cellStyle name="Calculation 2 4 2 4 5 5" xfId="5042"/>
    <cellStyle name="Calculation 2 4 2 4 5 6" xfId="5043"/>
    <cellStyle name="Calculation 2 4 2 4 5 7" xfId="5044"/>
    <cellStyle name="Calculation 2 4 2 4 6" xfId="5045"/>
    <cellStyle name="Calculation 2 4 2 4 6 2" xfId="5046"/>
    <cellStyle name="Calculation 2 4 2 4 6 2 2" xfId="5047"/>
    <cellStyle name="Calculation 2 4 2 4 6 2 3" xfId="5048"/>
    <cellStyle name="Calculation 2 4 2 4 6 2 4" xfId="5049"/>
    <cellStyle name="Calculation 2 4 2 4 6 3" xfId="5050"/>
    <cellStyle name="Calculation 2 4 2 4 6 3 2" xfId="5051"/>
    <cellStyle name="Calculation 2 4 2 4 6 3 3" xfId="5052"/>
    <cellStyle name="Calculation 2 4 2 4 6 3 4" xfId="5053"/>
    <cellStyle name="Calculation 2 4 2 4 6 4" xfId="5054"/>
    <cellStyle name="Calculation 2 4 2 4 6 4 2" xfId="5055"/>
    <cellStyle name="Calculation 2 4 2 4 6 4 3" xfId="5056"/>
    <cellStyle name="Calculation 2 4 2 4 6 4 4" xfId="5057"/>
    <cellStyle name="Calculation 2 4 2 4 6 5" xfId="5058"/>
    <cellStyle name="Calculation 2 4 2 4 6 6" xfId="5059"/>
    <cellStyle name="Calculation 2 4 2 4 6 7" xfId="5060"/>
    <cellStyle name="Calculation 2 4 2 4 7" xfId="5061"/>
    <cellStyle name="Calculation 2 4 2 4 7 2" xfId="5062"/>
    <cellStyle name="Calculation 2 4 2 4 7 3" xfId="5063"/>
    <cellStyle name="Calculation 2 4 2 4 7 4" xfId="5064"/>
    <cellStyle name="Calculation 2 4 2 4 8" xfId="5065"/>
    <cellStyle name="Calculation 2 4 2 4 8 2" xfId="5066"/>
    <cellStyle name="Calculation 2 4 2 4 8 3" xfId="5067"/>
    <cellStyle name="Calculation 2 4 2 4 8 4" xfId="5068"/>
    <cellStyle name="Calculation 2 4 2 4 9" xfId="5069"/>
    <cellStyle name="Calculation 2 4 2 4 9 2" xfId="5070"/>
    <cellStyle name="Calculation 2 4 2 4 9 3" xfId="5071"/>
    <cellStyle name="Calculation 2 4 2 4 9 4" xfId="5072"/>
    <cellStyle name="Calculation 2 4 2 5" xfId="5073"/>
    <cellStyle name="Calculation 2 4 2 5 10" xfId="5074"/>
    <cellStyle name="Calculation 2 4 2 5 11" xfId="5075"/>
    <cellStyle name="Calculation 2 4 2 5 12" xfId="5076"/>
    <cellStyle name="Calculation 2 4 2 5 2" xfId="5077"/>
    <cellStyle name="Calculation 2 4 2 5 2 2" xfId="5078"/>
    <cellStyle name="Calculation 2 4 2 5 2 2 2" xfId="5079"/>
    <cellStyle name="Calculation 2 4 2 5 2 2 3" xfId="5080"/>
    <cellStyle name="Calculation 2 4 2 5 2 2 4" xfId="5081"/>
    <cellStyle name="Calculation 2 4 2 5 2 3" xfId="5082"/>
    <cellStyle name="Calculation 2 4 2 5 2 3 2" xfId="5083"/>
    <cellStyle name="Calculation 2 4 2 5 2 3 3" xfId="5084"/>
    <cellStyle name="Calculation 2 4 2 5 2 3 4" xfId="5085"/>
    <cellStyle name="Calculation 2 4 2 5 2 4" xfId="5086"/>
    <cellStyle name="Calculation 2 4 2 5 2 4 2" xfId="5087"/>
    <cellStyle name="Calculation 2 4 2 5 2 4 3" xfId="5088"/>
    <cellStyle name="Calculation 2 4 2 5 2 4 4" xfId="5089"/>
    <cellStyle name="Calculation 2 4 2 5 2 5" xfId="5090"/>
    <cellStyle name="Calculation 2 4 2 5 2 6" xfId="5091"/>
    <cellStyle name="Calculation 2 4 2 5 2 7" xfId="5092"/>
    <cellStyle name="Calculation 2 4 2 5 3" xfId="5093"/>
    <cellStyle name="Calculation 2 4 2 5 3 2" xfId="5094"/>
    <cellStyle name="Calculation 2 4 2 5 3 2 2" xfId="5095"/>
    <cellStyle name="Calculation 2 4 2 5 3 2 3" xfId="5096"/>
    <cellStyle name="Calculation 2 4 2 5 3 2 4" xfId="5097"/>
    <cellStyle name="Calculation 2 4 2 5 3 3" xfId="5098"/>
    <cellStyle name="Calculation 2 4 2 5 3 3 2" xfId="5099"/>
    <cellStyle name="Calculation 2 4 2 5 3 3 3" xfId="5100"/>
    <cellStyle name="Calculation 2 4 2 5 3 3 4" xfId="5101"/>
    <cellStyle name="Calculation 2 4 2 5 3 4" xfId="5102"/>
    <cellStyle name="Calculation 2 4 2 5 3 4 2" xfId="5103"/>
    <cellStyle name="Calculation 2 4 2 5 3 4 3" xfId="5104"/>
    <cellStyle name="Calculation 2 4 2 5 3 4 4" xfId="5105"/>
    <cellStyle name="Calculation 2 4 2 5 3 5" xfId="5106"/>
    <cellStyle name="Calculation 2 4 2 5 3 6" xfId="5107"/>
    <cellStyle name="Calculation 2 4 2 5 3 7" xfId="5108"/>
    <cellStyle name="Calculation 2 4 2 5 4" xfId="5109"/>
    <cellStyle name="Calculation 2 4 2 5 4 2" xfId="5110"/>
    <cellStyle name="Calculation 2 4 2 5 4 2 2" xfId="5111"/>
    <cellStyle name="Calculation 2 4 2 5 4 2 3" xfId="5112"/>
    <cellStyle name="Calculation 2 4 2 5 4 2 4" xfId="5113"/>
    <cellStyle name="Calculation 2 4 2 5 4 3" xfId="5114"/>
    <cellStyle name="Calculation 2 4 2 5 4 3 2" xfId="5115"/>
    <cellStyle name="Calculation 2 4 2 5 4 3 3" xfId="5116"/>
    <cellStyle name="Calculation 2 4 2 5 4 3 4" xfId="5117"/>
    <cellStyle name="Calculation 2 4 2 5 4 4" xfId="5118"/>
    <cellStyle name="Calculation 2 4 2 5 4 4 2" xfId="5119"/>
    <cellStyle name="Calculation 2 4 2 5 4 4 3" xfId="5120"/>
    <cellStyle name="Calculation 2 4 2 5 4 4 4" xfId="5121"/>
    <cellStyle name="Calculation 2 4 2 5 4 5" xfId="5122"/>
    <cellStyle name="Calculation 2 4 2 5 4 6" xfId="5123"/>
    <cellStyle name="Calculation 2 4 2 5 4 7" xfId="5124"/>
    <cellStyle name="Calculation 2 4 2 5 5" xfId="5125"/>
    <cellStyle name="Calculation 2 4 2 5 5 2" xfId="5126"/>
    <cellStyle name="Calculation 2 4 2 5 5 2 2" xfId="5127"/>
    <cellStyle name="Calculation 2 4 2 5 5 2 3" xfId="5128"/>
    <cellStyle name="Calculation 2 4 2 5 5 2 4" xfId="5129"/>
    <cellStyle name="Calculation 2 4 2 5 5 3" xfId="5130"/>
    <cellStyle name="Calculation 2 4 2 5 5 3 2" xfId="5131"/>
    <cellStyle name="Calculation 2 4 2 5 5 3 3" xfId="5132"/>
    <cellStyle name="Calculation 2 4 2 5 5 3 4" xfId="5133"/>
    <cellStyle name="Calculation 2 4 2 5 5 4" xfId="5134"/>
    <cellStyle name="Calculation 2 4 2 5 5 4 2" xfId="5135"/>
    <cellStyle name="Calculation 2 4 2 5 5 4 3" xfId="5136"/>
    <cellStyle name="Calculation 2 4 2 5 5 4 4" xfId="5137"/>
    <cellStyle name="Calculation 2 4 2 5 5 5" xfId="5138"/>
    <cellStyle name="Calculation 2 4 2 5 5 6" xfId="5139"/>
    <cellStyle name="Calculation 2 4 2 5 5 7" xfId="5140"/>
    <cellStyle name="Calculation 2 4 2 5 6" xfId="5141"/>
    <cellStyle name="Calculation 2 4 2 5 6 2" xfId="5142"/>
    <cellStyle name="Calculation 2 4 2 5 6 2 2" xfId="5143"/>
    <cellStyle name="Calculation 2 4 2 5 6 2 3" xfId="5144"/>
    <cellStyle name="Calculation 2 4 2 5 6 2 4" xfId="5145"/>
    <cellStyle name="Calculation 2 4 2 5 6 3" xfId="5146"/>
    <cellStyle name="Calculation 2 4 2 5 6 3 2" xfId="5147"/>
    <cellStyle name="Calculation 2 4 2 5 6 3 3" xfId="5148"/>
    <cellStyle name="Calculation 2 4 2 5 6 3 4" xfId="5149"/>
    <cellStyle name="Calculation 2 4 2 5 6 4" xfId="5150"/>
    <cellStyle name="Calculation 2 4 2 5 6 4 2" xfId="5151"/>
    <cellStyle name="Calculation 2 4 2 5 6 4 3" xfId="5152"/>
    <cellStyle name="Calculation 2 4 2 5 6 4 4" xfId="5153"/>
    <cellStyle name="Calculation 2 4 2 5 6 5" xfId="5154"/>
    <cellStyle name="Calculation 2 4 2 5 6 6" xfId="5155"/>
    <cellStyle name="Calculation 2 4 2 5 6 7" xfId="5156"/>
    <cellStyle name="Calculation 2 4 2 5 7" xfId="5157"/>
    <cellStyle name="Calculation 2 4 2 5 7 2" xfId="5158"/>
    <cellStyle name="Calculation 2 4 2 5 7 3" xfId="5159"/>
    <cellStyle name="Calculation 2 4 2 5 7 4" xfId="5160"/>
    <cellStyle name="Calculation 2 4 2 5 8" xfId="5161"/>
    <cellStyle name="Calculation 2 4 2 5 8 2" xfId="5162"/>
    <cellStyle name="Calculation 2 4 2 5 8 3" xfId="5163"/>
    <cellStyle name="Calculation 2 4 2 5 8 4" xfId="5164"/>
    <cellStyle name="Calculation 2 4 2 5 9" xfId="5165"/>
    <cellStyle name="Calculation 2 4 2 5 9 2" xfId="5166"/>
    <cellStyle name="Calculation 2 4 2 5 9 3" xfId="5167"/>
    <cellStyle name="Calculation 2 4 2 5 9 4" xfId="5168"/>
    <cellStyle name="Calculation 2 4 2 6" xfId="5169"/>
    <cellStyle name="Calculation 2 4 2 6 2" xfId="5170"/>
    <cellStyle name="Calculation 2 4 2 6 2 2" xfId="5171"/>
    <cellStyle name="Calculation 2 4 2 6 2 3" xfId="5172"/>
    <cellStyle name="Calculation 2 4 2 6 2 4" xfId="5173"/>
    <cellStyle name="Calculation 2 4 2 6 3" xfId="5174"/>
    <cellStyle name="Calculation 2 4 2 6 3 2" xfId="5175"/>
    <cellStyle name="Calculation 2 4 2 6 3 3" xfId="5176"/>
    <cellStyle name="Calculation 2 4 2 6 3 4" xfId="5177"/>
    <cellStyle name="Calculation 2 4 2 6 4" xfId="5178"/>
    <cellStyle name="Calculation 2 4 2 6 4 2" xfId="5179"/>
    <cellStyle name="Calculation 2 4 2 6 4 3" xfId="5180"/>
    <cellStyle name="Calculation 2 4 2 6 4 4" xfId="5181"/>
    <cellStyle name="Calculation 2 4 2 6 5" xfId="5182"/>
    <cellStyle name="Calculation 2 4 2 6 6" xfId="5183"/>
    <cellStyle name="Calculation 2 4 2 6 7" xfId="5184"/>
    <cellStyle name="Calculation 2 4 2 7" xfId="5185"/>
    <cellStyle name="Calculation 2 4 2 7 2" xfId="5186"/>
    <cellStyle name="Calculation 2 4 2 7 2 2" xfId="5187"/>
    <cellStyle name="Calculation 2 4 2 7 2 3" xfId="5188"/>
    <cellStyle name="Calculation 2 4 2 7 2 4" xfId="5189"/>
    <cellStyle name="Calculation 2 4 2 7 3" xfId="5190"/>
    <cellStyle name="Calculation 2 4 2 7 3 2" xfId="5191"/>
    <cellStyle name="Calculation 2 4 2 7 3 3" xfId="5192"/>
    <cellStyle name="Calculation 2 4 2 7 3 4" xfId="5193"/>
    <cellStyle name="Calculation 2 4 2 7 4" xfId="5194"/>
    <cellStyle name="Calculation 2 4 2 7 4 2" xfId="5195"/>
    <cellStyle name="Calculation 2 4 2 7 4 3" xfId="5196"/>
    <cellStyle name="Calculation 2 4 2 7 4 4" xfId="5197"/>
    <cellStyle name="Calculation 2 4 2 7 5" xfId="5198"/>
    <cellStyle name="Calculation 2 4 2 7 6" xfId="5199"/>
    <cellStyle name="Calculation 2 4 2 7 7" xfId="5200"/>
    <cellStyle name="Calculation 2 4 2 8" xfId="5201"/>
    <cellStyle name="Calculation 2 4 2 8 2" xfId="5202"/>
    <cellStyle name="Calculation 2 4 2 8 2 2" xfId="5203"/>
    <cellStyle name="Calculation 2 4 2 8 2 3" xfId="5204"/>
    <cellStyle name="Calculation 2 4 2 8 2 4" xfId="5205"/>
    <cellStyle name="Calculation 2 4 2 8 3" xfId="5206"/>
    <cellStyle name="Calculation 2 4 2 8 3 2" xfId="5207"/>
    <cellStyle name="Calculation 2 4 2 8 3 3" xfId="5208"/>
    <cellStyle name="Calculation 2 4 2 8 3 4" xfId="5209"/>
    <cellStyle name="Calculation 2 4 2 8 4" xfId="5210"/>
    <cellStyle name="Calculation 2 4 2 8 4 2" xfId="5211"/>
    <cellStyle name="Calculation 2 4 2 8 4 3" xfId="5212"/>
    <cellStyle name="Calculation 2 4 2 8 4 4" xfId="5213"/>
    <cellStyle name="Calculation 2 4 2 8 5" xfId="5214"/>
    <cellStyle name="Calculation 2 4 2 8 6" xfId="5215"/>
    <cellStyle name="Calculation 2 4 2 8 7" xfId="5216"/>
    <cellStyle name="Calculation 2 4 2 9" xfId="5217"/>
    <cellStyle name="Calculation 2 4 2 9 2" xfId="5218"/>
    <cellStyle name="Calculation 2 4 2 9 2 2" xfId="5219"/>
    <cellStyle name="Calculation 2 4 2 9 2 3" xfId="5220"/>
    <cellStyle name="Calculation 2 4 2 9 2 4" xfId="5221"/>
    <cellStyle name="Calculation 2 4 2 9 3" xfId="5222"/>
    <cellStyle name="Calculation 2 4 2 9 3 2" xfId="5223"/>
    <cellStyle name="Calculation 2 4 2 9 3 3" xfId="5224"/>
    <cellStyle name="Calculation 2 4 2 9 3 4" xfId="5225"/>
    <cellStyle name="Calculation 2 4 2 9 4" xfId="5226"/>
    <cellStyle name="Calculation 2 4 2 9 4 2" xfId="5227"/>
    <cellStyle name="Calculation 2 4 2 9 4 3" xfId="5228"/>
    <cellStyle name="Calculation 2 4 2 9 4 4" xfId="5229"/>
    <cellStyle name="Calculation 2 4 2 9 5" xfId="5230"/>
    <cellStyle name="Calculation 2 4 2 9 6" xfId="5231"/>
    <cellStyle name="Calculation 2 4 2 9 7" xfId="5232"/>
    <cellStyle name="Calculation 2 4 3" xfId="1044"/>
    <cellStyle name="Calculation 2 4 3 10" xfId="5233"/>
    <cellStyle name="Calculation 2 4 3 11" xfId="5234"/>
    <cellStyle name="Calculation 2 4 3 12" xfId="5235"/>
    <cellStyle name="Calculation 2 4 3 2" xfId="5236"/>
    <cellStyle name="Calculation 2 4 3 2 2" xfId="5237"/>
    <cellStyle name="Calculation 2 4 3 2 2 2" xfId="5238"/>
    <cellStyle name="Calculation 2 4 3 2 2 3" xfId="5239"/>
    <cellStyle name="Calculation 2 4 3 2 2 4" xfId="5240"/>
    <cellStyle name="Calculation 2 4 3 2 3" xfId="5241"/>
    <cellStyle name="Calculation 2 4 3 2 3 2" xfId="5242"/>
    <cellStyle name="Calculation 2 4 3 2 3 3" xfId="5243"/>
    <cellStyle name="Calculation 2 4 3 2 3 4" xfId="5244"/>
    <cellStyle name="Calculation 2 4 3 2 4" xfId="5245"/>
    <cellStyle name="Calculation 2 4 3 2 4 2" xfId="5246"/>
    <cellStyle name="Calculation 2 4 3 2 4 3" xfId="5247"/>
    <cellStyle name="Calculation 2 4 3 2 4 4" xfId="5248"/>
    <cellStyle name="Calculation 2 4 3 2 5" xfId="5249"/>
    <cellStyle name="Calculation 2 4 3 2 6" xfId="5250"/>
    <cellStyle name="Calculation 2 4 3 2 7" xfId="5251"/>
    <cellStyle name="Calculation 2 4 3 3" xfId="5252"/>
    <cellStyle name="Calculation 2 4 3 3 2" xfId="5253"/>
    <cellStyle name="Calculation 2 4 3 3 2 2" xfId="5254"/>
    <cellStyle name="Calculation 2 4 3 3 2 3" xfId="5255"/>
    <cellStyle name="Calculation 2 4 3 3 2 4" xfId="5256"/>
    <cellStyle name="Calculation 2 4 3 3 3" xfId="5257"/>
    <cellStyle name="Calculation 2 4 3 3 3 2" xfId="5258"/>
    <cellStyle name="Calculation 2 4 3 3 3 3" xfId="5259"/>
    <cellStyle name="Calculation 2 4 3 3 3 4" xfId="5260"/>
    <cellStyle name="Calculation 2 4 3 3 4" xfId="5261"/>
    <cellStyle name="Calculation 2 4 3 3 4 2" xfId="5262"/>
    <cellStyle name="Calculation 2 4 3 3 4 3" xfId="5263"/>
    <cellStyle name="Calculation 2 4 3 3 4 4" xfId="5264"/>
    <cellStyle name="Calculation 2 4 3 3 5" xfId="5265"/>
    <cellStyle name="Calculation 2 4 3 3 6" xfId="5266"/>
    <cellStyle name="Calculation 2 4 3 3 7" xfId="5267"/>
    <cellStyle name="Calculation 2 4 3 4" xfId="5268"/>
    <cellStyle name="Calculation 2 4 3 4 2" xfId="5269"/>
    <cellStyle name="Calculation 2 4 3 4 2 2" xfId="5270"/>
    <cellStyle name="Calculation 2 4 3 4 2 3" xfId="5271"/>
    <cellStyle name="Calculation 2 4 3 4 2 4" xfId="5272"/>
    <cellStyle name="Calculation 2 4 3 4 3" xfId="5273"/>
    <cellStyle name="Calculation 2 4 3 4 3 2" xfId="5274"/>
    <cellStyle name="Calculation 2 4 3 4 3 3" xfId="5275"/>
    <cellStyle name="Calculation 2 4 3 4 3 4" xfId="5276"/>
    <cellStyle name="Calculation 2 4 3 4 4" xfId="5277"/>
    <cellStyle name="Calculation 2 4 3 4 4 2" xfId="5278"/>
    <cellStyle name="Calculation 2 4 3 4 4 3" xfId="5279"/>
    <cellStyle name="Calculation 2 4 3 4 4 4" xfId="5280"/>
    <cellStyle name="Calculation 2 4 3 4 5" xfId="5281"/>
    <cellStyle name="Calculation 2 4 3 4 6" xfId="5282"/>
    <cellStyle name="Calculation 2 4 3 4 7" xfId="5283"/>
    <cellStyle name="Calculation 2 4 3 5" xfId="5284"/>
    <cellStyle name="Calculation 2 4 3 5 2" xfId="5285"/>
    <cellStyle name="Calculation 2 4 3 5 2 2" xfId="5286"/>
    <cellStyle name="Calculation 2 4 3 5 2 3" xfId="5287"/>
    <cellStyle name="Calculation 2 4 3 5 2 4" xfId="5288"/>
    <cellStyle name="Calculation 2 4 3 5 3" xfId="5289"/>
    <cellStyle name="Calculation 2 4 3 5 3 2" xfId="5290"/>
    <cellStyle name="Calculation 2 4 3 5 3 3" xfId="5291"/>
    <cellStyle name="Calculation 2 4 3 5 3 4" xfId="5292"/>
    <cellStyle name="Calculation 2 4 3 5 4" xfId="5293"/>
    <cellStyle name="Calculation 2 4 3 5 4 2" xfId="5294"/>
    <cellStyle name="Calculation 2 4 3 5 4 3" xfId="5295"/>
    <cellStyle name="Calculation 2 4 3 5 4 4" xfId="5296"/>
    <cellStyle name="Calculation 2 4 3 5 5" xfId="5297"/>
    <cellStyle name="Calculation 2 4 3 5 6" xfId="5298"/>
    <cellStyle name="Calculation 2 4 3 5 7" xfId="5299"/>
    <cellStyle name="Calculation 2 4 3 6" xfId="5300"/>
    <cellStyle name="Calculation 2 4 3 6 2" xfId="5301"/>
    <cellStyle name="Calculation 2 4 3 6 2 2" xfId="5302"/>
    <cellStyle name="Calculation 2 4 3 6 2 3" xfId="5303"/>
    <cellStyle name="Calculation 2 4 3 6 2 4" xfId="5304"/>
    <cellStyle name="Calculation 2 4 3 6 3" xfId="5305"/>
    <cellStyle name="Calculation 2 4 3 6 3 2" xfId="5306"/>
    <cellStyle name="Calculation 2 4 3 6 3 3" xfId="5307"/>
    <cellStyle name="Calculation 2 4 3 6 3 4" xfId="5308"/>
    <cellStyle name="Calculation 2 4 3 6 4" xfId="5309"/>
    <cellStyle name="Calculation 2 4 3 6 4 2" xfId="5310"/>
    <cellStyle name="Calculation 2 4 3 6 4 3" xfId="5311"/>
    <cellStyle name="Calculation 2 4 3 6 4 4" xfId="5312"/>
    <cellStyle name="Calculation 2 4 3 6 5" xfId="5313"/>
    <cellStyle name="Calculation 2 4 3 6 6" xfId="5314"/>
    <cellStyle name="Calculation 2 4 3 6 7" xfId="5315"/>
    <cellStyle name="Calculation 2 4 3 7" xfId="5316"/>
    <cellStyle name="Calculation 2 4 3 7 2" xfId="5317"/>
    <cellStyle name="Calculation 2 4 3 7 3" xfId="5318"/>
    <cellStyle name="Calculation 2 4 3 7 4" xfId="5319"/>
    <cellStyle name="Calculation 2 4 3 8" xfId="5320"/>
    <cellStyle name="Calculation 2 4 3 8 2" xfId="5321"/>
    <cellStyle name="Calculation 2 4 3 8 3" xfId="5322"/>
    <cellStyle name="Calculation 2 4 3 8 4" xfId="5323"/>
    <cellStyle name="Calculation 2 4 3 9" xfId="5324"/>
    <cellStyle name="Calculation 2 4 3 9 2" xfId="5325"/>
    <cellStyle name="Calculation 2 4 3 9 3" xfId="5326"/>
    <cellStyle name="Calculation 2 4 3 9 4" xfId="5327"/>
    <cellStyle name="Calculation 2 4 4" xfId="1100"/>
    <cellStyle name="Calculation 2 4 5" xfId="1159"/>
    <cellStyle name="Calculation 2 4 6" xfId="3149"/>
    <cellStyle name="Calculation 2 4 7" xfId="3219"/>
    <cellStyle name="Calculation 2 5" xfId="61"/>
    <cellStyle name="Calculation 2 5 2" xfId="391"/>
    <cellStyle name="Calculation 2 5 2 10" xfId="5328"/>
    <cellStyle name="Calculation 2 5 2 10 2" xfId="5329"/>
    <cellStyle name="Calculation 2 5 2 10 2 2" xfId="5330"/>
    <cellStyle name="Calculation 2 5 2 10 2 3" xfId="5331"/>
    <cellStyle name="Calculation 2 5 2 10 2 4" xfId="5332"/>
    <cellStyle name="Calculation 2 5 2 10 3" xfId="5333"/>
    <cellStyle name="Calculation 2 5 2 10 3 2" xfId="5334"/>
    <cellStyle name="Calculation 2 5 2 10 3 3" xfId="5335"/>
    <cellStyle name="Calculation 2 5 2 10 3 4" xfId="5336"/>
    <cellStyle name="Calculation 2 5 2 10 4" xfId="5337"/>
    <cellStyle name="Calculation 2 5 2 10 4 2" xfId="5338"/>
    <cellStyle name="Calculation 2 5 2 10 4 3" xfId="5339"/>
    <cellStyle name="Calculation 2 5 2 10 4 4" xfId="5340"/>
    <cellStyle name="Calculation 2 5 2 10 5" xfId="5341"/>
    <cellStyle name="Calculation 2 5 2 10 6" xfId="5342"/>
    <cellStyle name="Calculation 2 5 2 10 7" xfId="5343"/>
    <cellStyle name="Calculation 2 5 2 11" xfId="5344"/>
    <cellStyle name="Calculation 2 5 2 11 2" xfId="5345"/>
    <cellStyle name="Calculation 2 5 2 11 2 2" xfId="5346"/>
    <cellStyle name="Calculation 2 5 2 11 2 3" xfId="5347"/>
    <cellStyle name="Calculation 2 5 2 11 2 4" xfId="5348"/>
    <cellStyle name="Calculation 2 5 2 11 3" xfId="5349"/>
    <cellStyle name="Calculation 2 5 2 11 3 2" xfId="5350"/>
    <cellStyle name="Calculation 2 5 2 11 3 3" xfId="5351"/>
    <cellStyle name="Calculation 2 5 2 11 3 4" xfId="5352"/>
    <cellStyle name="Calculation 2 5 2 11 4" xfId="5353"/>
    <cellStyle name="Calculation 2 5 2 11 4 2" xfId="5354"/>
    <cellStyle name="Calculation 2 5 2 11 4 3" xfId="5355"/>
    <cellStyle name="Calculation 2 5 2 11 4 4" xfId="5356"/>
    <cellStyle name="Calculation 2 5 2 11 5" xfId="5357"/>
    <cellStyle name="Calculation 2 5 2 11 6" xfId="5358"/>
    <cellStyle name="Calculation 2 5 2 11 7" xfId="5359"/>
    <cellStyle name="Calculation 2 5 2 12" xfId="5360"/>
    <cellStyle name="Calculation 2 5 2 12 2" xfId="5361"/>
    <cellStyle name="Calculation 2 5 2 12 2 2" xfId="5362"/>
    <cellStyle name="Calculation 2 5 2 12 2 3" xfId="5363"/>
    <cellStyle name="Calculation 2 5 2 12 2 4" xfId="5364"/>
    <cellStyle name="Calculation 2 5 2 12 3" xfId="5365"/>
    <cellStyle name="Calculation 2 5 2 12 3 2" xfId="5366"/>
    <cellStyle name="Calculation 2 5 2 12 3 3" xfId="5367"/>
    <cellStyle name="Calculation 2 5 2 12 3 4" xfId="5368"/>
    <cellStyle name="Calculation 2 5 2 12 4" xfId="5369"/>
    <cellStyle name="Calculation 2 5 2 12 4 2" xfId="5370"/>
    <cellStyle name="Calculation 2 5 2 12 4 3" xfId="5371"/>
    <cellStyle name="Calculation 2 5 2 12 4 4" xfId="5372"/>
    <cellStyle name="Calculation 2 5 2 12 5" xfId="5373"/>
    <cellStyle name="Calculation 2 5 2 12 6" xfId="5374"/>
    <cellStyle name="Calculation 2 5 2 12 7" xfId="5375"/>
    <cellStyle name="Calculation 2 5 2 13" xfId="5376"/>
    <cellStyle name="Calculation 2 5 2 13 2" xfId="5377"/>
    <cellStyle name="Calculation 2 5 2 13 2 2" xfId="5378"/>
    <cellStyle name="Calculation 2 5 2 13 2 3" xfId="5379"/>
    <cellStyle name="Calculation 2 5 2 13 2 4" xfId="5380"/>
    <cellStyle name="Calculation 2 5 2 13 3" xfId="5381"/>
    <cellStyle name="Calculation 2 5 2 13 3 2" xfId="5382"/>
    <cellStyle name="Calculation 2 5 2 13 3 3" xfId="5383"/>
    <cellStyle name="Calculation 2 5 2 13 3 4" xfId="5384"/>
    <cellStyle name="Calculation 2 5 2 13 4" xfId="5385"/>
    <cellStyle name="Calculation 2 5 2 13 4 2" xfId="5386"/>
    <cellStyle name="Calculation 2 5 2 13 4 3" xfId="5387"/>
    <cellStyle name="Calculation 2 5 2 13 4 4" xfId="5388"/>
    <cellStyle name="Calculation 2 5 2 13 5" xfId="5389"/>
    <cellStyle name="Calculation 2 5 2 13 6" xfId="5390"/>
    <cellStyle name="Calculation 2 5 2 13 7" xfId="5391"/>
    <cellStyle name="Calculation 2 5 2 14" xfId="5392"/>
    <cellStyle name="Calculation 2 5 2 14 2" xfId="5393"/>
    <cellStyle name="Calculation 2 5 2 14 3" xfId="5394"/>
    <cellStyle name="Calculation 2 5 2 14 4" xfId="5395"/>
    <cellStyle name="Calculation 2 5 2 15" xfId="5396"/>
    <cellStyle name="Calculation 2 5 2 15 2" xfId="5397"/>
    <cellStyle name="Calculation 2 5 2 15 3" xfId="5398"/>
    <cellStyle name="Calculation 2 5 2 15 4" xfId="5399"/>
    <cellStyle name="Calculation 2 5 2 16" xfId="5400"/>
    <cellStyle name="Calculation 2 5 2 16 2" xfId="5401"/>
    <cellStyle name="Calculation 2 5 2 16 3" xfId="5402"/>
    <cellStyle name="Calculation 2 5 2 16 4" xfId="5403"/>
    <cellStyle name="Calculation 2 5 2 17" xfId="5404"/>
    <cellStyle name="Calculation 2 5 2 18" xfId="5405"/>
    <cellStyle name="Calculation 2 5 2 19" xfId="5406"/>
    <cellStyle name="Calculation 2 5 2 2" xfId="815"/>
    <cellStyle name="Calculation 2 5 2 2 10" xfId="5407"/>
    <cellStyle name="Calculation 2 5 2 2 11" xfId="5408"/>
    <cellStyle name="Calculation 2 5 2 2 12" xfId="5409"/>
    <cellStyle name="Calculation 2 5 2 2 2" xfId="5410"/>
    <cellStyle name="Calculation 2 5 2 2 2 2" xfId="5411"/>
    <cellStyle name="Calculation 2 5 2 2 2 2 2" xfId="5412"/>
    <cellStyle name="Calculation 2 5 2 2 2 2 3" xfId="5413"/>
    <cellStyle name="Calculation 2 5 2 2 2 2 4" xfId="5414"/>
    <cellStyle name="Calculation 2 5 2 2 2 3" xfId="5415"/>
    <cellStyle name="Calculation 2 5 2 2 2 3 2" xfId="5416"/>
    <cellStyle name="Calculation 2 5 2 2 2 3 3" xfId="5417"/>
    <cellStyle name="Calculation 2 5 2 2 2 3 4" xfId="5418"/>
    <cellStyle name="Calculation 2 5 2 2 2 4" xfId="5419"/>
    <cellStyle name="Calculation 2 5 2 2 2 4 2" xfId="5420"/>
    <cellStyle name="Calculation 2 5 2 2 2 4 3" xfId="5421"/>
    <cellStyle name="Calculation 2 5 2 2 2 4 4" xfId="5422"/>
    <cellStyle name="Calculation 2 5 2 2 2 5" xfId="5423"/>
    <cellStyle name="Calculation 2 5 2 2 2 6" xfId="5424"/>
    <cellStyle name="Calculation 2 5 2 2 2 7" xfId="5425"/>
    <cellStyle name="Calculation 2 5 2 2 3" xfId="5426"/>
    <cellStyle name="Calculation 2 5 2 2 3 2" xfId="5427"/>
    <cellStyle name="Calculation 2 5 2 2 3 2 2" xfId="5428"/>
    <cellStyle name="Calculation 2 5 2 2 3 2 3" xfId="5429"/>
    <cellStyle name="Calculation 2 5 2 2 3 2 4" xfId="5430"/>
    <cellStyle name="Calculation 2 5 2 2 3 3" xfId="5431"/>
    <cellStyle name="Calculation 2 5 2 2 3 3 2" xfId="5432"/>
    <cellStyle name="Calculation 2 5 2 2 3 3 3" xfId="5433"/>
    <cellStyle name="Calculation 2 5 2 2 3 3 4" xfId="5434"/>
    <cellStyle name="Calculation 2 5 2 2 3 4" xfId="5435"/>
    <cellStyle name="Calculation 2 5 2 2 3 4 2" xfId="5436"/>
    <cellStyle name="Calculation 2 5 2 2 3 4 3" xfId="5437"/>
    <cellStyle name="Calculation 2 5 2 2 3 4 4" xfId="5438"/>
    <cellStyle name="Calculation 2 5 2 2 3 5" xfId="5439"/>
    <cellStyle name="Calculation 2 5 2 2 3 6" xfId="5440"/>
    <cellStyle name="Calculation 2 5 2 2 3 7" xfId="5441"/>
    <cellStyle name="Calculation 2 5 2 2 4" xfId="5442"/>
    <cellStyle name="Calculation 2 5 2 2 4 2" xfId="5443"/>
    <cellStyle name="Calculation 2 5 2 2 4 2 2" xfId="5444"/>
    <cellStyle name="Calculation 2 5 2 2 4 2 3" xfId="5445"/>
    <cellStyle name="Calculation 2 5 2 2 4 2 4" xfId="5446"/>
    <cellStyle name="Calculation 2 5 2 2 4 3" xfId="5447"/>
    <cellStyle name="Calculation 2 5 2 2 4 3 2" xfId="5448"/>
    <cellStyle name="Calculation 2 5 2 2 4 3 3" xfId="5449"/>
    <cellStyle name="Calculation 2 5 2 2 4 3 4" xfId="5450"/>
    <cellStyle name="Calculation 2 5 2 2 4 4" xfId="5451"/>
    <cellStyle name="Calculation 2 5 2 2 4 4 2" xfId="5452"/>
    <cellStyle name="Calculation 2 5 2 2 4 4 3" xfId="5453"/>
    <cellStyle name="Calculation 2 5 2 2 4 4 4" xfId="5454"/>
    <cellStyle name="Calculation 2 5 2 2 4 5" xfId="5455"/>
    <cellStyle name="Calculation 2 5 2 2 4 6" xfId="5456"/>
    <cellStyle name="Calculation 2 5 2 2 4 7" xfId="5457"/>
    <cellStyle name="Calculation 2 5 2 2 5" xfId="5458"/>
    <cellStyle name="Calculation 2 5 2 2 5 2" xfId="5459"/>
    <cellStyle name="Calculation 2 5 2 2 5 2 2" xfId="5460"/>
    <cellStyle name="Calculation 2 5 2 2 5 2 3" xfId="5461"/>
    <cellStyle name="Calculation 2 5 2 2 5 2 4" xfId="5462"/>
    <cellStyle name="Calculation 2 5 2 2 5 3" xfId="5463"/>
    <cellStyle name="Calculation 2 5 2 2 5 3 2" xfId="5464"/>
    <cellStyle name="Calculation 2 5 2 2 5 3 3" xfId="5465"/>
    <cellStyle name="Calculation 2 5 2 2 5 3 4" xfId="5466"/>
    <cellStyle name="Calculation 2 5 2 2 5 4" xfId="5467"/>
    <cellStyle name="Calculation 2 5 2 2 5 4 2" xfId="5468"/>
    <cellStyle name="Calculation 2 5 2 2 5 4 3" xfId="5469"/>
    <cellStyle name="Calculation 2 5 2 2 5 4 4" xfId="5470"/>
    <cellStyle name="Calculation 2 5 2 2 5 5" xfId="5471"/>
    <cellStyle name="Calculation 2 5 2 2 5 6" xfId="5472"/>
    <cellStyle name="Calculation 2 5 2 2 5 7" xfId="5473"/>
    <cellStyle name="Calculation 2 5 2 2 6" xfId="5474"/>
    <cellStyle name="Calculation 2 5 2 2 6 2" xfId="5475"/>
    <cellStyle name="Calculation 2 5 2 2 6 2 2" xfId="5476"/>
    <cellStyle name="Calculation 2 5 2 2 6 2 3" xfId="5477"/>
    <cellStyle name="Calculation 2 5 2 2 6 2 4" xfId="5478"/>
    <cellStyle name="Calculation 2 5 2 2 6 3" xfId="5479"/>
    <cellStyle name="Calculation 2 5 2 2 6 3 2" xfId="5480"/>
    <cellStyle name="Calculation 2 5 2 2 6 3 3" xfId="5481"/>
    <cellStyle name="Calculation 2 5 2 2 6 3 4" xfId="5482"/>
    <cellStyle name="Calculation 2 5 2 2 6 4" xfId="5483"/>
    <cellStyle name="Calculation 2 5 2 2 6 4 2" xfId="5484"/>
    <cellStyle name="Calculation 2 5 2 2 6 4 3" xfId="5485"/>
    <cellStyle name="Calculation 2 5 2 2 6 4 4" xfId="5486"/>
    <cellStyle name="Calculation 2 5 2 2 6 5" xfId="5487"/>
    <cellStyle name="Calculation 2 5 2 2 6 6" xfId="5488"/>
    <cellStyle name="Calculation 2 5 2 2 6 7" xfId="5489"/>
    <cellStyle name="Calculation 2 5 2 2 7" xfId="5490"/>
    <cellStyle name="Calculation 2 5 2 2 7 2" xfId="5491"/>
    <cellStyle name="Calculation 2 5 2 2 7 3" xfId="5492"/>
    <cellStyle name="Calculation 2 5 2 2 7 4" xfId="5493"/>
    <cellStyle name="Calculation 2 5 2 2 8" xfId="5494"/>
    <cellStyle name="Calculation 2 5 2 2 8 2" xfId="5495"/>
    <cellStyle name="Calculation 2 5 2 2 8 3" xfId="5496"/>
    <cellStyle name="Calculation 2 5 2 2 8 4" xfId="5497"/>
    <cellStyle name="Calculation 2 5 2 2 9" xfId="5498"/>
    <cellStyle name="Calculation 2 5 2 2 9 2" xfId="5499"/>
    <cellStyle name="Calculation 2 5 2 2 9 3" xfId="5500"/>
    <cellStyle name="Calculation 2 5 2 2 9 4" xfId="5501"/>
    <cellStyle name="Calculation 2 5 2 3" xfId="741"/>
    <cellStyle name="Calculation 2 5 2 3 10" xfId="5502"/>
    <cellStyle name="Calculation 2 5 2 3 11" xfId="5503"/>
    <cellStyle name="Calculation 2 5 2 3 12" xfId="5504"/>
    <cellStyle name="Calculation 2 5 2 3 2" xfId="5505"/>
    <cellStyle name="Calculation 2 5 2 3 2 2" xfId="5506"/>
    <cellStyle name="Calculation 2 5 2 3 2 2 2" xfId="5507"/>
    <cellStyle name="Calculation 2 5 2 3 2 2 3" xfId="5508"/>
    <cellStyle name="Calculation 2 5 2 3 2 2 4" xfId="5509"/>
    <cellStyle name="Calculation 2 5 2 3 2 3" xfId="5510"/>
    <cellStyle name="Calculation 2 5 2 3 2 3 2" xfId="5511"/>
    <cellStyle name="Calculation 2 5 2 3 2 3 3" xfId="5512"/>
    <cellStyle name="Calculation 2 5 2 3 2 3 4" xfId="5513"/>
    <cellStyle name="Calculation 2 5 2 3 2 4" xfId="5514"/>
    <cellStyle name="Calculation 2 5 2 3 2 4 2" xfId="5515"/>
    <cellStyle name="Calculation 2 5 2 3 2 4 3" xfId="5516"/>
    <cellStyle name="Calculation 2 5 2 3 2 4 4" xfId="5517"/>
    <cellStyle name="Calculation 2 5 2 3 2 5" xfId="5518"/>
    <cellStyle name="Calculation 2 5 2 3 2 6" xfId="5519"/>
    <cellStyle name="Calculation 2 5 2 3 2 7" xfId="5520"/>
    <cellStyle name="Calculation 2 5 2 3 3" xfId="5521"/>
    <cellStyle name="Calculation 2 5 2 3 3 2" xfId="5522"/>
    <cellStyle name="Calculation 2 5 2 3 3 2 2" xfId="5523"/>
    <cellStyle name="Calculation 2 5 2 3 3 2 3" xfId="5524"/>
    <cellStyle name="Calculation 2 5 2 3 3 2 4" xfId="5525"/>
    <cellStyle name="Calculation 2 5 2 3 3 3" xfId="5526"/>
    <cellStyle name="Calculation 2 5 2 3 3 3 2" xfId="5527"/>
    <cellStyle name="Calculation 2 5 2 3 3 3 3" xfId="5528"/>
    <cellStyle name="Calculation 2 5 2 3 3 3 4" xfId="5529"/>
    <cellStyle name="Calculation 2 5 2 3 3 4" xfId="5530"/>
    <cellStyle name="Calculation 2 5 2 3 3 4 2" xfId="5531"/>
    <cellStyle name="Calculation 2 5 2 3 3 4 3" xfId="5532"/>
    <cellStyle name="Calculation 2 5 2 3 3 4 4" xfId="5533"/>
    <cellStyle name="Calculation 2 5 2 3 3 5" xfId="5534"/>
    <cellStyle name="Calculation 2 5 2 3 3 6" xfId="5535"/>
    <cellStyle name="Calculation 2 5 2 3 3 7" xfId="5536"/>
    <cellStyle name="Calculation 2 5 2 3 4" xfId="5537"/>
    <cellStyle name="Calculation 2 5 2 3 4 2" xfId="5538"/>
    <cellStyle name="Calculation 2 5 2 3 4 2 2" xfId="5539"/>
    <cellStyle name="Calculation 2 5 2 3 4 2 3" xfId="5540"/>
    <cellStyle name="Calculation 2 5 2 3 4 2 4" xfId="5541"/>
    <cellStyle name="Calculation 2 5 2 3 4 3" xfId="5542"/>
    <cellStyle name="Calculation 2 5 2 3 4 3 2" xfId="5543"/>
    <cellStyle name="Calculation 2 5 2 3 4 3 3" xfId="5544"/>
    <cellStyle name="Calculation 2 5 2 3 4 3 4" xfId="5545"/>
    <cellStyle name="Calculation 2 5 2 3 4 4" xfId="5546"/>
    <cellStyle name="Calculation 2 5 2 3 4 4 2" xfId="5547"/>
    <cellStyle name="Calculation 2 5 2 3 4 4 3" xfId="5548"/>
    <cellStyle name="Calculation 2 5 2 3 4 4 4" xfId="5549"/>
    <cellStyle name="Calculation 2 5 2 3 4 5" xfId="5550"/>
    <cellStyle name="Calculation 2 5 2 3 4 6" xfId="5551"/>
    <cellStyle name="Calculation 2 5 2 3 4 7" xfId="5552"/>
    <cellStyle name="Calculation 2 5 2 3 5" xfId="5553"/>
    <cellStyle name="Calculation 2 5 2 3 5 2" xfId="5554"/>
    <cellStyle name="Calculation 2 5 2 3 5 2 2" xfId="5555"/>
    <cellStyle name="Calculation 2 5 2 3 5 2 3" xfId="5556"/>
    <cellStyle name="Calculation 2 5 2 3 5 2 4" xfId="5557"/>
    <cellStyle name="Calculation 2 5 2 3 5 3" xfId="5558"/>
    <cellStyle name="Calculation 2 5 2 3 5 3 2" xfId="5559"/>
    <cellStyle name="Calculation 2 5 2 3 5 3 3" xfId="5560"/>
    <cellStyle name="Calculation 2 5 2 3 5 3 4" xfId="5561"/>
    <cellStyle name="Calculation 2 5 2 3 5 4" xfId="5562"/>
    <cellStyle name="Calculation 2 5 2 3 5 4 2" xfId="5563"/>
    <cellStyle name="Calculation 2 5 2 3 5 4 3" xfId="5564"/>
    <cellStyle name="Calculation 2 5 2 3 5 4 4" xfId="5565"/>
    <cellStyle name="Calculation 2 5 2 3 5 5" xfId="5566"/>
    <cellStyle name="Calculation 2 5 2 3 5 6" xfId="5567"/>
    <cellStyle name="Calculation 2 5 2 3 5 7" xfId="5568"/>
    <cellStyle name="Calculation 2 5 2 3 6" xfId="5569"/>
    <cellStyle name="Calculation 2 5 2 3 6 2" xfId="5570"/>
    <cellStyle name="Calculation 2 5 2 3 6 2 2" xfId="5571"/>
    <cellStyle name="Calculation 2 5 2 3 6 2 3" xfId="5572"/>
    <cellStyle name="Calculation 2 5 2 3 6 2 4" xfId="5573"/>
    <cellStyle name="Calculation 2 5 2 3 6 3" xfId="5574"/>
    <cellStyle name="Calculation 2 5 2 3 6 3 2" xfId="5575"/>
    <cellStyle name="Calculation 2 5 2 3 6 3 3" xfId="5576"/>
    <cellStyle name="Calculation 2 5 2 3 6 3 4" xfId="5577"/>
    <cellStyle name="Calculation 2 5 2 3 6 4" xfId="5578"/>
    <cellStyle name="Calculation 2 5 2 3 6 4 2" xfId="5579"/>
    <cellStyle name="Calculation 2 5 2 3 6 4 3" xfId="5580"/>
    <cellStyle name="Calculation 2 5 2 3 6 4 4" xfId="5581"/>
    <cellStyle name="Calculation 2 5 2 3 6 5" xfId="5582"/>
    <cellStyle name="Calculation 2 5 2 3 6 6" xfId="5583"/>
    <cellStyle name="Calculation 2 5 2 3 6 7" xfId="5584"/>
    <cellStyle name="Calculation 2 5 2 3 7" xfId="5585"/>
    <cellStyle name="Calculation 2 5 2 3 7 2" xfId="5586"/>
    <cellStyle name="Calculation 2 5 2 3 7 3" xfId="5587"/>
    <cellStyle name="Calculation 2 5 2 3 7 4" xfId="5588"/>
    <cellStyle name="Calculation 2 5 2 3 8" xfId="5589"/>
    <cellStyle name="Calculation 2 5 2 3 8 2" xfId="5590"/>
    <cellStyle name="Calculation 2 5 2 3 8 3" xfId="5591"/>
    <cellStyle name="Calculation 2 5 2 3 8 4" xfId="5592"/>
    <cellStyle name="Calculation 2 5 2 3 9" xfId="5593"/>
    <cellStyle name="Calculation 2 5 2 3 9 2" xfId="5594"/>
    <cellStyle name="Calculation 2 5 2 3 9 3" xfId="5595"/>
    <cellStyle name="Calculation 2 5 2 3 9 4" xfId="5596"/>
    <cellStyle name="Calculation 2 5 2 4" xfId="811"/>
    <cellStyle name="Calculation 2 5 2 4 10" xfId="5597"/>
    <cellStyle name="Calculation 2 5 2 4 11" xfId="5598"/>
    <cellStyle name="Calculation 2 5 2 4 12" xfId="5599"/>
    <cellStyle name="Calculation 2 5 2 4 2" xfId="5600"/>
    <cellStyle name="Calculation 2 5 2 4 2 2" xfId="5601"/>
    <cellStyle name="Calculation 2 5 2 4 2 2 2" xfId="5602"/>
    <cellStyle name="Calculation 2 5 2 4 2 2 3" xfId="5603"/>
    <cellStyle name="Calculation 2 5 2 4 2 2 4" xfId="5604"/>
    <cellStyle name="Calculation 2 5 2 4 2 3" xfId="5605"/>
    <cellStyle name="Calculation 2 5 2 4 2 3 2" xfId="5606"/>
    <cellStyle name="Calculation 2 5 2 4 2 3 3" xfId="5607"/>
    <cellStyle name="Calculation 2 5 2 4 2 3 4" xfId="5608"/>
    <cellStyle name="Calculation 2 5 2 4 2 4" xfId="5609"/>
    <cellStyle name="Calculation 2 5 2 4 2 4 2" xfId="5610"/>
    <cellStyle name="Calculation 2 5 2 4 2 4 3" xfId="5611"/>
    <cellStyle name="Calculation 2 5 2 4 2 4 4" xfId="5612"/>
    <cellStyle name="Calculation 2 5 2 4 2 5" xfId="5613"/>
    <cellStyle name="Calculation 2 5 2 4 2 6" xfId="5614"/>
    <cellStyle name="Calculation 2 5 2 4 2 7" xfId="5615"/>
    <cellStyle name="Calculation 2 5 2 4 3" xfId="5616"/>
    <cellStyle name="Calculation 2 5 2 4 3 2" xfId="5617"/>
    <cellStyle name="Calculation 2 5 2 4 3 2 2" xfId="5618"/>
    <cellStyle name="Calculation 2 5 2 4 3 2 3" xfId="5619"/>
    <cellStyle name="Calculation 2 5 2 4 3 2 4" xfId="5620"/>
    <cellStyle name="Calculation 2 5 2 4 3 3" xfId="5621"/>
    <cellStyle name="Calculation 2 5 2 4 3 3 2" xfId="5622"/>
    <cellStyle name="Calculation 2 5 2 4 3 3 3" xfId="5623"/>
    <cellStyle name="Calculation 2 5 2 4 3 3 4" xfId="5624"/>
    <cellStyle name="Calculation 2 5 2 4 3 4" xfId="5625"/>
    <cellStyle name="Calculation 2 5 2 4 3 4 2" xfId="5626"/>
    <cellStyle name="Calculation 2 5 2 4 3 4 3" xfId="5627"/>
    <cellStyle name="Calculation 2 5 2 4 3 4 4" xfId="5628"/>
    <cellStyle name="Calculation 2 5 2 4 3 5" xfId="5629"/>
    <cellStyle name="Calculation 2 5 2 4 3 6" xfId="5630"/>
    <cellStyle name="Calculation 2 5 2 4 3 7" xfId="5631"/>
    <cellStyle name="Calculation 2 5 2 4 4" xfId="5632"/>
    <cellStyle name="Calculation 2 5 2 4 4 2" xfId="5633"/>
    <cellStyle name="Calculation 2 5 2 4 4 2 2" xfId="5634"/>
    <cellStyle name="Calculation 2 5 2 4 4 2 3" xfId="5635"/>
    <cellStyle name="Calculation 2 5 2 4 4 2 4" xfId="5636"/>
    <cellStyle name="Calculation 2 5 2 4 4 3" xfId="5637"/>
    <cellStyle name="Calculation 2 5 2 4 4 3 2" xfId="5638"/>
    <cellStyle name="Calculation 2 5 2 4 4 3 3" xfId="5639"/>
    <cellStyle name="Calculation 2 5 2 4 4 3 4" xfId="5640"/>
    <cellStyle name="Calculation 2 5 2 4 4 4" xfId="5641"/>
    <cellStyle name="Calculation 2 5 2 4 4 4 2" xfId="5642"/>
    <cellStyle name="Calculation 2 5 2 4 4 4 3" xfId="5643"/>
    <cellStyle name="Calculation 2 5 2 4 4 4 4" xfId="5644"/>
    <cellStyle name="Calculation 2 5 2 4 4 5" xfId="5645"/>
    <cellStyle name="Calculation 2 5 2 4 4 6" xfId="5646"/>
    <cellStyle name="Calculation 2 5 2 4 4 7" xfId="5647"/>
    <cellStyle name="Calculation 2 5 2 4 5" xfId="5648"/>
    <cellStyle name="Calculation 2 5 2 4 5 2" xfId="5649"/>
    <cellStyle name="Calculation 2 5 2 4 5 2 2" xfId="5650"/>
    <cellStyle name="Calculation 2 5 2 4 5 2 3" xfId="5651"/>
    <cellStyle name="Calculation 2 5 2 4 5 2 4" xfId="5652"/>
    <cellStyle name="Calculation 2 5 2 4 5 3" xfId="5653"/>
    <cellStyle name="Calculation 2 5 2 4 5 3 2" xfId="5654"/>
    <cellStyle name="Calculation 2 5 2 4 5 3 3" xfId="5655"/>
    <cellStyle name="Calculation 2 5 2 4 5 3 4" xfId="5656"/>
    <cellStyle name="Calculation 2 5 2 4 5 4" xfId="5657"/>
    <cellStyle name="Calculation 2 5 2 4 5 4 2" xfId="5658"/>
    <cellStyle name="Calculation 2 5 2 4 5 4 3" xfId="5659"/>
    <cellStyle name="Calculation 2 5 2 4 5 4 4" xfId="5660"/>
    <cellStyle name="Calculation 2 5 2 4 5 5" xfId="5661"/>
    <cellStyle name="Calculation 2 5 2 4 5 6" xfId="5662"/>
    <cellStyle name="Calculation 2 5 2 4 5 7" xfId="5663"/>
    <cellStyle name="Calculation 2 5 2 4 6" xfId="5664"/>
    <cellStyle name="Calculation 2 5 2 4 6 2" xfId="5665"/>
    <cellStyle name="Calculation 2 5 2 4 6 2 2" xfId="5666"/>
    <cellStyle name="Calculation 2 5 2 4 6 2 3" xfId="5667"/>
    <cellStyle name="Calculation 2 5 2 4 6 2 4" xfId="5668"/>
    <cellStyle name="Calculation 2 5 2 4 6 3" xfId="5669"/>
    <cellStyle name="Calculation 2 5 2 4 6 3 2" xfId="5670"/>
    <cellStyle name="Calculation 2 5 2 4 6 3 3" xfId="5671"/>
    <cellStyle name="Calculation 2 5 2 4 6 3 4" xfId="5672"/>
    <cellStyle name="Calculation 2 5 2 4 6 4" xfId="5673"/>
    <cellStyle name="Calculation 2 5 2 4 6 4 2" xfId="5674"/>
    <cellStyle name="Calculation 2 5 2 4 6 4 3" xfId="5675"/>
    <cellStyle name="Calculation 2 5 2 4 6 4 4" xfId="5676"/>
    <cellStyle name="Calculation 2 5 2 4 6 5" xfId="5677"/>
    <cellStyle name="Calculation 2 5 2 4 6 6" xfId="5678"/>
    <cellStyle name="Calculation 2 5 2 4 6 7" xfId="5679"/>
    <cellStyle name="Calculation 2 5 2 4 7" xfId="5680"/>
    <cellStyle name="Calculation 2 5 2 4 7 2" xfId="5681"/>
    <cellStyle name="Calculation 2 5 2 4 7 3" xfId="5682"/>
    <cellStyle name="Calculation 2 5 2 4 7 4" xfId="5683"/>
    <cellStyle name="Calculation 2 5 2 4 8" xfId="5684"/>
    <cellStyle name="Calculation 2 5 2 4 8 2" xfId="5685"/>
    <cellStyle name="Calculation 2 5 2 4 8 3" xfId="5686"/>
    <cellStyle name="Calculation 2 5 2 4 8 4" xfId="5687"/>
    <cellStyle name="Calculation 2 5 2 4 9" xfId="5688"/>
    <cellStyle name="Calculation 2 5 2 4 9 2" xfId="5689"/>
    <cellStyle name="Calculation 2 5 2 4 9 3" xfId="5690"/>
    <cellStyle name="Calculation 2 5 2 4 9 4" xfId="5691"/>
    <cellStyle name="Calculation 2 5 2 5" xfId="5692"/>
    <cellStyle name="Calculation 2 5 2 5 10" xfId="5693"/>
    <cellStyle name="Calculation 2 5 2 5 11" xfId="5694"/>
    <cellStyle name="Calculation 2 5 2 5 12" xfId="5695"/>
    <cellStyle name="Calculation 2 5 2 5 2" xfId="5696"/>
    <cellStyle name="Calculation 2 5 2 5 2 2" xfId="5697"/>
    <cellStyle name="Calculation 2 5 2 5 2 2 2" xfId="5698"/>
    <cellStyle name="Calculation 2 5 2 5 2 2 3" xfId="5699"/>
    <cellStyle name="Calculation 2 5 2 5 2 2 4" xfId="5700"/>
    <cellStyle name="Calculation 2 5 2 5 2 3" xfId="5701"/>
    <cellStyle name="Calculation 2 5 2 5 2 3 2" xfId="5702"/>
    <cellStyle name="Calculation 2 5 2 5 2 3 3" xfId="5703"/>
    <cellStyle name="Calculation 2 5 2 5 2 3 4" xfId="5704"/>
    <cellStyle name="Calculation 2 5 2 5 2 4" xfId="5705"/>
    <cellStyle name="Calculation 2 5 2 5 2 4 2" xfId="5706"/>
    <cellStyle name="Calculation 2 5 2 5 2 4 3" xfId="5707"/>
    <cellStyle name="Calculation 2 5 2 5 2 4 4" xfId="5708"/>
    <cellStyle name="Calculation 2 5 2 5 2 5" xfId="5709"/>
    <cellStyle name="Calculation 2 5 2 5 2 6" xfId="5710"/>
    <cellStyle name="Calculation 2 5 2 5 2 7" xfId="5711"/>
    <cellStyle name="Calculation 2 5 2 5 3" xfId="5712"/>
    <cellStyle name="Calculation 2 5 2 5 3 2" xfId="5713"/>
    <cellStyle name="Calculation 2 5 2 5 3 2 2" xfId="5714"/>
    <cellStyle name="Calculation 2 5 2 5 3 2 3" xfId="5715"/>
    <cellStyle name="Calculation 2 5 2 5 3 2 4" xfId="5716"/>
    <cellStyle name="Calculation 2 5 2 5 3 3" xfId="5717"/>
    <cellStyle name="Calculation 2 5 2 5 3 3 2" xfId="5718"/>
    <cellStyle name="Calculation 2 5 2 5 3 3 3" xfId="5719"/>
    <cellStyle name="Calculation 2 5 2 5 3 3 4" xfId="5720"/>
    <cellStyle name="Calculation 2 5 2 5 3 4" xfId="5721"/>
    <cellStyle name="Calculation 2 5 2 5 3 4 2" xfId="5722"/>
    <cellStyle name="Calculation 2 5 2 5 3 4 3" xfId="5723"/>
    <cellStyle name="Calculation 2 5 2 5 3 4 4" xfId="5724"/>
    <cellStyle name="Calculation 2 5 2 5 3 5" xfId="5725"/>
    <cellStyle name="Calculation 2 5 2 5 3 6" xfId="5726"/>
    <cellStyle name="Calculation 2 5 2 5 3 7" xfId="5727"/>
    <cellStyle name="Calculation 2 5 2 5 4" xfId="5728"/>
    <cellStyle name="Calculation 2 5 2 5 4 2" xfId="5729"/>
    <cellStyle name="Calculation 2 5 2 5 4 2 2" xfId="5730"/>
    <cellStyle name="Calculation 2 5 2 5 4 2 3" xfId="5731"/>
    <cellStyle name="Calculation 2 5 2 5 4 2 4" xfId="5732"/>
    <cellStyle name="Calculation 2 5 2 5 4 3" xfId="5733"/>
    <cellStyle name="Calculation 2 5 2 5 4 3 2" xfId="5734"/>
    <cellStyle name="Calculation 2 5 2 5 4 3 3" xfId="5735"/>
    <cellStyle name="Calculation 2 5 2 5 4 3 4" xfId="5736"/>
    <cellStyle name="Calculation 2 5 2 5 4 4" xfId="5737"/>
    <cellStyle name="Calculation 2 5 2 5 4 4 2" xfId="5738"/>
    <cellStyle name="Calculation 2 5 2 5 4 4 3" xfId="5739"/>
    <cellStyle name="Calculation 2 5 2 5 4 4 4" xfId="5740"/>
    <cellStyle name="Calculation 2 5 2 5 4 5" xfId="5741"/>
    <cellStyle name="Calculation 2 5 2 5 4 6" xfId="5742"/>
    <cellStyle name="Calculation 2 5 2 5 4 7" xfId="5743"/>
    <cellStyle name="Calculation 2 5 2 5 5" xfId="5744"/>
    <cellStyle name="Calculation 2 5 2 5 5 2" xfId="5745"/>
    <cellStyle name="Calculation 2 5 2 5 5 2 2" xfId="5746"/>
    <cellStyle name="Calculation 2 5 2 5 5 2 3" xfId="5747"/>
    <cellStyle name="Calculation 2 5 2 5 5 2 4" xfId="5748"/>
    <cellStyle name="Calculation 2 5 2 5 5 3" xfId="5749"/>
    <cellStyle name="Calculation 2 5 2 5 5 3 2" xfId="5750"/>
    <cellStyle name="Calculation 2 5 2 5 5 3 3" xfId="5751"/>
    <cellStyle name="Calculation 2 5 2 5 5 3 4" xfId="5752"/>
    <cellStyle name="Calculation 2 5 2 5 5 4" xfId="5753"/>
    <cellStyle name="Calculation 2 5 2 5 5 4 2" xfId="5754"/>
    <cellStyle name="Calculation 2 5 2 5 5 4 3" xfId="5755"/>
    <cellStyle name="Calculation 2 5 2 5 5 4 4" xfId="5756"/>
    <cellStyle name="Calculation 2 5 2 5 5 5" xfId="5757"/>
    <cellStyle name="Calculation 2 5 2 5 5 6" xfId="5758"/>
    <cellStyle name="Calculation 2 5 2 5 5 7" xfId="5759"/>
    <cellStyle name="Calculation 2 5 2 5 6" xfId="5760"/>
    <cellStyle name="Calculation 2 5 2 5 6 2" xfId="5761"/>
    <cellStyle name="Calculation 2 5 2 5 6 2 2" xfId="5762"/>
    <cellStyle name="Calculation 2 5 2 5 6 2 3" xfId="5763"/>
    <cellStyle name="Calculation 2 5 2 5 6 2 4" xfId="5764"/>
    <cellStyle name="Calculation 2 5 2 5 6 3" xfId="5765"/>
    <cellStyle name="Calculation 2 5 2 5 6 3 2" xfId="5766"/>
    <cellStyle name="Calculation 2 5 2 5 6 3 3" xfId="5767"/>
    <cellStyle name="Calculation 2 5 2 5 6 3 4" xfId="5768"/>
    <cellStyle name="Calculation 2 5 2 5 6 4" xfId="5769"/>
    <cellStyle name="Calculation 2 5 2 5 6 4 2" xfId="5770"/>
    <cellStyle name="Calculation 2 5 2 5 6 4 3" xfId="5771"/>
    <cellStyle name="Calculation 2 5 2 5 6 4 4" xfId="5772"/>
    <cellStyle name="Calculation 2 5 2 5 6 5" xfId="5773"/>
    <cellStyle name="Calculation 2 5 2 5 6 6" xfId="5774"/>
    <cellStyle name="Calculation 2 5 2 5 6 7" xfId="5775"/>
    <cellStyle name="Calculation 2 5 2 5 7" xfId="5776"/>
    <cellStyle name="Calculation 2 5 2 5 7 2" xfId="5777"/>
    <cellStyle name="Calculation 2 5 2 5 7 3" xfId="5778"/>
    <cellStyle name="Calculation 2 5 2 5 7 4" xfId="5779"/>
    <cellStyle name="Calculation 2 5 2 5 8" xfId="5780"/>
    <cellStyle name="Calculation 2 5 2 5 8 2" xfId="5781"/>
    <cellStyle name="Calculation 2 5 2 5 8 3" xfId="5782"/>
    <cellStyle name="Calculation 2 5 2 5 8 4" xfId="5783"/>
    <cellStyle name="Calculation 2 5 2 5 9" xfId="5784"/>
    <cellStyle name="Calculation 2 5 2 5 9 2" xfId="5785"/>
    <cellStyle name="Calculation 2 5 2 5 9 3" xfId="5786"/>
    <cellStyle name="Calculation 2 5 2 5 9 4" xfId="5787"/>
    <cellStyle name="Calculation 2 5 2 6" xfId="5788"/>
    <cellStyle name="Calculation 2 5 2 6 2" xfId="5789"/>
    <cellStyle name="Calculation 2 5 2 6 2 2" xfId="5790"/>
    <cellStyle name="Calculation 2 5 2 6 2 3" xfId="5791"/>
    <cellStyle name="Calculation 2 5 2 6 2 4" xfId="5792"/>
    <cellStyle name="Calculation 2 5 2 6 3" xfId="5793"/>
    <cellStyle name="Calculation 2 5 2 6 3 2" xfId="5794"/>
    <cellStyle name="Calculation 2 5 2 6 3 3" xfId="5795"/>
    <cellStyle name="Calculation 2 5 2 6 3 4" xfId="5796"/>
    <cellStyle name="Calculation 2 5 2 6 4" xfId="5797"/>
    <cellStyle name="Calculation 2 5 2 6 4 2" xfId="5798"/>
    <cellStyle name="Calculation 2 5 2 6 4 3" xfId="5799"/>
    <cellStyle name="Calculation 2 5 2 6 4 4" xfId="5800"/>
    <cellStyle name="Calculation 2 5 2 6 5" xfId="5801"/>
    <cellStyle name="Calculation 2 5 2 6 6" xfId="5802"/>
    <cellStyle name="Calculation 2 5 2 6 7" xfId="5803"/>
    <cellStyle name="Calculation 2 5 2 7" xfId="5804"/>
    <cellStyle name="Calculation 2 5 2 7 2" xfId="5805"/>
    <cellStyle name="Calculation 2 5 2 7 2 2" xfId="5806"/>
    <cellStyle name="Calculation 2 5 2 7 2 3" xfId="5807"/>
    <cellStyle name="Calculation 2 5 2 7 2 4" xfId="5808"/>
    <cellStyle name="Calculation 2 5 2 7 3" xfId="5809"/>
    <cellStyle name="Calculation 2 5 2 7 3 2" xfId="5810"/>
    <cellStyle name="Calculation 2 5 2 7 3 3" xfId="5811"/>
    <cellStyle name="Calculation 2 5 2 7 3 4" xfId="5812"/>
    <cellStyle name="Calculation 2 5 2 7 4" xfId="5813"/>
    <cellStyle name="Calculation 2 5 2 7 4 2" xfId="5814"/>
    <cellStyle name="Calculation 2 5 2 7 4 3" xfId="5815"/>
    <cellStyle name="Calculation 2 5 2 7 4 4" xfId="5816"/>
    <cellStyle name="Calculation 2 5 2 7 5" xfId="5817"/>
    <cellStyle name="Calculation 2 5 2 7 6" xfId="5818"/>
    <cellStyle name="Calculation 2 5 2 7 7" xfId="5819"/>
    <cellStyle name="Calculation 2 5 2 8" xfId="5820"/>
    <cellStyle name="Calculation 2 5 2 8 2" xfId="5821"/>
    <cellStyle name="Calculation 2 5 2 8 2 2" xfId="5822"/>
    <cellStyle name="Calculation 2 5 2 8 2 3" xfId="5823"/>
    <cellStyle name="Calculation 2 5 2 8 2 4" xfId="5824"/>
    <cellStyle name="Calculation 2 5 2 8 3" xfId="5825"/>
    <cellStyle name="Calculation 2 5 2 8 3 2" xfId="5826"/>
    <cellStyle name="Calculation 2 5 2 8 3 3" xfId="5827"/>
    <cellStyle name="Calculation 2 5 2 8 3 4" xfId="5828"/>
    <cellStyle name="Calculation 2 5 2 8 4" xfId="5829"/>
    <cellStyle name="Calculation 2 5 2 8 4 2" xfId="5830"/>
    <cellStyle name="Calculation 2 5 2 8 4 3" xfId="5831"/>
    <cellStyle name="Calculation 2 5 2 8 4 4" xfId="5832"/>
    <cellStyle name="Calculation 2 5 2 8 5" xfId="5833"/>
    <cellStyle name="Calculation 2 5 2 8 6" xfId="5834"/>
    <cellStyle name="Calculation 2 5 2 8 7" xfId="5835"/>
    <cellStyle name="Calculation 2 5 2 9" xfId="5836"/>
    <cellStyle name="Calculation 2 5 2 9 2" xfId="5837"/>
    <cellStyle name="Calculation 2 5 2 9 2 2" xfId="5838"/>
    <cellStyle name="Calculation 2 5 2 9 2 3" xfId="5839"/>
    <cellStyle name="Calculation 2 5 2 9 2 4" xfId="5840"/>
    <cellStyle name="Calculation 2 5 2 9 3" xfId="5841"/>
    <cellStyle name="Calculation 2 5 2 9 3 2" xfId="5842"/>
    <cellStyle name="Calculation 2 5 2 9 3 3" xfId="5843"/>
    <cellStyle name="Calculation 2 5 2 9 3 4" xfId="5844"/>
    <cellStyle name="Calculation 2 5 2 9 4" xfId="5845"/>
    <cellStyle name="Calculation 2 5 2 9 4 2" xfId="5846"/>
    <cellStyle name="Calculation 2 5 2 9 4 3" xfId="5847"/>
    <cellStyle name="Calculation 2 5 2 9 4 4" xfId="5848"/>
    <cellStyle name="Calculation 2 5 2 9 5" xfId="5849"/>
    <cellStyle name="Calculation 2 5 2 9 6" xfId="5850"/>
    <cellStyle name="Calculation 2 5 2 9 7" xfId="5851"/>
    <cellStyle name="Calculation 2 5 3" xfId="1045"/>
    <cellStyle name="Calculation 2 5 3 10" xfId="5852"/>
    <cellStyle name="Calculation 2 5 3 11" xfId="5853"/>
    <cellStyle name="Calculation 2 5 3 12" xfId="5854"/>
    <cellStyle name="Calculation 2 5 3 2" xfId="5855"/>
    <cellStyle name="Calculation 2 5 3 2 2" xfId="5856"/>
    <cellStyle name="Calculation 2 5 3 2 2 2" xfId="5857"/>
    <cellStyle name="Calculation 2 5 3 2 2 3" xfId="5858"/>
    <cellStyle name="Calculation 2 5 3 2 2 4" xfId="5859"/>
    <cellStyle name="Calculation 2 5 3 2 3" xfId="5860"/>
    <cellStyle name="Calculation 2 5 3 2 3 2" xfId="5861"/>
    <cellStyle name="Calculation 2 5 3 2 3 3" xfId="5862"/>
    <cellStyle name="Calculation 2 5 3 2 3 4" xfId="5863"/>
    <cellStyle name="Calculation 2 5 3 2 4" xfId="5864"/>
    <cellStyle name="Calculation 2 5 3 2 4 2" xfId="5865"/>
    <cellStyle name="Calculation 2 5 3 2 4 3" xfId="5866"/>
    <cellStyle name="Calculation 2 5 3 2 4 4" xfId="5867"/>
    <cellStyle name="Calculation 2 5 3 2 5" xfId="5868"/>
    <cellStyle name="Calculation 2 5 3 2 6" xfId="5869"/>
    <cellStyle name="Calculation 2 5 3 2 7" xfId="5870"/>
    <cellStyle name="Calculation 2 5 3 3" xfId="5871"/>
    <cellStyle name="Calculation 2 5 3 3 2" xfId="5872"/>
    <cellStyle name="Calculation 2 5 3 3 2 2" xfId="5873"/>
    <cellStyle name="Calculation 2 5 3 3 2 3" xfId="5874"/>
    <cellStyle name="Calculation 2 5 3 3 2 4" xfId="5875"/>
    <cellStyle name="Calculation 2 5 3 3 3" xfId="5876"/>
    <cellStyle name="Calculation 2 5 3 3 3 2" xfId="5877"/>
    <cellStyle name="Calculation 2 5 3 3 3 3" xfId="5878"/>
    <cellStyle name="Calculation 2 5 3 3 3 4" xfId="5879"/>
    <cellStyle name="Calculation 2 5 3 3 4" xfId="5880"/>
    <cellStyle name="Calculation 2 5 3 3 4 2" xfId="5881"/>
    <cellStyle name="Calculation 2 5 3 3 4 3" xfId="5882"/>
    <cellStyle name="Calculation 2 5 3 3 4 4" xfId="5883"/>
    <cellStyle name="Calculation 2 5 3 3 5" xfId="5884"/>
    <cellStyle name="Calculation 2 5 3 3 6" xfId="5885"/>
    <cellStyle name="Calculation 2 5 3 3 7" xfId="5886"/>
    <cellStyle name="Calculation 2 5 3 4" xfId="5887"/>
    <cellStyle name="Calculation 2 5 3 4 2" xfId="5888"/>
    <cellStyle name="Calculation 2 5 3 4 2 2" xfId="5889"/>
    <cellStyle name="Calculation 2 5 3 4 2 3" xfId="5890"/>
    <cellStyle name="Calculation 2 5 3 4 2 4" xfId="5891"/>
    <cellStyle name="Calculation 2 5 3 4 3" xfId="5892"/>
    <cellStyle name="Calculation 2 5 3 4 3 2" xfId="5893"/>
    <cellStyle name="Calculation 2 5 3 4 3 3" xfId="5894"/>
    <cellStyle name="Calculation 2 5 3 4 3 4" xfId="5895"/>
    <cellStyle name="Calculation 2 5 3 4 4" xfId="5896"/>
    <cellStyle name="Calculation 2 5 3 4 4 2" xfId="5897"/>
    <cellStyle name="Calculation 2 5 3 4 4 3" xfId="5898"/>
    <cellStyle name="Calculation 2 5 3 4 4 4" xfId="5899"/>
    <cellStyle name="Calculation 2 5 3 4 5" xfId="5900"/>
    <cellStyle name="Calculation 2 5 3 4 6" xfId="5901"/>
    <cellStyle name="Calculation 2 5 3 4 7" xfId="5902"/>
    <cellStyle name="Calculation 2 5 3 5" xfId="5903"/>
    <cellStyle name="Calculation 2 5 3 5 2" xfId="5904"/>
    <cellStyle name="Calculation 2 5 3 5 2 2" xfId="5905"/>
    <cellStyle name="Calculation 2 5 3 5 2 3" xfId="5906"/>
    <cellStyle name="Calculation 2 5 3 5 2 4" xfId="5907"/>
    <cellStyle name="Calculation 2 5 3 5 3" xfId="5908"/>
    <cellStyle name="Calculation 2 5 3 5 3 2" xfId="5909"/>
    <cellStyle name="Calculation 2 5 3 5 3 3" xfId="5910"/>
    <cellStyle name="Calculation 2 5 3 5 3 4" xfId="5911"/>
    <cellStyle name="Calculation 2 5 3 5 4" xfId="5912"/>
    <cellStyle name="Calculation 2 5 3 5 4 2" xfId="5913"/>
    <cellStyle name="Calculation 2 5 3 5 4 3" xfId="5914"/>
    <cellStyle name="Calculation 2 5 3 5 4 4" xfId="5915"/>
    <cellStyle name="Calculation 2 5 3 5 5" xfId="5916"/>
    <cellStyle name="Calculation 2 5 3 5 6" xfId="5917"/>
    <cellStyle name="Calculation 2 5 3 5 7" xfId="5918"/>
    <cellStyle name="Calculation 2 5 3 6" xfId="5919"/>
    <cellStyle name="Calculation 2 5 3 6 2" xfId="5920"/>
    <cellStyle name="Calculation 2 5 3 6 2 2" xfId="5921"/>
    <cellStyle name="Calculation 2 5 3 6 2 3" xfId="5922"/>
    <cellStyle name="Calculation 2 5 3 6 2 4" xfId="5923"/>
    <cellStyle name="Calculation 2 5 3 6 3" xfId="5924"/>
    <cellStyle name="Calculation 2 5 3 6 3 2" xfId="5925"/>
    <cellStyle name="Calculation 2 5 3 6 3 3" xfId="5926"/>
    <cellStyle name="Calculation 2 5 3 6 3 4" xfId="5927"/>
    <cellStyle name="Calculation 2 5 3 6 4" xfId="5928"/>
    <cellStyle name="Calculation 2 5 3 6 4 2" xfId="5929"/>
    <cellStyle name="Calculation 2 5 3 6 4 3" xfId="5930"/>
    <cellStyle name="Calculation 2 5 3 6 4 4" xfId="5931"/>
    <cellStyle name="Calculation 2 5 3 6 5" xfId="5932"/>
    <cellStyle name="Calculation 2 5 3 6 6" xfId="5933"/>
    <cellStyle name="Calculation 2 5 3 6 7" xfId="5934"/>
    <cellStyle name="Calculation 2 5 3 7" xfId="5935"/>
    <cellStyle name="Calculation 2 5 3 7 2" xfId="5936"/>
    <cellStyle name="Calculation 2 5 3 7 3" xfId="5937"/>
    <cellStyle name="Calculation 2 5 3 7 4" xfId="5938"/>
    <cellStyle name="Calculation 2 5 3 8" xfId="5939"/>
    <cellStyle name="Calculation 2 5 3 8 2" xfId="5940"/>
    <cellStyle name="Calculation 2 5 3 8 3" xfId="5941"/>
    <cellStyle name="Calculation 2 5 3 8 4" xfId="5942"/>
    <cellStyle name="Calculation 2 5 3 9" xfId="5943"/>
    <cellStyle name="Calculation 2 5 3 9 2" xfId="5944"/>
    <cellStyle name="Calculation 2 5 3 9 3" xfId="5945"/>
    <cellStyle name="Calculation 2 5 3 9 4" xfId="5946"/>
    <cellStyle name="Calculation 2 5 4" xfId="1123"/>
    <cellStyle name="Calculation 2 5 5" xfId="1128"/>
    <cellStyle name="Calculation 2 5 6" xfId="3125"/>
    <cellStyle name="Calculation 2 5 7" xfId="3289"/>
    <cellStyle name="Calculation 2 6" xfId="62"/>
    <cellStyle name="Calculation 2 6 2" xfId="392"/>
    <cellStyle name="Calculation 2 6 2 10" xfId="5947"/>
    <cellStyle name="Calculation 2 6 2 10 2" xfId="5948"/>
    <cellStyle name="Calculation 2 6 2 10 2 2" xfId="5949"/>
    <cellStyle name="Calculation 2 6 2 10 2 3" xfId="5950"/>
    <cellStyle name="Calculation 2 6 2 10 2 4" xfId="5951"/>
    <cellStyle name="Calculation 2 6 2 10 3" xfId="5952"/>
    <cellStyle name="Calculation 2 6 2 10 3 2" xfId="5953"/>
    <cellStyle name="Calculation 2 6 2 10 3 3" xfId="5954"/>
    <cellStyle name="Calculation 2 6 2 10 3 4" xfId="5955"/>
    <cellStyle name="Calculation 2 6 2 10 4" xfId="5956"/>
    <cellStyle name="Calculation 2 6 2 10 4 2" xfId="5957"/>
    <cellStyle name="Calculation 2 6 2 10 4 3" xfId="5958"/>
    <cellStyle name="Calculation 2 6 2 10 4 4" xfId="5959"/>
    <cellStyle name="Calculation 2 6 2 10 5" xfId="5960"/>
    <cellStyle name="Calculation 2 6 2 10 6" xfId="5961"/>
    <cellStyle name="Calculation 2 6 2 10 7" xfId="5962"/>
    <cellStyle name="Calculation 2 6 2 11" xfId="5963"/>
    <cellStyle name="Calculation 2 6 2 11 2" xfId="5964"/>
    <cellStyle name="Calculation 2 6 2 11 2 2" xfId="5965"/>
    <cellStyle name="Calculation 2 6 2 11 2 3" xfId="5966"/>
    <cellStyle name="Calculation 2 6 2 11 2 4" xfId="5967"/>
    <cellStyle name="Calculation 2 6 2 11 3" xfId="5968"/>
    <cellStyle name="Calculation 2 6 2 11 3 2" xfId="5969"/>
    <cellStyle name="Calculation 2 6 2 11 3 3" xfId="5970"/>
    <cellStyle name="Calculation 2 6 2 11 3 4" xfId="5971"/>
    <cellStyle name="Calculation 2 6 2 11 4" xfId="5972"/>
    <cellStyle name="Calculation 2 6 2 11 4 2" xfId="5973"/>
    <cellStyle name="Calculation 2 6 2 11 4 3" xfId="5974"/>
    <cellStyle name="Calculation 2 6 2 11 4 4" xfId="5975"/>
    <cellStyle name="Calculation 2 6 2 11 5" xfId="5976"/>
    <cellStyle name="Calculation 2 6 2 11 6" xfId="5977"/>
    <cellStyle name="Calculation 2 6 2 11 7" xfId="5978"/>
    <cellStyle name="Calculation 2 6 2 12" xfId="5979"/>
    <cellStyle name="Calculation 2 6 2 12 2" xfId="5980"/>
    <cellStyle name="Calculation 2 6 2 12 2 2" xfId="5981"/>
    <cellStyle name="Calculation 2 6 2 12 2 3" xfId="5982"/>
    <cellStyle name="Calculation 2 6 2 12 2 4" xfId="5983"/>
    <cellStyle name="Calculation 2 6 2 12 3" xfId="5984"/>
    <cellStyle name="Calculation 2 6 2 12 3 2" xfId="5985"/>
    <cellStyle name="Calculation 2 6 2 12 3 3" xfId="5986"/>
    <cellStyle name="Calculation 2 6 2 12 3 4" xfId="5987"/>
    <cellStyle name="Calculation 2 6 2 12 4" xfId="5988"/>
    <cellStyle name="Calculation 2 6 2 12 4 2" xfId="5989"/>
    <cellStyle name="Calculation 2 6 2 12 4 3" xfId="5990"/>
    <cellStyle name="Calculation 2 6 2 12 4 4" xfId="5991"/>
    <cellStyle name="Calculation 2 6 2 12 5" xfId="5992"/>
    <cellStyle name="Calculation 2 6 2 12 6" xfId="5993"/>
    <cellStyle name="Calculation 2 6 2 12 7" xfId="5994"/>
    <cellStyle name="Calculation 2 6 2 13" xfId="5995"/>
    <cellStyle name="Calculation 2 6 2 13 2" xfId="5996"/>
    <cellStyle name="Calculation 2 6 2 13 2 2" xfId="5997"/>
    <cellStyle name="Calculation 2 6 2 13 2 3" xfId="5998"/>
    <cellStyle name="Calculation 2 6 2 13 2 4" xfId="5999"/>
    <cellStyle name="Calculation 2 6 2 13 3" xfId="6000"/>
    <cellStyle name="Calculation 2 6 2 13 3 2" xfId="6001"/>
    <cellStyle name="Calculation 2 6 2 13 3 3" xfId="6002"/>
    <cellStyle name="Calculation 2 6 2 13 3 4" xfId="6003"/>
    <cellStyle name="Calculation 2 6 2 13 4" xfId="6004"/>
    <cellStyle name="Calculation 2 6 2 13 4 2" xfId="6005"/>
    <cellStyle name="Calculation 2 6 2 13 4 3" xfId="6006"/>
    <cellStyle name="Calculation 2 6 2 13 4 4" xfId="6007"/>
    <cellStyle name="Calculation 2 6 2 13 5" xfId="6008"/>
    <cellStyle name="Calculation 2 6 2 13 6" xfId="6009"/>
    <cellStyle name="Calculation 2 6 2 13 7" xfId="6010"/>
    <cellStyle name="Calculation 2 6 2 14" xfId="6011"/>
    <cellStyle name="Calculation 2 6 2 14 2" xfId="6012"/>
    <cellStyle name="Calculation 2 6 2 14 3" xfId="6013"/>
    <cellStyle name="Calculation 2 6 2 14 4" xfId="6014"/>
    <cellStyle name="Calculation 2 6 2 15" xfId="6015"/>
    <cellStyle name="Calculation 2 6 2 15 2" xfId="6016"/>
    <cellStyle name="Calculation 2 6 2 15 3" xfId="6017"/>
    <cellStyle name="Calculation 2 6 2 15 4" xfId="6018"/>
    <cellStyle name="Calculation 2 6 2 16" xfId="6019"/>
    <cellStyle name="Calculation 2 6 2 16 2" xfId="6020"/>
    <cellStyle name="Calculation 2 6 2 16 3" xfId="6021"/>
    <cellStyle name="Calculation 2 6 2 16 4" xfId="6022"/>
    <cellStyle name="Calculation 2 6 2 17" xfId="6023"/>
    <cellStyle name="Calculation 2 6 2 18" xfId="6024"/>
    <cellStyle name="Calculation 2 6 2 19" xfId="6025"/>
    <cellStyle name="Calculation 2 6 2 2" xfId="816"/>
    <cellStyle name="Calculation 2 6 2 2 10" xfId="6026"/>
    <cellStyle name="Calculation 2 6 2 2 11" xfId="6027"/>
    <cellStyle name="Calculation 2 6 2 2 12" xfId="6028"/>
    <cellStyle name="Calculation 2 6 2 2 2" xfId="6029"/>
    <cellStyle name="Calculation 2 6 2 2 2 2" xfId="6030"/>
    <cellStyle name="Calculation 2 6 2 2 2 2 2" xfId="6031"/>
    <cellStyle name="Calculation 2 6 2 2 2 2 3" xfId="6032"/>
    <cellStyle name="Calculation 2 6 2 2 2 2 4" xfId="6033"/>
    <cellStyle name="Calculation 2 6 2 2 2 3" xfId="6034"/>
    <cellStyle name="Calculation 2 6 2 2 2 3 2" xfId="6035"/>
    <cellStyle name="Calculation 2 6 2 2 2 3 3" xfId="6036"/>
    <cellStyle name="Calculation 2 6 2 2 2 3 4" xfId="6037"/>
    <cellStyle name="Calculation 2 6 2 2 2 4" xfId="6038"/>
    <cellStyle name="Calculation 2 6 2 2 2 4 2" xfId="6039"/>
    <cellStyle name="Calculation 2 6 2 2 2 4 3" xfId="6040"/>
    <cellStyle name="Calculation 2 6 2 2 2 4 4" xfId="6041"/>
    <cellStyle name="Calculation 2 6 2 2 2 5" xfId="6042"/>
    <cellStyle name="Calculation 2 6 2 2 2 6" xfId="6043"/>
    <cellStyle name="Calculation 2 6 2 2 2 7" xfId="6044"/>
    <cellStyle name="Calculation 2 6 2 2 3" xfId="6045"/>
    <cellStyle name="Calculation 2 6 2 2 3 2" xfId="6046"/>
    <cellStyle name="Calculation 2 6 2 2 3 2 2" xfId="6047"/>
    <cellStyle name="Calculation 2 6 2 2 3 2 3" xfId="6048"/>
    <cellStyle name="Calculation 2 6 2 2 3 2 4" xfId="6049"/>
    <cellStyle name="Calculation 2 6 2 2 3 3" xfId="6050"/>
    <cellStyle name="Calculation 2 6 2 2 3 3 2" xfId="6051"/>
    <cellStyle name="Calculation 2 6 2 2 3 3 3" xfId="6052"/>
    <cellStyle name="Calculation 2 6 2 2 3 3 4" xfId="6053"/>
    <cellStyle name="Calculation 2 6 2 2 3 4" xfId="6054"/>
    <cellStyle name="Calculation 2 6 2 2 3 4 2" xfId="6055"/>
    <cellStyle name="Calculation 2 6 2 2 3 4 3" xfId="6056"/>
    <cellStyle name="Calculation 2 6 2 2 3 4 4" xfId="6057"/>
    <cellStyle name="Calculation 2 6 2 2 3 5" xfId="6058"/>
    <cellStyle name="Calculation 2 6 2 2 3 6" xfId="6059"/>
    <cellStyle name="Calculation 2 6 2 2 3 7" xfId="6060"/>
    <cellStyle name="Calculation 2 6 2 2 4" xfId="6061"/>
    <cellStyle name="Calculation 2 6 2 2 4 2" xfId="6062"/>
    <cellStyle name="Calculation 2 6 2 2 4 2 2" xfId="6063"/>
    <cellStyle name="Calculation 2 6 2 2 4 2 3" xfId="6064"/>
    <cellStyle name="Calculation 2 6 2 2 4 2 4" xfId="6065"/>
    <cellStyle name="Calculation 2 6 2 2 4 3" xfId="6066"/>
    <cellStyle name="Calculation 2 6 2 2 4 3 2" xfId="6067"/>
    <cellStyle name="Calculation 2 6 2 2 4 3 3" xfId="6068"/>
    <cellStyle name="Calculation 2 6 2 2 4 3 4" xfId="6069"/>
    <cellStyle name="Calculation 2 6 2 2 4 4" xfId="6070"/>
    <cellStyle name="Calculation 2 6 2 2 4 4 2" xfId="6071"/>
    <cellStyle name="Calculation 2 6 2 2 4 4 3" xfId="6072"/>
    <cellStyle name="Calculation 2 6 2 2 4 4 4" xfId="6073"/>
    <cellStyle name="Calculation 2 6 2 2 4 5" xfId="6074"/>
    <cellStyle name="Calculation 2 6 2 2 4 6" xfId="6075"/>
    <cellStyle name="Calculation 2 6 2 2 4 7" xfId="6076"/>
    <cellStyle name="Calculation 2 6 2 2 5" xfId="6077"/>
    <cellStyle name="Calculation 2 6 2 2 5 2" xfId="6078"/>
    <cellStyle name="Calculation 2 6 2 2 5 2 2" xfId="6079"/>
    <cellStyle name="Calculation 2 6 2 2 5 2 3" xfId="6080"/>
    <cellStyle name="Calculation 2 6 2 2 5 2 4" xfId="6081"/>
    <cellStyle name="Calculation 2 6 2 2 5 3" xfId="6082"/>
    <cellStyle name="Calculation 2 6 2 2 5 3 2" xfId="6083"/>
    <cellStyle name="Calculation 2 6 2 2 5 3 3" xfId="6084"/>
    <cellStyle name="Calculation 2 6 2 2 5 3 4" xfId="6085"/>
    <cellStyle name="Calculation 2 6 2 2 5 4" xfId="6086"/>
    <cellStyle name="Calculation 2 6 2 2 5 4 2" xfId="6087"/>
    <cellStyle name="Calculation 2 6 2 2 5 4 3" xfId="6088"/>
    <cellStyle name="Calculation 2 6 2 2 5 4 4" xfId="6089"/>
    <cellStyle name="Calculation 2 6 2 2 5 5" xfId="6090"/>
    <cellStyle name="Calculation 2 6 2 2 5 6" xfId="6091"/>
    <cellStyle name="Calculation 2 6 2 2 5 7" xfId="6092"/>
    <cellStyle name="Calculation 2 6 2 2 6" xfId="6093"/>
    <cellStyle name="Calculation 2 6 2 2 6 2" xfId="6094"/>
    <cellStyle name="Calculation 2 6 2 2 6 2 2" xfId="6095"/>
    <cellStyle name="Calculation 2 6 2 2 6 2 3" xfId="6096"/>
    <cellStyle name="Calculation 2 6 2 2 6 2 4" xfId="6097"/>
    <cellStyle name="Calculation 2 6 2 2 6 3" xfId="6098"/>
    <cellStyle name="Calculation 2 6 2 2 6 3 2" xfId="6099"/>
    <cellStyle name="Calculation 2 6 2 2 6 3 3" xfId="6100"/>
    <cellStyle name="Calculation 2 6 2 2 6 3 4" xfId="6101"/>
    <cellStyle name="Calculation 2 6 2 2 6 4" xfId="6102"/>
    <cellStyle name="Calculation 2 6 2 2 6 4 2" xfId="6103"/>
    <cellStyle name="Calculation 2 6 2 2 6 4 3" xfId="6104"/>
    <cellStyle name="Calculation 2 6 2 2 6 4 4" xfId="6105"/>
    <cellStyle name="Calculation 2 6 2 2 6 5" xfId="6106"/>
    <cellStyle name="Calculation 2 6 2 2 6 6" xfId="6107"/>
    <cellStyle name="Calculation 2 6 2 2 6 7" xfId="6108"/>
    <cellStyle name="Calculation 2 6 2 2 7" xfId="6109"/>
    <cellStyle name="Calculation 2 6 2 2 7 2" xfId="6110"/>
    <cellStyle name="Calculation 2 6 2 2 7 3" xfId="6111"/>
    <cellStyle name="Calculation 2 6 2 2 7 4" xfId="6112"/>
    <cellStyle name="Calculation 2 6 2 2 8" xfId="6113"/>
    <cellStyle name="Calculation 2 6 2 2 8 2" xfId="6114"/>
    <cellStyle name="Calculation 2 6 2 2 8 3" xfId="6115"/>
    <cellStyle name="Calculation 2 6 2 2 8 4" xfId="6116"/>
    <cellStyle name="Calculation 2 6 2 2 9" xfId="6117"/>
    <cellStyle name="Calculation 2 6 2 2 9 2" xfId="6118"/>
    <cellStyle name="Calculation 2 6 2 2 9 3" xfId="6119"/>
    <cellStyle name="Calculation 2 6 2 2 9 4" xfId="6120"/>
    <cellStyle name="Calculation 2 6 2 3" xfId="925"/>
    <cellStyle name="Calculation 2 6 2 3 10" xfId="6121"/>
    <cellStyle name="Calculation 2 6 2 3 11" xfId="6122"/>
    <cellStyle name="Calculation 2 6 2 3 12" xfId="6123"/>
    <cellStyle name="Calculation 2 6 2 3 2" xfId="6124"/>
    <cellStyle name="Calculation 2 6 2 3 2 2" xfId="6125"/>
    <cellStyle name="Calculation 2 6 2 3 2 2 2" xfId="6126"/>
    <cellStyle name="Calculation 2 6 2 3 2 2 3" xfId="6127"/>
    <cellStyle name="Calculation 2 6 2 3 2 2 4" xfId="6128"/>
    <cellStyle name="Calculation 2 6 2 3 2 3" xfId="6129"/>
    <cellStyle name="Calculation 2 6 2 3 2 3 2" xfId="6130"/>
    <cellStyle name="Calculation 2 6 2 3 2 3 3" xfId="6131"/>
    <cellStyle name="Calculation 2 6 2 3 2 3 4" xfId="6132"/>
    <cellStyle name="Calculation 2 6 2 3 2 4" xfId="6133"/>
    <cellStyle name="Calculation 2 6 2 3 2 4 2" xfId="6134"/>
    <cellStyle name="Calculation 2 6 2 3 2 4 3" xfId="6135"/>
    <cellStyle name="Calculation 2 6 2 3 2 4 4" xfId="6136"/>
    <cellStyle name="Calculation 2 6 2 3 2 5" xfId="6137"/>
    <cellStyle name="Calculation 2 6 2 3 2 6" xfId="6138"/>
    <cellStyle name="Calculation 2 6 2 3 2 7" xfId="6139"/>
    <cellStyle name="Calculation 2 6 2 3 3" xfId="6140"/>
    <cellStyle name="Calculation 2 6 2 3 3 2" xfId="6141"/>
    <cellStyle name="Calculation 2 6 2 3 3 2 2" xfId="6142"/>
    <cellStyle name="Calculation 2 6 2 3 3 2 3" xfId="6143"/>
    <cellStyle name="Calculation 2 6 2 3 3 2 4" xfId="6144"/>
    <cellStyle name="Calculation 2 6 2 3 3 3" xfId="6145"/>
    <cellStyle name="Calculation 2 6 2 3 3 3 2" xfId="6146"/>
    <cellStyle name="Calculation 2 6 2 3 3 3 3" xfId="6147"/>
    <cellStyle name="Calculation 2 6 2 3 3 3 4" xfId="6148"/>
    <cellStyle name="Calculation 2 6 2 3 3 4" xfId="6149"/>
    <cellStyle name="Calculation 2 6 2 3 3 4 2" xfId="6150"/>
    <cellStyle name="Calculation 2 6 2 3 3 4 3" xfId="6151"/>
    <cellStyle name="Calculation 2 6 2 3 3 4 4" xfId="6152"/>
    <cellStyle name="Calculation 2 6 2 3 3 5" xfId="6153"/>
    <cellStyle name="Calculation 2 6 2 3 3 6" xfId="6154"/>
    <cellStyle name="Calculation 2 6 2 3 3 7" xfId="6155"/>
    <cellStyle name="Calculation 2 6 2 3 4" xfId="6156"/>
    <cellStyle name="Calculation 2 6 2 3 4 2" xfId="6157"/>
    <cellStyle name="Calculation 2 6 2 3 4 2 2" xfId="6158"/>
    <cellStyle name="Calculation 2 6 2 3 4 2 3" xfId="6159"/>
    <cellStyle name="Calculation 2 6 2 3 4 2 4" xfId="6160"/>
    <cellStyle name="Calculation 2 6 2 3 4 3" xfId="6161"/>
    <cellStyle name="Calculation 2 6 2 3 4 3 2" xfId="6162"/>
    <cellStyle name="Calculation 2 6 2 3 4 3 3" xfId="6163"/>
    <cellStyle name="Calculation 2 6 2 3 4 3 4" xfId="6164"/>
    <cellStyle name="Calculation 2 6 2 3 4 4" xfId="6165"/>
    <cellStyle name="Calculation 2 6 2 3 4 4 2" xfId="6166"/>
    <cellStyle name="Calculation 2 6 2 3 4 4 3" xfId="6167"/>
    <cellStyle name="Calculation 2 6 2 3 4 4 4" xfId="6168"/>
    <cellStyle name="Calculation 2 6 2 3 4 5" xfId="6169"/>
    <cellStyle name="Calculation 2 6 2 3 4 6" xfId="6170"/>
    <cellStyle name="Calculation 2 6 2 3 4 7" xfId="6171"/>
    <cellStyle name="Calculation 2 6 2 3 5" xfId="6172"/>
    <cellStyle name="Calculation 2 6 2 3 5 2" xfId="6173"/>
    <cellStyle name="Calculation 2 6 2 3 5 2 2" xfId="6174"/>
    <cellStyle name="Calculation 2 6 2 3 5 2 3" xfId="6175"/>
    <cellStyle name="Calculation 2 6 2 3 5 2 4" xfId="6176"/>
    <cellStyle name="Calculation 2 6 2 3 5 3" xfId="6177"/>
    <cellStyle name="Calculation 2 6 2 3 5 3 2" xfId="6178"/>
    <cellStyle name="Calculation 2 6 2 3 5 3 3" xfId="6179"/>
    <cellStyle name="Calculation 2 6 2 3 5 3 4" xfId="6180"/>
    <cellStyle name="Calculation 2 6 2 3 5 4" xfId="6181"/>
    <cellStyle name="Calculation 2 6 2 3 5 4 2" xfId="6182"/>
    <cellStyle name="Calculation 2 6 2 3 5 4 3" xfId="6183"/>
    <cellStyle name="Calculation 2 6 2 3 5 4 4" xfId="6184"/>
    <cellStyle name="Calculation 2 6 2 3 5 5" xfId="6185"/>
    <cellStyle name="Calculation 2 6 2 3 5 6" xfId="6186"/>
    <cellStyle name="Calculation 2 6 2 3 5 7" xfId="6187"/>
    <cellStyle name="Calculation 2 6 2 3 6" xfId="6188"/>
    <cellStyle name="Calculation 2 6 2 3 6 2" xfId="6189"/>
    <cellStyle name="Calculation 2 6 2 3 6 2 2" xfId="6190"/>
    <cellStyle name="Calculation 2 6 2 3 6 2 3" xfId="6191"/>
    <cellStyle name="Calculation 2 6 2 3 6 2 4" xfId="6192"/>
    <cellStyle name="Calculation 2 6 2 3 6 3" xfId="6193"/>
    <cellStyle name="Calculation 2 6 2 3 6 3 2" xfId="6194"/>
    <cellStyle name="Calculation 2 6 2 3 6 3 3" xfId="6195"/>
    <cellStyle name="Calculation 2 6 2 3 6 3 4" xfId="6196"/>
    <cellStyle name="Calculation 2 6 2 3 6 4" xfId="6197"/>
    <cellStyle name="Calculation 2 6 2 3 6 4 2" xfId="6198"/>
    <cellStyle name="Calculation 2 6 2 3 6 4 3" xfId="6199"/>
    <cellStyle name="Calculation 2 6 2 3 6 4 4" xfId="6200"/>
    <cellStyle name="Calculation 2 6 2 3 6 5" xfId="6201"/>
    <cellStyle name="Calculation 2 6 2 3 6 6" xfId="6202"/>
    <cellStyle name="Calculation 2 6 2 3 6 7" xfId="6203"/>
    <cellStyle name="Calculation 2 6 2 3 7" xfId="6204"/>
    <cellStyle name="Calculation 2 6 2 3 7 2" xfId="6205"/>
    <cellStyle name="Calculation 2 6 2 3 7 3" xfId="6206"/>
    <cellStyle name="Calculation 2 6 2 3 7 4" xfId="6207"/>
    <cellStyle name="Calculation 2 6 2 3 8" xfId="6208"/>
    <cellStyle name="Calculation 2 6 2 3 8 2" xfId="6209"/>
    <cellStyle name="Calculation 2 6 2 3 8 3" xfId="6210"/>
    <cellStyle name="Calculation 2 6 2 3 8 4" xfId="6211"/>
    <cellStyle name="Calculation 2 6 2 3 9" xfId="6212"/>
    <cellStyle name="Calculation 2 6 2 3 9 2" xfId="6213"/>
    <cellStyle name="Calculation 2 6 2 3 9 3" xfId="6214"/>
    <cellStyle name="Calculation 2 6 2 3 9 4" xfId="6215"/>
    <cellStyle name="Calculation 2 6 2 4" xfId="763"/>
    <cellStyle name="Calculation 2 6 2 4 10" xfId="6216"/>
    <cellStyle name="Calculation 2 6 2 4 11" xfId="6217"/>
    <cellStyle name="Calculation 2 6 2 4 12" xfId="6218"/>
    <cellStyle name="Calculation 2 6 2 4 2" xfId="6219"/>
    <cellStyle name="Calculation 2 6 2 4 2 2" xfId="6220"/>
    <cellStyle name="Calculation 2 6 2 4 2 2 2" xfId="6221"/>
    <cellStyle name="Calculation 2 6 2 4 2 2 3" xfId="6222"/>
    <cellStyle name="Calculation 2 6 2 4 2 2 4" xfId="6223"/>
    <cellStyle name="Calculation 2 6 2 4 2 3" xfId="6224"/>
    <cellStyle name="Calculation 2 6 2 4 2 3 2" xfId="6225"/>
    <cellStyle name="Calculation 2 6 2 4 2 3 3" xfId="6226"/>
    <cellStyle name="Calculation 2 6 2 4 2 3 4" xfId="6227"/>
    <cellStyle name="Calculation 2 6 2 4 2 4" xfId="6228"/>
    <cellStyle name="Calculation 2 6 2 4 2 4 2" xfId="6229"/>
    <cellStyle name="Calculation 2 6 2 4 2 4 3" xfId="6230"/>
    <cellStyle name="Calculation 2 6 2 4 2 4 4" xfId="6231"/>
    <cellStyle name="Calculation 2 6 2 4 2 5" xfId="6232"/>
    <cellStyle name="Calculation 2 6 2 4 2 6" xfId="6233"/>
    <cellStyle name="Calculation 2 6 2 4 2 7" xfId="6234"/>
    <cellStyle name="Calculation 2 6 2 4 3" xfId="6235"/>
    <cellStyle name="Calculation 2 6 2 4 3 2" xfId="6236"/>
    <cellStyle name="Calculation 2 6 2 4 3 2 2" xfId="6237"/>
    <cellStyle name="Calculation 2 6 2 4 3 2 3" xfId="6238"/>
    <cellStyle name="Calculation 2 6 2 4 3 2 4" xfId="6239"/>
    <cellStyle name="Calculation 2 6 2 4 3 3" xfId="6240"/>
    <cellStyle name="Calculation 2 6 2 4 3 3 2" xfId="6241"/>
    <cellStyle name="Calculation 2 6 2 4 3 3 3" xfId="6242"/>
    <cellStyle name="Calculation 2 6 2 4 3 3 4" xfId="6243"/>
    <cellStyle name="Calculation 2 6 2 4 3 4" xfId="6244"/>
    <cellStyle name="Calculation 2 6 2 4 3 4 2" xfId="6245"/>
    <cellStyle name="Calculation 2 6 2 4 3 4 3" xfId="6246"/>
    <cellStyle name="Calculation 2 6 2 4 3 4 4" xfId="6247"/>
    <cellStyle name="Calculation 2 6 2 4 3 5" xfId="6248"/>
    <cellStyle name="Calculation 2 6 2 4 3 6" xfId="6249"/>
    <cellStyle name="Calculation 2 6 2 4 3 7" xfId="6250"/>
    <cellStyle name="Calculation 2 6 2 4 4" xfId="6251"/>
    <cellStyle name="Calculation 2 6 2 4 4 2" xfId="6252"/>
    <cellStyle name="Calculation 2 6 2 4 4 2 2" xfId="6253"/>
    <cellStyle name="Calculation 2 6 2 4 4 2 3" xfId="6254"/>
    <cellStyle name="Calculation 2 6 2 4 4 2 4" xfId="6255"/>
    <cellStyle name="Calculation 2 6 2 4 4 3" xfId="6256"/>
    <cellStyle name="Calculation 2 6 2 4 4 3 2" xfId="6257"/>
    <cellStyle name="Calculation 2 6 2 4 4 3 3" xfId="6258"/>
    <cellStyle name="Calculation 2 6 2 4 4 3 4" xfId="6259"/>
    <cellStyle name="Calculation 2 6 2 4 4 4" xfId="6260"/>
    <cellStyle name="Calculation 2 6 2 4 4 4 2" xfId="6261"/>
    <cellStyle name="Calculation 2 6 2 4 4 4 3" xfId="6262"/>
    <cellStyle name="Calculation 2 6 2 4 4 4 4" xfId="6263"/>
    <cellStyle name="Calculation 2 6 2 4 4 5" xfId="6264"/>
    <cellStyle name="Calculation 2 6 2 4 4 6" xfId="6265"/>
    <cellStyle name="Calculation 2 6 2 4 4 7" xfId="6266"/>
    <cellStyle name="Calculation 2 6 2 4 5" xfId="6267"/>
    <cellStyle name="Calculation 2 6 2 4 5 2" xfId="6268"/>
    <cellStyle name="Calculation 2 6 2 4 5 2 2" xfId="6269"/>
    <cellStyle name="Calculation 2 6 2 4 5 2 3" xfId="6270"/>
    <cellStyle name="Calculation 2 6 2 4 5 2 4" xfId="6271"/>
    <cellStyle name="Calculation 2 6 2 4 5 3" xfId="6272"/>
    <cellStyle name="Calculation 2 6 2 4 5 3 2" xfId="6273"/>
    <cellStyle name="Calculation 2 6 2 4 5 3 3" xfId="6274"/>
    <cellStyle name="Calculation 2 6 2 4 5 3 4" xfId="6275"/>
    <cellStyle name="Calculation 2 6 2 4 5 4" xfId="6276"/>
    <cellStyle name="Calculation 2 6 2 4 5 4 2" xfId="6277"/>
    <cellStyle name="Calculation 2 6 2 4 5 4 3" xfId="6278"/>
    <cellStyle name="Calculation 2 6 2 4 5 4 4" xfId="6279"/>
    <cellStyle name="Calculation 2 6 2 4 5 5" xfId="6280"/>
    <cellStyle name="Calculation 2 6 2 4 5 6" xfId="6281"/>
    <cellStyle name="Calculation 2 6 2 4 5 7" xfId="6282"/>
    <cellStyle name="Calculation 2 6 2 4 6" xfId="6283"/>
    <cellStyle name="Calculation 2 6 2 4 6 2" xfId="6284"/>
    <cellStyle name="Calculation 2 6 2 4 6 2 2" xfId="6285"/>
    <cellStyle name="Calculation 2 6 2 4 6 2 3" xfId="6286"/>
    <cellStyle name="Calculation 2 6 2 4 6 2 4" xfId="6287"/>
    <cellStyle name="Calculation 2 6 2 4 6 3" xfId="6288"/>
    <cellStyle name="Calculation 2 6 2 4 6 3 2" xfId="6289"/>
    <cellStyle name="Calculation 2 6 2 4 6 3 3" xfId="6290"/>
    <cellStyle name="Calculation 2 6 2 4 6 3 4" xfId="6291"/>
    <cellStyle name="Calculation 2 6 2 4 6 4" xfId="6292"/>
    <cellStyle name="Calculation 2 6 2 4 6 4 2" xfId="6293"/>
    <cellStyle name="Calculation 2 6 2 4 6 4 3" xfId="6294"/>
    <cellStyle name="Calculation 2 6 2 4 6 4 4" xfId="6295"/>
    <cellStyle name="Calculation 2 6 2 4 6 5" xfId="6296"/>
    <cellStyle name="Calculation 2 6 2 4 6 6" xfId="6297"/>
    <cellStyle name="Calculation 2 6 2 4 6 7" xfId="6298"/>
    <cellStyle name="Calculation 2 6 2 4 7" xfId="6299"/>
    <cellStyle name="Calculation 2 6 2 4 7 2" xfId="6300"/>
    <cellStyle name="Calculation 2 6 2 4 7 3" xfId="6301"/>
    <cellStyle name="Calculation 2 6 2 4 7 4" xfId="6302"/>
    <cellStyle name="Calculation 2 6 2 4 8" xfId="6303"/>
    <cellStyle name="Calculation 2 6 2 4 8 2" xfId="6304"/>
    <cellStyle name="Calculation 2 6 2 4 8 3" xfId="6305"/>
    <cellStyle name="Calculation 2 6 2 4 8 4" xfId="6306"/>
    <cellStyle name="Calculation 2 6 2 4 9" xfId="6307"/>
    <cellStyle name="Calculation 2 6 2 4 9 2" xfId="6308"/>
    <cellStyle name="Calculation 2 6 2 4 9 3" xfId="6309"/>
    <cellStyle name="Calculation 2 6 2 4 9 4" xfId="6310"/>
    <cellStyle name="Calculation 2 6 2 5" xfId="6311"/>
    <cellStyle name="Calculation 2 6 2 5 10" xfId="6312"/>
    <cellStyle name="Calculation 2 6 2 5 11" xfId="6313"/>
    <cellStyle name="Calculation 2 6 2 5 12" xfId="6314"/>
    <cellStyle name="Calculation 2 6 2 5 2" xfId="6315"/>
    <cellStyle name="Calculation 2 6 2 5 2 2" xfId="6316"/>
    <cellStyle name="Calculation 2 6 2 5 2 2 2" xfId="6317"/>
    <cellStyle name="Calculation 2 6 2 5 2 2 3" xfId="6318"/>
    <cellStyle name="Calculation 2 6 2 5 2 2 4" xfId="6319"/>
    <cellStyle name="Calculation 2 6 2 5 2 3" xfId="6320"/>
    <cellStyle name="Calculation 2 6 2 5 2 3 2" xfId="6321"/>
    <cellStyle name="Calculation 2 6 2 5 2 3 3" xfId="6322"/>
    <cellStyle name="Calculation 2 6 2 5 2 3 4" xfId="6323"/>
    <cellStyle name="Calculation 2 6 2 5 2 4" xfId="6324"/>
    <cellStyle name="Calculation 2 6 2 5 2 4 2" xfId="6325"/>
    <cellStyle name="Calculation 2 6 2 5 2 4 3" xfId="6326"/>
    <cellStyle name="Calculation 2 6 2 5 2 4 4" xfId="6327"/>
    <cellStyle name="Calculation 2 6 2 5 2 5" xfId="6328"/>
    <cellStyle name="Calculation 2 6 2 5 2 6" xfId="6329"/>
    <cellStyle name="Calculation 2 6 2 5 2 7" xfId="6330"/>
    <cellStyle name="Calculation 2 6 2 5 3" xfId="6331"/>
    <cellStyle name="Calculation 2 6 2 5 3 2" xfId="6332"/>
    <cellStyle name="Calculation 2 6 2 5 3 2 2" xfId="6333"/>
    <cellStyle name="Calculation 2 6 2 5 3 2 3" xfId="6334"/>
    <cellStyle name="Calculation 2 6 2 5 3 2 4" xfId="6335"/>
    <cellStyle name="Calculation 2 6 2 5 3 3" xfId="6336"/>
    <cellStyle name="Calculation 2 6 2 5 3 3 2" xfId="6337"/>
    <cellStyle name="Calculation 2 6 2 5 3 3 3" xfId="6338"/>
    <cellStyle name="Calculation 2 6 2 5 3 3 4" xfId="6339"/>
    <cellStyle name="Calculation 2 6 2 5 3 4" xfId="6340"/>
    <cellStyle name="Calculation 2 6 2 5 3 4 2" xfId="6341"/>
    <cellStyle name="Calculation 2 6 2 5 3 4 3" xfId="6342"/>
    <cellStyle name="Calculation 2 6 2 5 3 4 4" xfId="6343"/>
    <cellStyle name="Calculation 2 6 2 5 3 5" xfId="6344"/>
    <cellStyle name="Calculation 2 6 2 5 3 6" xfId="6345"/>
    <cellStyle name="Calculation 2 6 2 5 3 7" xfId="6346"/>
    <cellStyle name="Calculation 2 6 2 5 4" xfId="6347"/>
    <cellStyle name="Calculation 2 6 2 5 4 2" xfId="6348"/>
    <cellStyle name="Calculation 2 6 2 5 4 2 2" xfId="6349"/>
    <cellStyle name="Calculation 2 6 2 5 4 2 3" xfId="6350"/>
    <cellStyle name="Calculation 2 6 2 5 4 2 4" xfId="6351"/>
    <cellStyle name="Calculation 2 6 2 5 4 3" xfId="6352"/>
    <cellStyle name="Calculation 2 6 2 5 4 3 2" xfId="6353"/>
    <cellStyle name="Calculation 2 6 2 5 4 3 3" xfId="6354"/>
    <cellStyle name="Calculation 2 6 2 5 4 3 4" xfId="6355"/>
    <cellStyle name="Calculation 2 6 2 5 4 4" xfId="6356"/>
    <cellStyle name="Calculation 2 6 2 5 4 4 2" xfId="6357"/>
    <cellStyle name="Calculation 2 6 2 5 4 4 3" xfId="6358"/>
    <cellStyle name="Calculation 2 6 2 5 4 4 4" xfId="6359"/>
    <cellStyle name="Calculation 2 6 2 5 4 5" xfId="6360"/>
    <cellStyle name="Calculation 2 6 2 5 4 6" xfId="6361"/>
    <cellStyle name="Calculation 2 6 2 5 4 7" xfId="6362"/>
    <cellStyle name="Calculation 2 6 2 5 5" xfId="6363"/>
    <cellStyle name="Calculation 2 6 2 5 5 2" xfId="6364"/>
    <cellStyle name="Calculation 2 6 2 5 5 2 2" xfId="6365"/>
    <cellStyle name="Calculation 2 6 2 5 5 2 3" xfId="6366"/>
    <cellStyle name="Calculation 2 6 2 5 5 2 4" xfId="6367"/>
    <cellStyle name="Calculation 2 6 2 5 5 3" xfId="6368"/>
    <cellStyle name="Calculation 2 6 2 5 5 3 2" xfId="6369"/>
    <cellStyle name="Calculation 2 6 2 5 5 3 3" xfId="6370"/>
    <cellStyle name="Calculation 2 6 2 5 5 3 4" xfId="6371"/>
    <cellStyle name="Calculation 2 6 2 5 5 4" xfId="6372"/>
    <cellStyle name="Calculation 2 6 2 5 5 4 2" xfId="6373"/>
    <cellStyle name="Calculation 2 6 2 5 5 4 3" xfId="6374"/>
    <cellStyle name="Calculation 2 6 2 5 5 4 4" xfId="6375"/>
    <cellStyle name="Calculation 2 6 2 5 5 5" xfId="6376"/>
    <cellStyle name="Calculation 2 6 2 5 5 6" xfId="6377"/>
    <cellStyle name="Calculation 2 6 2 5 5 7" xfId="6378"/>
    <cellStyle name="Calculation 2 6 2 5 6" xfId="6379"/>
    <cellStyle name="Calculation 2 6 2 5 6 2" xfId="6380"/>
    <cellStyle name="Calculation 2 6 2 5 6 2 2" xfId="6381"/>
    <cellStyle name="Calculation 2 6 2 5 6 2 3" xfId="6382"/>
    <cellStyle name="Calculation 2 6 2 5 6 2 4" xfId="6383"/>
    <cellStyle name="Calculation 2 6 2 5 6 3" xfId="6384"/>
    <cellStyle name="Calculation 2 6 2 5 6 3 2" xfId="6385"/>
    <cellStyle name="Calculation 2 6 2 5 6 3 3" xfId="6386"/>
    <cellStyle name="Calculation 2 6 2 5 6 3 4" xfId="6387"/>
    <cellStyle name="Calculation 2 6 2 5 6 4" xfId="6388"/>
    <cellStyle name="Calculation 2 6 2 5 6 4 2" xfId="6389"/>
    <cellStyle name="Calculation 2 6 2 5 6 4 3" xfId="6390"/>
    <cellStyle name="Calculation 2 6 2 5 6 4 4" xfId="6391"/>
    <cellStyle name="Calculation 2 6 2 5 6 5" xfId="6392"/>
    <cellStyle name="Calculation 2 6 2 5 6 6" xfId="6393"/>
    <cellStyle name="Calculation 2 6 2 5 6 7" xfId="6394"/>
    <cellStyle name="Calculation 2 6 2 5 7" xfId="6395"/>
    <cellStyle name="Calculation 2 6 2 5 7 2" xfId="6396"/>
    <cellStyle name="Calculation 2 6 2 5 7 3" xfId="6397"/>
    <cellStyle name="Calculation 2 6 2 5 7 4" xfId="6398"/>
    <cellStyle name="Calculation 2 6 2 5 8" xfId="6399"/>
    <cellStyle name="Calculation 2 6 2 5 8 2" xfId="6400"/>
    <cellStyle name="Calculation 2 6 2 5 8 3" xfId="6401"/>
    <cellStyle name="Calculation 2 6 2 5 8 4" xfId="6402"/>
    <cellStyle name="Calculation 2 6 2 5 9" xfId="6403"/>
    <cellStyle name="Calculation 2 6 2 5 9 2" xfId="6404"/>
    <cellStyle name="Calculation 2 6 2 5 9 3" xfId="6405"/>
    <cellStyle name="Calculation 2 6 2 5 9 4" xfId="6406"/>
    <cellStyle name="Calculation 2 6 2 6" xfId="6407"/>
    <cellStyle name="Calculation 2 6 2 6 2" xfId="6408"/>
    <cellStyle name="Calculation 2 6 2 6 2 2" xfId="6409"/>
    <cellStyle name="Calculation 2 6 2 6 2 3" xfId="6410"/>
    <cellStyle name="Calculation 2 6 2 6 2 4" xfId="6411"/>
    <cellStyle name="Calculation 2 6 2 6 3" xfId="6412"/>
    <cellStyle name="Calculation 2 6 2 6 3 2" xfId="6413"/>
    <cellStyle name="Calculation 2 6 2 6 3 3" xfId="6414"/>
    <cellStyle name="Calculation 2 6 2 6 3 4" xfId="6415"/>
    <cellStyle name="Calculation 2 6 2 6 4" xfId="6416"/>
    <cellStyle name="Calculation 2 6 2 6 4 2" xfId="6417"/>
    <cellStyle name="Calculation 2 6 2 6 4 3" xfId="6418"/>
    <cellStyle name="Calculation 2 6 2 6 4 4" xfId="6419"/>
    <cellStyle name="Calculation 2 6 2 6 5" xfId="6420"/>
    <cellStyle name="Calculation 2 6 2 6 6" xfId="6421"/>
    <cellStyle name="Calculation 2 6 2 6 7" xfId="6422"/>
    <cellStyle name="Calculation 2 6 2 7" xfId="6423"/>
    <cellStyle name="Calculation 2 6 2 7 2" xfId="6424"/>
    <cellStyle name="Calculation 2 6 2 7 2 2" xfId="6425"/>
    <cellStyle name="Calculation 2 6 2 7 2 3" xfId="6426"/>
    <cellStyle name="Calculation 2 6 2 7 2 4" xfId="6427"/>
    <cellStyle name="Calculation 2 6 2 7 3" xfId="6428"/>
    <cellStyle name="Calculation 2 6 2 7 3 2" xfId="6429"/>
    <cellStyle name="Calculation 2 6 2 7 3 3" xfId="6430"/>
    <cellStyle name="Calculation 2 6 2 7 3 4" xfId="6431"/>
    <cellStyle name="Calculation 2 6 2 7 4" xfId="6432"/>
    <cellStyle name="Calculation 2 6 2 7 4 2" xfId="6433"/>
    <cellStyle name="Calculation 2 6 2 7 4 3" xfId="6434"/>
    <cellStyle name="Calculation 2 6 2 7 4 4" xfId="6435"/>
    <cellStyle name="Calculation 2 6 2 7 5" xfId="6436"/>
    <cellStyle name="Calculation 2 6 2 7 6" xfId="6437"/>
    <cellStyle name="Calculation 2 6 2 7 7" xfId="6438"/>
    <cellStyle name="Calculation 2 6 2 8" xfId="6439"/>
    <cellStyle name="Calculation 2 6 2 8 2" xfId="6440"/>
    <cellStyle name="Calculation 2 6 2 8 2 2" xfId="6441"/>
    <cellStyle name="Calculation 2 6 2 8 2 3" xfId="6442"/>
    <cellStyle name="Calculation 2 6 2 8 2 4" xfId="6443"/>
    <cellStyle name="Calculation 2 6 2 8 3" xfId="6444"/>
    <cellStyle name="Calculation 2 6 2 8 3 2" xfId="6445"/>
    <cellStyle name="Calculation 2 6 2 8 3 3" xfId="6446"/>
    <cellStyle name="Calculation 2 6 2 8 3 4" xfId="6447"/>
    <cellStyle name="Calculation 2 6 2 8 4" xfId="6448"/>
    <cellStyle name="Calculation 2 6 2 8 4 2" xfId="6449"/>
    <cellStyle name="Calculation 2 6 2 8 4 3" xfId="6450"/>
    <cellStyle name="Calculation 2 6 2 8 4 4" xfId="6451"/>
    <cellStyle name="Calculation 2 6 2 8 5" xfId="6452"/>
    <cellStyle name="Calculation 2 6 2 8 6" xfId="6453"/>
    <cellStyle name="Calculation 2 6 2 8 7" xfId="6454"/>
    <cellStyle name="Calculation 2 6 2 9" xfId="6455"/>
    <cellStyle name="Calculation 2 6 2 9 2" xfId="6456"/>
    <cellStyle name="Calculation 2 6 2 9 2 2" xfId="6457"/>
    <cellStyle name="Calculation 2 6 2 9 2 3" xfId="6458"/>
    <cellStyle name="Calculation 2 6 2 9 2 4" xfId="6459"/>
    <cellStyle name="Calculation 2 6 2 9 3" xfId="6460"/>
    <cellStyle name="Calculation 2 6 2 9 3 2" xfId="6461"/>
    <cellStyle name="Calculation 2 6 2 9 3 3" xfId="6462"/>
    <cellStyle name="Calculation 2 6 2 9 3 4" xfId="6463"/>
    <cellStyle name="Calculation 2 6 2 9 4" xfId="6464"/>
    <cellStyle name="Calculation 2 6 2 9 4 2" xfId="6465"/>
    <cellStyle name="Calculation 2 6 2 9 4 3" xfId="6466"/>
    <cellStyle name="Calculation 2 6 2 9 4 4" xfId="6467"/>
    <cellStyle name="Calculation 2 6 2 9 5" xfId="6468"/>
    <cellStyle name="Calculation 2 6 2 9 6" xfId="6469"/>
    <cellStyle name="Calculation 2 6 2 9 7" xfId="6470"/>
    <cellStyle name="Calculation 2 6 3" xfId="1046"/>
    <cellStyle name="Calculation 2 6 3 10" xfId="6471"/>
    <cellStyle name="Calculation 2 6 3 11" xfId="6472"/>
    <cellStyle name="Calculation 2 6 3 12" xfId="6473"/>
    <cellStyle name="Calculation 2 6 3 2" xfId="6474"/>
    <cellStyle name="Calculation 2 6 3 2 2" xfId="6475"/>
    <cellStyle name="Calculation 2 6 3 2 2 2" xfId="6476"/>
    <cellStyle name="Calculation 2 6 3 2 2 3" xfId="6477"/>
    <cellStyle name="Calculation 2 6 3 2 2 4" xfId="6478"/>
    <cellStyle name="Calculation 2 6 3 2 3" xfId="6479"/>
    <cellStyle name="Calculation 2 6 3 2 3 2" xfId="6480"/>
    <cellStyle name="Calculation 2 6 3 2 3 3" xfId="6481"/>
    <cellStyle name="Calculation 2 6 3 2 3 4" xfId="6482"/>
    <cellStyle name="Calculation 2 6 3 2 4" xfId="6483"/>
    <cellStyle name="Calculation 2 6 3 2 4 2" xfId="6484"/>
    <cellStyle name="Calculation 2 6 3 2 4 3" xfId="6485"/>
    <cellStyle name="Calculation 2 6 3 2 4 4" xfId="6486"/>
    <cellStyle name="Calculation 2 6 3 2 5" xfId="6487"/>
    <cellStyle name="Calculation 2 6 3 2 6" xfId="6488"/>
    <cellStyle name="Calculation 2 6 3 2 7" xfId="6489"/>
    <cellStyle name="Calculation 2 6 3 3" xfId="6490"/>
    <cellStyle name="Calculation 2 6 3 3 2" xfId="6491"/>
    <cellStyle name="Calculation 2 6 3 3 2 2" xfId="6492"/>
    <cellStyle name="Calculation 2 6 3 3 2 3" xfId="6493"/>
    <cellStyle name="Calculation 2 6 3 3 2 4" xfId="6494"/>
    <cellStyle name="Calculation 2 6 3 3 3" xfId="6495"/>
    <cellStyle name="Calculation 2 6 3 3 3 2" xfId="6496"/>
    <cellStyle name="Calculation 2 6 3 3 3 3" xfId="6497"/>
    <cellStyle name="Calculation 2 6 3 3 3 4" xfId="6498"/>
    <cellStyle name="Calculation 2 6 3 3 4" xfId="6499"/>
    <cellStyle name="Calculation 2 6 3 3 4 2" xfId="6500"/>
    <cellStyle name="Calculation 2 6 3 3 4 3" xfId="6501"/>
    <cellStyle name="Calculation 2 6 3 3 4 4" xfId="6502"/>
    <cellStyle name="Calculation 2 6 3 3 5" xfId="6503"/>
    <cellStyle name="Calculation 2 6 3 3 6" xfId="6504"/>
    <cellStyle name="Calculation 2 6 3 3 7" xfId="6505"/>
    <cellStyle name="Calculation 2 6 3 4" xfId="6506"/>
    <cellStyle name="Calculation 2 6 3 4 2" xfId="6507"/>
    <cellStyle name="Calculation 2 6 3 4 2 2" xfId="6508"/>
    <cellStyle name="Calculation 2 6 3 4 2 3" xfId="6509"/>
    <cellStyle name="Calculation 2 6 3 4 2 4" xfId="6510"/>
    <cellStyle name="Calculation 2 6 3 4 3" xfId="6511"/>
    <cellStyle name="Calculation 2 6 3 4 3 2" xfId="6512"/>
    <cellStyle name="Calculation 2 6 3 4 3 3" xfId="6513"/>
    <cellStyle name="Calculation 2 6 3 4 3 4" xfId="6514"/>
    <cellStyle name="Calculation 2 6 3 4 4" xfId="6515"/>
    <cellStyle name="Calculation 2 6 3 4 4 2" xfId="6516"/>
    <cellStyle name="Calculation 2 6 3 4 4 3" xfId="6517"/>
    <cellStyle name="Calculation 2 6 3 4 4 4" xfId="6518"/>
    <cellStyle name="Calculation 2 6 3 4 5" xfId="6519"/>
    <cellStyle name="Calculation 2 6 3 4 6" xfId="6520"/>
    <cellStyle name="Calculation 2 6 3 4 7" xfId="6521"/>
    <cellStyle name="Calculation 2 6 3 5" xfId="6522"/>
    <cellStyle name="Calculation 2 6 3 5 2" xfId="6523"/>
    <cellStyle name="Calculation 2 6 3 5 2 2" xfId="6524"/>
    <cellStyle name="Calculation 2 6 3 5 2 3" xfId="6525"/>
    <cellStyle name="Calculation 2 6 3 5 2 4" xfId="6526"/>
    <cellStyle name="Calculation 2 6 3 5 3" xfId="6527"/>
    <cellStyle name="Calculation 2 6 3 5 3 2" xfId="6528"/>
    <cellStyle name="Calculation 2 6 3 5 3 3" xfId="6529"/>
    <cellStyle name="Calculation 2 6 3 5 3 4" xfId="6530"/>
    <cellStyle name="Calculation 2 6 3 5 4" xfId="6531"/>
    <cellStyle name="Calculation 2 6 3 5 4 2" xfId="6532"/>
    <cellStyle name="Calculation 2 6 3 5 4 3" xfId="6533"/>
    <cellStyle name="Calculation 2 6 3 5 4 4" xfId="6534"/>
    <cellStyle name="Calculation 2 6 3 5 5" xfId="6535"/>
    <cellStyle name="Calculation 2 6 3 5 6" xfId="6536"/>
    <cellStyle name="Calculation 2 6 3 5 7" xfId="6537"/>
    <cellStyle name="Calculation 2 6 3 6" xfId="6538"/>
    <cellStyle name="Calculation 2 6 3 6 2" xfId="6539"/>
    <cellStyle name="Calculation 2 6 3 6 2 2" xfId="6540"/>
    <cellStyle name="Calculation 2 6 3 6 2 3" xfId="6541"/>
    <cellStyle name="Calculation 2 6 3 6 2 4" xfId="6542"/>
    <cellStyle name="Calculation 2 6 3 6 3" xfId="6543"/>
    <cellStyle name="Calculation 2 6 3 6 3 2" xfId="6544"/>
    <cellStyle name="Calculation 2 6 3 6 3 3" xfId="6545"/>
    <cellStyle name="Calculation 2 6 3 6 3 4" xfId="6546"/>
    <cellStyle name="Calculation 2 6 3 6 4" xfId="6547"/>
    <cellStyle name="Calculation 2 6 3 6 4 2" xfId="6548"/>
    <cellStyle name="Calculation 2 6 3 6 4 3" xfId="6549"/>
    <cellStyle name="Calculation 2 6 3 6 4 4" xfId="6550"/>
    <cellStyle name="Calculation 2 6 3 6 5" xfId="6551"/>
    <cellStyle name="Calculation 2 6 3 6 6" xfId="6552"/>
    <cellStyle name="Calculation 2 6 3 6 7" xfId="6553"/>
    <cellStyle name="Calculation 2 6 3 7" xfId="6554"/>
    <cellStyle name="Calculation 2 6 3 7 2" xfId="6555"/>
    <cellStyle name="Calculation 2 6 3 7 3" xfId="6556"/>
    <cellStyle name="Calculation 2 6 3 7 4" xfId="6557"/>
    <cellStyle name="Calculation 2 6 3 8" xfId="6558"/>
    <cellStyle name="Calculation 2 6 3 8 2" xfId="6559"/>
    <cellStyle name="Calculation 2 6 3 8 3" xfId="6560"/>
    <cellStyle name="Calculation 2 6 3 8 4" xfId="6561"/>
    <cellStyle name="Calculation 2 6 3 9" xfId="6562"/>
    <cellStyle name="Calculation 2 6 3 9 2" xfId="6563"/>
    <cellStyle name="Calculation 2 6 3 9 3" xfId="6564"/>
    <cellStyle name="Calculation 2 6 3 9 4" xfId="6565"/>
    <cellStyle name="Calculation 2 6 4" xfId="1124"/>
    <cellStyle name="Calculation 2 6 5" xfId="1030"/>
    <cellStyle name="Calculation 2 6 6" xfId="1126"/>
    <cellStyle name="Calculation 2 6 7" xfId="3288"/>
    <cellStyle name="Calculation 2 7" xfId="63"/>
    <cellStyle name="Calculation 2 7 2" xfId="393"/>
    <cellStyle name="Calculation 2 7 2 10" xfId="6566"/>
    <cellStyle name="Calculation 2 7 2 10 2" xfId="6567"/>
    <cellStyle name="Calculation 2 7 2 10 2 2" xfId="6568"/>
    <cellStyle name="Calculation 2 7 2 10 2 3" xfId="6569"/>
    <cellStyle name="Calculation 2 7 2 10 2 4" xfId="6570"/>
    <cellStyle name="Calculation 2 7 2 10 3" xfId="6571"/>
    <cellStyle name="Calculation 2 7 2 10 3 2" xfId="6572"/>
    <cellStyle name="Calculation 2 7 2 10 3 3" xfId="6573"/>
    <cellStyle name="Calculation 2 7 2 10 3 4" xfId="6574"/>
    <cellStyle name="Calculation 2 7 2 10 4" xfId="6575"/>
    <cellStyle name="Calculation 2 7 2 10 4 2" xfId="6576"/>
    <cellStyle name="Calculation 2 7 2 10 4 3" xfId="6577"/>
    <cellStyle name="Calculation 2 7 2 10 4 4" xfId="6578"/>
    <cellStyle name="Calculation 2 7 2 10 5" xfId="6579"/>
    <cellStyle name="Calculation 2 7 2 10 6" xfId="6580"/>
    <cellStyle name="Calculation 2 7 2 10 7" xfId="6581"/>
    <cellStyle name="Calculation 2 7 2 11" xfId="6582"/>
    <cellStyle name="Calculation 2 7 2 11 2" xfId="6583"/>
    <cellStyle name="Calculation 2 7 2 11 2 2" xfId="6584"/>
    <cellStyle name="Calculation 2 7 2 11 2 3" xfId="6585"/>
    <cellStyle name="Calculation 2 7 2 11 2 4" xfId="6586"/>
    <cellStyle name="Calculation 2 7 2 11 3" xfId="6587"/>
    <cellStyle name="Calculation 2 7 2 11 3 2" xfId="6588"/>
    <cellStyle name="Calculation 2 7 2 11 3 3" xfId="6589"/>
    <cellStyle name="Calculation 2 7 2 11 3 4" xfId="6590"/>
    <cellStyle name="Calculation 2 7 2 11 4" xfId="6591"/>
    <cellStyle name="Calculation 2 7 2 11 4 2" xfId="6592"/>
    <cellStyle name="Calculation 2 7 2 11 4 3" xfId="6593"/>
    <cellStyle name="Calculation 2 7 2 11 4 4" xfId="6594"/>
    <cellStyle name="Calculation 2 7 2 11 5" xfId="6595"/>
    <cellStyle name="Calculation 2 7 2 11 6" xfId="6596"/>
    <cellStyle name="Calculation 2 7 2 11 7" xfId="6597"/>
    <cellStyle name="Calculation 2 7 2 12" xfId="6598"/>
    <cellStyle name="Calculation 2 7 2 12 2" xfId="6599"/>
    <cellStyle name="Calculation 2 7 2 12 2 2" xfId="6600"/>
    <cellStyle name="Calculation 2 7 2 12 2 3" xfId="6601"/>
    <cellStyle name="Calculation 2 7 2 12 2 4" xfId="6602"/>
    <cellStyle name="Calculation 2 7 2 12 3" xfId="6603"/>
    <cellStyle name="Calculation 2 7 2 12 3 2" xfId="6604"/>
    <cellStyle name="Calculation 2 7 2 12 3 3" xfId="6605"/>
    <cellStyle name="Calculation 2 7 2 12 3 4" xfId="6606"/>
    <cellStyle name="Calculation 2 7 2 12 4" xfId="6607"/>
    <cellStyle name="Calculation 2 7 2 12 4 2" xfId="6608"/>
    <cellStyle name="Calculation 2 7 2 12 4 3" xfId="6609"/>
    <cellStyle name="Calculation 2 7 2 12 4 4" xfId="6610"/>
    <cellStyle name="Calculation 2 7 2 12 5" xfId="6611"/>
    <cellStyle name="Calculation 2 7 2 12 6" xfId="6612"/>
    <cellStyle name="Calculation 2 7 2 12 7" xfId="6613"/>
    <cellStyle name="Calculation 2 7 2 13" xfId="6614"/>
    <cellStyle name="Calculation 2 7 2 13 2" xfId="6615"/>
    <cellStyle name="Calculation 2 7 2 13 2 2" xfId="6616"/>
    <cellStyle name="Calculation 2 7 2 13 2 3" xfId="6617"/>
    <cellStyle name="Calculation 2 7 2 13 2 4" xfId="6618"/>
    <cellStyle name="Calculation 2 7 2 13 3" xfId="6619"/>
    <cellStyle name="Calculation 2 7 2 13 3 2" xfId="6620"/>
    <cellStyle name="Calculation 2 7 2 13 3 3" xfId="6621"/>
    <cellStyle name="Calculation 2 7 2 13 3 4" xfId="6622"/>
    <cellStyle name="Calculation 2 7 2 13 4" xfId="6623"/>
    <cellStyle name="Calculation 2 7 2 13 4 2" xfId="6624"/>
    <cellStyle name="Calculation 2 7 2 13 4 3" xfId="6625"/>
    <cellStyle name="Calculation 2 7 2 13 4 4" xfId="6626"/>
    <cellStyle name="Calculation 2 7 2 13 5" xfId="6627"/>
    <cellStyle name="Calculation 2 7 2 13 6" xfId="6628"/>
    <cellStyle name="Calculation 2 7 2 13 7" xfId="6629"/>
    <cellStyle name="Calculation 2 7 2 14" xfId="6630"/>
    <cellStyle name="Calculation 2 7 2 14 2" xfId="6631"/>
    <cellStyle name="Calculation 2 7 2 14 3" xfId="6632"/>
    <cellStyle name="Calculation 2 7 2 14 4" xfId="6633"/>
    <cellStyle name="Calculation 2 7 2 15" xfId="6634"/>
    <cellStyle name="Calculation 2 7 2 15 2" xfId="6635"/>
    <cellStyle name="Calculation 2 7 2 15 3" xfId="6636"/>
    <cellStyle name="Calculation 2 7 2 15 4" xfId="6637"/>
    <cellStyle name="Calculation 2 7 2 16" xfId="6638"/>
    <cellStyle name="Calculation 2 7 2 16 2" xfId="6639"/>
    <cellStyle name="Calculation 2 7 2 16 3" xfId="6640"/>
    <cellStyle name="Calculation 2 7 2 16 4" xfId="6641"/>
    <cellStyle name="Calculation 2 7 2 17" xfId="6642"/>
    <cellStyle name="Calculation 2 7 2 18" xfId="6643"/>
    <cellStyle name="Calculation 2 7 2 19" xfId="6644"/>
    <cellStyle name="Calculation 2 7 2 2" xfId="817"/>
    <cellStyle name="Calculation 2 7 2 2 10" xfId="6645"/>
    <cellStyle name="Calculation 2 7 2 2 11" xfId="6646"/>
    <cellStyle name="Calculation 2 7 2 2 12" xfId="6647"/>
    <cellStyle name="Calculation 2 7 2 2 2" xfId="6648"/>
    <cellStyle name="Calculation 2 7 2 2 2 2" xfId="6649"/>
    <cellStyle name="Calculation 2 7 2 2 2 2 2" xfId="6650"/>
    <cellStyle name="Calculation 2 7 2 2 2 2 3" xfId="6651"/>
    <cellStyle name="Calculation 2 7 2 2 2 2 4" xfId="6652"/>
    <cellStyle name="Calculation 2 7 2 2 2 3" xfId="6653"/>
    <cellStyle name="Calculation 2 7 2 2 2 3 2" xfId="6654"/>
    <cellStyle name="Calculation 2 7 2 2 2 3 3" xfId="6655"/>
    <cellStyle name="Calculation 2 7 2 2 2 3 4" xfId="6656"/>
    <cellStyle name="Calculation 2 7 2 2 2 4" xfId="6657"/>
    <cellStyle name="Calculation 2 7 2 2 2 4 2" xfId="6658"/>
    <cellStyle name="Calculation 2 7 2 2 2 4 3" xfId="6659"/>
    <cellStyle name="Calculation 2 7 2 2 2 4 4" xfId="6660"/>
    <cellStyle name="Calculation 2 7 2 2 2 5" xfId="6661"/>
    <cellStyle name="Calculation 2 7 2 2 2 6" xfId="6662"/>
    <cellStyle name="Calculation 2 7 2 2 2 7" xfId="6663"/>
    <cellStyle name="Calculation 2 7 2 2 3" xfId="6664"/>
    <cellStyle name="Calculation 2 7 2 2 3 2" xfId="6665"/>
    <cellStyle name="Calculation 2 7 2 2 3 2 2" xfId="6666"/>
    <cellStyle name="Calculation 2 7 2 2 3 2 3" xfId="6667"/>
    <cellStyle name="Calculation 2 7 2 2 3 2 4" xfId="6668"/>
    <cellStyle name="Calculation 2 7 2 2 3 3" xfId="6669"/>
    <cellStyle name="Calculation 2 7 2 2 3 3 2" xfId="6670"/>
    <cellStyle name="Calculation 2 7 2 2 3 3 3" xfId="6671"/>
    <cellStyle name="Calculation 2 7 2 2 3 3 4" xfId="6672"/>
    <cellStyle name="Calculation 2 7 2 2 3 4" xfId="6673"/>
    <cellStyle name="Calculation 2 7 2 2 3 4 2" xfId="6674"/>
    <cellStyle name="Calculation 2 7 2 2 3 4 3" xfId="6675"/>
    <cellStyle name="Calculation 2 7 2 2 3 4 4" xfId="6676"/>
    <cellStyle name="Calculation 2 7 2 2 3 5" xfId="6677"/>
    <cellStyle name="Calculation 2 7 2 2 3 6" xfId="6678"/>
    <cellStyle name="Calculation 2 7 2 2 3 7" xfId="6679"/>
    <cellStyle name="Calculation 2 7 2 2 4" xfId="6680"/>
    <cellStyle name="Calculation 2 7 2 2 4 2" xfId="6681"/>
    <cellStyle name="Calculation 2 7 2 2 4 2 2" xfId="6682"/>
    <cellStyle name="Calculation 2 7 2 2 4 2 3" xfId="6683"/>
    <cellStyle name="Calculation 2 7 2 2 4 2 4" xfId="6684"/>
    <cellStyle name="Calculation 2 7 2 2 4 3" xfId="6685"/>
    <cellStyle name="Calculation 2 7 2 2 4 3 2" xfId="6686"/>
    <cellStyle name="Calculation 2 7 2 2 4 3 3" xfId="6687"/>
    <cellStyle name="Calculation 2 7 2 2 4 3 4" xfId="6688"/>
    <cellStyle name="Calculation 2 7 2 2 4 4" xfId="6689"/>
    <cellStyle name="Calculation 2 7 2 2 4 4 2" xfId="6690"/>
    <cellStyle name="Calculation 2 7 2 2 4 4 3" xfId="6691"/>
    <cellStyle name="Calculation 2 7 2 2 4 4 4" xfId="6692"/>
    <cellStyle name="Calculation 2 7 2 2 4 5" xfId="6693"/>
    <cellStyle name="Calculation 2 7 2 2 4 6" xfId="6694"/>
    <cellStyle name="Calculation 2 7 2 2 4 7" xfId="6695"/>
    <cellStyle name="Calculation 2 7 2 2 5" xfId="6696"/>
    <cellStyle name="Calculation 2 7 2 2 5 2" xfId="6697"/>
    <cellStyle name="Calculation 2 7 2 2 5 2 2" xfId="6698"/>
    <cellStyle name="Calculation 2 7 2 2 5 2 3" xfId="6699"/>
    <cellStyle name="Calculation 2 7 2 2 5 2 4" xfId="6700"/>
    <cellStyle name="Calculation 2 7 2 2 5 3" xfId="6701"/>
    <cellStyle name="Calculation 2 7 2 2 5 3 2" xfId="6702"/>
    <cellStyle name="Calculation 2 7 2 2 5 3 3" xfId="6703"/>
    <cellStyle name="Calculation 2 7 2 2 5 3 4" xfId="6704"/>
    <cellStyle name="Calculation 2 7 2 2 5 4" xfId="6705"/>
    <cellStyle name="Calculation 2 7 2 2 5 4 2" xfId="6706"/>
    <cellStyle name="Calculation 2 7 2 2 5 4 3" xfId="6707"/>
    <cellStyle name="Calculation 2 7 2 2 5 4 4" xfId="6708"/>
    <cellStyle name="Calculation 2 7 2 2 5 5" xfId="6709"/>
    <cellStyle name="Calculation 2 7 2 2 5 6" xfId="6710"/>
    <cellStyle name="Calculation 2 7 2 2 5 7" xfId="6711"/>
    <cellStyle name="Calculation 2 7 2 2 6" xfId="6712"/>
    <cellStyle name="Calculation 2 7 2 2 6 2" xfId="6713"/>
    <cellStyle name="Calculation 2 7 2 2 6 2 2" xfId="6714"/>
    <cellStyle name="Calculation 2 7 2 2 6 2 3" xfId="6715"/>
    <cellStyle name="Calculation 2 7 2 2 6 2 4" xfId="6716"/>
    <cellStyle name="Calculation 2 7 2 2 6 3" xfId="6717"/>
    <cellStyle name="Calculation 2 7 2 2 6 3 2" xfId="6718"/>
    <cellStyle name="Calculation 2 7 2 2 6 3 3" xfId="6719"/>
    <cellStyle name="Calculation 2 7 2 2 6 3 4" xfId="6720"/>
    <cellStyle name="Calculation 2 7 2 2 6 4" xfId="6721"/>
    <cellStyle name="Calculation 2 7 2 2 6 4 2" xfId="6722"/>
    <cellStyle name="Calculation 2 7 2 2 6 4 3" xfId="6723"/>
    <cellStyle name="Calculation 2 7 2 2 6 4 4" xfId="6724"/>
    <cellStyle name="Calculation 2 7 2 2 6 5" xfId="6725"/>
    <cellStyle name="Calculation 2 7 2 2 6 6" xfId="6726"/>
    <cellStyle name="Calculation 2 7 2 2 6 7" xfId="6727"/>
    <cellStyle name="Calculation 2 7 2 2 7" xfId="6728"/>
    <cellStyle name="Calculation 2 7 2 2 7 2" xfId="6729"/>
    <cellStyle name="Calculation 2 7 2 2 7 3" xfId="6730"/>
    <cellStyle name="Calculation 2 7 2 2 7 4" xfId="6731"/>
    <cellStyle name="Calculation 2 7 2 2 8" xfId="6732"/>
    <cellStyle name="Calculation 2 7 2 2 8 2" xfId="6733"/>
    <cellStyle name="Calculation 2 7 2 2 8 3" xfId="6734"/>
    <cellStyle name="Calculation 2 7 2 2 8 4" xfId="6735"/>
    <cellStyle name="Calculation 2 7 2 2 9" xfId="6736"/>
    <cellStyle name="Calculation 2 7 2 2 9 2" xfId="6737"/>
    <cellStyle name="Calculation 2 7 2 2 9 3" xfId="6738"/>
    <cellStyle name="Calculation 2 7 2 2 9 4" xfId="6739"/>
    <cellStyle name="Calculation 2 7 2 3" xfId="739"/>
    <cellStyle name="Calculation 2 7 2 3 10" xfId="6740"/>
    <cellStyle name="Calculation 2 7 2 3 11" xfId="6741"/>
    <cellStyle name="Calculation 2 7 2 3 12" xfId="6742"/>
    <cellStyle name="Calculation 2 7 2 3 2" xfId="6743"/>
    <cellStyle name="Calculation 2 7 2 3 2 2" xfId="6744"/>
    <cellStyle name="Calculation 2 7 2 3 2 2 2" xfId="6745"/>
    <cellStyle name="Calculation 2 7 2 3 2 2 3" xfId="6746"/>
    <cellStyle name="Calculation 2 7 2 3 2 2 4" xfId="6747"/>
    <cellStyle name="Calculation 2 7 2 3 2 3" xfId="6748"/>
    <cellStyle name="Calculation 2 7 2 3 2 3 2" xfId="6749"/>
    <cellStyle name="Calculation 2 7 2 3 2 3 3" xfId="6750"/>
    <cellStyle name="Calculation 2 7 2 3 2 3 4" xfId="6751"/>
    <cellStyle name="Calculation 2 7 2 3 2 4" xfId="6752"/>
    <cellStyle name="Calculation 2 7 2 3 2 4 2" xfId="6753"/>
    <cellStyle name="Calculation 2 7 2 3 2 4 3" xfId="6754"/>
    <cellStyle name="Calculation 2 7 2 3 2 4 4" xfId="6755"/>
    <cellStyle name="Calculation 2 7 2 3 2 5" xfId="6756"/>
    <cellStyle name="Calculation 2 7 2 3 2 6" xfId="6757"/>
    <cellStyle name="Calculation 2 7 2 3 2 7" xfId="6758"/>
    <cellStyle name="Calculation 2 7 2 3 3" xfId="6759"/>
    <cellStyle name="Calculation 2 7 2 3 3 2" xfId="6760"/>
    <cellStyle name="Calculation 2 7 2 3 3 2 2" xfId="6761"/>
    <cellStyle name="Calculation 2 7 2 3 3 2 3" xfId="6762"/>
    <cellStyle name="Calculation 2 7 2 3 3 2 4" xfId="6763"/>
    <cellStyle name="Calculation 2 7 2 3 3 3" xfId="6764"/>
    <cellStyle name="Calculation 2 7 2 3 3 3 2" xfId="6765"/>
    <cellStyle name="Calculation 2 7 2 3 3 3 3" xfId="6766"/>
    <cellStyle name="Calculation 2 7 2 3 3 3 4" xfId="6767"/>
    <cellStyle name="Calculation 2 7 2 3 3 4" xfId="6768"/>
    <cellStyle name="Calculation 2 7 2 3 3 4 2" xfId="6769"/>
    <cellStyle name="Calculation 2 7 2 3 3 4 3" xfId="6770"/>
    <cellStyle name="Calculation 2 7 2 3 3 4 4" xfId="6771"/>
    <cellStyle name="Calculation 2 7 2 3 3 5" xfId="6772"/>
    <cellStyle name="Calculation 2 7 2 3 3 6" xfId="6773"/>
    <cellStyle name="Calculation 2 7 2 3 3 7" xfId="6774"/>
    <cellStyle name="Calculation 2 7 2 3 4" xfId="6775"/>
    <cellStyle name="Calculation 2 7 2 3 4 2" xfId="6776"/>
    <cellStyle name="Calculation 2 7 2 3 4 2 2" xfId="6777"/>
    <cellStyle name="Calculation 2 7 2 3 4 2 3" xfId="6778"/>
    <cellStyle name="Calculation 2 7 2 3 4 2 4" xfId="6779"/>
    <cellStyle name="Calculation 2 7 2 3 4 3" xfId="6780"/>
    <cellStyle name="Calculation 2 7 2 3 4 3 2" xfId="6781"/>
    <cellStyle name="Calculation 2 7 2 3 4 3 3" xfId="6782"/>
    <cellStyle name="Calculation 2 7 2 3 4 3 4" xfId="6783"/>
    <cellStyle name="Calculation 2 7 2 3 4 4" xfId="6784"/>
    <cellStyle name="Calculation 2 7 2 3 4 4 2" xfId="6785"/>
    <cellStyle name="Calculation 2 7 2 3 4 4 3" xfId="6786"/>
    <cellStyle name="Calculation 2 7 2 3 4 4 4" xfId="6787"/>
    <cellStyle name="Calculation 2 7 2 3 4 5" xfId="6788"/>
    <cellStyle name="Calculation 2 7 2 3 4 6" xfId="6789"/>
    <cellStyle name="Calculation 2 7 2 3 4 7" xfId="6790"/>
    <cellStyle name="Calculation 2 7 2 3 5" xfId="6791"/>
    <cellStyle name="Calculation 2 7 2 3 5 2" xfId="6792"/>
    <cellStyle name="Calculation 2 7 2 3 5 2 2" xfId="6793"/>
    <cellStyle name="Calculation 2 7 2 3 5 2 3" xfId="6794"/>
    <cellStyle name="Calculation 2 7 2 3 5 2 4" xfId="6795"/>
    <cellStyle name="Calculation 2 7 2 3 5 3" xfId="6796"/>
    <cellStyle name="Calculation 2 7 2 3 5 3 2" xfId="6797"/>
    <cellStyle name="Calculation 2 7 2 3 5 3 3" xfId="6798"/>
    <cellStyle name="Calculation 2 7 2 3 5 3 4" xfId="6799"/>
    <cellStyle name="Calculation 2 7 2 3 5 4" xfId="6800"/>
    <cellStyle name="Calculation 2 7 2 3 5 4 2" xfId="6801"/>
    <cellStyle name="Calculation 2 7 2 3 5 4 3" xfId="6802"/>
    <cellStyle name="Calculation 2 7 2 3 5 4 4" xfId="6803"/>
    <cellStyle name="Calculation 2 7 2 3 5 5" xfId="6804"/>
    <cellStyle name="Calculation 2 7 2 3 5 6" xfId="6805"/>
    <cellStyle name="Calculation 2 7 2 3 5 7" xfId="6806"/>
    <cellStyle name="Calculation 2 7 2 3 6" xfId="6807"/>
    <cellStyle name="Calculation 2 7 2 3 6 2" xfId="6808"/>
    <cellStyle name="Calculation 2 7 2 3 6 2 2" xfId="6809"/>
    <cellStyle name="Calculation 2 7 2 3 6 2 3" xfId="6810"/>
    <cellStyle name="Calculation 2 7 2 3 6 2 4" xfId="6811"/>
    <cellStyle name="Calculation 2 7 2 3 6 3" xfId="6812"/>
    <cellStyle name="Calculation 2 7 2 3 6 3 2" xfId="6813"/>
    <cellStyle name="Calculation 2 7 2 3 6 3 3" xfId="6814"/>
    <cellStyle name="Calculation 2 7 2 3 6 3 4" xfId="6815"/>
    <cellStyle name="Calculation 2 7 2 3 6 4" xfId="6816"/>
    <cellStyle name="Calculation 2 7 2 3 6 4 2" xfId="6817"/>
    <cellStyle name="Calculation 2 7 2 3 6 4 3" xfId="6818"/>
    <cellStyle name="Calculation 2 7 2 3 6 4 4" xfId="6819"/>
    <cellStyle name="Calculation 2 7 2 3 6 5" xfId="6820"/>
    <cellStyle name="Calculation 2 7 2 3 6 6" xfId="6821"/>
    <cellStyle name="Calculation 2 7 2 3 6 7" xfId="6822"/>
    <cellStyle name="Calculation 2 7 2 3 7" xfId="6823"/>
    <cellStyle name="Calculation 2 7 2 3 7 2" xfId="6824"/>
    <cellStyle name="Calculation 2 7 2 3 7 3" xfId="6825"/>
    <cellStyle name="Calculation 2 7 2 3 7 4" xfId="6826"/>
    <cellStyle name="Calculation 2 7 2 3 8" xfId="6827"/>
    <cellStyle name="Calculation 2 7 2 3 8 2" xfId="6828"/>
    <cellStyle name="Calculation 2 7 2 3 8 3" xfId="6829"/>
    <cellStyle name="Calculation 2 7 2 3 8 4" xfId="6830"/>
    <cellStyle name="Calculation 2 7 2 3 9" xfId="6831"/>
    <cellStyle name="Calculation 2 7 2 3 9 2" xfId="6832"/>
    <cellStyle name="Calculation 2 7 2 3 9 3" xfId="6833"/>
    <cellStyle name="Calculation 2 7 2 3 9 4" xfId="6834"/>
    <cellStyle name="Calculation 2 7 2 4" xfId="788"/>
    <cellStyle name="Calculation 2 7 2 4 10" xfId="6835"/>
    <cellStyle name="Calculation 2 7 2 4 11" xfId="6836"/>
    <cellStyle name="Calculation 2 7 2 4 12" xfId="6837"/>
    <cellStyle name="Calculation 2 7 2 4 2" xfId="6838"/>
    <cellStyle name="Calculation 2 7 2 4 2 2" xfId="6839"/>
    <cellStyle name="Calculation 2 7 2 4 2 2 2" xfId="6840"/>
    <cellStyle name="Calculation 2 7 2 4 2 2 3" xfId="6841"/>
    <cellStyle name="Calculation 2 7 2 4 2 2 4" xfId="6842"/>
    <cellStyle name="Calculation 2 7 2 4 2 3" xfId="6843"/>
    <cellStyle name="Calculation 2 7 2 4 2 3 2" xfId="6844"/>
    <cellStyle name="Calculation 2 7 2 4 2 3 3" xfId="6845"/>
    <cellStyle name="Calculation 2 7 2 4 2 3 4" xfId="6846"/>
    <cellStyle name="Calculation 2 7 2 4 2 4" xfId="6847"/>
    <cellStyle name="Calculation 2 7 2 4 2 4 2" xfId="6848"/>
    <cellStyle name="Calculation 2 7 2 4 2 4 3" xfId="6849"/>
    <cellStyle name="Calculation 2 7 2 4 2 4 4" xfId="6850"/>
    <cellStyle name="Calculation 2 7 2 4 2 5" xfId="6851"/>
    <cellStyle name="Calculation 2 7 2 4 2 6" xfId="6852"/>
    <cellStyle name="Calculation 2 7 2 4 2 7" xfId="6853"/>
    <cellStyle name="Calculation 2 7 2 4 3" xfId="6854"/>
    <cellStyle name="Calculation 2 7 2 4 3 2" xfId="6855"/>
    <cellStyle name="Calculation 2 7 2 4 3 2 2" xfId="6856"/>
    <cellStyle name="Calculation 2 7 2 4 3 2 3" xfId="6857"/>
    <cellStyle name="Calculation 2 7 2 4 3 2 4" xfId="6858"/>
    <cellStyle name="Calculation 2 7 2 4 3 3" xfId="6859"/>
    <cellStyle name="Calculation 2 7 2 4 3 3 2" xfId="6860"/>
    <cellStyle name="Calculation 2 7 2 4 3 3 3" xfId="6861"/>
    <cellStyle name="Calculation 2 7 2 4 3 3 4" xfId="6862"/>
    <cellStyle name="Calculation 2 7 2 4 3 4" xfId="6863"/>
    <cellStyle name="Calculation 2 7 2 4 3 4 2" xfId="6864"/>
    <cellStyle name="Calculation 2 7 2 4 3 4 3" xfId="6865"/>
    <cellStyle name="Calculation 2 7 2 4 3 4 4" xfId="6866"/>
    <cellStyle name="Calculation 2 7 2 4 3 5" xfId="6867"/>
    <cellStyle name="Calculation 2 7 2 4 3 6" xfId="6868"/>
    <cellStyle name="Calculation 2 7 2 4 3 7" xfId="6869"/>
    <cellStyle name="Calculation 2 7 2 4 4" xfId="6870"/>
    <cellStyle name="Calculation 2 7 2 4 4 2" xfId="6871"/>
    <cellStyle name="Calculation 2 7 2 4 4 2 2" xfId="6872"/>
    <cellStyle name="Calculation 2 7 2 4 4 2 3" xfId="6873"/>
    <cellStyle name="Calculation 2 7 2 4 4 2 4" xfId="6874"/>
    <cellStyle name="Calculation 2 7 2 4 4 3" xfId="6875"/>
    <cellStyle name="Calculation 2 7 2 4 4 3 2" xfId="6876"/>
    <cellStyle name="Calculation 2 7 2 4 4 3 3" xfId="6877"/>
    <cellStyle name="Calculation 2 7 2 4 4 3 4" xfId="6878"/>
    <cellStyle name="Calculation 2 7 2 4 4 4" xfId="6879"/>
    <cellStyle name="Calculation 2 7 2 4 4 4 2" xfId="6880"/>
    <cellStyle name="Calculation 2 7 2 4 4 4 3" xfId="6881"/>
    <cellStyle name="Calculation 2 7 2 4 4 4 4" xfId="6882"/>
    <cellStyle name="Calculation 2 7 2 4 4 5" xfId="6883"/>
    <cellStyle name="Calculation 2 7 2 4 4 6" xfId="6884"/>
    <cellStyle name="Calculation 2 7 2 4 4 7" xfId="6885"/>
    <cellStyle name="Calculation 2 7 2 4 5" xfId="6886"/>
    <cellStyle name="Calculation 2 7 2 4 5 2" xfId="6887"/>
    <cellStyle name="Calculation 2 7 2 4 5 2 2" xfId="6888"/>
    <cellStyle name="Calculation 2 7 2 4 5 2 3" xfId="6889"/>
    <cellStyle name="Calculation 2 7 2 4 5 2 4" xfId="6890"/>
    <cellStyle name="Calculation 2 7 2 4 5 3" xfId="6891"/>
    <cellStyle name="Calculation 2 7 2 4 5 3 2" xfId="6892"/>
    <cellStyle name="Calculation 2 7 2 4 5 3 3" xfId="6893"/>
    <cellStyle name="Calculation 2 7 2 4 5 3 4" xfId="6894"/>
    <cellStyle name="Calculation 2 7 2 4 5 4" xfId="6895"/>
    <cellStyle name="Calculation 2 7 2 4 5 4 2" xfId="6896"/>
    <cellStyle name="Calculation 2 7 2 4 5 4 3" xfId="6897"/>
    <cellStyle name="Calculation 2 7 2 4 5 4 4" xfId="6898"/>
    <cellStyle name="Calculation 2 7 2 4 5 5" xfId="6899"/>
    <cellStyle name="Calculation 2 7 2 4 5 6" xfId="6900"/>
    <cellStyle name="Calculation 2 7 2 4 5 7" xfId="6901"/>
    <cellStyle name="Calculation 2 7 2 4 6" xfId="6902"/>
    <cellStyle name="Calculation 2 7 2 4 6 2" xfId="6903"/>
    <cellStyle name="Calculation 2 7 2 4 6 2 2" xfId="6904"/>
    <cellStyle name="Calculation 2 7 2 4 6 2 3" xfId="6905"/>
    <cellStyle name="Calculation 2 7 2 4 6 2 4" xfId="6906"/>
    <cellStyle name="Calculation 2 7 2 4 6 3" xfId="6907"/>
    <cellStyle name="Calculation 2 7 2 4 6 3 2" xfId="6908"/>
    <cellStyle name="Calculation 2 7 2 4 6 3 3" xfId="6909"/>
    <cellStyle name="Calculation 2 7 2 4 6 3 4" xfId="6910"/>
    <cellStyle name="Calculation 2 7 2 4 6 4" xfId="6911"/>
    <cellStyle name="Calculation 2 7 2 4 6 4 2" xfId="6912"/>
    <cellStyle name="Calculation 2 7 2 4 6 4 3" xfId="6913"/>
    <cellStyle name="Calculation 2 7 2 4 6 4 4" xfId="6914"/>
    <cellStyle name="Calculation 2 7 2 4 6 5" xfId="6915"/>
    <cellStyle name="Calculation 2 7 2 4 6 6" xfId="6916"/>
    <cellStyle name="Calculation 2 7 2 4 6 7" xfId="6917"/>
    <cellStyle name="Calculation 2 7 2 4 7" xfId="6918"/>
    <cellStyle name="Calculation 2 7 2 4 7 2" xfId="6919"/>
    <cellStyle name="Calculation 2 7 2 4 7 3" xfId="6920"/>
    <cellStyle name="Calculation 2 7 2 4 7 4" xfId="6921"/>
    <cellStyle name="Calculation 2 7 2 4 8" xfId="6922"/>
    <cellStyle name="Calculation 2 7 2 4 8 2" xfId="6923"/>
    <cellStyle name="Calculation 2 7 2 4 8 3" xfId="6924"/>
    <cellStyle name="Calculation 2 7 2 4 8 4" xfId="6925"/>
    <cellStyle name="Calculation 2 7 2 4 9" xfId="6926"/>
    <cellStyle name="Calculation 2 7 2 4 9 2" xfId="6927"/>
    <cellStyle name="Calculation 2 7 2 4 9 3" xfId="6928"/>
    <cellStyle name="Calculation 2 7 2 4 9 4" xfId="6929"/>
    <cellStyle name="Calculation 2 7 2 5" xfId="6930"/>
    <cellStyle name="Calculation 2 7 2 5 10" xfId="6931"/>
    <cellStyle name="Calculation 2 7 2 5 11" xfId="6932"/>
    <cellStyle name="Calculation 2 7 2 5 12" xfId="6933"/>
    <cellStyle name="Calculation 2 7 2 5 2" xfId="6934"/>
    <cellStyle name="Calculation 2 7 2 5 2 2" xfId="6935"/>
    <cellStyle name="Calculation 2 7 2 5 2 2 2" xfId="6936"/>
    <cellStyle name="Calculation 2 7 2 5 2 2 3" xfId="6937"/>
    <cellStyle name="Calculation 2 7 2 5 2 2 4" xfId="6938"/>
    <cellStyle name="Calculation 2 7 2 5 2 3" xfId="6939"/>
    <cellStyle name="Calculation 2 7 2 5 2 3 2" xfId="6940"/>
    <cellStyle name="Calculation 2 7 2 5 2 3 3" xfId="6941"/>
    <cellStyle name="Calculation 2 7 2 5 2 3 4" xfId="6942"/>
    <cellStyle name="Calculation 2 7 2 5 2 4" xfId="6943"/>
    <cellStyle name="Calculation 2 7 2 5 2 4 2" xfId="6944"/>
    <cellStyle name="Calculation 2 7 2 5 2 4 3" xfId="6945"/>
    <cellStyle name="Calculation 2 7 2 5 2 4 4" xfId="6946"/>
    <cellStyle name="Calculation 2 7 2 5 2 5" xfId="6947"/>
    <cellStyle name="Calculation 2 7 2 5 2 6" xfId="6948"/>
    <cellStyle name="Calculation 2 7 2 5 2 7" xfId="6949"/>
    <cellStyle name="Calculation 2 7 2 5 3" xfId="6950"/>
    <cellStyle name="Calculation 2 7 2 5 3 2" xfId="6951"/>
    <cellStyle name="Calculation 2 7 2 5 3 2 2" xfId="6952"/>
    <cellStyle name="Calculation 2 7 2 5 3 2 3" xfId="6953"/>
    <cellStyle name="Calculation 2 7 2 5 3 2 4" xfId="6954"/>
    <cellStyle name="Calculation 2 7 2 5 3 3" xfId="6955"/>
    <cellStyle name="Calculation 2 7 2 5 3 3 2" xfId="6956"/>
    <cellStyle name="Calculation 2 7 2 5 3 3 3" xfId="6957"/>
    <cellStyle name="Calculation 2 7 2 5 3 3 4" xfId="6958"/>
    <cellStyle name="Calculation 2 7 2 5 3 4" xfId="6959"/>
    <cellStyle name="Calculation 2 7 2 5 3 4 2" xfId="6960"/>
    <cellStyle name="Calculation 2 7 2 5 3 4 3" xfId="6961"/>
    <cellStyle name="Calculation 2 7 2 5 3 4 4" xfId="6962"/>
    <cellStyle name="Calculation 2 7 2 5 3 5" xfId="6963"/>
    <cellStyle name="Calculation 2 7 2 5 3 6" xfId="6964"/>
    <cellStyle name="Calculation 2 7 2 5 3 7" xfId="6965"/>
    <cellStyle name="Calculation 2 7 2 5 4" xfId="6966"/>
    <cellStyle name="Calculation 2 7 2 5 4 2" xfId="6967"/>
    <cellStyle name="Calculation 2 7 2 5 4 2 2" xfId="6968"/>
    <cellStyle name="Calculation 2 7 2 5 4 2 3" xfId="6969"/>
    <cellStyle name="Calculation 2 7 2 5 4 2 4" xfId="6970"/>
    <cellStyle name="Calculation 2 7 2 5 4 3" xfId="6971"/>
    <cellStyle name="Calculation 2 7 2 5 4 3 2" xfId="6972"/>
    <cellStyle name="Calculation 2 7 2 5 4 3 3" xfId="6973"/>
    <cellStyle name="Calculation 2 7 2 5 4 3 4" xfId="6974"/>
    <cellStyle name="Calculation 2 7 2 5 4 4" xfId="6975"/>
    <cellStyle name="Calculation 2 7 2 5 4 4 2" xfId="6976"/>
    <cellStyle name="Calculation 2 7 2 5 4 4 3" xfId="6977"/>
    <cellStyle name="Calculation 2 7 2 5 4 4 4" xfId="6978"/>
    <cellStyle name="Calculation 2 7 2 5 4 5" xfId="6979"/>
    <cellStyle name="Calculation 2 7 2 5 4 6" xfId="6980"/>
    <cellStyle name="Calculation 2 7 2 5 4 7" xfId="6981"/>
    <cellStyle name="Calculation 2 7 2 5 5" xfId="6982"/>
    <cellStyle name="Calculation 2 7 2 5 5 2" xfId="6983"/>
    <cellStyle name="Calculation 2 7 2 5 5 2 2" xfId="6984"/>
    <cellStyle name="Calculation 2 7 2 5 5 2 3" xfId="6985"/>
    <cellStyle name="Calculation 2 7 2 5 5 2 4" xfId="6986"/>
    <cellStyle name="Calculation 2 7 2 5 5 3" xfId="6987"/>
    <cellStyle name="Calculation 2 7 2 5 5 3 2" xfId="6988"/>
    <cellStyle name="Calculation 2 7 2 5 5 3 3" xfId="6989"/>
    <cellStyle name="Calculation 2 7 2 5 5 3 4" xfId="6990"/>
    <cellStyle name="Calculation 2 7 2 5 5 4" xfId="6991"/>
    <cellStyle name="Calculation 2 7 2 5 5 4 2" xfId="6992"/>
    <cellStyle name="Calculation 2 7 2 5 5 4 3" xfId="6993"/>
    <cellStyle name="Calculation 2 7 2 5 5 4 4" xfId="6994"/>
    <cellStyle name="Calculation 2 7 2 5 5 5" xfId="6995"/>
    <cellStyle name="Calculation 2 7 2 5 5 6" xfId="6996"/>
    <cellStyle name="Calculation 2 7 2 5 5 7" xfId="6997"/>
    <cellStyle name="Calculation 2 7 2 5 6" xfId="6998"/>
    <cellStyle name="Calculation 2 7 2 5 6 2" xfId="6999"/>
    <cellStyle name="Calculation 2 7 2 5 6 2 2" xfId="7000"/>
    <cellStyle name="Calculation 2 7 2 5 6 2 3" xfId="7001"/>
    <cellStyle name="Calculation 2 7 2 5 6 2 4" xfId="7002"/>
    <cellStyle name="Calculation 2 7 2 5 6 3" xfId="7003"/>
    <cellStyle name="Calculation 2 7 2 5 6 3 2" xfId="7004"/>
    <cellStyle name="Calculation 2 7 2 5 6 3 3" xfId="7005"/>
    <cellStyle name="Calculation 2 7 2 5 6 3 4" xfId="7006"/>
    <cellStyle name="Calculation 2 7 2 5 6 4" xfId="7007"/>
    <cellStyle name="Calculation 2 7 2 5 6 4 2" xfId="7008"/>
    <cellStyle name="Calculation 2 7 2 5 6 4 3" xfId="7009"/>
    <cellStyle name="Calculation 2 7 2 5 6 4 4" xfId="7010"/>
    <cellStyle name="Calculation 2 7 2 5 6 5" xfId="7011"/>
    <cellStyle name="Calculation 2 7 2 5 6 6" xfId="7012"/>
    <cellStyle name="Calculation 2 7 2 5 6 7" xfId="7013"/>
    <cellStyle name="Calculation 2 7 2 5 7" xfId="7014"/>
    <cellStyle name="Calculation 2 7 2 5 7 2" xfId="7015"/>
    <cellStyle name="Calculation 2 7 2 5 7 3" xfId="7016"/>
    <cellStyle name="Calculation 2 7 2 5 7 4" xfId="7017"/>
    <cellStyle name="Calculation 2 7 2 5 8" xfId="7018"/>
    <cellStyle name="Calculation 2 7 2 5 8 2" xfId="7019"/>
    <cellStyle name="Calculation 2 7 2 5 8 3" xfId="7020"/>
    <cellStyle name="Calculation 2 7 2 5 8 4" xfId="7021"/>
    <cellStyle name="Calculation 2 7 2 5 9" xfId="7022"/>
    <cellStyle name="Calculation 2 7 2 5 9 2" xfId="7023"/>
    <cellStyle name="Calculation 2 7 2 5 9 3" xfId="7024"/>
    <cellStyle name="Calculation 2 7 2 5 9 4" xfId="7025"/>
    <cellStyle name="Calculation 2 7 2 6" xfId="7026"/>
    <cellStyle name="Calculation 2 7 2 6 2" xfId="7027"/>
    <cellStyle name="Calculation 2 7 2 6 2 2" xfId="7028"/>
    <cellStyle name="Calculation 2 7 2 6 2 3" xfId="7029"/>
    <cellStyle name="Calculation 2 7 2 6 2 4" xfId="7030"/>
    <cellStyle name="Calculation 2 7 2 6 3" xfId="7031"/>
    <cellStyle name="Calculation 2 7 2 6 3 2" xfId="7032"/>
    <cellStyle name="Calculation 2 7 2 6 3 3" xfId="7033"/>
    <cellStyle name="Calculation 2 7 2 6 3 4" xfId="7034"/>
    <cellStyle name="Calculation 2 7 2 6 4" xfId="7035"/>
    <cellStyle name="Calculation 2 7 2 6 4 2" xfId="7036"/>
    <cellStyle name="Calculation 2 7 2 6 4 3" xfId="7037"/>
    <cellStyle name="Calculation 2 7 2 6 4 4" xfId="7038"/>
    <cellStyle name="Calculation 2 7 2 6 5" xfId="7039"/>
    <cellStyle name="Calculation 2 7 2 6 6" xfId="7040"/>
    <cellStyle name="Calculation 2 7 2 6 7" xfId="7041"/>
    <cellStyle name="Calculation 2 7 2 7" xfId="7042"/>
    <cellStyle name="Calculation 2 7 2 7 2" xfId="7043"/>
    <cellStyle name="Calculation 2 7 2 7 2 2" xfId="7044"/>
    <cellStyle name="Calculation 2 7 2 7 2 3" xfId="7045"/>
    <cellStyle name="Calculation 2 7 2 7 2 4" xfId="7046"/>
    <cellStyle name="Calculation 2 7 2 7 3" xfId="7047"/>
    <cellStyle name="Calculation 2 7 2 7 3 2" xfId="7048"/>
    <cellStyle name="Calculation 2 7 2 7 3 3" xfId="7049"/>
    <cellStyle name="Calculation 2 7 2 7 3 4" xfId="7050"/>
    <cellStyle name="Calculation 2 7 2 7 4" xfId="7051"/>
    <cellStyle name="Calculation 2 7 2 7 4 2" xfId="7052"/>
    <cellStyle name="Calculation 2 7 2 7 4 3" xfId="7053"/>
    <cellStyle name="Calculation 2 7 2 7 4 4" xfId="7054"/>
    <cellStyle name="Calculation 2 7 2 7 5" xfId="7055"/>
    <cellStyle name="Calculation 2 7 2 7 6" xfId="7056"/>
    <cellStyle name="Calculation 2 7 2 7 7" xfId="7057"/>
    <cellStyle name="Calculation 2 7 2 8" xfId="7058"/>
    <cellStyle name="Calculation 2 7 2 8 2" xfId="7059"/>
    <cellStyle name="Calculation 2 7 2 8 2 2" xfId="7060"/>
    <cellStyle name="Calculation 2 7 2 8 2 3" xfId="7061"/>
    <cellStyle name="Calculation 2 7 2 8 2 4" xfId="7062"/>
    <cellStyle name="Calculation 2 7 2 8 3" xfId="7063"/>
    <cellStyle name="Calculation 2 7 2 8 3 2" xfId="7064"/>
    <cellStyle name="Calculation 2 7 2 8 3 3" xfId="7065"/>
    <cellStyle name="Calculation 2 7 2 8 3 4" xfId="7066"/>
    <cellStyle name="Calculation 2 7 2 8 4" xfId="7067"/>
    <cellStyle name="Calculation 2 7 2 8 4 2" xfId="7068"/>
    <cellStyle name="Calculation 2 7 2 8 4 3" xfId="7069"/>
    <cellStyle name="Calculation 2 7 2 8 4 4" xfId="7070"/>
    <cellStyle name="Calculation 2 7 2 8 5" xfId="7071"/>
    <cellStyle name="Calculation 2 7 2 8 6" xfId="7072"/>
    <cellStyle name="Calculation 2 7 2 8 7" xfId="7073"/>
    <cellStyle name="Calculation 2 7 2 9" xfId="7074"/>
    <cellStyle name="Calculation 2 7 2 9 2" xfId="7075"/>
    <cellStyle name="Calculation 2 7 2 9 2 2" xfId="7076"/>
    <cellStyle name="Calculation 2 7 2 9 2 3" xfId="7077"/>
    <cellStyle name="Calculation 2 7 2 9 2 4" xfId="7078"/>
    <cellStyle name="Calculation 2 7 2 9 3" xfId="7079"/>
    <cellStyle name="Calculation 2 7 2 9 3 2" xfId="7080"/>
    <cellStyle name="Calculation 2 7 2 9 3 3" xfId="7081"/>
    <cellStyle name="Calculation 2 7 2 9 3 4" xfId="7082"/>
    <cellStyle name="Calculation 2 7 2 9 4" xfId="7083"/>
    <cellStyle name="Calculation 2 7 2 9 4 2" xfId="7084"/>
    <cellStyle name="Calculation 2 7 2 9 4 3" xfId="7085"/>
    <cellStyle name="Calculation 2 7 2 9 4 4" xfId="7086"/>
    <cellStyle name="Calculation 2 7 2 9 5" xfId="7087"/>
    <cellStyle name="Calculation 2 7 2 9 6" xfId="7088"/>
    <cellStyle name="Calculation 2 7 2 9 7" xfId="7089"/>
    <cellStyle name="Calculation 2 7 3" xfId="1047"/>
    <cellStyle name="Calculation 2 7 3 10" xfId="7090"/>
    <cellStyle name="Calculation 2 7 3 11" xfId="7091"/>
    <cellStyle name="Calculation 2 7 3 12" xfId="7092"/>
    <cellStyle name="Calculation 2 7 3 2" xfId="7093"/>
    <cellStyle name="Calculation 2 7 3 2 2" xfId="7094"/>
    <cellStyle name="Calculation 2 7 3 2 2 2" xfId="7095"/>
    <cellStyle name="Calculation 2 7 3 2 2 3" xfId="7096"/>
    <cellStyle name="Calculation 2 7 3 2 2 4" xfId="7097"/>
    <cellStyle name="Calculation 2 7 3 2 3" xfId="7098"/>
    <cellStyle name="Calculation 2 7 3 2 3 2" xfId="7099"/>
    <cellStyle name="Calculation 2 7 3 2 3 3" xfId="7100"/>
    <cellStyle name="Calculation 2 7 3 2 3 4" xfId="7101"/>
    <cellStyle name="Calculation 2 7 3 2 4" xfId="7102"/>
    <cellStyle name="Calculation 2 7 3 2 4 2" xfId="7103"/>
    <cellStyle name="Calculation 2 7 3 2 4 3" xfId="7104"/>
    <cellStyle name="Calculation 2 7 3 2 4 4" xfId="7105"/>
    <cellStyle name="Calculation 2 7 3 2 5" xfId="7106"/>
    <cellStyle name="Calculation 2 7 3 2 6" xfId="7107"/>
    <cellStyle name="Calculation 2 7 3 2 7" xfId="7108"/>
    <cellStyle name="Calculation 2 7 3 3" xfId="7109"/>
    <cellStyle name="Calculation 2 7 3 3 2" xfId="7110"/>
    <cellStyle name="Calculation 2 7 3 3 2 2" xfId="7111"/>
    <cellStyle name="Calculation 2 7 3 3 2 3" xfId="7112"/>
    <cellStyle name="Calculation 2 7 3 3 2 4" xfId="7113"/>
    <cellStyle name="Calculation 2 7 3 3 3" xfId="7114"/>
    <cellStyle name="Calculation 2 7 3 3 3 2" xfId="7115"/>
    <cellStyle name="Calculation 2 7 3 3 3 3" xfId="7116"/>
    <cellStyle name="Calculation 2 7 3 3 3 4" xfId="7117"/>
    <cellStyle name="Calculation 2 7 3 3 4" xfId="7118"/>
    <cellStyle name="Calculation 2 7 3 3 4 2" xfId="7119"/>
    <cellStyle name="Calculation 2 7 3 3 4 3" xfId="7120"/>
    <cellStyle name="Calculation 2 7 3 3 4 4" xfId="7121"/>
    <cellStyle name="Calculation 2 7 3 3 5" xfId="7122"/>
    <cellStyle name="Calculation 2 7 3 3 6" xfId="7123"/>
    <cellStyle name="Calculation 2 7 3 3 7" xfId="7124"/>
    <cellStyle name="Calculation 2 7 3 4" xfId="7125"/>
    <cellStyle name="Calculation 2 7 3 4 2" xfId="7126"/>
    <cellStyle name="Calculation 2 7 3 4 2 2" xfId="7127"/>
    <cellStyle name="Calculation 2 7 3 4 2 3" xfId="7128"/>
    <cellStyle name="Calculation 2 7 3 4 2 4" xfId="7129"/>
    <cellStyle name="Calculation 2 7 3 4 3" xfId="7130"/>
    <cellStyle name="Calculation 2 7 3 4 3 2" xfId="7131"/>
    <cellStyle name="Calculation 2 7 3 4 3 3" xfId="7132"/>
    <cellStyle name="Calculation 2 7 3 4 3 4" xfId="7133"/>
    <cellStyle name="Calculation 2 7 3 4 4" xfId="7134"/>
    <cellStyle name="Calculation 2 7 3 4 4 2" xfId="7135"/>
    <cellStyle name="Calculation 2 7 3 4 4 3" xfId="7136"/>
    <cellStyle name="Calculation 2 7 3 4 4 4" xfId="7137"/>
    <cellStyle name="Calculation 2 7 3 4 5" xfId="7138"/>
    <cellStyle name="Calculation 2 7 3 4 6" xfId="7139"/>
    <cellStyle name="Calculation 2 7 3 4 7" xfId="7140"/>
    <cellStyle name="Calculation 2 7 3 5" xfId="7141"/>
    <cellStyle name="Calculation 2 7 3 5 2" xfId="7142"/>
    <cellStyle name="Calculation 2 7 3 5 2 2" xfId="7143"/>
    <cellStyle name="Calculation 2 7 3 5 2 3" xfId="7144"/>
    <cellStyle name="Calculation 2 7 3 5 2 4" xfId="7145"/>
    <cellStyle name="Calculation 2 7 3 5 3" xfId="7146"/>
    <cellStyle name="Calculation 2 7 3 5 3 2" xfId="7147"/>
    <cellStyle name="Calculation 2 7 3 5 3 3" xfId="7148"/>
    <cellStyle name="Calculation 2 7 3 5 3 4" xfId="7149"/>
    <cellStyle name="Calculation 2 7 3 5 4" xfId="7150"/>
    <cellStyle name="Calculation 2 7 3 5 4 2" xfId="7151"/>
    <cellStyle name="Calculation 2 7 3 5 4 3" xfId="7152"/>
    <cellStyle name="Calculation 2 7 3 5 4 4" xfId="7153"/>
    <cellStyle name="Calculation 2 7 3 5 5" xfId="7154"/>
    <cellStyle name="Calculation 2 7 3 5 6" xfId="7155"/>
    <cellStyle name="Calculation 2 7 3 5 7" xfId="7156"/>
    <cellStyle name="Calculation 2 7 3 6" xfId="7157"/>
    <cellStyle name="Calculation 2 7 3 6 2" xfId="7158"/>
    <cellStyle name="Calculation 2 7 3 6 2 2" xfId="7159"/>
    <cellStyle name="Calculation 2 7 3 6 2 3" xfId="7160"/>
    <cellStyle name="Calculation 2 7 3 6 2 4" xfId="7161"/>
    <cellStyle name="Calculation 2 7 3 6 3" xfId="7162"/>
    <cellStyle name="Calculation 2 7 3 6 3 2" xfId="7163"/>
    <cellStyle name="Calculation 2 7 3 6 3 3" xfId="7164"/>
    <cellStyle name="Calculation 2 7 3 6 3 4" xfId="7165"/>
    <cellStyle name="Calculation 2 7 3 6 4" xfId="7166"/>
    <cellStyle name="Calculation 2 7 3 6 4 2" xfId="7167"/>
    <cellStyle name="Calculation 2 7 3 6 4 3" xfId="7168"/>
    <cellStyle name="Calculation 2 7 3 6 4 4" xfId="7169"/>
    <cellStyle name="Calculation 2 7 3 6 5" xfId="7170"/>
    <cellStyle name="Calculation 2 7 3 6 6" xfId="7171"/>
    <cellStyle name="Calculation 2 7 3 6 7" xfId="7172"/>
    <cellStyle name="Calculation 2 7 3 7" xfId="7173"/>
    <cellStyle name="Calculation 2 7 3 7 2" xfId="7174"/>
    <cellStyle name="Calculation 2 7 3 7 3" xfId="7175"/>
    <cellStyle name="Calculation 2 7 3 7 4" xfId="7176"/>
    <cellStyle name="Calculation 2 7 3 8" xfId="7177"/>
    <cellStyle name="Calculation 2 7 3 8 2" xfId="7178"/>
    <cellStyle name="Calculation 2 7 3 8 3" xfId="7179"/>
    <cellStyle name="Calculation 2 7 3 8 4" xfId="7180"/>
    <cellStyle name="Calculation 2 7 3 9" xfId="7181"/>
    <cellStyle name="Calculation 2 7 3 9 2" xfId="7182"/>
    <cellStyle name="Calculation 2 7 3 9 3" xfId="7183"/>
    <cellStyle name="Calculation 2 7 3 9 4" xfId="7184"/>
    <cellStyle name="Calculation 2 7 4" xfId="1024"/>
    <cellStyle name="Calculation 2 7 5" xfId="1158"/>
    <cellStyle name="Calculation 2 7 6" xfId="3263"/>
    <cellStyle name="Calculation 2 7 7" xfId="3258"/>
    <cellStyle name="Calculation 2 8" xfId="64"/>
    <cellStyle name="Calculation 2 8 2" xfId="394"/>
    <cellStyle name="Calculation 2 8 2 10" xfId="7185"/>
    <cellStyle name="Calculation 2 8 2 10 2" xfId="7186"/>
    <cellStyle name="Calculation 2 8 2 10 2 2" xfId="7187"/>
    <cellStyle name="Calculation 2 8 2 10 2 3" xfId="7188"/>
    <cellStyle name="Calculation 2 8 2 10 2 4" xfId="7189"/>
    <cellStyle name="Calculation 2 8 2 10 3" xfId="7190"/>
    <cellStyle name="Calculation 2 8 2 10 3 2" xfId="7191"/>
    <cellStyle name="Calculation 2 8 2 10 3 3" xfId="7192"/>
    <cellStyle name="Calculation 2 8 2 10 3 4" xfId="7193"/>
    <cellStyle name="Calculation 2 8 2 10 4" xfId="7194"/>
    <cellStyle name="Calculation 2 8 2 10 4 2" xfId="7195"/>
    <cellStyle name="Calculation 2 8 2 10 4 3" xfId="7196"/>
    <cellStyle name="Calculation 2 8 2 10 4 4" xfId="7197"/>
    <cellStyle name="Calculation 2 8 2 10 5" xfId="7198"/>
    <cellStyle name="Calculation 2 8 2 10 6" xfId="7199"/>
    <cellStyle name="Calculation 2 8 2 10 7" xfId="7200"/>
    <cellStyle name="Calculation 2 8 2 11" xfId="7201"/>
    <cellStyle name="Calculation 2 8 2 11 2" xfId="7202"/>
    <cellStyle name="Calculation 2 8 2 11 2 2" xfId="7203"/>
    <cellStyle name="Calculation 2 8 2 11 2 3" xfId="7204"/>
    <cellStyle name="Calculation 2 8 2 11 2 4" xfId="7205"/>
    <cellStyle name="Calculation 2 8 2 11 3" xfId="7206"/>
    <cellStyle name="Calculation 2 8 2 11 3 2" xfId="7207"/>
    <cellStyle name="Calculation 2 8 2 11 3 3" xfId="7208"/>
    <cellStyle name="Calculation 2 8 2 11 3 4" xfId="7209"/>
    <cellStyle name="Calculation 2 8 2 11 4" xfId="7210"/>
    <cellStyle name="Calculation 2 8 2 11 4 2" xfId="7211"/>
    <cellStyle name="Calculation 2 8 2 11 4 3" xfId="7212"/>
    <cellStyle name="Calculation 2 8 2 11 4 4" xfId="7213"/>
    <cellStyle name="Calculation 2 8 2 11 5" xfId="7214"/>
    <cellStyle name="Calculation 2 8 2 11 6" xfId="7215"/>
    <cellStyle name="Calculation 2 8 2 11 7" xfId="7216"/>
    <cellStyle name="Calculation 2 8 2 12" xfId="7217"/>
    <cellStyle name="Calculation 2 8 2 12 2" xfId="7218"/>
    <cellStyle name="Calculation 2 8 2 12 2 2" xfId="7219"/>
    <cellStyle name="Calculation 2 8 2 12 2 3" xfId="7220"/>
    <cellStyle name="Calculation 2 8 2 12 2 4" xfId="7221"/>
    <cellStyle name="Calculation 2 8 2 12 3" xfId="7222"/>
    <cellStyle name="Calculation 2 8 2 12 3 2" xfId="7223"/>
    <cellStyle name="Calculation 2 8 2 12 3 3" xfId="7224"/>
    <cellStyle name="Calculation 2 8 2 12 3 4" xfId="7225"/>
    <cellStyle name="Calculation 2 8 2 12 4" xfId="7226"/>
    <cellStyle name="Calculation 2 8 2 12 4 2" xfId="7227"/>
    <cellStyle name="Calculation 2 8 2 12 4 3" xfId="7228"/>
    <cellStyle name="Calculation 2 8 2 12 4 4" xfId="7229"/>
    <cellStyle name="Calculation 2 8 2 12 5" xfId="7230"/>
    <cellStyle name="Calculation 2 8 2 12 6" xfId="7231"/>
    <cellStyle name="Calculation 2 8 2 12 7" xfId="7232"/>
    <cellStyle name="Calculation 2 8 2 13" xfId="7233"/>
    <cellStyle name="Calculation 2 8 2 13 2" xfId="7234"/>
    <cellStyle name="Calculation 2 8 2 13 2 2" xfId="7235"/>
    <cellStyle name="Calculation 2 8 2 13 2 3" xfId="7236"/>
    <cellStyle name="Calculation 2 8 2 13 2 4" xfId="7237"/>
    <cellStyle name="Calculation 2 8 2 13 3" xfId="7238"/>
    <cellStyle name="Calculation 2 8 2 13 3 2" xfId="7239"/>
    <cellStyle name="Calculation 2 8 2 13 3 3" xfId="7240"/>
    <cellStyle name="Calculation 2 8 2 13 3 4" xfId="7241"/>
    <cellStyle name="Calculation 2 8 2 13 4" xfId="7242"/>
    <cellStyle name="Calculation 2 8 2 13 4 2" xfId="7243"/>
    <cellStyle name="Calculation 2 8 2 13 4 3" xfId="7244"/>
    <cellStyle name="Calculation 2 8 2 13 4 4" xfId="7245"/>
    <cellStyle name="Calculation 2 8 2 13 5" xfId="7246"/>
    <cellStyle name="Calculation 2 8 2 13 6" xfId="7247"/>
    <cellStyle name="Calculation 2 8 2 13 7" xfId="7248"/>
    <cellStyle name="Calculation 2 8 2 14" xfId="7249"/>
    <cellStyle name="Calculation 2 8 2 14 2" xfId="7250"/>
    <cellStyle name="Calculation 2 8 2 14 3" xfId="7251"/>
    <cellStyle name="Calculation 2 8 2 14 4" xfId="7252"/>
    <cellStyle name="Calculation 2 8 2 15" xfId="7253"/>
    <cellStyle name="Calculation 2 8 2 15 2" xfId="7254"/>
    <cellStyle name="Calculation 2 8 2 15 3" xfId="7255"/>
    <cellStyle name="Calculation 2 8 2 15 4" xfId="7256"/>
    <cellStyle name="Calculation 2 8 2 16" xfId="7257"/>
    <cellStyle name="Calculation 2 8 2 16 2" xfId="7258"/>
    <cellStyle name="Calculation 2 8 2 16 3" xfId="7259"/>
    <cellStyle name="Calculation 2 8 2 16 4" xfId="7260"/>
    <cellStyle name="Calculation 2 8 2 17" xfId="7261"/>
    <cellStyle name="Calculation 2 8 2 18" xfId="7262"/>
    <cellStyle name="Calculation 2 8 2 19" xfId="7263"/>
    <cellStyle name="Calculation 2 8 2 2" xfId="818"/>
    <cellStyle name="Calculation 2 8 2 2 10" xfId="7264"/>
    <cellStyle name="Calculation 2 8 2 2 11" xfId="7265"/>
    <cellStyle name="Calculation 2 8 2 2 12" xfId="7266"/>
    <cellStyle name="Calculation 2 8 2 2 2" xfId="7267"/>
    <cellStyle name="Calculation 2 8 2 2 2 2" xfId="7268"/>
    <cellStyle name="Calculation 2 8 2 2 2 2 2" xfId="7269"/>
    <cellStyle name="Calculation 2 8 2 2 2 2 3" xfId="7270"/>
    <cellStyle name="Calculation 2 8 2 2 2 2 4" xfId="7271"/>
    <cellStyle name="Calculation 2 8 2 2 2 3" xfId="7272"/>
    <cellStyle name="Calculation 2 8 2 2 2 3 2" xfId="7273"/>
    <cellStyle name="Calculation 2 8 2 2 2 3 3" xfId="7274"/>
    <cellStyle name="Calculation 2 8 2 2 2 3 4" xfId="7275"/>
    <cellStyle name="Calculation 2 8 2 2 2 4" xfId="7276"/>
    <cellStyle name="Calculation 2 8 2 2 2 4 2" xfId="7277"/>
    <cellStyle name="Calculation 2 8 2 2 2 4 3" xfId="7278"/>
    <cellStyle name="Calculation 2 8 2 2 2 4 4" xfId="7279"/>
    <cellStyle name="Calculation 2 8 2 2 2 5" xfId="7280"/>
    <cellStyle name="Calculation 2 8 2 2 2 6" xfId="7281"/>
    <cellStyle name="Calculation 2 8 2 2 2 7" xfId="7282"/>
    <cellStyle name="Calculation 2 8 2 2 3" xfId="7283"/>
    <cellStyle name="Calculation 2 8 2 2 3 2" xfId="7284"/>
    <cellStyle name="Calculation 2 8 2 2 3 2 2" xfId="7285"/>
    <cellStyle name="Calculation 2 8 2 2 3 2 3" xfId="7286"/>
    <cellStyle name="Calculation 2 8 2 2 3 2 4" xfId="7287"/>
    <cellStyle name="Calculation 2 8 2 2 3 3" xfId="7288"/>
    <cellStyle name="Calculation 2 8 2 2 3 3 2" xfId="7289"/>
    <cellStyle name="Calculation 2 8 2 2 3 3 3" xfId="7290"/>
    <cellStyle name="Calculation 2 8 2 2 3 3 4" xfId="7291"/>
    <cellStyle name="Calculation 2 8 2 2 3 4" xfId="7292"/>
    <cellStyle name="Calculation 2 8 2 2 3 4 2" xfId="7293"/>
    <cellStyle name="Calculation 2 8 2 2 3 4 3" xfId="7294"/>
    <cellStyle name="Calculation 2 8 2 2 3 4 4" xfId="7295"/>
    <cellStyle name="Calculation 2 8 2 2 3 5" xfId="7296"/>
    <cellStyle name="Calculation 2 8 2 2 3 6" xfId="7297"/>
    <cellStyle name="Calculation 2 8 2 2 3 7" xfId="7298"/>
    <cellStyle name="Calculation 2 8 2 2 4" xfId="7299"/>
    <cellStyle name="Calculation 2 8 2 2 4 2" xfId="7300"/>
    <cellStyle name="Calculation 2 8 2 2 4 2 2" xfId="7301"/>
    <cellStyle name="Calculation 2 8 2 2 4 2 3" xfId="7302"/>
    <cellStyle name="Calculation 2 8 2 2 4 2 4" xfId="7303"/>
    <cellStyle name="Calculation 2 8 2 2 4 3" xfId="7304"/>
    <cellStyle name="Calculation 2 8 2 2 4 3 2" xfId="7305"/>
    <cellStyle name="Calculation 2 8 2 2 4 3 3" xfId="7306"/>
    <cellStyle name="Calculation 2 8 2 2 4 3 4" xfId="7307"/>
    <cellStyle name="Calculation 2 8 2 2 4 4" xfId="7308"/>
    <cellStyle name="Calculation 2 8 2 2 4 4 2" xfId="7309"/>
    <cellStyle name="Calculation 2 8 2 2 4 4 3" xfId="7310"/>
    <cellStyle name="Calculation 2 8 2 2 4 4 4" xfId="7311"/>
    <cellStyle name="Calculation 2 8 2 2 4 5" xfId="7312"/>
    <cellStyle name="Calculation 2 8 2 2 4 6" xfId="7313"/>
    <cellStyle name="Calculation 2 8 2 2 4 7" xfId="7314"/>
    <cellStyle name="Calculation 2 8 2 2 5" xfId="7315"/>
    <cellStyle name="Calculation 2 8 2 2 5 2" xfId="7316"/>
    <cellStyle name="Calculation 2 8 2 2 5 2 2" xfId="7317"/>
    <cellStyle name="Calculation 2 8 2 2 5 2 3" xfId="7318"/>
    <cellStyle name="Calculation 2 8 2 2 5 2 4" xfId="7319"/>
    <cellStyle name="Calculation 2 8 2 2 5 3" xfId="7320"/>
    <cellStyle name="Calculation 2 8 2 2 5 3 2" xfId="7321"/>
    <cellStyle name="Calculation 2 8 2 2 5 3 3" xfId="7322"/>
    <cellStyle name="Calculation 2 8 2 2 5 3 4" xfId="7323"/>
    <cellStyle name="Calculation 2 8 2 2 5 4" xfId="7324"/>
    <cellStyle name="Calculation 2 8 2 2 5 4 2" xfId="7325"/>
    <cellStyle name="Calculation 2 8 2 2 5 4 3" xfId="7326"/>
    <cellStyle name="Calculation 2 8 2 2 5 4 4" xfId="7327"/>
    <cellStyle name="Calculation 2 8 2 2 5 5" xfId="7328"/>
    <cellStyle name="Calculation 2 8 2 2 5 6" xfId="7329"/>
    <cellStyle name="Calculation 2 8 2 2 5 7" xfId="7330"/>
    <cellStyle name="Calculation 2 8 2 2 6" xfId="7331"/>
    <cellStyle name="Calculation 2 8 2 2 6 2" xfId="7332"/>
    <cellStyle name="Calculation 2 8 2 2 6 2 2" xfId="7333"/>
    <cellStyle name="Calculation 2 8 2 2 6 2 3" xfId="7334"/>
    <cellStyle name="Calculation 2 8 2 2 6 2 4" xfId="7335"/>
    <cellStyle name="Calculation 2 8 2 2 6 3" xfId="7336"/>
    <cellStyle name="Calculation 2 8 2 2 6 3 2" xfId="7337"/>
    <cellStyle name="Calculation 2 8 2 2 6 3 3" xfId="7338"/>
    <cellStyle name="Calculation 2 8 2 2 6 3 4" xfId="7339"/>
    <cellStyle name="Calculation 2 8 2 2 6 4" xfId="7340"/>
    <cellStyle name="Calculation 2 8 2 2 6 4 2" xfId="7341"/>
    <cellStyle name="Calculation 2 8 2 2 6 4 3" xfId="7342"/>
    <cellStyle name="Calculation 2 8 2 2 6 4 4" xfId="7343"/>
    <cellStyle name="Calculation 2 8 2 2 6 5" xfId="7344"/>
    <cellStyle name="Calculation 2 8 2 2 6 6" xfId="7345"/>
    <cellStyle name="Calculation 2 8 2 2 6 7" xfId="7346"/>
    <cellStyle name="Calculation 2 8 2 2 7" xfId="7347"/>
    <cellStyle name="Calculation 2 8 2 2 7 2" xfId="7348"/>
    <cellStyle name="Calculation 2 8 2 2 7 3" xfId="7349"/>
    <cellStyle name="Calculation 2 8 2 2 7 4" xfId="7350"/>
    <cellStyle name="Calculation 2 8 2 2 8" xfId="7351"/>
    <cellStyle name="Calculation 2 8 2 2 8 2" xfId="7352"/>
    <cellStyle name="Calculation 2 8 2 2 8 3" xfId="7353"/>
    <cellStyle name="Calculation 2 8 2 2 8 4" xfId="7354"/>
    <cellStyle name="Calculation 2 8 2 2 9" xfId="7355"/>
    <cellStyle name="Calculation 2 8 2 2 9 2" xfId="7356"/>
    <cellStyle name="Calculation 2 8 2 2 9 3" xfId="7357"/>
    <cellStyle name="Calculation 2 8 2 2 9 4" xfId="7358"/>
    <cellStyle name="Calculation 2 8 2 3" xfId="754"/>
    <cellStyle name="Calculation 2 8 2 3 10" xfId="7359"/>
    <cellStyle name="Calculation 2 8 2 3 11" xfId="7360"/>
    <cellStyle name="Calculation 2 8 2 3 12" xfId="7361"/>
    <cellStyle name="Calculation 2 8 2 3 2" xfId="7362"/>
    <cellStyle name="Calculation 2 8 2 3 2 2" xfId="7363"/>
    <cellStyle name="Calculation 2 8 2 3 2 2 2" xfId="7364"/>
    <cellStyle name="Calculation 2 8 2 3 2 2 3" xfId="7365"/>
    <cellStyle name="Calculation 2 8 2 3 2 2 4" xfId="7366"/>
    <cellStyle name="Calculation 2 8 2 3 2 3" xfId="7367"/>
    <cellStyle name="Calculation 2 8 2 3 2 3 2" xfId="7368"/>
    <cellStyle name="Calculation 2 8 2 3 2 3 3" xfId="7369"/>
    <cellStyle name="Calculation 2 8 2 3 2 3 4" xfId="7370"/>
    <cellStyle name="Calculation 2 8 2 3 2 4" xfId="7371"/>
    <cellStyle name="Calculation 2 8 2 3 2 4 2" xfId="7372"/>
    <cellStyle name="Calculation 2 8 2 3 2 4 3" xfId="7373"/>
    <cellStyle name="Calculation 2 8 2 3 2 4 4" xfId="7374"/>
    <cellStyle name="Calculation 2 8 2 3 2 5" xfId="7375"/>
    <cellStyle name="Calculation 2 8 2 3 2 6" xfId="7376"/>
    <cellStyle name="Calculation 2 8 2 3 2 7" xfId="7377"/>
    <cellStyle name="Calculation 2 8 2 3 3" xfId="7378"/>
    <cellStyle name="Calculation 2 8 2 3 3 2" xfId="7379"/>
    <cellStyle name="Calculation 2 8 2 3 3 2 2" xfId="7380"/>
    <cellStyle name="Calculation 2 8 2 3 3 2 3" xfId="7381"/>
    <cellStyle name="Calculation 2 8 2 3 3 2 4" xfId="7382"/>
    <cellStyle name="Calculation 2 8 2 3 3 3" xfId="7383"/>
    <cellStyle name="Calculation 2 8 2 3 3 3 2" xfId="7384"/>
    <cellStyle name="Calculation 2 8 2 3 3 3 3" xfId="7385"/>
    <cellStyle name="Calculation 2 8 2 3 3 3 4" xfId="7386"/>
    <cellStyle name="Calculation 2 8 2 3 3 4" xfId="7387"/>
    <cellStyle name="Calculation 2 8 2 3 3 4 2" xfId="7388"/>
    <cellStyle name="Calculation 2 8 2 3 3 4 3" xfId="7389"/>
    <cellStyle name="Calculation 2 8 2 3 3 4 4" xfId="7390"/>
    <cellStyle name="Calculation 2 8 2 3 3 5" xfId="7391"/>
    <cellStyle name="Calculation 2 8 2 3 3 6" xfId="7392"/>
    <cellStyle name="Calculation 2 8 2 3 3 7" xfId="7393"/>
    <cellStyle name="Calculation 2 8 2 3 4" xfId="7394"/>
    <cellStyle name="Calculation 2 8 2 3 4 2" xfId="7395"/>
    <cellStyle name="Calculation 2 8 2 3 4 2 2" xfId="7396"/>
    <cellStyle name="Calculation 2 8 2 3 4 2 3" xfId="7397"/>
    <cellStyle name="Calculation 2 8 2 3 4 2 4" xfId="7398"/>
    <cellStyle name="Calculation 2 8 2 3 4 3" xfId="7399"/>
    <cellStyle name="Calculation 2 8 2 3 4 3 2" xfId="7400"/>
    <cellStyle name="Calculation 2 8 2 3 4 3 3" xfId="7401"/>
    <cellStyle name="Calculation 2 8 2 3 4 3 4" xfId="7402"/>
    <cellStyle name="Calculation 2 8 2 3 4 4" xfId="7403"/>
    <cellStyle name="Calculation 2 8 2 3 4 4 2" xfId="7404"/>
    <cellStyle name="Calculation 2 8 2 3 4 4 3" xfId="7405"/>
    <cellStyle name="Calculation 2 8 2 3 4 4 4" xfId="7406"/>
    <cellStyle name="Calculation 2 8 2 3 4 5" xfId="7407"/>
    <cellStyle name="Calculation 2 8 2 3 4 6" xfId="7408"/>
    <cellStyle name="Calculation 2 8 2 3 4 7" xfId="7409"/>
    <cellStyle name="Calculation 2 8 2 3 5" xfId="7410"/>
    <cellStyle name="Calculation 2 8 2 3 5 2" xfId="7411"/>
    <cellStyle name="Calculation 2 8 2 3 5 2 2" xfId="7412"/>
    <cellStyle name="Calculation 2 8 2 3 5 2 3" xfId="7413"/>
    <cellStyle name="Calculation 2 8 2 3 5 2 4" xfId="7414"/>
    <cellStyle name="Calculation 2 8 2 3 5 3" xfId="7415"/>
    <cellStyle name="Calculation 2 8 2 3 5 3 2" xfId="7416"/>
    <cellStyle name="Calculation 2 8 2 3 5 3 3" xfId="7417"/>
    <cellStyle name="Calculation 2 8 2 3 5 3 4" xfId="7418"/>
    <cellStyle name="Calculation 2 8 2 3 5 4" xfId="7419"/>
    <cellStyle name="Calculation 2 8 2 3 5 4 2" xfId="7420"/>
    <cellStyle name="Calculation 2 8 2 3 5 4 3" xfId="7421"/>
    <cellStyle name="Calculation 2 8 2 3 5 4 4" xfId="7422"/>
    <cellStyle name="Calculation 2 8 2 3 5 5" xfId="7423"/>
    <cellStyle name="Calculation 2 8 2 3 5 6" xfId="7424"/>
    <cellStyle name="Calculation 2 8 2 3 5 7" xfId="7425"/>
    <cellStyle name="Calculation 2 8 2 3 6" xfId="7426"/>
    <cellStyle name="Calculation 2 8 2 3 6 2" xfId="7427"/>
    <cellStyle name="Calculation 2 8 2 3 6 2 2" xfId="7428"/>
    <cellStyle name="Calculation 2 8 2 3 6 2 3" xfId="7429"/>
    <cellStyle name="Calculation 2 8 2 3 6 2 4" xfId="7430"/>
    <cellStyle name="Calculation 2 8 2 3 6 3" xfId="7431"/>
    <cellStyle name="Calculation 2 8 2 3 6 3 2" xfId="7432"/>
    <cellStyle name="Calculation 2 8 2 3 6 3 3" xfId="7433"/>
    <cellStyle name="Calculation 2 8 2 3 6 3 4" xfId="7434"/>
    <cellStyle name="Calculation 2 8 2 3 6 4" xfId="7435"/>
    <cellStyle name="Calculation 2 8 2 3 6 4 2" xfId="7436"/>
    <cellStyle name="Calculation 2 8 2 3 6 4 3" xfId="7437"/>
    <cellStyle name="Calculation 2 8 2 3 6 4 4" xfId="7438"/>
    <cellStyle name="Calculation 2 8 2 3 6 5" xfId="7439"/>
    <cellStyle name="Calculation 2 8 2 3 6 6" xfId="7440"/>
    <cellStyle name="Calculation 2 8 2 3 6 7" xfId="7441"/>
    <cellStyle name="Calculation 2 8 2 3 7" xfId="7442"/>
    <cellStyle name="Calculation 2 8 2 3 7 2" xfId="7443"/>
    <cellStyle name="Calculation 2 8 2 3 7 3" xfId="7444"/>
    <cellStyle name="Calculation 2 8 2 3 7 4" xfId="7445"/>
    <cellStyle name="Calculation 2 8 2 3 8" xfId="7446"/>
    <cellStyle name="Calculation 2 8 2 3 8 2" xfId="7447"/>
    <cellStyle name="Calculation 2 8 2 3 8 3" xfId="7448"/>
    <cellStyle name="Calculation 2 8 2 3 8 4" xfId="7449"/>
    <cellStyle name="Calculation 2 8 2 3 9" xfId="7450"/>
    <cellStyle name="Calculation 2 8 2 3 9 2" xfId="7451"/>
    <cellStyle name="Calculation 2 8 2 3 9 3" xfId="7452"/>
    <cellStyle name="Calculation 2 8 2 3 9 4" xfId="7453"/>
    <cellStyle name="Calculation 2 8 2 4" xfId="843"/>
    <cellStyle name="Calculation 2 8 2 4 10" xfId="7454"/>
    <cellStyle name="Calculation 2 8 2 4 11" xfId="7455"/>
    <cellStyle name="Calculation 2 8 2 4 12" xfId="7456"/>
    <cellStyle name="Calculation 2 8 2 4 2" xfId="7457"/>
    <cellStyle name="Calculation 2 8 2 4 2 2" xfId="7458"/>
    <cellStyle name="Calculation 2 8 2 4 2 2 2" xfId="7459"/>
    <cellStyle name="Calculation 2 8 2 4 2 2 3" xfId="7460"/>
    <cellStyle name="Calculation 2 8 2 4 2 2 4" xfId="7461"/>
    <cellStyle name="Calculation 2 8 2 4 2 3" xfId="7462"/>
    <cellStyle name="Calculation 2 8 2 4 2 3 2" xfId="7463"/>
    <cellStyle name="Calculation 2 8 2 4 2 3 3" xfId="7464"/>
    <cellStyle name="Calculation 2 8 2 4 2 3 4" xfId="7465"/>
    <cellStyle name="Calculation 2 8 2 4 2 4" xfId="7466"/>
    <cellStyle name="Calculation 2 8 2 4 2 4 2" xfId="7467"/>
    <cellStyle name="Calculation 2 8 2 4 2 4 3" xfId="7468"/>
    <cellStyle name="Calculation 2 8 2 4 2 4 4" xfId="7469"/>
    <cellStyle name="Calculation 2 8 2 4 2 5" xfId="7470"/>
    <cellStyle name="Calculation 2 8 2 4 2 6" xfId="7471"/>
    <cellStyle name="Calculation 2 8 2 4 2 7" xfId="7472"/>
    <cellStyle name="Calculation 2 8 2 4 3" xfId="7473"/>
    <cellStyle name="Calculation 2 8 2 4 3 2" xfId="7474"/>
    <cellStyle name="Calculation 2 8 2 4 3 2 2" xfId="7475"/>
    <cellStyle name="Calculation 2 8 2 4 3 2 3" xfId="7476"/>
    <cellStyle name="Calculation 2 8 2 4 3 2 4" xfId="7477"/>
    <cellStyle name="Calculation 2 8 2 4 3 3" xfId="7478"/>
    <cellStyle name="Calculation 2 8 2 4 3 3 2" xfId="7479"/>
    <cellStyle name="Calculation 2 8 2 4 3 3 3" xfId="7480"/>
    <cellStyle name="Calculation 2 8 2 4 3 3 4" xfId="7481"/>
    <cellStyle name="Calculation 2 8 2 4 3 4" xfId="7482"/>
    <cellStyle name="Calculation 2 8 2 4 3 4 2" xfId="7483"/>
    <cellStyle name="Calculation 2 8 2 4 3 4 3" xfId="7484"/>
    <cellStyle name="Calculation 2 8 2 4 3 4 4" xfId="7485"/>
    <cellStyle name="Calculation 2 8 2 4 3 5" xfId="7486"/>
    <cellStyle name="Calculation 2 8 2 4 3 6" xfId="7487"/>
    <cellStyle name="Calculation 2 8 2 4 3 7" xfId="7488"/>
    <cellStyle name="Calculation 2 8 2 4 4" xfId="7489"/>
    <cellStyle name="Calculation 2 8 2 4 4 2" xfId="7490"/>
    <cellStyle name="Calculation 2 8 2 4 4 2 2" xfId="7491"/>
    <cellStyle name="Calculation 2 8 2 4 4 2 3" xfId="7492"/>
    <cellStyle name="Calculation 2 8 2 4 4 2 4" xfId="7493"/>
    <cellStyle name="Calculation 2 8 2 4 4 3" xfId="7494"/>
    <cellStyle name="Calculation 2 8 2 4 4 3 2" xfId="7495"/>
    <cellStyle name="Calculation 2 8 2 4 4 3 3" xfId="7496"/>
    <cellStyle name="Calculation 2 8 2 4 4 3 4" xfId="7497"/>
    <cellStyle name="Calculation 2 8 2 4 4 4" xfId="7498"/>
    <cellStyle name="Calculation 2 8 2 4 4 4 2" xfId="7499"/>
    <cellStyle name="Calculation 2 8 2 4 4 4 3" xfId="7500"/>
    <cellStyle name="Calculation 2 8 2 4 4 4 4" xfId="7501"/>
    <cellStyle name="Calculation 2 8 2 4 4 5" xfId="7502"/>
    <cellStyle name="Calculation 2 8 2 4 4 6" xfId="7503"/>
    <cellStyle name="Calculation 2 8 2 4 4 7" xfId="7504"/>
    <cellStyle name="Calculation 2 8 2 4 5" xfId="7505"/>
    <cellStyle name="Calculation 2 8 2 4 5 2" xfId="7506"/>
    <cellStyle name="Calculation 2 8 2 4 5 2 2" xfId="7507"/>
    <cellStyle name="Calculation 2 8 2 4 5 2 3" xfId="7508"/>
    <cellStyle name="Calculation 2 8 2 4 5 2 4" xfId="7509"/>
    <cellStyle name="Calculation 2 8 2 4 5 3" xfId="7510"/>
    <cellStyle name="Calculation 2 8 2 4 5 3 2" xfId="7511"/>
    <cellStyle name="Calculation 2 8 2 4 5 3 3" xfId="7512"/>
    <cellStyle name="Calculation 2 8 2 4 5 3 4" xfId="7513"/>
    <cellStyle name="Calculation 2 8 2 4 5 4" xfId="7514"/>
    <cellStyle name="Calculation 2 8 2 4 5 4 2" xfId="7515"/>
    <cellStyle name="Calculation 2 8 2 4 5 4 3" xfId="7516"/>
    <cellStyle name="Calculation 2 8 2 4 5 4 4" xfId="7517"/>
    <cellStyle name="Calculation 2 8 2 4 5 5" xfId="7518"/>
    <cellStyle name="Calculation 2 8 2 4 5 6" xfId="7519"/>
    <cellStyle name="Calculation 2 8 2 4 5 7" xfId="7520"/>
    <cellStyle name="Calculation 2 8 2 4 6" xfId="7521"/>
    <cellStyle name="Calculation 2 8 2 4 6 2" xfId="7522"/>
    <cellStyle name="Calculation 2 8 2 4 6 2 2" xfId="7523"/>
    <cellStyle name="Calculation 2 8 2 4 6 2 3" xfId="7524"/>
    <cellStyle name="Calculation 2 8 2 4 6 2 4" xfId="7525"/>
    <cellStyle name="Calculation 2 8 2 4 6 3" xfId="7526"/>
    <cellStyle name="Calculation 2 8 2 4 6 3 2" xfId="7527"/>
    <cellStyle name="Calculation 2 8 2 4 6 3 3" xfId="7528"/>
    <cellStyle name="Calculation 2 8 2 4 6 3 4" xfId="7529"/>
    <cellStyle name="Calculation 2 8 2 4 6 4" xfId="7530"/>
    <cellStyle name="Calculation 2 8 2 4 6 4 2" xfId="7531"/>
    <cellStyle name="Calculation 2 8 2 4 6 4 3" xfId="7532"/>
    <cellStyle name="Calculation 2 8 2 4 6 4 4" xfId="7533"/>
    <cellStyle name="Calculation 2 8 2 4 6 5" xfId="7534"/>
    <cellStyle name="Calculation 2 8 2 4 6 6" xfId="7535"/>
    <cellStyle name="Calculation 2 8 2 4 6 7" xfId="7536"/>
    <cellStyle name="Calculation 2 8 2 4 7" xfId="7537"/>
    <cellStyle name="Calculation 2 8 2 4 7 2" xfId="7538"/>
    <cellStyle name="Calculation 2 8 2 4 7 3" xfId="7539"/>
    <cellStyle name="Calculation 2 8 2 4 7 4" xfId="7540"/>
    <cellStyle name="Calculation 2 8 2 4 8" xfId="7541"/>
    <cellStyle name="Calculation 2 8 2 4 8 2" xfId="7542"/>
    <cellStyle name="Calculation 2 8 2 4 8 3" xfId="7543"/>
    <cellStyle name="Calculation 2 8 2 4 8 4" xfId="7544"/>
    <cellStyle name="Calculation 2 8 2 4 9" xfId="7545"/>
    <cellStyle name="Calculation 2 8 2 4 9 2" xfId="7546"/>
    <cellStyle name="Calculation 2 8 2 4 9 3" xfId="7547"/>
    <cellStyle name="Calculation 2 8 2 4 9 4" xfId="7548"/>
    <cellStyle name="Calculation 2 8 2 5" xfId="7549"/>
    <cellStyle name="Calculation 2 8 2 5 10" xfId="7550"/>
    <cellStyle name="Calculation 2 8 2 5 11" xfId="7551"/>
    <cellStyle name="Calculation 2 8 2 5 12" xfId="7552"/>
    <cellStyle name="Calculation 2 8 2 5 2" xfId="7553"/>
    <cellStyle name="Calculation 2 8 2 5 2 2" xfId="7554"/>
    <cellStyle name="Calculation 2 8 2 5 2 2 2" xfId="7555"/>
    <cellStyle name="Calculation 2 8 2 5 2 2 3" xfId="7556"/>
    <cellStyle name="Calculation 2 8 2 5 2 2 4" xfId="7557"/>
    <cellStyle name="Calculation 2 8 2 5 2 3" xfId="7558"/>
    <cellStyle name="Calculation 2 8 2 5 2 3 2" xfId="7559"/>
    <cellStyle name="Calculation 2 8 2 5 2 3 3" xfId="7560"/>
    <cellStyle name="Calculation 2 8 2 5 2 3 4" xfId="7561"/>
    <cellStyle name="Calculation 2 8 2 5 2 4" xfId="7562"/>
    <cellStyle name="Calculation 2 8 2 5 2 4 2" xfId="7563"/>
    <cellStyle name="Calculation 2 8 2 5 2 4 3" xfId="7564"/>
    <cellStyle name="Calculation 2 8 2 5 2 4 4" xfId="7565"/>
    <cellStyle name="Calculation 2 8 2 5 2 5" xfId="7566"/>
    <cellStyle name="Calculation 2 8 2 5 2 6" xfId="7567"/>
    <cellStyle name="Calculation 2 8 2 5 2 7" xfId="7568"/>
    <cellStyle name="Calculation 2 8 2 5 3" xfId="7569"/>
    <cellStyle name="Calculation 2 8 2 5 3 2" xfId="7570"/>
    <cellStyle name="Calculation 2 8 2 5 3 2 2" xfId="7571"/>
    <cellStyle name="Calculation 2 8 2 5 3 2 3" xfId="7572"/>
    <cellStyle name="Calculation 2 8 2 5 3 2 4" xfId="7573"/>
    <cellStyle name="Calculation 2 8 2 5 3 3" xfId="7574"/>
    <cellStyle name="Calculation 2 8 2 5 3 3 2" xfId="7575"/>
    <cellStyle name="Calculation 2 8 2 5 3 3 3" xfId="7576"/>
    <cellStyle name="Calculation 2 8 2 5 3 3 4" xfId="7577"/>
    <cellStyle name="Calculation 2 8 2 5 3 4" xfId="7578"/>
    <cellStyle name="Calculation 2 8 2 5 3 4 2" xfId="7579"/>
    <cellStyle name="Calculation 2 8 2 5 3 4 3" xfId="7580"/>
    <cellStyle name="Calculation 2 8 2 5 3 4 4" xfId="7581"/>
    <cellStyle name="Calculation 2 8 2 5 3 5" xfId="7582"/>
    <cellStyle name="Calculation 2 8 2 5 3 6" xfId="7583"/>
    <cellStyle name="Calculation 2 8 2 5 3 7" xfId="7584"/>
    <cellStyle name="Calculation 2 8 2 5 4" xfId="7585"/>
    <cellStyle name="Calculation 2 8 2 5 4 2" xfId="7586"/>
    <cellStyle name="Calculation 2 8 2 5 4 2 2" xfId="7587"/>
    <cellStyle name="Calculation 2 8 2 5 4 2 3" xfId="7588"/>
    <cellStyle name="Calculation 2 8 2 5 4 2 4" xfId="7589"/>
    <cellStyle name="Calculation 2 8 2 5 4 3" xfId="7590"/>
    <cellStyle name="Calculation 2 8 2 5 4 3 2" xfId="7591"/>
    <cellStyle name="Calculation 2 8 2 5 4 3 3" xfId="7592"/>
    <cellStyle name="Calculation 2 8 2 5 4 3 4" xfId="7593"/>
    <cellStyle name="Calculation 2 8 2 5 4 4" xfId="7594"/>
    <cellStyle name="Calculation 2 8 2 5 4 4 2" xfId="7595"/>
    <cellStyle name="Calculation 2 8 2 5 4 4 3" xfId="7596"/>
    <cellStyle name="Calculation 2 8 2 5 4 4 4" xfId="7597"/>
    <cellStyle name="Calculation 2 8 2 5 4 5" xfId="7598"/>
    <cellStyle name="Calculation 2 8 2 5 4 6" xfId="7599"/>
    <cellStyle name="Calculation 2 8 2 5 4 7" xfId="7600"/>
    <cellStyle name="Calculation 2 8 2 5 5" xfId="7601"/>
    <cellStyle name="Calculation 2 8 2 5 5 2" xfId="7602"/>
    <cellStyle name="Calculation 2 8 2 5 5 2 2" xfId="7603"/>
    <cellStyle name="Calculation 2 8 2 5 5 2 3" xfId="7604"/>
    <cellStyle name="Calculation 2 8 2 5 5 2 4" xfId="7605"/>
    <cellStyle name="Calculation 2 8 2 5 5 3" xfId="7606"/>
    <cellStyle name="Calculation 2 8 2 5 5 3 2" xfId="7607"/>
    <cellStyle name="Calculation 2 8 2 5 5 3 3" xfId="7608"/>
    <cellStyle name="Calculation 2 8 2 5 5 3 4" xfId="7609"/>
    <cellStyle name="Calculation 2 8 2 5 5 4" xfId="7610"/>
    <cellStyle name="Calculation 2 8 2 5 5 4 2" xfId="7611"/>
    <cellStyle name="Calculation 2 8 2 5 5 4 3" xfId="7612"/>
    <cellStyle name="Calculation 2 8 2 5 5 4 4" xfId="7613"/>
    <cellStyle name="Calculation 2 8 2 5 5 5" xfId="7614"/>
    <cellStyle name="Calculation 2 8 2 5 5 6" xfId="7615"/>
    <cellStyle name="Calculation 2 8 2 5 5 7" xfId="7616"/>
    <cellStyle name="Calculation 2 8 2 5 6" xfId="7617"/>
    <cellStyle name="Calculation 2 8 2 5 6 2" xfId="7618"/>
    <cellStyle name="Calculation 2 8 2 5 6 2 2" xfId="7619"/>
    <cellStyle name="Calculation 2 8 2 5 6 2 3" xfId="7620"/>
    <cellStyle name="Calculation 2 8 2 5 6 2 4" xfId="7621"/>
    <cellStyle name="Calculation 2 8 2 5 6 3" xfId="7622"/>
    <cellStyle name="Calculation 2 8 2 5 6 3 2" xfId="7623"/>
    <cellStyle name="Calculation 2 8 2 5 6 3 3" xfId="7624"/>
    <cellStyle name="Calculation 2 8 2 5 6 3 4" xfId="7625"/>
    <cellStyle name="Calculation 2 8 2 5 6 4" xfId="7626"/>
    <cellStyle name="Calculation 2 8 2 5 6 4 2" xfId="7627"/>
    <cellStyle name="Calculation 2 8 2 5 6 4 3" xfId="7628"/>
    <cellStyle name="Calculation 2 8 2 5 6 4 4" xfId="7629"/>
    <cellStyle name="Calculation 2 8 2 5 6 5" xfId="7630"/>
    <cellStyle name="Calculation 2 8 2 5 6 6" xfId="7631"/>
    <cellStyle name="Calculation 2 8 2 5 6 7" xfId="7632"/>
    <cellStyle name="Calculation 2 8 2 5 7" xfId="7633"/>
    <cellStyle name="Calculation 2 8 2 5 7 2" xfId="7634"/>
    <cellStyle name="Calculation 2 8 2 5 7 3" xfId="7635"/>
    <cellStyle name="Calculation 2 8 2 5 7 4" xfId="7636"/>
    <cellStyle name="Calculation 2 8 2 5 8" xfId="7637"/>
    <cellStyle name="Calculation 2 8 2 5 8 2" xfId="7638"/>
    <cellStyle name="Calculation 2 8 2 5 8 3" xfId="7639"/>
    <cellStyle name="Calculation 2 8 2 5 8 4" xfId="7640"/>
    <cellStyle name="Calculation 2 8 2 5 9" xfId="7641"/>
    <cellStyle name="Calculation 2 8 2 5 9 2" xfId="7642"/>
    <cellStyle name="Calculation 2 8 2 5 9 3" xfId="7643"/>
    <cellStyle name="Calculation 2 8 2 5 9 4" xfId="7644"/>
    <cellStyle name="Calculation 2 8 2 6" xfId="7645"/>
    <cellStyle name="Calculation 2 8 2 6 2" xfId="7646"/>
    <cellStyle name="Calculation 2 8 2 6 2 2" xfId="7647"/>
    <cellStyle name="Calculation 2 8 2 6 2 3" xfId="7648"/>
    <cellStyle name="Calculation 2 8 2 6 2 4" xfId="7649"/>
    <cellStyle name="Calculation 2 8 2 6 3" xfId="7650"/>
    <cellStyle name="Calculation 2 8 2 6 3 2" xfId="7651"/>
    <cellStyle name="Calculation 2 8 2 6 3 3" xfId="7652"/>
    <cellStyle name="Calculation 2 8 2 6 3 4" xfId="7653"/>
    <cellStyle name="Calculation 2 8 2 6 4" xfId="7654"/>
    <cellStyle name="Calculation 2 8 2 6 4 2" xfId="7655"/>
    <cellStyle name="Calculation 2 8 2 6 4 3" xfId="7656"/>
    <cellStyle name="Calculation 2 8 2 6 4 4" xfId="7657"/>
    <cellStyle name="Calculation 2 8 2 6 5" xfId="7658"/>
    <cellStyle name="Calculation 2 8 2 6 6" xfId="7659"/>
    <cellStyle name="Calculation 2 8 2 6 7" xfId="7660"/>
    <cellStyle name="Calculation 2 8 2 7" xfId="7661"/>
    <cellStyle name="Calculation 2 8 2 7 2" xfId="7662"/>
    <cellStyle name="Calculation 2 8 2 7 2 2" xfId="7663"/>
    <cellStyle name="Calculation 2 8 2 7 2 3" xfId="7664"/>
    <cellStyle name="Calculation 2 8 2 7 2 4" xfId="7665"/>
    <cellStyle name="Calculation 2 8 2 7 3" xfId="7666"/>
    <cellStyle name="Calculation 2 8 2 7 3 2" xfId="7667"/>
    <cellStyle name="Calculation 2 8 2 7 3 3" xfId="7668"/>
    <cellStyle name="Calculation 2 8 2 7 3 4" xfId="7669"/>
    <cellStyle name="Calculation 2 8 2 7 4" xfId="7670"/>
    <cellStyle name="Calculation 2 8 2 7 4 2" xfId="7671"/>
    <cellStyle name="Calculation 2 8 2 7 4 3" xfId="7672"/>
    <cellStyle name="Calculation 2 8 2 7 4 4" xfId="7673"/>
    <cellStyle name="Calculation 2 8 2 7 5" xfId="7674"/>
    <cellStyle name="Calculation 2 8 2 7 6" xfId="7675"/>
    <cellStyle name="Calculation 2 8 2 7 7" xfId="7676"/>
    <cellStyle name="Calculation 2 8 2 8" xfId="7677"/>
    <cellStyle name="Calculation 2 8 2 8 2" xfId="7678"/>
    <cellStyle name="Calculation 2 8 2 8 2 2" xfId="7679"/>
    <cellStyle name="Calculation 2 8 2 8 2 3" xfId="7680"/>
    <cellStyle name="Calculation 2 8 2 8 2 4" xfId="7681"/>
    <cellStyle name="Calculation 2 8 2 8 3" xfId="7682"/>
    <cellStyle name="Calculation 2 8 2 8 3 2" xfId="7683"/>
    <cellStyle name="Calculation 2 8 2 8 3 3" xfId="7684"/>
    <cellStyle name="Calculation 2 8 2 8 3 4" xfId="7685"/>
    <cellStyle name="Calculation 2 8 2 8 4" xfId="7686"/>
    <cellStyle name="Calculation 2 8 2 8 4 2" xfId="7687"/>
    <cellStyle name="Calculation 2 8 2 8 4 3" xfId="7688"/>
    <cellStyle name="Calculation 2 8 2 8 4 4" xfId="7689"/>
    <cellStyle name="Calculation 2 8 2 8 5" xfId="7690"/>
    <cellStyle name="Calculation 2 8 2 8 6" xfId="7691"/>
    <cellStyle name="Calculation 2 8 2 8 7" xfId="7692"/>
    <cellStyle name="Calculation 2 8 2 9" xfId="7693"/>
    <cellStyle name="Calculation 2 8 2 9 2" xfId="7694"/>
    <cellStyle name="Calculation 2 8 2 9 2 2" xfId="7695"/>
    <cellStyle name="Calculation 2 8 2 9 2 3" xfId="7696"/>
    <cellStyle name="Calculation 2 8 2 9 2 4" xfId="7697"/>
    <cellStyle name="Calculation 2 8 2 9 3" xfId="7698"/>
    <cellStyle name="Calculation 2 8 2 9 3 2" xfId="7699"/>
    <cellStyle name="Calculation 2 8 2 9 3 3" xfId="7700"/>
    <cellStyle name="Calculation 2 8 2 9 3 4" xfId="7701"/>
    <cellStyle name="Calculation 2 8 2 9 4" xfId="7702"/>
    <cellStyle name="Calculation 2 8 2 9 4 2" xfId="7703"/>
    <cellStyle name="Calculation 2 8 2 9 4 3" xfId="7704"/>
    <cellStyle name="Calculation 2 8 2 9 4 4" xfId="7705"/>
    <cellStyle name="Calculation 2 8 2 9 5" xfId="7706"/>
    <cellStyle name="Calculation 2 8 2 9 6" xfId="7707"/>
    <cellStyle name="Calculation 2 8 2 9 7" xfId="7708"/>
    <cellStyle name="Calculation 2 8 3" xfId="1048"/>
    <cellStyle name="Calculation 2 8 3 10" xfId="7709"/>
    <cellStyle name="Calculation 2 8 3 11" xfId="7710"/>
    <cellStyle name="Calculation 2 8 3 12" xfId="7711"/>
    <cellStyle name="Calculation 2 8 3 2" xfId="7712"/>
    <cellStyle name="Calculation 2 8 3 2 2" xfId="7713"/>
    <cellStyle name="Calculation 2 8 3 2 2 2" xfId="7714"/>
    <cellStyle name="Calculation 2 8 3 2 2 3" xfId="7715"/>
    <cellStyle name="Calculation 2 8 3 2 2 4" xfId="7716"/>
    <cellStyle name="Calculation 2 8 3 2 3" xfId="7717"/>
    <cellStyle name="Calculation 2 8 3 2 3 2" xfId="7718"/>
    <cellStyle name="Calculation 2 8 3 2 3 3" xfId="7719"/>
    <cellStyle name="Calculation 2 8 3 2 3 4" xfId="7720"/>
    <cellStyle name="Calculation 2 8 3 2 4" xfId="7721"/>
    <cellStyle name="Calculation 2 8 3 2 4 2" xfId="7722"/>
    <cellStyle name="Calculation 2 8 3 2 4 3" xfId="7723"/>
    <cellStyle name="Calculation 2 8 3 2 4 4" xfId="7724"/>
    <cellStyle name="Calculation 2 8 3 2 5" xfId="7725"/>
    <cellStyle name="Calculation 2 8 3 2 6" xfId="7726"/>
    <cellStyle name="Calculation 2 8 3 2 7" xfId="7727"/>
    <cellStyle name="Calculation 2 8 3 3" xfId="7728"/>
    <cellStyle name="Calculation 2 8 3 3 2" xfId="7729"/>
    <cellStyle name="Calculation 2 8 3 3 2 2" xfId="7730"/>
    <cellStyle name="Calculation 2 8 3 3 2 3" xfId="7731"/>
    <cellStyle name="Calculation 2 8 3 3 2 4" xfId="7732"/>
    <cellStyle name="Calculation 2 8 3 3 3" xfId="7733"/>
    <cellStyle name="Calculation 2 8 3 3 3 2" xfId="7734"/>
    <cellStyle name="Calculation 2 8 3 3 3 3" xfId="7735"/>
    <cellStyle name="Calculation 2 8 3 3 3 4" xfId="7736"/>
    <cellStyle name="Calculation 2 8 3 3 4" xfId="7737"/>
    <cellStyle name="Calculation 2 8 3 3 4 2" xfId="7738"/>
    <cellStyle name="Calculation 2 8 3 3 4 3" xfId="7739"/>
    <cellStyle name="Calculation 2 8 3 3 4 4" xfId="7740"/>
    <cellStyle name="Calculation 2 8 3 3 5" xfId="7741"/>
    <cellStyle name="Calculation 2 8 3 3 6" xfId="7742"/>
    <cellStyle name="Calculation 2 8 3 3 7" xfId="7743"/>
    <cellStyle name="Calculation 2 8 3 4" xfId="7744"/>
    <cellStyle name="Calculation 2 8 3 4 2" xfId="7745"/>
    <cellStyle name="Calculation 2 8 3 4 2 2" xfId="7746"/>
    <cellStyle name="Calculation 2 8 3 4 2 3" xfId="7747"/>
    <cellStyle name="Calculation 2 8 3 4 2 4" xfId="7748"/>
    <cellStyle name="Calculation 2 8 3 4 3" xfId="7749"/>
    <cellStyle name="Calculation 2 8 3 4 3 2" xfId="7750"/>
    <cellStyle name="Calculation 2 8 3 4 3 3" xfId="7751"/>
    <cellStyle name="Calculation 2 8 3 4 3 4" xfId="7752"/>
    <cellStyle name="Calculation 2 8 3 4 4" xfId="7753"/>
    <cellStyle name="Calculation 2 8 3 4 4 2" xfId="7754"/>
    <cellStyle name="Calculation 2 8 3 4 4 3" xfId="7755"/>
    <cellStyle name="Calculation 2 8 3 4 4 4" xfId="7756"/>
    <cellStyle name="Calculation 2 8 3 4 5" xfId="7757"/>
    <cellStyle name="Calculation 2 8 3 4 6" xfId="7758"/>
    <cellStyle name="Calculation 2 8 3 4 7" xfId="7759"/>
    <cellStyle name="Calculation 2 8 3 5" xfId="7760"/>
    <cellStyle name="Calculation 2 8 3 5 2" xfId="7761"/>
    <cellStyle name="Calculation 2 8 3 5 2 2" xfId="7762"/>
    <cellStyle name="Calculation 2 8 3 5 2 3" xfId="7763"/>
    <cellStyle name="Calculation 2 8 3 5 2 4" xfId="7764"/>
    <cellStyle name="Calculation 2 8 3 5 3" xfId="7765"/>
    <cellStyle name="Calculation 2 8 3 5 3 2" xfId="7766"/>
    <cellStyle name="Calculation 2 8 3 5 3 3" xfId="7767"/>
    <cellStyle name="Calculation 2 8 3 5 3 4" xfId="7768"/>
    <cellStyle name="Calculation 2 8 3 5 4" xfId="7769"/>
    <cellStyle name="Calculation 2 8 3 5 4 2" xfId="7770"/>
    <cellStyle name="Calculation 2 8 3 5 4 3" xfId="7771"/>
    <cellStyle name="Calculation 2 8 3 5 4 4" xfId="7772"/>
    <cellStyle name="Calculation 2 8 3 5 5" xfId="7773"/>
    <cellStyle name="Calculation 2 8 3 5 6" xfId="7774"/>
    <cellStyle name="Calculation 2 8 3 5 7" xfId="7775"/>
    <cellStyle name="Calculation 2 8 3 6" xfId="7776"/>
    <cellStyle name="Calculation 2 8 3 6 2" xfId="7777"/>
    <cellStyle name="Calculation 2 8 3 6 2 2" xfId="7778"/>
    <cellStyle name="Calculation 2 8 3 6 2 3" xfId="7779"/>
    <cellStyle name="Calculation 2 8 3 6 2 4" xfId="7780"/>
    <cellStyle name="Calculation 2 8 3 6 3" xfId="7781"/>
    <cellStyle name="Calculation 2 8 3 6 3 2" xfId="7782"/>
    <cellStyle name="Calculation 2 8 3 6 3 3" xfId="7783"/>
    <cellStyle name="Calculation 2 8 3 6 3 4" xfId="7784"/>
    <cellStyle name="Calculation 2 8 3 6 4" xfId="7785"/>
    <cellStyle name="Calculation 2 8 3 6 4 2" xfId="7786"/>
    <cellStyle name="Calculation 2 8 3 6 4 3" xfId="7787"/>
    <cellStyle name="Calculation 2 8 3 6 4 4" xfId="7788"/>
    <cellStyle name="Calculation 2 8 3 6 5" xfId="7789"/>
    <cellStyle name="Calculation 2 8 3 6 6" xfId="7790"/>
    <cellStyle name="Calculation 2 8 3 6 7" xfId="7791"/>
    <cellStyle name="Calculation 2 8 3 7" xfId="7792"/>
    <cellStyle name="Calculation 2 8 3 7 2" xfId="7793"/>
    <cellStyle name="Calculation 2 8 3 7 3" xfId="7794"/>
    <cellStyle name="Calculation 2 8 3 7 4" xfId="7795"/>
    <cellStyle name="Calculation 2 8 3 8" xfId="7796"/>
    <cellStyle name="Calculation 2 8 3 8 2" xfId="7797"/>
    <cellStyle name="Calculation 2 8 3 8 3" xfId="7798"/>
    <cellStyle name="Calculation 2 8 3 8 4" xfId="7799"/>
    <cellStyle name="Calculation 2 8 3 9" xfId="7800"/>
    <cellStyle name="Calculation 2 8 3 9 2" xfId="7801"/>
    <cellStyle name="Calculation 2 8 3 9 3" xfId="7802"/>
    <cellStyle name="Calculation 2 8 3 9 4" xfId="7803"/>
    <cellStyle name="Calculation 2 8 4" xfId="1025"/>
    <cellStyle name="Calculation 2 8 5" xfId="3123"/>
    <cellStyle name="Calculation 2 8 6" xfId="3262"/>
    <cellStyle name="Calculation 2 8 7" xfId="3259"/>
    <cellStyle name="Calculation 2 9" xfId="395"/>
    <cellStyle name="Calculation 2 9 10" xfId="7804"/>
    <cellStyle name="Calculation 2 9 10 2" xfId="7805"/>
    <cellStyle name="Calculation 2 9 10 2 2" xfId="7806"/>
    <cellStyle name="Calculation 2 9 10 2 3" xfId="7807"/>
    <cellStyle name="Calculation 2 9 10 2 4" xfId="7808"/>
    <cellStyle name="Calculation 2 9 10 3" xfId="7809"/>
    <cellStyle name="Calculation 2 9 10 3 2" xfId="7810"/>
    <cellStyle name="Calculation 2 9 10 3 3" xfId="7811"/>
    <cellStyle name="Calculation 2 9 10 3 4" xfId="7812"/>
    <cellStyle name="Calculation 2 9 10 4" xfId="7813"/>
    <cellStyle name="Calculation 2 9 10 4 2" xfId="7814"/>
    <cellStyle name="Calculation 2 9 10 4 3" xfId="7815"/>
    <cellStyle name="Calculation 2 9 10 4 4" xfId="7816"/>
    <cellStyle name="Calculation 2 9 10 5" xfId="7817"/>
    <cellStyle name="Calculation 2 9 10 6" xfId="7818"/>
    <cellStyle name="Calculation 2 9 10 7" xfId="7819"/>
    <cellStyle name="Calculation 2 9 11" xfId="7820"/>
    <cellStyle name="Calculation 2 9 11 2" xfId="7821"/>
    <cellStyle name="Calculation 2 9 11 2 2" xfId="7822"/>
    <cellStyle name="Calculation 2 9 11 2 3" xfId="7823"/>
    <cellStyle name="Calculation 2 9 11 2 4" xfId="7824"/>
    <cellStyle name="Calculation 2 9 11 3" xfId="7825"/>
    <cellStyle name="Calculation 2 9 11 3 2" xfId="7826"/>
    <cellStyle name="Calculation 2 9 11 3 3" xfId="7827"/>
    <cellStyle name="Calculation 2 9 11 3 4" xfId="7828"/>
    <cellStyle name="Calculation 2 9 11 4" xfId="7829"/>
    <cellStyle name="Calculation 2 9 11 4 2" xfId="7830"/>
    <cellStyle name="Calculation 2 9 11 4 3" xfId="7831"/>
    <cellStyle name="Calculation 2 9 11 4 4" xfId="7832"/>
    <cellStyle name="Calculation 2 9 11 5" xfId="7833"/>
    <cellStyle name="Calculation 2 9 11 6" xfId="7834"/>
    <cellStyle name="Calculation 2 9 11 7" xfId="7835"/>
    <cellStyle name="Calculation 2 9 12" xfId="7836"/>
    <cellStyle name="Calculation 2 9 12 2" xfId="7837"/>
    <cellStyle name="Calculation 2 9 12 2 2" xfId="7838"/>
    <cellStyle name="Calculation 2 9 12 2 3" xfId="7839"/>
    <cellStyle name="Calculation 2 9 12 2 4" xfId="7840"/>
    <cellStyle name="Calculation 2 9 12 3" xfId="7841"/>
    <cellStyle name="Calculation 2 9 12 3 2" xfId="7842"/>
    <cellStyle name="Calculation 2 9 12 3 3" xfId="7843"/>
    <cellStyle name="Calculation 2 9 12 3 4" xfId="7844"/>
    <cellStyle name="Calculation 2 9 12 4" xfId="7845"/>
    <cellStyle name="Calculation 2 9 12 4 2" xfId="7846"/>
    <cellStyle name="Calculation 2 9 12 4 3" xfId="7847"/>
    <cellStyle name="Calculation 2 9 12 4 4" xfId="7848"/>
    <cellStyle name="Calculation 2 9 12 5" xfId="7849"/>
    <cellStyle name="Calculation 2 9 12 6" xfId="7850"/>
    <cellStyle name="Calculation 2 9 12 7" xfId="7851"/>
    <cellStyle name="Calculation 2 9 13" xfId="7852"/>
    <cellStyle name="Calculation 2 9 13 2" xfId="7853"/>
    <cellStyle name="Calculation 2 9 13 2 2" xfId="7854"/>
    <cellStyle name="Calculation 2 9 13 2 3" xfId="7855"/>
    <cellStyle name="Calculation 2 9 13 2 4" xfId="7856"/>
    <cellStyle name="Calculation 2 9 13 3" xfId="7857"/>
    <cellStyle name="Calculation 2 9 13 3 2" xfId="7858"/>
    <cellStyle name="Calculation 2 9 13 3 3" xfId="7859"/>
    <cellStyle name="Calculation 2 9 13 3 4" xfId="7860"/>
    <cellStyle name="Calculation 2 9 13 4" xfId="7861"/>
    <cellStyle name="Calculation 2 9 13 4 2" xfId="7862"/>
    <cellStyle name="Calculation 2 9 13 4 3" xfId="7863"/>
    <cellStyle name="Calculation 2 9 13 4 4" xfId="7864"/>
    <cellStyle name="Calculation 2 9 13 5" xfId="7865"/>
    <cellStyle name="Calculation 2 9 13 6" xfId="7866"/>
    <cellStyle name="Calculation 2 9 13 7" xfId="7867"/>
    <cellStyle name="Calculation 2 9 14" xfId="7868"/>
    <cellStyle name="Calculation 2 9 14 2" xfId="7869"/>
    <cellStyle name="Calculation 2 9 14 3" xfId="7870"/>
    <cellStyle name="Calculation 2 9 14 4" xfId="7871"/>
    <cellStyle name="Calculation 2 9 15" xfId="7872"/>
    <cellStyle name="Calculation 2 9 15 2" xfId="7873"/>
    <cellStyle name="Calculation 2 9 15 3" xfId="7874"/>
    <cellStyle name="Calculation 2 9 15 4" xfId="7875"/>
    <cellStyle name="Calculation 2 9 16" xfId="7876"/>
    <cellStyle name="Calculation 2 9 16 2" xfId="7877"/>
    <cellStyle name="Calculation 2 9 16 3" xfId="7878"/>
    <cellStyle name="Calculation 2 9 16 4" xfId="7879"/>
    <cellStyle name="Calculation 2 9 17" xfId="7880"/>
    <cellStyle name="Calculation 2 9 18" xfId="7881"/>
    <cellStyle name="Calculation 2 9 19" xfId="7882"/>
    <cellStyle name="Calculation 2 9 2" xfId="819"/>
    <cellStyle name="Calculation 2 9 2 10" xfId="7883"/>
    <cellStyle name="Calculation 2 9 2 11" xfId="7884"/>
    <cellStyle name="Calculation 2 9 2 12" xfId="7885"/>
    <cellStyle name="Calculation 2 9 2 2" xfId="7886"/>
    <cellStyle name="Calculation 2 9 2 2 2" xfId="7887"/>
    <cellStyle name="Calculation 2 9 2 2 2 2" xfId="7888"/>
    <cellStyle name="Calculation 2 9 2 2 2 3" xfId="7889"/>
    <cellStyle name="Calculation 2 9 2 2 2 4" xfId="7890"/>
    <cellStyle name="Calculation 2 9 2 2 3" xfId="7891"/>
    <cellStyle name="Calculation 2 9 2 2 3 2" xfId="7892"/>
    <cellStyle name="Calculation 2 9 2 2 3 3" xfId="7893"/>
    <cellStyle name="Calculation 2 9 2 2 3 4" xfId="7894"/>
    <cellStyle name="Calculation 2 9 2 2 4" xfId="7895"/>
    <cellStyle name="Calculation 2 9 2 2 4 2" xfId="7896"/>
    <cellStyle name="Calculation 2 9 2 2 4 3" xfId="7897"/>
    <cellStyle name="Calculation 2 9 2 2 4 4" xfId="7898"/>
    <cellStyle name="Calculation 2 9 2 2 5" xfId="7899"/>
    <cellStyle name="Calculation 2 9 2 2 6" xfId="7900"/>
    <cellStyle name="Calculation 2 9 2 2 7" xfId="7901"/>
    <cellStyle name="Calculation 2 9 2 3" xfId="7902"/>
    <cellStyle name="Calculation 2 9 2 3 2" xfId="7903"/>
    <cellStyle name="Calculation 2 9 2 3 2 2" xfId="7904"/>
    <cellStyle name="Calculation 2 9 2 3 2 3" xfId="7905"/>
    <cellStyle name="Calculation 2 9 2 3 2 4" xfId="7906"/>
    <cellStyle name="Calculation 2 9 2 3 3" xfId="7907"/>
    <cellStyle name="Calculation 2 9 2 3 3 2" xfId="7908"/>
    <cellStyle name="Calculation 2 9 2 3 3 3" xfId="7909"/>
    <cellStyle name="Calculation 2 9 2 3 3 4" xfId="7910"/>
    <cellStyle name="Calculation 2 9 2 3 4" xfId="7911"/>
    <cellStyle name="Calculation 2 9 2 3 4 2" xfId="7912"/>
    <cellStyle name="Calculation 2 9 2 3 4 3" xfId="7913"/>
    <cellStyle name="Calculation 2 9 2 3 4 4" xfId="7914"/>
    <cellStyle name="Calculation 2 9 2 3 5" xfId="7915"/>
    <cellStyle name="Calculation 2 9 2 3 6" xfId="7916"/>
    <cellStyle name="Calculation 2 9 2 3 7" xfId="7917"/>
    <cellStyle name="Calculation 2 9 2 4" xfId="7918"/>
    <cellStyle name="Calculation 2 9 2 4 2" xfId="7919"/>
    <cellStyle name="Calculation 2 9 2 4 2 2" xfId="7920"/>
    <cellStyle name="Calculation 2 9 2 4 2 3" xfId="7921"/>
    <cellStyle name="Calculation 2 9 2 4 2 4" xfId="7922"/>
    <cellStyle name="Calculation 2 9 2 4 3" xfId="7923"/>
    <cellStyle name="Calculation 2 9 2 4 3 2" xfId="7924"/>
    <cellStyle name="Calculation 2 9 2 4 3 3" xfId="7925"/>
    <cellStyle name="Calculation 2 9 2 4 3 4" xfId="7926"/>
    <cellStyle name="Calculation 2 9 2 4 4" xfId="7927"/>
    <cellStyle name="Calculation 2 9 2 4 4 2" xfId="7928"/>
    <cellStyle name="Calculation 2 9 2 4 4 3" xfId="7929"/>
    <cellStyle name="Calculation 2 9 2 4 4 4" xfId="7930"/>
    <cellStyle name="Calculation 2 9 2 4 5" xfId="7931"/>
    <cellStyle name="Calculation 2 9 2 4 6" xfId="7932"/>
    <cellStyle name="Calculation 2 9 2 4 7" xfId="7933"/>
    <cellStyle name="Calculation 2 9 2 5" xfId="7934"/>
    <cellStyle name="Calculation 2 9 2 5 2" xfId="7935"/>
    <cellStyle name="Calculation 2 9 2 5 2 2" xfId="7936"/>
    <cellStyle name="Calculation 2 9 2 5 2 3" xfId="7937"/>
    <cellStyle name="Calculation 2 9 2 5 2 4" xfId="7938"/>
    <cellStyle name="Calculation 2 9 2 5 3" xfId="7939"/>
    <cellStyle name="Calculation 2 9 2 5 3 2" xfId="7940"/>
    <cellStyle name="Calculation 2 9 2 5 3 3" xfId="7941"/>
    <cellStyle name="Calculation 2 9 2 5 3 4" xfId="7942"/>
    <cellStyle name="Calculation 2 9 2 5 4" xfId="7943"/>
    <cellStyle name="Calculation 2 9 2 5 4 2" xfId="7944"/>
    <cellStyle name="Calculation 2 9 2 5 4 3" xfId="7945"/>
    <cellStyle name="Calculation 2 9 2 5 4 4" xfId="7946"/>
    <cellStyle name="Calculation 2 9 2 5 5" xfId="7947"/>
    <cellStyle name="Calculation 2 9 2 5 6" xfId="7948"/>
    <cellStyle name="Calculation 2 9 2 5 7" xfId="7949"/>
    <cellStyle name="Calculation 2 9 2 6" xfId="7950"/>
    <cellStyle name="Calculation 2 9 2 6 2" xfId="7951"/>
    <cellStyle name="Calculation 2 9 2 6 2 2" xfId="7952"/>
    <cellStyle name="Calculation 2 9 2 6 2 3" xfId="7953"/>
    <cellStyle name="Calculation 2 9 2 6 2 4" xfId="7954"/>
    <cellStyle name="Calculation 2 9 2 6 3" xfId="7955"/>
    <cellStyle name="Calculation 2 9 2 6 3 2" xfId="7956"/>
    <cellStyle name="Calculation 2 9 2 6 3 3" xfId="7957"/>
    <cellStyle name="Calculation 2 9 2 6 3 4" xfId="7958"/>
    <cellStyle name="Calculation 2 9 2 6 4" xfId="7959"/>
    <cellStyle name="Calculation 2 9 2 6 4 2" xfId="7960"/>
    <cellStyle name="Calculation 2 9 2 6 4 3" xfId="7961"/>
    <cellStyle name="Calculation 2 9 2 6 4 4" xfId="7962"/>
    <cellStyle name="Calculation 2 9 2 6 5" xfId="7963"/>
    <cellStyle name="Calculation 2 9 2 6 6" xfId="7964"/>
    <cellStyle name="Calculation 2 9 2 6 7" xfId="7965"/>
    <cellStyle name="Calculation 2 9 2 7" xfId="7966"/>
    <cellStyle name="Calculation 2 9 2 7 2" xfId="7967"/>
    <cellStyle name="Calculation 2 9 2 7 3" xfId="7968"/>
    <cellStyle name="Calculation 2 9 2 7 4" xfId="7969"/>
    <cellStyle name="Calculation 2 9 2 8" xfId="7970"/>
    <cellStyle name="Calculation 2 9 2 8 2" xfId="7971"/>
    <cellStyle name="Calculation 2 9 2 8 3" xfId="7972"/>
    <cellStyle name="Calculation 2 9 2 8 4" xfId="7973"/>
    <cellStyle name="Calculation 2 9 2 9" xfId="7974"/>
    <cellStyle name="Calculation 2 9 2 9 2" xfId="7975"/>
    <cellStyle name="Calculation 2 9 2 9 3" xfId="7976"/>
    <cellStyle name="Calculation 2 9 2 9 4" xfId="7977"/>
    <cellStyle name="Calculation 2 9 3" xfId="842"/>
    <cellStyle name="Calculation 2 9 3 10" xfId="7978"/>
    <cellStyle name="Calculation 2 9 3 11" xfId="7979"/>
    <cellStyle name="Calculation 2 9 3 12" xfId="7980"/>
    <cellStyle name="Calculation 2 9 3 2" xfId="7981"/>
    <cellStyle name="Calculation 2 9 3 2 2" xfId="7982"/>
    <cellStyle name="Calculation 2 9 3 2 2 2" xfId="7983"/>
    <cellStyle name="Calculation 2 9 3 2 2 3" xfId="7984"/>
    <cellStyle name="Calculation 2 9 3 2 2 4" xfId="7985"/>
    <cellStyle name="Calculation 2 9 3 2 3" xfId="7986"/>
    <cellStyle name="Calculation 2 9 3 2 3 2" xfId="7987"/>
    <cellStyle name="Calculation 2 9 3 2 3 3" xfId="7988"/>
    <cellStyle name="Calculation 2 9 3 2 3 4" xfId="7989"/>
    <cellStyle name="Calculation 2 9 3 2 4" xfId="7990"/>
    <cellStyle name="Calculation 2 9 3 2 4 2" xfId="7991"/>
    <cellStyle name="Calculation 2 9 3 2 4 3" xfId="7992"/>
    <cellStyle name="Calculation 2 9 3 2 4 4" xfId="7993"/>
    <cellStyle name="Calculation 2 9 3 2 5" xfId="7994"/>
    <cellStyle name="Calculation 2 9 3 2 6" xfId="7995"/>
    <cellStyle name="Calculation 2 9 3 2 7" xfId="7996"/>
    <cellStyle name="Calculation 2 9 3 3" xfId="7997"/>
    <cellStyle name="Calculation 2 9 3 3 2" xfId="7998"/>
    <cellStyle name="Calculation 2 9 3 3 2 2" xfId="7999"/>
    <cellStyle name="Calculation 2 9 3 3 2 3" xfId="8000"/>
    <cellStyle name="Calculation 2 9 3 3 2 4" xfId="8001"/>
    <cellStyle name="Calculation 2 9 3 3 3" xfId="8002"/>
    <cellStyle name="Calculation 2 9 3 3 3 2" xfId="8003"/>
    <cellStyle name="Calculation 2 9 3 3 3 3" xfId="8004"/>
    <cellStyle name="Calculation 2 9 3 3 3 4" xfId="8005"/>
    <cellStyle name="Calculation 2 9 3 3 4" xfId="8006"/>
    <cellStyle name="Calculation 2 9 3 3 4 2" xfId="8007"/>
    <cellStyle name="Calculation 2 9 3 3 4 3" xfId="8008"/>
    <cellStyle name="Calculation 2 9 3 3 4 4" xfId="8009"/>
    <cellStyle name="Calculation 2 9 3 3 5" xfId="8010"/>
    <cellStyle name="Calculation 2 9 3 3 6" xfId="8011"/>
    <cellStyle name="Calculation 2 9 3 3 7" xfId="8012"/>
    <cellStyle name="Calculation 2 9 3 4" xfId="8013"/>
    <cellStyle name="Calculation 2 9 3 4 2" xfId="8014"/>
    <cellStyle name="Calculation 2 9 3 4 2 2" xfId="8015"/>
    <cellStyle name="Calculation 2 9 3 4 2 3" xfId="8016"/>
    <cellStyle name="Calculation 2 9 3 4 2 4" xfId="8017"/>
    <cellStyle name="Calculation 2 9 3 4 3" xfId="8018"/>
    <cellStyle name="Calculation 2 9 3 4 3 2" xfId="8019"/>
    <cellStyle name="Calculation 2 9 3 4 3 3" xfId="8020"/>
    <cellStyle name="Calculation 2 9 3 4 3 4" xfId="8021"/>
    <cellStyle name="Calculation 2 9 3 4 4" xfId="8022"/>
    <cellStyle name="Calculation 2 9 3 4 4 2" xfId="8023"/>
    <cellStyle name="Calculation 2 9 3 4 4 3" xfId="8024"/>
    <cellStyle name="Calculation 2 9 3 4 4 4" xfId="8025"/>
    <cellStyle name="Calculation 2 9 3 4 5" xfId="8026"/>
    <cellStyle name="Calculation 2 9 3 4 6" xfId="8027"/>
    <cellStyle name="Calculation 2 9 3 4 7" xfId="8028"/>
    <cellStyle name="Calculation 2 9 3 5" xfId="8029"/>
    <cellStyle name="Calculation 2 9 3 5 2" xfId="8030"/>
    <cellStyle name="Calculation 2 9 3 5 2 2" xfId="8031"/>
    <cellStyle name="Calculation 2 9 3 5 2 3" xfId="8032"/>
    <cellStyle name="Calculation 2 9 3 5 2 4" xfId="8033"/>
    <cellStyle name="Calculation 2 9 3 5 3" xfId="8034"/>
    <cellStyle name="Calculation 2 9 3 5 3 2" xfId="8035"/>
    <cellStyle name="Calculation 2 9 3 5 3 3" xfId="8036"/>
    <cellStyle name="Calculation 2 9 3 5 3 4" xfId="8037"/>
    <cellStyle name="Calculation 2 9 3 5 4" xfId="8038"/>
    <cellStyle name="Calculation 2 9 3 5 4 2" xfId="8039"/>
    <cellStyle name="Calculation 2 9 3 5 4 3" xfId="8040"/>
    <cellStyle name="Calculation 2 9 3 5 4 4" xfId="8041"/>
    <cellStyle name="Calculation 2 9 3 5 5" xfId="8042"/>
    <cellStyle name="Calculation 2 9 3 5 6" xfId="8043"/>
    <cellStyle name="Calculation 2 9 3 5 7" xfId="8044"/>
    <cellStyle name="Calculation 2 9 3 6" xfId="8045"/>
    <cellStyle name="Calculation 2 9 3 6 2" xfId="8046"/>
    <cellStyle name="Calculation 2 9 3 6 2 2" xfId="8047"/>
    <cellStyle name="Calculation 2 9 3 6 2 3" xfId="8048"/>
    <cellStyle name="Calculation 2 9 3 6 2 4" xfId="8049"/>
    <cellStyle name="Calculation 2 9 3 6 3" xfId="8050"/>
    <cellStyle name="Calculation 2 9 3 6 3 2" xfId="8051"/>
    <cellStyle name="Calculation 2 9 3 6 3 3" xfId="8052"/>
    <cellStyle name="Calculation 2 9 3 6 3 4" xfId="8053"/>
    <cellStyle name="Calculation 2 9 3 6 4" xfId="8054"/>
    <cellStyle name="Calculation 2 9 3 6 4 2" xfId="8055"/>
    <cellStyle name="Calculation 2 9 3 6 4 3" xfId="8056"/>
    <cellStyle name="Calculation 2 9 3 6 4 4" xfId="8057"/>
    <cellStyle name="Calculation 2 9 3 6 5" xfId="8058"/>
    <cellStyle name="Calculation 2 9 3 6 6" xfId="8059"/>
    <cellStyle name="Calculation 2 9 3 6 7" xfId="8060"/>
    <cellStyle name="Calculation 2 9 3 7" xfId="8061"/>
    <cellStyle name="Calculation 2 9 3 7 2" xfId="8062"/>
    <cellStyle name="Calculation 2 9 3 7 3" xfId="8063"/>
    <cellStyle name="Calculation 2 9 3 7 4" xfId="8064"/>
    <cellStyle name="Calculation 2 9 3 8" xfId="8065"/>
    <cellStyle name="Calculation 2 9 3 8 2" xfId="8066"/>
    <cellStyle name="Calculation 2 9 3 8 3" xfId="8067"/>
    <cellStyle name="Calculation 2 9 3 8 4" xfId="8068"/>
    <cellStyle name="Calculation 2 9 3 9" xfId="8069"/>
    <cellStyle name="Calculation 2 9 3 9 2" xfId="8070"/>
    <cellStyle name="Calculation 2 9 3 9 3" xfId="8071"/>
    <cellStyle name="Calculation 2 9 3 9 4" xfId="8072"/>
    <cellStyle name="Calculation 2 9 4" xfId="733"/>
    <cellStyle name="Calculation 2 9 4 10" xfId="8073"/>
    <cellStyle name="Calculation 2 9 4 11" xfId="8074"/>
    <cellStyle name="Calculation 2 9 4 12" xfId="8075"/>
    <cellStyle name="Calculation 2 9 4 2" xfId="8076"/>
    <cellStyle name="Calculation 2 9 4 2 2" xfId="8077"/>
    <cellStyle name="Calculation 2 9 4 2 2 2" xfId="8078"/>
    <cellStyle name="Calculation 2 9 4 2 2 3" xfId="8079"/>
    <cellStyle name="Calculation 2 9 4 2 2 4" xfId="8080"/>
    <cellStyle name="Calculation 2 9 4 2 3" xfId="8081"/>
    <cellStyle name="Calculation 2 9 4 2 3 2" xfId="8082"/>
    <cellStyle name="Calculation 2 9 4 2 3 3" xfId="8083"/>
    <cellStyle name="Calculation 2 9 4 2 3 4" xfId="8084"/>
    <cellStyle name="Calculation 2 9 4 2 4" xfId="8085"/>
    <cellStyle name="Calculation 2 9 4 2 4 2" xfId="8086"/>
    <cellStyle name="Calculation 2 9 4 2 4 3" xfId="8087"/>
    <cellStyle name="Calculation 2 9 4 2 4 4" xfId="8088"/>
    <cellStyle name="Calculation 2 9 4 2 5" xfId="8089"/>
    <cellStyle name="Calculation 2 9 4 2 6" xfId="8090"/>
    <cellStyle name="Calculation 2 9 4 2 7" xfId="8091"/>
    <cellStyle name="Calculation 2 9 4 3" xfId="8092"/>
    <cellStyle name="Calculation 2 9 4 3 2" xfId="8093"/>
    <cellStyle name="Calculation 2 9 4 3 2 2" xfId="8094"/>
    <cellStyle name="Calculation 2 9 4 3 2 3" xfId="8095"/>
    <cellStyle name="Calculation 2 9 4 3 2 4" xfId="8096"/>
    <cellStyle name="Calculation 2 9 4 3 3" xfId="8097"/>
    <cellStyle name="Calculation 2 9 4 3 3 2" xfId="8098"/>
    <cellStyle name="Calculation 2 9 4 3 3 3" xfId="8099"/>
    <cellStyle name="Calculation 2 9 4 3 3 4" xfId="8100"/>
    <cellStyle name="Calculation 2 9 4 3 4" xfId="8101"/>
    <cellStyle name="Calculation 2 9 4 3 4 2" xfId="8102"/>
    <cellStyle name="Calculation 2 9 4 3 4 3" xfId="8103"/>
    <cellStyle name="Calculation 2 9 4 3 4 4" xfId="8104"/>
    <cellStyle name="Calculation 2 9 4 3 5" xfId="8105"/>
    <cellStyle name="Calculation 2 9 4 3 6" xfId="8106"/>
    <cellStyle name="Calculation 2 9 4 3 7" xfId="8107"/>
    <cellStyle name="Calculation 2 9 4 4" xfId="8108"/>
    <cellStyle name="Calculation 2 9 4 4 2" xfId="8109"/>
    <cellStyle name="Calculation 2 9 4 4 2 2" xfId="8110"/>
    <cellStyle name="Calculation 2 9 4 4 2 3" xfId="8111"/>
    <cellStyle name="Calculation 2 9 4 4 2 4" xfId="8112"/>
    <cellStyle name="Calculation 2 9 4 4 3" xfId="8113"/>
    <cellStyle name="Calculation 2 9 4 4 3 2" xfId="8114"/>
    <cellStyle name="Calculation 2 9 4 4 3 3" xfId="8115"/>
    <cellStyle name="Calculation 2 9 4 4 3 4" xfId="8116"/>
    <cellStyle name="Calculation 2 9 4 4 4" xfId="8117"/>
    <cellStyle name="Calculation 2 9 4 4 4 2" xfId="8118"/>
    <cellStyle name="Calculation 2 9 4 4 4 3" xfId="8119"/>
    <cellStyle name="Calculation 2 9 4 4 4 4" xfId="8120"/>
    <cellStyle name="Calculation 2 9 4 4 5" xfId="8121"/>
    <cellStyle name="Calculation 2 9 4 4 6" xfId="8122"/>
    <cellStyle name="Calculation 2 9 4 4 7" xfId="8123"/>
    <cellStyle name="Calculation 2 9 4 5" xfId="8124"/>
    <cellStyle name="Calculation 2 9 4 5 2" xfId="8125"/>
    <cellStyle name="Calculation 2 9 4 5 2 2" xfId="8126"/>
    <cellStyle name="Calculation 2 9 4 5 2 3" xfId="8127"/>
    <cellStyle name="Calculation 2 9 4 5 2 4" xfId="8128"/>
    <cellStyle name="Calculation 2 9 4 5 3" xfId="8129"/>
    <cellStyle name="Calculation 2 9 4 5 3 2" xfId="8130"/>
    <cellStyle name="Calculation 2 9 4 5 3 3" xfId="8131"/>
    <cellStyle name="Calculation 2 9 4 5 3 4" xfId="8132"/>
    <cellStyle name="Calculation 2 9 4 5 4" xfId="8133"/>
    <cellStyle name="Calculation 2 9 4 5 4 2" xfId="8134"/>
    <cellStyle name="Calculation 2 9 4 5 4 3" xfId="8135"/>
    <cellStyle name="Calculation 2 9 4 5 4 4" xfId="8136"/>
    <cellStyle name="Calculation 2 9 4 5 5" xfId="8137"/>
    <cellStyle name="Calculation 2 9 4 5 6" xfId="8138"/>
    <cellStyle name="Calculation 2 9 4 5 7" xfId="8139"/>
    <cellStyle name="Calculation 2 9 4 6" xfId="8140"/>
    <cellStyle name="Calculation 2 9 4 6 2" xfId="8141"/>
    <cellStyle name="Calculation 2 9 4 6 2 2" xfId="8142"/>
    <cellStyle name="Calculation 2 9 4 6 2 3" xfId="8143"/>
    <cellStyle name="Calculation 2 9 4 6 2 4" xfId="8144"/>
    <cellStyle name="Calculation 2 9 4 6 3" xfId="8145"/>
    <cellStyle name="Calculation 2 9 4 6 3 2" xfId="8146"/>
    <cellStyle name="Calculation 2 9 4 6 3 3" xfId="8147"/>
    <cellStyle name="Calculation 2 9 4 6 3 4" xfId="8148"/>
    <cellStyle name="Calculation 2 9 4 6 4" xfId="8149"/>
    <cellStyle name="Calculation 2 9 4 6 4 2" xfId="8150"/>
    <cellStyle name="Calculation 2 9 4 6 4 3" xfId="8151"/>
    <cellStyle name="Calculation 2 9 4 6 4 4" xfId="8152"/>
    <cellStyle name="Calculation 2 9 4 6 5" xfId="8153"/>
    <cellStyle name="Calculation 2 9 4 6 6" xfId="8154"/>
    <cellStyle name="Calculation 2 9 4 6 7" xfId="8155"/>
    <cellStyle name="Calculation 2 9 4 7" xfId="8156"/>
    <cellStyle name="Calculation 2 9 4 7 2" xfId="8157"/>
    <cellStyle name="Calculation 2 9 4 7 3" xfId="8158"/>
    <cellStyle name="Calculation 2 9 4 7 4" xfId="8159"/>
    <cellStyle name="Calculation 2 9 4 8" xfId="8160"/>
    <cellStyle name="Calculation 2 9 4 8 2" xfId="8161"/>
    <cellStyle name="Calculation 2 9 4 8 3" xfId="8162"/>
    <cellStyle name="Calculation 2 9 4 8 4" xfId="8163"/>
    <cellStyle name="Calculation 2 9 4 9" xfId="8164"/>
    <cellStyle name="Calculation 2 9 4 9 2" xfId="8165"/>
    <cellStyle name="Calculation 2 9 4 9 3" xfId="8166"/>
    <cellStyle name="Calculation 2 9 4 9 4" xfId="8167"/>
    <cellStyle name="Calculation 2 9 5" xfId="8168"/>
    <cellStyle name="Calculation 2 9 5 10" xfId="8169"/>
    <cellStyle name="Calculation 2 9 5 11" xfId="8170"/>
    <cellStyle name="Calculation 2 9 5 12" xfId="8171"/>
    <cellStyle name="Calculation 2 9 5 2" xfId="8172"/>
    <cellStyle name="Calculation 2 9 5 2 2" xfId="8173"/>
    <cellStyle name="Calculation 2 9 5 2 2 2" xfId="8174"/>
    <cellStyle name="Calculation 2 9 5 2 2 3" xfId="8175"/>
    <cellStyle name="Calculation 2 9 5 2 2 4" xfId="8176"/>
    <cellStyle name="Calculation 2 9 5 2 3" xfId="8177"/>
    <cellStyle name="Calculation 2 9 5 2 3 2" xfId="8178"/>
    <cellStyle name="Calculation 2 9 5 2 3 3" xfId="8179"/>
    <cellStyle name="Calculation 2 9 5 2 3 4" xfId="8180"/>
    <cellStyle name="Calculation 2 9 5 2 4" xfId="8181"/>
    <cellStyle name="Calculation 2 9 5 2 4 2" xfId="8182"/>
    <cellStyle name="Calculation 2 9 5 2 4 3" xfId="8183"/>
    <cellStyle name="Calculation 2 9 5 2 4 4" xfId="8184"/>
    <cellStyle name="Calculation 2 9 5 2 5" xfId="8185"/>
    <cellStyle name="Calculation 2 9 5 2 6" xfId="8186"/>
    <cellStyle name="Calculation 2 9 5 2 7" xfId="8187"/>
    <cellStyle name="Calculation 2 9 5 3" xfId="8188"/>
    <cellStyle name="Calculation 2 9 5 3 2" xfId="8189"/>
    <cellStyle name="Calculation 2 9 5 3 2 2" xfId="8190"/>
    <cellStyle name="Calculation 2 9 5 3 2 3" xfId="8191"/>
    <cellStyle name="Calculation 2 9 5 3 2 4" xfId="8192"/>
    <cellStyle name="Calculation 2 9 5 3 3" xfId="8193"/>
    <cellStyle name="Calculation 2 9 5 3 3 2" xfId="8194"/>
    <cellStyle name="Calculation 2 9 5 3 3 3" xfId="8195"/>
    <cellStyle name="Calculation 2 9 5 3 3 4" xfId="8196"/>
    <cellStyle name="Calculation 2 9 5 3 4" xfId="8197"/>
    <cellStyle name="Calculation 2 9 5 3 4 2" xfId="8198"/>
    <cellStyle name="Calculation 2 9 5 3 4 3" xfId="8199"/>
    <cellStyle name="Calculation 2 9 5 3 4 4" xfId="8200"/>
    <cellStyle name="Calculation 2 9 5 3 5" xfId="8201"/>
    <cellStyle name="Calculation 2 9 5 3 6" xfId="8202"/>
    <cellStyle name="Calculation 2 9 5 3 7" xfId="8203"/>
    <cellStyle name="Calculation 2 9 5 4" xfId="8204"/>
    <cellStyle name="Calculation 2 9 5 4 2" xfId="8205"/>
    <cellStyle name="Calculation 2 9 5 4 2 2" xfId="8206"/>
    <cellStyle name="Calculation 2 9 5 4 2 3" xfId="8207"/>
    <cellStyle name="Calculation 2 9 5 4 2 4" xfId="8208"/>
    <cellStyle name="Calculation 2 9 5 4 3" xfId="8209"/>
    <cellStyle name="Calculation 2 9 5 4 3 2" xfId="8210"/>
    <cellStyle name="Calculation 2 9 5 4 3 3" xfId="8211"/>
    <cellStyle name="Calculation 2 9 5 4 3 4" xfId="8212"/>
    <cellStyle name="Calculation 2 9 5 4 4" xfId="8213"/>
    <cellStyle name="Calculation 2 9 5 4 4 2" xfId="8214"/>
    <cellStyle name="Calculation 2 9 5 4 4 3" xfId="8215"/>
    <cellStyle name="Calculation 2 9 5 4 4 4" xfId="8216"/>
    <cellStyle name="Calculation 2 9 5 4 5" xfId="8217"/>
    <cellStyle name="Calculation 2 9 5 4 6" xfId="8218"/>
    <cellStyle name="Calculation 2 9 5 4 7" xfId="8219"/>
    <cellStyle name="Calculation 2 9 5 5" xfId="8220"/>
    <cellStyle name="Calculation 2 9 5 5 2" xfId="8221"/>
    <cellStyle name="Calculation 2 9 5 5 2 2" xfId="8222"/>
    <cellStyle name="Calculation 2 9 5 5 2 3" xfId="8223"/>
    <cellStyle name="Calculation 2 9 5 5 2 4" xfId="8224"/>
    <cellStyle name="Calculation 2 9 5 5 3" xfId="8225"/>
    <cellStyle name="Calculation 2 9 5 5 3 2" xfId="8226"/>
    <cellStyle name="Calculation 2 9 5 5 3 3" xfId="8227"/>
    <cellStyle name="Calculation 2 9 5 5 3 4" xfId="8228"/>
    <cellStyle name="Calculation 2 9 5 5 4" xfId="8229"/>
    <cellStyle name="Calculation 2 9 5 5 4 2" xfId="8230"/>
    <cellStyle name="Calculation 2 9 5 5 4 3" xfId="8231"/>
    <cellStyle name="Calculation 2 9 5 5 4 4" xfId="8232"/>
    <cellStyle name="Calculation 2 9 5 5 5" xfId="8233"/>
    <cellStyle name="Calculation 2 9 5 5 6" xfId="8234"/>
    <cellStyle name="Calculation 2 9 5 5 7" xfId="8235"/>
    <cellStyle name="Calculation 2 9 5 6" xfId="8236"/>
    <cellStyle name="Calculation 2 9 5 6 2" xfId="8237"/>
    <cellStyle name="Calculation 2 9 5 6 2 2" xfId="8238"/>
    <cellStyle name="Calculation 2 9 5 6 2 3" xfId="8239"/>
    <cellStyle name="Calculation 2 9 5 6 2 4" xfId="8240"/>
    <cellStyle name="Calculation 2 9 5 6 3" xfId="8241"/>
    <cellStyle name="Calculation 2 9 5 6 3 2" xfId="8242"/>
    <cellStyle name="Calculation 2 9 5 6 3 3" xfId="8243"/>
    <cellStyle name="Calculation 2 9 5 6 3 4" xfId="8244"/>
    <cellStyle name="Calculation 2 9 5 6 4" xfId="8245"/>
    <cellStyle name="Calculation 2 9 5 6 4 2" xfId="8246"/>
    <cellStyle name="Calculation 2 9 5 6 4 3" xfId="8247"/>
    <cellStyle name="Calculation 2 9 5 6 4 4" xfId="8248"/>
    <cellStyle name="Calculation 2 9 5 6 5" xfId="8249"/>
    <cellStyle name="Calculation 2 9 5 6 6" xfId="8250"/>
    <cellStyle name="Calculation 2 9 5 6 7" xfId="8251"/>
    <cellStyle name="Calculation 2 9 5 7" xfId="8252"/>
    <cellStyle name="Calculation 2 9 5 7 2" xfId="8253"/>
    <cellStyle name="Calculation 2 9 5 7 3" xfId="8254"/>
    <cellStyle name="Calculation 2 9 5 7 4" xfId="8255"/>
    <cellStyle name="Calculation 2 9 5 8" xfId="8256"/>
    <cellStyle name="Calculation 2 9 5 8 2" xfId="8257"/>
    <cellStyle name="Calculation 2 9 5 8 3" xfId="8258"/>
    <cellStyle name="Calculation 2 9 5 8 4" xfId="8259"/>
    <cellStyle name="Calculation 2 9 5 9" xfId="8260"/>
    <cellStyle name="Calculation 2 9 5 9 2" xfId="8261"/>
    <cellStyle name="Calculation 2 9 5 9 3" xfId="8262"/>
    <cellStyle name="Calculation 2 9 5 9 4" xfId="8263"/>
    <cellStyle name="Calculation 2 9 6" xfId="8264"/>
    <cellStyle name="Calculation 2 9 6 2" xfId="8265"/>
    <cellStyle name="Calculation 2 9 6 2 2" xfId="8266"/>
    <cellStyle name="Calculation 2 9 6 2 3" xfId="8267"/>
    <cellStyle name="Calculation 2 9 6 2 4" xfId="8268"/>
    <cellStyle name="Calculation 2 9 6 3" xfId="8269"/>
    <cellStyle name="Calculation 2 9 6 3 2" xfId="8270"/>
    <cellStyle name="Calculation 2 9 6 3 3" xfId="8271"/>
    <cellStyle name="Calculation 2 9 6 3 4" xfId="8272"/>
    <cellStyle name="Calculation 2 9 6 4" xfId="8273"/>
    <cellStyle name="Calculation 2 9 6 4 2" xfId="8274"/>
    <cellStyle name="Calculation 2 9 6 4 3" xfId="8275"/>
    <cellStyle name="Calculation 2 9 6 4 4" xfId="8276"/>
    <cellStyle name="Calculation 2 9 6 5" xfId="8277"/>
    <cellStyle name="Calculation 2 9 6 6" xfId="8278"/>
    <cellStyle name="Calculation 2 9 6 7" xfId="8279"/>
    <cellStyle name="Calculation 2 9 7" xfId="8280"/>
    <cellStyle name="Calculation 2 9 7 2" xfId="8281"/>
    <cellStyle name="Calculation 2 9 7 2 2" xfId="8282"/>
    <cellStyle name="Calculation 2 9 7 2 3" xfId="8283"/>
    <cellStyle name="Calculation 2 9 7 2 4" xfId="8284"/>
    <cellStyle name="Calculation 2 9 7 3" xfId="8285"/>
    <cellStyle name="Calculation 2 9 7 3 2" xfId="8286"/>
    <cellStyle name="Calculation 2 9 7 3 3" xfId="8287"/>
    <cellStyle name="Calculation 2 9 7 3 4" xfId="8288"/>
    <cellStyle name="Calculation 2 9 7 4" xfId="8289"/>
    <cellStyle name="Calculation 2 9 7 4 2" xfId="8290"/>
    <cellStyle name="Calculation 2 9 7 4 3" xfId="8291"/>
    <cellStyle name="Calculation 2 9 7 4 4" xfId="8292"/>
    <cellStyle name="Calculation 2 9 7 5" xfId="8293"/>
    <cellStyle name="Calculation 2 9 7 6" xfId="8294"/>
    <cellStyle name="Calculation 2 9 7 7" xfId="8295"/>
    <cellStyle name="Calculation 2 9 8" xfId="8296"/>
    <cellStyle name="Calculation 2 9 8 2" xfId="8297"/>
    <cellStyle name="Calculation 2 9 8 2 2" xfId="8298"/>
    <cellStyle name="Calculation 2 9 8 2 3" xfId="8299"/>
    <cellStyle name="Calculation 2 9 8 2 4" xfId="8300"/>
    <cellStyle name="Calculation 2 9 8 3" xfId="8301"/>
    <cellStyle name="Calculation 2 9 8 3 2" xfId="8302"/>
    <cellStyle name="Calculation 2 9 8 3 3" xfId="8303"/>
    <cellStyle name="Calculation 2 9 8 3 4" xfId="8304"/>
    <cellStyle name="Calculation 2 9 8 4" xfId="8305"/>
    <cellStyle name="Calculation 2 9 8 4 2" xfId="8306"/>
    <cellStyle name="Calculation 2 9 8 4 3" xfId="8307"/>
    <cellStyle name="Calculation 2 9 8 4 4" xfId="8308"/>
    <cellStyle name="Calculation 2 9 8 5" xfId="8309"/>
    <cellStyle name="Calculation 2 9 8 6" xfId="8310"/>
    <cellStyle name="Calculation 2 9 8 7" xfId="8311"/>
    <cellStyle name="Calculation 2 9 9" xfId="8312"/>
    <cellStyle name="Calculation 2 9 9 2" xfId="8313"/>
    <cellStyle name="Calculation 2 9 9 2 2" xfId="8314"/>
    <cellStyle name="Calculation 2 9 9 2 3" xfId="8315"/>
    <cellStyle name="Calculation 2 9 9 2 4" xfId="8316"/>
    <cellStyle name="Calculation 2 9 9 3" xfId="8317"/>
    <cellStyle name="Calculation 2 9 9 3 2" xfId="8318"/>
    <cellStyle name="Calculation 2 9 9 3 3" xfId="8319"/>
    <cellStyle name="Calculation 2 9 9 3 4" xfId="8320"/>
    <cellStyle name="Calculation 2 9 9 4" xfId="8321"/>
    <cellStyle name="Calculation 2 9 9 4 2" xfId="8322"/>
    <cellStyle name="Calculation 2 9 9 4 3" xfId="8323"/>
    <cellStyle name="Calculation 2 9 9 4 4" xfId="8324"/>
    <cellStyle name="Calculation 2 9 9 5" xfId="8325"/>
    <cellStyle name="Calculation 2 9 9 6" xfId="8326"/>
    <cellStyle name="Calculation 2 9 9 7" xfId="8327"/>
    <cellStyle name="Calculation 2_2011 Gas Production savings by program 7.27.12 eval w 2-14-14 changes" xfId="1193"/>
    <cellStyle name="Calculation 3" xfId="65"/>
    <cellStyle name="Calculation 3 2" xfId="396"/>
    <cellStyle name="Calculation 3 2 10" xfId="8328"/>
    <cellStyle name="Calculation 3 2 10 2" xfId="8329"/>
    <cellStyle name="Calculation 3 2 10 2 2" xfId="8330"/>
    <cellStyle name="Calculation 3 2 10 2 3" xfId="8331"/>
    <cellStyle name="Calculation 3 2 10 2 4" xfId="8332"/>
    <cellStyle name="Calculation 3 2 10 3" xfId="8333"/>
    <cellStyle name="Calculation 3 2 10 3 2" xfId="8334"/>
    <cellStyle name="Calculation 3 2 10 3 3" xfId="8335"/>
    <cellStyle name="Calculation 3 2 10 3 4" xfId="8336"/>
    <cellStyle name="Calculation 3 2 10 4" xfId="8337"/>
    <cellStyle name="Calculation 3 2 10 4 2" xfId="8338"/>
    <cellStyle name="Calculation 3 2 10 4 3" xfId="8339"/>
    <cellStyle name="Calculation 3 2 10 4 4" xfId="8340"/>
    <cellStyle name="Calculation 3 2 10 5" xfId="8341"/>
    <cellStyle name="Calculation 3 2 10 6" xfId="8342"/>
    <cellStyle name="Calculation 3 2 10 7" xfId="8343"/>
    <cellStyle name="Calculation 3 2 11" xfId="8344"/>
    <cellStyle name="Calculation 3 2 11 2" xfId="8345"/>
    <cellStyle name="Calculation 3 2 11 2 2" xfId="8346"/>
    <cellStyle name="Calculation 3 2 11 2 3" xfId="8347"/>
    <cellStyle name="Calculation 3 2 11 2 4" xfId="8348"/>
    <cellStyle name="Calculation 3 2 11 3" xfId="8349"/>
    <cellStyle name="Calculation 3 2 11 3 2" xfId="8350"/>
    <cellStyle name="Calculation 3 2 11 3 3" xfId="8351"/>
    <cellStyle name="Calculation 3 2 11 3 4" xfId="8352"/>
    <cellStyle name="Calculation 3 2 11 4" xfId="8353"/>
    <cellStyle name="Calculation 3 2 11 4 2" xfId="8354"/>
    <cellStyle name="Calculation 3 2 11 4 3" xfId="8355"/>
    <cellStyle name="Calculation 3 2 11 4 4" xfId="8356"/>
    <cellStyle name="Calculation 3 2 11 5" xfId="8357"/>
    <cellStyle name="Calculation 3 2 11 6" xfId="8358"/>
    <cellStyle name="Calculation 3 2 11 7" xfId="8359"/>
    <cellStyle name="Calculation 3 2 12" xfId="8360"/>
    <cellStyle name="Calculation 3 2 12 2" xfId="8361"/>
    <cellStyle name="Calculation 3 2 12 2 2" xfId="8362"/>
    <cellStyle name="Calculation 3 2 12 2 3" xfId="8363"/>
    <cellStyle name="Calculation 3 2 12 2 4" xfId="8364"/>
    <cellStyle name="Calculation 3 2 12 3" xfId="8365"/>
    <cellStyle name="Calculation 3 2 12 3 2" xfId="8366"/>
    <cellStyle name="Calculation 3 2 12 3 3" xfId="8367"/>
    <cellStyle name="Calculation 3 2 12 3 4" xfId="8368"/>
    <cellStyle name="Calculation 3 2 12 4" xfId="8369"/>
    <cellStyle name="Calculation 3 2 12 4 2" xfId="8370"/>
    <cellStyle name="Calculation 3 2 12 4 3" xfId="8371"/>
    <cellStyle name="Calculation 3 2 12 4 4" xfId="8372"/>
    <cellStyle name="Calculation 3 2 12 5" xfId="8373"/>
    <cellStyle name="Calculation 3 2 12 6" xfId="8374"/>
    <cellStyle name="Calculation 3 2 12 7" xfId="8375"/>
    <cellStyle name="Calculation 3 2 13" xfId="8376"/>
    <cellStyle name="Calculation 3 2 13 2" xfId="8377"/>
    <cellStyle name="Calculation 3 2 13 2 2" xfId="8378"/>
    <cellStyle name="Calculation 3 2 13 2 3" xfId="8379"/>
    <cellStyle name="Calculation 3 2 13 2 4" xfId="8380"/>
    <cellStyle name="Calculation 3 2 13 3" xfId="8381"/>
    <cellStyle name="Calculation 3 2 13 3 2" xfId="8382"/>
    <cellStyle name="Calculation 3 2 13 3 3" xfId="8383"/>
    <cellStyle name="Calculation 3 2 13 3 4" xfId="8384"/>
    <cellStyle name="Calculation 3 2 13 4" xfId="8385"/>
    <cellStyle name="Calculation 3 2 13 4 2" xfId="8386"/>
    <cellStyle name="Calculation 3 2 13 4 3" xfId="8387"/>
    <cellStyle name="Calculation 3 2 13 4 4" xfId="8388"/>
    <cellStyle name="Calculation 3 2 13 5" xfId="8389"/>
    <cellStyle name="Calculation 3 2 13 6" xfId="8390"/>
    <cellStyle name="Calculation 3 2 13 7" xfId="8391"/>
    <cellStyle name="Calculation 3 2 14" xfId="8392"/>
    <cellStyle name="Calculation 3 2 14 2" xfId="8393"/>
    <cellStyle name="Calculation 3 2 14 3" xfId="8394"/>
    <cellStyle name="Calculation 3 2 14 4" xfId="8395"/>
    <cellStyle name="Calculation 3 2 15" xfId="8396"/>
    <cellStyle name="Calculation 3 2 15 2" xfId="8397"/>
    <cellStyle name="Calculation 3 2 15 3" xfId="8398"/>
    <cellStyle name="Calculation 3 2 15 4" xfId="8399"/>
    <cellStyle name="Calculation 3 2 16" xfId="8400"/>
    <cellStyle name="Calculation 3 2 16 2" xfId="8401"/>
    <cellStyle name="Calculation 3 2 16 3" xfId="8402"/>
    <cellStyle name="Calculation 3 2 16 4" xfId="8403"/>
    <cellStyle name="Calculation 3 2 17" xfId="8404"/>
    <cellStyle name="Calculation 3 2 18" xfId="8405"/>
    <cellStyle name="Calculation 3 2 19" xfId="8406"/>
    <cellStyle name="Calculation 3 2 2" xfId="397"/>
    <cellStyle name="Calculation 3 2 2 10" xfId="8407"/>
    <cellStyle name="Calculation 3 2 2 11" xfId="8408"/>
    <cellStyle name="Calculation 3 2 2 12" xfId="8409"/>
    <cellStyle name="Calculation 3 2 2 2" xfId="821"/>
    <cellStyle name="Calculation 3 2 2 2 2" xfId="8410"/>
    <cellStyle name="Calculation 3 2 2 2 2 2" xfId="8411"/>
    <cellStyle name="Calculation 3 2 2 2 2 3" xfId="8412"/>
    <cellStyle name="Calculation 3 2 2 2 2 4" xfId="8413"/>
    <cellStyle name="Calculation 3 2 2 2 3" xfId="8414"/>
    <cellStyle name="Calculation 3 2 2 2 3 2" xfId="8415"/>
    <cellStyle name="Calculation 3 2 2 2 3 3" xfId="8416"/>
    <cellStyle name="Calculation 3 2 2 2 3 4" xfId="8417"/>
    <cellStyle name="Calculation 3 2 2 2 4" xfId="8418"/>
    <cellStyle name="Calculation 3 2 2 2 4 2" xfId="8419"/>
    <cellStyle name="Calculation 3 2 2 2 4 3" xfId="8420"/>
    <cellStyle name="Calculation 3 2 2 2 4 4" xfId="8421"/>
    <cellStyle name="Calculation 3 2 2 2 5" xfId="8422"/>
    <cellStyle name="Calculation 3 2 2 2 6" xfId="8423"/>
    <cellStyle name="Calculation 3 2 2 2 7" xfId="8424"/>
    <cellStyle name="Calculation 3 2 2 3" xfId="796"/>
    <cellStyle name="Calculation 3 2 2 3 2" xfId="8425"/>
    <cellStyle name="Calculation 3 2 2 3 2 2" xfId="8426"/>
    <cellStyle name="Calculation 3 2 2 3 2 3" xfId="8427"/>
    <cellStyle name="Calculation 3 2 2 3 2 4" xfId="8428"/>
    <cellStyle name="Calculation 3 2 2 3 3" xfId="8429"/>
    <cellStyle name="Calculation 3 2 2 3 3 2" xfId="8430"/>
    <cellStyle name="Calculation 3 2 2 3 3 3" xfId="8431"/>
    <cellStyle name="Calculation 3 2 2 3 3 4" xfId="8432"/>
    <cellStyle name="Calculation 3 2 2 3 4" xfId="8433"/>
    <cellStyle name="Calculation 3 2 2 3 4 2" xfId="8434"/>
    <cellStyle name="Calculation 3 2 2 3 4 3" xfId="8435"/>
    <cellStyle name="Calculation 3 2 2 3 4 4" xfId="8436"/>
    <cellStyle name="Calculation 3 2 2 3 5" xfId="8437"/>
    <cellStyle name="Calculation 3 2 2 3 6" xfId="8438"/>
    <cellStyle name="Calculation 3 2 2 3 7" xfId="8439"/>
    <cellStyle name="Calculation 3 2 2 4" xfId="849"/>
    <cellStyle name="Calculation 3 2 2 4 2" xfId="8440"/>
    <cellStyle name="Calculation 3 2 2 4 2 2" xfId="8441"/>
    <cellStyle name="Calculation 3 2 2 4 2 3" xfId="8442"/>
    <cellStyle name="Calculation 3 2 2 4 2 4" xfId="8443"/>
    <cellStyle name="Calculation 3 2 2 4 3" xfId="8444"/>
    <cellStyle name="Calculation 3 2 2 4 3 2" xfId="8445"/>
    <cellStyle name="Calculation 3 2 2 4 3 3" xfId="8446"/>
    <cellStyle name="Calculation 3 2 2 4 3 4" xfId="8447"/>
    <cellStyle name="Calculation 3 2 2 4 4" xfId="8448"/>
    <cellStyle name="Calculation 3 2 2 4 4 2" xfId="8449"/>
    <cellStyle name="Calculation 3 2 2 4 4 3" xfId="8450"/>
    <cellStyle name="Calculation 3 2 2 4 4 4" xfId="8451"/>
    <cellStyle name="Calculation 3 2 2 4 5" xfId="8452"/>
    <cellStyle name="Calculation 3 2 2 4 6" xfId="8453"/>
    <cellStyle name="Calculation 3 2 2 4 7" xfId="8454"/>
    <cellStyle name="Calculation 3 2 2 5" xfId="8455"/>
    <cellStyle name="Calculation 3 2 2 5 2" xfId="8456"/>
    <cellStyle name="Calculation 3 2 2 5 2 2" xfId="8457"/>
    <cellStyle name="Calculation 3 2 2 5 2 3" xfId="8458"/>
    <cellStyle name="Calculation 3 2 2 5 2 4" xfId="8459"/>
    <cellStyle name="Calculation 3 2 2 5 3" xfId="8460"/>
    <cellStyle name="Calculation 3 2 2 5 3 2" xfId="8461"/>
    <cellStyle name="Calculation 3 2 2 5 3 3" xfId="8462"/>
    <cellStyle name="Calculation 3 2 2 5 3 4" xfId="8463"/>
    <cellStyle name="Calculation 3 2 2 5 4" xfId="8464"/>
    <cellStyle name="Calculation 3 2 2 5 4 2" xfId="8465"/>
    <cellStyle name="Calculation 3 2 2 5 4 3" xfId="8466"/>
    <cellStyle name="Calculation 3 2 2 5 4 4" xfId="8467"/>
    <cellStyle name="Calculation 3 2 2 5 5" xfId="8468"/>
    <cellStyle name="Calculation 3 2 2 5 6" xfId="8469"/>
    <cellStyle name="Calculation 3 2 2 5 7" xfId="8470"/>
    <cellStyle name="Calculation 3 2 2 6" xfId="8471"/>
    <cellStyle name="Calculation 3 2 2 6 2" xfId="8472"/>
    <cellStyle name="Calculation 3 2 2 6 2 2" xfId="8473"/>
    <cellStyle name="Calculation 3 2 2 6 2 3" xfId="8474"/>
    <cellStyle name="Calculation 3 2 2 6 2 4" xfId="8475"/>
    <cellStyle name="Calculation 3 2 2 6 3" xfId="8476"/>
    <cellStyle name="Calculation 3 2 2 6 3 2" xfId="8477"/>
    <cellStyle name="Calculation 3 2 2 6 3 3" xfId="8478"/>
    <cellStyle name="Calculation 3 2 2 6 3 4" xfId="8479"/>
    <cellStyle name="Calculation 3 2 2 6 4" xfId="8480"/>
    <cellStyle name="Calculation 3 2 2 6 4 2" xfId="8481"/>
    <cellStyle name="Calculation 3 2 2 6 4 3" xfId="8482"/>
    <cellStyle name="Calculation 3 2 2 6 4 4" xfId="8483"/>
    <cellStyle name="Calculation 3 2 2 6 5" xfId="8484"/>
    <cellStyle name="Calculation 3 2 2 6 6" xfId="8485"/>
    <cellStyle name="Calculation 3 2 2 6 7" xfId="8486"/>
    <cellStyle name="Calculation 3 2 2 7" xfId="8487"/>
    <cellStyle name="Calculation 3 2 2 7 2" xfId="8488"/>
    <cellStyle name="Calculation 3 2 2 7 3" xfId="8489"/>
    <cellStyle name="Calculation 3 2 2 7 4" xfId="8490"/>
    <cellStyle name="Calculation 3 2 2 8" xfId="8491"/>
    <cellStyle name="Calculation 3 2 2 8 2" xfId="8492"/>
    <cellStyle name="Calculation 3 2 2 8 3" xfId="8493"/>
    <cellStyle name="Calculation 3 2 2 8 4" xfId="8494"/>
    <cellStyle name="Calculation 3 2 2 9" xfId="8495"/>
    <cellStyle name="Calculation 3 2 2 9 2" xfId="8496"/>
    <cellStyle name="Calculation 3 2 2 9 3" xfId="8497"/>
    <cellStyle name="Calculation 3 2 2 9 4" xfId="8498"/>
    <cellStyle name="Calculation 3 2 3" xfId="820"/>
    <cellStyle name="Calculation 3 2 3 10" xfId="8499"/>
    <cellStyle name="Calculation 3 2 3 11" xfId="8500"/>
    <cellStyle name="Calculation 3 2 3 12" xfId="8501"/>
    <cellStyle name="Calculation 3 2 3 2" xfId="8502"/>
    <cellStyle name="Calculation 3 2 3 2 2" xfId="8503"/>
    <cellStyle name="Calculation 3 2 3 2 2 2" xfId="8504"/>
    <cellStyle name="Calculation 3 2 3 2 2 3" xfId="8505"/>
    <cellStyle name="Calculation 3 2 3 2 2 4" xfId="8506"/>
    <cellStyle name="Calculation 3 2 3 2 3" xfId="8507"/>
    <cellStyle name="Calculation 3 2 3 2 3 2" xfId="8508"/>
    <cellStyle name="Calculation 3 2 3 2 3 3" xfId="8509"/>
    <cellStyle name="Calculation 3 2 3 2 3 4" xfId="8510"/>
    <cellStyle name="Calculation 3 2 3 2 4" xfId="8511"/>
    <cellStyle name="Calculation 3 2 3 2 4 2" xfId="8512"/>
    <cellStyle name="Calculation 3 2 3 2 4 3" xfId="8513"/>
    <cellStyle name="Calculation 3 2 3 2 4 4" xfId="8514"/>
    <cellStyle name="Calculation 3 2 3 2 5" xfId="8515"/>
    <cellStyle name="Calculation 3 2 3 2 6" xfId="8516"/>
    <cellStyle name="Calculation 3 2 3 2 7" xfId="8517"/>
    <cellStyle name="Calculation 3 2 3 3" xfId="8518"/>
    <cellStyle name="Calculation 3 2 3 3 2" xfId="8519"/>
    <cellStyle name="Calculation 3 2 3 3 2 2" xfId="8520"/>
    <cellStyle name="Calculation 3 2 3 3 2 3" xfId="8521"/>
    <cellStyle name="Calculation 3 2 3 3 2 4" xfId="8522"/>
    <cellStyle name="Calculation 3 2 3 3 3" xfId="8523"/>
    <cellStyle name="Calculation 3 2 3 3 3 2" xfId="8524"/>
    <cellStyle name="Calculation 3 2 3 3 3 3" xfId="8525"/>
    <cellStyle name="Calculation 3 2 3 3 3 4" xfId="8526"/>
    <cellStyle name="Calculation 3 2 3 3 4" xfId="8527"/>
    <cellStyle name="Calculation 3 2 3 3 4 2" xfId="8528"/>
    <cellStyle name="Calculation 3 2 3 3 4 3" xfId="8529"/>
    <cellStyle name="Calculation 3 2 3 3 4 4" xfId="8530"/>
    <cellStyle name="Calculation 3 2 3 3 5" xfId="8531"/>
    <cellStyle name="Calculation 3 2 3 3 6" xfId="8532"/>
    <cellStyle name="Calculation 3 2 3 3 7" xfId="8533"/>
    <cellStyle name="Calculation 3 2 3 4" xfId="8534"/>
    <cellStyle name="Calculation 3 2 3 4 2" xfId="8535"/>
    <cellStyle name="Calculation 3 2 3 4 2 2" xfId="8536"/>
    <cellStyle name="Calculation 3 2 3 4 2 3" xfId="8537"/>
    <cellStyle name="Calculation 3 2 3 4 2 4" xfId="8538"/>
    <cellStyle name="Calculation 3 2 3 4 3" xfId="8539"/>
    <cellStyle name="Calculation 3 2 3 4 3 2" xfId="8540"/>
    <cellStyle name="Calculation 3 2 3 4 3 3" xfId="8541"/>
    <cellStyle name="Calculation 3 2 3 4 3 4" xfId="8542"/>
    <cellStyle name="Calculation 3 2 3 4 4" xfId="8543"/>
    <cellStyle name="Calculation 3 2 3 4 4 2" xfId="8544"/>
    <cellStyle name="Calculation 3 2 3 4 4 3" xfId="8545"/>
    <cellStyle name="Calculation 3 2 3 4 4 4" xfId="8546"/>
    <cellStyle name="Calculation 3 2 3 4 5" xfId="8547"/>
    <cellStyle name="Calculation 3 2 3 4 6" xfId="8548"/>
    <cellStyle name="Calculation 3 2 3 4 7" xfId="8549"/>
    <cellStyle name="Calculation 3 2 3 5" xfId="8550"/>
    <cellStyle name="Calculation 3 2 3 5 2" xfId="8551"/>
    <cellStyle name="Calculation 3 2 3 5 2 2" xfId="8552"/>
    <cellStyle name="Calculation 3 2 3 5 2 3" xfId="8553"/>
    <cellStyle name="Calculation 3 2 3 5 2 4" xfId="8554"/>
    <cellStyle name="Calculation 3 2 3 5 3" xfId="8555"/>
    <cellStyle name="Calculation 3 2 3 5 3 2" xfId="8556"/>
    <cellStyle name="Calculation 3 2 3 5 3 3" xfId="8557"/>
    <cellStyle name="Calculation 3 2 3 5 3 4" xfId="8558"/>
    <cellStyle name="Calculation 3 2 3 5 4" xfId="8559"/>
    <cellStyle name="Calculation 3 2 3 5 4 2" xfId="8560"/>
    <cellStyle name="Calculation 3 2 3 5 4 3" xfId="8561"/>
    <cellStyle name="Calculation 3 2 3 5 4 4" xfId="8562"/>
    <cellStyle name="Calculation 3 2 3 5 5" xfId="8563"/>
    <cellStyle name="Calculation 3 2 3 5 6" xfId="8564"/>
    <cellStyle name="Calculation 3 2 3 5 7" xfId="8565"/>
    <cellStyle name="Calculation 3 2 3 6" xfId="8566"/>
    <cellStyle name="Calculation 3 2 3 6 2" xfId="8567"/>
    <cellStyle name="Calculation 3 2 3 6 2 2" xfId="8568"/>
    <cellStyle name="Calculation 3 2 3 6 2 3" xfId="8569"/>
    <cellStyle name="Calculation 3 2 3 6 2 4" xfId="8570"/>
    <cellStyle name="Calculation 3 2 3 6 3" xfId="8571"/>
    <cellStyle name="Calculation 3 2 3 6 3 2" xfId="8572"/>
    <cellStyle name="Calculation 3 2 3 6 3 3" xfId="8573"/>
    <cellStyle name="Calculation 3 2 3 6 3 4" xfId="8574"/>
    <cellStyle name="Calculation 3 2 3 6 4" xfId="8575"/>
    <cellStyle name="Calculation 3 2 3 6 4 2" xfId="8576"/>
    <cellStyle name="Calculation 3 2 3 6 4 3" xfId="8577"/>
    <cellStyle name="Calculation 3 2 3 6 4 4" xfId="8578"/>
    <cellStyle name="Calculation 3 2 3 6 5" xfId="8579"/>
    <cellStyle name="Calculation 3 2 3 6 6" xfId="8580"/>
    <cellStyle name="Calculation 3 2 3 6 7" xfId="8581"/>
    <cellStyle name="Calculation 3 2 3 7" xfId="8582"/>
    <cellStyle name="Calculation 3 2 3 7 2" xfId="8583"/>
    <cellStyle name="Calculation 3 2 3 7 3" xfId="8584"/>
    <cellStyle name="Calculation 3 2 3 7 4" xfId="8585"/>
    <cellStyle name="Calculation 3 2 3 8" xfId="8586"/>
    <cellStyle name="Calculation 3 2 3 8 2" xfId="8587"/>
    <cellStyle name="Calculation 3 2 3 8 3" xfId="8588"/>
    <cellStyle name="Calculation 3 2 3 8 4" xfId="8589"/>
    <cellStyle name="Calculation 3 2 3 9" xfId="8590"/>
    <cellStyle name="Calculation 3 2 3 9 2" xfId="8591"/>
    <cellStyle name="Calculation 3 2 3 9 3" xfId="8592"/>
    <cellStyle name="Calculation 3 2 3 9 4" xfId="8593"/>
    <cellStyle name="Calculation 3 2 4" xfId="933"/>
    <cellStyle name="Calculation 3 2 4 10" xfId="8594"/>
    <cellStyle name="Calculation 3 2 4 11" xfId="8595"/>
    <cellStyle name="Calculation 3 2 4 12" xfId="8596"/>
    <cellStyle name="Calculation 3 2 4 2" xfId="8597"/>
    <cellStyle name="Calculation 3 2 4 2 2" xfId="8598"/>
    <cellStyle name="Calculation 3 2 4 2 2 2" xfId="8599"/>
    <cellStyle name="Calculation 3 2 4 2 2 3" xfId="8600"/>
    <cellStyle name="Calculation 3 2 4 2 2 4" xfId="8601"/>
    <cellStyle name="Calculation 3 2 4 2 3" xfId="8602"/>
    <cellStyle name="Calculation 3 2 4 2 3 2" xfId="8603"/>
    <cellStyle name="Calculation 3 2 4 2 3 3" xfId="8604"/>
    <cellStyle name="Calculation 3 2 4 2 3 4" xfId="8605"/>
    <cellStyle name="Calculation 3 2 4 2 4" xfId="8606"/>
    <cellStyle name="Calculation 3 2 4 2 4 2" xfId="8607"/>
    <cellStyle name="Calculation 3 2 4 2 4 3" xfId="8608"/>
    <cellStyle name="Calculation 3 2 4 2 4 4" xfId="8609"/>
    <cellStyle name="Calculation 3 2 4 2 5" xfId="8610"/>
    <cellStyle name="Calculation 3 2 4 2 6" xfId="8611"/>
    <cellStyle name="Calculation 3 2 4 2 7" xfId="8612"/>
    <cellStyle name="Calculation 3 2 4 3" xfId="8613"/>
    <cellStyle name="Calculation 3 2 4 3 2" xfId="8614"/>
    <cellStyle name="Calculation 3 2 4 3 2 2" xfId="8615"/>
    <cellStyle name="Calculation 3 2 4 3 2 3" xfId="8616"/>
    <cellStyle name="Calculation 3 2 4 3 2 4" xfId="8617"/>
    <cellStyle name="Calculation 3 2 4 3 3" xfId="8618"/>
    <cellStyle name="Calculation 3 2 4 3 3 2" xfId="8619"/>
    <cellStyle name="Calculation 3 2 4 3 3 3" xfId="8620"/>
    <cellStyle name="Calculation 3 2 4 3 3 4" xfId="8621"/>
    <cellStyle name="Calculation 3 2 4 3 4" xfId="8622"/>
    <cellStyle name="Calculation 3 2 4 3 4 2" xfId="8623"/>
    <cellStyle name="Calculation 3 2 4 3 4 3" xfId="8624"/>
    <cellStyle name="Calculation 3 2 4 3 4 4" xfId="8625"/>
    <cellStyle name="Calculation 3 2 4 3 5" xfId="8626"/>
    <cellStyle name="Calculation 3 2 4 3 6" xfId="8627"/>
    <cellStyle name="Calculation 3 2 4 3 7" xfId="8628"/>
    <cellStyle name="Calculation 3 2 4 4" xfId="8629"/>
    <cellStyle name="Calculation 3 2 4 4 2" xfId="8630"/>
    <cellStyle name="Calculation 3 2 4 4 2 2" xfId="8631"/>
    <cellStyle name="Calculation 3 2 4 4 2 3" xfId="8632"/>
    <cellStyle name="Calculation 3 2 4 4 2 4" xfId="8633"/>
    <cellStyle name="Calculation 3 2 4 4 3" xfId="8634"/>
    <cellStyle name="Calculation 3 2 4 4 3 2" xfId="8635"/>
    <cellStyle name="Calculation 3 2 4 4 3 3" xfId="8636"/>
    <cellStyle name="Calculation 3 2 4 4 3 4" xfId="8637"/>
    <cellStyle name="Calculation 3 2 4 4 4" xfId="8638"/>
    <cellStyle name="Calculation 3 2 4 4 4 2" xfId="8639"/>
    <cellStyle name="Calculation 3 2 4 4 4 3" xfId="8640"/>
    <cellStyle name="Calculation 3 2 4 4 4 4" xfId="8641"/>
    <cellStyle name="Calculation 3 2 4 4 5" xfId="8642"/>
    <cellStyle name="Calculation 3 2 4 4 6" xfId="8643"/>
    <cellStyle name="Calculation 3 2 4 4 7" xfId="8644"/>
    <cellStyle name="Calculation 3 2 4 5" xfId="8645"/>
    <cellStyle name="Calculation 3 2 4 5 2" xfId="8646"/>
    <cellStyle name="Calculation 3 2 4 5 2 2" xfId="8647"/>
    <cellStyle name="Calculation 3 2 4 5 2 3" xfId="8648"/>
    <cellStyle name="Calculation 3 2 4 5 2 4" xfId="8649"/>
    <cellStyle name="Calculation 3 2 4 5 3" xfId="8650"/>
    <cellStyle name="Calculation 3 2 4 5 3 2" xfId="8651"/>
    <cellStyle name="Calculation 3 2 4 5 3 3" xfId="8652"/>
    <cellStyle name="Calculation 3 2 4 5 3 4" xfId="8653"/>
    <cellStyle name="Calculation 3 2 4 5 4" xfId="8654"/>
    <cellStyle name="Calculation 3 2 4 5 4 2" xfId="8655"/>
    <cellStyle name="Calculation 3 2 4 5 4 3" xfId="8656"/>
    <cellStyle name="Calculation 3 2 4 5 4 4" xfId="8657"/>
    <cellStyle name="Calculation 3 2 4 5 5" xfId="8658"/>
    <cellStyle name="Calculation 3 2 4 5 6" xfId="8659"/>
    <cellStyle name="Calculation 3 2 4 5 7" xfId="8660"/>
    <cellStyle name="Calculation 3 2 4 6" xfId="8661"/>
    <cellStyle name="Calculation 3 2 4 6 2" xfId="8662"/>
    <cellStyle name="Calculation 3 2 4 6 2 2" xfId="8663"/>
    <cellStyle name="Calculation 3 2 4 6 2 3" xfId="8664"/>
    <cellStyle name="Calculation 3 2 4 6 2 4" xfId="8665"/>
    <cellStyle name="Calculation 3 2 4 6 3" xfId="8666"/>
    <cellStyle name="Calculation 3 2 4 6 3 2" xfId="8667"/>
    <cellStyle name="Calculation 3 2 4 6 3 3" xfId="8668"/>
    <cellStyle name="Calculation 3 2 4 6 3 4" xfId="8669"/>
    <cellStyle name="Calculation 3 2 4 6 4" xfId="8670"/>
    <cellStyle name="Calculation 3 2 4 6 4 2" xfId="8671"/>
    <cellStyle name="Calculation 3 2 4 6 4 3" xfId="8672"/>
    <cellStyle name="Calculation 3 2 4 6 4 4" xfId="8673"/>
    <cellStyle name="Calculation 3 2 4 6 5" xfId="8674"/>
    <cellStyle name="Calculation 3 2 4 6 6" xfId="8675"/>
    <cellStyle name="Calculation 3 2 4 6 7" xfId="8676"/>
    <cellStyle name="Calculation 3 2 4 7" xfId="8677"/>
    <cellStyle name="Calculation 3 2 4 7 2" xfId="8678"/>
    <cellStyle name="Calculation 3 2 4 7 3" xfId="8679"/>
    <cellStyle name="Calculation 3 2 4 7 4" xfId="8680"/>
    <cellStyle name="Calculation 3 2 4 8" xfId="8681"/>
    <cellStyle name="Calculation 3 2 4 8 2" xfId="8682"/>
    <cellStyle name="Calculation 3 2 4 8 3" xfId="8683"/>
    <cellStyle name="Calculation 3 2 4 8 4" xfId="8684"/>
    <cellStyle name="Calculation 3 2 4 9" xfId="8685"/>
    <cellStyle name="Calculation 3 2 4 9 2" xfId="8686"/>
    <cellStyle name="Calculation 3 2 4 9 3" xfId="8687"/>
    <cellStyle name="Calculation 3 2 4 9 4" xfId="8688"/>
    <cellStyle name="Calculation 3 2 5" xfId="921"/>
    <cellStyle name="Calculation 3 2 5 10" xfId="8689"/>
    <cellStyle name="Calculation 3 2 5 11" xfId="8690"/>
    <cellStyle name="Calculation 3 2 5 12" xfId="8691"/>
    <cellStyle name="Calculation 3 2 5 2" xfId="8692"/>
    <cellStyle name="Calculation 3 2 5 2 2" xfId="8693"/>
    <cellStyle name="Calculation 3 2 5 2 2 2" xfId="8694"/>
    <cellStyle name="Calculation 3 2 5 2 2 3" xfId="8695"/>
    <cellStyle name="Calculation 3 2 5 2 2 4" xfId="8696"/>
    <cellStyle name="Calculation 3 2 5 2 3" xfId="8697"/>
    <cellStyle name="Calculation 3 2 5 2 3 2" xfId="8698"/>
    <cellStyle name="Calculation 3 2 5 2 3 3" xfId="8699"/>
    <cellStyle name="Calculation 3 2 5 2 3 4" xfId="8700"/>
    <cellStyle name="Calculation 3 2 5 2 4" xfId="8701"/>
    <cellStyle name="Calculation 3 2 5 2 4 2" xfId="8702"/>
    <cellStyle name="Calculation 3 2 5 2 4 3" xfId="8703"/>
    <cellStyle name="Calculation 3 2 5 2 4 4" xfId="8704"/>
    <cellStyle name="Calculation 3 2 5 2 5" xfId="8705"/>
    <cellStyle name="Calculation 3 2 5 2 6" xfId="8706"/>
    <cellStyle name="Calculation 3 2 5 2 7" xfId="8707"/>
    <cellStyle name="Calculation 3 2 5 3" xfId="8708"/>
    <cellStyle name="Calculation 3 2 5 3 2" xfId="8709"/>
    <cellStyle name="Calculation 3 2 5 3 2 2" xfId="8710"/>
    <cellStyle name="Calculation 3 2 5 3 2 3" xfId="8711"/>
    <cellStyle name="Calculation 3 2 5 3 2 4" xfId="8712"/>
    <cellStyle name="Calculation 3 2 5 3 3" xfId="8713"/>
    <cellStyle name="Calculation 3 2 5 3 3 2" xfId="8714"/>
    <cellStyle name="Calculation 3 2 5 3 3 3" xfId="8715"/>
    <cellStyle name="Calculation 3 2 5 3 3 4" xfId="8716"/>
    <cellStyle name="Calculation 3 2 5 3 4" xfId="8717"/>
    <cellStyle name="Calculation 3 2 5 3 4 2" xfId="8718"/>
    <cellStyle name="Calculation 3 2 5 3 4 3" xfId="8719"/>
    <cellStyle name="Calculation 3 2 5 3 4 4" xfId="8720"/>
    <cellStyle name="Calculation 3 2 5 3 5" xfId="8721"/>
    <cellStyle name="Calculation 3 2 5 3 6" xfId="8722"/>
    <cellStyle name="Calculation 3 2 5 3 7" xfId="8723"/>
    <cellStyle name="Calculation 3 2 5 4" xfId="8724"/>
    <cellStyle name="Calculation 3 2 5 4 2" xfId="8725"/>
    <cellStyle name="Calculation 3 2 5 4 2 2" xfId="8726"/>
    <cellStyle name="Calculation 3 2 5 4 2 3" xfId="8727"/>
    <cellStyle name="Calculation 3 2 5 4 2 4" xfId="8728"/>
    <cellStyle name="Calculation 3 2 5 4 3" xfId="8729"/>
    <cellStyle name="Calculation 3 2 5 4 3 2" xfId="8730"/>
    <cellStyle name="Calculation 3 2 5 4 3 3" xfId="8731"/>
    <cellStyle name="Calculation 3 2 5 4 3 4" xfId="8732"/>
    <cellStyle name="Calculation 3 2 5 4 4" xfId="8733"/>
    <cellStyle name="Calculation 3 2 5 4 4 2" xfId="8734"/>
    <cellStyle name="Calculation 3 2 5 4 4 3" xfId="8735"/>
    <cellStyle name="Calculation 3 2 5 4 4 4" xfId="8736"/>
    <cellStyle name="Calculation 3 2 5 4 5" xfId="8737"/>
    <cellStyle name="Calculation 3 2 5 4 6" xfId="8738"/>
    <cellStyle name="Calculation 3 2 5 4 7" xfId="8739"/>
    <cellStyle name="Calculation 3 2 5 5" xfId="8740"/>
    <cellStyle name="Calculation 3 2 5 5 2" xfId="8741"/>
    <cellStyle name="Calculation 3 2 5 5 2 2" xfId="8742"/>
    <cellStyle name="Calculation 3 2 5 5 2 3" xfId="8743"/>
    <cellStyle name="Calculation 3 2 5 5 2 4" xfId="8744"/>
    <cellStyle name="Calculation 3 2 5 5 3" xfId="8745"/>
    <cellStyle name="Calculation 3 2 5 5 3 2" xfId="8746"/>
    <cellStyle name="Calculation 3 2 5 5 3 3" xfId="8747"/>
    <cellStyle name="Calculation 3 2 5 5 3 4" xfId="8748"/>
    <cellStyle name="Calculation 3 2 5 5 4" xfId="8749"/>
    <cellStyle name="Calculation 3 2 5 5 4 2" xfId="8750"/>
    <cellStyle name="Calculation 3 2 5 5 4 3" xfId="8751"/>
    <cellStyle name="Calculation 3 2 5 5 4 4" xfId="8752"/>
    <cellStyle name="Calculation 3 2 5 5 5" xfId="8753"/>
    <cellStyle name="Calculation 3 2 5 5 6" xfId="8754"/>
    <cellStyle name="Calculation 3 2 5 5 7" xfId="8755"/>
    <cellStyle name="Calculation 3 2 5 6" xfId="8756"/>
    <cellStyle name="Calculation 3 2 5 6 2" xfId="8757"/>
    <cellStyle name="Calculation 3 2 5 6 2 2" xfId="8758"/>
    <cellStyle name="Calculation 3 2 5 6 2 3" xfId="8759"/>
    <cellStyle name="Calculation 3 2 5 6 2 4" xfId="8760"/>
    <cellStyle name="Calculation 3 2 5 6 3" xfId="8761"/>
    <cellStyle name="Calculation 3 2 5 6 3 2" xfId="8762"/>
    <cellStyle name="Calculation 3 2 5 6 3 3" xfId="8763"/>
    <cellStyle name="Calculation 3 2 5 6 3 4" xfId="8764"/>
    <cellStyle name="Calculation 3 2 5 6 4" xfId="8765"/>
    <cellStyle name="Calculation 3 2 5 6 4 2" xfId="8766"/>
    <cellStyle name="Calculation 3 2 5 6 4 3" xfId="8767"/>
    <cellStyle name="Calculation 3 2 5 6 4 4" xfId="8768"/>
    <cellStyle name="Calculation 3 2 5 6 5" xfId="8769"/>
    <cellStyle name="Calculation 3 2 5 6 6" xfId="8770"/>
    <cellStyle name="Calculation 3 2 5 6 7" xfId="8771"/>
    <cellStyle name="Calculation 3 2 5 7" xfId="8772"/>
    <cellStyle name="Calculation 3 2 5 7 2" xfId="8773"/>
    <cellStyle name="Calculation 3 2 5 7 3" xfId="8774"/>
    <cellStyle name="Calculation 3 2 5 7 4" xfId="8775"/>
    <cellStyle name="Calculation 3 2 5 8" xfId="8776"/>
    <cellStyle name="Calculation 3 2 5 8 2" xfId="8777"/>
    <cellStyle name="Calculation 3 2 5 8 3" xfId="8778"/>
    <cellStyle name="Calculation 3 2 5 8 4" xfId="8779"/>
    <cellStyle name="Calculation 3 2 5 9" xfId="8780"/>
    <cellStyle name="Calculation 3 2 5 9 2" xfId="8781"/>
    <cellStyle name="Calculation 3 2 5 9 3" xfId="8782"/>
    <cellStyle name="Calculation 3 2 5 9 4" xfId="8783"/>
    <cellStyle name="Calculation 3 2 6" xfId="8784"/>
    <cellStyle name="Calculation 3 2 6 2" xfId="8785"/>
    <cellStyle name="Calculation 3 2 6 2 2" xfId="8786"/>
    <cellStyle name="Calculation 3 2 6 2 3" xfId="8787"/>
    <cellStyle name="Calculation 3 2 6 2 4" xfId="8788"/>
    <cellStyle name="Calculation 3 2 6 3" xfId="8789"/>
    <cellStyle name="Calculation 3 2 6 3 2" xfId="8790"/>
    <cellStyle name="Calculation 3 2 6 3 3" xfId="8791"/>
    <cellStyle name="Calculation 3 2 6 3 4" xfId="8792"/>
    <cellStyle name="Calculation 3 2 6 4" xfId="8793"/>
    <cellStyle name="Calculation 3 2 6 4 2" xfId="8794"/>
    <cellStyle name="Calculation 3 2 6 4 3" xfId="8795"/>
    <cellStyle name="Calculation 3 2 6 4 4" xfId="8796"/>
    <cellStyle name="Calculation 3 2 6 5" xfId="8797"/>
    <cellStyle name="Calculation 3 2 6 6" xfId="8798"/>
    <cellStyle name="Calculation 3 2 6 7" xfId="8799"/>
    <cellStyle name="Calculation 3 2 7" xfId="8800"/>
    <cellStyle name="Calculation 3 2 7 2" xfId="8801"/>
    <cellStyle name="Calculation 3 2 7 2 2" xfId="8802"/>
    <cellStyle name="Calculation 3 2 7 2 3" xfId="8803"/>
    <cellStyle name="Calculation 3 2 7 2 4" xfId="8804"/>
    <cellStyle name="Calculation 3 2 7 3" xfId="8805"/>
    <cellStyle name="Calculation 3 2 7 3 2" xfId="8806"/>
    <cellStyle name="Calculation 3 2 7 3 3" xfId="8807"/>
    <cellStyle name="Calculation 3 2 7 3 4" xfId="8808"/>
    <cellStyle name="Calculation 3 2 7 4" xfId="8809"/>
    <cellStyle name="Calculation 3 2 7 4 2" xfId="8810"/>
    <cellStyle name="Calculation 3 2 7 4 3" xfId="8811"/>
    <cellStyle name="Calculation 3 2 7 4 4" xfId="8812"/>
    <cellStyle name="Calculation 3 2 7 5" xfId="8813"/>
    <cellStyle name="Calculation 3 2 7 6" xfId="8814"/>
    <cellStyle name="Calculation 3 2 7 7" xfId="8815"/>
    <cellStyle name="Calculation 3 2 8" xfId="8816"/>
    <cellStyle name="Calculation 3 2 8 2" xfId="8817"/>
    <cellStyle name="Calculation 3 2 8 2 2" xfId="8818"/>
    <cellStyle name="Calculation 3 2 8 2 3" xfId="8819"/>
    <cellStyle name="Calculation 3 2 8 2 4" xfId="8820"/>
    <cellStyle name="Calculation 3 2 8 3" xfId="8821"/>
    <cellStyle name="Calculation 3 2 8 3 2" xfId="8822"/>
    <cellStyle name="Calculation 3 2 8 3 3" xfId="8823"/>
    <cellStyle name="Calculation 3 2 8 3 4" xfId="8824"/>
    <cellStyle name="Calculation 3 2 8 4" xfId="8825"/>
    <cellStyle name="Calculation 3 2 8 4 2" xfId="8826"/>
    <cellStyle name="Calculation 3 2 8 4 3" xfId="8827"/>
    <cellStyle name="Calculation 3 2 8 4 4" xfId="8828"/>
    <cellStyle name="Calculation 3 2 8 5" xfId="8829"/>
    <cellStyle name="Calculation 3 2 8 6" xfId="8830"/>
    <cellStyle name="Calculation 3 2 8 7" xfId="8831"/>
    <cellStyle name="Calculation 3 2 9" xfId="8832"/>
    <cellStyle name="Calculation 3 2 9 2" xfId="8833"/>
    <cellStyle name="Calculation 3 2 9 2 2" xfId="8834"/>
    <cellStyle name="Calculation 3 2 9 2 3" xfId="8835"/>
    <cellStyle name="Calculation 3 2 9 2 4" xfId="8836"/>
    <cellStyle name="Calculation 3 2 9 3" xfId="8837"/>
    <cellStyle name="Calculation 3 2 9 3 2" xfId="8838"/>
    <cellStyle name="Calculation 3 2 9 3 3" xfId="8839"/>
    <cellStyle name="Calculation 3 2 9 3 4" xfId="8840"/>
    <cellStyle name="Calculation 3 2 9 4" xfId="8841"/>
    <cellStyle name="Calculation 3 2 9 4 2" xfId="8842"/>
    <cellStyle name="Calculation 3 2 9 4 3" xfId="8843"/>
    <cellStyle name="Calculation 3 2 9 4 4" xfId="8844"/>
    <cellStyle name="Calculation 3 2 9 5" xfId="8845"/>
    <cellStyle name="Calculation 3 2 9 6" xfId="8846"/>
    <cellStyle name="Calculation 3 2 9 7" xfId="8847"/>
    <cellStyle name="Calculation 3 3" xfId="398"/>
    <cellStyle name="Calculation 3 3 10" xfId="8848"/>
    <cellStyle name="Calculation 3 3 11" xfId="8849"/>
    <cellStyle name="Calculation 3 3 12" xfId="8850"/>
    <cellStyle name="Calculation 3 3 2" xfId="822"/>
    <cellStyle name="Calculation 3 3 2 2" xfId="8851"/>
    <cellStyle name="Calculation 3 3 2 2 2" xfId="8852"/>
    <cellStyle name="Calculation 3 3 2 2 3" xfId="8853"/>
    <cellStyle name="Calculation 3 3 2 2 4" xfId="8854"/>
    <cellStyle name="Calculation 3 3 2 3" xfId="8855"/>
    <cellStyle name="Calculation 3 3 2 3 2" xfId="8856"/>
    <cellStyle name="Calculation 3 3 2 3 3" xfId="8857"/>
    <cellStyle name="Calculation 3 3 2 3 4" xfId="8858"/>
    <cellStyle name="Calculation 3 3 2 4" xfId="8859"/>
    <cellStyle name="Calculation 3 3 2 4 2" xfId="8860"/>
    <cellStyle name="Calculation 3 3 2 4 3" xfId="8861"/>
    <cellStyle name="Calculation 3 3 2 4 4" xfId="8862"/>
    <cellStyle name="Calculation 3 3 2 5" xfId="8863"/>
    <cellStyle name="Calculation 3 3 2 6" xfId="8864"/>
    <cellStyle name="Calculation 3 3 2 7" xfId="8865"/>
    <cellStyle name="Calculation 3 3 3" xfId="745"/>
    <cellStyle name="Calculation 3 3 3 2" xfId="8866"/>
    <cellStyle name="Calculation 3 3 3 2 2" xfId="8867"/>
    <cellStyle name="Calculation 3 3 3 2 3" xfId="8868"/>
    <cellStyle name="Calculation 3 3 3 2 4" xfId="8869"/>
    <cellStyle name="Calculation 3 3 3 3" xfId="8870"/>
    <cellStyle name="Calculation 3 3 3 3 2" xfId="8871"/>
    <cellStyle name="Calculation 3 3 3 3 3" xfId="8872"/>
    <cellStyle name="Calculation 3 3 3 3 4" xfId="8873"/>
    <cellStyle name="Calculation 3 3 3 4" xfId="8874"/>
    <cellStyle name="Calculation 3 3 3 4 2" xfId="8875"/>
    <cellStyle name="Calculation 3 3 3 4 3" xfId="8876"/>
    <cellStyle name="Calculation 3 3 3 4 4" xfId="8877"/>
    <cellStyle name="Calculation 3 3 3 5" xfId="8878"/>
    <cellStyle name="Calculation 3 3 3 6" xfId="8879"/>
    <cellStyle name="Calculation 3 3 3 7" xfId="8880"/>
    <cellStyle name="Calculation 3 3 4" xfId="751"/>
    <cellStyle name="Calculation 3 3 4 2" xfId="8881"/>
    <cellStyle name="Calculation 3 3 4 2 2" xfId="8882"/>
    <cellStyle name="Calculation 3 3 4 2 3" xfId="8883"/>
    <cellStyle name="Calculation 3 3 4 2 4" xfId="8884"/>
    <cellStyle name="Calculation 3 3 4 3" xfId="8885"/>
    <cellStyle name="Calculation 3 3 4 3 2" xfId="8886"/>
    <cellStyle name="Calculation 3 3 4 3 3" xfId="8887"/>
    <cellStyle name="Calculation 3 3 4 3 4" xfId="8888"/>
    <cellStyle name="Calculation 3 3 4 4" xfId="8889"/>
    <cellStyle name="Calculation 3 3 4 4 2" xfId="8890"/>
    <cellStyle name="Calculation 3 3 4 4 3" xfId="8891"/>
    <cellStyle name="Calculation 3 3 4 4 4" xfId="8892"/>
    <cellStyle name="Calculation 3 3 4 5" xfId="8893"/>
    <cellStyle name="Calculation 3 3 4 6" xfId="8894"/>
    <cellStyle name="Calculation 3 3 4 7" xfId="8895"/>
    <cellStyle name="Calculation 3 3 5" xfId="8896"/>
    <cellStyle name="Calculation 3 3 5 2" xfId="8897"/>
    <cellStyle name="Calculation 3 3 5 2 2" xfId="8898"/>
    <cellStyle name="Calculation 3 3 5 2 3" xfId="8899"/>
    <cellStyle name="Calculation 3 3 5 2 4" xfId="8900"/>
    <cellStyle name="Calculation 3 3 5 3" xfId="8901"/>
    <cellStyle name="Calculation 3 3 5 3 2" xfId="8902"/>
    <cellStyle name="Calculation 3 3 5 3 3" xfId="8903"/>
    <cellStyle name="Calculation 3 3 5 3 4" xfId="8904"/>
    <cellStyle name="Calculation 3 3 5 4" xfId="8905"/>
    <cellStyle name="Calculation 3 3 5 4 2" xfId="8906"/>
    <cellStyle name="Calculation 3 3 5 4 3" xfId="8907"/>
    <cellStyle name="Calculation 3 3 5 4 4" xfId="8908"/>
    <cellStyle name="Calculation 3 3 5 5" xfId="8909"/>
    <cellStyle name="Calculation 3 3 5 6" xfId="8910"/>
    <cellStyle name="Calculation 3 3 5 7" xfId="8911"/>
    <cellStyle name="Calculation 3 3 6" xfId="8912"/>
    <cellStyle name="Calculation 3 3 6 2" xfId="8913"/>
    <cellStyle name="Calculation 3 3 6 2 2" xfId="8914"/>
    <cellStyle name="Calculation 3 3 6 2 3" xfId="8915"/>
    <cellStyle name="Calculation 3 3 6 2 4" xfId="8916"/>
    <cellStyle name="Calculation 3 3 6 3" xfId="8917"/>
    <cellStyle name="Calculation 3 3 6 3 2" xfId="8918"/>
    <cellStyle name="Calculation 3 3 6 3 3" xfId="8919"/>
    <cellStyle name="Calculation 3 3 6 3 4" xfId="8920"/>
    <cellStyle name="Calculation 3 3 6 4" xfId="8921"/>
    <cellStyle name="Calculation 3 3 6 4 2" xfId="8922"/>
    <cellStyle name="Calculation 3 3 6 4 3" xfId="8923"/>
    <cellStyle name="Calculation 3 3 6 4 4" xfId="8924"/>
    <cellStyle name="Calculation 3 3 6 5" xfId="8925"/>
    <cellStyle name="Calculation 3 3 6 6" xfId="8926"/>
    <cellStyle name="Calculation 3 3 6 7" xfId="8927"/>
    <cellStyle name="Calculation 3 3 7" xfId="8928"/>
    <cellStyle name="Calculation 3 3 7 2" xfId="8929"/>
    <cellStyle name="Calculation 3 3 7 3" xfId="8930"/>
    <cellStyle name="Calculation 3 3 7 4" xfId="8931"/>
    <cellStyle name="Calculation 3 3 8" xfId="8932"/>
    <cellStyle name="Calculation 3 3 8 2" xfId="8933"/>
    <cellStyle name="Calculation 3 3 8 3" xfId="8934"/>
    <cellStyle name="Calculation 3 3 8 4" xfId="8935"/>
    <cellStyle name="Calculation 3 3 9" xfId="8936"/>
    <cellStyle name="Calculation 3 3 9 2" xfId="8937"/>
    <cellStyle name="Calculation 3 3 9 3" xfId="8938"/>
    <cellStyle name="Calculation 3 3 9 4" xfId="8939"/>
    <cellStyle name="Calculation 3 4" xfId="1049"/>
    <cellStyle name="Calculation 3 5" xfId="3214"/>
    <cellStyle name="Calculation 3 6" xfId="1029"/>
    <cellStyle name="Calculation 3 7" xfId="3249"/>
    <cellStyle name="Calculation 3 8" xfId="3287"/>
    <cellStyle name="Calculation 4" xfId="66"/>
    <cellStyle name="Calculation 4 2" xfId="399"/>
    <cellStyle name="Calculation 4 2 10" xfId="8940"/>
    <cellStyle name="Calculation 4 2 10 2" xfId="8941"/>
    <cellStyle name="Calculation 4 2 10 2 2" xfId="8942"/>
    <cellStyle name="Calculation 4 2 10 2 3" xfId="8943"/>
    <cellStyle name="Calculation 4 2 10 2 4" xfId="8944"/>
    <cellStyle name="Calculation 4 2 10 3" xfId="8945"/>
    <cellStyle name="Calculation 4 2 10 3 2" xfId="8946"/>
    <cellStyle name="Calculation 4 2 10 3 3" xfId="8947"/>
    <cellStyle name="Calculation 4 2 10 3 4" xfId="8948"/>
    <cellStyle name="Calculation 4 2 10 4" xfId="8949"/>
    <cellStyle name="Calculation 4 2 10 4 2" xfId="8950"/>
    <cellStyle name="Calculation 4 2 10 4 3" xfId="8951"/>
    <cellStyle name="Calculation 4 2 10 4 4" xfId="8952"/>
    <cellStyle name="Calculation 4 2 10 5" xfId="8953"/>
    <cellStyle name="Calculation 4 2 10 6" xfId="8954"/>
    <cellStyle name="Calculation 4 2 10 7" xfId="8955"/>
    <cellStyle name="Calculation 4 2 11" xfId="8956"/>
    <cellStyle name="Calculation 4 2 11 2" xfId="8957"/>
    <cellStyle name="Calculation 4 2 11 2 2" xfId="8958"/>
    <cellStyle name="Calculation 4 2 11 2 3" xfId="8959"/>
    <cellStyle name="Calculation 4 2 11 2 4" xfId="8960"/>
    <cellStyle name="Calculation 4 2 11 3" xfId="8961"/>
    <cellStyle name="Calculation 4 2 11 3 2" xfId="8962"/>
    <cellStyle name="Calculation 4 2 11 3 3" xfId="8963"/>
    <cellStyle name="Calculation 4 2 11 3 4" xfId="8964"/>
    <cellStyle name="Calculation 4 2 11 4" xfId="8965"/>
    <cellStyle name="Calculation 4 2 11 4 2" xfId="8966"/>
    <cellStyle name="Calculation 4 2 11 4 3" xfId="8967"/>
    <cellStyle name="Calculation 4 2 11 4 4" xfId="8968"/>
    <cellStyle name="Calculation 4 2 11 5" xfId="8969"/>
    <cellStyle name="Calculation 4 2 11 6" xfId="8970"/>
    <cellStyle name="Calculation 4 2 11 7" xfId="8971"/>
    <cellStyle name="Calculation 4 2 12" xfId="8972"/>
    <cellStyle name="Calculation 4 2 12 2" xfId="8973"/>
    <cellStyle name="Calculation 4 2 12 2 2" xfId="8974"/>
    <cellStyle name="Calculation 4 2 12 2 3" xfId="8975"/>
    <cellStyle name="Calculation 4 2 12 2 4" xfId="8976"/>
    <cellStyle name="Calculation 4 2 12 3" xfId="8977"/>
    <cellStyle name="Calculation 4 2 12 3 2" xfId="8978"/>
    <cellStyle name="Calculation 4 2 12 3 3" xfId="8979"/>
    <cellStyle name="Calculation 4 2 12 3 4" xfId="8980"/>
    <cellStyle name="Calculation 4 2 12 4" xfId="8981"/>
    <cellStyle name="Calculation 4 2 12 4 2" xfId="8982"/>
    <cellStyle name="Calculation 4 2 12 4 3" xfId="8983"/>
    <cellStyle name="Calculation 4 2 12 4 4" xfId="8984"/>
    <cellStyle name="Calculation 4 2 12 5" xfId="8985"/>
    <cellStyle name="Calculation 4 2 12 6" xfId="8986"/>
    <cellStyle name="Calculation 4 2 12 7" xfId="8987"/>
    <cellStyle name="Calculation 4 2 13" xfId="8988"/>
    <cellStyle name="Calculation 4 2 13 2" xfId="8989"/>
    <cellStyle name="Calculation 4 2 13 2 2" xfId="8990"/>
    <cellStyle name="Calculation 4 2 13 2 3" xfId="8991"/>
    <cellStyle name="Calculation 4 2 13 2 4" xfId="8992"/>
    <cellStyle name="Calculation 4 2 13 3" xfId="8993"/>
    <cellStyle name="Calculation 4 2 13 3 2" xfId="8994"/>
    <cellStyle name="Calculation 4 2 13 3 3" xfId="8995"/>
    <cellStyle name="Calculation 4 2 13 3 4" xfId="8996"/>
    <cellStyle name="Calculation 4 2 13 4" xfId="8997"/>
    <cellStyle name="Calculation 4 2 13 4 2" xfId="8998"/>
    <cellStyle name="Calculation 4 2 13 4 3" xfId="8999"/>
    <cellStyle name="Calculation 4 2 13 4 4" xfId="9000"/>
    <cellStyle name="Calculation 4 2 13 5" xfId="9001"/>
    <cellStyle name="Calculation 4 2 13 6" xfId="9002"/>
    <cellStyle name="Calculation 4 2 13 7" xfId="9003"/>
    <cellStyle name="Calculation 4 2 14" xfId="9004"/>
    <cellStyle name="Calculation 4 2 14 2" xfId="9005"/>
    <cellStyle name="Calculation 4 2 14 3" xfId="9006"/>
    <cellStyle name="Calculation 4 2 14 4" xfId="9007"/>
    <cellStyle name="Calculation 4 2 15" xfId="9008"/>
    <cellStyle name="Calculation 4 2 15 2" xfId="9009"/>
    <cellStyle name="Calculation 4 2 15 3" xfId="9010"/>
    <cellStyle name="Calculation 4 2 15 4" xfId="9011"/>
    <cellStyle name="Calculation 4 2 16" xfId="9012"/>
    <cellStyle name="Calculation 4 2 16 2" xfId="9013"/>
    <cellStyle name="Calculation 4 2 16 3" xfId="9014"/>
    <cellStyle name="Calculation 4 2 16 4" xfId="9015"/>
    <cellStyle name="Calculation 4 2 17" xfId="9016"/>
    <cellStyle name="Calculation 4 2 18" xfId="9017"/>
    <cellStyle name="Calculation 4 2 19" xfId="9018"/>
    <cellStyle name="Calculation 4 2 2" xfId="823"/>
    <cellStyle name="Calculation 4 2 2 10" xfId="9019"/>
    <cellStyle name="Calculation 4 2 2 11" xfId="9020"/>
    <cellStyle name="Calculation 4 2 2 12" xfId="9021"/>
    <cellStyle name="Calculation 4 2 2 2" xfId="9022"/>
    <cellStyle name="Calculation 4 2 2 2 2" xfId="9023"/>
    <cellStyle name="Calculation 4 2 2 2 2 2" xfId="9024"/>
    <cellStyle name="Calculation 4 2 2 2 2 3" xfId="9025"/>
    <cellStyle name="Calculation 4 2 2 2 2 4" xfId="9026"/>
    <cellStyle name="Calculation 4 2 2 2 3" xfId="9027"/>
    <cellStyle name="Calculation 4 2 2 2 3 2" xfId="9028"/>
    <cellStyle name="Calculation 4 2 2 2 3 3" xfId="9029"/>
    <cellStyle name="Calculation 4 2 2 2 3 4" xfId="9030"/>
    <cellStyle name="Calculation 4 2 2 2 4" xfId="9031"/>
    <cellStyle name="Calculation 4 2 2 2 4 2" xfId="9032"/>
    <cellStyle name="Calculation 4 2 2 2 4 3" xfId="9033"/>
    <cellStyle name="Calculation 4 2 2 2 4 4" xfId="9034"/>
    <cellStyle name="Calculation 4 2 2 2 5" xfId="9035"/>
    <cellStyle name="Calculation 4 2 2 2 6" xfId="9036"/>
    <cellStyle name="Calculation 4 2 2 2 7" xfId="9037"/>
    <cellStyle name="Calculation 4 2 2 3" xfId="9038"/>
    <cellStyle name="Calculation 4 2 2 3 2" xfId="9039"/>
    <cellStyle name="Calculation 4 2 2 3 2 2" xfId="9040"/>
    <cellStyle name="Calculation 4 2 2 3 2 3" xfId="9041"/>
    <cellStyle name="Calculation 4 2 2 3 2 4" xfId="9042"/>
    <cellStyle name="Calculation 4 2 2 3 3" xfId="9043"/>
    <cellStyle name="Calculation 4 2 2 3 3 2" xfId="9044"/>
    <cellStyle name="Calculation 4 2 2 3 3 3" xfId="9045"/>
    <cellStyle name="Calculation 4 2 2 3 3 4" xfId="9046"/>
    <cellStyle name="Calculation 4 2 2 3 4" xfId="9047"/>
    <cellStyle name="Calculation 4 2 2 3 4 2" xfId="9048"/>
    <cellStyle name="Calculation 4 2 2 3 4 3" xfId="9049"/>
    <cellStyle name="Calculation 4 2 2 3 4 4" xfId="9050"/>
    <cellStyle name="Calculation 4 2 2 3 5" xfId="9051"/>
    <cellStyle name="Calculation 4 2 2 3 6" xfId="9052"/>
    <cellStyle name="Calculation 4 2 2 3 7" xfId="9053"/>
    <cellStyle name="Calculation 4 2 2 4" xfId="9054"/>
    <cellStyle name="Calculation 4 2 2 4 2" xfId="9055"/>
    <cellStyle name="Calculation 4 2 2 4 2 2" xfId="9056"/>
    <cellStyle name="Calculation 4 2 2 4 2 3" xfId="9057"/>
    <cellStyle name="Calculation 4 2 2 4 2 4" xfId="9058"/>
    <cellStyle name="Calculation 4 2 2 4 3" xfId="9059"/>
    <cellStyle name="Calculation 4 2 2 4 3 2" xfId="9060"/>
    <cellStyle name="Calculation 4 2 2 4 3 3" xfId="9061"/>
    <cellStyle name="Calculation 4 2 2 4 3 4" xfId="9062"/>
    <cellStyle name="Calculation 4 2 2 4 4" xfId="9063"/>
    <cellStyle name="Calculation 4 2 2 4 4 2" xfId="9064"/>
    <cellStyle name="Calculation 4 2 2 4 4 3" xfId="9065"/>
    <cellStyle name="Calculation 4 2 2 4 4 4" xfId="9066"/>
    <cellStyle name="Calculation 4 2 2 4 5" xfId="9067"/>
    <cellStyle name="Calculation 4 2 2 4 6" xfId="9068"/>
    <cellStyle name="Calculation 4 2 2 4 7" xfId="9069"/>
    <cellStyle name="Calculation 4 2 2 5" xfId="9070"/>
    <cellStyle name="Calculation 4 2 2 5 2" xfId="9071"/>
    <cellStyle name="Calculation 4 2 2 5 2 2" xfId="9072"/>
    <cellStyle name="Calculation 4 2 2 5 2 3" xfId="9073"/>
    <cellStyle name="Calculation 4 2 2 5 2 4" xfId="9074"/>
    <cellStyle name="Calculation 4 2 2 5 3" xfId="9075"/>
    <cellStyle name="Calculation 4 2 2 5 3 2" xfId="9076"/>
    <cellStyle name="Calculation 4 2 2 5 3 3" xfId="9077"/>
    <cellStyle name="Calculation 4 2 2 5 3 4" xfId="9078"/>
    <cellStyle name="Calculation 4 2 2 5 4" xfId="9079"/>
    <cellStyle name="Calculation 4 2 2 5 4 2" xfId="9080"/>
    <cellStyle name="Calculation 4 2 2 5 4 3" xfId="9081"/>
    <cellStyle name="Calculation 4 2 2 5 4 4" xfId="9082"/>
    <cellStyle name="Calculation 4 2 2 5 5" xfId="9083"/>
    <cellStyle name="Calculation 4 2 2 5 6" xfId="9084"/>
    <cellStyle name="Calculation 4 2 2 5 7" xfId="9085"/>
    <cellStyle name="Calculation 4 2 2 6" xfId="9086"/>
    <cellStyle name="Calculation 4 2 2 6 2" xfId="9087"/>
    <cellStyle name="Calculation 4 2 2 6 2 2" xfId="9088"/>
    <cellStyle name="Calculation 4 2 2 6 2 3" xfId="9089"/>
    <cellStyle name="Calculation 4 2 2 6 2 4" xfId="9090"/>
    <cellStyle name="Calculation 4 2 2 6 3" xfId="9091"/>
    <cellStyle name="Calculation 4 2 2 6 3 2" xfId="9092"/>
    <cellStyle name="Calculation 4 2 2 6 3 3" xfId="9093"/>
    <cellStyle name="Calculation 4 2 2 6 3 4" xfId="9094"/>
    <cellStyle name="Calculation 4 2 2 6 4" xfId="9095"/>
    <cellStyle name="Calculation 4 2 2 6 4 2" xfId="9096"/>
    <cellStyle name="Calculation 4 2 2 6 4 3" xfId="9097"/>
    <cellStyle name="Calculation 4 2 2 6 4 4" xfId="9098"/>
    <cellStyle name="Calculation 4 2 2 6 5" xfId="9099"/>
    <cellStyle name="Calculation 4 2 2 6 6" xfId="9100"/>
    <cellStyle name="Calculation 4 2 2 6 7" xfId="9101"/>
    <cellStyle name="Calculation 4 2 2 7" xfId="9102"/>
    <cellStyle name="Calculation 4 2 2 7 2" xfId="9103"/>
    <cellStyle name="Calculation 4 2 2 7 3" xfId="9104"/>
    <cellStyle name="Calculation 4 2 2 7 4" xfId="9105"/>
    <cellStyle name="Calculation 4 2 2 8" xfId="9106"/>
    <cellStyle name="Calculation 4 2 2 8 2" xfId="9107"/>
    <cellStyle name="Calculation 4 2 2 8 3" xfId="9108"/>
    <cellStyle name="Calculation 4 2 2 8 4" xfId="9109"/>
    <cellStyle name="Calculation 4 2 2 9" xfId="9110"/>
    <cellStyle name="Calculation 4 2 2 9 2" xfId="9111"/>
    <cellStyle name="Calculation 4 2 2 9 3" xfId="9112"/>
    <cellStyle name="Calculation 4 2 2 9 4" xfId="9113"/>
    <cellStyle name="Calculation 4 2 3" xfId="828"/>
    <cellStyle name="Calculation 4 2 3 10" xfId="9114"/>
    <cellStyle name="Calculation 4 2 3 11" xfId="9115"/>
    <cellStyle name="Calculation 4 2 3 12" xfId="9116"/>
    <cellStyle name="Calculation 4 2 3 2" xfId="9117"/>
    <cellStyle name="Calculation 4 2 3 2 2" xfId="9118"/>
    <cellStyle name="Calculation 4 2 3 2 2 2" xfId="9119"/>
    <cellStyle name="Calculation 4 2 3 2 2 3" xfId="9120"/>
    <cellStyle name="Calculation 4 2 3 2 2 4" xfId="9121"/>
    <cellStyle name="Calculation 4 2 3 2 3" xfId="9122"/>
    <cellStyle name="Calculation 4 2 3 2 3 2" xfId="9123"/>
    <cellStyle name="Calculation 4 2 3 2 3 3" xfId="9124"/>
    <cellStyle name="Calculation 4 2 3 2 3 4" xfId="9125"/>
    <cellStyle name="Calculation 4 2 3 2 4" xfId="9126"/>
    <cellStyle name="Calculation 4 2 3 2 4 2" xfId="9127"/>
    <cellStyle name="Calculation 4 2 3 2 4 3" xfId="9128"/>
    <cellStyle name="Calculation 4 2 3 2 4 4" xfId="9129"/>
    <cellStyle name="Calculation 4 2 3 2 5" xfId="9130"/>
    <cellStyle name="Calculation 4 2 3 2 6" xfId="9131"/>
    <cellStyle name="Calculation 4 2 3 2 7" xfId="9132"/>
    <cellStyle name="Calculation 4 2 3 3" xfId="9133"/>
    <cellStyle name="Calculation 4 2 3 3 2" xfId="9134"/>
    <cellStyle name="Calculation 4 2 3 3 2 2" xfId="9135"/>
    <cellStyle name="Calculation 4 2 3 3 2 3" xfId="9136"/>
    <cellStyle name="Calculation 4 2 3 3 2 4" xfId="9137"/>
    <cellStyle name="Calculation 4 2 3 3 3" xfId="9138"/>
    <cellStyle name="Calculation 4 2 3 3 3 2" xfId="9139"/>
    <cellStyle name="Calculation 4 2 3 3 3 3" xfId="9140"/>
    <cellStyle name="Calculation 4 2 3 3 3 4" xfId="9141"/>
    <cellStyle name="Calculation 4 2 3 3 4" xfId="9142"/>
    <cellStyle name="Calculation 4 2 3 3 4 2" xfId="9143"/>
    <cellStyle name="Calculation 4 2 3 3 4 3" xfId="9144"/>
    <cellStyle name="Calculation 4 2 3 3 4 4" xfId="9145"/>
    <cellStyle name="Calculation 4 2 3 3 5" xfId="9146"/>
    <cellStyle name="Calculation 4 2 3 3 6" xfId="9147"/>
    <cellStyle name="Calculation 4 2 3 3 7" xfId="9148"/>
    <cellStyle name="Calculation 4 2 3 4" xfId="9149"/>
    <cellStyle name="Calculation 4 2 3 4 2" xfId="9150"/>
    <cellStyle name="Calculation 4 2 3 4 2 2" xfId="9151"/>
    <cellStyle name="Calculation 4 2 3 4 2 3" xfId="9152"/>
    <cellStyle name="Calculation 4 2 3 4 2 4" xfId="9153"/>
    <cellStyle name="Calculation 4 2 3 4 3" xfId="9154"/>
    <cellStyle name="Calculation 4 2 3 4 3 2" xfId="9155"/>
    <cellStyle name="Calculation 4 2 3 4 3 3" xfId="9156"/>
    <cellStyle name="Calculation 4 2 3 4 3 4" xfId="9157"/>
    <cellStyle name="Calculation 4 2 3 4 4" xfId="9158"/>
    <cellStyle name="Calculation 4 2 3 4 4 2" xfId="9159"/>
    <cellStyle name="Calculation 4 2 3 4 4 3" xfId="9160"/>
    <cellStyle name="Calculation 4 2 3 4 4 4" xfId="9161"/>
    <cellStyle name="Calculation 4 2 3 4 5" xfId="9162"/>
    <cellStyle name="Calculation 4 2 3 4 6" xfId="9163"/>
    <cellStyle name="Calculation 4 2 3 4 7" xfId="9164"/>
    <cellStyle name="Calculation 4 2 3 5" xfId="9165"/>
    <cellStyle name="Calculation 4 2 3 5 2" xfId="9166"/>
    <cellStyle name="Calculation 4 2 3 5 2 2" xfId="9167"/>
    <cellStyle name="Calculation 4 2 3 5 2 3" xfId="9168"/>
    <cellStyle name="Calculation 4 2 3 5 2 4" xfId="9169"/>
    <cellStyle name="Calculation 4 2 3 5 3" xfId="9170"/>
    <cellStyle name="Calculation 4 2 3 5 3 2" xfId="9171"/>
    <cellStyle name="Calculation 4 2 3 5 3 3" xfId="9172"/>
    <cellStyle name="Calculation 4 2 3 5 3 4" xfId="9173"/>
    <cellStyle name="Calculation 4 2 3 5 4" xfId="9174"/>
    <cellStyle name="Calculation 4 2 3 5 4 2" xfId="9175"/>
    <cellStyle name="Calculation 4 2 3 5 4 3" xfId="9176"/>
    <cellStyle name="Calculation 4 2 3 5 4 4" xfId="9177"/>
    <cellStyle name="Calculation 4 2 3 5 5" xfId="9178"/>
    <cellStyle name="Calculation 4 2 3 5 6" xfId="9179"/>
    <cellStyle name="Calculation 4 2 3 5 7" xfId="9180"/>
    <cellStyle name="Calculation 4 2 3 6" xfId="9181"/>
    <cellStyle name="Calculation 4 2 3 6 2" xfId="9182"/>
    <cellStyle name="Calculation 4 2 3 6 2 2" xfId="9183"/>
    <cellStyle name="Calculation 4 2 3 6 2 3" xfId="9184"/>
    <cellStyle name="Calculation 4 2 3 6 2 4" xfId="9185"/>
    <cellStyle name="Calculation 4 2 3 6 3" xfId="9186"/>
    <cellStyle name="Calculation 4 2 3 6 3 2" xfId="9187"/>
    <cellStyle name="Calculation 4 2 3 6 3 3" xfId="9188"/>
    <cellStyle name="Calculation 4 2 3 6 3 4" xfId="9189"/>
    <cellStyle name="Calculation 4 2 3 6 4" xfId="9190"/>
    <cellStyle name="Calculation 4 2 3 6 4 2" xfId="9191"/>
    <cellStyle name="Calculation 4 2 3 6 4 3" xfId="9192"/>
    <cellStyle name="Calculation 4 2 3 6 4 4" xfId="9193"/>
    <cellStyle name="Calculation 4 2 3 6 5" xfId="9194"/>
    <cellStyle name="Calculation 4 2 3 6 6" xfId="9195"/>
    <cellStyle name="Calculation 4 2 3 6 7" xfId="9196"/>
    <cellStyle name="Calculation 4 2 3 7" xfId="9197"/>
    <cellStyle name="Calculation 4 2 3 7 2" xfId="9198"/>
    <cellStyle name="Calculation 4 2 3 7 3" xfId="9199"/>
    <cellStyle name="Calculation 4 2 3 7 4" xfId="9200"/>
    <cellStyle name="Calculation 4 2 3 8" xfId="9201"/>
    <cellStyle name="Calculation 4 2 3 8 2" xfId="9202"/>
    <cellStyle name="Calculation 4 2 3 8 3" xfId="9203"/>
    <cellStyle name="Calculation 4 2 3 8 4" xfId="9204"/>
    <cellStyle name="Calculation 4 2 3 9" xfId="9205"/>
    <cellStyle name="Calculation 4 2 3 9 2" xfId="9206"/>
    <cellStyle name="Calculation 4 2 3 9 3" xfId="9207"/>
    <cellStyle name="Calculation 4 2 3 9 4" xfId="9208"/>
    <cellStyle name="Calculation 4 2 4" xfId="774"/>
    <cellStyle name="Calculation 4 2 4 10" xfId="9209"/>
    <cellStyle name="Calculation 4 2 4 11" xfId="9210"/>
    <cellStyle name="Calculation 4 2 4 12" xfId="9211"/>
    <cellStyle name="Calculation 4 2 4 2" xfId="9212"/>
    <cellStyle name="Calculation 4 2 4 2 2" xfId="9213"/>
    <cellStyle name="Calculation 4 2 4 2 2 2" xfId="9214"/>
    <cellStyle name="Calculation 4 2 4 2 2 3" xfId="9215"/>
    <cellStyle name="Calculation 4 2 4 2 2 4" xfId="9216"/>
    <cellStyle name="Calculation 4 2 4 2 3" xfId="9217"/>
    <cellStyle name="Calculation 4 2 4 2 3 2" xfId="9218"/>
    <cellStyle name="Calculation 4 2 4 2 3 3" xfId="9219"/>
    <cellStyle name="Calculation 4 2 4 2 3 4" xfId="9220"/>
    <cellStyle name="Calculation 4 2 4 2 4" xfId="9221"/>
    <cellStyle name="Calculation 4 2 4 2 4 2" xfId="9222"/>
    <cellStyle name="Calculation 4 2 4 2 4 3" xfId="9223"/>
    <cellStyle name="Calculation 4 2 4 2 4 4" xfId="9224"/>
    <cellStyle name="Calculation 4 2 4 2 5" xfId="9225"/>
    <cellStyle name="Calculation 4 2 4 2 6" xfId="9226"/>
    <cellStyle name="Calculation 4 2 4 2 7" xfId="9227"/>
    <cellStyle name="Calculation 4 2 4 3" xfId="9228"/>
    <cellStyle name="Calculation 4 2 4 3 2" xfId="9229"/>
    <cellStyle name="Calculation 4 2 4 3 2 2" xfId="9230"/>
    <cellStyle name="Calculation 4 2 4 3 2 3" xfId="9231"/>
    <cellStyle name="Calculation 4 2 4 3 2 4" xfId="9232"/>
    <cellStyle name="Calculation 4 2 4 3 3" xfId="9233"/>
    <cellStyle name="Calculation 4 2 4 3 3 2" xfId="9234"/>
    <cellStyle name="Calculation 4 2 4 3 3 3" xfId="9235"/>
    <cellStyle name="Calculation 4 2 4 3 3 4" xfId="9236"/>
    <cellStyle name="Calculation 4 2 4 3 4" xfId="9237"/>
    <cellStyle name="Calculation 4 2 4 3 4 2" xfId="9238"/>
    <cellStyle name="Calculation 4 2 4 3 4 3" xfId="9239"/>
    <cellStyle name="Calculation 4 2 4 3 4 4" xfId="9240"/>
    <cellStyle name="Calculation 4 2 4 3 5" xfId="9241"/>
    <cellStyle name="Calculation 4 2 4 3 6" xfId="9242"/>
    <cellStyle name="Calculation 4 2 4 3 7" xfId="9243"/>
    <cellStyle name="Calculation 4 2 4 4" xfId="9244"/>
    <cellStyle name="Calculation 4 2 4 4 2" xfId="9245"/>
    <cellStyle name="Calculation 4 2 4 4 2 2" xfId="9246"/>
    <cellStyle name="Calculation 4 2 4 4 2 3" xfId="9247"/>
    <cellStyle name="Calculation 4 2 4 4 2 4" xfId="9248"/>
    <cellStyle name="Calculation 4 2 4 4 3" xfId="9249"/>
    <cellStyle name="Calculation 4 2 4 4 3 2" xfId="9250"/>
    <cellStyle name="Calculation 4 2 4 4 3 3" xfId="9251"/>
    <cellStyle name="Calculation 4 2 4 4 3 4" xfId="9252"/>
    <cellStyle name="Calculation 4 2 4 4 4" xfId="9253"/>
    <cellStyle name="Calculation 4 2 4 4 4 2" xfId="9254"/>
    <cellStyle name="Calculation 4 2 4 4 4 3" xfId="9255"/>
    <cellStyle name="Calculation 4 2 4 4 4 4" xfId="9256"/>
    <cellStyle name="Calculation 4 2 4 4 5" xfId="9257"/>
    <cellStyle name="Calculation 4 2 4 4 6" xfId="9258"/>
    <cellStyle name="Calculation 4 2 4 4 7" xfId="9259"/>
    <cellStyle name="Calculation 4 2 4 5" xfId="9260"/>
    <cellStyle name="Calculation 4 2 4 5 2" xfId="9261"/>
    <cellStyle name="Calculation 4 2 4 5 2 2" xfId="9262"/>
    <cellStyle name="Calculation 4 2 4 5 2 3" xfId="9263"/>
    <cellStyle name="Calculation 4 2 4 5 2 4" xfId="9264"/>
    <cellStyle name="Calculation 4 2 4 5 3" xfId="9265"/>
    <cellStyle name="Calculation 4 2 4 5 3 2" xfId="9266"/>
    <cellStyle name="Calculation 4 2 4 5 3 3" xfId="9267"/>
    <cellStyle name="Calculation 4 2 4 5 3 4" xfId="9268"/>
    <cellStyle name="Calculation 4 2 4 5 4" xfId="9269"/>
    <cellStyle name="Calculation 4 2 4 5 4 2" xfId="9270"/>
    <cellStyle name="Calculation 4 2 4 5 4 3" xfId="9271"/>
    <cellStyle name="Calculation 4 2 4 5 4 4" xfId="9272"/>
    <cellStyle name="Calculation 4 2 4 5 5" xfId="9273"/>
    <cellStyle name="Calculation 4 2 4 5 6" xfId="9274"/>
    <cellStyle name="Calculation 4 2 4 5 7" xfId="9275"/>
    <cellStyle name="Calculation 4 2 4 6" xfId="9276"/>
    <cellStyle name="Calculation 4 2 4 6 2" xfId="9277"/>
    <cellStyle name="Calculation 4 2 4 6 2 2" xfId="9278"/>
    <cellStyle name="Calculation 4 2 4 6 2 3" xfId="9279"/>
    <cellStyle name="Calculation 4 2 4 6 2 4" xfId="9280"/>
    <cellStyle name="Calculation 4 2 4 6 3" xfId="9281"/>
    <cellStyle name="Calculation 4 2 4 6 3 2" xfId="9282"/>
    <cellStyle name="Calculation 4 2 4 6 3 3" xfId="9283"/>
    <cellStyle name="Calculation 4 2 4 6 3 4" xfId="9284"/>
    <cellStyle name="Calculation 4 2 4 6 4" xfId="9285"/>
    <cellStyle name="Calculation 4 2 4 6 4 2" xfId="9286"/>
    <cellStyle name="Calculation 4 2 4 6 4 3" xfId="9287"/>
    <cellStyle name="Calculation 4 2 4 6 4 4" xfId="9288"/>
    <cellStyle name="Calculation 4 2 4 6 5" xfId="9289"/>
    <cellStyle name="Calculation 4 2 4 6 6" xfId="9290"/>
    <cellStyle name="Calculation 4 2 4 6 7" xfId="9291"/>
    <cellStyle name="Calculation 4 2 4 7" xfId="9292"/>
    <cellStyle name="Calculation 4 2 4 7 2" xfId="9293"/>
    <cellStyle name="Calculation 4 2 4 7 3" xfId="9294"/>
    <cellStyle name="Calculation 4 2 4 7 4" xfId="9295"/>
    <cellStyle name="Calculation 4 2 4 8" xfId="9296"/>
    <cellStyle name="Calculation 4 2 4 8 2" xfId="9297"/>
    <cellStyle name="Calculation 4 2 4 8 3" xfId="9298"/>
    <cellStyle name="Calculation 4 2 4 8 4" xfId="9299"/>
    <cellStyle name="Calculation 4 2 4 9" xfId="9300"/>
    <cellStyle name="Calculation 4 2 4 9 2" xfId="9301"/>
    <cellStyle name="Calculation 4 2 4 9 3" xfId="9302"/>
    <cellStyle name="Calculation 4 2 4 9 4" xfId="9303"/>
    <cellStyle name="Calculation 4 2 5" xfId="9304"/>
    <cellStyle name="Calculation 4 2 5 10" xfId="9305"/>
    <cellStyle name="Calculation 4 2 5 11" xfId="9306"/>
    <cellStyle name="Calculation 4 2 5 12" xfId="9307"/>
    <cellStyle name="Calculation 4 2 5 2" xfId="9308"/>
    <cellStyle name="Calculation 4 2 5 2 2" xfId="9309"/>
    <cellStyle name="Calculation 4 2 5 2 2 2" xfId="9310"/>
    <cellStyle name="Calculation 4 2 5 2 2 3" xfId="9311"/>
    <cellStyle name="Calculation 4 2 5 2 2 4" xfId="9312"/>
    <cellStyle name="Calculation 4 2 5 2 3" xfId="9313"/>
    <cellStyle name="Calculation 4 2 5 2 3 2" xfId="9314"/>
    <cellStyle name="Calculation 4 2 5 2 3 3" xfId="9315"/>
    <cellStyle name="Calculation 4 2 5 2 3 4" xfId="9316"/>
    <cellStyle name="Calculation 4 2 5 2 4" xfId="9317"/>
    <cellStyle name="Calculation 4 2 5 2 4 2" xfId="9318"/>
    <cellStyle name="Calculation 4 2 5 2 4 3" xfId="9319"/>
    <cellStyle name="Calculation 4 2 5 2 4 4" xfId="9320"/>
    <cellStyle name="Calculation 4 2 5 2 5" xfId="9321"/>
    <cellStyle name="Calculation 4 2 5 2 6" xfId="9322"/>
    <cellStyle name="Calculation 4 2 5 2 7" xfId="9323"/>
    <cellStyle name="Calculation 4 2 5 3" xfId="9324"/>
    <cellStyle name="Calculation 4 2 5 3 2" xfId="9325"/>
    <cellStyle name="Calculation 4 2 5 3 2 2" xfId="9326"/>
    <cellStyle name="Calculation 4 2 5 3 2 3" xfId="9327"/>
    <cellStyle name="Calculation 4 2 5 3 2 4" xfId="9328"/>
    <cellStyle name="Calculation 4 2 5 3 3" xfId="9329"/>
    <cellStyle name="Calculation 4 2 5 3 3 2" xfId="9330"/>
    <cellStyle name="Calculation 4 2 5 3 3 3" xfId="9331"/>
    <cellStyle name="Calculation 4 2 5 3 3 4" xfId="9332"/>
    <cellStyle name="Calculation 4 2 5 3 4" xfId="9333"/>
    <cellStyle name="Calculation 4 2 5 3 4 2" xfId="9334"/>
    <cellStyle name="Calculation 4 2 5 3 4 3" xfId="9335"/>
    <cellStyle name="Calculation 4 2 5 3 4 4" xfId="9336"/>
    <cellStyle name="Calculation 4 2 5 3 5" xfId="9337"/>
    <cellStyle name="Calculation 4 2 5 3 6" xfId="9338"/>
    <cellStyle name="Calculation 4 2 5 3 7" xfId="9339"/>
    <cellStyle name="Calculation 4 2 5 4" xfId="9340"/>
    <cellStyle name="Calculation 4 2 5 4 2" xfId="9341"/>
    <cellStyle name="Calculation 4 2 5 4 2 2" xfId="9342"/>
    <cellStyle name="Calculation 4 2 5 4 2 3" xfId="9343"/>
    <cellStyle name="Calculation 4 2 5 4 2 4" xfId="9344"/>
    <cellStyle name="Calculation 4 2 5 4 3" xfId="9345"/>
    <cellStyle name="Calculation 4 2 5 4 3 2" xfId="9346"/>
    <cellStyle name="Calculation 4 2 5 4 3 3" xfId="9347"/>
    <cellStyle name="Calculation 4 2 5 4 3 4" xfId="9348"/>
    <cellStyle name="Calculation 4 2 5 4 4" xfId="9349"/>
    <cellStyle name="Calculation 4 2 5 4 4 2" xfId="9350"/>
    <cellStyle name="Calculation 4 2 5 4 4 3" xfId="9351"/>
    <cellStyle name="Calculation 4 2 5 4 4 4" xfId="9352"/>
    <cellStyle name="Calculation 4 2 5 4 5" xfId="9353"/>
    <cellStyle name="Calculation 4 2 5 4 6" xfId="9354"/>
    <cellStyle name="Calculation 4 2 5 4 7" xfId="9355"/>
    <cellStyle name="Calculation 4 2 5 5" xfId="9356"/>
    <cellStyle name="Calculation 4 2 5 5 2" xfId="9357"/>
    <cellStyle name="Calculation 4 2 5 5 2 2" xfId="9358"/>
    <cellStyle name="Calculation 4 2 5 5 2 3" xfId="9359"/>
    <cellStyle name="Calculation 4 2 5 5 2 4" xfId="9360"/>
    <cellStyle name="Calculation 4 2 5 5 3" xfId="9361"/>
    <cellStyle name="Calculation 4 2 5 5 3 2" xfId="9362"/>
    <cellStyle name="Calculation 4 2 5 5 3 3" xfId="9363"/>
    <cellStyle name="Calculation 4 2 5 5 3 4" xfId="9364"/>
    <cellStyle name="Calculation 4 2 5 5 4" xfId="9365"/>
    <cellStyle name="Calculation 4 2 5 5 4 2" xfId="9366"/>
    <cellStyle name="Calculation 4 2 5 5 4 3" xfId="9367"/>
    <cellStyle name="Calculation 4 2 5 5 4 4" xfId="9368"/>
    <cellStyle name="Calculation 4 2 5 5 5" xfId="9369"/>
    <cellStyle name="Calculation 4 2 5 5 6" xfId="9370"/>
    <cellStyle name="Calculation 4 2 5 5 7" xfId="9371"/>
    <cellStyle name="Calculation 4 2 5 6" xfId="9372"/>
    <cellStyle name="Calculation 4 2 5 6 2" xfId="9373"/>
    <cellStyle name="Calculation 4 2 5 6 2 2" xfId="9374"/>
    <cellStyle name="Calculation 4 2 5 6 2 3" xfId="9375"/>
    <cellStyle name="Calculation 4 2 5 6 2 4" xfId="9376"/>
    <cellStyle name="Calculation 4 2 5 6 3" xfId="9377"/>
    <cellStyle name="Calculation 4 2 5 6 3 2" xfId="9378"/>
    <cellStyle name="Calculation 4 2 5 6 3 3" xfId="9379"/>
    <cellStyle name="Calculation 4 2 5 6 3 4" xfId="9380"/>
    <cellStyle name="Calculation 4 2 5 6 4" xfId="9381"/>
    <cellStyle name="Calculation 4 2 5 6 4 2" xfId="9382"/>
    <cellStyle name="Calculation 4 2 5 6 4 3" xfId="9383"/>
    <cellStyle name="Calculation 4 2 5 6 4 4" xfId="9384"/>
    <cellStyle name="Calculation 4 2 5 6 5" xfId="9385"/>
    <cellStyle name="Calculation 4 2 5 6 6" xfId="9386"/>
    <cellStyle name="Calculation 4 2 5 6 7" xfId="9387"/>
    <cellStyle name="Calculation 4 2 5 7" xfId="9388"/>
    <cellStyle name="Calculation 4 2 5 7 2" xfId="9389"/>
    <cellStyle name="Calculation 4 2 5 7 3" xfId="9390"/>
    <cellStyle name="Calculation 4 2 5 7 4" xfId="9391"/>
    <cellStyle name="Calculation 4 2 5 8" xfId="9392"/>
    <cellStyle name="Calculation 4 2 5 8 2" xfId="9393"/>
    <cellStyle name="Calculation 4 2 5 8 3" xfId="9394"/>
    <cellStyle name="Calculation 4 2 5 8 4" xfId="9395"/>
    <cellStyle name="Calculation 4 2 5 9" xfId="9396"/>
    <cellStyle name="Calculation 4 2 5 9 2" xfId="9397"/>
    <cellStyle name="Calculation 4 2 5 9 3" xfId="9398"/>
    <cellStyle name="Calculation 4 2 5 9 4" xfId="9399"/>
    <cellStyle name="Calculation 4 2 6" xfId="9400"/>
    <cellStyle name="Calculation 4 2 6 2" xfId="9401"/>
    <cellStyle name="Calculation 4 2 6 2 2" xfId="9402"/>
    <cellStyle name="Calculation 4 2 6 2 3" xfId="9403"/>
    <cellStyle name="Calculation 4 2 6 2 4" xfId="9404"/>
    <cellStyle name="Calculation 4 2 6 3" xfId="9405"/>
    <cellStyle name="Calculation 4 2 6 3 2" xfId="9406"/>
    <cellStyle name="Calculation 4 2 6 3 3" xfId="9407"/>
    <cellStyle name="Calculation 4 2 6 3 4" xfId="9408"/>
    <cellStyle name="Calculation 4 2 6 4" xfId="9409"/>
    <cellStyle name="Calculation 4 2 6 4 2" xfId="9410"/>
    <cellStyle name="Calculation 4 2 6 4 3" xfId="9411"/>
    <cellStyle name="Calculation 4 2 6 4 4" xfId="9412"/>
    <cellStyle name="Calculation 4 2 6 5" xfId="9413"/>
    <cellStyle name="Calculation 4 2 6 6" xfId="9414"/>
    <cellStyle name="Calculation 4 2 6 7" xfId="9415"/>
    <cellStyle name="Calculation 4 2 7" xfId="9416"/>
    <cellStyle name="Calculation 4 2 7 2" xfId="9417"/>
    <cellStyle name="Calculation 4 2 7 2 2" xfId="9418"/>
    <cellStyle name="Calculation 4 2 7 2 3" xfId="9419"/>
    <cellStyle name="Calculation 4 2 7 2 4" xfId="9420"/>
    <cellStyle name="Calculation 4 2 7 3" xfId="9421"/>
    <cellStyle name="Calculation 4 2 7 3 2" xfId="9422"/>
    <cellStyle name="Calculation 4 2 7 3 3" xfId="9423"/>
    <cellStyle name="Calculation 4 2 7 3 4" xfId="9424"/>
    <cellStyle name="Calculation 4 2 7 4" xfId="9425"/>
    <cellStyle name="Calculation 4 2 7 4 2" xfId="9426"/>
    <cellStyle name="Calculation 4 2 7 4 3" xfId="9427"/>
    <cellStyle name="Calculation 4 2 7 4 4" xfId="9428"/>
    <cellStyle name="Calculation 4 2 7 5" xfId="9429"/>
    <cellStyle name="Calculation 4 2 7 6" xfId="9430"/>
    <cellStyle name="Calculation 4 2 7 7" xfId="9431"/>
    <cellStyle name="Calculation 4 2 8" xfId="9432"/>
    <cellStyle name="Calculation 4 2 8 2" xfId="9433"/>
    <cellStyle name="Calculation 4 2 8 2 2" xfId="9434"/>
    <cellStyle name="Calculation 4 2 8 2 3" xfId="9435"/>
    <cellStyle name="Calculation 4 2 8 2 4" xfId="9436"/>
    <cellStyle name="Calculation 4 2 8 3" xfId="9437"/>
    <cellStyle name="Calculation 4 2 8 3 2" xfId="9438"/>
    <cellStyle name="Calculation 4 2 8 3 3" xfId="9439"/>
    <cellStyle name="Calculation 4 2 8 3 4" xfId="9440"/>
    <cellStyle name="Calculation 4 2 8 4" xfId="9441"/>
    <cellStyle name="Calculation 4 2 8 4 2" xfId="9442"/>
    <cellStyle name="Calculation 4 2 8 4 3" xfId="9443"/>
    <cellStyle name="Calculation 4 2 8 4 4" xfId="9444"/>
    <cellStyle name="Calculation 4 2 8 5" xfId="9445"/>
    <cellStyle name="Calculation 4 2 8 6" xfId="9446"/>
    <cellStyle name="Calculation 4 2 8 7" xfId="9447"/>
    <cellStyle name="Calculation 4 2 9" xfId="9448"/>
    <cellStyle name="Calculation 4 2 9 2" xfId="9449"/>
    <cellStyle name="Calculation 4 2 9 2 2" xfId="9450"/>
    <cellStyle name="Calculation 4 2 9 2 3" xfId="9451"/>
    <cellStyle name="Calculation 4 2 9 2 4" xfId="9452"/>
    <cellStyle name="Calculation 4 2 9 3" xfId="9453"/>
    <cellStyle name="Calculation 4 2 9 3 2" xfId="9454"/>
    <cellStyle name="Calculation 4 2 9 3 3" xfId="9455"/>
    <cellStyle name="Calculation 4 2 9 3 4" xfId="9456"/>
    <cellStyle name="Calculation 4 2 9 4" xfId="9457"/>
    <cellStyle name="Calculation 4 2 9 4 2" xfId="9458"/>
    <cellStyle name="Calculation 4 2 9 4 3" xfId="9459"/>
    <cellStyle name="Calculation 4 2 9 4 4" xfId="9460"/>
    <cellStyle name="Calculation 4 2 9 5" xfId="9461"/>
    <cellStyle name="Calculation 4 2 9 6" xfId="9462"/>
    <cellStyle name="Calculation 4 2 9 7" xfId="9463"/>
    <cellStyle name="Calculation 4 3" xfId="1050"/>
    <cellStyle name="Calculation 4 3 10" xfId="9464"/>
    <cellStyle name="Calculation 4 3 11" xfId="9465"/>
    <cellStyle name="Calculation 4 3 12" xfId="9466"/>
    <cellStyle name="Calculation 4 3 2" xfId="9467"/>
    <cellStyle name="Calculation 4 3 2 2" xfId="9468"/>
    <cellStyle name="Calculation 4 3 2 2 2" xfId="9469"/>
    <cellStyle name="Calculation 4 3 2 2 3" xfId="9470"/>
    <cellStyle name="Calculation 4 3 2 2 4" xfId="9471"/>
    <cellStyle name="Calculation 4 3 2 3" xfId="9472"/>
    <cellStyle name="Calculation 4 3 2 3 2" xfId="9473"/>
    <cellStyle name="Calculation 4 3 2 3 3" xfId="9474"/>
    <cellStyle name="Calculation 4 3 2 3 4" xfId="9475"/>
    <cellStyle name="Calculation 4 3 2 4" xfId="9476"/>
    <cellStyle name="Calculation 4 3 2 4 2" xfId="9477"/>
    <cellStyle name="Calculation 4 3 2 4 3" xfId="9478"/>
    <cellStyle name="Calculation 4 3 2 4 4" xfId="9479"/>
    <cellStyle name="Calculation 4 3 2 5" xfId="9480"/>
    <cellStyle name="Calculation 4 3 2 6" xfId="9481"/>
    <cellStyle name="Calculation 4 3 2 7" xfId="9482"/>
    <cellStyle name="Calculation 4 3 3" xfId="9483"/>
    <cellStyle name="Calculation 4 3 3 2" xfId="9484"/>
    <cellStyle name="Calculation 4 3 3 2 2" xfId="9485"/>
    <cellStyle name="Calculation 4 3 3 2 3" xfId="9486"/>
    <cellStyle name="Calculation 4 3 3 2 4" xfId="9487"/>
    <cellStyle name="Calculation 4 3 3 3" xfId="9488"/>
    <cellStyle name="Calculation 4 3 3 3 2" xfId="9489"/>
    <cellStyle name="Calculation 4 3 3 3 3" xfId="9490"/>
    <cellStyle name="Calculation 4 3 3 3 4" xfId="9491"/>
    <cellStyle name="Calculation 4 3 3 4" xfId="9492"/>
    <cellStyle name="Calculation 4 3 3 4 2" xfId="9493"/>
    <cellStyle name="Calculation 4 3 3 4 3" xfId="9494"/>
    <cellStyle name="Calculation 4 3 3 4 4" xfId="9495"/>
    <cellStyle name="Calculation 4 3 3 5" xfId="9496"/>
    <cellStyle name="Calculation 4 3 3 6" xfId="9497"/>
    <cellStyle name="Calculation 4 3 3 7" xfId="9498"/>
    <cellStyle name="Calculation 4 3 4" xfId="9499"/>
    <cellStyle name="Calculation 4 3 4 2" xfId="9500"/>
    <cellStyle name="Calculation 4 3 4 2 2" xfId="9501"/>
    <cellStyle name="Calculation 4 3 4 2 3" xfId="9502"/>
    <cellStyle name="Calculation 4 3 4 2 4" xfId="9503"/>
    <cellStyle name="Calculation 4 3 4 3" xfId="9504"/>
    <cellStyle name="Calculation 4 3 4 3 2" xfId="9505"/>
    <cellStyle name="Calculation 4 3 4 3 3" xfId="9506"/>
    <cellStyle name="Calculation 4 3 4 3 4" xfId="9507"/>
    <cellStyle name="Calculation 4 3 4 4" xfId="9508"/>
    <cellStyle name="Calculation 4 3 4 4 2" xfId="9509"/>
    <cellStyle name="Calculation 4 3 4 4 3" xfId="9510"/>
    <cellStyle name="Calculation 4 3 4 4 4" xfId="9511"/>
    <cellStyle name="Calculation 4 3 4 5" xfId="9512"/>
    <cellStyle name="Calculation 4 3 4 6" xfId="9513"/>
    <cellStyle name="Calculation 4 3 4 7" xfId="9514"/>
    <cellStyle name="Calculation 4 3 5" xfId="9515"/>
    <cellStyle name="Calculation 4 3 5 2" xfId="9516"/>
    <cellStyle name="Calculation 4 3 5 2 2" xfId="9517"/>
    <cellStyle name="Calculation 4 3 5 2 3" xfId="9518"/>
    <cellStyle name="Calculation 4 3 5 2 4" xfId="9519"/>
    <cellStyle name="Calculation 4 3 5 3" xfId="9520"/>
    <cellStyle name="Calculation 4 3 5 3 2" xfId="9521"/>
    <cellStyle name="Calculation 4 3 5 3 3" xfId="9522"/>
    <cellStyle name="Calculation 4 3 5 3 4" xfId="9523"/>
    <cellStyle name="Calculation 4 3 5 4" xfId="9524"/>
    <cellStyle name="Calculation 4 3 5 4 2" xfId="9525"/>
    <cellStyle name="Calculation 4 3 5 4 3" xfId="9526"/>
    <cellStyle name="Calculation 4 3 5 4 4" xfId="9527"/>
    <cellStyle name="Calculation 4 3 5 5" xfId="9528"/>
    <cellStyle name="Calculation 4 3 5 6" xfId="9529"/>
    <cellStyle name="Calculation 4 3 5 7" xfId="9530"/>
    <cellStyle name="Calculation 4 3 6" xfId="9531"/>
    <cellStyle name="Calculation 4 3 6 2" xfId="9532"/>
    <cellStyle name="Calculation 4 3 6 2 2" xfId="9533"/>
    <cellStyle name="Calculation 4 3 6 2 3" xfId="9534"/>
    <cellStyle name="Calculation 4 3 6 2 4" xfId="9535"/>
    <cellStyle name="Calculation 4 3 6 3" xfId="9536"/>
    <cellStyle name="Calculation 4 3 6 3 2" xfId="9537"/>
    <cellStyle name="Calculation 4 3 6 3 3" xfId="9538"/>
    <cellStyle name="Calculation 4 3 6 3 4" xfId="9539"/>
    <cellStyle name="Calculation 4 3 6 4" xfId="9540"/>
    <cellStyle name="Calculation 4 3 6 4 2" xfId="9541"/>
    <cellStyle name="Calculation 4 3 6 4 3" xfId="9542"/>
    <cellStyle name="Calculation 4 3 6 4 4" xfId="9543"/>
    <cellStyle name="Calculation 4 3 6 5" xfId="9544"/>
    <cellStyle name="Calculation 4 3 6 6" xfId="9545"/>
    <cellStyle name="Calculation 4 3 6 7" xfId="9546"/>
    <cellStyle name="Calculation 4 3 7" xfId="9547"/>
    <cellStyle name="Calculation 4 3 7 2" xfId="9548"/>
    <cellStyle name="Calculation 4 3 7 3" xfId="9549"/>
    <cellStyle name="Calculation 4 3 7 4" xfId="9550"/>
    <cellStyle name="Calculation 4 3 8" xfId="9551"/>
    <cellStyle name="Calculation 4 3 8 2" xfId="9552"/>
    <cellStyle name="Calculation 4 3 8 3" xfId="9553"/>
    <cellStyle name="Calculation 4 3 8 4" xfId="9554"/>
    <cellStyle name="Calculation 4 3 9" xfId="9555"/>
    <cellStyle name="Calculation 4 3 9 2" xfId="9556"/>
    <cellStyle name="Calculation 4 3 9 3" xfId="9557"/>
    <cellStyle name="Calculation 4 3 9 4" xfId="9558"/>
    <cellStyle name="Calculation 4 4" xfId="3228"/>
    <cellStyle name="Calculation 4 5" xfId="1127"/>
    <cellStyle name="Calculation 4 6" xfId="3261"/>
    <cellStyle name="Calculation 4 7" xfId="3176"/>
    <cellStyle name="Calculation 5" xfId="242"/>
    <cellStyle name="Calculation 5 2" xfId="400"/>
    <cellStyle name="Calculation 5 2 10" xfId="9559"/>
    <cellStyle name="Calculation 5 2 10 2" xfId="9560"/>
    <cellStyle name="Calculation 5 2 10 2 2" xfId="9561"/>
    <cellStyle name="Calculation 5 2 10 2 3" xfId="9562"/>
    <cellStyle name="Calculation 5 2 10 2 4" xfId="9563"/>
    <cellStyle name="Calculation 5 2 10 3" xfId="9564"/>
    <cellStyle name="Calculation 5 2 10 3 2" xfId="9565"/>
    <cellStyle name="Calculation 5 2 10 3 3" xfId="9566"/>
    <cellStyle name="Calculation 5 2 10 3 4" xfId="9567"/>
    <cellStyle name="Calculation 5 2 10 4" xfId="9568"/>
    <cellStyle name="Calculation 5 2 10 4 2" xfId="9569"/>
    <cellStyle name="Calculation 5 2 10 4 3" xfId="9570"/>
    <cellStyle name="Calculation 5 2 10 4 4" xfId="9571"/>
    <cellStyle name="Calculation 5 2 10 5" xfId="9572"/>
    <cellStyle name="Calculation 5 2 10 6" xfId="9573"/>
    <cellStyle name="Calculation 5 2 10 7" xfId="9574"/>
    <cellStyle name="Calculation 5 2 11" xfId="9575"/>
    <cellStyle name="Calculation 5 2 11 2" xfId="9576"/>
    <cellStyle name="Calculation 5 2 11 2 2" xfId="9577"/>
    <cellStyle name="Calculation 5 2 11 2 3" xfId="9578"/>
    <cellStyle name="Calculation 5 2 11 2 4" xfId="9579"/>
    <cellStyle name="Calculation 5 2 11 3" xfId="9580"/>
    <cellStyle name="Calculation 5 2 11 3 2" xfId="9581"/>
    <cellStyle name="Calculation 5 2 11 3 3" xfId="9582"/>
    <cellStyle name="Calculation 5 2 11 3 4" xfId="9583"/>
    <cellStyle name="Calculation 5 2 11 4" xfId="9584"/>
    <cellStyle name="Calculation 5 2 11 4 2" xfId="9585"/>
    <cellStyle name="Calculation 5 2 11 4 3" xfId="9586"/>
    <cellStyle name="Calculation 5 2 11 4 4" xfId="9587"/>
    <cellStyle name="Calculation 5 2 11 5" xfId="9588"/>
    <cellStyle name="Calculation 5 2 11 6" xfId="9589"/>
    <cellStyle name="Calculation 5 2 11 7" xfId="9590"/>
    <cellStyle name="Calculation 5 2 12" xfId="9591"/>
    <cellStyle name="Calculation 5 2 12 2" xfId="9592"/>
    <cellStyle name="Calculation 5 2 12 2 2" xfId="9593"/>
    <cellStyle name="Calculation 5 2 12 2 3" xfId="9594"/>
    <cellStyle name="Calculation 5 2 12 2 4" xfId="9595"/>
    <cellStyle name="Calculation 5 2 12 3" xfId="9596"/>
    <cellStyle name="Calculation 5 2 12 3 2" xfId="9597"/>
    <cellStyle name="Calculation 5 2 12 3 3" xfId="9598"/>
    <cellStyle name="Calculation 5 2 12 3 4" xfId="9599"/>
    <cellStyle name="Calculation 5 2 12 4" xfId="9600"/>
    <cellStyle name="Calculation 5 2 12 4 2" xfId="9601"/>
    <cellStyle name="Calculation 5 2 12 4 3" xfId="9602"/>
    <cellStyle name="Calculation 5 2 12 4 4" xfId="9603"/>
    <cellStyle name="Calculation 5 2 12 5" xfId="9604"/>
    <cellStyle name="Calculation 5 2 12 6" xfId="9605"/>
    <cellStyle name="Calculation 5 2 12 7" xfId="9606"/>
    <cellStyle name="Calculation 5 2 13" xfId="9607"/>
    <cellStyle name="Calculation 5 2 13 2" xfId="9608"/>
    <cellStyle name="Calculation 5 2 13 2 2" xfId="9609"/>
    <cellStyle name="Calculation 5 2 13 2 3" xfId="9610"/>
    <cellStyle name="Calculation 5 2 13 2 4" xfId="9611"/>
    <cellStyle name="Calculation 5 2 13 3" xfId="9612"/>
    <cellStyle name="Calculation 5 2 13 3 2" xfId="9613"/>
    <cellStyle name="Calculation 5 2 13 3 3" xfId="9614"/>
    <cellStyle name="Calculation 5 2 13 3 4" xfId="9615"/>
    <cellStyle name="Calculation 5 2 13 4" xfId="9616"/>
    <cellStyle name="Calculation 5 2 13 4 2" xfId="9617"/>
    <cellStyle name="Calculation 5 2 13 4 3" xfId="9618"/>
    <cellStyle name="Calculation 5 2 13 4 4" xfId="9619"/>
    <cellStyle name="Calculation 5 2 13 5" xfId="9620"/>
    <cellStyle name="Calculation 5 2 13 6" xfId="9621"/>
    <cellStyle name="Calculation 5 2 13 7" xfId="9622"/>
    <cellStyle name="Calculation 5 2 14" xfId="9623"/>
    <cellStyle name="Calculation 5 2 14 2" xfId="9624"/>
    <cellStyle name="Calculation 5 2 14 3" xfId="9625"/>
    <cellStyle name="Calculation 5 2 14 4" xfId="9626"/>
    <cellStyle name="Calculation 5 2 15" xfId="9627"/>
    <cellStyle name="Calculation 5 2 15 2" xfId="9628"/>
    <cellStyle name="Calculation 5 2 15 3" xfId="9629"/>
    <cellStyle name="Calculation 5 2 15 4" xfId="9630"/>
    <cellStyle name="Calculation 5 2 16" xfId="9631"/>
    <cellStyle name="Calculation 5 2 16 2" xfId="9632"/>
    <cellStyle name="Calculation 5 2 16 3" xfId="9633"/>
    <cellStyle name="Calculation 5 2 16 4" xfId="9634"/>
    <cellStyle name="Calculation 5 2 17" xfId="9635"/>
    <cellStyle name="Calculation 5 2 18" xfId="9636"/>
    <cellStyle name="Calculation 5 2 19" xfId="9637"/>
    <cellStyle name="Calculation 5 2 2" xfId="824"/>
    <cellStyle name="Calculation 5 2 2 10" xfId="9638"/>
    <cellStyle name="Calculation 5 2 2 11" xfId="9639"/>
    <cellStyle name="Calculation 5 2 2 12" xfId="9640"/>
    <cellStyle name="Calculation 5 2 2 2" xfId="9641"/>
    <cellStyle name="Calculation 5 2 2 2 2" xfId="9642"/>
    <cellStyle name="Calculation 5 2 2 2 2 2" xfId="9643"/>
    <cellStyle name="Calculation 5 2 2 2 2 3" xfId="9644"/>
    <cellStyle name="Calculation 5 2 2 2 2 4" xfId="9645"/>
    <cellStyle name="Calculation 5 2 2 2 3" xfId="9646"/>
    <cellStyle name="Calculation 5 2 2 2 3 2" xfId="9647"/>
    <cellStyle name="Calculation 5 2 2 2 3 3" xfId="9648"/>
    <cellStyle name="Calculation 5 2 2 2 3 4" xfId="9649"/>
    <cellStyle name="Calculation 5 2 2 2 4" xfId="9650"/>
    <cellStyle name="Calculation 5 2 2 2 4 2" xfId="9651"/>
    <cellStyle name="Calculation 5 2 2 2 4 3" xfId="9652"/>
    <cellStyle name="Calculation 5 2 2 2 4 4" xfId="9653"/>
    <cellStyle name="Calculation 5 2 2 2 5" xfId="9654"/>
    <cellStyle name="Calculation 5 2 2 2 6" xfId="9655"/>
    <cellStyle name="Calculation 5 2 2 2 7" xfId="9656"/>
    <cellStyle name="Calculation 5 2 2 3" xfId="9657"/>
    <cellStyle name="Calculation 5 2 2 3 2" xfId="9658"/>
    <cellStyle name="Calculation 5 2 2 3 2 2" xfId="9659"/>
    <cellStyle name="Calculation 5 2 2 3 2 3" xfId="9660"/>
    <cellStyle name="Calculation 5 2 2 3 2 4" xfId="9661"/>
    <cellStyle name="Calculation 5 2 2 3 3" xfId="9662"/>
    <cellStyle name="Calculation 5 2 2 3 3 2" xfId="9663"/>
    <cellStyle name="Calculation 5 2 2 3 3 3" xfId="9664"/>
    <cellStyle name="Calculation 5 2 2 3 3 4" xfId="9665"/>
    <cellStyle name="Calculation 5 2 2 3 4" xfId="9666"/>
    <cellStyle name="Calculation 5 2 2 3 4 2" xfId="9667"/>
    <cellStyle name="Calculation 5 2 2 3 4 3" xfId="9668"/>
    <cellStyle name="Calculation 5 2 2 3 4 4" xfId="9669"/>
    <cellStyle name="Calculation 5 2 2 3 5" xfId="9670"/>
    <cellStyle name="Calculation 5 2 2 3 6" xfId="9671"/>
    <cellStyle name="Calculation 5 2 2 3 7" xfId="9672"/>
    <cellStyle name="Calculation 5 2 2 4" xfId="9673"/>
    <cellStyle name="Calculation 5 2 2 4 2" xfId="9674"/>
    <cellStyle name="Calculation 5 2 2 4 2 2" xfId="9675"/>
    <cellStyle name="Calculation 5 2 2 4 2 3" xfId="9676"/>
    <cellStyle name="Calculation 5 2 2 4 2 4" xfId="9677"/>
    <cellStyle name="Calculation 5 2 2 4 3" xfId="9678"/>
    <cellStyle name="Calculation 5 2 2 4 3 2" xfId="9679"/>
    <cellStyle name="Calculation 5 2 2 4 3 3" xfId="9680"/>
    <cellStyle name="Calculation 5 2 2 4 3 4" xfId="9681"/>
    <cellStyle name="Calculation 5 2 2 4 4" xfId="9682"/>
    <cellStyle name="Calculation 5 2 2 4 4 2" xfId="9683"/>
    <cellStyle name="Calculation 5 2 2 4 4 3" xfId="9684"/>
    <cellStyle name="Calculation 5 2 2 4 4 4" xfId="9685"/>
    <cellStyle name="Calculation 5 2 2 4 5" xfId="9686"/>
    <cellStyle name="Calculation 5 2 2 4 6" xfId="9687"/>
    <cellStyle name="Calculation 5 2 2 4 7" xfId="9688"/>
    <cellStyle name="Calculation 5 2 2 5" xfId="9689"/>
    <cellStyle name="Calculation 5 2 2 5 2" xfId="9690"/>
    <cellStyle name="Calculation 5 2 2 5 2 2" xfId="9691"/>
    <cellStyle name="Calculation 5 2 2 5 2 3" xfId="9692"/>
    <cellStyle name="Calculation 5 2 2 5 2 4" xfId="9693"/>
    <cellStyle name="Calculation 5 2 2 5 3" xfId="9694"/>
    <cellStyle name="Calculation 5 2 2 5 3 2" xfId="9695"/>
    <cellStyle name="Calculation 5 2 2 5 3 3" xfId="9696"/>
    <cellStyle name="Calculation 5 2 2 5 3 4" xfId="9697"/>
    <cellStyle name="Calculation 5 2 2 5 4" xfId="9698"/>
    <cellStyle name="Calculation 5 2 2 5 4 2" xfId="9699"/>
    <cellStyle name="Calculation 5 2 2 5 4 3" xfId="9700"/>
    <cellStyle name="Calculation 5 2 2 5 4 4" xfId="9701"/>
    <cellStyle name="Calculation 5 2 2 5 5" xfId="9702"/>
    <cellStyle name="Calculation 5 2 2 5 6" xfId="9703"/>
    <cellStyle name="Calculation 5 2 2 5 7" xfId="9704"/>
    <cellStyle name="Calculation 5 2 2 6" xfId="9705"/>
    <cellStyle name="Calculation 5 2 2 6 2" xfId="9706"/>
    <cellStyle name="Calculation 5 2 2 6 2 2" xfId="9707"/>
    <cellStyle name="Calculation 5 2 2 6 2 3" xfId="9708"/>
    <cellStyle name="Calculation 5 2 2 6 2 4" xfId="9709"/>
    <cellStyle name="Calculation 5 2 2 6 3" xfId="9710"/>
    <cellStyle name="Calculation 5 2 2 6 3 2" xfId="9711"/>
    <cellStyle name="Calculation 5 2 2 6 3 3" xfId="9712"/>
    <cellStyle name="Calculation 5 2 2 6 3 4" xfId="9713"/>
    <cellStyle name="Calculation 5 2 2 6 4" xfId="9714"/>
    <cellStyle name="Calculation 5 2 2 6 4 2" xfId="9715"/>
    <cellStyle name="Calculation 5 2 2 6 4 3" xfId="9716"/>
    <cellStyle name="Calculation 5 2 2 6 4 4" xfId="9717"/>
    <cellStyle name="Calculation 5 2 2 6 5" xfId="9718"/>
    <cellStyle name="Calculation 5 2 2 6 6" xfId="9719"/>
    <cellStyle name="Calculation 5 2 2 6 7" xfId="9720"/>
    <cellStyle name="Calculation 5 2 2 7" xfId="9721"/>
    <cellStyle name="Calculation 5 2 2 7 2" xfId="9722"/>
    <cellStyle name="Calculation 5 2 2 7 3" xfId="9723"/>
    <cellStyle name="Calculation 5 2 2 7 4" xfId="9724"/>
    <cellStyle name="Calculation 5 2 2 8" xfId="9725"/>
    <cellStyle name="Calculation 5 2 2 8 2" xfId="9726"/>
    <cellStyle name="Calculation 5 2 2 8 3" xfId="9727"/>
    <cellStyle name="Calculation 5 2 2 8 4" xfId="9728"/>
    <cellStyle name="Calculation 5 2 2 9" xfId="9729"/>
    <cellStyle name="Calculation 5 2 2 9 2" xfId="9730"/>
    <cellStyle name="Calculation 5 2 2 9 3" xfId="9731"/>
    <cellStyle name="Calculation 5 2 2 9 4" xfId="9732"/>
    <cellStyle name="Calculation 5 2 3" xfId="736"/>
    <cellStyle name="Calculation 5 2 3 10" xfId="9733"/>
    <cellStyle name="Calculation 5 2 3 11" xfId="9734"/>
    <cellStyle name="Calculation 5 2 3 12" xfId="9735"/>
    <cellStyle name="Calculation 5 2 3 2" xfId="9736"/>
    <cellStyle name="Calculation 5 2 3 2 2" xfId="9737"/>
    <cellStyle name="Calculation 5 2 3 2 2 2" xfId="9738"/>
    <cellStyle name="Calculation 5 2 3 2 2 3" xfId="9739"/>
    <cellStyle name="Calculation 5 2 3 2 2 4" xfId="9740"/>
    <cellStyle name="Calculation 5 2 3 2 3" xfId="9741"/>
    <cellStyle name="Calculation 5 2 3 2 3 2" xfId="9742"/>
    <cellStyle name="Calculation 5 2 3 2 3 3" xfId="9743"/>
    <cellStyle name="Calculation 5 2 3 2 3 4" xfId="9744"/>
    <cellStyle name="Calculation 5 2 3 2 4" xfId="9745"/>
    <cellStyle name="Calculation 5 2 3 2 4 2" xfId="9746"/>
    <cellStyle name="Calculation 5 2 3 2 4 3" xfId="9747"/>
    <cellStyle name="Calculation 5 2 3 2 4 4" xfId="9748"/>
    <cellStyle name="Calculation 5 2 3 2 5" xfId="9749"/>
    <cellStyle name="Calculation 5 2 3 2 6" xfId="9750"/>
    <cellStyle name="Calculation 5 2 3 2 7" xfId="9751"/>
    <cellStyle name="Calculation 5 2 3 3" xfId="9752"/>
    <cellStyle name="Calculation 5 2 3 3 2" xfId="9753"/>
    <cellStyle name="Calculation 5 2 3 3 2 2" xfId="9754"/>
    <cellStyle name="Calculation 5 2 3 3 2 3" xfId="9755"/>
    <cellStyle name="Calculation 5 2 3 3 2 4" xfId="9756"/>
    <cellStyle name="Calculation 5 2 3 3 3" xfId="9757"/>
    <cellStyle name="Calculation 5 2 3 3 3 2" xfId="9758"/>
    <cellStyle name="Calculation 5 2 3 3 3 3" xfId="9759"/>
    <cellStyle name="Calculation 5 2 3 3 3 4" xfId="9760"/>
    <cellStyle name="Calculation 5 2 3 3 4" xfId="9761"/>
    <cellStyle name="Calculation 5 2 3 3 4 2" xfId="9762"/>
    <cellStyle name="Calculation 5 2 3 3 4 3" xfId="9763"/>
    <cellStyle name="Calculation 5 2 3 3 4 4" xfId="9764"/>
    <cellStyle name="Calculation 5 2 3 3 5" xfId="9765"/>
    <cellStyle name="Calculation 5 2 3 3 6" xfId="9766"/>
    <cellStyle name="Calculation 5 2 3 3 7" xfId="9767"/>
    <cellStyle name="Calculation 5 2 3 4" xfId="9768"/>
    <cellStyle name="Calculation 5 2 3 4 2" xfId="9769"/>
    <cellStyle name="Calculation 5 2 3 4 2 2" xfId="9770"/>
    <cellStyle name="Calculation 5 2 3 4 2 3" xfId="9771"/>
    <cellStyle name="Calculation 5 2 3 4 2 4" xfId="9772"/>
    <cellStyle name="Calculation 5 2 3 4 3" xfId="9773"/>
    <cellStyle name="Calculation 5 2 3 4 3 2" xfId="9774"/>
    <cellStyle name="Calculation 5 2 3 4 3 3" xfId="9775"/>
    <cellStyle name="Calculation 5 2 3 4 3 4" xfId="9776"/>
    <cellStyle name="Calculation 5 2 3 4 4" xfId="9777"/>
    <cellStyle name="Calculation 5 2 3 4 4 2" xfId="9778"/>
    <cellStyle name="Calculation 5 2 3 4 4 3" xfId="9779"/>
    <cellStyle name="Calculation 5 2 3 4 4 4" xfId="9780"/>
    <cellStyle name="Calculation 5 2 3 4 5" xfId="9781"/>
    <cellStyle name="Calculation 5 2 3 4 6" xfId="9782"/>
    <cellStyle name="Calculation 5 2 3 4 7" xfId="9783"/>
    <cellStyle name="Calculation 5 2 3 5" xfId="9784"/>
    <cellStyle name="Calculation 5 2 3 5 2" xfId="9785"/>
    <cellStyle name="Calculation 5 2 3 5 2 2" xfId="9786"/>
    <cellStyle name="Calculation 5 2 3 5 2 3" xfId="9787"/>
    <cellStyle name="Calculation 5 2 3 5 2 4" xfId="9788"/>
    <cellStyle name="Calculation 5 2 3 5 3" xfId="9789"/>
    <cellStyle name="Calculation 5 2 3 5 3 2" xfId="9790"/>
    <cellStyle name="Calculation 5 2 3 5 3 3" xfId="9791"/>
    <cellStyle name="Calculation 5 2 3 5 3 4" xfId="9792"/>
    <cellStyle name="Calculation 5 2 3 5 4" xfId="9793"/>
    <cellStyle name="Calculation 5 2 3 5 4 2" xfId="9794"/>
    <cellStyle name="Calculation 5 2 3 5 4 3" xfId="9795"/>
    <cellStyle name="Calculation 5 2 3 5 4 4" xfId="9796"/>
    <cellStyle name="Calculation 5 2 3 5 5" xfId="9797"/>
    <cellStyle name="Calculation 5 2 3 5 6" xfId="9798"/>
    <cellStyle name="Calculation 5 2 3 5 7" xfId="9799"/>
    <cellStyle name="Calculation 5 2 3 6" xfId="9800"/>
    <cellStyle name="Calculation 5 2 3 6 2" xfId="9801"/>
    <cellStyle name="Calculation 5 2 3 6 2 2" xfId="9802"/>
    <cellStyle name="Calculation 5 2 3 6 2 3" xfId="9803"/>
    <cellStyle name="Calculation 5 2 3 6 2 4" xfId="9804"/>
    <cellStyle name="Calculation 5 2 3 6 3" xfId="9805"/>
    <cellStyle name="Calculation 5 2 3 6 3 2" xfId="9806"/>
    <cellStyle name="Calculation 5 2 3 6 3 3" xfId="9807"/>
    <cellStyle name="Calculation 5 2 3 6 3 4" xfId="9808"/>
    <cellStyle name="Calculation 5 2 3 6 4" xfId="9809"/>
    <cellStyle name="Calculation 5 2 3 6 4 2" xfId="9810"/>
    <cellStyle name="Calculation 5 2 3 6 4 3" xfId="9811"/>
    <cellStyle name="Calculation 5 2 3 6 4 4" xfId="9812"/>
    <cellStyle name="Calculation 5 2 3 6 5" xfId="9813"/>
    <cellStyle name="Calculation 5 2 3 6 6" xfId="9814"/>
    <cellStyle name="Calculation 5 2 3 6 7" xfId="9815"/>
    <cellStyle name="Calculation 5 2 3 7" xfId="9816"/>
    <cellStyle name="Calculation 5 2 3 7 2" xfId="9817"/>
    <cellStyle name="Calculation 5 2 3 7 3" xfId="9818"/>
    <cellStyle name="Calculation 5 2 3 7 4" xfId="9819"/>
    <cellStyle name="Calculation 5 2 3 8" xfId="9820"/>
    <cellStyle name="Calculation 5 2 3 8 2" xfId="9821"/>
    <cellStyle name="Calculation 5 2 3 8 3" xfId="9822"/>
    <cellStyle name="Calculation 5 2 3 8 4" xfId="9823"/>
    <cellStyle name="Calculation 5 2 3 9" xfId="9824"/>
    <cellStyle name="Calculation 5 2 3 9 2" xfId="9825"/>
    <cellStyle name="Calculation 5 2 3 9 3" xfId="9826"/>
    <cellStyle name="Calculation 5 2 3 9 4" xfId="9827"/>
    <cellStyle name="Calculation 5 2 4" xfId="827"/>
    <cellStyle name="Calculation 5 2 4 10" xfId="9828"/>
    <cellStyle name="Calculation 5 2 4 11" xfId="9829"/>
    <cellStyle name="Calculation 5 2 4 12" xfId="9830"/>
    <cellStyle name="Calculation 5 2 4 2" xfId="9831"/>
    <cellStyle name="Calculation 5 2 4 2 2" xfId="9832"/>
    <cellStyle name="Calculation 5 2 4 2 2 2" xfId="9833"/>
    <cellStyle name="Calculation 5 2 4 2 2 3" xfId="9834"/>
    <cellStyle name="Calculation 5 2 4 2 2 4" xfId="9835"/>
    <cellStyle name="Calculation 5 2 4 2 3" xfId="9836"/>
    <cellStyle name="Calculation 5 2 4 2 3 2" xfId="9837"/>
    <cellStyle name="Calculation 5 2 4 2 3 3" xfId="9838"/>
    <cellStyle name="Calculation 5 2 4 2 3 4" xfId="9839"/>
    <cellStyle name="Calculation 5 2 4 2 4" xfId="9840"/>
    <cellStyle name="Calculation 5 2 4 2 4 2" xfId="9841"/>
    <cellStyle name="Calculation 5 2 4 2 4 3" xfId="9842"/>
    <cellStyle name="Calculation 5 2 4 2 4 4" xfId="9843"/>
    <cellStyle name="Calculation 5 2 4 2 5" xfId="9844"/>
    <cellStyle name="Calculation 5 2 4 2 6" xfId="9845"/>
    <cellStyle name="Calculation 5 2 4 2 7" xfId="9846"/>
    <cellStyle name="Calculation 5 2 4 3" xfId="9847"/>
    <cellStyle name="Calculation 5 2 4 3 2" xfId="9848"/>
    <cellStyle name="Calculation 5 2 4 3 2 2" xfId="9849"/>
    <cellStyle name="Calculation 5 2 4 3 2 3" xfId="9850"/>
    <cellStyle name="Calculation 5 2 4 3 2 4" xfId="9851"/>
    <cellStyle name="Calculation 5 2 4 3 3" xfId="9852"/>
    <cellStyle name="Calculation 5 2 4 3 3 2" xfId="9853"/>
    <cellStyle name="Calculation 5 2 4 3 3 3" xfId="9854"/>
    <cellStyle name="Calculation 5 2 4 3 3 4" xfId="9855"/>
    <cellStyle name="Calculation 5 2 4 3 4" xfId="9856"/>
    <cellStyle name="Calculation 5 2 4 3 4 2" xfId="9857"/>
    <cellStyle name="Calculation 5 2 4 3 4 3" xfId="9858"/>
    <cellStyle name="Calculation 5 2 4 3 4 4" xfId="9859"/>
    <cellStyle name="Calculation 5 2 4 3 5" xfId="9860"/>
    <cellStyle name="Calculation 5 2 4 3 6" xfId="9861"/>
    <cellStyle name="Calculation 5 2 4 3 7" xfId="9862"/>
    <cellStyle name="Calculation 5 2 4 4" xfId="9863"/>
    <cellStyle name="Calculation 5 2 4 4 2" xfId="9864"/>
    <cellStyle name="Calculation 5 2 4 4 2 2" xfId="9865"/>
    <cellStyle name="Calculation 5 2 4 4 2 3" xfId="9866"/>
    <cellStyle name="Calculation 5 2 4 4 2 4" xfId="9867"/>
    <cellStyle name="Calculation 5 2 4 4 3" xfId="9868"/>
    <cellStyle name="Calculation 5 2 4 4 3 2" xfId="9869"/>
    <cellStyle name="Calculation 5 2 4 4 3 3" xfId="9870"/>
    <cellStyle name="Calculation 5 2 4 4 3 4" xfId="9871"/>
    <cellStyle name="Calculation 5 2 4 4 4" xfId="9872"/>
    <cellStyle name="Calculation 5 2 4 4 4 2" xfId="9873"/>
    <cellStyle name="Calculation 5 2 4 4 4 3" xfId="9874"/>
    <cellStyle name="Calculation 5 2 4 4 4 4" xfId="9875"/>
    <cellStyle name="Calculation 5 2 4 4 5" xfId="9876"/>
    <cellStyle name="Calculation 5 2 4 4 6" xfId="9877"/>
    <cellStyle name="Calculation 5 2 4 4 7" xfId="9878"/>
    <cellStyle name="Calculation 5 2 4 5" xfId="9879"/>
    <cellStyle name="Calculation 5 2 4 5 2" xfId="9880"/>
    <cellStyle name="Calculation 5 2 4 5 2 2" xfId="9881"/>
    <cellStyle name="Calculation 5 2 4 5 2 3" xfId="9882"/>
    <cellStyle name="Calculation 5 2 4 5 2 4" xfId="9883"/>
    <cellStyle name="Calculation 5 2 4 5 3" xfId="9884"/>
    <cellStyle name="Calculation 5 2 4 5 3 2" xfId="9885"/>
    <cellStyle name="Calculation 5 2 4 5 3 3" xfId="9886"/>
    <cellStyle name="Calculation 5 2 4 5 3 4" xfId="9887"/>
    <cellStyle name="Calculation 5 2 4 5 4" xfId="9888"/>
    <cellStyle name="Calculation 5 2 4 5 4 2" xfId="9889"/>
    <cellStyle name="Calculation 5 2 4 5 4 3" xfId="9890"/>
    <cellStyle name="Calculation 5 2 4 5 4 4" xfId="9891"/>
    <cellStyle name="Calculation 5 2 4 5 5" xfId="9892"/>
    <cellStyle name="Calculation 5 2 4 5 6" xfId="9893"/>
    <cellStyle name="Calculation 5 2 4 5 7" xfId="9894"/>
    <cellStyle name="Calculation 5 2 4 6" xfId="9895"/>
    <cellStyle name="Calculation 5 2 4 6 2" xfId="9896"/>
    <cellStyle name="Calculation 5 2 4 6 2 2" xfId="9897"/>
    <cellStyle name="Calculation 5 2 4 6 2 3" xfId="9898"/>
    <cellStyle name="Calculation 5 2 4 6 2 4" xfId="9899"/>
    <cellStyle name="Calculation 5 2 4 6 3" xfId="9900"/>
    <cellStyle name="Calculation 5 2 4 6 3 2" xfId="9901"/>
    <cellStyle name="Calculation 5 2 4 6 3 3" xfId="9902"/>
    <cellStyle name="Calculation 5 2 4 6 3 4" xfId="9903"/>
    <cellStyle name="Calculation 5 2 4 6 4" xfId="9904"/>
    <cellStyle name="Calculation 5 2 4 6 4 2" xfId="9905"/>
    <cellStyle name="Calculation 5 2 4 6 4 3" xfId="9906"/>
    <cellStyle name="Calculation 5 2 4 6 4 4" xfId="9907"/>
    <cellStyle name="Calculation 5 2 4 6 5" xfId="9908"/>
    <cellStyle name="Calculation 5 2 4 6 6" xfId="9909"/>
    <cellStyle name="Calculation 5 2 4 6 7" xfId="9910"/>
    <cellStyle name="Calculation 5 2 4 7" xfId="9911"/>
    <cellStyle name="Calculation 5 2 4 7 2" xfId="9912"/>
    <cellStyle name="Calculation 5 2 4 7 3" xfId="9913"/>
    <cellStyle name="Calculation 5 2 4 7 4" xfId="9914"/>
    <cellStyle name="Calculation 5 2 4 8" xfId="9915"/>
    <cellStyle name="Calculation 5 2 4 8 2" xfId="9916"/>
    <cellStyle name="Calculation 5 2 4 8 3" xfId="9917"/>
    <cellStyle name="Calculation 5 2 4 8 4" xfId="9918"/>
    <cellStyle name="Calculation 5 2 4 9" xfId="9919"/>
    <cellStyle name="Calculation 5 2 4 9 2" xfId="9920"/>
    <cellStyle name="Calculation 5 2 4 9 3" xfId="9921"/>
    <cellStyle name="Calculation 5 2 4 9 4" xfId="9922"/>
    <cellStyle name="Calculation 5 2 5" xfId="9923"/>
    <cellStyle name="Calculation 5 2 5 10" xfId="9924"/>
    <cellStyle name="Calculation 5 2 5 11" xfId="9925"/>
    <cellStyle name="Calculation 5 2 5 12" xfId="9926"/>
    <cellStyle name="Calculation 5 2 5 2" xfId="9927"/>
    <cellStyle name="Calculation 5 2 5 2 2" xfId="9928"/>
    <cellStyle name="Calculation 5 2 5 2 2 2" xfId="9929"/>
    <cellStyle name="Calculation 5 2 5 2 2 3" xfId="9930"/>
    <cellStyle name="Calculation 5 2 5 2 2 4" xfId="9931"/>
    <cellStyle name="Calculation 5 2 5 2 3" xfId="9932"/>
    <cellStyle name="Calculation 5 2 5 2 3 2" xfId="9933"/>
    <cellStyle name="Calculation 5 2 5 2 3 3" xfId="9934"/>
    <cellStyle name="Calculation 5 2 5 2 3 4" xfId="9935"/>
    <cellStyle name="Calculation 5 2 5 2 4" xfId="9936"/>
    <cellStyle name="Calculation 5 2 5 2 4 2" xfId="9937"/>
    <cellStyle name="Calculation 5 2 5 2 4 3" xfId="9938"/>
    <cellStyle name="Calculation 5 2 5 2 4 4" xfId="9939"/>
    <cellStyle name="Calculation 5 2 5 2 5" xfId="9940"/>
    <cellStyle name="Calculation 5 2 5 2 6" xfId="9941"/>
    <cellStyle name="Calculation 5 2 5 2 7" xfId="9942"/>
    <cellStyle name="Calculation 5 2 5 3" xfId="9943"/>
    <cellStyle name="Calculation 5 2 5 3 2" xfId="9944"/>
    <cellStyle name="Calculation 5 2 5 3 2 2" xfId="9945"/>
    <cellStyle name="Calculation 5 2 5 3 2 3" xfId="9946"/>
    <cellStyle name="Calculation 5 2 5 3 2 4" xfId="9947"/>
    <cellStyle name="Calculation 5 2 5 3 3" xfId="9948"/>
    <cellStyle name="Calculation 5 2 5 3 3 2" xfId="9949"/>
    <cellStyle name="Calculation 5 2 5 3 3 3" xfId="9950"/>
    <cellStyle name="Calculation 5 2 5 3 3 4" xfId="9951"/>
    <cellStyle name="Calculation 5 2 5 3 4" xfId="9952"/>
    <cellStyle name="Calculation 5 2 5 3 4 2" xfId="9953"/>
    <cellStyle name="Calculation 5 2 5 3 4 3" xfId="9954"/>
    <cellStyle name="Calculation 5 2 5 3 4 4" xfId="9955"/>
    <cellStyle name="Calculation 5 2 5 3 5" xfId="9956"/>
    <cellStyle name="Calculation 5 2 5 3 6" xfId="9957"/>
    <cellStyle name="Calculation 5 2 5 3 7" xfId="9958"/>
    <cellStyle name="Calculation 5 2 5 4" xfId="9959"/>
    <cellStyle name="Calculation 5 2 5 4 2" xfId="9960"/>
    <cellStyle name="Calculation 5 2 5 4 2 2" xfId="9961"/>
    <cellStyle name="Calculation 5 2 5 4 2 3" xfId="9962"/>
    <cellStyle name="Calculation 5 2 5 4 2 4" xfId="9963"/>
    <cellStyle name="Calculation 5 2 5 4 3" xfId="9964"/>
    <cellStyle name="Calculation 5 2 5 4 3 2" xfId="9965"/>
    <cellStyle name="Calculation 5 2 5 4 3 3" xfId="9966"/>
    <cellStyle name="Calculation 5 2 5 4 3 4" xfId="9967"/>
    <cellStyle name="Calculation 5 2 5 4 4" xfId="9968"/>
    <cellStyle name="Calculation 5 2 5 4 4 2" xfId="9969"/>
    <cellStyle name="Calculation 5 2 5 4 4 3" xfId="9970"/>
    <cellStyle name="Calculation 5 2 5 4 4 4" xfId="9971"/>
    <cellStyle name="Calculation 5 2 5 4 5" xfId="9972"/>
    <cellStyle name="Calculation 5 2 5 4 6" xfId="9973"/>
    <cellStyle name="Calculation 5 2 5 4 7" xfId="9974"/>
    <cellStyle name="Calculation 5 2 5 5" xfId="9975"/>
    <cellStyle name="Calculation 5 2 5 5 2" xfId="9976"/>
    <cellStyle name="Calculation 5 2 5 5 2 2" xfId="9977"/>
    <cellStyle name="Calculation 5 2 5 5 2 3" xfId="9978"/>
    <cellStyle name="Calculation 5 2 5 5 2 4" xfId="9979"/>
    <cellStyle name="Calculation 5 2 5 5 3" xfId="9980"/>
    <cellStyle name="Calculation 5 2 5 5 3 2" xfId="9981"/>
    <cellStyle name="Calculation 5 2 5 5 3 3" xfId="9982"/>
    <cellStyle name="Calculation 5 2 5 5 3 4" xfId="9983"/>
    <cellStyle name="Calculation 5 2 5 5 4" xfId="9984"/>
    <cellStyle name="Calculation 5 2 5 5 4 2" xfId="9985"/>
    <cellStyle name="Calculation 5 2 5 5 4 3" xfId="9986"/>
    <cellStyle name="Calculation 5 2 5 5 4 4" xfId="9987"/>
    <cellStyle name="Calculation 5 2 5 5 5" xfId="9988"/>
    <cellStyle name="Calculation 5 2 5 5 6" xfId="9989"/>
    <cellStyle name="Calculation 5 2 5 5 7" xfId="9990"/>
    <cellStyle name="Calculation 5 2 5 6" xfId="9991"/>
    <cellStyle name="Calculation 5 2 5 6 2" xfId="9992"/>
    <cellStyle name="Calculation 5 2 5 6 2 2" xfId="9993"/>
    <cellStyle name="Calculation 5 2 5 6 2 3" xfId="9994"/>
    <cellStyle name="Calculation 5 2 5 6 2 4" xfId="9995"/>
    <cellStyle name="Calculation 5 2 5 6 3" xfId="9996"/>
    <cellStyle name="Calculation 5 2 5 6 3 2" xfId="9997"/>
    <cellStyle name="Calculation 5 2 5 6 3 3" xfId="9998"/>
    <cellStyle name="Calculation 5 2 5 6 3 4" xfId="9999"/>
    <cellStyle name="Calculation 5 2 5 6 4" xfId="10000"/>
    <cellStyle name="Calculation 5 2 5 6 4 2" xfId="10001"/>
    <cellStyle name="Calculation 5 2 5 6 4 3" xfId="10002"/>
    <cellStyle name="Calculation 5 2 5 6 4 4" xfId="10003"/>
    <cellStyle name="Calculation 5 2 5 6 5" xfId="10004"/>
    <cellStyle name="Calculation 5 2 5 6 6" xfId="10005"/>
    <cellStyle name="Calculation 5 2 5 6 7" xfId="10006"/>
    <cellStyle name="Calculation 5 2 5 7" xfId="10007"/>
    <cellStyle name="Calculation 5 2 5 7 2" xfId="10008"/>
    <cellStyle name="Calculation 5 2 5 7 3" xfId="10009"/>
    <cellStyle name="Calculation 5 2 5 7 4" xfId="10010"/>
    <cellStyle name="Calculation 5 2 5 8" xfId="10011"/>
    <cellStyle name="Calculation 5 2 5 8 2" xfId="10012"/>
    <cellStyle name="Calculation 5 2 5 8 3" xfId="10013"/>
    <cellStyle name="Calculation 5 2 5 8 4" xfId="10014"/>
    <cellStyle name="Calculation 5 2 5 9" xfId="10015"/>
    <cellStyle name="Calculation 5 2 5 9 2" xfId="10016"/>
    <cellStyle name="Calculation 5 2 5 9 3" xfId="10017"/>
    <cellStyle name="Calculation 5 2 5 9 4" xfId="10018"/>
    <cellStyle name="Calculation 5 2 6" xfId="10019"/>
    <cellStyle name="Calculation 5 2 6 2" xfId="10020"/>
    <cellStyle name="Calculation 5 2 6 2 2" xfId="10021"/>
    <cellStyle name="Calculation 5 2 6 2 3" xfId="10022"/>
    <cellStyle name="Calculation 5 2 6 2 4" xfId="10023"/>
    <cellStyle name="Calculation 5 2 6 3" xfId="10024"/>
    <cellStyle name="Calculation 5 2 6 3 2" xfId="10025"/>
    <cellStyle name="Calculation 5 2 6 3 3" xfId="10026"/>
    <cellStyle name="Calculation 5 2 6 3 4" xfId="10027"/>
    <cellStyle name="Calculation 5 2 6 4" xfId="10028"/>
    <cellStyle name="Calculation 5 2 6 4 2" xfId="10029"/>
    <cellStyle name="Calculation 5 2 6 4 3" xfId="10030"/>
    <cellStyle name="Calculation 5 2 6 4 4" xfId="10031"/>
    <cellStyle name="Calculation 5 2 6 5" xfId="10032"/>
    <cellStyle name="Calculation 5 2 6 6" xfId="10033"/>
    <cellStyle name="Calculation 5 2 6 7" xfId="10034"/>
    <cellStyle name="Calculation 5 2 7" xfId="10035"/>
    <cellStyle name="Calculation 5 2 7 2" xfId="10036"/>
    <cellStyle name="Calculation 5 2 7 2 2" xfId="10037"/>
    <cellStyle name="Calculation 5 2 7 2 3" xfId="10038"/>
    <cellStyle name="Calculation 5 2 7 2 4" xfId="10039"/>
    <cellStyle name="Calculation 5 2 7 3" xfId="10040"/>
    <cellStyle name="Calculation 5 2 7 3 2" xfId="10041"/>
    <cellStyle name="Calculation 5 2 7 3 3" xfId="10042"/>
    <cellStyle name="Calculation 5 2 7 3 4" xfId="10043"/>
    <cellStyle name="Calculation 5 2 7 4" xfId="10044"/>
    <cellStyle name="Calculation 5 2 7 4 2" xfId="10045"/>
    <cellStyle name="Calculation 5 2 7 4 3" xfId="10046"/>
    <cellStyle name="Calculation 5 2 7 4 4" xfId="10047"/>
    <cellStyle name="Calculation 5 2 7 5" xfId="10048"/>
    <cellStyle name="Calculation 5 2 7 6" xfId="10049"/>
    <cellStyle name="Calculation 5 2 7 7" xfId="10050"/>
    <cellStyle name="Calculation 5 2 8" xfId="10051"/>
    <cellStyle name="Calculation 5 2 8 2" xfId="10052"/>
    <cellStyle name="Calculation 5 2 8 2 2" xfId="10053"/>
    <cellStyle name="Calculation 5 2 8 2 3" xfId="10054"/>
    <cellStyle name="Calculation 5 2 8 2 4" xfId="10055"/>
    <cellStyle name="Calculation 5 2 8 3" xfId="10056"/>
    <cellStyle name="Calculation 5 2 8 3 2" xfId="10057"/>
    <cellStyle name="Calculation 5 2 8 3 3" xfId="10058"/>
    <cellStyle name="Calculation 5 2 8 3 4" xfId="10059"/>
    <cellStyle name="Calculation 5 2 8 4" xfId="10060"/>
    <cellStyle name="Calculation 5 2 8 4 2" xfId="10061"/>
    <cellStyle name="Calculation 5 2 8 4 3" xfId="10062"/>
    <cellStyle name="Calculation 5 2 8 4 4" xfId="10063"/>
    <cellStyle name="Calculation 5 2 8 5" xfId="10064"/>
    <cellStyle name="Calculation 5 2 8 6" xfId="10065"/>
    <cellStyle name="Calculation 5 2 8 7" xfId="10066"/>
    <cellStyle name="Calculation 5 2 9" xfId="10067"/>
    <cellStyle name="Calculation 5 2 9 2" xfId="10068"/>
    <cellStyle name="Calculation 5 2 9 2 2" xfId="10069"/>
    <cellStyle name="Calculation 5 2 9 2 3" xfId="10070"/>
    <cellStyle name="Calculation 5 2 9 2 4" xfId="10071"/>
    <cellStyle name="Calculation 5 2 9 3" xfId="10072"/>
    <cellStyle name="Calculation 5 2 9 3 2" xfId="10073"/>
    <cellStyle name="Calculation 5 2 9 3 3" xfId="10074"/>
    <cellStyle name="Calculation 5 2 9 3 4" xfId="10075"/>
    <cellStyle name="Calculation 5 2 9 4" xfId="10076"/>
    <cellStyle name="Calculation 5 2 9 4 2" xfId="10077"/>
    <cellStyle name="Calculation 5 2 9 4 3" xfId="10078"/>
    <cellStyle name="Calculation 5 2 9 4 4" xfId="10079"/>
    <cellStyle name="Calculation 5 2 9 5" xfId="10080"/>
    <cellStyle name="Calculation 5 2 9 6" xfId="10081"/>
    <cellStyle name="Calculation 5 2 9 7" xfId="10082"/>
    <cellStyle name="Calculation 5 3" xfId="1140"/>
    <cellStyle name="Calculation 5 3 10" xfId="10083"/>
    <cellStyle name="Calculation 5 3 11" xfId="10084"/>
    <cellStyle name="Calculation 5 3 12" xfId="10085"/>
    <cellStyle name="Calculation 5 3 2" xfId="10086"/>
    <cellStyle name="Calculation 5 3 2 2" xfId="10087"/>
    <cellStyle name="Calculation 5 3 2 2 2" xfId="10088"/>
    <cellStyle name="Calculation 5 3 2 2 3" xfId="10089"/>
    <cellStyle name="Calculation 5 3 2 2 4" xfId="10090"/>
    <cellStyle name="Calculation 5 3 2 3" xfId="10091"/>
    <cellStyle name="Calculation 5 3 2 3 2" xfId="10092"/>
    <cellStyle name="Calculation 5 3 2 3 3" xfId="10093"/>
    <cellStyle name="Calculation 5 3 2 3 4" xfId="10094"/>
    <cellStyle name="Calculation 5 3 2 4" xfId="10095"/>
    <cellStyle name="Calculation 5 3 2 4 2" xfId="10096"/>
    <cellStyle name="Calculation 5 3 2 4 3" xfId="10097"/>
    <cellStyle name="Calculation 5 3 2 4 4" xfId="10098"/>
    <cellStyle name="Calculation 5 3 2 5" xfId="10099"/>
    <cellStyle name="Calculation 5 3 2 6" xfId="10100"/>
    <cellStyle name="Calculation 5 3 2 7" xfId="10101"/>
    <cellStyle name="Calculation 5 3 3" xfId="10102"/>
    <cellStyle name="Calculation 5 3 3 2" xfId="10103"/>
    <cellStyle name="Calculation 5 3 3 2 2" xfId="10104"/>
    <cellStyle name="Calculation 5 3 3 2 3" xfId="10105"/>
    <cellStyle name="Calculation 5 3 3 2 4" xfId="10106"/>
    <cellStyle name="Calculation 5 3 3 3" xfId="10107"/>
    <cellStyle name="Calculation 5 3 3 3 2" xfId="10108"/>
    <cellStyle name="Calculation 5 3 3 3 3" xfId="10109"/>
    <cellStyle name="Calculation 5 3 3 3 4" xfId="10110"/>
    <cellStyle name="Calculation 5 3 3 4" xfId="10111"/>
    <cellStyle name="Calculation 5 3 3 4 2" xfId="10112"/>
    <cellStyle name="Calculation 5 3 3 4 3" xfId="10113"/>
    <cellStyle name="Calculation 5 3 3 4 4" xfId="10114"/>
    <cellStyle name="Calculation 5 3 3 5" xfId="10115"/>
    <cellStyle name="Calculation 5 3 3 6" xfId="10116"/>
    <cellStyle name="Calculation 5 3 3 7" xfId="10117"/>
    <cellStyle name="Calculation 5 3 4" xfId="10118"/>
    <cellStyle name="Calculation 5 3 4 2" xfId="10119"/>
    <cellStyle name="Calculation 5 3 4 2 2" xfId="10120"/>
    <cellStyle name="Calculation 5 3 4 2 3" xfId="10121"/>
    <cellStyle name="Calculation 5 3 4 2 4" xfId="10122"/>
    <cellStyle name="Calculation 5 3 4 3" xfId="10123"/>
    <cellStyle name="Calculation 5 3 4 3 2" xfId="10124"/>
    <cellStyle name="Calculation 5 3 4 3 3" xfId="10125"/>
    <cellStyle name="Calculation 5 3 4 3 4" xfId="10126"/>
    <cellStyle name="Calculation 5 3 4 4" xfId="10127"/>
    <cellStyle name="Calculation 5 3 4 4 2" xfId="10128"/>
    <cellStyle name="Calculation 5 3 4 4 3" xfId="10129"/>
    <cellStyle name="Calculation 5 3 4 4 4" xfId="10130"/>
    <cellStyle name="Calculation 5 3 4 5" xfId="10131"/>
    <cellStyle name="Calculation 5 3 4 6" xfId="10132"/>
    <cellStyle name="Calculation 5 3 4 7" xfId="10133"/>
    <cellStyle name="Calculation 5 3 5" xfId="10134"/>
    <cellStyle name="Calculation 5 3 5 2" xfId="10135"/>
    <cellStyle name="Calculation 5 3 5 2 2" xfId="10136"/>
    <cellStyle name="Calculation 5 3 5 2 3" xfId="10137"/>
    <cellStyle name="Calculation 5 3 5 2 4" xfId="10138"/>
    <cellStyle name="Calculation 5 3 5 3" xfId="10139"/>
    <cellStyle name="Calculation 5 3 5 3 2" xfId="10140"/>
    <cellStyle name="Calculation 5 3 5 3 3" xfId="10141"/>
    <cellStyle name="Calculation 5 3 5 3 4" xfId="10142"/>
    <cellStyle name="Calculation 5 3 5 4" xfId="10143"/>
    <cellStyle name="Calculation 5 3 5 4 2" xfId="10144"/>
    <cellStyle name="Calculation 5 3 5 4 3" xfId="10145"/>
    <cellStyle name="Calculation 5 3 5 4 4" xfId="10146"/>
    <cellStyle name="Calculation 5 3 5 5" xfId="10147"/>
    <cellStyle name="Calculation 5 3 5 6" xfId="10148"/>
    <cellStyle name="Calculation 5 3 5 7" xfId="10149"/>
    <cellStyle name="Calculation 5 3 6" xfId="10150"/>
    <cellStyle name="Calculation 5 3 6 2" xfId="10151"/>
    <cellStyle name="Calculation 5 3 6 2 2" xfId="10152"/>
    <cellStyle name="Calculation 5 3 6 2 3" xfId="10153"/>
    <cellStyle name="Calculation 5 3 6 2 4" xfId="10154"/>
    <cellStyle name="Calculation 5 3 6 3" xfId="10155"/>
    <cellStyle name="Calculation 5 3 6 3 2" xfId="10156"/>
    <cellStyle name="Calculation 5 3 6 3 3" xfId="10157"/>
    <cellStyle name="Calculation 5 3 6 3 4" xfId="10158"/>
    <cellStyle name="Calculation 5 3 6 4" xfId="10159"/>
    <cellStyle name="Calculation 5 3 6 4 2" xfId="10160"/>
    <cellStyle name="Calculation 5 3 6 4 3" xfId="10161"/>
    <cellStyle name="Calculation 5 3 6 4 4" xfId="10162"/>
    <cellStyle name="Calculation 5 3 6 5" xfId="10163"/>
    <cellStyle name="Calculation 5 3 6 6" xfId="10164"/>
    <cellStyle name="Calculation 5 3 6 7" xfId="10165"/>
    <cellStyle name="Calculation 5 3 7" xfId="10166"/>
    <cellStyle name="Calculation 5 3 7 2" xfId="10167"/>
    <cellStyle name="Calculation 5 3 7 3" xfId="10168"/>
    <cellStyle name="Calculation 5 3 7 4" xfId="10169"/>
    <cellStyle name="Calculation 5 3 8" xfId="10170"/>
    <cellStyle name="Calculation 5 3 8 2" xfId="10171"/>
    <cellStyle name="Calculation 5 3 8 3" xfId="10172"/>
    <cellStyle name="Calculation 5 3 8 4" xfId="10173"/>
    <cellStyle name="Calculation 5 3 9" xfId="10174"/>
    <cellStyle name="Calculation 5 3 9 2" xfId="10175"/>
    <cellStyle name="Calculation 5 3 9 3" xfId="10176"/>
    <cellStyle name="Calculation 5 3 9 4" xfId="10177"/>
    <cellStyle name="Calculation 5 4" xfId="3158"/>
    <cellStyle name="Calculation 5 5" xfId="1139"/>
    <cellStyle name="Calculation 5 6" xfId="1052"/>
    <cellStyle name="Calculation 5 7" xfId="1125"/>
    <cellStyle name="Calculation 6" xfId="243"/>
    <cellStyle name="Calculation 6 2" xfId="401"/>
    <cellStyle name="Calculation 6 2 10" xfId="10178"/>
    <cellStyle name="Calculation 6 2 10 2" xfId="10179"/>
    <cellStyle name="Calculation 6 2 10 2 2" xfId="10180"/>
    <cellStyle name="Calculation 6 2 10 2 3" xfId="10181"/>
    <cellStyle name="Calculation 6 2 10 2 4" xfId="10182"/>
    <cellStyle name="Calculation 6 2 10 3" xfId="10183"/>
    <cellStyle name="Calculation 6 2 10 3 2" xfId="10184"/>
    <cellStyle name="Calculation 6 2 10 3 3" xfId="10185"/>
    <cellStyle name="Calculation 6 2 10 3 4" xfId="10186"/>
    <cellStyle name="Calculation 6 2 10 4" xfId="10187"/>
    <cellStyle name="Calculation 6 2 10 4 2" xfId="10188"/>
    <cellStyle name="Calculation 6 2 10 4 3" xfId="10189"/>
    <cellStyle name="Calculation 6 2 10 4 4" xfId="10190"/>
    <cellStyle name="Calculation 6 2 10 5" xfId="10191"/>
    <cellStyle name="Calculation 6 2 10 6" xfId="10192"/>
    <cellStyle name="Calculation 6 2 10 7" xfId="10193"/>
    <cellStyle name="Calculation 6 2 11" xfId="10194"/>
    <cellStyle name="Calculation 6 2 11 2" xfId="10195"/>
    <cellStyle name="Calculation 6 2 11 2 2" xfId="10196"/>
    <cellStyle name="Calculation 6 2 11 2 3" xfId="10197"/>
    <cellStyle name="Calculation 6 2 11 2 4" xfId="10198"/>
    <cellStyle name="Calculation 6 2 11 3" xfId="10199"/>
    <cellStyle name="Calculation 6 2 11 3 2" xfId="10200"/>
    <cellStyle name="Calculation 6 2 11 3 3" xfId="10201"/>
    <cellStyle name="Calculation 6 2 11 3 4" xfId="10202"/>
    <cellStyle name="Calculation 6 2 11 4" xfId="10203"/>
    <cellStyle name="Calculation 6 2 11 4 2" xfId="10204"/>
    <cellStyle name="Calculation 6 2 11 4 3" xfId="10205"/>
    <cellStyle name="Calculation 6 2 11 4 4" xfId="10206"/>
    <cellStyle name="Calculation 6 2 11 5" xfId="10207"/>
    <cellStyle name="Calculation 6 2 11 6" xfId="10208"/>
    <cellStyle name="Calculation 6 2 11 7" xfId="10209"/>
    <cellStyle name="Calculation 6 2 12" xfId="10210"/>
    <cellStyle name="Calculation 6 2 12 2" xfId="10211"/>
    <cellStyle name="Calculation 6 2 12 2 2" xfId="10212"/>
    <cellStyle name="Calculation 6 2 12 2 3" xfId="10213"/>
    <cellStyle name="Calculation 6 2 12 2 4" xfId="10214"/>
    <cellStyle name="Calculation 6 2 12 3" xfId="10215"/>
    <cellStyle name="Calculation 6 2 12 3 2" xfId="10216"/>
    <cellStyle name="Calculation 6 2 12 3 3" xfId="10217"/>
    <cellStyle name="Calculation 6 2 12 3 4" xfId="10218"/>
    <cellStyle name="Calculation 6 2 12 4" xfId="10219"/>
    <cellStyle name="Calculation 6 2 12 4 2" xfId="10220"/>
    <cellStyle name="Calculation 6 2 12 4 3" xfId="10221"/>
    <cellStyle name="Calculation 6 2 12 4 4" xfId="10222"/>
    <cellStyle name="Calculation 6 2 12 5" xfId="10223"/>
    <cellStyle name="Calculation 6 2 12 6" xfId="10224"/>
    <cellStyle name="Calculation 6 2 12 7" xfId="10225"/>
    <cellStyle name="Calculation 6 2 13" xfId="10226"/>
    <cellStyle name="Calculation 6 2 13 2" xfId="10227"/>
    <cellStyle name="Calculation 6 2 13 2 2" xfId="10228"/>
    <cellStyle name="Calculation 6 2 13 2 3" xfId="10229"/>
    <cellStyle name="Calculation 6 2 13 2 4" xfId="10230"/>
    <cellStyle name="Calculation 6 2 13 3" xfId="10231"/>
    <cellStyle name="Calculation 6 2 13 3 2" xfId="10232"/>
    <cellStyle name="Calculation 6 2 13 3 3" xfId="10233"/>
    <cellStyle name="Calculation 6 2 13 3 4" xfId="10234"/>
    <cellStyle name="Calculation 6 2 13 4" xfId="10235"/>
    <cellStyle name="Calculation 6 2 13 4 2" xfId="10236"/>
    <cellStyle name="Calculation 6 2 13 4 3" xfId="10237"/>
    <cellStyle name="Calculation 6 2 13 4 4" xfId="10238"/>
    <cellStyle name="Calculation 6 2 13 5" xfId="10239"/>
    <cellStyle name="Calculation 6 2 13 6" xfId="10240"/>
    <cellStyle name="Calculation 6 2 13 7" xfId="10241"/>
    <cellStyle name="Calculation 6 2 14" xfId="10242"/>
    <cellStyle name="Calculation 6 2 14 2" xfId="10243"/>
    <cellStyle name="Calculation 6 2 14 3" xfId="10244"/>
    <cellStyle name="Calculation 6 2 14 4" xfId="10245"/>
    <cellStyle name="Calculation 6 2 15" xfId="10246"/>
    <cellStyle name="Calculation 6 2 15 2" xfId="10247"/>
    <cellStyle name="Calculation 6 2 15 3" xfId="10248"/>
    <cellStyle name="Calculation 6 2 15 4" xfId="10249"/>
    <cellStyle name="Calculation 6 2 16" xfId="10250"/>
    <cellStyle name="Calculation 6 2 16 2" xfId="10251"/>
    <cellStyle name="Calculation 6 2 16 3" xfId="10252"/>
    <cellStyle name="Calculation 6 2 16 4" xfId="10253"/>
    <cellStyle name="Calculation 6 2 17" xfId="10254"/>
    <cellStyle name="Calculation 6 2 18" xfId="10255"/>
    <cellStyle name="Calculation 6 2 19" xfId="10256"/>
    <cellStyle name="Calculation 6 2 2" xfId="825"/>
    <cellStyle name="Calculation 6 2 2 10" xfId="10257"/>
    <cellStyle name="Calculation 6 2 2 11" xfId="10258"/>
    <cellStyle name="Calculation 6 2 2 12" xfId="10259"/>
    <cellStyle name="Calculation 6 2 2 2" xfId="10260"/>
    <cellStyle name="Calculation 6 2 2 2 2" xfId="10261"/>
    <cellStyle name="Calculation 6 2 2 2 2 2" xfId="10262"/>
    <cellStyle name="Calculation 6 2 2 2 2 3" xfId="10263"/>
    <cellStyle name="Calculation 6 2 2 2 2 4" xfId="10264"/>
    <cellStyle name="Calculation 6 2 2 2 3" xfId="10265"/>
    <cellStyle name="Calculation 6 2 2 2 3 2" xfId="10266"/>
    <cellStyle name="Calculation 6 2 2 2 3 3" xfId="10267"/>
    <cellStyle name="Calculation 6 2 2 2 3 4" xfId="10268"/>
    <cellStyle name="Calculation 6 2 2 2 4" xfId="10269"/>
    <cellStyle name="Calculation 6 2 2 2 4 2" xfId="10270"/>
    <cellStyle name="Calculation 6 2 2 2 4 3" xfId="10271"/>
    <cellStyle name="Calculation 6 2 2 2 4 4" xfId="10272"/>
    <cellStyle name="Calculation 6 2 2 2 5" xfId="10273"/>
    <cellStyle name="Calculation 6 2 2 2 6" xfId="10274"/>
    <cellStyle name="Calculation 6 2 2 2 7" xfId="10275"/>
    <cellStyle name="Calculation 6 2 2 3" xfId="10276"/>
    <cellStyle name="Calculation 6 2 2 3 2" xfId="10277"/>
    <cellStyle name="Calculation 6 2 2 3 2 2" xfId="10278"/>
    <cellStyle name="Calculation 6 2 2 3 2 3" xfId="10279"/>
    <cellStyle name="Calculation 6 2 2 3 2 4" xfId="10280"/>
    <cellStyle name="Calculation 6 2 2 3 3" xfId="10281"/>
    <cellStyle name="Calculation 6 2 2 3 3 2" xfId="10282"/>
    <cellStyle name="Calculation 6 2 2 3 3 3" xfId="10283"/>
    <cellStyle name="Calculation 6 2 2 3 3 4" xfId="10284"/>
    <cellStyle name="Calculation 6 2 2 3 4" xfId="10285"/>
    <cellStyle name="Calculation 6 2 2 3 4 2" xfId="10286"/>
    <cellStyle name="Calculation 6 2 2 3 4 3" xfId="10287"/>
    <cellStyle name="Calculation 6 2 2 3 4 4" xfId="10288"/>
    <cellStyle name="Calculation 6 2 2 3 5" xfId="10289"/>
    <cellStyle name="Calculation 6 2 2 3 6" xfId="10290"/>
    <cellStyle name="Calculation 6 2 2 3 7" xfId="10291"/>
    <cellStyle name="Calculation 6 2 2 4" xfId="10292"/>
    <cellStyle name="Calculation 6 2 2 4 2" xfId="10293"/>
    <cellStyle name="Calculation 6 2 2 4 2 2" xfId="10294"/>
    <cellStyle name="Calculation 6 2 2 4 2 3" xfId="10295"/>
    <cellStyle name="Calculation 6 2 2 4 2 4" xfId="10296"/>
    <cellStyle name="Calculation 6 2 2 4 3" xfId="10297"/>
    <cellStyle name="Calculation 6 2 2 4 3 2" xfId="10298"/>
    <cellStyle name="Calculation 6 2 2 4 3 3" xfId="10299"/>
    <cellStyle name="Calculation 6 2 2 4 3 4" xfId="10300"/>
    <cellStyle name="Calculation 6 2 2 4 4" xfId="10301"/>
    <cellStyle name="Calculation 6 2 2 4 4 2" xfId="10302"/>
    <cellStyle name="Calculation 6 2 2 4 4 3" xfId="10303"/>
    <cellStyle name="Calculation 6 2 2 4 4 4" xfId="10304"/>
    <cellStyle name="Calculation 6 2 2 4 5" xfId="10305"/>
    <cellStyle name="Calculation 6 2 2 4 6" xfId="10306"/>
    <cellStyle name="Calculation 6 2 2 4 7" xfId="10307"/>
    <cellStyle name="Calculation 6 2 2 5" xfId="10308"/>
    <cellStyle name="Calculation 6 2 2 5 2" xfId="10309"/>
    <cellStyle name="Calculation 6 2 2 5 2 2" xfId="10310"/>
    <cellStyle name="Calculation 6 2 2 5 2 3" xfId="10311"/>
    <cellStyle name="Calculation 6 2 2 5 2 4" xfId="10312"/>
    <cellStyle name="Calculation 6 2 2 5 3" xfId="10313"/>
    <cellStyle name="Calculation 6 2 2 5 3 2" xfId="10314"/>
    <cellStyle name="Calculation 6 2 2 5 3 3" xfId="10315"/>
    <cellStyle name="Calculation 6 2 2 5 3 4" xfId="10316"/>
    <cellStyle name="Calculation 6 2 2 5 4" xfId="10317"/>
    <cellStyle name="Calculation 6 2 2 5 4 2" xfId="10318"/>
    <cellStyle name="Calculation 6 2 2 5 4 3" xfId="10319"/>
    <cellStyle name="Calculation 6 2 2 5 4 4" xfId="10320"/>
    <cellStyle name="Calculation 6 2 2 5 5" xfId="10321"/>
    <cellStyle name="Calculation 6 2 2 5 6" xfId="10322"/>
    <cellStyle name="Calculation 6 2 2 5 7" xfId="10323"/>
    <cellStyle name="Calculation 6 2 2 6" xfId="10324"/>
    <cellStyle name="Calculation 6 2 2 6 2" xfId="10325"/>
    <cellStyle name="Calculation 6 2 2 6 2 2" xfId="10326"/>
    <cellStyle name="Calculation 6 2 2 6 2 3" xfId="10327"/>
    <cellStyle name="Calculation 6 2 2 6 2 4" xfId="10328"/>
    <cellStyle name="Calculation 6 2 2 6 3" xfId="10329"/>
    <cellStyle name="Calculation 6 2 2 6 3 2" xfId="10330"/>
    <cellStyle name="Calculation 6 2 2 6 3 3" xfId="10331"/>
    <cellStyle name="Calculation 6 2 2 6 3 4" xfId="10332"/>
    <cellStyle name="Calculation 6 2 2 6 4" xfId="10333"/>
    <cellStyle name="Calculation 6 2 2 6 4 2" xfId="10334"/>
    <cellStyle name="Calculation 6 2 2 6 4 3" xfId="10335"/>
    <cellStyle name="Calculation 6 2 2 6 4 4" xfId="10336"/>
    <cellStyle name="Calculation 6 2 2 6 5" xfId="10337"/>
    <cellStyle name="Calculation 6 2 2 6 6" xfId="10338"/>
    <cellStyle name="Calculation 6 2 2 6 7" xfId="10339"/>
    <cellStyle name="Calculation 6 2 2 7" xfId="10340"/>
    <cellStyle name="Calculation 6 2 2 7 2" xfId="10341"/>
    <cellStyle name="Calculation 6 2 2 7 3" xfId="10342"/>
    <cellStyle name="Calculation 6 2 2 7 4" xfId="10343"/>
    <cellStyle name="Calculation 6 2 2 8" xfId="10344"/>
    <cellStyle name="Calculation 6 2 2 8 2" xfId="10345"/>
    <cellStyle name="Calculation 6 2 2 8 3" xfId="10346"/>
    <cellStyle name="Calculation 6 2 2 8 4" xfId="10347"/>
    <cellStyle name="Calculation 6 2 2 9" xfId="10348"/>
    <cellStyle name="Calculation 6 2 2 9 2" xfId="10349"/>
    <cellStyle name="Calculation 6 2 2 9 3" xfId="10350"/>
    <cellStyle name="Calculation 6 2 2 9 4" xfId="10351"/>
    <cellStyle name="Calculation 6 2 3" xfId="841"/>
    <cellStyle name="Calculation 6 2 3 10" xfId="10352"/>
    <cellStyle name="Calculation 6 2 3 11" xfId="10353"/>
    <cellStyle name="Calculation 6 2 3 12" xfId="10354"/>
    <cellStyle name="Calculation 6 2 3 2" xfId="10355"/>
    <cellStyle name="Calculation 6 2 3 2 2" xfId="10356"/>
    <cellStyle name="Calculation 6 2 3 2 2 2" xfId="10357"/>
    <cellStyle name="Calculation 6 2 3 2 2 3" xfId="10358"/>
    <cellStyle name="Calculation 6 2 3 2 2 4" xfId="10359"/>
    <cellStyle name="Calculation 6 2 3 2 3" xfId="10360"/>
    <cellStyle name="Calculation 6 2 3 2 3 2" xfId="10361"/>
    <cellStyle name="Calculation 6 2 3 2 3 3" xfId="10362"/>
    <cellStyle name="Calculation 6 2 3 2 3 4" xfId="10363"/>
    <cellStyle name="Calculation 6 2 3 2 4" xfId="10364"/>
    <cellStyle name="Calculation 6 2 3 2 4 2" xfId="10365"/>
    <cellStyle name="Calculation 6 2 3 2 4 3" xfId="10366"/>
    <cellStyle name="Calculation 6 2 3 2 4 4" xfId="10367"/>
    <cellStyle name="Calculation 6 2 3 2 5" xfId="10368"/>
    <cellStyle name="Calculation 6 2 3 2 6" xfId="10369"/>
    <cellStyle name="Calculation 6 2 3 2 7" xfId="10370"/>
    <cellStyle name="Calculation 6 2 3 3" xfId="10371"/>
    <cellStyle name="Calculation 6 2 3 3 2" xfId="10372"/>
    <cellStyle name="Calculation 6 2 3 3 2 2" xfId="10373"/>
    <cellStyle name="Calculation 6 2 3 3 2 3" xfId="10374"/>
    <cellStyle name="Calculation 6 2 3 3 2 4" xfId="10375"/>
    <cellStyle name="Calculation 6 2 3 3 3" xfId="10376"/>
    <cellStyle name="Calculation 6 2 3 3 3 2" xfId="10377"/>
    <cellStyle name="Calculation 6 2 3 3 3 3" xfId="10378"/>
    <cellStyle name="Calculation 6 2 3 3 3 4" xfId="10379"/>
    <cellStyle name="Calculation 6 2 3 3 4" xfId="10380"/>
    <cellStyle name="Calculation 6 2 3 3 4 2" xfId="10381"/>
    <cellStyle name="Calculation 6 2 3 3 4 3" xfId="10382"/>
    <cellStyle name="Calculation 6 2 3 3 4 4" xfId="10383"/>
    <cellStyle name="Calculation 6 2 3 3 5" xfId="10384"/>
    <cellStyle name="Calculation 6 2 3 3 6" xfId="10385"/>
    <cellStyle name="Calculation 6 2 3 3 7" xfId="10386"/>
    <cellStyle name="Calculation 6 2 3 4" xfId="10387"/>
    <cellStyle name="Calculation 6 2 3 4 2" xfId="10388"/>
    <cellStyle name="Calculation 6 2 3 4 2 2" xfId="10389"/>
    <cellStyle name="Calculation 6 2 3 4 2 3" xfId="10390"/>
    <cellStyle name="Calculation 6 2 3 4 2 4" xfId="10391"/>
    <cellStyle name="Calculation 6 2 3 4 3" xfId="10392"/>
    <cellStyle name="Calculation 6 2 3 4 3 2" xfId="10393"/>
    <cellStyle name="Calculation 6 2 3 4 3 3" xfId="10394"/>
    <cellStyle name="Calculation 6 2 3 4 3 4" xfId="10395"/>
    <cellStyle name="Calculation 6 2 3 4 4" xfId="10396"/>
    <cellStyle name="Calculation 6 2 3 4 4 2" xfId="10397"/>
    <cellStyle name="Calculation 6 2 3 4 4 3" xfId="10398"/>
    <cellStyle name="Calculation 6 2 3 4 4 4" xfId="10399"/>
    <cellStyle name="Calculation 6 2 3 4 5" xfId="10400"/>
    <cellStyle name="Calculation 6 2 3 4 6" xfId="10401"/>
    <cellStyle name="Calculation 6 2 3 4 7" xfId="10402"/>
    <cellStyle name="Calculation 6 2 3 5" xfId="10403"/>
    <cellStyle name="Calculation 6 2 3 5 2" xfId="10404"/>
    <cellStyle name="Calculation 6 2 3 5 2 2" xfId="10405"/>
    <cellStyle name="Calculation 6 2 3 5 2 3" xfId="10406"/>
    <cellStyle name="Calculation 6 2 3 5 2 4" xfId="10407"/>
    <cellStyle name="Calculation 6 2 3 5 3" xfId="10408"/>
    <cellStyle name="Calculation 6 2 3 5 3 2" xfId="10409"/>
    <cellStyle name="Calculation 6 2 3 5 3 3" xfId="10410"/>
    <cellStyle name="Calculation 6 2 3 5 3 4" xfId="10411"/>
    <cellStyle name="Calculation 6 2 3 5 4" xfId="10412"/>
    <cellStyle name="Calculation 6 2 3 5 4 2" xfId="10413"/>
    <cellStyle name="Calculation 6 2 3 5 4 3" xfId="10414"/>
    <cellStyle name="Calculation 6 2 3 5 4 4" xfId="10415"/>
    <cellStyle name="Calculation 6 2 3 5 5" xfId="10416"/>
    <cellStyle name="Calculation 6 2 3 5 6" xfId="10417"/>
    <cellStyle name="Calculation 6 2 3 5 7" xfId="10418"/>
    <cellStyle name="Calculation 6 2 3 6" xfId="10419"/>
    <cellStyle name="Calculation 6 2 3 6 2" xfId="10420"/>
    <cellStyle name="Calculation 6 2 3 6 2 2" xfId="10421"/>
    <cellStyle name="Calculation 6 2 3 6 2 3" xfId="10422"/>
    <cellStyle name="Calculation 6 2 3 6 2 4" xfId="10423"/>
    <cellStyle name="Calculation 6 2 3 6 3" xfId="10424"/>
    <cellStyle name="Calculation 6 2 3 6 3 2" xfId="10425"/>
    <cellStyle name="Calculation 6 2 3 6 3 3" xfId="10426"/>
    <cellStyle name="Calculation 6 2 3 6 3 4" xfId="10427"/>
    <cellStyle name="Calculation 6 2 3 6 4" xfId="10428"/>
    <cellStyle name="Calculation 6 2 3 6 4 2" xfId="10429"/>
    <cellStyle name="Calculation 6 2 3 6 4 3" xfId="10430"/>
    <cellStyle name="Calculation 6 2 3 6 4 4" xfId="10431"/>
    <cellStyle name="Calculation 6 2 3 6 5" xfId="10432"/>
    <cellStyle name="Calculation 6 2 3 6 6" xfId="10433"/>
    <cellStyle name="Calculation 6 2 3 6 7" xfId="10434"/>
    <cellStyle name="Calculation 6 2 3 7" xfId="10435"/>
    <cellStyle name="Calculation 6 2 3 7 2" xfId="10436"/>
    <cellStyle name="Calculation 6 2 3 7 3" xfId="10437"/>
    <cellStyle name="Calculation 6 2 3 7 4" xfId="10438"/>
    <cellStyle name="Calculation 6 2 3 8" xfId="10439"/>
    <cellStyle name="Calculation 6 2 3 8 2" xfId="10440"/>
    <cellStyle name="Calculation 6 2 3 8 3" xfId="10441"/>
    <cellStyle name="Calculation 6 2 3 8 4" xfId="10442"/>
    <cellStyle name="Calculation 6 2 3 9" xfId="10443"/>
    <cellStyle name="Calculation 6 2 3 9 2" xfId="10444"/>
    <cellStyle name="Calculation 6 2 3 9 3" xfId="10445"/>
    <cellStyle name="Calculation 6 2 3 9 4" xfId="10446"/>
    <cellStyle name="Calculation 6 2 4" xfId="740"/>
    <cellStyle name="Calculation 6 2 4 10" xfId="10447"/>
    <cellStyle name="Calculation 6 2 4 11" xfId="10448"/>
    <cellStyle name="Calculation 6 2 4 12" xfId="10449"/>
    <cellStyle name="Calculation 6 2 4 2" xfId="10450"/>
    <cellStyle name="Calculation 6 2 4 2 2" xfId="10451"/>
    <cellStyle name="Calculation 6 2 4 2 2 2" xfId="10452"/>
    <cellStyle name="Calculation 6 2 4 2 2 3" xfId="10453"/>
    <cellStyle name="Calculation 6 2 4 2 2 4" xfId="10454"/>
    <cellStyle name="Calculation 6 2 4 2 3" xfId="10455"/>
    <cellStyle name="Calculation 6 2 4 2 3 2" xfId="10456"/>
    <cellStyle name="Calculation 6 2 4 2 3 3" xfId="10457"/>
    <cellStyle name="Calculation 6 2 4 2 3 4" xfId="10458"/>
    <cellStyle name="Calculation 6 2 4 2 4" xfId="10459"/>
    <cellStyle name="Calculation 6 2 4 2 4 2" xfId="10460"/>
    <cellStyle name="Calculation 6 2 4 2 4 3" xfId="10461"/>
    <cellStyle name="Calculation 6 2 4 2 4 4" xfId="10462"/>
    <cellStyle name="Calculation 6 2 4 2 5" xfId="10463"/>
    <cellStyle name="Calculation 6 2 4 2 6" xfId="10464"/>
    <cellStyle name="Calculation 6 2 4 2 7" xfId="10465"/>
    <cellStyle name="Calculation 6 2 4 3" xfId="10466"/>
    <cellStyle name="Calculation 6 2 4 3 2" xfId="10467"/>
    <cellStyle name="Calculation 6 2 4 3 2 2" xfId="10468"/>
    <cellStyle name="Calculation 6 2 4 3 2 3" xfId="10469"/>
    <cellStyle name="Calculation 6 2 4 3 2 4" xfId="10470"/>
    <cellStyle name="Calculation 6 2 4 3 3" xfId="10471"/>
    <cellStyle name="Calculation 6 2 4 3 3 2" xfId="10472"/>
    <cellStyle name="Calculation 6 2 4 3 3 3" xfId="10473"/>
    <cellStyle name="Calculation 6 2 4 3 3 4" xfId="10474"/>
    <cellStyle name="Calculation 6 2 4 3 4" xfId="10475"/>
    <cellStyle name="Calculation 6 2 4 3 4 2" xfId="10476"/>
    <cellStyle name="Calculation 6 2 4 3 4 3" xfId="10477"/>
    <cellStyle name="Calculation 6 2 4 3 4 4" xfId="10478"/>
    <cellStyle name="Calculation 6 2 4 3 5" xfId="10479"/>
    <cellStyle name="Calculation 6 2 4 3 6" xfId="10480"/>
    <cellStyle name="Calculation 6 2 4 3 7" xfId="10481"/>
    <cellStyle name="Calculation 6 2 4 4" xfId="10482"/>
    <cellStyle name="Calculation 6 2 4 4 2" xfId="10483"/>
    <cellStyle name="Calculation 6 2 4 4 2 2" xfId="10484"/>
    <cellStyle name="Calculation 6 2 4 4 2 3" xfId="10485"/>
    <cellStyle name="Calculation 6 2 4 4 2 4" xfId="10486"/>
    <cellStyle name="Calculation 6 2 4 4 3" xfId="10487"/>
    <cellStyle name="Calculation 6 2 4 4 3 2" xfId="10488"/>
    <cellStyle name="Calculation 6 2 4 4 3 3" xfId="10489"/>
    <cellStyle name="Calculation 6 2 4 4 3 4" xfId="10490"/>
    <cellStyle name="Calculation 6 2 4 4 4" xfId="10491"/>
    <cellStyle name="Calculation 6 2 4 4 4 2" xfId="10492"/>
    <cellStyle name="Calculation 6 2 4 4 4 3" xfId="10493"/>
    <cellStyle name="Calculation 6 2 4 4 4 4" xfId="10494"/>
    <cellStyle name="Calculation 6 2 4 4 5" xfId="10495"/>
    <cellStyle name="Calculation 6 2 4 4 6" xfId="10496"/>
    <cellStyle name="Calculation 6 2 4 4 7" xfId="10497"/>
    <cellStyle name="Calculation 6 2 4 5" xfId="10498"/>
    <cellStyle name="Calculation 6 2 4 5 2" xfId="10499"/>
    <cellStyle name="Calculation 6 2 4 5 2 2" xfId="10500"/>
    <cellStyle name="Calculation 6 2 4 5 2 3" xfId="10501"/>
    <cellStyle name="Calculation 6 2 4 5 2 4" xfId="10502"/>
    <cellStyle name="Calculation 6 2 4 5 3" xfId="10503"/>
    <cellStyle name="Calculation 6 2 4 5 3 2" xfId="10504"/>
    <cellStyle name="Calculation 6 2 4 5 3 3" xfId="10505"/>
    <cellStyle name="Calculation 6 2 4 5 3 4" xfId="10506"/>
    <cellStyle name="Calculation 6 2 4 5 4" xfId="10507"/>
    <cellStyle name="Calculation 6 2 4 5 4 2" xfId="10508"/>
    <cellStyle name="Calculation 6 2 4 5 4 3" xfId="10509"/>
    <cellStyle name="Calculation 6 2 4 5 4 4" xfId="10510"/>
    <cellStyle name="Calculation 6 2 4 5 5" xfId="10511"/>
    <cellStyle name="Calculation 6 2 4 5 6" xfId="10512"/>
    <cellStyle name="Calculation 6 2 4 5 7" xfId="10513"/>
    <cellStyle name="Calculation 6 2 4 6" xfId="10514"/>
    <cellStyle name="Calculation 6 2 4 6 2" xfId="10515"/>
    <cellStyle name="Calculation 6 2 4 6 2 2" xfId="10516"/>
    <cellStyle name="Calculation 6 2 4 6 2 3" xfId="10517"/>
    <cellStyle name="Calculation 6 2 4 6 2 4" xfId="10518"/>
    <cellStyle name="Calculation 6 2 4 6 3" xfId="10519"/>
    <cellStyle name="Calculation 6 2 4 6 3 2" xfId="10520"/>
    <cellStyle name="Calculation 6 2 4 6 3 3" xfId="10521"/>
    <cellStyle name="Calculation 6 2 4 6 3 4" xfId="10522"/>
    <cellStyle name="Calculation 6 2 4 6 4" xfId="10523"/>
    <cellStyle name="Calculation 6 2 4 6 4 2" xfId="10524"/>
    <cellStyle name="Calculation 6 2 4 6 4 3" xfId="10525"/>
    <cellStyle name="Calculation 6 2 4 6 4 4" xfId="10526"/>
    <cellStyle name="Calculation 6 2 4 6 5" xfId="10527"/>
    <cellStyle name="Calculation 6 2 4 6 6" xfId="10528"/>
    <cellStyle name="Calculation 6 2 4 6 7" xfId="10529"/>
    <cellStyle name="Calculation 6 2 4 7" xfId="10530"/>
    <cellStyle name="Calculation 6 2 4 7 2" xfId="10531"/>
    <cellStyle name="Calculation 6 2 4 7 3" xfId="10532"/>
    <cellStyle name="Calculation 6 2 4 7 4" xfId="10533"/>
    <cellStyle name="Calculation 6 2 4 8" xfId="10534"/>
    <cellStyle name="Calculation 6 2 4 8 2" xfId="10535"/>
    <cellStyle name="Calculation 6 2 4 8 3" xfId="10536"/>
    <cellStyle name="Calculation 6 2 4 8 4" xfId="10537"/>
    <cellStyle name="Calculation 6 2 4 9" xfId="10538"/>
    <cellStyle name="Calculation 6 2 4 9 2" xfId="10539"/>
    <cellStyle name="Calculation 6 2 4 9 3" xfId="10540"/>
    <cellStyle name="Calculation 6 2 4 9 4" xfId="10541"/>
    <cellStyle name="Calculation 6 2 5" xfId="10542"/>
    <cellStyle name="Calculation 6 2 5 10" xfId="10543"/>
    <cellStyle name="Calculation 6 2 5 11" xfId="10544"/>
    <cellStyle name="Calculation 6 2 5 12" xfId="10545"/>
    <cellStyle name="Calculation 6 2 5 2" xfId="10546"/>
    <cellStyle name="Calculation 6 2 5 2 2" xfId="10547"/>
    <cellStyle name="Calculation 6 2 5 2 2 2" xfId="10548"/>
    <cellStyle name="Calculation 6 2 5 2 2 3" xfId="10549"/>
    <cellStyle name="Calculation 6 2 5 2 2 4" xfId="10550"/>
    <cellStyle name="Calculation 6 2 5 2 3" xfId="10551"/>
    <cellStyle name="Calculation 6 2 5 2 3 2" xfId="10552"/>
    <cellStyle name="Calculation 6 2 5 2 3 3" xfId="10553"/>
    <cellStyle name="Calculation 6 2 5 2 3 4" xfId="10554"/>
    <cellStyle name="Calculation 6 2 5 2 4" xfId="10555"/>
    <cellStyle name="Calculation 6 2 5 2 4 2" xfId="10556"/>
    <cellStyle name="Calculation 6 2 5 2 4 3" xfId="10557"/>
    <cellStyle name="Calculation 6 2 5 2 4 4" xfId="10558"/>
    <cellStyle name="Calculation 6 2 5 2 5" xfId="10559"/>
    <cellStyle name="Calculation 6 2 5 2 6" xfId="10560"/>
    <cellStyle name="Calculation 6 2 5 2 7" xfId="10561"/>
    <cellStyle name="Calculation 6 2 5 3" xfId="10562"/>
    <cellStyle name="Calculation 6 2 5 3 2" xfId="10563"/>
    <cellStyle name="Calculation 6 2 5 3 2 2" xfId="10564"/>
    <cellStyle name="Calculation 6 2 5 3 2 3" xfId="10565"/>
    <cellStyle name="Calculation 6 2 5 3 2 4" xfId="10566"/>
    <cellStyle name="Calculation 6 2 5 3 3" xfId="10567"/>
    <cellStyle name="Calculation 6 2 5 3 3 2" xfId="10568"/>
    <cellStyle name="Calculation 6 2 5 3 3 3" xfId="10569"/>
    <cellStyle name="Calculation 6 2 5 3 3 4" xfId="10570"/>
    <cellStyle name="Calculation 6 2 5 3 4" xfId="10571"/>
    <cellStyle name="Calculation 6 2 5 3 4 2" xfId="10572"/>
    <cellStyle name="Calculation 6 2 5 3 4 3" xfId="10573"/>
    <cellStyle name="Calculation 6 2 5 3 4 4" xfId="10574"/>
    <cellStyle name="Calculation 6 2 5 3 5" xfId="10575"/>
    <cellStyle name="Calculation 6 2 5 3 6" xfId="10576"/>
    <cellStyle name="Calculation 6 2 5 3 7" xfId="10577"/>
    <cellStyle name="Calculation 6 2 5 4" xfId="10578"/>
    <cellStyle name="Calculation 6 2 5 4 2" xfId="10579"/>
    <cellStyle name="Calculation 6 2 5 4 2 2" xfId="10580"/>
    <cellStyle name="Calculation 6 2 5 4 2 3" xfId="10581"/>
    <cellStyle name="Calculation 6 2 5 4 2 4" xfId="10582"/>
    <cellStyle name="Calculation 6 2 5 4 3" xfId="10583"/>
    <cellStyle name="Calculation 6 2 5 4 3 2" xfId="10584"/>
    <cellStyle name="Calculation 6 2 5 4 3 3" xfId="10585"/>
    <cellStyle name="Calculation 6 2 5 4 3 4" xfId="10586"/>
    <cellStyle name="Calculation 6 2 5 4 4" xfId="10587"/>
    <cellStyle name="Calculation 6 2 5 4 4 2" xfId="10588"/>
    <cellStyle name="Calculation 6 2 5 4 4 3" xfId="10589"/>
    <cellStyle name="Calculation 6 2 5 4 4 4" xfId="10590"/>
    <cellStyle name="Calculation 6 2 5 4 5" xfId="10591"/>
    <cellStyle name="Calculation 6 2 5 4 6" xfId="10592"/>
    <cellStyle name="Calculation 6 2 5 4 7" xfId="10593"/>
    <cellStyle name="Calculation 6 2 5 5" xfId="10594"/>
    <cellStyle name="Calculation 6 2 5 5 2" xfId="10595"/>
    <cellStyle name="Calculation 6 2 5 5 2 2" xfId="10596"/>
    <cellStyle name="Calculation 6 2 5 5 2 3" xfId="10597"/>
    <cellStyle name="Calculation 6 2 5 5 2 4" xfId="10598"/>
    <cellStyle name="Calculation 6 2 5 5 3" xfId="10599"/>
    <cellStyle name="Calculation 6 2 5 5 3 2" xfId="10600"/>
    <cellStyle name="Calculation 6 2 5 5 3 3" xfId="10601"/>
    <cellStyle name="Calculation 6 2 5 5 3 4" xfId="10602"/>
    <cellStyle name="Calculation 6 2 5 5 4" xfId="10603"/>
    <cellStyle name="Calculation 6 2 5 5 4 2" xfId="10604"/>
    <cellStyle name="Calculation 6 2 5 5 4 3" xfId="10605"/>
    <cellStyle name="Calculation 6 2 5 5 4 4" xfId="10606"/>
    <cellStyle name="Calculation 6 2 5 5 5" xfId="10607"/>
    <cellStyle name="Calculation 6 2 5 5 6" xfId="10608"/>
    <cellStyle name="Calculation 6 2 5 5 7" xfId="10609"/>
    <cellStyle name="Calculation 6 2 5 6" xfId="10610"/>
    <cellStyle name="Calculation 6 2 5 6 2" xfId="10611"/>
    <cellStyle name="Calculation 6 2 5 6 2 2" xfId="10612"/>
    <cellStyle name="Calculation 6 2 5 6 2 3" xfId="10613"/>
    <cellStyle name="Calculation 6 2 5 6 2 4" xfId="10614"/>
    <cellStyle name="Calculation 6 2 5 6 3" xfId="10615"/>
    <cellStyle name="Calculation 6 2 5 6 3 2" xfId="10616"/>
    <cellStyle name="Calculation 6 2 5 6 3 3" xfId="10617"/>
    <cellStyle name="Calculation 6 2 5 6 3 4" xfId="10618"/>
    <cellStyle name="Calculation 6 2 5 6 4" xfId="10619"/>
    <cellStyle name="Calculation 6 2 5 6 4 2" xfId="10620"/>
    <cellStyle name="Calculation 6 2 5 6 4 3" xfId="10621"/>
    <cellStyle name="Calculation 6 2 5 6 4 4" xfId="10622"/>
    <cellStyle name="Calculation 6 2 5 6 5" xfId="10623"/>
    <cellStyle name="Calculation 6 2 5 6 6" xfId="10624"/>
    <cellStyle name="Calculation 6 2 5 6 7" xfId="10625"/>
    <cellStyle name="Calculation 6 2 5 7" xfId="10626"/>
    <cellStyle name="Calculation 6 2 5 7 2" xfId="10627"/>
    <cellStyle name="Calculation 6 2 5 7 3" xfId="10628"/>
    <cellStyle name="Calculation 6 2 5 7 4" xfId="10629"/>
    <cellStyle name="Calculation 6 2 5 8" xfId="10630"/>
    <cellStyle name="Calculation 6 2 5 8 2" xfId="10631"/>
    <cellStyle name="Calculation 6 2 5 8 3" xfId="10632"/>
    <cellStyle name="Calculation 6 2 5 8 4" xfId="10633"/>
    <cellStyle name="Calculation 6 2 5 9" xfId="10634"/>
    <cellStyle name="Calculation 6 2 5 9 2" xfId="10635"/>
    <cellStyle name="Calculation 6 2 5 9 3" xfId="10636"/>
    <cellStyle name="Calculation 6 2 5 9 4" xfId="10637"/>
    <cellStyle name="Calculation 6 2 6" xfId="10638"/>
    <cellStyle name="Calculation 6 2 6 2" xfId="10639"/>
    <cellStyle name="Calculation 6 2 6 2 2" xfId="10640"/>
    <cellStyle name="Calculation 6 2 6 2 3" xfId="10641"/>
    <cellStyle name="Calculation 6 2 6 2 4" xfId="10642"/>
    <cellStyle name="Calculation 6 2 6 3" xfId="10643"/>
    <cellStyle name="Calculation 6 2 6 3 2" xfId="10644"/>
    <cellStyle name="Calculation 6 2 6 3 3" xfId="10645"/>
    <cellStyle name="Calculation 6 2 6 3 4" xfId="10646"/>
    <cellStyle name="Calculation 6 2 6 4" xfId="10647"/>
    <cellStyle name="Calculation 6 2 6 4 2" xfId="10648"/>
    <cellStyle name="Calculation 6 2 6 4 3" xfId="10649"/>
    <cellStyle name="Calculation 6 2 6 4 4" xfId="10650"/>
    <cellStyle name="Calculation 6 2 6 5" xfId="10651"/>
    <cellStyle name="Calculation 6 2 6 6" xfId="10652"/>
    <cellStyle name="Calculation 6 2 6 7" xfId="10653"/>
    <cellStyle name="Calculation 6 2 7" xfId="10654"/>
    <cellStyle name="Calculation 6 2 7 2" xfId="10655"/>
    <cellStyle name="Calculation 6 2 7 2 2" xfId="10656"/>
    <cellStyle name="Calculation 6 2 7 2 3" xfId="10657"/>
    <cellStyle name="Calculation 6 2 7 2 4" xfId="10658"/>
    <cellStyle name="Calculation 6 2 7 3" xfId="10659"/>
    <cellStyle name="Calculation 6 2 7 3 2" xfId="10660"/>
    <cellStyle name="Calculation 6 2 7 3 3" xfId="10661"/>
    <cellStyle name="Calculation 6 2 7 3 4" xfId="10662"/>
    <cellStyle name="Calculation 6 2 7 4" xfId="10663"/>
    <cellStyle name="Calculation 6 2 7 4 2" xfId="10664"/>
    <cellStyle name="Calculation 6 2 7 4 3" xfId="10665"/>
    <cellStyle name="Calculation 6 2 7 4 4" xfId="10666"/>
    <cellStyle name="Calculation 6 2 7 5" xfId="10667"/>
    <cellStyle name="Calculation 6 2 7 6" xfId="10668"/>
    <cellStyle name="Calculation 6 2 7 7" xfId="10669"/>
    <cellStyle name="Calculation 6 2 8" xfId="10670"/>
    <cellStyle name="Calculation 6 2 8 2" xfId="10671"/>
    <cellStyle name="Calculation 6 2 8 2 2" xfId="10672"/>
    <cellStyle name="Calculation 6 2 8 2 3" xfId="10673"/>
    <cellStyle name="Calculation 6 2 8 2 4" xfId="10674"/>
    <cellStyle name="Calculation 6 2 8 3" xfId="10675"/>
    <cellStyle name="Calculation 6 2 8 3 2" xfId="10676"/>
    <cellStyle name="Calculation 6 2 8 3 3" xfId="10677"/>
    <cellStyle name="Calculation 6 2 8 3 4" xfId="10678"/>
    <cellStyle name="Calculation 6 2 8 4" xfId="10679"/>
    <cellStyle name="Calculation 6 2 8 4 2" xfId="10680"/>
    <cellStyle name="Calculation 6 2 8 4 3" xfId="10681"/>
    <cellStyle name="Calculation 6 2 8 4 4" xfId="10682"/>
    <cellStyle name="Calculation 6 2 8 5" xfId="10683"/>
    <cellStyle name="Calculation 6 2 8 6" xfId="10684"/>
    <cellStyle name="Calculation 6 2 8 7" xfId="10685"/>
    <cellStyle name="Calculation 6 2 9" xfId="10686"/>
    <cellStyle name="Calculation 6 2 9 2" xfId="10687"/>
    <cellStyle name="Calculation 6 2 9 2 2" xfId="10688"/>
    <cellStyle name="Calculation 6 2 9 2 3" xfId="10689"/>
    <cellStyle name="Calculation 6 2 9 2 4" xfId="10690"/>
    <cellStyle name="Calculation 6 2 9 3" xfId="10691"/>
    <cellStyle name="Calculation 6 2 9 3 2" xfId="10692"/>
    <cellStyle name="Calculation 6 2 9 3 3" xfId="10693"/>
    <cellStyle name="Calculation 6 2 9 3 4" xfId="10694"/>
    <cellStyle name="Calculation 6 2 9 4" xfId="10695"/>
    <cellStyle name="Calculation 6 2 9 4 2" xfId="10696"/>
    <cellStyle name="Calculation 6 2 9 4 3" xfId="10697"/>
    <cellStyle name="Calculation 6 2 9 4 4" xfId="10698"/>
    <cellStyle name="Calculation 6 2 9 5" xfId="10699"/>
    <cellStyle name="Calculation 6 2 9 6" xfId="10700"/>
    <cellStyle name="Calculation 6 2 9 7" xfId="10701"/>
    <cellStyle name="Calculation 6 3" xfId="1141"/>
    <cellStyle name="Calculation 6 3 10" xfId="10702"/>
    <cellStyle name="Calculation 6 3 11" xfId="10703"/>
    <cellStyle name="Calculation 6 3 12" xfId="10704"/>
    <cellStyle name="Calculation 6 3 2" xfId="10705"/>
    <cellStyle name="Calculation 6 3 2 2" xfId="10706"/>
    <cellStyle name="Calculation 6 3 2 2 2" xfId="10707"/>
    <cellStyle name="Calculation 6 3 2 2 3" xfId="10708"/>
    <cellStyle name="Calculation 6 3 2 2 4" xfId="10709"/>
    <cellStyle name="Calculation 6 3 2 3" xfId="10710"/>
    <cellStyle name="Calculation 6 3 2 3 2" xfId="10711"/>
    <cellStyle name="Calculation 6 3 2 3 3" xfId="10712"/>
    <cellStyle name="Calculation 6 3 2 3 4" xfId="10713"/>
    <cellStyle name="Calculation 6 3 2 4" xfId="10714"/>
    <cellStyle name="Calculation 6 3 2 4 2" xfId="10715"/>
    <cellStyle name="Calculation 6 3 2 4 3" xfId="10716"/>
    <cellStyle name="Calculation 6 3 2 4 4" xfId="10717"/>
    <cellStyle name="Calculation 6 3 2 5" xfId="10718"/>
    <cellStyle name="Calculation 6 3 2 6" xfId="10719"/>
    <cellStyle name="Calculation 6 3 2 7" xfId="10720"/>
    <cellStyle name="Calculation 6 3 3" xfId="10721"/>
    <cellStyle name="Calculation 6 3 3 2" xfId="10722"/>
    <cellStyle name="Calculation 6 3 3 2 2" xfId="10723"/>
    <cellStyle name="Calculation 6 3 3 2 3" xfId="10724"/>
    <cellStyle name="Calculation 6 3 3 2 4" xfId="10725"/>
    <cellStyle name="Calculation 6 3 3 3" xfId="10726"/>
    <cellStyle name="Calculation 6 3 3 3 2" xfId="10727"/>
    <cellStyle name="Calculation 6 3 3 3 3" xfId="10728"/>
    <cellStyle name="Calculation 6 3 3 3 4" xfId="10729"/>
    <cellStyle name="Calculation 6 3 3 4" xfId="10730"/>
    <cellStyle name="Calculation 6 3 3 4 2" xfId="10731"/>
    <cellStyle name="Calculation 6 3 3 4 3" xfId="10732"/>
    <cellStyle name="Calculation 6 3 3 4 4" xfId="10733"/>
    <cellStyle name="Calculation 6 3 3 5" xfId="10734"/>
    <cellStyle name="Calculation 6 3 3 6" xfId="10735"/>
    <cellStyle name="Calculation 6 3 3 7" xfId="10736"/>
    <cellStyle name="Calculation 6 3 4" xfId="10737"/>
    <cellStyle name="Calculation 6 3 4 2" xfId="10738"/>
    <cellStyle name="Calculation 6 3 4 2 2" xfId="10739"/>
    <cellStyle name="Calculation 6 3 4 2 3" xfId="10740"/>
    <cellStyle name="Calculation 6 3 4 2 4" xfId="10741"/>
    <cellStyle name="Calculation 6 3 4 3" xfId="10742"/>
    <cellStyle name="Calculation 6 3 4 3 2" xfId="10743"/>
    <cellStyle name="Calculation 6 3 4 3 3" xfId="10744"/>
    <cellStyle name="Calculation 6 3 4 3 4" xfId="10745"/>
    <cellStyle name="Calculation 6 3 4 4" xfId="10746"/>
    <cellStyle name="Calculation 6 3 4 4 2" xfId="10747"/>
    <cellStyle name="Calculation 6 3 4 4 3" xfId="10748"/>
    <cellStyle name="Calculation 6 3 4 4 4" xfId="10749"/>
    <cellStyle name="Calculation 6 3 4 5" xfId="10750"/>
    <cellStyle name="Calculation 6 3 4 6" xfId="10751"/>
    <cellStyle name="Calculation 6 3 4 7" xfId="10752"/>
    <cellStyle name="Calculation 6 3 5" xfId="10753"/>
    <cellStyle name="Calculation 6 3 5 2" xfId="10754"/>
    <cellStyle name="Calculation 6 3 5 2 2" xfId="10755"/>
    <cellStyle name="Calculation 6 3 5 2 3" xfId="10756"/>
    <cellStyle name="Calculation 6 3 5 2 4" xfId="10757"/>
    <cellStyle name="Calculation 6 3 5 3" xfId="10758"/>
    <cellStyle name="Calculation 6 3 5 3 2" xfId="10759"/>
    <cellStyle name="Calculation 6 3 5 3 3" xfId="10760"/>
    <cellStyle name="Calculation 6 3 5 3 4" xfId="10761"/>
    <cellStyle name="Calculation 6 3 5 4" xfId="10762"/>
    <cellStyle name="Calculation 6 3 5 4 2" xfId="10763"/>
    <cellStyle name="Calculation 6 3 5 4 3" xfId="10764"/>
    <cellStyle name="Calculation 6 3 5 4 4" xfId="10765"/>
    <cellStyle name="Calculation 6 3 5 5" xfId="10766"/>
    <cellStyle name="Calculation 6 3 5 6" xfId="10767"/>
    <cellStyle name="Calculation 6 3 5 7" xfId="10768"/>
    <cellStyle name="Calculation 6 3 6" xfId="10769"/>
    <cellStyle name="Calculation 6 3 6 2" xfId="10770"/>
    <cellStyle name="Calculation 6 3 6 2 2" xfId="10771"/>
    <cellStyle name="Calculation 6 3 6 2 3" xfId="10772"/>
    <cellStyle name="Calculation 6 3 6 2 4" xfId="10773"/>
    <cellStyle name="Calculation 6 3 6 3" xfId="10774"/>
    <cellStyle name="Calculation 6 3 6 3 2" xfId="10775"/>
    <cellStyle name="Calculation 6 3 6 3 3" xfId="10776"/>
    <cellStyle name="Calculation 6 3 6 3 4" xfId="10777"/>
    <cellStyle name="Calculation 6 3 6 4" xfId="10778"/>
    <cellStyle name="Calculation 6 3 6 4 2" xfId="10779"/>
    <cellStyle name="Calculation 6 3 6 4 3" xfId="10780"/>
    <cellStyle name="Calculation 6 3 6 4 4" xfId="10781"/>
    <cellStyle name="Calculation 6 3 6 5" xfId="10782"/>
    <cellStyle name="Calculation 6 3 6 6" xfId="10783"/>
    <cellStyle name="Calculation 6 3 6 7" xfId="10784"/>
    <cellStyle name="Calculation 6 3 7" xfId="10785"/>
    <cellStyle name="Calculation 6 3 7 2" xfId="10786"/>
    <cellStyle name="Calculation 6 3 7 3" xfId="10787"/>
    <cellStyle name="Calculation 6 3 7 4" xfId="10788"/>
    <cellStyle name="Calculation 6 3 8" xfId="10789"/>
    <cellStyle name="Calculation 6 3 8 2" xfId="10790"/>
    <cellStyle name="Calculation 6 3 8 3" xfId="10791"/>
    <cellStyle name="Calculation 6 3 8 4" xfId="10792"/>
    <cellStyle name="Calculation 6 3 9" xfId="10793"/>
    <cellStyle name="Calculation 6 3 9 2" xfId="10794"/>
    <cellStyle name="Calculation 6 3 9 3" xfId="10795"/>
    <cellStyle name="Calculation 6 3 9 4" xfId="10796"/>
    <cellStyle name="Calculation 6 4" xfId="3157"/>
    <cellStyle name="Calculation 6 5" xfId="1040"/>
    <cellStyle name="Calculation 6 6" xfId="3217"/>
    <cellStyle name="Calculation 6 7" xfId="3278"/>
    <cellStyle name="Calculation 7" xfId="696"/>
    <cellStyle name="Calculation 7 10" xfId="10797"/>
    <cellStyle name="Calculation 7 10 2" xfId="10798"/>
    <cellStyle name="Calculation 7 10 2 2" xfId="10799"/>
    <cellStyle name="Calculation 7 10 2 3" xfId="10800"/>
    <cellStyle name="Calculation 7 10 2 4" xfId="10801"/>
    <cellStyle name="Calculation 7 10 3" xfId="10802"/>
    <cellStyle name="Calculation 7 10 3 2" xfId="10803"/>
    <cellStyle name="Calculation 7 10 3 3" xfId="10804"/>
    <cellStyle name="Calculation 7 10 3 4" xfId="10805"/>
    <cellStyle name="Calculation 7 10 4" xfId="10806"/>
    <cellStyle name="Calculation 7 10 4 2" xfId="10807"/>
    <cellStyle name="Calculation 7 10 4 3" xfId="10808"/>
    <cellStyle name="Calculation 7 10 4 4" xfId="10809"/>
    <cellStyle name="Calculation 7 10 5" xfId="10810"/>
    <cellStyle name="Calculation 7 10 6" xfId="10811"/>
    <cellStyle name="Calculation 7 10 7" xfId="10812"/>
    <cellStyle name="Calculation 7 11" xfId="10813"/>
    <cellStyle name="Calculation 7 11 2" xfId="10814"/>
    <cellStyle name="Calculation 7 11 2 2" xfId="10815"/>
    <cellStyle name="Calculation 7 11 2 3" xfId="10816"/>
    <cellStyle name="Calculation 7 11 2 4" xfId="10817"/>
    <cellStyle name="Calculation 7 11 3" xfId="10818"/>
    <cellStyle name="Calculation 7 11 3 2" xfId="10819"/>
    <cellStyle name="Calculation 7 11 3 3" xfId="10820"/>
    <cellStyle name="Calculation 7 11 3 4" xfId="10821"/>
    <cellStyle name="Calculation 7 11 4" xfId="10822"/>
    <cellStyle name="Calculation 7 11 4 2" xfId="10823"/>
    <cellStyle name="Calculation 7 11 4 3" xfId="10824"/>
    <cellStyle name="Calculation 7 11 4 4" xfId="10825"/>
    <cellStyle name="Calculation 7 11 5" xfId="10826"/>
    <cellStyle name="Calculation 7 11 6" xfId="10827"/>
    <cellStyle name="Calculation 7 11 7" xfId="10828"/>
    <cellStyle name="Calculation 7 12" xfId="10829"/>
    <cellStyle name="Calculation 7 12 2" xfId="10830"/>
    <cellStyle name="Calculation 7 12 2 2" xfId="10831"/>
    <cellStyle name="Calculation 7 12 2 3" xfId="10832"/>
    <cellStyle name="Calculation 7 12 2 4" xfId="10833"/>
    <cellStyle name="Calculation 7 12 3" xfId="10834"/>
    <cellStyle name="Calculation 7 12 3 2" xfId="10835"/>
    <cellStyle name="Calculation 7 12 3 3" xfId="10836"/>
    <cellStyle name="Calculation 7 12 3 4" xfId="10837"/>
    <cellStyle name="Calculation 7 12 4" xfId="10838"/>
    <cellStyle name="Calculation 7 12 4 2" xfId="10839"/>
    <cellStyle name="Calculation 7 12 4 3" xfId="10840"/>
    <cellStyle name="Calculation 7 12 4 4" xfId="10841"/>
    <cellStyle name="Calculation 7 12 5" xfId="10842"/>
    <cellStyle name="Calculation 7 12 6" xfId="10843"/>
    <cellStyle name="Calculation 7 12 7" xfId="10844"/>
    <cellStyle name="Calculation 7 13" xfId="10845"/>
    <cellStyle name="Calculation 7 13 2" xfId="10846"/>
    <cellStyle name="Calculation 7 13 2 2" xfId="10847"/>
    <cellStyle name="Calculation 7 13 2 3" xfId="10848"/>
    <cellStyle name="Calculation 7 13 2 4" xfId="10849"/>
    <cellStyle name="Calculation 7 13 3" xfId="10850"/>
    <cellStyle name="Calculation 7 13 3 2" xfId="10851"/>
    <cellStyle name="Calculation 7 13 3 3" xfId="10852"/>
    <cellStyle name="Calculation 7 13 3 4" xfId="10853"/>
    <cellStyle name="Calculation 7 13 4" xfId="10854"/>
    <cellStyle name="Calculation 7 13 4 2" xfId="10855"/>
    <cellStyle name="Calculation 7 13 4 3" xfId="10856"/>
    <cellStyle name="Calculation 7 13 4 4" xfId="10857"/>
    <cellStyle name="Calculation 7 13 5" xfId="10858"/>
    <cellStyle name="Calculation 7 13 6" xfId="10859"/>
    <cellStyle name="Calculation 7 13 7" xfId="10860"/>
    <cellStyle name="Calculation 7 14" xfId="10861"/>
    <cellStyle name="Calculation 7 14 2" xfId="10862"/>
    <cellStyle name="Calculation 7 14 3" xfId="10863"/>
    <cellStyle name="Calculation 7 14 4" xfId="10864"/>
    <cellStyle name="Calculation 7 15" xfId="10865"/>
    <cellStyle name="Calculation 7 15 2" xfId="10866"/>
    <cellStyle name="Calculation 7 15 3" xfId="10867"/>
    <cellStyle name="Calculation 7 15 4" xfId="10868"/>
    <cellStyle name="Calculation 7 16" xfId="10869"/>
    <cellStyle name="Calculation 7 16 2" xfId="10870"/>
    <cellStyle name="Calculation 7 16 3" xfId="10871"/>
    <cellStyle name="Calculation 7 16 4" xfId="10872"/>
    <cellStyle name="Calculation 7 17" xfId="10873"/>
    <cellStyle name="Calculation 7 18" xfId="10874"/>
    <cellStyle name="Calculation 7 19" xfId="10875"/>
    <cellStyle name="Calculation 7 2" xfId="10876"/>
    <cellStyle name="Calculation 7 2 10" xfId="10877"/>
    <cellStyle name="Calculation 7 2 11" xfId="10878"/>
    <cellStyle name="Calculation 7 2 12" xfId="10879"/>
    <cellStyle name="Calculation 7 2 2" xfId="10880"/>
    <cellStyle name="Calculation 7 2 2 2" xfId="10881"/>
    <cellStyle name="Calculation 7 2 2 2 2" xfId="10882"/>
    <cellStyle name="Calculation 7 2 2 2 3" xfId="10883"/>
    <cellStyle name="Calculation 7 2 2 2 4" xfId="10884"/>
    <cellStyle name="Calculation 7 2 2 3" xfId="10885"/>
    <cellStyle name="Calculation 7 2 2 3 2" xfId="10886"/>
    <cellStyle name="Calculation 7 2 2 3 3" xfId="10887"/>
    <cellStyle name="Calculation 7 2 2 3 4" xfId="10888"/>
    <cellStyle name="Calculation 7 2 2 4" xfId="10889"/>
    <cellStyle name="Calculation 7 2 2 4 2" xfId="10890"/>
    <cellStyle name="Calculation 7 2 2 4 3" xfId="10891"/>
    <cellStyle name="Calculation 7 2 2 4 4" xfId="10892"/>
    <cellStyle name="Calculation 7 2 2 5" xfId="10893"/>
    <cellStyle name="Calculation 7 2 2 6" xfId="10894"/>
    <cellStyle name="Calculation 7 2 2 7" xfId="10895"/>
    <cellStyle name="Calculation 7 2 3" xfId="10896"/>
    <cellStyle name="Calculation 7 2 3 2" xfId="10897"/>
    <cellStyle name="Calculation 7 2 3 2 2" xfId="10898"/>
    <cellStyle name="Calculation 7 2 3 2 3" xfId="10899"/>
    <cellStyle name="Calculation 7 2 3 2 4" xfId="10900"/>
    <cellStyle name="Calculation 7 2 3 3" xfId="10901"/>
    <cellStyle name="Calculation 7 2 3 3 2" xfId="10902"/>
    <cellStyle name="Calculation 7 2 3 3 3" xfId="10903"/>
    <cellStyle name="Calculation 7 2 3 3 4" xfId="10904"/>
    <cellStyle name="Calculation 7 2 3 4" xfId="10905"/>
    <cellStyle name="Calculation 7 2 3 4 2" xfId="10906"/>
    <cellStyle name="Calculation 7 2 3 4 3" xfId="10907"/>
    <cellStyle name="Calculation 7 2 3 4 4" xfId="10908"/>
    <cellStyle name="Calculation 7 2 3 5" xfId="10909"/>
    <cellStyle name="Calculation 7 2 3 6" xfId="10910"/>
    <cellStyle name="Calculation 7 2 3 7" xfId="10911"/>
    <cellStyle name="Calculation 7 2 4" xfId="10912"/>
    <cellStyle name="Calculation 7 2 4 2" xfId="10913"/>
    <cellStyle name="Calculation 7 2 4 2 2" xfId="10914"/>
    <cellStyle name="Calculation 7 2 4 2 3" xfId="10915"/>
    <cellStyle name="Calculation 7 2 4 2 4" xfId="10916"/>
    <cellStyle name="Calculation 7 2 4 3" xfId="10917"/>
    <cellStyle name="Calculation 7 2 4 3 2" xfId="10918"/>
    <cellStyle name="Calculation 7 2 4 3 3" xfId="10919"/>
    <cellStyle name="Calculation 7 2 4 3 4" xfId="10920"/>
    <cellStyle name="Calculation 7 2 4 4" xfId="10921"/>
    <cellStyle name="Calculation 7 2 4 4 2" xfId="10922"/>
    <cellStyle name="Calculation 7 2 4 4 3" xfId="10923"/>
    <cellStyle name="Calculation 7 2 4 4 4" xfId="10924"/>
    <cellStyle name="Calculation 7 2 4 5" xfId="10925"/>
    <cellStyle name="Calculation 7 2 4 6" xfId="10926"/>
    <cellStyle name="Calculation 7 2 4 7" xfId="10927"/>
    <cellStyle name="Calculation 7 2 5" xfId="10928"/>
    <cellStyle name="Calculation 7 2 5 2" xfId="10929"/>
    <cellStyle name="Calculation 7 2 5 2 2" xfId="10930"/>
    <cellStyle name="Calculation 7 2 5 2 3" xfId="10931"/>
    <cellStyle name="Calculation 7 2 5 2 4" xfId="10932"/>
    <cellStyle name="Calculation 7 2 5 3" xfId="10933"/>
    <cellStyle name="Calculation 7 2 5 3 2" xfId="10934"/>
    <cellStyle name="Calculation 7 2 5 3 3" xfId="10935"/>
    <cellStyle name="Calculation 7 2 5 3 4" xfId="10936"/>
    <cellStyle name="Calculation 7 2 5 4" xfId="10937"/>
    <cellStyle name="Calculation 7 2 5 4 2" xfId="10938"/>
    <cellStyle name="Calculation 7 2 5 4 3" xfId="10939"/>
    <cellStyle name="Calculation 7 2 5 4 4" xfId="10940"/>
    <cellStyle name="Calculation 7 2 5 5" xfId="10941"/>
    <cellStyle name="Calculation 7 2 5 6" xfId="10942"/>
    <cellStyle name="Calculation 7 2 5 7" xfId="10943"/>
    <cellStyle name="Calculation 7 2 6" xfId="10944"/>
    <cellStyle name="Calculation 7 2 6 2" xfId="10945"/>
    <cellStyle name="Calculation 7 2 6 2 2" xfId="10946"/>
    <cellStyle name="Calculation 7 2 6 2 3" xfId="10947"/>
    <cellStyle name="Calculation 7 2 6 2 4" xfId="10948"/>
    <cellStyle name="Calculation 7 2 6 3" xfId="10949"/>
    <cellStyle name="Calculation 7 2 6 3 2" xfId="10950"/>
    <cellStyle name="Calculation 7 2 6 3 3" xfId="10951"/>
    <cellStyle name="Calculation 7 2 6 3 4" xfId="10952"/>
    <cellStyle name="Calculation 7 2 6 4" xfId="10953"/>
    <cellStyle name="Calculation 7 2 6 4 2" xfId="10954"/>
    <cellStyle name="Calculation 7 2 6 4 3" xfId="10955"/>
    <cellStyle name="Calculation 7 2 6 4 4" xfId="10956"/>
    <cellStyle name="Calculation 7 2 6 5" xfId="10957"/>
    <cellStyle name="Calculation 7 2 6 6" xfId="10958"/>
    <cellStyle name="Calculation 7 2 6 7" xfId="10959"/>
    <cellStyle name="Calculation 7 2 7" xfId="10960"/>
    <cellStyle name="Calculation 7 2 7 2" xfId="10961"/>
    <cellStyle name="Calculation 7 2 7 3" xfId="10962"/>
    <cellStyle name="Calculation 7 2 7 4" xfId="10963"/>
    <cellStyle name="Calculation 7 2 8" xfId="10964"/>
    <cellStyle name="Calculation 7 2 8 2" xfId="10965"/>
    <cellStyle name="Calculation 7 2 8 3" xfId="10966"/>
    <cellStyle name="Calculation 7 2 8 4" xfId="10967"/>
    <cellStyle name="Calculation 7 2 9" xfId="10968"/>
    <cellStyle name="Calculation 7 2 9 2" xfId="10969"/>
    <cellStyle name="Calculation 7 2 9 3" xfId="10970"/>
    <cellStyle name="Calculation 7 2 9 4" xfId="10971"/>
    <cellStyle name="Calculation 7 3" xfId="10972"/>
    <cellStyle name="Calculation 7 3 10" xfId="10973"/>
    <cellStyle name="Calculation 7 3 11" xfId="10974"/>
    <cellStyle name="Calculation 7 3 12" xfId="10975"/>
    <cellStyle name="Calculation 7 3 2" xfId="10976"/>
    <cellStyle name="Calculation 7 3 2 2" xfId="10977"/>
    <cellStyle name="Calculation 7 3 2 2 2" xfId="10978"/>
    <cellStyle name="Calculation 7 3 2 2 3" xfId="10979"/>
    <cellStyle name="Calculation 7 3 2 2 4" xfId="10980"/>
    <cellStyle name="Calculation 7 3 2 3" xfId="10981"/>
    <cellStyle name="Calculation 7 3 2 3 2" xfId="10982"/>
    <cellStyle name="Calculation 7 3 2 3 3" xfId="10983"/>
    <cellStyle name="Calculation 7 3 2 3 4" xfId="10984"/>
    <cellStyle name="Calculation 7 3 2 4" xfId="10985"/>
    <cellStyle name="Calculation 7 3 2 4 2" xfId="10986"/>
    <cellStyle name="Calculation 7 3 2 4 3" xfId="10987"/>
    <cellStyle name="Calculation 7 3 2 4 4" xfId="10988"/>
    <cellStyle name="Calculation 7 3 2 5" xfId="10989"/>
    <cellStyle name="Calculation 7 3 2 6" xfId="10990"/>
    <cellStyle name="Calculation 7 3 2 7" xfId="10991"/>
    <cellStyle name="Calculation 7 3 3" xfId="10992"/>
    <cellStyle name="Calculation 7 3 3 2" xfId="10993"/>
    <cellStyle name="Calculation 7 3 3 2 2" xfId="10994"/>
    <cellStyle name="Calculation 7 3 3 2 3" xfId="10995"/>
    <cellStyle name="Calculation 7 3 3 2 4" xfId="10996"/>
    <cellStyle name="Calculation 7 3 3 3" xfId="10997"/>
    <cellStyle name="Calculation 7 3 3 3 2" xfId="10998"/>
    <cellStyle name="Calculation 7 3 3 3 3" xfId="10999"/>
    <cellStyle name="Calculation 7 3 3 3 4" xfId="11000"/>
    <cellStyle name="Calculation 7 3 3 4" xfId="11001"/>
    <cellStyle name="Calculation 7 3 3 4 2" xfId="11002"/>
    <cellStyle name="Calculation 7 3 3 4 3" xfId="11003"/>
    <cellStyle name="Calculation 7 3 3 4 4" xfId="11004"/>
    <cellStyle name="Calculation 7 3 3 5" xfId="11005"/>
    <cellStyle name="Calculation 7 3 3 6" xfId="11006"/>
    <cellStyle name="Calculation 7 3 3 7" xfId="11007"/>
    <cellStyle name="Calculation 7 3 4" xfId="11008"/>
    <cellStyle name="Calculation 7 3 4 2" xfId="11009"/>
    <cellStyle name="Calculation 7 3 4 2 2" xfId="11010"/>
    <cellStyle name="Calculation 7 3 4 2 3" xfId="11011"/>
    <cellStyle name="Calculation 7 3 4 2 4" xfId="11012"/>
    <cellStyle name="Calculation 7 3 4 3" xfId="11013"/>
    <cellStyle name="Calculation 7 3 4 3 2" xfId="11014"/>
    <cellStyle name="Calculation 7 3 4 3 3" xfId="11015"/>
    <cellStyle name="Calculation 7 3 4 3 4" xfId="11016"/>
    <cellStyle name="Calculation 7 3 4 4" xfId="11017"/>
    <cellStyle name="Calculation 7 3 4 4 2" xfId="11018"/>
    <cellStyle name="Calculation 7 3 4 4 3" xfId="11019"/>
    <cellStyle name="Calculation 7 3 4 4 4" xfId="11020"/>
    <cellStyle name="Calculation 7 3 4 5" xfId="11021"/>
    <cellStyle name="Calculation 7 3 4 6" xfId="11022"/>
    <cellStyle name="Calculation 7 3 4 7" xfId="11023"/>
    <cellStyle name="Calculation 7 3 5" xfId="11024"/>
    <cellStyle name="Calculation 7 3 5 2" xfId="11025"/>
    <cellStyle name="Calculation 7 3 5 2 2" xfId="11026"/>
    <cellStyle name="Calculation 7 3 5 2 3" xfId="11027"/>
    <cellStyle name="Calculation 7 3 5 2 4" xfId="11028"/>
    <cellStyle name="Calculation 7 3 5 3" xfId="11029"/>
    <cellStyle name="Calculation 7 3 5 3 2" xfId="11030"/>
    <cellStyle name="Calculation 7 3 5 3 3" xfId="11031"/>
    <cellStyle name="Calculation 7 3 5 3 4" xfId="11032"/>
    <cellStyle name="Calculation 7 3 5 4" xfId="11033"/>
    <cellStyle name="Calculation 7 3 5 4 2" xfId="11034"/>
    <cellStyle name="Calculation 7 3 5 4 3" xfId="11035"/>
    <cellStyle name="Calculation 7 3 5 4 4" xfId="11036"/>
    <cellStyle name="Calculation 7 3 5 5" xfId="11037"/>
    <cellStyle name="Calculation 7 3 5 6" xfId="11038"/>
    <cellStyle name="Calculation 7 3 5 7" xfId="11039"/>
    <cellStyle name="Calculation 7 3 6" xfId="11040"/>
    <cellStyle name="Calculation 7 3 6 2" xfId="11041"/>
    <cellStyle name="Calculation 7 3 6 2 2" xfId="11042"/>
    <cellStyle name="Calculation 7 3 6 2 3" xfId="11043"/>
    <cellStyle name="Calculation 7 3 6 2 4" xfId="11044"/>
    <cellStyle name="Calculation 7 3 6 3" xfId="11045"/>
    <cellStyle name="Calculation 7 3 6 3 2" xfId="11046"/>
    <cellStyle name="Calculation 7 3 6 3 3" xfId="11047"/>
    <cellStyle name="Calculation 7 3 6 3 4" xfId="11048"/>
    <cellStyle name="Calculation 7 3 6 4" xfId="11049"/>
    <cellStyle name="Calculation 7 3 6 4 2" xfId="11050"/>
    <cellStyle name="Calculation 7 3 6 4 3" xfId="11051"/>
    <cellStyle name="Calculation 7 3 6 4 4" xfId="11052"/>
    <cellStyle name="Calculation 7 3 6 5" xfId="11053"/>
    <cellStyle name="Calculation 7 3 6 6" xfId="11054"/>
    <cellStyle name="Calculation 7 3 6 7" xfId="11055"/>
    <cellStyle name="Calculation 7 3 7" xfId="11056"/>
    <cellStyle name="Calculation 7 3 7 2" xfId="11057"/>
    <cellStyle name="Calculation 7 3 7 3" xfId="11058"/>
    <cellStyle name="Calculation 7 3 7 4" xfId="11059"/>
    <cellStyle name="Calculation 7 3 8" xfId="11060"/>
    <cellStyle name="Calculation 7 3 8 2" xfId="11061"/>
    <cellStyle name="Calculation 7 3 8 3" xfId="11062"/>
    <cellStyle name="Calculation 7 3 8 4" xfId="11063"/>
    <cellStyle name="Calculation 7 3 9" xfId="11064"/>
    <cellStyle name="Calculation 7 3 9 2" xfId="11065"/>
    <cellStyle name="Calculation 7 3 9 3" xfId="11066"/>
    <cellStyle name="Calculation 7 3 9 4" xfId="11067"/>
    <cellStyle name="Calculation 7 4" xfId="11068"/>
    <cellStyle name="Calculation 7 4 10" xfId="11069"/>
    <cellStyle name="Calculation 7 4 11" xfId="11070"/>
    <cellStyle name="Calculation 7 4 12" xfId="11071"/>
    <cellStyle name="Calculation 7 4 2" xfId="11072"/>
    <cellStyle name="Calculation 7 4 2 2" xfId="11073"/>
    <cellStyle name="Calculation 7 4 2 2 2" xfId="11074"/>
    <cellStyle name="Calculation 7 4 2 2 3" xfId="11075"/>
    <cellStyle name="Calculation 7 4 2 2 4" xfId="11076"/>
    <cellStyle name="Calculation 7 4 2 3" xfId="11077"/>
    <cellStyle name="Calculation 7 4 2 3 2" xfId="11078"/>
    <cellStyle name="Calculation 7 4 2 3 3" xfId="11079"/>
    <cellStyle name="Calculation 7 4 2 3 4" xfId="11080"/>
    <cellStyle name="Calculation 7 4 2 4" xfId="11081"/>
    <cellStyle name="Calculation 7 4 2 4 2" xfId="11082"/>
    <cellStyle name="Calculation 7 4 2 4 3" xfId="11083"/>
    <cellStyle name="Calculation 7 4 2 4 4" xfId="11084"/>
    <cellStyle name="Calculation 7 4 2 5" xfId="11085"/>
    <cellStyle name="Calculation 7 4 2 6" xfId="11086"/>
    <cellStyle name="Calculation 7 4 2 7" xfId="11087"/>
    <cellStyle name="Calculation 7 4 3" xfId="11088"/>
    <cellStyle name="Calculation 7 4 3 2" xfId="11089"/>
    <cellStyle name="Calculation 7 4 3 2 2" xfId="11090"/>
    <cellStyle name="Calculation 7 4 3 2 3" xfId="11091"/>
    <cellStyle name="Calculation 7 4 3 2 4" xfId="11092"/>
    <cellStyle name="Calculation 7 4 3 3" xfId="11093"/>
    <cellStyle name="Calculation 7 4 3 3 2" xfId="11094"/>
    <cellStyle name="Calculation 7 4 3 3 3" xfId="11095"/>
    <cellStyle name="Calculation 7 4 3 3 4" xfId="11096"/>
    <cellStyle name="Calculation 7 4 3 4" xfId="11097"/>
    <cellStyle name="Calculation 7 4 3 4 2" xfId="11098"/>
    <cellStyle name="Calculation 7 4 3 4 3" xfId="11099"/>
    <cellStyle name="Calculation 7 4 3 4 4" xfId="11100"/>
    <cellStyle name="Calculation 7 4 3 5" xfId="11101"/>
    <cellStyle name="Calculation 7 4 3 6" xfId="11102"/>
    <cellStyle name="Calculation 7 4 3 7" xfId="11103"/>
    <cellStyle name="Calculation 7 4 4" xfId="11104"/>
    <cellStyle name="Calculation 7 4 4 2" xfId="11105"/>
    <cellStyle name="Calculation 7 4 4 2 2" xfId="11106"/>
    <cellStyle name="Calculation 7 4 4 2 3" xfId="11107"/>
    <cellStyle name="Calculation 7 4 4 2 4" xfId="11108"/>
    <cellStyle name="Calculation 7 4 4 3" xfId="11109"/>
    <cellStyle name="Calculation 7 4 4 3 2" xfId="11110"/>
    <cellStyle name="Calculation 7 4 4 3 3" xfId="11111"/>
    <cellStyle name="Calculation 7 4 4 3 4" xfId="11112"/>
    <cellStyle name="Calculation 7 4 4 4" xfId="11113"/>
    <cellStyle name="Calculation 7 4 4 4 2" xfId="11114"/>
    <cellStyle name="Calculation 7 4 4 4 3" xfId="11115"/>
    <cellStyle name="Calculation 7 4 4 4 4" xfId="11116"/>
    <cellStyle name="Calculation 7 4 4 5" xfId="11117"/>
    <cellStyle name="Calculation 7 4 4 6" xfId="11118"/>
    <cellStyle name="Calculation 7 4 4 7" xfId="11119"/>
    <cellStyle name="Calculation 7 4 5" xfId="11120"/>
    <cellStyle name="Calculation 7 4 5 2" xfId="11121"/>
    <cellStyle name="Calculation 7 4 5 2 2" xfId="11122"/>
    <cellStyle name="Calculation 7 4 5 2 3" xfId="11123"/>
    <cellStyle name="Calculation 7 4 5 2 4" xfId="11124"/>
    <cellStyle name="Calculation 7 4 5 3" xfId="11125"/>
    <cellStyle name="Calculation 7 4 5 3 2" xfId="11126"/>
    <cellStyle name="Calculation 7 4 5 3 3" xfId="11127"/>
    <cellStyle name="Calculation 7 4 5 3 4" xfId="11128"/>
    <cellStyle name="Calculation 7 4 5 4" xfId="11129"/>
    <cellStyle name="Calculation 7 4 5 4 2" xfId="11130"/>
    <cellStyle name="Calculation 7 4 5 4 3" xfId="11131"/>
    <cellStyle name="Calculation 7 4 5 4 4" xfId="11132"/>
    <cellStyle name="Calculation 7 4 5 5" xfId="11133"/>
    <cellStyle name="Calculation 7 4 5 6" xfId="11134"/>
    <cellStyle name="Calculation 7 4 5 7" xfId="11135"/>
    <cellStyle name="Calculation 7 4 6" xfId="11136"/>
    <cellStyle name="Calculation 7 4 6 2" xfId="11137"/>
    <cellStyle name="Calculation 7 4 6 2 2" xfId="11138"/>
    <cellStyle name="Calculation 7 4 6 2 3" xfId="11139"/>
    <cellStyle name="Calculation 7 4 6 2 4" xfId="11140"/>
    <cellStyle name="Calculation 7 4 6 3" xfId="11141"/>
    <cellStyle name="Calculation 7 4 6 3 2" xfId="11142"/>
    <cellStyle name="Calculation 7 4 6 3 3" xfId="11143"/>
    <cellStyle name="Calculation 7 4 6 3 4" xfId="11144"/>
    <cellStyle name="Calculation 7 4 6 4" xfId="11145"/>
    <cellStyle name="Calculation 7 4 6 4 2" xfId="11146"/>
    <cellStyle name="Calculation 7 4 6 4 3" xfId="11147"/>
    <cellStyle name="Calculation 7 4 6 4 4" xfId="11148"/>
    <cellStyle name="Calculation 7 4 6 5" xfId="11149"/>
    <cellStyle name="Calculation 7 4 6 6" xfId="11150"/>
    <cellStyle name="Calculation 7 4 6 7" xfId="11151"/>
    <cellStyle name="Calculation 7 4 7" xfId="11152"/>
    <cellStyle name="Calculation 7 4 7 2" xfId="11153"/>
    <cellStyle name="Calculation 7 4 7 3" xfId="11154"/>
    <cellStyle name="Calculation 7 4 7 4" xfId="11155"/>
    <cellStyle name="Calculation 7 4 8" xfId="11156"/>
    <cellStyle name="Calculation 7 4 8 2" xfId="11157"/>
    <cellStyle name="Calculation 7 4 8 3" xfId="11158"/>
    <cellStyle name="Calculation 7 4 8 4" xfId="11159"/>
    <cellStyle name="Calculation 7 4 9" xfId="11160"/>
    <cellStyle name="Calculation 7 4 9 2" xfId="11161"/>
    <cellStyle name="Calculation 7 4 9 3" xfId="11162"/>
    <cellStyle name="Calculation 7 4 9 4" xfId="11163"/>
    <cellStyle name="Calculation 7 5" xfId="11164"/>
    <cellStyle name="Calculation 7 5 10" xfId="11165"/>
    <cellStyle name="Calculation 7 5 11" xfId="11166"/>
    <cellStyle name="Calculation 7 5 12" xfId="11167"/>
    <cellStyle name="Calculation 7 5 2" xfId="11168"/>
    <cellStyle name="Calculation 7 5 2 2" xfId="11169"/>
    <cellStyle name="Calculation 7 5 2 2 2" xfId="11170"/>
    <cellStyle name="Calculation 7 5 2 2 3" xfId="11171"/>
    <cellStyle name="Calculation 7 5 2 2 4" xfId="11172"/>
    <cellStyle name="Calculation 7 5 2 3" xfId="11173"/>
    <cellStyle name="Calculation 7 5 2 3 2" xfId="11174"/>
    <cellStyle name="Calculation 7 5 2 3 3" xfId="11175"/>
    <cellStyle name="Calculation 7 5 2 3 4" xfId="11176"/>
    <cellStyle name="Calculation 7 5 2 4" xfId="11177"/>
    <cellStyle name="Calculation 7 5 2 4 2" xfId="11178"/>
    <cellStyle name="Calculation 7 5 2 4 3" xfId="11179"/>
    <cellStyle name="Calculation 7 5 2 4 4" xfId="11180"/>
    <cellStyle name="Calculation 7 5 2 5" xfId="11181"/>
    <cellStyle name="Calculation 7 5 2 6" xfId="11182"/>
    <cellStyle name="Calculation 7 5 2 7" xfId="11183"/>
    <cellStyle name="Calculation 7 5 3" xfId="11184"/>
    <cellStyle name="Calculation 7 5 3 2" xfId="11185"/>
    <cellStyle name="Calculation 7 5 3 2 2" xfId="11186"/>
    <cellStyle name="Calculation 7 5 3 2 3" xfId="11187"/>
    <cellStyle name="Calculation 7 5 3 2 4" xfId="11188"/>
    <cellStyle name="Calculation 7 5 3 3" xfId="11189"/>
    <cellStyle name="Calculation 7 5 3 3 2" xfId="11190"/>
    <cellStyle name="Calculation 7 5 3 3 3" xfId="11191"/>
    <cellStyle name="Calculation 7 5 3 3 4" xfId="11192"/>
    <cellStyle name="Calculation 7 5 3 4" xfId="11193"/>
    <cellStyle name="Calculation 7 5 3 4 2" xfId="11194"/>
    <cellStyle name="Calculation 7 5 3 4 3" xfId="11195"/>
    <cellStyle name="Calculation 7 5 3 4 4" xfId="11196"/>
    <cellStyle name="Calculation 7 5 3 5" xfId="11197"/>
    <cellStyle name="Calculation 7 5 3 6" xfId="11198"/>
    <cellStyle name="Calculation 7 5 3 7" xfId="11199"/>
    <cellStyle name="Calculation 7 5 4" xfId="11200"/>
    <cellStyle name="Calculation 7 5 4 2" xfId="11201"/>
    <cellStyle name="Calculation 7 5 4 2 2" xfId="11202"/>
    <cellStyle name="Calculation 7 5 4 2 3" xfId="11203"/>
    <cellStyle name="Calculation 7 5 4 2 4" xfId="11204"/>
    <cellStyle name="Calculation 7 5 4 3" xfId="11205"/>
    <cellStyle name="Calculation 7 5 4 3 2" xfId="11206"/>
    <cellStyle name="Calculation 7 5 4 3 3" xfId="11207"/>
    <cellStyle name="Calculation 7 5 4 3 4" xfId="11208"/>
    <cellStyle name="Calculation 7 5 4 4" xfId="11209"/>
    <cellStyle name="Calculation 7 5 4 4 2" xfId="11210"/>
    <cellStyle name="Calculation 7 5 4 4 3" xfId="11211"/>
    <cellStyle name="Calculation 7 5 4 4 4" xfId="11212"/>
    <cellStyle name="Calculation 7 5 4 5" xfId="11213"/>
    <cellStyle name="Calculation 7 5 4 6" xfId="11214"/>
    <cellStyle name="Calculation 7 5 4 7" xfId="11215"/>
    <cellStyle name="Calculation 7 5 5" xfId="11216"/>
    <cellStyle name="Calculation 7 5 5 2" xfId="11217"/>
    <cellStyle name="Calculation 7 5 5 2 2" xfId="11218"/>
    <cellStyle name="Calculation 7 5 5 2 3" xfId="11219"/>
    <cellStyle name="Calculation 7 5 5 2 4" xfId="11220"/>
    <cellStyle name="Calculation 7 5 5 3" xfId="11221"/>
    <cellStyle name="Calculation 7 5 5 3 2" xfId="11222"/>
    <cellStyle name="Calculation 7 5 5 3 3" xfId="11223"/>
    <cellStyle name="Calculation 7 5 5 3 4" xfId="11224"/>
    <cellStyle name="Calculation 7 5 5 4" xfId="11225"/>
    <cellStyle name="Calculation 7 5 5 4 2" xfId="11226"/>
    <cellStyle name="Calculation 7 5 5 4 3" xfId="11227"/>
    <cellStyle name="Calculation 7 5 5 4 4" xfId="11228"/>
    <cellStyle name="Calculation 7 5 5 5" xfId="11229"/>
    <cellStyle name="Calculation 7 5 5 6" xfId="11230"/>
    <cellStyle name="Calculation 7 5 5 7" xfId="11231"/>
    <cellStyle name="Calculation 7 5 6" xfId="11232"/>
    <cellStyle name="Calculation 7 5 6 2" xfId="11233"/>
    <cellStyle name="Calculation 7 5 6 2 2" xfId="11234"/>
    <cellStyle name="Calculation 7 5 6 2 3" xfId="11235"/>
    <cellStyle name="Calculation 7 5 6 2 4" xfId="11236"/>
    <cellStyle name="Calculation 7 5 6 3" xfId="11237"/>
    <cellStyle name="Calculation 7 5 6 3 2" xfId="11238"/>
    <cellStyle name="Calculation 7 5 6 3 3" xfId="11239"/>
    <cellStyle name="Calculation 7 5 6 3 4" xfId="11240"/>
    <cellStyle name="Calculation 7 5 6 4" xfId="11241"/>
    <cellStyle name="Calculation 7 5 6 4 2" xfId="11242"/>
    <cellStyle name="Calculation 7 5 6 4 3" xfId="11243"/>
    <cellStyle name="Calculation 7 5 6 4 4" xfId="11244"/>
    <cellStyle name="Calculation 7 5 6 5" xfId="11245"/>
    <cellStyle name="Calculation 7 5 6 6" xfId="11246"/>
    <cellStyle name="Calculation 7 5 6 7" xfId="11247"/>
    <cellStyle name="Calculation 7 5 7" xfId="11248"/>
    <cellStyle name="Calculation 7 5 7 2" xfId="11249"/>
    <cellStyle name="Calculation 7 5 7 3" xfId="11250"/>
    <cellStyle name="Calculation 7 5 7 4" xfId="11251"/>
    <cellStyle name="Calculation 7 5 8" xfId="11252"/>
    <cellStyle name="Calculation 7 5 8 2" xfId="11253"/>
    <cellStyle name="Calculation 7 5 8 3" xfId="11254"/>
    <cellStyle name="Calculation 7 5 8 4" xfId="11255"/>
    <cellStyle name="Calculation 7 5 9" xfId="11256"/>
    <cellStyle name="Calculation 7 5 9 2" xfId="11257"/>
    <cellStyle name="Calculation 7 5 9 3" xfId="11258"/>
    <cellStyle name="Calculation 7 5 9 4" xfId="11259"/>
    <cellStyle name="Calculation 7 6" xfId="11260"/>
    <cellStyle name="Calculation 7 6 2" xfId="11261"/>
    <cellStyle name="Calculation 7 6 2 2" xfId="11262"/>
    <cellStyle name="Calculation 7 6 2 3" xfId="11263"/>
    <cellStyle name="Calculation 7 6 2 4" xfId="11264"/>
    <cellStyle name="Calculation 7 6 3" xfId="11265"/>
    <cellStyle name="Calculation 7 6 3 2" xfId="11266"/>
    <cellStyle name="Calculation 7 6 3 3" xfId="11267"/>
    <cellStyle name="Calculation 7 6 3 4" xfId="11268"/>
    <cellStyle name="Calculation 7 6 4" xfId="11269"/>
    <cellStyle name="Calculation 7 6 4 2" xfId="11270"/>
    <cellStyle name="Calculation 7 6 4 3" xfId="11271"/>
    <cellStyle name="Calculation 7 6 4 4" xfId="11272"/>
    <cellStyle name="Calculation 7 6 5" xfId="11273"/>
    <cellStyle name="Calculation 7 6 6" xfId="11274"/>
    <cellStyle name="Calculation 7 6 7" xfId="11275"/>
    <cellStyle name="Calculation 7 7" xfId="11276"/>
    <cellStyle name="Calculation 7 7 2" xfId="11277"/>
    <cellStyle name="Calculation 7 7 2 2" xfId="11278"/>
    <cellStyle name="Calculation 7 7 2 3" xfId="11279"/>
    <cellStyle name="Calculation 7 7 2 4" xfId="11280"/>
    <cellStyle name="Calculation 7 7 3" xfId="11281"/>
    <cellStyle name="Calculation 7 7 3 2" xfId="11282"/>
    <cellStyle name="Calculation 7 7 3 3" xfId="11283"/>
    <cellStyle name="Calculation 7 7 3 4" xfId="11284"/>
    <cellStyle name="Calculation 7 7 4" xfId="11285"/>
    <cellStyle name="Calculation 7 7 4 2" xfId="11286"/>
    <cellStyle name="Calculation 7 7 4 3" xfId="11287"/>
    <cellStyle name="Calculation 7 7 4 4" xfId="11288"/>
    <cellStyle name="Calculation 7 7 5" xfId="11289"/>
    <cellStyle name="Calculation 7 7 6" xfId="11290"/>
    <cellStyle name="Calculation 7 7 7" xfId="11291"/>
    <cellStyle name="Calculation 7 8" xfId="11292"/>
    <cellStyle name="Calculation 7 8 2" xfId="11293"/>
    <cellStyle name="Calculation 7 8 2 2" xfId="11294"/>
    <cellStyle name="Calculation 7 8 2 3" xfId="11295"/>
    <cellStyle name="Calculation 7 8 2 4" xfId="11296"/>
    <cellStyle name="Calculation 7 8 3" xfId="11297"/>
    <cellStyle name="Calculation 7 8 3 2" xfId="11298"/>
    <cellStyle name="Calculation 7 8 3 3" xfId="11299"/>
    <cellStyle name="Calculation 7 8 3 4" xfId="11300"/>
    <cellStyle name="Calculation 7 8 4" xfId="11301"/>
    <cellStyle name="Calculation 7 8 4 2" xfId="11302"/>
    <cellStyle name="Calculation 7 8 4 3" xfId="11303"/>
    <cellStyle name="Calculation 7 8 4 4" xfId="11304"/>
    <cellStyle name="Calculation 7 8 5" xfId="11305"/>
    <cellStyle name="Calculation 7 8 6" xfId="11306"/>
    <cellStyle name="Calculation 7 8 7" xfId="11307"/>
    <cellStyle name="Calculation 7 9" xfId="11308"/>
    <cellStyle name="Calculation 7 9 2" xfId="11309"/>
    <cellStyle name="Calculation 7 9 2 2" xfId="11310"/>
    <cellStyle name="Calculation 7 9 2 3" xfId="11311"/>
    <cellStyle name="Calculation 7 9 2 4" xfId="11312"/>
    <cellStyle name="Calculation 7 9 3" xfId="11313"/>
    <cellStyle name="Calculation 7 9 3 2" xfId="11314"/>
    <cellStyle name="Calculation 7 9 3 3" xfId="11315"/>
    <cellStyle name="Calculation 7 9 3 4" xfId="11316"/>
    <cellStyle name="Calculation 7 9 4" xfId="11317"/>
    <cellStyle name="Calculation 7 9 4 2" xfId="11318"/>
    <cellStyle name="Calculation 7 9 4 3" xfId="11319"/>
    <cellStyle name="Calculation 7 9 4 4" xfId="11320"/>
    <cellStyle name="Calculation 7 9 5" xfId="11321"/>
    <cellStyle name="Calculation 7 9 6" xfId="11322"/>
    <cellStyle name="Calculation 7 9 7" xfId="11323"/>
    <cellStyle name="Calculation 8" xfId="1022"/>
    <cellStyle name="Calculation 8 10" xfId="11324"/>
    <cellStyle name="Calculation 8 11" xfId="11325"/>
    <cellStyle name="Calculation 8 12" xfId="11326"/>
    <cellStyle name="Calculation 8 2" xfId="11327"/>
    <cellStyle name="Calculation 8 2 2" xfId="11328"/>
    <cellStyle name="Calculation 8 2 2 2" xfId="11329"/>
    <cellStyle name="Calculation 8 2 2 3" xfId="11330"/>
    <cellStyle name="Calculation 8 2 2 4" xfId="11331"/>
    <cellStyle name="Calculation 8 2 3" xfId="11332"/>
    <cellStyle name="Calculation 8 2 3 2" xfId="11333"/>
    <cellStyle name="Calculation 8 2 3 3" xfId="11334"/>
    <cellStyle name="Calculation 8 2 3 4" xfId="11335"/>
    <cellStyle name="Calculation 8 2 4" xfId="11336"/>
    <cellStyle name="Calculation 8 2 4 2" xfId="11337"/>
    <cellStyle name="Calculation 8 2 4 3" xfId="11338"/>
    <cellStyle name="Calculation 8 2 4 4" xfId="11339"/>
    <cellStyle name="Calculation 8 2 5" xfId="11340"/>
    <cellStyle name="Calculation 8 2 6" xfId="11341"/>
    <cellStyle name="Calculation 8 2 7" xfId="11342"/>
    <cellStyle name="Calculation 8 3" xfId="11343"/>
    <cellStyle name="Calculation 8 3 2" xfId="11344"/>
    <cellStyle name="Calculation 8 3 2 2" xfId="11345"/>
    <cellStyle name="Calculation 8 3 2 3" xfId="11346"/>
    <cellStyle name="Calculation 8 3 2 4" xfId="11347"/>
    <cellStyle name="Calculation 8 3 3" xfId="11348"/>
    <cellStyle name="Calculation 8 3 3 2" xfId="11349"/>
    <cellStyle name="Calculation 8 3 3 3" xfId="11350"/>
    <cellStyle name="Calculation 8 3 3 4" xfId="11351"/>
    <cellStyle name="Calculation 8 3 4" xfId="11352"/>
    <cellStyle name="Calculation 8 3 4 2" xfId="11353"/>
    <cellStyle name="Calculation 8 3 4 3" xfId="11354"/>
    <cellStyle name="Calculation 8 3 4 4" xfId="11355"/>
    <cellStyle name="Calculation 8 3 5" xfId="11356"/>
    <cellStyle name="Calculation 8 3 6" xfId="11357"/>
    <cellStyle name="Calculation 8 3 7" xfId="11358"/>
    <cellStyle name="Calculation 8 4" xfId="11359"/>
    <cellStyle name="Calculation 8 4 2" xfId="11360"/>
    <cellStyle name="Calculation 8 4 2 2" xfId="11361"/>
    <cellStyle name="Calculation 8 4 2 3" xfId="11362"/>
    <cellStyle name="Calculation 8 4 2 4" xfId="11363"/>
    <cellStyle name="Calculation 8 4 3" xfId="11364"/>
    <cellStyle name="Calculation 8 4 3 2" xfId="11365"/>
    <cellStyle name="Calculation 8 4 3 3" xfId="11366"/>
    <cellStyle name="Calculation 8 4 3 4" xfId="11367"/>
    <cellStyle name="Calculation 8 4 4" xfId="11368"/>
    <cellStyle name="Calculation 8 4 4 2" xfId="11369"/>
    <cellStyle name="Calculation 8 4 4 3" xfId="11370"/>
    <cellStyle name="Calculation 8 4 4 4" xfId="11371"/>
    <cellStyle name="Calculation 8 4 5" xfId="11372"/>
    <cellStyle name="Calculation 8 4 6" xfId="11373"/>
    <cellStyle name="Calculation 8 4 7" xfId="11374"/>
    <cellStyle name="Calculation 8 5" xfId="11375"/>
    <cellStyle name="Calculation 8 5 2" xfId="11376"/>
    <cellStyle name="Calculation 8 5 2 2" xfId="11377"/>
    <cellStyle name="Calculation 8 5 2 3" xfId="11378"/>
    <cellStyle name="Calculation 8 5 2 4" xfId="11379"/>
    <cellStyle name="Calculation 8 5 3" xfId="11380"/>
    <cellStyle name="Calculation 8 5 3 2" xfId="11381"/>
    <cellStyle name="Calculation 8 5 3 3" xfId="11382"/>
    <cellStyle name="Calculation 8 5 3 4" xfId="11383"/>
    <cellStyle name="Calculation 8 5 4" xfId="11384"/>
    <cellStyle name="Calculation 8 5 4 2" xfId="11385"/>
    <cellStyle name="Calculation 8 5 4 3" xfId="11386"/>
    <cellStyle name="Calculation 8 5 4 4" xfId="11387"/>
    <cellStyle name="Calculation 8 5 5" xfId="11388"/>
    <cellStyle name="Calculation 8 5 6" xfId="11389"/>
    <cellStyle name="Calculation 8 5 7" xfId="11390"/>
    <cellStyle name="Calculation 8 6" xfId="11391"/>
    <cellStyle name="Calculation 8 6 2" xfId="11392"/>
    <cellStyle name="Calculation 8 6 2 2" xfId="11393"/>
    <cellStyle name="Calculation 8 6 2 3" xfId="11394"/>
    <cellStyle name="Calculation 8 6 2 4" xfId="11395"/>
    <cellStyle name="Calculation 8 6 3" xfId="11396"/>
    <cellStyle name="Calculation 8 6 3 2" xfId="11397"/>
    <cellStyle name="Calculation 8 6 3 3" xfId="11398"/>
    <cellStyle name="Calculation 8 6 3 4" xfId="11399"/>
    <cellStyle name="Calculation 8 6 4" xfId="11400"/>
    <cellStyle name="Calculation 8 6 4 2" xfId="11401"/>
    <cellStyle name="Calculation 8 6 4 3" xfId="11402"/>
    <cellStyle name="Calculation 8 6 4 4" xfId="11403"/>
    <cellStyle name="Calculation 8 6 5" xfId="11404"/>
    <cellStyle name="Calculation 8 6 6" xfId="11405"/>
    <cellStyle name="Calculation 8 6 7" xfId="11406"/>
    <cellStyle name="Calculation 8 7" xfId="11407"/>
    <cellStyle name="Calculation 8 7 2" xfId="11408"/>
    <cellStyle name="Calculation 8 7 3" xfId="11409"/>
    <cellStyle name="Calculation 8 7 4" xfId="11410"/>
    <cellStyle name="Calculation 8 8" xfId="11411"/>
    <cellStyle name="Calculation 8 8 2" xfId="11412"/>
    <cellStyle name="Calculation 8 8 3" xfId="11413"/>
    <cellStyle name="Calculation 8 8 4" xfId="11414"/>
    <cellStyle name="Calculation 8 9" xfId="11415"/>
    <cellStyle name="Calculation 8 9 2" xfId="11416"/>
    <cellStyle name="Calculation 8 9 3" xfId="11417"/>
    <cellStyle name="Calculation 8 9 4" xfId="11418"/>
    <cellStyle name="Calculation 9" xfId="1033"/>
    <cellStyle name="Calculation 9 2" xfId="11419"/>
    <cellStyle name="Calculation 9 2 2" xfId="11420"/>
    <cellStyle name="Calculation 9 2 3" xfId="11421"/>
    <cellStyle name="Calculation 9 2 4" xfId="11422"/>
    <cellStyle name="Calculation 9 3" xfId="11423"/>
    <cellStyle name="Calculation 9 3 2" xfId="11424"/>
    <cellStyle name="Calculation 9 3 3" xfId="11425"/>
    <cellStyle name="Calculation 9 3 4" xfId="11426"/>
    <cellStyle name="Calculation 9 4" xfId="11427"/>
    <cellStyle name="Calculation 9 4 2" xfId="11428"/>
    <cellStyle name="Calculation 9 4 3" xfId="11429"/>
    <cellStyle name="Calculation 9 4 4" xfId="11430"/>
    <cellStyle name="Calculation 9 5" xfId="11431"/>
    <cellStyle name="Calculation 9 6" xfId="11432"/>
    <cellStyle name="Calculation 9 7" xfId="11433"/>
    <cellStyle name="cents" xfId="67"/>
    <cellStyle name="cents 2" xfId="402"/>
    <cellStyle name="cents 3" xfId="1051"/>
    <cellStyle name="Check Cell" xfId="68" builtinId="23" customBuiltin="1"/>
    <cellStyle name="Check Cell 2" xfId="69"/>
    <cellStyle name="Check Cell 3" xfId="244"/>
    <cellStyle name="Check Cell 3 2" xfId="403"/>
    <cellStyle name="Check Cell 3 3" xfId="404"/>
    <cellStyle name="Check Cell 4" xfId="697"/>
    <cellStyle name="Check Cell 5" xfId="11434"/>
    <cellStyle name="Comma" xfId="70" builtinId="3"/>
    <cellStyle name="Comma [0] 2" xfId="71"/>
    <cellStyle name="Comma [0] 2 2" xfId="72"/>
    <cellStyle name="Comma [0] 2 2 2" xfId="405"/>
    <cellStyle name="Comma [0] 2 2 3" xfId="1054"/>
    <cellStyle name="Comma [0] 2 3" xfId="406"/>
    <cellStyle name="Comma [0] 2 4" xfId="1053"/>
    <cellStyle name="Comma 0" xfId="1194"/>
    <cellStyle name="Comma 10" xfId="245"/>
    <cellStyle name="Comma 11" xfId="246"/>
    <cellStyle name="Comma 12" xfId="247"/>
    <cellStyle name="Comma 13" xfId="248"/>
    <cellStyle name="Comma 14" xfId="249"/>
    <cellStyle name="Comma 15" xfId="250"/>
    <cellStyle name="Comma 16" xfId="251"/>
    <cellStyle name="Comma 17" xfId="252"/>
    <cellStyle name="Comma 18" xfId="253"/>
    <cellStyle name="Comma 19" xfId="254"/>
    <cellStyle name="Comma 2" xfId="73"/>
    <cellStyle name="Comma 2 2" xfId="74"/>
    <cellStyle name="Comma 2 2 2" xfId="75"/>
    <cellStyle name="Comma 2 2 2 2" xfId="407"/>
    <cellStyle name="Comma 2 2 2 3" xfId="1057"/>
    <cellStyle name="Comma 2 2 3" xfId="408"/>
    <cellStyle name="Comma 2 2 4" xfId="11435"/>
    <cellStyle name="Comma 2 3" xfId="409"/>
    <cellStyle name="Comma 2 4" xfId="410"/>
    <cellStyle name="Comma 20" xfId="255"/>
    <cellStyle name="Comma 21" xfId="256"/>
    <cellStyle name="Comma 22" xfId="257"/>
    <cellStyle name="Comma 23" xfId="258"/>
    <cellStyle name="Comma 24" xfId="259"/>
    <cellStyle name="Comma 25" xfId="260"/>
    <cellStyle name="Comma 26" xfId="261"/>
    <cellStyle name="Comma 27" xfId="262"/>
    <cellStyle name="Comma 28" xfId="263"/>
    <cellStyle name="Comma 29" xfId="264"/>
    <cellStyle name="Comma 3" xfId="76"/>
    <cellStyle name="Comma 3 2" xfId="411"/>
    <cellStyle name="Comma 3 2 2" xfId="1196"/>
    <cellStyle name="Comma 3 3" xfId="412"/>
    <cellStyle name="Comma 3 4" xfId="1195"/>
    <cellStyle name="Comma 30" xfId="265"/>
    <cellStyle name="Comma 31" xfId="266"/>
    <cellStyle name="Comma 32" xfId="267"/>
    <cellStyle name="Comma 33" xfId="268"/>
    <cellStyle name="Comma 34" xfId="269"/>
    <cellStyle name="Comma 35" xfId="270"/>
    <cellStyle name="Comma 36" xfId="271"/>
    <cellStyle name="Comma 37" xfId="272"/>
    <cellStyle name="Comma 38" xfId="273"/>
    <cellStyle name="Comma 39" xfId="274"/>
    <cellStyle name="Comma 4" xfId="77"/>
    <cellStyle name="Comma 4 2" xfId="413"/>
    <cellStyle name="Comma 4 2 2" xfId="1198"/>
    <cellStyle name="Comma 4 3" xfId="1197"/>
    <cellStyle name="Comma 4 4" xfId="1059"/>
    <cellStyle name="Comma 4_2011 Gas Production savings by program 7.27.12 eval w 2-14-14 changes" xfId="1199"/>
    <cellStyle name="Comma 40" xfId="275"/>
    <cellStyle name="Comma 41" xfId="276"/>
    <cellStyle name="Comma 42" xfId="277"/>
    <cellStyle name="Comma 43" xfId="278"/>
    <cellStyle name="Comma 44" xfId="279"/>
    <cellStyle name="Comma 45" xfId="280"/>
    <cellStyle name="Comma 46" xfId="281"/>
    <cellStyle name="Comma 47" xfId="414"/>
    <cellStyle name="Comma 48" xfId="415"/>
    <cellStyle name="Comma 48 2" xfId="11436"/>
    <cellStyle name="Comma 48 3" xfId="11437"/>
    <cellStyle name="Comma 49" xfId="416"/>
    <cellStyle name="Comma 5" xfId="188"/>
    <cellStyle name="Comma 50" xfId="417"/>
    <cellStyle name="Comma 50 2" xfId="418"/>
    <cellStyle name="Comma 51" xfId="419"/>
    <cellStyle name="Comma 52" xfId="420"/>
    <cellStyle name="Comma 53" xfId="698"/>
    <cellStyle name="Comma 54" xfId="749"/>
    <cellStyle name="Comma 55" xfId="919"/>
    <cellStyle name="Comma 56" xfId="852"/>
    <cellStyle name="Comma 57" xfId="923"/>
    <cellStyle name="Comma 58" xfId="757"/>
    <cellStyle name="Comma 58 2" xfId="11438"/>
    <cellStyle name="Comma 59" xfId="797"/>
    <cellStyle name="Comma 59 2" xfId="11439"/>
    <cellStyle name="Comma 6" xfId="192"/>
    <cellStyle name="Comma 60" xfId="764"/>
    <cellStyle name="Comma 61" xfId="931"/>
    <cellStyle name="Comma 62" xfId="846"/>
    <cellStyle name="Comma 63" xfId="867"/>
    <cellStyle name="Comma 63 2" xfId="11440"/>
    <cellStyle name="Comma 64" xfId="838"/>
    <cellStyle name="Comma 65" xfId="805"/>
    <cellStyle name="Comma 66" xfId="761"/>
    <cellStyle name="Comma 67" xfId="990"/>
    <cellStyle name="Comma 68" xfId="793"/>
    <cellStyle name="Comma 69" xfId="840"/>
    <cellStyle name="Comma 7" xfId="196"/>
    <cellStyle name="Comma 7 2" xfId="421"/>
    <cellStyle name="Comma 7 3" xfId="1113"/>
    <cellStyle name="Comma 70" xfId="769"/>
    <cellStyle name="Comma 71" xfId="833"/>
    <cellStyle name="Comma 72" xfId="784"/>
    <cellStyle name="Comma 73" xfId="992"/>
    <cellStyle name="Comma 74" xfId="800"/>
    <cellStyle name="Comma 75" xfId="742"/>
    <cellStyle name="Comma 76" xfId="747"/>
    <cellStyle name="Comma 77" xfId="777"/>
    <cellStyle name="Comma 78" xfId="807"/>
    <cellStyle name="Comma 79" xfId="926"/>
    <cellStyle name="Comma 8" xfId="199"/>
    <cellStyle name="Comma 8 2" xfId="422"/>
    <cellStyle name="Comma 8 2 2" xfId="11441"/>
    <cellStyle name="Comma 8 2 2 2" xfId="11442"/>
    <cellStyle name="Comma 8 2 3" xfId="11443"/>
    <cellStyle name="Comma 8 2 3 2" xfId="11444"/>
    <cellStyle name="Comma 8 2 4" xfId="11445"/>
    <cellStyle name="Comma 8 3" xfId="717"/>
    <cellStyle name="Comma 8 3 2" xfId="1116"/>
    <cellStyle name="Comma 8 4" xfId="3322"/>
    <cellStyle name="Comma 8 4 2" xfId="11446"/>
    <cellStyle name="Comma 8 5" xfId="3340"/>
    <cellStyle name="Comma 8 6" xfId="995"/>
    <cellStyle name="Comma 80" xfId="770"/>
    <cellStyle name="Comma 81" xfId="771"/>
    <cellStyle name="Comma 82" xfId="974"/>
    <cellStyle name="Comma 83" xfId="778"/>
    <cellStyle name="Comma 84" xfId="991"/>
    <cellStyle name="Comma 85" xfId="989"/>
    <cellStyle name="Comma 86" xfId="3342"/>
    <cellStyle name="Comma 87" xfId="3343"/>
    <cellStyle name="Comma 88" xfId="3344"/>
    <cellStyle name="Comma 9" xfId="282"/>
    <cellStyle name="Comma0" xfId="189"/>
    <cellStyle name="Comma0 2" xfId="284"/>
    <cellStyle name="Comma0 3" xfId="423"/>
    <cellStyle name="Comma0_Inputs Yr 1" xfId="283"/>
    <cellStyle name="Currency" xfId="78" builtinId="4"/>
    <cellStyle name="Currency 10" xfId="699"/>
    <cellStyle name="Currency 10 2" xfId="11447"/>
    <cellStyle name="Currency 10 3" xfId="11448"/>
    <cellStyle name="Currency 11" xfId="11449"/>
    <cellStyle name="Currency 12" xfId="11450"/>
    <cellStyle name="Currency 12 2" xfId="11451"/>
    <cellStyle name="Currency 13" xfId="11452"/>
    <cellStyle name="Currency 2" xfId="79"/>
    <cellStyle name="Currency 2 2" xfId="181"/>
    <cellStyle name="Currency 2 2 2" xfId="424"/>
    <cellStyle name="Currency 2 2 3" xfId="11453"/>
    <cellStyle name="Currency 2 3" xfId="425"/>
    <cellStyle name="Currency 2 4" xfId="426"/>
    <cellStyle name="Currency 3" xfId="164"/>
    <cellStyle name="Currency 3 2" xfId="427"/>
    <cellStyle name="Currency 3 3" xfId="1098"/>
    <cellStyle name="Currency 4" xfId="198"/>
    <cellStyle name="Currency 4 2" xfId="428"/>
    <cellStyle name="Currency 4 2 2" xfId="11454"/>
    <cellStyle name="Currency 4 2 2 2" xfId="11455"/>
    <cellStyle name="Currency 4 2 3" xfId="11456"/>
    <cellStyle name="Currency 4 2 3 2" xfId="11457"/>
    <cellStyle name="Currency 4 2 4" xfId="11458"/>
    <cellStyle name="Currency 4 3" xfId="716"/>
    <cellStyle name="Currency 4 3 2" xfId="1115"/>
    <cellStyle name="Currency 4 4" xfId="3321"/>
    <cellStyle name="Currency 4 4 2" xfId="11459"/>
    <cellStyle name="Currency 4 5" xfId="3319"/>
    <cellStyle name="Currency 4 6" xfId="3339"/>
    <cellStyle name="Currency 4 7" xfId="994"/>
    <cellStyle name="Currency 5" xfId="285"/>
    <cellStyle name="Currency 6" xfId="286"/>
    <cellStyle name="Currency 7" xfId="287"/>
    <cellStyle name="Currency 7 2" xfId="429"/>
    <cellStyle name="Currency 8" xfId="326"/>
    <cellStyle name="Currency 9" xfId="430"/>
    <cellStyle name="Euro" xfId="190"/>
    <cellStyle name="Euro 2" xfId="431"/>
    <cellStyle name="Euro 3" xfId="1111"/>
    <cellStyle name="Explanatory Text" xfId="80" builtinId="53" customBuiltin="1"/>
    <cellStyle name="Explanatory Text 2" xfId="81"/>
    <cellStyle name="Explanatory Text 3" xfId="288"/>
    <cellStyle name="Explanatory Text 3 2" xfId="432"/>
    <cellStyle name="Explanatory Text 3 3" xfId="433"/>
    <cellStyle name="Explanatory Text 4" xfId="700"/>
    <cellStyle name="Explanatory Text 5" xfId="11460"/>
    <cellStyle name="Fixed - 4" xfId="1200"/>
    <cellStyle name="Followed Hyperlink 10" xfId="434"/>
    <cellStyle name="Followed Hyperlink 11" xfId="435"/>
    <cellStyle name="Followed Hyperlink 12" xfId="436"/>
    <cellStyle name="Followed Hyperlink 13" xfId="437"/>
    <cellStyle name="Followed Hyperlink 14" xfId="438"/>
    <cellStyle name="Followed Hyperlink 15" xfId="439"/>
    <cellStyle name="Followed Hyperlink 16" xfId="440"/>
    <cellStyle name="Followed Hyperlink 17" xfId="441"/>
    <cellStyle name="Followed Hyperlink 18" xfId="442"/>
    <cellStyle name="Followed Hyperlink 19" xfId="443"/>
    <cellStyle name="Followed Hyperlink 2" xfId="444"/>
    <cellStyle name="Followed Hyperlink 20" xfId="445"/>
    <cellStyle name="Followed Hyperlink 21" xfId="446"/>
    <cellStyle name="Followed Hyperlink 22" xfId="447"/>
    <cellStyle name="Followed Hyperlink 23" xfId="448"/>
    <cellStyle name="Followed Hyperlink 24" xfId="449"/>
    <cellStyle name="Followed Hyperlink 25" xfId="450"/>
    <cellStyle name="Followed Hyperlink 26" xfId="451"/>
    <cellStyle name="Followed Hyperlink 27" xfId="452"/>
    <cellStyle name="Followed Hyperlink 28" xfId="453"/>
    <cellStyle name="Followed Hyperlink 29" xfId="454"/>
    <cellStyle name="Followed Hyperlink 3" xfId="455"/>
    <cellStyle name="Followed Hyperlink 30" xfId="456"/>
    <cellStyle name="Followed Hyperlink 31" xfId="457"/>
    <cellStyle name="Followed Hyperlink 32" xfId="458"/>
    <cellStyle name="Followed Hyperlink 33" xfId="459"/>
    <cellStyle name="Followed Hyperlink 34" xfId="460"/>
    <cellStyle name="Followed Hyperlink 35" xfId="461"/>
    <cellStyle name="Followed Hyperlink 36" xfId="462"/>
    <cellStyle name="Followed Hyperlink 37" xfId="463"/>
    <cellStyle name="Followed Hyperlink 38" xfId="464"/>
    <cellStyle name="Followed Hyperlink 39" xfId="465"/>
    <cellStyle name="Followed Hyperlink 4" xfId="466"/>
    <cellStyle name="Followed Hyperlink 40" xfId="467"/>
    <cellStyle name="Followed Hyperlink 41" xfId="468"/>
    <cellStyle name="Followed Hyperlink 42" xfId="469"/>
    <cellStyle name="Followed Hyperlink 43" xfId="470"/>
    <cellStyle name="Followed Hyperlink 44" xfId="471"/>
    <cellStyle name="Followed Hyperlink 45" xfId="472"/>
    <cellStyle name="Followed Hyperlink 46" xfId="473"/>
    <cellStyle name="Followed Hyperlink 47" xfId="474"/>
    <cellStyle name="Followed Hyperlink 48" xfId="475"/>
    <cellStyle name="Followed Hyperlink 49" xfId="476"/>
    <cellStyle name="Followed Hyperlink 5" xfId="477"/>
    <cellStyle name="Followed Hyperlink 50" xfId="478"/>
    <cellStyle name="Followed Hyperlink 51" xfId="479"/>
    <cellStyle name="Followed Hyperlink 52" xfId="480"/>
    <cellStyle name="Followed Hyperlink 53" xfId="481"/>
    <cellStyle name="Followed Hyperlink 54" xfId="482"/>
    <cellStyle name="Followed Hyperlink 55" xfId="483"/>
    <cellStyle name="Followed Hyperlink 56" xfId="484"/>
    <cellStyle name="Followed Hyperlink 57" xfId="485"/>
    <cellStyle name="Followed Hyperlink 58" xfId="486"/>
    <cellStyle name="Followed Hyperlink 59" xfId="487"/>
    <cellStyle name="Followed Hyperlink 6" xfId="488"/>
    <cellStyle name="Followed Hyperlink 60" xfId="489"/>
    <cellStyle name="Followed Hyperlink 61" xfId="490"/>
    <cellStyle name="Followed Hyperlink 62" xfId="491"/>
    <cellStyle name="Followed Hyperlink 63" xfId="492"/>
    <cellStyle name="Followed Hyperlink 64" xfId="493"/>
    <cellStyle name="Followed Hyperlink 65" xfId="494"/>
    <cellStyle name="Followed Hyperlink 7" xfId="495"/>
    <cellStyle name="Followed Hyperlink 8" xfId="496"/>
    <cellStyle name="Followed Hyperlink 9" xfId="497"/>
    <cellStyle name="Good" xfId="82" builtinId="26" customBuiltin="1"/>
    <cellStyle name="Good 2" xfId="83"/>
    <cellStyle name="Good 3" xfId="289"/>
    <cellStyle name="Good 3 2" xfId="498"/>
    <cellStyle name="Good 3 3" xfId="499"/>
    <cellStyle name="Good 4" xfId="701"/>
    <cellStyle name="Good 5" xfId="11461"/>
    <cellStyle name="Header" xfId="84"/>
    <cellStyle name="Heading 1" xfId="85" builtinId="16" customBuiltin="1"/>
    <cellStyle name="Heading 1 2" xfId="86"/>
    <cellStyle name="Heading 1 2 2" xfId="182"/>
    <cellStyle name="Heading 1 3" xfId="290"/>
    <cellStyle name="Heading 1 3 2" xfId="500"/>
    <cellStyle name="Heading 1 3 3" xfId="501"/>
    <cellStyle name="Heading 1 4" xfId="291"/>
    <cellStyle name="Heading 1 5" xfId="702"/>
    <cellStyle name="Heading 1 6" xfId="11462"/>
    <cellStyle name="Heading 2" xfId="87" builtinId="17" customBuiltin="1"/>
    <cellStyle name="Heading 2 2" xfId="88"/>
    <cellStyle name="Heading 2 2 2" xfId="183"/>
    <cellStyle name="Heading 2 3" xfId="292"/>
    <cellStyle name="Heading 2 3 2" xfId="502"/>
    <cellStyle name="Heading 2 3 3" xfId="503"/>
    <cellStyle name="Heading 2 4" xfId="293"/>
    <cellStyle name="Heading 2 5" xfId="703"/>
    <cellStyle name="Heading 2 6" xfId="11463"/>
    <cellStyle name="Heading 3" xfId="89" builtinId="18" customBuiltin="1"/>
    <cellStyle name="Heading 3 2" xfId="90"/>
    <cellStyle name="Heading 3 2 2" xfId="184"/>
    <cellStyle name="Heading 3 3" xfId="294"/>
    <cellStyle name="Heading 3 3 2" xfId="504"/>
    <cellStyle name="Heading 3 3 3" xfId="505"/>
    <cellStyle name="Heading 3 4" xfId="295"/>
    <cellStyle name="Heading 3 5" xfId="704"/>
    <cellStyle name="Heading 3 6" xfId="11464"/>
    <cellStyle name="Heading 4" xfId="91" builtinId="19" customBuiltin="1"/>
    <cellStyle name="Heading 4 2" xfId="92"/>
    <cellStyle name="Heading 4 3" xfId="296"/>
    <cellStyle name="Heading 4 3 2" xfId="506"/>
    <cellStyle name="Heading 4 3 3" xfId="507"/>
    <cellStyle name="Heading 4 4" xfId="297"/>
    <cellStyle name="Heading 4 5" xfId="705"/>
    <cellStyle name="Heading 4 6" xfId="11465"/>
    <cellStyle name="Hyperlink 10" xfId="508"/>
    <cellStyle name="Hyperlink 11" xfId="509"/>
    <cellStyle name="Hyperlink 12" xfId="510"/>
    <cellStyle name="Hyperlink 13" xfId="511"/>
    <cellStyle name="Hyperlink 14" xfId="512"/>
    <cellStyle name="Hyperlink 15" xfId="513"/>
    <cellStyle name="Hyperlink 16" xfId="514"/>
    <cellStyle name="Hyperlink 17" xfId="515"/>
    <cellStyle name="Hyperlink 18" xfId="516"/>
    <cellStyle name="Hyperlink 19" xfId="517"/>
    <cellStyle name="Hyperlink 2" xfId="93"/>
    <cellStyle name="Hyperlink 20" xfId="518"/>
    <cellStyle name="Hyperlink 21" xfId="519"/>
    <cellStyle name="Hyperlink 22" xfId="520"/>
    <cellStyle name="Hyperlink 23" xfId="521"/>
    <cellStyle name="Hyperlink 24" xfId="522"/>
    <cellStyle name="Hyperlink 25" xfId="523"/>
    <cellStyle name="Hyperlink 26" xfId="524"/>
    <cellStyle name="Hyperlink 27" xfId="525"/>
    <cellStyle name="Hyperlink 28" xfId="526"/>
    <cellStyle name="Hyperlink 29" xfId="527"/>
    <cellStyle name="Hyperlink 3" xfId="528"/>
    <cellStyle name="Hyperlink 3 2" xfId="1201"/>
    <cellStyle name="Hyperlink 30" xfId="529"/>
    <cellStyle name="Hyperlink 31" xfId="530"/>
    <cellStyle name="Hyperlink 32" xfId="531"/>
    <cellStyle name="Hyperlink 33" xfId="532"/>
    <cellStyle name="Hyperlink 34" xfId="533"/>
    <cellStyle name="Hyperlink 35" xfId="534"/>
    <cellStyle name="Hyperlink 36" xfId="535"/>
    <cellStyle name="Hyperlink 37" xfId="536"/>
    <cellStyle name="Hyperlink 38" xfId="537"/>
    <cellStyle name="Hyperlink 39" xfId="538"/>
    <cellStyle name="Hyperlink 4" xfId="539"/>
    <cellStyle name="Hyperlink 4 2" xfId="1202"/>
    <cellStyle name="Hyperlink 40" xfId="540"/>
    <cellStyle name="Hyperlink 41" xfId="541"/>
    <cellStyle name="Hyperlink 42" xfId="542"/>
    <cellStyle name="Hyperlink 43" xfId="543"/>
    <cellStyle name="Hyperlink 44" xfId="544"/>
    <cellStyle name="Hyperlink 45" xfId="545"/>
    <cellStyle name="Hyperlink 46" xfId="546"/>
    <cellStyle name="Hyperlink 47" xfId="547"/>
    <cellStyle name="Hyperlink 48" xfId="548"/>
    <cellStyle name="Hyperlink 49" xfId="549"/>
    <cellStyle name="Hyperlink 5" xfId="550"/>
    <cellStyle name="Hyperlink 50" xfId="551"/>
    <cellStyle name="Hyperlink 51" xfId="552"/>
    <cellStyle name="Hyperlink 52" xfId="553"/>
    <cellStyle name="Hyperlink 53" xfId="554"/>
    <cellStyle name="Hyperlink 54" xfId="555"/>
    <cellStyle name="Hyperlink 55" xfId="556"/>
    <cellStyle name="Hyperlink 56" xfId="557"/>
    <cellStyle name="Hyperlink 57" xfId="558"/>
    <cellStyle name="Hyperlink 58" xfId="559"/>
    <cellStyle name="Hyperlink 59" xfId="560"/>
    <cellStyle name="Hyperlink 6" xfId="561"/>
    <cellStyle name="Hyperlink 60" xfId="562"/>
    <cellStyle name="Hyperlink 61" xfId="563"/>
    <cellStyle name="Hyperlink 62" xfId="564"/>
    <cellStyle name="Hyperlink 63" xfId="565"/>
    <cellStyle name="Hyperlink 64" xfId="566"/>
    <cellStyle name="Hyperlink 65" xfId="567"/>
    <cellStyle name="Hyperlink 66" xfId="568"/>
    <cellStyle name="Hyperlink 7" xfId="569"/>
    <cellStyle name="Hyperlink 8" xfId="570"/>
    <cellStyle name="Hyperlink 9" xfId="571"/>
    <cellStyle name="Input" xfId="94" builtinId="20" customBuiltin="1"/>
    <cellStyle name="Input 10" xfId="1131"/>
    <cellStyle name="Input 2" xfId="95"/>
    <cellStyle name="Input 2 10" xfId="1060"/>
    <cellStyle name="Input 2 10 10" xfId="11466"/>
    <cellStyle name="Input 2 10 11" xfId="11467"/>
    <cellStyle name="Input 2 10 12" xfId="11468"/>
    <cellStyle name="Input 2 10 2" xfId="11469"/>
    <cellStyle name="Input 2 10 2 2" xfId="11470"/>
    <cellStyle name="Input 2 10 2 2 2" xfId="11471"/>
    <cellStyle name="Input 2 10 2 2 3" xfId="11472"/>
    <cellStyle name="Input 2 10 2 2 4" xfId="11473"/>
    <cellStyle name="Input 2 10 2 3" xfId="11474"/>
    <cellStyle name="Input 2 10 2 3 2" xfId="11475"/>
    <cellStyle name="Input 2 10 2 3 3" xfId="11476"/>
    <cellStyle name="Input 2 10 2 3 4" xfId="11477"/>
    <cellStyle name="Input 2 10 2 4" xfId="11478"/>
    <cellStyle name="Input 2 10 2 4 2" xfId="11479"/>
    <cellStyle name="Input 2 10 2 4 3" xfId="11480"/>
    <cellStyle name="Input 2 10 2 4 4" xfId="11481"/>
    <cellStyle name="Input 2 10 2 5" xfId="11482"/>
    <cellStyle name="Input 2 10 2 6" xfId="11483"/>
    <cellStyle name="Input 2 10 2 7" xfId="11484"/>
    <cellStyle name="Input 2 10 3" xfId="11485"/>
    <cellStyle name="Input 2 10 3 2" xfId="11486"/>
    <cellStyle name="Input 2 10 3 2 2" xfId="11487"/>
    <cellStyle name="Input 2 10 3 2 3" xfId="11488"/>
    <cellStyle name="Input 2 10 3 2 4" xfId="11489"/>
    <cellStyle name="Input 2 10 3 3" xfId="11490"/>
    <cellStyle name="Input 2 10 3 3 2" xfId="11491"/>
    <cellStyle name="Input 2 10 3 3 3" xfId="11492"/>
    <cellStyle name="Input 2 10 3 3 4" xfId="11493"/>
    <cellStyle name="Input 2 10 3 4" xfId="11494"/>
    <cellStyle name="Input 2 10 3 4 2" xfId="11495"/>
    <cellStyle name="Input 2 10 3 4 3" xfId="11496"/>
    <cellStyle name="Input 2 10 3 4 4" xfId="11497"/>
    <cellStyle name="Input 2 10 3 5" xfId="11498"/>
    <cellStyle name="Input 2 10 3 6" xfId="11499"/>
    <cellStyle name="Input 2 10 3 7" xfId="11500"/>
    <cellStyle name="Input 2 10 4" xfId="11501"/>
    <cellStyle name="Input 2 10 4 2" xfId="11502"/>
    <cellStyle name="Input 2 10 4 2 2" xfId="11503"/>
    <cellStyle name="Input 2 10 4 2 3" xfId="11504"/>
    <cellStyle name="Input 2 10 4 2 4" xfId="11505"/>
    <cellStyle name="Input 2 10 4 3" xfId="11506"/>
    <cellStyle name="Input 2 10 4 3 2" xfId="11507"/>
    <cellStyle name="Input 2 10 4 3 3" xfId="11508"/>
    <cellStyle name="Input 2 10 4 3 4" xfId="11509"/>
    <cellStyle name="Input 2 10 4 4" xfId="11510"/>
    <cellStyle name="Input 2 10 4 4 2" xfId="11511"/>
    <cellStyle name="Input 2 10 4 4 3" xfId="11512"/>
    <cellStyle name="Input 2 10 4 4 4" xfId="11513"/>
    <cellStyle name="Input 2 10 4 5" xfId="11514"/>
    <cellStyle name="Input 2 10 4 6" xfId="11515"/>
    <cellStyle name="Input 2 10 4 7" xfId="11516"/>
    <cellStyle name="Input 2 10 5" xfId="11517"/>
    <cellStyle name="Input 2 10 5 2" xfId="11518"/>
    <cellStyle name="Input 2 10 5 2 2" xfId="11519"/>
    <cellStyle name="Input 2 10 5 2 3" xfId="11520"/>
    <cellStyle name="Input 2 10 5 2 4" xfId="11521"/>
    <cellStyle name="Input 2 10 5 3" xfId="11522"/>
    <cellStyle name="Input 2 10 5 3 2" xfId="11523"/>
    <cellStyle name="Input 2 10 5 3 3" xfId="11524"/>
    <cellStyle name="Input 2 10 5 3 4" xfId="11525"/>
    <cellStyle name="Input 2 10 5 4" xfId="11526"/>
    <cellStyle name="Input 2 10 5 4 2" xfId="11527"/>
    <cellStyle name="Input 2 10 5 4 3" xfId="11528"/>
    <cellStyle name="Input 2 10 5 4 4" xfId="11529"/>
    <cellStyle name="Input 2 10 5 5" xfId="11530"/>
    <cellStyle name="Input 2 10 5 6" xfId="11531"/>
    <cellStyle name="Input 2 10 5 7" xfId="11532"/>
    <cellStyle name="Input 2 10 6" xfId="11533"/>
    <cellStyle name="Input 2 10 6 2" xfId="11534"/>
    <cellStyle name="Input 2 10 6 2 2" xfId="11535"/>
    <cellStyle name="Input 2 10 6 2 3" xfId="11536"/>
    <cellStyle name="Input 2 10 6 2 4" xfId="11537"/>
    <cellStyle name="Input 2 10 6 3" xfId="11538"/>
    <cellStyle name="Input 2 10 6 3 2" xfId="11539"/>
    <cellStyle name="Input 2 10 6 3 3" xfId="11540"/>
    <cellStyle name="Input 2 10 6 3 4" xfId="11541"/>
    <cellStyle name="Input 2 10 6 4" xfId="11542"/>
    <cellStyle name="Input 2 10 6 4 2" xfId="11543"/>
    <cellStyle name="Input 2 10 6 4 3" xfId="11544"/>
    <cellStyle name="Input 2 10 6 4 4" xfId="11545"/>
    <cellStyle name="Input 2 10 6 5" xfId="11546"/>
    <cellStyle name="Input 2 10 6 6" xfId="11547"/>
    <cellStyle name="Input 2 10 6 7" xfId="11548"/>
    <cellStyle name="Input 2 10 7" xfId="11549"/>
    <cellStyle name="Input 2 10 7 2" xfId="11550"/>
    <cellStyle name="Input 2 10 7 3" xfId="11551"/>
    <cellStyle name="Input 2 10 7 4" xfId="11552"/>
    <cellStyle name="Input 2 10 8" xfId="11553"/>
    <cellStyle name="Input 2 10 8 2" xfId="11554"/>
    <cellStyle name="Input 2 10 8 3" xfId="11555"/>
    <cellStyle name="Input 2 10 8 4" xfId="11556"/>
    <cellStyle name="Input 2 10 9" xfId="11557"/>
    <cellStyle name="Input 2 10 9 2" xfId="11558"/>
    <cellStyle name="Input 2 10 9 3" xfId="11559"/>
    <cellStyle name="Input 2 10 9 4" xfId="11560"/>
    <cellStyle name="Input 2 11" xfId="3209"/>
    <cellStyle name="Input 2 12" xfId="1154"/>
    <cellStyle name="Input 2 13" xfId="3282"/>
    <cellStyle name="Input 2 14" xfId="3147"/>
    <cellStyle name="Input 2 2" xfId="96"/>
    <cellStyle name="Input 2 2 2" xfId="572"/>
    <cellStyle name="Input 2 2 2 10" xfId="11561"/>
    <cellStyle name="Input 2 2 2 10 2" xfId="11562"/>
    <cellStyle name="Input 2 2 2 10 2 2" xfId="11563"/>
    <cellStyle name="Input 2 2 2 10 2 3" xfId="11564"/>
    <cellStyle name="Input 2 2 2 10 2 4" xfId="11565"/>
    <cellStyle name="Input 2 2 2 10 3" xfId="11566"/>
    <cellStyle name="Input 2 2 2 10 3 2" xfId="11567"/>
    <cellStyle name="Input 2 2 2 10 3 3" xfId="11568"/>
    <cellStyle name="Input 2 2 2 10 3 4" xfId="11569"/>
    <cellStyle name="Input 2 2 2 10 4" xfId="11570"/>
    <cellStyle name="Input 2 2 2 10 4 2" xfId="11571"/>
    <cellStyle name="Input 2 2 2 10 4 3" xfId="11572"/>
    <cellStyle name="Input 2 2 2 10 4 4" xfId="11573"/>
    <cellStyle name="Input 2 2 2 10 5" xfId="11574"/>
    <cellStyle name="Input 2 2 2 10 6" xfId="11575"/>
    <cellStyle name="Input 2 2 2 10 7" xfId="11576"/>
    <cellStyle name="Input 2 2 2 11" xfId="11577"/>
    <cellStyle name="Input 2 2 2 11 2" xfId="11578"/>
    <cellStyle name="Input 2 2 2 11 2 2" xfId="11579"/>
    <cellStyle name="Input 2 2 2 11 2 3" xfId="11580"/>
    <cellStyle name="Input 2 2 2 11 2 4" xfId="11581"/>
    <cellStyle name="Input 2 2 2 11 3" xfId="11582"/>
    <cellStyle name="Input 2 2 2 11 3 2" xfId="11583"/>
    <cellStyle name="Input 2 2 2 11 3 3" xfId="11584"/>
    <cellStyle name="Input 2 2 2 11 3 4" xfId="11585"/>
    <cellStyle name="Input 2 2 2 11 4" xfId="11586"/>
    <cellStyle name="Input 2 2 2 11 4 2" xfId="11587"/>
    <cellStyle name="Input 2 2 2 11 4 3" xfId="11588"/>
    <cellStyle name="Input 2 2 2 11 4 4" xfId="11589"/>
    <cellStyle name="Input 2 2 2 11 5" xfId="11590"/>
    <cellStyle name="Input 2 2 2 11 6" xfId="11591"/>
    <cellStyle name="Input 2 2 2 11 7" xfId="11592"/>
    <cellStyle name="Input 2 2 2 12" xfId="11593"/>
    <cellStyle name="Input 2 2 2 12 2" xfId="11594"/>
    <cellStyle name="Input 2 2 2 12 2 2" xfId="11595"/>
    <cellStyle name="Input 2 2 2 12 2 3" xfId="11596"/>
    <cellStyle name="Input 2 2 2 12 2 4" xfId="11597"/>
    <cellStyle name="Input 2 2 2 12 3" xfId="11598"/>
    <cellStyle name="Input 2 2 2 12 3 2" xfId="11599"/>
    <cellStyle name="Input 2 2 2 12 3 3" xfId="11600"/>
    <cellStyle name="Input 2 2 2 12 3 4" xfId="11601"/>
    <cellStyle name="Input 2 2 2 12 4" xfId="11602"/>
    <cellStyle name="Input 2 2 2 12 4 2" xfId="11603"/>
    <cellStyle name="Input 2 2 2 12 4 3" xfId="11604"/>
    <cellStyle name="Input 2 2 2 12 4 4" xfId="11605"/>
    <cellStyle name="Input 2 2 2 12 5" xfId="11606"/>
    <cellStyle name="Input 2 2 2 12 6" xfId="11607"/>
    <cellStyle name="Input 2 2 2 12 7" xfId="11608"/>
    <cellStyle name="Input 2 2 2 13" xfId="11609"/>
    <cellStyle name="Input 2 2 2 13 2" xfId="11610"/>
    <cellStyle name="Input 2 2 2 13 2 2" xfId="11611"/>
    <cellStyle name="Input 2 2 2 13 2 3" xfId="11612"/>
    <cellStyle name="Input 2 2 2 13 2 4" xfId="11613"/>
    <cellStyle name="Input 2 2 2 13 3" xfId="11614"/>
    <cellStyle name="Input 2 2 2 13 3 2" xfId="11615"/>
    <cellStyle name="Input 2 2 2 13 3 3" xfId="11616"/>
    <cellStyle name="Input 2 2 2 13 3 4" xfId="11617"/>
    <cellStyle name="Input 2 2 2 13 4" xfId="11618"/>
    <cellStyle name="Input 2 2 2 13 4 2" xfId="11619"/>
    <cellStyle name="Input 2 2 2 13 4 3" xfId="11620"/>
    <cellStyle name="Input 2 2 2 13 4 4" xfId="11621"/>
    <cellStyle name="Input 2 2 2 13 5" xfId="11622"/>
    <cellStyle name="Input 2 2 2 13 6" xfId="11623"/>
    <cellStyle name="Input 2 2 2 13 7" xfId="11624"/>
    <cellStyle name="Input 2 2 2 14" xfId="11625"/>
    <cellStyle name="Input 2 2 2 14 2" xfId="11626"/>
    <cellStyle name="Input 2 2 2 14 3" xfId="11627"/>
    <cellStyle name="Input 2 2 2 14 4" xfId="11628"/>
    <cellStyle name="Input 2 2 2 15" xfId="11629"/>
    <cellStyle name="Input 2 2 2 15 2" xfId="11630"/>
    <cellStyle name="Input 2 2 2 15 3" xfId="11631"/>
    <cellStyle name="Input 2 2 2 15 4" xfId="11632"/>
    <cellStyle name="Input 2 2 2 16" xfId="11633"/>
    <cellStyle name="Input 2 2 2 16 2" xfId="11634"/>
    <cellStyle name="Input 2 2 2 16 3" xfId="11635"/>
    <cellStyle name="Input 2 2 2 16 4" xfId="11636"/>
    <cellStyle name="Input 2 2 2 17" xfId="11637"/>
    <cellStyle name="Input 2 2 2 18" xfId="11638"/>
    <cellStyle name="Input 2 2 2 19" xfId="11639"/>
    <cellStyle name="Input 2 2 2 2" xfId="853"/>
    <cellStyle name="Input 2 2 2 2 10" xfId="11640"/>
    <cellStyle name="Input 2 2 2 2 11" xfId="11641"/>
    <cellStyle name="Input 2 2 2 2 12" xfId="11642"/>
    <cellStyle name="Input 2 2 2 2 2" xfId="11643"/>
    <cellStyle name="Input 2 2 2 2 2 2" xfId="11644"/>
    <cellStyle name="Input 2 2 2 2 2 2 2" xfId="11645"/>
    <cellStyle name="Input 2 2 2 2 2 2 3" xfId="11646"/>
    <cellStyle name="Input 2 2 2 2 2 2 4" xfId="11647"/>
    <cellStyle name="Input 2 2 2 2 2 3" xfId="11648"/>
    <cellStyle name="Input 2 2 2 2 2 3 2" xfId="11649"/>
    <cellStyle name="Input 2 2 2 2 2 3 3" xfId="11650"/>
    <cellStyle name="Input 2 2 2 2 2 3 4" xfId="11651"/>
    <cellStyle name="Input 2 2 2 2 2 4" xfId="11652"/>
    <cellStyle name="Input 2 2 2 2 2 4 2" xfId="11653"/>
    <cellStyle name="Input 2 2 2 2 2 4 3" xfId="11654"/>
    <cellStyle name="Input 2 2 2 2 2 4 4" xfId="11655"/>
    <cellStyle name="Input 2 2 2 2 2 5" xfId="11656"/>
    <cellStyle name="Input 2 2 2 2 2 6" xfId="11657"/>
    <cellStyle name="Input 2 2 2 2 2 7" xfId="11658"/>
    <cellStyle name="Input 2 2 2 2 3" xfId="11659"/>
    <cellStyle name="Input 2 2 2 2 3 2" xfId="11660"/>
    <cellStyle name="Input 2 2 2 2 3 2 2" xfId="11661"/>
    <cellStyle name="Input 2 2 2 2 3 2 3" xfId="11662"/>
    <cellStyle name="Input 2 2 2 2 3 2 4" xfId="11663"/>
    <cellStyle name="Input 2 2 2 2 3 3" xfId="11664"/>
    <cellStyle name="Input 2 2 2 2 3 3 2" xfId="11665"/>
    <cellStyle name="Input 2 2 2 2 3 3 3" xfId="11666"/>
    <cellStyle name="Input 2 2 2 2 3 3 4" xfId="11667"/>
    <cellStyle name="Input 2 2 2 2 3 4" xfId="11668"/>
    <cellStyle name="Input 2 2 2 2 3 4 2" xfId="11669"/>
    <cellStyle name="Input 2 2 2 2 3 4 3" xfId="11670"/>
    <cellStyle name="Input 2 2 2 2 3 4 4" xfId="11671"/>
    <cellStyle name="Input 2 2 2 2 3 5" xfId="11672"/>
    <cellStyle name="Input 2 2 2 2 3 6" xfId="11673"/>
    <cellStyle name="Input 2 2 2 2 3 7" xfId="11674"/>
    <cellStyle name="Input 2 2 2 2 4" xfId="11675"/>
    <cellStyle name="Input 2 2 2 2 4 2" xfId="11676"/>
    <cellStyle name="Input 2 2 2 2 4 2 2" xfId="11677"/>
    <cellStyle name="Input 2 2 2 2 4 2 3" xfId="11678"/>
    <cellStyle name="Input 2 2 2 2 4 2 4" xfId="11679"/>
    <cellStyle name="Input 2 2 2 2 4 3" xfId="11680"/>
    <cellStyle name="Input 2 2 2 2 4 3 2" xfId="11681"/>
    <cellStyle name="Input 2 2 2 2 4 3 3" xfId="11682"/>
    <cellStyle name="Input 2 2 2 2 4 3 4" xfId="11683"/>
    <cellStyle name="Input 2 2 2 2 4 4" xfId="11684"/>
    <cellStyle name="Input 2 2 2 2 4 4 2" xfId="11685"/>
    <cellStyle name="Input 2 2 2 2 4 4 3" xfId="11686"/>
    <cellStyle name="Input 2 2 2 2 4 4 4" xfId="11687"/>
    <cellStyle name="Input 2 2 2 2 4 5" xfId="11688"/>
    <cellStyle name="Input 2 2 2 2 4 6" xfId="11689"/>
    <cellStyle name="Input 2 2 2 2 4 7" xfId="11690"/>
    <cellStyle name="Input 2 2 2 2 5" xfId="11691"/>
    <cellStyle name="Input 2 2 2 2 5 2" xfId="11692"/>
    <cellStyle name="Input 2 2 2 2 5 2 2" xfId="11693"/>
    <cellStyle name="Input 2 2 2 2 5 2 3" xfId="11694"/>
    <cellStyle name="Input 2 2 2 2 5 2 4" xfId="11695"/>
    <cellStyle name="Input 2 2 2 2 5 3" xfId="11696"/>
    <cellStyle name="Input 2 2 2 2 5 3 2" xfId="11697"/>
    <cellStyle name="Input 2 2 2 2 5 3 3" xfId="11698"/>
    <cellStyle name="Input 2 2 2 2 5 3 4" xfId="11699"/>
    <cellStyle name="Input 2 2 2 2 5 4" xfId="11700"/>
    <cellStyle name="Input 2 2 2 2 5 4 2" xfId="11701"/>
    <cellStyle name="Input 2 2 2 2 5 4 3" xfId="11702"/>
    <cellStyle name="Input 2 2 2 2 5 4 4" xfId="11703"/>
    <cellStyle name="Input 2 2 2 2 5 5" xfId="11704"/>
    <cellStyle name="Input 2 2 2 2 5 6" xfId="11705"/>
    <cellStyle name="Input 2 2 2 2 5 7" xfId="11706"/>
    <cellStyle name="Input 2 2 2 2 6" xfId="11707"/>
    <cellStyle name="Input 2 2 2 2 6 2" xfId="11708"/>
    <cellStyle name="Input 2 2 2 2 6 2 2" xfId="11709"/>
    <cellStyle name="Input 2 2 2 2 6 2 3" xfId="11710"/>
    <cellStyle name="Input 2 2 2 2 6 2 4" xfId="11711"/>
    <cellStyle name="Input 2 2 2 2 6 3" xfId="11712"/>
    <cellStyle name="Input 2 2 2 2 6 3 2" xfId="11713"/>
    <cellStyle name="Input 2 2 2 2 6 3 3" xfId="11714"/>
    <cellStyle name="Input 2 2 2 2 6 3 4" xfId="11715"/>
    <cellStyle name="Input 2 2 2 2 6 4" xfId="11716"/>
    <cellStyle name="Input 2 2 2 2 6 4 2" xfId="11717"/>
    <cellStyle name="Input 2 2 2 2 6 4 3" xfId="11718"/>
    <cellStyle name="Input 2 2 2 2 6 4 4" xfId="11719"/>
    <cellStyle name="Input 2 2 2 2 6 5" xfId="11720"/>
    <cellStyle name="Input 2 2 2 2 6 6" xfId="11721"/>
    <cellStyle name="Input 2 2 2 2 6 7" xfId="11722"/>
    <cellStyle name="Input 2 2 2 2 7" xfId="11723"/>
    <cellStyle name="Input 2 2 2 2 7 2" xfId="11724"/>
    <cellStyle name="Input 2 2 2 2 7 3" xfId="11725"/>
    <cellStyle name="Input 2 2 2 2 7 4" xfId="11726"/>
    <cellStyle name="Input 2 2 2 2 8" xfId="11727"/>
    <cellStyle name="Input 2 2 2 2 8 2" xfId="11728"/>
    <cellStyle name="Input 2 2 2 2 8 3" xfId="11729"/>
    <cellStyle name="Input 2 2 2 2 8 4" xfId="11730"/>
    <cellStyle name="Input 2 2 2 2 9" xfId="11731"/>
    <cellStyle name="Input 2 2 2 2 9 2" xfId="11732"/>
    <cellStyle name="Input 2 2 2 2 9 3" xfId="11733"/>
    <cellStyle name="Input 2 2 2 2 9 4" xfId="11734"/>
    <cellStyle name="Input 2 2 2 3" xfId="759"/>
    <cellStyle name="Input 2 2 2 3 10" xfId="11735"/>
    <cellStyle name="Input 2 2 2 3 11" xfId="11736"/>
    <cellStyle name="Input 2 2 2 3 12" xfId="11737"/>
    <cellStyle name="Input 2 2 2 3 2" xfId="11738"/>
    <cellStyle name="Input 2 2 2 3 2 2" xfId="11739"/>
    <cellStyle name="Input 2 2 2 3 2 2 2" xfId="11740"/>
    <cellStyle name="Input 2 2 2 3 2 2 3" xfId="11741"/>
    <cellStyle name="Input 2 2 2 3 2 2 4" xfId="11742"/>
    <cellStyle name="Input 2 2 2 3 2 3" xfId="11743"/>
    <cellStyle name="Input 2 2 2 3 2 3 2" xfId="11744"/>
    <cellStyle name="Input 2 2 2 3 2 3 3" xfId="11745"/>
    <cellStyle name="Input 2 2 2 3 2 3 4" xfId="11746"/>
    <cellStyle name="Input 2 2 2 3 2 4" xfId="11747"/>
    <cellStyle name="Input 2 2 2 3 2 4 2" xfId="11748"/>
    <cellStyle name="Input 2 2 2 3 2 4 3" xfId="11749"/>
    <cellStyle name="Input 2 2 2 3 2 4 4" xfId="11750"/>
    <cellStyle name="Input 2 2 2 3 2 5" xfId="11751"/>
    <cellStyle name="Input 2 2 2 3 2 6" xfId="11752"/>
    <cellStyle name="Input 2 2 2 3 2 7" xfId="11753"/>
    <cellStyle name="Input 2 2 2 3 3" xfId="11754"/>
    <cellStyle name="Input 2 2 2 3 3 2" xfId="11755"/>
    <cellStyle name="Input 2 2 2 3 3 2 2" xfId="11756"/>
    <cellStyle name="Input 2 2 2 3 3 2 3" xfId="11757"/>
    <cellStyle name="Input 2 2 2 3 3 2 4" xfId="11758"/>
    <cellStyle name="Input 2 2 2 3 3 3" xfId="11759"/>
    <cellStyle name="Input 2 2 2 3 3 3 2" xfId="11760"/>
    <cellStyle name="Input 2 2 2 3 3 3 3" xfId="11761"/>
    <cellStyle name="Input 2 2 2 3 3 3 4" xfId="11762"/>
    <cellStyle name="Input 2 2 2 3 3 4" xfId="11763"/>
    <cellStyle name="Input 2 2 2 3 3 4 2" xfId="11764"/>
    <cellStyle name="Input 2 2 2 3 3 4 3" xfId="11765"/>
    <cellStyle name="Input 2 2 2 3 3 4 4" xfId="11766"/>
    <cellStyle name="Input 2 2 2 3 3 5" xfId="11767"/>
    <cellStyle name="Input 2 2 2 3 3 6" xfId="11768"/>
    <cellStyle name="Input 2 2 2 3 3 7" xfId="11769"/>
    <cellStyle name="Input 2 2 2 3 4" xfId="11770"/>
    <cellStyle name="Input 2 2 2 3 4 2" xfId="11771"/>
    <cellStyle name="Input 2 2 2 3 4 2 2" xfId="11772"/>
    <cellStyle name="Input 2 2 2 3 4 2 3" xfId="11773"/>
    <cellStyle name="Input 2 2 2 3 4 2 4" xfId="11774"/>
    <cellStyle name="Input 2 2 2 3 4 3" xfId="11775"/>
    <cellStyle name="Input 2 2 2 3 4 3 2" xfId="11776"/>
    <cellStyle name="Input 2 2 2 3 4 3 3" xfId="11777"/>
    <cellStyle name="Input 2 2 2 3 4 3 4" xfId="11778"/>
    <cellStyle name="Input 2 2 2 3 4 4" xfId="11779"/>
    <cellStyle name="Input 2 2 2 3 4 4 2" xfId="11780"/>
    <cellStyle name="Input 2 2 2 3 4 4 3" xfId="11781"/>
    <cellStyle name="Input 2 2 2 3 4 4 4" xfId="11782"/>
    <cellStyle name="Input 2 2 2 3 4 5" xfId="11783"/>
    <cellStyle name="Input 2 2 2 3 4 6" xfId="11784"/>
    <cellStyle name="Input 2 2 2 3 4 7" xfId="11785"/>
    <cellStyle name="Input 2 2 2 3 5" xfId="11786"/>
    <cellStyle name="Input 2 2 2 3 5 2" xfId="11787"/>
    <cellStyle name="Input 2 2 2 3 5 2 2" xfId="11788"/>
    <cellStyle name="Input 2 2 2 3 5 2 3" xfId="11789"/>
    <cellStyle name="Input 2 2 2 3 5 2 4" xfId="11790"/>
    <cellStyle name="Input 2 2 2 3 5 3" xfId="11791"/>
    <cellStyle name="Input 2 2 2 3 5 3 2" xfId="11792"/>
    <cellStyle name="Input 2 2 2 3 5 3 3" xfId="11793"/>
    <cellStyle name="Input 2 2 2 3 5 3 4" xfId="11794"/>
    <cellStyle name="Input 2 2 2 3 5 4" xfId="11795"/>
    <cellStyle name="Input 2 2 2 3 5 4 2" xfId="11796"/>
    <cellStyle name="Input 2 2 2 3 5 4 3" xfId="11797"/>
    <cellStyle name="Input 2 2 2 3 5 4 4" xfId="11798"/>
    <cellStyle name="Input 2 2 2 3 5 5" xfId="11799"/>
    <cellStyle name="Input 2 2 2 3 5 6" xfId="11800"/>
    <cellStyle name="Input 2 2 2 3 5 7" xfId="11801"/>
    <cellStyle name="Input 2 2 2 3 6" xfId="11802"/>
    <cellStyle name="Input 2 2 2 3 6 2" xfId="11803"/>
    <cellStyle name="Input 2 2 2 3 6 2 2" xfId="11804"/>
    <cellStyle name="Input 2 2 2 3 6 2 3" xfId="11805"/>
    <cellStyle name="Input 2 2 2 3 6 2 4" xfId="11806"/>
    <cellStyle name="Input 2 2 2 3 6 3" xfId="11807"/>
    <cellStyle name="Input 2 2 2 3 6 3 2" xfId="11808"/>
    <cellStyle name="Input 2 2 2 3 6 3 3" xfId="11809"/>
    <cellStyle name="Input 2 2 2 3 6 3 4" xfId="11810"/>
    <cellStyle name="Input 2 2 2 3 6 4" xfId="11811"/>
    <cellStyle name="Input 2 2 2 3 6 4 2" xfId="11812"/>
    <cellStyle name="Input 2 2 2 3 6 4 3" xfId="11813"/>
    <cellStyle name="Input 2 2 2 3 6 4 4" xfId="11814"/>
    <cellStyle name="Input 2 2 2 3 6 5" xfId="11815"/>
    <cellStyle name="Input 2 2 2 3 6 6" xfId="11816"/>
    <cellStyle name="Input 2 2 2 3 6 7" xfId="11817"/>
    <cellStyle name="Input 2 2 2 3 7" xfId="11818"/>
    <cellStyle name="Input 2 2 2 3 7 2" xfId="11819"/>
    <cellStyle name="Input 2 2 2 3 7 3" xfId="11820"/>
    <cellStyle name="Input 2 2 2 3 7 4" xfId="11821"/>
    <cellStyle name="Input 2 2 2 3 8" xfId="11822"/>
    <cellStyle name="Input 2 2 2 3 8 2" xfId="11823"/>
    <cellStyle name="Input 2 2 2 3 8 3" xfId="11824"/>
    <cellStyle name="Input 2 2 2 3 8 4" xfId="11825"/>
    <cellStyle name="Input 2 2 2 3 9" xfId="11826"/>
    <cellStyle name="Input 2 2 2 3 9 2" xfId="11827"/>
    <cellStyle name="Input 2 2 2 3 9 3" xfId="11828"/>
    <cellStyle name="Input 2 2 2 3 9 4" xfId="11829"/>
    <cellStyle name="Input 2 2 2 4" xfId="786"/>
    <cellStyle name="Input 2 2 2 4 10" xfId="11830"/>
    <cellStyle name="Input 2 2 2 4 11" xfId="11831"/>
    <cellStyle name="Input 2 2 2 4 12" xfId="11832"/>
    <cellStyle name="Input 2 2 2 4 2" xfId="11833"/>
    <cellStyle name="Input 2 2 2 4 2 2" xfId="11834"/>
    <cellStyle name="Input 2 2 2 4 2 2 2" xfId="11835"/>
    <cellStyle name="Input 2 2 2 4 2 2 3" xfId="11836"/>
    <cellStyle name="Input 2 2 2 4 2 2 4" xfId="11837"/>
    <cellStyle name="Input 2 2 2 4 2 3" xfId="11838"/>
    <cellStyle name="Input 2 2 2 4 2 3 2" xfId="11839"/>
    <cellStyle name="Input 2 2 2 4 2 3 3" xfId="11840"/>
    <cellStyle name="Input 2 2 2 4 2 3 4" xfId="11841"/>
    <cellStyle name="Input 2 2 2 4 2 4" xfId="11842"/>
    <cellStyle name="Input 2 2 2 4 2 4 2" xfId="11843"/>
    <cellStyle name="Input 2 2 2 4 2 4 3" xfId="11844"/>
    <cellStyle name="Input 2 2 2 4 2 4 4" xfId="11845"/>
    <cellStyle name="Input 2 2 2 4 2 5" xfId="11846"/>
    <cellStyle name="Input 2 2 2 4 2 6" xfId="11847"/>
    <cellStyle name="Input 2 2 2 4 2 7" xfId="11848"/>
    <cellStyle name="Input 2 2 2 4 3" xfId="11849"/>
    <cellStyle name="Input 2 2 2 4 3 2" xfId="11850"/>
    <cellStyle name="Input 2 2 2 4 3 2 2" xfId="11851"/>
    <cellStyle name="Input 2 2 2 4 3 2 3" xfId="11852"/>
    <cellStyle name="Input 2 2 2 4 3 2 4" xfId="11853"/>
    <cellStyle name="Input 2 2 2 4 3 3" xfId="11854"/>
    <cellStyle name="Input 2 2 2 4 3 3 2" xfId="11855"/>
    <cellStyle name="Input 2 2 2 4 3 3 3" xfId="11856"/>
    <cellStyle name="Input 2 2 2 4 3 3 4" xfId="11857"/>
    <cellStyle name="Input 2 2 2 4 3 4" xfId="11858"/>
    <cellStyle name="Input 2 2 2 4 3 4 2" xfId="11859"/>
    <cellStyle name="Input 2 2 2 4 3 4 3" xfId="11860"/>
    <cellStyle name="Input 2 2 2 4 3 4 4" xfId="11861"/>
    <cellStyle name="Input 2 2 2 4 3 5" xfId="11862"/>
    <cellStyle name="Input 2 2 2 4 3 6" xfId="11863"/>
    <cellStyle name="Input 2 2 2 4 3 7" xfId="11864"/>
    <cellStyle name="Input 2 2 2 4 4" xfId="11865"/>
    <cellStyle name="Input 2 2 2 4 4 2" xfId="11866"/>
    <cellStyle name="Input 2 2 2 4 4 2 2" xfId="11867"/>
    <cellStyle name="Input 2 2 2 4 4 2 3" xfId="11868"/>
    <cellStyle name="Input 2 2 2 4 4 2 4" xfId="11869"/>
    <cellStyle name="Input 2 2 2 4 4 3" xfId="11870"/>
    <cellStyle name="Input 2 2 2 4 4 3 2" xfId="11871"/>
    <cellStyle name="Input 2 2 2 4 4 3 3" xfId="11872"/>
    <cellStyle name="Input 2 2 2 4 4 3 4" xfId="11873"/>
    <cellStyle name="Input 2 2 2 4 4 4" xfId="11874"/>
    <cellStyle name="Input 2 2 2 4 4 4 2" xfId="11875"/>
    <cellStyle name="Input 2 2 2 4 4 4 3" xfId="11876"/>
    <cellStyle name="Input 2 2 2 4 4 4 4" xfId="11877"/>
    <cellStyle name="Input 2 2 2 4 4 5" xfId="11878"/>
    <cellStyle name="Input 2 2 2 4 4 6" xfId="11879"/>
    <cellStyle name="Input 2 2 2 4 4 7" xfId="11880"/>
    <cellStyle name="Input 2 2 2 4 5" xfId="11881"/>
    <cellStyle name="Input 2 2 2 4 5 2" xfId="11882"/>
    <cellStyle name="Input 2 2 2 4 5 2 2" xfId="11883"/>
    <cellStyle name="Input 2 2 2 4 5 2 3" xfId="11884"/>
    <cellStyle name="Input 2 2 2 4 5 2 4" xfId="11885"/>
    <cellStyle name="Input 2 2 2 4 5 3" xfId="11886"/>
    <cellStyle name="Input 2 2 2 4 5 3 2" xfId="11887"/>
    <cellStyle name="Input 2 2 2 4 5 3 3" xfId="11888"/>
    <cellStyle name="Input 2 2 2 4 5 3 4" xfId="11889"/>
    <cellStyle name="Input 2 2 2 4 5 4" xfId="11890"/>
    <cellStyle name="Input 2 2 2 4 5 4 2" xfId="11891"/>
    <cellStyle name="Input 2 2 2 4 5 4 3" xfId="11892"/>
    <cellStyle name="Input 2 2 2 4 5 4 4" xfId="11893"/>
    <cellStyle name="Input 2 2 2 4 5 5" xfId="11894"/>
    <cellStyle name="Input 2 2 2 4 5 6" xfId="11895"/>
    <cellStyle name="Input 2 2 2 4 5 7" xfId="11896"/>
    <cellStyle name="Input 2 2 2 4 6" xfId="11897"/>
    <cellStyle name="Input 2 2 2 4 6 2" xfId="11898"/>
    <cellStyle name="Input 2 2 2 4 6 2 2" xfId="11899"/>
    <cellStyle name="Input 2 2 2 4 6 2 3" xfId="11900"/>
    <cellStyle name="Input 2 2 2 4 6 2 4" xfId="11901"/>
    <cellStyle name="Input 2 2 2 4 6 3" xfId="11902"/>
    <cellStyle name="Input 2 2 2 4 6 3 2" xfId="11903"/>
    <cellStyle name="Input 2 2 2 4 6 3 3" xfId="11904"/>
    <cellStyle name="Input 2 2 2 4 6 3 4" xfId="11905"/>
    <cellStyle name="Input 2 2 2 4 6 4" xfId="11906"/>
    <cellStyle name="Input 2 2 2 4 6 4 2" xfId="11907"/>
    <cellStyle name="Input 2 2 2 4 6 4 3" xfId="11908"/>
    <cellStyle name="Input 2 2 2 4 6 4 4" xfId="11909"/>
    <cellStyle name="Input 2 2 2 4 6 5" xfId="11910"/>
    <cellStyle name="Input 2 2 2 4 6 6" xfId="11911"/>
    <cellStyle name="Input 2 2 2 4 6 7" xfId="11912"/>
    <cellStyle name="Input 2 2 2 4 7" xfId="11913"/>
    <cellStyle name="Input 2 2 2 4 7 2" xfId="11914"/>
    <cellStyle name="Input 2 2 2 4 7 3" xfId="11915"/>
    <cellStyle name="Input 2 2 2 4 7 4" xfId="11916"/>
    <cellStyle name="Input 2 2 2 4 8" xfId="11917"/>
    <cellStyle name="Input 2 2 2 4 8 2" xfId="11918"/>
    <cellStyle name="Input 2 2 2 4 8 3" xfId="11919"/>
    <cellStyle name="Input 2 2 2 4 8 4" xfId="11920"/>
    <cellStyle name="Input 2 2 2 4 9" xfId="11921"/>
    <cellStyle name="Input 2 2 2 4 9 2" xfId="11922"/>
    <cellStyle name="Input 2 2 2 4 9 3" xfId="11923"/>
    <cellStyle name="Input 2 2 2 4 9 4" xfId="11924"/>
    <cellStyle name="Input 2 2 2 5" xfId="11925"/>
    <cellStyle name="Input 2 2 2 5 10" xfId="11926"/>
    <cellStyle name="Input 2 2 2 5 11" xfId="11927"/>
    <cellStyle name="Input 2 2 2 5 12" xfId="11928"/>
    <cellStyle name="Input 2 2 2 5 2" xfId="11929"/>
    <cellStyle name="Input 2 2 2 5 2 2" xfId="11930"/>
    <cellStyle name="Input 2 2 2 5 2 2 2" xfId="11931"/>
    <cellStyle name="Input 2 2 2 5 2 2 3" xfId="11932"/>
    <cellStyle name="Input 2 2 2 5 2 2 4" xfId="11933"/>
    <cellStyle name="Input 2 2 2 5 2 3" xfId="11934"/>
    <cellStyle name="Input 2 2 2 5 2 3 2" xfId="11935"/>
    <cellStyle name="Input 2 2 2 5 2 3 3" xfId="11936"/>
    <cellStyle name="Input 2 2 2 5 2 3 4" xfId="11937"/>
    <cellStyle name="Input 2 2 2 5 2 4" xfId="11938"/>
    <cellStyle name="Input 2 2 2 5 2 4 2" xfId="11939"/>
    <cellStyle name="Input 2 2 2 5 2 4 3" xfId="11940"/>
    <cellStyle name="Input 2 2 2 5 2 4 4" xfId="11941"/>
    <cellStyle name="Input 2 2 2 5 2 5" xfId="11942"/>
    <cellStyle name="Input 2 2 2 5 2 6" xfId="11943"/>
    <cellStyle name="Input 2 2 2 5 2 7" xfId="11944"/>
    <cellStyle name="Input 2 2 2 5 3" xfId="11945"/>
    <cellStyle name="Input 2 2 2 5 3 2" xfId="11946"/>
    <cellStyle name="Input 2 2 2 5 3 2 2" xfId="11947"/>
    <cellStyle name="Input 2 2 2 5 3 2 3" xfId="11948"/>
    <cellStyle name="Input 2 2 2 5 3 2 4" xfId="11949"/>
    <cellStyle name="Input 2 2 2 5 3 3" xfId="11950"/>
    <cellStyle name="Input 2 2 2 5 3 3 2" xfId="11951"/>
    <cellStyle name="Input 2 2 2 5 3 3 3" xfId="11952"/>
    <cellStyle name="Input 2 2 2 5 3 3 4" xfId="11953"/>
    <cellStyle name="Input 2 2 2 5 3 4" xfId="11954"/>
    <cellStyle name="Input 2 2 2 5 3 4 2" xfId="11955"/>
    <cellStyle name="Input 2 2 2 5 3 4 3" xfId="11956"/>
    <cellStyle name="Input 2 2 2 5 3 4 4" xfId="11957"/>
    <cellStyle name="Input 2 2 2 5 3 5" xfId="11958"/>
    <cellStyle name="Input 2 2 2 5 3 6" xfId="11959"/>
    <cellStyle name="Input 2 2 2 5 3 7" xfId="11960"/>
    <cellStyle name="Input 2 2 2 5 4" xfId="11961"/>
    <cellStyle name="Input 2 2 2 5 4 2" xfId="11962"/>
    <cellStyle name="Input 2 2 2 5 4 2 2" xfId="11963"/>
    <cellStyle name="Input 2 2 2 5 4 2 3" xfId="11964"/>
    <cellStyle name="Input 2 2 2 5 4 2 4" xfId="11965"/>
    <cellStyle name="Input 2 2 2 5 4 3" xfId="11966"/>
    <cellStyle name="Input 2 2 2 5 4 3 2" xfId="11967"/>
    <cellStyle name="Input 2 2 2 5 4 3 3" xfId="11968"/>
    <cellStyle name="Input 2 2 2 5 4 3 4" xfId="11969"/>
    <cellStyle name="Input 2 2 2 5 4 4" xfId="11970"/>
    <cellStyle name="Input 2 2 2 5 4 4 2" xfId="11971"/>
    <cellStyle name="Input 2 2 2 5 4 4 3" xfId="11972"/>
    <cellStyle name="Input 2 2 2 5 4 4 4" xfId="11973"/>
    <cellStyle name="Input 2 2 2 5 4 5" xfId="11974"/>
    <cellStyle name="Input 2 2 2 5 4 6" xfId="11975"/>
    <cellStyle name="Input 2 2 2 5 4 7" xfId="11976"/>
    <cellStyle name="Input 2 2 2 5 5" xfId="11977"/>
    <cellStyle name="Input 2 2 2 5 5 2" xfId="11978"/>
    <cellStyle name="Input 2 2 2 5 5 2 2" xfId="11979"/>
    <cellStyle name="Input 2 2 2 5 5 2 3" xfId="11980"/>
    <cellStyle name="Input 2 2 2 5 5 2 4" xfId="11981"/>
    <cellStyle name="Input 2 2 2 5 5 3" xfId="11982"/>
    <cellStyle name="Input 2 2 2 5 5 3 2" xfId="11983"/>
    <cellStyle name="Input 2 2 2 5 5 3 3" xfId="11984"/>
    <cellStyle name="Input 2 2 2 5 5 3 4" xfId="11985"/>
    <cellStyle name="Input 2 2 2 5 5 4" xfId="11986"/>
    <cellStyle name="Input 2 2 2 5 5 4 2" xfId="11987"/>
    <cellStyle name="Input 2 2 2 5 5 4 3" xfId="11988"/>
    <cellStyle name="Input 2 2 2 5 5 4 4" xfId="11989"/>
    <cellStyle name="Input 2 2 2 5 5 5" xfId="11990"/>
    <cellStyle name="Input 2 2 2 5 5 6" xfId="11991"/>
    <cellStyle name="Input 2 2 2 5 5 7" xfId="11992"/>
    <cellStyle name="Input 2 2 2 5 6" xfId="11993"/>
    <cellStyle name="Input 2 2 2 5 6 2" xfId="11994"/>
    <cellStyle name="Input 2 2 2 5 6 2 2" xfId="11995"/>
    <cellStyle name="Input 2 2 2 5 6 2 3" xfId="11996"/>
    <cellStyle name="Input 2 2 2 5 6 2 4" xfId="11997"/>
    <cellStyle name="Input 2 2 2 5 6 3" xfId="11998"/>
    <cellStyle name="Input 2 2 2 5 6 3 2" xfId="11999"/>
    <cellStyle name="Input 2 2 2 5 6 3 3" xfId="12000"/>
    <cellStyle name="Input 2 2 2 5 6 3 4" xfId="12001"/>
    <cellStyle name="Input 2 2 2 5 6 4" xfId="12002"/>
    <cellStyle name="Input 2 2 2 5 6 4 2" xfId="12003"/>
    <cellStyle name="Input 2 2 2 5 6 4 3" xfId="12004"/>
    <cellStyle name="Input 2 2 2 5 6 4 4" xfId="12005"/>
    <cellStyle name="Input 2 2 2 5 6 5" xfId="12006"/>
    <cellStyle name="Input 2 2 2 5 6 6" xfId="12007"/>
    <cellStyle name="Input 2 2 2 5 6 7" xfId="12008"/>
    <cellStyle name="Input 2 2 2 5 7" xfId="12009"/>
    <cellStyle name="Input 2 2 2 5 7 2" xfId="12010"/>
    <cellStyle name="Input 2 2 2 5 7 3" xfId="12011"/>
    <cellStyle name="Input 2 2 2 5 7 4" xfId="12012"/>
    <cellStyle name="Input 2 2 2 5 8" xfId="12013"/>
    <cellStyle name="Input 2 2 2 5 8 2" xfId="12014"/>
    <cellStyle name="Input 2 2 2 5 8 3" xfId="12015"/>
    <cellStyle name="Input 2 2 2 5 8 4" xfId="12016"/>
    <cellStyle name="Input 2 2 2 5 9" xfId="12017"/>
    <cellStyle name="Input 2 2 2 5 9 2" xfId="12018"/>
    <cellStyle name="Input 2 2 2 5 9 3" xfId="12019"/>
    <cellStyle name="Input 2 2 2 5 9 4" xfId="12020"/>
    <cellStyle name="Input 2 2 2 6" xfId="12021"/>
    <cellStyle name="Input 2 2 2 6 2" xfId="12022"/>
    <cellStyle name="Input 2 2 2 6 2 2" xfId="12023"/>
    <cellStyle name="Input 2 2 2 6 2 3" xfId="12024"/>
    <cellStyle name="Input 2 2 2 6 2 4" xfId="12025"/>
    <cellStyle name="Input 2 2 2 6 3" xfId="12026"/>
    <cellStyle name="Input 2 2 2 6 3 2" xfId="12027"/>
    <cellStyle name="Input 2 2 2 6 3 3" xfId="12028"/>
    <cellStyle name="Input 2 2 2 6 3 4" xfId="12029"/>
    <cellStyle name="Input 2 2 2 6 4" xfId="12030"/>
    <cellStyle name="Input 2 2 2 6 4 2" xfId="12031"/>
    <cellStyle name="Input 2 2 2 6 4 3" xfId="12032"/>
    <cellStyle name="Input 2 2 2 6 4 4" xfId="12033"/>
    <cellStyle name="Input 2 2 2 6 5" xfId="12034"/>
    <cellStyle name="Input 2 2 2 6 6" xfId="12035"/>
    <cellStyle name="Input 2 2 2 6 7" xfId="12036"/>
    <cellStyle name="Input 2 2 2 7" xfId="12037"/>
    <cellStyle name="Input 2 2 2 7 2" xfId="12038"/>
    <cellStyle name="Input 2 2 2 7 2 2" xfId="12039"/>
    <cellStyle name="Input 2 2 2 7 2 3" xfId="12040"/>
    <cellStyle name="Input 2 2 2 7 2 4" xfId="12041"/>
    <cellStyle name="Input 2 2 2 7 3" xfId="12042"/>
    <cellStyle name="Input 2 2 2 7 3 2" xfId="12043"/>
    <cellStyle name="Input 2 2 2 7 3 3" xfId="12044"/>
    <cellStyle name="Input 2 2 2 7 3 4" xfId="12045"/>
    <cellStyle name="Input 2 2 2 7 4" xfId="12046"/>
    <cellStyle name="Input 2 2 2 7 4 2" xfId="12047"/>
    <cellStyle name="Input 2 2 2 7 4 3" xfId="12048"/>
    <cellStyle name="Input 2 2 2 7 4 4" xfId="12049"/>
    <cellStyle name="Input 2 2 2 7 5" xfId="12050"/>
    <cellStyle name="Input 2 2 2 7 6" xfId="12051"/>
    <cellStyle name="Input 2 2 2 7 7" xfId="12052"/>
    <cellStyle name="Input 2 2 2 8" xfId="12053"/>
    <cellStyle name="Input 2 2 2 8 2" xfId="12054"/>
    <cellStyle name="Input 2 2 2 8 2 2" xfId="12055"/>
    <cellStyle name="Input 2 2 2 8 2 3" xfId="12056"/>
    <cellStyle name="Input 2 2 2 8 2 4" xfId="12057"/>
    <cellStyle name="Input 2 2 2 8 3" xfId="12058"/>
    <cellStyle name="Input 2 2 2 8 3 2" xfId="12059"/>
    <cellStyle name="Input 2 2 2 8 3 3" xfId="12060"/>
    <cellStyle name="Input 2 2 2 8 3 4" xfId="12061"/>
    <cellStyle name="Input 2 2 2 8 4" xfId="12062"/>
    <cellStyle name="Input 2 2 2 8 4 2" xfId="12063"/>
    <cellStyle name="Input 2 2 2 8 4 3" xfId="12064"/>
    <cellStyle name="Input 2 2 2 8 4 4" xfId="12065"/>
    <cellStyle name="Input 2 2 2 8 5" xfId="12066"/>
    <cellStyle name="Input 2 2 2 8 6" xfId="12067"/>
    <cellStyle name="Input 2 2 2 8 7" xfId="12068"/>
    <cellStyle name="Input 2 2 2 9" xfId="12069"/>
    <cellStyle name="Input 2 2 2 9 2" xfId="12070"/>
    <cellStyle name="Input 2 2 2 9 2 2" xfId="12071"/>
    <cellStyle name="Input 2 2 2 9 2 3" xfId="12072"/>
    <cellStyle name="Input 2 2 2 9 2 4" xfId="12073"/>
    <cellStyle name="Input 2 2 2 9 3" xfId="12074"/>
    <cellStyle name="Input 2 2 2 9 3 2" xfId="12075"/>
    <cellStyle name="Input 2 2 2 9 3 3" xfId="12076"/>
    <cellStyle name="Input 2 2 2 9 3 4" xfId="12077"/>
    <cellStyle name="Input 2 2 2 9 4" xfId="12078"/>
    <cellStyle name="Input 2 2 2 9 4 2" xfId="12079"/>
    <cellStyle name="Input 2 2 2 9 4 3" xfId="12080"/>
    <cellStyle name="Input 2 2 2 9 4 4" xfId="12081"/>
    <cellStyle name="Input 2 2 2 9 5" xfId="12082"/>
    <cellStyle name="Input 2 2 2 9 6" xfId="12083"/>
    <cellStyle name="Input 2 2 2 9 7" xfId="12084"/>
    <cellStyle name="Input 2 2 3" xfId="1061"/>
    <cellStyle name="Input 2 2 3 10" xfId="12085"/>
    <cellStyle name="Input 2 2 3 11" xfId="12086"/>
    <cellStyle name="Input 2 2 3 12" xfId="12087"/>
    <cellStyle name="Input 2 2 3 2" xfId="12088"/>
    <cellStyle name="Input 2 2 3 2 2" xfId="12089"/>
    <cellStyle name="Input 2 2 3 2 2 2" xfId="12090"/>
    <cellStyle name="Input 2 2 3 2 2 3" xfId="12091"/>
    <cellStyle name="Input 2 2 3 2 2 4" xfId="12092"/>
    <cellStyle name="Input 2 2 3 2 3" xfId="12093"/>
    <cellStyle name="Input 2 2 3 2 3 2" xfId="12094"/>
    <cellStyle name="Input 2 2 3 2 3 3" xfId="12095"/>
    <cellStyle name="Input 2 2 3 2 3 4" xfId="12096"/>
    <cellStyle name="Input 2 2 3 2 4" xfId="12097"/>
    <cellStyle name="Input 2 2 3 2 4 2" xfId="12098"/>
    <cellStyle name="Input 2 2 3 2 4 3" xfId="12099"/>
    <cellStyle name="Input 2 2 3 2 4 4" xfId="12100"/>
    <cellStyle name="Input 2 2 3 2 5" xfId="12101"/>
    <cellStyle name="Input 2 2 3 2 6" xfId="12102"/>
    <cellStyle name="Input 2 2 3 2 7" xfId="12103"/>
    <cellStyle name="Input 2 2 3 3" xfId="12104"/>
    <cellStyle name="Input 2 2 3 3 2" xfId="12105"/>
    <cellStyle name="Input 2 2 3 3 2 2" xfId="12106"/>
    <cellStyle name="Input 2 2 3 3 2 3" xfId="12107"/>
    <cellStyle name="Input 2 2 3 3 2 4" xfId="12108"/>
    <cellStyle name="Input 2 2 3 3 3" xfId="12109"/>
    <cellStyle name="Input 2 2 3 3 3 2" xfId="12110"/>
    <cellStyle name="Input 2 2 3 3 3 3" xfId="12111"/>
    <cellStyle name="Input 2 2 3 3 3 4" xfId="12112"/>
    <cellStyle name="Input 2 2 3 3 4" xfId="12113"/>
    <cellStyle name="Input 2 2 3 3 4 2" xfId="12114"/>
    <cellStyle name="Input 2 2 3 3 4 3" xfId="12115"/>
    <cellStyle name="Input 2 2 3 3 4 4" xfId="12116"/>
    <cellStyle name="Input 2 2 3 3 5" xfId="12117"/>
    <cellStyle name="Input 2 2 3 3 6" xfId="12118"/>
    <cellStyle name="Input 2 2 3 3 7" xfId="12119"/>
    <cellStyle name="Input 2 2 3 4" xfId="12120"/>
    <cellStyle name="Input 2 2 3 4 2" xfId="12121"/>
    <cellStyle name="Input 2 2 3 4 2 2" xfId="12122"/>
    <cellStyle name="Input 2 2 3 4 2 3" xfId="12123"/>
    <cellStyle name="Input 2 2 3 4 2 4" xfId="12124"/>
    <cellStyle name="Input 2 2 3 4 3" xfId="12125"/>
    <cellStyle name="Input 2 2 3 4 3 2" xfId="12126"/>
    <cellStyle name="Input 2 2 3 4 3 3" xfId="12127"/>
    <cellStyle name="Input 2 2 3 4 3 4" xfId="12128"/>
    <cellStyle name="Input 2 2 3 4 4" xfId="12129"/>
    <cellStyle name="Input 2 2 3 4 4 2" xfId="12130"/>
    <cellStyle name="Input 2 2 3 4 4 3" xfId="12131"/>
    <cellStyle name="Input 2 2 3 4 4 4" xfId="12132"/>
    <cellStyle name="Input 2 2 3 4 5" xfId="12133"/>
    <cellStyle name="Input 2 2 3 4 6" xfId="12134"/>
    <cellStyle name="Input 2 2 3 4 7" xfId="12135"/>
    <cellStyle name="Input 2 2 3 5" xfId="12136"/>
    <cellStyle name="Input 2 2 3 5 2" xfId="12137"/>
    <cellStyle name="Input 2 2 3 5 2 2" xfId="12138"/>
    <cellStyle name="Input 2 2 3 5 2 3" xfId="12139"/>
    <cellStyle name="Input 2 2 3 5 2 4" xfId="12140"/>
    <cellStyle name="Input 2 2 3 5 3" xfId="12141"/>
    <cellStyle name="Input 2 2 3 5 3 2" xfId="12142"/>
    <cellStyle name="Input 2 2 3 5 3 3" xfId="12143"/>
    <cellStyle name="Input 2 2 3 5 3 4" xfId="12144"/>
    <cellStyle name="Input 2 2 3 5 4" xfId="12145"/>
    <cellStyle name="Input 2 2 3 5 4 2" xfId="12146"/>
    <cellStyle name="Input 2 2 3 5 4 3" xfId="12147"/>
    <cellStyle name="Input 2 2 3 5 4 4" xfId="12148"/>
    <cellStyle name="Input 2 2 3 5 5" xfId="12149"/>
    <cellStyle name="Input 2 2 3 5 6" xfId="12150"/>
    <cellStyle name="Input 2 2 3 5 7" xfId="12151"/>
    <cellStyle name="Input 2 2 3 6" xfId="12152"/>
    <cellStyle name="Input 2 2 3 6 2" xfId="12153"/>
    <cellStyle name="Input 2 2 3 6 2 2" xfId="12154"/>
    <cellStyle name="Input 2 2 3 6 2 3" xfId="12155"/>
    <cellStyle name="Input 2 2 3 6 2 4" xfId="12156"/>
    <cellStyle name="Input 2 2 3 6 3" xfId="12157"/>
    <cellStyle name="Input 2 2 3 6 3 2" xfId="12158"/>
    <cellStyle name="Input 2 2 3 6 3 3" xfId="12159"/>
    <cellStyle name="Input 2 2 3 6 3 4" xfId="12160"/>
    <cellStyle name="Input 2 2 3 6 4" xfId="12161"/>
    <cellStyle name="Input 2 2 3 6 4 2" xfId="12162"/>
    <cellStyle name="Input 2 2 3 6 4 3" xfId="12163"/>
    <cellStyle name="Input 2 2 3 6 4 4" xfId="12164"/>
    <cellStyle name="Input 2 2 3 6 5" xfId="12165"/>
    <cellStyle name="Input 2 2 3 6 6" xfId="12166"/>
    <cellStyle name="Input 2 2 3 6 7" xfId="12167"/>
    <cellStyle name="Input 2 2 3 7" xfId="12168"/>
    <cellStyle name="Input 2 2 3 7 2" xfId="12169"/>
    <cellStyle name="Input 2 2 3 7 3" xfId="12170"/>
    <cellStyle name="Input 2 2 3 7 4" xfId="12171"/>
    <cellStyle name="Input 2 2 3 8" xfId="12172"/>
    <cellStyle name="Input 2 2 3 8 2" xfId="12173"/>
    <cellStyle name="Input 2 2 3 8 3" xfId="12174"/>
    <cellStyle name="Input 2 2 3 8 4" xfId="12175"/>
    <cellStyle name="Input 2 2 3 9" xfId="12176"/>
    <cellStyle name="Input 2 2 3 9 2" xfId="12177"/>
    <cellStyle name="Input 2 2 3 9 3" xfId="12178"/>
    <cellStyle name="Input 2 2 3 9 4" xfId="12179"/>
    <cellStyle name="Input 2 2 4" xfId="3208"/>
    <cellStyle name="Input 2 2 5" xfId="3148"/>
    <cellStyle name="Input 2 2 6" xfId="3172"/>
    <cellStyle name="Input 2 2 7" xfId="1120"/>
    <cellStyle name="Input 2 3" xfId="97"/>
    <cellStyle name="Input 2 3 2" xfId="573"/>
    <cellStyle name="Input 2 3 2 10" xfId="12180"/>
    <cellStyle name="Input 2 3 2 10 2" xfId="12181"/>
    <cellStyle name="Input 2 3 2 10 2 2" xfId="12182"/>
    <cellStyle name="Input 2 3 2 10 2 3" xfId="12183"/>
    <cellStyle name="Input 2 3 2 10 2 4" xfId="12184"/>
    <cellStyle name="Input 2 3 2 10 3" xfId="12185"/>
    <cellStyle name="Input 2 3 2 10 3 2" xfId="12186"/>
    <cellStyle name="Input 2 3 2 10 3 3" xfId="12187"/>
    <cellStyle name="Input 2 3 2 10 3 4" xfId="12188"/>
    <cellStyle name="Input 2 3 2 10 4" xfId="12189"/>
    <cellStyle name="Input 2 3 2 10 4 2" xfId="12190"/>
    <cellStyle name="Input 2 3 2 10 4 3" xfId="12191"/>
    <cellStyle name="Input 2 3 2 10 4 4" xfId="12192"/>
    <cellStyle name="Input 2 3 2 10 5" xfId="12193"/>
    <cellStyle name="Input 2 3 2 10 6" xfId="12194"/>
    <cellStyle name="Input 2 3 2 10 7" xfId="12195"/>
    <cellStyle name="Input 2 3 2 11" xfId="12196"/>
    <cellStyle name="Input 2 3 2 11 2" xfId="12197"/>
    <cellStyle name="Input 2 3 2 11 2 2" xfId="12198"/>
    <cellStyle name="Input 2 3 2 11 2 3" xfId="12199"/>
    <cellStyle name="Input 2 3 2 11 2 4" xfId="12200"/>
    <cellStyle name="Input 2 3 2 11 3" xfId="12201"/>
    <cellStyle name="Input 2 3 2 11 3 2" xfId="12202"/>
    <cellStyle name="Input 2 3 2 11 3 3" xfId="12203"/>
    <cellStyle name="Input 2 3 2 11 3 4" xfId="12204"/>
    <cellStyle name="Input 2 3 2 11 4" xfId="12205"/>
    <cellStyle name="Input 2 3 2 11 4 2" xfId="12206"/>
    <cellStyle name="Input 2 3 2 11 4 3" xfId="12207"/>
    <cellStyle name="Input 2 3 2 11 4 4" xfId="12208"/>
    <cellStyle name="Input 2 3 2 11 5" xfId="12209"/>
    <cellStyle name="Input 2 3 2 11 6" xfId="12210"/>
    <cellStyle name="Input 2 3 2 11 7" xfId="12211"/>
    <cellStyle name="Input 2 3 2 12" xfId="12212"/>
    <cellStyle name="Input 2 3 2 12 2" xfId="12213"/>
    <cellStyle name="Input 2 3 2 12 2 2" xfId="12214"/>
    <cellStyle name="Input 2 3 2 12 2 3" xfId="12215"/>
    <cellStyle name="Input 2 3 2 12 2 4" xfId="12216"/>
    <cellStyle name="Input 2 3 2 12 3" xfId="12217"/>
    <cellStyle name="Input 2 3 2 12 3 2" xfId="12218"/>
    <cellStyle name="Input 2 3 2 12 3 3" xfId="12219"/>
    <cellStyle name="Input 2 3 2 12 3 4" xfId="12220"/>
    <cellStyle name="Input 2 3 2 12 4" xfId="12221"/>
    <cellStyle name="Input 2 3 2 12 4 2" xfId="12222"/>
    <cellStyle name="Input 2 3 2 12 4 3" xfId="12223"/>
    <cellStyle name="Input 2 3 2 12 4 4" xfId="12224"/>
    <cellStyle name="Input 2 3 2 12 5" xfId="12225"/>
    <cellStyle name="Input 2 3 2 12 6" xfId="12226"/>
    <cellStyle name="Input 2 3 2 12 7" xfId="12227"/>
    <cellStyle name="Input 2 3 2 13" xfId="12228"/>
    <cellStyle name="Input 2 3 2 13 2" xfId="12229"/>
    <cellStyle name="Input 2 3 2 13 2 2" xfId="12230"/>
    <cellStyle name="Input 2 3 2 13 2 3" xfId="12231"/>
    <cellStyle name="Input 2 3 2 13 2 4" xfId="12232"/>
    <cellStyle name="Input 2 3 2 13 3" xfId="12233"/>
    <cellStyle name="Input 2 3 2 13 3 2" xfId="12234"/>
    <cellStyle name="Input 2 3 2 13 3 3" xfId="12235"/>
    <cellStyle name="Input 2 3 2 13 3 4" xfId="12236"/>
    <cellStyle name="Input 2 3 2 13 4" xfId="12237"/>
    <cellStyle name="Input 2 3 2 13 4 2" xfId="12238"/>
    <cellStyle name="Input 2 3 2 13 4 3" xfId="12239"/>
    <cellStyle name="Input 2 3 2 13 4 4" xfId="12240"/>
    <cellStyle name="Input 2 3 2 13 5" xfId="12241"/>
    <cellStyle name="Input 2 3 2 13 6" xfId="12242"/>
    <cellStyle name="Input 2 3 2 13 7" xfId="12243"/>
    <cellStyle name="Input 2 3 2 14" xfId="12244"/>
    <cellStyle name="Input 2 3 2 14 2" xfId="12245"/>
    <cellStyle name="Input 2 3 2 14 3" xfId="12246"/>
    <cellStyle name="Input 2 3 2 14 4" xfId="12247"/>
    <cellStyle name="Input 2 3 2 15" xfId="12248"/>
    <cellStyle name="Input 2 3 2 15 2" xfId="12249"/>
    <cellStyle name="Input 2 3 2 15 3" xfId="12250"/>
    <cellStyle name="Input 2 3 2 15 4" xfId="12251"/>
    <cellStyle name="Input 2 3 2 16" xfId="12252"/>
    <cellStyle name="Input 2 3 2 16 2" xfId="12253"/>
    <cellStyle name="Input 2 3 2 16 3" xfId="12254"/>
    <cellStyle name="Input 2 3 2 16 4" xfId="12255"/>
    <cellStyle name="Input 2 3 2 17" xfId="12256"/>
    <cellStyle name="Input 2 3 2 18" xfId="12257"/>
    <cellStyle name="Input 2 3 2 19" xfId="12258"/>
    <cellStyle name="Input 2 3 2 2" xfId="854"/>
    <cellStyle name="Input 2 3 2 2 10" xfId="12259"/>
    <cellStyle name="Input 2 3 2 2 11" xfId="12260"/>
    <cellStyle name="Input 2 3 2 2 12" xfId="12261"/>
    <cellStyle name="Input 2 3 2 2 2" xfId="12262"/>
    <cellStyle name="Input 2 3 2 2 2 2" xfId="12263"/>
    <cellStyle name="Input 2 3 2 2 2 2 2" xfId="12264"/>
    <cellStyle name="Input 2 3 2 2 2 2 3" xfId="12265"/>
    <cellStyle name="Input 2 3 2 2 2 2 4" xfId="12266"/>
    <cellStyle name="Input 2 3 2 2 2 3" xfId="12267"/>
    <cellStyle name="Input 2 3 2 2 2 3 2" xfId="12268"/>
    <cellStyle name="Input 2 3 2 2 2 3 3" xfId="12269"/>
    <cellStyle name="Input 2 3 2 2 2 3 4" xfId="12270"/>
    <cellStyle name="Input 2 3 2 2 2 4" xfId="12271"/>
    <cellStyle name="Input 2 3 2 2 2 4 2" xfId="12272"/>
    <cellStyle name="Input 2 3 2 2 2 4 3" xfId="12273"/>
    <cellStyle name="Input 2 3 2 2 2 4 4" xfId="12274"/>
    <cellStyle name="Input 2 3 2 2 2 5" xfId="12275"/>
    <cellStyle name="Input 2 3 2 2 2 6" xfId="12276"/>
    <cellStyle name="Input 2 3 2 2 2 7" xfId="12277"/>
    <cellStyle name="Input 2 3 2 2 3" xfId="12278"/>
    <cellStyle name="Input 2 3 2 2 3 2" xfId="12279"/>
    <cellStyle name="Input 2 3 2 2 3 2 2" xfId="12280"/>
    <cellStyle name="Input 2 3 2 2 3 2 3" xfId="12281"/>
    <cellStyle name="Input 2 3 2 2 3 2 4" xfId="12282"/>
    <cellStyle name="Input 2 3 2 2 3 3" xfId="12283"/>
    <cellStyle name="Input 2 3 2 2 3 3 2" xfId="12284"/>
    <cellStyle name="Input 2 3 2 2 3 3 3" xfId="12285"/>
    <cellStyle name="Input 2 3 2 2 3 3 4" xfId="12286"/>
    <cellStyle name="Input 2 3 2 2 3 4" xfId="12287"/>
    <cellStyle name="Input 2 3 2 2 3 4 2" xfId="12288"/>
    <cellStyle name="Input 2 3 2 2 3 4 3" xfId="12289"/>
    <cellStyle name="Input 2 3 2 2 3 4 4" xfId="12290"/>
    <cellStyle name="Input 2 3 2 2 3 5" xfId="12291"/>
    <cellStyle name="Input 2 3 2 2 3 6" xfId="12292"/>
    <cellStyle name="Input 2 3 2 2 3 7" xfId="12293"/>
    <cellStyle name="Input 2 3 2 2 4" xfId="12294"/>
    <cellStyle name="Input 2 3 2 2 4 2" xfId="12295"/>
    <cellStyle name="Input 2 3 2 2 4 2 2" xfId="12296"/>
    <cellStyle name="Input 2 3 2 2 4 2 3" xfId="12297"/>
    <cellStyle name="Input 2 3 2 2 4 2 4" xfId="12298"/>
    <cellStyle name="Input 2 3 2 2 4 3" xfId="12299"/>
    <cellStyle name="Input 2 3 2 2 4 3 2" xfId="12300"/>
    <cellStyle name="Input 2 3 2 2 4 3 3" xfId="12301"/>
    <cellStyle name="Input 2 3 2 2 4 3 4" xfId="12302"/>
    <cellStyle name="Input 2 3 2 2 4 4" xfId="12303"/>
    <cellStyle name="Input 2 3 2 2 4 4 2" xfId="12304"/>
    <cellStyle name="Input 2 3 2 2 4 4 3" xfId="12305"/>
    <cellStyle name="Input 2 3 2 2 4 4 4" xfId="12306"/>
    <cellStyle name="Input 2 3 2 2 4 5" xfId="12307"/>
    <cellStyle name="Input 2 3 2 2 4 6" xfId="12308"/>
    <cellStyle name="Input 2 3 2 2 4 7" xfId="12309"/>
    <cellStyle name="Input 2 3 2 2 5" xfId="12310"/>
    <cellStyle name="Input 2 3 2 2 5 2" xfId="12311"/>
    <cellStyle name="Input 2 3 2 2 5 2 2" xfId="12312"/>
    <cellStyle name="Input 2 3 2 2 5 2 3" xfId="12313"/>
    <cellStyle name="Input 2 3 2 2 5 2 4" xfId="12314"/>
    <cellStyle name="Input 2 3 2 2 5 3" xfId="12315"/>
    <cellStyle name="Input 2 3 2 2 5 3 2" xfId="12316"/>
    <cellStyle name="Input 2 3 2 2 5 3 3" xfId="12317"/>
    <cellStyle name="Input 2 3 2 2 5 3 4" xfId="12318"/>
    <cellStyle name="Input 2 3 2 2 5 4" xfId="12319"/>
    <cellStyle name="Input 2 3 2 2 5 4 2" xfId="12320"/>
    <cellStyle name="Input 2 3 2 2 5 4 3" xfId="12321"/>
    <cellStyle name="Input 2 3 2 2 5 4 4" xfId="12322"/>
    <cellStyle name="Input 2 3 2 2 5 5" xfId="12323"/>
    <cellStyle name="Input 2 3 2 2 5 6" xfId="12324"/>
    <cellStyle name="Input 2 3 2 2 5 7" xfId="12325"/>
    <cellStyle name="Input 2 3 2 2 6" xfId="12326"/>
    <cellStyle name="Input 2 3 2 2 6 2" xfId="12327"/>
    <cellStyle name="Input 2 3 2 2 6 2 2" xfId="12328"/>
    <cellStyle name="Input 2 3 2 2 6 2 3" xfId="12329"/>
    <cellStyle name="Input 2 3 2 2 6 2 4" xfId="12330"/>
    <cellStyle name="Input 2 3 2 2 6 3" xfId="12331"/>
    <cellStyle name="Input 2 3 2 2 6 3 2" xfId="12332"/>
    <cellStyle name="Input 2 3 2 2 6 3 3" xfId="12333"/>
    <cellStyle name="Input 2 3 2 2 6 3 4" xfId="12334"/>
    <cellStyle name="Input 2 3 2 2 6 4" xfId="12335"/>
    <cellStyle name="Input 2 3 2 2 6 4 2" xfId="12336"/>
    <cellStyle name="Input 2 3 2 2 6 4 3" xfId="12337"/>
    <cellStyle name="Input 2 3 2 2 6 4 4" xfId="12338"/>
    <cellStyle name="Input 2 3 2 2 6 5" xfId="12339"/>
    <cellStyle name="Input 2 3 2 2 6 6" xfId="12340"/>
    <cellStyle name="Input 2 3 2 2 6 7" xfId="12341"/>
    <cellStyle name="Input 2 3 2 2 7" xfId="12342"/>
    <cellStyle name="Input 2 3 2 2 7 2" xfId="12343"/>
    <cellStyle name="Input 2 3 2 2 7 3" xfId="12344"/>
    <cellStyle name="Input 2 3 2 2 7 4" xfId="12345"/>
    <cellStyle name="Input 2 3 2 2 8" xfId="12346"/>
    <cellStyle name="Input 2 3 2 2 8 2" xfId="12347"/>
    <cellStyle name="Input 2 3 2 2 8 3" xfId="12348"/>
    <cellStyle name="Input 2 3 2 2 8 4" xfId="12349"/>
    <cellStyle name="Input 2 3 2 2 9" xfId="12350"/>
    <cellStyle name="Input 2 3 2 2 9 2" xfId="12351"/>
    <cellStyle name="Input 2 3 2 2 9 3" xfId="12352"/>
    <cellStyle name="Input 2 3 2 2 9 4" xfId="12353"/>
    <cellStyle name="Input 2 3 2 3" xfId="830"/>
    <cellStyle name="Input 2 3 2 3 10" xfId="12354"/>
    <cellStyle name="Input 2 3 2 3 11" xfId="12355"/>
    <cellStyle name="Input 2 3 2 3 12" xfId="12356"/>
    <cellStyle name="Input 2 3 2 3 2" xfId="12357"/>
    <cellStyle name="Input 2 3 2 3 2 2" xfId="12358"/>
    <cellStyle name="Input 2 3 2 3 2 2 2" xfId="12359"/>
    <cellStyle name="Input 2 3 2 3 2 2 3" xfId="12360"/>
    <cellStyle name="Input 2 3 2 3 2 2 4" xfId="12361"/>
    <cellStyle name="Input 2 3 2 3 2 3" xfId="12362"/>
    <cellStyle name="Input 2 3 2 3 2 3 2" xfId="12363"/>
    <cellStyle name="Input 2 3 2 3 2 3 3" xfId="12364"/>
    <cellStyle name="Input 2 3 2 3 2 3 4" xfId="12365"/>
    <cellStyle name="Input 2 3 2 3 2 4" xfId="12366"/>
    <cellStyle name="Input 2 3 2 3 2 4 2" xfId="12367"/>
    <cellStyle name="Input 2 3 2 3 2 4 3" xfId="12368"/>
    <cellStyle name="Input 2 3 2 3 2 4 4" xfId="12369"/>
    <cellStyle name="Input 2 3 2 3 2 5" xfId="12370"/>
    <cellStyle name="Input 2 3 2 3 2 6" xfId="12371"/>
    <cellStyle name="Input 2 3 2 3 2 7" xfId="12372"/>
    <cellStyle name="Input 2 3 2 3 3" xfId="12373"/>
    <cellStyle name="Input 2 3 2 3 3 2" xfId="12374"/>
    <cellStyle name="Input 2 3 2 3 3 2 2" xfId="12375"/>
    <cellStyle name="Input 2 3 2 3 3 2 3" xfId="12376"/>
    <cellStyle name="Input 2 3 2 3 3 2 4" xfId="12377"/>
    <cellStyle name="Input 2 3 2 3 3 3" xfId="12378"/>
    <cellStyle name="Input 2 3 2 3 3 3 2" xfId="12379"/>
    <cellStyle name="Input 2 3 2 3 3 3 3" xfId="12380"/>
    <cellStyle name="Input 2 3 2 3 3 3 4" xfId="12381"/>
    <cellStyle name="Input 2 3 2 3 3 4" xfId="12382"/>
    <cellStyle name="Input 2 3 2 3 3 4 2" xfId="12383"/>
    <cellStyle name="Input 2 3 2 3 3 4 3" xfId="12384"/>
    <cellStyle name="Input 2 3 2 3 3 4 4" xfId="12385"/>
    <cellStyle name="Input 2 3 2 3 3 5" xfId="12386"/>
    <cellStyle name="Input 2 3 2 3 3 6" xfId="12387"/>
    <cellStyle name="Input 2 3 2 3 3 7" xfId="12388"/>
    <cellStyle name="Input 2 3 2 3 4" xfId="12389"/>
    <cellStyle name="Input 2 3 2 3 4 2" xfId="12390"/>
    <cellStyle name="Input 2 3 2 3 4 2 2" xfId="12391"/>
    <cellStyle name="Input 2 3 2 3 4 2 3" xfId="12392"/>
    <cellStyle name="Input 2 3 2 3 4 2 4" xfId="12393"/>
    <cellStyle name="Input 2 3 2 3 4 3" xfId="12394"/>
    <cellStyle name="Input 2 3 2 3 4 3 2" xfId="12395"/>
    <cellStyle name="Input 2 3 2 3 4 3 3" xfId="12396"/>
    <cellStyle name="Input 2 3 2 3 4 3 4" xfId="12397"/>
    <cellStyle name="Input 2 3 2 3 4 4" xfId="12398"/>
    <cellStyle name="Input 2 3 2 3 4 4 2" xfId="12399"/>
    <cellStyle name="Input 2 3 2 3 4 4 3" xfId="12400"/>
    <cellStyle name="Input 2 3 2 3 4 4 4" xfId="12401"/>
    <cellStyle name="Input 2 3 2 3 4 5" xfId="12402"/>
    <cellStyle name="Input 2 3 2 3 4 6" xfId="12403"/>
    <cellStyle name="Input 2 3 2 3 4 7" xfId="12404"/>
    <cellStyle name="Input 2 3 2 3 5" xfId="12405"/>
    <cellStyle name="Input 2 3 2 3 5 2" xfId="12406"/>
    <cellStyle name="Input 2 3 2 3 5 2 2" xfId="12407"/>
    <cellStyle name="Input 2 3 2 3 5 2 3" xfId="12408"/>
    <cellStyle name="Input 2 3 2 3 5 2 4" xfId="12409"/>
    <cellStyle name="Input 2 3 2 3 5 3" xfId="12410"/>
    <cellStyle name="Input 2 3 2 3 5 3 2" xfId="12411"/>
    <cellStyle name="Input 2 3 2 3 5 3 3" xfId="12412"/>
    <cellStyle name="Input 2 3 2 3 5 3 4" xfId="12413"/>
    <cellStyle name="Input 2 3 2 3 5 4" xfId="12414"/>
    <cellStyle name="Input 2 3 2 3 5 4 2" xfId="12415"/>
    <cellStyle name="Input 2 3 2 3 5 4 3" xfId="12416"/>
    <cellStyle name="Input 2 3 2 3 5 4 4" xfId="12417"/>
    <cellStyle name="Input 2 3 2 3 5 5" xfId="12418"/>
    <cellStyle name="Input 2 3 2 3 5 6" xfId="12419"/>
    <cellStyle name="Input 2 3 2 3 5 7" xfId="12420"/>
    <cellStyle name="Input 2 3 2 3 6" xfId="12421"/>
    <cellStyle name="Input 2 3 2 3 6 2" xfId="12422"/>
    <cellStyle name="Input 2 3 2 3 6 2 2" xfId="12423"/>
    <cellStyle name="Input 2 3 2 3 6 2 3" xfId="12424"/>
    <cellStyle name="Input 2 3 2 3 6 2 4" xfId="12425"/>
    <cellStyle name="Input 2 3 2 3 6 3" xfId="12426"/>
    <cellStyle name="Input 2 3 2 3 6 3 2" xfId="12427"/>
    <cellStyle name="Input 2 3 2 3 6 3 3" xfId="12428"/>
    <cellStyle name="Input 2 3 2 3 6 3 4" xfId="12429"/>
    <cellStyle name="Input 2 3 2 3 6 4" xfId="12430"/>
    <cellStyle name="Input 2 3 2 3 6 4 2" xfId="12431"/>
    <cellStyle name="Input 2 3 2 3 6 4 3" xfId="12432"/>
    <cellStyle name="Input 2 3 2 3 6 4 4" xfId="12433"/>
    <cellStyle name="Input 2 3 2 3 6 5" xfId="12434"/>
    <cellStyle name="Input 2 3 2 3 6 6" xfId="12435"/>
    <cellStyle name="Input 2 3 2 3 6 7" xfId="12436"/>
    <cellStyle name="Input 2 3 2 3 7" xfId="12437"/>
    <cellStyle name="Input 2 3 2 3 7 2" xfId="12438"/>
    <cellStyle name="Input 2 3 2 3 7 3" xfId="12439"/>
    <cellStyle name="Input 2 3 2 3 7 4" xfId="12440"/>
    <cellStyle name="Input 2 3 2 3 8" xfId="12441"/>
    <cellStyle name="Input 2 3 2 3 8 2" xfId="12442"/>
    <cellStyle name="Input 2 3 2 3 8 3" xfId="12443"/>
    <cellStyle name="Input 2 3 2 3 8 4" xfId="12444"/>
    <cellStyle name="Input 2 3 2 3 9" xfId="12445"/>
    <cellStyle name="Input 2 3 2 3 9 2" xfId="12446"/>
    <cellStyle name="Input 2 3 2 3 9 3" xfId="12447"/>
    <cellStyle name="Input 2 3 2 3 9 4" xfId="12448"/>
    <cellStyle name="Input 2 3 2 4" xfId="920"/>
    <cellStyle name="Input 2 3 2 4 10" xfId="12449"/>
    <cellStyle name="Input 2 3 2 4 11" xfId="12450"/>
    <cellStyle name="Input 2 3 2 4 12" xfId="12451"/>
    <cellStyle name="Input 2 3 2 4 2" xfId="12452"/>
    <cellStyle name="Input 2 3 2 4 2 2" xfId="12453"/>
    <cellStyle name="Input 2 3 2 4 2 2 2" xfId="12454"/>
    <cellStyle name="Input 2 3 2 4 2 2 3" xfId="12455"/>
    <cellStyle name="Input 2 3 2 4 2 2 4" xfId="12456"/>
    <cellStyle name="Input 2 3 2 4 2 3" xfId="12457"/>
    <cellStyle name="Input 2 3 2 4 2 3 2" xfId="12458"/>
    <cellStyle name="Input 2 3 2 4 2 3 3" xfId="12459"/>
    <cellStyle name="Input 2 3 2 4 2 3 4" xfId="12460"/>
    <cellStyle name="Input 2 3 2 4 2 4" xfId="12461"/>
    <cellStyle name="Input 2 3 2 4 2 4 2" xfId="12462"/>
    <cellStyle name="Input 2 3 2 4 2 4 3" xfId="12463"/>
    <cellStyle name="Input 2 3 2 4 2 4 4" xfId="12464"/>
    <cellStyle name="Input 2 3 2 4 2 5" xfId="12465"/>
    <cellStyle name="Input 2 3 2 4 2 6" xfId="12466"/>
    <cellStyle name="Input 2 3 2 4 2 7" xfId="12467"/>
    <cellStyle name="Input 2 3 2 4 3" xfId="12468"/>
    <cellStyle name="Input 2 3 2 4 3 2" xfId="12469"/>
    <cellStyle name="Input 2 3 2 4 3 2 2" xfId="12470"/>
    <cellStyle name="Input 2 3 2 4 3 2 3" xfId="12471"/>
    <cellStyle name="Input 2 3 2 4 3 2 4" xfId="12472"/>
    <cellStyle name="Input 2 3 2 4 3 3" xfId="12473"/>
    <cellStyle name="Input 2 3 2 4 3 3 2" xfId="12474"/>
    <cellStyle name="Input 2 3 2 4 3 3 3" xfId="12475"/>
    <cellStyle name="Input 2 3 2 4 3 3 4" xfId="12476"/>
    <cellStyle name="Input 2 3 2 4 3 4" xfId="12477"/>
    <cellStyle name="Input 2 3 2 4 3 4 2" xfId="12478"/>
    <cellStyle name="Input 2 3 2 4 3 4 3" xfId="12479"/>
    <cellStyle name="Input 2 3 2 4 3 4 4" xfId="12480"/>
    <cellStyle name="Input 2 3 2 4 3 5" xfId="12481"/>
    <cellStyle name="Input 2 3 2 4 3 6" xfId="12482"/>
    <cellStyle name="Input 2 3 2 4 3 7" xfId="12483"/>
    <cellStyle name="Input 2 3 2 4 4" xfId="12484"/>
    <cellStyle name="Input 2 3 2 4 4 2" xfId="12485"/>
    <cellStyle name="Input 2 3 2 4 4 2 2" xfId="12486"/>
    <cellStyle name="Input 2 3 2 4 4 2 3" xfId="12487"/>
    <cellStyle name="Input 2 3 2 4 4 2 4" xfId="12488"/>
    <cellStyle name="Input 2 3 2 4 4 3" xfId="12489"/>
    <cellStyle name="Input 2 3 2 4 4 3 2" xfId="12490"/>
    <cellStyle name="Input 2 3 2 4 4 3 3" xfId="12491"/>
    <cellStyle name="Input 2 3 2 4 4 3 4" xfId="12492"/>
    <cellStyle name="Input 2 3 2 4 4 4" xfId="12493"/>
    <cellStyle name="Input 2 3 2 4 4 4 2" xfId="12494"/>
    <cellStyle name="Input 2 3 2 4 4 4 3" xfId="12495"/>
    <cellStyle name="Input 2 3 2 4 4 4 4" xfId="12496"/>
    <cellStyle name="Input 2 3 2 4 4 5" xfId="12497"/>
    <cellStyle name="Input 2 3 2 4 4 6" xfId="12498"/>
    <cellStyle name="Input 2 3 2 4 4 7" xfId="12499"/>
    <cellStyle name="Input 2 3 2 4 5" xfId="12500"/>
    <cellStyle name="Input 2 3 2 4 5 2" xfId="12501"/>
    <cellStyle name="Input 2 3 2 4 5 2 2" xfId="12502"/>
    <cellStyle name="Input 2 3 2 4 5 2 3" xfId="12503"/>
    <cellStyle name="Input 2 3 2 4 5 2 4" xfId="12504"/>
    <cellStyle name="Input 2 3 2 4 5 3" xfId="12505"/>
    <cellStyle name="Input 2 3 2 4 5 3 2" xfId="12506"/>
    <cellStyle name="Input 2 3 2 4 5 3 3" xfId="12507"/>
    <cellStyle name="Input 2 3 2 4 5 3 4" xfId="12508"/>
    <cellStyle name="Input 2 3 2 4 5 4" xfId="12509"/>
    <cellStyle name="Input 2 3 2 4 5 4 2" xfId="12510"/>
    <cellStyle name="Input 2 3 2 4 5 4 3" xfId="12511"/>
    <cellStyle name="Input 2 3 2 4 5 4 4" xfId="12512"/>
    <cellStyle name="Input 2 3 2 4 5 5" xfId="12513"/>
    <cellStyle name="Input 2 3 2 4 5 6" xfId="12514"/>
    <cellStyle name="Input 2 3 2 4 5 7" xfId="12515"/>
    <cellStyle name="Input 2 3 2 4 6" xfId="12516"/>
    <cellStyle name="Input 2 3 2 4 6 2" xfId="12517"/>
    <cellStyle name="Input 2 3 2 4 6 2 2" xfId="12518"/>
    <cellStyle name="Input 2 3 2 4 6 2 3" xfId="12519"/>
    <cellStyle name="Input 2 3 2 4 6 2 4" xfId="12520"/>
    <cellStyle name="Input 2 3 2 4 6 3" xfId="12521"/>
    <cellStyle name="Input 2 3 2 4 6 3 2" xfId="12522"/>
    <cellStyle name="Input 2 3 2 4 6 3 3" xfId="12523"/>
    <cellStyle name="Input 2 3 2 4 6 3 4" xfId="12524"/>
    <cellStyle name="Input 2 3 2 4 6 4" xfId="12525"/>
    <cellStyle name="Input 2 3 2 4 6 4 2" xfId="12526"/>
    <cellStyle name="Input 2 3 2 4 6 4 3" xfId="12527"/>
    <cellStyle name="Input 2 3 2 4 6 4 4" xfId="12528"/>
    <cellStyle name="Input 2 3 2 4 6 5" xfId="12529"/>
    <cellStyle name="Input 2 3 2 4 6 6" xfId="12530"/>
    <cellStyle name="Input 2 3 2 4 6 7" xfId="12531"/>
    <cellStyle name="Input 2 3 2 4 7" xfId="12532"/>
    <cellStyle name="Input 2 3 2 4 7 2" xfId="12533"/>
    <cellStyle name="Input 2 3 2 4 7 3" xfId="12534"/>
    <cellStyle name="Input 2 3 2 4 7 4" xfId="12535"/>
    <cellStyle name="Input 2 3 2 4 8" xfId="12536"/>
    <cellStyle name="Input 2 3 2 4 8 2" xfId="12537"/>
    <cellStyle name="Input 2 3 2 4 8 3" xfId="12538"/>
    <cellStyle name="Input 2 3 2 4 8 4" xfId="12539"/>
    <cellStyle name="Input 2 3 2 4 9" xfId="12540"/>
    <cellStyle name="Input 2 3 2 4 9 2" xfId="12541"/>
    <cellStyle name="Input 2 3 2 4 9 3" xfId="12542"/>
    <cellStyle name="Input 2 3 2 4 9 4" xfId="12543"/>
    <cellStyle name="Input 2 3 2 5" xfId="12544"/>
    <cellStyle name="Input 2 3 2 5 10" xfId="12545"/>
    <cellStyle name="Input 2 3 2 5 11" xfId="12546"/>
    <cellStyle name="Input 2 3 2 5 12" xfId="12547"/>
    <cellStyle name="Input 2 3 2 5 2" xfId="12548"/>
    <cellStyle name="Input 2 3 2 5 2 2" xfId="12549"/>
    <cellStyle name="Input 2 3 2 5 2 2 2" xfId="12550"/>
    <cellStyle name="Input 2 3 2 5 2 2 3" xfId="12551"/>
    <cellStyle name="Input 2 3 2 5 2 2 4" xfId="12552"/>
    <cellStyle name="Input 2 3 2 5 2 3" xfId="12553"/>
    <cellStyle name="Input 2 3 2 5 2 3 2" xfId="12554"/>
    <cellStyle name="Input 2 3 2 5 2 3 3" xfId="12555"/>
    <cellStyle name="Input 2 3 2 5 2 3 4" xfId="12556"/>
    <cellStyle name="Input 2 3 2 5 2 4" xfId="12557"/>
    <cellStyle name="Input 2 3 2 5 2 4 2" xfId="12558"/>
    <cellStyle name="Input 2 3 2 5 2 4 3" xfId="12559"/>
    <cellStyle name="Input 2 3 2 5 2 4 4" xfId="12560"/>
    <cellStyle name="Input 2 3 2 5 2 5" xfId="12561"/>
    <cellStyle name="Input 2 3 2 5 2 6" xfId="12562"/>
    <cellStyle name="Input 2 3 2 5 2 7" xfId="12563"/>
    <cellStyle name="Input 2 3 2 5 3" xfId="12564"/>
    <cellStyle name="Input 2 3 2 5 3 2" xfId="12565"/>
    <cellStyle name="Input 2 3 2 5 3 2 2" xfId="12566"/>
    <cellStyle name="Input 2 3 2 5 3 2 3" xfId="12567"/>
    <cellStyle name="Input 2 3 2 5 3 2 4" xfId="12568"/>
    <cellStyle name="Input 2 3 2 5 3 3" xfId="12569"/>
    <cellStyle name="Input 2 3 2 5 3 3 2" xfId="12570"/>
    <cellStyle name="Input 2 3 2 5 3 3 3" xfId="12571"/>
    <cellStyle name="Input 2 3 2 5 3 3 4" xfId="12572"/>
    <cellStyle name="Input 2 3 2 5 3 4" xfId="12573"/>
    <cellStyle name="Input 2 3 2 5 3 4 2" xfId="12574"/>
    <cellStyle name="Input 2 3 2 5 3 4 3" xfId="12575"/>
    <cellStyle name="Input 2 3 2 5 3 4 4" xfId="12576"/>
    <cellStyle name="Input 2 3 2 5 3 5" xfId="12577"/>
    <cellStyle name="Input 2 3 2 5 3 6" xfId="12578"/>
    <cellStyle name="Input 2 3 2 5 3 7" xfId="12579"/>
    <cellStyle name="Input 2 3 2 5 4" xfId="12580"/>
    <cellStyle name="Input 2 3 2 5 4 2" xfId="12581"/>
    <cellStyle name="Input 2 3 2 5 4 2 2" xfId="12582"/>
    <cellStyle name="Input 2 3 2 5 4 2 3" xfId="12583"/>
    <cellStyle name="Input 2 3 2 5 4 2 4" xfId="12584"/>
    <cellStyle name="Input 2 3 2 5 4 3" xfId="12585"/>
    <cellStyle name="Input 2 3 2 5 4 3 2" xfId="12586"/>
    <cellStyle name="Input 2 3 2 5 4 3 3" xfId="12587"/>
    <cellStyle name="Input 2 3 2 5 4 3 4" xfId="12588"/>
    <cellStyle name="Input 2 3 2 5 4 4" xfId="12589"/>
    <cellStyle name="Input 2 3 2 5 4 4 2" xfId="12590"/>
    <cellStyle name="Input 2 3 2 5 4 4 3" xfId="12591"/>
    <cellStyle name="Input 2 3 2 5 4 4 4" xfId="12592"/>
    <cellStyle name="Input 2 3 2 5 4 5" xfId="12593"/>
    <cellStyle name="Input 2 3 2 5 4 6" xfId="12594"/>
    <cellStyle name="Input 2 3 2 5 4 7" xfId="12595"/>
    <cellStyle name="Input 2 3 2 5 5" xfId="12596"/>
    <cellStyle name="Input 2 3 2 5 5 2" xfId="12597"/>
    <cellStyle name="Input 2 3 2 5 5 2 2" xfId="12598"/>
    <cellStyle name="Input 2 3 2 5 5 2 3" xfId="12599"/>
    <cellStyle name="Input 2 3 2 5 5 2 4" xfId="12600"/>
    <cellStyle name="Input 2 3 2 5 5 3" xfId="12601"/>
    <cellStyle name="Input 2 3 2 5 5 3 2" xfId="12602"/>
    <cellStyle name="Input 2 3 2 5 5 3 3" xfId="12603"/>
    <cellStyle name="Input 2 3 2 5 5 3 4" xfId="12604"/>
    <cellStyle name="Input 2 3 2 5 5 4" xfId="12605"/>
    <cellStyle name="Input 2 3 2 5 5 4 2" xfId="12606"/>
    <cellStyle name="Input 2 3 2 5 5 4 3" xfId="12607"/>
    <cellStyle name="Input 2 3 2 5 5 4 4" xfId="12608"/>
    <cellStyle name="Input 2 3 2 5 5 5" xfId="12609"/>
    <cellStyle name="Input 2 3 2 5 5 6" xfId="12610"/>
    <cellStyle name="Input 2 3 2 5 5 7" xfId="12611"/>
    <cellStyle name="Input 2 3 2 5 6" xfId="12612"/>
    <cellStyle name="Input 2 3 2 5 6 2" xfId="12613"/>
    <cellStyle name="Input 2 3 2 5 6 2 2" xfId="12614"/>
    <cellStyle name="Input 2 3 2 5 6 2 3" xfId="12615"/>
    <cellStyle name="Input 2 3 2 5 6 2 4" xfId="12616"/>
    <cellStyle name="Input 2 3 2 5 6 3" xfId="12617"/>
    <cellStyle name="Input 2 3 2 5 6 3 2" xfId="12618"/>
    <cellStyle name="Input 2 3 2 5 6 3 3" xfId="12619"/>
    <cellStyle name="Input 2 3 2 5 6 3 4" xfId="12620"/>
    <cellStyle name="Input 2 3 2 5 6 4" xfId="12621"/>
    <cellStyle name="Input 2 3 2 5 6 4 2" xfId="12622"/>
    <cellStyle name="Input 2 3 2 5 6 4 3" xfId="12623"/>
    <cellStyle name="Input 2 3 2 5 6 4 4" xfId="12624"/>
    <cellStyle name="Input 2 3 2 5 6 5" xfId="12625"/>
    <cellStyle name="Input 2 3 2 5 6 6" xfId="12626"/>
    <cellStyle name="Input 2 3 2 5 6 7" xfId="12627"/>
    <cellStyle name="Input 2 3 2 5 7" xfId="12628"/>
    <cellStyle name="Input 2 3 2 5 7 2" xfId="12629"/>
    <cellStyle name="Input 2 3 2 5 7 3" xfId="12630"/>
    <cellStyle name="Input 2 3 2 5 7 4" xfId="12631"/>
    <cellStyle name="Input 2 3 2 5 8" xfId="12632"/>
    <cellStyle name="Input 2 3 2 5 8 2" xfId="12633"/>
    <cellStyle name="Input 2 3 2 5 8 3" xfId="12634"/>
    <cellStyle name="Input 2 3 2 5 8 4" xfId="12635"/>
    <cellStyle name="Input 2 3 2 5 9" xfId="12636"/>
    <cellStyle name="Input 2 3 2 5 9 2" xfId="12637"/>
    <cellStyle name="Input 2 3 2 5 9 3" xfId="12638"/>
    <cellStyle name="Input 2 3 2 5 9 4" xfId="12639"/>
    <cellStyle name="Input 2 3 2 6" xfId="12640"/>
    <cellStyle name="Input 2 3 2 6 2" xfId="12641"/>
    <cellStyle name="Input 2 3 2 6 2 2" xfId="12642"/>
    <cellStyle name="Input 2 3 2 6 2 3" xfId="12643"/>
    <cellStyle name="Input 2 3 2 6 2 4" xfId="12644"/>
    <cellStyle name="Input 2 3 2 6 3" xfId="12645"/>
    <cellStyle name="Input 2 3 2 6 3 2" xfId="12646"/>
    <cellStyle name="Input 2 3 2 6 3 3" xfId="12647"/>
    <cellStyle name="Input 2 3 2 6 3 4" xfId="12648"/>
    <cellStyle name="Input 2 3 2 6 4" xfId="12649"/>
    <cellStyle name="Input 2 3 2 6 4 2" xfId="12650"/>
    <cellStyle name="Input 2 3 2 6 4 3" xfId="12651"/>
    <cellStyle name="Input 2 3 2 6 4 4" xfId="12652"/>
    <cellStyle name="Input 2 3 2 6 5" xfId="12653"/>
    <cellStyle name="Input 2 3 2 6 6" xfId="12654"/>
    <cellStyle name="Input 2 3 2 6 7" xfId="12655"/>
    <cellStyle name="Input 2 3 2 7" xfId="12656"/>
    <cellStyle name="Input 2 3 2 7 2" xfId="12657"/>
    <cellStyle name="Input 2 3 2 7 2 2" xfId="12658"/>
    <cellStyle name="Input 2 3 2 7 2 3" xfId="12659"/>
    <cellStyle name="Input 2 3 2 7 2 4" xfId="12660"/>
    <cellStyle name="Input 2 3 2 7 3" xfId="12661"/>
    <cellStyle name="Input 2 3 2 7 3 2" xfId="12662"/>
    <cellStyle name="Input 2 3 2 7 3 3" xfId="12663"/>
    <cellStyle name="Input 2 3 2 7 3 4" xfId="12664"/>
    <cellStyle name="Input 2 3 2 7 4" xfId="12665"/>
    <cellStyle name="Input 2 3 2 7 4 2" xfId="12666"/>
    <cellStyle name="Input 2 3 2 7 4 3" xfId="12667"/>
    <cellStyle name="Input 2 3 2 7 4 4" xfId="12668"/>
    <cellStyle name="Input 2 3 2 7 5" xfId="12669"/>
    <cellStyle name="Input 2 3 2 7 6" xfId="12670"/>
    <cellStyle name="Input 2 3 2 7 7" xfId="12671"/>
    <cellStyle name="Input 2 3 2 8" xfId="12672"/>
    <cellStyle name="Input 2 3 2 8 2" xfId="12673"/>
    <cellStyle name="Input 2 3 2 8 2 2" xfId="12674"/>
    <cellStyle name="Input 2 3 2 8 2 3" xfId="12675"/>
    <cellStyle name="Input 2 3 2 8 2 4" xfId="12676"/>
    <cellStyle name="Input 2 3 2 8 3" xfId="12677"/>
    <cellStyle name="Input 2 3 2 8 3 2" xfId="12678"/>
    <cellStyle name="Input 2 3 2 8 3 3" xfId="12679"/>
    <cellStyle name="Input 2 3 2 8 3 4" xfId="12680"/>
    <cellStyle name="Input 2 3 2 8 4" xfId="12681"/>
    <cellStyle name="Input 2 3 2 8 4 2" xfId="12682"/>
    <cellStyle name="Input 2 3 2 8 4 3" xfId="12683"/>
    <cellStyle name="Input 2 3 2 8 4 4" xfId="12684"/>
    <cellStyle name="Input 2 3 2 8 5" xfId="12685"/>
    <cellStyle name="Input 2 3 2 8 6" xfId="12686"/>
    <cellStyle name="Input 2 3 2 8 7" xfId="12687"/>
    <cellStyle name="Input 2 3 2 9" xfId="12688"/>
    <cellStyle name="Input 2 3 2 9 2" xfId="12689"/>
    <cellStyle name="Input 2 3 2 9 2 2" xfId="12690"/>
    <cellStyle name="Input 2 3 2 9 2 3" xfId="12691"/>
    <cellStyle name="Input 2 3 2 9 2 4" xfId="12692"/>
    <cellStyle name="Input 2 3 2 9 3" xfId="12693"/>
    <cellStyle name="Input 2 3 2 9 3 2" xfId="12694"/>
    <cellStyle name="Input 2 3 2 9 3 3" xfId="12695"/>
    <cellStyle name="Input 2 3 2 9 3 4" xfId="12696"/>
    <cellStyle name="Input 2 3 2 9 4" xfId="12697"/>
    <cellStyle name="Input 2 3 2 9 4 2" xfId="12698"/>
    <cellStyle name="Input 2 3 2 9 4 3" xfId="12699"/>
    <cellStyle name="Input 2 3 2 9 4 4" xfId="12700"/>
    <cellStyle name="Input 2 3 2 9 5" xfId="12701"/>
    <cellStyle name="Input 2 3 2 9 6" xfId="12702"/>
    <cellStyle name="Input 2 3 2 9 7" xfId="12703"/>
    <cellStyle name="Input 2 3 3" xfId="1062"/>
    <cellStyle name="Input 2 3 3 10" xfId="12704"/>
    <cellStyle name="Input 2 3 3 11" xfId="12705"/>
    <cellStyle name="Input 2 3 3 12" xfId="12706"/>
    <cellStyle name="Input 2 3 3 2" xfId="12707"/>
    <cellStyle name="Input 2 3 3 2 2" xfId="12708"/>
    <cellStyle name="Input 2 3 3 2 2 2" xfId="12709"/>
    <cellStyle name="Input 2 3 3 2 2 3" xfId="12710"/>
    <cellStyle name="Input 2 3 3 2 2 4" xfId="12711"/>
    <cellStyle name="Input 2 3 3 2 3" xfId="12712"/>
    <cellStyle name="Input 2 3 3 2 3 2" xfId="12713"/>
    <cellStyle name="Input 2 3 3 2 3 3" xfId="12714"/>
    <cellStyle name="Input 2 3 3 2 3 4" xfId="12715"/>
    <cellStyle name="Input 2 3 3 2 4" xfId="12716"/>
    <cellStyle name="Input 2 3 3 2 4 2" xfId="12717"/>
    <cellStyle name="Input 2 3 3 2 4 3" xfId="12718"/>
    <cellStyle name="Input 2 3 3 2 4 4" xfId="12719"/>
    <cellStyle name="Input 2 3 3 2 5" xfId="12720"/>
    <cellStyle name="Input 2 3 3 2 6" xfId="12721"/>
    <cellStyle name="Input 2 3 3 2 7" xfId="12722"/>
    <cellStyle name="Input 2 3 3 3" xfId="12723"/>
    <cellStyle name="Input 2 3 3 3 2" xfId="12724"/>
    <cellStyle name="Input 2 3 3 3 2 2" xfId="12725"/>
    <cellStyle name="Input 2 3 3 3 2 3" xfId="12726"/>
    <cellStyle name="Input 2 3 3 3 2 4" xfId="12727"/>
    <cellStyle name="Input 2 3 3 3 3" xfId="12728"/>
    <cellStyle name="Input 2 3 3 3 3 2" xfId="12729"/>
    <cellStyle name="Input 2 3 3 3 3 3" xfId="12730"/>
    <cellStyle name="Input 2 3 3 3 3 4" xfId="12731"/>
    <cellStyle name="Input 2 3 3 3 4" xfId="12732"/>
    <cellStyle name="Input 2 3 3 3 4 2" xfId="12733"/>
    <cellStyle name="Input 2 3 3 3 4 3" xfId="12734"/>
    <cellStyle name="Input 2 3 3 3 4 4" xfId="12735"/>
    <cellStyle name="Input 2 3 3 3 5" xfId="12736"/>
    <cellStyle name="Input 2 3 3 3 6" xfId="12737"/>
    <cellStyle name="Input 2 3 3 3 7" xfId="12738"/>
    <cellStyle name="Input 2 3 3 4" xfId="12739"/>
    <cellStyle name="Input 2 3 3 4 2" xfId="12740"/>
    <cellStyle name="Input 2 3 3 4 2 2" xfId="12741"/>
    <cellStyle name="Input 2 3 3 4 2 3" xfId="12742"/>
    <cellStyle name="Input 2 3 3 4 2 4" xfId="12743"/>
    <cellStyle name="Input 2 3 3 4 3" xfId="12744"/>
    <cellStyle name="Input 2 3 3 4 3 2" xfId="12745"/>
    <cellStyle name="Input 2 3 3 4 3 3" xfId="12746"/>
    <cellStyle name="Input 2 3 3 4 3 4" xfId="12747"/>
    <cellStyle name="Input 2 3 3 4 4" xfId="12748"/>
    <cellStyle name="Input 2 3 3 4 4 2" xfId="12749"/>
    <cellStyle name="Input 2 3 3 4 4 3" xfId="12750"/>
    <cellStyle name="Input 2 3 3 4 4 4" xfId="12751"/>
    <cellStyle name="Input 2 3 3 4 5" xfId="12752"/>
    <cellStyle name="Input 2 3 3 4 6" xfId="12753"/>
    <cellStyle name="Input 2 3 3 4 7" xfId="12754"/>
    <cellStyle name="Input 2 3 3 5" xfId="12755"/>
    <cellStyle name="Input 2 3 3 5 2" xfId="12756"/>
    <cellStyle name="Input 2 3 3 5 2 2" xfId="12757"/>
    <cellStyle name="Input 2 3 3 5 2 3" xfId="12758"/>
    <cellStyle name="Input 2 3 3 5 2 4" xfId="12759"/>
    <cellStyle name="Input 2 3 3 5 3" xfId="12760"/>
    <cellStyle name="Input 2 3 3 5 3 2" xfId="12761"/>
    <cellStyle name="Input 2 3 3 5 3 3" xfId="12762"/>
    <cellStyle name="Input 2 3 3 5 3 4" xfId="12763"/>
    <cellStyle name="Input 2 3 3 5 4" xfId="12764"/>
    <cellStyle name="Input 2 3 3 5 4 2" xfId="12765"/>
    <cellStyle name="Input 2 3 3 5 4 3" xfId="12766"/>
    <cellStyle name="Input 2 3 3 5 4 4" xfId="12767"/>
    <cellStyle name="Input 2 3 3 5 5" xfId="12768"/>
    <cellStyle name="Input 2 3 3 5 6" xfId="12769"/>
    <cellStyle name="Input 2 3 3 5 7" xfId="12770"/>
    <cellStyle name="Input 2 3 3 6" xfId="12771"/>
    <cellStyle name="Input 2 3 3 6 2" xfId="12772"/>
    <cellStyle name="Input 2 3 3 6 2 2" xfId="12773"/>
    <cellStyle name="Input 2 3 3 6 2 3" xfId="12774"/>
    <cellStyle name="Input 2 3 3 6 2 4" xfId="12775"/>
    <cellStyle name="Input 2 3 3 6 3" xfId="12776"/>
    <cellStyle name="Input 2 3 3 6 3 2" xfId="12777"/>
    <cellStyle name="Input 2 3 3 6 3 3" xfId="12778"/>
    <cellStyle name="Input 2 3 3 6 3 4" xfId="12779"/>
    <cellStyle name="Input 2 3 3 6 4" xfId="12780"/>
    <cellStyle name="Input 2 3 3 6 4 2" xfId="12781"/>
    <cellStyle name="Input 2 3 3 6 4 3" xfId="12782"/>
    <cellStyle name="Input 2 3 3 6 4 4" xfId="12783"/>
    <cellStyle name="Input 2 3 3 6 5" xfId="12784"/>
    <cellStyle name="Input 2 3 3 6 6" xfId="12785"/>
    <cellStyle name="Input 2 3 3 6 7" xfId="12786"/>
    <cellStyle name="Input 2 3 3 7" xfId="12787"/>
    <cellStyle name="Input 2 3 3 7 2" xfId="12788"/>
    <cellStyle name="Input 2 3 3 7 3" xfId="12789"/>
    <cellStyle name="Input 2 3 3 7 4" xfId="12790"/>
    <cellStyle name="Input 2 3 3 8" xfId="12791"/>
    <cellStyle name="Input 2 3 3 8 2" xfId="12792"/>
    <cellStyle name="Input 2 3 3 8 3" xfId="12793"/>
    <cellStyle name="Input 2 3 3 8 4" xfId="12794"/>
    <cellStyle name="Input 2 3 3 9" xfId="12795"/>
    <cellStyle name="Input 2 3 3 9 2" xfId="12796"/>
    <cellStyle name="Input 2 3 3 9 3" xfId="12797"/>
    <cellStyle name="Input 2 3 3 9 4" xfId="12798"/>
    <cellStyle name="Input 2 3 4" xfId="1102"/>
    <cellStyle name="Input 2 3 5" xfId="1037"/>
    <cellStyle name="Input 2 3 6" xfId="1101"/>
    <cellStyle name="Input 2 3 7" xfId="3285"/>
    <cellStyle name="Input 2 4" xfId="98"/>
    <cellStyle name="Input 2 4 2" xfId="574"/>
    <cellStyle name="Input 2 4 2 10" xfId="12799"/>
    <cellStyle name="Input 2 4 2 10 2" xfId="12800"/>
    <cellStyle name="Input 2 4 2 10 2 2" xfId="12801"/>
    <cellStyle name="Input 2 4 2 10 2 3" xfId="12802"/>
    <cellStyle name="Input 2 4 2 10 2 4" xfId="12803"/>
    <cellStyle name="Input 2 4 2 10 3" xfId="12804"/>
    <cellStyle name="Input 2 4 2 10 3 2" xfId="12805"/>
    <cellStyle name="Input 2 4 2 10 3 3" xfId="12806"/>
    <cellStyle name="Input 2 4 2 10 3 4" xfId="12807"/>
    <cellStyle name="Input 2 4 2 10 4" xfId="12808"/>
    <cellStyle name="Input 2 4 2 10 4 2" xfId="12809"/>
    <cellStyle name="Input 2 4 2 10 4 3" xfId="12810"/>
    <cellStyle name="Input 2 4 2 10 4 4" xfId="12811"/>
    <cellStyle name="Input 2 4 2 10 5" xfId="12812"/>
    <cellStyle name="Input 2 4 2 10 6" xfId="12813"/>
    <cellStyle name="Input 2 4 2 10 7" xfId="12814"/>
    <cellStyle name="Input 2 4 2 11" xfId="12815"/>
    <cellStyle name="Input 2 4 2 11 2" xfId="12816"/>
    <cellStyle name="Input 2 4 2 11 2 2" xfId="12817"/>
    <cellStyle name="Input 2 4 2 11 2 3" xfId="12818"/>
    <cellStyle name="Input 2 4 2 11 2 4" xfId="12819"/>
    <cellStyle name="Input 2 4 2 11 3" xfId="12820"/>
    <cellStyle name="Input 2 4 2 11 3 2" xfId="12821"/>
    <cellStyle name="Input 2 4 2 11 3 3" xfId="12822"/>
    <cellStyle name="Input 2 4 2 11 3 4" xfId="12823"/>
    <cellStyle name="Input 2 4 2 11 4" xfId="12824"/>
    <cellStyle name="Input 2 4 2 11 4 2" xfId="12825"/>
    <cellStyle name="Input 2 4 2 11 4 3" xfId="12826"/>
    <cellStyle name="Input 2 4 2 11 4 4" xfId="12827"/>
    <cellStyle name="Input 2 4 2 11 5" xfId="12828"/>
    <cellStyle name="Input 2 4 2 11 6" xfId="12829"/>
    <cellStyle name="Input 2 4 2 11 7" xfId="12830"/>
    <cellStyle name="Input 2 4 2 12" xfId="12831"/>
    <cellStyle name="Input 2 4 2 12 2" xfId="12832"/>
    <cellStyle name="Input 2 4 2 12 2 2" xfId="12833"/>
    <cellStyle name="Input 2 4 2 12 2 3" xfId="12834"/>
    <cellStyle name="Input 2 4 2 12 2 4" xfId="12835"/>
    <cellStyle name="Input 2 4 2 12 3" xfId="12836"/>
    <cellStyle name="Input 2 4 2 12 3 2" xfId="12837"/>
    <cellStyle name="Input 2 4 2 12 3 3" xfId="12838"/>
    <cellStyle name="Input 2 4 2 12 3 4" xfId="12839"/>
    <cellStyle name="Input 2 4 2 12 4" xfId="12840"/>
    <cellStyle name="Input 2 4 2 12 4 2" xfId="12841"/>
    <cellStyle name="Input 2 4 2 12 4 3" xfId="12842"/>
    <cellStyle name="Input 2 4 2 12 4 4" xfId="12843"/>
    <cellStyle name="Input 2 4 2 12 5" xfId="12844"/>
    <cellStyle name="Input 2 4 2 12 6" xfId="12845"/>
    <cellStyle name="Input 2 4 2 12 7" xfId="12846"/>
    <cellStyle name="Input 2 4 2 13" xfId="12847"/>
    <cellStyle name="Input 2 4 2 13 2" xfId="12848"/>
    <cellStyle name="Input 2 4 2 13 2 2" xfId="12849"/>
    <cellStyle name="Input 2 4 2 13 2 3" xfId="12850"/>
    <cellStyle name="Input 2 4 2 13 2 4" xfId="12851"/>
    <cellStyle name="Input 2 4 2 13 3" xfId="12852"/>
    <cellStyle name="Input 2 4 2 13 3 2" xfId="12853"/>
    <cellStyle name="Input 2 4 2 13 3 3" xfId="12854"/>
    <cellStyle name="Input 2 4 2 13 3 4" xfId="12855"/>
    <cellStyle name="Input 2 4 2 13 4" xfId="12856"/>
    <cellStyle name="Input 2 4 2 13 4 2" xfId="12857"/>
    <cellStyle name="Input 2 4 2 13 4 3" xfId="12858"/>
    <cellStyle name="Input 2 4 2 13 4 4" xfId="12859"/>
    <cellStyle name="Input 2 4 2 13 5" xfId="12860"/>
    <cellStyle name="Input 2 4 2 13 6" xfId="12861"/>
    <cellStyle name="Input 2 4 2 13 7" xfId="12862"/>
    <cellStyle name="Input 2 4 2 14" xfId="12863"/>
    <cellStyle name="Input 2 4 2 14 2" xfId="12864"/>
    <cellStyle name="Input 2 4 2 14 3" xfId="12865"/>
    <cellStyle name="Input 2 4 2 14 4" xfId="12866"/>
    <cellStyle name="Input 2 4 2 15" xfId="12867"/>
    <cellStyle name="Input 2 4 2 15 2" xfId="12868"/>
    <cellStyle name="Input 2 4 2 15 3" xfId="12869"/>
    <cellStyle name="Input 2 4 2 15 4" xfId="12870"/>
    <cellStyle name="Input 2 4 2 16" xfId="12871"/>
    <cellStyle name="Input 2 4 2 16 2" xfId="12872"/>
    <cellStyle name="Input 2 4 2 16 3" xfId="12873"/>
    <cellStyle name="Input 2 4 2 16 4" xfId="12874"/>
    <cellStyle name="Input 2 4 2 17" xfId="12875"/>
    <cellStyle name="Input 2 4 2 18" xfId="12876"/>
    <cellStyle name="Input 2 4 2 19" xfId="12877"/>
    <cellStyle name="Input 2 4 2 2" xfId="855"/>
    <cellStyle name="Input 2 4 2 2 10" xfId="12878"/>
    <cellStyle name="Input 2 4 2 2 11" xfId="12879"/>
    <cellStyle name="Input 2 4 2 2 12" xfId="12880"/>
    <cellStyle name="Input 2 4 2 2 2" xfId="12881"/>
    <cellStyle name="Input 2 4 2 2 2 2" xfId="12882"/>
    <cellStyle name="Input 2 4 2 2 2 2 2" xfId="12883"/>
    <cellStyle name="Input 2 4 2 2 2 2 3" xfId="12884"/>
    <cellStyle name="Input 2 4 2 2 2 2 4" xfId="12885"/>
    <cellStyle name="Input 2 4 2 2 2 3" xfId="12886"/>
    <cellStyle name="Input 2 4 2 2 2 3 2" xfId="12887"/>
    <cellStyle name="Input 2 4 2 2 2 3 3" xfId="12888"/>
    <cellStyle name="Input 2 4 2 2 2 3 4" xfId="12889"/>
    <cellStyle name="Input 2 4 2 2 2 4" xfId="12890"/>
    <cellStyle name="Input 2 4 2 2 2 4 2" xfId="12891"/>
    <cellStyle name="Input 2 4 2 2 2 4 3" xfId="12892"/>
    <cellStyle name="Input 2 4 2 2 2 4 4" xfId="12893"/>
    <cellStyle name="Input 2 4 2 2 2 5" xfId="12894"/>
    <cellStyle name="Input 2 4 2 2 2 6" xfId="12895"/>
    <cellStyle name="Input 2 4 2 2 2 7" xfId="12896"/>
    <cellStyle name="Input 2 4 2 2 3" xfId="12897"/>
    <cellStyle name="Input 2 4 2 2 3 2" xfId="12898"/>
    <cellStyle name="Input 2 4 2 2 3 2 2" xfId="12899"/>
    <cellStyle name="Input 2 4 2 2 3 2 3" xfId="12900"/>
    <cellStyle name="Input 2 4 2 2 3 2 4" xfId="12901"/>
    <cellStyle name="Input 2 4 2 2 3 3" xfId="12902"/>
    <cellStyle name="Input 2 4 2 2 3 3 2" xfId="12903"/>
    <cellStyle name="Input 2 4 2 2 3 3 3" xfId="12904"/>
    <cellStyle name="Input 2 4 2 2 3 3 4" xfId="12905"/>
    <cellStyle name="Input 2 4 2 2 3 4" xfId="12906"/>
    <cellStyle name="Input 2 4 2 2 3 4 2" xfId="12907"/>
    <cellStyle name="Input 2 4 2 2 3 4 3" xfId="12908"/>
    <cellStyle name="Input 2 4 2 2 3 4 4" xfId="12909"/>
    <cellStyle name="Input 2 4 2 2 3 5" xfId="12910"/>
    <cellStyle name="Input 2 4 2 2 3 6" xfId="12911"/>
    <cellStyle name="Input 2 4 2 2 3 7" xfId="12912"/>
    <cellStyle name="Input 2 4 2 2 4" xfId="12913"/>
    <cellStyle name="Input 2 4 2 2 4 2" xfId="12914"/>
    <cellStyle name="Input 2 4 2 2 4 2 2" xfId="12915"/>
    <cellStyle name="Input 2 4 2 2 4 2 3" xfId="12916"/>
    <cellStyle name="Input 2 4 2 2 4 2 4" xfId="12917"/>
    <cellStyle name="Input 2 4 2 2 4 3" xfId="12918"/>
    <cellStyle name="Input 2 4 2 2 4 3 2" xfId="12919"/>
    <cellStyle name="Input 2 4 2 2 4 3 3" xfId="12920"/>
    <cellStyle name="Input 2 4 2 2 4 3 4" xfId="12921"/>
    <cellStyle name="Input 2 4 2 2 4 4" xfId="12922"/>
    <cellStyle name="Input 2 4 2 2 4 4 2" xfId="12923"/>
    <cellStyle name="Input 2 4 2 2 4 4 3" xfId="12924"/>
    <cellStyle name="Input 2 4 2 2 4 4 4" xfId="12925"/>
    <cellStyle name="Input 2 4 2 2 4 5" xfId="12926"/>
    <cellStyle name="Input 2 4 2 2 4 6" xfId="12927"/>
    <cellStyle name="Input 2 4 2 2 4 7" xfId="12928"/>
    <cellStyle name="Input 2 4 2 2 5" xfId="12929"/>
    <cellStyle name="Input 2 4 2 2 5 2" xfId="12930"/>
    <cellStyle name="Input 2 4 2 2 5 2 2" xfId="12931"/>
    <cellStyle name="Input 2 4 2 2 5 2 3" xfId="12932"/>
    <cellStyle name="Input 2 4 2 2 5 2 4" xfId="12933"/>
    <cellStyle name="Input 2 4 2 2 5 3" xfId="12934"/>
    <cellStyle name="Input 2 4 2 2 5 3 2" xfId="12935"/>
    <cellStyle name="Input 2 4 2 2 5 3 3" xfId="12936"/>
    <cellStyle name="Input 2 4 2 2 5 3 4" xfId="12937"/>
    <cellStyle name="Input 2 4 2 2 5 4" xfId="12938"/>
    <cellStyle name="Input 2 4 2 2 5 4 2" xfId="12939"/>
    <cellStyle name="Input 2 4 2 2 5 4 3" xfId="12940"/>
    <cellStyle name="Input 2 4 2 2 5 4 4" xfId="12941"/>
    <cellStyle name="Input 2 4 2 2 5 5" xfId="12942"/>
    <cellStyle name="Input 2 4 2 2 5 6" xfId="12943"/>
    <cellStyle name="Input 2 4 2 2 5 7" xfId="12944"/>
    <cellStyle name="Input 2 4 2 2 6" xfId="12945"/>
    <cellStyle name="Input 2 4 2 2 6 2" xfId="12946"/>
    <cellStyle name="Input 2 4 2 2 6 2 2" xfId="12947"/>
    <cellStyle name="Input 2 4 2 2 6 2 3" xfId="12948"/>
    <cellStyle name="Input 2 4 2 2 6 2 4" xfId="12949"/>
    <cellStyle name="Input 2 4 2 2 6 3" xfId="12950"/>
    <cellStyle name="Input 2 4 2 2 6 3 2" xfId="12951"/>
    <cellStyle name="Input 2 4 2 2 6 3 3" xfId="12952"/>
    <cellStyle name="Input 2 4 2 2 6 3 4" xfId="12953"/>
    <cellStyle name="Input 2 4 2 2 6 4" xfId="12954"/>
    <cellStyle name="Input 2 4 2 2 6 4 2" xfId="12955"/>
    <cellStyle name="Input 2 4 2 2 6 4 3" xfId="12956"/>
    <cellStyle name="Input 2 4 2 2 6 4 4" xfId="12957"/>
    <cellStyle name="Input 2 4 2 2 6 5" xfId="12958"/>
    <cellStyle name="Input 2 4 2 2 6 6" xfId="12959"/>
    <cellStyle name="Input 2 4 2 2 6 7" xfId="12960"/>
    <cellStyle name="Input 2 4 2 2 7" xfId="12961"/>
    <cellStyle name="Input 2 4 2 2 7 2" xfId="12962"/>
    <cellStyle name="Input 2 4 2 2 7 3" xfId="12963"/>
    <cellStyle name="Input 2 4 2 2 7 4" xfId="12964"/>
    <cellStyle name="Input 2 4 2 2 8" xfId="12965"/>
    <cellStyle name="Input 2 4 2 2 8 2" xfId="12966"/>
    <cellStyle name="Input 2 4 2 2 8 3" xfId="12967"/>
    <cellStyle name="Input 2 4 2 2 8 4" xfId="12968"/>
    <cellStyle name="Input 2 4 2 2 9" xfId="12969"/>
    <cellStyle name="Input 2 4 2 2 9 2" xfId="12970"/>
    <cellStyle name="Input 2 4 2 2 9 3" xfId="12971"/>
    <cellStyle name="Input 2 4 2 2 9 4" xfId="12972"/>
    <cellStyle name="Input 2 4 2 3" xfId="792"/>
    <cellStyle name="Input 2 4 2 3 10" xfId="12973"/>
    <cellStyle name="Input 2 4 2 3 11" xfId="12974"/>
    <cellStyle name="Input 2 4 2 3 12" xfId="12975"/>
    <cellStyle name="Input 2 4 2 3 2" xfId="12976"/>
    <cellStyle name="Input 2 4 2 3 2 2" xfId="12977"/>
    <cellStyle name="Input 2 4 2 3 2 2 2" xfId="12978"/>
    <cellStyle name="Input 2 4 2 3 2 2 3" xfId="12979"/>
    <cellStyle name="Input 2 4 2 3 2 2 4" xfId="12980"/>
    <cellStyle name="Input 2 4 2 3 2 3" xfId="12981"/>
    <cellStyle name="Input 2 4 2 3 2 3 2" xfId="12982"/>
    <cellStyle name="Input 2 4 2 3 2 3 3" xfId="12983"/>
    <cellStyle name="Input 2 4 2 3 2 3 4" xfId="12984"/>
    <cellStyle name="Input 2 4 2 3 2 4" xfId="12985"/>
    <cellStyle name="Input 2 4 2 3 2 4 2" xfId="12986"/>
    <cellStyle name="Input 2 4 2 3 2 4 3" xfId="12987"/>
    <cellStyle name="Input 2 4 2 3 2 4 4" xfId="12988"/>
    <cellStyle name="Input 2 4 2 3 2 5" xfId="12989"/>
    <cellStyle name="Input 2 4 2 3 2 6" xfId="12990"/>
    <cellStyle name="Input 2 4 2 3 2 7" xfId="12991"/>
    <cellStyle name="Input 2 4 2 3 3" xfId="12992"/>
    <cellStyle name="Input 2 4 2 3 3 2" xfId="12993"/>
    <cellStyle name="Input 2 4 2 3 3 2 2" xfId="12994"/>
    <cellStyle name="Input 2 4 2 3 3 2 3" xfId="12995"/>
    <cellStyle name="Input 2 4 2 3 3 2 4" xfId="12996"/>
    <cellStyle name="Input 2 4 2 3 3 3" xfId="12997"/>
    <cellStyle name="Input 2 4 2 3 3 3 2" xfId="12998"/>
    <cellStyle name="Input 2 4 2 3 3 3 3" xfId="12999"/>
    <cellStyle name="Input 2 4 2 3 3 3 4" xfId="13000"/>
    <cellStyle name="Input 2 4 2 3 3 4" xfId="13001"/>
    <cellStyle name="Input 2 4 2 3 3 4 2" xfId="13002"/>
    <cellStyle name="Input 2 4 2 3 3 4 3" xfId="13003"/>
    <cellStyle name="Input 2 4 2 3 3 4 4" xfId="13004"/>
    <cellStyle name="Input 2 4 2 3 3 5" xfId="13005"/>
    <cellStyle name="Input 2 4 2 3 3 6" xfId="13006"/>
    <cellStyle name="Input 2 4 2 3 3 7" xfId="13007"/>
    <cellStyle name="Input 2 4 2 3 4" xfId="13008"/>
    <cellStyle name="Input 2 4 2 3 4 2" xfId="13009"/>
    <cellStyle name="Input 2 4 2 3 4 2 2" xfId="13010"/>
    <cellStyle name="Input 2 4 2 3 4 2 3" xfId="13011"/>
    <cellStyle name="Input 2 4 2 3 4 2 4" xfId="13012"/>
    <cellStyle name="Input 2 4 2 3 4 3" xfId="13013"/>
    <cellStyle name="Input 2 4 2 3 4 3 2" xfId="13014"/>
    <cellStyle name="Input 2 4 2 3 4 3 3" xfId="13015"/>
    <cellStyle name="Input 2 4 2 3 4 3 4" xfId="13016"/>
    <cellStyle name="Input 2 4 2 3 4 4" xfId="13017"/>
    <cellStyle name="Input 2 4 2 3 4 4 2" xfId="13018"/>
    <cellStyle name="Input 2 4 2 3 4 4 3" xfId="13019"/>
    <cellStyle name="Input 2 4 2 3 4 4 4" xfId="13020"/>
    <cellStyle name="Input 2 4 2 3 4 5" xfId="13021"/>
    <cellStyle name="Input 2 4 2 3 4 6" xfId="13022"/>
    <cellStyle name="Input 2 4 2 3 4 7" xfId="13023"/>
    <cellStyle name="Input 2 4 2 3 5" xfId="13024"/>
    <cellStyle name="Input 2 4 2 3 5 2" xfId="13025"/>
    <cellStyle name="Input 2 4 2 3 5 2 2" xfId="13026"/>
    <cellStyle name="Input 2 4 2 3 5 2 3" xfId="13027"/>
    <cellStyle name="Input 2 4 2 3 5 2 4" xfId="13028"/>
    <cellStyle name="Input 2 4 2 3 5 3" xfId="13029"/>
    <cellStyle name="Input 2 4 2 3 5 3 2" xfId="13030"/>
    <cellStyle name="Input 2 4 2 3 5 3 3" xfId="13031"/>
    <cellStyle name="Input 2 4 2 3 5 3 4" xfId="13032"/>
    <cellStyle name="Input 2 4 2 3 5 4" xfId="13033"/>
    <cellStyle name="Input 2 4 2 3 5 4 2" xfId="13034"/>
    <cellStyle name="Input 2 4 2 3 5 4 3" xfId="13035"/>
    <cellStyle name="Input 2 4 2 3 5 4 4" xfId="13036"/>
    <cellStyle name="Input 2 4 2 3 5 5" xfId="13037"/>
    <cellStyle name="Input 2 4 2 3 5 6" xfId="13038"/>
    <cellStyle name="Input 2 4 2 3 5 7" xfId="13039"/>
    <cellStyle name="Input 2 4 2 3 6" xfId="13040"/>
    <cellStyle name="Input 2 4 2 3 6 2" xfId="13041"/>
    <cellStyle name="Input 2 4 2 3 6 2 2" xfId="13042"/>
    <cellStyle name="Input 2 4 2 3 6 2 3" xfId="13043"/>
    <cellStyle name="Input 2 4 2 3 6 2 4" xfId="13044"/>
    <cellStyle name="Input 2 4 2 3 6 3" xfId="13045"/>
    <cellStyle name="Input 2 4 2 3 6 3 2" xfId="13046"/>
    <cellStyle name="Input 2 4 2 3 6 3 3" xfId="13047"/>
    <cellStyle name="Input 2 4 2 3 6 3 4" xfId="13048"/>
    <cellStyle name="Input 2 4 2 3 6 4" xfId="13049"/>
    <cellStyle name="Input 2 4 2 3 6 4 2" xfId="13050"/>
    <cellStyle name="Input 2 4 2 3 6 4 3" xfId="13051"/>
    <cellStyle name="Input 2 4 2 3 6 4 4" xfId="13052"/>
    <cellStyle name="Input 2 4 2 3 6 5" xfId="13053"/>
    <cellStyle name="Input 2 4 2 3 6 6" xfId="13054"/>
    <cellStyle name="Input 2 4 2 3 6 7" xfId="13055"/>
    <cellStyle name="Input 2 4 2 3 7" xfId="13056"/>
    <cellStyle name="Input 2 4 2 3 7 2" xfId="13057"/>
    <cellStyle name="Input 2 4 2 3 7 3" xfId="13058"/>
    <cellStyle name="Input 2 4 2 3 7 4" xfId="13059"/>
    <cellStyle name="Input 2 4 2 3 8" xfId="13060"/>
    <cellStyle name="Input 2 4 2 3 8 2" xfId="13061"/>
    <cellStyle name="Input 2 4 2 3 8 3" xfId="13062"/>
    <cellStyle name="Input 2 4 2 3 8 4" xfId="13063"/>
    <cellStyle name="Input 2 4 2 3 9" xfId="13064"/>
    <cellStyle name="Input 2 4 2 3 9 2" xfId="13065"/>
    <cellStyle name="Input 2 4 2 3 9 3" xfId="13066"/>
    <cellStyle name="Input 2 4 2 3 9 4" xfId="13067"/>
    <cellStyle name="Input 2 4 2 4" xfId="765"/>
    <cellStyle name="Input 2 4 2 4 10" xfId="13068"/>
    <cellStyle name="Input 2 4 2 4 11" xfId="13069"/>
    <cellStyle name="Input 2 4 2 4 12" xfId="13070"/>
    <cellStyle name="Input 2 4 2 4 2" xfId="13071"/>
    <cellStyle name="Input 2 4 2 4 2 2" xfId="13072"/>
    <cellStyle name="Input 2 4 2 4 2 2 2" xfId="13073"/>
    <cellStyle name="Input 2 4 2 4 2 2 3" xfId="13074"/>
    <cellStyle name="Input 2 4 2 4 2 2 4" xfId="13075"/>
    <cellStyle name="Input 2 4 2 4 2 3" xfId="13076"/>
    <cellStyle name="Input 2 4 2 4 2 3 2" xfId="13077"/>
    <cellStyle name="Input 2 4 2 4 2 3 3" xfId="13078"/>
    <cellStyle name="Input 2 4 2 4 2 3 4" xfId="13079"/>
    <cellStyle name="Input 2 4 2 4 2 4" xfId="13080"/>
    <cellStyle name="Input 2 4 2 4 2 4 2" xfId="13081"/>
    <cellStyle name="Input 2 4 2 4 2 4 3" xfId="13082"/>
    <cellStyle name="Input 2 4 2 4 2 4 4" xfId="13083"/>
    <cellStyle name="Input 2 4 2 4 2 5" xfId="13084"/>
    <cellStyle name="Input 2 4 2 4 2 6" xfId="13085"/>
    <cellStyle name="Input 2 4 2 4 2 7" xfId="13086"/>
    <cellStyle name="Input 2 4 2 4 3" xfId="13087"/>
    <cellStyle name="Input 2 4 2 4 3 2" xfId="13088"/>
    <cellStyle name="Input 2 4 2 4 3 2 2" xfId="13089"/>
    <cellStyle name="Input 2 4 2 4 3 2 3" xfId="13090"/>
    <cellStyle name="Input 2 4 2 4 3 2 4" xfId="13091"/>
    <cellStyle name="Input 2 4 2 4 3 3" xfId="13092"/>
    <cellStyle name="Input 2 4 2 4 3 3 2" xfId="13093"/>
    <cellStyle name="Input 2 4 2 4 3 3 3" xfId="13094"/>
    <cellStyle name="Input 2 4 2 4 3 3 4" xfId="13095"/>
    <cellStyle name="Input 2 4 2 4 3 4" xfId="13096"/>
    <cellStyle name="Input 2 4 2 4 3 4 2" xfId="13097"/>
    <cellStyle name="Input 2 4 2 4 3 4 3" xfId="13098"/>
    <cellStyle name="Input 2 4 2 4 3 4 4" xfId="13099"/>
    <cellStyle name="Input 2 4 2 4 3 5" xfId="13100"/>
    <cellStyle name="Input 2 4 2 4 3 6" xfId="13101"/>
    <cellStyle name="Input 2 4 2 4 3 7" xfId="13102"/>
    <cellStyle name="Input 2 4 2 4 4" xfId="13103"/>
    <cellStyle name="Input 2 4 2 4 4 2" xfId="13104"/>
    <cellStyle name="Input 2 4 2 4 4 2 2" xfId="13105"/>
    <cellStyle name="Input 2 4 2 4 4 2 3" xfId="13106"/>
    <cellStyle name="Input 2 4 2 4 4 2 4" xfId="13107"/>
    <cellStyle name="Input 2 4 2 4 4 3" xfId="13108"/>
    <cellStyle name="Input 2 4 2 4 4 3 2" xfId="13109"/>
    <cellStyle name="Input 2 4 2 4 4 3 3" xfId="13110"/>
    <cellStyle name="Input 2 4 2 4 4 3 4" xfId="13111"/>
    <cellStyle name="Input 2 4 2 4 4 4" xfId="13112"/>
    <cellStyle name="Input 2 4 2 4 4 4 2" xfId="13113"/>
    <cellStyle name="Input 2 4 2 4 4 4 3" xfId="13114"/>
    <cellStyle name="Input 2 4 2 4 4 4 4" xfId="13115"/>
    <cellStyle name="Input 2 4 2 4 4 5" xfId="13116"/>
    <cellStyle name="Input 2 4 2 4 4 6" xfId="13117"/>
    <cellStyle name="Input 2 4 2 4 4 7" xfId="13118"/>
    <cellStyle name="Input 2 4 2 4 5" xfId="13119"/>
    <cellStyle name="Input 2 4 2 4 5 2" xfId="13120"/>
    <cellStyle name="Input 2 4 2 4 5 2 2" xfId="13121"/>
    <cellStyle name="Input 2 4 2 4 5 2 3" xfId="13122"/>
    <cellStyle name="Input 2 4 2 4 5 2 4" xfId="13123"/>
    <cellStyle name="Input 2 4 2 4 5 3" xfId="13124"/>
    <cellStyle name="Input 2 4 2 4 5 3 2" xfId="13125"/>
    <cellStyle name="Input 2 4 2 4 5 3 3" xfId="13126"/>
    <cellStyle name="Input 2 4 2 4 5 3 4" xfId="13127"/>
    <cellStyle name="Input 2 4 2 4 5 4" xfId="13128"/>
    <cellStyle name="Input 2 4 2 4 5 4 2" xfId="13129"/>
    <cellStyle name="Input 2 4 2 4 5 4 3" xfId="13130"/>
    <cellStyle name="Input 2 4 2 4 5 4 4" xfId="13131"/>
    <cellStyle name="Input 2 4 2 4 5 5" xfId="13132"/>
    <cellStyle name="Input 2 4 2 4 5 6" xfId="13133"/>
    <cellStyle name="Input 2 4 2 4 5 7" xfId="13134"/>
    <cellStyle name="Input 2 4 2 4 6" xfId="13135"/>
    <cellStyle name="Input 2 4 2 4 6 2" xfId="13136"/>
    <cellStyle name="Input 2 4 2 4 6 2 2" xfId="13137"/>
    <cellStyle name="Input 2 4 2 4 6 2 3" xfId="13138"/>
    <cellStyle name="Input 2 4 2 4 6 2 4" xfId="13139"/>
    <cellStyle name="Input 2 4 2 4 6 3" xfId="13140"/>
    <cellStyle name="Input 2 4 2 4 6 3 2" xfId="13141"/>
    <cellStyle name="Input 2 4 2 4 6 3 3" xfId="13142"/>
    <cellStyle name="Input 2 4 2 4 6 3 4" xfId="13143"/>
    <cellStyle name="Input 2 4 2 4 6 4" xfId="13144"/>
    <cellStyle name="Input 2 4 2 4 6 4 2" xfId="13145"/>
    <cellStyle name="Input 2 4 2 4 6 4 3" xfId="13146"/>
    <cellStyle name="Input 2 4 2 4 6 4 4" xfId="13147"/>
    <cellStyle name="Input 2 4 2 4 6 5" xfId="13148"/>
    <cellStyle name="Input 2 4 2 4 6 6" xfId="13149"/>
    <cellStyle name="Input 2 4 2 4 6 7" xfId="13150"/>
    <cellStyle name="Input 2 4 2 4 7" xfId="13151"/>
    <cellStyle name="Input 2 4 2 4 7 2" xfId="13152"/>
    <cellStyle name="Input 2 4 2 4 7 3" xfId="13153"/>
    <cellStyle name="Input 2 4 2 4 7 4" xfId="13154"/>
    <cellStyle name="Input 2 4 2 4 8" xfId="13155"/>
    <cellStyle name="Input 2 4 2 4 8 2" xfId="13156"/>
    <cellStyle name="Input 2 4 2 4 8 3" xfId="13157"/>
    <cellStyle name="Input 2 4 2 4 8 4" xfId="13158"/>
    <cellStyle name="Input 2 4 2 4 9" xfId="13159"/>
    <cellStyle name="Input 2 4 2 4 9 2" xfId="13160"/>
    <cellStyle name="Input 2 4 2 4 9 3" xfId="13161"/>
    <cellStyle name="Input 2 4 2 4 9 4" xfId="13162"/>
    <cellStyle name="Input 2 4 2 5" xfId="13163"/>
    <cellStyle name="Input 2 4 2 5 10" xfId="13164"/>
    <cellStyle name="Input 2 4 2 5 11" xfId="13165"/>
    <cellStyle name="Input 2 4 2 5 12" xfId="13166"/>
    <cellStyle name="Input 2 4 2 5 2" xfId="13167"/>
    <cellStyle name="Input 2 4 2 5 2 2" xfId="13168"/>
    <cellStyle name="Input 2 4 2 5 2 2 2" xfId="13169"/>
    <cellStyle name="Input 2 4 2 5 2 2 3" xfId="13170"/>
    <cellStyle name="Input 2 4 2 5 2 2 4" xfId="13171"/>
    <cellStyle name="Input 2 4 2 5 2 3" xfId="13172"/>
    <cellStyle name="Input 2 4 2 5 2 3 2" xfId="13173"/>
    <cellStyle name="Input 2 4 2 5 2 3 3" xfId="13174"/>
    <cellStyle name="Input 2 4 2 5 2 3 4" xfId="13175"/>
    <cellStyle name="Input 2 4 2 5 2 4" xfId="13176"/>
    <cellStyle name="Input 2 4 2 5 2 4 2" xfId="13177"/>
    <cellStyle name="Input 2 4 2 5 2 4 3" xfId="13178"/>
    <cellStyle name="Input 2 4 2 5 2 4 4" xfId="13179"/>
    <cellStyle name="Input 2 4 2 5 2 5" xfId="13180"/>
    <cellStyle name="Input 2 4 2 5 2 6" xfId="13181"/>
    <cellStyle name="Input 2 4 2 5 2 7" xfId="13182"/>
    <cellStyle name="Input 2 4 2 5 3" xfId="13183"/>
    <cellStyle name="Input 2 4 2 5 3 2" xfId="13184"/>
    <cellStyle name="Input 2 4 2 5 3 2 2" xfId="13185"/>
    <cellStyle name="Input 2 4 2 5 3 2 3" xfId="13186"/>
    <cellStyle name="Input 2 4 2 5 3 2 4" xfId="13187"/>
    <cellStyle name="Input 2 4 2 5 3 3" xfId="13188"/>
    <cellStyle name="Input 2 4 2 5 3 3 2" xfId="13189"/>
    <cellStyle name="Input 2 4 2 5 3 3 3" xfId="13190"/>
    <cellStyle name="Input 2 4 2 5 3 3 4" xfId="13191"/>
    <cellStyle name="Input 2 4 2 5 3 4" xfId="13192"/>
    <cellStyle name="Input 2 4 2 5 3 4 2" xfId="13193"/>
    <cellStyle name="Input 2 4 2 5 3 4 3" xfId="13194"/>
    <cellStyle name="Input 2 4 2 5 3 4 4" xfId="13195"/>
    <cellStyle name="Input 2 4 2 5 3 5" xfId="13196"/>
    <cellStyle name="Input 2 4 2 5 3 6" xfId="13197"/>
    <cellStyle name="Input 2 4 2 5 3 7" xfId="13198"/>
    <cellStyle name="Input 2 4 2 5 4" xfId="13199"/>
    <cellStyle name="Input 2 4 2 5 4 2" xfId="13200"/>
    <cellStyle name="Input 2 4 2 5 4 2 2" xfId="13201"/>
    <cellStyle name="Input 2 4 2 5 4 2 3" xfId="13202"/>
    <cellStyle name="Input 2 4 2 5 4 2 4" xfId="13203"/>
    <cellStyle name="Input 2 4 2 5 4 3" xfId="13204"/>
    <cellStyle name="Input 2 4 2 5 4 3 2" xfId="13205"/>
    <cellStyle name="Input 2 4 2 5 4 3 3" xfId="13206"/>
    <cellStyle name="Input 2 4 2 5 4 3 4" xfId="13207"/>
    <cellStyle name="Input 2 4 2 5 4 4" xfId="13208"/>
    <cellStyle name="Input 2 4 2 5 4 4 2" xfId="13209"/>
    <cellStyle name="Input 2 4 2 5 4 4 3" xfId="13210"/>
    <cellStyle name="Input 2 4 2 5 4 4 4" xfId="13211"/>
    <cellStyle name="Input 2 4 2 5 4 5" xfId="13212"/>
    <cellStyle name="Input 2 4 2 5 4 6" xfId="13213"/>
    <cellStyle name="Input 2 4 2 5 4 7" xfId="13214"/>
    <cellStyle name="Input 2 4 2 5 5" xfId="13215"/>
    <cellStyle name="Input 2 4 2 5 5 2" xfId="13216"/>
    <cellStyle name="Input 2 4 2 5 5 2 2" xfId="13217"/>
    <cellStyle name="Input 2 4 2 5 5 2 3" xfId="13218"/>
    <cellStyle name="Input 2 4 2 5 5 2 4" xfId="13219"/>
    <cellStyle name="Input 2 4 2 5 5 3" xfId="13220"/>
    <cellStyle name="Input 2 4 2 5 5 3 2" xfId="13221"/>
    <cellStyle name="Input 2 4 2 5 5 3 3" xfId="13222"/>
    <cellStyle name="Input 2 4 2 5 5 3 4" xfId="13223"/>
    <cellStyle name="Input 2 4 2 5 5 4" xfId="13224"/>
    <cellStyle name="Input 2 4 2 5 5 4 2" xfId="13225"/>
    <cellStyle name="Input 2 4 2 5 5 4 3" xfId="13226"/>
    <cellStyle name="Input 2 4 2 5 5 4 4" xfId="13227"/>
    <cellStyle name="Input 2 4 2 5 5 5" xfId="13228"/>
    <cellStyle name="Input 2 4 2 5 5 6" xfId="13229"/>
    <cellStyle name="Input 2 4 2 5 5 7" xfId="13230"/>
    <cellStyle name="Input 2 4 2 5 6" xfId="13231"/>
    <cellStyle name="Input 2 4 2 5 6 2" xfId="13232"/>
    <cellStyle name="Input 2 4 2 5 6 2 2" xfId="13233"/>
    <cellStyle name="Input 2 4 2 5 6 2 3" xfId="13234"/>
    <cellStyle name="Input 2 4 2 5 6 2 4" xfId="13235"/>
    <cellStyle name="Input 2 4 2 5 6 3" xfId="13236"/>
    <cellStyle name="Input 2 4 2 5 6 3 2" xfId="13237"/>
    <cellStyle name="Input 2 4 2 5 6 3 3" xfId="13238"/>
    <cellStyle name="Input 2 4 2 5 6 3 4" xfId="13239"/>
    <cellStyle name="Input 2 4 2 5 6 4" xfId="13240"/>
    <cellStyle name="Input 2 4 2 5 6 4 2" xfId="13241"/>
    <cellStyle name="Input 2 4 2 5 6 4 3" xfId="13242"/>
    <cellStyle name="Input 2 4 2 5 6 4 4" xfId="13243"/>
    <cellStyle name="Input 2 4 2 5 6 5" xfId="13244"/>
    <cellStyle name="Input 2 4 2 5 6 6" xfId="13245"/>
    <cellStyle name="Input 2 4 2 5 6 7" xfId="13246"/>
    <cellStyle name="Input 2 4 2 5 7" xfId="13247"/>
    <cellStyle name="Input 2 4 2 5 7 2" xfId="13248"/>
    <cellStyle name="Input 2 4 2 5 7 3" xfId="13249"/>
    <cellStyle name="Input 2 4 2 5 7 4" xfId="13250"/>
    <cellStyle name="Input 2 4 2 5 8" xfId="13251"/>
    <cellStyle name="Input 2 4 2 5 8 2" xfId="13252"/>
    <cellStyle name="Input 2 4 2 5 8 3" xfId="13253"/>
    <cellStyle name="Input 2 4 2 5 8 4" xfId="13254"/>
    <cellStyle name="Input 2 4 2 5 9" xfId="13255"/>
    <cellStyle name="Input 2 4 2 5 9 2" xfId="13256"/>
    <cellStyle name="Input 2 4 2 5 9 3" xfId="13257"/>
    <cellStyle name="Input 2 4 2 5 9 4" xfId="13258"/>
    <cellStyle name="Input 2 4 2 6" xfId="13259"/>
    <cellStyle name="Input 2 4 2 6 2" xfId="13260"/>
    <cellStyle name="Input 2 4 2 6 2 2" xfId="13261"/>
    <cellStyle name="Input 2 4 2 6 2 3" xfId="13262"/>
    <cellStyle name="Input 2 4 2 6 2 4" xfId="13263"/>
    <cellStyle name="Input 2 4 2 6 3" xfId="13264"/>
    <cellStyle name="Input 2 4 2 6 3 2" xfId="13265"/>
    <cellStyle name="Input 2 4 2 6 3 3" xfId="13266"/>
    <cellStyle name="Input 2 4 2 6 3 4" xfId="13267"/>
    <cellStyle name="Input 2 4 2 6 4" xfId="13268"/>
    <cellStyle name="Input 2 4 2 6 4 2" xfId="13269"/>
    <cellStyle name="Input 2 4 2 6 4 3" xfId="13270"/>
    <cellStyle name="Input 2 4 2 6 4 4" xfId="13271"/>
    <cellStyle name="Input 2 4 2 6 5" xfId="13272"/>
    <cellStyle name="Input 2 4 2 6 6" xfId="13273"/>
    <cellStyle name="Input 2 4 2 6 7" xfId="13274"/>
    <cellStyle name="Input 2 4 2 7" xfId="13275"/>
    <cellStyle name="Input 2 4 2 7 2" xfId="13276"/>
    <cellStyle name="Input 2 4 2 7 2 2" xfId="13277"/>
    <cellStyle name="Input 2 4 2 7 2 3" xfId="13278"/>
    <cellStyle name="Input 2 4 2 7 2 4" xfId="13279"/>
    <cellStyle name="Input 2 4 2 7 3" xfId="13280"/>
    <cellStyle name="Input 2 4 2 7 3 2" xfId="13281"/>
    <cellStyle name="Input 2 4 2 7 3 3" xfId="13282"/>
    <cellStyle name="Input 2 4 2 7 3 4" xfId="13283"/>
    <cellStyle name="Input 2 4 2 7 4" xfId="13284"/>
    <cellStyle name="Input 2 4 2 7 4 2" xfId="13285"/>
    <cellStyle name="Input 2 4 2 7 4 3" xfId="13286"/>
    <cellStyle name="Input 2 4 2 7 4 4" xfId="13287"/>
    <cellStyle name="Input 2 4 2 7 5" xfId="13288"/>
    <cellStyle name="Input 2 4 2 7 6" xfId="13289"/>
    <cellStyle name="Input 2 4 2 7 7" xfId="13290"/>
    <cellStyle name="Input 2 4 2 8" xfId="13291"/>
    <cellStyle name="Input 2 4 2 8 2" xfId="13292"/>
    <cellStyle name="Input 2 4 2 8 2 2" xfId="13293"/>
    <cellStyle name="Input 2 4 2 8 2 3" xfId="13294"/>
    <cellStyle name="Input 2 4 2 8 2 4" xfId="13295"/>
    <cellStyle name="Input 2 4 2 8 3" xfId="13296"/>
    <cellStyle name="Input 2 4 2 8 3 2" xfId="13297"/>
    <cellStyle name="Input 2 4 2 8 3 3" xfId="13298"/>
    <cellStyle name="Input 2 4 2 8 3 4" xfId="13299"/>
    <cellStyle name="Input 2 4 2 8 4" xfId="13300"/>
    <cellStyle name="Input 2 4 2 8 4 2" xfId="13301"/>
    <cellStyle name="Input 2 4 2 8 4 3" xfId="13302"/>
    <cellStyle name="Input 2 4 2 8 4 4" xfId="13303"/>
    <cellStyle name="Input 2 4 2 8 5" xfId="13304"/>
    <cellStyle name="Input 2 4 2 8 6" xfId="13305"/>
    <cellStyle name="Input 2 4 2 8 7" xfId="13306"/>
    <cellStyle name="Input 2 4 2 9" xfId="13307"/>
    <cellStyle name="Input 2 4 2 9 2" xfId="13308"/>
    <cellStyle name="Input 2 4 2 9 2 2" xfId="13309"/>
    <cellStyle name="Input 2 4 2 9 2 3" xfId="13310"/>
    <cellStyle name="Input 2 4 2 9 2 4" xfId="13311"/>
    <cellStyle name="Input 2 4 2 9 3" xfId="13312"/>
    <cellStyle name="Input 2 4 2 9 3 2" xfId="13313"/>
    <cellStyle name="Input 2 4 2 9 3 3" xfId="13314"/>
    <cellStyle name="Input 2 4 2 9 3 4" xfId="13315"/>
    <cellStyle name="Input 2 4 2 9 4" xfId="13316"/>
    <cellStyle name="Input 2 4 2 9 4 2" xfId="13317"/>
    <cellStyle name="Input 2 4 2 9 4 3" xfId="13318"/>
    <cellStyle name="Input 2 4 2 9 4 4" xfId="13319"/>
    <cellStyle name="Input 2 4 2 9 5" xfId="13320"/>
    <cellStyle name="Input 2 4 2 9 6" xfId="13321"/>
    <cellStyle name="Input 2 4 2 9 7" xfId="13322"/>
    <cellStyle name="Input 2 4 3" xfId="1063"/>
    <cellStyle name="Input 2 4 3 10" xfId="13323"/>
    <cellStyle name="Input 2 4 3 11" xfId="13324"/>
    <cellStyle name="Input 2 4 3 12" xfId="13325"/>
    <cellStyle name="Input 2 4 3 2" xfId="13326"/>
    <cellStyle name="Input 2 4 3 2 2" xfId="13327"/>
    <cellStyle name="Input 2 4 3 2 2 2" xfId="13328"/>
    <cellStyle name="Input 2 4 3 2 2 3" xfId="13329"/>
    <cellStyle name="Input 2 4 3 2 2 4" xfId="13330"/>
    <cellStyle name="Input 2 4 3 2 3" xfId="13331"/>
    <cellStyle name="Input 2 4 3 2 3 2" xfId="13332"/>
    <cellStyle name="Input 2 4 3 2 3 3" xfId="13333"/>
    <cellStyle name="Input 2 4 3 2 3 4" xfId="13334"/>
    <cellStyle name="Input 2 4 3 2 4" xfId="13335"/>
    <cellStyle name="Input 2 4 3 2 4 2" xfId="13336"/>
    <cellStyle name="Input 2 4 3 2 4 3" xfId="13337"/>
    <cellStyle name="Input 2 4 3 2 4 4" xfId="13338"/>
    <cellStyle name="Input 2 4 3 2 5" xfId="13339"/>
    <cellStyle name="Input 2 4 3 2 6" xfId="13340"/>
    <cellStyle name="Input 2 4 3 2 7" xfId="13341"/>
    <cellStyle name="Input 2 4 3 3" xfId="13342"/>
    <cellStyle name="Input 2 4 3 3 2" xfId="13343"/>
    <cellStyle name="Input 2 4 3 3 2 2" xfId="13344"/>
    <cellStyle name="Input 2 4 3 3 2 3" xfId="13345"/>
    <cellStyle name="Input 2 4 3 3 2 4" xfId="13346"/>
    <cellStyle name="Input 2 4 3 3 3" xfId="13347"/>
    <cellStyle name="Input 2 4 3 3 3 2" xfId="13348"/>
    <cellStyle name="Input 2 4 3 3 3 3" xfId="13349"/>
    <cellStyle name="Input 2 4 3 3 3 4" xfId="13350"/>
    <cellStyle name="Input 2 4 3 3 4" xfId="13351"/>
    <cellStyle name="Input 2 4 3 3 4 2" xfId="13352"/>
    <cellStyle name="Input 2 4 3 3 4 3" xfId="13353"/>
    <cellStyle name="Input 2 4 3 3 4 4" xfId="13354"/>
    <cellStyle name="Input 2 4 3 3 5" xfId="13355"/>
    <cellStyle name="Input 2 4 3 3 6" xfId="13356"/>
    <cellStyle name="Input 2 4 3 3 7" xfId="13357"/>
    <cellStyle name="Input 2 4 3 4" xfId="13358"/>
    <cellStyle name="Input 2 4 3 4 2" xfId="13359"/>
    <cellStyle name="Input 2 4 3 4 2 2" xfId="13360"/>
    <cellStyle name="Input 2 4 3 4 2 3" xfId="13361"/>
    <cellStyle name="Input 2 4 3 4 2 4" xfId="13362"/>
    <cellStyle name="Input 2 4 3 4 3" xfId="13363"/>
    <cellStyle name="Input 2 4 3 4 3 2" xfId="13364"/>
    <cellStyle name="Input 2 4 3 4 3 3" xfId="13365"/>
    <cellStyle name="Input 2 4 3 4 3 4" xfId="13366"/>
    <cellStyle name="Input 2 4 3 4 4" xfId="13367"/>
    <cellStyle name="Input 2 4 3 4 4 2" xfId="13368"/>
    <cellStyle name="Input 2 4 3 4 4 3" xfId="13369"/>
    <cellStyle name="Input 2 4 3 4 4 4" xfId="13370"/>
    <cellStyle name="Input 2 4 3 4 5" xfId="13371"/>
    <cellStyle name="Input 2 4 3 4 6" xfId="13372"/>
    <cellStyle name="Input 2 4 3 4 7" xfId="13373"/>
    <cellStyle name="Input 2 4 3 5" xfId="13374"/>
    <cellStyle name="Input 2 4 3 5 2" xfId="13375"/>
    <cellStyle name="Input 2 4 3 5 2 2" xfId="13376"/>
    <cellStyle name="Input 2 4 3 5 2 3" xfId="13377"/>
    <cellStyle name="Input 2 4 3 5 2 4" xfId="13378"/>
    <cellStyle name="Input 2 4 3 5 3" xfId="13379"/>
    <cellStyle name="Input 2 4 3 5 3 2" xfId="13380"/>
    <cellStyle name="Input 2 4 3 5 3 3" xfId="13381"/>
    <cellStyle name="Input 2 4 3 5 3 4" xfId="13382"/>
    <cellStyle name="Input 2 4 3 5 4" xfId="13383"/>
    <cellStyle name="Input 2 4 3 5 4 2" xfId="13384"/>
    <cellStyle name="Input 2 4 3 5 4 3" xfId="13385"/>
    <cellStyle name="Input 2 4 3 5 4 4" xfId="13386"/>
    <cellStyle name="Input 2 4 3 5 5" xfId="13387"/>
    <cellStyle name="Input 2 4 3 5 6" xfId="13388"/>
    <cellStyle name="Input 2 4 3 5 7" xfId="13389"/>
    <cellStyle name="Input 2 4 3 6" xfId="13390"/>
    <cellStyle name="Input 2 4 3 6 2" xfId="13391"/>
    <cellStyle name="Input 2 4 3 6 2 2" xfId="13392"/>
    <cellStyle name="Input 2 4 3 6 2 3" xfId="13393"/>
    <cellStyle name="Input 2 4 3 6 2 4" xfId="13394"/>
    <cellStyle name="Input 2 4 3 6 3" xfId="13395"/>
    <cellStyle name="Input 2 4 3 6 3 2" xfId="13396"/>
    <cellStyle name="Input 2 4 3 6 3 3" xfId="13397"/>
    <cellStyle name="Input 2 4 3 6 3 4" xfId="13398"/>
    <cellStyle name="Input 2 4 3 6 4" xfId="13399"/>
    <cellStyle name="Input 2 4 3 6 4 2" xfId="13400"/>
    <cellStyle name="Input 2 4 3 6 4 3" xfId="13401"/>
    <cellStyle name="Input 2 4 3 6 4 4" xfId="13402"/>
    <cellStyle name="Input 2 4 3 6 5" xfId="13403"/>
    <cellStyle name="Input 2 4 3 6 6" xfId="13404"/>
    <cellStyle name="Input 2 4 3 6 7" xfId="13405"/>
    <cellStyle name="Input 2 4 3 7" xfId="13406"/>
    <cellStyle name="Input 2 4 3 7 2" xfId="13407"/>
    <cellStyle name="Input 2 4 3 7 3" xfId="13408"/>
    <cellStyle name="Input 2 4 3 7 4" xfId="13409"/>
    <cellStyle name="Input 2 4 3 8" xfId="13410"/>
    <cellStyle name="Input 2 4 3 8 2" xfId="13411"/>
    <cellStyle name="Input 2 4 3 8 3" xfId="13412"/>
    <cellStyle name="Input 2 4 3 8 4" xfId="13413"/>
    <cellStyle name="Input 2 4 3 9" xfId="13414"/>
    <cellStyle name="Input 2 4 3 9 2" xfId="13415"/>
    <cellStyle name="Input 2 4 3 9 3" xfId="13416"/>
    <cellStyle name="Input 2 4 3 9 4" xfId="13417"/>
    <cellStyle name="Input 2 4 4" xfId="1129"/>
    <cellStyle name="Input 2 4 5" xfId="1153"/>
    <cellStyle name="Input 2 4 6" xfId="3124"/>
    <cellStyle name="Input 2 4 7" xfId="3286"/>
    <cellStyle name="Input 2 5" xfId="99"/>
    <cellStyle name="Input 2 5 2" xfId="575"/>
    <cellStyle name="Input 2 5 2 10" xfId="13418"/>
    <cellStyle name="Input 2 5 2 10 2" xfId="13419"/>
    <cellStyle name="Input 2 5 2 10 2 2" xfId="13420"/>
    <cellStyle name="Input 2 5 2 10 2 3" xfId="13421"/>
    <cellStyle name="Input 2 5 2 10 2 4" xfId="13422"/>
    <cellStyle name="Input 2 5 2 10 3" xfId="13423"/>
    <cellStyle name="Input 2 5 2 10 3 2" xfId="13424"/>
    <cellStyle name="Input 2 5 2 10 3 3" xfId="13425"/>
    <cellStyle name="Input 2 5 2 10 3 4" xfId="13426"/>
    <cellStyle name="Input 2 5 2 10 4" xfId="13427"/>
    <cellStyle name="Input 2 5 2 10 4 2" xfId="13428"/>
    <cellStyle name="Input 2 5 2 10 4 3" xfId="13429"/>
    <cellStyle name="Input 2 5 2 10 4 4" xfId="13430"/>
    <cellStyle name="Input 2 5 2 10 5" xfId="13431"/>
    <cellStyle name="Input 2 5 2 10 6" xfId="13432"/>
    <cellStyle name="Input 2 5 2 10 7" xfId="13433"/>
    <cellStyle name="Input 2 5 2 11" xfId="13434"/>
    <cellStyle name="Input 2 5 2 11 2" xfId="13435"/>
    <cellStyle name="Input 2 5 2 11 2 2" xfId="13436"/>
    <cellStyle name="Input 2 5 2 11 2 3" xfId="13437"/>
    <cellStyle name="Input 2 5 2 11 2 4" xfId="13438"/>
    <cellStyle name="Input 2 5 2 11 3" xfId="13439"/>
    <cellStyle name="Input 2 5 2 11 3 2" xfId="13440"/>
    <cellStyle name="Input 2 5 2 11 3 3" xfId="13441"/>
    <cellStyle name="Input 2 5 2 11 3 4" xfId="13442"/>
    <cellStyle name="Input 2 5 2 11 4" xfId="13443"/>
    <cellStyle name="Input 2 5 2 11 4 2" xfId="13444"/>
    <cellStyle name="Input 2 5 2 11 4 3" xfId="13445"/>
    <cellStyle name="Input 2 5 2 11 4 4" xfId="13446"/>
    <cellStyle name="Input 2 5 2 11 5" xfId="13447"/>
    <cellStyle name="Input 2 5 2 11 6" xfId="13448"/>
    <cellStyle name="Input 2 5 2 11 7" xfId="13449"/>
    <cellStyle name="Input 2 5 2 12" xfId="13450"/>
    <cellStyle name="Input 2 5 2 12 2" xfId="13451"/>
    <cellStyle name="Input 2 5 2 12 2 2" xfId="13452"/>
    <cellStyle name="Input 2 5 2 12 2 3" xfId="13453"/>
    <cellStyle name="Input 2 5 2 12 2 4" xfId="13454"/>
    <cellStyle name="Input 2 5 2 12 3" xfId="13455"/>
    <cellStyle name="Input 2 5 2 12 3 2" xfId="13456"/>
    <cellStyle name="Input 2 5 2 12 3 3" xfId="13457"/>
    <cellStyle name="Input 2 5 2 12 3 4" xfId="13458"/>
    <cellStyle name="Input 2 5 2 12 4" xfId="13459"/>
    <cellStyle name="Input 2 5 2 12 4 2" xfId="13460"/>
    <cellStyle name="Input 2 5 2 12 4 3" xfId="13461"/>
    <cellStyle name="Input 2 5 2 12 4 4" xfId="13462"/>
    <cellStyle name="Input 2 5 2 12 5" xfId="13463"/>
    <cellStyle name="Input 2 5 2 12 6" xfId="13464"/>
    <cellStyle name="Input 2 5 2 12 7" xfId="13465"/>
    <cellStyle name="Input 2 5 2 13" xfId="13466"/>
    <cellStyle name="Input 2 5 2 13 2" xfId="13467"/>
    <cellStyle name="Input 2 5 2 13 2 2" xfId="13468"/>
    <cellStyle name="Input 2 5 2 13 2 3" xfId="13469"/>
    <cellStyle name="Input 2 5 2 13 2 4" xfId="13470"/>
    <cellStyle name="Input 2 5 2 13 3" xfId="13471"/>
    <cellStyle name="Input 2 5 2 13 3 2" xfId="13472"/>
    <cellStyle name="Input 2 5 2 13 3 3" xfId="13473"/>
    <cellStyle name="Input 2 5 2 13 3 4" xfId="13474"/>
    <cellStyle name="Input 2 5 2 13 4" xfId="13475"/>
    <cellStyle name="Input 2 5 2 13 4 2" xfId="13476"/>
    <cellStyle name="Input 2 5 2 13 4 3" xfId="13477"/>
    <cellStyle name="Input 2 5 2 13 4 4" xfId="13478"/>
    <cellStyle name="Input 2 5 2 13 5" xfId="13479"/>
    <cellStyle name="Input 2 5 2 13 6" xfId="13480"/>
    <cellStyle name="Input 2 5 2 13 7" xfId="13481"/>
    <cellStyle name="Input 2 5 2 14" xfId="13482"/>
    <cellStyle name="Input 2 5 2 14 2" xfId="13483"/>
    <cellStyle name="Input 2 5 2 14 3" xfId="13484"/>
    <cellStyle name="Input 2 5 2 14 4" xfId="13485"/>
    <cellStyle name="Input 2 5 2 15" xfId="13486"/>
    <cellStyle name="Input 2 5 2 15 2" xfId="13487"/>
    <cellStyle name="Input 2 5 2 15 3" xfId="13488"/>
    <cellStyle name="Input 2 5 2 15 4" xfId="13489"/>
    <cellStyle name="Input 2 5 2 16" xfId="13490"/>
    <cellStyle name="Input 2 5 2 16 2" xfId="13491"/>
    <cellStyle name="Input 2 5 2 16 3" xfId="13492"/>
    <cellStyle name="Input 2 5 2 16 4" xfId="13493"/>
    <cellStyle name="Input 2 5 2 17" xfId="13494"/>
    <cellStyle name="Input 2 5 2 18" xfId="13495"/>
    <cellStyle name="Input 2 5 2 19" xfId="13496"/>
    <cellStyle name="Input 2 5 2 2" xfId="856"/>
    <cellStyle name="Input 2 5 2 2 10" xfId="13497"/>
    <cellStyle name="Input 2 5 2 2 11" xfId="13498"/>
    <cellStyle name="Input 2 5 2 2 12" xfId="13499"/>
    <cellStyle name="Input 2 5 2 2 2" xfId="13500"/>
    <cellStyle name="Input 2 5 2 2 2 2" xfId="13501"/>
    <cellStyle name="Input 2 5 2 2 2 2 2" xfId="13502"/>
    <cellStyle name="Input 2 5 2 2 2 2 3" xfId="13503"/>
    <cellStyle name="Input 2 5 2 2 2 2 4" xfId="13504"/>
    <cellStyle name="Input 2 5 2 2 2 3" xfId="13505"/>
    <cellStyle name="Input 2 5 2 2 2 3 2" xfId="13506"/>
    <cellStyle name="Input 2 5 2 2 2 3 3" xfId="13507"/>
    <cellStyle name="Input 2 5 2 2 2 3 4" xfId="13508"/>
    <cellStyle name="Input 2 5 2 2 2 4" xfId="13509"/>
    <cellStyle name="Input 2 5 2 2 2 4 2" xfId="13510"/>
    <cellStyle name="Input 2 5 2 2 2 4 3" xfId="13511"/>
    <cellStyle name="Input 2 5 2 2 2 4 4" xfId="13512"/>
    <cellStyle name="Input 2 5 2 2 2 5" xfId="13513"/>
    <cellStyle name="Input 2 5 2 2 2 6" xfId="13514"/>
    <cellStyle name="Input 2 5 2 2 2 7" xfId="13515"/>
    <cellStyle name="Input 2 5 2 2 3" xfId="13516"/>
    <cellStyle name="Input 2 5 2 2 3 2" xfId="13517"/>
    <cellStyle name="Input 2 5 2 2 3 2 2" xfId="13518"/>
    <cellStyle name="Input 2 5 2 2 3 2 3" xfId="13519"/>
    <cellStyle name="Input 2 5 2 2 3 2 4" xfId="13520"/>
    <cellStyle name="Input 2 5 2 2 3 3" xfId="13521"/>
    <cellStyle name="Input 2 5 2 2 3 3 2" xfId="13522"/>
    <cellStyle name="Input 2 5 2 2 3 3 3" xfId="13523"/>
    <cellStyle name="Input 2 5 2 2 3 3 4" xfId="13524"/>
    <cellStyle name="Input 2 5 2 2 3 4" xfId="13525"/>
    <cellStyle name="Input 2 5 2 2 3 4 2" xfId="13526"/>
    <cellStyle name="Input 2 5 2 2 3 4 3" xfId="13527"/>
    <cellStyle name="Input 2 5 2 2 3 4 4" xfId="13528"/>
    <cellStyle name="Input 2 5 2 2 3 5" xfId="13529"/>
    <cellStyle name="Input 2 5 2 2 3 6" xfId="13530"/>
    <cellStyle name="Input 2 5 2 2 3 7" xfId="13531"/>
    <cellStyle name="Input 2 5 2 2 4" xfId="13532"/>
    <cellStyle name="Input 2 5 2 2 4 2" xfId="13533"/>
    <cellStyle name="Input 2 5 2 2 4 2 2" xfId="13534"/>
    <cellStyle name="Input 2 5 2 2 4 2 3" xfId="13535"/>
    <cellStyle name="Input 2 5 2 2 4 2 4" xfId="13536"/>
    <cellStyle name="Input 2 5 2 2 4 3" xfId="13537"/>
    <cellStyle name="Input 2 5 2 2 4 3 2" xfId="13538"/>
    <cellStyle name="Input 2 5 2 2 4 3 3" xfId="13539"/>
    <cellStyle name="Input 2 5 2 2 4 3 4" xfId="13540"/>
    <cellStyle name="Input 2 5 2 2 4 4" xfId="13541"/>
    <cellStyle name="Input 2 5 2 2 4 4 2" xfId="13542"/>
    <cellStyle name="Input 2 5 2 2 4 4 3" xfId="13543"/>
    <cellStyle name="Input 2 5 2 2 4 4 4" xfId="13544"/>
    <cellStyle name="Input 2 5 2 2 4 5" xfId="13545"/>
    <cellStyle name="Input 2 5 2 2 4 6" xfId="13546"/>
    <cellStyle name="Input 2 5 2 2 4 7" xfId="13547"/>
    <cellStyle name="Input 2 5 2 2 5" xfId="13548"/>
    <cellStyle name="Input 2 5 2 2 5 2" xfId="13549"/>
    <cellStyle name="Input 2 5 2 2 5 2 2" xfId="13550"/>
    <cellStyle name="Input 2 5 2 2 5 2 3" xfId="13551"/>
    <cellStyle name="Input 2 5 2 2 5 2 4" xfId="13552"/>
    <cellStyle name="Input 2 5 2 2 5 3" xfId="13553"/>
    <cellStyle name="Input 2 5 2 2 5 3 2" xfId="13554"/>
    <cellStyle name="Input 2 5 2 2 5 3 3" xfId="13555"/>
    <cellStyle name="Input 2 5 2 2 5 3 4" xfId="13556"/>
    <cellStyle name="Input 2 5 2 2 5 4" xfId="13557"/>
    <cellStyle name="Input 2 5 2 2 5 4 2" xfId="13558"/>
    <cellStyle name="Input 2 5 2 2 5 4 3" xfId="13559"/>
    <cellStyle name="Input 2 5 2 2 5 4 4" xfId="13560"/>
    <cellStyle name="Input 2 5 2 2 5 5" xfId="13561"/>
    <cellStyle name="Input 2 5 2 2 5 6" xfId="13562"/>
    <cellStyle name="Input 2 5 2 2 5 7" xfId="13563"/>
    <cellStyle name="Input 2 5 2 2 6" xfId="13564"/>
    <cellStyle name="Input 2 5 2 2 6 2" xfId="13565"/>
    <cellStyle name="Input 2 5 2 2 6 2 2" xfId="13566"/>
    <cellStyle name="Input 2 5 2 2 6 2 3" xfId="13567"/>
    <cellStyle name="Input 2 5 2 2 6 2 4" xfId="13568"/>
    <cellStyle name="Input 2 5 2 2 6 3" xfId="13569"/>
    <cellStyle name="Input 2 5 2 2 6 3 2" xfId="13570"/>
    <cellStyle name="Input 2 5 2 2 6 3 3" xfId="13571"/>
    <cellStyle name="Input 2 5 2 2 6 3 4" xfId="13572"/>
    <cellStyle name="Input 2 5 2 2 6 4" xfId="13573"/>
    <cellStyle name="Input 2 5 2 2 6 4 2" xfId="13574"/>
    <cellStyle name="Input 2 5 2 2 6 4 3" xfId="13575"/>
    <cellStyle name="Input 2 5 2 2 6 4 4" xfId="13576"/>
    <cellStyle name="Input 2 5 2 2 6 5" xfId="13577"/>
    <cellStyle name="Input 2 5 2 2 6 6" xfId="13578"/>
    <cellStyle name="Input 2 5 2 2 6 7" xfId="13579"/>
    <cellStyle name="Input 2 5 2 2 7" xfId="13580"/>
    <cellStyle name="Input 2 5 2 2 7 2" xfId="13581"/>
    <cellStyle name="Input 2 5 2 2 7 3" xfId="13582"/>
    <cellStyle name="Input 2 5 2 2 7 4" xfId="13583"/>
    <cellStyle name="Input 2 5 2 2 8" xfId="13584"/>
    <cellStyle name="Input 2 5 2 2 8 2" xfId="13585"/>
    <cellStyle name="Input 2 5 2 2 8 3" xfId="13586"/>
    <cellStyle name="Input 2 5 2 2 8 4" xfId="13587"/>
    <cellStyle name="Input 2 5 2 2 9" xfId="13588"/>
    <cellStyle name="Input 2 5 2 2 9 2" xfId="13589"/>
    <cellStyle name="Input 2 5 2 2 9 3" xfId="13590"/>
    <cellStyle name="Input 2 5 2 2 9 4" xfId="13591"/>
    <cellStyle name="Input 2 5 2 3" xfId="851"/>
    <cellStyle name="Input 2 5 2 3 10" xfId="13592"/>
    <cellStyle name="Input 2 5 2 3 11" xfId="13593"/>
    <cellStyle name="Input 2 5 2 3 12" xfId="13594"/>
    <cellStyle name="Input 2 5 2 3 2" xfId="13595"/>
    <cellStyle name="Input 2 5 2 3 2 2" xfId="13596"/>
    <cellStyle name="Input 2 5 2 3 2 2 2" xfId="13597"/>
    <cellStyle name="Input 2 5 2 3 2 2 3" xfId="13598"/>
    <cellStyle name="Input 2 5 2 3 2 2 4" xfId="13599"/>
    <cellStyle name="Input 2 5 2 3 2 3" xfId="13600"/>
    <cellStyle name="Input 2 5 2 3 2 3 2" xfId="13601"/>
    <cellStyle name="Input 2 5 2 3 2 3 3" xfId="13602"/>
    <cellStyle name="Input 2 5 2 3 2 3 4" xfId="13603"/>
    <cellStyle name="Input 2 5 2 3 2 4" xfId="13604"/>
    <cellStyle name="Input 2 5 2 3 2 4 2" xfId="13605"/>
    <cellStyle name="Input 2 5 2 3 2 4 3" xfId="13606"/>
    <cellStyle name="Input 2 5 2 3 2 4 4" xfId="13607"/>
    <cellStyle name="Input 2 5 2 3 2 5" xfId="13608"/>
    <cellStyle name="Input 2 5 2 3 2 6" xfId="13609"/>
    <cellStyle name="Input 2 5 2 3 2 7" xfId="13610"/>
    <cellStyle name="Input 2 5 2 3 3" xfId="13611"/>
    <cellStyle name="Input 2 5 2 3 3 2" xfId="13612"/>
    <cellStyle name="Input 2 5 2 3 3 2 2" xfId="13613"/>
    <cellStyle name="Input 2 5 2 3 3 2 3" xfId="13614"/>
    <cellStyle name="Input 2 5 2 3 3 2 4" xfId="13615"/>
    <cellStyle name="Input 2 5 2 3 3 3" xfId="13616"/>
    <cellStyle name="Input 2 5 2 3 3 3 2" xfId="13617"/>
    <cellStyle name="Input 2 5 2 3 3 3 3" xfId="13618"/>
    <cellStyle name="Input 2 5 2 3 3 3 4" xfId="13619"/>
    <cellStyle name="Input 2 5 2 3 3 4" xfId="13620"/>
    <cellStyle name="Input 2 5 2 3 3 4 2" xfId="13621"/>
    <cellStyle name="Input 2 5 2 3 3 4 3" xfId="13622"/>
    <cellStyle name="Input 2 5 2 3 3 4 4" xfId="13623"/>
    <cellStyle name="Input 2 5 2 3 3 5" xfId="13624"/>
    <cellStyle name="Input 2 5 2 3 3 6" xfId="13625"/>
    <cellStyle name="Input 2 5 2 3 3 7" xfId="13626"/>
    <cellStyle name="Input 2 5 2 3 4" xfId="13627"/>
    <cellStyle name="Input 2 5 2 3 4 2" xfId="13628"/>
    <cellStyle name="Input 2 5 2 3 4 2 2" xfId="13629"/>
    <cellStyle name="Input 2 5 2 3 4 2 3" xfId="13630"/>
    <cellStyle name="Input 2 5 2 3 4 2 4" xfId="13631"/>
    <cellStyle name="Input 2 5 2 3 4 3" xfId="13632"/>
    <cellStyle name="Input 2 5 2 3 4 3 2" xfId="13633"/>
    <cellStyle name="Input 2 5 2 3 4 3 3" xfId="13634"/>
    <cellStyle name="Input 2 5 2 3 4 3 4" xfId="13635"/>
    <cellStyle name="Input 2 5 2 3 4 4" xfId="13636"/>
    <cellStyle name="Input 2 5 2 3 4 4 2" xfId="13637"/>
    <cellStyle name="Input 2 5 2 3 4 4 3" xfId="13638"/>
    <cellStyle name="Input 2 5 2 3 4 4 4" xfId="13639"/>
    <cellStyle name="Input 2 5 2 3 4 5" xfId="13640"/>
    <cellStyle name="Input 2 5 2 3 4 6" xfId="13641"/>
    <cellStyle name="Input 2 5 2 3 4 7" xfId="13642"/>
    <cellStyle name="Input 2 5 2 3 5" xfId="13643"/>
    <cellStyle name="Input 2 5 2 3 5 2" xfId="13644"/>
    <cellStyle name="Input 2 5 2 3 5 2 2" xfId="13645"/>
    <cellStyle name="Input 2 5 2 3 5 2 3" xfId="13646"/>
    <cellStyle name="Input 2 5 2 3 5 2 4" xfId="13647"/>
    <cellStyle name="Input 2 5 2 3 5 3" xfId="13648"/>
    <cellStyle name="Input 2 5 2 3 5 3 2" xfId="13649"/>
    <cellStyle name="Input 2 5 2 3 5 3 3" xfId="13650"/>
    <cellStyle name="Input 2 5 2 3 5 3 4" xfId="13651"/>
    <cellStyle name="Input 2 5 2 3 5 4" xfId="13652"/>
    <cellStyle name="Input 2 5 2 3 5 4 2" xfId="13653"/>
    <cellStyle name="Input 2 5 2 3 5 4 3" xfId="13654"/>
    <cellStyle name="Input 2 5 2 3 5 4 4" xfId="13655"/>
    <cellStyle name="Input 2 5 2 3 5 5" xfId="13656"/>
    <cellStyle name="Input 2 5 2 3 5 6" xfId="13657"/>
    <cellStyle name="Input 2 5 2 3 5 7" xfId="13658"/>
    <cellStyle name="Input 2 5 2 3 6" xfId="13659"/>
    <cellStyle name="Input 2 5 2 3 6 2" xfId="13660"/>
    <cellStyle name="Input 2 5 2 3 6 2 2" xfId="13661"/>
    <cellStyle name="Input 2 5 2 3 6 2 3" xfId="13662"/>
    <cellStyle name="Input 2 5 2 3 6 2 4" xfId="13663"/>
    <cellStyle name="Input 2 5 2 3 6 3" xfId="13664"/>
    <cellStyle name="Input 2 5 2 3 6 3 2" xfId="13665"/>
    <cellStyle name="Input 2 5 2 3 6 3 3" xfId="13666"/>
    <cellStyle name="Input 2 5 2 3 6 3 4" xfId="13667"/>
    <cellStyle name="Input 2 5 2 3 6 4" xfId="13668"/>
    <cellStyle name="Input 2 5 2 3 6 4 2" xfId="13669"/>
    <cellStyle name="Input 2 5 2 3 6 4 3" xfId="13670"/>
    <cellStyle name="Input 2 5 2 3 6 4 4" xfId="13671"/>
    <cellStyle name="Input 2 5 2 3 6 5" xfId="13672"/>
    <cellStyle name="Input 2 5 2 3 6 6" xfId="13673"/>
    <cellStyle name="Input 2 5 2 3 6 7" xfId="13674"/>
    <cellStyle name="Input 2 5 2 3 7" xfId="13675"/>
    <cellStyle name="Input 2 5 2 3 7 2" xfId="13676"/>
    <cellStyle name="Input 2 5 2 3 7 3" xfId="13677"/>
    <cellStyle name="Input 2 5 2 3 7 4" xfId="13678"/>
    <cellStyle name="Input 2 5 2 3 8" xfId="13679"/>
    <cellStyle name="Input 2 5 2 3 8 2" xfId="13680"/>
    <cellStyle name="Input 2 5 2 3 8 3" xfId="13681"/>
    <cellStyle name="Input 2 5 2 3 8 4" xfId="13682"/>
    <cellStyle name="Input 2 5 2 3 9" xfId="13683"/>
    <cellStyle name="Input 2 5 2 3 9 2" xfId="13684"/>
    <cellStyle name="Input 2 5 2 3 9 3" xfId="13685"/>
    <cellStyle name="Input 2 5 2 3 9 4" xfId="13686"/>
    <cellStyle name="Input 2 5 2 4" xfId="808"/>
    <cellStyle name="Input 2 5 2 4 10" xfId="13687"/>
    <cellStyle name="Input 2 5 2 4 11" xfId="13688"/>
    <cellStyle name="Input 2 5 2 4 12" xfId="13689"/>
    <cellStyle name="Input 2 5 2 4 2" xfId="13690"/>
    <cellStyle name="Input 2 5 2 4 2 2" xfId="13691"/>
    <cellStyle name="Input 2 5 2 4 2 2 2" xfId="13692"/>
    <cellStyle name="Input 2 5 2 4 2 2 3" xfId="13693"/>
    <cellStyle name="Input 2 5 2 4 2 2 4" xfId="13694"/>
    <cellStyle name="Input 2 5 2 4 2 3" xfId="13695"/>
    <cellStyle name="Input 2 5 2 4 2 3 2" xfId="13696"/>
    <cellStyle name="Input 2 5 2 4 2 3 3" xfId="13697"/>
    <cellStyle name="Input 2 5 2 4 2 3 4" xfId="13698"/>
    <cellStyle name="Input 2 5 2 4 2 4" xfId="13699"/>
    <cellStyle name="Input 2 5 2 4 2 4 2" xfId="13700"/>
    <cellStyle name="Input 2 5 2 4 2 4 3" xfId="13701"/>
    <cellStyle name="Input 2 5 2 4 2 4 4" xfId="13702"/>
    <cellStyle name="Input 2 5 2 4 2 5" xfId="13703"/>
    <cellStyle name="Input 2 5 2 4 2 6" xfId="13704"/>
    <cellStyle name="Input 2 5 2 4 2 7" xfId="13705"/>
    <cellStyle name="Input 2 5 2 4 3" xfId="13706"/>
    <cellStyle name="Input 2 5 2 4 3 2" xfId="13707"/>
    <cellStyle name="Input 2 5 2 4 3 2 2" xfId="13708"/>
    <cellStyle name="Input 2 5 2 4 3 2 3" xfId="13709"/>
    <cellStyle name="Input 2 5 2 4 3 2 4" xfId="13710"/>
    <cellStyle name="Input 2 5 2 4 3 3" xfId="13711"/>
    <cellStyle name="Input 2 5 2 4 3 3 2" xfId="13712"/>
    <cellStyle name="Input 2 5 2 4 3 3 3" xfId="13713"/>
    <cellStyle name="Input 2 5 2 4 3 3 4" xfId="13714"/>
    <cellStyle name="Input 2 5 2 4 3 4" xfId="13715"/>
    <cellStyle name="Input 2 5 2 4 3 4 2" xfId="13716"/>
    <cellStyle name="Input 2 5 2 4 3 4 3" xfId="13717"/>
    <cellStyle name="Input 2 5 2 4 3 4 4" xfId="13718"/>
    <cellStyle name="Input 2 5 2 4 3 5" xfId="13719"/>
    <cellStyle name="Input 2 5 2 4 3 6" xfId="13720"/>
    <cellStyle name="Input 2 5 2 4 3 7" xfId="13721"/>
    <cellStyle name="Input 2 5 2 4 4" xfId="13722"/>
    <cellStyle name="Input 2 5 2 4 4 2" xfId="13723"/>
    <cellStyle name="Input 2 5 2 4 4 2 2" xfId="13724"/>
    <cellStyle name="Input 2 5 2 4 4 2 3" xfId="13725"/>
    <cellStyle name="Input 2 5 2 4 4 2 4" xfId="13726"/>
    <cellStyle name="Input 2 5 2 4 4 3" xfId="13727"/>
    <cellStyle name="Input 2 5 2 4 4 3 2" xfId="13728"/>
    <cellStyle name="Input 2 5 2 4 4 3 3" xfId="13729"/>
    <cellStyle name="Input 2 5 2 4 4 3 4" xfId="13730"/>
    <cellStyle name="Input 2 5 2 4 4 4" xfId="13731"/>
    <cellStyle name="Input 2 5 2 4 4 4 2" xfId="13732"/>
    <cellStyle name="Input 2 5 2 4 4 4 3" xfId="13733"/>
    <cellStyle name="Input 2 5 2 4 4 4 4" xfId="13734"/>
    <cellStyle name="Input 2 5 2 4 4 5" xfId="13735"/>
    <cellStyle name="Input 2 5 2 4 4 6" xfId="13736"/>
    <cellStyle name="Input 2 5 2 4 4 7" xfId="13737"/>
    <cellStyle name="Input 2 5 2 4 5" xfId="13738"/>
    <cellStyle name="Input 2 5 2 4 5 2" xfId="13739"/>
    <cellStyle name="Input 2 5 2 4 5 2 2" xfId="13740"/>
    <cellStyle name="Input 2 5 2 4 5 2 3" xfId="13741"/>
    <cellStyle name="Input 2 5 2 4 5 2 4" xfId="13742"/>
    <cellStyle name="Input 2 5 2 4 5 3" xfId="13743"/>
    <cellStyle name="Input 2 5 2 4 5 3 2" xfId="13744"/>
    <cellStyle name="Input 2 5 2 4 5 3 3" xfId="13745"/>
    <cellStyle name="Input 2 5 2 4 5 3 4" xfId="13746"/>
    <cellStyle name="Input 2 5 2 4 5 4" xfId="13747"/>
    <cellStyle name="Input 2 5 2 4 5 4 2" xfId="13748"/>
    <cellStyle name="Input 2 5 2 4 5 4 3" xfId="13749"/>
    <cellStyle name="Input 2 5 2 4 5 4 4" xfId="13750"/>
    <cellStyle name="Input 2 5 2 4 5 5" xfId="13751"/>
    <cellStyle name="Input 2 5 2 4 5 6" xfId="13752"/>
    <cellStyle name="Input 2 5 2 4 5 7" xfId="13753"/>
    <cellStyle name="Input 2 5 2 4 6" xfId="13754"/>
    <cellStyle name="Input 2 5 2 4 6 2" xfId="13755"/>
    <cellStyle name="Input 2 5 2 4 6 2 2" xfId="13756"/>
    <cellStyle name="Input 2 5 2 4 6 2 3" xfId="13757"/>
    <cellStyle name="Input 2 5 2 4 6 2 4" xfId="13758"/>
    <cellStyle name="Input 2 5 2 4 6 3" xfId="13759"/>
    <cellStyle name="Input 2 5 2 4 6 3 2" xfId="13760"/>
    <cellStyle name="Input 2 5 2 4 6 3 3" xfId="13761"/>
    <cellStyle name="Input 2 5 2 4 6 3 4" xfId="13762"/>
    <cellStyle name="Input 2 5 2 4 6 4" xfId="13763"/>
    <cellStyle name="Input 2 5 2 4 6 4 2" xfId="13764"/>
    <cellStyle name="Input 2 5 2 4 6 4 3" xfId="13765"/>
    <cellStyle name="Input 2 5 2 4 6 4 4" xfId="13766"/>
    <cellStyle name="Input 2 5 2 4 6 5" xfId="13767"/>
    <cellStyle name="Input 2 5 2 4 6 6" xfId="13768"/>
    <cellStyle name="Input 2 5 2 4 6 7" xfId="13769"/>
    <cellStyle name="Input 2 5 2 4 7" xfId="13770"/>
    <cellStyle name="Input 2 5 2 4 7 2" xfId="13771"/>
    <cellStyle name="Input 2 5 2 4 7 3" xfId="13772"/>
    <cellStyle name="Input 2 5 2 4 7 4" xfId="13773"/>
    <cellStyle name="Input 2 5 2 4 8" xfId="13774"/>
    <cellStyle name="Input 2 5 2 4 8 2" xfId="13775"/>
    <cellStyle name="Input 2 5 2 4 8 3" xfId="13776"/>
    <cellStyle name="Input 2 5 2 4 8 4" xfId="13777"/>
    <cellStyle name="Input 2 5 2 4 9" xfId="13778"/>
    <cellStyle name="Input 2 5 2 4 9 2" xfId="13779"/>
    <cellStyle name="Input 2 5 2 4 9 3" xfId="13780"/>
    <cellStyle name="Input 2 5 2 4 9 4" xfId="13781"/>
    <cellStyle name="Input 2 5 2 5" xfId="13782"/>
    <cellStyle name="Input 2 5 2 5 10" xfId="13783"/>
    <cellStyle name="Input 2 5 2 5 11" xfId="13784"/>
    <cellStyle name="Input 2 5 2 5 12" xfId="13785"/>
    <cellStyle name="Input 2 5 2 5 2" xfId="13786"/>
    <cellStyle name="Input 2 5 2 5 2 2" xfId="13787"/>
    <cellStyle name="Input 2 5 2 5 2 2 2" xfId="13788"/>
    <cellStyle name="Input 2 5 2 5 2 2 3" xfId="13789"/>
    <cellStyle name="Input 2 5 2 5 2 2 4" xfId="13790"/>
    <cellStyle name="Input 2 5 2 5 2 3" xfId="13791"/>
    <cellStyle name="Input 2 5 2 5 2 3 2" xfId="13792"/>
    <cellStyle name="Input 2 5 2 5 2 3 3" xfId="13793"/>
    <cellStyle name="Input 2 5 2 5 2 3 4" xfId="13794"/>
    <cellStyle name="Input 2 5 2 5 2 4" xfId="13795"/>
    <cellStyle name="Input 2 5 2 5 2 4 2" xfId="13796"/>
    <cellStyle name="Input 2 5 2 5 2 4 3" xfId="13797"/>
    <cellStyle name="Input 2 5 2 5 2 4 4" xfId="13798"/>
    <cellStyle name="Input 2 5 2 5 2 5" xfId="13799"/>
    <cellStyle name="Input 2 5 2 5 2 6" xfId="13800"/>
    <cellStyle name="Input 2 5 2 5 2 7" xfId="13801"/>
    <cellStyle name="Input 2 5 2 5 3" xfId="13802"/>
    <cellStyle name="Input 2 5 2 5 3 2" xfId="13803"/>
    <cellStyle name="Input 2 5 2 5 3 2 2" xfId="13804"/>
    <cellStyle name="Input 2 5 2 5 3 2 3" xfId="13805"/>
    <cellStyle name="Input 2 5 2 5 3 2 4" xfId="13806"/>
    <cellStyle name="Input 2 5 2 5 3 3" xfId="13807"/>
    <cellStyle name="Input 2 5 2 5 3 3 2" xfId="13808"/>
    <cellStyle name="Input 2 5 2 5 3 3 3" xfId="13809"/>
    <cellStyle name="Input 2 5 2 5 3 3 4" xfId="13810"/>
    <cellStyle name="Input 2 5 2 5 3 4" xfId="13811"/>
    <cellStyle name="Input 2 5 2 5 3 4 2" xfId="13812"/>
    <cellStyle name="Input 2 5 2 5 3 4 3" xfId="13813"/>
    <cellStyle name="Input 2 5 2 5 3 4 4" xfId="13814"/>
    <cellStyle name="Input 2 5 2 5 3 5" xfId="13815"/>
    <cellStyle name="Input 2 5 2 5 3 6" xfId="13816"/>
    <cellStyle name="Input 2 5 2 5 3 7" xfId="13817"/>
    <cellStyle name="Input 2 5 2 5 4" xfId="13818"/>
    <cellStyle name="Input 2 5 2 5 4 2" xfId="13819"/>
    <cellStyle name="Input 2 5 2 5 4 2 2" xfId="13820"/>
    <cellStyle name="Input 2 5 2 5 4 2 3" xfId="13821"/>
    <cellStyle name="Input 2 5 2 5 4 2 4" xfId="13822"/>
    <cellStyle name="Input 2 5 2 5 4 3" xfId="13823"/>
    <cellStyle name="Input 2 5 2 5 4 3 2" xfId="13824"/>
    <cellStyle name="Input 2 5 2 5 4 3 3" xfId="13825"/>
    <cellStyle name="Input 2 5 2 5 4 3 4" xfId="13826"/>
    <cellStyle name="Input 2 5 2 5 4 4" xfId="13827"/>
    <cellStyle name="Input 2 5 2 5 4 4 2" xfId="13828"/>
    <cellStyle name="Input 2 5 2 5 4 4 3" xfId="13829"/>
    <cellStyle name="Input 2 5 2 5 4 4 4" xfId="13830"/>
    <cellStyle name="Input 2 5 2 5 4 5" xfId="13831"/>
    <cellStyle name="Input 2 5 2 5 4 6" xfId="13832"/>
    <cellStyle name="Input 2 5 2 5 4 7" xfId="13833"/>
    <cellStyle name="Input 2 5 2 5 5" xfId="13834"/>
    <cellStyle name="Input 2 5 2 5 5 2" xfId="13835"/>
    <cellStyle name="Input 2 5 2 5 5 2 2" xfId="13836"/>
    <cellStyle name="Input 2 5 2 5 5 2 3" xfId="13837"/>
    <cellStyle name="Input 2 5 2 5 5 2 4" xfId="13838"/>
    <cellStyle name="Input 2 5 2 5 5 3" xfId="13839"/>
    <cellStyle name="Input 2 5 2 5 5 3 2" xfId="13840"/>
    <cellStyle name="Input 2 5 2 5 5 3 3" xfId="13841"/>
    <cellStyle name="Input 2 5 2 5 5 3 4" xfId="13842"/>
    <cellStyle name="Input 2 5 2 5 5 4" xfId="13843"/>
    <cellStyle name="Input 2 5 2 5 5 4 2" xfId="13844"/>
    <cellStyle name="Input 2 5 2 5 5 4 3" xfId="13845"/>
    <cellStyle name="Input 2 5 2 5 5 4 4" xfId="13846"/>
    <cellStyle name="Input 2 5 2 5 5 5" xfId="13847"/>
    <cellStyle name="Input 2 5 2 5 5 6" xfId="13848"/>
    <cellStyle name="Input 2 5 2 5 5 7" xfId="13849"/>
    <cellStyle name="Input 2 5 2 5 6" xfId="13850"/>
    <cellStyle name="Input 2 5 2 5 6 2" xfId="13851"/>
    <cellStyle name="Input 2 5 2 5 6 2 2" xfId="13852"/>
    <cellStyle name="Input 2 5 2 5 6 2 3" xfId="13853"/>
    <cellStyle name="Input 2 5 2 5 6 2 4" xfId="13854"/>
    <cellStyle name="Input 2 5 2 5 6 3" xfId="13855"/>
    <cellStyle name="Input 2 5 2 5 6 3 2" xfId="13856"/>
    <cellStyle name="Input 2 5 2 5 6 3 3" xfId="13857"/>
    <cellStyle name="Input 2 5 2 5 6 3 4" xfId="13858"/>
    <cellStyle name="Input 2 5 2 5 6 4" xfId="13859"/>
    <cellStyle name="Input 2 5 2 5 6 4 2" xfId="13860"/>
    <cellStyle name="Input 2 5 2 5 6 4 3" xfId="13861"/>
    <cellStyle name="Input 2 5 2 5 6 4 4" xfId="13862"/>
    <cellStyle name="Input 2 5 2 5 6 5" xfId="13863"/>
    <cellStyle name="Input 2 5 2 5 6 6" xfId="13864"/>
    <cellStyle name="Input 2 5 2 5 6 7" xfId="13865"/>
    <cellStyle name="Input 2 5 2 5 7" xfId="13866"/>
    <cellStyle name="Input 2 5 2 5 7 2" xfId="13867"/>
    <cellStyle name="Input 2 5 2 5 7 3" xfId="13868"/>
    <cellStyle name="Input 2 5 2 5 7 4" xfId="13869"/>
    <cellStyle name="Input 2 5 2 5 8" xfId="13870"/>
    <cellStyle name="Input 2 5 2 5 8 2" xfId="13871"/>
    <cellStyle name="Input 2 5 2 5 8 3" xfId="13872"/>
    <cellStyle name="Input 2 5 2 5 8 4" xfId="13873"/>
    <cellStyle name="Input 2 5 2 5 9" xfId="13874"/>
    <cellStyle name="Input 2 5 2 5 9 2" xfId="13875"/>
    <cellStyle name="Input 2 5 2 5 9 3" xfId="13876"/>
    <cellStyle name="Input 2 5 2 5 9 4" xfId="13877"/>
    <cellStyle name="Input 2 5 2 6" xfId="13878"/>
    <cellStyle name="Input 2 5 2 6 2" xfId="13879"/>
    <cellStyle name="Input 2 5 2 6 2 2" xfId="13880"/>
    <cellStyle name="Input 2 5 2 6 2 3" xfId="13881"/>
    <cellStyle name="Input 2 5 2 6 2 4" xfId="13882"/>
    <cellStyle name="Input 2 5 2 6 3" xfId="13883"/>
    <cellStyle name="Input 2 5 2 6 3 2" xfId="13884"/>
    <cellStyle name="Input 2 5 2 6 3 3" xfId="13885"/>
    <cellStyle name="Input 2 5 2 6 3 4" xfId="13886"/>
    <cellStyle name="Input 2 5 2 6 4" xfId="13887"/>
    <cellStyle name="Input 2 5 2 6 4 2" xfId="13888"/>
    <cellStyle name="Input 2 5 2 6 4 3" xfId="13889"/>
    <cellStyle name="Input 2 5 2 6 4 4" xfId="13890"/>
    <cellStyle name="Input 2 5 2 6 5" xfId="13891"/>
    <cellStyle name="Input 2 5 2 6 6" xfId="13892"/>
    <cellStyle name="Input 2 5 2 6 7" xfId="13893"/>
    <cellStyle name="Input 2 5 2 7" xfId="13894"/>
    <cellStyle name="Input 2 5 2 7 2" xfId="13895"/>
    <cellStyle name="Input 2 5 2 7 2 2" xfId="13896"/>
    <cellStyle name="Input 2 5 2 7 2 3" xfId="13897"/>
    <cellStyle name="Input 2 5 2 7 2 4" xfId="13898"/>
    <cellStyle name="Input 2 5 2 7 3" xfId="13899"/>
    <cellStyle name="Input 2 5 2 7 3 2" xfId="13900"/>
    <cellStyle name="Input 2 5 2 7 3 3" xfId="13901"/>
    <cellStyle name="Input 2 5 2 7 3 4" xfId="13902"/>
    <cellStyle name="Input 2 5 2 7 4" xfId="13903"/>
    <cellStyle name="Input 2 5 2 7 4 2" xfId="13904"/>
    <cellStyle name="Input 2 5 2 7 4 3" xfId="13905"/>
    <cellStyle name="Input 2 5 2 7 4 4" xfId="13906"/>
    <cellStyle name="Input 2 5 2 7 5" xfId="13907"/>
    <cellStyle name="Input 2 5 2 7 6" xfId="13908"/>
    <cellStyle name="Input 2 5 2 7 7" xfId="13909"/>
    <cellStyle name="Input 2 5 2 8" xfId="13910"/>
    <cellStyle name="Input 2 5 2 8 2" xfId="13911"/>
    <cellStyle name="Input 2 5 2 8 2 2" xfId="13912"/>
    <cellStyle name="Input 2 5 2 8 2 3" xfId="13913"/>
    <cellStyle name="Input 2 5 2 8 2 4" xfId="13914"/>
    <cellStyle name="Input 2 5 2 8 3" xfId="13915"/>
    <cellStyle name="Input 2 5 2 8 3 2" xfId="13916"/>
    <cellStyle name="Input 2 5 2 8 3 3" xfId="13917"/>
    <cellStyle name="Input 2 5 2 8 3 4" xfId="13918"/>
    <cellStyle name="Input 2 5 2 8 4" xfId="13919"/>
    <cellStyle name="Input 2 5 2 8 4 2" xfId="13920"/>
    <cellStyle name="Input 2 5 2 8 4 3" xfId="13921"/>
    <cellStyle name="Input 2 5 2 8 4 4" xfId="13922"/>
    <cellStyle name="Input 2 5 2 8 5" xfId="13923"/>
    <cellStyle name="Input 2 5 2 8 6" xfId="13924"/>
    <cellStyle name="Input 2 5 2 8 7" xfId="13925"/>
    <cellStyle name="Input 2 5 2 9" xfId="13926"/>
    <cellStyle name="Input 2 5 2 9 2" xfId="13927"/>
    <cellStyle name="Input 2 5 2 9 2 2" xfId="13928"/>
    <cellStyle name="Input 2 5 2 9 2 3" xfId="13929"/>
    <cellStyle name="Input 2 5 2 9 2 4" xfId="13930"/>
    <cellStyle name="Input 2 5 2 9 3" xfId="13931"/>
    <cellStyle name="Input 2 5 2 9 3 2" xfId="13932"/>
    <cellStyle name="Input 2 5 2 9 3 3" xfId="13933"/>
    <cellStyle name="Input 2 5 2 9 3 4" xfId="13934"/>
    <cellStyle name="Input 2 5 2 9 4" xfId="13935"/>
    <cellStyle name="Input 2 5 2 9 4 2" xfId="13936"/>
    <cellStyle name="Input 2 5 2 9 4 3" xfId="13937"/>
    <cellStyle name="Input 2 5 2 9 4 4" xfId="13938"/>
    <cellStyle name="Input 2 5 2 9 5" xfId="13939"/>
    <cellStyle name="Input 2 5 2 9 6" xfId="13940"/>
    <cellStyle name="Input 2 5 2 9 7" xfId="13941"/>
    <cellStyle name="Input 2 5 3" xfId="1064"/>
    <cellStyle name="Input 2 5 3 10" xfId="13942"/>
    <cellStyle name="Input 2 5 3 11" xfId="13943"/>
    <cellStyle name="Input 2 5 3 12" xfId="13944"/>
    <cellStyle name="Input 2 5 3 2" xfId="13945"/>
    <cellStyle name="Input 2 5 3 2 2" xfId="13946"/>
    <cellStyle name="Input 2 5 3 2 2 2" xfId="13947"/>
    <cellStyle name="Input 2 5 3 2 2 3" xfId="13948"/>
    <cellStyle name="Input 2 5 3 2 2 4" xfId="13949"/>
    <cellStyle name="Input 2 5 3 2 3" xfId="13950"/>
    <cellStyle name="Input 2 5 3 2 3 2" xfId="13951"/>
    <cellStyle name="Input 2 5 3 2 3 3" xfId="13952"/>
    <cellStyle name="Input 2 5 3 2 3 4" xfId="13953"/>
    <cellStyle name="Input 2 5 3 2 4" xfId="13954"/>
    <cellStyle name="Input 2 5 3 2 4 2" xfId="13955"/>
    <cellStyle name="Input 2 5 3 2 4 3" xfId="13956"/>
    <cellStyle name="Input 2 5 3 2 4 4" xfId="13957"/>
    <cellStyle name="Input 2 5 3 2 5" xfId="13958"/>
    <cellStyle name="Input 2 5 3 2 6" xfId="13959"/>
    <cellStyle name="Input 2 5 3 2 7" xfId="13960"/>
    <cellStyle name="Input 2 5 3 3" xfId="13961"/>
    <cellStyle name="Input 2 5 3 3 2" xfId="13962"/>
    <cellStyle name="Input 2 5 3 3 2 2" xfId="13963"/>
    <cellStyle name="Input 2 5 3 3 2 3" xfId="13964"/>
    <cellStyle name="Input 2 5 3 3 2 4" xfId="13965"/>
    <cellStyle name="Input 2 5 3 3 3" xfId="13966"/>
    <cellStyle name="Input 2 5 3 3 3 2" xfId="13967"/>
    <cellStyle name="Input 2 5 3 3 3 3" xfId="13968"/>
    <cellStyle name="Input 2 5 3 3 3 4" xfId="13969"/>
    <cellStyle name="Input 2 5 3 3 4" xfId="13970"/>
    <cellStyle name="Input 2 5 3 3 4 2" xfId="13971"/>
    <cellStyle name="Input 2 5 3 3 4 3" xfId="13972"/>
    <cellStyle name="Input 2 5 3 3 4 4" xfId="13973"/>
    <cellStyle name="Input 2 5 3 3 5" xfId="13974"/>
    <cellStyle name="Input 2 5 3 3 6" xfId="13975"/>
    <cellStyle name="Input 2 5 3 3 7" xfId="13976"/>
    <cellStyle name="Input 2 5 3 4" xfId="13977"/>
    <cellStyle name="Input 2 5 3 4 2" xfId="13978"/>
    <cellStyle name="Input 2 5 3 4 2 2" xfId="13979"/>
    <cellStyle name="Input 2 5 3 4 2 3" xfId="13980"/>
    <cellStyle name="Input 2 5 3 4 2 4" xfId="13981"/>
    <cellStyle name="Input 2 5 3 4 3" xfId="13982"/>
    <cellStyle name="Input 2 5 3 4 3 2" xfId="13983"/>
    <cellStyle name="Input 2 5 3 4 3 3" xfId="13984"/>
    <cellStyle name="Input 2 5 3 4 3 4" xfId="13985"/>
    <cellStyle name="Input 2 5 3 4 4" xfId="13986"/>
    <cellStyle name="Input 2 5 3 4 4 2" xfId="13987"/>
    <cellStyle name="Input 2 5 3 4 4 3" xfId="13988"/>
    <cellStyle name="Input 2 5 3 4 4 4" xfId="13989"/>
    <cellStyle name="Input 2 5 3 4 5" xfId="13990"/>
    <cellStyle name="Input 2 5 3 4 6" xfId="13991"/>
    <cellStyle name="Input 2 5 3 4 7" xfId="13992"/>
    <cellStyle name="Input 2 5 3 5" xfId="13993"/>
    <cellStyle name="Input 2 5 3 5 2" xfId="13994"/>
    <cellStyle name="Input 2 5 3 5 2 2" xfId="13995"/>
    <cellStyle name="Input 2 5 3 5 2 3" xfId="13996"/>
    <cellStyle name="Input 2 5 3 5 2 4" xfId="13997"/>
    <cellStyle name="Input 2 5 3 5 3" xfId="13998"/>
    <cellStyle name="Input 2 5 3 5 3 2" xfId="13999"/>
    <cellStyle name="Input 2 5 3 5 3 3" xfId="14000"/>
    <cellStyle name="Input 2 5 3 5 3 4" xfId="14001"/>
    <cellStyle name="Input 2 5 3 5 4" xfId="14002"/>
    <cellStyle name="Input 2 5 3 5 4 2" xfId="14003"/>
    <cellStyle name="Input 2 5 3 5 4 3" xfId="14004"/>
    <cellStyle name="Input 2 5 3 5 4 4" xfId="14005"/>
    <cellStyle name="Input 2 5 3 5 5" xfId="14006"/>
    <cellStyle name="Input 2 5 3 5 6" xfId="14007"/>
    <cellStyle name="Input 2 5 3 5 7" xfId="14008"/>
    <cellStyle name="Input 2 5 3 6" xfId="14009"/>
    <cellStyle name="Input 2 5 3 6 2" xfId="14010"/>
    <cellStyle name="Input 2 5 3 6 2 2" xfId="14011"/>
    <cellStyle name="Input 2 5 3 6 2 3" xfId="14012"/>
    <cellStyle name="Input 2 5 3 6 2 4" xfId="14013"/>
    <cellStyle name="Input 2 5 3 6 3" xfId="14014"/>
    <cellStyle name="Input 2 5 3 6 3 2" xfId="14015"/>
    <cellStyle name="Input 2 5 3 6 3 3" xfId="14016"/>
    <cellStyle name="Input 2 5 3 6 3 4" xfId="14017"/>
    <cellStyle name="Input 2 5 3 6 4" xfId="14018"/>
    <cellStyle name="Input 2 5 3 6 4 2" xfId="14019"/>
    <cellStyle name="Input 2 5 3 6 4 3" xfId="14020"/>
    <cellStyle name="Input 2 5 3 6 4 4" xfId="14021"/>
    <cellStyle name="Input 2 5 3 6 5" xfId="14022"/>
    <cellStyle name="Input 2 5 3 6 6" xfId="14023"/>
    <cellStyle name="Input 2 5 3 6 7" xfId="14024"/>
    <cellStyle name="Input 2 5 3 7" xfId="14025"/>
    <cellStyle name="Input 2 5 3 7 2" xfId="14026"/>
    <cellStyle name="Input 2 5 3 7 3" xfId="14027"/>
    <cellStyle name="Input 2 5 3 7 4" xfId="14028"/>
    <cellStyle name="Input 2 5 3 8" xfId="14029"/>
    <cellStyle name="Input 2 5 3 8 2" xfId="14030"/>
    <cellStyle name="Input 2 5 3 8 3" xfId="14031"/>
    <cellStyle name="Input 2 5 3 8 4" xfId="14032"/>
    <cellStyle name="Input 2 5 3 9" xfId="14033"/>
    <cellStyle name="Input 2 5 3 9 2" xfId="14034"/>
    <cellStyle name="Input 2 5 3 9 3" xfId="14035"/>
    <cellStyle name="Input 2 5 3 9 4" xfId="14036"/>
    <cellStyle name="Input 2 5 4" xfId="3207"/>
    <cellStyle name="Input 2 5 5" xfId="3168"/>
    <cellStyle name="Input 2 5 6" xfId="3256"/>
    <cellStyle name="Input 2 5 7" xfId="1034"/>
    <cellStyle name="Input 2 6" xfId="100"/>
    <cellStyle name="Input 2 6 2" xfId="576"/>
    <cellStyle name="Input 2 6 2 10" xfId="14037"/>
    <cellStyle name="Input 2 6 2 10 2" xfId="14038"/>
    <cellStyle name="Input 2 6 2 10 2 2" xfId="14039"/>
    <cellStyle name="Input 2 6 2 10 2 3" xfId="14040"/>
    <cellStyle name="Input 2 6 2 10 2 4" xfId="14041"/>
    <cellStyle name="Input 2 6 2 10 3" xfId="14042"/>
    <cellStyle name="Input 2 6 2 10 3 2" xfId="14043"/>
    <cellStyle name="Input 2 6 2 10 3 3" xfId="14044"/>
    <cellStyle name="Input 2 6 2 10 3 4" xfId="14045"/>
    <cellStyle name="Input 2 6 2 10 4" xfId="14046"/>
    <cellStyle name="Input 2 6 2 10 4 2" xfId="14047"/>
    <cellStyle name="Input 2 6 2 10 4 3" xfId="14048"/>
    <cellStyle name="Input 2 6 2 10 4 4" xfId="14049"/>
    <cellStyle name="Input 2 6 2 10 5" xfId="14050"/>
    <cellStyle name="Input 2 6 2 10 6" xfId="14051"/>
    <cellStyle name="Input 2 6 2 10 7" xfId="14052"/>
    <cellStyle name="Input 2 6 2 11" xfId="14053"/>
    <cellStyle name="Input 2 6 2 11 2" xfId="14054"/>
    <cellStyle name="Input 2 6 2 11 2 2" xfId="14055"/>
    <cellStyle name="Input 2 6 2 11 2 3" xfId="14056"/>
    <cellStyle name="Input 2 6 2 11 2 4" xfId="14057"/>
    <cellStyle name="Input 2 6 2 11 3" xfId="14058"/>
    <cellStyle name="Input 2 6 2 11 3 2" xfId="14059"/>
    <cellStyle name="Input 2 6 2 11 3 3" xfId="14060"/>
    <cellStyle name="Input 2 6 2 11 3 4" xfId="14061"/>
    <cellStyle name="Input 2 6 2 11 4" xfId="14062"/>
    <cellStyle name="Input 2 6 2 11 4 2" xfId="14063"/>
    <cellStyle name="Input 2 6 2 11 4 3" xfId="14064"/>
    <cellStyle name="Input 2 6 2 11 4 4" xfId="14065"/>
    <cellStyle name="Input 2 6 2 11 5" xfId="14066"/>
    <cellStyle name="Input 2 6 2 11 6" xfId="14067"/>
    <cellStyle name="Input 2 6 2 11 7" xfId="14068"/>
    <cellStyle name="Input 2 6 2 12" xfId="14069"/>
    <cellStyle name="Input 2 6 2 12 2" xfId="14070"/>
    <cellStyle name="Input 2 6 2 12 2 2" xfId="14071"/>
    <cellStyle name="Input 2 6 2 12 2 3" xfId="14072"/>
    <cellStyle name="Input 2 6 2 12 2 4" xfId="14073"/>
    <cellStyle name="Input 2 6 2 12 3" xfId="14074"/>
    <cellStyle name="Input 2 6 2 12 3 2" xfId="14075"/>
    <cellStyle name="Input 2 6 2 12 3 3" xfId="14076"/>
    <cellStyle name="Input 2 6 2 12 3 4" xfId="14077"/>
    <cellStyle name="Input 2 6 2 12 4" xfId="14078"/>
    <cellStyle name="Input 2 6 2 12 4 2" xfId="14079"/>
    <cellStyle name="Input 2 6 2 12 4 3" xfId="14080"/>
    <cellStyle name="Input 2 6 2 12 4 4" xfId="14081"/>
    <cellStyle name="Input 2 6 2 12 5" xfId="14082"/>
    <cellStyle name="Input 2 6 2 12 6" xfId="14083"/>
    <cellStyle name="Input 2 6 2 12 7" xfId="14084"/>
    <cellStyle name="Input 2 6 2 13" xfId="14085"/>
    <cellStyle name="Input 2 6 2 13 2" xfId="14086"/>
    <cellStyle name="Input 2 6 2 13 2 2" xfId="14087"/>
    <cellStyle name="Input 2 6 2 13 2 3" xfId="14088"/>
    <cellStyle name="Input 2 6 2 13 2 4" xfId="14089"/>
    <cellStyle name="Input 2 6 2 13 3" xfId="14090"/>
    <cellStyle name="Input 2 6 2 13 3 2" xfId="14091"/>
    <cellStyle name="Input 2 6 2 13 3 3" xfId="14092"/>
    <cellStyle name="Input 2 6 2 13 3 4" xfId="14093"/>
    <cellStyle name="Input 2 6 2 13 4" xfId="14094"/>
    <cellStyle name="Input 2 6 2 13 4 2" xfId="14095"/>
    <cellStyle name="Input 2 6 2 13 4 3" xfId="14096"/>
    <cellStyle name="Input 2 6 2 13 4 4" xfId="14097"/>
    <cellStyle name="Input 2 6 2 13 5" xfId="14098"/>
    <cellStyle name="Input 2 6 2 13 6" xfId="14099"/>
    <cellStyle name="Input 2 6 2 13 7" xfId="14100"/>
    <cellStyle name="Input 2 6 2 14" xfId="14101"/>
    <cellStyle name="Input 2 6 2 14 2" xfId="14102"/>
    <cellStyle name="Input 2 6 2 14 3" xfId="14103"/>
    <cellStyle name="Input 2 6 2 14 4" xfId="14104"/>
    <cellStyle name="Input 2 6 2 15" xfId="14105"/>
    <cellStyle name="Input 2 6 2 15 2" xfId="14106"/>
    <cellStyle name="Input 2 6 2 15 3" xfId="14107"/>
    <cellStyle name="Input 2 6 2 15 4" xfId="14108"/>
    <cellStyle name="Input 2 6 2 16" xfId="14109"/>
    <cellStyle name="Input 2 6 2 16 2" xfId="14110"/>
    <cellStyle name="Input 2 6 2 16 3" xfId="14111"/>
    <cellStyle name="Input 2 6 2 16 4" xfId="14112"/>
    <cellStyle name="Input 2 6 2 17" xfId="14113"/>
    <cellStyle name="Input 2 6 2 18" xfId="14114"/>
    <cellStyle name="Input 2 6 2 19" xfId="14115"/>
    <cellStyle name="Input 2 6 2 2" xfId="857"/>
    <cellStyle name="Input 2 6 2 2 10" xfId="14116"/>
    <cellStyle name="Input 2 6 2 2 11" xfId="14117"/>
    <cellStyle name="Input 2 6 2 2 12" xfId="14118"/>
    <cellStyle name="Input 2 6 2 2 2" xfId="14119"/>
    <cellStyle name="Input 2 6 2 2 2 2" xfId="14120"/>
    <cellStyle name="Input 2 6 2 2 2 2 2" xfId="14121"/>
    <cellStyle name="Input 2 6 2 2 2 2 3" xfId="14122"/>
    <cellStyle name="Input 2 6 2 2 2 2 4" xfId="14123"/>
    <cellStyle name="Input 2 6 2 2 2 3" xfId="14124"/>
    <cellStyle name="Input 2 6 2 2 2 3 2" xfId="14125"/>
    <cellStyle name="Input 2 6 2 2 2 3 3" xfId="14126"/>
    <cellStyle name="Input 2 6 2 2 2 3 4" xfId="14127"/>
    <cellStyle name="Input 2 6 2 2 2 4" xfId="14128"/>
    <cellStyle name="Input 2 6 2 2 2 4 2" xfId="14129"/>
    <cellStyle name="Input 2 6 2 2 2 4 3" xfId="14130"/>
    <cellStyle name="Input 2 6 2 2 2 4 4" xfId="14131"/>
    <cellStyle name="Input 2 6 2 2 2 5" xfId="14132"/>
    <cellStyle name="Input 2 6 2 2 2 6" xfId="14133"/>
    <cellStyle name="Input 2 6 2 2 2 7" xfId="14134"/>
    <cellStyle name="Input 2 6 2 2 3" xfId="14135"/>
    <cellStyle name="Input 2 6 2 2 3 2" xfId="14136"/>
    <cellStyle name="Input 2 6 2 2 3 2 2" xfId="14137"/>
    <cellStyle name="Input 2 6 2 2 3 2 3" xfId="14138"/>
    <cellStyle name="Input 2 6 2 2 3 2 4" xfId="14139"/>
    <cellStyle name="Input 2 6 2 2 3 3" xfId="14140"/>
    <cellStyle name="Input 2 6 2 2 3 3 2" xfId="14141"/>
    <cellStyle name="Input 2 6 2 2 3 3 3" xfId="14142"/>
    <cellStyle name="Input 2 6 2 2 3 3 4" xfId="14143"/>
    <cellStyle name="Input 2 6 2 2 3 4" xfId="14144"/>
    <cellStyle name="Input 2 6 2 2 3 4 2" xfId="14145"/>
    <cellStyle name="Input 2 6 2 2 3 4 3" xfId="14146"/>
    <cellStyle name="Input 2 6 2 2 3 4 4" xfId="14147"/>
    <cellStyle name="Input 2 6 2 2 3 5" xfId="14148"/>
    <cellStyle name="Input 2 6 2 2 3 6" xfId="14149"/>
    <cellStyle name="Input 2 6 2 2 3 7" xfId="14150"/>
    <cellStyle name="Input 2 6 2 2 4" xfId="14151"/>
    <cellStyle name="Input 2 6 2 2 4 2" xfId="14152"/>
    <cellStyle name="Input 2 6 2 2 4 2 2" xfId="14153"/>
    <cellStyle name="Input 2 6 2 2 4 2 3" xfId="14154"/>
    <cellStyle name="Input 2 6 2 2 4 2 4" xfId="14155"/>
    <cellStyle name="Input 2 6 2 2 4 3" xfId="14156"/>
    <cellStyle name="Input 2 6 2 2 4 3 2" xfId="14157"/>
    <cellStyle name="Input 2 6 2 2 4 3 3" xfId="14158"/>
    <cellStyle name="Input 2 6 2 2 4 3 4" xfId="14159"/>
    <cellStyle name="Input 2 6 2 2 4 4" xfId="14160"/>
    <cellStyle name="Input 2 6 2 2 4 4 2" xfId="14161"/>
    <cellStyle name="Input 2 6 2 2 4 4 3" xfId="14162"/>
    <cellStyle name="Input 2 6 2 2 4 4 4" xfId="14163"/>
    <cellStyle name="Input 2 6 2 2 4 5" xfId="14164"/>
    <cellStyle name="Input 2 6 2 2 4 6" xfId="14165"/>
    <cellStyle name="Input 2 6 2 2 4 7" xfId="14166"/>
    <cellStyle name="Input 2 6 2 2 5" xfId="14167"/>
    <cellStyle name="Input 2 6 2 2 5 2" xfId="14168"/>
    <cellStyle name="Input 2 6 2 2 5 2 2" xfId="14169"/>
    <cellStyle name="Input 2 6 2 2 5 2 3" xfId="14170"/>
    <cellStyle name="Input 2 6 2 2 5 2 4" xfId="14171"/>
    <cellStyle name="Input 2 6 2 2 5 3" xfId="14172"/>
    <cellStyle name="Input 2 6 2 2 5 3 2" xfId="14173"/>
    <cellStyle name="Input 2 6 2 2 5 3 3" xfId="14174"/>
    <cellStyle name="Input 2 6 2 2 5 3 4" xfId="14175"/>
    <cellStyle name="Input 2 6 2 2 5 4" xfId="14176"/>
    <cellStyle name="Input 2 6 2 2 5 4 2" xfId="14177"/>
    <cellStyle name="Input 2 6 2 2 5 4 3" xfId="14178"/>
    <cellStyle name="Input 2 6 2 2 5 4 4" xfId="14179"/>
    <cellStyle name="Input 2 6 2 2 5 5" xfId="14180"/>
    <cellStyle name="Input 2 6 2 2 5 6" xfId="14181"/>
    <cellStyle name="Input 2 6 2 2 5 7" xfId="14182"/>
    <cellStyle name="Input 2 6 2 2 6" xfId="14183"/>
    <cellStyle name="Input 2 6 2 2 6 2" xfId="14184"/>
    <cellStyle name="Input 2 6 2 2 6 2 2" xfId="14185"/>
    <cellStyle name="Input 2 6 2 2 6 2 3" xfId="14186"/>
    <cellStyle name="Input 2 6 2 2 6 2 4" xfId="14187"/>
    <cellStyle name="Input 2 6 2 2 6 3" xfId="14188"/>
    <cellStyle name="Input 2 6 2 2 6 3 2" xfId="14189"/>
    <cellStyle name="Input 2 6 2 2 6 3 3" xfId="14190"/>
    <cellStyle name="Input 2 6 2 2 6 3 4" xfId="14191"/>
    <cellStyle name="Input 2 6 2 2 6 4" xfId="14192"/>
    <cellStyle name="Input 2 6 2 2 6 4 2" xfId="14193"/>
    <cellStyle name="Input 2 6 2 2 6 4 3" xfId="14194"/>
    <cellStyle name="Input 2 6 2 2 6 4 4" xfId="14195"/>
    <cellStyle name="Input 2 6 2 2 6 5" xfId="14196"/>
    <cellStyle name="Input 2 6 2 2 6 6" xfId="14197"/>
    <cellStyle name="Input 2 6 2 2 6 7" xfId="14198"/>
    <cellStyle name="Input 2 6 2 2 7" xfId="14199"/>
    <cellStyle name="Input 2 6 2 2 7 2" xfId="14200"/>
    <cellStyle name="Input 2 6 2 2 7 3" xfId="14201"/>
    <cellStyle name="Input 2 6 2 2 7 4" xfId="14202"/>
    <cellStyle name="Input 2 6 2 2 8" xfId="14203"/>
    <cellStyle name="Input 2 6 2 2 8 2" xfId="14204"/>
    <cellStyle name="Input 2 6 2 2 8 3" xfId="14205"/>
    <cellStyle name="Input 2 6 2 2 8 4" xfId="14206"/>
    <cellStyle name="Input 2 6 2 2 9" xfId="14207"/>
    <cellStyle name="Input 2 6 2 2 9 2" xfId="14208"/>
    <cellStyle name="Input 2 6 2 2 9 3" xfId="14209"/>
    <cellStyle name="Input 2 6 2 2 9 4" xfId="14210"/>
    <cellStyle name="Input 2 6 2 3" xfId="795"/>
    <cellStyle name="Input 2 6 2 3 10" xfId="14211"/>
    <cellStyle name="Input 2 6 2 3 11" xfId="14212"/>
    <cellStyle name="Input 2 6 2 3 12" xfId="14213"/>
    <cellStyle name="Input 2 6 2 3 2" xfId="14214"/>
    <cellStyle name="Input 2 6 2 3 2 2" xfId="14215"/>
    <cellStyle name="Input 2 6 2 3 2 2 2" xfId="14216"/>
    <cellStyle name="Input 2 6 2 3 2 2 3" xfId="14217"/>
    <cellStyle name="Input 2 6 2 3 2 2 4" xfId="14218"/>
    <cellStyle name="Input 2 6 2 3 2 3" xfId="14219"/>
    <cellStyle name="Input 2 6 2 3 2 3 2" xfId="14220"/>
    <cellStyle name="Input 2 6 2 3 2 3 3" xfId="14221"/>
    <cellStyle name="Input 2 6 2 3 2 3 4" xfId="14222"/>
    <cellStyle name="Input 2 6 2 3 2 4" xfId="14223"/>
    <cellStyle name="Input 2 6 2 3 2 4 2" xfId="14224"/>
    <cellStyle name="Input 2 6 2 3 2 4 3" xfId="14225"/>
    <cellStyle name="Input 2 6 2 3 2 4 4" xfId="14226"/>
    <cellStyle name="Input 2 6 2 3 2 5" xfId="14227"/>
    <cellStyle name="Input 2 6 2 3 2 6" xfId="14228"/>
    <cellStyle name="Input 2 6 2 3 2 7" xfId="14229"/>
    <cellStyle name="Input 2 6 2 3 3" xfId="14230"/>
    <cellStyle name="Input 2 6 2 3 3 2" xfId="14231"/>
    <cellStyle name="Input 2 6 2 3 3 2 2" xfId="14232"/>
    <cellStyle name="Input 2 6 2 3 3 2 3" xfId="14233"/>
    <cellStyle name="Input 2 6 2 3 3 2 4" xfId="14234"/>
    <cellStyle name="Input 2 6 2 3 3 3" xfId="14235"/>
    <cellStyle name="Input 2 6 2 3 3 3 2" xfId="14236"/>
    <cellStyle name="Input 2 6 2 3 3 3 3" xfId="14237"/>
    <cellStyle name="Input 2 6 2 3 3 3 4" xfId="14238"/>
    <cellStyle name="Input 2 6 2 3 3 4" xfId="14239"/>
    <cellStyle name="Input 2 6 2 3 3 4 2" xfId="14240"/>
    <cellStyle name="Input 2 6 2 3 3 4 3" xfId="14241"/>
    <cellStyle name="Input 2 6 2 3 3 4 4" xfId="14242"/>
    <cellStyle name="Input 2 6 2 3 3 5" xfId="14243"/>
    <cellStyle name="Input 2 6 2 3 3 6" xfId="14244"/>
    <cellStyle name="Input 2 6 2 3 3 7" xfId="14245"/>
    <cellStyle name="Input 2 6 2 3 4" xfId="14246"/>
    <cellStyle name="Input 2 6 2 3 4 2" xfId="14247"/>
    <cellStyle name="Input 2 6 2 3 4 2 2" xfId="14248"/>
    <cellStyle name="Input 2 6 2 3 4 2 3" xfId="14249"/>
    <cellStyle name="Input 2 6 2 3 4 2 4" xfId="14250"/>
    <cellStyle name="Input 2 6 2 3 4 3" xfId="14251"/>
    <cellStyle name="Input 2 6 2 3 4 3 2" xfId="14252"/>
    <cellStyle name="Input 2 6 2 3 4 3 3" xfId="14253"/>
    <cellStyle name="Input 2 6 2 3 4 3 4" xfId="14254"/>
    <cellStyle name="Input 2 6 2 3 4 4" xfId="14255"/>
    <cellStyle name="Input 2 6 2 3 4 4 2" xfId="14256"/>
    <cellStyle name="Input 2 6 2 3 4 4 3" xfId="14257"/>
    <cellStyle name="Input 2 6 2 3 4 4 4" xfId="14258"/>
    <cellStyle name="Input 2 6 2 3 4 5" xfId="14259"/>
    <cellStyle name="Input 2 6 2 3 4 6" xfId="14260"/>
    <cellStyle name="Input 2 6 2 3 4 7" xfId="14261"/>
    <cellStyle name="Input 2 6 2 3 5" xfId="14262"/>
    <cellStyle name="Input 2 6 2 3 5 2" xfId="14263"/>
    <cellStyle name="Input 2 6 2 3 5 2 2" xfId="14264"/>
    <cellStyle name="Input 2 6 2 3 5 2 3" xfId="14265"/>
    <cellStyle name="Input 2 6 2 3 5 2 4" xfId="14266"/>
    <cellStyle name="Input 2 6 2 3 5 3" xfId="14267"/>
    <cellStyle name="Input 2 6 2 3 5 3 2" xfId="14268"/>
    <cellStyle name="Input 2 6 2 3 5 3 3" xfId="14269"/>
    <cellStyle name="Input 2 6 2 3 5 3 4" xfId="14270"/>
    <cellStyle name="Input 2 6 2 3 5 4" xfId="14271"/>
    <cellStyle name="Input 2 6 2 3 5 4 2" xfId="14272"/>
    <cellStyle name="Input 2 6 2 3 5 4 3" xfId="14273"/>
    <cellStyle name="Input 2 6 2 3 5 4 4" xfId="14274"/>
    <cellStyle name="Input 2 6 2 3 5 5" xfId="14275"/>
    <cellStyle name="Input 2 6 2 3 5 6" xfId="14276"/>
    <cellStyle name="Input 2 6 2 3 5 7" xfId="14277"/>
    <cellStyle name="Input 2 6 2 3 6" xfId="14278"/>
    <cellStyle name="Input 2 6 2 3 6 2" xfId="14279"/>
    <cellStyle name="Input 2 6 2 3 6 2 2" xfId="14280"/>
    <cellStyle name="Input 2 6 2 3 6 2 3" xfId="14281"/>
    <cellStyle name="Input 2 6 2 3 6 2 4" xfId="14282"/>
    <cellStyle name="Input 2 6 2 3 6 3" xfId="14283"/>
    <cellStyle name="Input 2 6 2 3 6 3 2" xfId="14284"/>
    <cellStyle name="Input 2 6 2 3 6 3 3" xfId="14285"/>
    <cellStyle name="Input 2 6 2 3 6 3 4" xfId="14286"/>
    <cellStyle name="Input 2 6 2 3 6 4" xfId="14287"/>
    <cellStyle name="Input 2 6 2 3 6 4 2" xfId="14288"/>
    <cellStyle name="Input 2 6 2 3 6 4 3" xfId="14289"/>
    <cellStyle name="Input 2 6 2 3 6 4 4" xfId="14290"/>
    <cellStyle name="Input 2 6 2 3 6 5" xfId="14291"/>
    <cellStyle name="Input 2 6 2 3 6 6" xfId="14292"/>
    <cellStyle name="Input 2 6 2 3 6 7" xfId="14293"/>
    <cellStyle name="Input 2 6 2 3 7" xfId="14294"/>
    <cellStyle name="Input 2 6 2 3 7 2" xfId="14295"/>
    <cellStyle name="Input 2 6 2 3 7 3" xfId="14296"/>
    <cellStyle name="Input 2 6 2 3 7 4" xfId="14297"/>
    <cellStyle name="Input 2 6 2 3 8" xfId="14298"/>
    <cellStyle name="Input 2 6 2 3 8 2" xfId="14299"/>
    <cellStyle name="Input 2 6 2 3 8 3" xfId="14300"/>
    <cellStyle name="Input 2 6 2 3 8 4" xfId="14301"/>
    <cellStyle name="Input 2 6 2 3 9" xfId="14302"/>
    <cellStyle name="Input 2 6 2 3 9 2" xfId="14303"/>
    <cellStyle name="Input 2 6 2 3 9 3" xfId="14304"/>
    <cellStyle name="Input 2 6 2 3 9 4" xfId="14305"/>
    <cellStyle name="Input 2 6 2 4" xfId="772"/>
    <cellStyle name="Input 2 6 2 4 10" xfId="14306"/>
    <cellStyle name="Input 2 6 2 4 11" xfId="14307"/>
    <cellStyle name="Input 2 6 2 4 12" xfId="14308"/>
    <cellStyle name="Input 2 6 2 4 2" xfId="14309"/>
    <cellStyle name="Input 2 6 2 4 2 2" xfId="14310"/>
    <cellStyle name="Input 2 6 2 4 2 2 2" xfId="14311"/>
    <cellStyle name="Input 2 6 2 4 2 2 3" xfId="14312"/>
    <cellStyle name="Input 2 6 2 4 2 2 4" xfId="14313"/>
    <cellStyle name="Input 2 6 2 4 2 3" xfId="14314"/>
    <cellStyle name="Input 2 6 2 4 2 3 2" xfId="14315"/>
    <cellStyle name="Input 2 6 2 4 2 3 3" xfId="14316"/>
    <cellStyle name="Input 2 6 2 4 2 3 4" xfId="14317"/>
    <cellStyle name="Input 2 6 2 4 2 4" xfId="14318"/>
    <cellStyle name="Input 2 6 2 4 2 4 2" xfId="14319"/>
    <cellStyle name="Input 2 6 2 4 2 4 3" xfId="14320"/>
    <cellStyle name="Input 2 6 2 4 2 4 4" xfId="14321"/>
    <cellStyle name="Input 2 6 2 4 2 5" xfId="14322"/>
    <cellStyle name="Input 2 6 2 4 2 6" xfId="14323"/>
    <cellStyle name="Input 2 6 2 4 2 7" xfId="14324"/>
    <cellStyle name="Input 2 6 2 4 3" xfId="14325"/>
    <cellStyle name="Input 2 6 2 4 3 2" xfId="14326"/>
    <cellStyle name="Input 2 6 2 4 3 2 2" xfId="14327"/>
    <cellStyle name="Input 2 6 2 4 3 2 3" xfId="14328"/>
    <cellStyle name="Input 2 6 2 4 3 2 4" xfId="14329"/>
    <cellStyle name="Input 2 6 2 4 3 3" xfId="14330"/>
    <cellStyle name="Input 2 6 2 4 3 3 2" xfId="14331"/>
    <cellStyle name="Input 2 6 2 4 3 3 3" xfId="14332"/>
    <cellStyle name="Input 2 6 2 4 3 3 4" xfId="14333"/>
    <cellStyle name="Input 2 6 2 4 3 4" xfId="14334"/>
    <cellStyle name="Input 2 6 2 4 3 4 2" xfId="14335"/>
    <cellStyle name="Input 2 6 2 4 3 4 3" xfId="14336"/>
    <cellStyle name="Input 2 6 2 4 3 4 4" xfId="14337"/>
    <cellStyle name="Input 2 6 2 4 3 5" xfId="14338"/>
    <cellStyle name="Input 2 6 2 4 3 6" xfId="14339"/>
    <cellStyle name="Input 2 6 2 4 3 7" xfId="14340"/>
    <cellStyle name="Input 2 6 2 4 4" xfId="14341"/>
    <cellStyle name="Input 2 6 2 4 4 2" xfId="14342"/>
    <cellStyle name="Input 2 6 2 4 4 2 2" xfId="14343"/>
    <cellStyle name="Input 2 6 2 4 4 2 3" xfId="14344"/>
    <cellStyle name="Input 2 6 2 4 4 2 4" xfId="14345"/>
    <cellStyle name="Input 2 6 2 4 4 3" xfId="14346"/>
    <cellStyle name="Input 2 6 2 4 4 3 2" xfId="14347"/>
    <cellStyle name="Input 2 6 2 4 4 3 3" xfId="14348"/>
    <cellStyle name="Input 2 6 2 4 4 3 4" xfId="14349"/>
    <cellStyle name="Input 2 6 2 4 4 4" xfId="14350"/>
    <cellStyle name="Input 2 6 2 4 4 4 2" xfId="14351"/>
    <cellStyle name="Input 2 6 2 4 4 4 3" xfId="14352"/>
    <cellStyle name="Input 2 6 2 4 4 4 4" xfId="14353"/>
    <cellStyle name="Input 2 6 2 4 4 5" xfId="14354"/>
    <cellStyle name="Input 2 6 2 4 4 6" xfId="14355"/>
    <cellStyle name="Input 2 6 2 4 4 7" xfId="14356"/>
    <cellStyle name="Input 2 6 2 4 5" xfId="14357"/>
    <cellStyle name="Input 2 6 2 4 5 2" xfId="14358"/>
    <cellStyle name="Input 2 6 2 4 5 2 2" xfId="14359"/>
    <cellStyle name="Input 2 6 2 4 5 2 3" xfId="14360"/>
    <cellStyle name="Input 2 6 2 4 5 2 4" xfId="14361"/>
    <cellStyle name="Input 2 6 2 4 5 3" xfId="14362"/>
    <cellStyle name="Input 2 6 2 4 5 3 2" xfId="14363"/>
    <cellStyle name="Input 2 6 2 4 5 3 3" xfId="14364"/>
    <cellStyle name="Input 2 6 2 4 5 3 4" xfId="14365"/>
    <cellStyle name="Input 2 6 2 4 5 4" xfId="14366"/>
    <cellStyle name="Input 2 6 2 4 5 4 2" xfId="14367"/>
    <cellStyle name="Input 2 6 2 4 5 4 3" xfId="14368"/>
    <cellStyle name="Input 2 6 2 4 5 4 4" xfId="14369"/>
    <cellStyle name="Input 2 6 2 4 5 5" xfId="14370"/>
    <cellStyle name="Input 2 6 2 4 5 6" xfId="14371"/>
    <cellStyle name="Input 2 6 2 4 5 7" xfId="14372"/>
    <cellStyle name="Input 2 6 2 4 6" xfId="14373"/>
    <cellStyle name="Input 2 6 2 4 6 2" xfId="14374"/>
    <cellStyle name="Input 2 6 2 4 6 2 2" xfId="14375"/>
    <cellStyle name="Input 2 6 2 4 6 2 3" xfId="14376"/>
    <cellStyle name="Input 2 6 2 4 6 2 4" xfId="14377"/>
    <cellStyle name="Input 2 6 2 4 6 3" xfId="14378"/>
    <cellStyle name="Input 2 6 2 4 6 3 2" xfId="14379"/>
    <cellStyle name="Input 2 6 2 4 6 3 3" xfId="14380"/>
    <cellStyle name="Input 2 6 2 4 6 3 4" xfId="14381"/>
    <cellStyle name="Input 2 6 2 4 6 4" xfId="14382"/>
    <cellStyle name="Input 2 6 2 4 6 4 2" xfId="14383"/>
    <cellStyle name="Input 2 6 2 4 6 4 3" xfId="14384"/>
    <cellStyle name="Input 2 6 2 4 6 4 4" xfId="14385"/>
    <cellStyle name="Input 2 6 2 4 6 5" xfId="14386"/>
    <cellStyle name="Input 2 6 2 4 6 6" xfId="14387"/>
    <cellStyle name="Input 2 6 2 4 6 7" xfId="14388"/>
    <cellStyle name="Input 2 6 2 4 7" xfId="14389"/>
    <cellStyle name="Input 2 6 2 4 7 2" xfId="14390"/>
    <cellStyle name="Input 2 6 2 4 7 3" xfId="14391"/>
    <cellStyle name="Input 2 6 2 4 7 4" xfId="14392"/>
    <cellStyle name="Input 2 6 2 4 8" xfId="14393"/>
    <cellStyle name="Input 2 6 2 4 8 2" xfId="14394"/>
    <cellStyle name="Input 2 6 2 4 8 3" xfId="14395"/>
    <cellStyle name="Input 2 6 2 4 8 4" xfId="14396"/>
    <cellStyle name="Input 2 6 2 4 9" xfId="14397"/>
    <cellStyle name="Input 2 6 2 4 9 2" xfId="14398"/>
    <cellStyle name="Input 2 6 2 4 9 3" xfId="14399"/>
    <cellStyle name="Input 2 6 2 4 9 4" xfId="14400"/>
    <cellStyle name="Input 2 6 2 5" xfId="14401"/>
    <cellStyle name="Input 2 6 2 5 10" xfId="14402"/>
    <cellStyle name="Input 2 6 2 5 11" xfId="14403"/>
    <cellStyle name="Input 2 6 2 5 12" xfId="14404"/>
    <cellStyle name="Input 2 6 2 5 2" xfId="14405"/>
    <cellStyle name="Input 2 6 2 5 2 2" xfId="14406"/>
    <cellStyle name="Input 2 6 2 5 2 2 2" xfId="14407"/>
    <cellStyle name="Input 2 6 2 5 2 2 3" xfId="14408"/>
    <cellStyle name="Input 2 6 2 5 2 2 4" xfId="14409"/>
    <cellStyle name="Input 2 6 2 5 2 3" xfId="14410"/>
    <cellStyle name="Input 2 6 2 5 2 3 2" xfId="14411"/>
    <cellStyle name="Input 2 6 2 5 2 3 3" xfId="14412"/>
    <cellStyle name="Input 2 6 2 5 2 3 4" xfId="14413"/>
    <cellStyle name="Input 2 6 2 5 2 4" xfId="14414"/>
    <cellStyle name="Input 2 6 2 5 2 4 2" xfId="14415"/>
    <cellStyle name="Input 2 6 2 5 2 4 3" xfId="14416"/>
    <cellStyle name="Input 2 6 2 5 2 4 4" xfId="14417"/>
    <cellStyle name="Input 2 6 2 5 2 5" xfId="14418"/>
    <cellStyle name="Input 2 6 2 5 2 6" xfId="14419"/>
    <cellStyle name="Input 2 6 2 5 2 7" xfId="14420"/>
    <cellStyle name="Input 2 6 2 5 3" xfId="14421"/>
    <cellStyle name="Input 2 6 2 5 3 2" xfId="14422"/>
    <cellStyle name="Input 2 6 2 5 3 2 2" xfId="14423"/>
    <cellStyle name="Input 2 6 2 5 3 2 3" xfId="14424"/>
    <cellStyle name="Input 2 6 2 5 3 2 4" xfId="14425"/>
    <cellStyle name="Input 2 6 2 5 3 3" xfId="14426"/>
    <cellStyle name="Input 2 6 2 5 3 3 2" xfId="14427"/>
    <cellStyle name="Input 2 6 2 5 3 3 3" xfId="14428"/>
    <cellStyle name="Input 2 6 2 5 3 3 4" xfId="14429"/>
    <cellStyle name="Input 2 6 2 5 3 4" xfId="14430"/>
    <cellStyle name="Input 2 6 2 5 3 4 2" xfId="14431"/>
    <cellStyle name="Input 2 6 2 5 3 4 3" xfId="14432"/>
    <cellStyle name="Input 2 6 2 5 3 4 4" xfId="14433"/>
    <cellStyle name="Input 2 6 2 5 3 5" xfId="14434"/>
    <cellStyle name="Input 2 6 2 5 3 6" xfId="14435"/>
    <cellStyle name="Input 2 6 2 5 3 7" xfId="14436"/>
    <cellStyle name="Input 2 6 2 5 4" xfId="14437"/>
    <cellStyle name="Input 2 6 2 5 4 2" xfId="14438"/>
    <cellStyle name="Input 2 6 2 5 4 2 2" xfId="14439"/>
    <cellStyle name="Input 2 6 2 5 4 2 3" xfId="14440"/>
    <cellStyle name="Input 2 6 2 5 4 2 4" xfId="14441"/>
    <cellStyle name="Input 2 6 2 5 4 3" xfId="14442"/>
    <cellStyle name="Input 2 6 2 5 4 3 2" xfId="14443"/>
    <cellStyle name="Input 2 6 2 5 4 3 3" xfId="14444"/>
    <cellStyle name="Input 2 6 2 5 4 3 4" xfId="14445"/>
    <cellStyle name="Input 2 6 2 5 4 4" xfId="14446"/>
    <cellStyle name="Input 2 6 2 5 4 4 2" xfId="14447"/>
    <cellStyle name="Input 2 6 2 5 4 4 3" xfId="14448"/>
    <cellStyle name="Input 2 6 2 5 4 4 4" xfId="14449"/>
    <cellStyle name="Input 2 6 2 5 4 5" xfId="14450"/>
    <cellStyle name="Input 2 6 2 5 4 6" xfId="14451"/>
    <cellStyle name="Input 2 6 2 5 4 7" xfId="14452"/>
    <cellStyle name="Input 2 6 2 5 5" xfId="14453"/>
    <cellStyle name="Input 2 6 2 5 5 2" xfId="14454"/>
    <cellStyle name="Input 2 6 2 5 5 2 2" xfId="14455"/>
    <cellStyle name="Input 2 6 2 5 5 2 3" xfId="14456"/>
    <cellStyle name="Input 2 6 2 5 5 2 4" xfId="14457"/>
    <cellStyle name="Input 2 6 2 5 5 3" xfId="14458"/>
    <cellStyle name="Input 2 6 2 5 5 3 2" xfId="14459"/>
    <cellStyle name="Input 2 6 2 5 5 3 3" xfId="14460"/>
    <cellStyle name="Input 2 6 2 5 5 3 4" xfId="14461"/>
    <cellStyle name="Input 2 6 2 5 5 4" xfId="14462"/>
    <cellStyle name="Input 2 6 2 5 5 4 2" xfId="14463"/>
    <cellStyle name="Input 2 6 2 5 5 4 3" xfId="14464"/>
    <cellStyle name="Input 2 6 2 5 5 4 4" xfId="14465"/>
    <cellStyle name="Input 2 6 2 5 5 5" xfId="14466"/>
    <cellStyle name="Input 2 6 2 5 5 6" xfId="14467"/>
    <cellStyle name="Input 2 6 2 5 5 7" xfId="14468"/>
    <cellStyle name="Input 2 6 2 5 6" xfId="14469"/>
    <cellStyle name="Input 2 6 2 5 6 2" xfId="14470"/>
    <cellStyle name="Input 2 6 2 5 6 2 2" xfId="14471"/>
    <cellStyle name="Input 2 6 2 5 6 2 3" xfId="14472"/>
    <cellStyle name="Input 2 6 2 5 6 2 4" xfId="14473"/>
    <cellStyle name="Input 2 6 2 5 6 3" xfId="14474"/>
    <cellStyle name="Input 2 6 2 5 6 3 2" xfId="14475"/>
    <cellStyle name="Input 2 6 2 5 6 3 3" xfId="14476"/>
    <cellStyle name="Input 2 6 2 5 6 3 4" xfId="14477"/>
    <cellStyle name="Input 2 6 2 5 6 4" xfId="14478"/>
    <cellStyle name="Input 2 6 2 5 6 4 2" xfId="14479"/>
    <cellStyle name="Input 2 6 2 5 6 4 3" xfId="14480"/>
    <cellStyle name="Input 2 6 2 5 6 4 4" xfId="14481"/>
    <cellStyle name="Input 2 6 2 5 6 5" xfId="14482"/>
    <cellStyle name="Input 2 6 2 5 6 6" xfId="14483"/>
    <cellStyle name="Input 2 6 2 5 6 7" xfId="14484"/>
    <cellStyle name="Input 2 6 2 5 7" xfId="14485"/>
    <cellStyle name="Input 2 6 2 5 7 2" xfId="14486"/>
    <cellStyle name="Input 2 6 2 5 7 3" xfId="14487"/>
    <cellStyle name="Input 2 6 2 5 7 4" xfId="14488"/>
    <cellStyle name="Input 2 6 2 5 8" xfId="14489"/>
    <cellStyle name="Input 2 6 2 5 8 2" xfId="14490"/>
    <cellStyle name="Input 2 6 2 5 8 3" xfId="14491"/>
    <cellStyle name="Input 2 6 2 5 8 4" xfId="14492"/>
    <cellStyle name="Input 2 6 2 5 9" xfId="14493"/>
    <cellStyle name="Input 2 6 2 5 9 2" xfId="14494"/>
    <cellStyle name="Input 2 6 2 5 9 3" xfId="14495"/>
    <cellStyle name="Input 2 6 2 5 9 4" xfId="14496"/>
    <cellStyle name="Input 2 6 2 6" xfId="14497"/>
    <cellStyle name="Input 2 6 2 6 2" xfId="14498"/>
    <cellStyle name="Input 2 6 2 6 2 2" xfId="14499"/>
    <cellStyle name="Input 2 6 2 6 2 3" xfId="14500"/>
    <cellStyle name="Input 2 6 2 6 2 4" xfId="14501"/>
    <cellStyle name="Input 2 6 2 6 3" xfId="14502"/>
    <cellStyle name="Input 2 6 2 6 3 2" xfId="14503"/>
    <cellStyle name="Input 2 6 2 6 3 3" xfId="14504"/>
    <cellStyle name="Input 2 6 2 6 3 4" xfId="14505"/>
    <cellStyle name="Input 2 6 2 6 4" xfId="14506"/>
    <cellStyle name="Input 2 6 2 6 4 2" xfId="14507"/>
    <cellStyle name="Input 2 6 2 6 4 3" xfId="14508"/>
    <cellStyle name="Input 2 6 2 6 4 4" xfId="14509"/>
    <cellStyle name="Input 2 6 2 6 5" xfId="14510"/>
    <cellStyle name="Input 2 6 2 6 6" xfId="14511"/>
    <cellStyle name="Input 2 6 2 6 7" xfId="14512"/>
    <cellStyle name="Input 2 6 2 7" xfId="14513"/>
    <cellStyle name="Input 2 6 2 7 2" xfId="14514"/>
    <cellStyle name="Input 2 6 2 7 2 2" xfId="14515"/>
    <cellStyle name="Input 2 6 2 7 2 3" xfId="14516"/>
    <cellStyle name="Input 2 6 2 7 2 4" xfId="14517"/>
    <cellStyle name="Input 2 6 2 7 3" xfId="14518"/>
    <cellStyle name="Input 2 6 2 7 3 2" xfId="14519"/>
    <cellStyle name="Input 2 6 2 7 3 3" xfId="14520"/>
    <cellStyle name="Input 2 6 2 7 3 4" xfId="14521"/>
    <cellStyle name="Input 2 6 2 7 4" xfId="14522"/>
    <cellStyle name="Input 2 6 2 7 4 2" xfId="14523"/>
    <cellStyle name="Input 2 6 2 7 4 3" xfId="14524"/>
    <cellStyle name="Input 2 6 2 7 4 4" xfId="14525"/>
    <cellStyle name="Input 2 6 2 7 5" xfId="14526"/>
    <cellStyle name="Input 2 6 2 7 6" xfId="14527"/>
    <cellStyle name="Input 2 6 2 7 7" xfId="14528"/>
    <cellStyle name="Input 2 6 2 8" xfId="14529"/>
    <cellStyle name="Input 2 6 2 8 2" xfId="14530"/>
    <cellStyle name="Input 2 6 2 8 2 2" xfId="14531"/>
    <cellStyle name="Input 2 6 2 8 2 3" xfId="14532"/>
    <cellStyle name="Input 2 6 2 8 2 4" xfId="14533"/>
    <cellStyle name="Input 2 6 2 8 3" xfId="14534"/>
    <cellStyle name="Input 2 6 2 8 3 2" xfId="14535"/>
    <cellStyle name="Input 2 6 2 8 3 3" xfId="14536"/>
    <cellStyle name="Input 2 6 2 8 3 4" xfId="14537"/>
    <cellStyle name="Input 2 6 2 8 4" xfId="14538"/>
    <cellStyle name="Input 2 6 2 8 4 2" xfId="14539"/>
    <cellStyle name="Input 2 6 2 8 4 3" xfId="14540"/>
    <cellStyle name="Input 2 6 2 8 4 4" xfId="14541"/>
    <cellStyle name="Input 2 6 2 8 5" xfId="14542"/>
    <cellStyle name="Input 2 6 2 8 6" xfId="14543"/>
    <cellStyle name="Input 2 6 2 8 7" xfId="14544"/>
    <cellStyle name="Input 2 6 2 9" xfId="14545"/>
    <cellStyle name="Input 2 6 2 9 2" xfId="14546"/>
    <cellStyle name="Input 2 6 2 9 2 2" xfId="14547"/>
    <cellStyle name="Input 2 6 2 9 2 3" xfId="14548"/>
    <cellStyle name="Input 2 6 2 9 2 4" xfId="14549"/>
    <cellStyle name="Input 2 6 2 9 3" xfId="14550"/>
    <cellStyle name="Input 2 6 2 9 3 2" xfId="14551"/>
    <cellStyle name="Input 2 6 2 9 3 3" xfId="14552"/>
    <cellStyle name="Input 2 6 2 9 3 4" xfId="14553"/>
    <cellStyle name="Input 2 6 2 9 4" xfId="14554"/>
    <cellStyle name="Input 2 6 2 9 4 2" xfId="14555"/>
    <cellStyle name="Input 2 6 2 9 4 3" xfId="14556"/>
    <cellStyle name="Input 2 6 2 9 4 4" xfId="14557"/>
    <cellStyle name="Input 2 6 2 9 5" xfId="14558"/>
    <cellStyle name="Input 2 6 2 9 6" xfId="14559"/>
    <cellStyle name="Input 2 6 2 9 7" xfId="14560"/>
    <cellStyle name="Input 2 6 3" xfId="1065"/>
    <cellStyle name="Input 2 6 3 10" xfId="14561"/>
    <cellStyle name="Input 2 6 3 11" xfId="14562"/>
    <cellStyle name="Input 2 6 3 12" xfId="14563"/>
    <cellStyle name="Input 2 6 3 2" xfId="14564"/>
    <cellStyle name="Input 2 6 3 2 2" xfId="14565"/>
    <cellStyle name="Input 2 6 3 2 2 2" xfId="14566"/>
    <cellStyle name="Input 2 6 3 2 2 3" xfId="14567"/>
    <cellStyle name="Input 2 6 3 2 2 4" xfId="14568"/>
    <cellStyle name="Input 2 6 3 2 3" xfId="14569"/>
    <cellStyle name="Input 2 6 3 2 3 2" xfId="14570"/>
    <cellStyle name="Input 2 6 3 2 3 3" xfId="14571"/>
    <cellStyle name="Input 2 6 3 2 3 4" xfId="14572"/>
    <cellStyle name="Input 2 6 3 2 4" xfId="14573"/>
    <cellStyle name="Input 2 6 3 2 4 2" xfId="14574"/>
    <cellStyle name="Input 2 6 3 2 4 3" xfId="14575"/>
    <cellStyle name="Input 2 6 3 2 4 4" xfId="14576"/>
    <cellStyle name="Input 2 6 3 2 5" xfId="14577"/>
    <cellStyle name="Input 2 6 3 2 6" xfId="14578"/>
    <cellStyle name="Input 2 6 3 2 7" xfId="14579"/>
    <cellStyle name="Input 2 6 3 3" xfId="14580"/>
    <cellStyle name="Input 2 6 3 3 2" xfId="14581"/>
    <cellStyle name="Input 2 6 3 3 2 2" xfId="14582"/>
    <cellStyle name="Input 2 6 3 3 2 3" xfId="14583"/>
    <cellStyle name="Input 2 6 3 3 2 4" xfId="14584"/>
    <cellStyle name="Input 2 6 3 3 3" xfId="14585"/>
    <cellStyle name="Input 2 6 3 3 3 2" xfId="14586"/>
    <cellStyle name="Input 2 6 3 3 3 3" xfId="14587"/>
    <cellStyle name="Input 2 6 3 3 3 4" xfId="14588"/>
    <cellStyle name="Input 2 6 3 3 4" xfId="14589"/>
    <cellStyle name="Input 2 6 3 3 4 2" xfId="14590"/>
    <cellStyle name="Input 2 6 3 3 4 3" xfId="14591"/>
    <cellStyle name="Input 2 6 3 3 4 4" xfId="14592"/>
    <cellStyle name="Input 2 6 3 3 5" xfId="14593"/>
    <cellStyle name="Input 2 6 3 3 6" xfId="14594"/>
    <cellStyle name="Input 2 6 3 3 7" xfId="14595"/>
    <cellStyle name="Input 2 6 3 4" xfId="14596"/>
    <cellStyle name="Input 2 6 3 4 2" xfId="14597"/>
    <cellStyle name="Input 2 6 3 4 2 2" xfId="14598"/>
    <cellStyle name="Input 2 6 3 4 2 3" xfId="14599"/>
    <cellStyle name="Input 2 6 3 4 2 4" xfId="14600"/>
    <cellStyle name="Input 2 6 3 4 3" xfId="14601"/>
    <cellStyle name="Input 2 6 3 4 3 2" xfId="14602"/>
    <cellStyle name="Input 2 6 3 4 3 3" xfId="14603"/>
    <cellStyle name="Input 2 6 3 4 3 4" xfId="14604"/>
    <cellStyle name="Input 2 6 3 4 4" xfId="14605"/>
    <cellStyle name="Input 2 6 3 4 4 2" xfId="14606"/>
    <cellStyle name="Input 2 6 3 4 4 3" xfId="14607"/>
    <cellStyle name="Input 2 6 3 4 4 4" xfId="14608"/>
    <cellStyle name="Input 2 6 3 4 5" xfId="14609"/>
    <cellStyle name="Input 2 6 3 4 6" xfId="14610"/>
    <cellStyle name="Input 2 6 3 4 7" xfId="14611"/>
    <cellStyle name="Input 2 6 3 5" xfId="14612"/>
    <cellStyle name="Input 2 6 3 5 2" xfId="14613"/>
    <cellStyle name="Input 2 6 3 5 2 2" xfId="14614"/>
    <cellStyle name="Input 2 6 3 5 2 3" xfId="14615"/>
    <cellStyle name="Input 2 6 3 5 2 4" xfId="14616"/>
    <cellStyle name="Input 2 6 3 5 3" xfId="14617"/>
    <cellStyle name="Input 2 6 3 5 3 2" xfId="14618"/>
    <cellStyle name="Input 2 6 3 5 3 3" xfId="14619"/>
    <cellStyle name="Input 2 6 3 5 3 4" xfId="14620"/>
    <cellStyle name="Input 2 6 3 5 4" xfId="14621"/>
    <cellStyle name="Input 2 6 3 5 4 2" xfId="14622"/>
    <cellStyle name="Input 2 6 3 5 4 3" xfId="14623"/>
    <cellStyle name="Input 2 6 3 5 4 4" xfId="14624"/>
    <cellStyle name="Input 2 6 3 5 5" xfId="14625"/>
    <cellStyle name="Input 2 6 3 5 6" xfId="14626"/>
    <cellStyle name="Input 2 6 3 5 7" xfId="14627"/>
    <cellStyle name="Input 2 6 3 6" xfId="14628"/>
    <cellStyle name="Input 2 6 3 6 2" xfId="14629"/>
    <cellStyle name="Input 2 6 3 6 2 2" xfId="14630"/>
    <cellStyle name="Input 2 6 3 6 2 3" xfId="14631"/>
    <cellStyle name="Input 2 6 3 6 2 4" xfId="14632"/>
    <cellStyle name="Input 2 6 3 6 3" xfId="14633"/>
    <cellStyle name="Input 2 6 3 6 3 2" xfId="14634"/>
    <cellStyle name="Input 2 6 3 6 3 3" xfId="14635"/>
    <cellStyle name="Input 2 6 3 6 3 4" xfId="14636"/>
    <cellStyle name="Input 2 6 3 6 4" xfId="14637"/>
    <cellStyle name="Input 2 6 3 6 4 2" xfId="14638"/>
    <cellStyle name="Input 2 6 3 6 4 3" xfId="14639"/>
    <cellStyle name="Input 2 6 3 6 4 4" xfId="14640"/>
    <cellStyle name="Input 2 6 3 6 5" xfId="14641"/>
    <cellStyle name="Input 2 6 3 6 6" xfId="14642"/>
    <cellStyle name="Input 2 6 3 6 7" xfId="14643"/>
    <cellStyle name="Input 2 6 3 7" xfId="14644"/>
    <cellStyle name="Input 2 6 3 7 2" xfId="14645"/>
    <cellStyle name="Input 2 6 3 7 3" xfId="14646"/>
    <cellStyle name="Input 2 6 3 7 4" xfId="14647"/>
    <cellStyle name="Input 2 6 3 8" xfId="14648"/>
    <cellStyle name="Input 2 6 3 8 2" xfId="14649"/>
    <cellStyle name="Input 2 6 3 8 3" xfId="14650"/>
    <cellStyle name="Input 2 6 3 8 4" xfId="14651"/>
    <cellStyle name="Input 2 6 3 9" xfId="14652"/>
    <cellStyle name="Input 2 6 3 9 2" xfId="14653"/>
    <cellStyle name="Input 2 6 3 9 3" xfId="14654"/>
    <cellStyle name="Input 2 6 3 9 4" xfId="14655"/>
    <cellStyle name="Input 2 6 4" xfId="3206"/>
    <cellStyle name="Input 2 6 5" xfId="1137"/>
    <cellStyle name="Input 2 6 6" xfId="3257"/>
    <cellStyle name="Input 2 6 7" xfId="3284"/>
    <cellStyle name="Input 2 7" xfId="101"/>
    <cellStyle name="Input 2 7 2" xfId="577"/>
    <cellStyle name="Input 2 7 2 10" xfId="14656"/>
    <cellStyle name="Input 2 7 2 10 2" xfId="14657"/>
    <cellStyle name="Input 2 7 2 10 2 2" xfId="14658"/>
    <cellStyle name="Input 2 7 2 10 2 3" xfId="14659"/>
    <cellStyle name="Input 2 7 2 10 2 4" xfId="14660"/>
    <cellStyle name="Input 2 7 2 10 3" xfId="14661"/>
    <cellStyle name="Input 2 7 2 10 3 2" xfId="14662"/>
    <cellStyle name="Input 2 7 2 10 3 3" xfId="14663"/>
    <cellStyle name="Input 2 7 2 10 3 4" xfId="14664"/>
    <cellStyle name="Input 2 7 2 10 4" xfId="14665"/>
    <cellStyle name="Input 2 7 2 10 4 2" xfId="14666"/>
    <cellStyle name="Input 2 7 2 10 4 3" xfId="14667"/>
    <cellStyle name="Input 2 7 2 10 4 4" xfId="14668"/>
    <cellStyle name="Input 2 7 2 10 5" xfId="14669"/>
    <cellStyle name="Input 2 7 2 10 6" xfId="14670"/>
    <cellStyle name="Input 2 7 2 10 7" xfId="14671"/>
    <cellStyle name="Input 2 7 2 11" xfId="14672"/>
    <cellStyle name="Input 2 7 2 11 2" xfId="14673"/>
    <cellStyle name="Input 2 7 2 11 2 2" xfId="14674"/>
    <cellStyle name="Input 2 7 2 11 2 3" xfId="14675"/>
    <cellStyle name="Input 2 7 2 11 2 4" xfId="14676"/>
    <cellStyle name="Input 2 7 2 11 3" xfId="14677"/>
    <cellStyle name="Input 2 7 2 11 3 2" xfId="14678"/>
    <cellStyle name="Input 2 7 2 11 3 3" xfId="14679"/>
    <cellStyle name="Input 2 7 2 11 3 4" xfId="14680"/>
    <cellStyle name="Input 2 7 2 11 4" xfId="14681"/>
    <cellStyle name="Input 2 7 2 11 4 2" xfId="14682"/>
    <cellStyle name="Input 2 7 2 11 4 3" xfId="14683"/>
    <cellStyle name="Input 2 7 2 11 4 4" xfId="14684"/>
    <cellStyle name="Input 2 7 2 11 5" xfId="14685"/>
    <cellStyle name="Input 2 7 2 11 6" xfId="14686"/>
    <cellStyle name="Input 2 7 2 11 7" xfId="14687"/>
    <cellStyle name="Input 2 7 2 12" xfId="14688"/>
    <cellStyle name="Input 2 7 2 12 2" xfId="14689"/>
    <cellStyle name="Input 2 7 2 12 2 2" xfId="14690"/>
    <cellStyle name="Input 2 7 2 12 2 3" xfId="14691"/>
    <cellStyle name="Input 2 7 2 12 2 4" xfId="14692"/>
    <cellStyle name="Input 2 7 2 12 3" xfId="14693"/>
    <cellStyle name="Input 2 7 2 12 3 2" xfId="14694"/>
    <cellStyle name="Input 2 7 2 12 3 3" xfId="14695"/>
    <cellStyle name="Input 2 7 2 12 3 4" xfId="14696"/>
    <cellStyle name="Input 2 7 2 12 4" xfId="14697"/>
    <cellStyle name="Input 2 7 2 12 4 2" xfId="14698"/>
    <cellStyle name="Input 2 7 2 12 4 3" xfId="14699"/>
    <cellStyle name="Input 2 7 2 12 4 4" xfId="14700"/>
    <cellStyle name="Input 2 7 2 12 5" xfId="14701"/>
    <cellStyle name="Input 2 7 2 12 6" xfId="14702"/>
    <cellStyle name="Input 2 7 2 12 7" xfId="14703"/>
    <cellStyle name="Input 2 7 2 13" xfId="14704"/>
    <cellStyle name="Input 2 7 2 13 2" xfId="14705"/>
    <cellStyle name="Input 2 7 2 13 2 2" xfId="14706"/>
    <cellStyle name="Input 2 7 2 13 2 3" xfId="14707"/>
    <cellStyle name="Input 2 7 2 13 2 4" xfId="14708"/>
    <cellStyle name="Input 2 7 2 13 3" xfId="14709"/>
    <cellStyle name="Input 2 7 2 13 3 2" xfId="14710"/>
    <cellStyle name="Input 2 7 2 13 3 3" xfId="14711"/>
    <cellStyle name="Input 2 7 2 13 3 4" xfId="14712"/>
    <cellStyle name="Input 2 7 2 13 4" xfId="14713"/>
    <cellStyle name="Input 2 7 2 13 4 2" xfId="14714"/>
    <cellStyle name="Input 2 7 2 13 4 3" xfId="14715"/>
    <cellStyle name="Input 2 7 2 13 4 4" xfId="14716"/>
    <cellStyle name="Input 2 7 2 13 5" xfId="14717"/>
    <cellStyle name="Input 2 7 2 13 6" xfId="14718"/>
    <cellStyle name="Input 2 7 2 13 7" xfId="14719"/>
    <cellStyle name="Input 2 7 2 14" xfId="14720"/>
    <cellStyle name="Input 2 7 2 14 2" xfId="14721"/>
    <cellStyle name="Input 2 7 2 14 3" xfId="14722"/>
    <cellStyle name="Input 2 7 2 14 4" xfId="14723"/>
    <cellStyle name="Input 2 7 2 15" xfId="14724"/>
    <cellStyle name="Input 2 7 2 15 2" xfId="14725"/>
    <cellStyle name="Input 2 7 2 15 3" xfId="14726"/>
    <cellStyle name="Input 2 7 2 15 4" xfId="14727"/>
    <cellStyle name="Input 2 7 2 16" xfId="14728"/>
    <cellStyle name="Input 2 7 2 16 2" xfId="14729"/>
    <cellStyle name="Input 2 7 2 16 3" xfId="14730"/>
    <cellStyle name="Input 2 7 2 16 4" xfId="14731"/>
    <cellStyle name="Input 2 7 2 17" xfId="14732"/>
    <cellStyle name="Input 2 7 2 18" xfId="14733"/>
    <cellStyle name="Input 2 7 2 19" xfId="14734"/>
    <cellStyle name="Input 2 7 2 2" xfId="858"/>
    <cellStyle name="Input 2 7 2 2 10" xfId="14735"/>
    <cellStyle name="Input 2 7 2 2 11" xfId="14736"/>
    <cellStyle name="Input 2 7 2 2 12" xfId="14737"/>
    <cellStyle name="Input 2 7 2 2 2" xfId="14738"/>
    <cellStyle name="Input 2 7 2 2 2 2" xfId="14739"/>
    <cellStyle name="Input 2 7 2 2 2 2 2" xfId="14740"/>
    <cellStyle name="Input 2 7 2 2 2 2 3" xfId="14741"/>
    <cellStyle name="Input 2 7 2 2 2 2 4" xfId="14742"/>
    <cellStyle name="Input 2 7 2 2 2 3" xfId="14743"/>
    <cellStyle name="Input 2 7 2 2 2 3 2" xfId="14744"/>
    <cellStyle name="Input 2 7 2 2 2 3 3" xfId="14745"/>
    <cellStyle name="Input 2 7 2 2 2 3 4" xfId="14746"/>
    <cellStyle name="Input 2 7 2 2 2 4" xfId="14747"/>
    <cellStyle name="Input 2 7 2 2 2 4 2" xfId="14748"/>
    <cellStyle name="Input 2 7 2 2 2 4 3" xfId="14749"/>
    <cellStyle name="Input 2 7 2 2 2 4 4" xfId="14750"/>
    <cellStyle name="Input 2 7 2 2 2 5" xfId="14751"/>
    <cellStyle name="Input 2 7 2 2 2 6" xfId="14752"/>
    <cellStyle name="Input 2 7 2 2 2 7" xfId="14753"/>
    <cellStyle name="Input 2 7 2 2 3" xfId="14754"/>
    <cellStyle name="Input 2 7 2 2 3 2" xfId="14755"/>
    <cellStyle name="Input 2 7 2 2 3 2 2" xfId="14756"/>
    <cellStyle name="Input 2 7 2 2 3 2 3" xfId="14757"/>
    <cellStyle name="Input 2 7 2 2 3 2 4" xfId="14758"/>
    <cellStyle name="Input 2 7 2 2 3 3" xfId="14759"/>
    <cellStyle name="Input 2 7 2 2 3 3 2" xfId="14760"/>
    <cellStyle name="Input 2 7 2 2 3 3 3" xfId="14761"/>
    <cellStyle name="Input 2 7 2 2 3 3 4" xfId="14762"/>
    <cellStyle name="Input 2 7 2 2 3 4" xfId="14763"/>
    <cellStyle name="Input 2 7 2 2 3 4 2" xfId="14764"/>
    <cellStyle name="Input 2 7 2 2 3 4 3" xfId="14765"/>
    <cellStyle name="Input 2 7 2 2 3 4 4" xfId="14766"/>
    <cellStyle name="Input 2 7 2 2 3 5" xfId="14767"/>
    <cellStyle name="Input 2 7 2 2 3 6" xfId="14768"/>
    <cellStyle name="Input 2 7 2 2 3 7" xfId="14769"/>
    <cellStyle name="Input 2 7 2 2 4" xfId="14770"/>
    <cellStyle name="Input 2 7 2 2 4 2" xfId="14771"/>
    <cellStyle name="Input 2 7 2 2 4 2 2" xfId="14772"/>
    <cellStyle name="Input 2 7 2 2 4 2 3" xfId="14773"/>
    <cellStyle name="Input 2 7 2 2 4 2 4" xfId="14774"/>
    <cellStyle name="Input 2 7 2 2 4 3" xfId="14775"/>
    <cellStyle name="Input 2 7 2 2 4 3 2" xfId="14776"/>
    <cellStyle name="Input 2 7 2 2 4 3 3" xfId="14777"/>
    <cellStyle name="Input 2 7 2 2 4 3 4" xfId="14778"/>
    <cellStyle name="Input 2 7 2 2 4 4" xfId="14779"/>
    <cellStyle name="Input 2 7 2 2 4 4 2" xfId="14780"/>
    <cellStyle name="Input 2 7 2 2 4 4 3" xfId="14781"/>
    <cellStyle name="Input 2 7 2 2 4 4 4" xfId="14782"/>
    <cellStyle name="Input 2 7 2 2 4 5" xfId="14783"/>
    <cellStyle name="Input 2 7 2 2 4 6" xfId="14784"/>
    <cellStyle name="Input 2 7 2 2 4 7" xfId="14785"/>
    <cellStyle name="Input 2 7 2 2 5" xfId="14786"/>
    <cellStyle name="Input 2 7 2 2 5 2" xfId="14787"/>
    <cellStyle name="Input 2 7 2 2 5 2 2" xfId="14788"/>
    <cellStyle name="Input 2 7 2 2 5 2 3" xfId="14789"/>
    <cellStyle name="Input 2 7 2 2 5 2 4" xfId="14790"/>
    <cellStyle name="Input 2 7 2 2 5 3" xfId="14791"/>
    <cellStyle name="Input 2 7 2 2 5 3 2" xfId="14792"/>
    <cellStyle name="Input 2 7 2 2 5 3 3" xfId="14793"/>
    <cellStyle name="Input 2 7 2 2 5 3 4" xfId="14794"/>
    <cellStyle name="Input 2 7 2 2 5 4" xfId="14795"/>
    <cellStyle name="Input 2 7 2 2 5 4 2" xfId="14796"/>
    <cellStyle name="Input 2 7 2 2 5 4 3" xfId="14797"/>
    <cellStyle name="Input 2 7 2 2 5 4 4" xfId="14798"/>
    <cellStyle name="Input 2 7 2 2 5 5" xfId="14799"/>
    <cellStyle name="Input 2 7 2 2 5 6" xfId="14800"/>
    <cellStyle name="Input 2 7 2 2 5 7" xfId="14801"/>
    <cellStyle name="Input 2 7 2 2 6" xfId="14802"/>
    <cellStyle name="Input 2 7 2 2 6 2" xfId="14803"/>
    <cellStyle name="Input 2 7 2 2 6 2 2" xfId="14804"/>
    <cellStyle name="Input 2 7 2 2 6 2 3" xfId="14805"/>
    <cellStyle name="Input 2 7 2 2 6 2 4" xfId="14806"/>
    <cellStyle name="Input 2 7 2 2 6 3" xfId="14807"/>
    <cellStyle name="Input 2 7 2 2 6 3 2" xfId="14808"/>
    <cellStyle name="Input 2 7 2 2 6 3 3" xfId="14809"/>
    <cellStyle name="Input 2 7 2 2 6 3 4" xfId="14810"/>
    <cellStyle name="Input 2 7 2 2 6 4" xfId="14811"/>
    <cellStyle name="Input 2 7 2 2 6 4 2" xfId="14812"/>
    <cellStyle name="Input 2 7 2 2 6 4 3" xfId="14813"/>
    <cellStyle name="Input 2 7 2 2 6 4 4" xfId="14814"/>
    <cellStyle name="Input 2 7 2 2 6 5" xfId="14815"/>
    <cellStyle name="Input 2 7 2 2 6 6" xfId="14816"/>
    <cellStyle name="Input 2 7 2 2 6 7" xfId="14817"/>
    <cellStyle name="Input 2 7 2 2 7" xfId="14818"/>
    <cellStyle name="Input 2 7 2 2 7 2" xfId="14819"/>
    <cellStyle name="Input 2 7 2 2 7 3" xfId="14820"/>
    <cellStyle name="Input 2 7 2 2 7 4" xfId="14821"/>
    <cellStyle name="Input 2 7 2 2 8" xfId="14822"/>
    <cellStyle name="Input 2 7 2 2 8 2" xfId="14823"/>
    <cellStyle name="Input 2 7 2 2 8 3" xfId="14824"/>
    <cellStyle name="Input 2 7 2 2 8 4" xfId="14825"/>
    <cellStyle name="Input 2 7 2 2 9" xfId="14826"/>
    <cellStyle name="Input 2 7 2 2 9 2" xfId="14827"/>
    <cellStyle name="Input 2 7 2 2 9 3" xfId="14828"/>
    <cellStyle name="Input 2 7 2 2 9 4" xfId="14829"/>
    <cellStyle name="Input 2 7 2 3" xfId="799"/>
    <cellStyle name="Input 2 7 2 3 10" xfId="14830"/>
    <cellStyle name="Input 2 7 2 3 11" xfId="14831"/>
    <cellStyle name="Input 2 7 2 3 12" xfId="14832"/>
    <cellStyle name="Input 2 7 2 3 2" xfId="14833"/>
    <cellStyle name="Input 2 7 2 3 2 2" xfId="14834"/>
    <cellStyle name="Input 2 7 2 3 2 2 2" xfId="14835"/>
    <cellStyle name="Input 2 7 2 3 2 2 3" xfId="14836"/>
    <cellStyle name="Input 2 7 2 3 2 2 4" xfId="14837"/>
    <cellStyle name="Input 2 7 2 3 2 3" xfId="14838"/>
    <cellStyle name="Input 2 7 2 3 2 3 2" xfId="14839"/>
    <cellStyle name="Input 2 7 2 3 2 3 3" xfId="14840"/>
    <cellStyle name="Input 2 7 2 3 2 3 4" xfId="14841"/>
    <cellStyle name="Input 2 7 2 3 2 4" xfId="14842"/>
    <cellStyle name="Input 2 7 2 3 2 4 2" xfId="14843"/>
    <cellStyle name="Input 2 7 2 3 2 4 3" xfId="14844"/>
    <cellStyle name="Input 2 7 2 3 2 4 4" xfId="14845"/>
    <cellStyle name="Input 2 7 2 3 2 5" xfId="14846"/>
    <cellStyle name="Input 2 7 2 3 2 6" xfId="14847"/>
    <cellStyle name="Input 2 7 2 3 2 7" xfId="14848"/>
    <cellStyle name="Input 2 7 2 3 3" xfId="14849"/>
    <cellStyle name="Input 2 7 2 3 3 2" xfId="14850"/>
    <cellStyle name="Input 2 7 2 3 3 2 2" xfId="14851"/>
    <cellStyle name="Input 2 7 2 3 3 2 3" xfId="14852"/>
    <cellStyle name="Input 2 7 2 3 3 2 4" xfId="14853"/>
    <cellStyle name="Input 2 7 2 3 3 3" xfId="14854"/>
    <cellStyle name="Input 2 7 2 3 3 3 2" xfId="14855"/>
    <cellStyle name="Input 2 7 2 3 3 3 3" xfId="14856"/>
    <cellStyle name="Input 2 7 2 3 3 3 4" xfId="14857"/>
    <cellStyle name="Input 2 7 2 3 3 4" xfId="14858"/>
    <cellStyle name="Input 2 7 2 3 3 4 2" xfId="14859"/>
    <cellStyle name="Input 2 7 2 3 3 4 3" xfId="14860"/>
    <cellStyle name="Input 2 7 2 3 3 4 4" xfId="14861"/>
    <cellStyle name="Input 2 7 2 3 3 5" xfId="14862"/>
    <cellStyle name="Input 2 7 2 3 3 6" xfId="14863"/>
    <cellStyle name="Input 2 7 2 3 3 7" xfId="14864"/>
    <cellStyle name="Input 2 7 2 3 4" xfId="14865"/>
    <cellStyle name="Input 2 7 2 3 4 2" xfId="14866"/>
    <cellStyle name="Input 2 7 2 3 4 2 2" xfId="14867"/>
    <cellStyle name="Input 2 7 2 3 4 2 3" xfId="14868"/>
    <cellStyle name="Input 2 7 2 3 4 2 4" xfId="14869"/>
    <cellStyle name="Input 2 7 2 3 4 3" xfId="14870"/>
    <cellStyle name="Input 2 7 2 3 4 3 2" xfId="14871"/>
    <cellStyle name="Input 2 7 2 3 4 3 3" xfId="14872"/>
    <cellStyle name="Input 2 7 2 3 4 3 4" xfId="14873"/>
    <cellStyle name="Input 2 7 2 3 4 4" xfId="14874"/>
    <cellStyle name="Input 2 7 2 3 4 4 2" xfId="14875"/>
    <cellStyle name="Input 2 7 2 3 4 4 3" xfId="14876"/>
    <cellStyle name="Input 2 7 2 3 4 4 4" xfId="14877"/>
    <cellStyle name="Input 2 7 2 3 4 5" xfId="14878"/>
    <cellStyle name="Input 2 7 2 3 4 6" xfId="14879"/>
    <cellStyle name="Input 2 7 2 3 4 7" xfId="14880"/>
    <cellStyle name="Input 2 7 2 3 5" xfId="14881"/>
    <cellStyle name="Input 2 7 2 3 5 2" xfId="14882"/>
    <cellStyle name="Input 2 7 2 3 5 2 2" xfId="14883"/>
    <cellStyle name="Input 2 7 2 3 5 2 3" xfId="14884"/>
    <cellStyle name="Input 2 7 2 3 5 2 4" xfId="14885"/>
    <cellStyle name="Input 2 7 2 3 5 3" xfId="14886"/>
    <cellStyle name="Input 2 7 2 3 5 3 2" xfId="14887"/>
    <cellStyle name="Input 2 7 2 3 5 3 3" xfId="14888"/>
    <cellStyle name="Input 2 7 2 3 5 3 4" xfId="14889"/>
    <cellStyle name="Input 2 7 2 3 5 4" xfId="14890"/>
    <cellStyle name="Input 2 7 2 3 5 4 2" xfId="14891"/>
    <cellStyle name="Input 2 7 2 3 5 4 3" xfId="14892"/>
    <cellStyle name="Input 2 7 2 3 5 4 4" xfId="14893"/>
    <cellStyle name="Input 2 7 2 3 5 5" xfId="14894"/>
    <cellStyle name="Input 2 7 2 3 5 6" xfId="14895"/>
    <cellStyle name="Input 2 7 2 3 5 7" xfId="14896"/>
    <cellStyle name="Input 2 7 2 3 6" xfId="14897"/>
    <cellStyle name="Input 2 7 2 3 6 2" xfId="14898"/>
    <cellStyle name="Input 2 7 2 3 6 2 2" xfId="14899"/>
    <cellStyle name="Input 2 7 2 3 6 2 3" xfId="14900"/>
    <cellStyle name="Input 2 7 2 3 6 2 4" xfId="14901"/>
    <cellStyle name="Input 2 7 2 3 6 3" xfId="14902"/>
    <cellStyle name="Input 2 7 2 3 6 3 2" xfId="14903"/>
    <cellStyle name="Input 2 7 2 3 6 3 3" xfId="14904"/>
    <cellStyle name="Input 2 7 2 3 6 3 4" xfId="14905"/>
    <cellStyle name="Input 2 7 2 3 6 4" xfId="14906"/>
    <cellStyle name="Input 2 7 2 3 6 4 2" xfId="14907"/>
    <cellStyle name="Input 2 7 2 3 6 4 3" xfId="14908"/>
    <cellStyle name="Input 2 7 2 3 6 4 4" xfId="14909"/>
    <cellStyle name="Input 2 7 2 3 6 5" xfId="14910"/>
    <cellStyle name="Input 2 7 2 3 6 6" xfId="14911"/>
    <cellStyle name="Input 2 7 2 3 6 7" xfId="14912"/>
    <cellStyle name="Input 2 7 2 3 7" xfId="14913"/>
    <cellStyle name="Input 2 7 2 3 7 2" xfId="14914"/>
    <cellStyle name="Input 2 7 2 3 7 3" xfId="14915"/>
    <cellStyle name="Input 2 7 2 3 7 4" xfId="14916"/>
    <cellStyle name="Input 2 7 2 3 8" xfId="14917"/>
    <cellStyle name="Input 2 7 2 3 8 2" xfId="14918"/>
    <cellStyle name="Input 2 7 2 3 8 3" xfId="14919"/>
    <cellStyle name="Input 2 7 2 3 8 4" xfId="14920"/>
    <cellStyle name="Input 2 7 2 3 9" xfId="14921"/>
    <cellStyle name="Input 2 7 2 3 9 2" xfId="14922"/>
    <cellStyle name="Input 2 7 2 3 9 3" xfId="14923"/>
    <cellStyle name="Input 2 7 2 3 9 4" xfId="14924"/>
    <cellStyle name="Input 2 7 2 4" xfId="826"/>
    <cellStyle name="Input 2 7 2 4 10" xfId="14925"/>
    <cellStyle name="Input 2 7 2 4 11" xfId="14926"/>
    <cellStyle name="Input 2 7 2 4 12" xfId="14927"/>
    <cellStyle name="Input 2 7 2 4 2" xfId="14928"/>
    <cellStyle name="Input 2 7 2 4 2 2" xfId="14929"/>
    <cellStyle name="Input 2 7 2 4 2 2 2" xfId="14930"/>
    <cellStyle name="Input 2 7 2 4 2 2 3" xfId="14931"/>
    <cellStyle name="Input 2 7 2 4 2 2 4" xfId="14932"/>
    <cellStyle name="Input 2 7 2 4 2 3" xfId="14933"/>
    <cellStyle name="Input 2 7 2 4 2 3 2" xfId="14934"/>
    <cellStyle name="Input 2 7 2 4 2 3 3" xfId="14935"/>
    <cellStyle name="Input 2 7 2 4 2 3 4" xfId="14936"/>
    <cellStyle name="Input 2 7 2 4 2 4" xfId="14937"/>
    <cellStyle name="Input 2 7 2 4 2 4 2" xfId="14938"/>
    <cellStyle name="Input 2 7 2 4 2 4 3" xfId="14939"/>
    <cellStyle name="Input 2 7 2 4 2 4 4" xfId="14940"/>
    <cellStyle name="Input 2 7 2 4 2 5" xfId="14941"/>
    <cellStyle name="Input 2 7 2 4 2 6" xfId="14942"/>
    <cellStyle name="Input 2 7 2 4 2 7" xfId="14943"/>
    <cellStyle name="Input 2 7 2 4 3" xfId="14944"/>
    <cellStyle name="Input 2 7 2 4 3 2" xfId="14945"/>
    <cellStyle name="Input 2 7 2 4 3 2 2" xfId="14946"/>
    <cellStyle name="Input 2 7 2 4 3 2 3" xfId="14947"/>
    <cellStyle name="Input 2 7 2 4 3 2 4" xfId="14948"/>
    <cellStyle name="Input 2 7 2 4 3 3" xfId="14949"/>
    <cellStyle name="Input 2 7 2 4 3 3 2" xfId="14950"/>
    <cellStyle name="Input 2 7 2 4 3 3 3" xfId="14951"/>
    <cellStyle name="Input 2 7 2 4 3 3 4" xfId="14952"/>
    <cellStyle name="Input 2 7 2 4 3 4" xfId="14953"/>
    <cellStyle name="Input 2 7 2 4 3 4 2" xfId="14954"/>
    <cellStyle name="Input 2 7 2 4 3 4 3" xfId="14955"/>
    <cellStyle name="Input 2 7 2 4 3 4 4" xfId="14956"/>
    <cellStyle name="Input 2 7 2 4 3 5" xfId="14957"/>
    <cellStyle name="Input 2 7 2 4 3 6" xfId="14958"/>
    <cellStyle name="Input 2 7 2 4 3 7" xfId="14959"/>
    <cellStyle name="Input 2 7 2 4 4" xfId="14960"/>
    <cellStyle name="Input 2 7 2 4 4 2" xfId="14961"/>
    <cellStyle name="Input 2 7 2 4 4 2 2" xfId="14962"/>
    <cellStyle name="Input 2 7 2 4 4 2 3" xfId="14963"/>
    <cellStyle name="Input 2 7 2 4 4 2 4" xfId="14964"/>
    <cellStyle name="Input 2 7 2 4 4 3" xfId="14965"/>
    <cellStyle name="Input 2 7 2 4 4 3 2" xfId="14966"/>
    <cellStyle name="Input 2 7 2 4 4 3 3" xfId="14967"/>
    <cellStyle name="Input 2 7 2 4 4 3 4" xfId="14968"/>
    <cellStyle name="Input 2 7 2 4 4 4" xfId="14969"/>
    <cellStyle name="Input 2 7 2 4 4 4 2" xfId="14970"/>
    <cellStyle name="Input 2 7 2 4 4 4 3" xfId="14971"/>
    <cellStyle name="Input 2 7 2 4 4 4 4" xfId="14972"/>
    <cellStyle name="Input 2 7 2 4 4 5" xfId="14973"/>
    <cellStyle name="Input 2 7 2 4 4 6" xfId="14974"/>
    <cellStyle name="Input 2 7 2 4 4 7" xfId="14975"/>
    <cellStyle name="Input 2 7 2 4 5" xfId="14976"/>
    <cellStyle name="Input 2 7 2 4 5 2" xfId="14977"/>
    <cellStyle name="Input 2 7 2 4 5 2 2" xfId="14978"/>
    <cellStyle name="Input 2 7 2 4 5 2 3" xfId="14979"/>
    <cellStyle name="Input 2 7 2 4 5 2 4" xfId="14980"/>
    <cellStyle name="Input 2 7 2 4 5 3" xfId="14981"/>
    <cellStyle name="Input 2 7 2 4 5 3 2" xfId="14982"/>
    <cellStyle name="Input 2 7 2 4 5 3 3" xfId="14983"/>
    <cellStyle name="Input 2 7 2 4 5 3 4" xfId="14984"/>
    <cellStyle name="Input 2 7 2 4 5 4" xfId="14985"/>
    <cellStyle name="Input 2 7 2 4 5 4 2" xfId="14986"/>
    <cellStyle name="Input 2 7 2 4 5 4 3" xfId="14987"/>
    <cellStyle name="Input 2 7 2 4 5 4 4" xfId="14988"/>
    <cellStyle name="Input 2 7 2 4 5 5" xfId="14989"/>
    <cellStyle name="Input 2 7 2 4 5 6" xfId="14990"/>
    <cellStyle name="Input 2 7 2 4 5 7" xfId="14991"/>
    <cellStyle name="Input 2 7 2 4 6" xfId="14992"/>
    <cellStyle name="Input 2 7 2 4 6 2" xfId="14993"/>
    <cellStyle name="Input 2 7 2 4 6 2 2" xfId="14994"/>
    <cellStyle name="Input 2 7 2 4 6 2 3" xfId="14995"/>
    <cellStyle name="Input 2 7 2 4 6 2 4" xfId="14996"/>
    <cellStyle name="Input 2 7 2 4 6 3" xfId="14997"/>
    <cellStyle name="Input 2 7 2 4 6 3 2" xfId="14998"/>
    <cellStyle name="Input 2 7 2 4 6 3 3" xfId="14999"/>
    <cellStyle name="Input 2 7 2 4 6 3 4" xfId="15000"/>
    <cellStyle name="Input 2 7 2 4 6 4" xfId="15001"/>
    <cellStyle name="Input 2 7 2 4 6 4 2" xfId="15002"/>
    <cellStyle name="Input 2 7 2 4 6 4 3" xfId="15003"/>
    <cellStyle name="Input 2 7 2 4 6 4 4" xfId="15004"/>
    <cellStyle name="Input 2 7 2 4 6 5" xfId="15005"/>
    <cellStyle name="Input 2 7 2 4 6 6" xfId="15006"/>
    <cellStyle name="Input 2 7 2 4 6 7" xfId="15007"/>
    <cellStyle name="Input 2 7 2 4 7" xfId="15008"/>
    <cellStyle name="Input 2 7 2 4 7 2" xfId="15009"/>
    <cellStyle name="Input 2 7 2 4 7 3" xfId="15010"/>
    <cellStyle name="Input 2 7 2 4 7 4" xfId="15011"/>
    <cellStyle name="Input 2 7 2 4 8" xfId="15012"/>
    <cellStyle name="Input 2 7 2 4 8 2" xfId="15013"/>
    <cellStyle name="Input 2 7 2 4 8 3" xfId="15014"/>
    <cellStyle name="Input 2 7 2 4 8 4" xfId="15015"/>
    <cellStyle name="Input 2 7 2 4 9" xfId="15016"/>
    <cellStyle name="Input 2 7 2 4 9 2" xfId="15017"/>
    <cellStyle name="Input 2 7 2 4 9 3" xfId="15018"/>
    <cellStyle name="Input 2 7 2 4 9 4" xfId="15019"/>
    <cellStyle name="Input 2 7 2 5" xfId="15020"/>
    <cellStyle name="Input 2 7 2 5 10" xfId="15021"/>
    <cellStyle name="Input 2 7 2 5 11" xfId="15022"/>
    <cellStyle name="Input 2 7 2 5 12" xfId="15023"/>
    <cellStyle name="Input 2 7 2 5 2" xfId="15024"/>
    <cellStyle name="Input 2 7 2 5 2 2" xfId="15025"/>
    <cellStyle name="Input 2 7 2 5 2 2 2" xfId="15026"/>
    <cellStyle name="Input 2 7 2 5 2 2 3" xfId="15027"/>
    <cellStyle name="Input 2 7 2 5 2 2 4" xfId="15028"/>
    <cellStyle name="Input 2 7 2 5 2 3" xfId="15029"/>
    <cellStyle name="Input 2 7 2 5 2 3 2" xfId="15030"/>
    <cellStyle name="Input 2 7 2 5 2 3 3" xfId="15031"/>
    <cellStyle name="Input 2 7 2 5 2 3 4" xfId="15032"/>
    <cellStyle name="Input 2 7 2 5 2 4" xfId="15033"/>
    <cellStyle name="Input 2 7 2 5 2 4 2" xfId="15034"/>
    <cellStyle name="Input 2 7 2 5 2 4 3" xfId="15035"/>
    <cellStyle name="Input 2 7 2 5 2 4 4" xfId="15036"/>
    <cellStyle name="Input 2 7 2 5 2 5" xfId="15037"/>
    <cellStyle name="Input 2 7 2 5 2 6" xfId="15038"/>
    <cellStyle name="Input 2 7 2 5 2 7" xfId="15039"/>
    <cellStyle name="Input 2 7 2 5 3" xfId="15040"/>
    <cellStyle name="Input 2 7 2 5 3 2" xfId="15041"/>
    <cellStyle name="Input 2 7 2 5 3 2 2" xfId="15042"/>
    <cellStyle name="Input 2 7 2 5 3 2 3" xfId="15043"/>
    <cellStyle name="Input 2 7 2 5 3 2 4" xfId="15044"/>
    <cellStyle name="Input 2 7 2 5 3 3" xfId="15045"/>
    <cellStyle name="Input 2 7 2 5 3 3 2" xfId="15046"/>
    <cellStyle name="Input 2 7 2 5 3 3 3" xfId="15047"/>
    <cellStyle name="Input 2 7 2 5 3 3 4" xfId="15048"/>
    <cellStyle name="Input 2 7 2 5 3 4" xfId="15049"/>
    <cellStyle name="Input 2 7 2 5 3 4 2" xfId="15050"/>
    <cellStyle name="Input 2 7 2 5 3 4 3" xfId="15051"/>
    <cellStyle name="Input 2 7 2 5 3 4 4" xfId="15052"/>
    <cellStyle name="Input 2 7 2 5 3 5" xfId="15053"/>
    <cellStyle name="Input 2 7 2 5 3 6" xfId="15054"/>
    <cellStyle name="Input 2 7 2 5 3 7" xfId="15055"/>
    <cellStyle name="Input 2 7 2 5 4" xfId="15056"/>
    <cellStyle name="Input 2 7 2 5 4 2" xfId="15057"/>
    <cellStyle name="Input 2 7 2 5 4 2 2" xfId="15058"/>
    <cellStyle name="Input 2 7 2 5 4 2 3" xfId="15059"/>
    <cellStyle name="Input 2 7 2 5 4 2 4" xfId="15060"/>
    <cellStyle name="Input 2 7 2 5 4 3" xfId="15061"/>
    <cellStyle name="Input 2 7 2 5 4 3 2" xfId="15062"/>
    <cellStyle name="Input 2 7 2 5 4 3 3" xfId="15063"/>
    <cellStyle name="Input 2 7 2 5 4 3 4" xfId="15064"/>
    <cellStyle name="Input 2 7 2 5 4 4" xfId="15065"/>
    <cellStyle name="Input 2 7 2 5 4 4 2" xfId="15066"/>
    <cellStyle name="Input 2 7 2 5 4 4 3" xfId="15067"/>
    <cellStyle name="Input 2 7 2 5 4 4 4" xfId="15068"/>
    <cellStyle name="Input 2 7 2 5 4 5" xfId="15069"/>
    <cellStyle name="Input 2 7 2 5 4 6" xfId="15070"/>
    <cellStyle name="Input 2 7 2 5 4 7" xfId="15071"/>
    <cellStyle name="Input 2 7 2 5 5" xfId="15072"/>
    <cellStyle name="Input 2 7 2 5 5 2" xfId="15073"/>
    <cellStyle name="Input 2 7 2 5 5 2 2" xfId="15074"/>
    <cellStyle name="Input 2 7 2 5 5 2 3" xfId="15075"/>
    <cellStyle name="Input 2 7 2 5 5 2 4" xfId="15076"/>
    <cellStyle name="Input 2 7 2 5 5 3" xfId="15077"/>
    <cellStyle name="Input 2 7 2 5 5 3 2" xfId="15078"/>
    <cellStyle name="Input 2 7 2 5 5 3 3" xfId="15079"/>
    <cellStyle name="Input 2 7 2 5 5 3 4" xfId="15080"/>
    <cellStyle name="Input 2 7 2 5 5 4" xfId="15081"/>
    <cellStyle name="Input 2 7 2 5 5 4 2" xfId="15082"/>
    <cellStyle name="Input 2 7 2 5 5 4 3" xfId="15083"/>
    <cellStyle name="Input 2 7 2 5 5 4 4" xfId="15084"/>
    <cellStyle name="Input 2 7 2 5 5 5" xfId="15085"/>
    <cellStyle name="Input 2 7 2 5 5 6" xfId="15086"/>
    <cellStyle name="Input 2 7 2 5 5 7" xfId="15087"/>
    <cellStyle name="Input 2 7 2 5 6" xfId="15088"/>
    <cellStyle name="Input 2 7 2 5 6 2" xfId="15089"/>
    <cellStyle name="Input 2 7 2 5 6 2 2" xfId="15090"/>
    <cellStyle name="Input 2 7 2 5 6 2 3" xfId="15091"/>
    <cellStyle name="Input 2 7 2 5 6 2 4" xfId="15092"/>
    <cellStyle name="Input 2 7 2 5 6 3" xfId="15093"/>
    <cellStyle name="Input 2 7 2 5 6 3 2" xfId="15094"/>
    <cellStyle name="Input 2 7 2 5 6 3 3" xfId="15095"/>
    <cellStyle name="Input 2 7 2 5 6 3 4" xfId="15096"/>
    <cellStyle name="Input 2 7 2 5 6 4" xfId="15097"/>
    <cellStyle name="Input 2 7 2 5 6 4 2" xfId="15098"/>
    <cellStyle name="Input 2 7 2 5 6 4 3" xfId="15099"/>
    <cellStyle name="Input 2 7 2 5 6 4 4" xfId="15100"/>
    <cellStyle name="Input 2 7 2 5 6 5" xfId="15101"/>
    <cellStyle name="Input 2 7 2 5 6 6" xfId="15102"/>
    <cellStyle name="Input 2 7 2 5 6 7" xfId="15103"/>
    <cellStyle name="Input 2 7 2 5 7" xfId="15104"/>
    <cellStyle name="Input 2 7 2 5 7 2" xfId="15105"/>
    <cellStyle name="Input 2 7 2 5 7 3" xfId="15106"/>
    <cellStyle name="Input 2 7 2 5 7 4" xfId="15107"/>
    <cellStyle name="Input 2 7 2 5 8" xfId="15108"/>
    <cellStyle name="Input 2 7 2 5 8 2" xfId="15109"/>
    <cellStyle name="Input 2 7 2 5 8 3" xfId="15110"/>
    <cellStyle name="Input 2 7 2 5 8 4" xfId="15111"/>
    <cellStyle name="Input 2 7 2 5 9" xfId="15112"/>
    <cellStyle name="Input 2 7 2 5 9 2" xfId="15113"/>
    <cellStyle name="Input 2 7 2 5 9 3" xfId="15114"/>
    <cellStyle name="Input 2 7 2 5 9 4" xfId="15115"/>
    <cellStyle name="Input 2 7 2 6" xfId="15116"/>
    <cellStyle name="Input 2 7 2 6 2" xfId="15117"/>
    <cellStyle name="Input 2 7 2 6 2 2" xfId="15118"/>
    <cellStyle name="Input 2 7 2 6 2 3" xfId="15119"/>
    <cellStyle name="Input 2 7 2 6 2 4" xfId="15120"/>
    <cellStyle name="Input 2 7 2 6 3" xfId="15121"/>
    <cellStyle name="Input 2 7 2 6 3 2" xfId="15122"/>
    <cellStyle name="Input 2 7 2 6 3 3" xfId="15123"/>
    <cellStyle name="Input 2 7 2 6 3 4" xfId="15124"/>
    <cellStyle name="Input 2 7 2 6 4" xfId="15125"/>
    <cellStyle name="Input 2 7 2 6 4 2" xfId="15126"/>
    <cellStyle name="Input 2 7 2 6 4 3" xfId="15127"/>
    <cellStyle name="Input 2 7 2 6 4 4" xfId="15128"/>
    <cellStyle name="Input 2 7 2 6 5" xfId="15129"/>
    <cellStyle name="Input 2 7 2 6 6" xfId="15130"/>
    <cellStyle name="Input 2 7 2 6 7" xfId="15131"/>
    <cellStyle name="Input 2 7 2 7" xfId="15132"/>
    <cellStyle name="Input 2 7 2 7 2" xfId="15133"/>
    <cellStyle name="Input 2 7 2 7 2 2" xfId="15134"/>
    <cellStyle name="Input 2 7 2 7 2 3" xfId="15135"/>
    <cellStyle name="Input 2 7 2 7 2 4" xfId="15136"/>
    <cellStyle name="Input 2 7 2 7 3" xfId="15137"/>
    <cellStyle name="Input 2 7 2 7 3 2" xfId="15138"/>
    <cellStyle name="Input 2 7 2 7 3 3" xfId="15139"/>
    <cellStyle name="Input 2 7 2 7 3 4" xfId="15140"/>
    <cellStyle name="Input 2 7 2 7 4" xfId="15141"/>
    <cellStyle name="Input 2 7 2 7 4 2" xfId="15142"/>
    <cellStyle name="Input 2 7 2 7 4 3" xfId="15143"/>
    <cellStyle name="Input 2 7 2 7 4 4" xfId="15144"/>
    <cellStyle name="Input 2 7 2 7 5" xfId="15145"/>
    <cellStyle name="Input 2 7 2 7 6" xfId="15146"/>
    <cellStyle name="Input 2 7 2 7 7" xfId="15147"/>
    <cellStyle name="Input 2 7 2 8" xfId="15148"/>
    <cellStyle name="Input 2 7 2 8 2" xfId="15149"/>
    <cellStyle name="Input 2 7 2 8 2 2" xfId="15150"/>
    <cellStyle name="Input 2 7 2 8 2 3" xfId="15151"/>
    <cellStyle name="Input 2 7 2 8 2 4" xfId="15152"/>
    <cellStyle name="Input 2 7 2 8 3" xfId="15153"/>
    <cellStyle name="Input 2 7 2 8 3 2" xfId="15154"/>
    <cellStyle name="Input 2 7 2 8 3 3" xfId="15155"/>
    <cellStyle name="Input 2 7 2 8 3 4" xfId="15156"/>
    <cellStyle name="Input 2 7 2 8 4" xfId="15157"/>
    <cellStyle name="Input 2 7 2 8 4 2" xfId="15158"/>
    <cellStyle name="Input 2 7 2 8 4 3" xfId="15159"/>
    <cellStyle name="Input 2 7 2 8 4 4" xfId="15160"/>
    <cellStyle name="Input 2 7 2 8 5" xfId="15161"/>
    <cellStyle name="Input 2 7 2 8 6" xfId="15162"/>
    <cellStyle name="Input 2 7 2 8 7" xfId="15163"/>
    <cellStyle name="Input 2 7 2 9" xfId="15164"/>
    <cellStyle name="Input 2 7 2 9 2" xfId="15165"/>
    <cellStyle name="Input 2 7 2 9 2 2" xfId="15166"/>
    <cellStyle name="Input 2 7 2 9 2 3" xfId="15167"/>
    <cellStyle name="Input 2 7 2 9 2 4" xfId="15168"/>
    <cellStyle name="Input 2 7 2 9 3" xfId="15169"/>
    <cellStyle name="Input 2 7 2 9 3 2" xfId="15170"/>
    <cellStyle name="Input 2 7 2 9 3 3" xfId="15171"/>
    <cellStyle name="Input 2 7 2 9 3 4" xfId="15172"/>
    <cellStyle name="Input 2 7 2 9 4" xfId="15173"/>
    <cellStyle name="Input 2 7 2 9 4 2" xfId="15174"/>
    <cellStyle name="Input 2 7 2 9 4 3" xfId="15175"/>
    <cellStyle name="Input 2 7 2 9 4 4" xfId="15176"/>
    <cellStyle name="Input 2 7 2 9 5" xfId="15177"/>
    <cellStyle name="Input 2 7 2 9 6" xfId="15178"/>
    <cellStyle name="Input 2 7 2 9 7" xfId="15179"/>
    <cellStyle name="Input 2 7 3" xfId="1066"/>
    <cellStyle name="Input 2 7 3 10" xfId="15180"/>
    <cellStyle name="Input 2 7 3 11" xfId="15181"/>
    <cellStyle name="Input 2 7 3 12" xfId="15182"/>
    <cellStyle name="Input 2 7 3 2" xfId="15183"/>
    <cellStyle name="Input 2 7 3 2 2" xfId="15184"/>
    <cellStyle name="Input 2 7 3 2 2 2" xfId="15185"/>
    <cellStyle name="Input 2 7 3 2 2 3" xfId="15186"/>
    <cellStyle name="Input 2 7 3 2 2 4" xfId="15187"/>
    <cellStyle name="Input 2 7 3 2 3" xfId="15188"/>
    <cellStyle name="Input 2 7 3 2 3 2" xfId="15189"/>
    <cellStyle name="Input 2 7 3 2 3 3" xfId="15190"/>
    <cellStyle name="Input 2 7 3 2 3 4" xfId="15191"/>
    <cellStyle name="Input 2 7 3 2 4" xfId="15192"/>
    <cellStyle name="Input 2 7 3 2 4 2" xfId="15193"/>
    <cellStyle name="Input 2 7 3 2 4 3" xfId="15194"/>
    <cellStyle name="Input 2 7 3 2 4 4" xfId="15195"/>
    <cellStyle name="Input 2 7 3 2 5" xfId="15196"/>
    <cellStyle name="Input 2 7 3 2 6" xfId="15197"/>
    <cellStyle name="Input 2 7 3 2 7" xfId="15198"/>
    <cellStyle name="Input 2 7 3 3" xfId="15199"/>
    <cellStyle name="Input 2 7 3 3 2" xfId="15200"/>
    <cellStyle name="Input 2 7 3 3 2 2" xfId="15201"/>
    <cellStyle name="Input 2 7 3 3 2 3" xfId="15202"/>
    <cellStyle name="Input 2 7 3 3 2 4" xfId="15203"/>
    <cellStyle name="Input 2 7 3 3 3" xfId="15204"/>
    <cellStyle name="Input 2 7 3 3 3 2" xfId="15205"/>
    <cellStyle name="Input 2 7 3 3 3 3" xfId="15206"/>
    <cellStyle name="Input 2 7 3 3 3 4" xfId="15207"/>
    <cellStyle name="Input 2 7 3 3 4" xfId="15208"/>
    <cellStyle name="Input 2 7 3 3 4 2" xfId="15209"/>
    <cellStyle name="Input 2 7 3 3 4 3" xfId="15210"/>
    <cellStyle name="Input 2 7 3 3 4 4" xfId="15211"/>
    <cellStyle name="Input 2 7 3 3 5" xfId="15212"/>
    <cellStyle name="Input 2 7 3 3 6" xfId="15213"/>
    <cellStyle name="Input 2 7 3 3 7" xfId="15214"/>
    <cellStyle name="Input 2 7 3 4" xfId="15215"/>
    <cellStyle name="Input 2 7 3 4 2" xfId="15216"/>
    <cellStyle name="Input 2 7 3 4 2 2" xfId="15217"/>
    <cellStyle name="Input 2 7 3 4 2 3" xfId="15218"/>
    <cellStyle name="Input 2 7 3 4 2 4" xfId="15219"/>
    <cellStyle name="Input 2 7 3 4 3" xfId="15220"/>
    <cellStyle name="Input 2 7 3 4 3 2" xfId="15221"/>
    <cellStyle name="Input 2 7 3 4 3 3" xfId="15222"/>
    <cellStyle name="Input 2 7 3 4 3 4" xfId="15223"/>
    <cellStyle name="Input 2 7 3 4 4" xfId="15224"/>
    <cellStyle name="Input 2 7 3 4 4 2" xfId="15225"/>
    <cellStyle name="Input 2 7 3 4 4 3" xfId="15226"/>
    <cellStyle name="Input 2 7 3 4 4 4" xfId="15227"/>
    <cellStyle name="Input 2 7 3 4 5" xfId="15228"/>
    <cellStyle name="Input 2 7 3 4 6" xfId="15229"/>
    <cellStyle name="Input 2 7 3 4 7" xfId="15230"/>
    <cellStyle name="Input 2 7 3 5" xfId="15231"/>
    <cellStyle name="Input 2 7 3 5 2" xfId="15232"/>
    <cellStyle name="Input 2 7 3 5 2 2" xfId="15233"/>
    <cellStyle name="Input 2 7 3 5 2 3" xfId="15234"/>
    <cellStyle name="Input 2 7 3 5 2 4" xfId="15235"/>
    <cellStyle name="Input 2 7 3 5 3" xfId="15236"/>
    <cellStyle name="Input 2 7 3 5 3 2" xfId="15237"/>
    <cellStyle name="Input 2 7 3 5 3 3" xfId="15238"/>
    <cellStyle name="Input 2 7 3 5 3 4" xfId="15239"/>
    <cellStyle name="Input 2 7 3 5 4" xfId="15240"/>
    <cellStyle name="Input 2 7 3 5 4 2" xfId="15241"/>
    <cellStyle name="Input 2 7 3 5 4 3" xfId="15242"/>
    <cellStyle name="Input 2 7 3 5 4 4" xfId="15243"/>
    <cellStyle name="Input 2 7 3 5 5" xfId="15244"/>
    <cellStyle name="Input 2 7 3 5 6" xfId="15245"/>
    <cellStyle name="Input 2 7 3 5 7" xfId="15246"/>
    <cellStyle name="Input 2 7 3 6" xfId="15247"/>
    <cellStyle name="Input 2 7 3 6 2" xfId="15248"/>
    <cellStyle name="Input 2 7 3 6 2 2" xfId="15249"/>
    <cellStyle name="Input 2 7 3 6 2 3" xfId="15250"/>
    <cellStyle name="Input 2 7 3 6 2 4" xfId="15251"/>
    <cellStyle name="Input 2 7 3 6 3" xfId="15252"/>
    <cellStyle name="Input 2 7 3 6 3 2" xfId="15253"/>
    <cellStyle name="Input 2 7 3 6 3 3" xfId="15254"/>
    <cellStyle name="Input 2 7 3 6 3 4" xfId="15255"/>
    <cellStyle name="Input 2 7 3 6 4" xfId="15256"/>
    <cellStyle name="Input 2 7 3 6 4 2" xfId="15257"/>
    <cellStyle name="Input 2 7 3 6 4 3" xfId="15258"/>
    <cellStyle name="Input 2 7 3 6 4 4" xfId="15259"/>
    <cellStyle name="Input 2 7 3 6 5" xfId="15260"/>
    <cellStyle name="Input 2 7 3 6 6" xfId="15261"/>
    <cellStyle name="Input 2 7 3 6 7" xfId="15262"/>
    <cellStyle name="Input 2 7 3 7" xfId="15263"/>
    <cellStyle name="Input 2 7 3 7 2" xfId="15264"/>
    <cellStyle name="Input 2 7 3 7 3" xfId="15265"/>
    <cellStyle name="Input 2 7 3 7 4" xfId="15266"/>
    <cellStyle name="Input 2 7 3 8" xfId="15267"/>
    <cellStyle name="Input 2 7 3 8 2" xfId="15268"/>
    <cellStyle name="Input 2 7 3 8 3" xfId="15269"/>
    <cellStyle name="Input 2 7 3 8 4" xfId="15270"/>
    <cellStyle name="Input 2 7 3 9" xfId="15271"/>
    <cellStyle name="Input 2 7 3 9 2" xfId="15272"/>
    <cellStyle name="Input 2 7 3 9 3" xfId="15273"/>
    <cellStyle name="Input 2 7 3 9 4" xfId="15274"/>
    <cellStyle name="Input 2 7 4" xfId="3133"/>
    <cellStyle name="Input 2 7 5" xfId="1038"/>
    <cellStyle name="Input 2 7 6" xfId="3173"/>
    <cellStyle name="Input 2 7 7" xfId="3202"/>
    <cellStyle name="Input 2 8" xfId="102"/>
    <cellStyle name="Input 2 8 2" xfId="578"/>
    <cellStyle name="Input 2 8 2 10" xfId="15275"/>
    <cellStyle name="Input 2 8 2 10 2" xfId="15276"/>
    <cellStyle name="Input 2 8 2 10 2 2" xfId="15277"/>
    <cellStyle name="Input 2 8 2 10 2 3" xfId="15278"/>
    <cellStyle name="Input 2 8 2 10 2 4" xfId="15279"/>
    <cellStyle name="Input 2 8 2 10 3" xfId="15280"/>
    <cellStyle name="Input 2 8 2 10 3 2" xfId="15281"/>
    <cellStyle name="Input 2 8 2 10 3 3" xfId="15282"/>
    <cellStyle name="Input 2 8 2 10 3 4" xfId="15283"/>
    <cellStyle name="Input 2 8 2 10 4" xfId="15284"/>
    <cellStyle name="Input 2 8 2 10 4 2" xfId="15285"/>
    <cellStyle name="Input 2 8 2 10 4 3" xfId="15286"/>
    <cellStyle name="Input 2 8 2 10 4 4" xfId="15287"/>
    <cellStyle name="Input 2 8 2 10 5" xfId="15288"/>
    <cellStyle name="Input 2 8 2 10 6" xfId="15289"/>
    <cellStyle name="Input 2 8 2 10 7" xfId="15290"/>
    <cellStyle name="Input 2 8 2 11" xfId="15291"/>
    <cellStyle name="Input 2 8 2 11 2" xfId="15292"/>
    <cellStyle name="Input 2 8 2 11 2 2" xfId="15293"/>
    <cellStyle name="Input 2 8 2 11 2 3" xfId="15294"/>
    <cellStyle name="Input 2 8 2 11 2 4" xfId="15295"/>
    <cellStyle name="Input 2 8 2 11 3" xfId="15296"/>
    <cellStyle name="Input 2 8 2 11 3 2" xfId="15297"/>
    <cellStyle name="Input 2 8 2 11 3 3" xfId="15298"/>
    <cellStyle name="Input 2 8 2 11 3 4" xfId="15299"/>
    <cellStyle name="Input 2 8 2 11 4" xfId="15300"/>
    <cellStyle name="Input 2 8 2 11 4 2" xfId="15301"/>
    <cellStyle name="Input 2 8 2 11 4 3" xfId="15302"/>
    <cellStyle name="Input 2 8 2 11 4 4" xfId="15303"/>
    <cellStyle name="Input 2 8 2 11 5" xfId="15304"/>
    <cellStyle name="Input 2 8 2 11 6" xfId="15305"/>
    <cellStyle name="Input 2 8 2 11 7" xfId="15306"/>
    <cellStyle name="Input 2 8 2 12" xfId="15307"/>
    <cellStyle name="Input 2 8 2 12 2" xfId="15308"/>
    <cellStyle name="Input 2 8 2 12 2 2" xfId="15309"/>
    <cellStyle name="Input 2 8 2 12 2 3" xfId="15310"/>
    <cellStyle name="Input 2 8 2 12 2 4" xfId="15311"/>
    <cellStyle name="Input 2 8 2 12 3" xfId="15312"/>
    <cellStyle name="Input 2 8 2 12 3 2" xfId="15313"/>
    <cellStyle name="Input 2 8 2 12 3 3" xfId="15314"/>
    <cellStyle name="Input 2 8 2 12 3 4" xfId="15315"/>
    <cellStyle name="Input 2 8 2 12 4" xfId="15316"/>
    <cellStyle name="Input 2 8 2 12 4 2" xfId="15317"/>
    <cellStyle name="Input 2 8 2 12 4 3" xfId="15318"/>
    <cellStyle name="Input 2 8 2 12 4 4" xfId="15319"/>
    <cellStyle name="Input 2 8 2 12 5" xfId="15320"/>
    <cellStyle name="Input 2 8 2 12 6" xfId="15321"/>
    <cellStyle name="Input 2 8 2 12 7" xfId="15322"/>
    <cellStyle name="Input 2 8 2 13" xfId="15323"/>
    <cellStyle name="Input 2 8 2 13 2" xfId="15324"/>
    <cellStyle name="Input 2 8 2 13 2 2" xfId="15325"/>
    <cellStyle name="Input 2 8 2 13 2 3" xfId="15326"/>
    <cellStyle name="Input 2 8 2 13 2 4" xfId="15327"/>
    <cellStyle name="Input 2 8 2 13 3" xfId="15328"/>
    <cellStyle name="Input 2 8 2 13 3 2" xfId="15329"/>
    <cellStyle name="Input 2 8 2 13 3 3" xfId="15330"/>
    <cellStyle name="Input 2 8 2 13 3 4" xfId="15331"/>
    <cellStyle name="Input 2 8 2 13 4" xfId="15332"/>
    <cellStyle name="Input 2 8 2 13 4 2" xfId="15333"/>
    <cellStyle name="Input 2 8 2 13 4 3" xfId="15334"/>
    <cellStyle name="Input 2 8 2 13 4 4" xfId="15335"/>
    <cellStyle name="Input 2 8 2 13 5" xfId="15336"/>
    <cellStyle name="Input 2 8 2 13 6" xfId="15337"/>
    <cellStyle name="Input 2 8 2 13 7" xfId="15338"/>
    <cellStyle name="Input 2 8 2 14" xfId="15339"/>
    <cellStyle name="Input 2 8 2 14 2" xfId="15340"/>
    <cellStyle name="Input 2 8 2 14 3" xfId="15341"/>
    <cellStyle name="Input 2 8 2 14 4" xfId="15342"/>
    <cellStyle name="Input 2 8 2 15" xfId="15343"/>
    <cellStyle name="Input 2 8 2 15 2" xfId="15344"/>
    <cellStyle name="Input 2 8 2 15 3" xfId="15345"/>
    <cellStyle name="Input 2 8 2 15 4" xfId="15346"/>
    <cellStyle name="Input 2 8 2 16" xfId="15347"/>
    <cellStyle name="Input 2 8 2 16 2" xfId="15348"/>
    <cellStyle name="Input 2 8 2 16 3" xfId="15349"/>
    <cellStyle name="Input 2 8 2 16 4" xfId="15350"/>
    <cellStyle name="Input 2 8 2 17" xfId="15351"/>
    <cellStyle name="Input 2 8 2 18" xfId="15352"/>
    <cellStyle name="Input 2 8 2 19" xfId="15353"/>
    <cellStyle name="Input 2 8 2 2" xfId="859"/>
    <cellStyle name="Input 2 8 2 2 10" xfId="15354"/>
    <cellStyle name="Input 2 8 2 2 11" xfId="15355"/>
    <cellStyle name="Input 2 8 2 2 12" xfId="15356"/>
    <cellStyle name="Input 2 8 2 2 2" xfId="15357"/>
    <cellStyle name="Input 2 8 2 2 2 2" xfId="15358"/>
    <cellStyle name="Input 2 8 2 2 2 2 2" xfId="15359"/>
    <cellStyle name="Input 2 8 2 2 2 2 3" xfId="15360"/>
    <cellStyle name="Input 2 8 2 2 2 2 4" xfId="15361"/>
    <cellStyle name="Input 2 8 2 2 2 3" xfId="15362"/>
    <cellStyle name="Input 2 8 2 2 2 3 2" xfId="15363"/>
    <cellStyle name="Input 2 8 2 2 2 3 3" xfId="15364"/>
    <cellStyle name="Input 2 8 2 2 2 3 4" xfId="15365"/>
    <cellStyle name="Input 2 8 2 2 2 4" xfId="15366"/>
    <cellStyle name="Input 2 8 2 2 2 4 2" xfId="15367"/>
    <cellStyle name="Input 2 8 2 2 2 4 3" xfId="15368"/>
    <cellStyle name="Input 2 8 2 2 2 4 4" xfId="15369"/>
    <cellStyle name="Input 2 8 2 2 2 5" xfId="15370"/>
    <cellStyle name="Input 2 8 2 2 2 6" xfId="15371"/>
    <cellStyle name="Input 2 8 2 2 2 7" xfId="15372"/>
    <cellStyle name="Input 2 8 2 2 3" xfId="15373"/>
    <cellStyle name="Input 2 8 2 2 3 2" xfId="15374"/>
    <cellStyle name="Input 2 8 2 2 3 2 2" xfId="15375"/>
    <cellStyle name="Input 2 8 2 2 3 2 3" xfId="15376"/>
    <cellStyle name="Input 2 8 2 2 3 2 4" xfId="15377"/>
    <cellStyle name="Input 2 8 2 2 3 3" xfId="15378"/>
    <cellStyle name="Input 2 8 2 2 3 3 2" xfId="15379"/>
    <cellStyle name="Input 2 8 2 2 3 3 3" xfId="15380"/>
    <cellStyle name="Input 2 8 2 2 3 3 4" xfId="15381"/>
    <cellStyle name="Input 2 8 2 2 3 4" xfId="15382"/>
    <cellStyle name="Input 2 8 2 2 3 4 2" xfId="15383"/>
    <cellStyle name="Input 2 8 2 2 3 4 3" xfId="15384"/>
    <cellStyle name="Input 2 8 2 2 3 4 4" xfId="15385"/>
    <cellStyle name="Input 2 8 2 2 3 5" xfId="15386"/>
    <cellStyle name="Input 2 8 2 2 3 6" xfId="15387"/>
    <cellStyle name="Input 2 8 2 2 3 7" xfId="15388"/>
    <cellStyle name="Input 2 8 2 2 4" xfId="15389"/>
    <cellStyle name="Input 2 8 2 2 4 2" xfId="15390"/>
    <cellStyle name="Input 2 8 2 2 4 2 2" xfId="15391"/>
    <cellStyle name="Input 2 8 2 2 4 2 3" xfId="15392"/>
    <cellStyle name="Input 2 8 2 2 4 2 4" xfId="15393"/>
    <cellStyle name="Input 2 8 2 2 4 3" xfId="15394"/>
    <cellStyle name="Input 2 8 2 2 4 3 2" xfId="15395"/>
    <cellStyle name="Input 2 8 2 2 4 3 3" xfId="15396"/>
    <cellStyle name="Input 2 8 2 2 4 3 4" xfId="15397"/>
    <cellStyle name="Input 2 8 2 2 4 4" xfId="15398"/>
    <cellStyle name="Input 2 8 2 2 4 4 2" xfId="15399"/>
    <cellStyle name="Input 2 8 2 2 4 4 3" xfId="15400"/>
    <cellStyle name="Input 2 8 2 2 4 4 4" xfId="15401"/>
    <cellStyle name="Input 2 8 2 2 4 5" xfId="15402"/>
    <cellStyle name="Input 2 8 2 2 4 6" xfId="15403"/>
    <cellStyle name="Input 2 8 2 2 4 7" xfId="15404"/>
    <cellStyle name="Input 2 8 2 2 5" xfId="15405"/>
    <cellStyle name="Input 2 8 2 2 5 2" xfId="15406"/>
    <cellStyle name="Input 2 8 2 2 5 2 2" xfId="15407"/>
    <cellStyle name="Input 2 8 2 2 5 2 3" xfId="15408"/>
    <cellStyle name="Input 2 8 2 2 5 2 4" xfId="15409"/>
    <cellStyle name="Input 2 8 2 2 5 3" xfId="15410"/>
    <cellStyle name="Input 2 8 2 2 5 3 2" xfId="15411"/>
    <cellStyle name="Input 2 8 2 2 5 3 3" xfId="15412"/>
    <cellStyle name="Input 2 8 2 2 5 3 4" xfId="15413"/>
    <cellStyle name="Input 2 8 2 2 5 4" xfId="15414"/>
    <cellStyle name="Input 2 8 2 2 5 4 2" xfId="15415"/>
    <cellStyle name="Input 2 8 2 2 5 4 3" xfId="15416"/>
    <cellStyle name="Input 2 8 2 2 5 4 4" xfId="15417"/>
    <cellStyle name="Input 2 8 2 2 5 5" xfId="15418"/>
    <cellStyle name="Input 2 8 2 2 5 6" xfId="15419"/>
    <cellStyle name="Input 2 8 2 2 5 7" xfId="15420"/>
    <cellStyle name="Input 2 8 2 2 6" xfId="15421"/>
    <cellStyle name="Input 2 8 2 2 6 2" xfId="15422"/>
    <cellStyle name="Input 2 8 2 2 6 2 2" xfId="15423"/>
    <cellStyle name="Input 2 8 2 2 6 2 3" xfId="15424"/>
    <cellStyle name="Input 2 8 2 2 6 2 4" xfId="15425"/>
    <cellStyle name="Input 2 8 2 2 6 3" xfId="15426"/>
    <cellStyle name="Input 2 8 2 2 6 3 2" xfId="15427"/>
    <cellStyle name="Input 2 8 2 2 6 3 3" xfId="15428"/>
    <cellStyle name="Input 2 8 2 2 6 3 4" xfId="15429"/>
    <cellStyle name="Input 2 8 2 2 6 4" xfId="15430"/>
    <cellStyle name="Input 2 8 2 2 6 4 2" xfId="15431"/>
    <cellStyle name="Input 2 8 2 2 6 4 3" xfId="15432"/>
    <cellStyle name="Input 2 8 2 2 6 4 4" xfId="15433"/>
    <cellStyle name="Input 2 8 2 2 6 5" xfId="15434"/>
    <cellStyle name="Input 2 8 2 2 6 6" xfId="15435"/>
    <cellStyle name="Input 2 8 2 2 6 7" xfId="15436"/>
    <cellStyle name="Input 2 8 2 2 7" xfId="15437"/>
    <cellStyle name="Input 2 8 2 2 7 2" xfId="15438"/>
    <cellStyle name="Input 2 8 2 2 7 3" xfId="15439"/>
    <cellStyle name="Input 2 8 2 2 7 4" xfId="15440"/>
    <cellStyle name="Input 2 8 2 2 8" xfId="15441"/>
    <cellStyle name="Input 2 8 2 2 8 2" xfId="15442"/>
    <cellStyle name="Input 2 8 2 2 8 3" xfId="15443"/>
    <cellStyle name="Input 2 8 2 2 8 4" xfId="15444"/>
    <cellStyle name="Input 2 8 2 2 9" xfId="15445"/>
    <cellStyle name="Input 2 8 2 2 9 2" xfId="15446"/>
    <cellStyle name="Input 2 8 2 2 9 3" xfId="15447"/>
    <cellStyle name="Input 2 8 2 2 9 4" xfId="15448"/>
    <cellStyle name="Input 2 8 2 3" xfId="850"/>
    <cellStyle name="Input 2 8 2 3 10" xfId="15449"/>
    <cellStyle name="Input 2 8 2 3 11" xfId="15450"/>
    <cellStyle name="Input 2 8 2 3 12" xfId="15451"/>
    <cellStyle name="Input 2 8 2 3 2" xfId="15452"/>
    <cellStyle name="Input 2 8 2 3 2 2" xfId="15453"/>
    <cellStyle name="Input 2 8 2 3 2 2 2" xfId="15454"/>
    <cellStyle name="Input 2 8 2 3 2 2 3" xfId="15455"/>
    <cellStyle name="Input 2 8 2 3 2 2 4" xfId="15456"/>
    <cellStyle name="Input 2 8 2 3 2 3" xfId="15457"/>
    <cellStyle name="Input 2 8 2 3 2 3 2" xfId="15458"/>
    <cellStyle name="Input 2 8 2 3 2 3 3" xfId="15459"/>
    <cellStyle name="Input 2 8 2 3 2 3 4" xfId="15460"/>
    <cellStyle name="Input 2 8 2 3 2 4" xfId="15461"/>
    <cellStyle name="Input 2 8 2 3 2 4 2" xfId="15462"/>
    <cellStyle name="Input 2 8 2 3 2 4 3" xfId="15463"/>
    <cellStyle name="Input 2 8 2 3 2 4 4" xfId="15464"/>
    <cellStyle name="Input 2 8 2 3 2 5" xfId="15465"/>
    <cellStyle name="Input 2 8 2 3 2 6" xfId="15466"/>
    <cellStyle name="Input 2 8 2 3 2 7" xfId="15467"/>
    <cellStyle name="Input 2 8 2 3 3" xfId="15468"/>
    <cellStyle name="Input 2 8 2 3 3 2" xfId="15469"/>
    <cellStyle name="Input 2 8 2 3 3 2 2" xfId="15470"/>
    <cellStyle name="Input 2 8 2 3 3 2 3" xfId="15471"/>
    <cellStyle name="Input 2 8 2 3 3 2 4" xfId="15472"/>
    <cellStyle name="Input 2 8 2 3 3 3" xfId="15473"/>
    <cellStyle name="Input 2 8 2 3 3 3 2" xfId="15474"/>
    <cellStyle name="Input 2 8 2 3 3 3 3" xfId="15475"/>
    <cellStyle name="Input 2 8 2 3 3 3 4" xfId="15476"/>
    <cellStyle name="Input 2 8 2 3 3 4" xfId="15477"/>
    <cellStyle name="Input 2 8 2 3 3 4 2" xfId="15478"/>
    <cellStyle name="Input 2 8 2 3 3 4 3" xfId="15479"/>
    <cellStyle name="Input 2 8 2 3 3 4 4" xfId="15480"/>
    <cellStyle name="Input 2 8 2 3 3 5" xfId="15481"/>
    <cellStyle name="Input 2 8 2 3 3 6" xfId="15482"/>
    <cellStyle name="Input 2 8 2 3 3 7" xfId="15483"/>
    <cellStyle name="Input 2 8 2 3 4" xfId="15484"/>
    <cellStyle name="Input 2 8 2 3 4 2" xfId="15485"/>
    <cellStyle name="Input 2 8 2 3 4 2 2" xfId="15486"/>
    <cellStyle name="Input 2 8 2 3 4 2 3" xfId="15487"/>
    <cellStyle name="Input 2 8 2 3 4 2 4" xfId="15488"/>
    <cellStyle name="Input 2 8 2 3 4 3" xfId="15489"/>
    <cellStyle name="Input 2 8 2 3 4 3 2" xfId="15490"/>
    <cellStyle name="Input 2 8 2 3 4 3 3" xfId="15491"/>
    <cellStyle name="Input 2 8 2 3 4 3 4" xfId="15492"/>
    <cellStyle name="Input 2 8 2 3 4 4" xfId="15493"/>
    <cellStyle name="Input 2 8 2 3 4 4 2" xfId="15494"/>
    <cellStyle name="Input 2 8 2 3 4 4 3" xfId="15495"/>
    <cellStyle name="Input 2 8 2 3 4 4 4" xfId="15496"/>
    <cellStyle name="Input 2 8 2 3 4 5" xfId="15497"/>
    <cellStyle name="Input 2 8 2 3 4 6" xfId="15498"/>
    <cellStyle name="Input 2 8 2 3 4 7" xfId="15499"/>
    <cellStyle name="Input 2 8 2 3 5" xfId="15500"/>
    <cellStyle name="Input 2 8 2 3 5 2" xfId="15501"/>
    <cellStyle name="Input 2 8 2 3 5 2 2" xfId="15502"/>
    <cellStyle name="Input 2 8 2 3 5 2 3" xfId="15503"/>
    <cellStyle name="Input 2 8 2 3 5 2 4" xfId="15504"/>
    <cellStyle name="Input 2 8 2 3 5 3" xfId="15505"/>
    <cellStyle name="Input 2 8 2 3 5 3 2" xfId="15506"/>
    <cellStyle name="Input 2 8 2 3 5 3 3" xfId="15507"/>
    <cellStyle name="Input 2 8 2 3 5 3 4" xfId="15508"/>
    <cellStyle name="Input 2 8 2 3 5 4" xfId="15509"/>
    <cellStyle name="Input 2 8 2 3 5 4 2" xfId="15510"/>
    <cellStyle name="Input 2 8 2 3 5 4 3" xfId="15511"/>
    <cellStyle name="Input 2 8 2 3 5 4 4" xfId="15512"/>
    <cellStyle name="Input 2 8 2 3 5 5" xfId="15513"/>
    <cellStyle name="Input 2 8 2 3 5 6" xfId="15514"/>
    <cellStyle name="Input 2 8 2 3 5 7" xfId="15515"/>
    <cellStyle name="Input 2 8 2 3 6" xfId="15516"/>
    <cellStyle name="Input 2 8 2 3 6 2" xfId="15517"/>
    <cellStyle name="Input 2 8 2 3 6 2 2" xfId="15518"/>
    <cellStyle name="Input 2 8 2 3 6 2 3" xfId="15519"/>
    <cellStyle name="Input 2 8 2 3 6 2 4" xfId="15520"/>
    <cellStyle name="Input 2 8 2 3 6 3" xfId="15521"/>
    <cellStyle name="Input 2 8 2 3 6 3 2" xfId="15522"/>
    <cellStyle name="Input 2 8 2 3 6 3 3" xfId="15523"/>
    <cellStyle name="Input 2 8 2 3 6 3 4" xfId="15524"/>
    <cellStyle name="Input 2 8 2 3 6 4" xfId="15525"/>
    <cellStyle name="Input 2 8 2 3 6 4 2" xfId="15526"/>
    <cellStyle name="Input 2 8 2 3 6 4 3" xfId="15527"/>
    <cellStyle name="Input 2 8 2 3 6 4 4" xfId="15528"/>
    <cellStyle name="Input 2 8 2 3 6 5" xfId="15529"/>
    <cellStyle name="Input 2 8 2 3 6 6" xfId="15530"/>
    <cellStyle name="Input 2 8 2 3 6 7" xfId="15531"/>
    <cellStyle name="Input 2 8 2 3 7" xfId="15532"/>
    <cellStyle name="Input 2 8 2 3 7 2" xfId="15533"/>
    <cellStyle name="Input 2 8 2 3 7 3" xfId="15534"/>
    <cellStyle name="Input 2 8 2 3 7 4" xfId="15535"/>
    <cellStyle name="Input 2 8 2 3 8" xfId="15536"/>
    <cellStyle name="Input 2 8 2 3 8 2" xfId="15537"/>
    <cellStyle name="Input 2 8 2 3 8 3" xfId="15538"/>
    <cellStyle name="Input 2 8 2 3 8 4" xfId="15539"/>
    <cellStyle name="Input 2 8 2 3 9" xfId="15540"/>
    <cellStyle name="Input 2 8 2 3 9 2" xfId="15541"/>
    <cellStyle name="Input 2 8 2 3 9 3" xfId="15542"/>
    <cellStyle name="Input 2 8 2 3 9 4" xfId="15543"/>
    <cellStyle name="Input 2 8 2 4" xfId="829"/>
    <cellStyle name="Input 2 8 2 4 10" xfId="15544"/>
    <cellStyle name="Input 2 8 2 4 11" xfId="15545"/>
    <cellStyle name="Input 2 8 2 4 12" xfId="15546"/>
    <cellStyle name="Input 2 8 2 4 2" xfId="15547"/>
    <cellStyle name="Input 2 8 2 4 2 2" xfId="15548"/>
    <cellStyle name="Input 2 8 2 4 2 2 2" xfId="15549"/>
    <cellStyle name="Input 2 8 2 4 2 2 3" xfId="15550"/>
    <cellStyle name="Input 2 8 2 4 2 2 4" xfId="15551"/>
    <cellStyle name="Input 2 8 2 4 2 3" xfId="15552"/>
    <cellStyle name="Input 2 8 2 4 2 3 2" xfId="15553"/>
    <cellStyle name="Input 2 8 2 4 2 3 3" xfId="15554"/>
    <cellStyle name="Input 2 8 2 4 2 3 4" xfId="15555"/>
    <cellStyle name="Input 2 8 2 4 2 4" xfId="15556"/>
    <cellStyle name="Input 2 8 2 4 2 4 2" xfId="15557"/>
    <cellStyle name="Input 2 8 2 4 2 4 3" xfId="15558"/>
    <cellStyle name="Input 2 8 2 4 2 4 4" xfId="15559"/>
    <cellStyle name="Input 2 8 2 4 2 5" xfId="15560"/>
    <cellStyle name="Input 2 8 2 4 2 6" xfId="15561"/>
    <cellStyle name="Input 2 8 2 4 2 7" xfId="15562"/>
    <cellStyle name="Input 2 8 2 4 3" xfId="15563"/>
    <cellStyle name="Input 2 8 2 4 3 2" xfId="15564"/>
    <cellStyle name="Input 2 8 2 4 3 2 2" xfId="15565"/>
    <cellStyle name="Input 2 8 2 4 3 2 3" xfId="15566"/>
    <cellStyle name="Input 2 8 2 4 3 2 4" xfId="15567"/>
    <cellStyle name="Input 2 8 2 4 3 3" xfId="15568"/>
    <cellStyle name="Input 2 8 2 4 3 3 2" xfId="15569"/>
    <cellStyle name="Input 2 8 2 4 3 3 3" xfId="15570"/>
    <cellStyle name="Input 2 8 2 4 3 3 4" xfId="15571"/>
    <cellStyle name="Input 2 8 2 4 3 4" xfId="15572"/>
    <cellStyle name="Input 2 8 2 4 3 4 2" xfId="15573"/>
    <cellStyle name="Input 2 8 2 4 3 4 3" xfId="15574"/>
    <cellStyle name="Input 2 8 2 4 3 4 4" xfId="15575"/>
    <cellStyle name="Input 2 8 2 4 3 5" xfId="15576"/>
    <cellStyle name="Input 2 8 2 4 3 6" xfId="15577"/>
    <cellStyle name="Input 2 8 2 4 3 7" xfId="15578"/>
    <cellStyle name="Input 2 8 2 4 4" xfId="15579"/>
    <cellStyle name="Input 2 8 2 4 4 2" xfId="15580"/>
    <cellStyle name="Input 2 8 2 4 4 2 2" xfId="15581"/>
    <cellStyle name="Input 2 8 2 4 4 2 3" xfId="15582"/>
    <cellStyle name="Input 2 8 2 4 4 2 4" xfId="15583"/>
    <cellStyle name="Input 2 8 2 4 4 3" xfId="15584"/>
    <cellStyle name="Input 2 8 2 4 4 3 2" xfId="15585"/>
    <cellStyle name="Input 2 8 2 4 4 3 3" xfId="15586"/>
    <cellStyle name="Input 2 8 2 4 4 3 4" xfId="15587"/>
    <cellStyle name="Input 2 8 2 4 4 4" xfId="15588"/>
    <cellStyle name="Input 2 8 2 4 4 4 2" xfId="15589"/>
    <cellStyle name="Input 2 8 2 4 4 4 3" xfId="15590"/>
    <cellStyle name="Input 2 8 2 4 4 4 4" xfId="15591"/>
    <cellStyle name="Input 2 8 2 4 4 5" xfId="15592"/>
    <cellStyle name="Input 2 8 2 4 4 6" xfId="15593"/>
    <cellStyle name="Input 2 8 2 4 4 7" xfId="15594"/>
    <cellStyle name="Input 2 8 2 4 5" xfId="15595"/>
    <cellStyle name="Input 2 8 2 4 5 2" xfId="15596"/>
    <cellStyle name="Input 2 8 2 4 5 2 2" xfId="15597"/>
    <cellStyle name="Input 2 8 2 4 5 2 3" xfId="15598"/>
    <cellStyle name="Input 2 8 2 4 5 2 4" xfId="15599"/>
    <cellStyle name="Input 2 8 2 4 5 3" xfId="15600"/>
    <cellStyle name="Input 2 8 2 4 5 3 2" xfId="15601"/>
    <cellStyle name="Input 2 8 2 4 5 3 3" xfId="15602"/>
    <cellStyle name="Input 2 8 2 4 5 3 4" xfId="15603"/>
    <cellStyle name="Input 2 8 2 4 5 4" xfId="15604"/>
    <cellStyle name="Input 2 8 2 4 5 4 2" xfId="15605"/>
    <cellStyle name="Input 2 8 2 4 5 4 3" xfId="15606"/>
    <cellStyle name="Input 2 8 2 4 5 4 4" xfId="15607"/>
    <cellStyle name="Input 2 8 2 4 5 5" xfId="15608"/>
    <cellStyle name="Input 2 8 2 4 5 6" xfId="15609"/>
    <cellStyle name="Input 2 8 2 4 5 7" xfId="15610"/>
    <cellStyle name="Input 2 8 2 4 6" xfId="15611"/>
    <cellStyle name="Input 2 8 2 4 6 2" xfId="15612"/>
    <cellStyle name="Input 2 8 2 4 6 2 2" xfId="15613"/>
    <cellStyle name="Input 2 8 2 4 6 2 3" xfId="15614"/>
    <cellStyle name="Input 2 8 2 4 6 2 4" xfId="15615"/>
    <cellStyle name="Input 2 8 2 4 6 3" xfId="15616"/>
    <cellStyle name="Input 2 8 2 4 6 3 2" xfId="15617"/>
    <cellStyle name="Input 2 8 2 4 6 3 3" xfId="15618"/>
    <cellStyle name="Input 2 8 2 4 6 3 4" xfId="15619"/>
    <cellStyle name="Input 2 8 2 4 6 4" xfId="15620"/>
    <cellStyle name="Input 2 8 2 4 6 4 2" xfId="15621"/>
    <cellStyle name="Input 2 8 2 4 6 4 3" xfId="15622"/>
    <cellStyle name="Input 2 8 2 4 6 4 4" xfId="15623"/>
    <cellStyle name="Input 2 8 2 4 6 5" xfId="15624"/>
    <cellStyle name="Input 2 8 2 4 6 6" xfId="15625"/>
    <cellStyle name="Input 2 8 2 4 6 7" xfId="15626"/>
    <cellStyle name="Input 2 8 2 4 7" xfId="15627"/>
    <cellStyle name="Input 2 8 2 4 7 2" xfId="15628"/>
    <cellStyle name="Input 2 8 2 4 7 3" xfId="15629"/>
    <cellStyle name="Input 2 8 2 4 7 4" xfId="15630"/>
    <cellStyle name="Input 2 8 2 4 8" xfId="15631"/>
    <cellStyle name="Input 2 8 2 4 8 2" xfId="15632"/>
    <cellStyle name="Input 2 8 2 4 8 3" xfId="15633"/>
    <cellStyle name="Input 2 8 2 4 8 4" xfId="15634"/>
    <cellStyle name="Input 2 8 2 4 9" xfId="15635"/>
    <cellStyle name="Input 2 8 2 4 9 2" xfId="15636"/>
    <cellStyle name="Input 2 8 2 4 9 3" xfId="15637"/>
    <cellStyle name="Input 2 8 2 4 9 4" xfId="15638"/>
    <cellStyle name="Input 2 8 2 5" xfId="15639"/>
    <cellStyle name="Input 2 8 2 5 10" xfId="15640"/>
    <cellStyle name="Input 2 8 2 5 11" xfId="15641"/>
    <cellStyle name="Input 2 8 2 5 12" xfId="15642"/>
    <cellStyle name="Input 2 8 2 5 2" xfId="15643"/>
    <cellStyle name="Input 2 8 2 5 2 2" xfId="15644"/>
    <cellStyle name="Input 2 8 2 5 2 2 2" xfId="15645"/>
    <cellStyle name="Input 2 8 2 5 2 2 3" xfId="15646"/>
    <cellStyle name="Input 2 8 2 5 2 2 4" xfId="15647"/>
    <cellStyle name="Input 2 8 2 5 2 3" xfId="15648"/>
    <cellStyle name="Input 2 8 2 5 2 3 2" xfId="15649"/>
    <cellStyle name="Input 2 8 2 5 2 3 3" xfId="15650"/>
    <cellStyle name="Input 2 8 2 5 2 3 4" xfId="15651"/>
    <cellStyle name="Input 2 8 2 5 2 4" xfId="15652"/>
    <cellStyle name="Input 2 8 2 5 2 4 2" xfId="15653"/>
    <cellStyle name="Input 2 8 2 5 2 4 3" xfId="15654"/>
    <cellStyle name="Input 2 8 2 5 2 4 4" xfId="15655"/>
    <cellStyle name="Input 2 8 2 5 2 5" xfId="15656"/>
    <cellStyle name="Input 2 8 2 5 2 6" xfId="15657"/>
    <cellStyle name="Input 2 8 2 5 2 7" xfId="15658"/>
    <cellStyle name="Input 2 8 2 5 3" xfId="15659"/>
    <cellStyle name="Input 2 8 2 5 3 2" xfId="15660"/>
    <cellStyle name="Input 2 8 2 5 3 2 2" xfId="15661"/>
    <cellStyle name="Input 2 8 2 5 3 2 3" xfId="15662"/>
    <cellStyle name="Input 2 8 2 5 3 2 4" xfId="15663"/>
    <cellStyle name="Input 2 8 2 5 3 3" xfId="15664"/>
    <cellStyle name="Input 2 8 2 5 3 3 2" xfId="15665"/>
    <cellStyle name="Input 2 8 2 5 3 3 3" xfId="15666"/>
    <cellStyle name="Input 2 8 2 5 3 3 4" xfId="15667"/>
    <cellStyle name="Input 2 8 2 5 3 4" xfId="15668"/>
    <cellStyle name="Input 2 8 2 5 3 4 2" xfId="15669"/>
    <cellStyle name="Input 2 8 2 5 3 4 3" xfId="15670"/>
    <cellStyle name="Input 2 8 2 5 3 4 4" xfId="15671"/>
    <cellStyle name="Input 2 8 2 5 3 5" xfId="15672"/>
    <cellStyle name="Input 2 8 2 5 3 6" xfId="15673"/>
    <cellStyle name="Input 2 8 2 5 3 7" xfId="15674"/>
    <cellStyle name="Input 2 8 2 5 4" xfId="15675"/>
    <cellStyle name="Input 2 8 2 5 4 2" xfId="15676"/>
    <cellStyle name="Input 2 8 2 5 4 2 2" xfId="15677"/>
    <cellStyle name="Input 2 8 2 5 4 2 3" xfId="15678"/>
    <cellStyle name="Input 2 8 2 5 4 2 4" xfId="15679"/>
    <cellStyle name="Input 2 8 2 5 4 3" xfId="15680"/>
    <cellStyle name="Input 2 8 2 5 4 3 2" xfId="15681"/>
    <cellStyle name="Input 2 8 2 5 4 3 3" xfId="15682"/>
    <cellStyle name="Input 2 8 2 5 4 3 4" xfId="15683"/>
    <cellStyle name="Input 2 8 2 5 4 4" xfId="15684"/>
    <cellStyle name="Input 2 8 2 5 4 4 2" xfId="15685"/>
    <cellStyle name="Input 2 8 2 5 4 4 3" xfId="15686"/>
    <cellStyle name="Input 2 8 2 5 4 4 4" xfId="15687"/>
    <cellStyle name="Input 2 8 2 5 4 5" xfId="15688"/>
    <cellStyle name="Input 2 8 2 5 4 6" xfId="15689"/>
    <cellStyle name="Input 2 8 2 5 4 7" xfId="15690"/>
    <cellStyle name="Input 2 8 2 5 5" xfId="15691"/>
    <cellStyle name="Input 2 8 2 5 5 2" xfId="15692"/>
    <cellStyle name="Input 2 8 2 5 5 2 2" xfId="15693"/>
    <cellStyle name="Input 2 8 2 5 5 2 3" xfId="15694"/>
    <cellStyle name="Input 2 8 2 5 5 2 4" xfId="15695"/>
    <cellStyle name="Input 2 8 2 5 5 3" xfId="15696"/>
    <cellStyle name="Input 2 8 2 5 5 3 2" xfId="15697"/>
    <cellStyle name="Input 2 8 2 5 5 3 3" xfId="15698"/>
    <cellStyle name="Input 2 8 2 5 5 3 4" xfId="15699"/>
    <cellStyle name="Input 2 8 2 5 5 4" xfId="15700"/>
    <cellStyle name="Input 2 8 2 5 5 4 2" xfId="15701"/>
    <cellStyle name="Input 2 8 2 5 5 4 3" xfId="15702"/>
    <cellStyle name="Input 2 8 2 5 5 4 4" xfId="15703"/>
    <cellStyle name="Input 2 8 2 5 5 5" xfId="15704"/>
    <cellStyle name="Input 2 8 2 5 5 6" xfId="15705"/>
    <cellStyle name="Input 2 8 2 5 5 7" xfId="15706"/>
    <cellStyle name="Input 2 8 2 5 6" xfId="15707"/>
    <cellStyle name="Input 2 8 2 5 6 2" xfId="15708"/>
    <cellStyle name="Input 2 8 2 5 6 2 2" xfId="15709"/>
    <cellStyle name="Input 2 8 2 5 6 2 3" xfId="15710"/>
    <cellStyle name="Input 2 8 2 5 6 2 4" xfId="15711"/>
    <cellStyle name="Input 2 8 2 5 6 3" xfId="15712"/>
    <cellStyle name="Input 2 8 2 5 6 3 2" xfId="15713"/>
    <cellStyle name="Input 2 8 2 5 6 3 3" xfId="15714"/>
    <cellStyle name="Input 2 8 2 5 6 3 4" xfId="15715"/>
    <cellStyle name="Input 2 8 2 5 6 4" xfId="15716"/>
    <cellStyle name="Input 2 8 2 5 6 4 2" xfId="15717"/>
    <cellStyle name="Input 2 8 2 5 6 4 3" xfId="15718"/>
    <cellStyle name="Input 2 8 2 5 6 4 4" xfId="15719"/>
    <cellStyle name="Input 2 8 2 5 6 5" xfId="15720"/>
    <cellStyle name="Input 2 8 2 5 6 6" xfId="15721"/>
    <cellStyle name="Input 2 8 2 5 6 7" xfId="15722"/>
    <cellStyle name="Input 2 8 2 5 7" xfId="15723"/>
    <cellStyle name="Input 2 8 2 5 7 2" xfId="15724"/>
    <cellStyle name="Input 2 8 2 5 7 3" xfId="15725"/>
    <cellStyle name="Input 2 8 2 5 7 4" xfId="15726"/>
    <cellStyle name="Input 2 8 2 5 8" xfId="15727"/>
    <cellStyle name="Input 2 8 2 5 8 2" xfId="15728"/>
    <cellStyle name="Input 2 8 2 5 8 3" xfId="15729"/>
    <cellStyle name="Input 2 8 2 5 8 4" xfId="15730"/>
    <cellStyle name="Input 2 8 2 5 9" xfId="15731"/>
    <cellStyle name="Input 2 8 2 5 9 2" xfId="15732"/>
    <cellStyle name="Input 2 8 2 5 9 3" xfId="15733"/>
    <cellStyle name="Input 2 8 2 5 9 4" xfId="15734"/>
    <cellStyle name="Input 2 8 2 6" xfId="15735"/>
    <cellStyle name="Input 2 8 2 6 2" xfId="15736"/>
    <cellStyle name="Input 2 8 2 6 2 2" xfId="15737"/>
    <cellStyle name="Input 2 8 2 6 2 3" xfId="15738"/>
    <cellStyle name="Input 2 8 2 6 2 4" xfId="15739"/>
    <cellStyle name="Input 2 8 2 6 3" xfId="15740"/>
    <cellStyle name="Input 2 8 2 6 3 2" xfId="15741"/>
    <cellStyle name="Input 2 8 2 6 3 3" xfId="15742"/>
    <cellStyle name="Input 2 8 2 6 3 4" xfId="15743"/>
    <cellStyle name="Input 2 8 2 6 4" xfId="15744"/>
    <cellStyle name="Input 2 8 2 6 4 2" xfId="15745"/>
    <cellStyle name="Input 2 8 2 6 4 3" xfId="15746"/>
    <cellStyle name="Input 2 8 2 6 4 4" xfId="15747"/>
    <cellStyle name="Input 2 8 2 6 5" xfId="15748"/>
    <cellStyle name="Input 2 8 2 6 6" xfId="15749"/>
    <cellStyle name="Input 2 8 2 6 7" xfId="15750"/>
    <cellStyle name="Input 2 8 2 7" xfId="15751"/>
    <cellStyle name="Input 2 8 2 7 2" xfId="15752"/>
    <cellStyle name="Input 2 8 2 7 2 2" xfId="15753"/>
    <cellStyle name="Input 2 8 2 7 2 3" xfId="15754"/>
    <cellStyle name="Input 2 8 2 7 2 4" xfId="15755"/>
    <cellStyle name="Input 2 8 2 7 3" xfId="15756"/>
    <cellStyle name="Input 2 8 2 7 3 2" xfId="15757"/>
    <cellStyle name="Input 2 8 2 7 3 3" xfId="15758"/>
    <cellStyle name="Input 2 8 2 7 3 4" xfId="15759"/>
    <cellStyle name="Input 2 8 2 7 4" xfId="15760"/>
    <cellStyle name="Input 2 8 2 7 4 2" xfId="15761"/>
    <cellStyle name="Input 2 8 2 7 4 3" xfId="15762"/>
    <cellStyle name="Input 2 8 2 7 4 4" xfId="15763"/>
    <cellStyle name="Input 2 8 2 7 5" xfId="15764"/>
    <cellStyle name="Input 2 8 2 7 6" xfId="15765"/>
    <cellStyle name="Input 2 8 2 7 7" xfId="15766"/>
    <cellStyle name="Input 2 8 2 8" xfId="15767"/>
    <cellStyle name="Input 2 8 2 8 2" xfId="15768"/>
    <cellStyle name="Input 2 8 2 8 2 2" xfId="15769"/>
    <cellStyle name="Input 2 8 2 8 2 3" xfId="15770"/>
    <cellStyle name="Input 2 8 2 8 2 4" xfId="15771"/>
    <cellStyle name="Input 2 8 2 8 3" xfId="15772"/>
    <cellStyle name="Input 2 8 2 8 3 2" xfId="15773"/>
    <cellStyle name="Input 2 8 2 8 3 3" xfId="15774"/>
    <cellStyle name="Input 2 8 2 8 3 4" xfId="15775"/>
    <cellStyle name="Input 2 8 2 8 4" xfId="15776"/>
    <cellStyle name="Input 2 8 2 8 4 2" xfId="15777"/>
    <cellStyle name="Input 2 8 2 8 4 3" xfId="15778"/>
    <cellStyle name="Input 2 8 2 8 4 4" xfId="15779"/>
    <cellStyle name="Input 2 8 2 8 5" xfId="15780"/>
    <cellStyle name="Input 2 8 2 8 6" xfId="15781"/>
    <cellStyle name="Input 2 8 2 8 7" xfId="15782"/>
    <cellStyle name="Input 2 8 2 9" xfId="15783"/>
    <cellStyle name="Input 2 8 2 9 2" xfId="15784"/>
    <cellStyle name="Input 2 8 2 9 2 2" xfId="15785"/>
    <cellStyle name="Input 2 8 2 9 2 3" xfId="15786"/>
    <cellStyle name="Input 2 8 2 9 2 4" xfId="15787"/>
    <cellStyle name="Input 2 8 2 9 3" xfId="15788"/>
    <cellStyle name="Input 2 8 2 9 3 2" xfId="15789"/>
    <cellStyle name="Input 2 8 2 9 3 3" xfId="15790"/>
    <cellStyle name="Input 2 8 2 9 3 4" xfId="15791"/>
    <cellStyle name="Input 2 8 2 9 4" xfId="15792"/>
    <cellStyle name="Input 2 8 2 9 4 2" xfId="15793"/>
    <cellStyle name="Input 2 8 2 9 4 3" xfId="15794"/>
    <cellStyle name="Input 2 8 2 9 4 4" xfId="15795"/>
    <cellStyle name="Input 2 8 2 9 5" xfId="15796"/>
    <cellStyle name="Input 2 8 2 9 6" xfId="15797"/>
    <cellStyle name="Input 2 8 2 9 7" xfId="15798"/>
    <cellStyle name="Input 2 8 3" xfId="1067"/>
    <cellStyle name="Input 2 8 3 10" xfId="15799"/>
    <cellStyle name="Input 2 8 3 11" xfId="15800"/>
    <cellStyle name="Input 2 8 3 12" xfId="15801"/>
    <cellStyle name="Input 2 8 3 2" xfId="15802"/>
    <cellStyle name="Input 2 8 3 2 2" xfId="15803"/>
    <cellStyle name="Input 2 8 3 2 2 2" xfId="15804"/>
    <cellStyle name="Input 2 8 3 2 2 3" xfId="15805"/>
    <cellStyle name="Input 2 8 3 2 2 4" xfId="15806"/>
    <cellStyle name="Input 2 8 3 2 3" xfId="15807"/>
    <cellStyle name="Input 2 8 3 2 3 2" xfId="15808"/>
    <cellStyle name="Input 2 8 3 2 3 3" xfId="15809"/>
    <cellStyle name="Input 2 8 3 2 3 4" xfId="15810"/>
    <cellStyle name="Input 2 8 3 2 4" xfId="15811"/>
    <cellStyle name="Input 2 8 3 2 4 2" xfId="15812"/>
    <cellStyle name="Input 2 8 3 2 4 3" xfId="15813"/>
    <cellStyle name="Input 2 8 3 2 4 4" xfId="15814"/>
    <cellStyle name="Input 2 8 3 2 5" xfId="15815"/>
    <cellStyle name="Input 2 8 3 2 6" xfId="15816"/>
    <cellStyle name="Input 2 8 3 2 7" xfId="15817"/>
    <cellStyle name="Input 2 8 3 3" xfId="15818"/>
    <cellStyle name="Input 2 8 3 3 2" xfId="15819"/>
    <cellStyle name="Input 2 8 3 3 2 2" xfId="15820"/>
    <cellStyle name="Input 2 8 3 3 2 3" xfId="15821"/>
    <cellStyle name="Input 2 8 3 3 2 4" xfId="15822"/>
    <cellStyle name="Input 2 8 3 3 3" xfId="15823"/>
    <cellStyle name="Input 2 8 3 3 3 2" xfId="15824"/>
    <cellStyle name="Input 2 8 3 3 3 3" xfId="15825"/>
    <cellStyle name="Input 2 8 3 3 3 4" xfId="15826"/>
    <cellStyle name="Input 2 8 3 3 4" xfId="15827"/>
    <cellStyle name="Input 2 8 3 3 4 2" xfId="15828"/>
    <cellStyle name="Input 2 8 3 3 4 3" xfId="15829"/>
    <cellStyle name="Input 2 8 3 3 4 4" xfId="15830"/>
    <cellStyle name="Input 2 8 3 3 5" xfId="15831"/>
    <cellStyle name="Input 2 8 3 3 6" xfId="15832"/>
    <cellStyle name="Input 2 8 3 3 7" xfId="15833"/>
    <cellStyle name="Input 2 8 3 4" xfId="15834"/>
    <cellStyle name="Input 2 8 3 4 2" xfId="15835"/>
    <cellStyle name="Input 2 8 3 4 2 2" xfId="15836"/>
    <cellStyle name="Input 2 8 3 4 2 3" xfId="15837"/>
    <cellStyle name="Input 2 8 3 4 2 4" xfId="15838"/>
    <cellStyle name="Input 2 8 3 4 3" xfId="15839"/>
    <cellStyle name="Input 2 8 3 4 3 2" xfId="15840"/>
    <cellStyle name="Input 2 8 3 4 3 3" xfId="15841"/>
    <cellStyle name="Input 2 8 3 4 3 4" xfId="15842"/>
    <cellStyle name="Input 2 8 3 4 4" xfId="15843"/>
    <cellStyle name="Input 2 8 3 4 4 2" xfId="15844"/>
    <cellStyle name="Input 2 8 3 4 4 3" xfId="15845"/>
    <cellStyle name="Input 2 8 3 4 4 4" xfId="15846"/>
    <cellStyle name="Input 2 8 3 4 5" xfId="15847"/>
    <cellStyle name="Input 2 8 3 4 6" xfId="15848"/>
    <cellStyle name="Input 2 8 3 4 7" xfId="15849"/>
    <cellStyle name="Input 2 8 3 5" xfId="15850"/>
    <cellStyle name="Input 2 8 3 5 2" xfId="15851"/>
    <cellStyle name="Input 2 8 3 5 2 2" xfId="15852"/>
    <cellStyle name="Input 2 8 3 5 2 3" xfId="15853"/>
    <cellStyle name="Input 2 8 3 5 2 4" xfId="15854"/>
    <cellStyle name="Input 2 8 3 5 3" xfId="15855"/>
    <cellStyle name="Input 2 8 3 5 3 2" xfId="15856"/>
    <cellStyle name="Input 2 8 3 5 3 3" xfId="15857"/>
    <cellStyle name="Input 2 8 3 5 3 4" xfId="15858"/>
    <cellStyle name="Input 2 8 3 5 4" xfId="15859"/>
    <cellStyle name="Input 2 8 3 5 4 2" xfId="15860"/>
    <cellStyle name="Input 2 8 3 5 4 3" xfId="15861"/>
    <cellStyle name="Input 2 8 3 5 4 4" xfId="15862"/>
    <cellStyle name="Input 2 8 3 5 5" xfId="15863"/>
    <cellStyle name="Input 2 8 3 5 6" xfId="15864"/>
    <cellStyle name="Input 2 8 3 5 7" xfId="15865"/>
    <cellStyle name="Input 2 8 3 6" xfId="15866"/>
    <cellStyle name="Input 2 8 3 6 2" xfId="15867"/>
    <cellStyle name="Input 2 8 3 6 2 2" xfId="15868"/>
    <cellStyle name="Input 2 8 3 6 2 3" xfId="15869"/>
    <cellStyle name="Input 2 8 3 6 2 4" xfId="15870"/>
    <cellStyle name="Input 2 8 3 6 3" xfId="15871"/>
    <cellStyle name="Input 2 8 3 6 3 2" xfId="15872"/>
    <cellStyle name="Input 2 8 3 6 3 3" xfId="15873"/>
    <cellStyle name="Input 2 8 3 6 3 4" xfId="15874"/>
    <cellStyle name="Input 2 8 3 6 4" xfId="15875"/>
    <cellStyle name="Input 2 8 3 6 4 2" xfId="15876"/>
    <cellStyle name="Input 2 8 3 6 4 3" xfId="15877"/>
    <cellStyle name="Input 2 8 3 6 4 4" xfId="15878"/>
    <cellStyle name="Input 2 8 3 6 5" xfId="15879"/>
    <cellStyle name="Input 2 8 3 6 6" xfId="15880"/>
    <cellStyle name="Input 2 8 3 6 7" xfId="15881"/>
    <cellStyle name="Input 2 8 3 7" xfId="15882"/>
    <cellStyle name="Input 2 8 3 7 2" xfId="15883"/>
    <cellStyle name="Input 2 8 3 7 3" xfId="15884"/>
    <cellStyle name="Input 2 8 3 7 4" xfId="15885"/>
    <cellStyle name="Input 2 8 3 8" xfId="15886"/>
    <cellStyle name="Input 2 8 3 8 2" xfId="15887"/>
    <cellStyle name="Input 2 8 3 8 3" xfId="15888"/>
    <cellStyle name="Input 2 8 3 8 4" xfId="15889"/>
    <cellStyle name="Input 2 8 3 9" xfId="15890"/>
    <cellStyle name="Input 2 8 3 9 2" xfId="15891"/>
    <cellStyle name="Input 2 8 3 9 3" xfId="15892"/>
    <cellStyle name="Input 2 8 3 9 4" xfId="15893"/>
    <cellStyle name="Input 2 8 4" xfId="1130"/>
    <cellStyle name="Input 2 8 5" xfId="1036"/>
    <cellStyle name="Input 2 8 6" xfId="3255"/>
    <cellStyle name="Input 2 8 7" xfId="1017"/>
    <cellStyle name="Input 2 9" xfId="579"/>
    <cellStyle name="Input 2 9 10" xfId="15894"/>
    <cellStyle name="Input 2 9 10 2" xfId="15895"/>
    <cellStyle name="Input 2 9 10 2 2" xfId="15896"/>
    <cellStyle name="Input 2 9 10 2 3" xfId="15897"/>
    <cellStyle name="Input 2 9 10 2 4" xfId="15898"/>
    <cellStyle name="Input 2 9 10 3" xfId="15899"/>
    <cellStyle name="Input 2 9 10 3 2" xfId="15900"/>
    <cellStyle name="Input 2 9 10 3 3" xfId="15901"/>
    <cellStyle name="Input 2 9 10 3 4" xfId="15902"/>
    <cellStyle name="Input 2 9 10 4" xfId="15903"/>
    <cellStyle name="Input 2 9 10 4 2" xfId="15904"/>
    <cellStyle name="Input 2 9 10 4 3" xfId="15905"/>
    <cellStyle name="Input 2 9 10 4 4" xfId="15906"/>
    <cellStyle name="Input 2 9 10 5" xfId="15907"/>
    <cellStyle name="Input 2 9 10 6" xfId="15908"/>
    <cellStyle name="Input 2 9 10 7" xfId="15909"/>
    <cellStyle name="Input 2 9 11" xfId="15910"/>
    <cellStyle name="Input 2 9 11 2" xfId="15911"/>
    <cellStyle name="Input 2 9 11 2 2" xfId="15912"/>
    <cellStyle name="Input 2 9 11 2 3" xfId="15913"/>
    <cellStyle name="Input 2 9 11 2 4" xfId="15914"/>
    <cellStyle name="Input 2 9 11 3" xfId="15915"/>
    <cellStyle name="Input 2 9 11 3 2" xfId="15916"/>
    <cellStyle name="Input 2 9 11 3 3" xfId="15917"/>
    <cellStyle name="Input 2 9 11 3 4" xfId="15918"/>
    <cellStyle name="Input 2 9 11 4" xfId="15919"/>
    <cellStyle name="Input 2 9 11 4 2" xfId="15920"/>
    <cellStyle name="Input 2 9 11 4 3" xfId="15921"/>
    <cellStyle name="Input 2 9 11 4 4" xfId="15922"/>
    <cellStyle name="Input 2 9 11 5" xfId="15923"/>
    <cellStyle name="Input 2 9 11 6" xfId="15924"/>
    <cellStyle name="Input 2 9 11 7" xfId="15925"/>
    <cellStyle name="Input 2 9 12" xfId="15926"/>
    <cellStyle name="Input 2 9 12 2" xfId="15927"/>
    <cellStyle name="Input 2 9 12 2 2" xfId="15928"/>
    <cellStyle name="Input 2 9 12 2 3" xfId="15929"/>
    <cellStyle name="Input 2 9 12 2 4" xfId="15930"/>
    <cellStyle name="Input 2 9 12 3" xfId="15931"/>
    <cellStyle name="Input 2 9 12 3 2" xfId="15932"/>
    <cellStyle name="Input 2 9 12 3 3" xfId="15933"/>
    <cellStyle name="Input 2 9 12 3 4" xfId="15934"/>
    <cellStyle name="Input 2 9 12 4" xfId="15935"/>
    <cellStyle name="Input 2 9 12 4 2" xfId="15936"/>
    <cellStyle name="Input 2 9 12 4 3" xfId="15937"/>
    <cellStyle name="Input 2 9 12 4 4" xfId="15938"/>
    <cellStyle name="Input 2 9 12 5" xfId="15939"/>
    <cellStyle name="Input 2 9 12 6" xfId="15940"/>
    <cellStyle name="Input 2 9 12 7" xfId="15941"/>
    <cellStyle name="Input 2 9 13" xfId="15942"/>
    <cellStyle name="Input 2 9 13 2" xfId="15943"/>
    <cellStyle name="Input 2 9 13 2 2" xfId="15944"/>
    <cellStyle name="Input 2 9 13 2 3" xfId="15945"/>
    <cellStyle name="Input 2 9 13 2 4" xfId="15946"/>
    <cellStyle name="Input 2 9 13 3" xfId="15947"/>
    <cellStyle name="Input 2 9 13 3 2" xfId="15948"/>
    <cellStyle name="Input 2 9 13 3 3" xfId="15949"/>
    <cellStyle name="Input 2 9 13 3 4" xfId="15950"/>
    <cellStyle name="Input 2 9 13 4" xfId="15951"/>
    <cellStyle name="Input 2 9 13 4 2" xfId="15952"/>
    <cellStyle name="Input 2 9 13 4 3" xfId="15953"/>
    <cellStyle name="Input 2 9 13 4 4" xfId="15954"/>
    <cellStyle name="Input 2 9 13 5" xfId="15955"/>
    <cellStyle name="Input 2 9 13 6" xfId="15956"/>
    <cellStyle name="Input 2 9 13 7" xfId="15957"/>
    <cellStyle name="Input 2 9 14" xfId="15958"/>
    <cellStyle name="Input 2 9 14 2" xfId="15959"/>
    <cellStyle name="Input 2 9 14 3" xfId="15960"/>
    <cellStyle name="Input 2 9 14 4" xfId="15961"/>
    <cellStyle name="Input 2 9 15" xfId="15962"/>
    <cellStyle name="Input 2 9 15 2" xfId="15963"/>
    <cellStyle name="Input 2 9 15 3" xfId="15964"/>
    <cellStyle name="Input 2 9 15 4" xfId="15965"/>
    <cellStyle name="Input 2 9 16" xfId="15966"/>
    <cellStyle name="Input 2 9 16 2" xfId="15967"/>
    <cellStyle name="Input 2 9 16 3" xfId="15968"/>
    <cellStyle name="Input 2 9 16 4" xfId="15969"/>
    <cellStyle name="Input 2 9 17" xfId="15970"/>
    <cellStyle name="Input 2 9 18" xfId="15971"/>
    <cellStyle name="Input 2 9 19" xfId="15972"/>
    <cellStyle name="Input 2 9 2" xfId="860"/>
    <cellStyle name="Input 2 9 2 10" xfId="15973"/>
    <cellStyle name="Input 2 9 2 11" xfId="15974"/>
    <cellStyle name="Input 2 9 2 12" xfId="15975"/>
    <cellStyle name="Input 2 9 2 2" xfId="15976"/>
    <cellStyle name="Input 2 9 2 2 2" xfId="15977"/>
    <cellStyle name="Input 2 9 2 2 2 2" xfId="15978"/>
    <cellStyle name="Input 2 9 2 2 2 3" xfId="15979"/>
    <cellStyle name="Input 2 9 2 2 2 4" xfId="15980"/>
    <cellStyle name="Input 2 9 2 2 3" xfId="15981"/>
    <cellStyle name="Input 2 9 2 2 3 2" xfId="15982"/>
    <cellStyle name="Input 2 9 2 2 3 3" xfId="15983"/>
    <cellStyle name="Input 2 9 2 2 3 4" xfId="15984"/>
    <cellStyle name="Input 2 9 2 2 4" xfId="15985"/>
    <cellStyle name="Input 2 9 2 2 4 2" xfId="15986"/>
    <cellStyle name="Input 2 9 2 2 4 3" xfId="15987"/>
    <cellStyle name="Input 2 9 2 2 4 4" xfId="15988"/>
    <cellStyle name="Input 2 9 2 2 5" xfId="15989"/>
    <cellStyle name="Input 2 9 2 2 6" xfId="15990"/>
    <cellStyle name="Input 2 9 2 2 7" xfId="15991"/>
    <cellStyle name="Input 2 9 2 3" xfId="15992"/>
    <cellStyle name="Input 2 9 2 3 2" xfId="15993"/>
    <cellStyle name="Input 2 9 2 3 2 2" xfId="15994"/>
    <cellStyle name="Input 2 9 2 3 2 3" xfId="15995"/>
    <cellStyle name="Input 2 9 2 3 2 4" xfId="15996"/>
    <cellStyle name="Input 2 9 2 3 3" xfId="15997"/>
    <cellStyle name="Input 2 9 2 3 3 2" xfId="15998"/>
    <cellStyle name="Input 2 9 2 3 3 3" xfId="15999"/>
    <cellStyle name="Input 2 9 2 3 3 4" xfId="16000"/>
    <cellStyle name="Input 2 9 2 3 4" xfId="16001"/>
    <cellStyle name="Input 2 9 2 3 4 2" xfId="16002"/>
    <cellStyle name="Input 2 9 2 3 4 3" xfId="16003"/>
    <cellStyle name="Input 2 9 2 3 4 4" xfId="16004"/>
    <cellStyle name="Input 2 9 2 3 5" xfId="16005"/>
    <cellStyle name="Input 2 9 2 3 6" xfId="16006"/>
    <cellStyle name="Input 2 9 2 3 7" xfId="16007"/>
    <cellStyle name="Input 2 9 2 4" xfId="16008"/>
    <cellStyle name="Input 2 9 2 4 2" xfId="16009"/>
    <cellStyle name="Input 2 9 2 4 2 2" xfId="16010"/>
    <cellStyle name="Input 2 9 2 4 2 3" xfId="16011"/>
    <cellStyle name="Input 2 9 2 4 2 4" xfId="16012"/>
    <cellStyle name="Input 2 9 2 4 3" xfId="16013"/>
    <cellStyle name="Input 2 9 2 4 3 2" xfId="16014"/>
    <cellStyle name="Input 2 9 2 4 3 3" xfId="16015"/>
    <cellStyle name="Input 2 9 2 4 3 4" xfId="16016"/>
    <cellStyle name="Input 2 9 2 4 4" xfId="16017"/>
    <cellStyle name="Input 2 9 2 4 4 2" xfId="16018"/>
    <cellStyle name="Input 2 9 2 4 4 3" xfId="16019"/>
    <cellStyle name="Input 2 9 2 4 4 4" xfId="16020"/>
    <cellStyle name="Input 2 9 2 4 5" xfId="16021"/>
    <cellStyle name="Input 2 9 2 4 6" xfId="16022"/>
    <cellStyle name="Input 2 9 2 4 7" xfId="16023"/>
    <cellStyle name="Input 2 9 2 5" xfId="16024"/>
    <cellStyle name="Input 2 9 2 5 2" xfId="16025"/>
    <cellStyle name="Input 2 9 2 5 2 2" xfId="16026"/>
    <cellStyle name="Input 2 9 2 5 2 3" xfId="16027"/>
    <cellStyle name="Input 2 9 2 5 2 4" xfId="16028"/>
    <cellStyle name="Input 2 9 2 5 3" xfId="16029"/>
    <cellStyle name="Input 2 9 2 5 3 2" xfId="16030"/>
    <cellStyle name="Input 2 9 2 5 3 3" xfId="16031"/>
    <cellStyle name="Input 2 9 2 5 3 4" xfId="16032"/>
    <cellStyle name="Input 2 9 2 5 4" xfId="16033"/>
    <cellStyle name="Input 2 9 2 5 4 2" xfId="16034"/>
    <cellStyle name="Input 2 9 2 5 4 3" xfId="16035"/>
    <cellStyle name="Input 2 9 2 5 4 4" xfId="16036"/>
    <cellStyle name="Input 2 9 2 5 5" xfId="16037"/>
    <cellStyle name="Input 2 9 2 5 6" xfId="16038"/>
    <cellStyle name="Input 2 9 2 5 7" xfId="16039"/>
    <cellStyle name="Input 2 9 2 6" xfId="16040"/>
    <cellStyle name="Input 2 9 2 6 2" xfId="16041"/>
    <cellStyle name="Input 2 9 2 6 2 2" xfId="16042"/>
    <cellStyle name="Input 2 9 2 6 2 3" xfId="16043"/>
    <cellStyle name="Input 2 9 2 6 2 4" xfId="16044"/>
    <cellStyle name="Input 2 9 2 6 3" xfId="16045"/>
    <cellStyle name="Input 2 9 2 6 3 2" xfId="16046"/>
    <cellStyle name="Input 2 9 2 6 3 3" xfId="16047"/>
    <cellStyle name="Input 2 9 2 6 3 4" xfId="16048"/>
    <cellStyle name="Input 2 9 2 6 4" xfId="16049"/>
    <cellStyle name="Input 2 9 2 6 4 2" xfId="16050"/>
    <cellStyle name="Input 2 9 2 6 4 3" xfId="16051"/>
    <cellStyle name="Input 2 9 2 6 4 4" xfId="16052"/>
    <cellStyle name="Input 2 9 2 6 5" xfId="16053"/>
    <cellStyle name="Input 2 9 2 6 6" xfId="16054"/>
    <cellStyle name="Input 2 9 2 6 7" xfId="16055"/>
    <cellStyle name="Input 2 9 2 7" xfId="16056"/>
    <cellStyle name="Input 2 9 2 7 2" xfId="16057"/>
    <cellStyle name="Input 2 9 2 7 3" xfId="16058"/>
    <cellStyle name="Input 2 9 2 7 4" xfId="16059"/>
    <cellStyle name="Input 2 9 2 8" xfId="16060"/>
    <cellStyle name="Input 2 9 2 8 2" xfId="16061"/>
    <cellStyle name="Input 2 9 2 8 3" xfId="16062"/>
    <cellStyle name="Input 2 9 2 8 4" xfId="16063"/>
    <cellStyle name="Input 2 9 2 9" xfId="16064"/>
    <cellStyle name="Input 2 9 2 9 2" xfId="16065"/>
    <cellStyle name="Input 2 9 2 9 3" xfId="16066"/>
    <cellStyle name="Input 2 9 2 9 4" xfId="16067"/>
    <cellStyle name="Input 2 9 3" xfId="779"/>
    <cellStyle name="Input 2 9 3 10" xfId="16068"/>
    <cellStyle name="Input 2 9 3 11" xfId="16069"/>
    <cellStyle name="Input 2 9 3 12" xfId="16070"/>
    <cellStyle name="Input 2 9 3 2" xfId="16071"/>
    <cellStyle name="Input 2 9 3 2 2" xfId="16072"/>
    <cellStyle name="Input 2 9 3 2 2 2" xfId="16073"/>
    <cellStyle name="Input 2 9 3 2 2 3" xfId="16074"/>
    <cellStyle name="Input 2 9 3 2 2 4" xfId="16075"/>
    <cellStyle name="Input 2 9 3 2 3" xfId="16076"/>
    <cellStyle name="Input 2 9 3 2 3 2" xfId="16077"/>
    <cellStyle name="Input 2 9 3 2 3 3" xfId="16078"/>
    <cellStyle name="Input 2 9 3 2 3 4" xfId="16079"/>
    <cellStyle name="Input 2 9 3 2 4" xfId="16080"/>
    <cellStyle name="Input 2 9 3 2 4 2" xfId="16081"/>
    <cellStyle name="Input 2 9 3 2 4 3" xfId="16082"/>
    <cellStyle name="Input 2 9 3 2 4 4" xfId="16083"/>
    <cellStyle name="Input 2 9 3 2 5" xfId="16084"/>
    <cellStyle name="Input 2 9 3 2 6" xfId="16085"/>
    <cellStyle name="Input 2 9 3 2 7" xfId="16086"/>
    <cellStyle name="Input 2 9 3 3" xfId="16087"/>
    <cellStyle name="Input 2 9 3 3 2" xfId="16088"/>
    <cellStyle name="Input 2 9 3 3 2 2" xfId="16089"/>
    <cellStyle name="Input 2 9 3 3 2 3" xfId="16090"/>
    <cellStyle name="Input 2 9 3 3 2 4" xfId="16091"/>
    <cellStyle name="Input 2 9 3 3 3" xfId="16092"/>
    <cellStyle name="Input 2 9 3 3 3 2" xfId="16093"/>
    <cellStyle name="Input 2 9 3 3 3 3" xfId="16094"/>
    <cellStyle name="Input 2 9 3 3 3 4" xfId="16095"/>
    <cellStyle name="Input 2 9 3 3 4" xfId="16096"/>
    <cellStyle name="Input 2 9 3 3 4 2" xfId="16097"/>
    <cellStyle name="Input 2 9 3 3 4 3" xfId="16098"/>
    <cellStyle name="Input 2 9 3 3 4 4" xfId="16099"/>
    <cellStyle name="Input 2 9 3 3 5" xfId="16100"/>
    <cellStyle name="Input 2 9 3 3 6" xfId="16101"/>
    <cellStyle name="Input 2 9 3 3 7" xfId="16102"/>
    <cellStyle name="Input 2 9 3 4" xfId="16103"/>
    <cellStyle name="Input 2 9 3 4 2" xfId="16104"/>
    <cellStyle name="Input 2 9 3 4 2 2" xfId="16105"/>
    <cellStyle name="Input 2 9 3 4 2 3" xfId="16106"/>
    <cellStyle name="Input 2 9 3 4 2 4" xfId="16107"/>
    <cellStyle name="Input 2 9 3 4 3" xfId="16108"/>
    <cellStyle name="Input 2 9 3 4 3 2" xfId="16109"/>
    <cellStyle name="Input 2 9 3 4 3 3" xfId="16110"/>
    <cellStyle name="Input 2 9 3 4 3 4" xfId="16111"/>
    <cellStyle name="Input 2 9 3 4 4" xfId="16112"/>
    <cellStyle name="Input 2 9 3 4 4 2" xfId="16113"/>
    <cellStyle name="Input 2 9 3 4 4 3" xfId="16114"/>
    <cellStyle name="Input 2 9 3 4 4 4" xfId="16115"/>
    <cellStyle name="Input 2 9 3 4 5" xfId="16116"/>
    <cellStyle name="Input 2 9 3 4 6" xfId="16117"/>
    <cellStyle name="Input 2 9 3 4 7" xfId="16118"/>
    <cellStyle name="Input 2 9 3 5" xfId="16119"/>
    <cellStyle name="Input 2 9 3 5 2" xfId="16120"/>
    <cellStyle name="Input 2 9 3 5 2 2" xfId="16121"/>
    <cellStyle name="Input 2 9 3 5 2 3" xfId="16122"/>
    <cellStyle name="Input 2 9 3 5 2 4" xfId="16123"/>
    <cellStyle name="Input 2 9 3 5 3" xfId="16124"/>
    <cellStyle name="Input 2 9 3 5 3 2" xfId="16125"/>
    <cellStyle name="Input 2 9 3 5 3 3" xfId="16126"/>
    <cellStyle name="Input 2 9 3 5 3 4" xfId="16127"/>
    <cellStyle name="Input 2 9 3 5 4" xfId="16128"/>
    <cellStyle name="Input 2 9 3 5 4 2" xfId="16129"/>
    <cellStyle name="Input 2 9 3 5 4 3" xfId="16130"/>
    <cellStyle name="Input 2 9 3 5 4 4" xfId="16131"/>
    <cellStyle name="Input 2 9 3 5 5" xfId="16132"/>
    <cellStyle name="Input 2 9 3 5 6" xfId="16133"/>
    <cellStyle name="Input 2 9 3 5 7" xfId="16134"/>
    <cellStyle name="Input 2 9 3 6" xfId="16135"/>
    <cellStyle name="Input 2 9 3 6 2" xfId="16136"/>
    <cellStyle name="Input 2 9 3 6 2 2" xfId="16137"/>
    <cellStyle name="Input 2 9 3 6 2 3" xfId="16138"/>
    <cellStyle name="Input 2 9 3 6 2 4" xfId="16139"/>
    <cellStyle name="Input 2 9 3 6 3" xfId="16140"/>
    <cellStyle name="Input 2 9 3 6 3 2" xfId="16141"/>
    <cellStyle name="Input 2 9 3 6 3 3" xfId="16142"/>
    <cellStyle name="Input 2 9 3 6 3 4" xfId="16143"/>
    <cellStyle name="Input 2 9 3 6 4" xfId="16144"/>
    <cellStyle name="Input 2 9 3 6 4 2" xfId="16145"/>
    <cellStyle name="Input 2 9 3 6 4 3" xfId="16146"/>
    <cellStyle name="Input 2 9 3 6 4 4" xfId="16147"/>
    <cellStyle name="Input 2 9 3 6 5" xfId="16148"/>
    <cellStyle name="Input 2 9 3 6 6" xfId="16149"/>
    <cellStyle name="Input 2 9 3 6 7" xfId="16150"/>
    <cellStyle name="Input 2 9 3 7" xfId="16151"/>
    <cellStyle name="Input 2 9 3 7 2" xfId="16152"/>
    <cellStyle name="Input 2 9 3 7 3" xfId="16153"/>
    <cellStyle name="Input 2 9 3 7 4" xfId="16154"/>
    <cellStyle name="Input 2 9 3 8" xfId="16155"/>
    <cellStyle name="Input 2 9 3 8 2" xfId="16156"/>
    <cellStyle name="Input 2 9 3 8 3" xfId="16157"/>
    <cellStyle name="Input 2 9 3 8 4" xfId="16158"/>
    <cellStyle name="Input 2 9 3 9" xfId="16159"/>
    <cellStyle name="Input 2 9 3 9 2" xfId="16160"/>
    <cellStyle name="Input 2 9 3 9 3" xfId="16161"/>
    <cellStyle name="Input 2 9 3 9 4" xfId="16162"/>
    <cellStyle name="Input 2 9 4" xfId="756"/>
    <cellStyle name="Input 2 9 4 10" xfId="16163"/>
    <cellStyle name="Input 2 9 4 11" xfId="16164"/>
    <cellStyle name="Input 2 9 4 12" xfId="16165"/>
    <cellStyle name="Input 2 9 4 2" xfId="16166"/>
    <cellStyle name="Input 2 9 4 2 2" xfId="16167"/>
    <cellStyle name="Input 2 9 4 2 2 2" xfId="16168"/>
    <cellStyle name="Input 2 9 4 2 2 3" xfId="16169"/>
    <cellStyle name="Input 2 9 4 2 2 4" xfId="16170"/>
    <cellStyle name="Input 2 9 4 2 3" xfId="16171"/>
    <cellStyle name="Input 2 9 4 2 3 2" xfId="16172"/>
    <cellStyle name="Input 2 9 4 2 3 3" xfId="16173"/>
    <cellStyle name="Input 2 9 4 2 3 4" xfId="16174"/>
    <cellStyle name="Input 2 9 4 2 4" xfId="16175"/>
    <cellStyle name="Input 2 9 4 2 4 2" xfId="16176"/>
    <cellStyle name="Input 2 9 4 2 4 3" xfId="16177"/>
    <cellStyle name="Input 2 9 4 2 4 4" xfId="16178"/>
    <cellStyle name="Input 2 9 4 2 5" xfId="16179"/>
    <cellStyle name="Input 2 9 4 2 6" xfId="16180"/>
    <cellStyle name="Input 2 9 4 2 7" xfId="16181"/>
    <cellStyle name="Input 2 9 4 3" xfId="16182"/>
    <cellStyle name="Input 2 9 4 3 2" xfId="16183"/>
    <cellStyle name="Input 2 9 4 3 2 2" xfId="16184"/>
    <cellStyle name="Input 2 9 4 3 2 3" xfId="16185"/>
    <cellStyle name="Input 2 9 4 3 2 4" xfId="16186"/>
    <cellStyle name="Input 2 9 4 3 3" xfId="16187"/>
    <cellStyle name="Input 2 9 4 3 3 2" xfId="16188"/>
    <cellStyle name="Input 2 9 4 3 3 3" xfId="16189"/>
    <cellStyle name="Input 2 9 4 3 3 4" xfId="16190"/>
    <cellStyle name="Input 2 9 4 3 4" xfId="16191"/>
    <cellStyle name="Input 2 9 4 3 4 2" xfId="16192"/>
    <cellStyle name="Input 2 9 4 3 4 3" xfId="16193"/>
    <cellStyle name="Input 2 9 4 3 4 4" xfId="16194"/>
    <cellStyle name="Input 2 9 4 3 5" xfId="16195"/>
    <cellStyle name="Input 2 9 4 3 6" xfId="16196"/>
    <cellStyle name="Input 2 9 4 3 7" xfId="16197"/>
    <cellStyle name="Input 2 9 4 4" xfId="16198"/>
    <cellStyle name="Input 2 9 4 4 2" xfId="16199"/>
    <cellStyle name="Input 2 9 4 4 2 2" xfId="16200"/>
    <cellStyle name="Input 2 9 4 4 2 3" xfId="16201"/>
    <cellStyle name="Input 2 9 4 4 2 4" xfId="16202"/>
    <cellStyle name="Input 2 9 4 4 3" xfId="16203"/>
    <cellStyle name="Input 2 9 4 4 3 2" xfId="16204"/>
    <cellStyle name="Input 2 9 4 4 3 3" xfId="16205"/>
    <cellStyle name="Input 2 9 4 4 3 4" xfId="16206"/>
    <cellStyle name="Input 2 9 4 4 4" xfId="16207"/>
    <cellStyle name="Input 2 9 4 4 4 2" xfId="16208"/>
    <cellStyle name="Input 2 9 4 4 4 3" xfId="16209"/>
    <cellStyle name="Input 2 9 4 4 4 4" xfId="16210"/>
    <cellStyle name="Input 2 9 4 4 5" xfId="16211"/>
    <cellStyle name="Input 2 9 4 4 6" xfId="16212"/>
    <cellStyle name="Input 2 9 4 4 7" xfId="16213"/>
    <cellStyle name="Input 2 9 4 5" xfId="16214"/>
    <cellStyle name="Input 2 9 4 5 2" xfId="16215"/>
    <cellStyle name="Input 2 9 4 5 2 2" xfId="16216"/>
    <cellStyle name="Input 2 9 4 5 2 3" xfId="16217"/>
    <cellStyle name="Input 2 9 4 5 2 4" xfId="16218"/>
    <cellStyle name="Input 2 9 4 5 3" xfId="16219"/>
    <cellStyle name="Input 2 9 4 5 3 2" xfId="16220"/>
    <cellStyle name="Input 2 9 4 5 3 3" xfId="16221"/>
    <cellStyle name="Input 2 9 4 5 3 4" xfId="16222"/>
    <cellStyle name="Input 2 9 4 5 4" xfId="16223"/>
    <cellStyle name="Input 2 9 4 5 4 2" xfId="16224"/>
    <cellStyle name="Input 2 9 4 5 4 3" xfId="16225"/>
    <cellStyle name="Input 2 9 4 5 4 4" xfId="16226"/>
    <cellStyle name="Input 2 9 4 5 5" xfId="16227"/>
    <cellStyle name="Input 2 9 4 5 6" xfId="16228"/>
    <cellStyle name="Input 2 9 4 5 7" xfId="16229"/>
    <cellStyle name="Input 2 9 4 6" xfId="16230"/>
    <cellStyle name="Input 2 9 4 6 2" xfId="16231"/>
    <cellStyle name="Input 2 9 4 6 2 2" xfId="16232"/>
    <cellStyle name="Input 2 9 4 6 2 3" xfId="16233"/>
    <cellStyle name="Input 2 9 4 6 2 4" xfId="16234"/>
    <cellStyle name="Input 2 9 4 6 3" xfId="16235"/>
    <cellStyle name="Input 2 9 4 6 3 2" xfId="16236"/>
    <cellStyle name="Input 2 9 4 6 3 3" xfId="16237"/>
    <cellStyle name="Input 2 9 4 6 3 4" xfId="16238"/>
    <cellStyle name="Input 2 9 4 6 4" xfId="16239"/>
    <cellStyle name="Input 2 9 4 6 4 2" xfId="16240"/>
    <cellStyle name="Input 2 9 4 6 4 3" xfId="16241"/>
    <cellStyle name="Input 2 9 4 6 4 4" xfId="16242"/>
    <cellStyle name="Input 2 9 4 6 5" xfId="16243"/>
    <cellStyle name="Input 2 9 4 6 6" xfId="16244"/>
    <cellStyle name="Input 2 9 4 6 7" xfId="16245"/>
    <cellStyle name="Input 2 9 4 7" xfId="16246"/>
    <cellStyle name="Input 2 9 4 7 2" xfId="16247"/>
    <cellStyle name="Input 2 9 4 7 3" xfId="16248"/>
    <cellStyle name="Input 2 9 4 7 4" xfId="16249"/>
    <cellStyle name="Input 2 9 4 8" xfId="16250"/>
    <cellStyle name="Input 2 9 4 8 2" xfId="16251"/>
    <cellStyle name="Input 2 9 4 8 3" xfId="16252"/>
    <cellStyle name="Input 2 9 4 8 4" xfId="16253"/>
    <cellStyle name="Input 2 9 4 9" xfId="16254"/>
    <cellStyle name="Input 2 9 4 9 2" xfId="16255"/>
    <cellStyle name="Input 2 9 4 9 3" xfId="16256"/>
    <cellStyle name="Input 2 9 4 9 4" xfId="16257"/>
    <cellStyle name="Input 2 9 5" xfId="16258"/>
    <cellStyle name="Input 2 9 5 10" xfId="16259"/>
    <cellStyle name="Input 2 9 5 11" xfId="16260"/>
    <cellStyle name="Input 2 9 5 12" xfId="16261"/>
    <cellStyle name="Input 2 9 5 2" xfId="16262"/>
    <cellStyle name="Input 2 9 5 2 2" xfId="16263"/>
    <cellStyle name="Input 2 9 5 2 2 2" xfId="16264"/>
    <cellStyle name="Input 2 9 5 2 2 3" xfId="16265"/>
    <cellStyle name="Input 2 9 5 2 2 4" xfId="16266"/>
    <cellStyle name="Input 2 9 5 2 3" xfId="16267"/>
    <cellStyle name="Input 2 9 5 2 3 2" xfId="16268"/>
    <cellStyle name="Input 2 9 5 2 3 3" xfId="16269"/>
    <cellStyle name="Input 2 9 5 2 3 4" xfId="16270"/>
    <cellStyle name="Input 2 9 5 2 4" xfId="16271"/>
    <cellStyle name="Input 2 9 5 2 4 2" xfId="16272"/>
    <cellStyle name="Input 2 9 5 2 4 3" xfId="16273"/>
    <cellStyle name="Input 2 9 5 2 4 4" xfId="16274"/>
    <cellStyle name="Input 2 9 5 2 5" xfId="16275"/>
    <cellStyle name="Input 2 9 5 2 6" xfId="16276"/>
    <cellStyle name="Input 2 9 5 2 7" xfId="16277"/>
    <cellStyle name="Input 2 9 5 3" xfId="16278"/>
    <cellStyle name="Input 2 9 5 3 2" xfId="16279"/>
    <cellStyle name="Input 2 9 5 3 2 2" xfId="16280"/>
    <cellStyle name="Input 2 9 5 3 2 3" xfId="16281"/>
    <cellStyle name="Input 2 9 5 3 2 4" xfId="16282"/>
    <cellStyle name="Input 2 9 5 3 3" xfId="16283"/>
    <cellStyle name="Input 2 9 5 3 3 2" xfId="16284"/>
    <cellStyle name="Input 2 9 5 3 3 3" xfId="16285"/>
    <cellStyle name="Input 2 9 5 3 3 4" xfId="16286"/>
    <cellStyle name="Input 2 9 5 3 4" xfId="16287"/>
    <cellStyle name="Input 2 9 5 3 4 2" xfId="16288"/>
    <cellStyle name="Input 2 9 5 3 4 3" xfId="16289"/>
    <cellStyle name="Input 2 9 5 3 4 4" xfId="16290"/>
    <cellStyle name="Input 2 9 5 3 5" xfId="16291"/>
    <cellStyle name="Input 2 9 5 3 6" xfId="16292"/>
    <cellStyle name="Input 2 9 5 3 7" xfId="16293"/>
    <cellStyle name="Input 2 9 5 4" xfId="16294"/>
    <cellStyle name="Input 2 9 5 4 2" xfId="16295"/>
    <cellStyle name="Input 2 9 5 4 2 2" xfId="16296"/>
    <cellStyle name="Input 2 9 5 4 2 3" xfId="16297"/>
    <cellStyle name="Input 2 9 5 4 2 4" xfId="16298"/>
    <cellStyle name="Input 2 9 5 4 3" xfId="16299"/>
    <cellStyle name="Input 2 9 5 4 3 2" xfId="16300"/>
    <cellStyle name="Input 2 9 5 4 3 3" xfId="16301"/>
    <cellStyle name="Input 2 9 5 4 3 4" xfId="16302"/>
    <cellStyle name="Input 2 9 5 4 4" xfId="16303"/>
    <cellStyle name="Input 2 9 5 4 4 2" xfId="16304"/>
    <cellStyle name="Input 2 9 5 4 4 3" xfId="16305"/>
    <cellStyle name="Input 2 9 5 4 4 4" xfId="16306"/>
    <cellStyle name="Input 2 9 5 4 5" xfId="16307"/>
    <cellStyle name="Input 2 9 5 4 6" xfId="16308"/>
    <cellStyle name="Input 2 9 5 4 7" xfId="16309"/>
    <cellStyle name="Input 2 9 5 5" xfId="16310"/>
    <cellStyle name="Input 2 9 5 5 2" xfId="16311"/>
    <cellStyle name="Input 2 9 5 5 2 2" xfId="16312"/>
    <cellStyle name="Input 2 9 5 5 2 3" xfId="16313"/>
    <cellStyle name="Input 2 9 5 5 2 4" xfId="16314"/>
    <cellStyle name="Input 2 9 5 5 3" xfId="16315"/>
    <cellStyle name="Input 2 9 5 5 3 2" xfId="16316"/>
    <cellStyle name="Input 2 9 5 5 3 3" xfId="16317"/>
    <cellStyle name="Input 2 9 5 5 3 4" xfId="16318"/>
    <cellStyle name="Input 2 9 5 5 4" xfId="16319"/>
    <cellStyle name="Input 2 9 5 5 4 2" xfId="16320"/>
    <cellStyle name="Input 2 9 5 5 4 3" xfId="16321"/>
    <cellStyle name="Input 2 9 5 5 4 4" xfId="16322"/>
    <cellStyle name="Input 2 9 5 5 5" xfId="16323"/>
    <cellStyle name="Input 2 9 5 5 6" xfId="16324"/>
    <cellStyle name="Input 2 9 5 5 7" xfId="16325"/>
    <cellStyle name="Input 2 9 5 6" xfId="16326"/>
    <cellStyle name="Input 2 9 5 6 2" xfId="16327"/>
    <cellStyle name="Input 2 9 5 6 2 2" xfId="16328"/>
    <cellStyle name="Input 2 9 5 6 2 3" xfId="16329"/>
    <cellStyle name="Input 2 9 5 6 2 4" xfId="16330"/>
    <cellStyle name="Input 2 9 5 6 3" xfId="16331"/>
    <cellStyle name="Input 2 9 5 6 3 2" xfId="16332"/>
    <cellStyle name="Input 2 9 5 6 3 3" xfId="16333"/>
    <cellStyle name="Input 2 9 5 6 3 4" xfId="16334"/>
    <cellStyle name="Input 2 9 5 6 4" xfId="16335"/>
    <cellStyle name="Input 2 9 5 6 4 2" xfId="16336"/>
    <cellStyle name="Input 2 9 5 6 4 3" xfId="16337"/>
    <cellStyle name="Input 2 9 5 6 4 4" xfId="16338"/>
    <cellStyle name="Input 2 9 5 6 5" xfId="16339"/>
    <cellStyle name="Input 2 9 5 6 6" xfId="16340"/>
    <cellStyle name="Input 2 9 5 6 7" xfId="16341"/>
    <cellStyle name="Input 2 9 5 7" xfId="16342"/>
    <cellStyle name="Input 2 9 5 7 2" xfId="16343"/>
    <cellStyle name="Input 2 9 5 7 3" xfId="16344"/>
    <cellStyle name="Input 2 9 5 7 4" xfId="16345"/>
    <cellStyle name="Input 2 9 5 8" xfId="16346"/>
    <cellStyle name="Input 2 9 5 8 2" xfId="16347"/>
    <cellStyle name="Input 2 9 5 8 3" xfId="16348"/>
    <cellStyle name="Input 2 9 5 8 4" xfId="16349"/>
    <cellStyle name="Input 2 9 5 9" xfId="16350"/>
    <cellStyle name="Input 2 9 5 9 2" xfId="16351"/>
    <cellStyle name="Input 2 9 5 9 3" xfId="16352"/>
    <cellStyle name="Input 2 9 5 9 4" xfId="16353"/>
    <cellStyle name="Input 2 9 6" xfId="16354"/>
    <cellStyle name="Input 2 9 6 2" xfId="16355"/>
    <cellStyle name="Input 2 9 6 2 2" xfId="16356"/>
    <cellStyle name="Input 2 9 6 2 3" xfId="16357"/>
    <cellStyle name="Input 2 9 6 2 4" xfId="16358"/>
    <cellStyle name="Input 2 9 6 3" xfId="16359"/>
    <cellStyle name="Input 2 9 6 3 2" xfId="16360"/>
    <cellStyle name="Input 2 9 6 3 3" xfId="16361"/>
    <cellStyle name="Input 2 9 6 3 4" xfId="16362"/>
    <cellStyle name="Input 2 9 6 4" xfId="16363"/>
    <cellStyle name="Input 2 9 6 4 2" xfId="16364"/>
    <cellStyle name="Input 2 9 6 4 3" xfId="16365"/>
    <cellStyle name="Input 2 9 6 4 4" xfId="16366"/>
    <cellStyle name="Input 2 9 6 5" xfId="16367"/>
    <cellStyle name="Input 2 9 6 6" xfId="16368"/>
    <cellStyle name="Input 2 9 6 7" xfId="16369"/>
    <cellStyle name="Input 2 9 7" xfId="16370"/>
    <cellStyle name="Input 2 9 7 2" xfId="16371"/>
    <cellStyle name="Input 2 9 7 2 2" xfId="16372"/>
    <cellStyle name="Input 2 9 7 2 3" xfId="16373"/>
    <cellStyle name="Input 2 9 7 2 4" xfId="16374"/>
    <cellStyle name="Input 2 9 7 3" xfId="16375"/>
    <cellStyle name="Input 2 9 7 3 2" xfId="16376"/>
    <cellStyle name="Input 2 9 7 3 3" xfId="16377"/>
    <cellStyle name="Input 2 9 7 3 4" xfId="16378"/>
    <cellStyle name="Input 2 9 7 4" xfId="16379"/>
    <cellStyle name="Input 2 9 7 4 2" xfId="16380"/>
    <cellStyle name="Input 2 9 7 4 3" xfId="16381"/>
    <cellStyle name="Input 2 9 7 4 4" xfId="16382"/>
    <cellStyle name="Input 2 9 7 5" xfId="16383"/>
    <cellStyle name="Input 2 9 7 6" xfId="16384"/>
    <cellStyle name="Input 2 9 7 7" xfId="16385"/>
    <cellStyle name="Input 2 9 8" xfId="16386"/>
    <cellStyle name="Input 2 9 8 2" xfId="16387"/>
    <cellStyle name="Input 2 9 8 2 2" xfId="16388"/>
    <cellStyle name="Input 2 9 8 2 3" xfId="16389"/>
    <cellStyle name="Input 2 9 8 2 4" xfId="16390"/>
    <cellStyle name="Input 2 9 8 3" xfId="16391"/>
    <cellStyle name="Input 2 9 8 3 2" xfId="16392"/>
    <cellStyle name="Input 2 9 8 3 3" xfId="16393"/>
    <cellStyle name="Input 2 9 8 3 4" xfId="16394"/>
    <cellStyle name="Input 2 9 8 4" xfId="16395"/>
    <cellStyle name="Input 2 9 8 4 2" xfId="16396"/>
    <cellStyle name="Input 2 9 8 4 3" xfId="16397"/>
    <cellStyle name="Input 2 9 8 4 4" xfId="16398"/>
    <cellStyle name="Input 2 9 8 5" xfId="16399"/>
    <cellStyle name="Input 2 9 8 6" xfId="16400"/>
    <cellStyle name="Input 2 9 8 7" xfId="16401"/>
    <cellStyle name="Input 2 9 9" xfId="16402"/>
    <cellStyle name="Input 2 9 9 2" xfId="16403"/>
    <cellStyle name="Input 2 9 9 2 2" xfId="16404"/>
    <cellStyle name="Input 2 9 9 2 3" xfId="16405"/>
    <cellStyle name="Input 2 9 9 2 4" xfId="16406"/>
    <cellStyle name="Input 2 9 9 3" xfId="16407"/>
    <cellStyle name="Input 2 9 9 3 2" xfId="16408"/>
    <cellStyle name="Input 2 9 9 3 3" xfId="16409"/>
    <cellStyle name="Input 2 9 9 3 4" xfId="16410"/>
    <cellStyle name="Input 2 9 9 4" xfId="16411"/>
    <cellStyle name="Input 2 9 9 4 2" xfId="16412"/>
    <cellStyle name="Input 2 9 9 4 3" xfId="16413"/>
    <cellStyle name="Input 2 9 9 4 4" xfId="16414"/>
    <cellStyle name="Input 2 9 9 5" xfId="16415"/>
    <cellStyle name="Input 2 9 9 6" xfId="16416"/>
    <cellStyle name="Input 2 9 9 7" xfId="16417"/>
    <cellStyle name="Input 2_2011 Gas Production savings by program 7.27.12 eval w 2-14-14 changes" xfId="1203"/>
    <cellStyle name="Input 3" xfId="103"/>
    <cellStyle name="Input 3 2" xfId="580"/>
    <cellStyle name="Input 3 2 10" xfId="16418"/>
    <cellStyle name="Input 3 2 10 2" xfId="16419"/>
    <cellStyle name="Input 3 2 10 2 2" xfId="16420"/>
    <cellStyle name="Input 3 2 10 2 3" xfId="16421"/>
    <cellStyle name="Input 3 2 10 2 4" xfId="16422"/>
    <cellStyle name="Input 3 2 10 3" xfId="16423"/>
    <cellStyle name="Input 3 2 10 3 2" xfId="16424"/>
    <cellStyle name="Input 3 2 10 3 3" xfId="16425"/>
    <cellStyle name="Input 3 2 10 3 4" xfId="16426"/>
    <cellStyle name="Input 3 2 10 4" xfId="16427"/>
    <cellStyle name="Input 3 2 10 4 2" xfId="16428"/>
    <cellStyle name="Input 3 2 10 4 3" xfId="16429"/>
    <cellStyle name="Input 3 2 10 4 4" xfId="16430"/>
    <cellStyle name="Input 3 2 10 5" xfId="16431"/>
    <cellStyle name="Input 3 2 10 6" xfId="16432"/>
    <cellStyle name="Input 3 2 10 7" xfId="16433"/>
    <cellStyle name="Input 3 2 11" xfId="16434"/>
    <cellStyle name="Input 3 2 11 2" xfId="16435"/>
    <cellStyle name="Input 3 2 11 2 2" xfId="16436"/>
    <cellStyle name="Input 3 2 11 2 3" xfId="16437"/>
    <cellStyle name="Input 3 2 11 2 4" xfId="16438"/>
    <cellStyle name="Input 3 2 11 3" xfId="16439"/>
    <cellStyle name="Input 3 2 11 3 2" xfId="16440"/>
    <cellStyle name="Input 3 2 11 3 3" xfId="16441"/>
    <cellStyle name="Input 3 2 11 3 4" xfId="16442"/>
    <cellStyle name="Input 3 2 11 4" xfId="16443"/>
    <cellStyle name="Input 3 2 11 4 2" xfId="16444"/>
    <cellStyle name="Input 3 2 11 4 3" xfId="16445"/>
    <cellStyle name="Input 3 2 11 4 4" xfId="16446"/>
    <cellStyle name="Input 3 2 11 5" xfId="16447"/>
    <cellStyle name="Input 3 2 11 6" xfId="16448"/>
    <cellStyle name="Input 3 2 11 7" xfId="16449"/>
    <cellStyle name="Input 3 2 12" xfId="16450"/>
    <cellStyle name="Input 3 2 12 2" xfId="16451"/>
    <cellStyle name="Input 3 2 12 2 2" xfId="16452"/>
    <cellStyle name="Input 3 2 12 2 3" xfId="16453"/>
    <cellStyle name="Input 3 2 12 2 4" xfId="16454"/>
    <cellStyle name="Input 3 2 12 3" xfId="16455"/>
    <cellStyle name="Input 3 2 12 3 2" xfId="16456"/>
    <cellStyle name="Input 3 2 12 3 3" xfId="16457"/>
    <cellStyle name="Input 3 2 12 3 4" xfId="16458"/>
    <cellStyle name="Input 3 2 12 4" xfId="16459"/>
    <cellStyle name="Input 3 2 12 4 2" xfId="16460"/>
    <cellStyle name="Input 3 2 12 4 3" xfId="16461"/>
    <cellStyle name="Input 3 2 12 4 4" xfId="16462"/>
    <cellStyle name="Input 3 2 12 5" xfId="16463"/>
    <cellStyle name="Input 3 2 12 6" xfId="16464"/>
    <cellStyle name="Input 3 2 12 7" xfId="16465"/>
    <cellStyle name="Input 3 2 13" xfId="16466"/>
    <cellStyle name="Input 3 2 13 2" xfId="16467"/>
    <cellStyle name="Input 3 2 13 2 2" xfId="16468"/>
    <cellStyle name="Input 3 2 13 2 3" xfId="16469"/>
    <cellStyle name="Input 3 2 13 2 4" xfId="16470"/>
    <cellStyle name="Input 3 2 13 3" xfId="16471"/>
    <cellStyle name="Input 3 2 13 3 2" xfId="16472"/>
    <cellStyle name="Input 3 2 13 3 3" xfId="16473"/>
    <cellStyle name="Input 3 2 13 3 4" xfId="16474"/>
    <cellStyle name="Input 3 2 13 4" xfId="16475"/>
    <cellStyle name="Input 3 2 13 4 2" xfId="16476"/>
    <cellStyle name="Input 3 2 13 4 3" xfId="16477"/>
    <cellStyle name="Input 3 2 13 4 4" xfId="16478"/>
    <cellStyle name="Input 3 2 13 5" xfId="16479"/>
    <cellStyle name="Input 3 2 13 6" xfId="16480"/>
    <cellStyle name="Input 3 2 13 7" xfId="16481"/>
    <cellStyle name="Input 3 2 14" xfId="16482"/>
    <cellStyle name="Input 3 2 14 2" xfId="16483"/>
    <cellStyle name="Input 3 2 14 3" xfId="16484"/>
    <cellStyle name="Input 3 2 14 4" xfId="16485"/>
    <cellStyle name="Input 3 2 15" xfId="16486"/>
    <cellStyle name="Input 3 2 15 2" xfId="16487"/>
    <cellStyle name="Input 3 2 15 3" xfId="16488"/>
    <cellStyle name="Input 3 2 15 4" xfId="16489"/>
    <cellStyle name="Input 3 2 16" xfId="16490"/>
    <cellStyle name="Input 3 2 16 2" xfId="16491"/>
    <cellStyle name="Input 3 2 16 3" xfId="16492"/>
    <cellStyle name="Input 3 2 16 4" xfId="16493"/>
    <cellStyle name="Input 3 2 17" xfId="16494"/>
    <cellStyle name="Input 3 2 18" xfId="16495"/>
    <cellStyle name="Input 3 2 19" xfId="16496"/>
    <cellStyle name="Input 3 2 2" xfId="581"/>
    <cellStyle name="Input 3 2 2 10" xfId="16497"/>
    <cellStyle name="Input 3 2 2 11" xfId="16498"/>
    <cellStyle name="Input 3 2 2 12" xfId="16499"/>
    <cellStyle name="Input 3 2 2 2" xfId="862"/>
    <cellStyle name="Input 3 2 2 2 2" xfId="16500"/>
    <cellStyle name="Input 3 2 2 2 2 2" xfId="16501"/>
    <cellStyle name="Input 3 2 2 2 2 3" xfId="16502"/>
    <cellStyle name="Input 3 2 2 2 2 4" xfId="16503"/>
    <cellStyle name="Input 3 2 2 2 3" xfId="16504"/>
    <cellStyle name="Input 3 2 2 2 3 2" xfId="16505"/>
    <cellStyle name="Input 3 2 2 2 3 3" xfId="16506"/>
    <cellStyle name="Input 3 2 2 2 3 4" xfId="16507"/>
    <cellStyle name="Input 3 2 2 2 4" xfId="16508"/>
    <cellStyle name="Input 3 2 2 2 4 2" xfId="16509"/>
    <cellStyle name="Input 3 2 2 2 4 3" xfId="16510"/>
    <cellStyle name="Input 3 2 2 2 4 4" xfId="16511"/>
    <cellStyle name="Input 3 2 2 2 5" xfId="16512"/>
    <cellStyle name="Input 3 2 2 2 6" xfId="16513"/>
    <cellStyle name="Input 3 2 2 2 7" xfId="16514"/>
    <cellStyle name="Input 3 2 2 3" xfId="831"/>
    <cellStyle name="Input 3 2 2 3 2" xfId="16515"/>
    <cellStyle name="Input 3 2 2 3 2 2" xfId="16516"/>
    <cellStyle name="Input 3 2 2 3 2 3" xfId="16517"/>
    <cellStyle name="Input 3 2 2 3 2 4" xfId="16518"/>
    <cellStyle name="Input 3 2 2 3 3" xfId="16519"/>
    <cellStyle name="Input 3 2 2 3 3 2" xfId="16520"/>
    <cellStyle name="Input 3 2 2 3 3 3" xfId="16521"/>
    <cellStyle name="Input 3 2 2 3 3 4" xfId="16522"/>
    <cellStyle name="Input 3 2 2 3 4" xfId="16523"/>
    <cellStyle name="Input 3 2 2 3 4 2" xfId="16524"/>
    <cellStyle name="Input 3 2 2 3 4 3" xfId="16525"/>
    <cellStyle name="Input 3 2 2 3 4 4" xfId="16526"/>
    <cellStyle name="Input 3 2 2 3 5" xfId="16527"/>
    <cellStyle name="Input 3 2 2 3 6" xfId="16528"/>
    <cellStyle name="Input 3 2 2 3 7" xfId="16529"/>
    <cellStyle name="Input 3 2 2 4" xfId="845"/>
    <cellStyle name="Input 3 2 2 4 2" xfId="16530"/>
    <cellStyle name="Input 3 2 2 4 2 2" xfId="16531"/>
    <cellStyle name="Input 3 2 2 4 2 3" xfId="16532"/>
    <cellStyle name="Input 3 2 2 4 2 4" xfId="16533"/>
    <cellStyle name="Input 3 2 2 4 3" xfId="16534"/>
    <cellStyle name="Input 3 2 2 4 3 2" xfId="16535"/>
    <cellStyle name="Input 3 2 2 4 3 3" xfId="16536"/>
    <cellStyle name="Input 3 2 2 4 3 4" xfId="16537"/>
    <cellStyle name="Input 3 2 2 4 4" xfId="16538"/>
    <cellStyle name="Input 3 2 2 4 4 2" xfId="16539"/>
    <cellStyle name="Input 3 2 2 4 4 3" xfId="16540"/>
    <cellStyle name="Input 3 2 2 4 4 4" xfId="16541"/>
    <cellStyle name="Input 3 2 2 4 5" xfId="16542"/>
    <cellStyle name="Input 3 2 2 4 6" xfId="16543"/>
    <cellStyle name="Input 3 2 2 4 7" xfId="16544"/>
    <cellStyle name="Input 3 2 2 5" xfId="16545"/>
    <cellStyle name="Input 3 2 2 5 2" xfId="16546"/>
    <cellStyle name="Input 3 2 2 5 2 2" xfId="16547"/>
    <cellStyle name="Input 3 2 2 5 2 3" xfId="16548"/>
    <cellStyle name="Input 3 2 2 5 2 4" xfId="16549"/>
    <cellStyle name="Input 3 2 2 5 3" xfId="16550"/>
    <cellStyle name="Input 3 2 2 5 3 2" xfId="16551"/>
    <cellStyle name="Input 3 2 2 5 3 3" xfId="16552"/>
    <cellStyle name="Input 3 2 2 5 3 4" xfId="16553"/>
    <cellStyle name="Input 3 2 2 5 4" xfId="16554"/>
    <cellStyle name="Input 3 2 2 5 4 2" xfId="16555"/>
    <cellStyle name="Input 3 2 2 5 4 3" xfId="16556"/>
    <cellStyle name="Input 3 2 2 5 4 4" xfId="16557"/>
    <cellStyle name="Input 3 2 2 5 5" xfId="16558"/>
    <cellStyle name="Input 3 2 2 5 6" xfId="16559"/>
    <cellStyle name="Input 3 2 2 5 7" xfId="16560"/>
    <cellStyle name="Input 3 2 2 6" xfId="16561"/>
    <cellStyle name="Input 3 2 2 6 2" xfId="16562"/>
    <cellStyle name="Input 3 2 2 6 2 2" xfId="16563"/>
    <cellStyle name="Input 3 2 2 6 2 3" xfId="16564"/>
    <cellStyle name="Input 3 2 2 6 2 4" xfId="16565"/>
    <cellStyle name="Input 3 2 2 6 3" xfId="16566"/>
    <cellStyle name="Input 3 2 2 6 3 2" xfId="16567"/>
    <cellStyle name="Input 3 2 2 6 3 3" xfId="16568"/>
    <cellStyle name="Input 3 2 2 6 3 4" xfId="16569"/>
    <cellStyle name="Input 3 2 2 6 4" xfId="16570"/>
    <cellStyle name="Input 3 2 2 6 4 2" xfId="16571"/>
    <cellStyle name="Input 3 2 2 6 4 3" xfId="16572"/>
    <cellStyle name="Input 3 2 2 6 4 4" xfId="16573"/>
    <cellStyle name="Input 3 2 2 6 5" xfId="16574"/>
    <cellStyle name="Input 3 2 2 6 6" xfId="16575"/>
    <cellStyle name="Input 3 2 2 6 7" xfId="16576"/>
    <cellStyle name="Input 3 2 2 7" xfId="16577"/>
    <cellStyle name="Input 3 2 2 7 2" xfId="16578"/>
    <cellStyle name="Input 3 2 2 7 3" xfId="16579"/>
    <cellStyle name="Input 3 2 2 7 4" xfId="16580"/>
    <cellStyle name="Input 3 2 2 8" xfId="16581"/>
    <cellStyle name="Input 3 2 2 8 2" xfId="16582"/>
    <cellStyle name="Input 3 2 2 8 3" xfId="16583"/>
    <cellStyle name="Input 3 2 2 8 4" xfId="16584"/>
    <cellStyle name="Input 3 2 2 9" xfId="16585"/>
    <cellStyle name="Input 3 2 2 9 2" xfId="16586"/>
    <cellStyle name="Input 3 2 2 9 3" xfId="16587"/>
    <cellStyle name="Input 3 2 2 9 4" xfId="16588"/>
    <cellStyle name="Input 3 2 3" xfId="861"/>
    <cellStyle name="Input 3 2 3 10" xfId="16589"/>
    <cellStyle name="Input 3 2 3 11" xfId="16590"/>
    <cellStyle name="Input 3 2 3 12" xfId="16591"/>
    <cellStyle name="Input 3 2 3 2" xfId="16592"/>
    <cellStyle name="Input 3 2 3 2 2" xfId="16593"/>
    <cellStyle name="Input 3 2 3 2 2 2" xfId="16594"/>
    <cellStyle name="Input 3 2 3 2 2 3" xfId="16595"/>
    <cellStyle name="Input 3 2 3 2 2 4" xfId="16596"/>
    <cellStyle name="Input 3 2 3 2 3" xfId="16597"/>
    <cellStyle name="Input 3 2 3 2 3 2" xfId="16598"/>
    <cellStyle name="Input 3 2 3 2 3 3" xfId="16599"/>
    <cellStyle name="Input 3 2 3 2 3 4" xfId="16600"/>
    <cellStyle name="Input 3 2 3 2 4" xfId="16601"/>
    <cellStyle name="Input 3 2 3 2 4 2" xfId="16602"/>
    <cellStyle name="Input 3 2 3 2 4 3" xfId="16603"/>
    <cellStyle name="Input 3 2 3 2 4 4" xfId="16604"/>
    <cellStyle name="Input 3 2 3 2 5" xfId="16605"/>
    <cellStyle name="Input 3 2 3 2 6" xfId="16606"/>
    <cellStyle name="Input 3 2 3 2 7" xfId="16607"/>
    <cellStyle name="Input 3 2 3 3" xfId="16608"/>
    <cellStyle name="Input 3 2 3 3 2" xfId="16609"/>
    <cellStyle name="Input 3 2 3 3 2 2" xfId="16610"/>
    <cellStyle name="Input 3 2 3 3 2 3" xfId="16611"/>
    <cellStyle name="Input 3 2 3 3 2 4" xfId="16612"/>
    <cellStyle name="Input 3 2 3 3 3" xfId="16613"/>
    <cellStyle name="Input 3 2 3 3 3 2" xfId="16614"/>
    <cellStyle name="Input 3 2 3 3 3 3" xfId="16615"/>
    <cellStyle name="Input 3 2 3 3 3 4" xfId="16616"/>
    <cellStyle name="Input 3 2 3 3 4" xfId="16617"/>
    <cellStyle name="Input 3 2 3 3 4 2" xfId="16618"/>
    <cellStyle name="Input 3 2 3 3 4 3" xfId="16619"/>
    <cellStyle name="Input 3 2 3 3 4 4" xfId="16620"/>
    <cellStyle name="Input 3 2 3 3 5" xfId="16621"/>
    <cellStyle name="Input 3 2 3 3 6" xfId="16622"/>
    <cellStyle name="Input 3 2 3 3 7" xfId="16623"/>
    <cellStyle name="Input 3 2 3 4" xfId="16624"/>
    <cellStyle name="Input 3 2 3 4 2" xfId="16625"/>
    <cellStyle name="Input 3 2 3 4 2 2" xfId="16626"/>
    <cellStyle name="Input 3 2 3 4 2 3" xfId="16627"/>
    <cellStyle name="Input 3 2 3 4 2 4" xfId="16628"/>
    <cellStyle name="Input 3 2 3 4 3" xfId="16629"/>
    <cellStyle name="Input 3 2 3 4 3 2" xfId="16630"/>
    <cellStyle name="Input 3 2 3 4 3 3" xfId="16631"/>
    <cellStyle name="Input 3 2 3 4 3 4" xfId="16632"/>
    <cellStyle name="Input 3 2 3 4 4" xfId="16633"/>
    <cellStyle name="Input 3 2 3 4 4 2" xfId="16634"/>
    <cellStyle name="Input 3 2 3 4 4 3" xfId="16635"/>
    <cellStyle name="Input 3 2 3 4 4 4" xfId="16636"/>
    <cellStyle name="Input 3 2 3 4 5" xfId="16637"/>
    <cellStyle name="Input 3 2 3 4 6" xfId="16638"/>
    <cellStyle name="Input 3 2 3 4 7" xfId="16639"/>
    <cellStyle name="Input 3 2 3 5" xfId="16640"/>
    <cellStyle name="Input 3 2 3 5 2" xfId="16641"/>
    <cellStyle name="Input 3 2 3 5 2 2" xfId="16642"/>
    <cellStyle name="Input 3 2 3 5 2 3" xfId="16643"/>
    <cellStyle name="Input 3 2 3 5 2 4" xfId="16644"/>
    <cellStyle name="Input 3 2 3 5 3" xfId="16645"/>
    <cellStyle name="Input 3 2 3 5 3 2" xfId="16646"/>
    <cellStyle name="Input 3 2 3 5 3 3" xfId="16647"/>
    <cellStyle name="Input 3 2 3 5 3 4" xfId="16648"/>
    <cellStyle name="Input 3 2 3 5 4" xfId="16649"/>
    <cellStyle name="Input 3 2 3 5 4 2" xfId="16650"/>
    <cellStyle name="Input 3 2 3 5 4 3" xfId="16651"/>
    <cellStyle name="Input 3 2 3 5 4 4" xfId="16652"/>
    <cellStyle name="Input 3 2 3 5 5" xfId="16653"/>
    <cellStyle name="Input 3 2 3 5 6" xfId="16654"/>
    <cellStyle name="Input 3 2 3 5 7" xfId="16655"/>
    <cellStyle name="Input 3 2 3 6" xfId="16656"/>
    <cellStyle name="Input 3 2 3 6 2" xfId="16657"/>
    <cellStyle name="Input 3 2 3 6 2 2" xfId="16658"/>
    <cellStyle name="Input 3 2 3 6 2 3" xfId="16659"/>
    <cellStyle name="Input 3 2 3 6 2 4" xfId="16660"/>
    <cellStyle name="Input 3 2 3 6 3" xfId="16661"/>
    <cellStyle name="Input 3 2 3 6 3 2" xfId="16662"/>
    <cellStyle name="Input 3 2 3 6 3 3" xfId="16663"/>
    <cellStyle name="Input 3 2 3 6 3 4" xfId="16664"/>
    <cellStyle name="Input 3 2 3 6 4" xfId="16665"/>
    <cellStyle name="Input 3 2 3 6 4 2" xfId="16666"/>
    <cellStyle name="Input 3 2 3 6 4 3" xfId="16667"/>
    <cellStyle name="Input 3 2 3 6 4 4" xfId="16668"/>
    <cellStyle name="Input 3 2 3 6 5" xfId="16669"/>
    <cellStyle name="Input 3 2 3 6 6" xfId="16670"/>
    <cellStyle name="Input 3 2 3 6 7" xfId="16671"/>
    <cellStyle name="Input 3 2 3 7" xfId="16672"/>
    <cellStyle name="Input 3 2 3 7 2" xfId="16673"/>
    <cellStyle name="Input 3 2 3 7 3" xfId="16674"/>
    <cellStyle name="Input 3 2 3 7 4" xfId="16675"/>
    <cellStyle name="Input 3 2 3 8" xfId="16676"/>
    <cellStyle name="Input 3 2 3 8 2" xfId="16677"/>
    <cellStyle name="Input 3 2 3 8 3" xfId="16678"/>
    <cellStyle name="Input 3 2 3 8 4" xfId="16679"/>
    <cellStyle name="Input 3 2 3 9" xfId="16680"/>
    <cellStyle name="Input 3 2 3 9 2" xfId="16681"/>
    <cellStyle name="Input 3 2 3 9 3" xfId="16682"/>
    <cellStyle name="Input 3 2 3 9 4" xfId="16683"/>
    <cellStyle name="Input 3 2 4" xfId="839"/>
    <cellStyle name="Input 3 2 4 10" xfId="16684"/>
    <cellStyle name="Input 3 2 4 11" xfId="16685"/>
    <cellStyle name="Input 3 2 4 12" xfId="16686"/>
    <cellStyle name="Input 3 2 4 2" xfId="16687"/>
    <cellStyle name="Input 3 2 4 2 2" xfId="16688"/>
    <cellStyle name="Input 3 2 4 2 2 2" xfId="16689"/>
    <cellStyle name="Input 3 2 4 2 2 3" xfId="16690"/>
    <cellStyle name="Input 3 2 4 2 2 4" xfId="16691"/>
    <cellStyle name="Input 3 2 4 2 3" xfId="16692"/>
    <cellStyle name="Input 3 2 4 2 3 2" xfId="16693"/>
    <cellStyle name="Input 3 2 4 2 3 3" xfId="16694"/>
    <cellStyle name="Input 3 2 4 2 3 4" xfId="16695"/>
    <cellStyle name="Input 3 2 4 2 4" xfId="16696"/>
    <cellStyle name="Input 3 2 4 2 4 2" xfId="16697"/>
    <cellStyle name="Input 3 2 4 2 4 3" xfId="16698"/>
    <cellStyle name="Input 3 2 4 2 4 4" xfId="16699"/>
    <cellStyle name="Input 3 2 4 2 5" xfId="16700"/>
    <cellStyle name="Input 3 2 4 2 6" xfId="16701"/>
    <cellStyle name="Input 3 2 4 2 7" xfId="16702"/>
    <cellStyle name="Input 3 2 4 3" xfId="16703"/>
    <cellStyle name="Input 3 2 4 3 2" xfId="16704"/>
    <cellStyle name="Input 3 2 4 3 2 2" xfId="16705"/>
    <cellStyle name="Input 3 2 4 3 2 3" xfId="16706"/>
    <cellStyle name="Input 3 2 4 3 2 4" xfId="16707"/>
    <cellStyle name="Input 3 2 4 3 3" xfId="16708"/>
    <cellStyle name="Input 3 2 4 3 3 2" xfId="16709"/>
    <cellStyle name="Input 3 2 4 3 3 3" xfId="16710"/>
    <cellStyle name="Input 3 2 4 3 3 4" xfId="16711"/>
    <cellStyle name="Input 3 2 4 3 4" xfId="16712"/>
    <cellStyle name="Input 3 2 4 3 4 2" xfId="16713"/>
    <cellStyle name="Input 3 2 4 3 4 3" xfId="16714"/>
    <cellStyle name="Input 3 2 4 3 4 4" xfId="16715"/>
    <cellStyle name="Input 3 2 4 3 5" xfId="16716"/>
    <cellStyle name="Input 3 2 4 3 6" xfId="16717"/>
    <cellStyle name="Input 3 2 4 3 7" xfId="16718"/>
    <cellStyle name="Input 3 2 4 4" xfId="16719"/>
    <cellStyle name="Input 3 2 4 4 2" xfId="16720"/>
    <cellStyle name="Input 3 2 4 4 2 2" xfId="16721"/>
    <cellStyle name="Input 3 2 4 4 2 3" xfId="16722"/>
    <cellStyle name="Input 3 2 4 4 2 4" xfId="16723"/>
    <cellStyle name="Input 3 2 4 4 3" xfId="16724"/>
    <cellStyle name="Input 3 2 4 4 3 2" xfId="16725"/>
    <cellStyle name="Input 3 2 4 4 3 3" xfId="16726"/>
    <cellStyle name="Input 3 2 4 4 3 4" xfId="16727"/>
    <cellStyle name="Input 3 2 4 4 4" xfId="16728"/>
    <cellStyle name="Input 3 2 4 4 4 2" xfId="16729"/>
    <cellStyle name="Input 3 2 4 4 4 3" xfId="16730"/>
    <cellStyle name="Input 3 2 4 4 4 4" xfId="16731"/>
    <cellStyle name="Input 3 2 4 4 5" xfId="16732"/>
    <cellStyle name="Input 3 2 4 4 6" xfId="16733"/>
    <cellStyle name="Input 3 2 4 4 7" xfId="16734"/>
    <cellStyle name="Input 3 2 4 5" xfId="16735"/>
    <cellStyle name="Input 3 2 4 5 2" xfId="16736"/>
    <cellStyle name="Input 3 2 4 5 2 2" xfId="16737"/>
    <cellStyle name="Input 3 2 4 5 2 3" xfId="16738"/>
    <cellStyle name="Input 3 2 4 5 2 4" xfId="16739"/>
    <cellStyle name="Input 3 2 4 5 3" xfId="16740"/>
    <cellStyle name="Input 3 2 4 5 3 2" xfId="16741"/>
    <cellStyle name="Input 3 2 4 5 3 3" xfId="16742"/>
    <cellStyle name="Input 3 2 4 5 3 4" xfId="16743"/>
    <cellStyle name="Input 3 2 4 5 4" xfId="16744"/>
    <cellStyle name="Input 3 2 4 5 4 2" xfId="16745"/>
    <cellStyle name="Input 3 2 4 5 4 3" xfId="16746"/>
    <cellStyle name="Input 3 2 4 5 4 4" xfId="16747"/>
    <cellStyle name="Input 3 2 4 5 5" xfId="16748"/>
    <cellStyle name="Input 3 2 4 5 6" xfId="16749"/>
    <cellStyle name="Input 3 2 4 5 7" xfId="16750"/>
    <cellStyle name="Input 3 2 4 6" xfId="16751"/>
    <cellStyle name="Input 3 2 4 6 2" xfId="16752"/>
    <cellStyle name="Input 3 2 4 6 2 2" xfId="16753"/>
    <cellStyle name="Input 3 2 4 6 2 3" xfId="16754"/>
    <cellStyle name="Input 3 2 4 6 2 4" xfId="16755"/>
    <cellStyle name="Input 3 2 4 6 3" xfId="16756"/>
    <cellStyle name="Input 3 2 4 6 3 2" xfId="16757"/>
    <cellStyle name="Input 3 2 4 6 3 3" xfId="16758"/>
    <cellStyle name="Input 3 2 4 6 3 4" xfId="16759"/>
    <cellStyle name="Input 3 2 4 6 4" xfId="16760"/>
    <cellStyle name="Input 3 2 4 6 4 2" xfId="16761"/>
    <cellStyle name="Input 3 2 4 6 4 3" xfId="16762"/>
    <cellStyle name="Input 3 2 4 6 4 4" xfId="16763"/>
    <cellStyle name="Input 3 2 4 6 5" xfId="16764"/>
    <cellStyle name="Input 3 2 4 6 6" xfId="16765"/>
    <cellStyle name="Input 3 2 4 6 7" xfId="16766"/>
    <cellStyle name="Input 3 2 4 7" xfId="16767"/>
    <cellStyle name="Input 3 2 4 7 2" xfId="16768"/>
    <cellStyle name="Input 3 2 4 7 3" xfId="16769"/>
    <cellStyle name="Input 3 2 4 7 4" xfId="16770"/>
    <cellStyle name="Input 3 2 4 8" xfId="16771"/>
    <cellStyle name="Input 3 2 4 8 2" xfId="16772"/>
    <cellStyle name="Input 3 2 4 8 3" xfId="16773"/>
    <cellStyle name="Input 3 2 4 8 4" xfId="16774"/>
    <cellStyle name="Input 3 2 4 9" xfId="16775"/>
    <cellStyle name="Input 3 2 4 9 2" xfId="16776"/>
    <cellStyle name="Input 3 2 4 9 3" xfId="16777"/>
    <cellStyle name="Input 3 2 4 9 4" xfId="16778"/>
    <cellStyle name="Input 3 2 5" xfId="837"/>
    <cellStyle name="Input 3 2 5 10" xfId="16779"/>
    <cellStyle name="Input 3 2 5 11" xfId="16780"/>
    <cellStyle name="Input 3 2 5 12" xfId="16781"/>
    <cellStyle name="Input 3 2 5 2" xfId="16782"/>
    <cellStyle name="Input 3 2 5 2 2" xfId="16783"/>
    <cellStyle name="Input 3 2 5 2 2 2" xfId="16784"/>
    <cellStyle name="Input 3 2 5 2 2 3" xfId="16785"/>
    <cellStyle name="Input 3 2 5 2 2 4" xfId="16786"/>
    <cellStyle name="Input 3 2 5 2 3" xfId="16787"/>
    <cellStyle name="Input 3 2 5 2 3 2" xfId="16788"/>
    <cellStyle name="Input 3 2 5 2 3 3" xfId="16789"/>
    <cellStyle name="Input 3 2 5 2 3 4" xfId="16790"/>
    <cellStyle name="Input 3 2 5 2 4" xfId="16791"/>
    <cellStyle name="Input 3 2 5 2 4 2" xfId="16792"/>
    <cellStyle name="Input 3 2 5 2 4 3" xfId="16793"/>
    <cellStyle name="Input 3 2 5 2 4 4" xfId="16794"/>
    <cellStyle name="Input 3 2 5 2 5" xfId="16795"/>
    <cellStyle name="Input 3 2 5 2 6" xfId="16796"/>
    <cellStyle name="Input 3 2 5 2 7" xfId="16797"/>
    <cellStyle name="Input 3 2 5 3" xfId="16798"/>
    <cellStyle name="Input 3 2 5 3 2" xfId="16799"/>
    <cellStyle name="Input 3 2 5 3 2 2" xfId="16800"/>
    <cellStyle name="Input 3 2 5 3 2 3" xfId="16801"/>
    <cellStyle name="Input 3 2 5 3 2 4" xfId="16802"/>
    <cellStyle name="Input 3 2 5 3 3" xfId="16803"/>
    <cellStyle name="Input 3 2 5 3 3 2" xfId="16804"/>
    <cellStyle name="Input 3 2 5 3 3 3" xfId="16805"/>
    <cellStyle name="Input 3 2 5 3 3 4" xfId="16806"/>
    <cellStyle name="Input 3 2 5 3 4" xfId="16807"/>
    <cellStyle name="Input 3 2 5 3 4 2" xfId="16808"/>
    <cellStyle name="Input 3 2 5 3 4 3" xfId="16809"/>
    <cellStyle name="Input 3 2 5 3 4 4" xfId="16810"/>
    <cellStyle name="Input 3 2 5 3 5" xfId="16811"/>
    <cellStyle name="Input 3 2 5 3 6" xfId="16812"/>
    <cellStyle name="Input 3 2 5 3 7" xfId="16813"/>
    <cellStyle name="Input 3 2 5 4" xfId="16814"/>
    <cellStyle name="Input 3 2 5 4 2" xfId="16815"/>
    <cellStyle name="Input 3 2 5 4 2 2" xfId="16816"/>
    <cellStyle name="Input 3 2 5 4 2 3" xfId="16817"/>
    <cellStyle name="Input 3 2 5 4 2 4" xfId="16818"/>
    <cellStyle name="Input 3 2 5 4 3" xfId="16819"/>
    <cellStyle name="Input 3 2 5 4 3 2" xfId="16820"/>
    <cellStyle name="Input 3 2 5 4 3 3" xfId="16821"/>
    <cellStyle name="Input 3 2 5 4 3 4" xfId="16822"/>
    <cellStyle name="Input 3 2 5 4 4" xfId="16823"/>
    <cellStyle name="Input 3 2 5 4 4 2" xfId="16824"/>
    <cellStyle name="Input 3 2 5 4 4 3" xfId="16825"/>
    <cellStyle name="Input 3 2 5 4 4 4" xfId="16826"/>
    <cellStyle name="Input 3 2 5 4 5" xfId="16827"/>
    <cellStyle name="Input 3 2 5 4 6" xfId="16828"/>
    <cellStyle name="Input 3 2 5 4 7" xfId="16829"/>
    <cellStyle name="Input 3 2 5 5" xfId="16830"/>
    <cellStyle name="Input 3 2 5 5 2" xfId="16831"/>
    <cellStyle name="Input 3 2 5 5 2 2" xfId="16832"/>
    <cellStyle name="Input 3 2 5 5 2 3" xfId="16833"/>
    <cellStyle name="Input 3 2 5 5 2 4" xfId="16834"/>
    <cellStyle name="Input 3 2 5 5 3" xfId="16835"/>
    <cellStyle name="Input 3 2 5 5 3 2" xfId="16836"/>
    <cellStyle name="Input 3 2 5 5 3 3" xfId="16837"/>
    <cellStyle name="Input 3 2 5 5 3 4" xfId="16838"/>
    <cellStyle name="Input 3 2 5 5 4" xfId="16839"/>
    <cellStyle name="Input 3 2 5 5 4 2" xfId="16840"/>
    <cellStyle name="Input 3 2 5 5 4 3" xfId="16841"/>
    <cellStyle name="Input 3 2 5 5 4 4" xfId="16842"/>
    <cellStyle name="Input 3 2 5 5 5" xfId="16843"/>
    <cellStyle name="Input 3 2 5 5 6" xfId="16844"/>
    <cellStyle name="Input 3 2 5 5 7" xfId="16845"/>
    <cellStyle name="Input 3 2 5 6" xfId="16846"/>
    <cellStyle name="Input 3 2 5 6 2" xfId="16847"/>
    <cellStyle name="Input 3 2 5 6 2 2" xfId="16848"/>
    <cellStyle name="Input 3 2 5 6 2 3" xfId="16849"/>
    <cellStyle name="Input 3 2 5 6 2 4" xfId="16850"/>
    <cellStyle name="Input 3 2 5 6 3" xfId="16851"/>
    <cellStyle name="Input 3 2 5 6 3 2" xfId="16852"/>
    <cellStyle name="Input 3 2 5 6 3 3" xfId="16853"/>
    <cellStyle name="Input 3 2 5 6 3 4" xfId="16854"/>
    <cellStyle name="Input 3 2 5 6 4" xfId="16855"/>
    <cellStyle name="Input 3 2 5 6 4 2" xfId="16856"/>
    <cellStyle name="Input 3 2 5 6 4 3" xfId="16857"/>
    <cellStyle name="Input 3 2 5 6 4 4" xfId="16858"/>
    <cellStyle name="Input 3 2 5 6 5" xfId="16859"/>
    <cellStyle name="Input 3 2 5 6 6" xfId="16860"/>
    <cellStyle name="Input 3 2 5 6 7" xfId="16861"/>
    <cellStyle name="Input 3 2 5 7" xfId="16862"/>
    <cellStyle name="Input 3 2 5 7 2" xfId="16863"/>
    <cellStyle name="Input 3 2 5 7 3" xfId="16864"/>
    <cellStyle name="Input 3 2 5 7 4" xfId="16865"/>
    <cellStyle name="Input 3 2 5 8" xfId="16866"/>
    <cellStyle name="Input 3 2 5 8 2" xfId="16867"/>
    <cellStyle name="Input 3 2 5 8 3" xfId="16868"/>
    <cellStyle name="Input 3 2 5 8 4" xfId="16869"/>
    <cellStyle name="Input 3 2 5 9" xfId="16870"/>
    <cellStyle name="Input 3 2 5 9 2" xfId="16871"/>
    <cellStyle name="Input 3 2 5 9 3" xfId="16872"/>
    <cellStyle name="Input 3 2 5 9 4" xfId="16873"/>
    <cellStyle name="Input 3 2 6" xfId="16874"/>
    <cellStyle name="Input 3 2 6 2" xfId="16875"/>
    <cellStyle name="Input 3 2 6 2 2" xfId="16876"/>
    <cellStyle name="Input 3 2 6 2 3" xfId="16877"/>
    <cellStyle name="Input 3 2 6 2 4" xfId="16878"/>
    <cellStyle name="Input 3 2 6 3" xfId="16879"/>
    <cellStyle name="Input 3 2 6 3 2" xfId="16880"/>
    <cellStyle name="Input 3 2 6 3 3" xfId="16881"/>
    <cellStyle name="Input 3 2 6 3 4" xfId="16882"/>
    <cellStyle name="Input 3 2 6 4" xfId="16883"/>
    <cellStyle name="Input 3 2 6 4 2" xfId="16884"/>
    <cellStyle name="Input 3 2 6 4 3" xfId="16885"/>
    <cellStyle name="Input 3 2 6 4 4" xfId="16886"/>
    <cellStyle name="Input 3 2 6 5" xfId="16887"/>
    <cellStyle name="Input 3 2 6 6" xfId="16888"/>
    <cellStyle name="Input 3 2 6 7" xfId="16889"/>
    <cellStyle name="Input 3 2 7" xfId="16890"/>
    <cellStyle name="Input 3 2 7 2" xfId="16891"/>
    <cellStyle name="Input 3 2 7 2 2" xfId="16892"/>
    <cellStyle name="Input 3 2 7 2 3" xfId="16893"/>
    <cellStyle name="Input 3 2 7 2 4" xfId="16894"/>
    <cellStyle name="Input 3 2 7 3" xfId="16895"/>
    <cellStyle name="Input 3 2 7 3 2" xfId="16896"/>
    <cellStyle name="Input 3 2 7 3 3" xfId="16897"/>
    <cellStyle name="Input 3 2 7 3 4" xfId="16898"/>
    <cellStyle name="Input 3 2 7 4" xfId="16899"/>
    <cellStyle name="Input 3 2 7 4 2" xfId="16900"/>
    <cellStyle name="Input 3 2 7 4 3" xfId="16901"/>
    <cellStyle name="Input 3 2 7 4 4" xfId="16902"/>
    <cellStyle name="Input 3 2 7 5" xfId="16903"/>
    <cellStyle name="Input 3 2 7 6" xfId="16904"/>
    <cellStyle name="Input 3 2 7 7" xfId="16905"/>
    <cellStyle name="Input 3 2 8" xfId="16906"/>
    <cellStyle name="Input 3 2 8 2" xfId="16907"/>
    <cellStyle name="Input 3 2 8 2 2" xfId="16908"/>
    <cellStyle name="Input 3 2 8 2 3" xfId="16909"/>
    <cellStyle name="Input 3 2 8 2 4" xfId="16910"/>
    <cellStyle name="Input 3 2 8 3" xfId="16911"/>
    <cellStyle name="Input 3 2 8 3 2" xfId="16912"/>
    <cellStyle name="Input 3 2 8 3 3" xfId="16913"/>
    <cellStyle name="Input 3 2 8 3 4" xfId="16914"/>
    <cellStyle name="Input 3 2 8 4" xfId="16915"/>
    <cellStyle name="Input 3 2 8 4 2" xfId="16916"/>
    <cellStyle name="Input 3 2 8 4 3" xfId="16917"/>
    <cellStyle name="Input 3 2 8 4 4" xfId="16918"/>
    <cellStyle name="Input 3 2 8 5" xfId="16919"/>
    <cellStyle name="Input 3 2 8 6" xfId="16920"/>
    <cellStyle name="Input 3 2 8 7" xfId="16921"/>
    <cellStyle name="Input 3 2 9" xfId="16922"/>
    <cellStyle name="Input 3 2 9 2" xfId="16923"/>
    <cellStyle name="Input 3 2 9 2 2" xfId="16924"/>
    <cellStyle name="Input 3 2 9 2 3" xfId="16925"/>
    <cellStyle name="Input 3 2 9 2 4" xfId="16926"/>
    <cellStyle name="Input 3 2 9 3" xfId="16927"/>
    <cellStyle name="Input 3 2 9 3 2" xfId="16928"/>
    <cellStyle name="Input 3 2 9 3 3" xfId="16929"/>
    <cellStyle name="Input 3 2 9 3 4" xfId="16930"/>
    <cellStyle name="Input 3 2 9 4" xfId="16931"/>
    <cellStyle name="Input 3 2 9 4 2" xfId="16932"/>
    <cellStyle name="Input 3 2 9 4 3" xfId="16933"/>
    <cellStyle name="Input 3 2 9 4 4" xfId="16934"/>
    <cellStyle name="Input 3 2 9 5" xfId="16935"/>
    <cellStyle name="Input 3 2 9 6" xfId="16936"/>
    <cellStyle name="Input 3 2 9 7" xfId="16937"/>
    <cellStyle name="Input 3 3" xfId="582"/>
    <cellStyle name="Input 3 3 10" xfId="16938"/>
    <cellStyle name="Input 3 3 11" xfId="16939"/>
    <cellStyle name="Input 3 3 12" xfId="16940"/>
    <cellStyle name="Input 3 3 2" xfId="863"/>
    <cellStyle name="Input 3 3 2 2" xfId="16941"/>
    <cellStyle name="Input 3 3 2 2 2" xfId="16942"/>
    <cellStyle name="Input 3 3 2 2 3" xfId="16943"/>
    <cellStyle name="Input 3 3 2 2 4" xfId="16944"/>
    <cellStyle name="Input 3 3 2 3" xfId="16945"/>
    <cellStyle name="Input 3 3 2 3 2" xfId="16946"/>
    <cellStyle name="Input 3 3 2 3 3" xfId="16947"/>
    <cellStyle name="Input 3 3 2 3 4" xfId="16948"/>
    <cellStyle name="Input 3 3 2 4" xfId="16949"/>
    <cellStyle name="Input 3 3 2 4 2" xfId="16950"/>
    <cellStyle name="Input 3 3 2 4 3" xfId="16951"/>
    <cellStyle name="Input 3 3 2 4 4" xfId="16952"/>
    <cellStyle name="Input 3 3 2 5" xfId="16953"/>
    <cellStyle name="Input 3 3 2 6" xfId="16954"/>
    <cellStyle name="Input 3 3 2 7" xfId="16955"/>
    <cellStyle name="Input 3 3 3" xfId="789"/>
    <cellStyle name="Input 3 3 3 2" xfId="16956"/>
    <cellStyle name="Input 3 3 3 2 2" xfId="16957"/>
    <cellStyle name="Input 3 3 3 2 3" xfId="16958"/>
    <cellStyle name="Input 3 3 3 2 4" xfId="16959"/>
    <cellStyle name="Input 3 3 3 3" xfId="16960"/>
    <cellStyle name="Input 3 3 3 3 2" xfId="16961"/>
    <cellStyle name="Input 3 3 3 3 3" xfId="16962"/>
    <cellStyle name="Input 3 3 3 3 4" xfId="16963"/>
    <cellStyle name="Input 3 3 3 4" xfId="16964"/>
    <cellStyle name="Input 3 3 3 4 2" xfId="16965"/>
    <cellStyle name="Input 3 3 3 4 3" xfId="16966"/>
    <cellStyle name="Input 3 3 3 4 4" xfId="16967"/>
    <cellStyle name="Input 3 3 3 5" xfId="16968"/>
    <cellStyle name="Input 3 3 3 6" xfId="16969"/>
    <cellStyle name="Input 3 3 3 7" xfId="16970"/>
    <cellStyle name="Input 3 3 4" xfId="767"/>
    <cellStyle name="Input 3 3 4 2" xfId="16971"/>
    <cellStyle name="Input 3 3 4 2 2" xfId="16972"/>
    <cellStyle name="Input 3 3 4 2 3" xfId="16973"/>
    <cellStyle name="Input 3 3 4 2 4" xfId="16974"/>
    <cellStyle name="Input 3 3 4 3" xfId="16975"/>
    <cellStyle name="Input 3 3 4 3 2" xfId="16976"/>
    <cellStyle name="Input 3 3 4 3 3" xfId="16977"/>
    <cellStyle name="Input 3 3 4 3 4" xfId="16978"/>
    <cellStyle name="Input 3 3 4 4" xfId="16979"/>
    <cellStyle name="Input 3 3 4 4 2" xfId="16980"/>
    <cellStyle name="Input 3 3 4 4 3" xfId="16981"/>
    <cellStyle name="Input 3 3 4 4 4" xfId="16982"/>
    <cellStyle name="Input 3 3 4 5" xfId="16983"/>
    <cellStyle name="Input 3 3 4 6" xfId="16984"/>
    <cellStyle name="Input 3 3 4 7" xfId="16985"/>
    <cellStyle name="Input 3 3 5" xfId="16986"/>
    <cellStyle name="Input 3 3 5 2" xfId="16987"/>
    <cellStyle name="Input 3 3 5 2 2" xfId="16988"/>
    <cellStyle name="Input 3 3 5 2 3" xfId="16989"/>
    <cellStyle name="Input 3 3 5 2 4" xfId="16990"/>
    <cellStyle name="Input 3 3 5 3" xfId="16991"/>
    <cellStyle name="Input 3 3 5 3 2" xfId="16992"/>
    <cellStyle name="Input 3 3 5 3 3" xfId="16993"/>
    <cellStyle name="Input 3 3 5 3 4" xfId="16994"/>
    <cellStyle name="Input 3 3 5 4" xfId="16995"/>
    <cellStyle name="Input 3 3 5 4 2" xfId="16996"/>
    <cellStyle name="Input 3 3 5 4 3" xfId="16997"/>
    <cellStyle name="Input 3 3 5 4 4" xfId="16998"/>
    <cellStyle name="Input 3 3 5 5" xfId="16999"/>
    <cellStyle name="Input 3 3 5 6" xfId="17000"/>
    <cellStyle name="Input 3 3 5 7" xfId="17001"/>
    <cellStyle name="Input 3 3 6" xfId="17002"/>
    <cellStyle name="Input 3 3 6 2" xfId="17003"/>
    <cellStyle name="Input 3 3 6 2 2" xfId="17004"/>
    <cellStyle name="Input 3 3 6 2 3" xfId="17005"/>
    <cellStyle name="Input 3 3 6 2 4" xfId="17006"/>
    <cellStyle name="Input 3 3 6 3" xfId="17007"/>
    <cellStyle name="Input 3 3 6 3 2" xfId="17008"/>
    <cellStyle name="Input 3 3 6 3 3" xfId="17009"/>
    <cellStyle name="Input 3 3 6 3 4" xfId="17010"/>
    <cellStyle name="Input 3 3 6 4" xfId="17011"/>
    <cellStyle name="Input 3 3 6 4 2" xfId="17012"/>
    <cellStyle name="Input 3 3 6 4 3" xfId="17013"/>
    <cellStyle name="Input 3 3 6 4 4" xfId="17014"/>
    <cellStyle name="Input 3 3 6 5" xfId="17015"/>
    <cellStyle name="Input 3 3 6 6" xfId="17016"/>
    <cellStyle name="Input 3 3 6 7" xfId="17017"/>
    <cellStyle name="Input 3 3 7" xfId="17018"/>
    <cellStyle name="Input 3 3 7 2" xfId="17019"/>
    <cellStyle name="Input 3 3 7 3" xfId="17020"/>
    <cellStyle name="Input 3 3 7 4" xfId="17021"/>
    <cellStyle name="Input 3 3 8" xfId="17022"/>
    <cellStyle name="Input 3 3 8 2" xfId="17023"/>
    <cellStyle name="Input 3 3 8 3" xfId="17024"/>
    <cellStyle name="Input 3 3 8 4" xfId="17025"/>
    <cellStyle name="Input 3 3 9" xfId="17026"/>
    <cellStyle name="Input 3 3 9 2" xfId="17027"/>
    <cellStyle name="Input 3 3 9 3" xfId="17028"/>
    <cellStyle name="Input 3 3 9 4" xfId="17029"/>
    <cellStyle name="Input 3 4" xfId="1068"/>
    <cellStyle name="Input 3 5" xfId="3205"/>
    <cellStyle name="Input 3 6" xfId="1152"/>
    <cellStyle name="Input 3 7" xfId="3218"/>
    <cellStyle name="Input 3 8" xfId="3165"/>
    <cellStyle name="Input 4" xfId="104"/>
    <cellStyle name="Input 4 2" xfId="583"/>
    <cellStyle name="Input 4 2 10" xfId="17030"/>
    <cellStyle name="Input 4 2 10 2" xfId="17031"/>
    <cellStyle name="Input 4 2 10 2 2" xfId="17032"/>
    <cellStyle name="Input 4 2 10 2 3" xfId="17033"/>
    <cellStyle name="Input 4 2 10 2 4" xfId="17034"/>
    <cellStyle name="Input 4 2 10 3" xfId="17035"/>
    <cellStyle name="Input 4 2 10 3 2" xfId="17036"/>
    <cellStyle name="Input 4 2 10 3 3" xfId="17037"/>
    <cellStyle name="Input 4 2 10 3 4" xfId="17038"/>
    <cellStyle name="Input 4 2 10 4" xfId="17039"/>
    <cellStyle name="Input 4 2 10 4 2" xfId="17040"/>
    <cellStyle name="Input 4 2 10 4 3" xfId="17041"/>
    <cellStyle name="Input 4 2 10 4 4" xfId="17042"/>
    <cellStyle name="Input 4 2 10 5" xfId="17043"/>
    <cellStyle name="Input 4 2 10 6" xfId="17044"/>
    <cellStyle name="Input 4 2 10 7" xfId="17045"/>
    <cellStyle name="Input 4 2 11" xfId="17046"/>
    <cellStyle name="Input 4 2 11 2" xfId="17047"/>
    <cellStyle name="Input 4 2 11 2 2" xfId="17048"/>
    <cellStyle name="Input 4 2 11 2 3" xfId="17049"/>
    <cellStyle name="Input 4 2 11 2 4" xfId="17050"/>
    <cellStyle name="Input 4 2 11 3" xfId="17051"/>
    <cellStyle name="Input 4 2 11 3 2" xfId="17052"/>
    <cellStyle name="Input 4 2 11 3 3" xfId="17053"/>
    <cellStyle name="Input 4 2 11 3 4" xfId="17054"/>
    <cellStyle name="Input 4 2 11 4" xfId="17055"/>
    <cellStyle name="Input 4 2 11 4 2" xfId="17056"/>
    <cellStyle name="Input 4 2 11 4 3" xfId="17057"/>
    <cellStyle name="Input 4 2 11 4 4" xfId="17058"/>
    <cellStyle name="Input 4 2 11 5" xfId="17059"/>
    <cellStyle name="Input 4 2 11 6" xfId="17060"/>
    <cellStyle name="Input 4 2 11 7" xfId="17061"/>
    <cellStyle name="Input 4 2 12" xfId="17062"/>
    <cellStyle name="Input 4 2 12 2" xfId="17063"/>
    <cellStyle name="Input 4 2 12 2 2" xfId="17064"/>
    <cellStyle name="Input 4 2 12 2 3" xfId="17065"/>
    <cellStyle name="Input 4 2 12 2 4" xfId="17066"/>
    <cellStyle name="Input 4 2 12 3" xfId="17067"/>
    <cellStyle name="Input 4 2 12 3 2" xfId="17068"/>
    <cellStyle name="Input 4 2 12 3 3" xfId="17069"/>
    <cellStyle name="Input 4 2 12 3 4" xfId="17070"/>
    <cellStyle name="Input 4 2 12 4" xfId="17071"/>
    <cellStyle name="Input 4 2 12 4 2" xfId="17072"/>
    <cellStyle name="Input 4 2 12 4 3" xfId="17073"/>
    <cellStyle name="Input 4 2 12 4 4" xfId="17074"/>
    <cellStyle name="Input 4 2 12 5" xfId="17075"/>
    <cellStyle name="Input 4 2 12 6" xfId="17076"/>
    <cellStyle name="Input 4 2 12 7" xfId="17077"/>
    <cellStyle name="Input 4 2 13" xfId="17078"/>
    <cellStyle name="Input 4 2 13 2" xfId="17079"/>
    <cellStyle name="Input 4 2 13 2 2" xfId="17080"/>
    <cellStyle name="Input 4 2 13 2 3" xfId="17081"/>
    <cellStyle name="Input 4 2 13 2 4" xfId="17082"/>
    <cellStyle name="Input 4 2 13 3" xfId="17083"/>
    <cellStyle name="Input 4 2 13 3 2" xfId="17084"/>
    <cellStyle name="Input 4 2 13 3 3" xfId="17085"/>
    <cellStyle name="Input 4 2 13 3 4" xfId="17086"/>
    <cellStyle name="Input 4 2 13 4" xfId="17087"/>
    <cellStyle name="Input 4 2 13 4 2" xfId="17088"/>
    <cellStyle name="Input 4 2 13 4 3" xfId="17089"/>
    <cellStyle name="Input 4 2 13 4 4" xfId="17090"/>
    <cellStyle name="Input 4 2 13 5" xfId="17091"/>
    <cellStyle name="Input 4 2 13 6" xfId="17092"/>
    <cellStyle name="Input 4 2 13 7" xfId="17093"/>
    <cellStyle name="Input 4 2 14" xfId="17094"/>
    <cellStyle name="Input 4 2 14 2" xfId="17095"/>
    <cellStyle name="Input 4 2 14 3" xfId="17096"/>
    <cellStyle name="Input 4 2 14 4" xfId="17097"/>
    <cellStyle name="Input 4 2 15" xfId="17098"/>
    <cellStyle name="Input 4 2 15 2" xfId="17099"/>
    <cellStyle name="Input 4 2 15 3" xfId="17100"/>
    <cellStyle name="Input 4 2 15 4" xfId="17101"/>
    <cellStyle name="Input 4 2 16" xfId="17102"/>
    <cellStyle name="Input 4 2 16 2" xfId="17103"/>
    <cellStyle name="Input 4 2 16 3" xfId="17104"/>
    <cellStyle name="Input 4 2 16 4" xfId="17105"/>
    <cellStyle name="Input 4 2 17" xfId="17106"/>
    <cellStyle name="Input 4 2 18" xfId="17107"/>
    <cellStyle name="Input 4 2 19" xfId="17108"/>
    <cellStyle name="Input 4 2 2" xfId="864"/>
    <cellStyle name="Input 4 2 2 10" xfId="17109"/>
    <cellStyle name="Input 4 2 2 11" xfId="17110"/>
    <cellStyle name="Input 4 2 2 12" xfId="17111"/>
    <cellStyle name="Input 4 2 2 2" xfId="17112"/>
    <cellStyle name="Input 4 2 2 2 2" xfId="17113"/>
    <cellStyle name="Input 4 2 2 2 2 2" xfId="17114"/>
    <cellStyle name="Input 4 2 2 2 2 3" xfId="17115"/>
    <cellStyle name="Input 4 2 2 2 2 4" xfId="17116"/>
    <cellStyle name="Input 4 2 2 2 3" xfId="17117"/>
    <cellStyle name="Input 4 2 2 2 3 2" xfId="17118"/>
    <cellStyle name="Input 4 2 2 2 3 3" xfId="17119"/>
    <cellStyle name="Input 4 2 2 2 3 4" xfId="17120"/>
    <cellStyle name="Input 4 2 2 2 4" xfId="17121"/>
    <cellStyle name="Input 4 2 2 2 4 2" xfId="17122"/>
    <cellStyle name="Input 4 2 2 2 4 3" xfId="17123"/>
    <cellStyle name="Input 4 2 2 2 4 4" xfId="17124"/>
    <cellStyle name="Input 4 2 2 2 5" xfId="17125"/>
    <cellStyle name="Input 4 2 2 2 6" xfId="17126"/>
    <cellStyle name="Input 4 2 2 2 7" xfId="17127"/>
    <cellStyle name="Input 4 2 2 3" xfId="17128"/>
    <cellStyle name="Input 4 2 2 3 2" xfId="17129"/>
    <cellStyle name="Input 4 2 2 3 2 2" xfId="17130"/>
    <cellStyle name="Input 4 2 2 3 2 3" xfId="17131"/>
    <cellStyle name="Input 4 2 2 3 2 4" xfId="17132"/>
    <cellStyle name="Input 4 2 2 3 3" xfId="17133"/>
    <cellStyle name="Input 4 2 2 3 3 2" xfId="17134"/>
    <cellStyle name="Input 4 2 2 3 3 3" xfId="17135"/>
    <cellStyle name="Input 4 2 2 3 3 4" xfId="17136"/>
    <cellStyle name="Input 4 2 2 3 4" xfId="17137"/>
    <cellStyle name="Input 4 2 2 3 4 2" xfId="17138"/>
    <cellStyle name="Input 4 2 2 3 4 3" xfId="17139"/>
    <cellStyle name="Input 4 2 2 3 4 4" xfId="17140"/>
    <cellStyle name="Input 4 2 2 3 5" xfId="17141"/>
    <cellStyle name="Input 4 2 2 3 6" xfId="17142"/>
    <cellStyle name="Input 4 2 2 3 7" xfId="17143"/>
    <cellStyle name="Input 4 2 2 4" xfId="17144"/>
    <cellStyle name="Input 4 2 2 4 2" xfId="17145"/>
    <cellStyle name="Input 4 2 2 4 2 2" xfId="17146"/>
    <cellStyle name="Input 4 2 2 4 2 3" xfId="17147"/>
    <cellStyle name="Input 4 2 2 4 2 4" xfId="17148"/>
    <cellStyle name="Input 4 2 2 4 3" xfId="17149"/>
    <cellStyle name="Input 4 2 2 4 3 2" xfId="17150"/>
    <cellStyle name="Input 4 2 2 4 3 3" xfId="17151"/>
    <cellStyle name="Input 4 2 2 4 3 4" xfId="17152"/>
    <cellStyle name="Input 4 2 2 4 4" xfId="17153"/>
    <cellStyle name="Input 4 2 2 4 4 2" xfId="17154"/>
    <cellStyle name="Input 4 2 2 4 4 3" xfId="17155"/>
    <cellStyle name="Input 4 2 2 4 4 4" xfId="17156"/>
    <cellStyle name="Input 4 2 2 4 5" xfId="17157"/>
    <cellStyle name="Input 4 2 2 4 6" xfId="17158"/>
    <cellStyle name="Input 4 2 2 4 7" xfId="17159"/>
    <cellStyle name="Input 4 2 2 5" xfId="17160"/>
    <cellStyle name="Input 4 2 2 5 2" xfId="17161"/>
    <cellStyle name="Input 4 2 2 5 2 2" xfId="17162"/>
    <cellStyle name="Input 4 2 2 5 2 3" xfId="17163"/>
    <cellStyle name="Input 4 2 2 5 2 4" xfId="17164"/>
    <cellStyle name="Input 4 2 2 5 3" xfId="17165"/>
    <cellStyle name="Input 4 2 2 5 3 2" xfId="17166"/>
    <cellStyle name="Input 4 2 2 5 3 3" xfId="17167"/>
    <cellStyle name="Input 4 2 2 5 3 4" xfId="17168"/>
    <cellStyle name="Input 4 2 2 5 4" xfId="17169"/>
    <cellStyle name="Input 4 2 2 5 4 2" xfId="17170"/>
    <cellStyle name="Input 4 2 2 5 4 3" xfId="17171"/>
    <cellStyle name="Input 4 2 2 5 4 4" xfId="17172"/>
    <cellStyle name="Input 4 2 2 5 5" xfId="17173"/>
    <cellStyle name="Input 4 2 2 5 6" xfId="17174"/>
    <cellStyle name="Input 4 2 2 5 7" xfId="17175"/>
    <cellStyle name="Input 4 2 2 6" xfId="17176"/>
    <cellStyle name="Input 4 2 2 6 2" xfId="17177"/>
    <cellStyle name="Input 4 2 2 6 2 2" xfId="17178"/>
    <cellStyle name="Input 4 2 2 6 2 3" xfId="17179"/>
    <cellStyle name="Input 4 2 2 6 2 4" xfId="17180"/>
    <cellStyle name="Input 4 2 2 6 3" xfId="17181"/>
    <cellStyle name="Input 4 2 2 6 3 2" xfId="17182"/>
    <cellStyle name="Input 4 2 2 6 3 3" xfId="17183"/>
    <cellStyle name="Input 4 2 2 6 3 4" xfId="17184"/>
    <cellStyle name="Input 4 2 2 6 4" xfId="17185"/>
    <cellStyle name="Input 4 2 2 6 4 2" xfId="17186"/>
    <cellStyle name="Input 4 2 2 6 4 3" xfId="17187"/>
    <cellStyle name="Input 4 2 2 6 4 4" xfId="17188"/>
    <cellStyle name="Input 4 2 2 6 5" xfId="17189"/>
    <cellStyle name="Input 4 2 2 6 6" xfId="17190"/>
    <cellStyle name="Input 4 2 2 6 7" xfId="17191"/>
    <cellStyle name="Input 4 2 2 7" xfId="17192"/>
    <cellStyle name="Input 4 2 2 7 2" xfId="17193"/>
    <cellStyle name="Input 4 2 2 7 3" xfId="17194"/>
    <cellStyle name="Input 4 2 2 7 4" xfId="17195"/>
    <cellStyle name="Input 4 2 2 8" xfId="17196"/>
    <cellStyle name="Input 4 2 2 8 2" xfId="17197"/>
    <cellStyle name="Input 4 2 2 8 3" xfId="17198"/>
    <cellStyle name="Input 4 2 2 8 4" xfId="17199"/>
    <cellStyle name="Input 4 2 2 9" xfId="17200"/>
    <cellStyle name="Input 4 2 2 9 2" xfId="17201"/>
    <cellStyle name="Input 4 2 2 9 3" xfId="17202"/>
    <cellStyle name="Input 4 2 2 9 4" xfId="17203"/>
    <cellStyle name="Input 4 2 3" xfId="768"/>
    <cellStyle name="Input 4 2 3 10" xfId="17204"/>
    <cellStyle name="Input 4 2 3 11" xfId="17205"/>
    <cellStyle name="Input 4 2 3 12" xfId="17206"/>
    <cellStyle name="Input 4 2 3 2" xfId="17207"/>
    <cellStyle name="Input 4 2 3 2 2" xfId="17208"/>
    <cellStyle name="Input 4 2 3 2 2 2" xfId="17209"/>
    <cellStyle name="Input 4 2 3 2 2 3" xfId="17210"/>
    <cellStyle name="Input 4 2 3 2 2 4" xfId="17211"/>
    <cellStyle name="Input 4 2 3 2 3" xfId="17212"/>
    <cellStyle name="Input 4 2 3 2 3 2" xfId="17213"/>
    <cellStyle name="Input 4 2 3 2 3 3" xfId="17214"/>
    <cellStyle name="Input 4 2 3 2 3 4" xfId="17215"/>
    <cellStyle name="Input 4 2 3 2 4" xfId="17216"/>
    <cellStyle name="Input 4 2 3 2 4 2" xfId="17217"/>
    <cellStyle name="Input 4 2 3 2 4 3" xfId="17218"/>
    <cellStyle name="Input 4 2 3 2 4 4" xfId="17219"/>
    <cellStyle name="Input 4 2 3 2 5" xfId="17220"/>
    <cellStyle name="Input 4 2 3 2 6" xfId="17221"/>
    <cellStyle name="Input 4 2 3 2 7" xfId="17222"/>
    <cellStyle name="Input 4 2 3 3" xfId="17223"/>
    <cellStyle name="Input 4 2 3 3 2" xfId="17224"/>
    <cellStyle name="Input 4 2 3 3 2 2" xfId="17225"/>
    <cellStyle name="Input 4 2 3 3 2 3" xfId="17226"/>
    <cellStyle name="Input 4 2 3 3 2 4" xfId="17227"/>
    <cellStyle name="Input 4 2 3 3 3" xfId="17228"/>
    <cellStyle name="Input 4 2 3 3 3 2" xfId="17229"/>
    <cellStyle name="Input 4 2 3 3 3 3" xfId="17230"/>
    <cellStyle name="Input 4 2 3 3 3 4" xfId="17231"/>
    <cellStyle name="Input 4 2 3 3 4" xfId="17232"/>
    <cellStyle name="Input 4 2 3 3 4 2" xfId="17233"/>
    <cellStyle name="Input 4 2 3 3 4 3" xfId="17234"/>
    <cellStyle name="Input 4 2 3 3 4 4" xfId="17235"/>
    <cellStyle name="Input 4 2 3 3 5" xfId="17236"/>
    <cellStyle name="Input 4 2 3 3 6" xfId="17237"/>
    <cellStyle name="Input 4 2 3 3 7" xfId="17238"/>
    <cellStyle name="Input 4 2 3 4" xfId="17239"/>
    <cellStyle name="Input 4 2 3 4 2" xfId="17240"/>
    <cellStyle name="Input 4 2 3 4 2 2" xfId="17241"/>
    <cellStyle name="Input 4 2 3 4 2 3" xfId="17242"/>
    <cellStyle name="Input 4 2 3 4 2 4" xfId="17243"/>
    <cellStyle name="Input 4 2 3 4 3" xfId="17244"/>
    <cellStyle name="Input 4 2 3 4 3 2" xfId="17245"/>
    <cellStyle name="Input 4 2 3 4 3 3" xfId="17246"/>
    <cellStyle name="Input 4 2 3 4 3 4" xfId="17247"/>
    <cellStyle name="Input 4 2 3 4 4" xfId="17248"/>
    <cellStyle name="Input 4 2 3 4 4 2" xfId="17249"/>
    <cellStyle name="Input 4 2 3 4 4 3" xfId="17250"/>
    <cellStyle name="Input 4 2 3 4 4 4" xfId="17251"/>
    <cellStyle name="Input 4 2 3 4 5" xfId="17252"/>
    <cellStyle name="Input 4 2 3 4 6" xfId="17253"/>
    <cellStyle name="Input 4 2 3 4 7" xfId="17254"/>
    <cellStyle name="Input 4 2 3 5" xfId="17255"/>
    <cellStyle name="Input 4 2 3 5 2" xfId="17256"/>
    <cellStyle name="Input 4 2 3 5 2 2" xfId="17257"/>
    <cellStyle name="Input 4 2 3 5 2 3" xfId="17258"/>
    <cellStyle name="Input 4 2 3 5 2 4" xfId="17259"/>
    <cellStyle name="Input 4 2 3 5 3" xfId="17260"/>
    <cellStyle name="Input 4 2 3 5 3 2" xfId="17261"/>
    <cellStyle name="Input 4 2 3 5 3 3" xfId="17262"/>
    <cellStyle name="Input 4 2 3 5 3 4" xfId="17263"/>
    <cellStyle name="Input 4 2 3 5 4" xfId="17264"/>
    <cellStyle name="Input 4 2 3 5 4 2" xfId="17265"/>
    <cellStyle name="Input 4 2 3 5 4 3" xfId="17266"/>
    <cellStyle name="Input 4 2 3 5 4 4" xfId="17267"/>
    <cellStyle name="Input 4 2 3 5 5" xfId="17268"/>
    <cellStyle name="Input 4 2 3 5 6" xfId="17269"/>
    <cellStyle name="Input 4 2 3 5 7" xfId="17270"/>
    <cellStyle name="Input 4 2 3 6" xfId="17271"/>
    <cellStyle name="Input 4 2 3 6 2" xfId="17272"/>
    <cellStyle name="Input 4 2 3 6 2 2" xfId="17273"/>
    <cellStyle name="Input 4 2 3 6 2 3" xfId="17274"/>
    <cellStyle name="Input 4 2 3 6 2 4" xfId="17275"/>
    <cellStyle name="Input 4 2 3 6 3" xfId="17276"/>
    <cellStyle name="Input 4 2 3 6 3 2" xfId="17277"/>
    <cellStyle name="Input 4 2 3 6 3 3" xfId="17278"/>
    <cellStyle name="Input 4 2 3 6 3 4" xfId="17279"/>
    <cellStyle name="Input 4 2 3 6 4" xfId="17280"/>
    <cellStyle name="Input 4 2 3 6 4 2" xfId="17281"/>
    <cellStyle name="Input 4 2 3 6 4 3" xfId="17282"/>
    <cellStyle name="Input 4 2 3 6 4 4" xfId="17283"/>
    <cellStyle name="Input 4 2 3 6 5" xfId="17284"/>
    <cellStyle name="Input 4 2 3 6 6" xfId="17285"/>
    <cellStyle name="Input 4 2 3 6 7" xfId="17286"/>
    <cellStyle name="Input 4 2 3 7" xfId="17287"/>
    <cellStyle name="Input 4 2 3 7 2" xfId="17288"/>
    <cellStyle name="Input 4 2 3 7 3" xfId="17289"/>
    <cellStyle name="Input 4 2 3 7 4" xfId="17290"/>
    <cellStyle name="Input 4 2 3 8" xfId="17291"/>
    <cellStyle name="Input 4 2 3 8 2" xfId="17292"/>
    <cellStyle name="Input 4 2 3 8 3" xfId="17293"/>
    <cellStyle name="Input 4 2 3 8 4" xfId="17294"/>
    <cellStyle name="Input 4 2 3 9" xfId="17295"/>
    <cellStyle name="Input 4 2 3 9 2" xfId="17296"/>
    <cellStyle name="Input 4 2 3 9 3" xfId="17297"/>
    <cellStyle name="Input 4 2 3 9 4" xfId="17298"/>
    <cellStyle name="Input 4 2 4" xfId="738"/>
    <cellStyle name="Input 4 2 4 10" xfId="17299"/>
    <cellStyle name="Input 4 2 4 11" xfId="17300"/>
    <cellStyle name="Input 4 2 4 12" xfId="17301"/>
    <cellStyle name="Input 4 2 4 2" xfId="17302"/>
    <cellStyle name="Input 4 2 4 2 2" xfId="17303"/>
    <cellStyle name="Input 4 2 4 2 2 2" xfId="17304"/>
    <cellStyle name="Input 4 2 4 2 2 3" xfId="17305"/>
    <cellStyle name="Input 4 2 4 2 2 4" xfId="17306"/>
    <cellStyle name="Input 4 2 4 2 3" xfId="17307"/>
    <cellStyle name="Input 4 2 4 2 3 2" xfId="17308"/>
    <cellStyle name="Input 4 2 4 2 3 3" xfId="17309"/>
    <cellStyle name="Input 4 2 4 2 3 4" xfId="17310"/>
    <cellStyle name="Input 4 2 4 2 4" xfId="17311"/>
    <cellStyle name="Input 4 2 4 2 4 2" xfId="17312"/>
    <cellStyle name="Input 4 2 4 2 4 3" xfId="17313"/>
    <cellStyle name="Input 4 2 4 2 4 4" xfId="17314"/>
    <cellStyle name="Input 4 2 4 2 5" xfId="17315"/>
    <cellStyle name="Input 4 2 4 2 6" xfId="17316"/>
    <cellStyle name="Input 4 2 4 2 7" xfId="17317"/>
    <cellStyle name="Input 4 2 4 3" xfId="17318"/>
    <cellStyle name="Input 4 2 4 3 2" xfId="17319"/>
    <cellStyle name="Input 4 2 4 3 2 2" xfId="17320"/>
    <cellStyle name="Input 4 2 4 3 2 3" xfId="17321"/>
    <cellStyle name="Input 4 2 4 3 2 4" xfId="17322"/>
    <cellStyle name="Input 4 2 4 3 3" xfId="17323"/>
    <cellStyle name="Input 4 2 4 3 3 2" xfId="17324"/>
    <cellStyle name="Input 4 2 4 3 3 3" xfId="17325"/>
    <cellStyle name="Input 4 2 4 3 3 4" xfId="17326"/>
    <cellStyle name="Input 4 2 4 3 4" xfId="17327"/>
    <cellStyle name="Input 4 2 4 3 4 2" xfId="17328"/>
    <cellStyle name="Input 4 2 4 3 4 3" xfId="17329"/>
    <cellStyle name="Input 4 2 4 3 4 4" xfId="17330"/>
    <cellStyle name="Input 4 2 4 3 5" xfId="17331"/>
    <cellStyle name="Input 4 2 4 3 6" xfId="17332"/>
    <cellStyle name="Input 4 2 4 3 7" xfId="17333"/>
    <cellStyle name="Input 4 2 4 4" xfId="17334"/>
    <cellStyle name="Input 4 2 4 4 2" xfId="17335"/>
    <cellStyle name="Input 4 2 4 4 2 2" xfId="17336"/>
    <cellStyle name="Input 4 2 4 4 2 3" xfId="17337"/>
    <cellStyle name="Input 4 2 4 4 2 4" xfId="17338"/>
    <cellStyle name="Input 4 2 4 4 3" xfId="17339"/>
    <cellStyle name="Input 4 2 4 4 3 2" xfId="17340"/>
    <cellStyle name="Input 4 2 4 4 3 3" xfId="17341"/>
    <cellStyle name="Input 4 2 4 4 3 4" xfId="17342"/>
    <cellStyle name="Input 4 2 4 4 4" xfId="17343"/>
    <cellStyle name="Input 4 2 4 4 4 2" xfId="17344"/>
    <cellStyle name="Input 4 2 4 4 4 3" xfId="17345"/>
    <cellStyle name="Input 4 2 4 4 4 4" xfId="17346"/>
    <cellStyle name="Input 4 2 4 4 5" xfId="17347"/>
    <cellStyle name="Input 4 2 4 4 6" xfId="17348"/>
    <cellStyle name="Input 4 2 4 4 7" xfId="17349"/>
    <cellStyle name="Input 4 2 4 5" xfId="17350"/>
    <cellStyle name="Input 4 2 4 5 2" xfId="17351"/>
    <cellStyle name="Input 4 2 4 5 2 2" xfId="17352"/>
    <cellStyle name="Input 4 2 4 5 2 3" xfId="17353"/>
    <cellStyle name="Input 4 2 4 5 2 4" xfId="17354"/>
    <cellStyle name="Input 4 2 4 5 3" xfId="17355"/>
    <cellStyle name="Input 4 2 4 5 3 2" xfId="17356"/>
    <cellStyle name="Input 4 2 4 5 3 3" xfId="17357"/>
    <cellStyle name="Input 4 2 4 5 3 4" xfId="17358"/>
    <cellStyle name="Input 4 2 4 5 4" xfId="17359"/>
    <cellStyle name="Input 4 2 4 5 4 2" xfId="17360"/>
    <cellStyle name="Input 4 2 4 5 4 3" xfId="17361"/>
    <cellStyle name="Input 4 2 4 5 4 4" xfId="17362"/>
    <cellStyle name="Input 4 2 4 5 5" xfId="17363"/>
    <cellStyle name="Input 4 2 4 5 6" xfId="17364"/>
    <cellStyle name="Input 4 2 4 5 7" xfId="17365"/>
    <cellStyle name="Input 4 2 4 6" xfId="17366"/>
    <cellStyle name="Input 4 2 4 6 2" xfId="17367"/>
    <cellStyle name="Input 4 2 4 6 2 2" xfId="17368"/>
    <cellStyle name="Input 4 2 4 6 2 3" xfId="17369"/>
    <cellStyle name="Input 4 2 4 6 2 4" xfId="17370"/>
    <cellStyle name="Input 4 2 4 6 3" xfId="17371"/>
    <cellStyle name="Input 4 2 4 6 3 2" xfId="17372"/>
    <cellStyle name="Input 4 2 4 6 3 3" xfId="17373"/>
    <cellStyle name="Input 4 2 4 6 3 4" xfId="17374"/>
    <cellStyle name="Input 4 2 4 6 4" xfId="17375"/>
    <cellStyle name="Input 4 2 4 6 4 2" xfId="17376"/>
    <cellStyle name="Input 4 2 4 6 4 3" xfId="17377"/>
    <cellStyle name="Input 4 2 4 6 4 4" xfId="17378"/>
    <cellStyle name="Input 4 2 4 6 5" xfId="17379"/>
    <cellStyle name="Input 4 2 4 6 6" xfId="17380"/>
    <cellStyle name="Input 4 2 4 6 7" xfId="17381"/>
    <cellStyle name="Input 4 2 4 7" xfId="17382"/>
    <cellStyle name="Input 4 2 4 7 2" xfId="17383"/>
    <cellStyle name="Input 4 2 4 7 3" xfId="17384"/>
    <cellStyle name="Input 4 2 4 7 4" xfId="17385"/>
    <cellStyle name="Input 4 2 4 8" xfId="17386"/>
    <cellStyle name="Input 4 2 4 8 2" xfId="17387"/>
    <cellStyle name="Input 4 2 4 8 3" xfId="17388"/>
    <cellStyle name="Input 4 2 4 8 4" xfId="17389"/>
    <cellStyle name="Input 4 2 4 9" xfId="17390"/>
    <cellStyle name="Input 4 2 4 9 2" xfId="17391"/>
    <cellStyle name="Input 4 2 4 9 3" xfId="17392"/>
    <cellStyle name="Input 4 2 4 9 4" xfId="17393"/>
    <cellStyle name="Input 4 2 5" xfId="17394"/>
    <cellStyle name="Input 4 2 5 10" xfId="17395"/>
    <cellStyle name="Input 4 2 5 11" xfId="17396"/>
    <cellStyle name="Input 4 2 5 12" xfId="17397"/>
    <cellStyle name="Input 4 2 5 2" xfId="17398"/>
    <cellStyle name="Input 4 2 5 2 2" xfId="17399"/>
    <cellStyle name="Input 4 2 5 2 2 2" xfId="17400"/>
    <cellStyle name="Input 4 2 5 2 2 3" xfId="17401"/>
    <cellStyle name="Input 4 2 5 2 2 4" xfId="17402"/>
    <cellStyle name="Input 4 2 5 2 3" xfId="17403"/>
    <cellStyle name="Input 4 2 5 2 3 2" xfId="17404"/>
    <cellStyle name="Input 4 2 5 2 3 3" xfId="17405"/>
    <cellStyle name="Input 4 2 5 2 3 4" xfId="17406"/>
    <cellStyle name="Input 4 2 5 2 4" xfId="17407"/>
    <cellStyle name="Input 4 2 5 2 4 2" xfId="17408"/>
    <cellStyle name="Input 4 2 5 2 4 3" xfId="17409"/>
    <cellStyle name="Input 4 2 5 2 4 4" xfId="17410"/>
    <cellStyle name="Input 4 2 5 2 5" xfId="17411"/>
    <cellStyle name="Input 4 2 5 2 6" xfId="17412"/>
    <cellStyle name="Input 4 2 5 2 7" xfId="17413"/>
    <cellStyle name="Input 4 2 5 3" xfId="17414"/>
    <cellStyle name="Input 4 2 5 3 2" xfId="17415"/>
    <cellStyle name="Input 4 2 5 3 2 2" xfId="17416"/>
    <cellStyle name="Input 4 2 5 3 2 3" xfId="17417"/>
    <cellStyle name="Input 4 2 5 3 2 4" xfId="17418"/>
    <cellStyle name="Input 4 2 5 3 3" xfId="17419"/>
    <cellStyle name="Input 4 2 5 3 3 2" xfId="17420"/>
    <cellStyle name="Input 4 2 5 3 3 3" xfId="17421"/>
    <cellStyle name="Input 4 2 5 3 3 4" xfId="17422"/>
    <cellStyle name="Input 4 2 5 3 4" xfId="17423"/>
    <cellStyle name="Input 4 2 5 3 4 2" xfId="17424"/>
    <cellStyle name="Input 4 2 5 3 4 3" xfId="17425"/>
    <cellStyle name="Input 4 2 5 3 4 4" xfId="17426"/>
    <cellStyle name="Input 4 2 5 3 5" xfId="17427"/>
    <cellStyle name="Input 4 2 5 3 6" xfId="17428"/>
    <cellStyle name="Input 4 2 5 3 7" xfId="17429"/>
    <cellStyle name="Input 4 2 5 4" xfId="17430"/>
    <cellStyle name="Input 4 2 5 4 2" xfId="17431"/>
    <cellStyle name="Input 4 2 5 4 2 2" xfId="17432"/>
    <cellStyle name="Input 4 2 5 4 2 3" xfId="17433"/>
    <cellStyle name="Input 4 2 5 4 2 4" xfId="17434"/>
    <cellStyle name="Input 4 2 5 4 3" xfId="17435"/>
    <cellStyle name="Input 4 2 5 4 3 2" xfId="17436"/>
    <cellStyle name="Input 4 2 5 4 3 3" xfId="17437"/>
    <cellStyle name="Input 4 2 5 4 3 4" xfId="17438"/>
    <cellStyle name="Input 4 2 5 4 4" xfId="17439"/>
    <cellStyle name="Input 4 2 5 4 4 2" xfId="17440"/>
    <cellStyle name="Input 4 2 5 4 4 3" xfId="17441"/>
    <cellStyle name="Input 4 2 5 4 4 4" xfId="17442"/>
    <cellStyle name="Input 4 2 5 4 5" xfId="17443"/>
    <cellStyle name="Input 4 2 5 4 6" xfId="17444"/>
    <cellStyle name="Input 4 2 5 4 7" xfId="17445"/>
    <cellStyle name="Input 4 2 5 5" xfId="17446"/>
    <cellStyle name="Input 4 2 5 5 2" xfId="17447"/>
    <cellStyle name="Input 4 2 5 5 2 2" xfId="17448"/>
    <cellStyle name="Input 4 2 5 5 2 3" xfId="17449"/>
    <cellStyle name="Input 4 2 5 5 2 4" xfId="17450"/>
    <cellStyle name="Input 4 2 5 5 3" xfId="17451"/>
    <cellStyle name="Input 4 2 5 5 3 2" xfId="17452"/>
    <cellStyle name="Input 4 2 5 5 3 3" xfId="17453"/>
    <cellStyle name="Input 4 2 5 5 3 4" xfId="17454"/>
    <cellStyle name="Input 4 2 5 5 4" xfId="17455"/>
    <cellStyle name="Input 4 2 5 5 4 2" xfId="17456"/>
    <cellStyle name="Input 4 2 5 5 4 3" xfId="17457"/>
    <cellStyle name="Input 4 2 5 5 4 4" xfId="17458"/>
    <cellStyle name="Input 4 2 5 5 5" xfId="17459"/>
    <cellStyle name="Input 4 2 5 5 6" xfId="17460"/>
    <cellStyle name="Input 4 2 5 5 7" xfId="17461"/>
    <cellStyle name="Input 4 2 5 6" xfId="17462"/>
    <cellStyle name="Input 4 2 5 6 2" xfId="17463"/>
    <cellStyle name="Input 4 2 5 6 2 2" xfId="17464"/>
    <cellStyle name="Input 4 2 5 6 2 3" xfId="17465"/>
    <cellStyle name="Input 4 2 5 6 2 4" xfId="17466"/>
    <cellStyle name="Input 4 2 5 6 3" xfId="17467"/>
    <cellStyle name="Input 4 2 5 6 3 2" xfId="17468"/>
    <cellStyle name="Input 4 2 5 6 3 3" xfId="17469"/>
    <cellStyle name="Input 4 2 5 6 3 4" xfId="17470"/>
    <cellStyle name="Input 4 2 5 6 4" xfId="17471"/>
    <cellStyle name="Input 4 2 5 6 4 2" xfId="17472"/>
    <cellStyle name="Input 4 2 5 6 4 3" xfId="17473"/>
    <cellStyle name="Input 4 2 5 6 4 4" xfId="17474"/>
    <cellStyle name="Input 4 2 5 6 5" xfId="17475"/>
    <cellStyle name="Input 4 2 5 6 6" xfId="17476"/>
    <cellStyle name="Input 4 2 5 6 7" xfId="17477"/>
    <cellStyle name="Input 4 2 5 7" xfId="17478"/>
    <cellStyle name="Input 4 2 5 7 2" xfId="17479"/>
    <cellStyle name="Input 4 2 5 7 3" xfId="17480"/>
    <cellStyle name="Input 4 2 5 7 4" xfId="17481"/>
    <cellStyle name="Input 4 2 5 8" xfId="17482"/>
    <cellStyle name="Input 4 2 5 8 2" xfId="17483"/>
    <cellStyle name="Input 4 2 5 8 3" xfId="17484"/>
    <cellStyle name="Input 4 2 5 8 4" xfId="17485"/>
    <cellStyle name="Input 4 2 5 9" xfId="17486"/>
    <cellStyle name="Input 4 2 5 9 2" xfId="17487"/>
    <cellStyle name="Input 4 2 5 9 3" xfId="17488"/>
    <cellStyle name="Input 4 2 5 9 4" xfId="17489"/>
    <cellStyle name="Input 4 2 6" xfId="17490"/>
    <cellStyle name="Input 4 2 6 2" xfId="17491"/>
    <cellStyle name="Input 4 2 6 2 2" xfId="17492"/>
    <cellStyle name="Input 4 2 6 2 3" xfId="17493"/>
    <cellStyle name="Input 4 2 6 2 4" xfId="17494"/>
    <cellStyle name="Input 4 2 6 3" xfId="17495"/>
    <cellStyle name="Input 4 2 6 3 2" xfId="17496"/>
    <cellStyle name="Input 4 2 6 3 3" xfId="17497"/>
    <cellStyle name="Input 4 2 6 3 4" xfId="17498"/>
    <cellStyle name="Input 4 2 6 4" xfId="17499"/>
    <cellStyle name="Input 4 2 6 4 2" xfId="17500"/>
    <cellStyle name="Input 4 2 6 4 3" xfId="17501"/>
    <cellStyle name="Input 4 2 6 4 4" xfId="17502"/>
    <cellStyle name="Input 4 2 6 5" xfId="17503"/>
    <cellStyle name="Input 4 2 6 6" xfId="17504"/>
    <cellStyle name="Input 4 2 6 7" xfId="17505"/>
    <cellStyle name="Input 4 2 7" xfId="17506"/>
    <cellStyle name="Input 4 2 7 2" xfId="17507"/>
    <cellStyle name="Input 4 2 7 2 2" xfId="17508"/>
    <cellStyle name="Input 4 2 7 2 3" xfId="17509"/>
    <cellStyle name="Input 4 2 7 2 4" xfId="17510"/>
    <cellStyle name="Input 4 2 7 3" xfId="17511"/>
    <cellStyle name="Input 4 2 7 3 2" xfId="17512"/>
    <cellStyle name="Input 4 2 7 3 3" xfId="17513"/>
    <cellStyle name="Input 4 2 7 3 4" xfId="17514"/>
    <cellStyle name="Input 4 2 7 4" xfId="17515"/>
    <cellStyle name="Input 4 2 7 4 2" xfId="17516"/>
    <cellStyle name="Input 4 2 7 4 3" xfId="17517"/>
    <cellStyle name="Input 4 2 7 4 4" xfId="17518"/>
    <cellStyle name="Input 4 2 7 5" xfId="17519"/>
    <cellStyle name="Input 4 2 7 6" xfId="17520"/>
    <cellStyle name="Input 4 2 7 7" xfId="17521"/>
    <cellStyle name="Input 4 2 8" xfId="17522"/>
    <cellStyle name="Input 4 2 8 2" xfId="17523"/>
    <cellStyle name="Input 4 2 8 2 2" xfId="17524"/>
    <cellStyle name="Input 4 2 8 2 3" xfId="17525"/>
    <cellStyle name="Input 4 2 8 2 4" xfId="17526"/>
    <cellStyle name="Input 4 2 8 3" xfId="17527"/>
    <cellStyle name="Input 4 2 8 3 2" xfId="17528"/>
    <cellStyle name="Input 4 2 8 3 3" xfId="17529"/>
    <cellStyle name="Input 4 2 8 3 4" xfId="17530"/>
    <cellStyle name="Input 4 2 8 4" xfId="17531"/>
    <cellStyle name="Input 4 2 8 4 2" xfId="17532"/>
    <cellStyle name="Input 4 2 8 4 3" xfId="17533"/>
    <cellStyle name="Input 4 2 8 4 4" xfId="17534"/>
    <cellStyle name="Input 4 2 8 5" xfId="17535"/>
    <cellStyle name="Input 4 2 8 6" xfId="17536"/>
    <cellStyle name="Input 4 2 8 7" xfId="17537"/>
    <cellStyle name="Input 4 2 9" xfId="17538"/>
    <cellStyle name="Input 4 2 9 2" xfId="17539"/>
    <cellStyle name="Input 4 2 9 2 2" xfId="17540"/>
    <cellStyle name="Input 4 2 9 2 3" xfId="17541"/>
    <cellStyle name="Input 4 2 9 2 4" xfId="17542"/>
    <cellStyle name="Input 4 2 9 3" xfId="17543"/>
    <cellStyle name="Input 4 2 9 3 2" xfId="17544"/>
    <cellStyle name="Input 4 2 9 3 3" xfId="17545"/>
    <cellStyle name="Input 4 2 9 3 4" xfId="17546"/>
    <cellStyle name="Input 4 2 9 4" xfId="17547"/>
    <cellStyle name="Input 4 2 9 4 2" xfId="17548"/>
    <cellStyle name="Input 4 2 9 4 3" xfId="17549"/>
    <cellStyle name="Input 4 2 9 4 4" xfId="17550"/>
    <cellStyle name="Input 4 2 9 5" xfId="17551"/>
    <cellStyle name="Input 4 2 9 6" xfId="17552"/>
    <cellStyle name="Input 4 2 9 7" xfId="17553"/>
    <cellStyle name="Input 4 3" xfId="1069"/>
    <cellStyle name="Input 4 3 10" xfId="17554"/>
    <cellStyle name="Input 4 3 11" xfId="17555"/>
    <cellStyle name="Input 4 3 12" xfId="17556"/>
    <cellStyle name="Input 4 3 2" xfId="17557"/>
    <cellStyle name="Input 4 3 2 2" xfId="17558"/>
    <cellStyle name="Input 4 3 2 2 2" xfId="17559"/>
    <cellStyle name="Input 4 3 2 2 3" xfId="17560"/>
    <cellStyle name="Input 4 3 2 2 4" xfId="17561"/>
    <cellStyle name="Input 4 3 2 3" xfId="17562"/>
    <cellStyle name="Input 4 3 2 3 2" xfId="17563"/>
    <cellStyle name="Input 4 3 2 3 3" xfId="17564"/>
    <cellStyle name="Input 4 3 2 3 4" xfId="17565"/>
    <cellStyle name="Input 4 3 2 4" xfId="17566"/>
    <cellStyle name="Input 4 3 2 4 2" xfId="17567"/>
    <cellStyle name="Input 4 3 2 4 3" xfId="17568"/>
    <cellStyle name="Input 4 3 2 4 4" xfId="17569"/>
    <cellStyle name="Input 4 3 2 5" xfId="17570"/>
    <cellStyle name="Input 4 3 2 6" xfId="17571"/>
    <cellStyle name="Input 4 3 2 7" xfId="17572"/>
    <cellStyle name="Input 4 3 3" xfId="17573"/>
    <cellStyle name="Input 4 3 3 2" xfId="17574"/>
    <cellStyle name="Input 4 3 3 2 2" xfId="17575"/>
    <cellStyle name="Input 4 3 3 2 3" xfId="17576"/>
    <cellStyle name="Input 4 3 3 2 4" xfId="17577"/>
    <cellStyle name="Input 4 3 3 3" xfId="17578"/>
    <cellStyle name="Input 4 3 3 3 2" xfId="17579"/>
    <cellStyle name="Input 4 3 3 3 3" xfId="17580"/>
    <cellStyle name="Input 4 3 3 3 4" xfId="17581"/>
    <cellStyle name="Input 4 3 3 4" xfId="17582"/>
    <cellStyle name="Input 4 3 3 4 2" xfId="17583"/>
    <cellStyle name="Input 4 3 3 4 3" xfId="17584"/>
    <cellStyle name="Input 4 3 3 4 4" xfId="17585"/>
    <cellStyle name="Input 4 3 3 5" xfId="17586"/>
    <cellStyle name="Input 4 3 3 6" xfId="17587"/>
    <cellStyle name="Input 4 3 3 7" xfId="17588"/>
    <cellStyle name="Input 4 3 4" xfId="17589"/>
    <cellStyle name="Input 4 3 4 2" xfId="17590"/>
    <cellStyle name="Input 4 3 4 2 2" xfId="17591"/>
    <cellStyle name="Input 4 3 4 2 3" xfId="17592"/>
    <cellStyle name="Input 4 3 4 2 4" xfId="17593"/>
    <cellStyle name="Input 4 3 4 3" xfId="17594"/>
    <cellStyle name="Input 4 3 4 3 2" xfId="17595"/>
    <cellStyle name="Input 4 3 4 3 3" xfId="17596"/>
    <cellStyle name="Input 4 3 4 3 4" xfId="17597"/>
    <cellStyle name="Input 4 3 4 4" xfId="17598"/>
    <cellStyle name="Input 4 3 4 4 2" xfId="17599"/>
    <cellStyle name="Input 4 3 4 4 3" xfId="17600"/>
    <cellStyle name="Input 4 3 4 4 4" xfId="17601"/>
    <cellStyle name="Input 4 3 4 5" xfId="17602"/>
    <cellStyle name="Input 4 3 4 6" xfId="17603"/>
    <cellStyle name="Input 4 3 4 7" xfId="17604"/>
    <cellStyle name="Input 4 3 5" xfId="17605"/>
    <cellStyle name="Input 4 3 5 2" xfId="17606"/>
    <cellStyle name="Input 4 3 5 2 2" xfId="17607"/>
    <cellStyle name="Input 4 3 5 2 3" xfId="17608"/>
    <cellStyle name="Input 4 3 5 2 4" xfId="17609"/>
    <cellStyle name="Input 4 3 5 3" xfId="17610"/>
    <cellStyle name="Input 4 3 5 3 2" xfId="17611"/>
    <cellStyle name="Input 4 3 5 3 3" xfId="17612"/>
    <cellStyle name="Input 4 3 5 3 4" xfId="17613"/>
    <cellStyle name="Input 4 3 5 4" xfId="17614"/>
    <cellStyle name="Input 4 3 5 4 2" xfId="17615"/>
    <cellStyle name="Input 4 3 5 4 3" xfId="17616"/>
    <cellStyle name="Input 4 3 5 4 4" xfId="17617"/>
    <cellStyle name="Input 4 3 5 5" xfId="17618"/>
    <cellStyle name="Input 4 3 5 6" xfId="17619"/>
    <cellStyle name="Input 4 3 5 7" xfId="17620"/>
    <cellStyle name="Input 4 3 6" xfId="17621"/>
    <cellStyle name="Input 4 3 6 2" xfId="17622"/>
    <cellStyle name="Input 4 3 6 2 2" xfId="17623"/>
    <cellStyle name="Input 4 3 6 2 3" xfId="17624"/>
    <cellStyle name="Input 4 3 6 2 4" xfId="17625"/>
    <cellStyle name="Input 4 3 6 3" xfId="17626"/>
    <cellStyle name="Input 4 3 6 3 2" xfId="17627"/>
    <cellStyle name="Input 4 3 6 3 3" xfId="17628"/>
    <cellStyle name="Input 4 3 6 3 4" xfId="17629"/>
    <cellStyle name="Input 4 3 6 4" xfId="17630"/>
    <cellStyle name="Input 4 3 6 4 2" xfId="17631"/>
    <cellStyle name="Input 4 3 6 4 3" xfId="17632"/>
    <cellStyle name="Input 4 3 6 4 4" xfId="17633"/>
    <cellStyle name="Input 4 3 6 5" xfId="17634"/>
    <cellStyle name="Input 4 3 6 6" xfId="17635"/>
    <cellStyle name="Input 4 3 6 7" xfId="17636"/>
    <cellStyle name="Input 4 3 7" xfId="17637"/>
    <cellStyle name="Input 4 3 7 2" xfId="17638"/>
    <cellStyle name="Input 4 3 7 3" xfId="17639"/>
    <cellStyle name="Input 4 3 7 4" xfId="17640"/>
    <cellStyle name="Input 4 3 8" xfId="17641"/>
    <cellStyle name="Input 4 3 8 2" xfId="17642"/>
    <cellStyle name="Input 4 3 8 3" xfId="17643"/>
    <cellStyle name="Input 4 3 8 4" xfId="17644"/>
    <cellStyle name="Input 4 3 9" xfId="17645"/>
    <cellStyle name="Input 4 3 9 2" xfId="17646"/>
    <cellStyle name="Input 4 3 9 3" xfId="17647"/>
    <cellStyle name="Input 4 3 9 4" xfId="17648"/>
    <cellStyle name="Input 4 4" xfId="3204"/>
    <cellStyle name="Input 4 5" xfId="1151"/>
    <cellStyle name="Input 4 6" xfId="3162"/>
    <cellStyle name="Input 4 7" xfId="3283"/>
    <cellStyle name="Input 5" xfId="298"/>
    <cellStyle name="Input 5 2" xfId="584"/>
    <cellStyle name="Input 5 2 10" xfId="17649"/>
    <cellStyle name="Input 5 2 10 2" xfId="17650"/>
    <cellStyle name="Input 5 2 10 2 2" xfId="17651"/>
    <cellStyle name="Input 5 2 10 2 3" xfId="17652"/>
    <cellStyle name="Input 5 2 10 2 4" xfId="17653"/>
    <cellStyle name="Input 5 2 10 3" xfId="17654"/>
    <cellStyle name="Input 5 2 10 3 2" xfId="17655"/>
    <cellStyle name="Input 5 2 10 3 3" xfId="17656"/>
    <cellStyle name="Input 5 2 10 3 4" xfId="17657"/>
    <cellStyle name="Input 5 2 10 4" xfId="17658"/>
    <cellStyle name="Input 5 2 10 4 2" xfId="17659"/>
    <cellStyle name="Input 5 2 10 4 3" xfId="17660"/>
    <cellStyle name="Input 5 2 10 4 4" xfId="17661"/>
    <cellStyle name="Input 5 2 10 5" xfId="17662"/>
    <cellStyle name="Input 5 2 10 6" xfId="17663"/>
    <cellStyle name="Input 5 2 10 7" xfId="17664"/>
    <cellStyle name="Input 5 2 11" xfId="17665"/>
    <cellStyle name="Input 5 2 11 2" xfId="17666"/>
    <cellStyle name="Input 5 2 11 2 2" xfId="17667"/>
    <cellStyle name="Input 5 2 11 2 3" xfId="17668"/>
    <cellStyle name="Input 5 2 11 2 4" xfId="17669"/>
    <cellStyle name="Input 5 2 11 3" xfId="17670"/>
    <cellStyle name="Input 5 2 11 3 2" xfId="17671"/>
    <cellStyle name="Input 5 2 11 3 3" xfId="17672"/>
    <cellStyle name="Input 5 2 11 3 4" xfId="17673"/>
    <cellStyle name="Input 5 2 11 4" xfId="17674"/>
    <cellStyle name="Input 5 2 11 4 2" xfId="17675"/>
    <cellStyle name="Input 5 2 11 4 3" xfId="17676"/>
    <cellStyle name="Input 5 2 11 4 4" xfId="17677"/>
    <cellStyle name="Input 5 2 11 5" xfId="17678"/>
    <cellStyle name="Input 5 2 11 6" xfId="17679"/>
    <cellStyle name="Input 5 2 11 7" xfId="17680"/>
    <cellStyle name="Input 5 2 12" xfId="17681"/>
    <cellStyle name="Input 5 2 12 2" xfId="17682"/>
    <cellStyle name="Input 5 2 12 2 2" xfId="17683"/>
    <cellStyle name="Input 5 2 12 2 3" xfId="17684"/>
    <cellStyle name="Input 5 2 12 2 4" xfId="17685"/>
    <cellStyle name="Input 5 2 12 3" xfId="17686"/>
    <cellStyle name="Input 5 2 12 3 2" xfId="17687"/>
    <cellStyle name="Input 5 2 12 3 3" xfId="17688"/>
    <cellStyle name="Input 5 2 12 3 4" xfId="17689"/>
    <cellStyle name="Input 5 2 12 4" xfId="17690"/>
    <cellStyle name="Input 5 2 12 4 2" xfId="17691"/>
    <cellStyle name="Input 5 2 12 4 3" xfId="17692"/>
    <cellStyle name="Input 5 2 12 4 4" xfId="17693"/>
    <cellStyle name="Input 5 2 12 5" xfId="17694"/>
    <cellStyle name="Input 5 2 12 6" xfId="17695"/>
    <cellStyle name="Input 5 2 12 7" xfId="17696"/>
    <cellStyle name="Input 5 2 13" xfId="17697"/>
    <cellStyle name="Input 5 2 13 2" xfId="17698"/>
    <cellStyle name="Input 5 2 13 2 2" xfId="17699"/>
    <cellStyle name="Input 5 2 13 2 3" xfId="17700"/>
    <cellStyle name="Input 5 2 13 2 4" xfId="17701"/>
    <cellStyle name="Input 5 2 13 3" xfId="17702"/>
    <cellStyle name="Input 5 2 13 3 2" xfId="17703"/>
    <cellStyle name="Input 5 2 13 3 3" xfId="17704"/>
    <cellStyle name="Input 5 2 13 3 4" xfId="17705"/>
    <cellStyle name="Input 5 2 13 4" xfId="17706"/>
    <cellStyle name="Input 5 2 13 4 2" xfId="17707"/>
    <cellStyle name="Input 5 2 13 4 3" xfId="17708"/>
    <cellStyle name="Input 5 2 13 4 4" xfId="17709"/>
    <cellStyle name="Input 5 2 13 5" xfId="17710"/>
    <cellStyle name="Input 5 2 13 6" xfId="17711"/>
    <cellStyle name="Input 5 2 13 7" xfId="17712"/>
    <cellStyle name="Input 5 2 14" xfId="17713"/>
    <cellStyle name="Input 5 2 14 2" xfId="17714"/>
    <cellStyle name="Input 5 2 14 3" xfId="17715"/>
    <cellStyle name="Input 5 2 14 4" xfId="17716"/>
    <cellStyle name="Input 5 2 15" xfId="17717"/>
    <cellStyle name="Input 5 2 15 2" xfId="17718"/>
    <cellStyle name="Input 5 2 15 3" xfId="17719"/>
    <cellStyle name="Input 5 2 15 4" xfId="17720"/>
    <cellStyle name="Input 5 2 16" xfId="17721"/>
    <cellStyle name="Input 5 2 16 2" xfId="17722"/>
    <cellStyle name="Input 5 2 16 3" xfId="17723"/>
    <cellStyle name="Input 5 2 16 4" xfId="17724"/>
    <cellStyle name="Input 5 2 17" xfId="17725"/>
    <cellStyle name="Input 5 2 18" xfId="17726"/>
    <cellStyle name="Input 5 2 19" xfId="17727"/>
    <cellStyle name="Input 5 2 2" xfId="865"/>
    <cellStyle name="Input 5 2 2 10" xfId="17728"/>
    <cellStyle name="Input 5 2 2 11" xfId="17729"/>
    <cellStyle name="Input 5 2 2 12" xfId="17730"/>
    <cellStyle name="Input 5 2 2 2" xfId="17731"/>
    <cellStyle name="Input 5 2 2 2 2" xfId="17732"/>
    <cellStyle name="Input 5 2 2 2 2 2" xfId="17733"/>
    <cellStyle name="Input 5 2 2 2 2 3" xfId="17734"/>
    <cellStyle name="Input 5 2 2 2 2 4" xfId="17735"/>
    <cellStyle name="Input 5 2 2 2 3" xfId="17736"/>
    <cellStyle name="Input 5 2 2 2 3 2" xfId="17737"/>
    <cellStyle name="Input 5 2 2 2 3 3" xfId="17738"/>
    <cellStyle name="Input 5 2 2 2 3 4" xfId="17739"/>
    <cellStyle name="Input 5 2 2 2 4" xfId="17740"/>
    <cellStyle name="Input 5 2 2 2 4 2" xfId="17741"/>
    <cellStyle name="Input 5 2 2 2 4 3" xfId="17742"/>
    <cellStyle name="Input 5 2 2 2 4 4" xfId="17743"/>
    <cellStyle name="Input 5 2 2 2 5" xfId="17744"/>
    <cellStyle name="Input 5 2 2 2 6" xfId="17745"/>
    <cellStyle name="Input 5 2 2 2 7" xfId="17746"/>
    <cellStyle name="Input 5 2 2 3" xfId="17747"/>
    <cellStyle name="Input 5 2 2 3 2" xfId="17748"/>
    <cellStyle name="Input 5 2 2 3 2 2" xfId="17749"/>
    <cellStyle name="Input 5 2 2 3 2 3" xfId="17750"/>
    <cellStyle name="Input 5 2 2 3 2 4" xfId="17751"/>
    <cellStyle name="Input 5 2 2 3 3" xfId="17752"/>
    <cellStyle name="Input 5 2 2 3 3 2" xfId="17753"/>
    <cellStyle name="Input 5 2 2 3 3 3" xfId="17754"/>
    <cellStyle name="Input 5 2 2 3 3 4" xfId="17755"/>
    <cellStyle name="Input 5 2 2 3 4" xfId="17756"/>
    <cellStyle name="Input 5 2 2 3 4 2" xfId="17757"/>
    <cellStyle name="Input 5 2 2 3 4 3" xfId="17758"/>
    <cellStyle name="Input 5 2 2 3 4 4" xfId="17759"/>
    <cellStyle name="Input 5 2 2 3 5" xfId="17760"/>
    <cellStyle name="Input 5 2 2 3 6" xfId="17761"/>
    <cellStyle name="Input 5 2 2 3 7" xfId="17762"/>
    <cellStyle name="Input 5 2 2 4" xfId="17763"/>
    <cellStyle name="Input 5 2 2 4 2" xfId="17764"/>
    <cellStyle name="Input 5 2 2 4 2 2" xfId="17765"/>
    <cellStyle name="Input 5 2 2 4 2 3" xfId="17766"/>
    <cellStyle name="Input 5 2 2 4 2 4" xfId="17767"/>
    <cellStyle name="Input 5 2 2 4 3" xfId="17768"/>
    <cellStyle name="Input 5 2 2 4 3 2" xfId="17769"/>
    <cellStyle name="Input 5 2 2 4 3 3" xfId="17770"/>
    <cellStyle name="Input 5 2 2 4 3 4" xfId="17771"/>
    <cellStyle name="Input 5 2 2 4 4" xfId="17772"/>
    <cellStyle name="Input 5 2 2 4 4 2" xfId="17773"/>
    <cellStyle name="Input 5 2 2 4 4 3" xfId="17774"/>
    <cellStyle name="Input 5 2 2 4 4 4" xfId="17775"/>
    <cellStyle name="Input 5 2 2 4 5" xfId="17776"/>
    <cellStyle name="Input 5 2 2 4 6" xfId="17777"/>
    <cellStyle name="Input 5 2 2 4 7" xfId="17778"/>
    <cellStyle name="Input 5 2 2 5" xfId="17779"/>
    <cellStyle name="Input 5 2 2 5 2" xfId="17780"/>
    <cellStyle name="Input 5 2 2 5 2 2" xfId="17781"/>
    <cellStyle name="Input 5 2 2 5 2 3" xfId="17782"/>
    <cellStyle name="Input 5 2 2 5 2 4" xfId="17783"/>
    <cellStyle name="Input 5 2 2 5 3" xfId="17784"/>
    <cellStyle name="Input 5 2 2 5 3 2" xfId="17785"/>
    <cellStyle name="Input 5 2 2 5 3 3" xfId="17786"/>
    <cellStyle name="Input 5 2 2 5 3 4" xfId="17787"/>
    <cellStyle name="Input 5 2 2 5 4" xfId="17788"/>
    <cellStyle name="Input 5 2 2 5 4 2" xfId="17789"/>
    <cellStyle name="Input 5 2 2 5 4 3" xfId="17790"/>
    <cellStyle name="Input 5 2 2 5 4 4" xfId="17791"/>
    <cellStyle name="Input 5 2 2 5 5" xfId="17792"/>
    <cellStyle name="Input 5 2 2 5 6" xfId="17793"/>
    <cellStyle name="Input 5 2 2 5 7" xfId="17794"/>
    <cellStyle name="Input 5 2 2 6" xfId="17795"/>
    <cellStyle name="Input 5 2 2 6 2" xfId="17796"/>
    <cellStyle name="Input 5 2 2 6 2 2" xfId="17797"/>
    <cellStyle name="Input 5 2 2 6 2 3" xfId="17798"/>
    <cellStyle name="Input 5 2 2 6 2 4" xfId="17799"/>
    <cellStyle name="Input 5 2 2 6 3" xfId="17800"/>
    <cellStyle name="Input 5 2 2 6 3 2" xfId="17801"/>
    <cellStyle name="Input 5 2 2 6 3 3" xfId="17802"/>
    <cellStyle name="Input 5 2 2 6 3 4" xfId="17803"/>
    <cellStyle name="Input 5 2 2 6 4" xfId="17804"/>
    <cellStyle name="Input 5 2 2 6 4 2" xfId="17805"/>
    <cellStyle name="Input 5 2 2 6 4 3" xfId="17806"/>
    <cellStyle name="Input 5 2 2 6 4 4" xfId="17807"/>
    <cellStyle name="Input 5 2 2 6 5" xfId="17808"/>
    <cellStyle name="Input 5 2 2 6 6" xfId="17809"/>
    <cellStyle name="Input 5 2 2 6 7" xfId="17810"/>
    <cellStyle name="Input 5 2 2 7" xfId="17811"/>
    <cellStyle name="Input 5 2 2 7 2" xfId="17812"/>
    <cellStyle name="Input 5 2 2 7 3" xfId="17813"/>
    <cellStyle name="Input 5 2 2 7 4" xfId="17814"/>
    <cellStyle name="Input 5 2 2 8" xfId="17815"/>
    <cellStyle name="Input 5 2 2 8 2" xfId="17816"/>
    <cellStyle name="Input 5 2 2 8 3" xfId="17817"/>
    <cellStyle name="Input 5 2 2 8 4" xfId="17818"/>
    <cellStyle name="Input 5 2 2 9" xfId="17819"/>
    <cellStyle name="Input 5 2 2 9 2" xfId="17820"/>
    <cellStyle name="Input 5 2 2 9 3" xfId="17821"/>
    <cellStyle name="Input 5 2 2 9 4" xfId="17822"/>
    <cellStyle name="Input 5 2 3" xfId="744"/>
    <cellStyle name="Input 5 2 3 10" xfId="17823"/>
    <cellStyle name="Input 5 2 3 11" xfId="17824"/>
    <cellStyle name="Input 5 2 3 12" xfId="17825"/>
    <cellStyle name="Input 5 2 3 2" xfId="17826"/>
    <cellStyle name="Input 5 2 3 2 2" xfId="17827"/>
    <cellStyle name="Input 5 2 3 2 2 2" xfId="17828"/>
    <cellStyle name="Input 5 2 3 2 2 3" xfId="17829"/>
    <cellStyle name="Input 5 2 3 2 2 4" xfId="17830"/>
    <cellStyle name="Input 5 2 3 2 3" xfId="17831"/>
    <cellStyle name="Input 5 2 3 2 3 2" xfId="17832"/>
    <cellStyle name="Input 5 2 3 2 3 3" xfId="17833"/>
    <cellStyle name="Input 5 2 3 2 3 4" xfId="17834"/>
    <cellStyle name="Input 5 2 3 2 4" xfId="17835"/>
    <cellStyle name="Input 5 2 3 2 4 2" xfId="17836"/>
    <cellStyle name="Input 5 2 3 2 4 3" xfId="17837"/>
    <cellStyle name="Input 5 2 3 2 4 4" xfId="17838"/>
    <cellStyle name="Input 5 2 3 2 5" xfId="17839"/>
    <cellStyle name="Input 5 2 3 2 6" xfId="17840"/>
    <cellStyle name="Input 5 2 3 2 7" xfId="17841"/>
    <cellStyle name="Input 5 2 3 3" xfId="17842"/>
    <cellStyle name="Input 5 2 3 3 2" xfId="17843"/>
    <cellStyle name="Input 5 2 3 3 2 2" xfId="17844"/>
    <cellStyle name="Input 5 2 3 3 2 3" xfId="17845"/>
    <cellStyle name="Input 5 2 3 3 2 4" xfId="17846"/>
    <cellStyle name="Input 5 2 3 3 3" xfId="17847"/>
    <cellStyle name="Input 5 2 3 3 3 2" xfId="17848"/>
    <cellStyle name="Input 5 2 3 3 3 3" xfId="17849"/>
    <cellStyle name="Input 5 2 3 3 3 4" xfId="17850"/>
    <cellStyle name="Input 5 2 3 3 4" xfId="17851"/>
    <cellStyle name="Input 5 2 3 3 4 2" xfId="17852"/>
    <cellStyle name="Input 5 2 3 3 4 3" xfId="17853"/>
    <cellStyle name="Input 5 2 3 3 4 4" xfId="17854"/>
    <cellStyle name="Input 5 2 3 3 5" xfId="17855"/>
    <cellStyle name="Input 5 2 3 3 6" xfId="17856"/>
    <cellStyle name="Input 5 2 3 3 7" xfId="17857"/>
    <cellStyle name="Input 5 2 3 4" xfId="17858"/>
    <cellStyle name="Input 5 2 3 4 2" xfId="17859"/>
    <cellStyle name="Input 5 2 3 4 2 2" xfId="17860"/>
    <cellStyle name="Input 5 2 3 4 2 3" xfId="17861"/>
    <cellStyle name="Input 5 2 3 4 2 4" xfId="17862"/>
    <cellStyle name="Input 5 2 3 4 3" xfId="17863"/>
    <cellStyle name="Input 5 2 3 4 3 2" xfId="17864"/>
    <cellStyle name="Input 5 2 3 4 3 3" xfId="17865"/>
    <cellStyle name="Input 5 2 3 4 3 4" xfId="17866"/>
    <cellStyle name="Input 5 2 3 4 4" xfId="17867"/>
    <cellStyle name="Input 5 2 3 4 4 2" xfId="17868"/>
    <cellStyle name="Input 5 2 3 4 4 3" xfId="17869"/>
    <cellStyle name="Input 5 2 3 4 4 4" xfId="17870"/>
    <cellStyle name="Input 5 2 3 4 5" xfId="17871"/>
    <cellStyle name="Input 5 2 3 4 6" xfId="17872"/>
    <cellStyle name="Input 5 2 3 4 7" xfId="17873"/>
    <cellStyle name="Input 5 2 3 5" xfId="17874"/>
    <cellStyle name="Input 5 2 3 5 2" xfId="17875"/>
    <cellStyle name="Input 5 2 3 5 2 2" xfId="17876"/>
    <cellStyle name="Input 5 2 3 5 2 3" xfId="17877"/>
    <cellStyle name="Input 5 2 3 5 2 4" xfId="17878"/>
    <cellStyle name="Input 5 2 3 5 3" xfId="17879"/>
    <cellStyle name="Input 5 2 3 5 3 2" xfId="17880"/>
    <cellStyle name="Input 5 2 3 5 3 3" xfId="17881"/>
    <cellStyle name="Input 5 2 3 5 3 4" xfId="17882"/>
    <cellStyle name="Input 5 2 3 5 4" xfId="17883"/>
    <cellStyle name="Input 5 2 3 5 4 2" xfId="17884"/>
    <cellStyle name="Input 5 2 3 5 4 3" xfId="17885"/>
    <cellStyle name="Input 5 2 3 5 4 4" xfId="17886"/>
    <cellStyle name="Input 5 2 3 5 5" xfId="17887"/>
    <cellStyle name="Input 5 2 3 5 6" xfId="17888"/>
    <cellStyle name="Input 5 2 3 5 7" xfId="17889"/>
    <cellStyle name="Input 5 2 3 6" xfId="17890"/>
    <cellStyle name="Input 5 2 3 6 2" xfId="17891"/>
    <cellStyle name="Input 5 2 3 6 2 2" xfId="17892"/>
    <cellStyle name="Input 5 2 3 6 2 3" xfId="17893"/>
    <cellStyle name="Input 5 2 3 6 2 4" xfId="17894"/>
    <cellStyle name="Input 5 2 3 6 3" xfId="17895"/>
    <cellStyle name="Input 5 2 3 6 3 2" xfId="17896"/>
    <cellStyle name="Input 5 2 3 6 3 3" xfId="17897"/>
    <cellStyle name="Input 5 2 3 6 3 4" xfId="17898"/>
    <cellStyle name="Input 5 2 3 6 4" xfId="17899"/>
    <cellStyle name="Input 5 2 3 6 4 2" xfId="17900"/>
    <cellStyle name="Input 5 2 3 6 4 3" xfId="17901"/>
    <cellStyle name="Input 5 2 3 6 4 4" xfId="17902"/>
    <cellStyle name="Input 5 2 3 6 5" xfId="17903"/>
    <cellStyle name="Input 5 2 3 6 6" xfId="17904"/>
    <cellStyle name="Input 5 2 3 6 7" xfId="17905"/>
    <cellStyle name="Input 5 2 3 7" xfId="17906"/>
    <cellStyle name="Input 5 2 3 7 2" xfId="17907"/>
    <cellStyle name="Input 5 2 3 7 3" xfId="17908"/>
    <cellStyle name="Input 5 2 3 7 4" xfId="17909"/>
    <cellStyle name="Input 5 2 3 8" xfId="17910"/>
    <cellStyle name="Input 5 2 3 8 2" xfId="17911"/>
    <cellStyle name="Input 5 2 3 8 3" xfId="17912"/>
    <cellStyle name="Input 5 2 3 8 4" xfId="17913"/>
    <cellStyle name="Input 5 2 3 9" xfId="17914"/>
    <cellStyle name="Input 5 2 3 9 2" xfId="17915"/>
    <cellStyle name="Input 5 2 3 9 3" xfId="17916"/>
    <cellStyle name="Input 5 2 3 9 4" xfId="17917"/>
    <cellStyle name="Input 5 2 4" xfId="866"/>
    <cellStyle name="Input 5 2 4 10" xfId="17918"/>
    <cellStyle name="Input 5 2 4 11" xfId="17919"/>
    <cellStyle name="Input 5 2 4 12" xfId="17920"/>
    <cellStyle name="Input 5 2 4 2" xfId="17921"/>
    <cellStyle name="Input 5 2 4 2 2" xfId="17922"/>
    <cellStyle name="Input 5 2 4 2 2 2" xfId="17923"/>
    <cellStyle name="Input 5 2 4 2 2 3" xfId="17924"/>
    <cellStyle name="Input 5 2 4 2 2 4" xfId="17925"/>
    <cellStyle name="Input 5 2 4 2 3" xfId="17926"/>
    <cellStyle name="Input 5 2 4 2 3 2" xfId="17927"/>
    <cellStyle name="Input 5 2 4 2 3 3" xfId="17928"/>
    <cellStyle name="Input 5 2 4 2 3 4" xfId="17929"/>
    <cellStyle name="Input 5 2 4 2 4" xfId="17930"/>
    <cellStyle name="Input 5 2 4 2 4 2" xfId="17931"/>
    <cellStyle name="Input 5 2 4 2 4 3" xfId="17932"/>
    <cellStyle name="Input 5 2 4 2 4 4" xfId="17933"/>
    <cellStyle name="Input 5 2 4 2 5" xfId="17934"/>
    <cellStyle name="Input 5 2 4 2 6" xfId="17935"/>
    <cellStyle name="Input 5 2 4 2 7" xfId="17936"/>
    <cellStyle name="Input 5 2 4 3" xfId="17937"/>
    <cellStyle name="Input 5 2 4 3 2" xfId="17938"/>
    <cellStyle name="Input 5 2 4 3 2 2" xfId="17939"/>
    <cellStyle name="Input 5 2 4 3 2 3" xfId="17940"/>
    <cellStyle name="Input 5 2 4 3 2 4" xfId="17941"/>
    <cellStyle name="Input 5 2 4 3 3" xfId="17942"/>
    <cellStyle name="Input 5 2 4 3 3 2" xfId="17943"/>
    <cellStyle name="Input 5 2 4 3 3 3" xfId="17944"/>
    <cellStyle name="Input 5 2 4 3 3 4" xfId="17945"/>
    <cellStyle name="Input 5 2 4 3 4" xfId="17946"/>
    <cellStyle name="Input 5 2 4 3 4 2" xfId="17947"/>
    <cellStyle name="Input 5 2 4 3 4 3" xfId="17948"/>
    <cellStyle name="Input 5 2 4 3 4 4" xfId="17949"/>
    <cellStyle name="Input 5 2 4 3 5" xfId="17950"/>
    <cellStyle name="Input 5 2 4 3 6" xfId="17951"/>
    <cellStyle name="Input 5 2 4 3 7" xfId="17952"/>
    <cellStyle name="Input 5 2 4 4" xfId="17953"/>
    <cellStyle name="Input 5 2 4 4 2" xfId="17954"/>
    <cellStyle name="Input 5 2 4 4 2 2" xfId="17955"/>
    <cellStyle name="Input 5 2 4 4 2 3" xfId="17956"/>
    <cellStyle name="Input 5 2 4 4 2 4" xfId="17957"/>
    <cellStyle name="Input 5 2 4 4 3" xfId="17958"/>
    <cellStyle name="Input 5 2 4 4 3 2" xfId="17959"/>
    <cellStyle name="Input 5 2 4 4 3 3" xfId="17960"/>
    <cellStyle name="Input 5 2 4 4 3 4" xfId="17961"/>
    <cellStyle name="Input 5 2 4 4 4" xfId="17962"/>
    <cellStyle name="Input 5 2 4 4 4 2" xfId="17963"/>
    <cellStyle name="Input 5 2 4 4 4 3" xfId="17964"/>
    <cellStyle name="Input 5 2 4 4 4 4" xfId="17965"/>
    <cellStyle name="Input 5 2 4 4 5" xfId="17966"/>
    <cellStyle name="Input 5 2 4 4 6" xfId="17967"/>
    <cellStyle name="Input 5 2 4 4 7" xfId="17968"/>
    <cellStyle name="Input 5 2 4 5" xfId="17969"/>
    <cellStyle name="Input 5 2 4 5 2" xfId="17970"/>
    <cellStyle name="Input 5 2 4 5 2 2" xfId="17971"/>
    <cellStyle name="Input 5 2 4 5 2 3" xfId="17972"/>
    <cellStyle name="Input 5 2 4 5 2 4" xfId="17973"/>
    <cellStyle name="Input 5 2 4 5 3" xfId="17974"/>
    <cellStyle name="Input 5 2 4 5 3 2" xfId="17975"/>
    <cellStyle name="Input 5 2 4 5 3 3" xfId="17976"/>
    <cellStyle name="Input 5 2 4 5 3 4" xfId="17977"/>
    <cellStyle name="Input 5 2 4 5 4" xfId="17978"/>
    <cellStyle name="Input 5 2 4 5 4 2" xfId="17979"/>
    <cellStyle name="Input 5 2 4 5 4 3" xfId="17980"/>
    <cellStyle name="Input 5 2 4 5 4 4" xfId="17981"/>
    <cellStyle name="Input 5 2 4 5 5" xfId="17982"/>
    <cellStyle name="Input 5 2 4 5 6" xfId="17983"/>
    <cellStyle name="Input 5 2 4 5 7" xfId="17984"/>
    <cellStyle name="Input 5 2 4 6" xfId="17985"/>
    <cellStyle name="Input 5 2 4 6 2" xfId="17986"/>
    <cellStyle name="Input 5 2 4 6 2 2" xfId="17987"/>
    <cellStyle name="Input 5 2 4 6 2 3" xfId="17988"/>
    <cellStyle name="Input 5 2 4 6 2 4" xfId="17989"/>
    <cellStyle name="Input 5 2 4 6 3" xfId="17990"/>
    <cellStyle name="Input 5 2 4 6 3 2" xfId="17991"/>
    <cellStyle name="Input 5 2 4 6 3 3" xfId="17992"/>
    <cellStyle name="Input 5 2 4 6 3 4" xfId="17993"/>
    <cellStyle name="Input 5 2 4 6 4" xfId="17994"/>
    <cellStyle name="Input 5 2 4 6 4 2" xfId="17995"/>
    <cellStyle name="Input 5 2 4 6 4 3" xfId="17996"/>
    <cellStyle name="Input 5 2 4 6 4 4" xfId="17997"/>
    <cellStyle name="Input 5 2 4 6 5" xfId="17998"/>
    <cellStyle name="Input 5 2 4 6 6" xfId="17999"/>
    <cellStyle name="Input 5 2 4 6 7" xfId="18000"/>
    <cellStyle name="Input 5 2 4 7" xfId="18001"/>
    <cellStyle name="Input 5 2 4 7 2" xfId="18002"/>
    <cellStyle name="Input 5 2 4 7 3" xfId="18003"/>
    <cellStyle name="Input 5 2 4 7 4" xfId="18004"/>
    <cellStyle name="Input 5 2 4 8" xfId="18005"/>
    <cellStyle name="Input 5 2 4 8 2" xfId="18006"/>
    <cellStyle name="Input 5 2 4 8 3" xfId="18007"/>
    <cellStyle name="Input 5 2 4 8 4" xfId="18008"/>
    <cellStyle name="Input 5 2 4 9" xfId="18009"/>
    <cellStyle name="Input 5 2 4 9 2" xfId="18010"/>
    <cellStyle name="Input 5 2 4 9 3" xfId="18011"/>
    <cellStyle name="Input 5 2 4 9 4" xfId="18012"/>
    <cellStyle name="Input 5 2 5" xfId="18013"/>
    <cellStyle name="Input 5 2 5 10" xfId="18014"/>
    <cellStyle name="Input 5 2 5 11" xfId="18015"/>
    <cellStyle name="Input 5 2 5 12" xfId="18016"/>
    <cellStyle name="Input 5 2 5 2" xfId="18017"/>
    <cellStyle name="Input 5 2 5 2 2" xfId="18018"/>
    <cellStyle name="Input 5 2 5 2 2 2" xfId="18019"/>
    <cellStyle name="Input 5 2 5 2 2 3" xfId="18020"/>
    <cellStyle name="Input 5 2 5 2 2 4" xfId="18021"/>
    <cellStyle name="Input 5 2 5 2 3" xfId="18022"/>
    <cellStyle name="Input 5 2 5 2 3 2" xfId="18023"/>
    <cellStyle name="Input 5 2 5 2 3 3" xfId="18024"/>
    <cellStyle name="Input 5 2 5 2 3 4" xfId="18025"/>
    <cellStyle name="Input 5 2 5 2 4" xfId="18026"/>
    <cellStyle name="Input 5 2 5 2 4 2" xfId="18027"/>
    <cellStyle name="Input 5 2 5 2 4 3" xfId="18028"/>
    <cellStyle name="Input 5 2 5 2 4 4" xfId="18029"/>
    <cellStyle name="Input 5 2 5 2 5" xfId="18030"/>
    <cellStyle name="Input 5 2 5 2 6" xfId="18031"/>
    <cellStyle name="Input 5 2 5 2 7" xfId="18032"/>
    <cellStyle name="Input 5 2 5 3" xfId="18033"/>
    <cellStyle name="Input 5 2 5 3 2" xfId="18034"/>
    <cellStyle name="Input 5 2 5 3 2 2" xfId="18035"/>
    <cellStyle name="Input 5 2 5 3 2 3" xfId="18036"/>
    <cellStyle name="Input 5 2 5 3 2 4" xfId="18037"/>
    <cellStyle name="Input 5 2 5 3 3" xfId="18038"/>
    <cellStyle name="Input 5 2 5 3 3 2" xfId="18039"/>
    <cellStyle name="Input 5 2 5 3 3 3" xfId="18040"/>
    <cellStyle name="Input 5 2 5 3 3 4" xfId="18041"/>
    <cellStyle name="Input 5 2 5 3 4" xfId="18042"/>
    <cellStyle name="Input 5 2 5 3 4 2" xfId="18043"/>
    <cellStyle name="Input 5 2 5 3 4 3" xfId="18044"/>
    <cellStyle name="Input 5 2 5 3 4 4" xfId="18045"/>
    <cellStyle name="Input 5 2 5 3 5" xfId="18046"/>
    <cellStyle name="Input 5 2 5 3 6" xfId="18047"/>
    <cellStyle name="Input 5 2 5 3 7" xfId="18048"/>
    <cellStyle name="Input 5 2 5 4" xfId="18049"/>
    <cellStyle name="Input 5 2 5 4 2" xfId="18050"/>
    <cellStyle name="Input 5 2 5 4 2 2" xfId="18051"/>
    <cellStyle name="Input 5 2 5 4 2 3" xfId="18052"/>
    <cellStyle name="Input 5 2 5 4 2 4" xfId="18053"/>
    <cellStyle name="Input 5 2 5 4 3" xfId="18054"/>
    <cellStyle name="Input 5 2 5 4 3 2" xfId="18055"/>
    <cellStyle name="Input 5 2 5 4 3 3" xfId="18056"/>
    <cellStyle name="Input 5 2 5 4 3 4" xfId="18057"/>
    <cellStyle name="Input 5 2 5 4 4" xfId="18058"/>
    <cellStyle name="Input 5 2 5 4 4 2" xfId="18059"/>
    <cellStyle name="Input 5 2 5 4 4 3" xfId="18060"/>
    <cellStyle name="Input 5 2 5 4 4 4" xfId="18061"/>
    <cellStyle name="Input 5 2 5 4 5" xfId="18062"/>
    <cellStyle name="Input 5 2 5 4 6" xfId="18063"/>
    <cellStyle name="Input 5 2 5 4 7" xfId="18064"/>
    <cellStyle name="Input 5 2 5 5" xfId="18065"/>
    <cellStyle name="Input 5 2 5 5 2" xfId="18066"/>
    <cellStyle name="Input 5 2 5 5 2 2" xfId="18067"/>
    <cellStyle name="Input 5 2 5 5 2 3" xfId="18068"/>
    <cellStyle name="Input 5 2 5 5 2 4" xfId="18069"/>
    <cellStyle name="Input 5 2 5 5 3" xfId="18070"/>
    <cellStyle name="Input 5 2 5 5 3 2" xfId="18071"/>
    <cellStyle name="Input 5 2 5 5 3 3" xfId="18072"/>
    <cellStyle name="Input 5 2 5 5 3 4" xfId="18073"/>
    <cellStyle name="Input 5 2 5 5 4" xfId="18074"/>
    <cellStyle name="Input 5 2 5 5 4 2" xfId="18075"/>
    <cellStyle name="Input 5 2 5 5 4 3" xfId="18076"/>
    <cellStyle name="Input 5 2 5 5 4 4" xfId="18077"/>
    <cellStyle name="Input 5 2 5 5 5" xfId="18078"/>
    <cellStyle name="Input 5 2 5 5 6" xfId="18079"/>
    <cellStyle name="Input 5 2 5 5 7" xfId="18080"/>
    <cellStyle name="Input 5 2 5 6" xfId="18081"/>
    <cellStyle name="Input 5 2 5 6 2" xfId="18082"/>
    <cellStyle name="Input 5 2 5 6 2 2" xfId="18083"/>
    <cellStyle name="Input 5 2 5 6 2 3" xfId="18084"/>
    <cellStyle name="Input 5 2 5 6 2 4" xfId="18085"/>
    <cellStyle name="Input 5 2 5 6 3" xfId="18086"/>
    <cellStyle name="Input 5 2 5 6 3 2" xfId="18087"/>
    <cellStyle name="Input 5 2 5 6 3 3" xfId="18088"/>
    <cellStyle name="Input 5 2 5 6 3 4" xfId="18089"/>
    <cellStyle name="Input 5 2 5 6 4" xfId="18090"/>
    <cellStyle name="Input 5 2 5 6 4 2" xfId="18091"/>
    <cellStyle name="Input 5 2 5 6 4 3" xfId="18092"/>
    <cellStyle name="Input 5 2 5 6 4 4" xfId="18093"/>
    <cellStyle name="Input 5 2 5 6 5" xfId="18094"/>
    <cellStyle name="Input 5 2 5 6 6" xfId="18095"/>
    <cellStyle name="Input 5 2 5 6 7" xfId="18096"/>
    <cellStyle name="Input 5 2 5 7" xfId="18097"/>
    <cellStyle name="Input 5 2 5 7 2" xfId="18098"/>
    <cellStyle name="Input 5 2 5 7 3" xfId="18099"/>
    <cellStyle name="Input 5 2 5 7 4" xfId="18100"/>
    <cellStyle name="Input 5 2 5 8" xfId="18101"/>
    <cellStyle name="Input 5 2 5 8 2" xfId="18102"/>
    <cellStyle name="Input 5 2 5 8 3" xfId="18103"/>
    <cellStyle name="Input 5 2 5 8 4" xfId="18104"/>
    <cellStyle name="Input 5 2 5 9" xfId="18105"/>
    <cellStyle name="Input 5 2 5 9 2" xfId="18106"/>
    <cellStyle name="Input 5 2 5 9 3" xfId="18107"/>
    <cellStyle name="Input 5 2 5 9 4" xfId="18108"/>
    <cellStyle name="Input 5 2 6" xfId="18109"/>
    <cellStyle name="Input 5 2 6 2" xfId="18110"/>
    <cellStyle name="Input 5 2 6 2 2" xfId="18111"/>
    <cellStyle name="Input 5 2 6 2 3" xfId="18112"/>
    <cellStyle name="Input 5 2 6 2 4" xfId="18113"/>
    <cellStyle name="Input 5 2 6 3" xfId="18114"/>
    <cellStyle name="Input 5 2 6 3 2" xfId="18115"/>
    <cellStyle name="Input 5 2 6 3 3" xfId="18116"/>
    <cellStyle name="Input 5 2 6 3 4" xfId="18117"/>
    <cellStyle name="Input 5 2 6 4" xfId="18118"/>
    <cellStyle name="Input 5 2 6 4 2" xfId="18119"/>
    <cellStyle name="Input 5 2 6 4 3" xfId="18120"/>
    <cellStyle name="Input 5 2 6 4 4" xfId="18121"/>
    <cellStyle name="Input 5 2 6 5" xfId="18122"/>
    <cellStyle name="Input 5 2 6 6" xfId="18123"/>
    <cellStyle name="Input 5 2 6 7" xfId="18124"/>
    <cellStyle name="Input 5 2 7" xfId="18125"/>
    <cellStyle name="Input 5 2 7 2" xfId="18126"/>
    <cellStyle name="Input 5 2 7 2 2" xfId="18127"/>
    <cellStyle name="Input 5 2 7 2 3" xfId="18128"/>
    <cellStyle name="Input 5 2 7 2 4" xfId="18129"/>
    <cellStyle name="Input 5 2 7 3" xfId="18130"/>
    <cellStyle name="Input 5 2 7 3 2" xfId="18131"/>
    <cellStyle name="Input 5 2 7 3 3" xfId="18132"/>
    <cellStyle name="Input 5 2 7 3 4" xfId="18133"/>
    <cellStyle name="Input 5 2 7 4" xfId="18134"/>
    <cellStyle name="Input 5 2 7 4 2" xfId="18135"/>
    <cellStyle name="Input 5 2 7 4 3" xfId="18136"/>
    <cellStyle name="Input 5 2 7 4 4" xfId="18137"/>
    <cellStyle name="Input 5 2 7 5" xfId="18138"/>
    <cellStyle name="Input 5 2 7 6" xfId="18139"/>
    <cellStyle name="Input 5 2 7 7" xfId="18140"/>
    <cellStyle name="Input 5 2 8" xfId="18141"/>
    <cellStyle name="Input 5 2 8 2" xfId="18142"/>
    <cellStyle name="Input 5 2 8 2 2" xfId="18143"/>
    <cellStyle name="Input 5 2 8 2 3" xfId="18144"/>
    <cellStyle name="Input 5 2 8 2 4" xfId="18145"/>
    <cellStyle name="Input 5 2 8 3" xfId="18146"/>
    <cellStyle name="Input 5 2 8 3 2" xfId="18147"/>
    <cellStyle name="Input 5 2 8 3 3" xfId="18148"/>
    <cellStyle name="Input 5 2 8 3 4" xfId="18149"/>
    <cellStyle name="Input 5 2 8 4" xfId="18150"/>
    <cellStyle name="Input 5 2 8 4 2" xfId="18151"/>
    <cellStyle name="Input 5 2 8 4 3" xfId="18152"/>
    <cellStyle name="Input 5 2 8 4 4" xfId="18153"/>
    <cellStyle name="Input 5 2 8 5" xfId="18154"/>
    <cellStyle name="Input 5 2 8 6" xfId="18155"/>
    <cellStyle name="Input 5 2 8 7" xfId="18156"/>
    <cellStyle name="Input 5 2 9" xfId="18157"/>
    <cellStyle name="Input 5 2 9 2" xfId="18158"/>
    <cellStyle name="Input 5 2 9 2 2" xfId="18159"/>
    <cellStyle name="Input 5 2 9 2 3" xfId="18160"/>
    <cellStyle name="Input 5 2 9 2 4" xfId="18161"/>
    <cellStyle name="Input 5 2 9 3" xfId="18162"/>
    <cellStyle name="Input 5 2 9 3 2" xfId="18163"/>
    <cellStyle name="Input 5 2 9 3 3" xfId="18164"/>
    <cellStyle name="Input 5 2 9 3 4" xfId="18165"/>
    <cellStyle name="Input 5 2 9 4" xfId="18166"/>
    <cellStyle name="Input 5 2 9 4 2" xfId="18167"/>
    <cellStyle name="Input 5 2 9 4 3" xfId="18168"/>
    <cellStyle name="Input 5 2 9 4 4" xfId="18169"/>
    <cellStyle name="Input 5 2 9 5" xfId="18170"/>
    <cellStyle name="Input 5 2 9 6" xfId="18171"/>
    <cellStyle name="Input 5 2 9 7" xfId="18172"/>
    <cellStyle name="Input 5 3" xfId="1161"/>
    <cellStyle name="Input 5 3 10" xfId="18173"/>
    <cellStyle name="Input 5 3 11" xfId="18174"/>
    <cellStyle name="Input 5 3 12" xfId="18175"/>
    <cellStyle name="Input 5 3 2" xfId="18176"/>
    <cellStyle name="Input 5 3 2 2" xfId="18177"/>
    <cellStyle name="Input 5 3 2 2 2" xfId="18178"/>
    <cellStyle name="Input 5 3 2 2 3" xfId="18179"/>
    <cellStyle name="Input 5 3 2 2 4" xfId="18180"/>
    <cellStyle name="Input 5 3 2 3" xfId="18181"/>
    <cellStyle name="Input 5 3 2 3 2" xfId="18182"/>
    <cellStyle name="Input 5 3 2 3 3" xfId="18183"/>
    <cellStyle name="Input 5 3 2 3 4" xfId="18184"/>
    <cellStyle name="Input 5 3 2 4" xfId="18185"/>
    <cellStyle name="Input 5 3 2 4 2" xfId="18186"/>
    <cellStyle name="Input 5 3 2 4 3" xfId="18187"/>
    <cellStyle name="Input 5 3 2 4 4" xfId="18188"/>
    <cellStyle name="Input 5 3 2 5" xfId="18189"/>
    <cellStyle name="Input 5 3 2 6" xfId="18190"/>
    <cellStyle name="Input 5 3 2 7" xfId="18191"/>
    <cellStyle name="Input 5 3 3" xfId="18192"/>
    <cellStyle name="Input 5 3 3 2" xfId="18193"/>
    <cellStyle name="Input 5 3 3 2 2" xfId="18194"/>
    <cellStyle name="Input 5 3 3 2 3" xfId="18195"/>
    <cellStyle name="Input 5 3 3 2 4" xfId="18196"/>
    <cellStyle name="Input 5 3 3 3" xfId="18197"/>
    <cellStyle name="Input 5 3 3 3 2" xfId="18198"/>
    <cellStyle name="Input 5 3 3 3 3" xfId="18199"/>
    <cellStyle name="Input 5 3 3 3 4" xfId="18200"/>
    <cellStyle name="Input 5 3 3 4" xfId="18201"/>
    <cellStyle name="Input 5 3 3 4 2" xfId="18202"/>
    <cellStyle name="Input 5 3 3 4 3" xfId="18203"/>
    <cellStyle name="Input 5 3 3 4 4" xfId="18204"/>
    <cellStyle name="Input 5 3 3 5" xfId="18205"/>
    <cellStyle name="Input 5 3 3 6" xfId="18206"/>
    <cellStyle name="Input 5 3 3 7" xfId="18207"/>
    <cellStyle name="Input 5 3 4" xfId="18208"/>
    <cellStyle name="Input 5 3 4 2" xfId="18209"/>
    <cellStyle name="Input 5 3 4 2 2" xfId="18210"/>
    <cellStyle name="Input 5 3 4 2 3" xfId="18211"/>
    <cellStyle name="Input 5 3 4 2 4" xfId="18212"/>
    <cellStyle name="Input 5 3 4 3" xfId="18213"/>
    <cellStyle name="Input 5 3 4 3 2" xfId="18214"/>
    <cellStyle name="Input 5 3 4 3 3" xfId="18215"/>
    <cellStyle name="Input 5 3 4 3 4" xfId="18216"/>
    <cellStyle name="Input 5 3 4 4" xfId="18217"/>
    <cellStyle name="Input 5 3 4 4 2" xfId="18218"/>
    <cellStyle name="Input 5 3 4 4 3" xfId="18219"/>
    <cellStyle name="Input 5 3 4 4 4" xfId="18220"/>
    <cellStyle name="Input 5 3 4 5" xfId="18221"/>
    <cellStyle name="Input 5 3 4 6" xfId="18222"/>
    <cellStyle name="Input 5 3 4 7" xfId="18223"/>
    <cellStyle name="Input 5 3 5" xfId="18224"/>
    <cellStyle name="Input 5 3 5 2" xfId="18225"/>
    <cellStyle name="Input 5 3 5 2 2" xfId="18226"/>
    <cellStyle name="Input 5 3 5 2 3" xfId="18227"/>
    <cellStyle name="Input 5 3 5 2 4" xfId="18228"/>
    <cellStyle name="Input 5 3 5 3" xfId="18229"/>
    <cellStyle name="Input 5 3 5 3 2" xfId="18230"/>
    <cellStyle name="Input 5 3 5 3 3" xfId="18231"/>
    <cellStyle name="Input 5 3 5 3 4" xfId="18232"/>
    <cellStyle name="Input 5 3 5 4" xfId="18233"/>
    <cellStyle name="Input 5 3 5 4 2" xfId="18234"/>
    <cellStyle name="Input 5 3 5 4 3" xfId="18235"/>
    <cellStyle name="Input 5 3 5 4 4" xfId="18236"/>
    <cellStyle name="Input 5 3 5 5" xfId="18237"/>
    <cellStyle name="Input 5 3 5 6" xfId="18238"/>
    <cellStyle name="Input 5 3 5 7" xfId="18239"/>
    <cellStyle name="Input 5 3 6" xfId="18240"/>
    <cellStyle name="Input 5 3 6 2" xfId="18241"/>
    <cellStyle name="Input 5 3 6 2 2" xfId="18242"/>
    <cellStyle name="Input 5 3 6 2 3" xfId="18243"/>
    <cellStyle name="Input 5 3 6 2 4" xfId="18244"/>
    <cellStyle name="Input 5 3 6 3" xfId="18245"/>
    <cellStyle name="Input 5 3 6 3 2" xfId="18246"/>
    <cellStyle name="Input 5 3 6 3 3" xfId="18247"/>
    <cellStyle name="Input 5 3 6 3 4" xfId="18248"/>
    <cellStyle name="Input 5 3 6 4" xfId="18249"/>
    <cellStyle name="Input 5 3 6 4 2" xfId="18250"/>
    <cellStyle name="Input 5 3 6 4 3" xfId="18251"/>
    <cellStyle name="Input 5 3 6 4 4" xfId="18252"/>
    <cellStyle name="Input 5 3 6 5" xfId="18253"/>
    <cellStyle name="Input 5 3 6 6" xfId="18254"/>
    <cellStyle name="Input 5 3 6 7" xfId="18255"/>
    <cellStyle name="Input 5 3 7" xfId="18256"/>
    <cellStyle name="Input 5 3 7 2" xfId="18257"/>
    <cellStyle name="Input 5 3 7 3" xfId="18258"/>
    <cellStyle name="Input 5 3 7 4" xfId="18259"/>
    <cellStyle name="Input 5 3 8" xfId="18260"/>
    <cellStyle name="Input 5 3 8 2" xfId="18261"/>
    <cellStyle name="Input 5 3 8 3" xfId="18262"/>
    <cellStyle name="Input 5 3 8 4" xfId="18263"/>
    <cellStyle name="Input 5 3 9" xfId="18264"/>
    <cellStyle name="Input 5 3 9 2" xfId="18265"/>
    <cellStyle name="Input 5 3 9 3" xfId="18266"/>
    <cellStyle name="Input 5 3 9 4" xfId="18267"/>
    <cellStyle name="Input 5 4" xfId="3143"/>
    <cellStyle name="Input 5 5" xfId="3264"/>
    <cellStyle name="Input 5 6" xfId="3290"/>
    <cellStyle name="Input 5 7" xfId="3304"/>
    <cellStyle name="Input 6" xfId="706"/>
    <cellStyle name="Input 6 10" xfId="18268"/>
    <cellStyle name="Input 6 10 2" xfId="18269"/>
    <cellStyle name="Input 6 10 2 2" xfId="18270"/>
    <cellStyle name="Input 6 10 2 3" xfId="18271"/>
    <cellStyle name="Input 6 10 2 4" xfId="18272"/>
    <cellStyle name="Input 6 10 3" xfId="18273"/>
    <cellStyle name="Input 6 10 3 2" xfId="18274"/>
    <cellStyle name="Input 6 10 3 3" xfId="18275"/>
    <cellStyle name="Input 6 10 3 4" xfId="18276"/>
    <cellStyle name="Input 6 10 4" xfId="18277"/>
    <cellStyle name="Input 6 10 4 2" xfId="18278"/>
    <cellStyle name="Input 6 10 4 3" xfId="18279"/>
    <cellStyle name="Input 6 10 4 4" xfId="18280"/>
    <cellStyle name="Input 6 10 5" xfId="18281"/>
    <cellStyle name="Input 6 10 6" xfId="18282"/>
    <cellStyle name="Input 6 10 7" xfId="18283"/>
    <cellStyle name="Input 6 11" xfId="18284"/>
    <cellStyle name="Input 6 11 2" xfId="18285"/>
    <cellStyle name="Input 6 11 2 2" xfId="18286"/>
    <cellStyle name="Input 6 11 2 3" xfId="18287"/>
    <cellStyle name="Input 6 11 2 4" xfId="18288"/>
    <cellStyle name="Input 6 11 3" xfId="18289"/>
    <cellStyle name="Input 6 11 3 2" xfId="18290"/>
    <cellStyle name="Input 6 11 3 3" xfId="18291"/>
    <cellStyle name="Input 6 11 3 4" xfId="18292"/>
    <cellStyle name="Input 6 11 4" xfId="18293"/>
    <cellStyle name="Input 6 11 4 2" xfId="18294"/>
    <cellStyle name="Input 6 11 4 3" xfId="18295"/>
    <cellStyle name="Input 6 11 4 4" xfId="18296"/>
    <cellStyle name="Input 6 11 5" xfId="18297"/>
    <cellStyle name="Input 6 11 6" xfId="18298"/>
    <cellStyle name="Input 6 11 7" xfId="18299"/>
    <cellStyle name="Input 6 12" xfId="18300"/>
    <cellStyle name="Input 6 12 2" xfId="18301"/>
    <cellStyle name="Input 6 12 2 2" xfId="18302"/>
    <cellStyle name="Input 6 12 2 3" xfId="18303"/>
    <cellStyle name="Input 6 12 2 4" xfId="18304"/>
    <cellStyle name="Input 6 12 3" xfId="18305"/>
    <cellStyle name="Input 6 12 3 2" xfId="18306"/>
    <cellStyle name="Input 6 12 3 3" xfId="18307"/>
    <cellStyle name="Input 6 12 3 4" xfId="18308"/>
    <cellStyle name="Input 6 12 4" xfId="18309"/>
    <cellStyle name="Input 6 12 4 2" xfId="18310"/>
    <cellStyle name="Input 6 12 4 3" xfId="18311"/>
    <cellStyle name="Input 6 12 4 4" xfId="18312"/>
    <cellStyle name="Input 6 12 5" xfId="18313"/>
    <cellStyle name="Input 6 12 6" xfId="18314"/>
    <cellStyle name="Input 6 12 7" xfId="18315"/>
    <cellStyle name="Input 6 13" xfId="18316"/>
    <cellStyle name="Input 6 13 2" xfId="18317"/>
    <cellStyle name="Input 6 13 2 2" xfId="18318"/>
    <cellStyle name="Input 6 13 2 3" xfId="18319"/>
    <cellStyle name="Input 6 13 2 4" xfId="18320"/>
    <cellStyle name="Input 6 13 3" xfId="18321"/>
    <cellStyle name="Input 6 13 3 2" xfId="18322"/>
    <cellStyle name="Input 6 13 3 3" xfId="18323"/>
    <cellStyle name="Input 6 13 3 4" xfId="18324"/>
    <cellStyle name="Input 6 13 4" xfId="18325"/>
    <cellStyle name="Input 6 13 4 2" xfId="18326"/>
    <cellStyle name="Input 6 13 4 3" xfId="18327"/>
    <cellStyle name="Input 6 13 4 4" xfId="18328"/>
    <cellStyle name="Input 6 13 5" xfId="18329"/>
    <cellStyle name="Input 6 13 6" xfId="18330"/>
    <cellStyle name="Input 6 13 7" xfId="18331"/>
    <cellStyle name="Input 6 14" xfId="18332"/>
    <cellStyle name="Input 6 14 2" xfId="18333"/>
    <cellStyle name="Input 6 14 3" xfId="18334"/>
    <cellStyle name="Input 6 14 4" xfId="18335"/>
    <cellStyle name="Input 6 15" xfId="18336"/>
    <cellStyle name="Input 6 15 2" xfId="18337"/>
    <cellStyle name="Input 6 15 3" xfId="18338"/>
    <cellStyle name="Input 6 15 4" xfId="18339"/>
    <cellStyle name="Input 6 16" xfId="18340"/>
    <cellStyle name="Input 6 16 2" xfId="18341"/>
    <cellStyle name="Input 6 16 3" xfId="18342"/>
    <cellStyle name="Input 6 16 4" xfId="18343"/>
    <cellStyle name="Input 6 17" xfId="18344"/>
    <cellStyle name="Input 6 18" xfId="18345"/>
    <cellStyle name="Input 6 19" xfId="18346"/>
    <cellStyle name="Input 6 2" xfId="18347"/>
    <cellStyle name="Input 6 2 10" xfId="18348"/>
    <cellStyle name="Input 6 2 11" xfId="18349"/>
    <cellStyle name="Input 6 2 12" xfId="18350"/>
    <cellStyle name="Input 6 2 2" xfId="18351"/>
    <cellStyle name="Input 6 2 2 2" xfId="18352"/>
    <cellStyle name="Input 6 2 2 2 2" xfId="18353"/>
    <cellStyle name="Input 6 2 2 2 3" xfId="18354"/>
    <cellStyle name="Input 6 2 2 2 4" xfId="18355"/>
    <cellStyle name="Input 6 2 2 3" xfId="18356"/>
    <cellStyle name="Input 6 2 2 3 2" xfId="18357"/>
    <cellStyle name="Input 6 2 2 3 3" xfId="18358"/>
    <cellStyle name="Input 6 2 2 3 4" xfId="18359"/>
    <cellStyle name="Input 6 2 2 4" xfId="18360"/>
    <cellStyle name="Input 6 2 2 4 2" xfId="18361"/>
    <cellStyle name="Input 6 2 2 4 3" xfId="18362"/>
    <cellStyle name="Input 6 2 2 4 4" xfId="18363"/>
    <cellStyle name="Input 6 2 2 5" xfId="18364"/>
    <cellStyle name="Input 6 2 2 6" xfId="18365"/>
    <cellStyle name="Input 6 2 2 7" xfId="18366"/>
    <cellStyle name="Input 6 2 3" xfId="18367"/>
    <cellStyle name="Input 6 2 3 2" xfId="18368"/>
    <cellStyle name="Input 6 2 3 2 2" xfId="18369"/>
    <cellStyle name="Input 6 2 3 2 3" xfId="18370"/>
    <cellStyle name="Input 6 2 3 2 4" xfId="18371"/>
    <cellStyle name="Input 6 2 3 3" xfId="18372"/>
    <cellStyle name="Input 6 2 3 3 2" xfId="18373"/>
    <cellStyle name="Input 6 2 3 3 3" xfId="18374"/>
    <cellStyle name="Input 6 2 3 3 4" xfId="18375"/>
    <cellStyle name="Input 6 2 3 4" xfId="18376"/>
    <cellStyle name="Input 6 2 3 4 2" xfId="18377"/>
    <cellStyle name="Input 6 2 3 4 3" xfId="18378"/>
    <cellStyle name="Input 6 2 3 4 4" xfId="18379"/>
    <cellStyle name="Input 6 2 3 5" xfId="18380"/>
    <cellStyle name="Input 6 2 3 6" xfId="18381"/>
    <cellStyle name="Input 6 2 3 7" xfId="18382"/>
    <cellStyle name="Input 6 2 4" xfId="18383"/>
    <cellStyle name="Input 6 2 4 2" xfId="18384"/>
    <cellStyle name="Input 6 2 4 2 2" xfId="18385"/>
    <cellStyle name="Input 6 2 4 2 3" xfId="18386"/>
    <cellStyle name="Input 6 2 4 2 4" xfId="18387"/>
    <cellStyle name="Input 6 2 4 3" xfId="18388"/>
    <cellStyle name="Input 6 2 4 3 2" xfId="18389"/>
    <cellStyle name="Input 6 2 4 3 3" xfId="18390"/>
    <cellStyle name="Input 6 2 4 3 4" xfId="18391"/>
    <cellStyle name="Input 6 2 4 4" xfId="18392"/>
    <cellStyle name="Input 6 2 4 4 2" xfId="18393"/>
    <cellStyle name="Input 6 2 4 4 3" xfId="18394"/>
    <cellStyle name="Input 6 2 4 4 4" xfId="18395"/>
    <cellStyle name="Input 6 2 4 5" xfId="18396"/>
    <cellStyle name="Input 6 2 4 6" xfId="18397"/>
    <cellStyle name="Input 6 2 4 7" xfId="18398"/>
    <cellStyle name="Input 6 2 5" xfId="18399"/>
    <cellStyle name="Input 6 2 5 2" xfId="18400"/>
    <cellStyle name="Input 6 2 5 2 2" xfId="18401"/>
    <cellStyle name="Input 6 2 5 2 3" xfId="18402"/>
    <cellStyle name="Input 6 2 5 2 4" xfId="18403"/>
    <cellStyle name="Input 6 2 5 3" xfId="18404"/>
    <cellStyle name="Input 6 2 5 3 2" xfId="18405"/>
    <cellStyle name="Input 6 2 5 3 3" xfId="18406"/>
    <cellStyle name="Input 6 2 5 3 4" xfId="18407"/>
    <cellStyle name="Input 6 2 5 4" xfId="18408"/>
    <cellStyle name="Input 6 2 5 4 2" xfId="18409"/>
    <cellStyle name="Input 6 2 5 4 3" xfId="18410"/>
    <cellStyle name="Input 6 2 5 4 4" xfId="18411"/>
    <cellStyle name="Input 6 2 5 5" xfId="18412"/>
    <cellStyle name="Input 6 2 5 6" xfId="18413"/>
    <cellStyle name="Input 6 2 5 7" xfId="18414"/>
    <cellStyle name="Input 6 2 6" xfId="18415"/>
    <cellStyle name="Input 6 2 6 2" xfId="18416"/>
    <cellStyle name="Input 6 2 6 2 2" xfId="18417"/>
    <cellStyle name="Input 6 2 6 2 3" xfId="18418"/>
    <cellStyle name="Input 6 2 6 2 4" xfId="18419"/>
    <cellStyle name="Input 6 2 6 3" xfId="18420"/>
    <cellStyle name="Input 6 2 6 3 2" xfId="18421"/>
    <cellStyle name="Input 6 2 6 3 3" xfId="18422"/>
    <cellStyle name="Input 6 2 6 3 4" xfId="18423"/>
    <cellStyle name="Input 6 2 6 4" xfId="18424"/>
    <cellStyle name="Input 6 2 6 4 2" xfId="18425"/>
    <cellStyle name="Input 6 2 6 4 3" xfId="18426"/>
    <cellStyle name="Input 6 2 6 4 4" xfId="18427"/>
    <cellStyle name="Input 6 2 6 5" xfId="18428"/>
    <cellStyle name="Input 6 2 6 6" xfId="18429"/>
    <cellStyle name="Input 6 2 6 7" xfId="18430"/>
    <cellStyle name="Input 6 2 7" xfId="18431"/>
    <cellStyle name="Input 6 2 7 2" xfId="18432"/>
    <cellStyle name="Input 6 2 7 3" xfId="18433"/>
    <cellStyle name="Input 6 2 7 4" xfId="18434"/>
    <cellStyle name="Input 6 2 8" xfId="18435"/>
    <cellStyle name="Input 6 2 8 2" xfId="18436"/>
    <cellStyle name="Input 6 2 8 3" xfId="18437"/>
    <cellStyle name="Input 6 2 8 4" xfId="18438"/>
    <cellStyle name="Input 6 2 9" xfId="18439"/>
    <cellStyle name="Input 6 2 9 2" xfId="18440"/>
    <cellStyle name="Input 6 2 9 3" xfId="18441"/>
    <cellStyle name="Input 6 2 9 4" xfId="18442"/>
    <cellStyle name="Input 6 3" xfId="18443"/>
    <cellStyle name="Input 6 3 10" xfId="18444"/>
    <cellStyle name="Input 6 3 11" xfId="18445"/>
    <cellStyle name="Input 6 3 12" xfId="18446"/>
    <cellStyle name="Input 6 3 2" xfId="18447"/>
    <cellStyle name="Input 6 3 2 2" xfId="18448"/>
    <cellStyle name="Input 6 3 2 2 2" xfId="18449"/>
    <cellStyle name="Input 6 3 2 2 3" xfId="18450"/>
    <cellStyle name="Input 6 3 2 2 4" xfId="18451"/>
    <cellStyle name="Input 6 3 2 3" xfId="18452"/>
    <cellStyle name="Input 6 3 2 3 2" xfId="18453"/>
    <cellStyle name="Input 6 3 2 3 3" xfId="18454"/>
    <cellStyle name="Input 6 3 2 3 4" xfId="18455"/>
    <cellStyle name="Input 6 3 2 4" xfId="18456"/>
    <cellStyle name="Input 6 3 2 4 2" xfId="18457"/>
    <cellStyle name="Input 6 3 2 4 3" xfId="18458"/>
    <cellStyle name="Input 6 3 2 4 4" xfId="18459"/>
    <cellStyle name="Input 6 3 2 5" xfId="18460"/>
    <cellStyle name="Input 6 3 2 6" xfId="18461"/>
    <cellStyle name="Input 6 3 2 7" xfId="18462"/>
    <cellStyle name="Input 6 3 3" xfId="18463"/>
    <cellStyle name="Input 6 3 3 2" xfId="18464"/>
    <cellStyle name="Input 6 3 3 2 2" xfId="18465"/>
    <cellStyle name="Input 6 3 3 2 3" xfId="18466"/>
    <cellStyle name="Input 6 3 3 2 4" xfId="18467"/>
    <cellStyle name="Input 6 3 3 3" xfId="18468"/>
    <cellStyle name="Input 6 3 3 3 2" xfId="18469"/>
    <cellStyle name="Input 6 3 3 3 3" xfId="18470"/>
    <cellStyle name="Input 6 3 3 3 4" xfId="18471"/>
    <cellStyle name="Input 6 3 3 4" xfId="18472"/>
    <cellStyle name="Input 6 3 3 4 2" xfId="18473"/>
    <cellStyle name="Input 6 3 3 4 3" xfId="18474"/>
    <cellStyle name="Input 6 3 3 4 4" xfId="18475"/>
    <cellStyle name="Input 6 3 3 5" xfId="18476"/>
    <cellStyle name="Input 6 3 3 6" xfId="18477"/>
    <cellStyle name="Input 6 3 3 7" xfId="18478"/>
    <cellStyle name="Input 6 3 4" xfId="18479"/>
    <cellStyle name="Input 6 3 4 2" xfId="18480"/>
    <cellStyle name="Input 6 3 4 2 2" xfId="18481"/>
    <cellStyle name="Input 6 3 4 2 3" xfId="18482"/>
    <cellStyle name="Input 6 3 4 2 4" xfId="18483"/>
    <cellStyle name="Input 6 3 4 3" xfId="18484"/>
    <cellStyle name="Input 6 3 4 3 2" xfId="18485"/>
    <cellStyle name="Input 6 3 4 3 3" xfId="18486"/>
    <cellStyle name="Input 6 3 4 3 4" xfId="18487"/>
    <cellStyle name="Input 6 3 4 4" xfId="18488"/>
    <cellStyle name="Input 6 3 4 4 2" xfId="18489"/>
    <cellStyle name="Input 6 3 4 4 3" xfId="18490"/>
    <cellStyle name="Input 6 3 4 4 4" xfId="18491"/>
    <cellStyle name="Input 6 3 4 5" xfId="18492"/>
    <cellStyle name="Input 6 3 4 6" xfId="18493"/>
    <cellStyle name="Input 6 3 4 7" xfId="18494"/>
    <cellStyle name="Input 6 3 5" xfId="18495"/>
    <cellStyle name="Input 6 3 5 2" xfId="18496"/>
    <cellStyle name="Input 6 3 5 2 2" xfId="18497"/>
    <cellStyle name="Input 6 3 5 2 3" xfId="18498"/>
    <cellStyle name="Input 6 3 5 2 4" xfId="18499"/>
    <cellStyle name="Input 6 3 5 3" xfId="18500"/>
    <cellStyle name="Input 6 3 5 3 2" xfId="18501"/>
    <cellStyle name="Input 6 3 5 3 3" xfId="18502"/>
    <cellStyle name="Input 6 3 5 3 4" xfId="18503"/>
    <cellStyle name="Input 6 3 5 4" xfId="18504"/>
    <cellStyle name="Input 6 3 5 4 2" xfId="18505"/>
    <cellStyle name="Input 6 3 5 4 3" xfId="18506"/>
    <cellStyle name="Input 6 3 5 4 4" xfId="18507"/>
    <cellStyle name="Input 6 3 5 5" xfId="18508"/>
    <cellStyle name="Input 6 3 5 6" xfId="18509"/>
    <cellStyle name="Input 6 3 5 7" xfId="18510"/>
    <cellStyle name="Input 6 3 6" xfId="18511"/>
    <cellStyle name="Input 6 3 6 2" xfId="18512"/>
    <cellStyle name="Input 6 3 6 2 2" xfId="18513"/>
    <cellStyle name="Input 6 3 6 2 3" xfId="18514"/>
    <cellStyle name="Input 6 3 6 2 4" xfId="18515"/>
    <cellStyle name="Input 6 3 6 3" xfId="18516"/>
    <cellStyle name="Input 6 3 6 3 2" xfId="18517"/>
    <cellStyle name="Input 6 3 6 3 3" xfId="18518"/>
    <cellStyle name="Input 6 3 6 3 4" xfId="18519"/>
    <cellStyle name="Input 6 3 6 4" xfId="18520"/>
    <cellStyle name="Input 6 3 6 4 2" xfId="18521"/>
    <cellStyle name="Input 6 3 6 4 3" xfId="18522"/>
    <cellStyle name="Input 6 3 6 4 4" xfId="18523"/>
    <cellStyle name="Input 6 3 6 5" xfId="18524"/>
    <cellStyle name="Input 6 3 6 6" xfId="18525"/>
    <cellStyle name="Input 6 3 6 7" xfId="18526"/>
    <cellStyle name="Input 6 3 7" xfId="18527"/>
    <cellStyle name="Input 6 3 7 2" xfId="18528"/>
    <cellStyle name="Input 6 3 7 3" xfId="18529"/>
    <cellStyle name="Input 6 3 7 4" xfId="18530"/>
    <cellStyle name="Input 6 3 8" xfId="18531"/>
    <cellStyle name="Input 6 3 8 2" xfId="18532"/>
    <cellStyle name="Input 6 3 8 3" xfId="18533"/>
    <cellStyle name="Input 6 3 8 4" xfId="18534"/>
    <cellStyle name="Input 6 3 9" xfId="18535"/>
    <cellStyle name="Input 6 3 9 2" xfId="18536"/>
    <cellStyle name="Input 6 3 9 3" xfId="18537"/>
    <cellStyle name="Input 6 3 9 4" xfId="18538"/>
    <cellStyle name="Input 6 4" xfId="18539"/>
    <cellStyle name="Input 6 4 10" xfId="18540"/>
    <cellStyle name="Input 6 4 11" xfId="18541"/>
    <cellStyle name="Input 6 4 12" xfId="18542"/>
    <cellStyle name="Input 6 4 2" xfId="18543"/>
    <cellStyle name="Input 6 4 2 2" xfId="18544"/>
    <cellStyle name="Input 6 4 2 2 2" xfId="18545"/>
    <cellStyle name="Input 6 4 2 2 3" xfId="18546"/>
    <cellStyle name="Input 6 4 2 2 4" xfId="18547"/>
    <cellStyle name="Input 6 4 2 3" xfId="18548"/>
    <cellStyle name="Input 6 4 2 3 2" xfId="18549"/>
    <cellStyle name="Input 6 4 2 3 3" xfId="18550"/>
    <cellStyle name="Input 6 4 2 3 4" xfId="18551"/>
    <cellStyle name="Input 6 4 2 4" xfId="18552"/>
    <cellStyle name="Input 6 4 2 4 2" xfId="18553"/>
    <cellStyle name="Input 6 4 2 4 3" xfId="18554"/>
    <cellStyle name="Input 6 4 2 4 4" xfId="18555"/>
    <cellStyle name="Input 6 4 2 5" xfId="18556"/>
    <cellStyle name="Input 6 4 2 6" xfId="18557"/>
    <cellStyle name="Input 6 4 2 7" xfId="18558"/>
    <cellStyle name="Input 6 4 3" xfId="18559"/>
    <cellStyle name="Input 6 4 3 2" xfId="18560"/>
    <cellStyle name="Input 6 4 3 2 2" xfId="18561"/>
    <cellStyle name="Input 6 4 3 2 3" xfId="18562"/>
    <cellStyle name="Input 6 4 3 2 4" xfId="18563"/>
    <cellStyle name="Input 6 4 3 3" xfId="18564"/>
    <cellStyle name="Input 6 4 3 3 2" xfId="18565"/>
    <cellStyle name="Input 6 4 3 3 3" xfId="18566"/>
    <cellStyle name="Input 6 4 3 3 4" xfId="18567"/>
    <cellStyle name="Input 6 4 3 4" xfId="18568"/>
    <cellStyle name="Input 6 4 3 4 2" xfId="18569"/>
    <cellStyle name="Input 6 4 3 4 3" xfId="18570"/>
    <cellStyle name="Input 6 4 3 4 4" xfId="18571"/>
    <cellStyle name="Input 6 4 3 5" xfId="18572"/>
    <cellStyle name="Input 6 4 3 6" xfId="18573"/>
    <cellStyle name="Input 6 4 3 7" xfId="18574"/>
    <cellStyle name="Input 6 4 4" xfId="18575"/>
    <cellStyle name="Input 6 4 4 2" xfId="18576"/>
    <cellStyle name="Input 6 4 4 2 2" xfId="18577"/>
    <cellStyle name="Input 6 4 4 2 3" xfId="18578"/>
    <cellStyle name="Input 6 4 4 2 4" xfId="18579"/>
    <cellStyle name="Input 6 4 4 3" xfId="18580"/>
    <cellStyle name="Input 6 4 4 3 2" xfId="18581"/>
    <cellStyle name="Input 6 4 4 3 3" xfId="18582"/>
    <cellStyle name="Input 6 4 4 3 4" xfId="18583"/>
    <cellStyle name="Input 6 4 4 4" xfId="18584"/>
    <cellStyle name="Input 6 4 4 4 2" xfId="18585"/>
    <cellStyle name="Input 6 4 4 4 3" xfId="18586"/>
    <cellStyle name="Input 6 4 4 4 4" xfId="18587"/>
    <cellStyle name="Input 6 4 4 5" xfId="18588"/>
    <cellStyle name="Input 6 4 4 6" xfId="18589"/>
    <cellStyle name="Input 6 4 4 7" xfId="18590"/>
    <cellStyle name="Input 6 4 5" xfId="18591"/>
    <cellStyle name="Input 6 4 5 2" xfId="18592"/>
    <cellStyle name="Input 6 4 5 2 2" xfId="18593"/>
    <cellStyle name="Input 6 4 5 2 3" xfId="18594"/>
    <cellStyle name="Input 6 4 5 2 4" xfId="18595"/>
    <cellStyle name="Input 6 4 5 3" xfId="18596"/>
    <cellStyle name="Input 6 4 5 3 2" xfId="18597"/>
    <cellStyle name="Input 6 4 5 3 3" xfId="18598"/>
    <cellStyle name="Input 6 4 5 3 4" xfId="18599"/>
    <cellStyle name="Input 6 4 5 4" xfId="18600"/>
    <cellStyle name="Input 6 4 5 4 2" xfId="18601"/>
    <cellStyle name="Input 6 4 5 4 3" xfId="18602"/>
    <cellStyle name="Input 6 4 5 4 4" xfId="18603"/>
    <cellStyle name="Input 6 4 5 5" xfId="18604"/>
    <cellStyle name="Input 6 4 5 6" xfId="18605"/>
    <cellStyle name="Input 6 4 5 7" xfId="18606"/>
    <cellStyle name="Input 6 4 6" xfId="18607"/>
    <cellStyle name="Input 6 4 6 2" xfId="18608"/>
    <cellStyle name="Input 6 4 6 2 2" xfId="18609"/>
    <cellStyle name="Input 6 4 6 2 3" xfId="18610"/>
    <cellStyle name="Input 6 4 6 2 4" xfId="18611"/>
    <cellStyle name="Input 6 4 6 3" xfId="18612"/>
    <cellStyle name="Input 6 4 6 3 2" xfId="18613"/>
    <cellStyle name="Input 6 4 6 3 3" xfId="18614"/>
    <cellStyle name="Input 6 4 6 3 4" xfId="18615"/>
    <cellStyle name="Input 6 4 6 4" xfId="18616"/>
    <cellStyle name="Input 6 4 6 4 2" xfId="18617"/>
    <cellStyle name="Input 6 4 6 4 3" xfId="18618"/>
    <cellStyle name="Input 6 4 6 4 4" xfId="18619"/>
    <cellStyle name="Input 6 4 6 5" xfId="18620"/>
    <cellStyle name="Input 6 4 6 6" xfId="18621"/>
    <cellStyle name="Input 6 4 6 7" xfId="18622"/>
    <cellStyle name="Input 6 4 7" xfId="18623"/>
    <cellStyle name="Input 6 4 7 2" xfId="18624"/>
    <cellStyle name="Input 6 4 7 3" xfId="18625"/>
    <cellStyle name="Input 6 4 7 4" xfId="18626"/>
    <cellStyle name="Input 6 4 8" xfId="18627"/>
    <cellStyle name="Input 6 4 8 2" xfId="18628"/>
    <cellStyle name="Input 6 4 8 3" xfId="18629"/>
    <cellStyle name="Input 6 4 8 4" xfId="18630"/>
    <cellStyle name="Input 6 4 9" xfId="18631"/>
    <cellStyle name="Input 6 4 9 2" xfId="18632"/>
    <cellStyle name="Input 6 4 9 3" xfId="18633"/>
    <cellStyle name="Input 6 4 9 4" xfId="18634"/>
    <cellStyle name="Input 6 5" xfId="18635"/>
    <cellStyle name="Input 6 5 10" xfId="18636"/>
    <cellStyle name="Input 6 5 11" xfId="18637"/>
    <cellStyle name="Input 6 5 12" xfId="18638"/>
    <cellStyle name="Input 6 5 2" xfId="18639"/>
    <cellStyle name="Input 6 5 2 2" xfId="18640"/>
    <cellStyle name="Input 6 5 2 2 2" xfId="18641"/>
    <cellStyle name="Input 6 5 2 2 3" xfId="18642"/>
    <cellStyle name="Input 6 5 2 2 4" xfId="18643"/>
    <cellStyle name="Input 6 5 2 3" xfId="18644"/>
    <cellStyle name="Input 6 5 2 3 2" xfId="18645"/>
    <cellStyle name="Input 6 5 2 3 3" xfId="18646"/>
    <cellStyle name="Input 6 5 2 3 4" xfId="18647"/>
    <cellStyle name="Input 6 5 2 4" xfId="18648"/>
    <cellStyle name="Input 6 5 2 4 2" xfId="18649"/>
    <cellStyle name="Input 6 5 2 4 3" xfId="18650"/>
    <cellStyle name="Input 6 5 2 4 4" xfId="18651"/>
    <cellStyle name="Input 6 5 2 5" xfId="18652"/>
    <cellStyle name="Input 6 5 2 6" xfId="18653"/>
    <cellStyle name="Input 6 5 2 7" xfId="18654"/>
    <cellStyle name="Input 6 5 3" xfId="18655"/>
    <cellStyle name="Input 6 5 3 2" xfId="18656"/>
    <cellStyle name="Input 6 5 3 2 2" xfId="18657"/>
    <cellStyle name="Input 6 5 3 2 3" xfId="18658"/>
    <cellStyle name="Input 6 5 3 2 4" xfId="18659"/>
    <cellStyle name="Input 6 5 3 3" xfId="18660"/>
    <cellStyle name="Input 6 5 3 3 2" xfId="18661"/>
    <cellStyle name="Input 6 5 3 3 3" xfId="18662"/>
    <cellStyle name="Input 6 5 3 3 4" xfId="18663"/>
    <cellStyle name="Input 6 5 3 4" xfId="18664"/>
    <cellStyle name="Input 6 5 3 4 2" xfId="18665"/>
    <cellStyle name="Input 6 5 3 4 3" xfId="18666"/>
    <cellStyle name="Input 6 5 3 4 4" xfId="18667"/>
    <cellStyle name="Input 6 5 3 5" xfId="18668"/>
    <cellStyle name="Input 6 5 3 6" xfId="18669"/>
    <cellStyle name="Input 6 5 3 7" xfId="18670"/>
    <cellStyle name="Input 6 5 4" xfId="18671"/>
    <cellStyle name="Input 6 5 4 2" xfId="18672"/>
    <cellStyle name="Input 6 5 4 2 2" xfId="18673"/>
    <cellStyle name="Input 6 5 4 2 3" xfId="18674"/>
    <cellStyle name="Input 6 5 4 2 4" xfId="18675"/>
    <cellStyle name="Input 6 5 4 3" xfId="18676"/>
    <cellStyle name="Input 6 5 4 3 2" xfId="18677"/>
    <cellStyle name="Input 6 5 4 3 3" xfId="18678"/>
    <cellStyle name="Input 6 5 4 3 4" xfId="18679"/>
    <cellStyle name="Input 6 5 4 4" xfId="18680"/>
    <cellStyle name="Input 6 5 4 4 2" xfId="18681"/>
    <cellStyle name="Input 6 5 4 4 3" xfId="18682"/>
    <cellStyle name="Input 6 5 4 4 4" xfId="18683"/>
    <cellStyle name="Input 6 5 4 5" xfId="18684"/>
    <cellStyle name="Input 6 5 4 6" xfId="18685"/>
    <cellStyle name="Input 6 5 4 7" xfId="18686"/>
    <cellStyle name="Input 6 5 5" xfId="18687"/>
    <cellStyle name="Input 6 5 5 2" xfId="18688"/>
    <cellStyle name="Input 6 5 5 2 2" xfId="18689"/>
    <cellStyle name="Input 6 5 5 2 3" xfId="18690"/>
    <cellStyle name="Input 6 5 5 2 4" xfId="18691"/>
    <cellStyle name="Input 6 5 5 3" xfId="18692"/>
    <cellStyle name="Input 6 5 5 3 2" xfId="18693"/>
    <cellStyle name="Input 6 5 5 3 3" xfId="18694"/>
    <cellStyle name="Input 6 5 5 3 4" xfId="18695"/>
    <cellStyle name="Input 6 5 5 4" xfId="18696"/>
    <cellStyle name="Input 6 5 5 4 2" xfId="18697"/>
    <cellStyle name="Input 6 5 5 4 3" xfId="18698"/>
    <cellStyle name="Input 6 5 5 4 4" xfId="18699"/>
    <cellStyle name="Input 6 5 5 5" xfId="18700"/>
    <cellStyle name="Input 6 5 5 6" xfId="18701"/>
    <cellStyle name="Input 6 5 5 7" xfId="18702"/>
    <cellStyle name="Input 6 5 6" xfId="18703"/>
    <cellStyle name="Input 6 5 6 2" xfId="18704"/>
    <cellStyle name="Input 6 5 6 2 2" xfId="18705"/>
    <cellStyle name="Input 6 5 6 2 3" xfId="18706"/>
    <cellStyle name="Input 6 5 6 2 4" xfId="18707"/>
    <cellStyle name="Input 6 5 6 3" xfId="18708"/>
    <cellStyle name="Input 6 5 6 3 2" xfId="18709"/>
    <cellStyle name="Input 6 5 6 3 3" xfId="18710"/>
    <cellStyle name="Input 6 5 6 3 4" xfId="18711"/>
    <cellStyle name="Input 6 5 6 4" xfId="18712"/>
    <cellStyle name="Input 6 5 6 4 2" xfId="18713"/>
    <cellStyle name="Input 6 5 6 4 3" xfId="18714"/>
    <cellStyle name="Input 6 5 6 4 4" xfId="18715"/>
    <cellStyle name="Input 6 5 6 5" xfId="18716"/>
    <cellStyle name="Input 6 5 6 6" xfId="18717"/>
    <cellStyle name="Input 6 5 6 7" xfId="18718"/>
    <cellStyle name="Input 6 5 7" xfId="18719"/>
    <cellStyle name="Input 6 5 7 2" xfId="18720"/>
    <cellStyle name="Input 6 5 7 3" xfId="18721"/>
    <cellStyle name="Input 6 5 7 4" xfId="18722"/>
    <cellStyle name="Input 6 5 8" xfId="18723"/>
    <cellStyle name="Input 6 5 8 2" xfId="18724"/>
    <cellStyle name="Input 6 5 8 3" xfId="18725"/>
    <cellStyle name="Input 6 5 8 4" xfId="18726"/>
    <cellStyle name="Input 6 5 9" xfId="18727"/>
    <cellStyle name="Input 6 5 9 2" xfId="18728"/>
    <cellStyle name="Input 6 5 9 3" xfId="18729"/>
    <cellStyle name="Input 6 5 9 4" xfId="18730"/>
    <cellStyle name="Input 6 6" xfId="18731"/>
    <cellStyle name="Input 6 6 2" xfId="18732"/>
    <cellStyle name="Input 6 6 2 2" xfId="18733"/>
    <cellStyle name="Input 6 6 2 3" xfId="18734"/>
    <cellStyle name="Input 6 6 2 4" xfId="18735"/>
    <cellStyle name="Input 6 6 3" xfId="18736"/>
    <cellStyle name="Input 6 6 3 2" xfId="18737"/>
    <cellStyle name="Input 6 6 3 3" xfId="18738"/>
    <cellStyle name="Input 6 6 3 4" xfId="18739"/>
    <cellStyle name="Input 6 6 4" xfId="18740"/>
    <cellStyle name="Input 6 6 4 2" xfId="18741"/>
    <cellStyle name="Input 6 6 4 3" xfId="18742"/>
    <cellStyle name="Input 6 6 4 4" xfId="18743"/>
    <cellStyle name="Input 6 6 5" xfId="18744"/>
    <cellStyle name="Input 6 6 6" xfId="18745"/>
    <cellStyle name="Input 6 6 7" xfId="18746"/>
    <cellStyle name="Input 6 7" xfId="18747"/>
    <cellStyle name="Input 6 7 2" xfId="18748"/>
    <cellStyle name="Input 6 7 2 2" xfId="18749"/>
    <cellStyle name="Input 6 7 2 3" xfId="18750"/>
    <cellStyle name="Input 6 7 2 4" xfId="18751"/>
    <cellStyle name="Input 6 7 3" xfId="18752"/>
    <cellStyle name="Input 6 7 3 2" xfId="18753"/>
    <cellStyle name="Input 6 7 3 3" xfId="18754"/>
    <cellStyle name="Input 6 7 3 4" xfId="18755"/>
    <cellStyle name="Input 6 7 4" xfId="18756"/>
    <cellStyle name="Input 6 7 4 2" xfId="18757"/>
    <cellStyle name="Input 6 7 4 3" xfId="18758"/>
    <cellStyle name="Input 6 7 4 4" xfId="18759"/>
    <cellStyle name="Input 6 7 5" xfId="18760"/>
    <cellStyle name="Input 6 7 6" xfId="18761"/>
    <cellStyle name="Input 6 7 7" xfId="18762"/>
    <cellStyle name="Input 6 8" xfId="18763"/>
    <cellStyle name="Input 6 8 2" xfId="18764"/>
    <cellStyle name="Input 6 8 2 2" xfId="18765"/>
    <cellStyle name="Input 6 8 2 3" xfId="18766"/>
    <cellStyle name="Input 6 8 2 4" xfId="18767"/>
    <cellStyle name="Input 6 8 3" xfId="18768"/>
    <cellStyle name="Input 6 8 3 2" xfId="18769"/>
    <cellStyle name="Input 6 8 3 3" xfId="18770"/>
    <cellStyle name="Input 6 8 3 4" xfId="18771"/>
    <cellStyle name="Input 6 8 4" xfId="18772"/>
    <cellStyle name="Input 6 8 4 2" xfId="18773"/>
    <cellStyle name="Input 6 8 4 3" xfId="18774"/>
    <cellStyle name="Input 6 8 4 4" xfId="18775"/>
    <cellStyle name="Input 6 8 5" xfId="18776"/>
    <cellStyle name="Input 6 8 6" xfId="18777"/>
    <cellStyle name="Input 6 8 7" xfId="18778"/>
    <cellStyle name="Input 6 9" xfId="18779"/>
    <cellStyle name="Input 6 9 2" xfId="18780"/>
    <cellStyle name="Input 6 9 2 2" xfId="18781"/>
    <cellStyle name="Input 6 9 2 3" xfId="18782"/>
    <cellStyle name="Input 6 9 2 4" xfId="18783"/>
    <cellStyle name="Input 6 9 3" xfId="18784"/>
    <cellStyle name="Input 6 9 3 2" xfId="18785"/>
    <cellStyle name="Input 6 9 3 3" xfId="18786"/>
    <cellStyle name="Input 6 9 3 4" xfId="18787"/>
    <cellStyle name="Input 6 9 4" xfId="18788"/>
    <cellStyle name="Input 6 9 4 2" xfId="18789"/>
    <cellStyle name="Input 6 9 4 3" xfId="18790"/>
    <cellStyle name="Input 6 9 4 4" xfId="18791"/>
    <cellStyle name="Input 6 9 5" xfId="18792"/>
    <cellStyle name="Input 6 9 6" xfId="18793"/>
    <cellStyle name="Input 6 9 7" xfId="18794"/>
    <cellStyle name="Input 7" xfId="1032"/>
    <cellStyle name="Input 7 10" xfId="18795"/>
    <cellStyle name="Input 7 11" xfId="18796"/>
    <cellStyle name="Input 7 12" xfId="18797"/>
    <cellStyle name="Input 7 2" xfId="18798"/>
    <cellStyle name="Input 7 2 2" xfId="18799"/>
    <cellStyle name="Input 7 2 2 2" xfId="18800"/>
    <cellStyle name="Input 7 2 2 3" xfId="18801"/>
    <cellStyle name="Input 7 2 2 4" xfId="18802"/>
    <cellStyle name="Input 7 2 3" xfId="18803"/>
    <cellStyle name="Input 7 2 3 2" xfId="18804"/>
    <cellStyle name="Input 7 2 3 3" xfId="18805"/>
    <cellStyle name="Input 7 2 3 4" xfId="18806"/>
    <cellStyle name="Input 7 2 4" xfId="18807"/>
    <cellStyle name="Input 7 2 4 2" xfId="18808"/>
    <cellStyle name="Input 7 2 4 3" xfId="18809"/>
    <cellStyle name="Input 7 2 4 4" xfId="18810"/>
    <cellStyle name="Input 7 2 5" xfId="18811"/>
    <cellStyle name="Input 7 2 6" xfId="18812"/>
    <cellStyle name="Input 7 2 7" xfId="18813"/>
    <cellStyle name="Input 7 3" xfId="18814"/>
    <cellStyle name="Input 7 3 2" xfId="18815"/>
    <cellStyle name="Input 7 3 2 2" xfId="18816"/>
    <cellStyle name="Input 7 3 2 3" xfId="18817"/>
    <cellStyle name="Input 7 3 2 4" xfId="18818"/>
    <cellStyle name="Input 7 3 3" xfId="18819"/>
    <cellStyle name="Input 7 3 3 2" xfId="18820"/>
    <cellStyle name="Input 7 3 3 3" xfId="18821"/>
    <cellStyle name="Input 7 3 3 4" xfId="18822"/>
    <cellStyle name="Input 7 3 4" xfId="18823"/>
    <cellStyle name="Input 7 3 4 2" xfId="18824"/>
    <cellStyle name="Input 7 3 4 3" xfId="18825"/>
    <cellStyle name="Input 7 3 4 4" xfId="18826"/>
    <cellStyle name="Input 7 3 5" xfId="18827"/>
    <cellStyle name="Input 7 3 6" xfId="18828"/>
    <cellStyle name="Input 7 3 7" xfId="18829"/>
    <cellStyle name="Input 7 4" xfId="18830"/>
    <cellStyle name="Input 7 4 2" xfId="18831"/>
    <cellStyle name="Input 7 4 2 2" xfId="18832"/>
    <cellStyle name="Input 7 4 2 3" xfId="18833"/>
    <cellStyle name="Input 7 4 2 4" xfId="18834"/>
    <cellStyle name="Input 7 4 3" xfId="18835"/>
    <cellStyle name="Input 7 4 3 2" xfId="18836"/>
    <cellStyle name="Input 7 4 3 3" xfId="18837"/>
    <cellStyle name="Input 7 4 3 4" xfId="18838"/>
    <cellStyle name="Input 7 4 4" xfId="18839"/>
    <cellStyle name="Input 7 4 4 2" xfId="18840"/>
    <cellStyle name="Input 7 4 4 3" xfId="18841"/>
    <cellStyle name="Input 7 4 4 4" xfId="18842"/>
    <cellStyle name="Input 7 4 5" xfId="18843"/>
    <cellStyle name="Input 7 4 6" xfId="18844"/>
    <cellStyle name="Input 7 4 7" xfId="18845"/>
    <cellStyle name="Input 7 5" xfId="18846"/>
    <cellStyle name="Input 7 5 2" xfId="18847"/>
    <cellStyle name="Input 7 5 2 2" xfId="18848"/>
    <cellStyle name="Input 7 5 2 3" xfId="18849"/>
    <cellStyle name="Input 7 5 2 4" xfId="18850"/>
    <cellStyle name="Input 7 5 3" xfId="18851"/>
    <cellStyle name="Input 7 5 3 2" xfId="18852"/>
    <cellStyle name="Input 7 5 3 3" xfId="18853"/>
    <cellStyle name="Input 7 5 3 4" xfId="18854"/>
    <cellStyle name="Input 7 5 4" xfId="18855"/>
    <cellStyle name="Input 7 5 4 2" xfId="18856"/>
    <cellStyle name="Input 7 5 4 3" xfId="18857"/>
    <cellStyle name="Input 7 5 4 4" xfId="18858"/>
    <cellStyle name="Input 7 5 5" xfId="18859"/>
    <cellStyle name="Input 7 5 6" xfId="18860"/>
    <cellStyle name="Input 7 5 7" xfId="18861"/>
    <cellStyle name="Input 7 6" xfId="18862"/>
    <cellStyle name="Input 7 6 2" xfId="18863"/>
    <cellStyle name="Input 7 6 2 2" xfId="18864"/>
    <cellStyle name="Input 7 6 2 3" xfId="18865"/>
    <cellStyle name="Input 7 6 2 4" xfId="18866"/>
    <cellStyle name="Input 7 6 3" xfId="18867"/>
    <cellStyle name="Input 7 6 3 2" xfId="18868"/>
    <cellStyle name="Input 7 6 3 3" xfId="18869"/>
    <cellStyle name="Input 7 6 3 4" xfId="18870"/>
    <cellStyle name="Input 7 6 4" xfId="18871"/>
    <cellStyle name="Input 7 6 4 2" xfId="18872"/>
    <cellStyle name="Input 7 6 4 3" xfId="18873"/>
    <cellStyle name="Input 7 6 4 4" xfId="18874"/>
    <cellStyle name="Input 7 6 5" xfId="18875"/>
    <cellStyle name="Input 7 6 6" xfId="18876"/>
    <cellStyle name="Input 7 6 7" xfId="18877"/>
    <cellStyle name="Input 7 7" xfId="18878"/>
    <cellStyle name="Input 7 7 2" xfId="18879"/>
    <cellStyle name="Input 7 7 3" xfId="18880"/>
    <cellStyle name="Input 7 7 4" xfId="18881"/>
    <cellStyle name="Input 7 8" xfId="18882"/>
    <cellStyle name="Input 7 8 2" xfId="18883"/>
    <cellStyle name="Input 7 8 3" xfId="18884"/>
    <cellStyle name="Input 7 8 4" xfId="18885"/>
    <cellStyle name="Input 7 9" xfId="18886"/>
    <cellStyle name="Input 7 9 2" xfId="18887"/>
    <cellStyle name="Input 7 9 3" xfId="18888"/>
    <cellStyle name="Input 7 9 4" xfId="18889"/>
    <cellStyle name="Input 8" xfId="3210"/>
    <cellStyle name="Input 8 2" xfId="18890"/>
    <cellStyle name="Input 8 2 2" xfId="18891"/>
    <cellStyle name="Input 8 2 3" xfId="18892"/>
    <cellStyle name="Input 8 2 4" xfId="18893"/>
    <cellStyle name="Input 8 3" xfId="18894"/>
    <cellStyle name="Input 8 3 2" xfId="18895"/>
    <cellStyle name="Input 8 3 3" xfId="18896"/>
    <cellStyle name="Input 8 3 4" xfId="18897"/>
    <cellStyle name="Input 8 4" xfId="18898"/>
    <cellStyle name="Input 8 4 2" xfId="18899"/>
    <cellStyle name="Input 8 4 3" xfId="18900"/>
    <cellStyle name="Input 8 4 4" xfId="18901"/>
    <cellStyle name="Input 8 5" xfId="18902"/>
    <cellStyle name="Input 8 6" xfId="18903"/>
    <cellStyle name="Input 8 7" xfId="18904"/>
    <cellStyle name="Input 9" xfId="1142"/>
    <cellStyle name="Linked Cell" xfId="105" builtinId="24" customBuiltin="1"/>
    <cellStyle name="Linked Cell 2" xfId="106"/>
    <cellStyle name="Linked Cell 3" xfId="107"/>
    <cellStyle name="Linked Cell 3 2" xfId="585"/>
    <cellStyle name="Linked Cell 3 3" xfId="586"/>
    <cellStyle name="Linked Cell 4" xfId="299"/>
    <cellStyle name="Linked Cell 5" xfId="707"/>
    <cellStyle name="Linked Cell 6" xfId="18905"/>
    <cellStyle name="Neutral" xfId="108" builtinId="28" customBuiltin="1"/>
    <cellStyle name="Neutral 2" xfId="109"/>
    <cellStyle name="Neutral 3" xfId="300"/>
    <cellStyle name="Neutral 3 2" xfId="587"/>
    <cellStyle name="Neutral 3 3" xfId="588"/>
    <cellStyle name="Neutral 4" xfId="708"/>
    <cellStyle name="Neutral 5" xfId="18906"/>
    <cellStyle name="Normal" xfId="0" builtinId="0"/>
    <cellStyle name="Normal 10" xfId="301"/>
    <cellStyle name="Normal 10 2" xfId="1204"/>
    <cellStyle name="Normal 10 2 2" xfId="1008"/>
    <cellStyle name="Normal 11" xfId="302"/>
    <cellStyle name="Normal 12" xfId="303"/>
    <cellStyle name="Normal 12 2" xfId="589"/>
    <cellStyle name="Normal 13" xfId="325"/>
    <cellStyle name="Normal 13 2" xfId="328"/>
    <cellStyle name="Normal 13 2 2" xfId="332"/>
    <cellStyle name="Normal 13 2 2 2" xfId="721"/>
    <cellStyle name="Normal 13 2 2 2 2" xfId="3325"/>
    <cellStyle name="Normal 13 2 2 2 2 2" xfId="18907"/>
    <cellStyle name="Normal 13 2 2 2 3" xfId="18908"/>
    <cellStyle name="Normal 13 2 2 3" xfId="1004"/>
    <cellStyle name="Normal 13 2 2 3 2" xfId="18909"/>
    <cellStyle name="Normal 13 2 2 4" xfId="18910"/>
    <cellStyle name="Normal 13 2 3" xfId="719"/>
    <cellStyle name="Normal 13 2 3 2" xfId="3326"/>
    <cellStyle name="Normal 13 2 4" xfId="997"/>
    <cellStyle name="Normal 13 2 4 2" xfId="18911"/>
    <cellStyle name="Normal 13 2 5" xfId="18912"/>
    <cellStyle name="Normal 13 3" xfId="590"/>
    <cellStyle name="Normal 13 3 2" xfId="18913"/>
    <cellStyle name="Normal 13 3 2 2" xfId="18914"/>
    <cellStyle name="Normal 13 3 3" xfId="18915"/>
    <cellStyle name="Normal 13 3 3 2" xfId="18916"/>
    <cellStyle name="Normal 13 3 4" xfId="18917"/>
    <cellStyle name="Normal 13 4" xfId="718"/>
    <cellStyle name="Normal 13 4 2" xfId="3327"/>
    <cellStyle name="Normal 13 5" xfId="996"/>
    <cellStyle name="Normal 13 5 2" xfId="18918"/>
    <cellStyle name="Normal 13 6" xfId="18919"/>
    <cellStyle name="Normal 14" xfId="331"/>
    <cellStyle name="Normal 14 2" xfId="591"/>
    <cellStyle name="Normal 14 2 2" xfId="722"/>
    <cellStyle name="Normal 14 2 2 2" xfId="3328"/>
    <cellStyle name="Normal 14 2 3" xfId="1175"/>
    <cellStyle name="Normal 14 3" xfId="720"/>
    <cellStyle name="Normal 14 3 2" xfId="3329"/>
    <cellStyle name="Normal 14 4" xfId="1005"/>
    <cellStyle name="Normal 15" xfId="592"/>
    <cellStyle name="Normal 15 2" xfId="723"/>
    <cellStyle name="Normal 15 2 2" xfId="3330"/>
    <cellStyle name="Normal 15 3" xfId="1176"/>
    <cellStyle name="Normal 16" xfId="670"/>
    <cellStyle name="Normal 16 2" xfId="1009"/>
    <cellStyle name="Normal 17" xfId="3317"/>
    <cellStyle name="Normal 18" xfId="3341"/>
    <cellStyle name="Normal 19" xfId="3349"/>
    <cellStyle name="Normal 19 2" xfId="3350"/>
    <cellStyle name="Normal 19 6" xfId="43670"/>
    <cellStyle name="Normal 2" xfId="110"/>
    <cellStyle name="Normal 2 10" xfId="1206"/>
    <cellStyle name="Normal 2 10 10" xfId="1207"/>
    <cellStyle name="Normal 2 10 11" xfId="1208"/>
    <cellStyle name="Normal 2 10 12" xfId="1209"/>
    <cellStyle name="Normal 2 10 13" xfId="1210"/>
    <cellStyle name="Normal 2 10 14" xfId="1211"/>
    <cellStyle name="Normal 2 10 15" xfId="1212"/>
    <cellStyle name="Normal 2 10 16" xfId="1213"/>
    <cellStyle name="Normal 2 10 17" xfId="1214"/>
    <cellStyle name="Normal 2 10 18" xfId="1215"/>
    <cellStyle name="Normal 2 10 19" xfId="1216"/>
    <cellStyle name="Normal 2 10 2" xfId="1217"/>
    <cellStyle name="Normal 2 10 20" xfId="1218"/>
    <cellStyle name="Normal 2 10 21" xfId="1219"/>
    <cellStyle name="Normal 2 10 22" xfId="1220"/>
    <cellStyle name="Normal 2 10 23" xfId="1221"/>
    <cellStyle name="Normal 2 10 3" xfId="1222"/>
    <cellStyle name="Normal 2 10 4" xfId="1223"/>
    <cellStyle name="Normal 2 10 5" xfId="1224"/>
    <cellStyle name="Normal 2 10 6" xfId="1225"/>
    <cellStyle name="Normal 2 10 7" xfId="1226"/>
    <cellStyle name="Normal 2 10 8" xfId="1227"/>
    <cellStyle name="Normal 2 10 9" xfId="1228"/>
    <cellStyle name="Normal 2 100" xfId="1192"/>
    <cellStyle name="Normal 2 101" xfId="3347"/>
    <cellStyle name="Normal 2 11" xfId="1229"/>
    <cellStyle name="Normal 2 11 10" xfId="1230"/>
    <cellStyle name="Normal 2 11 11" xfId="1231"/>
    <cellStyle name="Normal 2 11 12" xfId="1232"/>
    <cellStyle name="Normal 2 11 13" xfId="1233"/>
    <cellStyle name="Normal 2 11 14" xfId="1234"/>
    <cellStyle name="Normal 2 11 15" xfId="1235"/>
    <cellStyle name="Normal 2 11 16" xfId="1236"/>
    <cellStyle name="Normal 2 11 17" xfId="1237"/>
    <cellStyle name="Normal 2 11 18" xfId="1238"/>
    <cellStyle name="Normal 2 11 19" xfId="1239"/>
    <cellStyle name="Normal 2 11 2" xfId="1240"/>
    <cellStyle name="Normal 2 11 20" xfId="1241"/>
    <cellStyle name="Normal 2 11 21" xfId="1242"/>
    <cellStyle name="Normal 2 11 22" xfId="1243"/>
    <cellStyle name="Normal 2 11 23" xfId="1244"/>
    <cellStyle name="Normal 2 11 3" xfId="1245"/>
    <cellStyle name="Normal 2 11 4" xfId="1246"/>
    <cellStyle name="Normal 2 11 5" xfId="1247"/>
    <cellStyle name="Normal 2 11 6" xfId="1248"/>
    <cellStyle name="Normal 2 11 7" xfId="1249"/>
    <cellStyle name="Normal 2 11 8" xfId="1250"/>
    <cellStyle name="Normal 2 11 9" xfId="1251"/>
    <cellStyle name="Normal 2 12" xfId="1252"/>
    <cellStyle name="Normal 2 12 10" xfId="1253"/>
    <cellStyle name="Normal 2 12 11" xfId="1254"/>
    <cellStyle name="Normal 2 12 12" xfId="1255"/>
    <cellStyle name="Normal 2 12 13" xfId="1256"/>
    <cellStyle name="Normal 2 12 14" xfId="1257"/>
    <cellStyle name="Normal 2 12 15" xfId="1258"/>
    <cellStyle name="Normal 2 12 16" xfId="1259"/>
    <cellStyle name="Normal 2 12 17" xfId="1260"/>
    <cellStyle name="Normal 2 12 18" xfId="1261"/>
    <cellStyle name="Normal 2 12 19" xfId="1262"/>
    <cellStyle name="Normal 2 12 2" xfId="1263"/>
    <cellStyle name="Normal 2 12 20" xfId="1264"/>
    <cellStyle name="Normal 2 12 21" xfId="1265"/>
    <cellStyle name="Normal 2 12 22" xfId="1266"/>
    <cellStyle name="Normal 2 12 23" xfId="1267"/>
    <cellStyle name="Normal 2 12 3" xfId="1268"/>
    <cellStyle name="Normal 2 12 4" xfId="1269"/>
    <cellStyle name="Normal 2 12 5" xfId="1270"/>
    <cellStyle name="Normal 2 12 6" xfId="1271"/>
    <cellStyle name="Normal 2 12 7" xfId="1272"/>
    <cellStyle name="Normal 2 12 8" xfId="1273"/>
    <cellStyle name="Normal 2 12 9" xfId="1274"/>
    <cellStyle name="Normal 2 13" xfId="1275"/>
    <cellStyle name="Normal 2 13 10" xfId="1276"/>
    <cellStyle name="Normal 2 13 11" xfId="1277"/>
    <cellStyle name="Normal 2 13 12" xfId="1278"/>
    <cellStyle name="Normal 2 13 13" xfId="1279"/>
    <cellStyle name="Normal 2 13 14" xfId="1280"/>
    <cellStyle name="Normal 2 13 15" xfId="1281"/>
    <cellStyle name="Normal 2 13 16" xfId="1282"/>
    <cellStyle name="Normal 2 13 17" xfId="1283"/>
    <cellStyle name="Normal 2 13 18" xfId="1284"/>
    <cellStyle name="Normal 2 13 19" xfId="1285"/>
    <cellStyle name="Normal 2 13 2" xfId="1286"/>
    <cellStyle name="Normal 2 13 20" xfId="1287"/>
    <cellStyle name="Normal 2 13 21" xfId="1288"/>
    <cellStyle name="Normal 2 13 22" xfId="1289"/>
    <cellStyle name="Normal 2 13 23" xfId="1290"/>
    <cellStyle name="Normal 2 13 3" xfId="1291"/>
    <cellStyle name="Normal 2 13 4" xfId="1292"/>
    <cellStyle name="Normal 2 13 5" xfId="1293"/>
    <cellStyle name="Normal 2 13 6" xfId="1294"/>
    <cellStyle name="Normal 2 13 7" xfId="1295"/>
    <cellStyle name="Normal 2 13 8" xfId="1296"/>
    <cellStyle name="Normal 2 13 9" xfId="1297"/>
    <cellStyle name="Normal 2 14" xfId="1298"/>
    <cellStyle name="Normal 2 14 10" xfId="1299"/>
    <cellStyle name="Normal 2 14 11" xfId="1300"/>
    <cellStyle name="Normal 2 14 12" xfId="1301"/>
    <cellStyle name="Normal 2 14 13" xfId="1302"/>
    <cellStyle name="Normal 2 14 14" xfId="1303"/>
    <cellStyle name="Normal 2 14 15" xfId="1304"/>
    <cellStyle name="Normal 2 14 16" xfId="1305"/>
    <cellStyle name="Normal 2 14 17" xfId="1306"/>
    <cellStyle name="Normal 2 14 18" xfId="1307"/>
    <cellStyle name="Normal 2 14 19" xfId="1308"/>
    <cellStyle name="Normal 2 14 2" xfId="1309"/>
    <cellStyle name="Normal 2 14 20" xfId="1310"/>
    <cellStyle name="Normal 2 14 21" xfId="1311"/>
    <cellStyle name="Normal 2 14 22" xfId="1312"/>
    <cellStyle name="Normal 2 14 23" xfId="1313"/>
    <cellStyle name="Normal 2 14 3" xfId="1314"/>
    <cellStyle name="Normal 2 14 4" xfId="1315"/>
    <cellStyle name="Normal 2 14 5" xfId="1316"/>
    <cellStyle name="Normal 2 14 6" xfId="1317"/>
    <cellStyle name="Normal 2 14 7" xfId="1318"/>
    <cellStyle name="Normal 2 14 8" xfId="1319"/>
    <cellStyle name="Normal 2 14 9" xfId="1320"/>
    <cellStyle name="Normal 2 15" xfId="1321"/>
    <cellStyle name="Normal 2 15 10" xfId="1322"/>
    <cellStyle name="Normal 2 15 11" xfId="1323"/>
    <cellStyle name="Normal 2 15 12" xfId="1324"/>
    <cellStyle name="Normal 2 15 13" xfId="1325"/>
    <cellStyle name="Normal 2 15 14" xfId="1326"/>
    <cellStyle name="Normal 2 15 15" xfId="1327"/>
    <cellStyle name="Normal 2 15 16" xfId="1328"/>
    <cellStyle name="Normal 2 15 17" xfId="1329"/>
    <cellStyle name="Normal 2 15 18" xfId="1330"/>
    <cellStyle name="Normal 2 15 19" xfId="1331"/>
    <cellStyle name="Normal 2 15 2" xfId="1332"/>
    <cellStyle name="Normal 2 15 20" xfId="1333"/>
    <cellStyle name="Normal 2 15 21" xfId="1334"/>
    <cellStyle name="Normal 2 15 22" xfId="1335"/>
    <cellStyle name="Normal 2 15 23" xfId="1336"/>
    <cellStyle name="Normal 2 15 3" xfId="1337"/>
    <cellStyle name="Normal 2 15 4" xfId="1338"/>
    <cellStyle name="Normal 2 15 5" xfId="1339"/>
    <cellStyle name="Normal 2 15 6" xfId="1340"/>
    <cellStyle name="Normal 2 15 7" xfId="1341"/>
    <cellStyle name="Normal 2 15 8" xfId="1342"/>
    <cellStyle name="Normal 2 15 9" xfId="1343"/>
    <cellStyle name="Normal 2 16" xfId="1344"/>
    <cellStyle name="Normal 2 16 10" xfId="1345"/>
    <cellStyle name="Normal 2 16 11" xfId="1346"/>
    <cellStyle name="Normal 2 16 12" xfId="1347"/>
    <cellStyle name="Normal 2 16 13" xfId="1348"/>
    <cellStyle name="Normal 2 16 14" xfId="1349"/>
    <cellStyle name="Normal 2 16 15" xfId="1350"/>
    <cellStyle name="Normal 2 16 16" xfId="1351"/>
    <cellStyle name="Normal 2 16 17" xfId="1352"/>
    <cellStyle name="Normal 2 16 18" xfId="1353"/>
    <cellStyle name="Normal 2 16 19" xfId="1354"/>
    <cellStyle name="Normal 2 16 2" xfId="1355"/>
    <cellStyle name="Normal 2 16 20" xfId="1356"/>
    <cellStyle name="Normal 2 16 21" xfId="1357"/>
    <cellStyle name="Normal 2 16 22" xfId="1358"/>
    <cellStyle name="Normal 2 16 23" xfId="1359"/>
    <cellStyle name="Normal 2 16 3" xfId="1360"/>
    <cellStyle name="Normal 2 16 4" xfId="1361"/>
    <cellStyle name="Normal 2 16 5" xfId="1362"/>
    <cellStyle name="Normal 2 16 6" xfId="1363"/>
    <cellStyle name="Normal 2 16 7" xfId="1364"/>
    <cellStyle name="Normal 2 16 8" xfId="1365"/>
    <cellStyle name="Normal 2 16 9" xfId="1366"/>
    <cellStyle name="Normal 2 17" xfId="1367"/>
    <cellStyle name="Normal 2 17 10" xfId="1368"/>
    <cellStyle name="Normal 2 17 11" xfId="1369"/>
    <cellStyle name="Normal 2 17 12" xfId="1370"/>
    <cellStyle name="Normal 2 17 13" xfId="1371"/>
    <cellStyle name="Normal 2 17 14" xfId="1372"/>
    <cellStyle name="Normal 2 17 15" xfId="1373"/>
    <cellStyle name="Normal 2 17 16" xfId="1374"/>
    <cellStyle name="Normal 2 17 17" xfId="1375"/>
    <cellStyle name="Normal 2 17 18" xfId="1376"/>
    <cellStyle name="Normal 2 17 19" xfId="1377"/>
    <cellStyle name="Normal 2 17 2" xfId="1378"/>
    <cellStyle name="Normal 2 17 20" xfId="1379"/>
    <cellStyle name="Normal 2 17 21" xfId="1380"/>
    <cellStyle name="Normal 2 17 22" xfId="1381"/>
    <cellStyle name="Normal 2 17 23" xfId="1382"/>
    <cellStyle name="Normal 2 17 3" xfId="1383"/>
    <cellStyle name="Normal 2 17 4" xfId="1384"/>
    <cellStyle name="Normal 2 17 5" xfId="1385"/>
    <cellStyle name="Normal 2 17 6" xfId="1386"/>
    <cellStyle name="Normal 2 17 7" xfId="1387"/>
    <cellStyle name="Normal 2 17 8" xfId="1388"/>
    <cellStyle name="Normal 2 17 9" xfId="1389"/>
    <cellStyle name="Normal 2 18" xfId="1390"/>
    <cellStyle name="Normal 2 18 10" xfId="1391"/>
    <cellStyle name="Normal 2 18 11" xfId="1392"/>
    <cellStyle name="Normal 2 18 12" xfId="1393"/>
    <cellStyle name="Normal 2 18 13" xfId="1394"/>
    <cellStyle name="Normal 2 18 14" xfId="1395"/>
    <cellStyle name="Normal 2 18 15" xfId="1396"/>
    <cellStyle name="Normal 2 18 16" xfId="1397"/>
    <cellStyle name="Normal 2 18 17" xfId="1398"/>
    <cellStyle name="Normal 2 18 18" xfId="1399"/>
    <cellStyle name="Normal 2 18 19" xfId="1400"/>
    <cellStyle name="Normal 2 18 2" xfId="1401"/>
    <cellStyle name="Normal 2 18 20" xfId="1402"/>
    <cellStyle name="Normal 2 18 21" xfId="1403"/>
    <cellStyle name="Normal 2 18 22" xfId="1404"/>
    <cellStyle name="Normal 2 18 23" xfId="1405"/>
    <cellStyle name="Normal 2 18 3" xfId="1406"/>
    <cellStyle name="Normal 2 18 4" xfId="1407"/>
    <cellStyle name="Normal 2 18 5" xfId="1408"/>
    <cellStyle name="Normal 2 18 6" xfId="1409"/>
    <cellStyle name="Normal 2 18 7" xfId="1410"/>
    <cellStyle name="Normal 2 18 8" xfId="1411"/>
    <cellStyle name="Normal 2 18 9" xfId="1412"/>
    <cellStyle name="Normal 2 19" xfId="1413"/>
    <cellStyle name="Normal 2 19 10" xfId="1414"/>
    <cellStyle name="Normal 2 19 11" xfId="1415"/>
    <cellStyle name="Normal 2 19 12" xfId="1416"/>
    <cellStyle name="Normal 2 19 13" xfId="1417"/>
    <cellStyle name="Normal 2 19 14" xfId="1418"/>
    <cellStyle name="Normal 2 19 15" xfId="1419"/>
    <cellStyle name="Normal 2 19 16" xfId="1420"/>
    <cellStyle name="Normal 2 19 17" xfId="1421"/>
    <cellStyle name="Normal 2 19 18" xfId="1422"/>
    <cellStyle name="Normal 2 19 19" xfId="1423"/>
    <cellStyle name="Normal 2 19 2" xfId="1424"/>
    <cellStyle name="Normal 2 19 20" xfId="1425"/>
    <cellStyle name="Normal 2 19 21" xfId="1426"/>
    <cellStyle name="Normal 2 19 22" xfId="1427"/>
    <cellStyle name="Normal 2 19 23" xfId="1428"/>
    <cellStyle name="Normal 2 19 3" xfId="1429"/>
    <cellStyle name="Normal 2 19 4" xfId="1430"/>
    <cellStyle name="Normal 2 19 5" xfId="1431"/>
    <cellStyle name="Normal 2 19 6" xfId="1432"/>
    <cellStyle name="Normal 2 19 7" xfId="1433"/>
    <cellStyle name="Normal 2 19 8" xfId="1434"/>
    <cellStyle name="Normal 2 19 9" xfId="1435"/>
    <cellStyle name="Normal 2 2" xfId="111"/>
    <cellStyle name="Normal 2 2 2" xfId="593"/>
    <cellStyle name="Normal 2 2 3" xfId="329"/>
    <cellStyle name="Normal 2 2 4" xfId="1436"/>
    <cellStyle name="Normal 2 2_2014 - Res" xfId="1437"/>
    <cellStyle name="Normal 2 20" xfId="1438"/>
    <cellStyle name="Normal 2 20 10" xfId="1439"/>
    <cellStyle name="Normal 2 20 11" xfId="1440"/>
    <cellStyle name="Normal 2 20 12" xfId="1441"/>
    <cellStyle name="Normal 2 20 13" xfId="1442"/>
    <cellStyle name="Normal 2 20 14" xfId="1443"/>
    <cellStyle name="Normal 2 20 15" xfId="1444"/>
    <cellStyle name="Normal 2 20 16" xfId="1445"/>
    <cellStyle name="Normal 2 20 17" xfId="1446"/>
    <cellStyle name="Normal 2 20 18" xfId="1447"/>
    <cellStyle name="Normal 2 20 19" xfId="1448"/>
    <cellStyle name="Normal 2 20 2" xfId="1449"/>
    <cellStyle name="Normal 2 20 20" xfId="1450"/>
    <cellStyle name="Normal 2 20 21" xfId="1451"/>
    <cellStyle name="Normal 2 20 22" xfId="1452"/>
    <cellStyle name="Normal 2 20 23" xfId="1453"/>
    <cellStyle name="Normal 2 20 3" xfId="1454"/>
    <cellStyle name="Normal 2 20 4" xfId="1455"/>
    <cellStyle name="Normal 2 20 5" xfId="1456"/>
    <cellStyle name="Normal 2 20 6" xfId="1457"/>
    <cellStyle name="Normal 2 20 7" xfId="1458"/>
    <cellStyle name="Normal 2 20 8" xfId="1459"/>
    <cellStyle name="Normal 2 20 9" xfId="1460"/>
    <cellStyle name="Normal 2 21" xfId="1461"/>
    <cellStyle name="Normal 2 21 10" xfId="1462"/>
    <cellStyle name="Normal 2 21 11" xfId="1463"/>
    <cellStyle name="Normal 2 21 12" xfId="1464"/>
    <cellStyle name="Normal 2 21 13" xfId="1465"/>
    <cellStyle name="Normal 2 21 14" xfId="1466"/>
    <cellStyle name="Normal 2 21 15" xfId="1467"/>
    <cellStyle name="Normal 2 21 16" xfId="1468"/>
    <cellStyle name="Normal 2 21 17" xfId="1469"/>
    <cellStyle name="Normal 2 21 18" xfId="1470"/>
    <cellStyle name="Normal 2 21 19" xfId="1471"/>
    <cellStyle name="Normal 2 21 2" xfId="1472"/>
    <cellStyle name="Normal 2 21 20" xfId="1473"/>
    <cellStyle name="Normal 2 21 21" xfId="1474"/>
    <cellStyle name="Normal 2 21 22" xfId="1475"/>
    <cellStyle name="Normal 2 21 23" xfId="1476"/>
    <cellStyle name="Normal 2 21 3" xfId="1477"/>
    <cellStyle name="Normal 2 21 4" xfId="1478"/>
    <cellStyle name="Normal 2 21 5" xfId="1479"/>
    <cellStyle name="Normal 2 21 6" xfId="1480"/>
    <cellStyle name="Normal 2 21 7" xfId="1481"/>
    <cellStyle name="Normal 2 21 8" xfId="1482"/>
    <cellStyle name="Normal 2 21 9" xfId="1483"/>
    <cellStyle name="Normal 2 22" xfId="1484"/>
    <cellStyle name="Normal 2 22 10" xfId="1485"/>
    <cellStyle name="Normal 2 22 11" xfId="1486"/>
    <cellStyle name="Normal 2 22 12" xfId="1487"/>
    <cellStyle name="Normal 2 22 13" xfId="1488"/>
    <cellStyle name="Normal 2 22 14" xfId="1489"/>
    <cellStyle name="Normal 2 22 15" xfId="1490"/>
    <cellStyle name="Normal 2 22 16" xfId="1491"/>
    <cellStyle name="Normal 2 22 17" xfId="1492"/>
    <cellStyle name="Normal 2 22 18" xfId="1493"/>
    <cellStyle name="Normal 2 22 19" xfId="1494"/>
    <cellStyle name="Normal 2 22 2" xfId="1495"/>
    <cellStyle name="Normal 2 22 20" xfId="1496"/>
    <cellStyle name="Normal 2 22 21" xfId="1497"/>
    <cellStyle name="Normal 2 22 22" xfId="1498"/>
    <cellStyle name="Normal 2 22 23" xfId="1499"/>
    <cellStyle name="Normal 2 22 3" xfId="1500"/>
    <cellStyle name="Normal 2 22 4" xfId="1501"/>
    <cellStyle name="Normal 2 22 5" xfId="1502"/>
    <cellStyle name="Normal 2 22 6" xfId="1503"/>
    <cellStyle name="Normal 2 22 7" xfId="1504"/>
    <cellStyle name="Normal 2 22 8" xfId="1505"/>
    <cellStyle name="Normal 2 22 9" xfId="1506"/>
    <cellStyle name="Normal 2 23" xfId="1507"/>
    <cellStyle name="Normal 2 23 10" xfId="1508"/>
    <cellStyle name="Normal 2 23 11" xfId="1509"/>
    <cellStyle name="Normal 2 23 12" xfId="1510"/>
    <cellStyle name="Normal 2 23 13" xfId="1511"/>
    <cellStyle name="Normal 2 23 14" xfId="1512"/>
    <cellStyle name="Normal 2 23 15" xfId="1513"/>
    <cellStyle name="Normal 2 23 16" xfId="1514"/>
    <cellStyle name="Normal 2 23 17" xfId="1515"/>
    <cellStyle name="Normal 2 23 18" xfId="1516"/>
    <cellStyle name="Normal 2 23 19" xfId="1517"/>
    <cellStyle name="Normal 2 23 2" xfId="1518"/>
    <cellStyle name="Normal 2 23 20" xfId="1519"/>
    <cellStyle name="Normal 2 23 21" xfId="1520"/>
    <cellStyle name="Normal 2 23 22" xfId="1521"/>
    <cellStyle name="Normal 2 23 23" xfId="1522"/>
    <cellStyle name="Normal 2 23 3" xfId="1523"/>
    <cellStyle name="Normal 2 23 4" xfId="1524"/>
    <cellStyle name="Normal 2 23 5" xfId="1525"/>
    <cellStyle name="Normal 2 23 6" xfId="1526"/>
    <cellStyle name="Normal 2 23 7" xfId="1527"/>
    <cellStyle name="Normal 2 23 8" xfId="1528"/>
    <cellStyle name="Normal 2 23 9" xfId="1529"/>
    <cellStyle name="Normal 2 24" xfId="1530"/>
    <cellStyle name="Normal 2 24 10" xfId="1531"/>
    <cellStyle name="Normal 2 24 11" xfId="1532"/>
    <cellStyle name="Normal 2 24 12" xfId="1533"/>
    <cellStyle name="Normal 2 24 13" xfId="1534"/>
    <cellStyle name="Normal 2 24 14" xfId="1535"/>
    <cellStyle name="Normal 2 24 15" xfId="1536"/>
    <cellStyle name="Normal 2 24 16" xfId="1537"/>
    <cellStyle name="Normal 2 24 17" xfId="1538"/>
    <cellStyle name="Normal 2 24 18" xfId="1539"/>
    <cellStyle name="Normal 2 24 19" xfId="1540"/>
    <cellStyle name="Normal 2 24 2" xfId="1541"/>
    <cellStyle name="Normal 2 24 20" xfId="1542"/>
    <cellStyle name="Normal 2 24 21" xfId="1543"/>
    <cellStyle name="Normal 2 24 22" xfId="1544"/>
    <cellStyle name="Normal 2 24 23" xfId="1545"/>
    <cellStyle name="Normal 2 24 3" xfId="1546"/>
    <cellStyle name="Normal 2 24 4" xfId="1547"/>
    <cellStyle name="Normal 2 24 5" xfId="1548"/>
    <cellStyle name="Normal 2 24 6" xfId="1549"/>
    <cellStyle name="Normal 2 24 7" xfId="1550"/>
    <cellStyle name="Normal 2 24 8" xfId="1551"/>
    <cellStyle name="Normal 2 24 9" xfId="1552"/>
    <cellStyle name="Normal 2 25" xfId="1553"/>
    <cellStyle name="Normal 2 25 10" xfId="1554"/>
    <cellStyle name="Normal 2 25 11" xfId="1555"/>
    <cellStyle name="Normal 2 25 12" xfId="1556"/>
    <cellStyle name="Normal 2 25 13" xfId="1557"/>
    <cellStyle name="Normal 2 25 14" xfId="1558"/>
    <cellStyle name="Normal 2 25 15" xfId="1559"/>
    <cellStyle name="Normal 2 25 16" xfId="1560"/>
    <cellStyle name="Normal 2 25 17" xfId="1561"/>
    <cellStyle name="Normal 2 25 18" xfId="1562"/>
    <cellStyle name="Normal 2 25 19" xfId="1563"/>
    <cellStyle name="Normal 2 25 2" xfId="1564"/>
    <cellStyle name="Normal 2 25 20" xfId="1565"/>
    <cellStyle name="Normal 2 25 21" xfId="1566"/>
    <cellStyle name="Normal 2 25 22" xfId="1567"/>
    <cellStyle name="Normal 2 25 23" xfId="1568"/>
    <cellStyle name="Normal 2 25 3" xfId="1569"/>
    <cellStyle name="Normal 2 25 4" xfId="1570"/>
    <cellStyle name="Normal 2 25 5" xfId="1571"/>
    <cellStyle name="Normal 2 25 6" xfId="1572"/>
    <cellStyle name="Normal 2 25 7" xfId="1573"/>
    <cellStyle name="Normal 2 25 8" xfId="1574"/>
    <cellStyle name="Normal 2 25 9" xfId="1575"/>
    <cellStyle name="Normal 2 26" xfId="1576"/>
    <cellStyle name="Normal 2 26 10" xfId="1577"/>
    <cellStyle name="Normal 2 26 11" xfId="1578"/>
    <cellStyle name="Normal 2 26 12" xfId="1579"/>
    <cellStyle name="Normal 2 26 13" xfId="1580"/>
    <cellStyle name="Normal 2 26 14" xfId="1581"/>
    <cellStyle name="Normal 2 26 15" xfId="1582"/>
    <cellStyle name="Normal 2 26 16" xfId="1583"/>
    <cellStyle name="Normal 2 26 17" xfId="1584"/>
    <cellStyle name="Normal 2 26 18" xfId="1585"/>
    <cellStyle name="Normal 2 26 19" xfId="1586"/>
    <cellStyle name="Normal 2 26 2" xfId="1587"/>
    <cellStyle name="Normal 2 26 20" xfId="1588"/>
    <cellStyle name="Normal 2 26 21" xfId="1589"/>
    <cellStyle name="Normal 2 26 22" xfId="1590"/>
    <cellStyle name="Normal 2 26 23" xfId="1591"/>
    <cellStyle name="Normal 2 26 3" xfId="1592"/>
    <cellStyle name="Normal 2 26 4" xfId="1593"/>
    <cellStyle name="Normal 2 26 5" xfId="1594"/>
    <cellStyle name="Normal 2 26 6" xfId="1595"/>
    <cellStyle name="Normal 2 26 7" xfId="1596"/>
    <cellStyle name="Normal 2 26 8" xfId="1597"/>
    <cellStyle name="Normal 2 26 9" xfId="1598"/>
    <cellStyle name="Normal 2 27" xfId="1599"/>
    <cellStyle name="Normal 2 27 10" xfId="1600"/>
    <cellStyle name="Normal 2 27 11" xfId="1601"/>
    <cellStyle name="Normal 2 27 12" xfId="1602"/>
    <cellStyle name="Normal 2 27 13" xfId="1603"/>
    <cellStyle name="Normal 2 27 14" xfId="1604"/>
    <cellStyle name="Normal 2 27 15" xfId="1605"/>
    <cellStyle name="Normal 2 27 16" xfId="1606"/>
    <cellStyle name="Normal 2 27 17" xfId="1607"/>
    <cellStyle name="Normal 2 27 18" xfId="1608"/>
    <cellStyle name="Normal 2 27 19" xfId="1609"/>
    <cellStyle name="Normal 2 27 2" xfId="1610"/>
    <cellStyle name="Normal 2 27 20" xfId="1611"/>
    <cellStyle name="Normal 2 27 21" xfId="1612"/>
    <cellStyle name="Normal 2 27 22" xfId="1613"/>
    <cellStyle name="Normal 2 27 23" xfId="1614"/>
    <cellStyle name="Normal 2 27 3" xfId="1615"/>
    <cellStyle name="Normal 2 27 4" xfId="1616"/>
    <cellStyle name="Normal 2 27 5" xfId="1617"/>
    <cellStyle name="Normal 2 27 6" xfId="1618"/>
    <cellStyle name="Normal 2 27 7" xfId="1619"/>
    <cellStyle name="Normal 2 27 8" xfId="1620"/>
    <cellStyle name="Normal 2 27 9" xfId="1621"/>
    <cellStyle name="Normal 2 28" xfId="1622"/>
    <cellStyle name="Normal 2 28 10" xfId="1623"/>
    <cellStyle name="Normal 2 28 11" xfId="1624"/>
    <cellStyle name="Normal 2 28 12" xfId="1625"/>
    <cellStyle name="Normal 2 28 13" xfId="1626"/>
    <cellStyle name="Normal 2 28 14" xfId="1627"/>
    <cellStyle name="Normal 2 28 15" xfId="1628"/>
    <cellStyle name="Normal 2 28 16" xfId="1629"/>
    <cellStyle name="Normal 2 28 17" xfId="1630"/>
    <cellStyle name="Normal 2 28 18" xfId="1631"/>
    <cellStyle name="Normal 2 28 19" xfId="1632"/>
    <cellStyle name="Normal 2 28 2" xfId="1633"/>
    <cellStyle name="Normal 2 28 20" xfId="1634"/>
    <cellStyle name="Normal 2 28 21" xfId="1635"/>
    <cellStyle name="Normal 2 28 22" xfId="1636"/>
    <cellStyle name="Normal 2 28 23" xfId="1637"/>
    <cellStyle name="Normal 2 28 3" xfId="1638"/>
    <cellStyle name="Normal 2 28 4" xfId="1639"/>
    <cellStyle name="Normal 2 28 5" xfId="1640"/>
    <cellStyle name="Normal 2 28 6" xfId="1641"/>
    <cellStyle name="Normal 2 28 7" xfId="1642"/>
    <cellStyle name="Normal 2 28 8" xfId="1643"/>
    <cellStyle name="Normal 2 28 9" xfId="1644"/>
    <cellStyle name="Normal 2 29" xfId="1645"/>
    <cellStyle name="Normal 2 29 10" xfId="1646"/>
    <cellStyle name="Normal 2 29 11" xfId="1647"/>
    <cellStyle name="Normal 2 29 12" xfId="1648"/>
    <cellStyle name="Normal 2 29 13" xfId="1649"/>
    <cellStyle name="Normal 2 29 14" xfId="1650"/>
    <cellStyle name="Normal 2 29 15" xfId="1651"/>
    <cellStyle name="Normal 2 29 16" xfId="1652"/>
    <cellStyle name="Normal 2 29 17" xfId="1653"/>
    <cellStyle name="Normal 2 29 18" xfId="1654"/>
    <cellStyle name="Normal 2 29 19" xfId="1655"/>
    <cellStyle name="Normal 2 29 2" xfId="1656"/>
    <cellStyle name="Normal 2 29 20" xfId="1657"/>
    <cellStyle name="Normal 2 29 21" xfId="1658"/>
    <cellStyle name="Normal 2 29 22" xfId="1659"/>
    <cellStyle name="Normal 2 29 23" xfId="1660"/>
    <cellStyle name="Normal 2 29 3" xfId="1661"/>
    <cellStyle name="Normal 2 29 4" xfId="1662"/>
    <cellStyle name="Normal 2 29 5" xfId="1663"/>
    <cellStyle name="Normal 2 29 6" xfId="1664"/>
    <cellStyle name="Normal 2 29 7" xfId="1665"/>
    <cellStyle name="Normal 2 29 8" xfId="1666"/>
    <cellStyle name="Normal 2 29 9" xfId="1667"/>
    <cellStyle name="Normal 2 3" xfId="112"/>
    <cellStyle name="Normal 2 3 2" xfId="594"/>
    <cellStyle name="Normal 2 3 3" xfId="1070"/>
    <cellStyle name="Normal 2 30" xfId="1668"/>
    <cellStyle name="Normal 2 30 10" xfId="1669"/>
    <cellStyle name="Normal 2 30 11" xfId="1670"/>
    <cellStyle name="Normal 2 30 12" xfId="1671"/>
    <cellStyle name="Normal 2 30 13" xfId="1672"/>
    <cellStyle name="Normal 2 30 14" xfId="1673"/>
    <cellStyle name="Normal 2 30 15" xfId="1674"/>
    <cellStyle name="Normal 2 30 16" xfId="1675"/>
    <cellStyle name="Normal 2 30 17" xfId="1676"/>
    <cellStyle name="Normal 2 30 18" xfId="1677"/>
    <cellStyle name="Normal 2 30 19" xfId="1678"/>
    <cellStyle name="Normal 2 30 2" xfId="1679"/>
    <cellStyle name="Normal 2 30 20" xfId="1680"/>
    <cellStyle name="Normal 2 30 21" xfId="1681"/>
    <cellStyle name="Normal 2 30 22" xfId="1682"/>
    <cellStyle name="Normal 2 30 23" xfId="1683"/>
    <cellStyle name="Normal 2 30 3" xfId="1684"/>
    <cellStyle name="Normal 2 30 4" xfId="1685"/>
    <cellStyle name="Normal 2 30 5" xfId="1686"/>
    <cellStyle name="Normal 2 30 6" xfId="1687"/>
    <cellStyle name="Normal 2 30 7" xfId="1688"/>
    <cellStyle name="Normal 2 30 8" xfId="1689"/>
    <cellStyle name="Normal 2 30 9" xfId="1690"/>
    <cellStyle name="Normal 2 31" xfId="1691"/>
    <cellStyle name="Normal 2 31 10" xfId="1692"/>
    <cellStyle name="Normal 2 31 11" xfId="1693"/>
    <cellStyle name="Normal 2 31 12" xfId="1694"/>
    <cellStyle name="Normal 2 31 13" xfId="1695"/>
    <cellStyle name="Normal 2 31 14" xfId="1696"/>
    <cellStyle name="Normal 2 31 15" xfId="1697"/>
    <cellStyle name="Normal 2 31 16" xfId="1698"/>
    <cellStyle name="Normal 2 31 17" xfId="1699"/>
    <cellStyle name="Normal 2 31 18" xfId="1700"/>
    <cellStyle name="Normal 2 31 19" xfId="1701"/>
    <cellStyle name="Normal 2 31 2" xfId="1702"/>
    <cellStyle name="Normal 2 31 20" xfId="1703"/>
    <cellStyle name="Normal 2 31 21" xfId="1704"/>
    <cellStyle name="Normal 2 31 22" xfId="1705"/>
    <cellStyle name="Normal 2 31 23" xfId="1706"/>
    <cellStyle name="Normal 2 31 3" xfId="1707"/>
    <cellStyle name="Normal 2 31 4" xfId="1708"/>
    <cellStyle name="Normal 2 31 5" xfId="1709"/>
    <cellStyle name="Normal 2 31 6" xfId="1710"/>
    <cellStyle name="Normal 2 31 7" xfId="1711"/>
    <cellStyle name="Normal 2 31 8" xfId="1712"/>
    <cellStyle name="Normal 2 31 9" xfId="1713"/>
    <cellStyle name="Normal 2 32" xfId="1714"/>
    <cellStyle name="Normal 2 32 10" xfId="1715"/>
    <cellStyle name="Normal 2 32 11" xfId="1716"/>
    <cellStyle name="Normal 2 32 12" xfId="1717"/>
    <cellStyle name="Normal 2 32 13" xfId="1718"/>
    <cellStyle name="Normal 2 32 14" xfId="1719"/>
    <cellStyle name="Normal 2 32 15" xfId="1720"/>
    <cellStyle name="Normal 2 32 16" xfId="1721"/>
    <cellStyle name="Normal 2 32 17" xfId="1722"/>
    <cellStyle name="Normal 2 32 18" xfId="1723"/>
    <cellStyle name="Normal 2 32 19" xfId="1724"/>
    <cellStyle name="Normal 2 32 2" xfId="1725"/>
    <cellStyle name="Normal 2 32 20" xfId="1726"/>
    <cellStyle name="Normal 2 32 21" xfId="1727"/>
    <cellStyle name="Normal 2 32 22" xfId="1728"/>
    <cellStyle name="Normal 2 32 23" xfId="1729"/>
    <cellStyle name="Normal 2 32 3" xfId="1730"/>
    <cellStyle name="Normal 2 32 4" xfId="1731"/>
    <cellStyle name="Normal 2 32 5" xfId="1732"/>
    <cellStyle name="Normal 2 32 6" xfId="1733"/>
    <cellStyle name="Normal 2 32 7" xfId="1734"/>
    <cellStyle name="Normal 2 32 8" xfId="1735"/>
    <cellStyle name="Normal 2 32 9" xfId="1736"/>
    <cellStyle name="Normal 2 33" xfId="1737"/>
    <cellStyle name="Normal 2 33 10" xfId="1738"/>
    <cellStyle name="Normal 2 33 11" xfId="1739"/>
    <cellStyle name="Normal 2 33 12" xfId="1740"/>
    <cellStyle name="Normal 2 33 13" xfId="1741"/>
    <cellStyle name="Normal 2 33 14" xfId="1742"/>
    <cellStyle name="Normal 2 33 15" xfId="1743"/>
    <cellStyle name="Normal 2 33 16" xfId="1744"/>
    <cellStyle name="Normal 2 33 17" xfId="1745"/>
    <cellStyle name="Normal 2 33 18" xfId="1746"/>
    <cellStyle name="Normal 2 33 19" xfId="1747"/>
    <cellStyle name="Normal 2 33 2" xfId="1748"/>
    <cellStyle name="Normal 2 33 20" xfId="1749"/>
    <cellStyle name="Normal 2 33 21" xfId="1750"/>
    <cellStyle name="Normal 2 33 22" xfId="1751"/>
    <cellStyle name="Normal 2 33 23" xfId="1752"/>
    <cellStyle name="Normal 2 33 3" xfId="1753"/>
    <cellStyle name="Normal 2 33 4" xfId="1754"/>
    <cellStyle name="Normal 2 33 5" xfId="1755"/>
    <cellStyle name="Normal 2 33 6" xfId="1756"/>
    <cellStyle name="Normal 2 33 7" xfId="1757"/>
    <cellStyle name="Normal 2 33 8" xfId="1758"/>
    <cellStyle name="Normal 2 33 9" xfId="1759"/>
    <cellStyle name="Normal 2 34" xfId="1760"/>
    <cellStyle name="Normal 2 34 10" xfId="1761"/>
    <cellStyle name="Normal 2 34 11" xfId="1762"/>
    <cellStyle name="Normal 2 34 12" xfId="1763"/>
    <cellStyle name="Normal 2 34 13" xfId="1764"/>
    <cellStyle name="Normal 2 34 14" xfId="1765"/>
    <cellStyle name="Normal 2 34 15" xfId="1766"/>
    <cellStyle name="Normal 2 34 16" xfId="1767"/>
    <cellStyle name="Normal 2 34 17" xfId="1768"/>
    <cellStyle name="Normal 2 34 18" xfId="1769"/>
    <cellStyle name="Normal 2 34 19" xfId="1770"/>
    <cellStyle name="Normal 2 34 2" xfId="1771"/>
    <cellStyle name="Normal 2 34 20" xfId="1772"/>
    <cellStyle name="Normal 2 34 21" xfId="1773"/>
    <cellStyle name="Normal 2 34 22" xfId="1774"/>
    <cellStyle name="Normal 2 34 23" xfId="1775"/>
    <cellStyle name="Normal 2 34 3" xfId="1776"/>
    <cellStyle name="Normal 2 34 4" xfId="1777"/>
    <cellStyle name="Normal 2 34 5" xfId="1778"/>
    <cellStyle name="Normal 2 34 6" xfId="1779"/>
    <cellStyle name="Normal 2 34 7" xfId="1780"/>
    <cellStyle name="Normal 2 34 8" xfId="1781"/>
    <cellStyle name="Normal 2 34 9" xfId="1782"/>
    <cellStyle name="Normal 2 35" xfId="1783"/>
    <cellStyle name="Normal 2 35 10" xfId="1784"/>
    <cellStyle name="Normal 2 35 11" xfId="1785"/>
    <cellStyle name="Normal 2 35 12" xfId="1786"/>
    <cellStyle name="Normal 2 35 13" xfId="1787"/>
    <cellStyle name="Normal 2 35 14" xfId="1788"/>
    <cellStyle name="Normal 2 35 15" xfId="1789"/>
    <cellStyle name="Normal 2 35 16" xfId="1790"/>
    <cellStyle name="Normal 2 35 17" xfId="1791"/>
    <cellStyle name="Normal 2 35 18" xfId="1792"/>
    <cellStyle name="Normal 2 35 19" xfId="1793"/>
    <cellStyle name="Normal 2 35 2" xfId="1794"/>
    <cellStyle name="Normal 2 35 20" xfId="1795"/>
    <cellStyle name="Normal 2 35 21" xfId="1796"/>
    <cellStyle name="Normal 2 35 22" xfId="1797"/>
    <cellStyle name="Normal 2 35 23" xfId="1798"/>
    <cellStyle name="Normal 2 35 3" xfId="1799"/>
    <cellStyle name="Normal 2 35 4" xfId="1800"/>
    <cellStyle name="Normal 2 35 5" xfId="1801"/>
    <cellStyle name="Normal 2 35 6" xfId="1802"/>
    <cellStyle name="Normal 2 35 7" xfId="1803"/>
    <cellStyle name="Normal 2 35 8" xfId="1804"/>
    <cellStyle name="Normal 2 35 9" xfId="1805"/>
    <cellStyle name="Normal 2 36" xfId="1806"/>
    <cellStyle name="Normal 2 36 10" xfId="1807"/>
    <cellStyle name="Normal 2 36 11" xfId="1808"/>
    <cellStyle name="Normal 2 36 12" xfId="1809"/>
    <cellStyle name="Normal 2 36 13" xfId="1810"/>
    <cellStyle name="Normal 2 36 14" xfId="1811"/>
    <cellStyle name="Normal 2 36 15" xfId="1812"/>
    <cellStyle name="Normal 2 36 16" xfId="1813"/>
    <cellStyle name="Normal 2 36 17" xfId="1814"/>
    <cellStyle name="Normal 2 36 18" xfId="1815"/>
    <cellStyle name="Normal 2 36 19" xfId="1816"/>
    <cellStyle name="Normal 2 36 2" xfId="1817"/>
    <cellStyle name="Normal 2 36 20" xfId="1818"/>
    <cellStyle name="Normal 2 36 21" xfId="1819"/>
    <cellStyle name="Normal 2 36 22" xfId="1820"/>
    <cellStyle name="Normal 2 36 23" xfId="1821"/>
    <cellStyle name="Normal 2 36 3" xfId="1822"/>
    <cellStyle name="Normal 2 36 4" xfId="1823"/>
    <cellStyle name="Normal 2 36 5" xfId="1824"/>
    <cellStyle name="Normal 2 36 6" xfId="1825"/>
    <cellStyle name="Normal 2 36 7" xfId="1826"/>
    <cellStyle name="Normal 2 36 8" xfId="1827"/>
    <cellStyle name="Normal 2 36 9" xfId="1828"/>
    <cellStyle name="Normal 2 37" xfId="1829"/>
    <cellStyle name="Normal 2 37 10" xfId="1830"/>
    <cellStyle name="Normal 2 37 11" xfId="1831"/>
    <cellStyle name="Normal 2 37 12" xfId="1832"/>
    <cellStyle name="Normal 2 37 13" xfId="1833"/>
    <cellStyle name="Normal 2 37 14" xfId="1834"/>
    <cellStyle name="Normal 2 37 15" xfId="1835"/>
    <cellStyle name="Normal 2 37 16" xfId="1836"/>
    <cellStyle name="Normal 2 37 17" xfId="1837"/>
    <cellStyle name="Normal 2 37 18" xfId="1838"/>
    <cellStyle name="Normal 2 37 19" xfId="1839"/>
    <cellStyle name="Normal 2 37 2" xfId="1840"/>
    <cellStyle name="Normal 2 37 20" xfId="1841"/>
    <cellStyle name="Normal 2 37 21" xfId="1842"/>
    <cellStyle name="Normal 2 37 22" xfId="1843"/>
    <cellStyle name="Normal 2 37 23" xfId="1844"/>
    <cellStyle name="Normal 2 37 3" xfId="1845"/>
    <cellStyle name="Normal 2 37 4" xfId="1846"/>
    <cellStyle name="Normal 2 37 5" xfId="1847"/>
    <cellStyle name="Normal 2 37 6" xfId="1848"/>
    <cellStyle name="Normal 2 37 7" xfId="1849"/>
    <cellStyle name="Normal 2 37 8" xfId="1850"/>
    <cellStyle name="Normal 2 37 9" xfId="1851"/>
    <cellStyle name="Normal 2 38" xfId="1852"/>
    <cellStyle name="Normal 2 38 10" xfId="1853"/>
    <cellStyle name="Normal 2 38 11" xfId="1854"/>
    <cellStyle name="Normal 2 38 12" xfId="1855"/>
    <cellStyle name="Normal 2 38 13" xfId="1856"/>
    <cellStyle name="Normal 2 38 14" xfId="1857"/>
    <cellStyle name="Normal 2 38 15" xfId="1858"/>
    <cellStyle name="Normal 2 38 16" xfId="1859"/>
    <cellStyle name="Normal 2 38 17" xfId="1860"/>
    <cellStyle name="Normal 2 38 18" xfId="1861"/>
    <cellStyle name="Normal 2 38 19" xfId="1862"/>
    <cellStyle name="Normal 2 38 2" xfId="1863"/>
    <cellStyle name="Normal 2 38 20" xfId="1864"/>
    <cellStyle name="Normal 2 38 21" xfId="1865"/>
    <cellStyle name="Normal 2 38 22" xfId="1866"/>
    <cellStyle name="Normal 2 38 23" xfId="1867"/>
    <cellStyle name="Normal 2 38 3" xfId="1868"/>
    <cellStyle name="Normal 2 38 4" xfId="1869"/>
    <cellStyle name="Normal 2 38 5" xfId="1870"/>
    <cellStyle name="Normal 2 38 6" xfId="1871"/>
    <cellStyle name="Normal 2 38 7" xfId="1872"/>
    <cellStyle name="Normal 2 38 8" xfId="1873"/>
    <cellStyle name="Normal 2 38 9" xfId="1874"/>
    <cellStyle name="Normal 2 39" xfId="1875"/>
    <cellStyle name="Normal 2 39 10" xfId="1876"/>
    <cellStyle name="Normal 2 39 11" xfId="1877"/>
    <cellStyle name="Normal 2 39 12" xfId="1878"/>
    <cellStyle name="Normal 2 39 13" xfId="1879"/>
    <cellStyle name="Normal 2 39 14" xfId="1880"/>
    <cellStyle name="Normal 2 39 15" xfId="1881"/>
    <cellStyle name="Normal 2 39 16" xfId="1882"/>
    <cellStyle name="Normal 2 39 17" xfId="1883"/>
    <cellStyle name="Normal 2 39 18" xfId="1884"/>
    <cellStyle name="Normal 2 39 19" xfId="1885"/>
    <cellStyle name="Normal 2 39 2" xfId="1886"/>
    <cellStyle name="Normal 2 39 20" xfId="1887"/>
    <cellStyle name="Normal 2 39 21" xfId="1888"/>
    <cellStyle name="Normal 2 39 22" xfId="1889"/>
    <cellStyle name="Normal 2 39 23" xfId="1890"/>
    <cellStyle name="Normal 2 39 3" xfId="1891"/>
    <cellStyle name="Normal 2 39 4" xfId="1892"/>
    <cellStyle name="Normal 2 39 5" xfId="1893"/>
    <cellStyle name="Normal 2 39 6" xfId="1894"/>
    <cellStyle name="Normal 2 39 7" xfId="1895"/>
    <cellStyle name="Normal 2 39 8" xfId="1896"/>
    <cellStyle name="Normal 2 39 9" xfId="1897"/>
    <cellStyle name="Normal 2 4" xfId="595"/>
    <cellStyle name="Normal 2 4 2" xfId="1898"/>
    <cellStyle name="Normal 2 40" xfId="1899"/>
    <cellStyle name="Normal 2 41" xfId="1900"/>
    <cellStyle name="Normal 2 42" xfId="1901"/>
    <cellStyle name="Normal 2 43" xfId="1902"/>
    <cellStyle name="Normal 2 44" xfId="1903"/>
    <cellStyle name="Normal 2 45" xfId="1904"/>
    <cellStyle name="Normal 2 46" xfId="1905"/>
    <cellStyle name="Normal 2 47" xfId="1906"/>
    <cellStyle name="Normal 2 48" xfId="1907"/>
    <cellStyle name="Normal 2 49" xfId="1908"/>
    <cellStyle name="Normal 2 5" xfId="596"/>
    <cellStyle name="Normal 2 5 10" xfId="1910"/>
    <cellStyle name="Normal 2 5 11" xfId="1911"/>
    <cellStyle name="Normal 2 5 12" xfId="1912"/>
    <cellStyle name="Normal 2 5 13" xfId="1913"/>
    <cellStyle name="Normal 2 5 14" xfId="1914"/>
    <cellStyle name="Normal 2 5 15" xfId="1915"/>
    <cellStyle name="Normal 2 5 16" xfId="1916"/>
    <cellStyle name="Normal 2 5 17" xfId="1917"/>
    <cellStyle name="Normal 2 5 18" xfId="1918"/>
    <cellStyle name="Normal 2 5 19" xfId="1919"/>
    <cellStyle name="Normal 2 5 2" xfId="1920"/>
    <cellStyle name="Normal 2 5 2 10" xfId="1921"/>
    <cellStyle name="Normal 2 5 2 11" xfId="1922"/>
    <cellStyle name="Normal 2 5 2 12" xfId="1923"/>
    <cellStyle name="Normal 2 5 2 13" xfId="1924"/>
    <cellStyle name="Normal 2 5 2 14" xfId="1925"/>
    <cellStyle name="Normal 2 5 2 15" xfId="1926"/>
    <cellStyle name="Normal 2 5 2 16" xfId="1927"/>
    <cellStyle name="Normal 2 5 2 17" xfId="1928"/>
    <cellStyle name="Normal 2 5 2 18" xfId="1929"/>
    <cellStyle name="Normal 2 5 2 19" xfId="1930"/>
    <cellStyle name="Normal 2 5 2 2" xfId="1931"/>
    <cellStyle name="Normal 2 5 2 2 10" xfId="1932"/>
    <cellStyle name="Normal 2 5 2 2 11" xfId="1933"/>
    <cellStyle name="Normal 2 5 2 2 12" xfId="1934"/>
    <cellStyle name="Normal 2 5 2 2 13" xfId="1935"/>
    <cellStyle name="Normal 2 5 2 2 14" xfId="1936"/>
    <cellStyle name="Normal 2 5 2 2 15" xfId="1937"/>
    <cellStyle name="Normal 2 5 2 2 16" xfId="1938"/>
    <cellStyle name="Normal 2 5 2 2 17" xfId="1939"/>
    <cellStyle name="Normal 2 5 2 2 18" xfId="1940"/>
    <cellStyle name="Normal 2 5 2 2 19" xfId="1941"/>
    <cellStyle name="Normal 2 5 2 2 2" xfId="1942"/>
    <cellStyle name="Normal 2 5 2 2 20" xfId="1943"/>
    <cellStyle name="Normal 2 5 2 2 21" xfId="1944"/>
    <cellStyle name="Normal 2 5 2 2 22" xfId="1945"/>
    <cellStyle name="Normal 2 5 2 2 23" xfId="1946"/>
    <cellStyle name="Normal 2 5 2 2 24" xfId="1947"/>
    <cellStyle name="Normal 2 5 2 2 25" xfId="1948"/>
    <cellStyle name="Normal 2 5 2 2 26" xfId="1949"/>
    <cellStyle name="Normal 2 5 2 2 27" xfId="1950"/>
    <cellStyle name="Normal 2 5 2 2 28" xfId="1951"/>
    <cellStyle name="Normal 2 5 2 2 29" xfId="1952"/>
    <cellStyle name="Normal 2 5 2 2 3" xfId="1953"/>
    <cellStyle name="Normal 2 5 2 2 30" xfId="1954"/>
    <cellStyle name="Normal 2 5 2 2 31" xfId="1955"/>
    <cellStyle name="Normal 2 5 2 2 32" xfId="1956"/>
    <cellStyle name="Normal 2 5 2 2 33" xfId="1957"/>
    <cellStyle name="Normal 2 5 2 2 34" xfId="1958"/>
    <cellStyle name="Normal 2 5 2 2 35" xfId="1959"/>
    <cellStyle name="Normal 2 5 2 2 36" xfId="1960"/>
    <cellStyle name="Normal 2 5 2 2 37" xfId="1961"/>
    <cellStyle name="Normal 2 5 2 2 38" xfId="1962"/>
    <cellStyle name="Normal 2 5 2 2 39" xfId="1963"/>
    <cellStyle name="Normal 2 5 2 2 4" xfId="1964"/>
    <cellStyle name="Normal 2 5 2 2 40" xfId="1965"/>
    <cellStyle name="Normal 2 5 2 2 41" xfId="1966"/>
    <cellStyle name="Normal 2 5 2 2 42" xfId="1967"/>
    <cellStyle name="Normal 2 5 2 2 43" xfId="1968"/>
    <cellStyle name="Normal 2 5 2 2 44" xfId="1969"/>
    <cellStyle name="Normal 2 5 2 2 45" xfId="1970"/>
    <cellStyle name="Normal 2 5 2 2 46" xfId="1971"/>
    <cellStyle name="Normal 2 5 2 2 47" xfId="1972"/>
    <cellStyle name="Normal 2 5 2 2 48" xfId="1973"/>
    <cellStyle name="Normal 2 5 2 2 49" xfId="1974"/>
    <cellStyle name="Normal 2 5 2 2 5" xfId="1975"/>
    <cellStyle name="Normal 2 5 2 2 50" xfId="1976"/>
    <cellStyle name="Normal 2 5 2 2 51" xfId="1977"/>
    <cellStyle name="Normal 2 5 2 2 52" xfId="1978"/>
    <cellStyle name="Normal 2 5 2 2 53" xfId="1979"/>
    <cellStyle name="Normal 2 5 2 2 54" xfId="1980"/>
    <cellStyle name="Normal 2 5 2 2 55" xfId="1981"/>
    <cellStyle name="Normal 2 5 2 2 6" xfId="1982"/>
    <cellStyle name="Normal 2 5 2 2 7" xfId="1983"/>
    <cellStyle name="Normal 2 5 2 2 8" xfId="1984"/>
    <cellStyle name="Normal 2 5 2 2 9" xfId="1985"/>
    <cellStyle name="Normal 2 5 2 20" xfId="1986"/>
    <cellStyle name="Normal 2 5 2 21" xfId="1987"/>
    <cellStyle name="Normal 2 5 2 22" xfId="1988"/>
    <cellStyle name="Normal 2 5 2 23" xfId="1989"/>
    <cellStyle name="Normal 2 5 2 24" xfId="1990"/>
    <cellStyle name="Normal 2 5 2 25" xfId="1991"/>
    <cellStyle name="Normal 2 5 2 26" xfId="1992"/>
    <cellStyle name="Normal 2 5 2 27" xfId="1993"/>
    <cellStyle name="Normal 2 5 2 28" xfId="1994"/>
    <cellStyle name="Normal 2 5 2 29" xfId="1995"/>
    <cellStyle name="Normal 2 5 2 3" xfId="1996"/>
    <cellStyle name="Normal 2 5 2 30" xfId="1997"/>
    <cellStyle name="Normal 2 5 2 31" xfId="1998"/>
    <cellStyle name="Normal 2 5 2 32" xfId="1999"/>
    <cellStyle name="Normal 2 5 2 33" xfId="2000"/>
    <cellStyle name="Normal 2 5 2 4" xfId="2001"/>
    <cellStyle name="Normal 2 5 2 5" xfId="2002"/>
    <cellStyle name="Normal 2 5 2 6" xfId="2003"/>
    <cellStyle name="Normal 2 5 2 7" xfId="2004"/>
    <cellStyle name="Normal 2 5 2 8" xfId="2005"/>
    <cellStyle name="Normal 2 5 2 9" xfId="2006"/>
    <cellStyle name="Normal 2 5 20" xfId="2007"/>
    <cellStyle name="Normal 2 5 21" xfId="2008"/>
    <cellStyle name="Normal 2 5 22" xfId="2009"/>
    <cellStyle name="Normal 2 5 23" xfId="2010"/>
    <cellStyle name="Normal 2 5 24" xfId="2011"/>
    <cellStyle name="Normal 2 5 25" xfId="2012"/>
    <cellStyle name="Normal 2 5 26" xfId="2013"/>
    <cellStyle name="Normal 2 5 27" xfId="2014"/>
    <cellStyle name="Normal 2 5 28" xfId="2015"/>
    <cellStyle name="Normal 2 5 29" xfId="2016"/>
    <cellStyle name="Normal 2 5 3" xfId="2017"/>
    <cellStyle name="Normal 2 5 30" xfId="2018"/>
    <cellStyle name="Normal 2 5 31" xfId="2019"/>
    <cellStyle name="Normal 2 5 32" xfId="2020"/>
    <cellStyle name="Normal 2 5 33" xfId="2021"/>
    <cellStyle name="Normal 2 5 34" xfId="2022"/>
    <cellStyle name="Normal 2 5 35" xfId="2023"/>
    <cellStyle name="Normal 2 5 36" xfId="2024"/>
    <cellStyle name="Normal 2 5 37" xfId="2025"/>
    <cellStyle name="Normal 2 5 38" xfId="2026"/>
    <cellStyle name="Normal 2 5 39" xfId="2027"/>
    <cellStyle name="Normal 2 5 4" xfId="2028"/>
    <cellStyle name="Normal 2 5 40" xfId="2029"/>
    <cellStyle name="Normal 2 5 41" xfId="2030"/>
    <cellStyle name="Normal 2 5 42" xfId="2031"/>
    <cellStyle name="Normal 2 5 43" xfId="2032"/>
    <cellStyle name="Normal 2 5 44" xfId="2033"/>
    <cellStyle name="Normal 2 5 45" xfId="2034"/>
    <cellStyle name="Normal 2 5 46" xfId="2035"/>
    <cellStyle name="Normal 2 5 47" xfId="2036"/>
    <cellStyle name="Normal 2 5 48" xfId="2037"/>
    <cellStyle name="Normal 2 5 49" xfId="2038"/>
    <cellStyle name="Normal 2 5 5" xfId="2039"/>
    <cellStyle name="Normal 2 5 50" xfId="2040"/>
    <cellStyle name="Normal 2 5 51" xfId="2041"/>
    <cellStyle name="Normal 2 5 52" xfId="2042"/>
    <cellStyle name="Normal 2 5 53" xfId="2043"/>
    <cellStyle name="Normal 2 5 54" xfId="2044"/>
    <cellStyle name="Normal 2 5 55" xfId="2045"/>
    <cellStyle name="Normal 2 5 56" xfId="2046"/>
    <cellStyle name="Normal 2 5 57" xfId="2047"/>
    <cellStyle name="Normal 2 5 58" xfId="2048"/>
    <cellStyle name="Normal 2 5 59" xfId="2049"/>
    <cellStyle name="Normal 2 5 6" xfId="2050"/>
    <cellStyle name="Normal 2 5 60" xfId="2051"/>
    <cellStyle name="Normal 2 5 61" xfId="2052"/>
    <cellStyle name="Normal 2 5 62" xfId="2053"/>
    <cellStyle name="Normal 2 5 63" xfId="2054"/>
    <cellStyle name="Normal 2 5 64" xfId="2055"/>
    <cellStyle name="Normal 2 5 65" xfId="2056"/>
    <cellStyle name="Normal 2 5 66" xfId="2057"/>
    <cellStyle name="Normal 2 5 67" xfId="2058"/>
    <cellStyle name="Normal 2 5 68" xfId="2059"/>
    <cellStyle name="Normal 2 5 69" xfId="2060"/>
    <cellStyle name="Normal 2 5 7" xfId="2061"/>
    <cellStyle name="Normal 2 5 70" xfId="2062"/>
    <cellStyle name="Normal 2 5 71" xfId="2063"/>
    <cellStyle name="Normal 2 5 72" xfId="2064"/>
    <cellStyle name="Normal 2 5 73" xfId="2065"/>
    <cellStyle name="Normal 2 5 74" xfId="2066"/>
    <cellStyle name="Normal 2 5 75" xfId="2067"/>
    <cellStyle name="Normal 2 5 76" xfId="2068"/>
    <cellStyle name="Normal 2 5 77" xfId="2069"/>
    <cellStyle name="Normal 2 5 78" xfId="2070"/>
    <cellStyle name="Normal 2 5 79" xfId="2071"/>
    <cellStyle name="Normal 2 5 8" xfId="2072"/>
    <cellStyle name="Normal 2 5 80" xfId="2073"/>
    <cellStyle name="Normal 2 5 81" xfId="2074"/>
    <cellStyle name="Normal 2 5 82" xfId="2075"/>
    <cellStyle name="Normal 2 5 83" xfId="2076"/>
    <cellStyle name="Normal 2 5 84" xfId="2077"/>
    <cellStyle name="Normal 2 5 85" xfId="2078"/>
    <cellStyle name="Normal 2 5 86" xfId="2079"/>
    <cellStyle name="Normal 2 5 87" xfId="2080"/>
    <cellStyle name="Normal 2 5 88" xfId="1909"/>
    <cellStyle name="Normal 2 5 9" xfId="2081"/>
    <cellStyle name="Normal 2 5_DEER 032008 Cost Summary Delivery - Rev 4 (2)" xfId="2082"/>
    <cellStyle name="Normal 2 50" xfId="2083"/>
    <cellStyle name="Normal 2 51" xfId="2084"/>
    <cellStyle name="Normal 2 52" xfId="2085"/>
    <cellStyle name="Normal 2 53" xfId="2086"/>
    <cellStyle name="Normal 2 54" xfId="2087"/>
    <cellStyle name="Normal 2 55" xfId="2088"/>
    <cellStyle name="Normal 2 56" xfId="2089"/>
    <cellStyle name="Normal 2 57" xfId="2090"/>
    <cellStyle name="Normal 2 58" xfId="2091"/>
    <cellStyle name="Normal 2 59" xfId="2092"/>
    <cellStyle name="Normal 2 6" xfId="597"/>
    <cellStyle name="Normal 2 60" xfId="2093"/>
    <cellStyle name="Normal 2 61" xfId="2094"/>
    <cellStyle name="Normal 2 62" xfId="2095"/>
    <cellStyle name="Normal 2 63" xfId="2096"/>
    <cellStyle name="Normal 2 64" xfId="2097"/>
    <cellStyle name="Normal 2 65" xfId="2098"/>
    <cellStyle name="Normal 2 66" xfId="2099"/>
    <cellStyle name="Normal 2 67" xfId="2100"/>
    <cellStyle name="Normal 2 68" xfId="2101"/>
    <cellStyle name="Normal 2 69" xfId="2102"/>
    <cellStyle name="Normal 2 7" xfId="598"/>
    <cellStyle name="Normal 2 7 2" xfId="2103"/>
    <cellStyle name="Normal 2 70" xfId="2104"/>
    <cellStyle name="Normal 2 71" xfId="2105"/>
    <cellStyle name="Normal 2 72" xfId="2106"/>
    <cellStyle name="Normal 2 73" xfId="2107"/>
    <cellStyle name="Normal 2 74" xfId="2108"/>
    <cellStyle name="Normal 2 75" xfId="2109"/>
    <cellStyle name="Normal 2 76" xfId="2110"/>
    <cellStyle name="Normal 2 77" xfId="2111"/>
    <cellStyle name="Normal 2 78" xfId="2112"/>
    <cellStyle name="Normal 2 79" xfId="2113"/>
    <cellStyle name="Normal 2 8" xfId="599"/>
    <cellStyle name="Normal 2 8 10" xfId="2115"/>
    <cellStyle name="Normal 2 8 11" xfId="2116"/>
    <cellStyle name="Normal 2 8 12" xfId="2117"/>
    <cellStyle name="Normal 2 8 13" xfId="2118"/>
    <cellStyle name="Normal 2 8 14" xfId="2119"/>
    <cellStyle name="Normal 2 8 15" xfId="2120"/>
    <cellStyle name="Normal 2 8 16" xfId="2121"/>
    <cellStyle name="Normal 2 8 17" xfId="2122"/>
    <cellStyle name="Normal 2 8 18" xfId="2123"/>
    <cellStyle name="Normal 2 8 19" xfId="2124"/>
    <cellStyle name="Normal 2 8 2" xfId="2125"/>
    <cellStyle name="Normal 2 8 20" xfId="2126"/>
    <cellStyle name="Normal 2 8 21" xfId="2127"/>
    <cellStyle name="Normal 2 8 22" xfId="2128"/>
    <cellStyle name="Normal 2 8 23" xfId="2129"/>
    <cellStyle name="Normal 2 8 24" xfId="2114"/>
    <cellStyle name="Normal 2 8 3" xfId="2130"/>
    <cellStyle name="Normal 2 8 4" xfId="2131"/>
    <cellStyle name="Normal 2 8 5" xfId="2132"/>
    <cellStyle name="Normal 2 8 6" xfId="2133"/>
    <cellStyle name="Normal 2 8 7" xfId="2134"/>
    <cellStyle name="Normal 2 8 8" xfId="2135"/>
    <cellStyle name="Normal 2 8 9" xfId="2136"/>
    <cellStyle name="Normal 2 80" xfId="2137"/>
    <cellStyle name="Normal 2 81" xfId="2138"/>
    <cellStyle name="Normal 2 82" xfId="2139"/>
    <cellStyle name="Normal 2 83" xfId="2140"/>
    <cellStyle name="Normal 2 84" xfId="2141"/>
    <cellStyle name="Normal 2 85" xfId="2142"/>
    <cellStyle name="Normal 2 86" xfId="2143"/>
    <cellStyle name="Normal 2 87" xfId="2144"/>
    <cellStyle name="Normal 2 88" xfId="2145"/>
    <cellStyle name="Normal 2 89" xfId="2146"/>
    <cellStyle name="Normal 2 9" xfId="2147"/>
    <cellStyle name="Normal 2 9 10" xfId="2148"/>
    <cellStyle name="Normal 2 9 11" xfId="2149"/>
    <cellStyle name="Normal 2 9 12" xfId="2150"/>
    <cellStyle name="Normal 2 9 13" xfId="2151"/>
    <cellStyle name="Normal 2 9 14" xfId="2152"/>
    <cellStyle name="Normal 2 9 15" xfId="2153"/>
    <cellStyle name="Normal 2 9 16" xfId="2154"/>
    <cellStyle name="Normal 2 9 17" xfId="2155"/>
    <cellStyle name="Normal 2 9 18" xfId="2156"/>
    <cellStyle name="Normal 2 9 19" xfId="2157"/>
    <cellStyle name="Normal 2 9 2" xfId="2158"/>
    <cellStyle name="Normal 2 9 20" xfId="2159"/>
    <cellStyle name="Normal 2 9 21" xfId="2160"/>
    <cellStyle name="Normal 2 9 22" xfId="2161"/>
    <cellStyle name="Normal 2 9 23" xfId="2162"/>
    <cellStyle name="Normal 2 9 3" xfId="2163"/>
    <cellStyle name="Normal 2 9 4" xfId="2164"/>
    <cellStyle name="Normal 2 9 5" xfId="2165"/>
    <cellStyle name="Normal 2 9 6" xfId="2166"/>
    <cellStyle name="Normal 2 9 7" xfId="2167"/>
    <cellStyle name="Normal 2 9 8" xfId="2168"/>
    <cellStyle name="Normal 2 9 9" xfId="2169"/>
    <cellStyle name="Normal 2 90" xfId="2170"/>
    <cellStyle name="Normal 2 91" xfId="2171"/>
    <cellStyle name="Normal 2 92" xfId="2172"/>
    <cellStyle name="Normal 2 93" xfId="2173"/>
    <cellStyle name="Normal 2 94" xfId="2174"/>
    <cellStyle name="Normal 2 95" xfId="2175"/>
    <cellStyle name="Normal 2 96" xfId="2176"/>
    <cellStyle name="Normal 2 96 2" xfId="2177"/>
    <cellStyle name="Normal 2 97" xfId="2178"/>
    <cellStyle name="Normal 2 97 2" xfId="2179"/>
    <cellStyle name="Normal 2 98" xfId="2180"/>
    <cellStyle name="Normal 2 98 2" xfId="2181"/>
    <cellStyle name="Normal 2 99" xfId="1205"/>
    <cellStyle name="Normal 2_2012 AR ELEC BCR Eval Eval - 012913" xfId="113"/>
    <cellStyle name="Normal 20" xfId="18920"/>
    <cellStyle name="Normal 24" xfId="2182"/>
    <cellStyle name="Normal 25" xfId="2183"/>
    <cellStyle name="Normal 3" xfId="114"/>
    <cellStyle name="Normal 3 10" xfId="2184"/>
    <cellStyle name="Normal 3 10 10" xfId="2185"/>
    <cellStyle name="Normal 3 10 11" xfId="2186"/>
    <cellStyle name="Normal 3 10 12" xfId="2187"/>
    <cellStyle name="Normal 3 10 13" xfId="2188"/>
    <cellStyle name="Normal 3 10 14" xfId="2189"/>
    <cellStyle name="Normal 3 10 15" xfId="2190"/>
    <cellStyle name="Normal 3 10 16" xfId="2191"/>
    <cellStyle name="Normal 3 10 17" xfId="2192"/>
    <cellStyle name="Normal 3 10 18" xfId="2193"/>
    <cellStyle name="Normal 3 10 19" xfId="2194"/>
    <cellStyle name="Normal 3 10 2" xfId="2195"/>
    <cellStyle name="Normal 3 10 20" xfId="2196"/>
    <cellStyle name="Normal 3 10 21" xfId="2197"/>
    <cellStyle name="Normal 3 10 22" xfId="2198"/>
    <cellStyle name="Normal 3 10 23" xfId="2199"/>
    <cellStyle name="Normal 3 10 3" xfId="2200"/>
    <cellStyle name="Normal 3 10 4" xfId="2201"/>
    <cellStyle name="Normal 3 10 5" xfId="2202"/>
    <cellStyle name="Normal 3 10 6" xfId="2203"/>
    <cellStyle name="Normal 3 10 7" xfId="2204"/>
    <cellStyle name="Normal 3 10 8" xfId="2205"/>
    <cellStyle name="Normal 3 10 9" xfId="2206"/>
    <cellStyle name="Normal 3 11" xfId="2207"/>
    <cellStyle name="Normal 3 11 10" xfId="2208"/>
    <cellStyle name="Normal 3 11 11" xfId="2209"/>
    <cellStyle name="Normal 3 11 12" xfId="2210"/>
    <cellStyle name="Normal 3 11 13" xfId="2211"/>
    <cellStyle name="Normal 3 11 14" xfId="2212"/>
    <cellStyle name="Normal 3 11 15" xfId="2213"/>
    <cellStyle name="Normal 3 11 16" xfId="2214"/>
    <cellStyle name="Normal 3 11 17" xfId="2215"/>
    <cellStyle name="Normal 3 11 18" xfId="2216"/>
    <cellStyle name="Normal 3 11 19" xfId="2217"/>
    <cellStyle name="Normal 3 11 2" xfId="2218"/>
    <cellStyle name="Normal 3 11 20" xfId="2219"/>
    <cellStyle name="Normal 3 11 21" xfId="2220"/>
    <cellStyle name="Normal 3 11 22" xfId="2221"/>
    <cellStyle name="Normal 3 11 23" xfId="2222"/>
    <cellStyle name="Normal 3 11 3" xfId="2223"/>
    <cellStyle name="Normal 3 11 4" xfId="2224"/>
    <cellStyle name="Normal 3 11 5" xfId="2225"/>
    <cellStyle name="Normal 3 11 6" xfId="2226"/>
    <cellStyle name="Normal 3 11 7" xfId="2227"/>
    <cellStyle name="Normal 3 11 8" xfId="2228"/>
    <cellStyle name="Normal 3 11 9" xfId="2229"/>
    <cellStyle name="Normal 3 12" xfId="2230"/>
    <cellStyle name="Normal 3 12 10" xfId="2231"/>
    <cellStyle name="Normal 3 12 11" xfId="2232"/>
    <cellStyle name="Normal 3 12 12" xfId="2233"/>
    <cellStyle name="Normal 3 12 13" xfId="2234"/>
    <cellStyle name="Normal 3 12 14" xfId="2235"/>
    <cellStyle name="Normal 3 12 15" xfId="2236"/>
    <cellStyle name="Normal 3 12 16" xfId="2237"/>
    <cellStyle name="Normal 3 12 17" xfId="2238"/>
    <cellStyle name="Normal 3 12 18" xfId="2239"/>
    <cellStyle name="Normal 3 12 19" xfId="2240"/>
    <cellStyle name="Normal 3 12 2" xfId="2241"/>
    <cellStyle name="Normal 3 12 20" xfId="2242"/>
    <cellStyle name="Normal 3 12 21" xfId="2243"/>
    <cellStyle name="Normal 3 12 22" xfId="2244"/>
    <cellStyle name="Normal 3 12 23" xfId="2245"/>
    <cellStyle name="Normal 3 12 3" xfId="2246"/>
    <cellStyle name="Normal 3 12 4" xfId="2247"/>
    <cellStyle name="Normal 3 12 5" xfId="2248"/>
    <cellStyle name="Normal 3 12 6" xfId="2249"/>
    <cellStyle name="Normal 3 12 7" xfId="2250"/>
    <cellStyle name="Normal 3 12 8" xfId="2251"/>
    <cellStyle name="Normal 3 12 9" xfId="2252"/>
    <cellStyle name="Normal 3 13" xfId="2253"/>
    <cellStyle name="Normal 3 13 10" xfId="2254"/>
    <cellStyle name="Normal 3 13 11" xfId="2255"/>
    <cellStyle name="Normal 3 13 12" xfId="2256"/>
    <cellStyle name="Normal 3 13 13" xfId="2257"/>
    <cellStyle name="Normal 3 13 14" xfId="2258"/>
    <cellStyle name="Normal 3 13 15" xfId="2259"/>
    <cellStyle name="Normal 3 13 16" xfId="2260"/>
    <cellStyle name="Normal 3 13 17" xfId="2261"/>
    <cellStyle name="Normal 3 13 18" xfId="2262"/>
    <cellStyle name="Normal 3 13 19" xfId="2263"/>
    <cellStyle name="Normal 3 13 2" xfId="2264"/>
    <cellStyle name="Normal 3 13 20" xfId="2265"/>
    <cellStyle name="Normal 3 13 21" xfId="2266"/>
    <cellStyle name="Normal 3 13 22" xfId="2267"/>
    <cellStyle name="Normal 3 13 23" xfId="2268"/>
    <cellStyle name="Normal 3 13 3" xfId="2269"/>
    <cellStyle name="Normal 3 13 4" xfId="2270"/>
    <cellStyle name="Normal 3 13 5" xfId="2271"/>
    <cellStyle name="Normal 3 13 6" xfId="2272"/>
    <cellStyle name="Normal 3 13 7" xfId="2273"/>
    <cellStyle name="Normal 3 13 8" xfId="2274"/>
    <cellStyle name="Normal 3 13 9" xfId="2275"/>
    <cellStyle name="Normal 3 14" xfId="2276"/>
    <cellStyle name="Normal 3 14 10" xfId="2277"/>
    <cellStyle name="Normal 3 14 11" xfId="2278"/>
    <cellStyle name="Normal 3 14 12" xfId="2279"/>
    <cellStyle name="Normal 3 14 13" xfId="2280"/>
    <cellStyle name="Normal 3 14 14" xfId="2281"/>
    <cellStyle name="Normal 3 14 15" xfId="2282"/>
    <cellStyle name="Normal 3 14 16" xfId="2283"/>
    <cellStyle name="Normal 3 14 17" xfId="2284"/>
    <cellStyle name="Normal 3 14 18" xfId="2285"/>
    <cellStyle name="Normal 3 14 19" xfId="2286"/>
    <cellStyle name="Normal 3 14 2" xfId="2287"/>
    <cellStyle name="Normal 3 14 20" xfId="2288"/>
    <cellStyle name="Normal 3 14 21" xfId="2289"/>
    <cellStyle name="Normal 3 14 22" xfId="2290"/>
    <cellStyle name="Normal 3 14 23" xfId="2291"/>
    <cellStyle name="Normal 3 14 3" xfId="2292"/>
    <cellStyle name="Normal 3 14 4" xfId="2293"/>
    <cellStyle name="Normal 3 14 5" xfId="2294"/>
    <cellStyle name="Normal 3 14 6" xfId="2295"/>
    <cellStyle name="Normal 3 14 7" xfId="2296"/>
    <cellStyle name="Normal 3 14 8" xfId="2297"/>
    <cellStyle name="Normal 3 14 9" xfId="2298"/>
    <cellStyle name="Normal 3 15" xfId="2299"/>
    <cellStyle name="Normal 3 15 10" xfId="2300"/>
    <cellStyle name="Normal 3 15 11" xfId="2301"/>
    <cellStyle name="Normal 3 15 12" xfId="2302"/>
    <cellStyle name="Normal 3 15 13" xfId="2303"/>
    <cellStyle name="Normal 3 15 14" xfId="2304"/>
    <cellStyle name="Normal 3 15 15" xfId="2305"/>
    <cellStyle name="Normal 3 15 16" xfId="2306"/>
    <cellStyle name="Normal 3 15 17" xfId="2307"/>
    <cellStyle name="Normal 3 15 18" xfId="2308"/>
    <cellStyle name="Normal 3 15 19" xfId="2309"/>
    <cellStyle name="Normal 3 15 2" xfId="2310"/>
    <cellStyle name="Normal 3 15 20" xfId="2311"/>
    <cellStyle name="Normal 3 15 21" xfId="2312"/>
    <cellStyle name="Normal 3 15 22" xfId="2313"/>
    <cellStyle name="Normal 3 15 23" xfId="2314"/>
    <cellStyle name="Normal 3 15 3" xfId="2315"/>
    <cellStyle name="Normal 3 15 4" xfId="2316"/>
    <cellStyle name="Normal 3 15 5" xfId="2317"/>
    <cellStyle name="Normal 3 15 6" xfId="2318"/>
    <cellStyle name="Normal 3 15 7" xfId="2319"/>
    <cellStyle name="Normal 3 15 8" xfId="2320"/>
    <cellStyle name="Normal 3 15 9" xfId="2321"/>
    <cellStyle name="Normal 3 16" xfId="2322"/>
    <cellStyle name="Normal 3 16 10" xfId="2323"/>
    <cellStyle name="Normal 3 16 11" xfId="2324"/>
    <cellStyle name="Normal 3 16 12" xfId="2325"/>
    <cellStyle name="Normal 3 16 13" xfId="2326"/>
    <cellStyle name="Normal 3 16 14" xfId="2327"/>
    <cellStyle name="Normal 3 16 15" xfId="2328"/>
    <cellStyle name="Normal 3 16 16" xfId="2329"/>
    <cellStyle name="Normal 3 16 17" xfId="2330"/>
    <cellStyle name="Normal 3 16 18" xfId="2331"/>
    <cellStyle name="Normal 3 16 19" xfId="2332"/>
    <cellStyle name="Normal 3 16 2" xfId="2333"/>
    <cellStyle name="Normal 3 16 20" xfId="2334"/>
    <cellStyle name="Normal 3 16 21" xfId="2335"/>
    <cellStyle name="Normal 3 16 22" xfId="2336"/>
    <cellStyle name="Normal 3 16 23" xfId="2337"/>
    <cellStyle name="Normal 3 16 3" xfId="2338"/>
    <cellStyle name="Normal 3 16 4" xfId="2339"/>
    <cellStyle name="Normal 3 16 5" xfId="2340"/>
    <cellStyle name="Normal 3 16 6" xfId="2341"/>
    <cellStyle name="Normal 3 16 7" xfId="2342"/>
    <cellStyle name="Normal 3 16 8" xfId="2343"/>
    <cellStyle name="Normal 3 16 9" xfId="2344"/>
    <cellStyle name="Normal 3 17" xfId="2345"/>
    <cellStyle name="Normal 3 17 10" xfId="2346"/>
    <cellStyle name="Normal 3 17 11" xfId="2347"/>
    <cellStyle name="Normal 3 17 12" xfId="2348"/>
    <cellStyle name="Normal 3 17 13" xfId="2349"/>
    <cellStyle name="Normal 3 17 14" xfId="2350"/>
    <cellStyle name="Normal 3 17 15" xfId="2351"/>
    <cellStyle name="Normal 3 17 16" xfId="2352"/>
    <cellStyle name="Normal 3 17 17" xfId="2353"/>
    <cellStyle name="Normal 3 17 18" xfId="2354"/>
    <cellStyle name="Normal 3 17 19" xfId="2355"/>
    <cellStyle name="Normal 3 17 2" xfId="2356"/>
    <cellStyle name="Normal 3 17 20" xfId="2357"/>
    <cellStyle name="Normal 3 17 21" xfId="2358"/>
    <cellStyle name="Normal 3 17 22" xfId="2359"/>
    <cellStyle name="Normal 3 17 23" xfId="2360"/>
    <cellStyle name="Normal 3 17 3" xfId="2361"/>
    <cellStyle name="Normal 3 17 4" xfId="2362"/>
    <cellStyle name="Normal 3 17 5" xfId="2363"/>
    <cellStyle name="Normal 3 17 6" xfId="2364"/>
    <cellStyle name="Normal 3 17 7" xfId="2365"/>
    <cellStyle name="Normal 3 17 8" xfId="2366"/>
    <cellStyle name="Normal 3 17 9" xfId="2367"/>
    <cellStyle name="Normal 3 18" xfId="2368"/>
    <cellStyle name="Normal 3 18 10" xfId="2369"/>
    <cellStyle name="Normal 3 18 11" xfId="2370"/>
    <cellStyle name="Normal 3 18 12" xfId="2371"/>
    <cellStyle name="Normal 3 18 13" xfId="2372"/>
    <cellStyle name="Normal 3 18 14" xfId="2373"/>
    <cellStyle name="Normal 3 18 15" xfId="2374"/>
    <cellStyle name="Normal 3 18 16" xfId="2375"/>
    <cellStyle name="Normal 3 18 17" xfId="2376"/>
    <cellStyle name="Normal 3 18 18" xfId="2377"/>
    <cellStyle name="Normal 3 18 19" xfId="2378"/>
    <cellStyle name="Normal 3 18 2" xfId="2379"/>
    <cellStyle name="Normal 3 18 20" xfId="2380"/>
    <cellStyle name="Normal 3 18 21" xfId="2381"/>
    <cellStyle name="Normal 3 18 22" xfId="2382"/>
    <cellStyle name="Normal 3 18 23" xfId="2383"/>
    <cellStyle name="Normal 3 18 3" xfId="2384"/>
    <cellStyle name="Normal 3 18 4" xfId="2385"/>
    <cellStyle name="Normal 3 18 5" xfId="2386"/>
    <cellStyle name="Normal 3 18 6" xfId="2387"/>
    <cellStyle name="Normal 3 18 7" xfId="2388"/>
    <cellStyle name="Normal 3 18 8" xfId="2389"/>
    <cellStyle name="Normal 3 18 9" xfId="2390"/>
    <cellStyle name="Normal 3 19" xfId="2391"/>
    <cellStyle name="Normal 3 19 10" xfId="2392"/>
    <cellStyle name="Normal 3 19 11" xfId="2393"/>
    <cellStyle name="Normal 3 19 12" xfId="2394"/>
    <cellStyle name="Normal 3 19 13" xfId="2395"/>
    <cellStyle name="Normal 3 19 14" xfId="2396"/>
    <cellStyle name="Normal 3 19 15" xfId="2397"/>
    <cellStyle name="Normal 3 19 16" xfId="2398"/>
    <cellStyle name="Normal 3 19 17" xfId="2399"/>
    <cellStyle name="Normal 3 19 18" xfId="2400"/>
    <cellStyle name="Normal 3 19 19" xfId="2401"/>
    <cellStyle name="Normal 3 19 2" xfId="2402"/>
    <cellStyle name="Normal 3 19 20" xfId="2403"/>
    <cellStyle name="Normal 3 19 21" xfId="2404"/>
    <cellStyle name="Normal 3 19 22" xfId="2405"/>
    <cellStyle name="Normal 3 19 23" xfId="2406"/>
    <cellStyle name="Normal 3 19 3" xfId="2407"/>
    <cellStyle name="Normal 3 19 4" xfId="2408"/>
    <cellStyle name="Normal 3 19 5" xfId="2409"/>
    <cellStyle name="Normal 3 19 6" xfId="2410"/>
    <cellStyle name="Normal 3 19 7" xfId="2411"/>
    <cellStyle name="Normal 3 19 8" xfId="2412"/>
    <cellStyle name="Normal 3 19 9" xfId="2413"/>
    <cellStyle name="Normal 3 2" xfId="115"/>
    <cellStyle name="Normal 3 2 10" xfId="2414"/>
    <cellStyle name="Normal 3 2 11" xfId="2415"/>
    <cellStyle name="Normal 3 2 12" xfId="2416"/>
    <cellStyle name="Normal 3 2 13" xfId="2417"/>
    <cellStyle name="Normal 3 2 14" xfId="2418"/>
    <cellStyle name="Normal 3 2 15" xfId="2419"/>
    <cellStyle name="Normal 3 2 16" xfId="2420"/>
    <cellStyle name="Normal 3 2 17" xfId="2421"/>
    <cellStyle name="Normal 3 2 18" xfId="2422"/>
    <cellStyle name="Normal 3 2 19" xfId="2423"/>
    <cellStyle name="Normal 3 2 2" xfId="116"/>
    <cellStyle name="Normal 3 2 2 10" xfId="2424"/>
    <cellStyle name="Normal 3 2 2 11" xfId="2425"/>
    <cellStyle name="Normal 3 2 2 12" xfId="2426"/>
    <cellStyle name="Normal 3 2 2 13" xfId="2427"/>
    <cellStyle name="Normal 3 2 2 14" xfId="2428"/>
    <cellStyle name="Normal 3 2 2 15" xfId="2429"/>
    <cellStyle name="Normal 3 2 2 16" xfId="2430"/>
    <cellStyle name="Normal 3 2 2 17" xfId="2431"/>
    <cellStyle name="Normal 3 2 2 18" xfId="2432"/>
    <cellStyle name="Normal 3 2 2 19" xfId="2433"/>
    <cellStyle name="Normal 3 2 2 2" xfId="2434"/>
    <cellStyle name="Normal 3 2 2 20" xfId="2435"/>
    <cellStyle name="Normal 3 2 2 21" xfId="2436"/>
    <cellStyle name="Normal 3 2 2 22" xfId="2437"/>
    <cellStyle name="Normal 3 2 2 23" xfId="2438"/>
    <cellStyle name="Normal 3 2 2 24" xfId="2439"/>
    <cellStyle name="Normal 3 2 2 25" xfId="2440"/>
    <cellStyle name="Normal 3 2 2 26" xfId="2441"/>
    <cellStyle name="Normal 3 2 2 27" xfId="2442"/>
    <cellStyle name="Normal 3 2 2 28" xfId="2443"/>
    <cellStyle name="Normal 3 2 2 29" xfId="2444"/>
    <cellStyle name="Normal 3 2 2 3" xfId="2445"/>
    <cellStyle name="Normal 3 2 2 30" xfId="2446"/>
    <cellStyle name="Normal 3 2 2 31" xfId="2447"/>
    <cellStyle name="Normal 3 2 2 32" xfId="2448"/>
    <cellStyle name="Normal 3 2 2 33" xfId="2449"/>
    <cellStyle name="Normal 3 2 2 4" xfId="2450"/>
    <cellStyle name="Normal 3 2 2 5" xfId="2451"/>
    <cellStyle name="Normal 3 2 2 6" xfId="2452"/>
    <cellStyle name="Normal 3 2 2 7" xfId="2453"/>
    <cellStyle name="Normal 3 2 2 8" xfId="2454"/>
    <cellStyle name="Normal 3 2 2 9" xfId="2455"/>
    <cellStyle name="Normal 3 2 2_2014 - Res" xfId="2456"/>
    <cellStyle name="Normal 3 2 20" xfId="2457"/>
    <cellStyle name="Normal 3 2 21" xfId="2458"/>
    <cellStyle name="Normal 3 2 22" xfId="2459"/>
    <cellStyle name="Normal 3 2 23" xfId="2460"/>
    <cellStyle name="Normal 3 2 24" xfId="2461"/>
    <cellStyle name="Normal 3 2 25" xfId="2462"/>
    <cellStyle name="Normal 3 2 26" xfId="2463"/>
    <cellStyle name="Normal 3 2 27" xfId="2464"/>
    <cellStyle name="Normal 3 2 28" xfId="2465"/>
    <cellStyle name="Normal 3 2 29" xfId="2466"/>
    <cellStyle name="Normal 3 2 3" xfId="2467"/>
    <cellStyle name="Normal 3 2 30" xfId="2468"/>
    <cellStyle name="Normal 3 2 31" xfId="2469"/>
    <cellStyle name="Normal 3 2 32" xfId="2470"/>
    <cellStyle name="Normal 3 2 33" xfId="2471"/>
    <cellStyle name="Normal 3 2 34" xfId="2472"/>
    <cellStyle name="Normal 3 2 35" xfId="2473"/>
    <cellStyle name="Normal 3 2 36" xfId="2474"/>
    <cellStyle name="Normal 3 2 37" xfId="2475"/>
    <cellStyle name="Normal 3 2 38" xfId="2476"/>
    <cellStyle name="Normal 3 2 39" xfId="2477"/>
    <cellStyle name="Normal 3 2 4" xfId="2478"/>
    <cellStyle name="Normal 3 2 40" xfId="2479"/>
    <cellStyle name="Normal 3 2 41" xfId="2480"/>
    <cellStyle name="Normal 3 2 42" xfId="2481"/>
    <cellStyle name="Normal 3 2 43" xfId="2482"/>
    <cellStyle name="Normal 3 2 44" xfId="2483"/>
    <cellStyle name="Normal 3 2 45" xfId="2484"/>
    <cellStyle name="Normal 3 2 46" xfId="2485"/>
    <cellStyle name="Normal 3 2 47" xfId="2486"/>
    <cellStyle name="Normal 3 2 48" xfId="2487"/>
    <cellStyle name="Normal 3 2 49" xfId="2488"/>
    <cellStyle name="Normal 3 2 5" xfId="2489"/>
    <cellStyle name="Normal 3 2 50" xfId="2490"/>
    <cellStyle name="Normal 3 2 51" xfId="2491"/>
    <cellStyle name="Normal 3 2 52" xfId="2492"/>
    <cellStyle name="Normal 3 2 53" xfId="2493"/>
    <cellStyle name="Normal 3 2 54" xfId="2494"/>
    <cellStyle name="Normal 3 2 55" xfId="2495"/>
    <cellStyle name="Normal 3 2 6" xfId="2496"/>
    <cellStyle name="Normal 3 2 7" xfId="2497"/>
    <cellStyle name="Normal 3 2 8" xfId="2498"/>
    <cellStyle name="Normal 3 2 9" xfId="2499"/>
    <cellStyle name="Normal 3 2_2014 - Res" xfId="2500"/>
    <cellStyle name="Normal 3 20" xfId="2501"/>
    <cellStyle name="Normal 3 20 10" xfId="2502"/>
    <cellStyle name="Normal 3 20 11" xfId="2503"/>
    <cellStyle name="Normal 3 20 12" xfId="2504"/>
    <cellStyle name="Normal 3 20 13" xfId="2505"/>
    <cellStyle name="Normal 3 20 14" xfId="2506"/>
    <cellStyle name="Normal 3 20 15" xfId="2507"/>
    <cellStyle name="Normal 3 20 16" xfId="2508"/>
    <cellStyle name="Normal 3 20 17" xfId="2509"/>
    <cellStyle name="Normal 3 20 18" xfId="2510"/>
    <cellStyle name="Normal 3 20 19" xfId="2511"/>
    <cellStyle name="Normal 3 20 2" xfId="2512"/>
    <cellStyle name="Normal 3 20 20" xfId="2513"/>
    <cellStyle name="Normal 3 20 21" xfId="2514"/>
    <cellStyle name="Normal 3 20 22" xfId="2515"/>
    <cellStyle name="Normal 3 20 23" xfId="2516"/>
    <cellStyle name="Normal 3 20 3" xfId="2517"/>
    <cellStyle name="Normal 3 20 4" xfId="2518"/>
    <cellStyle name="Normal 3 20 5" xfId="2519"/>
    <cellStyle name="Normal 3 20 6" xfId="2520"/>
    <cellStyle name="Normal 3 20 7" xfId="2521"/>
    <cellStyle name="Normal 3 20 8" xfId="2522"/>
    <cellStyle name="Normal 3 20 9" xfId="2523"/>
    <cellStyle name="Normal 3 21" xfId="2524"/>
    <cellStyle name="Normal 3 21 10" xfId="2525"/>
    <cellStyle name="Normal 3 21 11" xfId="2526"/>
    <cellStyle name="Normal 3 21 12" xfId="2527"/>
    <cellStyle name="Normal 3 21 13" xfId="2528"/>
    <cellStyle name="Normal 3 21 14" xfId="2529"/>
    <cellStyle name="Normal 3 21 15" xfId="2530"/>
    <cellStyle name="Normal 3 21 16" xfId="2531"/>
    <cellStyle name="Normal 3 21 17" xfId="2532"/>
    <cellStyle name="Normal 3 21 18" xfId="2533"/>
    <cellStyle name="Normal 3 21 19" xfId="2534"/>
    <cellStyle name="Normal 3 21 2" xfId="2535"/>
    <cellStyle name="Normal 3 21 20" xfId="2536"/>
    <cellStyle name="Normal 3 21 21" xfId="2537"/>
    <cellStyle name="Normal 3 21 22" xfId="2538"/>
    <cellStyle name="Normal 3 21 23" xfId="2539"/>
    <cellStyle name="Normal 3 21 3" xfId="2540"/>
    <cellStyle name="Normal 3 21 4" xfId="2541"/>
    <cellStyle name="Normal 3 21 5" xfId="2542"/>
    <cellStyle name="Normal 3 21 6" xfId="2543"/>
    <cellStyle name="Normal 3 21 7" xfId="2544"/>
    <cellStyle name="Normal 3 21 8" xfId="2545"/>
    <cellStyle name="Normal 3 21 9" xfId="2546"/>
    <cellStyle name="Normal 3 22" xfId="2547"/>
    <cellStyle name="Normal 3 22 10" xfId="2548"/>
    <cellStyle name="Normal 3 22 11" xfId="2549"/>
    <cellStyle name="Normal 3 22 12" xfId="2550"/>
    <cellStyle name="Normal 3 22 13" xfId="2551"/>
    <cellStyle name="Normal 3 22 14" xfId="2552"/>
    <cellStyle name="Normal 3 22 15" xfId="2553"/>
    <cellStyle name="Normal 3 22 16" xfId="2554"/>
    <cellStyle name="Normal 3 22 17" xfId="2555"/>
    <cellStyle name="Normal 3 22 18" xfId="2556"/>
    <cellStyle name="Normal 3 22 19" xfId="2557"/>
    <cellStyle name="Normal 3 22 2" xfId="2558"/>
    <cellStyle name="Normal 3 22 20" xfId="2559"/>
    <cellStyle name="Normal 3 22 21" xfId="2560"/>
    <cellStyle name="Normal 3 22 22" xfId="2561"/>
    <cellStyle name="Normal 3 22 23" xfId="2562"/>
    <cellStyle name="Normal 3 22 3" xfId="2563"/>
    <cellStyle name="Normal 3 22 4" xfId="2564"/>
    <cellStyle name="Normal 3 22 5" xfId="2565"/>
    <cellStyle name="Normal 3 22 6" xfId="2566"/>
    <cellStyle name="Normal 3 22 7" xfId="2567"/>
    <cellStyle name="Normal 3 22 8" xfId="2568"/>
    <cellStyle name="Normal 3 22 9" xfId="2569"/>
    <cellStyle name="Normal 3 23" xfId="2570"/>
    <cellStyle name="Normal 3 23 10" xfId="2571"/>
    <cellStyle name="Normal 3 23 11" xfId="2572"/>
    <cellStyle name="Normal 3 23 12" xfId="2573"/>
    <cellStyle name="Normal 3 23 13" xfId="2574"/>
    <cellStyle name="Normal 3 23 14" xfId="2575"/>
    <cellStyle name="Normal 3 23 15" xfId="2576"/>
    <cellStyle name="Normal 3 23 16" xfId="2577"/>
    <cellStyle name="Normal 3 23 17" xfId="2578"/>
    <cellStyle name="Normal 3 23 18" xfId="2579"/>
    <cellStyle name="Normal 3 23 19" xfId="2580"/>
    <cellStyle name="Normal 3 23 2" xfId="2581"/>
    <cellStyle name="Normal 3 23 20" xfId="2582"/>
    <cellStyle name="Normal 3 23 21" xfId="2583"/>
    <cellStyle name="Normal 3 23 22" xfId="2584"/>
    <cellStyle name="Normal 3 23 23" xfId="2585"/>
    <cellStyle name="Normal 3 23 3" xfId="2586"/>
    <cellStyle name="Normal 3 23 4" xfId="2587"/>
    <cellStyle name="Normal 3 23 5" xfId="2588"/>
    <cellStyle name="Normal 3 23 6" xfId="2589"/>
    <cellStyle name="Normal 3 23 7" xfId="2590"/>
    <cellStyle name="Normal 3 23 8" xfId="2591"/>
    <cellStyle name="Normal 3 23 9" xfId="2592"/>
    <cellStyle name="Normal 3 24" xfId="2593"/>
    <cellStyle name="Normal 3 24 10" xfId="2594"/>
    <cellStyle name="Normal 3 24 11" xfId="2595"/>
    <cellStyle name="Normal 3 24 12" xfId="2596"/>
    <cellStyle name="Normal 3 24 13" xfId="2597"/>
    <cellStyle name="Normal 3 24 14" xfId="2598"/>
    <cellStyle name="Normal 3 24 15" xfId="2599"/>
    <cellStyle name="Normal 3 24 16" xfId="2600"/>
    <cellStyle name="Normal 3 24 17" xfId="2601"/>
    <cellStyle name="Normal 3 24 18" xfId="2602"/>
    <cellStyle name="Normal 3 24 19" xfId="2603"/>
    <cellStyle name="Normal 3 24 2" xfId="2604"/>
    <cellStyle name="Normal 3 24 20" xfId="2605"/>
    <cellStyle name="Normal 3 24 21" xfId="2606"/>
    <cellStyle name="Normal 3 24 22" xfId="2607"/>
    <cellStyle name="Normal 3 24 23" xfId="2608"/>
    <cellStyle name="Normal 3 24 3" xfId="2609"/>
    <cellStyle name="Normal 3 24 4" xfId="2610"/>
    <cellStyle name="Normal 3 24 5" xfId="2611"/>
    <cellStyle name="Normal 3 24 6" xfId="2612"/>
    <cellStyle name="Normal 3 24 7" xfId="2613"/>
    <cellStyle name="Normal 3 24 8" xfId="2614"/>
    <cellStyle name="Normal 3 24 9" xfId="2615"/>
    <cellStyle name="Normal 3 25" xfId="2616"/>
    <cellStyle name="Normal 3 25 10" xfId="2617"/>
    <cellStyle name="Normal 3 25 11" xfId="2618"/>
    <cellStyle name="Normal 3 25 12" xfId="2619"/>
    <cellStyle name="Normal 3 25 13" xfId="2620"/>
    <cellStyle name="Normal 3 25 14" xfId="2621"/>
    <cellStyle name="Normal 3 25 15" xfId="2622"/>
    <cellStyle name="Normal 3 25 16" xfId="2623"/>
    <cellStyle name="Normal 3 25 17" xfId="2624"/>
    <cellStyle name="Normal 3 25 18" xfId="2625"/>
    <cellStyle name="Normal 3 25 19" xfId="2626"/>
    <cellStyle name="Normal 3 25 2" xfId="2627"/>
    <cellStyle name="Normal 3 25 20" xfId="2628"/>
    <cellStyle name="Normal 3 25 21" xfId="2629"/>
    <cellStyle name="Normal 3 25 22" xfId="2630"/>
    <cellStyle name="Normal 3 25 23" xfId="2631"/>
    <cellStyle name="Normal 3 25 3" xfId="2632"/>
    <cellStyle name="Normal 3 25 4" xfId="2633"/>
    <cellStyle name="Normal 3 25 5" xfId="2634"/>
    <cellStyle name="Normal 3 25 6" xfId="2635"/>
    <cellStyle name="Normal 3 25 7" xfId="2636"/>
    <cellStyle name="Normal 3 25 8" xfId="2637"/>
    <cellStyle name="Normal 3 25 9" xfId="2638"/>
    <cellStyle name="Normal 3 26" xfId="2639"/>
    <cellStyle name="Normal 3 26 10" xfId="2640"/>
    <cellStyle name="Normal 3 26 11" xfId="2641"/>
    <cellStyle name="Normal 3 26 12" xfId="2642"/>
    <cellStyle name="Normal 3 26 13" xfId="2643"/>
    <cellStyle name="Normal 3 26 14" xfId="2644"/>
    <cellStyle name="Normal 3 26 15" xfId="2645"/>
    <cellStyle name="Normal 3 26 16" xfId="2646"/>
    <cellStyle name="Normal 3 26 17" xfId="2647"/>
    <cellStyle name="Normal 3 26 18" xfId="2648"/>
    <cellStyle name="Normal 3 26 19" xfId="2649"/>
    <cellStyle name="Normal 3 26 2" xfId="2650"/>
    <cellStyle name="Normal 3 26 20" xfId="2651"/>
    <cellStyle name="Normal 3 26 21" xfId="2652"/>
    <cellStyle name="Normal 3 26 22" xfId="2653"/>
    <cellStyle name="Normal 3 26 23" xfId="2654"/>
    <cellStyle name="Normal 3 26 3" xfId="2655"/>
    <cellStyle name="Normal 3 26 4" xfId="2656"/>
    <cellStyle name="Normal 3 26 5" xfId="2657"/>
    <cellStyle name="Normal 3 26 6" xfId="2658"/>
    <cellStyle name="Normal 3 26 7" xfId="2659"/>
    <cellStyle name="Normal 3 26 8" xfId="2660"/>
    <cellStyle name="Normal 3 26 9" xfId="2661"/>
    <cellStyle name="Normal 3 27" xfId="2662"/>
    <cellStyle name="Normal 3 27 10" xfId="2663"/>
    <cellStyle name="Normal 3 27 11" xfId="2664"/>
    <cellStyle name="Normal 3 27 12" xfId="2665"/>
    <cellStyle name="Normal 3 27 13" xfId="2666"/>
    <cellStyle name="Normal 3 27 14" xfId="2667"/>
    <cellStyle name="Normal 3 27 15" xfId="2668"/>
    <cellStyle name="Normal 3 27 16" xfId="2669"/>
    <cellStyle name="Normal 3 27 17" xfId="2670"/>
    <cellStyle name="Normal 3 27 18" xfId="2671"/>
    <cellStyle name="Normal 3 27 19" xfId="2672"/>
    <cellStyle name="Normal 3 27 2" xfId="2673"/>
    <cellStyle name="Normal 3 27 20" xfId="2674"/>
    <cellStyle name="Normal 3 27 21" xfId="2675"/>
    <cellStyle name="Normal 3 27 22" xfId="2676"/>
    <cellStyle name="Normal 3 27 23" xfId="2677"/>
    <cellStyle name="Normal 3 27 3" xfId="2678"/>
    <cellStyle name="Normal 3 27 4" xfId="2679"/>
    <cellStyle name="Normal 3 27 5" xfId="2680"/>
    <cellStyle name="Normal 3 27 6" xfId="2681"/>
    <cellStyle name="Normal 3 27 7" xfId="2682"/>
    <cellStyle name="Normal 3 27 8" xfId="2683"/>
    <cellStyle name="Normal 3 27 9" xfId="2684"/>
    <cellStyle name="Normal 3 28" xfId="2685"/>
    <cellStyle name="Normal 3 28 10" xfId="2686"/>
    <cellStyle name="Normal 3 28 11" xfId="2687"/>
    <cellStyle name="Normal 3 28 12" xfId="2688"/>
    <cellStyle name="Normal 3 28 13" xfId="2689"/>
    <cellStyle name="Normal 3 28 14" xfId="2690"/>
    <cellStyle name="Normal 3 28 15" xfId="2691"/>
    <cellStyle name="Normal 3 28 16" xfId="2692"/>
    <cellStyle name="Normal 3 28 17" xfId="2693"/>
    <cellStyle name="Normal 3 28 18" xfId="2694"/>
    <cellStyle name="Normal 3 28 19" xfId="2695"/>
    <cellStyle name="Normal 3 28 2" xfId="2696"/>
    <cellStyle name="Normal 3 28 20" xfId="2697"/>
    <cellStyle name="Normal 3 28 21" xfId="2698"/>
    <cellStyle name="Normal 3 28 22" xfId="2699"/>
    <cellStyle name="Normal 3 28 23" xfId="2700"/>
    <cellStyle name="Normal 3 28 3" xfId="2701"/>
    <cellStyle name="Normal 3 28 4" xfId="2702"/>
    <cellStyle name="Normal 3 28 5" xfId="2703"/>
    <cellStyle name="Normal 3 28 6" xfId="2704"/>
    <cellStyle name="Normal 3 28 7" xfId="2705"/>
    <cellStyle name="Normal 3 28 8" xfId="2706"/>
    <cellStyle name="Normal 3 28 9" xfId="2707"/>
    <cellStyle name="Normal 3 29" xfId="2708"/>
    <cellStyle name="Normal 3 29 10" xfId="2709"/>
    <cellStyle name="Normal 3 29 11" xfId="2710"/>
    <cellStyle name="Normal 3 29 12" xfId="2711"/>
    <cellStyle name="Normal 3 29 13" xfId="2712"/>
    <cellStyle name="Normal 3 29 14" xfId="2713"/>
    <cellStyle name="Normal 3 29 15" xfId="2714"/>
    <cellStyle name="Normal 3 29 16" xfId="2715"/>
    <cellStyle name="Normal 3 29 17" xfId="2716"/>
    <cellStyle name="Normal 3 29 18" xfId="2717"/>
    <cellStyle name="Normal 3 29 19" xfId="2718"/>
    <cellStyle name="Normal 3 29 2" xfId="2719"/>
    <cellStyle name="Normal 3 29 20" xfId="2720"/>
    <cellStyle name="Normal 3 29 21" xfId="2721"/>
    <cellStyle name="Normal 3 29 22" xfId="2722"/>
    <cellStyle name="Normal 3 29 23" xfId="2723"/>
    <cellStyle name="Normal 3 29 3" xfId="2724"/>
    <cellStyle name="Normal 3 29 4" xfId="2725"/>
    <cellStyle name="Normal 3 29 5" xfId="2726"/>
    <cellStyle name="Normal 3 29 6" xfId="2727"/>
    <cellStyle name="Normal 3 29 7" xfId="2728"/>
    <cellStyle name="Normal 3 29 8" xfId="2729"/>
    <cellStyle name="Normal 3 29 9" xfId="2730"/>
    <cellStyle name="Normal 3 3" xfId="117"/>
    <cellStyle name="Normal 3 3 10" xfId="2731"/>
    <cellStyle name="Normal 3 3 11" xfId="2732"/>
    <cellStyle name="Normal 3 3 12" xfId="2733"/>
    <cellStyle name="Normal 3 3 13" xfId="2734"/>
    <cellStyle name="Normal 3 3 14" xfId="2735"/>
    <cellStyle name="Normal 3 3 15" xfId="2736"/>
    <cellStyle name="Normal 3 3 16" xfId="2737"/>
    <cellStyle name="Normal 3 3 17" xfId="2738"/>
    <cellStyle name="Normal 3 3 18" xfId="2739"/>
    <cellStyle name="Normal 3 3 19" xfId="2740"/>
    <cellStyle name="Normal 3 3 2" xfId="2741"/>
    <cellStyle name="Normal 3 3 20" xfId="2742"/>
    <cellStyle name="Normal 3 3 21" xfId="2743"/>
    <cellStyle name="Normal 3 3 22" xfId="2744"/>
    <cellStyle name="Normal 3 3 23" xfId="2745"/>
    <cellStyle name="Normal 3 3 3" xfId="2746"/>
    <cellStyle name="Normal 3 3 4" xfId="2747"/>
    <cellStyle name="Normal 3 3 5" xfId="2748"/>
    <cellStyle name="Normal 3 3 6" xfId="2749"/>
    <cellStyle name="Normal 3 3 7" xfId="2750"/>
    <cellStyle name="Normal 3 3 8" xfId="2751"/>
    <cellStyle name="Normal 3 3 9" xfId="2752"/>
    <cellStyle name="Normal 3 3_2014 - Res" xfId="2753"/>
    <cellStyle name="Normal 3 30" xfId="2754"/>
    <cellStyle name="Normal 3 30 10" xfId="2755"/>
    <cellStyle name="Normal 3 30 11" xfId="2756"/>
    <cellStyle name="Normal 3 30 12" xfId="2757"/>
    <cellStyle name="Normal 3 30 13" xfId="2758"/>
    <cellStyle name="Normal 3 30 14" xfId="2759"/>
    <cellStyle name="Normal 3 30 15" xfId="2760"/>
    <cellStyle name="Normal 3 30 16" xfId="2761"/>
    <cellStyle name="Normal 3 30 17" xfId="2762"/>
    <cellStyle name="Normal 3 30 18" xfId="2763"/>
    <cellStyle name="Normal 3 30 19" xfId="2764"/>
    <cellStyle name="Normal 3 30 2" xfId="2765"/>
    <cellStyle name="Normal 3 30 20" xfId="2766"/>
    <cellStyle name="Normal 3 30 21" xfId="2767"/>
    <cellStyle name="Normal 3 30 22" xfId="2768"/>
    <cellStyle name="Normal 3 30 23" xfId="2769"/>
    <cellStyle name="Normal 3 30 3" xfId="2770"/>
    <cellStyle name="Normal 3 30 4" xfId="2771"/>
    <cellStyle name="Normal 3 30 5" xfId="2772"/>
    <cellStyle name="Normal 3 30 6" xfId="2773"/>
    <cellStyle name="Normal 3 30 7" xfId="2774"/>
    <cellStyle name="Normal 3 30 8" xfId="2775"/>
    <cellStyle name="Normal 3 30 9" xfId="2776"/>
    <cellStyle name="Normal 3 31" xfId="2777"/>
    <cellStyle name="Normal 3 31 10" xfId="2778"/>
    <cellStyle name="Normal 3 31 11" xfId="2779"/>
    <cellStyle name="Normal 3 31 12" xfId="2780"/>
    <cellStyle name="Normal 3 31 13" xfId="2781"/>
    <cellStyle name="Normal 3 31 14" xfId="2782"/>
    <cellStyle name="Normal 3 31 15" xfId="2783"/>
    <cellStyle name="Normal 3 31 16" xfId="2784"/>
    <cellStyle name="Normal 3 31 17" xfId="2785"/>
    <cellStyle name="Normal 3 31 18" xfId="2786"/>
    <cellStyle name="Normal 3 31 19" xfId="2787"/>
    <cellStyle name="Normal 3 31 2" xfId="2788"/>
    <cellStyle name="Normal 3 31 20" xfId="2789"/>
    <cellStyle name="Normal 3 31 21" xfId="2790"/>
    <cellStyle name="Normal 3 31 22" xfId="2791"/>
    <cellStyle name="Normal 3 31 23" xfId="2792"/>
    <cellStyle name="Normal 3 31 3" xfId="2793"/>
    <cellStyle name="Normal 3 31 4" xfId="2794"/>
    <cellStyle name="Normal 3 31 5" xfId="2795"/>
    <cellStyle name="Normal 3 31 6" xfId="2796"/>
    <cellStyle name="Normal 3 31 7" xfId="2797"/>
    <cellStyle name="Normal 3 31 8" xfId="2798"/>
    <cellStyle name="Normal 3 31 9" xfId="2799"/>
    <cellStyle name="Normal 3 32" xfId="2800"/>
    <cellStyle name="Normal 3 32 10" xfId="2801"/>
    <cellStyle name="Normal 3 32 11" xfId="2802"/>
    <cellStyle name="Normal 3 32 12" xfId="2803"/>
    <cellStyle name="Normal 3 32 13" xfId="2804"/>
    <cellStyle name="Normal 3 32 14" xfId="2805"/>
    <cellStyle name="Normal 3 32 15" xfId="2806"/>
    <cellStyle name="Normal 3 32 16" xfId="2807"/>
    <cellStyle name="Normal 3 32 17" xfId="2808"/>
    <cellStyle name="Normal 3 32 18" xfId="2809"/>
    <cellStyle name="Normal 3 32 19" xfId="2810"/>
    <cellStyle name="Normal 3 32 2" xfId="2811"/>
    <cellStyle name="Normal 3 32 20" xfId="2812"/>
    <cellStyle name="Normal 3 32 21" xfId="2813"/>
    <cellStyle name="Normal 3 32 22" xfId="2814"/>
    <cellStyle name="Normal 3 32 23" xfId="2815"/>
    <cellStyle name="Normal 3 32 3" xfId="2816"/>
    <cellStyle name="Normal 3 32 4" xfId="2817"/>
    <cellStyle name="Normal 3 32 5" xfId="2818"/>
    <cellStyle name="Normal 3 32 6" xfId="2819"/>
    <cellStyle name="Normal 3 32 7" xfId="2820"/>
    <cellStyle name="Normal 3 32 8" xfId="2821"/>
    <cellStyle name="Normal 3 32 9" xfId="2822"/>
    <cellStyle name="Normal 3 33" xfId="2823"/>
    <cellStyle name="Normal 3 33 10" xfId="2824"/>
    <cellStyle name="Normal 3 33 11" xfId="2825"/>
    <cellStyle name="Normal 3 33 12" xfId="2826"/>
    <cellStyle name="Normal 3 33 13" xfId="2827"/>
    <cellStyle name="Normal 3 33 14" xfId="2828"/>
    <cellStyle name="Normal 3 33 15" xfId="2829"/>
    <cellStyle name="Normal 3 33 16" xfId="2830"/>
    <cellStyle name="Normal 3 33 17" xfId="2831"/>
    <cellStyle name="Normal 3 33 18" xfId="2832"/>
    <cellStyle name="Normal 3 33 19" xfId="2833"/>
    <cellStyle name="Normal 3 33 2" xfId="2834"/>
    <cellStyle name="Normal 3 33 20" xfId="2835"/>
    <cellStyle name="Normal 3 33 21" xfId="2836"/>
    <cellStyle name="Normal 3 33 22" xfId="2837"/>
    <cellStyle name="Normal 3 33 23" xfId="2838"/>
    <cellStyle name="Normal 3 33 3" xfId="2839"/>
    <cellStyle name="Normal 3 33 4" xfId="2840"/>
    <cellStyle name="Normal 3 33 5" xfId="2841"/>
    <cellStyle name="Normal 3 33 6" xfId="2842"/>
    <cellStyle name="Normal 3 33 7" xfId="2843"/>
    <cellStyle name="Normal 3 33 8" xfId="2844"/>
    <cellStyle name="Normal 3 33 9" xfId="2845"/>
    <cellStyle name="Normal 3 34" xfId="2846"/>
    <cellStyle name="Normal 3 35" xfId="2847"/>
    <cellStyle name="Normal 3 36" xfId="2848"/>
    <cellStyle name="Normal 3 37" xfId="2849"/>
    <cellStyle name="Normal 3 38" xfId="2850"/>
    <cellStyle name="Normal 3 39" xfId="2851"/>
    <cellStyle name="Normal 3 4" xfId="185"/>
    <cellStyle name="Normal 3 4 10" xfId="2852"/>
    <cellStyle name="Normal 3 4 11" xfId="2853"/>
    <cellStyle name="Normal 3 4 12" xfId="2854"/>
    <cellStyle name="Normal 3 4 13" xfId="2855"/>
    <cellStyle name="Normal 3 4 14" xfId="2856"/>
    <cellStyle name="Normal 3 4 15" xfId="2857"/>
    <cellStyle name="Normal 3 4 16" xfId="2858"/>
    <cellStyle name="Normal 3 4 17" xfId="2859"/>
    <cellStyle name="Normal 3 4 18" xfId="2860"/>
    <cellStyle name="Normal 3 4 19" xfId="2861"/>
    <cellStyle name="Normal 3 4 2" xfId="600"/>
    <cellStyle name="Normal 3 4 20" xfId="2862"/>
    <cellStyle name="Normal 3 4 21" xfId="2863"/>
    <cellStyle name="Normal 3 4 22" xfId="2864"/>
    <cellStyle name="Normal 3 4 23" xfId="2865"/>
    <cellStyle name="Normal 3 4 24" xfId="1107"/>
    <cellStyle name="Normal 3 4 3" xfId="2866"/>
    <cellStyle name="Normal 3 4 4" xfId="2867"/>
    <cellStyle name="Normal 3 4 5" xfId="2868"/>
    <cellStyle name="Normal 3 4 6" xfId="2869"/>
    <cellStyle name="Normal 3 4 7" xfId="2870"/>
    <cellStyle name="Normal 3 4 8" xfId="2871"/>
    <cellStyle name="Normal 3 4 9" xfId="2872"/>
    <cellStyle name="Normal 3 40" xfId="601"/>
    <cellStyle name="Normal 3 40 2" xfId="602"/>
    <cellStyle name="Normal 3 40 2 2" xfId="603"/>
    <cellStyle name="Normal 3 40 2 2 2" xfId="726"/>
    <cellStyle name="Normal 3 40 2 2 2 2" xfId="3331"/>
    <cellStyle name="Normal 3 40 2 2 3" xfId="1179"/>
    <cellStyle name="Normal 3 40 2 3" xfId="604"/>
    <cellStyle name="Normal 3 40 2 3 2" xfId="727"/>
    <cellStyle name="Normal 3 40 2 3 2 2" xfId="3332"/>
    <cellStyle name="Normal 3 40 2 3 3" xfId="1180"/>
    <cellStyle name="Normal 3 40 2 4" xfId="725"/>
    <cellStyle name="Normal 3 40 2 4 2" xfId="3333"/>
    <cellStyle name="Normal 3 40 2 5" xfId="1178"/>
    <cellStyle name="Normal 3 40 3" xfId="605"/>
    <cellStyle name="Normal 3 40 3 2" xfId="728"/>
    <cellStyle name="Normal 3 40 3 2 2" xfId="3334"/>
    <cellStyle name="Normal 3 40 3 3" xfId="1181"/>
    <cellStyle name="Normal 3 40 4" xfId="606"/>
    <cellStyle name="Normal 3 40 4 2" xfId="729"/>
    <cellStyle name="Normal 3 40 4 2 2" xfId="3335"/>
    <cellStyle name="Normal 3 40 4 3" xfId="1182"/>
    <cellStyle name="Normal 3 40 5" xfId="724"/>
    <cellStyle name="Normal 3 40 5 2" xfId="2873"/>
    <cellStyle name="Normal 3 40 6" xfId="1177"/>
    <cellStyle name="Normal 3 41" xfId="2874"/>
    <cellStyle name="Normal 3 42" xfId="2875"/>
    <cellStyle name="Normal 3 43" xfId="2876"/>
    <cellStyle name="Normal 3 44" xfId="2877"/>
    <cellStyle name="Normal 3 45" xfId="2878"/>
    <cellStyle name="Normal 3 46" xfId="2879"/>
    <cellStyle name="Normal 3 47" xfId="2880"/>
    <cellStyle name="Normal 3 48" xfId="2881"/>
    <cellStyle name="Normal 3 49" xfId="2882"/>
    <cellStyle name="Normal 3 5" xfId="607"/>
    <cellStyle name="Normal 3 5 10" xfId="2884"/>
    <cellStyle name="Normal 3 5 11" xfId="2885"/>
    <cellStyle name="Normal 3 5 12" xfId="2886"/>
    <cellStyle name="Normal 3 5 13" xfId="2887"/>
    <cellStyle name="Normal 3 5 14" xfId="2888"/>
    <cellStyle name="Normal 3 5 15" xfId="2889"/>
    <cellStyle name="Normal 3 5 16" xfId="2890"/>
    <cellStyle name="Normal 3 5 17" xfId="2891"/>
    <cellStyle name="Normal 3 5 18" xfId="2892"/>
    <cellStyle name="Normal 3 5 19" xfId="2893"/>
    <cellStyle name="Normal 3 5 2" xfId="2894"/>
    <cellStyle name="Normal 3 5 20" xfId="2895"/>
    <cellStyle name="Normal 3 5 21" xfId="2896"/>
    <cellStyle name="Normal 3 5 22" xfId="2897"/>
    <cellStyle name="Normal 3 5 23" xfId="2898"/>
    <cellStyle name="Normal 3 5 24" xfId="2883"/>
    <cellStyle name="Normal 3 5 3" xfId="2899"/>
    <cellStyle name="Normal 3 5 4" xfId="2900"/>
    <cellStyle name="Normal 3 5 5" xfId="2901"/>
    <cellStyle name="Normal 3 5 6" xfId="2902"/>
    <cellStyle name="Normal 3 5 7" xfId="2903"/>
    <cellStyle name="Normal 3 5 8" xfId="2904"/>
    <cellStyle name="Normal 3 5 9" xfId="2905"/>
    <cellStyle name="Normal 3 50" xfId="2906"/>
    <cellStyle name="Normal 3 51" xfId="2907"/>
    <cellStyle name="Normal 3 52" xfId="2908"/>
    <cellStyle name="Normal 3 53" xfId="2909"/>
    <cellStyle name="Normal 3 54" xfId="2910"/>
    <cellStyle name="Normal 3 55" xfId="2911"/>
    <cellStyle name="Normal 3 56" xfId="2912"/>
    <cellStyle name="Normal 3 57" xfId="2913"/>
    <cellStyle name="Normal 3 58" xfId="2914"/>
    <cellStyle name="Normal 3 59" xfId="2915"/>
    <cellStyle name="Normal 3 6" xfId="608"/>
    <cellStyle name="Normal 3 6 10" xfId="2917"/>
    <cellStyle name="Normal 3 6 11" xfId="2918"/>
    <cellStyle name="Normal 3 6 12" xfId="2919"/>
    <cellStyle name="Normal 3 6 13" xfId="2920"/>
    <cellStyle name="Normal 3 6 14" xfId="2921"/>
    <cellStyle name="Normal 3 6 15" xfId="2922"/>
    <cellStyle name="Normal 3 6 16" xfId="2923"/>
    <cellStyle name="Normal 3 6 17" xfId="2924"/>
    <cellStyle name="Normal 3 6 18" xfId="2925"/>
    <cellStyle name="Normal 3 6 19" xfId="2926"/>
    <cellStyle name="Normal 3 6 2" xfId="2927"/>
    <cellStyle name="Normal 3 6 20" xfId="2928"/>
    <cellStyle name="Normal 3 6 21" xfId="2929"/>
    <cellStyle name="Normal 3 6 22" xfId="2930"/>
    <cellStyle name="Normal 3 6 23" xfId="2931"/>
    <cellStyle name="Normal 3 6 24" xfId="2916"/>
    <cellStyle name="Normal 3 6 3" xfId="2932"/>
    <cellStyle name="Normal 3 6 4" xfId="2933"/>
    <cellStyle name="Normal 3 6 5" xfId="2934"/>
    <cellStyle name="Normal 3 6 6" xfId="2935"/>
    <cellStyle name="Normal 3 6 7" xfId="2936"/>
    <cellStyle name="Normal 3 6 8" xfId="2937"/>
    <cellStyle name="Normal 3 6 9" xfId="2938"/>
    <cellStyle name="Normal 3 60" xfId="2939"/>
    <cellStyle name="Normal 3 61" xfId="2940"/>
    <cellStyle name="Normal 3 62" xfId="2941"/>
    <cellStyle name="Normal 3 63" xfId="2942"/>
    <cellStyle name="Normal 3 64" xfId="2943"/>
    <cellStyle name="Normal 3 65" xfId="2944"/>
    <cellStyle name="Normal 3 66" xfId="2945"/>
    <cellStyle name="Normal 3 66 2" xfId="2946"/>
    <cellStyle name="Normal 3 67" xfId="3118"/>
    <cellStyle name="Normal 3 68" xfId="3116"/>
    <cellStyle name="Normal 3 69" xfId="3119"/>
    <cellStyle name="Normal 3 7" xfId="2947"/>
    <cellStyle name="Normal 3 7 10" xfId="2948"/>
    <cellStyle name="Normal 3 7 11" xfId="2949"/>
    <cellStyle name="Normal 3 7 12" xfId="2950"/>
    <cellStyle name="Normal 3 7 13" xfId="2951"/>
    <cellStyle name="Normal 3 7 14" xfId="2952"/>
    <cellStyle name="Normal 3 7 15" xfId="2953"/>
    <cellStyle name="Normal 3 7 16" xfId="2954"/>
    <cellStyle name="Normal 3 7 17" xfId="2955"/>
    <cellStyle name="Normal 3 7 18" xfId="2956"/>
    <cellStyle name="Normal 3 7 19" xfId="2957"/>
    <cellStyle name="Normal 3 7 2" xfId="2958"/>
    <cellStyle name="Normal 3 7 20" xfId="2959"/>
    <cellStyle name="Normal 3 7 21" xfId="2960"/>
    <cellStyle name="Normal 3 7 22" xfId="2961"/>
    <cellStyle name="Normal 3 7 23" xfId="2962"/>
    <cellStyle name="Normal 3 7 3" xfId="2963"/>
    <cellStyle name="Normal 3 7 4" xfId="2964"/>
    <cellStyle name="Normal 3 7 5" xfId="2965"/>
    <cellStyle name="Normal 3 7 6" xfId="2966"/>
    <cellStyle name="Normal 3 7 7" xfId="2967"/>
    <cellStyle name="Normal 3 7 8" xfId="2968"/>
    <cellStyle name="Normal 3 7 9" xfId="2969"/>
    <cellStyle name="Normal 3 70" xfId="3117"/>
    <cellStyle name="Normal 3 71" xfId="3348"/>
    <cellStyle name="Normal 3 72" xfId="3345"/>
    <cellStyle name="Normal 3 73" xfId="3346"/>
    <cellStyle name="Normal 3 8" xfId="2970"/>
    <cellStyle name="Normal 3 8 10" xfId="2971"/>
    <cellStyle name="Normal 3 8 11" xfId="2972"/>
    <cellStyle name="Normal 3 8 12" xfId="2973"/>
    <cellStyle name="Normal 3 8 13" xfId="2974"/>
    <cellStyle name="Normal 3 8 14" xfId="2975"/>
    <cellStyle name="Normal 3 8 15" xfId="2976"/>
    <cellStyle name="Normal 3 8 16" xfId="2977"/>
    <cellStyle name="Normal 3 8 17" xfId="2978"/>
    <cellStyle name="Normal 3 8 18" xfId="2979"/>
    <cellStyle name="Normal 3 8 19" xfId="2980"/>
    <cellStyle name="Normal 3 8 2" xfId="2981"/>
    <cellStyle name="Normal 3 8 20" xfId="2982"/>
    <cellStyle name="Normal 3 8 21" xfId="2983"/>
    <cellStyle name="Normal 3 8 22" xfId="2984"/>
    <cellStyle name="Normal 3 8 23" xfId="2985"/>
    <cellStyle name="Normal 3 8 3" xfId="2986"/>
    <cellStyle name="Normal 3 8 4" xfId="2987"/>
    <cellStyle name="Normal 3 8 5" xfId="2988"/>
    <cellStyle name="Normal 3 8 6" xfId="2989"/>
    <cellStyle name="Normal 3 8 7" xfId="2990"/>
    <cellStyle name="Normal 3 8 8" xfId="2991"/>
    <cellStyle name="Normal 3 8 9" xfId="2992"/>
    <cellStyle name="Normal 3 9" xfId="2993"/>
    <cellStyle name="Normal 3 9 10" xfId="2994"/>
    <cellStyle name="Normal 3 9 11" xfId="2995"/>
    <cellStyle name="Normal 3 9 12" xfId="2996"/>
    <cellStyle name="Normal 3 9 13" xfId="2997"/>
    <cellStyle name="Normal 3 9 14" xfId="2998"/>
    <cellStyle name="Normal 3 9 15" xfId="2999"/>
    <cellStyle name="Normal 3 9 16" xfId="3000"/>
    <cellStyle name="Normal 3 9 17" xfId="3001"/>
    <cellStyle name="Normal 3 9 18" xfId="3002"/>
    <cellStyle name="Normal 3 9 19" xfId="3003"/>
    <cellStyle name="Normal 3 9 2" xfId="3004"/>
    <cellStyle name="Normal 3 9 20" xfId="3005"/>
    <cellStyle name="Normal 3 9 21" xfId="3006"/>
    <cellStyle name="Normal 3 9 22" xfId="3007"/>
    <cellStyle name="Normal 3 9 23" xfId="3008"/>
    <cellStyle name="Normal 3 9 3" xfId="3009"/>
    <cellStyle name="Normal 3 9 4" xfId="3010"/>
    <cellStyle name="Normal 3 9 5" xfId="3011"/>
    <cellStyle name="Normal 3 9 6" xfId="3012"/>
    <cellStyle name="Normal 3 9 7" xfId="3013"/>
    <cellStyle name="Normal 3 9 8" xfId="3014"/>
    <cellStyle name="Normal 3 9 9" xfId="3015"/>
    <cellStyle name="Normal 3_2012 AR ELEC BCR Eval Eval - 012913" xfId="118"/>
    <cellStyle name="Normal 38 10" xfId="191"/>
    <cellStyle name="Normal 4" xfId="119"/>
    <cellStyle name="Normal 4 2" xfId="667"/>
    <cellStyle name="Normal 4 2 2" xfId="730"/>
    <cellStyle name="Normal 4 2 2 2" xfId="3016"/>
    <cellStyle name="Normal 4 2 2 2 2" xfId="18921"/>
    <cellStyle name="Normal 4 2 2 3" xfId="18922"/>
    <cellStyle name="Normal 4 2 2 3 2" xfId="18923"/>
    <cellStyle name="Normal 4 2 2 4" xfId="18924"/>
    <cellStyle name="Normal 4 2 3" xfId="3226"/>
    <cellStyle name="Normal 4 2 3 2" xfId="18925"/>
    <cellStyle name="Normal 4 2 4" xfId="3318"/>
    <cellStyle name="Normal 4 2 4 2" xfId="18926"/>
    <cellStyle name="Normal 4 2 5" xfId="3323"/>
    <cellStyle name="Normal 4 2 6" xfId="998"/>
    <cellStyle name="Normal 4 3" xfId="1000"/>
    <cellStyle name="Normal 4 3 2" xfId="3017"/>
    <cellStyle name="Normal 4 3 2 2" xfId="18927"/>
    <cellStyle name="Normal 4 3 2 2 2" xfId="18928"/>
    <cellStyle name="Normal 4 3 2 3" xfId="18929"/>
    <cellStyle name="Normal 4 3 2 3 2" xfId="18930"/>
    <cellStyle name="Normal 4 3 2 4" xfId="18931"/>
    <cellStyle name="Normal 4 3 3" xfId="3230"/>
    <cellStyle name="Normal 4 3 3 2" xfId="18932"/>
    <cellStyle name="Normal 4 3 4" xfId="18933"/>
    <cellStyle name="Normal 4 3 4 2" xfId="18934"/>
    <cellStyle name="Normal 4 3 5" xfId="18935"/>
    <cellStyle name="Normal 4 4" xfId="1002"/>
    <cellStyle name="Normal 4 4 2" xfId="3018"/>
    <cellStyle name="Normal 4 4 2 2" xfId="18936"/>
    <cellStyle name="Normal 4 4 2 2 2" xfId="18937"/>
    <cellStyle name="Normal 4 4 2 3" xfId="18938"/>
    <cellStyle name="Normal 4 4 2 3 2" xfId="18939"/>
    <cellStyle name="Normal 4 4 2 4" xfId="18940"/>
    <cellStyle name="Normal 4 4 3" xfId="3233"/>
    <cellStyle name="Normal 4 4 3 2" xfId="18941"/>
    <cellStyle name="Normal 4 4 4" xfId="3338"/>
    <cellStyle name="Normal 4 4 4 2" xfId="18942"/>
    <cellStyle name="Normal 4 4 5" xfId="18943"/>
    <cellStyle name="Normal 4 5" xfId="18944"/>
    <cellStyle name="Normal 4_2014 - Res" xfId="3019"/>
    <cellStyle name="Normal 5" xfId="120"/>
    <cellStyle name="Normal 5 10" xfId="3020"/>
    <cellStyle name="Normal 5 11" xfId="3021"/>
    <cellStyle name="Normal 5 12" xfId="3022"/>
    <cellStyle name="Normal 5 13" xfId="3023"/>
    <cellStyle name="Normal 5 14" xfId="3024"/>
    <cellStyle name="Normal 5 15" xfId="3025"/>
    <cellStyle name="Normal 5 16" xfId="3026"/>
    <cellStyle name="Normal 5 17" xfId="3027"/>
    <cellStyle name="Normal 5 18" xfId="3028"/>
    <cellStyle name="Normal 5 19" xfId="3029"/>
    <cellStyle name="Normal 5 2" xfId="668"/>
    <cellStyle name="Normal 5 2 10" xfId="3031"/>
    <cellStyle name="Normal 5 2 11" xfId="3032"/>
    <cellStyle name="Normal 5 2 12" xfId="3033"/>
    <cellStyle name="Normal 5 2 13" xfId="3034"/>
    <cellStyle name="Normal 5 2 14" xfId="3035"/>
    <cellStyle name="Normal 5 2 15" xfId="3036"/>
    <cellStyle name="Normal 5 2 16" xfId="3037"/>
    <cellStyle name="Normal 5 2 17" xfId="3038"/>
    <cellStyle name="Normal 5 2 18" xfId="3039"/>
    <cellStyle name="Normal 5 2 19" xfId="3040"/>
    <cellStyle name="Normal 5 2 2" xfId="731"/>
    <cellStyle name="Normal 5 2 2 2" xfId="3041"/>
    <cellStyle name="Normal 5 2 2 2 2" xfId="18945"/>
    <cellStyle name="Normal 5 2 2 3" xfId="18946"/>
    <cellStyle name="Normal 5 2 2 3 2" xfId="18947"/>
    <cellStyle name="Normal 5 2 2 4" xfId="18948"/>
    <cellStyle name="Normal 5 2 20" xfId="3042"/>
    <cellStyle name="Normal 5 2 21" xfId="3043"/>
    <cellStyle name="Normal 5 2 22" xfId="3044"/>
    <cellStyle name="Normal 5 2 23" xfId="3045"/>
    <cellStyle name="Normal 5 2 24" xfId="3030"/>
    <cellStyle name="Normal 5 2 25" xfId="3227"/>
    <cellStyle name="Normal 5 2 26" xfId="3324"/>
    <cellStyle name="Normal 5 2 27" xfId="999"/>
    <cellStyle name="Normal 5 2 3" xfId="3046"/>
    <cellStyle name="Normal 5 2 3 2" xfId="18949"/>
    <cellStyle name="Normal 5 2 4" xfId="3047"/>
    <cellStyle name="Normal 5 2 4 2" xfId="18950"/>
    <cellStyle name="Normal 5 2 5" xfId="3048"/>
    <cellStyle name="Normal 5 2 6" xfId="3049"/>
    <cellStyle name="Normal 5 2 7" xfId="3050"/>
    <cellStyle name="Normal 5 2 8" xfId="3051"/>
    <cellStyle name="Normal 5 2 9" xfId="3052"/>
    <cellStyle name="Normal 5 20" xfId="3053"/>
    <cellStyle name="Normal 5 21" xfId="3054"/>
    <cellStyle name="Normal 5 22" xfId="3055"/>
    <cellStyle name="Normal 5 23" xfId="3056"/>
    <cellStyle name="Normal 5 24" xfId="3057"/>
    <cellStyle name="Normal 5 3" xfId="1003"/>
    <cellStyle name="Normal 5 3 2" xfId="3058"/>
    <cellStyle name="Normal 5 3 2 2" xfId="18951"/>
    <cellStyle name="Normal 5 3 2 2 2" xfId="18952"/>
    <cellStyle name="Normal 5 3 2 3" xfId="18953"/>
    <cellStyle name="Normal 5 3 2 3 2" xfId="18954"/>
    <cellStyle name="Normal 5 3 2 4" xfId="18955"/>
    <cellStyle name="Normal 5 3 3" xfId="3234"/>
    <cellStyle name="Normal 5 3 3 2" xfId="18956"/>
    <cellStyle name="Normal 5 3 4" xfId="18957"/>
    <cellStyle name="Normal 5 3 4 2" xfId="18958"/>
    <cellStyle name="Normal 5 3 5" xfId="18959"/>
    <cellStyle name="Normal 5 4" xfId="3059"/>
    <cellStyle name="Normal 5 5" xfId="3060"/>
    <cellStyle name="Normal 5 6" xfId="3061"/>
    <cellStyle name="Normal 5 7" xfId="3062"/>
    <cellStyle name="Normal 5 8" xfId="3063"/>
    <cellStyle name="Normal 5 9" xfId="3064"/>
    <cellStyle name="Normal 5_2014 - Res" xfId="3065"/>
    <cellStyle name="Normal 6" xfId="121"/>
    <cellStyle name="Normal 7" xfId="197"/>
    <cellStyle name="Normal 7 10" xfId="3066"/>
    <cellStyle name="Normal 7 11" xfId="3067"/>
    <cellStyle name="Normal 7 12" xfId="3068"/>
    <cellStyle name="Normal 7 13" xfId="3069"/>
    <cellStyle name="Normal 7 14" xfId="3070"/>
    <cellStyle name="Normal 7 15" xfId="3071"/>
    <cellStyle name="Normal 7 16" xfId="3072"/>
    <cellStyle name="Normal 7 17" xfId="3073"/>
    <cellStyle name="Normal 7 18" xfId="3074"/>
    <cellStyle name="Normal 7 19" xfId="3075"/>
    <cellStyle name="Normal 7 2" xfId="609"/>
    <cellStyle name="Normal 7 2 10" xfId="3076"/>
    <cellStyle name="Normal 7 2 11" xfId="3077"/>
    <cellStyle name="Normal 7 2 12" xfId="3078"/>
    <cellStyle name="Normal 7 2 13" xfId="3079"/>
    <cellStyle name="Normal 7 2 14" xfId="3080"/>
    <cellStyle name="Normal 7 2 15" xfId="3081"/>
    <cellStyle name="Normal 7 2 16" xfId="3082"/>
    <cellStyle name="Normal 7 2 17" xfId="3083"/>
    <cellStyle name="Normal 7 2 18" xfId="3084"/>
    <cellStyle name="Normal 7 2 19" xfId="3085"/>
    <cellStyle name="Normal 7 2 2" xfId="3086"/>
    <cellStyle name="Normal 7 2 2 2" xfId="18960"/>
    <cellStyle name="Normal 7 2 2 2 2" xfId="18961"/>
    <cellStyle name="Normal 7 2 2 3" xfId="18962"/>
    <cellStyle name="Normal 7 2 2 3 2" xfId="18963"/>
    <cellStyle name="Normal 7 2 2 4" xfId="18964"/>
    <cellStyle name="Normal 7 2 20" xfId="3087"/>
    <cellStyle name="Normal 7 2 21" xfId="3088"/>
    <cellStyle name="Normal 7 2 22" xfId="3089"/>
    <cellStyle name="Normal 7 2 23" xfId="3090"/>
    <cellStyle name="Normal 7 2 24" xfId="1183"/>
    <cellStyle name="Normal 7 2 25" xfId="3232"/>
    <cellStyle name="Normal 7 2 26" xfId="3337"/>
    <cellStyle name="Normal 7 2 27" xfId="1001"/>
    <cellStyle name="Normal 7 2 3" xfId="3091"/>
    <cellStyle name="Normal 7 2 3 2" xfId="18965"/>
    <cellStyle name="Normal 7 2 4" xfId="3092"/>
    <cellStyle name="Normal 7 2 4 2" xfId="18966"/>
    <cellStyle name="Normal 7 2 5" xfId="3093"/>
    <cellStyle name="Normal 7 2 6" xfId="3094"/>
    <cellStyle name="Normal 7 2 7" xfId="3095"/>
    <cellStyle name="Normal 7 2 8" xfId="3096"/>
    <cellStyle name="Normal 7 2 9" xfId="3097"/>
    <cellStyle name="Normal 7 20" xfId="3098"/>
    <cellStyle name="Normal 7 21" xfId="3099"/>
    <cellStyle name="Normal 7 22" xfId="3100"/>
    <cellStyle name="Normal 7 23" xfId="3101"/>
    <cellStyle name="Normal 7 24" xfId="3102"/>
    <cellStyle name="Normal 7 25" xfId="1114"/>
    <cellStyle name="Normal 7 26" xfId="3320"/>
    <cellStyle name="Normal 7 27" xfId="3336"/>
    <cellStyle name="Normal 7 28" xfId="993"/>
    <cellStyle name="Normal 7 3" xfId="715"/>
    <cellStyle name="Normal 7 3 2" xfId="3103"/>
    <cellStyle name="Normal 7 3 2 2" xfId="18967"/>
    <cellStyle name="Normal 7 3 3" xfId="18968"/>
    <cellStyle name="Normal 7 3 3 2" xfId="18969"/>
    <cellStyle name="Normal 7 3 4" xfId="18970"/>
    <cellStyle name="Normal 7 4" xfId="3104"/>
    <cellStyle name="Normal 7 4 2" xfId="18971"/>
    <cellStyle name="Normal 7 5" xfId="3105"/>
    <cellStyle name="Normal 7 5 2" xfId="18972"/>
    <cellStyle name="Normal 7 6" xfId="3106"/>
    <cellStyle name="Normal 7 7" xfId="3107"/>
    <cellStyle name="Normal 7 8" xfId="3108"/>
    <cellStyle name="Normal 7 9" xfId="3109"/>
    <cellStyle name="Normal 8" xfId="304"/>
    <cellStyle name="Normal 8 2" xfId="3110"/>
    <cellStyle name="Normal 9" xfId="305"/>
    <cellStyle name="Normal 9 2" xfId="3111"/>
    <cellStyle name="Normal_Demand Model Lookups" xfId="122"/>
    <cellStyle name="Normal_Inputs Yr 1" xfId="123"/>
    <cellStyle name="Normal_Inputs Yr 1 2" xfId="1006"/>
    <cellStyle name="Normal_Outsourced Budget Table" xfId="327"/>
    <cellStyle name="Normal_Sheet4" xfId="330"/>
    <cellStyle name="Note" xfId="124" builtinId="10" customBuiltin="1"/>
    <cellStyle name="Note 10" xfId="306"/>
    <cellStyle name="Note 10 2" xfId="610"/>
    <cellStyle name="Note 10 2 10" xfId="18973"/>
    <cellStyle name="Note 10 2 10 2" xfId="18974"/>
    <cellStyle name="Note 10 2 10 2 2" xfId="18975"/>
    <cellStyle name="Note 10 2 10 2 3" xfId="18976"/>
    <cellStyle name="Note 10 2 10 3" xfId="18977"/>
    <cellStyle name="Note 10 2 10 3 2" xfId="18978"/>
    <cellStyle name="Note 10 2 10 3 3" xfId="18979"/>
    <cellStyle name="Note 10 2 10 4" xfId="18980"/>
    <cellStyle name="Note 10 2 10 4 2" xfId="18981"/>
    <cellStyle name="Note 10 2 10 4 3" xfId="18982"/>
    <cellStyle name="Note 10 2 10 5" xfId="18983"/>
    <cellStyle name="Note 10 2 10 6" xfId="18984"/>
    <cellStyle name="Note 10 2 11" xfId="18985"/>
    <cellStyle name="Note 10 2 11 2" xfId="18986"/>
    <cellStyle name="Note 10 2 11 2 2" xfId="18987"/>
    <cellStyle name="Note 10 2 11 2 3" xfId="18988"/>
    <cellStyle name="Note 10 2 11 3" xfId="18989"/>
    <cellStyle name="Note 10 2 11 3 2" xfId="18990"/>
    <cellStyle name="Note 10 2 11 3 3" xfId="18991"/>
    <cellStyle name="Note 10 2 11 4" xfId="18992"/>
    <cellStyle name="Note 10 2 11 4 2" xfId="18993"/>
    <cellStyle name="Note 10 2 11 4 3" xfId="18994"/>
    <cellStyle name="Note 10 2 11 5" xfId="18995"/>
    <cellStyle name="Note 10 2 11 6" xfId="18996"/>
    <cellStyle name="Note 10 2 12" xfId="18997"/>
    <cellStyle name="Note 10 2 12 2" xfId="18998"/>
    <cellStyle name="Note 10 2 12 2 2" xfId="18999"/>
    <cellStyle name="Note 10 2 12 2 3" xfId="19000"/>
    <cellStyle name="Note 10 2 12 3" xfId="19001"/>
    <cellStyle name="Note 10 2 12 3 2" xfId="19002"/>
    <cellStyle name="Note 10 2 12 3 3" xfId="19003"/>
    <cellStyle name="Note 10 2 12 4" xfId="19004"/>
    <cellStyle name="Note 10 2 12 4 2" xfId="19005"/>
    <cellStyle name="Note 10 2 12 4 3" xfId="19006"/>
    <cellStyle name="Note 10 2 12 5" xfId="19007"/>
    <cellStyle name="Note 10 2 12 6" xfId="19008"/>
    <cellStyle name="Note 10 2 13" xfId="19009"/>
    <cellStyle name="Note 10 2 13 2" xfId="19010"/>
    <cellStyle name="Note 10 2 13 2 2" xfId="19011"/>
    <cellStyle name="Note 10 2 13 2 3" xfId="19012"/>
    <cellStyle name="Note 10 2 13 3" xfId="19013"/>
    <cellStyle name="Note 10 2 13 3 2" xfId="19014"/>
    <cellStyle name="Note 10 2 13 3 3" xfId="19015"/>
    <cellStyle name="Note 10 2 13 4" xfId="19016"/>
    <cellStyle name="Note 10 2 13 4 2" xfId="19017"/>
    <cellStyle name="Note 10 2 13 4 3" xfId="19018"/>
    <cellStyle name="Note 10 2 13 5" xfId="19019"/>
    <cellStyle name="Note 10 2 13 6" xfId="19020"/>
    <cellStyle name="Note 10 2 14" xfId="19021"/>
    <cellStyle name="Note 10 2 14 2" xfId="19022"/>
    <cellStyle name="Note 10 2 14 3" xfId="19023"/>
    <cellStyle name="Note 10 2 15" xfId="19024"/>
    <cellStyle name="Note 10 2 15 2" xfId="19025"/>
    <cellStyle name="Note 10 2 15 3" xfId="19026"/>
    <cellStyle name="Note 10 2 16" xfId="19027"/>
    <cellStyle name="Note 10 2 16 2" xfId="19028"/>
    <cellStyle name="Note 10 2 16 3" xfId="19029"/>
    <cellStyle name="Note 10 2 17" xfId="19030"/>
    <cellStyle name="Note 10 2 18" xfId="19031"/>
    <cellStyle name="Note 10 2 2" xfId="870"/>
    <cellStyle name="Note 10 2 2 10" xfId="19032"/>
    <cellStyle name="Note 10 2 2 11" xfId="19033"/>
    <cellStyle name="Note 10 2 2 2" xfId="19034"/>
    <cellStyle name="Note 10 2 2 2 2" xfId="19035"/>
    <cellStyle name="Note 10 2 2 2 2 2" xfId="19036"/>
    <cellStyle name="Note 10 2 2 2 2 3" xfId="19037"/>
    <cellStyle name="Note 10 2 2 2 3" xfId="19038"/>
    <cellStyle name="Note 10 2 2 2 3 2" xfId="19039"/>
    <cellStyle name="Note 10 2 2 2 3 3" xfId="19040"/>
    <cellStyle name="Note 10 2 2 2 4" xfId="19041"/>
    <cellStyle name="Note 10 2 2 2 4 2" xfId="19042"/>
    <cellStyle name="Note 10 2 2 2 4 3" xfId="19043"/>
    <cellStyle name="Note 10 2 2 2 5" xfId="19044"/>
    <cellStyle name="Note 10 2 2 2 6" xfId="19045"/>
    <cellStyle name="Note 10 2 2 3" xfId="19046"/>
    <cellStyle name="Note 10 2 2 3 2" xfId="19047"/>
    <cellStyle name="Note 10 2 2 3 2 2" xfId="19048"/>
    <cellStyle name="Note 10 2 2 3 2 3" xfId="19049"/>
    <cellStyle name="Note 10 2 2 3 3" xfId="19050"/>
    <cellStyle name="Note 10 2 2 3 3 2" xfId="19051"/>
    <cellStyle name="Note 10 2 2 3 3 3" xfId="19052"/>
    <cellStyle name="Note 10 2 2 3 4" xfId="19053"/>
    <cellStyle name="Note 10 2 2 3 4 2" xfId="19054"/>
    <cellStyle name="Note 10 2 2 3 4 3" xfId="19055"/>
    <cellStyle name="Note 10 2 2 3 5" xfId="19056"/>
    <cellStyle name="Note 10 2 2 3 6" xfId="19057"/>
    <cellStyle name="Note 10 2 2 4" xfId="19058"/>
    <cellStyle name="Note 10 2 2 4 2" xfId="19059"/>
    <cellStyle name="Note 10 2 2 4 2 2" xfId="19060"/>
    <cellStyle name="Note 10 2 2 4 2 3" xfId="19061"/>
    <cellStyle name="Note 10 2 2 4 3" xfId="19062"/>
    <cellStyle name="Note 10 2 2 4 3 2" xfId="19063"/>
    <cellStyle name="Note 10 2 2 4 3 3" xfId="19064"/>
    <cellStyle name="Note 10 2 2 4 4" xfId="19065"/>
    <cellStyle name="Note 10 2 2 4 4 2" xfId="19066"/>
    <cellStyle name="Note 10 2 2 4 4 3" xfId="19067"/>
    <cellStyle name="Note 10 2 2 4 5" xfId="19068"/>
    <cellStyle name="Note 10 2 2 4 6" xfId="19069"/>
    <cellStyle name="Note 10 2 2 5" xfId="19070"/>
    <cellStyle name="Note 10 2 2 5 2" xfId="19071"/>
    <cellStyle name="Note 10 2 2 5 2 2" xfId="19072"/>
    <cellStyle name="Note 10 2 2 5 2 3" xfId="19073"/>
    <cellStyle name="Note 10 2 2 5 3" xfId="19074"/>
    <cellStyle name="Note 10 2 2 5 3 2" xfId="19075"/>
    <cellStyle name="Note 10 2 2 5 3 3" xfId="19076"/>
    <cellStyle name="Note 10 2 2 5 4" xfId="19077"/>
    <cellStyle name="Note 10 2 2 5 4 2" xfId="19078"/>
    <cellStyle name="Note 10 2 2 5 4 3" xfId="19079"/>
    <cellStyle name="Note 10 2 2 5 5" xfId="19080"/>
    <cellStyle name="Note 10 2 2 5 6" xfId="19081"/>
    <cellStyle name="Note 10 2 2 6" xfId="19082"/>
    <cellStyle name="Note 10 2 2 6 2" xfId="19083"/>
    <cellStyle name="Note 10 2 2 6 2 2" xfId="19084"/>
    <cellStyle name="Note 10 2 2 6 2 3" xfId="19085"/>
    <cellStyle name="Note 10 2 2 6 3" xfId="19086"/>
    <cellStyle name="Note 10 2 2 6 3 2" xfId="19087"/>
    <cellStyle name="Note 10 2 2 6 3 3" xfId="19088"/>
    <cellStyle name="Note 10 2 2 6 4" xfId="19089"/>
    <cellStyle name="Note 10 2 2 6 4 2" xfId="19090"/>
    <cellStyle name="Note 10 2 2 6 4 3" xfId="19091"/>
    <cellStyle name="Note 10 2 2 6 5" xfId="19092"/>
    <cellStyle name="Note 10 2 2 6 6" xfId="19093"/>
    <cellStyle name="Note 10 2 2 7" xfId="19094"/>
    <cellStyle name="Note 10 2 2 7 2" xfId="19095"/>
    <cellStyle name="Note 10 2 2 7 3" xfId="19096"/>
    <cellStyle name="Note 10 2 2 8" xfId="19097"/>
    <cellStyle name="Note 10 2 2 8 2" xfId="19098"/>
    <cellStyle name="Note 10 2 2 8 3" xfId="19099"/>
    <cellStyle name="Note 10 2 2 9" xfId="19100"/>
    <cellStyle name="Note 10 2 2 9 2" xfId="19101"/>
    <cellStyle name="Note 10 2 2 9 3" xfId="19102"/>
    <cellStyle name="Note 10 2 3" xfId="935"/>
    <cellStyle name="Note 10 2 3 10" xfId="19103"/>
    <cellStyle name="Note 10 2 3 11" xfId="19104"/>
    <cellStyle name="Note 10 2 3 2" xfId="19105"/>
    <cellStyle name="Note 10 2 3 2 2" xfId="19106"/>
    <cellStyle name="Note 10 2 3 2 2 2" xfId="19107"/>
    <cellStyle name="Note 10 2 3 2 2 3" xfId="19108"/>
    <cellStyle name="Note 10 2 3 2 3" xfId="19109"/>
    <cellStyle name="Note 10 2 3 2 3 2" xfId="19110"/>
    <cellStyle name="Note 10 2 3 2 3 3" xfId="19111"/>
    <cellStyle name="Note 10 2 3 2 4" xfId="19112"/>
    <cellStyle name="Note 10 2 3 2 4 2" xfId="19113"/>
    <cellStyle name="Note 10 2 3 2 4 3" xfId="19114"/>
    <cellStyle name="Note 10 2 3 2 5" xfId="19115"/>
    <cellStyle name="Note 10 2 3 2 6" xfId="19116"/>
    <cellStyle name="Note 10 2 3 3" xfId="19117"/>
    <cellStyle name="Note 10 2 3 3 2" xfId="19118"/>
    <cellStyle name="Note 10 2 3 3 2 2" xfId="19119"/>
    <cellStyle name="Note 10 2 3 3 2 3" xfId="19120"/>
    <cellStyle name="Note 10 2 3 3 3" xfId="19121"/>
    <cellStyle name="Note 10 2 3 3 3 2" xfId="19122"/>
    <cellStyle name="Note 10 2 3 3 3 3" xfId="19123"/>
    <cellStyle name="Note 10 2 3 3 4" xfId="19124"/>
    <cellStyle name="Note 10 2 3 3 4 2" xfId="19125"/>
    <cellStyle name="Note 10 2 3 3 4 3" xfId="19126"/>
    <cellStyle name="Note 10 2 3 3 5" xfId="19127"/>
    <cellStyle name="Note 10 2 3 3 6" xfId="19128"/>
    <cellStyle name="Note 10 2 3 4" xfId="19129"/>
    <cellStyle name="Note 10 2 3 4 2" xfId="19130"/>
    <cellStyle name="Note 10 2 3 4 2 2" xfId="19131"/>
    <cellStyle name="Note 10 2 3 4 2 3" xfId="19132"/>
    <cellStyle name="Note 10 2 3 4 3" xfId="19133"/>
    <cellStyle name="Note 10 2 3 4 3 2" xfId="19134"/>
    <cellStyle name="Note 10 2 3 4 3 3" xfId="19135"/>
    <cellStyle name="Note 10 2 3 4 4" xfId="19136"/>
    <cellStyle name="Note 10 2 3 4 4 2" xfId="19137"/>
    <cellStyle name="Note 10 2 3 4 4 3" xfId="19138"/>
    <cellStyle name="Note 10 2 3 4 5" xfId="19139"/>
    <cellStyle name="Note 10 2 3 4 6" xfId="19140"/>
    <cellStyle name="Note 10 2 3 5" xfId="19141"/>
    <cellStyle name="Note 10 2 3 5 2" xfId="19142"/>
    <cellStyle name="Note 10 2 3 5 2 2" xfId="19143"/>
    <cellStyle name="Note 10 2 3 5 2 3" xfId="19144"/>
    <cellStyle name="Note 10 2 3 5 3" xfId="19145"/>
    <cellStyle name="Note 10 2 3 5 3 2" xfId="19146"/>
    <cellStyle name="Note 10 2 3 5 3 3" xfId="19147"/>
    <cellStyle name="Note 10 2 3 5 4" xfId="19148"/>
    <cellStyle name="Note 10 2 3 5 4 2" xfId="19149"/>
    <cellStyle name="Note 10 2 3 5 4 3" xfId="19150"/>
    <cellStyle name="Note 10 2 3 5 5" xfId="19151"/>
    <cellStyle name="Note 10 2 3 5 6" xfId="19152"/>
    <cellStyle name="Note 10 2 3 6" xfId="19153"/>
    <cellStyle name="Note 10 2 3 6 2" xfId="19154"/>
    <cellStyle name="Note 10 2 3 6 2 2" xfId="19155"/>
    <cellStyle name="Note 10 2 3 6 2 3" xfId="19156"/>
    <cellStyle name="Note 10 2 3 6 3" xfId="19157"/>
    <cellStyle name="Note 10 2 3 6 3 2" xfId="19158"/>
    <cellStyle name="Note 10 2 3 6 3 3" xfId="19159"/>
    <cellStyle name="Note 10 2 3 6 4" xfId="19160"/>
    <cellStyle name="Note 10 2 3 6 4 2" xfId="19161"/>
    <cellStyle name="Note 10 2 3 6 4 3" xfId="19162"/>
    <cellStyle name="Note 10 2 3 6 5" xfId="19163"/>
    <cellStyle name="Note 10 2 3 6 6" xfId="19164"/>
    <cellStyle name="Note 10 2 3 7" xfId="19165"/>
    <cellStyle name="Note 10 2 3 7 2" xfId="19166"/>
    <cellStyle name="Note 10 2 3 7 3" xfId="19167"/>
    <cellStyle name="Note 10 2 3 8" xfId="19168"/>
    <cellStyle name="Note 10 2 3 8 2" xfId="19169"/>
    <cellStyle name="Note 10 2 3 8 3" xfId="19170"/>
    <cellStyle name="Note 10 2 3 9" xfId="19171"/>
    <cellStyle name="Note 10 2 3 9 2" xfId="19172"/>
    <cellStyle name="Note 10 2 3 9 3" xfId="19173"/>
    <cellStyle name="Note 10 2 4" xfId="939"/>
    <cellStyle name="Note 10 2 4 10" xfId="19174"/>
    <cellStyle name="Note 10 2 4 11" xfId="19175"/>
    <cellStyle name="Note 10 2 4 2" xfId="19176"/>
    <cellStyle name="Note 10 2 4 2 2" xfId="19177"/>
    <cellStyle name="Note 10 2 4 2 2 2" xfId="19178"/>
    <cellStyle name="Note 10 2 4 2 2 3" xfId="19179"/>
    <cellStyle name="Note 10 2 4 2 3" xfId="19180"/>
    <cellStyle name="Note 10 2 4 2 3 2" xfId="19181"/>
    <cellStyle name="Note 10 2 4 2 3 3" xfId="19182"/>
    <cellStyle name="Note 10 2 4 2 4" xfId="19183"/>
    <cellStyle name="Note 10 2 4 2 4 2" xfId="19184"/>
    <cellStyle name="Note 10 2 4 2 4 3" xfId="19185"/>
    <cellStyle name="Note 10 2 4 2 5" xfId="19186"/>
    <cellStyle name="Note 10 2 4 2 6" xfId="19187"/>
    <cellStyle name="Note 10 2 4 3" xfId="19188"/>
    <cellStyle name="Note 10 2 4 3 2" xfId="19189"/>
    <cellStyle name="Note 10 2 4 3 2 2" xfId="19190"/>
    <cellStyle name="Note 10 2 4 3 2 3" xfId="19191"/>
    <cellStyle name="Note 10 2 4 3 3" xfId="19192"/>
    <cellStyle name="Note 10 2 4 3 3 2" xfId="19193"/>
    <cellStyle name="Note 10 2 4 3 3 3" xfId="19194"/>
    <cellStyle name="Note 10 2 4 3 4" xfId="19195"/>
    <cellStyle name="Note 10 2 4 3 4 2" xfId="19196"/>
    <cellStyle name="Note 10 2 4 3 4 3" xfId="19197"/>
    <cellStyle name="Note 10 2 4 3 5" xfId="19198"/>
    <cellStyle name="Note 10 2 4 3 6" xfId="19199"/>
    <cellStyle name="Note 10 2 4 4" xfId="19200"/>
    <cellStyle name="Note 10 2 4 4 2" xfId="19201"/>
    <cellStyle name="Note 10 2 4 4 2 2" xfId="19202"/>
    <cellStyle name="Note 10 2 4 4 2 3" xfId="19203"/>
    <cellStyle name="Note 10 2 4 4 3" xfId="19204"/>
    <cellStyle name="Note 10 2 4 4 3 2" xfId="19205"/>
    <cellStyle name="Note 10 2 4 4 3 3" xfId="19206"/>
    <cellStyle name="Note 10 2 4 4 4" xfId="19207"/>
    <cellStyle name="Note 10 2 4 4 4 2" xfId="19208"/>
    <cellStyle name="Note 10 2 4 4 4 3" xfId="19209"/>
    <cellStyle name="Note 10 2 4 4 5" xfId="19210"/>
    <cellStyle name="Note 10 2 4 4 6" xfId="19211"/>
    <cellStyle name="Note 10 2 4 5" xfId="19212"/>
    <cellStyle name="Note 10 2 4 5 2" xfId="19213"/>
    <cellStyle name="Note 10 2 4 5 2 2" xfId="19214"/>
    <cellStyle name="Note 10 2 4 5 2 3" xfId="19215"/>
    <cellStyle name="Note 10 2 4 5 3" xfId="19216"/>
    <cellStyle name="Note 10 2 4 5 3 2" xfId="19217"/>
    <cellStyle name="Note 10 2 4 5 3 3" xfId="19218"/>
    <cellStyle name="Note 10 2 4 5 4" xfId="19219"/>
    <cellStyle name="Note 10 2 4 5 4 2" xfId="19220"/>
    <cellStyle name="Note 10 2 4 5 4 3" xfId="19221"/>
    <cellStyle name="Note 10 2 4 5 5" xfId="19222"/>
    <cellStyle name="Note 10 2 4 5 6" xfId="19223"/>
    <cellStyle name="Note 10 2 4 6" xfId="19224"/>
    <cellStyle name="Note 10 2 4 6 2" xfId="19225"/>
    <cellStyle name="Note 10 2 4 6 2 2" xfId="19226"/>
    <cellStyle name="Note 10 2 4 6 2 3" xfId="19227"/>
    <cellStyle name="Note 10 2 4 6 3" xfId="19228"/>
    <cellStyle name="Note 10 2 4 6 3 2" xfId="19229"/>
    <cellStyle name="Note 10 2 4 6 3 3" xfId="19230"/>
    <cellStyle name="Note 10 2 4 6 4" xfId="19231"/>
    <cellStyle name="Note 10 2 4 6 4 2" xfId="19232"/>
    <cellStyle name="Note 10 2 4 6 4 3" xfId="19233"/>
    <cellStyle name="Note 10 2 4 6 5" xfId="19234"/>
    <cellStyle name="Note 10 2 4 6 6" xfId="19235"/>
    <cellStyle name="Note 10 2 4 7" xfId="19236"/>
    <cellStyle name="Note 10 2 4 7 2" xfId="19237"/>
    <cellStyle name="Note 10 2 4 7 3" xfId="19238"/>
    <cellStyle name="Note 10 2 4 8" xfId="19239"/>
    <cellStyle name="Note 10 2 4 8 2" xfId="19240"/>
    <cellStyle name="Note 10 2 4 8 3" xfId="19241"/>
    <cellStyle name="Note 10 2 4 9" xfId="19242"/>
    <cellStyle name="Note 10 2 4 9 2" xfId="19243"/>
    <cellStyle name="Note 10 2 4 9 3" xfId="19244"/>
    <cellStyle name="Note 10 2 5" xfId="19245"/>
    <cellStyle name="Note 10 2 5 10" xfId="19246"/>
    <cellStyle name="Note 10 2 5 11" xfId="19247"/>
    <cellStyle name="Note 10 2 5 2" xfId="19248"/>
    <cellStyle name="Note 10 2 5 2 2" xfId="19249"/>
    <cellStyle name="Note 10 2 5 2 2 2" xfId="19250"/>
    <cellStyle name="Note 10 2 5 2 2 3" xfId="19251"/>
    <cellStyle name="Note 10 2 5 2 3" xfId="19252"/>
    <cellStyle name="Note 10 2 5 2 3 2" xfId="19253"/>
    <cellStyle name="Note 10 2 5 2 3 3" xfId="19254"/>
    <cellStyle name="Note 10 2 5 2 4" xfId="19255"/>
    <cellStyle name="Note 10 2 5 2 4 2" xfId="19256"/>
    <cellStyle name="Note 10 2 5 2 4 3" xfId="19257"/>
    <cellStyle name="Note 10 2 5 2 5" xfId="19258"/>
    <cellStyle name="Note 10 2 5 2 6" xfId="19259"/>
    <cellStyle name="Note 10 2 5 3" xfId="19260"/>
    <cellStyle name="Note 10 2 5 3 2" xfId="19261"/>
    <cellStyle name="Note 10 2 5 3 2 2" xfId="19262"/>
    <cellStyle name="Note 10 2 5 3 2 3" xfId="19263"/>
    <cellStyle name="Note 10 2 5 3 3" xfId="19264"/>
    <cellStyle name="Note 10 2 5 3 3 2" xfId="19265"/>
    <cellStyle name="Note 10 2 5 3 3 3" xfId="19266"/>
    <cellStyle name="Note 10 2 5 3 4" xfId="19267"/>
    <cellStyle name="Note 10 2 5 3 4 2" xfId="19268"/>
    <cellStyle name="Note 10 2 5 3 4 3" xfId="19269"/>
    <cellStyle name="Note 10 2 5 3 5" xfId="19270"/>
    <cellStyle name="Note 10 2 5 3 6" xfId="19271"/>
    <cellStyle name="Note 10 2 5 4" xfId="19272"/>
    <cellStyle name="Note 10 2 5 4 2" xfId="19273"/>
    <cellStyle name="Note 10 2 5 4 2 2" xfId="19274"/>
    <cellStyle name="Note 10 2 5 4 2 3" xfId="19275"/>
    <cellStyle name="Note 10 2 5 4 3" xfId="19276"/>
    <cellStyle name="Note 10 2 5 4 3 2" xfId="19277"/>
    <cellStyle name="Note 10 2 5 4 3 3" xfId="19278"/>
    <cellStyle name="Note 10 2 5 4 4" xfId="19279"/>
    <cellStyle name="Note 10 2 5 4 4 2" xfId="19280"/>
    <cellStyle name="Note 10 2 5 4 4 3" xfId="19281"/>
    <cellStyle name="Note 10 2 5 4 5" xfId="19282"/>
    <cellStyle name="Note 10 2 5 4 6" xfId="19283"/>
    <cellStyle name="Note 10 2 5 5" xfId="19284"/>
    <cellStyle name="Note 10 2 5 5 2" xfId="19285"/>
    <cellStyle name="Note 10 2 5 5 2 2" xfId="19286"/>
    <cellStyle name="Note 10 2 5 5 2 3" xfId="19287"/>
    <cellStyle name="Note 10 2 5 5 3" xfId="19288"/>
    <cellStyle name="Note 10 2 5 5 3 2" xfId="19289"/>
    <cellStyle name="Note 10 2 5 5 3 3" xfId="19290"/>
    <cellStyle name="Note 10 2 5 5 4" xfId="19291"/>
    <cellStyle name="Note 10 2 5 5 4 2" xfId="19292"/>
    <cellStyle name="Note 10 2 5 5 4 3" xfId="19293"/>
    <cellStyle name="Note 10 2 5 5 5" xfId="19294"/>
    <cellStyle name="Note 10 2 5 5 6" xfId="19295"/>
    <cellStyle name="Note 10 2 5 6" xfId="19296"/>
    <cellStyle name="Note 10 2 5 6 2" xfId="19297"/>
    <cellStyle name="Note 10 2 5 6 2 2" xfId="19298"/>
    <cellStyle name="Note 10 2 5 6 2 3" xfId="19299"/>
    <cellStyle name="Note 10 2 5 6 3" xfId="19300"/>
    <cellStyle name="Note 10 2 5 6 3 2" xfId="19301"/>
    <cellStyle name="Note 10 2 5 6 3 3" xfId="19302"/>
    <cellStyle name="Note 10 2 5 6 4" xfId="19303"/>
    <cellStyle name="Note 10 2 5 6 4 2" xfId="19304"/>
    <cellStyle name="Note 10 2 5 6 4 3" xfId="19305"/>
    <cellStyle name="Note 10 2 5 6 5" xfId="19306"/>
    <cellStyle name="Note 10 2 5 6 6" xfId="19307"/>
    <cellStyle name="Note 10 2 5 7" xfId="19308"/>
    <cellStyle name="Note 10 2 5 7 2" xfId="19309"/>
    <cellStyle name="Note 10 2 5 7 3" xfId="19310"/>
    <cellStyle name="Note 10 2 5 8" xfId="19311"/>
    <cellStyle name="Note 10 2 5 8 2" xfId="19312"/>
    <cellStyle name="Note 10 2 5 8 3" xfId="19313"/>
    <cellStyle name="Note 10 2 5 9" xfId="19314"/>
    <cellStyle name="Note 10 2 5 9 2" xfId="19315"/>
    <cellStyle name="Note 10 2 5 9 3" xfId="19316"/>
    <cellStyle name="Note 10 2 6" xfId="19317"/>
    <cellStyle name="Note 10 2 6 2" xfId="19318"/>
    <cellStyle name="Note 10 2 6 2 2" xfId="19319"/>
    <cellStyle name="Note 10 2 6 2 3" xfId="19320"/>
    <cellStyle name="Note 10 2 6 3" xfId="19321"/>
    <cellStyle name="Note 10 2 6 3 2" xfId="19322"/>
    <cellStyle name="Note 10 2 6 3 3" xfId="19323"/>
    <cellStyle name="Note 10 2 6 4" xfId="19324"/>
    <cellStyle name="Note 10 2 6 4 2" xfId="19325"/>
    <cellStyle name="Note 10 2 6 4 3" xfId="19326"/>
    <cellStyle name="Note 10 2 6 5" xfId="19327"/>
    <cellStyle name="Note 10 2 6 6" xfId="19328"/>
    <cellStyle name="Note 10 2 7" xfId="19329"/>
    <cellStyle name="Note 10 2 7 2" xfId="19330"/>
    <cellStyle name="Note 10 2 7 2 2" xfId="19331"/>
    <cellStyle name="Note 10 2 7 2 3" xfId="19332"/>
    <cellStyle name="Note 10 2 7 3" xfId="19333"/>
    <cellStyle name="Note 10 2 7 3 2" xfId="19334"/>
    <cellStyle name="Note 10 2 7 3 3" xfId="19335"/>
    <cellStyle name="Note 10 2 7 4" xfId="19336"/>
    <cellStyle name="Note 10 2 7 4 2" xfId="19337"/>
    <cellStyle name="Note 10 2 7 4 3" xfId="19338"/>
    <cellStyle name="Note 10 2 7 5" xfId="19339"/>
    <cellStyle name="Note 10 2 7 6" xfId="19340"/>
    <cellStyle name="Note 10 2 8" xfId="19341"/>
    <cellStyle name="Note 10 2 8 2" xfId="19342"/>
    <cellStyle name="Note 10 2 8 2 2" xfId="19343"/>
    <cellStyle name="Note 10 2 8 2 3" xfId="19344"/>
    <cellStyle name="Note 10 2 8 3" xfId="19345"/>
    <cellStyle name="Note 10 2 8 3 2" xfId="19346"/>
    <cellStyle name="Note 10 2 8 3 3" xfId="19347"/>
    <cellStyle name="Note 10 2 8 4" xfId="19348"/>
    <cellStyle name="Note 10 2 8 4 2" xfId="19349"/>
    <cellStyle name="Note 10 2 8 4 3" xfId="19350"/>
    <cellStyle name="Note 10 2 8 5" xfId="19351"/>
    <cellStyle name="Note 10 2 8 6" xfId="19352"/>
    <cellStyle name="Note 10 2 9" xfId="19353"/>
    <cellStyle name="Note 10 2 9 2" xfId="19354"/>
    <cellStyle name="Note 10 2 9 2 2" xfId="19355"/>
    <cellStyle name="Note 10 2 9 2 3" xfId="19356"/>
    <cellStyle name="Note 10 2 9 3" xfId="19357"/>
    <cellStyle name="Note 10 2 9 3 2" xfId="19358"/>
    <cellStyle name="Note 10 2 9 3 3" xfId="19359"/>
    <cellStyle name="Note 10 2 9 4" xfId="19360"/>
    <cellStyle name="Note 10 2 9 4 2" xfId="19361"/>
    <cellStyle name="Note 10 2 9 4 3" xfId="19362"/>
    <cellStyle name="Note 10 2 9 5" xfId="19363"/>
    <cellStyle name="Note 10 2 9 6" xfId="19364"/>
    <cellStyle name="Note 10 3" xfId="1162"/>
    <cellStyle name="Note 10 3 10" xfId="19365"/>
    <cellStyle name="Note 10 3 11" xfId="19366"/>
    <cellStyle name="Note 10 3 2" xfId="19367"/>
    <cellStyle name="Note 10 3 2 2" xfId="19368"/>
    <cellStyle name="Note 10 3 2 2 2" xfId="19369"/>
    <cellStyle name="Note 10 3 2 2 3" xfId="19370"/>
    <cellStyle name="Note 10 3 2 3" xfId="19371"/>
    <cellStyle name="Note 10 3 2 3 2" xfId="19372"/>
    <cellStyle name="Note 10 3 2 3 3" xfId="19373"/>
    <cellStyle name="Note 10 3 2 4" xfId="19374"/>
    <cellStyle name="Note 10 3 2 4 2" xfId="19375"/>
    <cellStyle name="Note 10 3 2 4 3" xfId="19376"/>
    <cellStyle name="Note 10 3 2 5" xfId="19377"/>
    <cellStyle name="Note 10 3 2 6" xfId="19378"/>
    <cellStyle name="Note 10 3 3" xfId="19379"/>
    <cellStyle name="Note 10 3 3 2" xfId="19380"/>
    <cellStyle name="Note 10 3 3 2 2" xfId="19381"/>
    <cellStyle name="Note 10 3 3 2 3" xfId="19382"/>
    <cellStyle name="Note 10 3 3 3" xfId="19383"/>
    <cellStyle name="Note 10 3 3 3 2" xfId="19384"/>
    <cellStyle name="Note 10 3 3 3 3" xfId="19385"/>
    <cellStyle name="Note 10 3 3 4" xfId="19386"/>
    <cellStyle name="Note 10 3 3 4 2" xfId="19387"/>
    <cellStyle name="Note 10 3 3 4 3" xfId="19388"/>
    <cellStyle name="Note 10 3 3 5" xfId="19389"/>
    <cellStyle name="Note 10 3 3 6" xfId="19390"/>
    <cellStyle name="Note 10 3 4" xfId="19391"/>
    <cellStyle name="Note 10 3 4 2" xfId="19392"/>
    <cellStyle name="Note 10 3 4 2 2" xfId="19393"/>
    <cellStyle name="Note 10 3 4 2 3" xfId="19394"/>
    <cellStyle name="Note 10 3 4 3" xfId="19395"/>
    <cellStyle name="Note 10 3 4 3 2" xfId="19396"/>
    <cellStyle name="Note 10 3 4 3 3" xfId="19397"/>
    <cellStyle name="Note 10 3 4 4" xfId="19398"/>
    <cellStyle name="Note 10 3 4 4 2" xfId="19399"/>
    <cellStyle name="Note 10 3 4 4 3" xfId="19400"/>
    <cellStyle name="Note 10 3 4 5" xfId="19401"/>
    <cellStyle name="Note 10 3 4 6" xfId="19402"/>
    <cellStyle name="Note 10 3 5" xfId="19403"/>
    <cellStyle name="Note 10 3 5 2" xfId="19404"/>
    <cellStyle name="Note 10 3 5 2 2" xfId="19405"/>
    <cellStyle name="Note 10 3 5 2 3" xfId="19406"/>
    <cellStyle name="Note 10 3 5 3" xfId="19407"/>
    <cellStyle name="Note 10 3 5 3 2" xfId="19408"/>
    <cellStyle name="Note 10 3 5 3 3" xfId="19409"/>
    <cellStyle name="Note 10 3 5 4" xfId="19410"/>
    <cellStyle name="Note 10 3 5 4 2" xfId="19411"/>
    <cellStyle name="Note 10 3 5 4 3" xfId="19412"/>
    <cellStyle name="Note 10 3 5 5" xfId="19413"/>
    <cellStyle name="Note 10 3 5 6" xfId="19414"/>
    <cellStyle name="Note 10 3 6" xfId="19415"/>
    <cellStyle name="Note 10 3 6 2" xfId="19416"/>
    <cellStyle name="Note 10 3 6 2 2" xfId="19417"/>
    <cellStyle name="Note 10 3 6 2 3" xfId="19418"/>
    <cellStyle name="Note 10 3 6 3" xfId="19419"/>
    <cellStyle name="Note 10 3 6 3 2" xfId="19420"/>
    <cellStyle name="Note 10 3 6 3 3" xfId="19421"/>
    <cellStyle name="Note 10 3 6 4" xfId="19422"/>
    <cellStyle name="Note 10 3 6 4 2" xfId="19423"/>
    <cellStyle name="Note 10 3 6 4 3" xfId="19424"/>
    <cellStyle name="Note 10 3 6 5" xfId="19425"/>
    <cellStyle name="Note 10 3 6 6" xfId="19426"/>
    <cellStyle name="Note 10 3 7" xfId="19427"/>
    <cellStyle name="Note 10 3 7 2" xfId="19428"/>
    <cellStyle name="Note 10 3 7 3" xfId="19429"/>
    <cellStyle name="Note 10 3 8" xfId="19430"/>
    <cellStyle name="Note 10 3 8 2" xfId="19431"/>
    <cellStyle name="Note 10 3 8 3" xfId="19432"/>
    <cellStyle name="Note 10 3 9" xfId="19433"/>
    <cellStyle name="Note 10 3 9 2" xfId="19434"/>
    <cellStyle name="Note 10 3 9 3" xfId="19435"/>
    <cellStyle name="Note 10 4" xfId="1160"/>
    <cellStyle name="Note 10 5" xfId="3269"/>
    <cellStyle name="Note 10 6" xfId="3292"/>
    <cellStyle name="Note 10 7" xfId="3305"/>
    <cellStyle name="Note 11" xfId="709"/>
    <cellStyle name="Note 11 10" xfId="19436"/>
    <cellStyle name="Note 11 10 2" xfId="19437"/>
    <cellStyle name="Note 11 10 2 2" xfId="19438"/>
    <cellStyle name="Note 11 10 2 3" xfId="19439"/>
    <cellStyle name="Note 11 10 3" xfId="19440"/>
    <cellStyle name="Note 11 10 3 2" xfId="19441"/>
    <cellStyle name="Note 11 10 3 3" xfId="19442"/>
    <cellStyle name="Note 11 10 4" xfId="19443"/>
    <cellStyle name="Note 11 10 4 2" xfId="19444"/>
    <cellStyle name="Note 11 10 4 3" xfId="19445"/>
    <cellStyle name="Note 11 10 5" xfId="19446"/>
    <cellStyle name="Note 11 10 6" xfId="19447"/>
    <cellStyle name="Note 11 11" xfId="19448"/>
    <cellStyle name="Note 11 11 2" xfId="19449"/>
    <cellStyle name="Note 11 11 2 2" xfId="19450"/>
    <cellStyle name="Note 11 11 2 3" xfId="19451"/>
    <cellStyle name="Note 11 11 3" xfId="19452"/>
    <cellStyle name="Note 11 11 3 2" xfId="19453"/>
    <cellStyle name="Note 11 11 3 3" xfId="19454"/>
    <cellStyle name="Note 11 11 4" xfId="19455"/>
    <cellStyle name="Note 11 11 4 2" xfId="19456"/>
    <cellStyle name="Note 11 11 4 3" xfId="19457"/>
    <cellStyle name="Note 11 11 5" xfId="19458"/>
    <cellStyle name="Note 11 11 6" xfId="19459"/>
    <cellStyle name="Note 11 12" xfId="19460"/>
    <cellStyle name="Note 11 12 2" xfId="19461"/>
    <cellStyle name="Note 11 12 2 2" xfId="19462"/>
    <cellStyle name="Note 11 12 2 3" xfId="19463"/>
    <cellStyle name="Note 11 12 3" xfId="19464"/>
    <cellStyle name="Note 11 12 3 2" xfId="19465"/>
    <cellStyle name="Note 11 12 3 3" xfId="19466"/>
    <cellStyle name="Note 11 12 4" xfId="19467"/>
    <cellStyle name="Note 11 12 4 2" xfId="19468"/>
    <cellStyle name="Note 11 12 4 3" xfId="19469"/>
    <cellStyle name="Note 11 12 5" xfId="19470"/>
    <cellStyle name="Note 11 12 6" xfId="19471"/>
    <cellStyle name="Note 11 13" xfId="19472"/>
    <cellStyle name="Note 11 13 2" xfId="19473"/>
    <cellStyle name="Note 11 13 2 2" xfId="19474"/>
    <cellStyle name="Note 11 13 2 3" xfId="19475"/>
    <cellStyle name="Note 11 13 3" xfId="19476"/>
    <cellStyle name="Note 11 13 3 2" xfId="19477"/>
    <cellStyle name="Note 11 13 3 3" xfId="19478"/>
    <cellStyle name="Note 11 13 4" xfId="19479"/>
    <cellStyle name="Note 11 13 4 2" xfId="19480"/>
    <cellStyle name="Note 11 13 4 3" xfId="19481"/>
    <cellStyle name="Note 11 13 5" xfId="19482"/>
    <cellStyle name="Note 11 13 6" xfId="19483"/>
    <cellStyle name="Note 11 14" xfId="19484"/>
    <cellStyle name="Note 11 14 2" xfId="19485"/>
    <cellStyle name="Note 11 14 3" xfId="19486"/>
    <cellStyle name="Note 11 15" xfId="19487"/>
    <cellStyle name="Note 11 15 2" xfId="19488"/>
    <cellStyle name="Note 11 15 3" xfId="19489"/>
    <cellStyle name="Note 11 16" xfId="19490"/>
    <cellStyle name="Note 11 16 2" xfId="19491"/>
    <cellStyle name="Note 11 16 3" xfId="19492"/>
    <cellStyle name="Note 11 17" xfId="19493"/>
    <cellStyle name="Note 11 18" xfId="19494"/>
    <cellStyle name="Note 11 2" xfId="19495"/>
    <cellStyle name="Note 11 2 10" xfId="19496"/>
    <cellStyle name="Note 11 2 11" xfId="19497"/>
    <cellStyle name="Note 11 2 2" xfId="19498"/>
    <cellStyle name="Note 11 2 2 2" xfId="19499"/>
    <cellStyle name="Note 11 2 2 2 2" xfId="19500"/>
    <cellStyle name="Note 11 2 2 2 3" xfId="19501"/>
    <cellStyle name="Note 11 2 2 3" xfId="19502"/>
    <cellStyle name="Note 11 2 2 3 2" xfId="19503"/>
    <cellStyle name="Note 11 2 2 3 3" xfId="19504"/>
    <cellStyle name="Note 11 2 2 4" xfId="19505"/>
    <cellStyle name="Note 11 2 2 4 2" xfId="19506"/>
    <cellStyle name="Note 11 2 2 4 3" xfId="19507"/>
    <cellStyle name="Note 11 2 2 5" xfId="19508"/>
    <cellStyle name="Note 11 2 2 6" xfId="19509"/>
    <cellStyle name="Note 11 2 3" xfId="19510"/>
    <cellStyle name="Note 11 2 3 2" xfId="19511"/>
    <cellStyle name="Note 11 2 3 2 2" xfId="19512"/>
    <cellStyle name="Note 11 2 3 2 3" xfId="19513"/>
    <cellStyle name="Note 11 2 3 3" xfId="19514"/>
    <cellStyle name="Note 11 2 3 3 2" xfId="19515"/>
    <cellStyle name="Note 11 2 3 3 3" xfId="19516"/>
    <cellStyle name="Note 11 2 3 4" xfId="19517"/>
    <cellStyle name="Note 11 2 3 4 2" xfId="19518"/>
    <cellStyle name="Note 11 2 3 4 3" xfId="19519"/>
    <cellStyle name="Note 11 2 3 5" xfId="19520"/>
    <cellStyle name="Note 11 2 3 6" xfId="19521"/>
    <cellStyle name="Note 11 2 4" xfId="19522"/>
    <cellStyle name="Note 11 2 4 2" xfId="19523"/>
    <cellStyle name="Note 11 2 4 2 2" xfId="19524"/>
    <cellStyle name="Note 11 2 4 2 3" xfId="19525"/>
    <cellStyle name="Note 11 2 4 3" xfId="19526"/>
    <cellStyle name="Note 11 2 4 3 2" xfId="19527"/>
    <cellStyle name="Note 11 2 4 3 3" xfId="19528"/>
    <cellStyle name="Note 11 2 4 4" xfId="19529"/>
    <cellStyle name="Note 11 2 4 4 2" xfId="19530"/>
    <cellStyle name="Note 11 2 4 4 3" xfId="19531"/>
    <cellStyle name="Note 11 2 4 5" xfId="19532"/>
    <cellStyle name="Note 11 2 4 6" xfId="19533"/>
    <cellStyle name="Note 11 2 5" xfId="19534"/>
    <cellStyle name="Note 11 2 5 2" xfId="19535"/>
    <cellStyle name="Note 11 2 5 2 2" xfId="19536"/>
    <cellStyle name="Note 11 2 5 2 3" xfId="19537"/>
    <cellStyle name="Note 11 2 5 3" xfId="19538"/>
    <cellStyle name="Note 11 2 5 3 2" xfId="19539"/>
    <cellStyle name="Note 11 2 5 3 3" xfId="19540"/>
    <cellStyle name="Note 11 2 5 4" xfId="19541"/>
    <cellStyle name="Note 11 2 5 4 2" xfId="19542"/>
    <cellStyle name="Note 11 2 5 4 3" xfId="19543"/>
    <cellStyle name="Note 11 2 5 5" xfId="19544"/>
    <cellStyle name="Note 11 2 5 6" xfId="19545"/>
    <cellStyle name="Note 11 2 6" xfId="19546"/>
    <cellStyle name="Note 11 2 6 2" xfId="19547"/>
    <cellStyle name="Note 11 2 6 2 2" xfId="19548"/>
    <cellStyle name="Note 11 2 6 2 3" xfId="19549"/>
    <cellStyle name="Note 11 2 6 3" xfId="19550"/>
    <cellStyle name="Note 11 2 6 3 2" xfId="19551"/>
    <cellStyle name="Note 11 2 6 3 3" xfId="19552"/>
    <cellStyle name="Note 11 2 6 4" xfId="19553"/>
    <cellStyle name="Note 11 2 6 4 2" xfId="19554"/>
    <cellStyle name="Note 11 2 6 4 3" xfId="19555"/>
    <cellStyle name="Note 11 2 6 5" xfId="19556"/>
    <cellStyle name="Note 11 2 6 6" xfId="19557"/>
    <cellStyle name="Note 11 2 7" xfId="19558"/>
    <cellStyle name="Note 11 2 7 2" xfId="19559"/>
    <cellStyle name="Note 11 2 7 3" xfId="19560"/>
    <cellStyle name="Note 11 2 8" xfId="19561"/>
    <cellStyle name="Note 11 2 8 2" xfId="19562"/>
    <cellStyle name="Note 11 2 8 3" xfId="19563"/>
    <cellStyle name="Note 11 2 9" xfId="19564"/>
    <cellStyle name="Note 11 2 9 2" xfId="19565"/>
    <cellStyle name="Note 11 2 9 3" xfId="19566"/>
    <cellStyle name="Note 11 3" xfId="19567"/>
    <cellStyle name="Note 11 3 10" xfId="19568"/>
    <cellStyle name="Note 11 3 11" xfId="19569"/>
    <cellStyle name="Note 11 3 2" xfId="19570"/>
    <cellStyle name="Note 11 3 2 2" xfId="19571"/>
    <cellStyle name="Note 11 3 2 2 2" xfId="19572"/>
    <cellStyle name="Note 11 3 2 2 3" xfId="19573"/>
    <cellStyle name="Note 11 3 2 3" xfId="19574"/>
    <cellStyle name="Note 11 3 2 3 2" xfId="19575"/>
    <cellStyle name="Note 11 3 2 3 3" xfId="19576"/>
    <cellStyle name="Note 11 3 2 4" xfId="19577"/>
    <cellStyle name="Note 11 3 2 4 2" xfId="19578"/>
    <cellStyle name="Note 11 3 2 4 3" xfId="19579"/>
    <cellStyle name="Note 11 3 2 5" xfId="19580"/>
    <cellStyle name="Note 11 3 2 6" xfId="19581"/>
    <cellStyle name="Note 11 3 3" xfId="19582"/>
    <cellStyle name="Note 11 3 3 2" xfId="19583"/>
    <cellStyle name="Note 11 3 3 2 2" xfId="19584"/>
    <cellStyle name="Note 11 3 3 2 3" xfId="19585"/>
    <cellStyle name="Note 11 3 3 3" xfId="19586"/>
    <cellStyle name="Note 11 3 3 3 2" xfId="19587"/>
    <cellStyle name="Note 11 3 3 3 3" xfId="19588"/>
    <cellStyle name="Note 11 3 3 4" xfId="19589"/>
    <cellStyle name="Note 11 3 3 4 2" xfId="19590"/>
    <cellStyle name="Note 11 3 3 4 3" xfId="19591"/>
    <cellStyle name="Note 11 3 3 5" xfId="19592"/>
    <cellStyle name="Note 11 3 3 6" xfId="19593"/>
    <cellStyle name="Note 11 3 4" xfId="19594"/>
    <cellStyle name="Note 11 3 4 2" xfId="19595"/>
    <cellStyle name="Note 11 3 4 2 2" xfId="19596"/>
    <cellStyle name="Note 11 3 4 2 3" xfId="19597"/>
    <cellStyle name="Note 11 3 4 3" xfId="19598"/>
    <cellStyle name="Note 11 3 4 3 2" xfId="19599"/>
    <cellStyle name="Note 11 3 4 3 3" xfId="19600"/>
    <cellStyle name="Note 11 3 4 4" xfId="19601"/>
    <cellStyle name="Note 11 3 4 4 2" xfId="19602"/>
    <cellStyle name="Note 11 3 4 4 3" xfId="19603"/>
    <cellStyle name="Note 11 3 4 5" xfId="19604"/>
    <cellStyle name="Note 11 3 4 6" xfId="19605"/>
    <cellStyle name="Note 11 3 5" xfId="19606"/>
    <cellStyle name="Note 11 3 5 2" xfId="19607"/>
    <cellStyle name="Note 11 3 5 2 2" xfId="19608"/>
    <cellStyle name="Note 11 3 5 2 3" xfId="19609"/>
    <cellStyle name="Note 11 3 5 3" xfId="19610"/>
    <cellStyle name="Note 11 3 5 3 2" xfId="19611"/>
    <cellStyle name="Note 11 3 5 3 3" xfId="19612"/>
    <cellStyle name="Note 11 3 5 4" xfId="19613"/>
    <cellStyle name="Note 11 3 5 4 2" xfId="19614"/>
    <cellStyle name="Note 11 3 5 4 3" xfId="19615"/>
    <cellStyle name="Note 11 3 5 5" xfId="19616"/>
    <cellStyle name="Note 11 3 5 6" xfId="19617"/>
    <cellStyle name="Note 11 3 6" xfId="19618"/>
    <cellStyle name="Note 11 3 6 2" xfId="19619"/>
    <cellStyle name="Note 11 3 6 2 2" xfId="19620"/>
    <cellStyle name="Note 11 3 6 2 3" xfId="19621"/>
    <cellStyle name="Note 11 3 6 3" xfId="19622"/>
    <cellStyle name="Note 11 3 6 3 2" xfId="19623"/>
    <cellStyle name="Note 11 3 6 3 3" xfId="19624"/>
    <cellStyle name="Note 11 3 6 4" xfId="19625"/>
    <cellStyle name="Note 11 3 6 4 2" xfId="19626"/>
    <cellStyle name="Note 11 3 6 4 3" xfId="19627"/>
    <cellStyle name="Note 11 3 6 5" xfId="19628"/>
    <cellStyle name="Note 11 3 6 6" xfId="19629"/>
    <cellStyle name="Note 11 3 7" xfId="19630"/>
    <cellStyle name="Note 11 3 7 2" xfId="19631"/>
    <cellStyle name="Note 11 3 7 3" xfId="19632"/>
    <cellStyle name="Note 11 3 8" xfId="19633"/>
    <cellStyle name="Note 11 3 8 2" xfId="19634"/>
    <cellStyle name="Note 11 3 8 3" xfId="19635"/>
    <cellStyle name="Note 11 3 9" xfId="19636"/>
    <cellStyle name="Note 11 3 9 2" xfId="19637"/>
    <cellStyle name="Note 11 3 9 3" xfId="19638"/>
    <cellStyle name="Note 11 4" xfId="19639"/>
    <cellStyle name="Note 11 4 10" xfId="19640"/>
    <cellStyle name="Note 11 4 11" xfId="19641"/>
    <cellStyle name="Note 11 4 2" xfId="19642"/>
    <cellStyle name="Note 11 4 2 2" xfId="19643"/>
    <cellStyle name="Note 11 4 2 2 2" xfId="19644"/>
    <cellStyle name="Note 11 4 2 2 3" xfId="19645"/>
    <cellStyle name="Note 11 4 2 3" xfId="19646"/>
    <cellStyle name="Note 11 4 2 3 2" xfId="19647"/>
    <cellStyle name="Note 11 4 2 3 3" xfId="19648"/>
    <cellStyle name="Note 11 4 2 4" xfId="19649"/>
    <cellStyle name="Note 11 4 2 4 2" xfId="19650"/>
    <cellStyle name="Note 11 4 2 4 3" xfId="19651"/>
    <cellStyle name="Note 11 4 2 5" xfId="19652"/>
    <cellStyle name="Note 11 4 2 6" xfId="19653"/>
    <cellStyle name="Note 11 4 3" xfId="19654"/>
    <cellStyle name="Note 11 4 3 2" xfId="19655"/>
    <cellStyle name="Note 11 4 3 2 2" xfId="19656"/>
    <cellStyle name="Note 11 4 3 2 3" xfId="19657"/>
    <cellStyle name="Note 11 4 3 3" xfId="19658"/>
    <cellStyle name="Note 11 4 3 3 2" xfId="19659"/>
    <cellStyle name="Note 11 4 3 3 3" xfId="19660"/>
    <cellStyle name="Note 11 4 3 4" xfId="19661"/>
    <cellStyle name="Note 11 4 3 4 2" xfId="19662"/>
    <cellStyle name="Note 11 4 3 4 3" xfId="19663"/>
    <cellStyle name="Note 11 4 3 5" xfId="19664"/>
    <cellStyle name="Note 11 4 3 6" xfId="19665"/>
    <cellStyle name="Note 11 4 4" xfId="19666"/>
    <cellStyle name="Note 11 4 4 2" xfId="19667"/>
    <cellStyle name="Note 11 4 4 2 2" xfId="19668"/>
    <cellStyle name="Note 11 4 4 2 3" xfId="19669"/>
    <cellStyle name="Note 11 4 4 3" xfId="19670"/>
    <cellStyle name="Note 11 4 4 3 2" xfId="19671"/>
    <cellStyle name="Note 11 4 4 3 3" xfId="19672"/>
    <cellStyle name="Note 11 4 4 4" xfId="19673"/>
    <cellStyle name="Note 11 4 4 4 2" xfId="19674"/>
    <cellStyle name="Note 11 4 4 4 3" xfId="19675"/>
    <cellStyle name="Note 11 4 4 5" xfId="19676"/>
    <cellStyle name="Note 11 4 4 6" xfId="19677"/>
    <cellStyle name="Note 11 4 5" xfId="19678"/>
    <cellStyle name="Note 11 4 5 2" xfId="19679"/>
    <cellStyle name="Note 11 4 5 2 2" xfId="19680"/>
    <cellStyle name="Note 11 4 5 2 3" xfId="19681"/>
    <cellStyle name="Note 11 4 5 3" xfId="19682"/>
    <cellStyle name="Note 11 4 5 3 2" xfId="19683"/>
    <cellStyle name="Note 11 4 5 3 3" xfId="19684"/>
    <cellStyle name="Note 11 4 5 4" xfId="19685"/>
    <cellStyle name="Note 11 4 5 4 2" xfId="19686"/>
    <cellStyle name="Note 11 4 5 4 3" xfId="19687"/>
    <cellStyle name="Note 11 4 5 5" xfId="19688"/>
    <cellStyle name="Note 11 4 5 6" xfId="19689"/>
    <cellStyle name="Note 11 4 6" xfId="19690"/>
    <cellStyle name="Note 11 4 6 2" xfId="19691"/>
    <cellStyle name="Note 11 4 6 2 2" xfId="19692"/>
    <cellStyle name="Note 11 4 6 2 3" xfId="19693"/>
    <cellStyle name="Note 11 4 6 3" xfId="19694"/>
    <cellStyle name="Note 11 4 6 3 2" xfId="19695"/>
    <cellStyle name="Note 11 4 6 3 3" xfId="19696"/>
    <cellStyle name="Note 11 4 6 4" xfId="19697"/>
    <cellStyle name="Note 11 4 6 4 2" xfId="19698"/>
    <cellStyle name="Note 11 4 6 4 3" xfId="19699"/>
    <cellStyle name="Note 11 4 6 5" xfId="19700"/>
    <cellStyle name="Note 11 4 6 6" xfId="19701"/>
    <cellStyle name="Note 11 4 7" xfId="19702"/>
    <cellStyle name="Note 11 4 7 2" xfId="19703"/>
    <cellStyle name="Note 11 4 7 3" xfId="19704"/>
    <cellStyle name="Note 11 4 8" xfId="19705"/>
    <cellStyle name="Note 11 4 8 2" xfId="19706"/>
    <cellStyle name="Note 11 4 8 3" xfId="19707"/>
    <cellStyle name="Note 11 4 9" xfId="19708"/>
    <cellStyle name="Note 11 4 9 2" xfId="19709"/>
    <cellStyle name="Note 11 4 9 3" xfId="19710"/>
    <cellStyle name="Note 11 5" xfId="19711"/>
    <cellStyle name="Note 11 5 10" xfId="19712"/>
    <cellStyle name="Note 11 5 11" xfId="19713"/>
    <cellStyle name="Note 11 5 2" xfId="19714"/>
    <cellStyle name="Note 11 5 2 2" xfId="19715"/>
    <cellStyle name="Note 11 5 2 2 2" xfId="19716"/>
    <cellStyle name="Note 11 5 2 2 3" xfId="19717"/>
    <cellStyle name="Note 11 5 2 3" xfId="19718"/>
    <cellStyle name="Note 11 5 2 3 2" xfId="19719"/>
    <cellStyle name="Note 11 5 2 3 3" xfId="19720"/>
    <cellStyle name="Note 11 5 2 4" xfId="19721"/>
    <cellStyle name="Note 11 5 2 4 2" xfId="19722"/>
    <cellStyle name="Note 11 5 2 4 3" xfId="19723"/>
    <cellStyle name="Note 11 5 2 5" xfId="19724"/>
    <cellStyle name="Note 11 5 2 6" xfId="19725"/>
    <cellStyle name="Note 11 5 3" xfId="19726"/>
    <cellStyle name="Note 11 5 3 2" xfId="19727"/>
    <cellStyle name="Note 11 5 3 2 2" xfId="19728"/>
    <cellStyle name="Note 11 5 3 2 3" xfId="19729"/>
    <cellStyle name="Note 11 5 3 3" xfId="19730"/>
    <cellStyle name="Note 11 5 3 3 2" xfId="19731"/>
    <cellStyle name="Note 11 5 3 3 3" xfId="19732"/>
    <cellStyle name="Note 11 5 3 4" xfId="19733"/>
    <cellStyle name="Note 11 5 3 4 2" xfId="19734"/>
    <cellStyle name="Note 11 5 3 4 3" xfId="19735"/>
    <cellStyle name="Note 11 5 3 5" xfId="19736"/>
    <cellStyle name="Note 11 5 3 6" xfId="19737"/>
    <cellStyle name="Note 11 5 4" xfId="19738"/>
    <cellStyle name="Note 11 5 4 2" xfId="19739"/>
    <cellStyle name="Note 11 5 4 2 2" xfId="19740"/>
    <cellStyle name="Note 11 5 4 2 3" xfId="19741"/>
    <cellStyle name="Note 11 5 4 3" xfId="19742"/>
    <cellStyle name="Note 11 5 4 3 2" xfId="19743"/>
    <cellStyle name="Note 11 5 4 3 3" xfId="19744"/>
    <cellStyle name="Note 11 5 4 4" xfId="19745"/>
    <cellStyle name="Note 11 5 4 4 2" xfId="19746"/>
    <cellStyle name="Note 11 5 4 4 3" xfId="19747"/>
    <cellStyle name="Note 11 5 4 5" xfId="19748"/>
    <cellStyle name="Note 11 5 4 6" xfId="19749"/>
    <cellStyle name="Note 11 5 5" xfId="19750"/>
    <cellStyle name="Note 11 5 5 2" xfId="19751"/>
    <cellStyle name="Note 11 5 5 2 2" xfId="19752"/>
    <cellStyle name="Note 11 5 5 2 3" xfId="19753"/>
    <cellStyle name="Note 11 5 5 3" xfId="19754"/>
    <cellStyle name="Note 11 5 5 3 2" xfId="19755"/>
    <cellStyle name="Note 11 5 5 3 3" xfId="19756"/>
    <cellStyle name="Note 11 5 5 4" xfId="19757"/>
    <cellStyle name="Note 11 5 5 4 2" xfId="19758"/>
    <cellStyle name="Note 11 5 5 4 3" xfId="19759"/>
    <cellStyle name="Note 11 5 5 5" xfId="19760"/>
    <cellStyle name="Note 11 5 5 6" xfId="19761"/>
    <cellStyle name="Note 11 5 6" xfId="19762"/>
    <cellStyle name="Note 11 5 6 2" xfId="19763"/>
    <cellStyle name="Note 11 5 6 2 2" xfId="19764"/>
    <cellStyle name="Note 11 5 6 2 3" xfId="19765"/>
    <cellStyle name="Note 11 5 6 3" xfId="19766"/>
    <cellStyle name="Note 11 5 6 3 2" xfId="19767"/>
    <cellStyle name="Note 11 5 6 3 3" xfId="19768"/>
    <cellStyle name="Note 11 5 6 4" xfId="19769"/>
    <cellStyle name="Note 11 5 6 4 2" xfId="19770"/>
    <cellStyle name="Note 11 5 6 4 3" xfId="19771"/>
    <cellStyle name="Note 11 5 6 5" xfId="19772"/>
    <cellStyle name="Note 11 5 6 6" xfId="19773"/>
    <cellStyle name="Note 11 5 7" xfId="19774"/>
    <cellStyle name="Note 11 5 7 2" xfId="19775"/>
    <cellStyle name="Note 11 5 7 3" xfId="19776"/>
    <cellStyle name="Note 11 5 8" xfId="19777"/>
    <cellStyle name="Note 11 5 8 2" xfId="19778"/>
    <cellStyle name="Note 11 5 8 3" xfId="19779"/>
    <cellStyle name="Note 11 5 9" xfId="19780"/>
    <cellStyle name="Note 11 5 9 2" xfId="19781"/>
    <cellStyle name="Note 11 5 9 3" xfId="19782"/>
    <cellStyle name="Note 11 6" xfId="19783"/>
    <cellStyle name="Note 11 6 2" xfId="19784"/>
    <cellStyle name="Note 11 6 2 2" xfId="19785"/>
    <cellStyle name="Note 11 6 2 3" xfId="19786"/>
    <cellStyle name="Note 11 6 3" xfId="19787"/>
    <cellStyle name="Note 11 6 3 2" xfId="19788"/>
    <cellStyle name="Note 11 6 3 3" xfId="19789"/>
    <cellStyle name="Note 11 6 4" xfId="19790"/>
    <cellStyle name="Note 11 6 4 2" xfId="19791"/>
    <cellStyle name="Note 11 6 4 3" xfId="19792"/>
    <cellStyle name="Note 11 6 5" xfId="19793"/>
    <cellStyle name="Note 11 6 6" xfId="19794"/>
    <cellStyle name="Note 11 7" xfId="19795"/>
    <cellStyle name="Note 11 7 2" xfId="19796"/>
    <cellStyle name="Note 11 7 2 2" xfId="19797"/>
    <cellStyle name="Note 11 7 2 3" xfId="19798"/>
    <cellStyle name="Note 11 7 3" xfId="19799"/>
    <cellStyle name="Note 11 7 3 2" xfId="19800"/>
    <cellStyle name="Note 11 7 3 3" xfId="19801"/>
    <cellStyle name="Note 11 7 4" xfId="19802"/>
    <cellStyle name="Note 11 7 4 2" xfId="19803"/>
    <cellStyle name="Note 11 7 4 3" xfId="19804"/>
    <cellStyle name="Note 11 7 5" xfId="19805"/>
    <cellStyle name="Note 11 7 6" xfId="19806"/>
    <cellStyle name="Note 11 8" xfId="19807"/>
    <cellStyle name="Note 11 8 2" xfId="19808"/>
    <cellStyle name="Note 11 8 2 2" xfId="19809"/>
    <cellStyle name="Note 11 8 2 3" xfId="19810"/>
    <cellStyle name="Note 11 8 3" xfId="19811"/>
    <cellStyle name="Note 11 8 3 2" xfId="19812"/>
    <cellStyle name="Note 11 8 3 3" xfId="19813"/>
    <cellStyle name="Note 11 8 4" xfId="19814"/>
    <cellStyle name="Note 11 8 4 2" xfId="19815"/>
    <cellStyle name="Note 11 8 4 3" xfId="19816"/>
    <cellStyle name="Note 11 8 5" xfId="19817"/>
    <cellStyle name="Note 11 8 6" xfId="19818"/>
    <cellStyle name="Note 11 9" xfId="19819"/>
    <cellStyle name="Note 11 9 2" xfId="19820"/>
    <cellStyle name="Note 11 9 2 2" xfId="19821"/>
    <cellStyle name="Note 11 9 2 3" xfId="19822"/>
    <cellStyle name="Note 11 9 3" xfId="19823"/>
    <cellStyle name="Note 11 9 3 2" xfId="19824"/>
    <cellStyle name="Note 11 9 3 3" xfId="19825"/>
    <cellStyle name="Note 11 9 4" xfId="19826"/>
    <cellStyle name="Note 11 9 4 2" xfId="19827"/>
    <cellStyle name="Note 11 9 4 3" xfId="19828"/>
    <cellStyle name="Note 11 9 5" xfId="19829"/>
    <cellStyle name="Note 11 9 6" xfId="19830"/>
    <cellStyle name="Note 12" xfId="3201"/>
    <cellStyle name="Note 12 10" xfId="19831"/>
    <cellStyle name="Note 12 10 2" xfId="19832"/>
    <cellStyle name="Note 12 10 2 2" xfId="19833"/>
    <cellStyle name="Note 12 10 2 3" xfId="19834"/>
    <cellStyle name="Note 12 10 3" xfId="19835"/>
    <cellStyle name="Note 12 10 3 2" xfId="19836"/>
    <cellStyle name="Note 12 10 3 3" xfId="19837"/>
    <cellStyle name="Note 12 10 4" xfId="19838"/>
    <cellStyle name="Note 12 10 4 2" xfId="19839"/>
    <cellStyle name="Note 12 10 4 3" xfId="19840"/>
    <cellStyle name="Note 12 10 5" xfId="19841"/>
    <cellStyle name="Note 12 10 6" xfId="19842"/>
    <cellStyle name="Note 12 11" xfId="19843"/>
    <cellStyle name="Note 12 11 2" xfId="19844"/>
    <cellStyle name="Note 12 11 2 2" xfId="19845"/>
    <cellStyle name="Note 12 11 2 3" xfId="19846"/>
    <cellStyle name="Note 12 11 3" xfId="19847"/>
    <cellStyle name="Note 12 11 3 2" xfId="19848"/>
    <cellStyle name="Note 12 11 3 3" xfId="19849"/>
    <cellStyle name="Note 12 11 4" xfId="19850"/>
    <cellStyle name="Note 12 11 4 2" xfId="19851"/>
    <cellStyle name="Note 12 11 4 3" xfId="19852"/>
    <cellStyle name="Note 12 11 5" xfId="19853"/>
    <cellStyle name="Note 12 11 6" xfId="19854"/>
    <cellStyle name="Note 12 12" xfId="19855"/>
    <cellStyle name="Note 12 12 2" xfId="19856"/>
    <cellStyle name="Note 12 12 2 2" xfId="19857"/>
    <cellStyle name="Note 12 12 2 3" xfId="19858"/>
    <cellStyle name="Note 12 12 3" xfId="19859"/>
    <cellStyle name="Note 12 12 3 2" xfId="19860"/>
    <cellStyle name="Note 12 12 3 3" xfId="19861"/>
    <cellStyle name="Note 12 12 4" xfId="19862"/>
    <cellStyle name="Note 12 12 4 2" xfId="19863"/>
    <cellStyle name="Note 12 12 4 3" xfId="19864"/>
    <cellStyle name="Note 12 12 5" xfId="19865"/>
    <cellStyle name="Note 12 12 6" xfId="19866"/>
    <cellStyle name="Note 12 13" xfId="19867"/>
    <cellStyle name="Note 12 13 2" xfId="19868"/>
    <cellStyle name="Note 12 13 2 2" xfId="19869"/>
    <cellStyle name="Note 12 13 2 3" xfId="19870"/>
    <cellStyle name="Note 12 13 3" xfId="19871"/>
    <cellStyle name="Note 12 13 3 2" xfId="19872"/>
    <cellStyle name="Note 12 13 3 3" xfId="19873"/>
    <cellStyle name="Note 12 13 4" xfId="19874"/>
    <cellStyle name="Note 12 13 4 2" xfId="19875"/>
    <cellStyle name="Note 12 13 4 3" xfId="19876"/>
    <cellStyle name="Note 12 13 5" xfId="19877"/>
    <cellStyle name="Note 12 13 6" xfId="19878"/>
    <cellStyle name="Note 12 14" xfId="19879"/>
    <cellStyle name="Note 12 14 2" xfId="19880"/>
    <cellStyle name="Note 12 14 3" xfId="19881"/>
    <cellStyle name="Note 12 15" xfId="19882"/>
    <cellStyle name="Note 12 15 2" xfId="19883"/>
    <cellStyle name="Note 12 15 3" xfId="19884"/>
    <cellStyle name="Note 12 16" xfId="19885"/>
    <cellStyle name="Note 12 16 2" xfId="19886"/>
    <cellStyle name="Note 12 16 3" xfId="19887"/>
    <cellStyle name="Note 12 17" xfId="19888"/>
    <cellStyle name="Note 12 18" xfId="19889"/>
    <cellStyle name="Note 12 2" xfId="19890"/>
    <cellStyle name="Note 12 2 10" xfId="19891"/>
    <cellStyle name="Note 12 2 11" xfId="19892"/>
    <cellStyle name="Note 12 2 2" xfId="19893"/>
    <cellStyle name="Note 12 2 2 2" xfId="19894"/>
    <cellStyle name="Note 12 2 2 2 2" xfId="19895"/>
    <cellStyle name="Note 12 2 2 2 3" xfId="19896"/>
    <cellStyle name="Note 12 2 2 3" xfId="19897"/>
    <cellStyle name="Note 12 2 2 3 2" xfId="19898"/>
    <cellStyle name="Note 12 2 2 3 3" xfId="19899"/>
    <cellStyle name="Note 12 2 2 4" xfId="19900"/>
    <cellStyle name="Note 12 2 2 4 2" xfId="19901"/>
    <cellStyle name="Note 12 2 2 4 3" xfId="19902"/>
    <cellStyle name="Note 12 2 2 5" xfId="19903"/>
    <cellStyle name="Note 12 2 2 6" xfId="19904"/>
    <cellStyle name="Note 12 2 3" xfId="19905"/>
    <cellStyle name="Note 12 2 3 2" xfId="19906"/>
    <cellStyle name="Note 12 2 3 2 2" xfId="19907"/>
    <cellStyle name="Note 12 2 3 2 3" xfId="19908"/>
    <cellStyle name="Note 12 2 3 3" xfId="19909"/>
    <cellStyle name="Note 12 2 3 3 2" xfId="19910"/>
    <cellStyle name="Note 12 2 3 3 3" xfId="19911"/>
    <cellStyle name="Note 12 2 3 4" xfId="19912"/>
    <cellStyle name="Note 12 2 3 4 2" xfId="19913"/>
    <cellStyle name="Note 12 2 3 4 3" xfId="19914"/>
    <cellStyle name="Note 12 2 3 5" xfId="19915"/>
    <cellStyle name="Note 12 2 3 6" xfId="19916"/>
    <cellStyle name="Note 12 2 4" xfId="19917"/>
    <cellStyle name="Note 12 2 4 2" xfId="19918"/>
    <cellStyle name="Note 12 2 4 2 2" xfId="19919"/>
    <cellStyle name="Note 12 2 4 2 3" xfId="19920"/>
    <cellStyle name="Note 12 2 4 3" xfId="19921"/>
    <cellStyle name="Note 12 2 4 3 2" xfId="19922"/>
    <cellStyle name="Note 12 2 4 3 3" xfId="19923"/>
    <cellStyle name="Note 12 2 4 4" xfId="19924"/>
    <cellStyle name="Note 12 2 4 4 2" xfId="19925"/>
    <cellStyle name="Note 12 2 4 4 3" xfId="19926"/>
    <cellStyle name="Note 12 2 4 5" xfId="19927"/>
    <cellStyle name="Note 12 2 4 6" xfId="19928"/>
    <cellStyle name="Note 12 2 5" xfId="19929"/>
    <cellStyle name="Note 12 2 5 2" xfId="19930"/>
    <cellStyle name="Note 12 2 5 2 2" xfId="19931"/>
    <cellStyle name="Note 12 2 5 2 3" xfId="19932"/>
    <cellStyle name="Note 12 2 5 3" xfId="19933"/>
    <cellStyle name="Note 12 2 5 3 2" xfId="19934"/>
    <cellStyle name="Note 12 2 5 3 3" xfId="19935"/>
    <cellStyle name="Note 12 2 5 4" xfId="19936"/>
    <cellStyle name="Note 12 2 5 4 2" xfId="19937"/>
    <cellStyle name="Note 12 2 5 4 3" xfId="19938"/>
    <cellStyle name="Note 12 2 5 5" xfId="19939"/>
    <cellStyle name="Note 12 2 5 6" xfId="19940"/>
    <cellStyle name="Note 12 2 6" xfId="19941"/>
    <cellStyle name="Note 12 2 6 2" xfId="19942"/>
    <cellStyle name="Note 12 2 6 2 2" xfId="19943"/>
    <cellStyle name="Note 12 2 6 2 3" xfId="19944"/>
    <cellStyle name="Note 12 2 6 3" xfId="19945"/>
    <cellStyle name="Note 12 2 6 3 2" xfId="19946"/>
    <cellStyle name="Note 12 2 6 3 3" xfId="19947"/>
    <cellStyle name="Note 12 2 6 4" xfId="19948"/>
    <cellStyle name="Note 12 2 6 4 2" xfId="19949"/>
    <cellStyle name="Note 12 2 6 4 3" xfId="19950"/>
    <cellStyle name="Note 12 2 6 5" xfId="19951"/>
    <cellStyle name="Note 12 2 6 6" xfId="19952"/>
    <cellStyle name="Note 12 2 7" xfId="19953"/>
    <cellStyle name="Note 12 2 7 2" xfId="19954"/>
    <cellStyle name="Note 12 2 7 3" xfId="19955"/>
    <cellStyle name="Note 12 2 8" xfId="19956"/>
    <cellStyle name="Note 12 2 8 2" xfId="19957"/>
    <cellStyle name="Note 12 2 8 3" xfId="19958"/>
    <cellStyle name="Note 12 2 9" xfId="19959"/>
    <cellStyle name="Note 12 2 9 2" xfId="19960"/>
    <cellStyle name="Note 12 2 9 3" xfId="19961"/>
    <cellStyle name="Note 12 3" xfId="19962"/>
    <cellStyle name="Note 12 3 10" xfId="19963"/>
    <cellStyle name="Note 12 3 11" xfId="19964"/>
    <cellStyle name="Note 12 3 2" xfId="19965"/>
    <cellStyle name="Note 12 3 2 2" xfId="19966"/>
    <cellStyle name="Note 12 3 2 2 2" xfId="19967"/>
    <cellStyle name="Note 12 3 2 2 3" xfId="19968"/>
    <cellStyle name="Note 12 3 2 3" xfId="19969"/>
    <cellStyle name="Note 12 3 2 3 2" xfId="19970"/>
    <cellStyle name="Note 12 3 2 3 3" xfId="19971"/>
    <cellStyle name="Note 12 3 2 4" xfId="19972"/>
    <cellStyle name="Note 12 3 2 4 2" xfId="19973"/>
    <cellStyle name="Note 12 3 2 4 3" xfId="19974"/>
    <cellStyle name="Note 12 3 2 5" xfId="19975"/>
    <cellStyle name="Note 12 3 2 6" xfId="19976"/>
    <cellStyle name="Note 12 3 3" xfId="19977"/>
    <cellStyle name="Note 12 3 3 2" xfId="19978"/>
    <cellStyle name="Note 12 3 3 2 2" xfId="19979"/>
    <cellStyle name="Note 12 3 3 2 3" xfId="19980"/>
    <cellStyle name="Note 12 3 3 3" xfId="19981"/>
    <cellStyle name="Note 12 3 3 3 2" xfId="19982"/>
    <cellStyle name="Note 12 3 3 3 3" xfId="19983"/>
    <cellStyle name="Note 12 3 3 4" xfId="19984"/>
    <cellStyle name="Note 12 3 3 4 2" xfId="19985"/>
    <cellStyle name="Note 12 3 3 4 3" xfId="19986"/>
    <cellStyle name="Note 12 3 3 5" xfId="19987"/>
    <cellStyle name="Note 12 3 3 6" xfId="19988"/>
    <cellStyle name="Note 12 3 4" xfId="19989"/>
    <cellStyle name="Note 12 3 4 2" xfId="19990"/>
    <cellStyle name="Note 12 3 4 2 2" xfId="19991"/>
    <cellStyle name="Note 12 3 4 2 3" xfId="19992"/>
    <cellStyle name="Note 12 3 4 3" xfId="19993"/>
    <cellStyle name="Note 12 3 4 3 2" xfId="19994"/>
    <cellStyle name="Note 12 3 4 3 3" xfId="19995"/>
    <cellStyle name="Note 12 3 4 4" xfId="19996"/>
    <cellStyle name="Note 12 3 4 4 2" xfId="19997"/>
    <cellStyle name="Note 12 3 4 4 3" xfId="19998"/>
    <cellStyle name="Note 12 3 4 5" xfId="19999"/>
    <cellStyle name="Note 12 3 4 6" xfId="20000"/>
    <cellStyle name="Note 12 3 5" xfId="20001"/>
    <cellStyle name="Note 12 3 5 2" xfId="20002"/>
    <cellStyle name="Note 12 3 5 2 2" xfId="20003"/>
    <cellStyle name="Note 12 3 5 2 3" xfId="20004"/>
    <cellStyle name="Note 12 3 5 3" xfId="20005"/>
    <cellStyle name="Note 12 3 5 3 2" xfId="20006"/>
    <cellStyle name="Note 12 3 5 3 3" xfId="20007"/>
    <cellStyle name="Note 12 3 5 4" xfId="20008"/>
    <cellStyle name="Note 12 3 5 4 2" xfId="20009"/>
    <cellStyle name="Note 12 3 5 4 3" xfId="20010"/>
    <cellStyle name="Note 12 3 5 5" xfId="20011"/>
    <cellStyle name="Note 12 3 5 6" xfId="20012"/>
    <cellStyle name="Note 12 3 6" xfId="20013"/>
    <cellStyle name="Note 12 3 6 2" xfId="20014"/>
    <cellStyle name="Note 12 3 6 2 2" xfId="20015"/>
    <cellStyle name="Note 12 3 6 2 3" xfId="20016"/>
    <cellStyle name="Note 12 3 6 3" xfId="20017"/>
    <cellStyle name="Note 12 3 6 3 2" xfId="20018"/>
    <cellStyle name="Note 12 3 6 3 3" xfId="20019"/>
    <cellStyle name="Note 12 3 6 4" xfId="20020"/>
    <cellStyle name="Note 12 3 6 4 2" xfId="20021"/>
    <cellStyle name="Note 12 3 6 4 3" xfId="20022"/>
    <cellStyle name="Note 12 3 6 5" xfId="20023"/>
    <cellStyle name="Note 12 3 6 6" xfId="20024"/>
    <cellStyle name="Note 12 3 7" xfId="20025"/>
    <cellStyle name="Note 12 3 7 2" xfId="20026"/>
    <cellStyle name="Note 12 3 7 3" xfId="20027"/>
    <cellStyle name="Note 12 3 8" xfId="20028"/>
    <cellStyle name="Note 12 3 8 2" xfId="20029"/>
    <cellStyle name="Note 12 3 8 3" xfId="20030"/>
    <cellStyle name="Note 12 3 9" xfId="20031"/>
    <cellStyle name="Note 12 3 9 2" xfId="20032"/>
    <cellStyle name="Note 12 3 9 3" xfId="20033"/>
    <cellStyle name="Note 12 4" xfId="20034"/>
    <cellStyle name="Note 12 4 10" xfId="20035"/>
    <cellStyle name="Note 12 4 11" xfId="20036"/>
    <cellStyle name="Note 12 4 2" xfId="20037"/>
    <cellStyle name="Note 12 4 2 2" xfId="20038"/>
    <cellStyle name="Note 12 4 2 2 2" xfId="20039"/>
    <cellStyle name="Note 12 4 2 2 3" xfId="20040"/>
    <cellStyle name="Note 12 4 2 3" xfId="20041"/>
    <cellStyle name="Note 12 4 2 3 2" xfId="20042"/>
    <cellStyle name="Note 12 4 2 3 3" xfId="20043"/>
    <cellStyle name="Note 12 4 2 4" xfId="20044"/>
    <cellStyle name="Note 12 4 2 4 2" xfId="20045"/>
    <cellStyle name="Note 12 4 2 4 3" xfId="20046"/>
    <cellStyle name="Note 12 4 2 5" xfId="20047"/>
    <cellStyle name="Note 12 4 2 6" xfId="20048"/>
    <cellStyle name="Note 12 4 3" xfId="20049"/>
    <cellStyle name="Note 12 4 3 2" xfId="20050"/>
    <cellStyle name="Note 12 4 3 2 2" xfId="20051"/>
    <cellStyle name="Note 12 4 3 2 3" xfId="20052"/>
    <cellStyle name="Note 12 4 3 3" xfId="20053"/>
    <cellStyle name="Note 12 4 3 3 2" xfId="20054"/>
    <cellStyle name="Note 12 4 3 3 3" xfId="20055"/>
    <cellStyle name="Note 12 4 3 4" xfId="20056"/>
    <cellStyle name="Note 12 4 3 4 2" xfId="20057"/>
    <cellStyle name="Note 12 4 3 4 3" xfId="20058"/>
    <cellStyle name="Note 12 4 3 5" xfId="20059"/>
    <cellStyle name="Note 12 4 3 6" xfId="20060"/>
    <cellStyle name="Note 12 4 4" xfId="20061"/>
    <cellStyle name="Note 12 4 4 2" xfId="20062"/>
    <cellStyle name="Note 12 4 4 2 2" xfId="20063"/>
    <cellStyle name="Note 12 4 4 2 3" xfId="20064"/>
    <cellStyle name="Note 12 4 4 3" xfId="20065"/>
    <cellStyle name="Note 12 4 4 3 2" xfId="20066"/>
    <cellStyle name="Note 12 4 4 3 3" xfId="20067"/>
    <cellStyle name="Note 12 4 4 4" xfId="20068"/>
    <cellStyle name="Note 12 4 4 4 2" xfId="20069"/>
    <cellStyle name="Note 12 4 4 4 3" xfId="20070"/>
    <cellStyle name="Note 12 4 4 5" xfId="20071"/>
    <cellStyle name="Note 12 4 4 6" xfId="20072"/>
    <cellStyle name="Note 12 4 5" xfId="20073"/>
    <cellStyle name="Note 12 4 5 2" xfId="20074"/>
    <cellStyle name="Note 12 4 5 2 2" xfId="20075"/>
    <cellStyle name="Note 12 4 5 2 3" xfId="20076"/>
    <cellStyle name="Note 12 4 5 3" xfId="20077"/>
    <cellStyle name="Note 12 4 5 3 2" xfId="20078"/>
    <cellStyle name="Note 12 4 5 3 3" xfId="20079"/>
    <cellStyle name="Note 12 4 5 4" xfId="20080"/>
    <cellStyle name="Note 12 4 5 4 2" xfId="20081"/>
    <cellStyle name="Note 12 4 5 4 3" xfId="20082"/>
    <cellStyle name="Note 12 4 5 5" xfId="20083"/>
    <cellStyle name="Note 12 4 5 6" xfId="20084"/>
    <cellStyle name="Note 12 4 6" xfId="20085"/>
    <cellStyle name="Note 12 4 6 2" xfId="20086"/>
    <cellStyle name="Note 12 4 6 2 2" xfId="20087"/>
    <cellStyle name="Note 12 4 6 2 3" xfId="20088"/>
    <cellStyle name="Note 12 4 6 3" xfId="20089"/>
    <cellStyle name="Note 12 4 6 3 2" xfId="20090"/>
    <cellStyle name="Note 12 4 6 3 3" xfId="20091"/>
    <cellStyle name="Note 12 4 6 4" xfId="20092"/>
    <cellStyle name="Note 12 4 6 4 2" xfId="20093"/>
    <cellStyle name="Note 12 4 6 4 3" xfId="20094"/>
    <cellStyle name="Note 12 4 6 5" xfId="20095"/>
    <cellStyle name="Note 12 4 6 6" xfId="20096"/>
    <cellStyle name="Note 12 4 7" xfId="20097"/>
    <cellStyle name="Note 12 4 7 2" xfId="20098"/>
    <cellStyle name="Note 12 4 7 3" xfId="20099"/>
    <cellStyle name="Note 12 4 8" xfId="20100"/>
    <cellStyle name="Note 12 4 8 2" xfId="20101"/>
    <cellStyle name="Note 12 4 8 3" xfId="20102"/>
    <cellStyle name="Note 12 4 9" xfId="20103"/>
    <cellStyle name="Note 12 4 9 2" xfId="20104"/>
    <cellStyle name="Note 12 4 9 3" xfId="20105"/>
    <cellStyle name="Note 12 5" xfId="20106"/>
    <cellStyle name="Note 12 5 10" xfId="20107"/>
    <cellStyle name="Note 12 5 11" xfId="20108"/>
    <cellStyle name="Note 12 5 2" xfId="20109"/>
    <cellStyle name="Note 12 5 2 2" xfId="20110"/>
    <cellStyle name="Note 12 5 2 2 2" xfId="20111"/>
    <cellStyle name="Note 12 5 2 2 3" xfId="20112"/>
    <cellStyle name="Note 12 5 2 3" xfId="20113"/>
    <cellStyle name="Note 12 5 2 3 2" xfId="20114"/>
    <cellStyle name="Note 12 5 2 3 3" xfId="20115"/>
    <cellStyle name="Note 12 5 2 4" xfId="20116"/>
    <cellStyle name="Note 12 5 2 4 2" xfId="20117"/>
    <cellStyle name="Note 12 5 2 4 3" xfId="20118"/>
    <cellStyle name="Note 12 5 2 5" xfId="20119"/>
    <cellStyle name="Note 12 5 2 6" xfId="20120"/>
    <cellStyle name="Note 12 5 3" xfId="20121"/>
    <cellStyle name="Note 12 5 3 2" xfId="20122"/>
    <cellStyle name="Note 12 5 3 2 2" xfId="20123"/>
    <cellStyle name="Note 12 5 3 2 3" xfId="20124"/>
    <cellStyle name="Note 12 5 3 3" xfId="20125"/>
    <cellStyle name="Note 12 5 3 3 2" xfId="20126"/>
    <cellStyle name="Note 12 5 3 3 3" xfId="20127"/>
    <cellStyle name="Note 12 5 3 4" xfId="20128"/>
    <cellStyle name="Note 12 5 3 4 2" xfId="20129"/>
    <cellStyle name="Note 12 5 3 4 3" xfId="20130"/>
    <cellStyle name="Note 12 5 3 5" xfId="20131"/>
    <cellStyle name="Note 12 5 3 6" xfId="20132"/>
    <cellStyle name="Note 12 5 4" xfId="20133"/>
    <cellStyle name="Note 12 5 4 2" xfId="20134"/>
    <cellStyle name="Note 12 5 4 2 2" xfId="20135"/>
    <cellStyle name="Note 12 5 4 2 3" xfId="20136"/>
    <cellStyle name="Note 12 5 4 3" xfId="20137"/>
    <cellStyle name="Note 12 5 4 3 2" xfId="20138"/>
    <cellStyle name="Note 12 5 4 3 3" xfId="20139"/>
    <cellStyle name="Note 12 5 4 4" xfId="20140"/>
    <cellStyle name="Note 12 5 4 4 2" xfId="20141"/>
    <cellStyle name="Note 12 5 4 4 3" xfId="20142"/>
    <cellStyle name="Note 12 5 4 5" xfId="20143"/>
    <cellStyle name="Note 12 5 4 6" xfId="20144"/>
    <cellStyle name="Note 12 5 5" xfId="20145"/>
    <cellStyle name="Note 12 5 5 2" xfId="20146"/>
    <cellStyle name="Note 12 5 5 2 2" xfId="20147"/>
    <cellStyle name="Note 12 5 5 2 3" xfId="20148"/>
    <cellStyle name="Note 12 5 5 3" xfId="20149"/>
    <cellStyle name="Note 12 5 5 3 2" xfId="20150"/>
    <cellStyle name="Note 12 5 5 3 3" xfId="20151"/>
    <cellStyle name="Note 12 5 5 4" xfId="20152"/>
    <cellStyle name="Note 12 5 5 4 2" xfId="20153"/>
    <cellStyle name="Note 12 5 5 4 3" xfId="20154"/>
    <cellStyle name="Note 12 5 5 5" xfId="20155"/>
    <cellStyle name="Note 12 5 5 6" xfId="20156"/>
    <cellStyle name="Note 12 5 6" xfId="20157"/>
    <cellStyle name="Note 12 5 6 2" xfId="20158"/>
    <cellStyle name="Note 12 5 6 2 2" xfId="20159"/>
    <cellStyle name="Note 12 5 6 2 3" xfId="20160"/>
    <cellStyle name="Note 12 5 6 3" xfId="20161"/>
    <cellStyle name="Note 12 5 6 3 2" xfId="20162"/>
    <cellStyle name="Note 12 5 6 3 3" xfId="20163"/>
    <cellStyle name="Note 12 5 6 4" xfId="20164"/>
    <cellStyle name="Note 12 5 6 4 2" xfId="20165"/>
    <cellStyle name="Note 12 5 6 4 3" xfId="20166"/>
    <cellStyle name="Note 12 5 6 5" xfId="20167"/>
    <cellStyle name="Note 12 5 6 6" xfId="20168"/>
    <cellStyle name="Note 12 5 7" xfId="20169"/>
    <cellStyle name="Note 12 5 7 2" xfId="20170"/>
    <cellStyle name="Note 12 5 7 3" xfId="20171"/>
    <cellStyle name="Note 12 5 8" xfId="20172"/>
    <cellStyle name="Note 12 5 8 2" xfId="20173"/>
    <cellStyle name="Note 12 5 8 3" xfId="20174"/>
    <cellStyle name="Note 12 5 9" xfId="20175"/>
    <cellStyle name="Note 12 5 9 2" xfId="20176"/>
    <cellStyle name="Note 12 5 9 3" xfId="20177"/>
    <cellStyle name="Note 12 6" xfId="20178"/>
    <cellStyle name="Note 12 6 2" xfId="20179"/>
    <cellStyle name="Note 12 6 2 2" xfId="20180"/>
    <cellStyle name="Note 12 6 2 3" xfId="20181"/>
    <cellStyle name="Note 12 6 3" xfId="20182"/>
    <cellStyle name="Note 12 6 3 2" xfId="20183"/>
    <cellStyle name="Note 12 6 3 3" xfId="20184"/>
    <cellStyle name="Note 12 6 4" xfId="20185"/>
    <cellStyle name="Note 12 6 4 2" xfId="20186"/>
    <cellStyle name="Note 12 6 4 3" xfId="20187"/>
    <cellStyle name="Note 12 6 5" xfId="20188"/>
    <cellStyle name="Note 12 6 6" xfId="20189"/>
    <cellStyle name="Note 12 7" xfId="20190"/>
    <cellStyle name="Note 12 7 2" xfId="20191"/>
    <cellStyle name="Note 12 7 2 2" xfId="20192"/>
    <cellStyle name="Note 12 7 2 3" xfId="20193"/>
    <cellStyle name="Note 12 7 3" xfId="20194"/>
    <cellStyle name="Note 12 7 3 2" xfId="20195"/>
    <cellStyle name="Note 12 7 3 3" xfId="20196"/>
    <cellStyle name="Note 12 7 4" xfId="20197"/>
    <cellStyle name="Note 12 7 4 2" xfId="20198"/>
    <cellStyle name="Note 12 7 4 3" xfId="20199"/>
    <cellStyle name="Note 12 7 5" xfId="20200"/>
    <cellStyle name="Note 12 7 6" xfId="20201"/>
    <cellStyle name="Note 12 8" xfId="20202"/>
    <cellStyle name="Note 12 8 2" xfId="20203"/>
    <cellStyle name="Note 12 8 2 2" xfId="20204"/>
    <cellStyle name="Note 12 8 2 3" xfId="20205"/>
    <cellStyle name="Note 12 8 3" xfId="20206"/>
    <cellStyle name="Note 12 8 3 2" xfId="20207"/>
    <cellStyle name="Note 12 8 3 3" xfId="20208"/>
    <cellStyle name="Note 12 8 4" xfId="20209"/>
    <cellStyle name="Note 12 8 4 2" xfId="20210"/>
    <cellStyle name="Note 12 8 4 3" xfId="20211"/>
    <cellStyle name="Note 12 8 5" xfId="20212"/>
    <cellStyle name="Note 12 8 6" xfId="20213"/>
    <cellStyle name="Note 12 9" xfId="20214"/>
    <cellStyle name="Note 12 9 2" xfId="20215"/>
    <cellStyle name="Note 12 9 2 2" xfId="20216"/>
    <cellStyle name="Note 12 9 2 3" xfId="20217"/>
    <cellStyle name="Note 12 9 3" xfId="20218"/>
    <cellStyle name="Note 12 9 3 2" xfId="20219"/>
    <cellStyle name="Note 12 9 3 3" xfId="20220"/>
    <cellStyle name="Note 12 9 4" xfId="20221"/>
    <cellStyle name="Note 12 9 4 2" xfId="20222"/>
    <cellStyle name="Note 12 9 4 3" xfId="20223"/>
    <cellStyle name="Note 12 9 5" xfId="20224"/>
    <cellStyle name="Note 12 9 6" xfId="20225"/>
    <cellStyle name="Note 13" xfId="1149"/>
    <cellStyle name="Note 13 10" xfId="20226"/>
    <cellStyle name="Note 13 11" xfId="20227"/>
    <cellStyle name="Note 13 2" xfId="20228"/>
    <cellStyle name="Note 13 2 2" xfId="20229"/>
    <cellStyle name="Note 13 2 2 2" xfId="20230"/>
    <cellStyle name="Note 13 2 2 3" xfId="20231"/>
    <cellStyle name="Note 13 2 3" xfId="20232"/>
    <cellStyle name="Note 13 2 3 2" xfId="20233"/>
    <cellStyle name="Note 13 2 3 3" xfId="20234"/>
    <cellStyle name="Note 13 2 4" xfId="20235"/>
    <cellStyle name="Note 13 2 4 2" xfId="20236"/>
    <cellStyle name="Note 13 2 4 3" xfId="20237"/>
    <cellStyle name="Note 13 2 5" xfId="20238"/>
    <cellStyle name="Note 13 2 6" xfId="20239"/>
    <cellStyle name="Note 13 3" xfId="20240"/>
    <cellStyle name="Note 13 3 2" xfId="20241"/>
    <cellStyle name="Note 13 3 2 2" xfId="20242"/>
    <cellStyle name="Note 13 3 2 3" xfId="20243"/>
    <cellStyle name="Note 13 3 3" xfId="20244"/>
    <cellStyle name="Note 13 3 3 2" xfId="20245"/>
    <cellStyle name="Note 13 3 3 3" xfId="20246"/>
    <cellStyle name="Note 13 3 4" xfId="20247"/>
    <cellStyle name="Note 13 3 4 2" xfId="20248"/>
    <cellStyle name="Note 13 3 4 3" xfId="20249"/>
    <cellStyle name="Note 13 3 5" xfId="20250"/>
    <cellStyle name="Note 13 3 6" xfId="20251"/>
    <cellStyle name="Note 13 4" xfId="20252"/>
    <cellStyle name="Note 13 4 2" xfId="20253"/>
    <cellStyle name="Note 13 4 2 2" xfId="20254"/>
    <cellStyle name="Note 13 4 2 3" xfId="20255"/>
    <cellStyle name="Note 13 4 3" xfId="20256"/>
    <cellStyle name="Note 13 4 3 2" xfId="20257"/>
    <cellStyle name="Note 13 4 3 3" xfId="20258"/>
    <cellStyle name="Note 13 4 4" xfId="20259"/>
    <cellStyle name="Note 13 4 4 2" xfId="20260"/>
    <cellStyle name="Note 13 4 4 3" xfId="20261"/>
    <cellStyle name="Note 13 4 5" xfId="20262"/>
    <cellStyle name="Note 13 4 6" xfId="20263"/>
    <cellStyle name="Note 13 5" xfId="20264"/>
    <cellStyle name="Note 13 5 2" xfId="20265"/>
    <cellStyle name="Note 13 5 2 2" xfId="20266"/>
    <cellStyle name="Note 13 5 2 3" xfId="20267"/>
    <cellStyle name="Note 13 5 3" xfId="20268"/>
    <cellStyle name="Note 13 5 3 2" xfId="20269"/>
    <cellStyle name="Note 13 5 3 3" xfId="20270"/>
    <cellStyle name="Note 13 5 4" xfId="20271"/>
    <cellStyle name="Note 13 5 4 2" xfId="20272"/>
    <cellStyle name="Note 13 5 4 3" xfId="20273"/>
    <cellStyle name="Note 13 5 5" xfId="20274"/>
    <cellStyle name="Note 13 5 6" xfId="20275"/>
    <cellStyle name="Note 13 6" xfId="20276"/>
    <cellStyle name="Note 13 6 2" xfId="20277"/>
    <cellStyle name="Note 13 6 2 2" xfId="20278"/>
    <cellStyle name="Note 13 6 2 3" xfId="20279"/>
    <cellStyle name="Note 13 6 3" xfId="20280"/>
    <cellStyle name="Note 13 6 3 2" xfId="20281"/>
    <cellStyle name="Note 13 6 3 3" xfId="20282"/>
    <cellStyle name="Note 13 6 4" xfId="20283"/>
    <cellStyle name="Note 13 6 4 2" xfId="20284"/>
    <cellStyle name="Note 13 6 4 3" xfId="20285"/>
    <cellStyle name="Note 13 6 5" xfId="20286"/>
    <cellStyle name="Note 13 6 6" xfId="20287"/>
    <cellStyle name="Note 13 7" xfId="20288"/>
    <cellStyle name="Note 13 7 2" xfId="20289"/>
    <cellStyle name="Note 13 7 3" xfId="20290"/>
    <cellStyle name="Note 13 8" xfId="20291"/>
    <cellStyle name="Note 13 8 2" xfId="20292"/>
    <cellStyle name="Note 13 8 3" xfId="20293"/>
    <cellStyle name="Note 13 9" xfId="20294"/>
    <cellStyle name="Note 13 9 2" xfId="20295"/>
    <cellStyle name="Note 13 9 3" xfId="20296"/>
    <cellStyle name="Note 14" xfId="1027"/>
    <cellStyle name="Note 14 2" xfId="20297"/>
    <cellStyle name="Note 14 2 2" xfId="20298"/>
    <cellStyle name="Note 14 2 3" xfId="20299"/>
    <cellStyle name="Note 14 3" xfId="20300"/>
    <cellStyle name="Note 14 3 2" xfId="20301"/>
    <cellStyle name="Note 14 3 3" xfId="20302"/>
    <cellStyle name="Note 14 4" xfId="20303"/>
    <cellStyle name="Note 14 4 2" xfId="20304"/>
    <cellStyle name="Note 14 4 3" xfId="20305"/>
    <cellStyle name="Note 14 5" xfId="20306"/>
    <cellStyle name="Note 14 6" xfId="20307"/>
    <cellStyle name="Note 15" xfId="3244"/>
    <cellStyle name="Note 2" xfId="125"/>
    <cellStyle name="Note 2 10" xfId="611"/>
    <cellStyle name="Note 2 10 10" xfId="20308"/>
    <cellStyle name="Note 2 10 10 2" xfId="20309"/>
    <cellStyle name="Note 2 10 10 2 2" xfId="20310"/>
    <cellStyle name="Note 2 10 10 2 3" xfId="20311"/>
    <cellStyle name="Note 2 10 10 3" xfId="20312"/>
    <cellStyle name="Note 2 10 10 3 2" xfId="20313"/>
    <cellStyle name="Note 2 10 10 3 3" xfId="20314"/>
    <cellStyle name="Note 2 10 10 4" xfId="20315"/>
    <cellStyle name="Note 2 10 10 4 2" xfId="20316"/>
    <cellStyle name="Note 2 10 10 4 3" xfId="20317"/>
    <cellStyle name="Note 2 10 10 5" xfId="20318"/>
    <cellStyle name="Note 2 10 10 6" xfId="20319"/>
    <cellStyle name="Note 2 10 11" xfId="20320"/>
    <cellStyle name="Note 2 10 11 2" xfId="20321"/>
    <cellStyle name="Note 2 10 11 2 2" xfId="20322"/>
    <cellStyle name="Note 2 10 11 2 3" xfId="20323"/>
    <cellStyle name="Note 2 10 11 3" xfId="20324"/>
    <cellStyle name="Note 2 10 11 3 2" xfId="20325"/>
    <cellStyle name="Note 2 10 11 3 3" xfId="20326"/>
    <cellStyle name="Note 2 10 11 4" xfId="20327"/>
    <cellStyle name="Note 2 10 11 4 2" xfId="20328"/>
    <cellStyle name="Note 2 10 11 4 3" xfId="20329"/>
    <cellStyle name="Note 2 10 11 5" xfId="20330"/>
    <cellStyle name="Note 2 10 11 6" xfId="20331"/>
    <cellStyle name="Note 2 10 12" xfId="20332"/>
    <cellStyle name="Note 2 10 12 2" xfId="20333"/>
    <cellStyle name="Note 2 10 12 2 2" xfId="20334"/>
    <cellStyle name="Note 2 10 12 2 3" xfId="20335"/>
    <cellStyle name="Note 2 10 12 3" xfId="20336"/>
    <cellStyle name="Note 2 10 12 3 2" xfId="20337"/>
    <cellStyle name="Note 2 10 12 3 3" xfId="20338"/>
    <cellStyle name="Note 2 10 12 4" xfId="20339"/>
    <cellStyle name="Note 2 10 12 4 2" xfId="20340"/>
    <cellStyle name="Note 2 10 12 4 3" xfId="20341"/>
    <cellStyle name="Note 2 10 12 5" xfId="20342"/>
    <cellStyle name="Note 2 10 12 6" xfId="20343"/>
    <cellStyle name="Note 2 10 13" xfId="20344"/>
    <cellStyle name="Note 2 10 13 2" xfId="20345"/>
    <cellStyle name="Note 2 10 13 2 2" xfId="20346"/>
    <cellStyle name="Note 2 10 13 2 3" xfId="20347"/>
    <cellStyle name="Note 2 10 13 3" xfId="20348"/>
    <cellStyle name="Note 2 10 13 3 2" xfId="20349"/>
    <cellStyle name="Note 2 10 13 3 3" xfId="20350"/>
    <cellStyle name="Note 2 10 13 4" xfId="20351"/>
    <cellStyle name="Note 2 10 13 4 2" xfId="20352"/>
    <cellStyle name="Note 2 10 13 4 3" xfId="20353"/>
    <cellStyle name="Note 2 10 13 5" xfId="20354"/>
    <cellStyle name="Note 2 10 13 6" xfId="20355"/>
    <cellStyle name="Note 2 10 14" xfId="20356"/>
    <cellStyle name="Note 2 10 14 2" xfId="20357"/>
    <cellStyle name="Note 2 10 14 3" xfId="20358"/>
    <cellStyle name="Note 2 10 15" xfId="20359"/>
    <cellStyle name="Note 2 10 15 2" xfId="20360"/>
    <cellStyle name="Note 2 10 15 3" xfId="20361"/>
    <cellStyle name="Note 2 10 16" xfId="20362"/>
    <cellStyle name="Note 2 10 16 2" xfId="20363"/>
    <cellStyle name="Note 2 10 16 3" xfId="20364"/>
    <cellStyle name="Note 2 10 17" xfId="20365"/>
    <cellStyle name="Note 2 10 18" xfId="20366"/>
    <cellStyle name="Note 2 10 2" xfId="871"/>
    <cellStyle name="Note 2 10 2 10" xfId="20367"/>
    <cellStyle name="Note 2 10 2 11" xfId="20368"/>
    <cellStyle name="Note 2 10 2 2" xfId="20369"/>
    <cellStyle name="Note 2 10 2 2 2" xfId="20370"/>
    <cellStyle name="Note 2 10 2 2 2 2" xfId="20371"/>
    <cellStyle name="Note 2 10 2 2 2 3" xfId="20372"/>
    <cellStyle name="Note 2 10 2 2 3" xfId="20373"/>
    <cellStyle name="Note 2 10 2 2 3 2" xfId="20374"/>
    <cellStyle name="Note 2 10 2 2 3 3" xfId="20375"/>
    <cellStyle name="Note 2 10 2 2 4" xfId="20376"/>
    <cellStyle name="Note 2 10 2 2 4 2" xfId="20377"/>
    <cellStyle name="Note 2 10 2 2 4 3" xfId="20378"/>
    <cellStyle name="Note 2 10 2 2 5" xfId="20379"/>
    <cellStyle name="Note 2 10 2 2 6" xfId="20380"/>
    <cellStyle name="Note 2 10 2 3" xfId="20381"/>
    <cellStyle name="Note 2 10 2 3 2" xfId="20382"/>
    <cellStyle name="Note 2 10 2 3 2 2" xfId="20383"/>
    <cellStyle name="Note 2 10 2 3 2 3" xfId="20384"/>
    <cellStyle name="Note 2 10 2 3 3" xfId="20385"/>
    <cellStyle name="Note 2 10 2 3 3 2" xfId="20386"/>
    <cellStyle name="Note 2 10 2 3 3 3" xfId="20387"/>
    <cellStyle name="Note 2 10 2 3 4" xfId="20388"/>
    <cellStyle name="Note 2 10 2 3 4 2" xfId="20389"/>
    <cellStyle name="Note 2 10 2 3 4 3" xfId="20390"/>
    <cellStyle name="Note 2 10 2 3 5" xfId="20391"/>
    <cellStyle name="Note 2 10 2 3 6" xfId="20392"/>
    <cellStyle name="Note 2 10 2 4" xfId="20393"/>
    <cellStyle name="Note 2 10 2 4 2" xfId="20394"/>
    <cellStyle name="Note 2 10 2 4 2 2" xfId="20395"/>
    <cellStyle name="Note 2 10 2 4 2 3" xfId="20396"/>
    <cellStyle name="Note 2 10 2 4 3" xfId="20397"/>
    <cellStyle name="Note 2 10 2 4 3 2" xfId="20398"/>
    <cellStyle name="Note 2 10 2 4 3 3" xfId="20399"/>
    <cellStyle name="Note 2 10 2 4 4" xfId="20400"/>
    <cellStyle name="Note 2 10 2 4 4 2" xfId="20401"/>
    <cellStyle name="Note 2 10 2 4 4 3" xfId="20402"/>
    <cellStyle name="Note 2 10 2 4 5" xfId="20403"/>
    <cellStyle name="Note 2 10 2 4 6" xfId="20404"/>
    <cellStyle name="Note 2 10 2 5" xfId="20405"/>
    <cellStyle name="Note 2 10 2 5 2" xfId="20406"/>
    <cellStyle name="Note 2 10 2 5 2 2" xfId="20407"/>
    <cellStyle name="Note 2 10 2 5 2 3" xfId="20408"/>
    <cellStyle name="Note 2 10 2 5 3" xfId="20409"/>
    <cellStyle name="Note 2 10 2 5 3 2" xfId="20410"/>
    <cellStyle name="Note 2 10 2 5 3 3" xfId="20411"/>
    <cellStyle name="Note 2 10 2 5 4" xfId="20412"/>
    <cellStyle name="Note 2 10 2 5 4 2" xfId="20413"/>
    <cellStyle name="Note 2 10 2 5 4 3" xfId="20414"/>
    <cellStyle name="Note 2 10 2 5 5" xfId="20415"/>
    <cellStyle name="Note 2 10 2 5 6" xfId="20416"/>
    <cellStyle name="Note 2 10 2 6" xfId="20417"/>
    <cellStyle name="Note 2 10 2 6 2" xfId="20418"/>
    <cellStyle name="Note 2 10 2 6 2 2" xfId="20419"/>
    <cellStyle name="Note 2 10 2 6 2 3" xfId="20420"/>
    <cellStyle name="Note 2 10 2 6 3" xfId="20421"/>
    <cellStyle name="Note 2 10 2 6 3 2" xfId="20422"/>
    <cellStyle name="Note 2 10 2 6 3 3" xfId="20423"/>
    <cellStyle name="Note 2 10 2 6 4" xfId="20424"/>
    <cellStyle name="Note 2 10 2 6 4 2" xfId="20425"/>
    <cellStyle name="Note 2 10 2 6 4 3" xfId="20426"/>
    <cellStyle name="Note 2 10 2 6 5" xfId="20427"/>
    <cellStyle name="Note 2 10 2 6 6" xfId="20428"/>
    <cellStyle name="Note 2 10 2 7" xfId="20429"/>
    <cellStyle name="Note 2 10 2 7 2" xfId="20430"/>
    <cellStyle name="Note 2 10 2 7 3" xfId="20431"/>
    <cellStyle name="Note 2 10 2 8" xfId="20432"/>
    <cellStyle name="Note 2 10 2 8 2" xfId="20433"/>
    <cellStyle name="Note 2 10 2 8 3" xfId="20434"/>
    <cellStyle name="Note 2 10 2 9" xfId="20435"/>
    <cellStyle name="Note 2 10 2 9 2" xfId="20436"/>
    <cellStyle name="Note 2 10 2 9 3" xfId="20437"/>
    <cellStyle name="Note 2 10 3" xfId="848"/>
    <cellStyle name="Note 2 10 3 10" xfId="20438"/>
    <cellStyle name="Note 2 10 3 11" xfId="20439"/>
    <cellStyle name="Note 2 10 3 2" xfId="20440"/>
    <cellStyle name="Note 2 10 3 2 2" xfId="20441"/>
    <cellStyle name="Note 2 10 3 2 2 2" xfId="20442"/>
    <cellStyle name="Note 2 10 3 2 2 3" xfId="20443"/>
    <cellStyle name="Note 2 10 3 2 3" xfId="20444"/>
    <cellStyle name="Note 2 10 3 2 3 2" xfId="20445"/>
    <cellStyle name="Note 2 10 3 2 3 3" xfId="20446"/>
    <cellStyle name="Note 2 10 3 2 4" xfId="20447"/>
    <cellStyle name="Note 2 10 3 2 4 2" xfId="20448"/>
    <cellStyle name="Note 2 10 3 2 4 3" xfId="20449"/>
    <cellStyle name="Note 2 10 3 2 5" xfId="20450"/>
    <cellStyle name="Note 2 10 3 2 6" xfId="20451"/>
    <cellStyle name="Note 2 10 3 3" xfId="20452"/>
    <cellStyle name="Note 2 10 3 3 2" xfId="20453"/>
    <cellStyle name="Note 2 10 3 3 2 2" xfId="20454"/>
    <cellStyle name="Note 2 10 3 3 2 3" xfId="20455"/>
    <cellStyle name="Note 2 10 3 3 3" xfId="20456"/>
    <cellStyle name="Note 2 10 3 3 3 2" xfId="20457"/>
    <cellStyle name="Note 2 10 3 3 3 3" xfId="20458"/>
    <cellStyle name="Note 2 10 3 3 4" xfId="20459"/>
    <cellStyle name="Note 2 10 3 3 4 2" xfId="20460"/>
    <cellStyle name="Note 2 10 3 3 4 3" xfId="20461"/>
    <cellStyle name="Note 2 10 3 3 5" xfId="20462"/>
    <cellStyle name="Note 2 10 3 3 6" xfId="20463"/>
    <cellStyle name="Note 2 10 3 4" xfId="20464"/>
    <cellStyle name="Note 2 10 3 4 2" xfId="20465"/>
    <cellStyle name="Note 2 10 3 4 2 2" xfId="20466"/>
    <cellStyle name="Note 2 10 3 4 2 3" xfId="20467"/>
    <cellStyle name="Note 2 10 3 4 3" xfId="20468"/>
    <cellStyle name="Note 2 10 3 4 3 2" xfId="20469"/>
    <cellStyle name="Note 2 10 3 4 3 3" xfId="20470"/>
    <cellStyle name="Note 2 10 3 4 4" xfId="20471"/>
    <cellStyle name="Note 2 10 3 4 4 2" xfId="20472"/>
    <cellStyle name="Note 2 10 3 4 4 3" xfId="20473"/>
    <cellStyle name="Note 2 10 3 4 5" xfId="20474"/>
    <cellStyle name="Note 2 10 3 4 6" xfId="20475"/>
    <cellStyle name="Note 2 10 3 5" xfId="20476"/>
    <cellStyle name="Note 2 10 3 5 2" xfId="20477"/>
    <cellStyle name="Note 2 10 3 5 2 2" xfId="20478"/>
    <cellStyle name="Note 2 10 3 5 2 3" xfId="20479"/>
    <cellStyle name="Note 2 10 3 5 3" xfId="20480"/>
    <cellStyle name="Note 2 10 3 5 3 2" xfId="20481"/>
    <cellStyle name="Note 2 10 3 5 3 3" xfId="20482"/>
    <cellStyle name="Note 2 10 3 5 4" xfId="20483"/>
    <cellStyle name="Note 2 10 3 5 4 2" xfId="20484"/>
    <cellStyle name="Note 2 10 3 5 4 3" xfId="20485"/>
    <cellStyle name="Note 2 10 3 5 5" xfId="20486"/>
    <cellStyle name="Note 2 10 3 5 6" xfId="20487"/>
    <cellStyle name="Note 2 10 3 6" xfId="20488"/>
    <cellStyle name="Note 2 10 3 6 2" xfId="20489"/>
    <cellStyle name="Note 2 10 3 6 2 2" xfId="20490"/>
    <cellStyle name="Note 2 10 3 6 2 3" xfId="20491"/>
    <cellStyle name="Note 2 10 3 6 3" xfId="20492"/>
    <cellStyle name="Note 2 10 3 6 3 2" xfId="20493"/>
    <cellStyle name="Note 2 10 3 6 3 3" xfId="20494"/>
    <cellStyle name="Note 2 10 3 6 4" xfId="20495"/>
    <cellStyle name="Note 2 10 3 6 4 2" xfId="20496"/>
    <cellStyle name="Note 2 10 3 6 4 3" xfId="20497"/>
    <cellStyle name="Note 2 10 3 6 5" xfId="20498"/>
    <cellStyle name="Note 2 10 3 6 6" xfId="20499"/>
    <cellStyle name="Note 2 10 3 7" xfId="20500"/>
    <cellStyle name="Note 2 10 3 7 2" xfId="20501"/>
    <cellStyle name="Note 2 10 3 7 3" xfId="20502"/>
    <cellStyle name="Note 2 10 3 8" xfId="20503"/>
    <cellStyle name="Note 2 10 3 8 2" xfId="20504"/>
    <cellStyle name="Note 2 10 3 8 3" xfId="20505"/>
    <cellStyle name="Note 2 10 3 9" xfId="20506"/>
    <cellStyle name="Note 2 10 3 9 2" xfId="20507"/>
    <cellStyle name="Note 2 10 3 9 3" xfId="20508"/>
    <cellStyle name="Note 2 10 4" xfId="940"/>
    <cellStyle name="Note 2 10 4 10" xfId="20509"/>
    <cellStyle name="Note 2 10 4 11" xfId="20510"/>
    <cellStyle name="Note 2 10 4 2" xfId="20511"/>
    <cellStyle name="Note 2 10 4 2 2" xfId="20512"/>
    <cellStyle name="Note 2 10 4 2 2 2" xfId="20513"/>
    <cellStyle name="Note 2 10 4 2 2 3" xfId="20514"/>
    <cellStyle name="Note 2 10 4 2 3" xfId="20515"/>
    <cellStyle name="Note 2 10 4 2 3 2" xfId="20516"/>
    <cellStyle name="Note 2 10 4 2 3 3" xfId="20517"/>
    <cellStyle name="Note 2 10 4 2 4" xfId="20518"/>
    <cellStyle name="Note 2 10 4 2 4 2" xfId="20519"/>
    <cellStyle name="Note 2 10 4 2 4 3" xfId="20520"/>
    <cellStyle name="Note 2 10 4 2 5" xfId="20521"/>
    <cellStyle name="Note 2 10 4 2 6" xfId="20522"/>
    <cellStyle name="Note 2 10 4 3" xfId="20523"/>
    <cellStyle name="Note 2 10 4 3 2" xfId="20524"/>
    <cellStyle name="Note 2 10 4 3 2 2" xfId="20525"/>
    <cellStyle name="Note 2 10 4 3 2 3" xfId="20526"/>
    <cellStyle name="Note 2 10 4 3 3" xfId="20527"/>
    <cellStyle name="Note 2 10 4 3 3 2" xfId="20528"/>
    <cellStyle name="Note 2 10 4 3 3 3" xfId="20529"/>
    <cellStyle name="Note 2 10 4 3 4" xfId="20530"/>
    <cellStyle name="Note 2 10 4 3 4 2" xfId="20531"/>
    <cellStyle name="Note 2 10 4 3 4 3" xfId="20532"/>
    <cellStyle name="Note 2 10 4 3 5" xfId="20533"/>
    <cellStyle name="Note 2 10 4 3 6" xfId="20534"/>
    <cellStyle name="Note 2 10 4 4" xfId="20535"/>
    <cellStyle name="Note 2 10 4 4 2" xfId="20536"/>
    <cellStyle name="Note 2 10 4 4 2 2" xfId="20537"/>
    <cellStyle name="Note 2 10 4 4 2 3" xfId="20538"/>
    <cellStyle name="Note 2 10 4 4 3" xfId="20539"/>
    <cellStyle name="Note 2 10 4 4 3 2" xfId="20540"/>
    <cellStyle name="Note 2 10 4 4 3 3" xfId="20541"/>
    <cellStyle name="Note 2 10 4 4 4" xfId="20542"/>
    <cellStyle name="Note 2 10 4 4 4 2" xfId="20543"/>
    <cellStyle name="Note 2 10 4 4 4 3" xfId="20544"/>
    <cellStyle name="Note 2 10 4 4 5" xfId="20545"/>
    <cellStyle name="Note 2 10 4 4 6" xfId="20546"/>
    <cellStyle name="Note 2 10 4 5" xfId="20547"/>
    <cellStyle name="Note 2 10 4 5 2" xfId="20548"/>
    <cellStyle name="Note 2 10 4 5 2 2" xfId="20549"/>
    <cellStyle name="Note 2 10 4 5 2 3" xfId="20550"/>
    <cellStyle name="Note 2 10 4 5 3" xfId="20551"/>
    <cellStyle name="Note 2 10 4 5 3 2" xfId="20552"/>
    <cellStyle name="Note 2 10 4 5 3 3" xfId="20553"/>
    <cellStyle name="Note 2 10 4 5 4" xfId="20554"/>
    <cellStyle name="Note 2 10 4 5 4 2" xfId="20555"/>
    <cellStyle name="Note 2 10 4 5 4 3" xfId="20556"/>
    <cellStyle name="Note 2 10 4 5 5" xfId="20557"/>
    <cellStyle name="Note 2 10 4 5 6" xfId="20558"/>
    <cellStyle name="Note 2 10 4 6" xfId="20559"/>
    <cellStyle name="Note 2 10 4 6 2" xfId="20560"/>
    <cellStyle name="Note 2 10 4 6 2 2" xfId="20561"/>
    <cellStyle name="Note 2 10 4 6 2 3" xfId="20562"/>
    <cellStyle name="Note 2 10 4 6 3" xfId="20563"/>
    <cellStyle name="Note 2 10 4 6 3 2" xfId="20564"/>
    <cellStyle name="Note 2 10 4 6 3 3" xfId="20565"/>
    <cellStyle name="Note 2 10 4 6 4" xfId="20566"/>
    <cellStyle name="Note 2 10 4 6 4 2" xfId="20567"/>
    <cellStyle name="Note 2 10 4 6 4 3" xfId="20568"/>
    <cellStyle name="Note 2 10 4 6 5" xfId="20569"/>
    <cellStyle name="Note 2 10 4 6 6" xfId="20570"/>
    <cellStyle name="Note 2 10 4 7" xfId="20571"/>
    <cellStyle name="Note 2 10 4 7 2" xfId="20572"/>
    <cellStyle name="Note 2 10 4 7 3" xfId="20573"/>
    <cellStyle name="Note 2 10 4 8" xfId="20574"/>
    <cellStyle name="Note 2 10 4 8 2" xfId="20575"/>
    <cellStyle name="Note 2 10 4 8 3" xfId="20576"/>
    <cellStyle name="Note 2 10 4 9" xfId="20577"/>
    <cellStyle name="Note 2 10 4 9 2" xfId="20578"/>
    <cellStyle name="Note 2 10 4 9 3" xfId="20579"/>
    <cellStyle name="Note 2 10 5" xfId="20580"/>
    <cellStyle name="Note 2 10 5 10" xfId="20581"/>
    <cellStyle name="Note 2 10 5 11" xfId="20582"/>
    <cellStyle name="Note 2 10 5 2" xfId="20583"/>
    <cellStyle name="Note 2 10 5 2 2" xfId="20584"/>
    <cellStyle name="Note 2 10 5 2 2 2" xfId="20585"/>
    <cellStyle name="Note 2 10 5 2 2 3" xfId="20586"/>
    <cellStyle name="Note 2 10 5 2 3" xfId="20587"/>
    <cellStyle name="Note 2 10 5 2 3 2" xfId="20588"/>
    <cellStyle name="Note 2 10 5 2 3 3" xfId="20589"/>
    <cellStyle name="Note 2 10 5 2 4" xfId="20590"/>
    <cellStyle name="Note 2 10 5 2 4 2" xfId="20591"/>
    <cellStyle name="Note 2 10 5 2 4 3" xfId="20592"/>
    <cellStyle name="Note 2 10 5 2 5" xfId="20593"/>
    <cellStyle name="Note 2 10 5 2 6" xfId="20594"/>
    <cellStyle name="Note 2 10 5 3" xfId="20595"/>
    <cellStyle name="Note 2 10 5 3 2" xfId="20596"/>
    <cellStyle name="Note 2 10 5 3 2 2" xfId="20597"/>
    <cellStyle name="Note 2 10 5 3 2 3" xfId="20598"/>
    <cellStyle name="Note 2 10 5 3 3" xfId="20599"/>
    <cellStyle name="Note 2 10 5 3 3 2" xfId="20600"/>
    <cellStyle name="Note 2 10 5 3 3 3" xfId="20601"/>
    <cellStyle name="Note 2 10 5 3 4" xfId="20602"/>
    <cellStyle name="Note 2 10 5 3 4 2" xfId="20603"/>
    <cellStyle name="Note 2 10 5 3 4 3" xfId="20604"/>
    <cellStyle name="Note 2 10 5 3 5" xfId="20605"/>
    <cellStyle name="Note 2 10 5 3 6" xfId="20606"/>
    <cellStyle name="Note 2 10 5 4" xfId="20607"/>
    <cellStyle name="Note 2 10 5 4 2" xfId="20608"/>
    <cellStyle name="Note 2 10 5 4 2 2" xfId="20609"/>
    <cellStyle name="Note 2 10 5 4 2 3" xfId="20610"/>
    <cellStyle name="Note 2 10 5 4 3" xfId="20611"/>
    <cellStyle name="Note 2 10 5 4 3 2" xfId="20612"/>
    <cellStyle name="Note 2 10 5 4 3 3" xfId="20613"/>
    <cellStyle name="Note 2 10 5 4 4" xfId="20614"/>
    <cellStyle name="Note 2 10 5 4 4 2" xfId="20615"/>
    <cellStyle name="Note 2 10 5 4 4 3" xfId="20616"/>
    <cellStyle name="Note 2 10 5 4 5" xfId="20617"/>
    <cellStyle name="Note 2 10 5 4 6" xfId="20618"/>
    <cellStyle name="Note 2 10 5 5" xfId="20619"/>
    <cellStyle name="Note 2 10 5 5 2" xfId="20620"/>
    <cellStyle name="Note 2 10 5 5 2 2" xfId="20621"/>
    <cellStyle name="Note 2 10 5 5 2 3" xfId="20622"/>
    <cellStyle name="Note 2 10 5 5 3" xfId="20623"/>
    <cellStyle name="Note 2 10 5 5 3 2" xfId="20624"/>
    <cellStyle name="Note 2 10 5 5 3 3" xfId="20625"/>
    <cellStyle name="Note 2 10 5 5 4" xfId="20626"/>
    <cellStyle name="Note 2 10 5 5 4 2" xfId="20627"/>
    <cellStyle name="Note 2 10 5 5 4 3" xfId="20628"/>
    <cellStyle name="Note 2 10 5 5 5" xfId="20629"/>
    <cellStyle name="Note 2 10 5 5 6" xfId="20630"/>
    <cellStyle name="Note 2 10 5 6" xfId="20631"/>
    <cellStyle name="Note 2 10 5 6 2" xfId="20632"/>
    <cellStyle name="Note 2 10 5 6 2 2" xfId="20633"/>
    <cellStyle name="Note 2 10 5 6 2 3" xfId="20634"/>
    <cellStyle name="Note 2 10 5 6 3" xfId="20635"/>
    <cellStyle name="Note 2 10 5 6 3 2" xfId="20636"/>
    <cellStyle name="Note 2 10 5 6 3 3" xfId="20637"/>
    <cellStyle name="Note 2 10 5 6 4" xfId="20638"/>
    <cellStyle name="Note 2 10 5 6 4 2" xfId="20639"/>
    <cellStyle name="Note 2 10 5 6 4 3" xfId="20640"/>
    <cellStyle name="Note 2 10 5 6 5" xfId="20641"/>
    <cellStyle name="Note 2 10 5 6 6" xfId="20642"/>
    <cellStyle name="Note 2 10 5 7" xfId="20643"/>
    <cellStyle name="Note 2 10 5 7 2" xfId="20644"/>
    <cellStyle name="Note 2 10 5 7 3" xfId="20645"/>
    <cellStyle name="Note 2 10 5 8" xfId="20646"/>
    <cellStyle name="Note 2 10 5 8 2" xfId="20647"/>
    <cellStyle name="Note 2 10 5 8 3" xfId="20648"/>
    <cellStyle name="Note 2 10 5 9" xfId="20649"/>
    <cellStyle name="Note 2 10 5 9 2" xfId="20650"/>
    <cellStyle name="Note 2 10 5 9 3" xfId="20651"/>
    <cellStyle name="Note 2 10 6" xfId="20652"/>
    <cellStyle name="Note 2 10 6 2" xfId="20653"/>
    <cellStyle name="Note 2 10 6 2 2" xfId="20654"/>
    <cellStyle name="Note 2 10 6 2 3" xfId="20655"/>
    <cellStyle name="Note 2 10 6 3" xfId="20656"/>
    <cellStyle name="Note 2 10 6 3 2" xfId="20657"/>
    <cellStyle name="Note 2 10 6 3 3" xfId="20658"/>
    <cellStyle name="Note 2 10 6 4" xfId="20659"/>
    <cellStyle name="Note 2 10 6 4 2" xfId="20660"/>
    <cellStyle name="Note 2 10 6 4 3" xfId="20661"/>
    <cellStyle name="Note 2 10 6 5" xfId="20662"/>
    <cellStyle name="Note 2 10 6 6" xfId="20663"/>
    <cellStyle name="Note 2 10 7" xfId="20664"/>
    <cellStyle name="Note 2 10 7 2" xfId="20665"/>
    <cellStyle name="Note 2 10 7 2 2" xfId="20666"/>
    <cellStyle name="Note 2 10 7 2 3" xfId="20667"/>
    <cellStyle name="Note 2 10 7 3" xfId="20668"/>
    <cellStyle name="Note 2 10 7 3 2" xfId="20669"/>
    <cellStyle name="Note 2 10 7 3 3" xfId="20670"/>
    <cellStyle name="Note 2 10 7 4" xfId="20671"/>
    <cellStyle name="Note 2 10 7 4 2" xfId="20672"/>
    <cellStyle name="Note 2 10 7 4 3" xfId="20673"/>
    <cellStyle name="Note 2 10 7 5" xfId="20674"/>
    <cellStyle name="Note 2 10 7 6" xfId="20675"/>
    <cellStyle name="Note 2 10 8" xfId="20676"/>
    <cellStyle name="Note 2 10 8 2" xfId="20677"/>
    <cellStyle name="Note 2 10 8 2 2" xfId="20678"/>
    <cellStyle name="Note 2 10 8 2 3" xfId="20679"/>
    <cellStyle name="Note 2 10 8 3" xfId="20680"/>
    <cellStyle name="Note 2 10 8 3 2" xfId="20681"/>
    <cellStyle name="Note 2 10 8 3 3" xfId="20682"/>
    <cellStyle name="Note 2 10 8 4" xfId="20683"/>
    <cellStyle name="Note 2 10 8 4 2" xfId="20684"/>
    <cellStyle name="Note 2 10 8 4 3" xfId="20685"/>
    <cellStyle name="Note 2 10 8 5" xfId="20686"/>
    <cellStyle name="Note 2 10 8 6" xfId="20687"/>
    <cellStyle name="Note 2 10 9" xfId="20688"/>
    <cellStyle name="Note 2 10 9 2" xfId="20689"/>
    <cellStyle name="Note 2 10 9 2 2" xfId="20690"/>
    <cellStyle name="Note 2 10 9 2 3" xfId="20691"/>
    <cellStyle name="Note 2 10 9 3" xfId="20692"/>
    <cellStyle name="Note 2 10 9 3 2" xfId="20693"/>
    <cellStyle name="Note 2 10 9 3 3" xfId="20694"/>
    <cellStyle name="Note 2 10 9 4" xfId="20695"/>
    <cellStyle name="Note 2 10 9 4 2" xfId="20696"/>
    <cellStyle name="Note 2 10 9 4 3" xfId="20697"/>
    <cellStyle name="Note 2 10 9 5" xfId="20698"/>
    <cellStyle name="Note 2 10 9 6" xfId="20699"/>
    <cellStyle name="Note 2 11" xfId="1071"/>
    <cellStyle name="Note 2 11 10" xfId="20700"/>
    <cellStyle name="Note 2 11 11" xfId="20701"/>
    <cellStyle name="Note 2 11 2" xfId="20702"/>
    <cellStyle name="Note 2 11 2 2" xfId="20703"/>
    <cellStyle name="Note 2 11 2 2 2" xfId="20704"/>
    <cellStyle name="Note 2 11 2 2 3" xfId="20705"/>
    <cellStyle name="Note 2 11 2 3" xfId="20706"/>
    <cellStyle name="Note 2 11 2 3 2" xfId="20707"/>
    <cellStyle name="Note 2 11 2 3 3" xfId="20708"/>
    <cellStyle name="Note 2 11 2 4" xfId="20709"/>
    <cellStyle name="Note 2 11 2 4 2" xfId="20710"/>
    <cellStyle name="Note 2 11 2 4 3" xfId="20711"/>
    <cellStyle name="Note 2 11 2 5" xfId="20712"/>
    <cellStyle name="Note 2 11 2 6" xfId="20713"/>
    <cellStyle name="Note 2 11 3" xfId="20714"/>
    <cellStyle name="Note 2 11 3 2" xfId="20715"/>
    <cellStyle name="Note 2 11 3 2 2" xfId="20716"/>
    <cellStyle name="Note 2 11 3 2 3" xfId="20717"/>
    <cellStyle name="Note 2 11 3 3" xfId="20718"/>
    <cellStyle name="Note 2 11 3 3 2" xfId="20719"/>
    <cellStyle name="Note 2 11 3 3 3" xfId="20720"/>
    <cellStyle name="Note 2 11 3 4" xfId="20721"/>
    <cellStyle name="Note 2 11 3 4 2" xfId="20722"/>
    <cellStyle name="Note 2 11 3 4 3" xfId="20723"/>
    <cellStyle name="Note 2 11 3 5" xfId="20724"/>
    <cellStyle name="Note 2 11 3 6" xfId="20725"/>
    <cellStyle name="Note 2 11 4" xfId="20726"/>
    <cellStyle name="Note 2 11 4 2" xfId="20727"/>
    <cellStyle name="Note 2 11 4 2 2" xfId="20728"/>
    <cellStyle name="Note 2 11 4 2 3" xfId="20729"/>
    <cellStyle name="Note 2 11 4 3" xfId="20730"/>
    <cellStyle name="Note 2 11 4 3 2" xfId="20731"/>
    <cellStyle name="Note 2 11 4 3 3" xfId="20732"/>
    <cellStyle name="Note 2 11 4 4" xfId="20733"/>
    <cellStyle name="Note 2 11 4 4 2" xfId="20734"/>
    <cellStyle name="Note 2 11 4 4 3" xfId="20735"/>
    <cellStyle name="Note 2 11 4 5" xfId="20736"/>
    <cellStyle name="Note 2 11 4 6" xfId="20737"/>
    <cellStyle name="Note 2 11 5" xfId="20738"/>
    <cellStyle name="Note 2 11 5 2" xfId="20739"/>
    <cellStyle name="Note 2 11 5 2 2" xfId="20740"/>
    <cellStyle name="Note 2 11 5 2 3" xfId="20741"/>
    <cellStyle name="Note 2 11 5 3" xfId="20742"/>
    <cellStyle name="Note 2 11 5 3 2" xfId="20743"/>
    <cellStyle name="Note 2 11 5 3 3" xfId="20744"/>
    <cellStyle name="Note 2 11 5 4" xfId="20745"/>
    <cellStyle name="Note 2 11 5 4 2" xfId="20746"/>
    <cellStyle name="Note 2 11 5 4 3" xfId="20747"/>
    <cellStyle name="Note 2 11 5 5" xfId="20748"/>
    <cellStyle name="Note 2 11 5 6" xfId="20749"/>
    <cellStyle name="Note 2 11 6" xfId="20750"/>
    <cellStyle name="Note 2 11 6 2" xfId="20751"/>
    <cellStyle name="Note 2 11 6 2 2" xfId="20752"/>
    <cellStyle name="Note 2 11 6 2 3" xfId="20753"/>
    <cellStyle name="Note 2 11 6 3" xfId="20754"/>
    <cellStyle name="Note 2 11 6 3 2" xfId="20755"/>
    <cellStyle name="Note 2 11 6 3 3" xfId="20756"/>
    <cellStyle name="Note 2 11 6 4" xfId="20757"/>
    <cellStyle name="Note 2 11 6 4 2" xfId="20758"/>
    <cellStyle name="Note 2 11 6 4 3" xfId="20759"/>
    <cellStyle name="Note 2 11 6 5" xfId="20760"/>
    <cellStyle name="Note 2 11 6 6" xfId="20761"/>
    <cellStyle name="Note 2 11 7" xfId="20762"/>
    <cellStyle name="Note 2 11 7 2" xfId="20763"/>
    <cellStyle name="Note 2 11 7 3" xfId="20764"/>
    <cellStyle name="Note 2 11 8" xfId="20765"/>
    <cellStyle name="Note 2 11 8 2" xfId="20766"/>
    <cellStyle name="Note 2 11 8 3" xfId="20767"/>
    <cellStyle name="Note 2 11 9" xfId="20768"/>
    <cellStyle name="Note 2 11 9 2" xfId="20769"/>
    <cellStyle name="Note 2 11 9 3" xfId="20770"/>
    <cellStyle name="Note 2 12" xfId="3141"/>
    <cellStyle name="Note 2 13" xfId="3151"/>
    <cellStyle name="Note 2 14" xfId="3252"/>
    <cellStyle name="Note 2 15" xfId="3187"/>
    <cellStyle name="Note 2 2" xfId="126"/>
    <cellStyle name="Note 2 2 2" xfId="187"/>
    <cellStyle name="Note 2 2 2 2" xfId="612"/>
    <cellStyle name="Note 2 2 2 2 10" xfId="20771"/>
    <cellStyle name="Note 2 2 2 2 10 2" xfId="20772"/>
    <cellStyle name="Note 2 2 2 2 10 2 2" xfId="20773"/>
    <cellStyle name="Note 2 2 2 2 10 2 3" xfId="20774"/>
    <cellStyle name="Note 2 2 2 2 10 3" xfId="20775"/>
    <cellStyle name="Note 2 2 2 2 10 3 2" xfId="20776"/>
    <cellStyle name="Note 2 2 2 2 10 3 3" xfId="20777"/>
    <cellStyle name="Note 2 2 2 2 10 4" xfId="20778"/>
    <cellStyle name="Note 2 2 2 2 10 4 2" xfId="20779"/>
    <cellStyle name="Note 2 2 2 2 10 4 3" xfId="20780"/>
    <cellStyle name="Note 2 2 2 2 10 5" xfId="20781"/>
    <cellStyle name="Note 2 2 2 2 10 6" xfId="20782"/>
    <cellStyle name="Note 2 2 2 2 11" xfId="20783"/>
    <cellStyle name="Note 2 2 2 2 11 2" xfId="20784"/>
    <cellStyle name="Note 2 2 2 2 11 2 2" xfId="20785"/>
    <cellStyle name="Note 2 2 2 2 11 2 3" xfId="20786"/>
    <cellStyle name="Note 2 2 2 2 11 3" xfId="20787"/>
    <cellStyle name="Note 2 2 2 2 11 3 2" xfId="20788"/>
    <cellStyle name="Note 2 2 2 2 11 3 3" xfId="20789"/>
    <cellStyle name="Note 2 2 2 2 11 4" xfId="20790"/>
    <cellStyle name="Note 2 2 2 2 11 4 2" xfId="20791"/>
    <cellStyle name="Note 2 2 2 2 11 4 3" xfId="20792"/>
    <cellStyle name="Note 2 2 2 2 11 5" xfId="20793"/>
    <cellStyle name="Note 2 2 2 2 11 6" xfId="20794"/>
    <cellStyle name="Note 2 2 2 2 12" xfId="20795"/>
    <cellStyle name="Note 2 2 2 2 12 2" xfId="20796"/>
    <cellStyle name="Note 2 2 2 2 12 2 2" xfId="20797"/>
    <cellStyle name="Note 2 2 2 2 12 2 3" xfId="20798"/>
    <cellStyle name="Note 2 2 2 2 12 3" xfId="20799"/>
    <cellStyle name="Note 2 2 2 2 12 3 2" xfId="20800"/>
    <cellStyle name="Note 2 2 2 2 12 3 3" xfId="20801"/>
    <cellStyle name="Note 2 2 2 2 12 4" xfId="20802"/>
    <cellStyle name="Note 2 2 2 2 12 4 2" xfId="20803"/>
    <cellStyle name="Note 2 2 2 2 12 4 3" xfId="20804"/>
    <cellStyle name="Note 2 2 2 2 12 5" xfId="20805"/>
    <cellStyle name="Note 2 2 2 2 12 6" xfId="20806"/>
    <cellStyle name="Note 2 2 2 2 13" xfId="20807"/>
    <cellStyle name="Note 2 2 2 2 13 2" xfId="20808"/>
    <cellStyle name="Note 2 2 2 2 13 2 2" xfId="20809"/>
    <cellStyle name="Note 2 2 2 2 13 2 3" xfId="20810"/>
    <cellStyle name="Note 2 2 2 2 13 3" xfId="20811"/>
    <cellStyle name="Note 2 2 2 2 13 3 2" xfId="20812"/>
    <cellStyle name="Note 2 2 2 2 13 3 3" xfId="20813"/>
    <cellStyle name="Note 2 2 2 2 13 4" xfId="20814"/>
    <cellStyle name="Note 2 2 2 2 13 4 2" xfId="20815"/>
    <cellStyle name="Note 2 2 2 2 13 4 3" xfId="20816"/>
    <cellStyle name="Note 2 2 2 2 13 5" xfId="20817"/>
    <cellStyle name="Note 2 2 2 2 13 6" xfId="20818"/>
    <cellStyle name="Note 2 2 2 2 14" xfId="20819"/>
    <cellStyle name="Note 2 2 2 2 14 2" xfId="20820"/>
    <cellStyle name="Note 2 2 2 2 14 3" xfId="20821"/>
    <cellStyle name="Note 2 2 2 2 15" xfId="20822"/>
    <cellStyle name="Note 2 2 2 2 15 2" xfId="20823"/>
    <cellStyle name="Note 2 2 2 2 15 3" xfId="20824"/>
    <cellStyle name="Note 2 2 2 2 16" xfId="20825"/>
    <cellStyle name="Note 2 2 2 2 16 2" xfId="20826"/>
    <cellStyle name="Note 2 2 2 2 16 3" xfId="20827"/>
    <cellStyle name="Note 2 2 2 2 17" xfId="20828"/>
    <cellStyle name="Note 2 2 2 2 18" xfId="20829"/>
    <cellStyle name="Note 2 2 2 2 2" xfId="872"/>
    <cellStyle name="Note 2 2 2 2 2 10" xfId="20830"/>
    <cellStyle name="Note 2 2 2 2 2 11" xfId="20831"/>
    <cellStyle name="Note 2 2 2 2 2 2" xfId="20832"/>
    <cellStyle name="Note 2 2 2 2 2 2 2" xfId="20833"/>
    <cellStyle name="Note 2 2 2 2 2 2 2 2" xfId="20834"/>
    <cellStyle name="Note 2 2 2 2 2 2 2 3" xfId="20835"/>
    <cellStyle name="Note 2 2 2 2 2 2 3" xfId="20836"/>
    <cellStyle name="Note 2 2 2 2 2 2 3 2" xfId="20837"/>
    <cellStyle name="Note 2 2 2 2 2 2 3 3" xfId="20838"/>
    <cellStyle name="Note 2 2 2 2 2 2 4" xfId="20839"/>
    <cellStyle name="Note 2 2 2 2 2 2 4 2" xfId="20840"/>
    <cellStyle name="Note 2 2 2 2 2 2 4 3" xfId="20841"/>
    <cellStyle name="Note 2 2 2 2 2 2 5" xfId="20842"/>
    <cellStyle name="Note 2 2 2 2 2 2 6" xfId="20843"/>
    <cellStyle name="Note 2 2 2 2 2 3" xfId="20844"/>
    <cellStyle name="Note 2 2 2 2 2 3 2" xfId="20845"/>
    <cellStyle name="Note 2 2 2 2 2 3 2 2" xfId="20846"/>
    <cellStyle name="Note 2 2 2 2 2 3 2 3" xfId="20847"/>
    <cellStyle name="Note 2 2 2 2 2 3 3" xfId="20848"/>
    <cellStyle name="Note 2 2 2 2 2 3 3 2" xfId="20849"/>
    <cellStyle name="Note 2 2 2 2 2 3 3 3" xfId="20850"/>
    <cellStyle name="Note 2 2 2 2 2 3 4" xfId="20851"/>
    <cellStyle name="Note 2 2 2 2 2 3 4 2" xfId="20852"/>
    <cellStyle name="Note 2 2 2 2 2 3 4 3" xfId="20853"/>
    <cellStyle name="Note 2 2 2 2 2 3 5" xfId="20854"/>
    <cellStyle name="Note 2 2 2 2 2 3 6" xfId="20855"/>
    <cellStyle name="Note 2 2 2 2 2 4" xfId="20856"/>
    <cellStyle name="Note 2 2 2 2 2 4 2" xfId="20857"/>
    <cellStyle name="Note 2 2 2 2 2 4 2 2" xfId="20858"/>
    <cellStyle name="Note 2 2 2 2 2 4 2 3" xfId="20859"/>
    <cellStyle name="Note 2 2 2 2 2 4 3" xfId="20860"/>
    <cellStyle name="Note 2 2 2 2 2 4 3 2" xfId="20861"/>
    <cellStyle name="Note 2 2 2 2 2 4 3 3" xfId="20862"/>
    <cellStyle name="Note 2 2 2 2 2 4 4" xfId="20863"/>
    <cellStyle name="Note 2 2 2 2 2 4 4 2" xfId="20864"/>
    <cellStyle name="Note 2 2 2 2 2 4 4 3" xfId="20865"/>
    <cellStyle name="Note 2 2 2 2 2 4 5" xfId="20866"/>
    <cellStyle name="Note 2 2 2 2 2 4 6" xfId="20867"/>
    <cellStyle name="Note 2 2 2 2 2 5" xfId="20868"/>
    <cellStyle name="Note 2 2 2 2 2 5 2" xfId="20869"/>
    <cellStyle name="Note 2 2 2 2 2 5 2 2" xfId="20870"/>
    <cellStyle name="Note 2 2 2 2 2 5 2 3" xfId="20871"/>
    <cellStyle name="Note 2 2 2 2 2 5 3" xfId="20872"/>
    <cellStyle name="Note 2 2 2 2 2 5 3 2" xfId="20873"/>
    <cellStyle name="Note 2 2 2 2 2 5 3 3" xfId="20874"/>
    <cellStyle name="Note 2 2 2 2 2 5 4" xfId="20875"/>
    <cellStyle name="Note 2 2 2 2 2 5 4 2" xfId="20876"/>
    <cellStyle name="Note 2 2 2 2 2 5 4 3" xfId="20877"/>
    <cellStyle name="Note 2 2 2 2 2 5 5" xfId="20878"/>
    <cellStyle name="Note 2 2 2 2 2 5 6" xfId="20879"/>
    <cellStyle name="Note 2 2 2 2 2 6" xfId="20880"/>
    <cellStyle name="Note 2 2 2 2 2 6 2" xfId="20881"/>
    <cellStyle name="Note 2 2 2 2 2 6 2 2" xfId="20882"/>
    <cellStyle name="Note 2 2 2 2 2 6 2 3" xfId="20883"/>
    <cellStyle name="Note 2 2 2 2 2 6 3" xfId="20884"/>
    <cellStyle name="Note 2 2 2 2 2 6 3 2" xfId="20885"/>
    <cellStyle name="Note 2 2 2 2 2 6 3 3" xfId="20886"/>
    <cellStyle name="Note 2 2 2 2 2 6 4" xfId="20887"/>
    <cellStyle name="Note 2 2 2 2 2 6 4 2" xfId="20888"/>
    <cellStyle name="Note 2 2 2 2 2 6 4 3" xfId="20889"/>
    <cellStyle name="Note 2 2 2 2 2 6 5" xfId="20890"/>
    <cellStyle name="Note 2 2 2 2 2 6 6" xfId="20891"/>
    <cellStyle name="Note 2 2 2 2 2 7" xfId="20892"/>
    <cellStyle name="Note 2 2 2 2 2 7 2" xfId="20893"/>
    <cellStyle name="Note 2 2 2 2 2 7 3" xfId="20894"/>
    <cellStyle name="Note 2 2 2 2 2 8" xfId="20895"/>
    <cellStyle name="Note 2 2 2 2 2 8 2" xfId="20896"/>
    <cellStyle name="Note 2 2 2 2 2 8 3" xfId="20897"/>
    <cellStyle name="Note 2 2 2 2 2 9" xfId="20898"/>
    <cellStyle name="Note 2 2 2 2 2 9 2" xfId="20899"/>
    <cellStyle name="Note 2 2 2 2 2 9 3" xfId="20900"/>
    <cellStyle name="Note 2 2 2 2 3" xfId="783"/>
    <cellStyle name="Note 2 2 2 2 3 10" xfId="20901"/>
    <cellStyle name="Note 2 2 2 2 3 11" xfId="20902"/>
    <cellStyle name="Note 2 2 2 2 3 2" xfId="20903"/>
    <cellStyle name="Note 2 2 2 2 3 2 2" xfId="20904"/>
    <cellStyle name="Note 2 2 2 2 3 2 2 2" xfId="20905"/>
    <cellStyle name="Note 2 2 2 2 3 2 2 3" xfId="20906"/>
    <cellStyle name="Note 2 2 2 2 3 2 3" xfId="20907"/>
    <cellStyle name="Note 2 2 2 2 3 2 3 2" xfId="20908"/>
    <cellStyle name="Note 2 2 2 2 3 2 3 3" xfId="20909"/>
    <cellStyle name="Note 2 2 2 2 3 2 4" xfId="20910"/>
    <cellStyle name="Note 2 2 2 2 3 2 4 2" xfId="20911"/>
    <cellStyle name="Note 2 2 2 2 3 2 4 3" xfId="20912"/>
    <cellStyle name="Note 2 2 2 2 3 2 5" xfId="20913"/>
    <cellStyle name="Note 2 2 2 2 3 2 6" xfId="20914"/>
    <cellStyle name="Note 2 2 2 2 3 3" xfId="20915"/>
    <cellStyle name="Note 2 2 2 2 3 3 2" xfId="20916"/>
    <cellStyle name="Note 2 2 2 2 3 3 2 2" xfId="20917"/>
    <cellStyle name="Note 2 2 2 2 3 3 2 3" xfId="20918"/>
    <cellStyle name="Note 2 2 2 2 3 3 3" xfId="20919"/>
    <cellStyle name="Note 2 2 2 2 3 3 3 2" xfId="20920"/>
    <cellStyle name="Note 2 2 2 2 3 3 3 3" xfId="20921"/>
    <cellStyle name="Note 2 2 2 2 3 3 4" xfId="20922"/>
    <cellStyle name="Note 2 2 2 2 3 3 4 2" xfId="20923"/>
    <cellStyle name="Note 2 2 2 2 3 3 4 3" xfId="20924"/>
    <cellStyle name="Note 2 2 2 2 3 3 5" xfId="20925"/>
    <cellStyle name="Note 2 2 2 2 3 3 6" xfId="20926"/>
    <cellStyle name="Note 2 2 2 2 3 4" xfId="20927"/>
    <cellStyle name="Note 2 2 2 2 3 4 2" xfId="20928"/>
    <cellStyle name="Note 2 2 2 2 3 4 2 2" xfId="20929"/>
    <cellStyle name="Note 2 2 2 2 3 4 2 3" xfId="20930"/>
    <cellStyle name="Note 2 2 2 2 3 4 3" xfId="20931"/>
    <cellStyle name="Note 2 2 2 2 3 4 3 2" xfId="20932"/>
    <cellStyle name="Note 2 2 2 2 3 4 3 3" xfId="20933"/>
    <cellStyle name="Note 2 2 2 2 3 4 4" xfId="20934"/>
    <cellStyle name="Note 2 2 2 2 3 4 4 2" xfId="20935"/>
    <cellStyle name="Note 2 2 2 2 3 4 4 3" xfId="20936"/>
    <cellStyle name="Note 2 2 2 2 3 4 5" xfId="20937"/>
    <cellStyle name="Note 2 2 2 2 3 4 6" xfId="20938"/>
    <cellStyle name="Note 2 2 2 2 3 5" xfId="20939"/>
    <cellStyle name="Note 2 2 2 2 3 5 2" xfId="20940"/>
    <cellStyle name="Note 2 2 2 2 3 5 2 2" xfId="20941"/>
    <cellStyle name="Note 2 2 2 2 3 5 2 3" xfId="20942"/>
    <cellStyle name="Note 2 2 2 2 3 5 3" xfId="20943"/>
    <cellStyle name="Note 2 2 2 2 3 5 3 2" xfId="20944"/>
    <cellStyle name="Note 2 2 2 2 3 5 3 3" xfId="20945"/>
    <cellStyle name="Note 2 2 2 2 3 5 4" xfId="20946"/>
    <cellStyle name="Note 2 2 2 2 3 5 4 2" xfId="20947"/>
    <cellStyle name="Note 2 2 2 2 3 5 4 3" xfId="20948"/>
    <cellStyle name="Note 2 2 2 2 3 5 5" xfId="20949"/>
    <cellStyle name="Note 2 2 2 2 3 5 6" xfId="20950"/>
    <cellStyle name="Note 2 2 2 2 3 6" xfId="20951"/>
    <cellStyle name="Note 2 2 2 2 3 6 2" xfId="20952"/>
    <cellStyle name="Note 2 2 2 2 3 6 2 2" xfId="20953"/>
    <cellStyle name="Note 2 2 2 2 3 6 2 3" xfId="20954"/>
    <cellStyle name="Note 2 2 2 2 3 6 3" xfId="20955"/>
    <cellStyle name="Note 2 2 2 2 3 6 3 2" xfId="20956"/>
    <cellStyle name="Note 2 2 2 2 3 6 3 3" xfId="20957"/>
    <cellStyle name="Note 2 2 2 2 3 6 4" xfId="20958"/>
    <cellStyle name="Note 2 2 2 2 3 6 4 2" xfId="20959"/>
    <cellStyle name="Note 2 2 2 2 3 6 4 3" xfId="20960"/>
    <cellStyle name="Note 2 2 2 2 3 6 5" xfId="20961"/>
    <cellStyle name="Note 2 2 2 2 3 6 6" xfId="20962"/>
    <cellStyle name="Note 2 2 2 2 3 7" xfId="20963"/>
    <cellStyle name="Note 2 2 2 2 3 7 2" xfId="20964"/>
    <cellStyle name="Note 2 2 2 2 3 7 3" xfId="20965"/>
    <cellStyle name="Note 2 2 2 2 3 8" xfId="20966"/>
    <cellStyle name="Note 2 2 2 2 3 8 2" xfId="20967"/>
    <cellStyle name="Note 2 2 2 2 3 8 3" xfId="20968"/>
    <cellStyle name="Note 2 2 2 2 3 9" xfId="20969"/>
    <cellStyle name="Note 2 2 2 2 3 9 2" xfId="20970"/>
    <cellStyle name="Note 2 2 2 2 3 9 3" xfId="20971"/>
    <cellStyle name="Note 2 2 2 2 4" xfId="941"/>
    <cellStyle name="Note 2 2 2 2 4 10" xfId="20972"/>
    <cellStyle name="Note 2 2 2 2 4 11" xfId="20973"/>
    <cellStyle name="Note 2 2 2 2 4 2" xfId="20974"/>
    <cellStyle name="Note 2 2 2 2 4 2 2" xfId="20975"/>
    <cellStyle name="Note 2 2 2 2 4 2 2 2" xfId="20976"/>
    <cellStyle name="Note 2 2 2 2 4 2 2 3" xfId="20977"/>
    <cellStyle name="Note 2 2 2 2 4 2 3" xfId="20978"/>
    <cellStyle name="Note 2 2 2 2 4 2 3 2" xfId="20979"/>
    <cellStyle name="Note 2 2 2 2 4 2 3 3" xfId="20980"/>
    <cellStyle name="Note 2 2 2 2 4 2 4" xfId="20981"/>
    <cellStyle name="Note 2 2 2 2 4 2 4 2" xfId="20982"/>
    <cellStyle name="Note 2 2 2 2 4 2 4 3" xfId="20983"/>
    <cellStyle name="Note 2 2 2 2 4 2 5" xfId="20984"/>
    <cellStyle name="Note 2 2 2 2 4 2 6" xfId="20985"/>
    <cellStyle name="Note 2 2 2 2 4 3" xfId="20986"/>
    <cellStyle name="Note 2 2 2 2 4 3 2" xfId="20987"/>
    <cellStyle name="Note 2 2 2 2 4 3 2 2" xfId="20988"/>
    <cellStyle name="Note 2 2 2 2 4 3 2 3" xfId="20989"/>
    <cellStyle name="Note 2 2 2 2 4 3 3" xfId="20990"/>
    <cellStyle name="Note 2 2 2 2 4 3 3 2" xfId="20991"/>
    <cellStyle name="Note 2 2 2 2 4 3 3 3" xfId="20992"/>
    <cellStyle name="Note 2 2 2 2 4 3 4" xfId="20993"/>
    <cellStyle name="Note 2 2 2 2 4 3 4 2" xfId="20994"/>
    <cellStyle name="Note 2 2 2 2 4 3 4 3" xfId="20995"/>
    <cellStyle name="Note 2 2 2 2 4 3 5" xfId="20996"/>
    <cellStyle name="Note 2 2 2 2 4 3 6" xfId="20997"/>
    <cellStyle name="Note 2 2 2 2 4 4" xfId="20998"/>
    <cellStyle name="Note 2 2 2 2 4 4 2" xfId="20999"/>
    <cellStyle name="Note 2 2 2 2 4 4 2 2" xfId="21000"/>
    <cellStyle name="Note 2 2 2 2 4 4 2 3" xfId="21001"/>
    <cellStyle name="Note 2 2 2 2 4 4 3" xfId="21002"/>
    <cellStyle name="Note 2 2 2 2 4 4 3 2" xfId="21003"/>
    <cellStyle name="Note 2 2 2 2 4 4 3 3" xfId="21004"/>
    <cellStyle name="Note 2 2 2 2 4 4 4" xfId="21005"/>
    <cellStyle name="Note 2 2 2 2 4 4 4 2" xfId="21006"/>
    <cellStyle name="Note 2 2 2 2 4 4 4 3" xfId="21007"/>
    <cellStyle name="Note 2 2 2 2 4 4 5" xfId="21008"/>
    <cellStyle name="Note 2 2 2 2 4 4 6" xfId="21009"/>
    <cellStyle name="Note 2 2 2 2 4 5" xfId="21010"/>
    <cellStyle name="Note 2 2 2 2 4 5 2" xfId="21011"/>
    <cellStyle name="Note 2 2 2 2 4 5 2 2" xfId="21012"/>
    <cellStyle name="Note 2 2 2 2 4 5 2 3" xfId="21013"/>
    <cellStyle name="Note 2 2 2 2 4 5 3" xfId="21014"/>
    <cellStyle name="Note 2 2 2 2 4 5 3 2" xfId="21015"/>
    <cellStyle name="Note 2 2 2 2 4 5 3 3" xfId="21016"/>
    <cellStyle name="Note 2 2 2 2 4 5 4" xfId="21017"/>
    <cellStyle name="Note 2 2 2 2 4 5 4 2" xfId="21018"/>
    <cellStyle name="Note 2 2 2 2 4 5 4 3" xfId="21019"/>
    <cellStyle name="Note 2 2 2 2 4 5 5" xfId="21020"/>
    <cellStyle name="Note 2 2 2 2 4 5 6" xfId="21021"/>
    <cellStyle name="Note 2 2 2 2 4 6" xfId="21022"/>
    <cellStyle name="Note 2 2 2 2 4 6 2" xfId="21023"/>
    <cellStyle name="Note 2 2 2 2 4 6 2 2" xfId="21024"/>
    <cellStyle name="Note 2 2 2 2 4 6 2 3" xfId="21025"/>
    <cellStyle name="Note 2 2 2 2 4 6 3" xfId="21026"/>
    <cellStyle name="Note 2 2 2 2 4 6 3 2" xfId="21027"/>
    <cellStyle name="Note 2 2 2 2 4 6 3 3" xfId="21028"/>
    <cellStyle name="Note 2 2 2 2 4 6 4" xfId="21029"/>
    <cellStyle name="Note 2 2 2 2 4 6 4 2" xfId="21030"/>
    <cellStyle name="Note 2 2 2 2 4 6 4 3" xfId="21031"/>
    <cellStyle name="Note 2 2 2 2 4 6 5" xfId="21032"/>
    <cellStyle name="Note 2 2 2 2 4 6 6" xfId="21033"/>
    <cellStyle name="Note 2 2 2 2 4 7" xfId="21034"/>
    <cellStyle name="Note 2 2 2 2 4 7 2" xfId="21035"/>
    <cellStyle name="Note 2 2 2 2 4 7 3" xfId="21036"/>
    <cellStyle name="Note 2 2 2 2 4 8" xfId="21037"/>
    <cellStyle name="Note 2 2 2 2 4 8 2" xfId="21038"/>
    <cellStyle name="Note 2 2 2 2 4 8 3" xfId="21039"/>
    <cellStyle name="Note 2 2 2 2 4 9" xfId="21040"/>
    <cellStyle name="Note 2 2 2 2 4 9 2" xfId="21041"/>
    <cellStyle name="Note 2 2 2 2 4 9 3" xfId="21042"/>
    <cellStyle name="Note 2 2 2 2 5" xfId="21043"/>
    <cellStyle name="Note 2 2 2 2 5 10" xfId="21044"/>
    <cellStyle name="Note 2 2 2 2 5 11" xfId="21045"/>
    <cellStyle name="Note 2 2 2 2 5 2" xfId="21046"/>
    <cellStyle name="Note 2 2 2 2 5 2 2" xfId="21047"/>
    <cellStyle name="Note 2 2 2 2 5 2 2 2" xfId="21048"/>
    <cellStyle name="Note 2 2 2 2 5 2 2 3" xfId="21049"/>
    <cellStyle name="Note 2 2 2 2 5 2 3" xfId="21050"/>
    <cellStyle name="Note 2 2 2 2 5 2 3 2" xfId="21051"/>
    <cellStyle name="Note 2 2 2 2 5 2 3 3" xfId="21052"/>
    <cellStyle name="Note 2 2 2 2 5 2 4" xfId="21053"/>
    <cellStyle name="Note 2 2 2 2 5 2 4 2" xfId="21054"/>
    <cellStyle name="Note 2 2 2 2 5 2 4 3" xfId="21055"/>
    <cellStyle name="Note 2 2 2 2 5 2 5" xfId="21056"/>
    <cellStyle name="Note 2 2 2 2 5 2 6" xfId="21057"/>
    <cellStyle name="Note 2 2 2 2 5 3" xfId="21058"/>
    <cellStyle name="Note 2 2 2 2 5 3 2" xfId="21059"/>
    <cellStyle name="Note 2 2 2 2 5 3 2 2" xfId="21060"/>
    <cellStyle name="Note 2 2 2 2 5 3 2 3" xfId="21061"/>
    <cellStyle name="Note 2 2 2 2 5 3 3" xfId="21062"/>
    <cellStyle name="Note 2 2 2 2 5 3 3 2" xfId="21063"/>
    <cellStyle name="Note 2 2 2 2 5 3 3 3" xfId="21064"/>
    <cellStyle name="Note 2 2 2 2 5 3 4" xfId="21065"/>
    <cellStyle name="Note 2 2 2 2 5 3 4 2" xfId="21066"/>
    <cellStyle name="Note 2 2 2 2 5 3 4 3" xfId="21067"/>
    <cellStyle name="Note 2 2 2 2 5 3 5" xfId="21068"/>
    <cellStyle name="Note 2 2 2 2 5 3 6" xfId="21069"/>
    <cellStyle name="Note 2 2 2 2 5 4" xfId="21070"/>
    <cellStyle name="Note 2 2 2 2 5 4 2" xfId="21071"/>
    <cellStyle name="Note 2 2 2 2 5 4 2 2" xfId="21072"/>
    <cellStyle name="Note 2 2 2 2 5 4 2 3" xfId="21073"/>
    <cellStyle name="Note 2 2 2 2 5 4 3" xfId="21074"/>
    <cellStyle name="Note 2 2 2 2 5 4 3 2" xfId="21075"/>
    <cellStyle name="Note 2 2 2 2 5 4 3 3" xfId="21076"/>
    <cellStyle name="Note 2 2 2 2 5 4 4" xfId="21077"/>
    <cellStyle name="Note 2 2 2 2 5 4 4 2" xfId="21078"/>
    <cellStyle name="Note 2 2 2 2 5 4 4 3" xfId="21079"/>
    <cellStyle name="Note 2 2 2 2 5 4 5" xfId="21080"/>
    <cellStyle name="Note 2 2 2 2 5 4 6" xfId="21081"/>
    <cellStyle name="Note 2 2 2 2 5 5" xfId="21082"/>
    <cellStyle name="Note 2 2 2 2 5 5 2" xfId="21083"/>
    <cellStyle name="Note 2 2 2 2 5 5 2 2" xfId="21084"/>
    <cellStyle name="Note 2 2 2 2 5 5 2 3" xfId="21085"/>
    <cellStyle name="Note 2 2 2 2 5 5 3" xfId="21086"/>
    <cellStyle name="Note 2 2 2 2 5 5 3 2" xfId="21087"/>
    <cellStyle name="Note 2 2 2 2 5 5 3 3" xfId="21088"/>
    <cellStyle name="Note 2 2 2 2 5 5 4" xfId="21089"/>
    <cellStyle name="Note 2 2 2 2 5 5 4 2" xfId="21090"/>
    <cellStyle name="Note 2 2 2 2 5 5 4 3" xfId="21091"/>
    <cellStyle name="Note 2 2 2 2 5 5 5" xfId="21092"/>
    <cellStyle name="Note 2 2 2 2 5 5 6" xfId="21093"/>
    <cellStyle name="Note 2 2 2 2 5 6" xfId="21094"/>
    <cellStyle name="Note 2 2 2 2 5 6 2" xfId="21095"/>
    <cellStyle name="Note 2 2 2 2 5 6 2 2" xfId="21096"/>
    <cellStyle name="Note 2 2 2 2 5 6 2 3" xfId="21097"/>
    <cellStyle name="Note 2 2 2 2 5 6 3" xfId="21098"/>
    <cellStyle name="Note 2 2 2 2 5 6 3 2" xfId="21099"/>
    <cellStyle name="Note 2 2 2 2 5 6 3 3" xfId="21100"/>
    <cellStyle name="Note 2 2 2 2 5 6 4" xfId="21101"/>
    <cellStyle name="Note 2 2 2 2 5 6 4 2" xfId="21102"/>
    <cellStyle name="Note 2 2 2 2 5 6 4 3" xfId="21103"/>
    <cellStyle name="Note 2 2 2 2 5 6 5" xfId="21104"/>
    <cellStyle name="Note 2 2 2 2 5 6 6" xfId="21105"/>
    <cellStyle name="Note 2 2 2 2 5 7" xfId="21106"/>
    <cellStyle name="Note 2 2 2 2 5 7 2" xfId="21107"/>
    <cellStyle name="Note 2 2 2 2 5 7 3" xfId="21108"/>
    <cellStyle name="Note 2 2 2 2 5 8" xfId="21109"/>
    <cellStyle name="Note 2 2 2 2 5 8 2" xfId="21110"/>
    <cellStyle name="Note 2 2 2 2 5 8 3" xfId="21111"/>
    <cellStyle name="Note 2 2 2 2 5 9" xfId="21112"/>
    <cellStyle name="Note 2 2 2 2 5 9 2" xfId="21113"/>
    <cellStyle name="Note 2 2 2 2 5 9 3" xfId="21114"/>
    <cellStyle name="Note 2 2 2 2 6" xfId="21115"/>
    <cellStyle name="Note 2 2 2 2 6 2" xfId="21116"/>
    <cellStyle name="Note 2 2 2 2 6 2 2" xfId="21117"/>
    <cellStyle name="Note 2 2 2 2 6 2 3" xfId="21118"/>
    <cellStyle name="Note 2 2 2 2 6 3" xfId="21119"/>
    <cellStyle name="Note 2 2 2 2 6 3 2" xfId="21120"/>
    <cellStyle name="Note 2 2 2 2 6 3 3" xfId="21121"/>
    <cellStyle name="Note 2 2 2 2 6 4" xfId="21122"/>
    <cellStyle name="Note 2 2 2 2 6 4 2" xfId="21123"/>
    <cellStyle name="Note 2 2 2 2 6 4 3" xfId="21124"/>
    <cellStyle name="Note 2 2 2 2 6 5" xfId="21125"/>
    <cellStyle name="Note 2 2 2 2 6 6" xfId="21126"/>
    <cellStyle name="Note 2 2 2 2 7" xfId="21127"/>
    <cellStyle name="Note 2 2 2 2 7 2" xfId="21128"/>
    <cellStyle name="Note 2 2 2 2 7 2 2" xfId="21129"/>
    <cellStyle name="Note 2 2 2 2 7 2 3" xfId="21130"/>
    <cellStyle name="Note 2 2 2 2 7 3" xfId="21131"/>
    <cellStyle name="Note 2 2 2 2 7 3 2" xfId="21132"/>
    <cellStyle name="Note 2 2 2 2 7 3 3" xfId="21133"/>
    <cellStyle name="Note 2 2 2 2 7 4" xfId="21134"/>
    <cellStyle name="Note 2 2 2 2 7 4 2" xfId="21135"/>
    <cellStyle name="Note 2 2 2 2 7 4 3" xfId="21136"/>
    <cellStyle name="Note 2 2 2 2 7 5" xfId="21137"/>
    <cellStyle name="Note 2 2 2 2 7 6" xfId="21138"/>
    <cellStyle name="Note 2 2 2 2 8" xfId="21139"/>
    <cellStyle name="Note 2 2 2 2 8 2" xfId="21140"/>
    <cellStyle name="Note 2 2 2 2 8 2 2" xfId="21141"/>
    <cellStyle name="Note 2 2 2 2 8 2 3" xfId="21142"/>
    <cellStyle name="Note 2 2 2 2 8 3" xfId="21143"/>
    <cellStyle name="Note 2 2 2 2 8 3 2" xfId="21144"/>
    <cellStyle name="Note 2 2 2 2 8 3 3" xfId="21145"/>
    <cellStyle name="Note 2 2 2 2 8 4" xfId="21146"/>
    <cellStyle name="Note 2 2 2 2 8 4 2" xfId="21147"/>
    <cellStyle name="Note 2 2 2 2 8 4 3" xfId="21148"/>
    <cellStyle name="Note 2 2 2 2 8 5" xfId="21149"/>
    <cellStyle name="Note 2 2 2 2 8 6" xfId="21150"/>
    <cellStyle name="Note 2 2 2 2 9" xfId="21151"/>
    <cellStyle name="Note 2 2 2 2 9 2" xfId="21152"/>
    <cellStyle name="Note 2 2 2 2 9 2 2" xfId="21153"/>
    <cellStyle name="Note 2 2 2 2 9 2 3" xfId="21154"/>
    <cellStyle name="Note 2 2 2 2 9 3" xfId="21155"/>
    <cellStyle name="Note 2 2 2 2 9 3 2" xfId="21156"/>
    <cellStyle name="Note 2 2 2 2 9 3 3" xfId="21157"/>
    <cellStyle name="Note 2 2 2 2 9 4" xfId="21158"/>
    <cellStyle name="Note 2 2 2 2 9 4 2" xfId="21159"/>
    <cellStyle name="Note 2 2 2 2 9 4 3" xfId="21160"/>
    <cellStyle name="Note 2 2 2 2 9 5" xfId="21161"/>
    <cellStyle name="Note 2 2 2 2 9 6" xfId="21162"/>
    <cellStyle name="Note 2 2 2 3" xfId="613"/>
    <cellStyle name="Note 2 2 2 3 10" xfId="21163"/>
    <cellStyle name="Note 2 2 2 3 11" xfId="21164"/>
    <cellStyle name="Note 2 2 2 3 2" xfId="873"/>
    <cellStyle name="Note 2 2 2 3 2 2" xfId="21165"/>
    <cellStyle name="Note 2 2 2 3 2 2 2" xfId="21166"/>
    <cellStyle name="Note 2 2 2 3 2 2 3" xfId="21167"/>
    <cellStyle name="Note 2 2 2 3 2 3" xfId="21168"/>
    <cellStyle name="Note 2 2 2 3 2 3 2" xfId="21169"/>
    <cellStyle name="Note 2 2 2 3 2 3 3" xfId="21170"/>
    <cellStyle name="Note 2 2 2 3 2 4" xfId="21171"/>
    <cellStyle name="Note 2 2 2 3 2 4 2" xfId="21172"/>
    <cellStyle name="Note 2 2 2 3 2 4 3" xfId="21173"/>
    <cellStyle name="Note 2 2 2 3 2 5" xfId="21174"/>
    <cellStyle name="Note 2 2 2 3 2 6" xfId="21175"/>
    <cellStyle name="Note 2 2 2 3 3" xfId="766"/>
    <cellStyle name="Note 2 2 2 3 3 2" xfId="21176"/>
    <cellStyle name="Note 2 2 2 3 3 2 2" xfId="21177"/>
    <cellStyle name="Note 2 2 2 3 3 2 3" xfId="21178"/>
    <cellStyle name="Note 2 2 2 3 3 3" xfId="21179"/>
    <cellStyle name="Note 2 2 2 3 3 3 2" xfId="21180"/>
    <cellStyle name="Note 2 2 2 3 3 3 3" xfId="21181"/>
    <cellStyle name="Note 2 2 2 3 3 4" xfId="21182"/>
    <cellStyle name="Note 2 2 2 3 3 4 2" xfId="21183"/>
    <cellStyle name="Note 2 2 2 3 3 4 3" xfId="21184"/>
    <cellStyle name="Note 2 2 2 3 3 5" xfId="21185"/>
    <cellStyle name="Note 2 2 2 3 3 6" xfId="21186"/>
    <cellStyle name="Note 2 2 2 3 4" xfId="942"/>
    <cellStyle name="Note 2 2 2 3 4 2" xfId="21187"/>
    <cellStyle name="Note 2 2 2 3 4 2 2" xfId="21188"/>
    <cellStyle name="Note 2 2 2 3 4 2 3" xfId="21189"/>
    <cellStyle name="Note 2 2 2 3 4 3" xfId="21190"/>
    <cellStyle name="Note 2 2 2 3 4 3 2" xfId="21191"/>
    <cellStyle name="Note 2 2 2 3 4 3 3" xfId="21192"/>
    <cellStyle name="Note 2 2 2 3 4 4" xfId="21193"/>
    <cellStyle name="Note 2 2 2 3 4 4 2" xfId="21194"/>
    <cellStyle name="Note 2 2 2 3 4 4 3" xfId="21195"/>
    <cellStyle name="Note 2 2 2 3 4 5" xfId="21196"/>
    <cellStyle name="Note 2 2 2 3 4 6" xfId="21197"/>
    <cellStyle name="Note 2 2 2 3 5" xfId="21198"/>
    <cellStyle name="Note 2 2 2 3 5 2" xfId="21199"/>
    <cellStyle name="Note 2 2 2 3 5 2 2" xfId="21200"/>
    <cellStyle name="Note 2 2 2 3 5 2 3" xfId="21201"/>
    <cellStyle name="Note 2 2 2 3 5 3" xfId="21202"/>
    <cellStyle name="Note 2 2 2 3 5 3 2" xfId="21203"/>
    <cellStyle name="Note 2 2 2 3 5 3 3" xfId="21204"/>
    <cellStyle name="Note 2 2 2 3 5 4" xfId="21205"/>
    <cellStyle name="Note 2 2 2 3 5 4 2" xfId="21206"/>
    <cellStyle name="Note 2 2 2 3 5 4 3" xfId="21207"/>
    <cellStyle name="Note 2 2 2 3 5 5" xfId="21208"/>
    <cellStyle name="Note 2 2 2 3 5 6" xfId="21209"/>
    <cellStyle name="Note 2 2 2 3 6" xfId="21210"/>
    <cellStyle name="Note 2 2 2 3 6 2" xfId="21211"/>
    <cellStyle name="Note 2 2 2 3 6 2 2" xfId="21212"/>
    <cellStyle name="Note 2 2 2 3 6 2 3" xfId="21213"/>
    <cellStyle name="Note 2 2 2 3 6 3" xfId="21214"/>
    <cellStyle name="Note 2 2 2 3 6 3 2" xfId="21215"/>
    <cellStyle name="Note 2 2 2 3 6 3 3" xfId="21216"/>
    <cellStyle name="Note 2 2 2 3 6 4" xfId="21217"/>
    <cellStyle name="Note 2 2 2 3 6 4 2" xfId="21218"/>
    <cellStyle name="Note 2 2 2 3 6 4 3" xfId="21219"/>
    <cellStyle name="Note 2 2 2 3 6 5" xfId="21220"/>
    <cellStyle name="Note 2 2 2 3 6 6" xfId="21221"/>
    <cellStyle name="Note 2 2 2 3 7" xfId="21222"/>
    <cellStyle name="Note 2 2 2 3 7 2" xfId="21223"/>
    <cellStyle name="Note 2 2 2 3 7 3" xfId="21224"/>
    <cellStyle name="Note 2 2 2 3 8" xfId="21225"/>
    <cellStyle name="Note 2 2 2 3 8 2" xfId="21226"/>
    <cellStyle name="Note 2 2 2 3 8 3" xfId="21227"/>
    <cellStyle name="Note 2 2 2 3 9" xfId="21228"/>
    <cellStyle name="Note 2 2 2 3 9 2" xfId="21229"/>
    <cellStyle name="Note 2 2 2 3 9 3" xfId="21230"/>
    <cellStyle name="Note 2 2 2 4" xfId="1109"/>
    <cellStyle name="Note 2 2 2 5" xfId="3169"/>
    <cellStyle name="Note 2 2 2 6" xfId="3129"/>
    <cellStyle name="Note 2 2 2 7" xfId="1132"/>
    <cellStyle name="Note 2 2 2 8" xfId="1150"/>
    <cellStyle name="Note 2 2 3" xfId="614"/>
    <cellStyle name="Note 2 2 3 10" xfId="21231"/>
    <cellStyle name="Note 2 2 3 10 2" xfId="21232"/>
    <cellStyle name="Note 2 2 3 10 2 2" xfId="21233"/>
    <cellStyle name="Note 2 2 3 10 2 3" xfId="21234"/>
    <cellStyle name="Note 2 2 3 10 3" xfId="21235"/>
    <cellStyle name="Note 2 2 3 10 3 2" xfId="21236"/>
    <cellStyle name="Note 2 2 3 10 3 3" xfId="21237"/>
    <cellStyle name="Note 2 2 3 10 4" xfId="21238"/>
    <cellStyle name="Note 2 2 3 10 4 2" xfId="21239"/>
    <cellStyle name="Note 2 2 3 10 4 3" xfId="21240"/>
    <cellStyle name="Note 2 2 3 10 5" xfId="21241"/>
    <cellStyle name="Note 2 2 3 10 6" xfId="21242"/>
    <cellStyle name="Note 2 2 3 11" xfId="21243"/>
    <cellStyle name="Note 2 2 3 11 2" xfId="21244"/>
    <cellStyle name="Note 2 2 3 11 2 2" xfId="21245"/>
    <cellStyle name="Note 2 2 3 11 2 3" xfId="21246"/>
    <cellStyle name="Note 2 2 3 11 3" xfId="21247"/>
    <cellStyle name="Note 2 2 3 11 3 2" xfId="21248"/>
    <cellStyle name="Note 2 2 3 11 3 3" xfId="21249"/>
    <cellStyle name="Note 2 2 3 11 4" xfId="21250"/>
    <cellStyle name="Note 2 2 3 11 4 2" xfId="21251"/>
    <cellStyle name="Note 2 2 3 11 4 3" xfId="21252"/>
    <cellStyle name="Note 2 2 3 11 5" xfId="21253"/>
    <cellStyle name="Note 2 2 3 11 6" xfId="21254"/>
    <cellStyle name="Note 2 2 3 12" xfId="21255"/>
    <cellStyle name="Note 2 2 3 12 2" xfId="21256"/>
    <cellStyle name="Note 2 2 3 12 2 2" xfId="21257"/>
    <cellStyle name="Note 2 2 3 12 2 3" xfId="21258"/>
    <cellStyle name="Note 2 2 3 12 3" xfId="21259"/>
    <cellStyle name="Note 2 2 3 12 3 2" xfId="21260"/>
    <cellStyle name="Note 2 2 3 12 3 3" xfId="21261"/>
    <cellStyle name="Note 2 2 3 12 4" xfId="21262"/>
    <cellStyle name="Note 2 2 3 12 4 2" xfId="21263"/>
    <cellStyle name="Note 2 2 3 12 4 3" xfId="21264"/>
    <cellStyle name="Note 2 2 3 12 5" xfId="21265"/>
    <cellStyle name="Note 2 2 3 12 6" xfId="21266"/>
    <cellStyle name="Note 2 2 3 13" xfId="21267"/>
    <cellStyle name="Note 2 2 3 13 2" xfId="21268"/>
    <cellStyle name="Note 2 2 3 13 2 2" xfId="21269"/>
    <cellStyle name="Note 2 2 3 13 2 3" xfId="21270"/>
    <cellStyle name="Note 2 2 3 13 3" xfId="21271"/>
    <cellStyle name="Note 2 2 3 13 3 2" xfId="21272"/>
    <cellStyle name="Note 2 2 3 13 3 3" xfId="21273"/>
    <cellStyle name="Note 2 2 3 13 4" xfId="21274"/>
    <cellStyle name="Note 2 2 3 13 4 2" xfId="21275"/>
    <cellStyle name="Note 2 2 3 13 4 3" xfId="21276"/>
    <cellStyle name="Note 2 2 3 13 5" xfId="21277"/>
    <cellStyle name="Note 2 2 3 13 6" xfId="21278"/>
    <cellStyle name="Note 2 2 3 14" xfId="21279"/>
    <cellStyle name="Note 2 2 3 14 2" xfId="21280"/>
    <cellStyle name="Note 2 2 3 14 3" xfId="21281"/>
    <cellStyle name="Note 2 2 3 15" xfId="21282"/>
    <cellStyle name="Note 2 2 3 15 2" xfId="21283"/>
    <cellStyle name="Note 2 2 3 15 3" xfId="21284"/>
    <cellStyle name="Note 2 2 3 16" xfId="21285"/>
    <cellStyle name="Note 2 2 3 16 2" xfId="21286"/>
    <cellStyle name="Note 2 2 3 16 3" xfId="21287"/>
    <cellStyle name="Note 2 2 3 17" xfId="21288"/>
    <cellStyle name="Note 2 2 3 18" xfId="21289"/>
    <cellStyle name="Note 2 2 3 2" xfId="874"/>
    <cellStyle name="Note 2 2 3 2 10" xfId="21290"/>
    <cellStyle name="Note 2 2 3 2 11" xfId="21291"/>
    <cellStyle name="Note 2 2 3 2 2" xfId="21292"/>
    <cellStyle name="Note 2 2 3 2 2 2" xfId="21293"/>
    <cellStyle name="Note 2 2 3 2 2 2 2" xfId="21294"/>
    <cellStyle name="Note 2 2 3 2 2 2 3" xfId="21295"/>
    <cellStyle name="Note 2 2 3 2 2 3" xfId="21296"/>
    <cellStyle name="Note 2 2 3 2 2 3 2" xfId="21297"/>
    <cellStyle name="Note 2 2 3 2 2 3 3" xfId="21298"/>
    <cellStyle name="Note 2 2 3 2 2 4" xfId="21299"/>
    <cellStyle name="Note 2 2 3 2 2 4 2" xfId="21300"/>
    <cellStyle name="Note 2 2 3 2 2 4 3" xfId="21301"/>
    <cellStyle name="Note 2 2 3 2 2 5" xfId="21302"/>
    <cellStyle name="Note 2 2 3 2 2 6" xfId="21303"/>
    <cellStyle name="Note 2 2 3 2 3" xfId="21304"/>
    <cellStyle name="Note 2 2 3 2 3 2" xfId="21305"/>
    <cellStyle name="Note 2 2 3 2 3 2 2" xfId="21306"/>
    <cellStyle name="Note 2 2 3 2 3 2 3" xfId="21307"/>
    <cellStyle name="Note 2 2 3 2 3 3" xfId="21308"/>
    <cellStyle name="Note 2 2 3 2 3 3 2" xfId="21309"/>
    <cellStyle name="Note 2 2 3 2 3 3 3" xfId="21310"/>
    <cellStyle name="Note 2 2 3 2 3 4" xfId="21311"/>
    <cellStyle name="Note 2 2 3 2 3 4 2" xfId="21312"/>
    <cellStyle name="Note 2 2 3 2 3 4 3" xfId="21313"/>
    <cellStyle name="Note 2 2 3 2 3 5" xfId="21314"/>
    <cellStyle name="Note 2 2 3 2 3 6" xfId="21315"/>
    <cellStyle name="Note 2 2 3 2 4" xfId="21316"/>
    <cellStyle name="Note 2 2 3 2 4 2" xfId="21317"/>
    <cellStyle name="Note 2 2 3 2 4 2 2" xfId="21318"/>
    <cellStyle name="Note 2 2 3 2 4 2 3" xfId="21319"/>
    <cellStyle name="Note 2 2 3 2 4 3" xfId="21320"/>
    <cellStyle name="Note 2 2 3 2 4 3 2" xfId="21321"/>
    <cellStyle name="Note 2 2 3 2 4 3 3" xfId="21322"/>
    <cellStyle name="Note 2 2 3 2 4 4" xfId="21323"/>
    <cellStyle name="Note 2 2 3 2 4 4 2" xfId="21324"/>
    <cellStyle name="Note 2 2 3 2 4 4 3" xfId="21325"/>
    <cellStyle name="Note 2 2 3 2 4 5" xfId="21326"/>
    <cellStyle name="Note 2 2 3 2 4 6" xfId="21327"/>
    <cellStyle name="Note 2 2 3 2 5" xfId="21328"/>
    <cellStyle name="Note 2 2 3 2 5 2" xfId="21329"/>
    <cellStyle name="Note 2 2 3 2 5 2 2" xfId="21330"/>
    <cellStyle name="Note 2 2 3 2 5 2 3" xfId="21331"/>
    <cellStyle name="Note 2 2 3 2 5 3" xfId="21332"/>
    <cellStyle name="Note 2 2 3 2 5 3 2" xfId="21333"/>
    <cellStyle name="Note 2 2 3 2 5 3 3" xfId="21334"/>
    <cellStyle name="Note 2 2 3 2 5 4" xfId="21335"/>
    <cellStyle name="Note 2 2 3 2 5 4 2" xfId="21336"/>
    <cellStyle name="Note 2 2 3 2 5 4 3" xfId="21337"/>
    <cellStyle name="Note 2 2 3 2 5 5" xfId="21338"/>
    <cellStyle name="Note 2 2 3 2 5 6" xfId="21339"/>
    <cellStyle name="Note 2 2 3 2 6" xfId="21340"/>
    <cellStyle name="Note 2 2 3 2 6 2" xfId="21341"/>
    <cellStyle name="Note 2 2 3 2 6 2 2" xfId="21342"/>
    <cellStyle name="Note 2 2 3 2 6 2 3" xfId="21343"/>
    <cellStyle name="Note 2 2 3 2 6 3" xfId="21344"/>
    <cellStyle name="Note 2 2 3 2 6 3 2" xfId="21345"/>
    <cellStyle name="Note 2 2 3 2 6 3 3" xfId="21346"/>
    <cellStyle name="Note 2 2 3 2 6 4" xfId="21347"/>
    <cellStyle name="Note 2 2 3 2 6 4 2" xfId="21348"/>
    <cellStyle name="Note 2 2 3 2 6 4 3" xfId="21349"/>
    <cellStyle name="Note 2 2 3 2 6 5" xfId="21350"/>
    <cellStyle name="Note 2 2 3 2 6 6" xfId="21351"/>
    <cellStyle name="Note 2 2 3 2 7" xfId="21352"/>
    <cellStyle name="Note 2 2 3 2 7 2" xfId="21353"/>
    <cellStyle name="Note 2 2 3 2 7 3" xfId="21354"/>
    <cellStyle name="Note 2 2 3 2 8" xfId="21355"/>
    <cellStyle name="Note 2 2 3 2 8 2" xfId="21356"/>
    <cellStyle name="Note 2 2 3 2 8 3" xfId="21357"/>
    <cellStyle name="Note 2 2 3 2 9" xfId="21358"/>
    <cellStyle name="Note 2 2 3 2 9 2" xfId="21359"/>
    <cellStyle name="Note 2 2 3 2 9 3" xfId="21360"/>
    <cellStyle name="Note 2 2 3 3" xfId="804"/>
    <cellStyle name="Note 2 2 3 3 10" xfId="21361"/>
    <cellStyle name="Note 2 2 3 3 11" xfId="21362"/>
    <cellStyle name="Note 2 2 3 3 2" xfId="21363"/>
    <cellStyle name="Note 2 2 3 3 2 2" xfId="21364"/>
    <cellStyle name="Note 2 2 3 3 2 2 2" xfId="21365"/>
    <cellStyle name="Note 2 2 3 3 2 2 3" xfId="21366"/>
    <cellStyle name="Note 2 2 3 3 2 3" xfId="21367"/>
    <cellStyle name="Note 2 2 3 3 2 3 2" xfId="21368"/>
    <cellStyle name="Note 2 2 3 3 2 3 3" xfId="21369"/>
    <cellStyle name="Note 2 2 3 3 2 4" xfId="21370"/>
    <cellStyle name="Note 2 2 3 3 2 4 2" xfId="21371"/>
    <cellStyle name="Note 2 2 3 3 2 4 3" xfId="21372"/>
    <cellStyle name="Note 2 2 3 3 2 5" xfId="21373"/>
    <cellStyle name="Note 2 2 3 3 2 6" xfId="21374"/>
    <cellStyle name="Note 2 2 3 3 3" xfId="21375"/>
    <cellStyle name="Note 2 2 3 3 3 2" xfId="21376"/>
    <cellStyle name="Note 2 2 3 3 3 2 2" xfId="21377"/>
    <cellStyle name="Note 2 2 3 3 3 2 3" xfId="21378"/>
    <cellStyle name="Note 2 2 3 3 3 3" xfId="21379"/>
    <cellStyle name="Note 2 2 3 3 3 3 2" xfId="21380"/>
    <cellStyle name="Note 2 2 3 3 3 3 3" xfId="21381"/>
    <cellStyle name="Note 2 2 3 3 3 4" xfId="21382"/>
    <cellStyle name="Note 2 2 3 3 3 4 2" xfId="21383"/>
    <cellStyle name="Note 2 2 3 3 3 4 3" xfId="21384"/>
    <cellStyle name="Note 2 2 3 3 3 5" xfId="21385"/>
    <cellStyle name="Note 2 2 3 3 3 6" xfId="21386"/>
    <cellStyle name="Note 2 2 3 3 4" xfId="21387"/>
    <cellStyle name="Note 2 2 3 3 4 2" xfId="21388"/>
    <cellStyle name="Note 2 2 3 3 4 2 2" xfId="21389"/>
    <cellStyle name="Note 2 2 3 3 4 2 3" xfId="21390"/>
    <cellStyle name="Note 2 2 3 3 4 3" xfId="21391"/>
    <cellStyle name="Note 2 2 3 3 4 3 2" xfId="21392"/>
    <cellStyle name="Note 2 2 3 3 4 3 3" xfId="21393"/>
    <cellStyle name="Note 2 2 3 3 4 4" xfId="21394"/>
    <cellStyle name="Note 2 2 3 3 4 4 2" xfId="21395"/>
    <cellStyle name="Note 2 2 3 3 4 4 3" xfId="21396"/>
    <cellStyle name="Note 2 2 3 3 4 5" xfId="21397"/>
    <cellStyle name="Note 2 2 3 3 4 6" xfId="21398"/>
    <cellStyle name="Note 2 2 3 3 5" xfId="21399"/>
    <cellStyle name="Note 2 2 3 3 5 2" xfId="21400"/>
    <cellStyle name="Note 2 2 3 3 5 2 2" xfId="21401"/>
    <cellStyle name="Note 2 2 3 3 5 2 3" xfId="21402"/>
    <cellStyle name="Note 2 2 3 3 5 3" xfId="21403"/>
    <cellStyle name="Note 2 2 3 3 5 3 2" xfId="21404"/>
    <cellStyle name="Note 2 2 3 3 5 3 3" xfId="21405"/>
    <cellStyle name="Note 2 2 3 3 5 4" xfId="21406"/>
    <cellStyle name="Note 2 2 3 3 5 4 2" xfId="21407"/>
    <cellStyle name="Note 2 2 3 3 5 4 3" xfId="21408"/>
    <cellStyle name="Note 2 2 3 3 5 5" xfId="21409"/>
    <cellStyle name="Note 2 2 3 3 5 6" xfId="21410"/>
    <cellStyle name="Note 2 2 3 3 6" xfId="21411"/>
    <cellStyle name="Note 2 2 3 3 6 2" xfId="21412"/>
    <cellStyle name="Note 2 2 3 3 6 2 2" xfId="21413"/>
    <cellStyle name="Note 2 2 3 3 6 2 3" xfId="21414"/>
    <cellStyle name="Note 2 2 3 3 6 3" xfId="21415"/>
    <cellStyle name="Note 2 2 3 3 6 3 2" xfId="21416"/>
    <cellStyle name="Note 2 2 3 3 6 3 3" xfId="21417"/>
    <cellStyle name="Note 2 2 3 3 6 4" xfId="21418"/>
    <cellStyle name="Note 2 2 3 3 6 4 2" xfId="21419"/>
    <cellStyle name="Note 2 2 3 3 6 4 3" xfId="21420"/>
    <cellStyle name="Note 2 2 3 3 6 5" xfId="21421"/>
    <cellStyle name="Note 2 2 3 3 6 6" xfId="21422"/>
    <cellStyle name="Note 2 2 3 3 7" xfId="21423"/>
    <cellStyle name="Note 2 2 3 3 7 2" xfId="21424"/>
    <cellStyle name="Note 2 2 3 3 7 3" xfId="21425"/>
    <cellStyle name="Note 2 2 3 3 8" xfId="21426"/>
    <cellStyle name="Note 2 2 3 3 8 2" xfId="21427"/>
    <cellStyle name="Note 2 2 3 3 8 3" xfId="21428"/>
    <cellStyle name="Note 2 2 3 3 9" xfId="21429"/>
    <cellStyle name="Note 2 2 3 3 9 2" xfId="21430"/>
    <cellStyle name="Note 2 2 3 3 9 3" xfId="21431"/>
    <cellStyle name="Note 2 2 3 4" xfId="943"/>
    <cellStyle name="Note 2 2 3 4 10" xfId="21432"/>
    <cellStyle name="Note 2 2 3 4 11" xfId="21433"/>
    <cellStyle name="Note 2 2 3 4 2" xfId="21434"/>
    <cellStyle name="Note 2 2 3 4 2 2" xfId="21435"/>
    <cellStyle name="Note 2 2 3 4 2 2 2" xfId="21436"/>
    <cellStyle name="Note 2 2 3 4 2 2 3" xfId="21437"/>
    <cellStyle name="Note 2 2 3 4 2 3" xfId="21438"/>
    <cellStyle name="Note 2 2 3 4 2 3 2" xfId="21439"/>
    <cellStyle name="Note 2 2 3 4 2 3 3" xfId="21440"/>
    <cellStyle name="Note 2 2 3 4 2 4" xfId="21441"/>
    <cellStyle name="Note 2 2 3 4 2 4 2" xfId="21442"/>
    <cellStyle name="Note 2 2 3 4 2 4 3" xfId="21443"/>
    <cellStyle name="Note 2 2 3 4 2 5" xfId="21444"/>
    <cellStyle name="Note 2 2 3 4 2 6" xfId="21445"/>
    <cellStyle name="Note 2 2 3 4 3" xfId="21446"/>
    <cellStyle name="Note 2 2 3 4 3 2" xfId="21447"/>
    <cellStyle name="Note 2 2 3 4 3 2 2" xfId="21448"/>
    <cellStyle name="Note 2 2 3 4 3 2 3" xfId="21449"/>
    <cellStyle name="Note 2 2 3 4 3 3" xfId="21450"/>
    <cellStyle name="Note 2 2 3 4 3 3 2" xfId="21451"/>
    <cellStyle name="Note 2 2 3 4 3 3 3" xfId="21452"/>
    <cellStyle name="Note 2 2 3 4 3 4" xfId="21453"/>
    <cellStyle name="Note 2 2 3 4 3 4 2" xfId="21454"/>
    <cellStyle name="Note 2 2 3 4 3 4 3" xfId="21455"/>
    <cellStyle name="Note 2 2 3 4 3 5" xfId="21456"/>
    <cellStyle name="Note 2 2 3 4 3 6" xfId="21457"/>
    <cellStyle name="Note 2 2 3 4 4" xfId="21458"/>
    <cellStyle name="Note 2 2 3 4 4 2" xfId="21459"/>
    <cellStyle name="Note 2 2 3 4 4 2 2" xfId="21460"/>
    <cellStyle name="Note 2 2 3 4 4 2 3" xfId="21461"/>
    <cellStyle name="Note 2 2 3 4 4 3" xfId="21462"/>
    <cellStyle name="Note 2 2 3 4 4 3 2" xfId="21463"/>
    <cellStyle name="Note 2 2 3 4 4 3 3" xfId="21464"/>
    <cellStyle name="Note 2 2 3 4 4 4" xfId="21465"/>
    <cellStyle name="Note 2 2 3 4 4 4 2" xfId="21466"/>
    <cellStyle name="Note 2 2 3 4 4 4 3" xfId="21467"/>
    <cellStyle name="Note 2 2 3 4 4 5" xfId="21468"/>
    <cellStyle name="Note 2 2 3 4 4 6" xfId="21469"/>
    <cellStyle name="Note 2 2 3 4 5" xfId="21470"/>
    <cellStyle name="Note 2 2 3 4 5 2" xfId="21471"/>
    <cellStyle name="Note 2 2 3 4 5 2 2" xfId="21472"/>
    <cellStyle name="Note 2 2 3 4 5 2 3" xfId="21473"/>
    <cellStyle name="Note 2 2 3 4 5 3" xfId="21474"/>
    <cellStyle name="Note 2 2 3 4 5 3 2" xfId="21475"/>
    <cellStyle name="Note 2 2 3 4 5 3 3" xfId="21476"/>
    <cellStyle name="Note 2 2 3 4 5 4" xfId="21477"/>
    <cellStyle name="Note 2 2 3 4 5 4 2" xfId="21478"/>
    <cellStyle name="Note 2 2 3 4 5 4 3" xfId="21479"/>
    <cellStyle name="Note 2 2 3 4 5 5" xfId="21480"/>
    <cellStyle name="Note 2 2 3 4 5 6" xfId="21481"/>
    <cellStyle name="Note 2 2 3 4 6" xfId="21482"/>
    <cellStyle name="Note 2 2 3 4 6 2" xfId="21483"/>
    <cellStyle name="Note 2 2 3 4 6 2 2" xfId="21484"/>
    <cellStyle name="Note 2 2 3 4 6 2 3" xfId="21485"/>
    <cellStyle name="Note 2 2 3 4 6 3" xfId="21486"/>
    <cellStyle name="Note 2 2 3 4 6 3 2" xfId="21487"/>
    <cellStyle name="Note 2 2 3 4 6 3 3" xfId="21488"/>
    <cellStyle name="Note 2 2 3 4 6 4" xfId="21489"/>
    <cellStyle name="Note 2 2 3 4 6 4 2" xfId="21490"/>
    <cellStyle name="Note 2 2 3 4 6 4 3" xfId="21491"/>
    <cellStyle name="Note 2 2 3 4 6 5" xfId="21492"/>
    <cellStyle name="Note 2 2 3 4 6 6" xfId="21493"/>
    <cellStyle name="Note 2 2 3 4 7" xfId="21494"/>
    <cellStyle name="Note 2 2 3 4 7 2" xfId="21495"/>
    <cellStyle name="Note 2 2 3 4 7 3" xfId="21496"/>
    <cellStyle name="Note 2 2 3 4 8" xfId="21497"/>
    <cellStyle name="Note 2 2 3 4 8 2" xfId="21498"/>
    <cellStyle name="Note 2 2 3 4 8 3" xfId="21499"/>
    <cellStyle name="Note 2 2 3 4 9" xfId="21500"/>
    <cellStyle name="Note 2 2 3 4 9 2" xfId="21501"/>
    <cellStyle name="Note 2 2 3 4 9 3" xfId="21502"/>
    <cellStyle name="Note 2 2 3 5" xfId="21503"/>
    <cellStyle name="Note 2 2 3 5 10" xfId="21504"/>
    <cellStyle name="Note 2 2 3 5 11" xfId="21505"/>
    <cellStyle name="Note 2 2 3 5 2" xfId="21506"/>
    <cellStyle name="Note 2 2 3 5 2 2" xfId="21507"/>
    <cellStyle name="Note 2 2 3 5 2 2 2" xfId="21508"/>
    <cellStyle name="Note 2 2 3 5 2 2 3" xfId="21509"/>
    <cellStyle name="Note 2 2 3 5 2 3" xfId="21510"/>
    <cellStyle name="Note 2 2 3 5 2 3 2" xfId="21511"/>
    <cellStyle name="Note 2 2 3 5 2 3 3" xfId="21512"/>
    <cellStyle name="Note 2 2 3 5 2 4" xfId="21513"/>
    <cellStyle name="Note 2 2 3 5 2 4 2" xfId="21514"/>
    <cellStyle name="Note 2 2 3 5 2 4 3" xfId="21515"/>
    <cellStyle name="Note 2 2 3 5 2 5" xfId="21516"/>
    <cellStyle name="Note 2 2 3 5 2 6" xfId="21517"/>
    <cellStyle name="Note 2 2 3 5 3" xfId="21518"/>
    <cellStyle name="Note 2 2 3 5 3 2" xfId="21519"/>
    <cellStyle name="Note 2 2 3 5 3 2 2" xfId="21520"/>
    <cellStyle name="Note 2 2 3 5 3 2 3" xfId="21521"/>
    <cellStyle name="Note 2 2 3 5 3 3" xfId="21522"/>
    <cellStyle name="Note 2 2 3 5 3 3 2" xfId="21523"/>
    <cellStyle name="Note 2 2 3 5 3 3 3" xfId="21524"/>
    <cellStyle name="Note 2 2 3 5 3 4" xfId="21525"/>
    <cellStyle name="Note 2 2 3 5 3 4 2" xfId="21526"/>
    <cellStyle name="Note 2 2 3 5 3 4 3" xfId="21527"/>
    <cellStyle name="Note 2 2 3 5 3 5" xfId="21528"/>
    <cellStyle name="Note 2 2 3 5 3 6" xfId="21529"/>
    <cellStyle name="Note 2 2 3 5 4" xfId="21530"/>
    <cellStyle name="Note 2 2 3 5 4 2" xfId="21531"/>
    <cellStyle name="Note 2 2 3 5 4 2 2" xfId="21532"/>
    <cellStyle name="Note 2 2 3 5 4 2 3" xfId="21533"/>
    <cellStyle name="Note 2 2 3 5 4 3" xfId="21534"/>
    <cellStyle name="Note 2 2 3 5 4 3 2" xfId="21535"/>
    <cellStyle name="Note 2 2 3 5 4 3 3" xfId="21536"/>
    <cellStyle name="Note 2 2 3 5 4 4" xfId="21537"/>
    <cellStyle name="Note 2 2 3 5 4 4 2" xfId="21538"/>
    <cellStyle name="Note 2 2 3 5 4 4 3" xfId="21539"/>
    <cellStyle name="Note 2 2 3 5 4 5" xfId="21540"/>
    <cellStyle name="Note 2 2 3 5 4 6" xfId="21541"/>
    <cellStyle name="Note 2 2 3 5 5" xfId="21542"/>
    <cellStyle name="Note 2 2 3 5 5 2" xfId="21543"/>
    <cellStyle name="Note 2 2 3 5 5 2 2" xfId="21544"/>
    <cellStyle name="Note 2 2 3 5 5 2 3" xfId="21545"/>
    <cellStyle name="Note 2 2 3 5 5 3" xfId="21546"/>
    <cellStyle name="Note 2 2 3 5 5 3 2" xfId="21547"/>
    <cellStyle name="Note 2 2 3 5 5 3 3" xfId="21548"/>
    <cellStyle name="Note 2 2 3 5 5 4" xfId="21549"/>
    <cellStyle name="Note 2 2 3 5 5 4 2" xfId="21550"/>
    <cellStyle name="Note 2 2 3 5 5 4 3" xfId="21551"/>
    <cellStyle name="Note 2 2 3 5 5 5" xfId="21552"/>
    <cellStyle name="Note 2 2 3 5 5 6" xfId="21553"/>
    <cellStyle name="Note 2 2 3 5 6" xfId="21554"/>
    <cellStyle name="Note 2 2 3 5 6 2" xfId="21555"/>
    <cellStyle name="Note 2 2 3 5 6 2 2" xfId="21556"/>
    <cellStyle name="Note 2 2 3 5 6 2 3" xfId="21557"/>
    <cellStyle name="Note 2 2 3 5 6 3" xfId="21558"/>
    <cellStyle name="Note 2 2 3 5 6 3 2" xfId="21559"/>
    <cellStyle name="Note 2 2 3 5 6 3 3" xfId="21560"/>
    <cellStyle name="Note 2 2 3 5 6 4" xfId="21561"/>
    <cellStyle name="Note 2 2 3 5 6 4 2" xfId="21562"/>
    <cellStyle name="Note 2 2 3 5 6 4 3" xfId="21563"/>
    <cellStyle name="Note 2 2 3 5 6 5" xfId="21564"/>
    <cellStyle name="Note 2 2 3 5 6 6" xfId="21565"/>
    <cellStyle name="Note 2 2 3 5 7" xfId="21566"/>
    <cellStyle name="Note 2 2 3 5 7 2" xfId="21567"/>
    <cellStyle name="Note 2 2 3 5 7 3" xfId="21568"/>
    <cellStyle name="Note 2 2 3 5 8" xfId="21569"/>
    <cellStyle name="Note 2 2 3 5 8 2" xfId="21570"/>
    <cellStyle name="Note 2 2 3 5 8 3" xfId="21571"/>
    <cellStyle name="Note 2 2 3 5 9" xfId="21572"/>
    <cellStyle name="Note 2 2 3 5 9 2" xfId="21573"/>
    <cellStyle name="Note 2 2 3 5 9 3" xfId="21574"/>
    <cellStyle name="Note 2 2 3 6" xfId="21575"/>
    <cellStyle name="Note 2 2 3 6 2" xfId="21576"/>
    <cellStyle name="Note 2 2 3 6 2 2" xfId="21577"/>
    <cellStyle name="Note 2 2 3 6 2 3" xfId="21578"/>
    <cellStyle name="Note 2 2 3 6 3" xfId="21579"/>
    <cellStyle name="Note 2 2 3 6 3 2" xfId="21580"/>
    <cellStyle name="Note 2 2 3 6 3 3" xfId="21581"/>
    <cellStyle name="Note 2 2 3 6 4" xfId="21582"/>
    <cellStyle name="Note 2 2 3 6 4 2" xfId="21583"/>
    <cellStyle name="Note 2 2 3 6 4 3" xfId="21584"/>
    <cellStyle name="Note 2 2 3 6 5" xfId="21585"/>
    <cellStyle name="Note 2 2 3 6 6" xfId="21586"/>
    <cellStyle name="Note 2 2 3 7" xfId="21587"/>
    <cellStyle name="Note 2 2 3 7 2" xfId="21588"/>
    <cellStyle name="Note 2 2 3 7 2 2" xfId="21589"/>
    <cellStyle name="Note 2 2 3 7 2 3" xfId="21590"/>
    <cellStyle name="Note 2 2 3 7 3" xfId="21591"/>
    <cellStyle name="Note 2 2 3 7 3 2" xfId="21592"/>
    <cellStyle name="Note 2 2 3 7 3 3" xfId="21593"/>
    <cellStyle name="Note 2 2 3 7 4" xfId="21594"/>
    <cellStyle name="Note 2 2 3 7 4 2" xfId="21595"/>
    <cellStyle name="Note 2 2 3 7 4 3" xfId="21596"/>
    <cellStyle name="Note 2 2 3 7 5" xfId="21597"/>
    <cellStyle name="Note 2 2 3 7 6" xfId="21598"/>
    <cellStyle name="Note 2 2 3 8" xfId="21599"/>
    <cellStyle name="Note 2 2 3 8 2" xfId="21600"/>
    <cellStyle name="Note 2 2 3 8 2 2" xfId="21601"/>
    <cellStyle name="Note 2 2 3 8 2 3" xfId="21602"/>
    <cellStyle name="Note 2 2 3 8 3" xfId="21603"/>
    <cellStyle name="Note 2 2 3 8 3 2" xfId="21604"/>
    <cellStyle name="Note 2 2 3 8 3 3" xfId="21605"/>
    <cellStyle name="Note 2 2 3 8 4" xfId="21606"/>
    <cellStyle name="Note 2 2 3 8 4 2" xfId="21607"/>
    <cellStyle name="Note 2 2 3 8 4 3" xfId="21608"/>
    <cellStyle name="Note 2 2 3 8 5" xfId="21609"/>
    <cellStyle name="Note 2 2 3 8 6" xfId="21610"/>
    <cellStyle name="Note 2 2 3 9" xfId="21611"/>
    <cellStyle name="Note 2 2 3 9 2" xfId="21612"/>
    <cellStyle name="Note 2 2 3 9 2 2" xfId="21613"/>
    <cellStyle name="Note 2 2 3 9 2 3" xfId="21614"/>
    <cellStyle name="Note 2 2 3 9 3" xfId="21615"/>
    <cellStyle name="Note 2 2 3 9 3 2" xfId="21616"/>
    <cellStyle name="Note 2 2 3 9 3 3" xfId="21617"/>
    <cellStyle name="Note 2 2 3 9 4" xfId="21618"/>
    <cellStyle name="Note 2 2 3 9 4 2" xfId="21619"/>
    <cellStyle name="Note 2 2 3 9 4 3" xfId="21620"/>
    <cellStyle name="Note 2 2 3 9 5" xfId="21621"/>
    <cellStyle name="Note 2 2 3 9 6" xfId="21622"/>
    <cellStyle name="Note 2 2 4" xfId="1072"/>
    <cellStyle name="Note 2 2 4 10" xfId="21623"/>
    <cellStyle name="Note 2 2 4 11" xfId="21624"/>
    <cellStyle name="Note 2 2 4 2" xfId="21625"/>
    <cellStyle name="Note 2 2 4 2 2" xfId="21626"/>
    <cellStyle name="Note 2 2 4 2 2 2" xfId="21627"/>
    <cellStyle name="Note 2 2 4 2 2 3" xfId="21628"/>
    <cellStyle name="Note 2 2 4 2 3" xfId="21629"/>
    <cellStyle name="Note 2 2 4 2 3 2" xfId="21630"/>
    <cellStyle name="Note 2 2 4 2 3 3" xfId="21631"/>
    <cellStyle name="Note 2 2 4 2 4" xfId="21632"/>
    <cellStyle name="Note 2 2 4 2 4 2" xfId="21633"/>
    <cellStyle name="Note 2 2 4 2 4 3" xfId="21634"/>
    <cellStyle name="Note 2 2 4 2 5" xfId="21635"/>
    <cellStyle name="Note 2 2 4 2 6" xfId="21636"/>
    <cellStyle name="Note 2 2 4 3" xfId="21637"/>
    <cellStyle name="Note 2 2 4 3 2" xfId="21638"/>
    <cellStyle name="Note 2 2 4 3 2 2" xfId="21639"/>
    <cellStyle name="Note 2 2 4 3 2 3" xfId="21640"/>
    <cellStyle name="Note 2 2 4 3 3" xfId="21641"/>
    <cellStyle name="Note 2 2 4 3 3 2" xfId="21642"/>
    <cellStyle name="Note 2 2 4 3 3 3" xfId="21643"/>
    <cellStyle name="Note 2 2 4 3 4" xfId="21644"/>
    <cellStyle name="Note 2 2 4 3 4 2" xfId="21645"/>
    <cellStyle name="Note 2 2 4 3 4 3" xfId="21646"/>
    <cellStyle name="Note 2 2 4 3 5" xfId="21647"/>
    <cellStyle name="Note 2 2 4 3 6" xfId="21648"/>
    <cellStyle name="Note 2 2 4 4" xfId="21649"/>
    <cellStyle name="Note 2 2 4 4 2" xfId="21650"/>
    <cellStyle name="Note 2 2 4 4 2 2" xfId="21651"/>
    <cellStyle name="Note 2 2 4 4 2 3" xfId="21652"/>
    <cellStyle name="Note 2 2 4 4 3" xfId="21653"/>
    <cellStyle name="Note 2 2 4 4 3 2" xfId="21654"/>
    <cellStyle name="Note 2 2 4 4 3 3" xfId="21655"/>
    <cellStyle name="Note 2 2 4 4 4" xfId="21656"/>
    <cellStyle name="Note 2 2 4 4 4 2" xfId="21657"/>
    <cellStyle name="Note 2 2 4 4 4 3" xfId="21658"/>
    <cellStyle name="Note 2 2 4 4 5" xfId="21659"/>
    <cellStyle name="Note 2 2 4 4 6" xfId="21660"/>
    <cellStyle name="Note 2 2 4 5" xfId="21661"/>
    <cellStyle name="Note 2 2 4 5 2" xfId="21662"/>
    <cellStyle name="Note 2 2 4 5 2 2" xfId="21663"/>
    <cellStyle name="Note 2 2 4 5 2 3" xfId="21664"/>
    <cellStyle name="Note 2 2 4 5 3" xfId="21665"/>
    <cellStyle name="Note 2 2 4 5 3 2" xfId="21666"/>
    <cellStyle name="Note 2 2 4 5 3 3" xfId="21667"/>
    <cellStyle name="Note 2 2 4 5 4" xfId="21668"/>
    <cellStyle name="Note 2 2 4 5 4 2" xfId="21669"/>
    <cellStyle name="Note 2 2 4 5 4 3" xfId="21670"/>
    <cellStyle name="Note 2 2 4 5 5" xfId="21671"/>
    <cellStyle name="Note 2 2 4 5 6" xfId="21672"/>
    <cellStyle name="Note 2 2 4 6" xfId="21673"/>
    <cellStyle name="Note 2 2 4 6 2" xfId="21674"/>
    <cellStyle name="Note 2 2 4 6 2 2" xfId="21675"/>
    <cellStyle name="Note 2 2 4 6 2 3" xfId="21676"/>
    <cellStyle name="Note 2 2 4 6 3" xfId="21677"/>
    <cellStyle name="Note 2 2 4 6 3 2" xfId="21678"/>
    <cellStyle name="Note 2 2 4 6 3 3" xfId="21679"/>
    <cellStyle name="Note 2 2 4 6 4" xfId="21680"/>
    <cellStyle name="Note 2 2 4 6 4 2" xfId="21681"/>
    <cellStyle name="Note 2 2 4 6 4 3" xfId="21682"/>
    <cellStyle name="Note 2 2 4 6 5" xfId="21683"/>
    <cellStyle name="Note 2 2 4 6 6" xfId="21684"/>
    <cellStyle name="Note 2 2 4 7" xfId="21685"/>
    <cellStyle name="Note 2 2 4 7 2" xfId="21686"/>
    <cellStyle name="Note 2 2 4 7 3" xfId="21687"/>
    <cellStyle name="Note 2 2 4 8" xfId="21688"/>
    <cellStyle name="Note 2 2 4 8 2" xfId="21689"/>
    <cellStyle name="Note 2 2 4 8 3" xfId="21690"/>
    <cellStyle name="Note 2 2 4 9" xfId="21691"/>
    <cellStyle name="Note 2 2 4 9 2" xfId="21692"/>
    <cellStyle name="Note 2 2 4 9 3" xfId="21693"/>
    <cellStyle name="Note 2 2 5" xfId="3120"/>
    <cellStyle name="Note 2 2 6" xfId="1148"/>
    <cellStyle name="Note 2 2 7" xfId="3251"/>
    <cellStyle name="Note 2 2 8" xfId="3188"/>
    <cellStyle name="Note 2 2_2012 WMECO MTM ELEC BCR - EVAL-EVAL - LINKED" xfId="307"/>
    <cellStyle name="Note 2 3" xfId="127"/>
    <cellStyle name="Note 2 3 2" xfId="615"/>
    <cellStyle name="Note 2 3 2 10" xfId="21694"/>
    <cellStyle name="Note 2 3 2 10 2" xfId="21695"/>
    <cellStyle name="Note 2 3 2 10 2 2" xfId="21696"/>
    <cellStyle name="Note 2 3 2 10 2 3" xfId="21697"/>
    <cellStyle name="Note 2 3 2 10 3" xfId="21698"/>
    <cellStyle name="Note 2 3 2 10 3 2" xfId="21699"/>
    <cellStyle name="Note 2 3 2 10 3 3" xfId="21700"/>
    <cellStyle name="Note 2 3 2 10 4" xfId="21701"/>
    <cellStyle name="Note 2 3 2 10 4 2" xfId="21702"/>
    <cellStyle name="Note 2 3 2 10 4 3" xfId="21703"/>
    <cellStyle name="Note 2 3 2 10 5" xfId="21704"/>
    <cellStyle name="Note 2 3 2 10 6" xfId="21705"/>
    <cellStyle name="Note 2 3 2 11" xfId="21706"/>
    <cellStyle name="Note 2 3 2 11 2" xfId="21707"/>
    <cellStyle name="Note 2 3 2 11 2 2" xfId="21708"/>
    <cellStyle name="Note 2 3 2 11 2 3" xfId="21709"/>
    <cellStyle name="Note 2 3 2 11 3" xfId="21710"/>
    <cellStyle name="Note 2 3 2 11 3 2" xfId="21711"/>
    <cellStyle name="Note 2 3 2 11 3 3" xfId="21712"/>
    <cellStyle name="Note 2 3 2 11 4" xfId="21713"/>
    <cellStyle name="Note 2 3 2 11 4 2" xfId="21714"/>
    <cellStyle name="Note 2 3 2 11 4 3" xfId="21715"/>
    <cellStyle name="Note 2 3 2 11 5" xfId="21716"/>
    <cellStyle name="Note 2 3 2 11 6" xfId="21717"/>
    <cellStyle name="Note 2 3 2 12" xfId="21718"/>
    <cellStyle name="Note 2 3 2 12 2" xfId="21719"/>
    <cellStyle name="Note 2 3 2 12 2 2" xfId="21720"/>
    <cellStyle name="Note 2 3 2 12 2 3" xfId="21721"/>
    <cellStyle name="Note 2 3 2 12 3" xfId="21722"/>
    <cellStyle name="Note 2 3 2 12 3 2" xfId="21723"/>
    <cellStyle name="Note 2 3 2 12 3 3" xfId="21724"/>
    <cellStyle name="Note 2 3 2 12 4" xfId="21725"/>
    <cellStyle name="Note 2 3 2 12 4 2" xfId="21726"/>
    <cellStyle name="Note 2 3 2 12 4 3" xfId="21727"/>
    <cellStyle name="Note 2 3 2 12 5" xfId="21728"/>
    <cellStyle name="Note 2 3 2 12 6" xfId="21729"/>
    <cellStyle name="Note 2 3 2 13" xfId="21730"/>
    <cellStyle name="Note 2 3 2 13 2" xfId="21731"/>
    <cellStyle name="Note 2 3 2 13 2 2" xfId="21732"/>
    <cellStyle name="Note 2 3 2 13 2 3" xfId="21733"/>
    <cellStyle name="Note 2 3 2 13 3" xfId="21734"/>
    <cellStyle name="Note 2 3 2 13 3 2" xfId="21735"/>
    <cellStyle name="Note 2 3 2 13 3 3" xfId="21736"/>
    <cellStyle name="Note 2 3 2 13 4" xfId="21737"/>
    <cellStyle name="Note 2 3 2 13 4 2" xfId="21738"/>
    <cellStyle name="Note 2 3 2 13 4 3" xfId="21739"/>
    <cellStyle name="Note 2 3 2 13 5" xfId="21740"/>
    <cellStyle name="Note 2 3 2 13 6" xfId="21741"/>
    <cellStyle name="Note 2 3 2 14" xfId="21742"/>
    <cellStyle name="Note 2 3 2 14 2" xfId="21743"/>
    <cellStyle name="Note 2 3 2 14 3" xfId="21744"/>
    <cellStyle name="Note 2 3 2 15" xfId="21745"/>
    <cellStyle name="Note 2 3 2 15 2" xfId="21746"/>
    <cellStyle name="Note 2 3 2 15 3" xfId="21747"/>
    <cellStyle name="Note 2 3 2 16" xfId="21748"/>
    <cellStyle name="Note 2 3 2 16 2" xfId="21749"/>
    <cellStyle name="Note 2 3 2 16 3" xfId="21750"/>
    <cellStyle name="Note 2 3 2 17" xfId="21751"/>
    <cellStyle name="Note 2 3 2 18" xfId="21752"/>
    <cellStyle name="Note 2 3 2 2" xfId="875"/>
    <cellStyle name="Note 2 3 2 2 10" xfId="21753"/>
    <cellStyle name="Note 2 3 2 2 11" xfId="21754"/>
    <cellStyle name="Note 2 3 2 2 2" xfId="21755"/>
    <cellStyle name="Note 2 3 2 2 2 2" xfId="21756"/>
    <cellStyle name="Note 2 3 2 2 2 2 2" xfId="21757"/>
    <cellStyle name="Note 2 3 2 2 2 2 3" xfId="21758"/>
    <cellStyle name="Note 2 3 2 2 2 3" xfId="21759"/>
    <cellStyle name="Note 2 3 2 2 2 3 2" xfId="21760"/>
    <cellStyle name="Note 2 3 2 2 2 3 3" xfId="21761"/>
    <cellStyle name="Note 2 3 2 2 2 4" xfId="21762"/>
    <cellStyle name="Note 2 3 2 2 2 4 2" xfId="21763"/>
    <cellStyle name="Note 2 3 2 2 2 4 3" xfId="21764"/>
    <cellStyle name="Note 2 3 2 2 2 5" xfId="21765"/>
    <cellStyle name="Note 2 3 2 2 2 6" xfId="21766"/>
    <cellStyle name="Note 2 3 2 2 3" xfId="21767"/>
    <cellStyle name="Note 2 3 2 2 3 2" xfId="21768"/>
    <cellStyle name="Note 2 3 2 2 3 2 2" xfId="21769"/>
    <cellStyle name="Note 2 3 2 2 3 2 3" xfId="21770"/>
    <cellStyle name="Note 2 3 2 2 3 3" xfId="21771"/>
    <cellStyle name="Note 2 3 2 2 3 3 2" xfId="21772"/>
    <cellStyle name="Note 2 3 2 2 3 3 3" xfId="21773"/>
    <cellStyle name="Note 2 3 2 2 3 4" xfId="21774"/>
    <cellStyle name="Note 2 3 2 2 3 4 2" xfId="21775"/>
    <cellStyle name="Note 2 3 2 2 3 4 3" xfId="21776"/>
    <cellStyle name="Note 2 3 2 2 3 5" xfId="21777"/>
    <cellStyle name="Note 2 3 2 2 3 6" xfId="21778"/>
    <cellStyle name="Note 2 3 2 2 4" xfId="21779"/>
    <cellStyle name="Note 2 3 2 2 4 2" xfId="21780"/>
    <cellStyle name="Note 2 3 2 2 4 2 2" xfId="21781"/>
    <cellStyle name="Note 2 3 2 2 4 2 3" xfId="21782"/>
    <cellStyle name="Note 2 3 2 2 4 3" xfId="21783"/>
    <cellStyle name="Note 2 3 2 2 4 3 2" xfId="21784"/>
    <cellStyle name="Note 2 3 2 2 4 3 3" xfId="21785"/>
    <cellStyle name="Note 2 3 2 2 4 4" xfId="21786"/>
    <cellStyle name="Note 2 3 2 2 4 4 2" xfId="21787"/>
    <cellStyle name="Note 2 3 2 2 4 4 3" xfId="21788"/>
    <cellStyle name="Note 2 3 2 2 4 5" xfId="21789"/>
    <cellStyle name="Note 2 3 2 2 4 6" xfId="21790"/>
    <cellStyle name="Note 2 3 2 2 5" xfId="21791"/>
    <cellStyle name="Note 2 3 2 2 5 2" xfId="21792"/>
    <cellStyle name="Note 2 3 2 2 5 2 2" xfId="21793"/>
    <cellStyle name="Note 2 3 2 2 5 2 3" xfId="21794"/>
    <cellStyle name="Note 2 3 2 2 5 3" xfId="21795"/>
    <cellStyle name="Note 2 3 2 2 5 3 2" xfId="21796"/>
    <cellStyle name="Note 2 3 2 2 5 3 3" xfId="21797"/>
    <cellStyle name="Note 2 3 2 2 5 4" xfId="21798"/>
    <cellStyle name="Note 2 3 2 2 5 4 2" xfId="21799"/>
    <cellStyle name="Note 2 3 2 2 5 4 3" xfId="21800"/>
    <cellStyle name="Note 2 3 2 2 5 5" xfId="21801"/>
    <cellStyle name="Note 2 3 2 2 5 6" xfId="21802"/>
    <cellStyle name="Note 2 3 2 2 6" xfId="21803"/>
    <cellStyle name="Note 2 3 2 2 6 2" xfId="21804"/>
    <cellStyle name="Note 2 3 2 2 6 2 2" xfId="21805"/>
    <cellStyle name="Note 2 3 2 2 6 2 3" xfId="21806"/>
    <cellStyle name="Note 2 3 2 2 6 3" xfId="21807"/>
    <cellStyle name="Note 2 3 2 2 6 3 2" xfId="21808"/>
    <cellStyle name="Note 2 3 2 2 6 3 3" xfId="21809"/>
    <cellStyle name="Note 2 3 2 2 6 4" xfId="21810"/>
    <cellStyle name="Note 2 3 2 2 6 4 2" xfId="21811"/>
    <cellStyle name="Note 2 3 2 2 6 4 3" xfId="21812"/>
    <cellStyle name="Note 2 3 2 2 6 5" xfId="21813"/>
    <cellStyle name="Note 2 3 2 2 6 6" xfId="21814"/>
    <cellStyle name="Note 2 3 2 2 7" xfId="21815"/>
    <cellStyle name="Note 2 3 2 2 7 2" xfId="21816"/>
    <cellStyle name="Note 2 3 2 2 7 3" xfId="21817"/>
    <cellStyle name="Note 2 3 2 2 8" xfId="21818"/>
    <cellStyle name="Note 2 3 2 2 8 2" xfId="21819"/>
    <cellStyle name="Note 2 3 2 2 8 3" xfId="21820"/>
    <cellStyle name="Note 2 3 2 2 9" xfId="21821"/>
    <cellStyle name="Note 2 3 2 2 9 2" xfId="21822"/>
    <cellStyle name="Note 2 3 2 2 9 3" xfId="21823"/>
    <cellStyle name="Note 2 3 2 3" xfId="924"/>
    <cellStyle name="Note 2 3 2 3 10" xfId="21824"/>
    <cellStyle name="Note 2 3 2 3 11" xfId="21825"/>
    <cellStyle name="Note 2 3 2 3 2" xfId="21826"/>
    <cellStyle name="Note 2 3 2 3 2 2" xfId="21827"/>
    <cellStyle name="Note 2 3 2 3 2 2 2" xfId="21828"/>
    <cellStyle name="Note 2 3 2 3 2 2 3" xfId="21829"/>
    <cellStyle name="Note 2 3 2 3 2 3" xfId="21830"/>
    <cellStyle name="Note 2 3 2 3 2 3 2" xfId="21831"/>
    <cellStyle name="Note 2 3 2 3 2 3 3" xfId="21832"/>
    <cellStyle name="Note 2 3 2 3 2 4" xfId="21833"/>
    <cellStyle name="Note 2 3 2 3 2 4 2" xfId="21834"/>
    <cellStyle name="Note 2 3 2 3 2 4 3" xfId="21835"/>
    <cellStyle name="Note 2 3 2 3 2 5" xfId="21836"/>
    <cellStyle name="Note 2 3 2 3 2 6" xfId="21837"/>
    <cellStyle name="Note 2 3 2 3 3" xfId="21838"/>
    <cellStyle name="Note 2 3 2 3 3 2" xfId="21839"/>
    <cellStyle name="Note 2 3 2 3 3 2 2" xfId="21840"/>
    <cellStyle name="Note 2 3 2 3 3 2 3" xfId="21841"/>
    <cellStyle name="Note 2 3 2 3 3 3" xfId="21842"/>
    <cellStyle name="Note 2 3 2 3 3 3 2" xfId="21843"/>
    <cellStyle name="Note 2 3 2 3 3 3 3" xfId="21844"/>
    <cellStyle name="Note 2 3 2 3 3 4" xfId="21845"/>
    <cellStyle name="Note 2 3 2 3 3 4 2" xfId="21846"/>
    <cellStyle name="Note 2 3 2 3 3 4 3" xfId="21847"/>
    <cellStyle name="Note 2 3 2 3 3 5" xfId="21848"/>
    <cellStyle name="Note 2 3 2 3 3 6" xfId="21849"/>
    <cellStyle name="Note 2 3 2 3 4" xfId="21850"/>
    <cellStyle name="Note 2 3 2 3 4 2" xfId="21851"/>
    <cellStyle name="Note 2 3 2 3 4 2 2" xfId="21852"/>
    <cellStyle name="Note 2 3 2 3 4 2 3" xfId="21853"/>
    <cellStyle name="Note 2 3 2 3 4 3" xfId="21854"/>
    <cellStyle name="Note 2 3 2 3 4 3 2" xfId="21855"/>
    <cellStyle name="Note 2 3 2 3 4 3 3" xfId="21856"/>
    <cellStyle name="Note 2 3 2 3 4 4" xfId="21857"/>
    <cellStyle name="Note 2 3 2 3 4 4 2" xfId="21858"/>
    <cellStyle name="Note 2 3 2 3 4 4 3" xfId="21859"/>
    <cellStyle name="Note 2 3 2 3 4 5" xfId="21860"/>
    <cellStyle name="Note 2 3 2 3 4 6" xfId="21861"/>
    <cellStyle name="Note 2 3 2 3 5" xfId="21862"/>
    <cellStyle name="Note 2 3 2 3 5 2" xfId="21863"/>
    <cellStyle name="Note 2 3 2 3 5 2 2" xfId="21864"/>
    <cellStyle name="Note 2 3 2 3 5 2 3" xfId="21865"/>
    <cellStyle name="Note 2 3 2 3 5 3" xfId="21866"/>
    <cellStyle name="Note 2 3 2 3 5 3 2" xfId="21867"/>
    <cellStyle name="Note 2 3 2 3 5 3 3" xfId="21868"/>
    <cellStyle name="Note 2 3 2 3 5 4" xfId="21869"/>
    <cellStyle name="Note 2 3 2 3 5 4 2" xfId="21870"/>
    <cellStyle name="Note 2 3 2 3 5 4 3" xfId="21871"/>
    <cellStyle name="Note 2 3 2 3 5 5" xfId="21872"/>
    <cellStyle name="Note 2 3 2 3 5 6" xfId="21873"/>
    <cellStyle name="Note 2 3 2 3 6" xfId="21874"/>
    <cellStyle name="Note 2 3 2 3 6 2" xfId="21875"/>
    <cellStyle name="Note 2 3 2 3 6 2 2" xfId="21876"/>
    <cellStyle name="Note 2 3 2 3 6 2 3" xfId="21877"/>
    <cellStyle name="Note 2 3 2 3 6 3" xfId="21878"/>
    <cellStyle name="Note 2 3 2 3 6 3 2" xfId="21879"/>
    <cellStyle name="Note 2 3 2 3 6 3 3" xfId="21880"/>
    <cellStyle name="Note 2 3 2 3 6 4" xfId="21881"/>
    <cellStyle name="Note 2 3 2 3 6 4 2" xfId="21882"/>
    <cellStyle name="Note 2 3 2 3 6 4 3" xfId="21883"/>
    <cellStyle name="Note 2 3 2 3 6 5" xfId="21884"/>
    <cellStyle name="Note 2 3 2 3 6 6" xfId="21885"/>
    <cellStyle name="Note 2 3 2 3 7" xfId="21886"/>
    <cellStyle name="Note 2 3 2 3 7 2" xfId="21887"/>
    <cellStyle name="Note 2 3 2 3 7 3" xfId="21888"/>
    <cellStyle name="Note 2 3 2 3 8" xfId="21889"/>
    <cellStyle name="Note 2 3 2 3 8 2" xfId="21890"/>
    <cellStyle name="Note 2 3 2 3 8 3" xfId="21891"/>
    <cellStyle name="Note 2 3 2 3 9" xfId="21892"/>
    <cellStyle name="Note 2 3 2 3 9 2" xfId="21893"/>
    <cellStyle name="Note 2 3 2 3 9 3" xfId="21894"/>
    <cellStyle name="Note 2 3 2 4" xfId="944"/>
    <cellStyle name="Note 2 3 2 4 10" xfId="21895"/>
    <cellStyle name="Note 2 3 2 4 11" xfId="21896"/>
    <cellStyle name="Note 2 3 2 4 2" xfId="21897"/>
    <cellStyle name="Note 2 3 2 4 2 2" xfId="21898"/>
    <cellStyle name="Note 2 3 2 4 2 2 2" xfId="21899"/>
    <cellStyle name="Note 2 3 2 4 2 2 3" xfId="21900"/>
    <cellStyle name="Note 2 3 2 4 2 3" xfId="21901"/>
    <cellStyle name="Note 2 3 2 4 2 3 2" xfId="21902"/>
    <cellStyle name="Note 2 3 2 4 2 3 3" xfId="21903"/>
    <cellStyle name="Note 2 3 2 4 2 4" xfId="21904"/>
    <cellStyle name="Note 2 3 2 4 2 4 2" xfId="21905"/>
    <cellStyle name="Note 2 3 2 4 2 4 3" xfId="21906"/>
    <cellStyle name="Note 2 3 2 4 2 5" xfId="21907"/>
    <cellStyle name="Note 2 3 2 4 2 6" xfId="21908"/>
    <cellStyle name="Note 2 3 2 4 3" xfId="21909"/>
    <cellStyle name="Note 2 3 2 4 3 2" xfId="21910"/>
    <cellStyle name="Note 2 3 2 4 3 2 2" xfId="21911"/>
    <cellStyle name="Note 2 3 2 4 3 2 3" xfId="21912"/>
    <cellStyle name="Note 2 3 2 4 3 3" xfId="21913"/>
    <cellStyle name="Note 2 3 2 4 3 3 2" xfId="21914"/>
    <cellStyle name="Note 2 3 2 4 3 3 3" xfId="21915"/>
    <cellStyle name="Note 2 3 2 4 3 4" xfId="21916"/>
    <cellStyle name="Note 2 3 2 4 3 4 2" xfId="21917"/>
    <cellStyle name="Note 2 3 2 4 3 4 3" xfId="21918"/>
    <cellStyle name="Note 2 3 2 4 3 5" xfId="21919"/>
    <cellStyle name="Note 2 3 2 4 3 6" xfId="21920"/>
    <cellStyle name="Note 2 3 2 4 4" xfId="21921"/>
    <cellStyle name="Note 2 3 2 4 4 2" xfId="21922"/>
    <cellStyle name="Note 2 3 2 4 4 2 2" xfId="21923"/>
    <cellStyle name="Note 2 3 2 4 4 2 3" xfId="21924"/>
    <cellStyle name="Note 2 3 2 4 4 3" xfId="21925"/>
    <cellStyle name="Note 2 3 2 4 4 3 2" xfId="21926"/>
    <cellStyle name="Note 2 3 2 4 4 3 3" xfId="21927"/>
    <cellStyle name="Note 2 3 2 4 4 4" xfId="21928"/>
    <cellStyle name="Note 2 3 2 4 4 4 2" xfId="21929"/>
    <cellStyle name="Note 2 3 2 4 4 4 3" xfId="21930"/>
    <cellStyle name="Note 2 3 2 4 4 5" xfId="21931"/>
    <cellStyle name="Note 2 3 2 4 4 6" xfId="21932"/>
    <cellStyle name="Note 2 3 2 4 5" xfId="21933"/>
    <cellStyle name="Note 2 3 2 4 5 2" xfId="21934"/>
    <cellStyle name="Note 2 3 2 4 5 2 2" xfId="21935"/>
    <cellStyle name="Note 2 3 2 4 5 2 3" xfId="21936"/>
    <cellStyle name="Note 2 3 2 4 5 3" xfId="21937"/>
    <cellStyle name="Note 2 3 2 4 5 3 2" xfId="21938"/>
    <cellStyle name="Note 2 3 2 4 5 3 3" xfId="21939"/>
    <cellStyle name="Note 2 3 2 4 5 4" xfId="21940"/>
    <cellStyle name="Note 2 3 2 4 5 4 2" xfId="21941"/>
    <cellStyle name="Note 2 3 2 4 5 4 3" xfId="21942"/>
    <cellStyle name="Note 2 3 2 4 5 5" xfId="21943"/>
    <cellStyle name="Note 2 3 2 4 5 6" xfId="21944"/>
    <cellStyle name="Note 2 3 2 4 6" xfId="21945"/>
    <cellStyle name="Note 2 3 2 4 6 2" xfId="21946"/>
    <cellStyle name="Note 2 3 2 4 6 2 2" xfId="21947"/>
    <cellStyle name="Note 2 3 2 4 6 2 3" xfId="21948"/>
    <cellStyle name="Note 2 3 2 4 6 3" xfId="21949"/>
    <cellStyle name="Note 2 3 2 4 6 3 2" xfId="21950"/>
    <cellStyle name="Note 2 3 2 4 6 3 3" xfId="21951"/>
    <cellStyle name="Note 2 3 2 4 6 4" xfId="21952"/>
    <cellStyle name="Note 2 3 2 4 6 4 2" xfId="21953"/>
    <cellStyle name="Note 2 3 2 4 6 4 3" xfId="21954"/>
    <cellStyle name="Note 2 3 2 4 6 5" xfId="21955"/>
    <cellStyle name="Note 2 3 2 4 6 6" xfId="21956"/>
    <cellStyle name="Note 2 3 2 4 7" xfId="21957"/>
    <cellStyle name="Note 2 3 2 4 7 2" xfId="21958"/>
    <cellStyle name="Note 2 3 2 4 7 3" xfId="21959"/>
    <cellStyle name="Note 2 3 2 4 8" xfId="21960"/>
    <cellStyle name="Note 2 3 2 4 8 2" xfId="21961"/>
    <cellStyle name="Note 2 3 2 4 8 3" xfId="21962"/>
    <cellStyle name="Note 2 3 2 4 9" xfId="21963"/>
    <cellStyle name="Note 2 3 2 4 9 2" xfId="21964"/>
    <cellStyle name="Note 2 3 2 4 9 3" xfId="21965"/>
    <cellStyle name="Note 2 3 2 5" xfId="21966"/>
    <cellStyle name="Note 2 3 2 5 10" xfId="21967"/>
    <cellStyle name="Note 2 3 2 5 11" xfId="21968"/>
    <cellStyle name="Note 2 3 2 5 2" xfId="21969"/>
    <cellStyle name="Note 2 3 2 5 2 2" xfId="21970"/>
    <cellStyle name="Note 2 3 2 5 2 2 2" xfId="21971"/>
    <cellStyle name="Note 2 3 2 5 2 2 3" xfId="21972"/>
    <cellStyle name="Note 2 3 2 5 2 3" xfId="21973"/>
    <cellStyle name="Note 2 3 2 5 2 3 2" xfId="21974"/>
    <cellStyle name="Note 2 3 2 5 2 3 3" xfId="21975"/>
    <cellStyle name="Note 2 3 2 5 2 4" xfId="21976"/>
    <cellStyle name="Note 2 3 2 5 2 4 2" xfId="21977"/>
    <cellStyle name="Note 2 3 2 5 2 4 3" xfId="21978"/>
    <cellStyle name="Note 2 3 2 5 2 5" xfId="21979"/>
    <cellStyle name="Note 2 3 2 5 2 6" xfId="21980"/>
    <cellStyle name="Note 2 3 2 5 3" xfId="21981"/>
    <cellStyle name="Note 2 3 2 5 3 2" xfId="21982"/>
    <cellStyle name="Note 2 3 2 5 3 2 2" xfId="21983"/>
    <cellStyle name="Note 2 3 2 5 3 2 3" xfId="21984"/>
    <cellStyle name="Note 2 3 2 5 3 3" xfId="21985"/>
    <cellStyle name="Note 2 3 2 5 3 3 2" xfId="21986"/>
    <cellStyle name="Note 2 3 2 5 3 3 3" xfId="21987"/>
    <cellStyle name="Note 2 3 2 5 3 4" xfId="21988"/>
    <cellStyle name="Note 2 3 2 5 3 4 2" xfId="21989"/>
    <cellStyle name="Note 2 3 2 5 3 4 3" xfId="21990"/>
    <cellStyle name="Note 2 3 2 5 3 5" xfId="21991"/>
    <cellStyle name="Note 2 3 2 5 3 6" xfId="21992"/>
    <cellStyle name="Note 2 3 2 5 4" xfId="21993"/>
    <cellStyle name="Note 2 3 2 5 4 2" xfId="21994"/>
    <cellStyle name="Note 2 3 2 5 4 2 2" xfId="21995"/>
    <cellStyle name="Note 2 3 2 5 4 2 3" xfId="21996"/>
    <cellStyle name="Note 2 3 2 5 4 3" xfId="21997"/>
    <cellStyle name="Note 2 3 2 5 4 3 2" xfId="21998"/>
    <cellStyle name="Note 2 3 2 5 4 3 3" xfId="21999"/>
    <cellStyle name="Note 2 3 2 5 4 4" xfId="22000"/>
    <cellStyle name="Note 2 3 2 5 4 4 2" xfId="22001"/>
    <cellStyle name="Note 2 3 2 5 4 4 3" xfId="22002"/>
    <cellStyle name="Note 2 3 2 5 4 5" xfId="22003"/>
    <cellStyle name="Note 2 3 2 5 4 6" xfId="22004"/>
    <cellStyle name="Note 2 3 2 5 5" xfId="22005"/>
    <cellStyle name="Note 2 3 2 5 5 2" xfId="22006"/>
    <cellStyle name="Note 2 3 2 5 5 2 2" xfId="22007"/>
    <cellStyle name="Note 2 3 2 5 5 2 3" xfId="22008"/>
    <cellStyle name="Note 2 3 2 5 5 3" xfId="22009"/>
    <cellStyle name="Note 2 3 2 5 5 3 2" xfId="22010"/>
    <cellStyle name="Note 2 3 2 5 5 3 3" xfId="22011"/>
    <cellStyle name="Note 2 3 2 5 5 4" xfId="22012"/>
    <cellStyle name="Note 2 3 2 5 5 4 2" xfId="22013"/>
    <cellStyle name="Note 2 3 2 5 5 4 3" xfId="22014"/>
    <cellStyle name="Note 2 3 2 5 5 5" xfId="22015"/>
    <cellStyle name="Note 2 3 2 5 5 6" xfId="22016"/>
    <cellStyle name="Note 2 3 2 5 6" xfId="22017"/>
    <cellStyle name="Note 2 3 2 5 6 2" xfId="22018"/>
    <cellStyle name="Note 2 3 2 5 6 2 2" xfId="22019"/>
    <cellStyle name="Note 2 3 2 5 6 2 3" xfId="22020"/>
    <cellStyle name="Note 2 3 2 5 6 3" xfId="22021"/>
    <cellStyle name="Note 2 3 2 5 6 3 2" xfId="22022"/>
    <cellStyle name="Note 2 3 2 5 6 3 3" xfId="22023"/>
    <cellStyle name="Note 2 3 2 5 6 4" xfId="22024"/>
    <cellStyle name="Note 2 3 2 5 6 4 2" xfId="22025"/>
    <cellStyle name="Note 2 3 2 5 6 4 3" xfId="22026"/>
    <cellStyle name="Note 2 3 2 5 6 5" xfId="22027"/>
    <cellStyle name="Note 2 3 2 5 6 6" xfId="22028"/>
    <cellStyle name="Note 2 3 2 5 7" xfId="22029"/>
    <cellStyle name="Note 2 3 2 5 7 2" xfId="22030"/>
    <cellStyle name="Note 2 3 2 5 7 3" xfId="22031"/>
    <cellStyle name="Note 2 3 2 5 8" xfId="22032"/>
    <cellStyle name="Note 2 3 2 5 8 2" xfId="22033"/>
    <cellStyle name="Note 2 3 2 5 8 3" xfId="22034"/>
    <cellStyle name="Note 2 3 2 5 9" xfId="22035"/>
    <cellStyle name="Note 2 3 2 5 9 2" xfId="22036"/>
    <cellStyle name="Note 2 3 2 5 9 3" xfId="22037"/>
    <cellStyle name="Note 2 3 2 6" xfId="22038"/>
    <cellStyle name="Note 2 3 2 6 2" xfId="22039"/>
    <cellStyle name="Note 2 3 2 6 2 2" xfId="22040"/>
    <cellStyle name="Note 2 3 2 6 2 3" xfId="22041"/>
    <cellStyle name="Note 2 3 2 6 3" xfId="22042"/>
    <cellStyle name="Note 2 3 2 6 3 2" xfId="22043"/>
    <cellStyle name="Note 2 3 2 6 3 3" xfId="22044"/>
    <cellStyle name="Note 2 3 2 6 4" xfId="22045"/>
    <cellStyle name="Note 2 3 2 6 4 2" xfId="22046"/>
    <cellStyle name="Note 2 3 2 6 4 3" xfId="22047"/>
    <cellStyle name="Note 2 3 2 6 5" xfId="22048"/>
    <cellStyle name="Note 2 3 2 6 6" xfId="22049"/>
    <cellStyle name="Note 2 3 2 7" xfId="22050"/>
    <cellStyle name="Note 2 3 2 7 2" xfId="22051"/>
    <cellStyle name="Note 2 3 2 7 2 2" xfId="22052"/>
    <cellStyle name="Note 2 3 2 7 2 3" xfId="22053"/>
    <cellStyle name="Note 2 3 2 7 3" xfId="22054"/>
    <cellStyle name="Note 2 3 2 7 3 2" xfId="22055"/>
    <cellStyle name="Note 2 3 2 7 3 3" xfId="22056"/>
    <cellStyle name="Note 2 3 2 7 4" xfId="22057"/>
    <cellStyle name="Note 2 3 2 7 4 2" xfId="22058"/>
    <cellStyle name="Note 2 3 2 7 4 3" xfId="22059"/>
    <cellStyle name="Note 2 3 2 7 5" xfId="22060"/>
    <cellStyle name="Note 2 3 2 7 6" xfId="22061"/>
    <cellStyle name="Note 2 3 2 8" xfId="22062"/>
    <cellStyle name="Note 2 3 2 8 2" xfId="22063"/>
    <cellStyle name="Note 2 3 2 8 2 2" xfId="22064"/>
    <cellStyle name="Note 2 3 2 8 2 3" xfId="22065"/>
    <cellStyle name="Note 2 3 2 8 3" xfId="22066"/>
    <cellStyle name="Note 2 3 2 8 3 2" xfId="22067"/>
    <cellStyle name="Note 2 3 2 8 3 3" xfId="22068"/>
    <cellStyle name="Note 2 3 2 8 4" xfId="22069"/>
    <cellStyle name="Note 2 3 2 8 4 2" xfId="22070"/>
    <cellStyle name="Note 2 3 2 8 4 3" xfId="22071"/>
    <cellStyle name="Note 2 3 2 8 5" xfId="22072"/>
    <cellStyle name="Note 2 3 2 8 6" xfId="22073"/>
    <cellStyle name="Note 2 3 2 9" xfId="22074"/>
    <cellStyle name="Note 2 3 2 9 2" xfId="22075"/>
    <cellStyle name="Note 2 3 2 9 2 2" xfId="22076"/>
    <cellStyle name="Note 2 3 2 9 2 3" xfId="22077"/>
    <cellStyle name="Note 2 3 2 9 3" xfId="22078"/>
    <cellStyle name="Note 2 3 2 9 3 2" xfId="22079"/>
    <cellStyle name="Note 2 3 2 9 3 3" xfId="22080"/>
    <cellStyle name="Note 2 3 2 9 4" xfId="22081"/>
    <cellStyle name="Note 2 3 2 9 4 2" xfId="22082"/>
    <cellStyle name="Note 2 3 2 9 4 3" xfId="22083"/>
    <cellStyle name="Note 2 3 2 9 5" xfId="22084"/>
    <cellStyle name="Note 2 3 2 9 6" xfId="22085"/>
    <cellStyle name="Note 2 3 3" xfId="1073"/>
    <cellStyle name="Note 2 3 3 10" xfId="22086"/>
    <cellStyle name="Note 2 3 3 11" xfId="22087"/>
    <cellStyle name="Note 2 3 3 2" xfId="22088"/>
    <cellStyle name="Note 2 3 3 2 2" xfId="22089"/>
    <cellStyle name="Note 2 3 3 2 2 2" xfId="22090"/>
    <cellStyle name="Note 2 3 3 2 2 3" xfId="22091"/>
    <cellStyle name="Note 2 3 3 2 3" xfId="22092"/>
    <cellStyle name="Note 2 3 3 2 3 2" xfId="22093"/>
    <cellStyle name="Note 2 3 3 2 3 3" xfId="22094"/>
    <cellStyle name="Note 2 3 3 2 4" xfId="22095"/>
    <cellStyle name="Note 2 3 3 2 4 2" xfId="22096"/>
    <cellStyle name="Note 2 3 3 2 4 3" xfId="22097"/>
    <cellStyle name="Note 2 3 3 2 5" xfId="22098"/>
    <cellStyle name="Note 2 3 3 2 6" xfId="22099"/>
    <cellStyle name="Note 2 3 3 3" xfId="22100"/>
    <cellStyle name="Note 2 3 3 3 2" xfId="22101"/>
    <cellStyle name="Note 2 3 3 3 2 2" xfId="22102"/>
    <cellStyle name="Note 2 3 3 3 2 3" xfId="22103"/>
    <cellStyle name="Note 2 3 3 3 3" xfId="22104"/>
    <cellStyle name="Note 2 3 3 3 3 2" xfId="22105"/>
    <cellStyle name="Note 2 3 3 3 3 3" xfId="22106"/>
    <cellStyle name="Note 2 3 3 3 4" xfId="22107"/>
    <cellStyle name="Note 2 3 3 3 4 2" xfId="22108"/>
    <cellStyle name="Note 2 3 3 3 4 3" xfId="22109"/>
    <cellStyle name="Note 2 3 3 3 5" xfId="22110"/>
    <cellStyle name="Note 2 3 3 3 6" xfId="22111"/>
    <cellStyle name="Note 2 3 3 4" xfId="22112"/>
    <cellStyle name="Note 2 3 3 4 2" xfId="22113"/>
    <cellStyle name="Note 2 3 3 4 2 2" xfId="22114"/>
    <cellStyle name="Note 2 3 3 4 2 3" xfId="22115"/>
    <cellStyle name="Note 2 3 3 4 3" xfId="22116"/>
    <cellStyle name="Note 2 3 3 4 3 2" xfId="22117"/>
    <cellStyle name="Note 2 3 3 4 3 3" xfId="22118"/>
    <cellStyle name="Note 2 3 3 4 4" xfId="22119"/>
    <cellStyle name="Note 2 3 3 4 4 2" xfId="22120"/>
    <cellStyle name="Note 2 3 3 4 4 3" xfId="22121"/>
    <cellStyle name="Note 2 3 3 4 5" xfId="22122"/>
    <cellStyle name="Note 2 3 3 4 6" xfId="22123"/>
    <cellStyle name="Note 2 3 3 5" xfId="22124"/>
    <cellStyle name="Note 2 3 3 5 2" xfId="22125"/>
    <cellStyle name="Note 2 3 3 5 2 2" xfId="22126"/>
    <cellStyle name="Note 2 3 3 5 2 3" xfId="22127"/>
    <cellStyle name="Note 2 3 3 5 3" xfId="22128"/>
    <cellStyle name="Note 2 3 3 5 3 2" xfId="22129"/>
    <cellStyle name="Note 2 3 3 5 3 3" xfId="22130"/>
    <cellStyle name="Note 2 3 3 5 4" xfId="22131"/>
    <cellStyle name="Note 2 3 3 5 4 2" xfId="22132"/>
    <cellStyle name="Note 2 3 3 5 4 3" xfId="22133"/>
    <cellStyle name="Note 2 3 3 5 5" xfId="22134"/>
    <cellStyle name="Note 2 3 3 5 6" xfId="22135"/>
    <cellStyle name="Note 2 3 3 6" xfId="22136"/>
    <cellStyle name="Note 2 3 3 6 2" xfId="22137"/>
    <cellStyle name="Note 2 3 3 6 2 2" xfId="22138"/>
    <cellStyle name="Note 2 3 3 6 2 3" xfId="22139"/>
    <cellStyle name="Note 2 3 3 6 3" xfId="22140"/>
    <cellStyle name="Note 2 3 3 6 3 2" xfId="22141"/>
    <cellStyle name="Note 2 3 3 6 3 3" xfId="22142"/>
    <cellStyle name="Note 2 3 3 6 4" xfId="22143"/>
    <cellStyle name="Note 2 3 3 6 4 2" xfId="22144"/>
    <cellStyle name="Note 2 3 3 6 4 3" xfId="22145"/>
    <cellStyle name="Note 2 3 3 6 5" xfId="22146"/>
    <cellStyle name="Note 2 3 3 6 6" xfId="22147"/>
    <cellStyle name="Note 2 3 3 7" xfId="22148"/>
    <cellStyle name="Note 2 3 3 7 2" xfId="22149"/>
    <cellStyle name="Note 2 3 3 7 3" xfId="22150"/>
    <cellStyle name="Note 2 3 3 8" xfId="22151"/>
    <cellStyle name="Note 2 3 3 8 2" xfId="22152"/>
    <cellStyle name="Note 2 3 3 8 3" xfId="22153"/>
    <cellStyle name="Note 2 3 3 9" xfId="22154"/>
    <cellStyle name="Note 2 3 3 9 2" xfId="22155"/>
    <cellStyle name="Note 2 3 3 9 3" xfId="22156"/>
    <cellStyle name="Note 2 3 4" xfId="3231"/>
    <cellStyle name="Note 2 3 5" xfId="1147"/>
    <cellStyle name="Note 2 3 6" xfId="3250"/>
    <cellStyle name="Note 2 3 7" xfId="3243"/>
    <cellStyle name="Note 2 4" xfId="128"/>
    <cellStyle name="Note 2 4 2" xfId="616"/>
    <cellStyle name="Note 2 4 2 10" xfId="22157"/>
    <cellStyle name="Note 2 4 2 10 2" xfId="22158"/>
    <cellStyle name="Note 2 4 2 10 2 2" xfId="22159"/>
    <cellStyle name="Note 2 4 2 10 2 3" xfId="22160"/>
    <cellStyle name="Note 2 4 2 10 3" xfId="22161"/>
    <cellStyle name="Note 2 4 2 10 3 2" xfId="22162"/>
    <cellStyle name="Note 2 4 2 10 3 3" xfId="22163"/>
    <cellStyle name="Note 2 4 2 10 4" xfId="22164"/>
    <cellStyle name="Note 2 4 2 10 4 2" xfId="22165"/>
    <cellStyle name="Note 2 4 2 10 4 3" xfId="22166"/>
    <cellStyle name="Note 2 4 2 10 5" xfId="22167"/>
    <cellStyle name="Note 2 4 2 10 6" xfId="22168"/>
    <cellStyle name="Note 2 4 2 11" xfId="22169"/>
    <cellStyle name="Note 2 4 2 11 2" xfId="22170"/>
    <cellStyle name="Note 2 4 2 11 2 2" xfId="22171"/>
    <cellStyle name="Note 2 4 2 11 2 3" xfId="22172"/>
    <cellStyle name="Note 2 4 2 11 3" xfId="22173"/>
    <cellStyle name="Note 2 4 2 11 3 2" xfId="22174"/>
    <cellStyle name="Note 2 4 2 11 3 3" xfId="22175"/>
    <cellStyle name="Note 2 4 2 11 4" xfId="22176"/>
    <cellStyle name="Note 2 4 2 11 4 2" xfId="22177"/>
    <cellStyle name="Note 2 4 2 11 4 3" xfId="22178"/>
    <cellStyle name="Note 2 4 2 11 5" xfId="22179"/>
    <cellStyle name="Note 2 4 2 11 6" xfId="22180"/>
    <cellStyle name="Note 2 4 2 12" xfId="22181"/>
    <cellStyle name="Note 2 4 2 12 2" xfId="22182"/>
    <cellStyle name="Note 2 4 2 12 2 2" xfId="22183"/>
    <cellStyle name="Note 2 4 2 12 2 3" xfId="22184"/>
    <cellStyle name="Note 2 4 2 12 3" xfId="22185"/>
    <cellStyle name="Note 2 4 2 12 3 2" xfId="22186"/>
    <cellStyle name="Note 2 4 2 12 3 3" xfId="22187"/>
    <cellStyle name="Note 2 4 2 12 4" xfId="22188"/>
    <cellStyle name="Note 2 4 2 12 4 2" xfId="22189"/>
    <cellStyle name="Note 2 4 2 12 4 3" xfId="22190"/>
    <cellStyle name="Note 2 4 2 12 5" xfId="22191"/>
    <cellStyle name="Note 2 4 2 12 6" xfId="22192"/>
    <cellStyle name="Note 2 4 2 13" xfId="22193"/>
    <cellStyle name="Note 2 4 2 13 2" xfId="22194"/>
    <cellStyle name="Note 2 4 2 13 2 2" xfId="22195"/>
    <cellStyle name="Note 2 4 2 13 2 3" xfId="22196"/>
    <cellStyle name="Note 2 4 2 13 3" xfId="22197"/>
    <cellStyle name="Note 2 4 2 13 3 2" xfId="22198"/>
    <cellStyle name="Note 2 4 2 13 3 3" xfId="22199"/>
    <cellStyle name="Note 2 4 2 13 4" xfId="22200"/>
    <cellStyle name="Note 2 4 2 13 4 2" xfId="22201"/>
    <cellStyle name="Note 2 4 2 13 4 3" xfId="22202"/>
    <cellStyle name="Note 2 4 2 13 5" xfId="22203"/>
    <cellStyle name="Note 2 4 2 13 6" xfId="22204"/>
    <cellStyle name="Note 2 4 2 14" xfId="22205"/>
    <cellStyle name="Note 2 4 2 14 2" xfId="22206"/>
    <cellStyle name="Note 2 4 2 14 3" xfId="22207"/>
    <cellStyle name="Note 2 4 2 15" xfId="22208"/>
    <cellStyle name="Note 2 4 2 15 2" xfId="22209"/>
    <cellStyle name="Note 2 4 2 15 3" xfId="22210"/>
    <cellStyle name="Note 2 4 2 16" xfId="22211"/>
    <cellStyle name="Note 2 4 2 16 2" xfId="22212"/>
    <cellStyle name="Note 2 4 2 16 3" xfId="22213"/>
    <cellStyle name="Note 2 4 2 17" xfId="22214"/>
    <cellStyle name="Note 2 4 2 18" xfId="22215"/>
    <cellStyle name="Note 2 4 2 2" xfId="876"/>
    <cellStyle name="Note 2 4 2 2 10" xfId="22216"/>
    <cellStyle name="Note 2 4 2 2 11" xfId="22217"/>
    <cellStyle name="Note 2 4 2 2 2" xfId="22218"/>
    <cellStyle name="Note 2 4 2 2 2 2" xfId="22219"/>
    <cellStyle name="Note 2 4 2 2 2 2 2" xfId="22220"/>
    <cellStyle name="Note 2 4 2 2 2 2 3" xfId="22221"/>
    <cellStyle name="Note 2 4 2 2 2 3" xfId="22222"/>
    <cellStyle name="Note 2 4 2 2 2 3 2" xfId="22223"/>
    <cellStyle name="Note 2 4 2 2 2 3 3" xfId="22224"/>
    <cellStyle name="Note 2 4 2 2 2 4" xfId="22225"/>
    <cellStyle name="Note 2 4 2 2 2 4 2" xfId="22226"/>
    <cellStyle name="Note 2 4 2 2 2 4 3" xfId="22227"/>
    <cellStyle name="Note 2 4 2 2 2 5" xfId="22228"/>
    <cellStyle name="Note 2 4 2 2 2 6" xfId="22229"/>
    <cellStyle name="Note 2 4 2 2 3" xfId="22230"/>
    <cellStyle name="Note 2 4 2 2 3 2" xfId="22231"/>
    <cellStyle name="Note 2 4 2 2 3 2 2" xfId="22232"/>
    <cellStyle name="Note 2 4 2 2 3 2 3" xfId="22233"/>
    <cellStyle name="Note 2 4 2 2 3 3" xfId="22234"/>
    <cellStyle name="Note 2 4 2 2 3 3 2" xfId="22235"/>
    <cellStyle name="Note 2 4 2 2 3 3 3" xfId="22236"/>
    <cellStyle name="Note 2 4 2 2 3 4" xfId="22237"/>
    <cellStyle name="Note 2 4 2 2 3 4 2" xfId="22238"/>
    <cellStyle name="Note 2 4 2 2 3 4 3" xfId="22239"/>
    <cellStyle name="Note 2 4 2 2 3 5" xfId="22240"/>
    <cellStyle name="Note 2 4 2 2 3 6" xfId="22241"/>
    <cellStyle name="Note 2 4 2 2 4" xfId="22242"/>
    <cellStyle name="Note 2 4 2 2 4 2" xfId="22243"/>
    <cellStyle name="Note 2 4 2 2 4 2 2" xfId="22244"/>
    <cellStyle name="Note 2 4 2 2 4 2 3" xfId="22245"/>
    <cellStyle name="Note 2 4 2 2 4 3" xfId="22246"/>
    <cellStyle name="Note 2 4 2 2 4 3 2" xfId="22247"/>
    <cellStyle name="Note 2 4 2 2 4 3 3" xfId="22248"/>
    <cellStyle name="Note 2 4 2 2 4 4" xfId="22249"/>
    <cellStyle name="Note 2 4 2 2 4 4 2" xfId="22250"/>
    <cellStyle name="Note 2 4 2 2 4 4 3" xfId="22251"/>
    <cellStyle name="Note 2 4 2 2 4 5" xfId="22252"/>
    <cellStyle name="Note 2 4 2 2 4 6" xfId="22253"/>
    <cellStyle name="Note 2 4 2 2 5" xfId="22254"/>
    <cellStyle name="Note 2 4 2 2 5 2" xfId="22255"/>
    <cellStyle name="Note 2 4 2 2 5 2 2" xfId="22256"/>
    <cellStyle name="Note 2 4 2 2 5 2 3" xfId="22257"/>
    <cellStyle name="Note 2 4 2 2 5 3" xfId="22258"/>
    <cellStyle name="Note 2 4 2 2 5 3 2" xfId="22259"/>
    <cellStyle name="Note 2 4 2 2 5 3 3" xfId="22260"/>
    <cellStyle name="Note 2 4 2 2 5 4" xfId="22261"/>
    <cellStyle name="Note 2 4 2 2 5 4 2" xfId="22262"/>
    <cellStyle name="Note 2 4 2 2 5 4 3" xfId="22263"/>
    <cellStyle name="Note 2 4 2 2 5 5" xfId="22264"/>
    <cellStyle name="Note 2 4 2 2 5 6" xfId="22265"/>
    <cellStyle name="Note 2 4 2 2 6" xfId="22266"/>
    <cellStyle name="Note 2 4 2 2 6 2" xfId="22267"/>
    <cellStyle name="Note 2 4 2 2 6 2 2" xfId="22268"/>
    <cellStyle name="Note 2 4 2 2 6 2 3" xfId="22269"/>
    <cellStyle name="Note 2 4 2 2 6 3" xfId="22270"/>
    <cellStyle name="Note 2 4 2 2 6 3 2" xfId="22271"/>
    <cellStyle name="Note 2 4 2 2 6 3 3" xfId="22272"/>
    <cellStyle name="Note 2 4 2 2 6 4" xfId="22273"/>
    <cellStyle name="Note 2 4 2 2 6 4 2" xfId="22274"/>
    <cellStyle name="Note 2 4 2 2 6 4 3" xfId="22275"/>
    <cellStyle name="Note 2 4 2 2 6 5" xfId="22276"/>
    <cellStyle name="Note 2 4 2 2 6 6" xfId="22277"/>
    <cellStyle name="Note 2 4 2 2 7" xfId="22278"/>
    <cellStyle name="Note 2 4 2 2 7 2" xfId="22279"/>
    <cellStyle name="Note 2 4 2 2 7 3" xfId="22280"/>
    <cellStyle name="Note 2 4 2 2 8" xfId="22281"/>
    <cellStyle name="Note 2 4 2 2 8 2" xfId="22282"/>
    <cellStyle name="Note 2 4 2 2 8 3" xfId="22283"/>
    <cellStyle name="Note 2 4 2 2 9" xfId="22284"/>
    <cellStyle name="Note 2 4 2 2 9 2" xfId="22285"/>
    <cellStyle name="Note 2 4 2 2 9 3" xfId="22286"/>
    <cellStyle name="Note 2 4 2 3" xfId="734"/>
    <cellStyle name="Note 2 4 2 3 10" xfId="22287"/>
    <cellStyle name="Note 2 4 2 3 11" xfId="22288"/>
    <cellStyle name="Note 2 4 2 3 2" xfId="22289"/>
    <cellStyle name="Note 2 4 2 3 2 2" xfId="22290"/>
    <cellStyle name="Note 2 4 2 3 2 2 2" xfId="22291"/>
    <cellStyle name="Note 2 4 2 3 2 2 3" xfId="22292"/>
    <cellStyle name="Note 2 4 2 3 2 3" xfId="22293"/>
    <cellStyle name="Note 2 4 2 3 2 3 2" xfId="22294"/>
    <cellStyle name="Note 2 4 2 3 2 3 3" xfId="22295"/>
    <cellStyle name="Note 2 4 2 3 2 4" xfId="22296"/>
    <cellStyle name="Note 2 4 2 3 2 4 2" xfId="22297"/>
    <cellStyle name="Note 2 4 2 3 2 4 3" xfId="22298"/>
    <cellStyle name="Note 2 4 2 3 2 5" xfId="22299"/>
    <cellStyle name="Note 2 4 2 3 2 6" xfId="22300"/>
    <cellStyle name="Note 2 4 2 3 3" xfId="22301"/>
    <cellStyle name="Note 2 4 2 3 3 2" xfId="22302"/>
    <cellStyle name="Note 2 4 2 3 3 2 2" xfId="22303"/>
    <cellStyle name="Note 2 4 2 3 3 2 3" xfId="22304"/>
    <cellStyle name="Note 2 4 2 3 3 3" xfId="22305"/>
    <cellStyle name="Note 2 4 2 3 3 3 2" xfId="22306"/>
    <cellStyle name="Note 2 4 2 3 3 3 3" xfId="22307"/>
    <cellStyle name="Note 2 4 2 3 3 4" xfId="22308"/>
    <cellStyle name="Note 2 4 2 3 3 4 2" xfId="22309"/>
    <cellStyle name="Note 2 4 2 3 3 4 3" xfId="22310"/>
    <cellStyle name="Note 2 4 2 3 3 5" xfId="22311"/>
    <cellStyle name="Note 2 4 2 3 3 6" xfId="22312"/>
    <cellStyle name="Note 2 4 2 3 4" xfId="22313"/>
    <cellStyle name="Note 2 4 2 3 4 2" xfId="22314"/>
    <cellStyle name="Note 2 4 2 3 4 2 2" xfId="22315"/>
    <cellStyle name="Note 2 4 2 3 4 2 3" xfId="22316"/>
    <cellStyle name="Note 2 4 2 3 4 3" xfId="22317"/>
    <cellStyle name="Note 2 4 2 3 4 3 2" xfId="22318"/>
    <cellStyle name="Note 2 4 2 3 4 3 3" xfId="22319"/>
    <cellStyle name="Note 2 4 2 3 4 4" xfId="22320"/>
    <cellStyle name="Note 2 4 2 3 4 4 2" xfId="22321"/>
    <cellStyle name="Note 2 4 2 3 4 4 3" xfId="22322"/>
    <cellStyle name="Note 2 4 2 3 4 5" xfId="22323"/>
    <cellStyle name="Note 2 4 2 3 4 6" xfId="22324"/>
    <cellStyle name="Note 2 4 2 3 5" xfId="22325"/>
    <cellStyle name="Note 2 4 2 3 5 2" xfId="22326"/>
    <cellStyle name="Note 2 4 2 3 5 2 2" xfId="22327"/>
    <cellStyle name="Note 2 4 2 3 5 2 3" xfId="22328"/>
    <cellStyle name="Note 2 4 2 3 5 3" xfId="22329"/>
    <cellStyle name="Note 2 4 2 3 5 3 2" xfId="22330"/>
    <cellStyle name="Note 2 4 2 3 5 3 3" xfId="22331"/>
    <cellStyle name="Note 2 4 2 3 5 4" xfId="22332"/>
    <cellStyle name="Note 2 4 2 3 5 4 2" xfId="22333"/>
    <cellStyle name="Note 2 4 2 3 5 4 3" xfId="22334"/>
    <cellStyle name="Note 2 4 2 3 5 5" xfId="22335"/>
    <cellStyle name="Note 2 4 2 3 5 6" xfId="22336"/>
    <cellStyle name="Note 2 4 2 3 6" xfId="22337"/>
    <cellStyle name="Note 2 4 2 3 6 2" xfId="22338"/>
    <cellStyle name="Note 2 4 2 3 6 2 2" xfId="22339"/>
    <cellStyle name="Note 2 4 2 3 6 2 3" xfId="22340"/>
    <cellStyle name="Note 2 4 2 3 6 3" xfId="22341"/>
    <cellStyle name="Note 2 4 2 3 6 3 2" xfId="22342"/>
    <cellStyle name="Note 2 4 2 3 6 3 3" xfId="22343"/>
    <cellStyle name="Note 2 4 2 3 6 4" xfId="22344"/>
    <cellStyle name="Note 2 4 2 3 6 4 2" xfId="22345"/>
    <cellStyle name="Note 2 4 2 3 6 4 3" xfId="22346"/>
    <cellStyle name="Note 2 4 2 3 6 5" xfId="22347"/>
    <cellStyle name="Note 2 4 2 3 6 6" xfId="22348"/>
    <cellStyle name="Note 2 4 2 3 7" xfId="22349"/>
    <cellStyle name="Note 2 4 2 3 7 2" xfId="22350"/>
    <cellStyle name="Note 2 4 2 3 7 3" xfId="22351"/>
    <cellStyle name="Note 2 4 2 3 8" xfId="22352"/>
    <cellStyle name="Note 2 4 2 3 8 2" xfId="22353"/>
    <cellStyle name="Note 2 4 2 3 8 3" xfId="22354"/>
    <cellStyle name="Note 2 4 2 3 9" xfId="22355"/>
    <cellStyle name="Note 2 4 2 3 9 2" xfId="22356"/>
    <cellStyle name="Note 2 4 2 3 9 3" xfId="22357"/>
    <cellStyle name="Note 2 4 2 4" xfId="945"/>
    <cellStyle name="Note 2 4 2 4 10" xfId="22358"/>
    <cellStyle name="Note 2 4 2 4 11" xfId="22359"/>
    <cellStyle name="Note 2 4 2 4 2" xfId="22360"/>
    <cellStyle name="Note 2 4 2 4 2 2" xfId="22361"/>
    <cellStyle name="Note 2 4 2 4 2 2 2" xfId="22362"/>
    <cellStyle name="Note 2 4 2 4 2 2 3" xfId="22363"/>
    <cellStyle name="Note 2 4 2 4 2 3" xfId="22364"/>
    <cellStyle name="Note 2 4 2 4 2 3 2" xfId="22365"/>
    <cellStyle name="Note 2 4 2 4 2 3 3" xfId="22366"/>
    <cellStyle name="Note 2 4 2 4 2 4" xfId="22367"/>
    <cellStyle name="Note 2 4 2 4 2 4 2" xfId="22368"/>
    <cellStyle name="Note 2 4 2 4 2 4 3" xfId="22369"/>
    <cellStyle name="Note 2 4 2 4 2 5" xfId="22370"/>
    <cellStyle name="Note 2 4 2 4 2 6" xfId="22371"/>
    <cellStyle name="Note 2 4 2 4 3" xfId="22372"/>
    <cellStyle name="Note 2 4 2 4 3 2" xfId="22373"/>
    <cellStyle name="Note 2 4 2 4 3 2 2" xfId="22374"/>
    <cellStyle name="Note 2 4 2 4 3 2 3" xfId="22375"/>
    <cellStyle name="Note 2 4 2 4 3 3" xfId="22376"/>
    <cellStyle name="Note 2 4 2 4 3 3 2" xfId="22377"/>
    <cellStyle name="Note 2 4 2 4 3 3 3" xfId="22378"/>
    <cellStyle name="Note 2 4 2 4 3 4" xfId="22379"/>
    <cellStyle name="Note 2 4 2 4 3 4 2" xfId="22380"/>
    <cellStyle name="Note 2 4 2 4 3 4 3" xfId="22381"/>
    <cellStyle name="Note 2 4 2 4 3 5" xfId="22382"/>
    <cellStyle name="Note 2 4 2 4 3 6" xfId="22383"/>
    <cellStyle name="Note 2 4 2 4 4" xfId="22384"/>
    <cellStyle name="Note 2 4 2 4 4 2" xfId="22385"/>
    <cellStyle name="Note 2 4 2 4 4 2 2" xfId="22386"/>
    <cellStyle name="Note 2 4 2 4 4 2 3" xfId="22387"/>
    <cellStyle name="Note 2 4 2 4 4 3" xfId="22388"/>
    <cellStyle name="Note 2 4 2 4 4 3 2" xfId="22389"/>
    <cellStyle name="Note 2 4 2 4 4 3 3" xfId="22390"/>
    <cellStyle name="Note 2 4 2 4 4 4" xfId="22391"/>
    <cellStyle name="Note 2 4 2 4 4 4 2" xfId="22392"/>
    <cellStyle name="Note 2 4 2 4 4 4 3" xfId="22393"/>
    <cellStyle name="Note 2 4 2 4 4 5" xfId="22394"/>
    <cellStyle name="Note 2 4 2 4 4 6" xfId="22395"/>
    <cellStyle name="Note 2 4 2 4 5" xfId="22396"/>
    <cellStyle name="Note 2 4 2 4 5 2" xfId="22397"/>
    <cellStyle name="Note 2 4 2 4 5 2 2" xfId="22398"/>
    <cellStyle name="Note 2 4 2 4 5 2 3" xfId="22399"/>
    <cellStyle name="Note 2 4 2 4 5 3" xfId="22400"/>
    <cellStyle name="Note 2 4 2 4 5 3 2" xfId="22401"/>
    <cellStyle name="Note 2 4 2 4 5 3 3" xfId="22402"/>
    <cellStyle name="Note 2 4 2 4 5 4" xfId="22403"/>
    <cellStyle name="Note 2 4 2 4 5 4 2" xfId="22404"/>
    <cellStyle name="Note 2 4 2 4 5 4 3" xfId="22405"/>
    <cellStyle name="Note 2 4 2 4 5 5" xfId="22406"/>
    <cellStyle name="Note 2 4 2 4 5 6" xfId="22407"/>
    <cellStyle name="Note 2 4 2 4 6" xfId="22408"/>
    <cellStyle name="Note 2 4 2 4 6 2" xfId="22409"/>
    <cellStyle name="Note 2 4 2 4 6 2 2" xfId="22410"/>
    <cellStyle name="Note 2 4 2 4 6 2 3" xfId="22411"/>
    <cellStyle name="Note 2 4 2 4 6 3" xfId="22412"/>
    <cellStyle name="Note 2 4 2 4 6 3 2" xfId="22413"/>
    <cellStyle name="Note 2 4 2 4 6 3 3" xfId="22414"/>
    <cellStyle name="Note 2 4 2 4 6 4" xfId="22415"/>
    <cellStyle name="Note 2 4 2 4 6 4 2" xfId="22416"/>
    <cellStyle name="Note 2 4 2 4 6 4 3" xfId="22417"/>
    <cellStyle name="Note 2 4 2 4 6 5" xfId="22418"/>
    <cellStyle name="Note 2 4 2 4 6 6" xfId="22419"/>
    <cellStyle name="Note 2 4 2 4 7" xfId="22420"/>
    <cellStyle name="Note 2 4 2 4 7 2" xfId="22421"/>
    <cellStyle name="Note 2 4 2 4 7 3" xfId="22422"/>
    <cellStyle name="Note 2 4 2 4 8" xfId="22423"/>
    <cellStyle name="Note 2 4 2 4 8 2" xfId="22424"/>
    <cellStyle name="Note 2 4 2 4 8 3" xfId="22425"/>
    <cellStyle name="Note 2 4 2 4 9" xfId="22426"/>
    <cellStyle name="Note 2 4 2 4 9 2" xfId="22427"/>
    <cellStyle name="Note 2 4 2 4 9 3" xfId="22428"/>
    <cellStyle name="Note 2 4 2 5" xfId="22429"/>
    <cellStyle name="Note 2 4 2 5 10" xfId="22430"/>
    <cellStyle name="Note 2 4 2 5 11" xfId="22431"/>
    <cellStyle name="Note 2 4 2 5 2" xfId="22432"/>
    <cellStyle name="Note 2 4 2 5 2 2" xfId="22433"/>
    <cellStyle name="Note 2 4 2 5 2 2 2" xfId="22434"/>
    <cellStyle name="Note 2 4 2 5 2 2 3" xfId="22435"/>
    <cellStyle name="Note 2 4 2 5 2 3" xfId="22436"/>
    <cellStyle name="Note 2 4 2 5 2 3 2" xfId="22437"/>
    <cellStyle name="Note 2 4 2 5 2 3 3" xfId="22438"/>
    <cellStyle name="Note 2 4 2 5 2 4" xfId="22439"/>
    <cellStyle name="Note 2 4 2 5 2 4 2" xfId="22440"/>
    <cellStyle name="Note 2 4 2 5 2 4 3" xfId="22441"/>
    <cellStyle name="Note 2 4 2 5 2 5" xfId="22442"/>
    <cellStyle name="Note 2 4 2 5 2 6" xfId="22443"/>
    <cellStyle name="Note 2 4 2 5 3" xfId="22444"/>
    <cellStyle name="Note 2 4 2 5 3 2" xfId="22445"/>
    <cellStyle name="Note 2 4 2 5 3 2 2" xfId="22446"/>
    <cellStyle name="Note 2 4 2 5 3 2 3" xfId="22447"/>
    <cellStyle name="Note 2 4 2 5 3 3" xfId="22448"/>
    <cellStyle name="Note 2 4 2 5 3 3 2" xfId="22449"/>
    <cellStyle name="Note 2 4 2 5 3 3 3" xfId="22450"/>
    <cellStyle name="Note 2 4 2 5 3 4" xfId="22451"/>
    <cellStyle name="Note 2 4 2 5 3 4 2" xfId="22452"/>
    <cellStyle name="Note 2 4 2 5 3 4 3" xfId="22453"/>
    <cellStyle name="Note 2 4 2 5 3 5" xfId="22454"/>
    <cellStyle name="Note 2 4 2 5 3 6" xfId="22455"/>
    <cellStyle name="Note 2 4 2 5 4" xfId="22456"/>
    <cellStyle name="Note 2 4 2 5 4 2" xfId="22457"/>
    <cellStyle name="Note 2 4 2 5 4 2 2" xfId="22458"/>
    <cellStyle name="Note 2 4 2 5 4 2 3" xfId="22459"/>
    <cellStyle name="Note 2 4 2 5 4 3" xfId="22460"/>
    <cellStyle name="Note 2 4 2 5 4 3 2" xfId="22461"/>
    <cellStyle name="Note 2 4 2 5 4 3 3" xfId="22462"/>
    <cellStyle name="Note 2 4 2 5 4 4" xfId="22463"/>
    <cellStyle name="Note 2 4 2 5 4 4 2" xfId="22464"/>
    <cellStyle name="Note 2 4 2 5 4 4 3" xfId="22465"/>
    <cellStyle name="Note 2 4 2 5 4 5" xfId="22466"/>
    <cellStyle name="Note 2 4 2 5 4 6" xfId="22467"/>
    <cellStyle name="Note 2 4 2 5 5" xfId="22468"/>
    <cellStyle name="Note 2 4 2 5 5 2" xfId="22469"/>
    <cellStyle name="Note 2 4 2 5 5 2 2" xfId="22470"/>
    <cellStyle name="Note 2 4 2 5 5 2 3" xfId="22471"/>
    <cellStyle name="Note 2 4 2 5 5 3" xfId="22472"/>
    <cellStyle name="Note 2 4 2 5 5 3 2" xfId="22473"/>
    <cellStyle name="Note 2 4 2 5 5 3 3" xfId="22474"/>
    <cellStyle name="Note 2 4 2 5 5 4" xfId="22475"/>
    <cellStyle name="Note 2 4 2 5 5 4 2" xfId="22476"/>
    <cellStyle name="Note 2 4 2 5 5 4 3" xfId="22477"/>
    <cellStyle name="Note 2 4 2 5 5 5" xfId="22478"/>
    <cellStyle name="Note 2 4 2 5 5 6" xfId="22479"/>
    <cellStyle name="Note 2 4 2 5 6" xfId="22480"/>
    <cellStyle name="Note 2 4 2 5 6 2" xfId="22481"/>
    <cellStyle name="Note 2 4 2 5 6 2 2" xfId="22482"/>
    <cellStyle name="Note 2 4 2 5 6 2 3" xfId="22483"/>
    <cellStyle name="Note 2 4 2 5 6 3" xfId="22484"/>
    <cellStyle name="Note 2 4 2 5 6 3 2" xfId="22485"/>
    <cellStyle name="Note 2 4 2 5 6 3 3" xfId="22486"/>
    <cellStyle name="Note 2 4 2 5 6 4" xfId="22487"/>
    <cellStyle name="Note 2 4 2 5 6 4 2" xfId="22488"/>
    <cellStyle name="Note 2 4 2 5 6 4 3" xfId="22489"/>
    <cellStyle name="Note 2 4 2 5 6 5" xfId="22490"/>
    <cellStyle name="Note 2 4 2 5 6 6" xfId="22491"/>
    <cellStyle name="Note 2 4 2 5 7" xfId="22492"/>
    <cellStyle name="Note 2 4 2 5 7 2" xfId="22493"/>
    <cellStyle name="Note 2 4 2 5 7 3" xfId="22494"/>
    <cellStyle name="Note 2 4 2 5 8" xfId="22495"/>
    <cellStyle name="Note 2 4 2 5 8 2" xfId="22496"/>
    <cellStyle name="Note 2 4 2 5 8 3" xfId="22497"/>
    <cellStyle name="Note 2 4 2 5 9" xfId="22498"/>
    <cellStyle name="Note 2 4 2 5 9 2" xfId="22499"/>
    <cellStyle name="Note 2 4 2 5 9 3" xfId="22500"/>
    <cellStyle name="Note 2 4 2 6" xfId="22501"/>
    <cellStyle name="Note 2 4 2 6 2" xfId="22502"/>
    <cellStyle name="Note 2 4 2 6 2 2" xfId="22503"/>
    <cellStyle name="Note 2 4 2 6 2 3" xfId="22504"/>
    <cellStyle name="Note 2 4 2 6 3" xfId="22505"/>
    <cellStyle name="Note 2 4 2 6 3 2" xfId="22506"/>
    <cellStyle name="Note 2 4 2 6 3 3" xfId="22507"/>
    <cellStyle name="Note 2 4 2 6 4" xfId="22508"/>
    <cellStyle name="Note 2 4 2 6 4 2" xfId="22509"/>
    <cellStyle name="Note 2 4 2 6 4 3" xfId="22510"/>
    <cellStyle name="Note 2 4 2 6 5" xfId="22511"/>
    <cellStyle name="Note 2 4 2 6 6" xfId="22512"/>
    <cellStyle name="Note 2 4 2 7" xfId="22513"/>
    <cellStyle name="Note 2 4 2 7 2" xfId="22514"/>
    <cellStyle name="Note 2 4 2 7 2 2" xfId="22515"/>
    <cellStyle name="Note 2 4 2 7 2 3" xfId="22516"/>
    <cellStyle name="Note 2 4 2 7 3" xfId="22517"/>
    <cellStyle name="Note 2 4 2 7 3 2" xfId="22518"/>
    <cellStyle name="Note 2 4 2 7 3 3" xfId="22519"/>
    <cellStyle name="Note 2 4 2 7 4" xfId="22520"/>
    <cellStyle name="Note 2 4 2 7 4 2" xfId="22521"/>
    <cellStyle name="Note 2 4 2 7 4 3" xfId="22522"/>
    <cellStyle name="Note 2 4 2 7 5" xfId="22523"/>
    <cellStyle name="Note 2 4 2 7 6" xfId="22524"/>
    <cellStyle name="Note 2 4 2 8" xfId="22525"/>
    <cellStyle name="Note 2 4 2 8 2" xfId="22526"/>
    <cellStyle name="Note 2 4 2 8 2 2" xfId="22527"/>
    <cellStyle name="Note 2 4 2 8 2 3" xfId="22528"/>
    <cellStyle name="Note 2 4 2 8 3" xfId="22529"/>
    <cellStyle name="Note 2 4 2 8 3 2" xfId="22530"/>
    <cellStyle name="Note 2 4 2 8 3 3" xfId="22531"/>
    <cellStyle name="Note 2 4 2 8 4" xfId="22532"/>
    <cellStyle name="Note 2 4 2 8 4 2" xfId="22533"/>
    <cellStyle name="Note 2 4 2 8 4 3" xfId="22534"/>
    <cellStyle name="Note 2 4 2 8 5" xfId="22535"/>
    <cellStyle name="Note 2 4 2 8 6" xfId="22536"/>
    <cellStyle name="Note 2 4 2 9" xfId="22537"/>
    <cellStyle name="Note 2 4 2 9 2" xfId="22538"/>
    <cellStyle name="Note 2 4 2 9 2 2" xfId="22539"/>
    <cellStyle name="Note 2 4 2 9 2 3" xfId="22540"/>
    <cellStyle name="Note 2 4 2 9 3" xfId="22541"/>
    <cellStyle name="Note 2 4 2 9 3 2" xfId="22542"/>
    <cellStyle name="Note 2 4 2 9 3 3" xfId="22543"/>
    <cellStyle name="Note 2 4 2 9 4" xfId="22544"/>
    <cellStyle name="Note 2 4 2 9 4 2" xfId="22545"/>
    <cellStyle name="Note 2 4 2 9 4 3" xfId="22546"/>
    <cellStyle name="Note 2 4 2 9 5" xfId="22547"/>
    <cellStyle name="Note 2 4 2 9 6" xfId="22548"/>
    <cellStyle name="Note 2 4 3" xfId="1074"/>
    <cellStyle name="Note 2 4 3 10" xfId="22549"/>
    <cellStyle name="Note 2 4 3 11" xfId="22550"/>
    <cellStyle name="Note 2 4 3 2" xfId="22551"/>
    <cellStyle name="Note 2 4 3 2 2" xfId="22552"/>
    <cellStyle name="Note 2 4 3 2 2 2" xfId="22553"/>
    <cellStyle name="Note 2 4 3 2 2 3" xfId="22554"/>
    <cellStyle name="Note 2 4 3 2 3" xfId="22555"/>
    <cellStyle name="Note 2 4 3 2 3 2" xfId="22556"/>
    <cellStyle name="Note 2 4 3 2 3 3" xfId="22557"/>
    <cellStyle name="Note 2 4 3 2 4" xfId="22558"/>
    <cellStyle name="Note 2 4 3 2 4 2" xfId="22559"/>
    <cellStyle name="Note 2 4 3 2 4 3" xfId="22560"/>
    <cellStyle name="Note 2 4 3 2 5" xfId="22561"/>
    <cellStyle name="Note 2 4 3 2 6" xfId="22562"/>
    <cellStyle name="Note 2 4 3 3" xfId="22563"/>
    <cellStyle name="Note 2 4 3 3 2" xfId="22564"/>
    <cellStyle name="Note 2 4 3 3 2 2" xfId="22565"/>
    <cellStyle name="Note 2 4 3 3 2 3" xfId="22566"/>
    <cellStyle name="Note 2 4 3 3 3" xfId="22567"/>
    <cellStyle name="Note 2 4 3 3 3 2" xfId="22568"/>
    <cellStyle name="Note 2 4 3 3 3 3" xfId="22569"/>
    <cellStyle name="Note 2 4 3 3 4" xfId="22570"/>
    <cellStyle name="Note 2 4 3 3 4 2" xfId="22571"/>
    <cellStyle name="Note 2 4 3 3 4 3" xfId="22572"/>
    <cellStyle name="Note 2 4 3 3 5" xfId="22573"/>
    <cellStyle name="Note 2 4 3 3 6" xfId="22574"/>
    <cellStyle name="Note 2 4 3 4" xfId="22575"/>
    <cellStyle name="Note 2 4 3 4 2" xfId="22576"/>
    <cellStyle name="Note 2 4 3 4 2 2" xfId="22577"/>
    <cellStyle name="Note 2 4 3 4 2 3" xfId="22578"/>
    <cellStyle name="Note 2 4 3 4 3" xfId="22579"/>
    <cellStyle name="Note 2 4 3 4 3 2" xfId="22580"/>
    <cellStyle name="Note 2 4 3 4 3 3" xfId="22581"/>
    <cellStyle name="Note 2 4 3 4 4" xfId="22582"/>
    <cellStyle name="Note 2 4 3 4 4 2" xfId="22583"/>
    <cellStyle name="Note 2 4 3 4 4 3" xfId="22584"/>
    <cellStyle name="Note 2 4 3 4 5" xfId="22585"/>
    <cellStyle name="Note 2 4 3 4 6" xfId="22586"/>
    <cellStyle name="Note 2 4 3 5" xfId="22587"/>
    <cellStyle name="Note 2 4 3 5 2" xfId="22588"/>
    <cellStyle name="Note 2 4 3 5 2 2" xfId="22589"/>
    <cellStyle name="Note 2 4 3 5 2 3" xfId="22590"/>
    <cellStyle name="Note 2 4 3 5 3" xfId="22591"/>
    <cellStyle name="Note 2 4 3 5 3 2" xfId="22592"/>
    <cellStyle name="Note 2 4 3 5 3 3" xfId="22593"/>
    <cellStyle name="Note 2 4 3 5 4" xfId="22594"/>
    <cellStyle name="Note 2 4 3 5 4 2" xfId="22595"/>
    <cellStyle name="Note 2 4 3 5 4 3" xfId="22596"/>
    <cellStyle name="Note 2 4 3 5 5" xfId="22597"/>
    <cellStyle name="Note 2 4 3 5 6" xfId="22598"/>
    <cellStyle name="Note 2 4 3 6" xfId="22599"/>
    <cellStyle name="Note 2 4 3 6 2" xfId="22600"/>
    <cellStyle name="Note 2 4 3 6 2 2" xfId="22601"/>
    <cellStyle name="Note 2 4 3 6 2 3" xfId="22602"/>
    <cellStyle name="Note 2 4 3 6 3" xfId="22603"/>
    <cellStyle name="Note 2 4 3 6 3 2" xfId="22604"/>
    <cellStyle name="Note 2 4 3 6 3 3" xfId="22605"/>
    <cellStyle name="Note 2 4 3 6 4" xfId="22606"/>
    <cellStyle name="Note 2 4 3 6 4 2" xfId="22607"/>
    <cellStyle name="Note 2 4 3 6 4 3" xfId="22608"/>
    <cellStyle name="Note 2 4 3 6 5" xfId="22609"/>
    <cellStyle name="Note 2 4 3 6 6" xfId="22610"/>
    <cellStyle name="Note 2 4 3 7" xfId="22611"/>
    <cellStyle name="Note 2 4 3 7 2" xfId="22612"/>
    <cellStyle name="Note 2 4 3 7 3" xfId="22613"/>
    <cellStyle name="Note 2 4 3 8" xfId="22614"/>
    <cellStyle name="Note 2 4 3 8 2" xfId="22615"/>
    <cellStyle name="Note 2 4 3 8 3" xfId="22616"/>
    <cellStyle name="Note 2 4 3 9" xfId="22617"/>
    <cellStyle name="Note 2 4 3 9 2" xfId="22618"/>
    <cellStyle name="Note 2 4 3 9 3" xfId="22619"/>
    <cellStyle name="Note 2 4 4" xfId="3131"/>
    <cellStyle name="Note 2 4 5" xfId="3126"/>
    <cellStyle name="Note 2 4 6" xfId="1015"/>
    <cellStyle name="Note 2 4 7" xfId="3242"/>
    <cellStyle name="Note 2 5" xfId="129"/>
    <cellStyle name="Note 2 5 2" xfId="617"/>
    <cellStyle name="Note 2 5 2 10" xfId="22620"/>
    <cellStyle name="Note 2 5 2 10 2" xfId="22621"/>
    <cellStyle name="Note 2 5 2 10 2 2" xfId="22622"/>
    <cellStyle name="Note 2 5 2 10 2 3" xfId="22623"/>
    <cellStyle name="Note 2 5 2 10 3" xfId="22624"/>
    <cellStyle name="Note 2 5 2 10 3 2" xfId="22625"/>
    <cellStyle name="Note 2 5 2 10 3 3" xfId="22626"/>
    <cellStyle name="Note 2 5 2 10 4" xfId="22627"/>
    <cellStyle name="Note 2 5 2 10 4 2" xfId="22628"/>
    <cellStyle name="Note 2 5 2 10 4 3" xfId="22629"/>
    <cellStyle name="Note 2 5 2 10 5" xfId="22630"/>
    <cellStyle name="Note 2 5 2 10 6" xfId="22631"/>
    <cellStyle name="Note 2 5 2 11" xfId="22632"/>
    <cellStyle name="Note 2 5 2 11 2" xfId="22633"/>
    <cellStyle name="Note 2 5 2 11 2 2" xfId="22634"/>
    <cellStyle name="Note 2 5 2 11 2 3" xfId="22635"/>
    <cellStyle name="Note 2 5 2 11 3" xfId="22636"/>
    <cellStyle name="Note 2 5 2 11 3 2" xfId="22637"/>
    <cellStyle name="Note 2 5 2 11 3 3" xfId="22638"/>
    <cellStyle name="Note 2 5 2 11 4" xfId="22639"/>
    <cellStyle name="Note 2 5 2 11 4 2" xfId="22640"/>
    <cellStyle name="Note 2 5 2 11 4 3" xfId="22641"/>
    <cellStyle name="Note 2 5 2 11 5" xfId="22642"/>
    <cellStyle name="Note 2 5 2 11 6" xfId="22643"/>
    <cellStyle name="Note 2 5 2 12" xfId="22644"/>
    <cellStyle name="Note 2 5 2 12 2" xfId="22645"/>
    <cellStyle name="Note 2 5 2 12 2 2" xfId="22646"/>
    <cellStyle name="Note 2 5 2 12 2 3" xfId="22647"/>
    <cellStyle name="Note 2 5 2 12 3" xfId="22648"/>
    <cellStyle name="Note 2 5 2 12 3 2" xfId="22649"/>
    <cellStyle name="Note 2 5 2 12 3 3" xfId="22650"/>
    <cellStyle name="Note 2 5 2 12 4" xfId="22651"/>
    <cellStyle name="Note 2 5 2 12 4 2" xfId="22652"/>
    <cellStyle name="Note 2 5 2 12 4 3" xfId="22653"/>
    <cellStyle name="Note 2 5 2 12 5" xfId="22654"/>
    <cellStyle name="Note 2 5 2 12 6" xfId="22655"/>
    <cellStyle name="Note 2 5 2 13" xfId="22656"/>
    <cellStyle name="Note 2 5 2 13 2" xfId="22657"/>
    <cellStyle name="Note 2 5 2 13 2 2" xfId="22658"/>
    <cellStyle name="Note 2 5 2 13 2 3" xfId="22659"/>
    <cellStyle name="Note 2 5 2 13 3" xfId="22660"/>
    <cellStyle name="Note 2 5 2 13 3 2" xfId="22661"/>
    <cellStyle name="Note 2 5 2 13 3 3" xfId="22662"/>
    <cellStyle name="Note 2 5 2 13 4" xfId="22663"/>
    <cellStyle name="Note 2 5 2 13 4 2" xfId="22664"/>
    <cellStyle name="Note 2 5 2 13 4 3" xfId="22665"/>
    <cellStyle name="Note 2 5 2 13 5" xfId="22666"/>
    <cellStyle name="Note 2 5 2 13 6" xfId="22667"/>
    <cellStyle name="Note 2 5 2 14" xfId="22668"/>
    <cellStyle name="Note 2 5 2 14 2" xfId="22669"/>
    <cellStyle name="Note 2 5 2 14 3" xfId="22670"/>
    <cellStyle name="Note 2 5 2 15" xfId="22671"/>
    <cellStyle name="Note 2 5 2 15 2" xfId="22672"/>
    <cellStyle name="Note 2 5 2 15 3" xfId="22673"/>
    <cellStyle name="Note 2 5 2 16" xfId="22674"/>
    <cellStyle name="Note 2 5 2 16 2" xfId="22675"/>
    <cellStyle name="Note 2 5 2 16 3" xfId="22676"/>
    <cellStyle name="Note 2 5 2 17" xfId="22677"/>
    <cellStyle name="Note 2 5 2 18" xfId="22678"/>
    <cellStyle name="Note 2 5 2 2" xfId="877"/>
    <cellStyle name="Note 2 5 2 2 10" xfId="22679"/>
    <cellStyle name="Note 2 5 2 2 11" xfId="22680"/>
    <cellStyle name="Note 2 5 2 2 2" xfId="22681"/>
    <cellStyle name="Note 2 5 2 2 2 2" xfId="22682"/>
    <cellStyle name="Note 2 5 2 2 2 2 2" xfId="22683"/>
    <cellStyle name="Note 2 5 2 2 2 2 3" xfId="22684"/>
    <cellStyle name="Note 2 5 2 2 2 3" xfId="22685"/>
    <cellStyle name="Note 2 5 2 2 2 3 2" xfId="22686"/>
    <cellStyle name="Note 2 5 2 2 2 3 3" xfId="22687"/>
    <cellStyle name="Note 2 5 2 2 2 4" xfId="22688"/>
    <cellStyle name="Note 2 5 2 2 2 4 2" xfId="22689"/>
    <cellStyle name="Note 2 5 2 2 2 4 3" xfId="22690"/>
    <cellStyle name="Note 2 5 2 2 2 5" xfId="22691"/>
    <cellStyle name="Note 2 5 2 2 2 6" xfId="22692"/>
    <cellStyle name="Note 2 5 2 2 3" xfId="22693"/>
    <cellStyle name="Note 2 5 2 2 3 2" xfId="22694"/>
    <cellStyle name="Note 2 5 2 2 3 2 2" xfId="22695"/>
    <cellStyle name="Note 2 5 2 2 3 2 3" xfId="22696"/>
    <cellStyle name="Note 2 5 2 2 3 3" xfId="22697"/>
    <cellStyle name="Note 2 5 2 2 3 3 2" xfId="22698"/>
    <cellStyle name="Note 2 5 2 2 3 3 3" xfId="22699"/>
    <cellStyle name="Note 2 5 2 2 3 4" xfId="22700"/>
    <cellStyle name="Note 2 5 2 2 3 4 2" xfId="22701"/>
    <cellStyle name="Note 2 5 2 2 3 4 3" xfId="22702"/>
    <cellStyle name="Note 2 5 2 2 3 5" xfId="22703"/>
    <cellStyle name="Note 2 5 2 2 3 6" xfId="22704"/>
    <cellStyle name="Note 2 5 2 2 4" xfId="22705"/>
    <cellStyle name="Note 2 5 2 2 4 2" xfId="22706"/>
    <cellStyle name="Note 2 5 2 2 4 2 2" xfId="22707"/>
    <cellStyle name="Note 2 5 2 2 4 2 3" xfId="22708"/>
    <cellStyle name="Note 2 5 2 2 4 3" xfId="22709"/>
    <cellStyle name="Note 2 5 2 2 4 3 2" xfId="22710"/>
    <cellStyle name="Note 2 5 2 2 4 3 3" xfId="22711"/>
    <cellStyle name="Note 2 5 2 2 4 4" xfId="22712"/>
    <cellStyle name="Note 2 5 2 2 4 4 2" xfId="22713"/>
    <cellStyle name="Note 2 5 2 2 4 4 3" xfId="22714"/>
    <cellStyle name="Note 2 5 2 2 4 5" xfId="22715"/>
    <cellStyle name="Note 2 5 2 2 4 6" xfId="22716"/>
    <cellStyle name="Note 2 5 2 2 5" xfId="22717"/>
    <cellStyle name="Note 2 5 2 2 5 2" xfId="22718"/>
    <cellStyle name="Note 2 5 2 2 5 2 2" xfId="22719"/>
    <cellStyle name="Note 2 5 2 2 5 2 3" xfId="22720"/>
    <cellStyle name="Note 2 5 2 2 5 3" xfId="22721"/>
    <cellStyle name="Note 2 5 2 2 5 3 2" xfId="22722"/>
    <cellStyle name="Note 2 5 2 2 5 3 3" xfId="22723"/>
    <cellStyle name="Note 2 5 2 2 5 4" xfId="22724"/>
    <cellStyle name="Note 2 5 2 2 5 4 2" xfId="22725"/>
    <cellStyle name="Note 2 5 2 2 5 4 3" xfId="22726"/>
    <cellStyle name="Note 2 5 2 2 5 5" xfId="22727"/>
    <cellStyle name="Note 2 5 2 2 5 6" xfId="22728"/>
    <cellStyle name="Note 2 5 2 2 6" xfId="22729"/>
    <cellStyle name="Note 2 5 2 2 6 2" xfId="22730"/>
    <cellStyle name="Note 2 5 2 2 6 2 2" xfId="22731"/>
    <cellStyle name="Note 2 5 2 2 6 2 3" xfId="22732"/>
    <cellStyle name="Note 2 5 2 2 6 3" xfId="22733"/>
    <cellStyle name="Note 2 5 2 2 6 3 2" xfId="22734"/>
    <cellStyle name="Note 2 5 2 2 6 3 3" xfId="22735"/>
    <cellStyle name="Note 2 5 2 2 6 4" xfId="22736"/>
    <cellStyle name="Note 2 5 2 2 6 4 2" xfId="22737"/>
    <cellStyle name="Note 2 5 2 2 6 4 3" xfId="22738"/>
    <cellStyle name="Note 2 5 2 2 6 5" xfId="22739"/>
    <cellStyle name="Note 2 5 2 2 6 6" xfId="22740"/>
    <cellStyle name="Note 2 5 2 2 7" xfId="22741"/>
    <cellStyle name="Note 2 5 2 2 7 2" xfId="22742"/>
    <cellStyle name="Note 2 5 2 2 7 3" xfId="22743"/>
    <cellStyle name="Note 2 5 2 2 8" xfId="22744"/>
    <cellStyle name="Note 2 5 2 2 8 2" xfId="22745"/>
    <cellStyle name="Note 2 5 2 2 8 3" xfId="22746"/>
    <cellStyle name="Note 2 5 2 2 9" xfId="22747"/>
    <cellStyle name="Note 2 5 2 2 9 2" xfId="22748"/>
    <cellStyle name="Note 2 5 2 2 9 3" xfId="22749"/>
    <cellStyle name="Note 2 5 2 3" xfId="748"/>
    <cellStyle name="Note 2 5 2 3 10" xfId="22750"/>
    <cellStyle name="Note 2 5 2 3 11" xfId="22751"/>
    <cellStyle name="Note 2 5 2 3 2" xfId="22752"/>
    <cellStyle name="Note 2 5 2 3 2 2" xfId="22753"/>
    <cellStyle name="Note 2 5 2 3 2 2 2" xfId="22754"/>
    <cellStyle name="Note 2 5 2 3 2 2 3" xfId="22755"/>
    <cellStyle name="Note 2 5 2 3 2 3" xfId="22756"/>
    <cellStyle name="Note 2 5 2 3 2 3 2" xfId="22757"/>
    <cellStyle name="Note 2 5 2 3 2 3 3" xfId="22758"/>
    <cellStyle name="Note 2 5 2 3 2 4" xfId="22759"/>
    <cellStyle name="Note 2 5 2 3 2 4 2" xfId="22760"/>
    <cellStyle name="Note 2 5 2 3 2 4 3" xfId="22761"/>
    <cellStyle name="Note 2 5 2 3 2 5" xfId="22762"/>
    <cellStyle name="Note 2 5 2 3 2 6" xfId="22763"/>
    <cellStyle name="Note 2 5 2 3 3" xfId="22764"/>
    <cellStyle name="Note 2 5 2 3 3 2" xfId="22765"/>
    <cellStyle name="Note 2 5 2 3 3 2 2" xfId="22766"/>
    <cellStyle name="Note 2 5 2 3 3 2 3" xfId="22767"/>
    <cellStyle name="Note 2 5 2 3 3 3" xfId="22768"/>
    <cellStyle name="Note 2 5 2 3 3 3 2" xfId="22769"/>
    <cellStyle name="Note 2 5 2 3 3 3 3" xfId="22770"/>
    <cellStyle name="Note 2 5 2 3 3 4" xfId="22771"/>
    <cellStyle name="Note 2 5 2 3 3 4 2" xfId="22772"/>
    <cellStyle name="Note 2 5 2 3 3 4 3" xfId="22773"/>
    <cellStyle name="Note 2 5 2 3 3 5" xfId="22774"/>
    <cellStyle name="Note 2 5 2 3 3 6" xfId="22775"/>
    <cellStyle name="Note 2 5 2 3 4" xfId="22776"/>
    <cellStyle name="Note 2 5 2 3 4 2" xfId="22777"/>
    <cellStyle name="Note 2 5 2 3 4 2 2" xfId="22778"/>
    <cellStyle name="Note 2 5 2 3 4 2 3" xfId="22779"/>
    <cellStyle name="Note 2 5 2 3 4 3" xfId="22780"/>
    <cellStyle name="Note 2 5 2 3 4 3 2" xfId="22781"/>
    <cellStyle name="Note 2 5 2 3 4 3 3" xfId="22782"/>
    <cellStyle name="Note 2 5 2 3 4 4" xfId="22783"/>
    <cellStyle name="Note 2 5 2 3 4 4 2" xfId="22784"/>
    <cellStyle name="Note 2 5 2 3 4 4 3" xfId="22785"/>
    <cellStyle name="Note 2 5 2 3 4 5" xfId="22786"/>
    <cellStyle name="Note 2 5 2 3 4 6" xfId="22787"/>
    <cellStyle name="Note 2 5 2 3 5" xfId="22788"/>
    <cellStyle name="Note 2 5 2 3 5 2" xfId="22789"/>
    <cellStyle name="Note 2 5 2 3 5 2 2" xfId="22790"/>
    <cellStyle name="Note 2 5 2 3 5 2 3" xfId="22791"/>
    <cellStyle name="Note 2 5 2 3 5 3" xfId="22792"/>
    <cellStyle name="Note 2 5 2 3 5 3 2" xfId="22793"/>
    <cellStyle name="Note 2 5 2 3 5 3 3" xfId="22794"/>
    <cellStyle name="Note 2 5 2 3 5 4" xfId="22795"/>
    <cellStyle name="Note 2 5 2 3 5 4 2" xfId="22796"/>
    <cellStyle name="Note 2 5 2 3 5 4 3" xfId="22797"/>
    <cellStyle name="Note 2 5 2 3 5 5" xfId="22798"/>
    <cellStyle name="Note 2 5 2 3 5 6" xfId="22799"/>
    <cellStyle name="Note 2 5 2 3 6" xfId="22800"/>
    <cellStyle name="Note 2 5 2 3 6 2" xfId="22801"/>
    <cellStyle name="Note 2 5 2 3 6 2 2" xfId="22802"/>
    <cellStyle name="Note 2 5 2 3 6 2 3" xfId="22803"/>
    <cellStyle name="Note 2 5 2 3 6 3" xfId="22804"/>
    <cellStyle name="Note 2 5 2 3 6 3 2" xfId="22805"/>
    <cellStyle name="Note 2 5 2 3 6 3 3" xfId="22806"/>
    <cellStyle name="Note 2 5 2 3 6 4" xfId="22807"/>
    <cellStyle name="Note 2 5 2 3 6 4 2" xfId="22808"/>
    <cellStyle name="Note 2 5 2 3 6 4 3" xfId="22809"/>
    <cellStyle name="Note 2 5 2 3 6 5" xfId="22810"/>
    <cellStyle name="Note 2 5 2 3 6 6" xfId="22811"/>
    <cellStyle name="Note 2 5 2 3 7" xfId="22812"/>
    <cellStyle name="Note 2 5 2 3 7 2" xfId="22813"/>
    <cellStyle name="Note 2 5 2 3 7 3" xfId="22814"/>
    <cellStyle name="Note 2 5 2 3 8" xfId="22815"/>
    <cellStyle name="Note 2 5 2 3 8 2" xfId="22816"/>
    <cellStyle name="Note 2 5 2 3 8 3" xfId="22817"/>
    <cellStyle name="Note 2 5 2 3 9" xfId="22818"/>
    <cellStyle name="Note 2 5 2 3 9 2" xfId="22819"/>
    <cellStyle name="Note 2 5 2 3 9 3" xfId="22820"/>
    <cellStyle name="Note 2 5 2 4" xfId="946"/>
    <cellStyle name="Note 2 5 2 4 10" xfId="22821"/>
    <cellStyle name="Note 2 5 2 4 11" xfId="22822"/>
    <cellStyle name="Note 2 5 2 4 2" xfId="22823"/>
    <cellStyle name="Note 2 5 2 4 2 2" xfId="22824"/>
    <cellStyle name="Note 2 5 2 4 2 2 2" xfId="22825"/>
    <cellStyle name="Note 2 5 2 4 2 2 3" xfId="22826"/>
    <cellStyle name="Note 2 5 2 4 2 3" xfId="22827"/>
    <cellStyle name="Note 2 5 2 4 2 3 2" xfId="22828"/>
    <cellStyle name="Note 2 5 2 4 2 3 3" xfId="22829"/>
    <cellStyle name="Note 2 5 2 4 2 4" xfId="22830"/>
    <cellStyle name="Note 2 5 2 4 2 4 2" xfId="22831"/>
    <cellStyle name="Note 2 5 2 4 2 4 3" xfId="22832"/>
    <cellStyle name="Note 2 5 2 4 2 5" xfId="22833"/>
    <cellStyle name="Note 2 5 2 4 2 6" xfId="22834"/>
    <cellStyle name="Note 2 5 2 4 3" xfId="22835"/>
    <cellStyle name="Note 2 5 2 4 3 2" xfId="22836"/>
    <cellStyle name="Note 2 5 2 4 3 2 2" xfId="22837"/>
    <cellStyle name="Note 2 5 2 4 3 2 3" xfId="22838"/>
    <cellStyle name="Note 2 5 2 4 3 3" xfId="22839"/>
    <cellStyle name="Note 2 5 2 4 3 3 2" xfId="22840"/>
    <cellStyle name="Note 2 5 2 4 3 3 3" xfId="22841"/>
    <cellStyle name="Note 2 5 2 4 3 4" xfId="22842"/>
    <cellStyle name="Note 2 5 2 4 3 4 2" xfId="22843"/>
    <cellStyle name="Note 2 5 2 4 3 4 3" xfId="22844"/>
    <cellStyle name="Note 2 5 2 4 3 5" xfId="22845"/>
    <cellStyle name="Note 2 5 2 4 3 6" xfId="22846"/>
    <cellStyle name="Note 2 5 2 4 4" xfId="22847"/>
    <cellStyle name="Note 2 5 2 4 4 2" xfId="22848"/>
    <cellStyle name="Note 2 5 2 4 4 2 2" xfId="22849"/>
    <cellStyle name="Note 2 5 2 4 4 2 3" xfId="22850"/>
    <cellStyle name="Note 2 5 2 4 4 3" xfId="22851"/>
    <cellStyle name="Note 2 5 2 4 4 3 2" xfId="22852"/>
    <cellStyle name="Note 2 5 2 4 4 3 3" xfId="22853"/>
    <cellStyle name="Note 2 5 2 4 4 4" xfId="22854"/>
    <cellStyle name="Note 2 5 2 4 4 4 2" xfId="22855"/>
    <cellStyle name="Note 2 5 2 4 4 4 3" xfId="22856"/>
    <cellStyle name="Note 2 5 2 4 4 5" xfId="22857"/>
    <cellStyle name="Note 2 5 2 4 4 6" xfId="22858"/>
    <cellStyle name="Note 2 5 2 4 5" xfId="22859"/>
    <cellStyle name="Note 2 5 2 4 5 2" xfId="22860"/>
    <cellStyle name="Note 2 5 2 4 5 2 2" xfId="22861"/>
    <cellStyle name="Note 2 5 2 4 5 2 3" xfId="22862"/>
    <cellStyle name="Note 2 5 2 4 5 3" xfId="22863"/>
    <cellStyle name="Note 2 5 2 4 5 3 2" xfId="22864"/>
    <cellStyle name="Note 2 5 2 4 5 3 3" xfId="22865"/>
    <cellStyle name="Note 2 5 2 4 5 4" xfId="22866"/>
    <cellStyle name="Note 2 5 2 4 5 4 2" xfId="22867"/>
    <cellStyle name="Note 2 5 2 4 5 4 3" xfId="22868"/>
    <cellStyle name="Note 2 5 2 4 5 5" xfId="22869"/>
    <cellStyle name="Note 2 5 2 4 5 6" xfId="22870"/>
    <cellStyle name="Note 2 5 2 4 6" xfId="22871"/>
    <cellStyle name="Note 2 5 2 4 6 2" xfId="22872"/>
    <cellStyle name="Note 2 5 2 4 6 2 2" xfId="22873"/>
    <cellStyle name="Note 2 5 2 4 6 2 3" xfId="22874"/>
    <cellStyle name="Note 2 5 2 4 6 3" xfId="22875"/>
    <cellStyle name="Note 2 5 2 4 6 3 2" xfId="22876"/>
    <cellStyle name="Note 2 5 2 4 6 3 3" xfId="22877"/>
    <cellStyle name="Note 2 5 2 4 6 4" xfId="22878"/>
    <cellStyle name="Note 2 5 2 4 6 4 2" xfId="22879"/>
    <cellStyle name="Note 2 5 2 4 6 4 3" xfId="22880"/>
    <cellStyle name="Note 2 5 2 4 6 5" xfId="22881"/>
    <cellStyle name="Note 2 5 2 4 6 6" xfId="22882"/>
    <cellStyle name="Note 2 5 2 4 7" xfId="22883"/>
    <cellStyle name="Note 2 5 2 4 7 2" xfId="22884"/>
    <cellStyle name="Note 2 5 2 4 7 3" xfId="22885"/>
    <cellStyle name="Note 2 5 2 4 8" xfId="22886"/>
    <cellStyle name="Note 2 5 2 4 8 2" xfId="22887"/>
    <cellStyle name="Note 2 5 2 4 8 3" xfId="22888"/>
    <cellStyle name="Note 2 5 2 4 9" xfId="22889"/>
    <cellStyle name="Note 2 5 2 4 9 2" xfId="22890"/>
    <cellStyle name="Note 2 5 2 4 9 3" xfId="22891"/>
    <cellStyle name="Note 2 5 2 5" xfId="22892"/>
    <cellStyle name="Note 2 5 2 5 10" xfId="22893"/>
    <cellStyle name="Note 2 5 2 5 11" xfId="22894"/>
    <cellStyle name="Note 2 5 2 5 2" xfId="22895"/>
    <cellStyle name="Note 2 5 2 5 2 2" xfId="22896"/>
    <cellStyle name="Note 2 5 2 5 2 2 2" xfId="22897"/>
    <cellStyle name="Note 2 5 2 5 2 2 3" xfId="22898"/>
    <cellStyle name="Note 2 5 2 5 2 3" xfId="22899"/>
    <cellStyle name="Note 2 5 2 5 2 3 2" xfId="22900"/>
    <cellStyle name="Note 2 5 2 5 2 3 3" xfId="22901"/>
    <cellStyle name="Note 2 5 2 5 2 4" xfId="22902"/>
    <cellStyle name="Note 2 5 2 5 2 4 2" xfId="22903"/>
    <cellStyle name="Note 2 5 2 5 2 4 3" xfId="22904"/>
    <cellStyle name="Note 2 5 2 5 2 5" xfId="22905"/>
    <cellStyle name="Note 2 5 2 5 2 6" xfId="22906"/>
    <cellStyle name="Note 2 5 2 5 3" xfId="22907"/>
    <cellStyle name="Note 2 5 2 5 3 2" xfId="22908"/>
    <cellStyle name="Note 2 5 2 5 3 2 2" xfId="22909"/>
    <cellStyle name="Note 2 5 2 5 3 2 3" xfId="22910"/>
    <cellStyle name="Note 2 5 2 5 3 3" xfId="22911"/>
    <cellStyle name="Note 2 5 2 5 3 3 2" xfId="22912"/>
    <cellStyle name="Note 2 5 2 5 3 3 3" xfId="22913"/>
    <cellStyle name="Note 2 5 2 5 3 4" xfId="22914"/>
    <cellStyle name="Note 2 5 2 5 3 4 2" xfId="22915"/>
    <cellStyle name="Note 2 5 2 5 3 4 3" xfId="22916"/>
    <cellStyle name="Note 2 5 2 5 3 5" xfId="22917"/>
    <cellStyle name="Note 2 5 2 5 3 6" xfId="22918"/>
    <cellStyle name="Note 2 5 2 5 4" xfId="22919"/>
    <cellStyle name="Note 2 5 2 5 4 2" xfId="22920"/>
    <cellStyle name="Note 2 5 2 5 4 2 2" xfId="22921"/>
    <cellStyle name="Note 2 5 2 5 4 2 3" xfId="22922"/>
    <cellStyle name="Note 2 5 2 5 4 3" xfId="22923"/>
    <cellStyle name="Note 2 5 2 5 4 3 2" xfId="22924"/>
    <cellStyle name="Note 2 5 2 5 4 3 3" xfId="22925"/>
    <cellStyle name="Note 2 5 2 5 4 4" xfId="22926"/>
    <cellStyle name="Note 2 5 2 5 4 4 2" xfId="22927"/>
    <cellStyle name="Note 2 5 2 5 4 4 3" xfId="22928"/>
    <cellStyle name="Note 2 5 2 5 4 5" xfId="22929"/>
    <cellStyle name="Note 2 5 2 5 4 6" xfId="22930"/>
    <cellStyle name="Note 2 5 2 5 5" xfId="22931"/>
    <cellStyle name="Note 2 5 2 5 5 2" xfId="22932"/>
    <cellStyle name="Note 2 5 2 5 5 2 2" xfId="22933"/>
    <cellStyle name="Note 2 5 2 5 5 2 3" xfId="22934"/>
    <cellStyle name="Note 2 5 2 5 5 3" xfId="22935"/>
    <cellStyle name="Note 2 5 2 5 5 3 2" xfId="22936"/>
    <cellStyle name="Note 2 5 2 5 5 3 3" xfId="22937"/>
    <cellStyle name="Note 2 5 2 5 5 4" xfId="22938"/>
    <cellStyle name="Note 2 5 2 5 5 4 2" xfId="22939"/>
    <cellStyle name="Note 2 5 2 5 5 4 3" xfId="22940"/>
    <cellStyle name="Note 2 5 2 5 5 5" xfId="22941"/>
    <cellStyle name="Note 2 5 2 5 5 6" xfId="22942"/>
    <cellStyle name="Note 2 5 2 5 6" xfId="22943"/>
    <cellStyle name="Note 2 5 2 5 6 2" xfId="22944"/>
    <cellStyle name="Note 2 5 2 5 6 2 2" xfId="22945"/>
    <cellStyle name="Note 2 5 2 5 6 2 3" xfId="22946"/>
    <cellStyle name="Note 2 5 2 5 6 3" xfId="22947"/>
    <cellStyle name="Note 2 5 2 5 6 3 2" xfId="22948"/>
    <cellStyle name="Note 2 5 2 5 6 3 3" xfId="22949"/>
    <cellStyle name="Note 2 5 2 5 6 4" xfId="22950"/>
    <cellStyle name="Note 2 5 2 5 6 4 2" xfId="22951"/>
    <cellStyle name="Note 2 5 2 5 6 4 3" xfId="22952"/>
    <cellStyle name="Note 2 5 2 5 6 5" xfId="22953"/>
    <cellStyle name="Note 2 5 2 5 6 6" xfId="22954"/>
    <cellStyle name="Note 2 5 2 5 7" xfId="22955"/>
    <cellStyle name="Note 2 5 2 5 7 2" xfId="22956"/>
    <cellStyle name="Note 2 5 2 5 7 3" xfId="22957"/>
    <cellStyle name="Note 2 5 2 5 8" xfId="22958"/>
    <cellStyle name="Note 2 5 2 5 8 2" xfId="22959"/>
    <cellStyle name="Note 2 5 2 5 8 3" xfId="22960"/>
    <cellStyle name="Note 2 5 2 5 9" xfId="22961"/>
    <cellStyle name="Note 2 5 2 5 9 2" xfId="22962"/>
    <cellStyle name="Note 2 5 2 5 9 3" xfId="22963"/>
    <cellStyle name="Note 2 5 2 6" xfId="22964"/>
    <cellStyle name="Note 2 5 2 6 2" xfId="22965"/>
    <cellStyle name="Note 2 5 2 6 2 2" xfId="22966"/>
    <cellStyle name="Note 2 5 2 6 2 3" xfId="22967"/>
    <cellStyle name="Note 2 5 2 6 3" xfId="22968"/>
    <cellStyle name="Note 2 5 2 6 3 2" xfId="22969"/>
    <cellStyle name="Note 2 5 2 6 3 3" xfId="22970"/>
    <cellStyle name="Note 2 5 2 6 4" xfId="22971"/>
    <cellStyle name="Note 2 5 2 6 4 2" xfId="22972"/>
    <cellStyle name="Note 2 5 2 6 4 3" xfId="22973"/>
    <cellStyle name="Note 2 5 2 6 5" xfId="22974"/>
    <cellStyle name="Note 2 5 2 6 6" xfId="22975"/>
    <cellStyle name="Note 2 5 2 7" xfId="22976"/>
    <cellStyle name="Note 2 5 2 7 2" xfId="22977"/>
    <cellStyle name="Note 2 5 2 7 2 2" xfId="22978"/>
    <cellStyle name="Note 2 5 2 7 2 3" xfId="22979"/>
    <cellStyle name="Note 2 5 2 7 3" xfId="22980"/>
    <cellStyle name="Note 2 5 2 7 3 2" xfId="22981"/>
    <cellStyle name="Note 2 5 2 7 3 3" xfId="22982"/>
    <cellStyle name="Note 2 5 2 7 4" xfId="22983"/>
    <cellStyle name="Note 2 5 2 7 4 2" xfId="22984"/>
    <cellStyle name="Note 2 5 2 7 4 3" xfId="22985"/>
    <cellStyle name="Note 2 5 2 7 5" xfId="22986"/>
    <cellStyle name="Note 2 5 2 7 6" xfId="22987"/>
    <cellStyle name="Note 2 5 2 8" xfId="22988"/>
    <cellStyle name="Note 2 5 2 8 2" xfId="22989"/>
    <cellStyle name="Note 2 5 2 8 2 2" xfId="22990"/>
    <cellStyle name="Note 2 5 2 8 2 3" xfId="22991"/>
    <cellStyle name="Note 2 5 2 8 3" xfId="22992"/>
    <cellStyle name="Note 2 5 2 8 3 2" xfId="22993"/>
    <cellStyle name="Note 2 5 2 8 3 3" xfId="22994"/>
    <cellStyle name="Note 2 5 2 8 4" xfId="22995"/>
    <cellStyle name="Note 2 5 2 8 4 2" xfId="22996"/>
    <cellStyle name="Note 2 5 2 8 4 3" xfId="22997"/>
    <cellStyle name="Note 2 5 2 8 5" xfId="22998"/>
    <cellStyle name="Note 2 5 2 8 6" xfId="22999"/>
    <cellStyle name="Note 2 5 2 9" xfId="23000"/>
    <cellStyle name="Note 2 5 2 9 2" xfId="23001"/>
    <cellStyle name="Note 2 5 2 9 2 2" xfId="23002"/>
    <cellStyle name="Note 2 5 2 9 2 3" xfId="23003"/>
    <cellStyle name="Note 2 5 2 9 3" xfId="23004"/>
    <cellStyle name="Note 2 5 2 9 3 2" xfId="23005"/>
    <cellStyle name="Note 2 5 2 9 3 3" xfId="23006"/>
    <cellStyle name="Note 2 5 2 9 4" xfId="23007"/>
    <cellStyle name="Note 2 5 2 9 4 2" xfId="23008"/>
    <cellStyle name="Note 2 5 2 9 4 3" xfId="23009"/>
    <cellStyle name="Note 2 5 2 9 5" xfId="23010"/>
    <cellStyle name="Note 2 5 2 9 6" xfId="23011"/>
    <cellStyle name="Note 2 5 3" xfId="1075"/>
    <cellStyle name="Note 2 5 3 10" xfId="23012"/>
    <cellStyle name="Note 2 5 3 11" xfId="23013"/>
    <cellStyle name="Note 2 5 3 2" xfId="23014"/>
    <cellStyle name="Note 2 5 3 2 2" xfId="23015"/>
    <cellStyle name="Note 2 5 3 2 2 2" xfId="23016"/>
    <cellStyle name="Note 2 5 3 2 2 3" xfId="23017"/>
    <cellStyle name="Note 2 5 3 2 3" xfId="23018"/>
    <cellStyle name="Note 2 5 3 2 3 2" xfId="23019"/>
    <cellStyle name="Note 2 5 3 2 3 3" xfId="23020"/>
    <cellStyle name="Note 2 5 3 2 4" xfId="23021"/>
    <cellStyle name="Note 2 5 3 2 4 2" xfId="23022"/>
    <cellStyle name="Note 2 5 3 2 4 3" xfId="23023"/>
    <cellStyle name="Note 2 5 3 2 5" xfId="23024"/>
    <cellStyle name="Note 2 5 3 2 6" xfId="23025"/>
    <cellStyle name="Note 2 5 3 3" xfId="23026"/>
    <cellStyle name="Note 2 5 3 3 2" xfId="23027"/>
    <cellStyle name="Note 2 5 3 3 2 2" xfId="23028"/>
    <cellStyle name="Note 2 5 3 3 2 3" xfId="23029"/>
    <cellStyle name="Note 2 5 3 3 3" xfId="23030"/>
    <cellStyle name="Note 2 5 3 3 3 2" xfId="23031"/>
    <cellStyle name="Note 2 5 3 3 3 3" xfId="23032"/>
    <cellStyle name="Note 2 5 3 3 4" xfId="23033"/>
    <cellStyle name="Note 2 5 3 3 4 2" xfId="23034"/>
    <cellStyle name="Note 2 5 3 3 4 3" xfId="23035"/>
    <cellStyle name="Note 2 5 3 3 5" xfId="23036"/>
    <cellStyle name="Note 2 5 3 3 6" xfId="23037"/>
    <cellStyle name="Note 2 5 3 4" xfId="23038"/>
    <cellStyle name="Note 2 5 3 4 2" xfId="23039"/>
    <cellStyle name="Note 2 5 3 4 2 2" xfId="23040"/>
    <cellStyle name="Note 2 5 3 4 2 3" xfId="23041"/>
    <cellStyle name="Note 2 5 3 4 3" xfId="23042"/>
    <cellStyle name="Note 2 5 3 4 3 2" xfId="23043"/>
    <cellStyle name="Note 2 5 3 4 3 3" xfId="23044"/>
    <cellStyle name="Note 2 5 3 4 4" xfId="23045"/>
    <cellStyle name="Note 2 5 3 4 4 2" xfId="23046"/>
    <cellStyle name="Note 2 5 3 4 4 3" xfId="23047"/>
    <cellStyle name="Note 2 5 3 4 5" xfId="23048"/>
    <cellStyle name="Note 2 5 3 4 6" xfId="23049"/>
    <cellStyle name="Note 2 5 3 5" xfId="23050"/>
    <cellStyle name="Note 2 5 3 5 2" xfId="23051"/>
    <cellStyle name="Note 2 5 3 5 2 2" xfId="23052"/>
    <cellStyle name="Note 2 5 3 5 2 3" xfId="23053"/>
    <cellStyle name="Note 2 5 3 5 3" xfId="23054"/>
    <cellStyle name="Note 2 5 3 5 3 2" xfId="23055"/>
    <cellStyle name="Note 2 5 3 5 3 3" xfId="23056"/>
    <cellStyle name="Note 2 5 3 5 4" xfId="23057"/>
    <cellStyle name="Note 2 5 3 5 4 2" xfId="23058"/>
    <cellStyle name="Note 2 5 3 5 4 3" xfId="23059"/>
    <cellStyle name="Note 2 5 3 5 5" xfId="23060"/>
    <cellStyle name="Note 2 5 3 5 6" xfId="23061"/>
    <cellStyle name="Note 2 5 3 6" xfId="23062"/>
    <cellStyle name="Note 2 5 3 6 2" xfId="23063"/>
    <cellStyle name="Note 2 5 3 6 2 2" xfId="23064"/>
    <cellStyle name="Note 2 5 3 6 2 3" xfId="23065"/>
    <cellStyle name="Note 2 5 3 6 3" xfId="23066"/>
    <cellStyle name="Note 2 5 3 6 3 2" xfId="23067"/>
    <cellStyle name="Note 2 5 3 6 3 3" xfId="23068"/>
    <cellStyle name="Note 2 5 3 6 4" xfId="23069"/>
    <cellStyle name="Note 2 5 3 6 4 2" xfId="23070"/>
    <cellStyle name="Note 2 5 3 6 4 3" xfId="23071"/>
    <cellStyle name="Note 2 5 3 6 5" xfId="23072"/>
    <cellStyle name="Note 2 5 3 6 6" xfId="23073"/>
    <cellStyle name="Note 2 5 3 7" xfId="23074"/>
    <cellStyle name="Note 2 5 3 7 2" xfId="23075"/>
    <cellStyle name="Note 2 5 3 7 3" xfId="23076"/>
    <cellStyle name="Note 2 5 3 8" xfId="23077"/>
    <cellStyle name="Note 2 5 3 8 2" xfId="23078"/>
    <cellStyle name="Note 2 5 3 8 3" xfId="23079"/>
    <cellStyle name="Note 2 5 3 9" xfId="23080"/>
    <cellStyle name="Note 2 5 3 9 2" xfId="23081"/>
    <cellStyle name="Note 2 5 3 9 3" xfId="23082"/>
    <cellStyle name="Note 2 5 4" xfId="1104"/>
    <cellStyle name="Note 2 5 5" xfId="3152"/>
    <cellStyle name="Note 2 5 6" xfId="3225"/>
    <cellStyle name="Note 2 5 7" xfId="3160"/>
    <cellStyle name="Note 2 6" xfId="130"/>
    <cellStyle name="Note 2 6 2" xfId="618"/>
    <cellStyle name="Note 2 6 2 10" xfId="23083"/>
    <cellStyle name="Note 2 6 2 10 2" xfId="23084"/>
    <cellStyle name="Note 2 6 2 10 2 2" xfId="23085"/>
    <cellStyle name="Note 2 6 2 10 2 3" xfId="23086"/>
    <cellStyle name="Note 2 6 2 10 3" xfId="23087"/>
    <cellStyle name="Note 2 6 2 10 3 2" xfId="23088"/>
    <cellStyle name="Note 2 6 2 10 3 3" xfId="23089"/>
    <cellStyle name="Note 2 6 2 10 4" xfId="23090"/>
    <cellStyle name="Note 2 6 2 10 4 2" xfId="23091"/>
    <cellStyle name="Note 2 6 2 10 4 3" xfId="23092"/>
    <cellStyle name="Note 2 6 2 10 5" xfId="23093"/>
    <cellStyle name="Note 2 6 2 10 6" xfId="23094"/>
    <cellStyle name="Note 2 6 2 11" xfId="23095"/>
    <cellStyle name="Note 2 6 2 11 2" xfId="23096"/>
    <cellStyle name="Note 2 6 2 11 2 2" xfId="23097"/>
    <cellStyle name="Note 2 6 2 11 2 3" xfId="23098"/>
    <cellStyle name="Note 2 6 2 11 3" xfId="23099"/>
    <cellStyle name="Note 2 6 2 11 3 2" xfId="23100"/>
    <cellStyle name="Note 2 6 2 11 3 3" xfId="23101"/>
    <cellStyle name="Note 2 6 2 11 4" xfId="23102"/>
    <cellStyle name="Note 2 6 2 11 4 2" xfId="23103"/>
    <cellStyle name="Note 2 6 2 11 4 3" xfId="23104"/>
    <cellStyle name="Note 2 6 2 11 5" xfId="23105"/>
    <cellStyle name="Note 2 6 2 11 6" xfId="23106"/>
    <cellStyle name="Note 2 6 2 12" xfId="23107"/>
    <cellStyle name="Note 2 6 2 12 2" xfId="23108"/>
    <cellStyle name="Note 2 6 2 12 2 2" xfId="23109"/>
    <cellStyle name="Note 2 6 2 12 2 3" xfId="23110"/>
    <cellStyle name="Note 2 6 2 12 3" xfId="23111"/>
    <cellStyle name="Note 2 6 2 12 3 2" xfId="23112"/>
    <cellStyle name="Note 2 6 2 12 3 3" xfId="23113"/>
    <cellStyle name="Note 2 6 2 12 4" xfId="23114"/>
    <cellStyle name="Note 2 6 2 12 4 2" xfId="23115"/>
    <cellStyle name="Note 2 6 2 12 4 3" xfId="23116"/>
    <cellStyle name="Note 2 6 2 12 5" xfId="23117"/>
    <cellStyle name="Note 2 6 2 12 6" xfId="23118"/>
    <cellStyle name="Note 2 6 2 13" xfId="23119"/>
    <cellStyle name="Note 2 6 2 13 2" xfId="23120"/>
    <cellStyle name="Note 2 6 2 13 2 2" xfId="23121"/>
    <cellStyle name="Note 2 6 2 13 2 3" xfId="23122"/>
    <cellStyle name="Note 2 6 2 13 3" xfId="23123"/>
    <cellStyle name="Note 2 6 2 13 3 2" xfId="23124"/>
    <cellStyle name="Note 2 6 2 13 3 3" xfId="23125"/>
    <cellStyle name="Note 2 6 2 13 4" xfId="23126"/>
    <cellStyle name="Note 2 6 2 13 4 2" xfId="23127"/>
    <cellStyle name="Note 2 6 2 13 4 3" xfId="23128"/>
    <cellStyle name="Note 2 6 2 13 5" xfId="23129"/>
    <cellStyle name="Note 2 6 2 13 6" xfId="23130"/>
    <cellStyle name="Note 2 6 2 14" xfId="23131"/>
    <cellStyle name="Note 2 6 2 14 2" xfId="23132"/>
    <cellStyle name="Note 2 6 2 14 3" xfId="23133"/>
    <cellStyle name="Note 2 6 2 15" xfId="23134"/>
    <cellStyle name="Note 2 6 2 15 2" xfId="23135"/>
    <cellStyle name="Note 2 6 2 15 3" xfId="23136"/>
    <cellStyle name="Note 2 6 2 16" xfId="23137"/>
    <cellStyle name="Note 2 6 2 16 2" xfId="23138"/>
    <cellStyle name="Note 2 6 2 16 3" xfId="23139"/>
    <cellStyle name="Note 2 6 2 17" xfId="23140"/>
    <cellStyle name="Note 2 6 2 18" xfId="23141"/>
    <cellStyle name="Note 2 6 2 2" xfId="878"/>
    <cellStyle name="Note 2 6 2 2 10" xfId="23142"/>
    <cellStyle name="Note 2 6 2 2 11" xfId="23143"/>
    <cellStyle name="Note 2 6 2 2 2" xfId="23144"/>
    <cellStyle name="Note 2 6 2 2 2 2" xfId="23145"/>
    <cellStyle name="Note 2 6 2 2 2 2 2" xfId="23146"/>
    <cellStyle name="Note 2 6 2 2 2 2 3" xfId="23147"/>
    <cellStyle name="Note 2 6 2 2 2 3" xfId="23148"/>
    <cellStyle name="Note 2 6 2 2 2 3 2" xfId="23149"/>
    <cellStyle name="Note 2 6 2 2 2 3 3" xfId="23150"/>
    <cellStyle name="Note 2 6 2 2 2 4" xfId="23151"/>
    <cellStyle name="Note 2 6 2 2 2 4 2" xfId="23152"/>
    <cellStyle name="Note 2 6 2 2 2 4 3" xfId="23153"/>
    <cellStyle name="Note 2 6 2 2 2 5" xfId="23154"/>
    <cellStyle name="Note 2 6 2 2 2 6" xfId="23155"/>
    <cellStyle name="Note 2 6 2 2 3" xfId="23156"/>
    <cellStyle name="Note 2 6 2 2 3 2" xfId="23157"/>
    <cellStyle name="Note 2 6 2 2 3 2 2" xfId="23158"/>
    <cellStyle name="Note 2 6 2 2 3 2 3" xfId="23159"/>
    <cellStyle name="Note 2 6 2 2 3 3" xfId="23160"/>
    <cellStyle name="Note 2 6 2 2 3 3 2" xfId="23161"/>
    <cellStyle name="Note 2 6 2 2 3 3 3" xfId="23162"/>
    <cellStyle name="Note 2 6 2 2 3 4" xfId="23163"/>
    <cellStyle name="Note 2 6 2 2 3 4 2" xfId="23164"/>
    <cellStyle name="Note 2 6 2 2 3 4 3" xfId="23165"/>
    <cellStyle name="Note 2 6 2 2 3 5" xfId="23166"/>
    <cellStyle name="Note 2 6 2 2 3 6" xfId="23167"/>
    <cellStyle name="Note 2 6 2 2 4" xfId="23168"/>
    <cellStyle name="Note 2 6 2 2 4 2" xfId="23169"/>
    <cellStyle name="Note 2 6 2 2 4 2 2" xfId="23170"/>
    <cellStyle name="Note 2 6 2 2 4 2 3" xfId="23171"/>
    <cellStyle name="Note 2 6 2 2 4 3" xfId="23172"/>
    <cellStyle name="Note 2 6 2 2 4 3 2" xfId="23173"/>
    <cellStyle name="Note 2 6 2 2 4 3 3" xfId="23174"/>
    <cellStyle name="Note 2 6 2 2 4 4" xfId="23175"/>
    <cellStyle name="Note 2 6 2 2 4 4 2" xfId="23176"/>
    <cellStyle name="Note 2 6 2 2 4 4 3" xfId="23177"/>
    <cellStyle name="Note 2 6 2 2 4 5" xfId="23178"/>
    <cellStyle name="Note 2 6 2 2 4 6" xfId="23179"/>
    <cellStyle name="Note 2 6 2 2 5" xfId="23180"/>
    <cellStyle name="Note 2 6 2 2 5 2" xfId="23181"/>
    <cellStyle name="Note 2 6 2 2 5 2 2" xfId="23182"/>
    <cellStyle name="Note 2 6 2 2 5 2 3" xfId="23183"/>
    <cellStyle name="Note 2 6 2 2 5 3" xfId="23184"/>
    <cellStyle name="Note 2 6 2 2 5 3 2" xfId="23185"/>
    <cellStyle name="Note 2 6 2 2 5 3 3" xfId="23186"/>
    <cellStyle name="Note 2 6 2 2 5 4" xfId="23187"/>
    <cellStyle name="Note 2 6 2 2 5 4 2" xfId="23188"/>
    <cellStyle name="Note 2 6 2 2 5 4 3" xfId="23189"/>
    <cellStyle name="Note 2 6 2 2 5 5" xfId="23190"/>
    <cellStyle name="Note 2 6 2 2 5 6" xfId="23191"/>
    <cellStyle name="Note 2 6 2 2 6" xfId="23192"/>
    <cellStyle name="Note 2 6 2 2 6 2" xfId="23193"/>
    <cellStyle name="Note 2 6 2 2 6 2 2" xfId="23194"/>
    <cellStyle name="Note 2 6 2 2 6 2 3" xfId="23195"/>
    <cellStyle name="Note 2 6 2 2 6 3" xfId="23196"/>
    <cellStyle name="Note 2 6 2 2 6 3 2" xfId="23197"/>
    <cellStyle name="Note 2 6 2 2 6 3 3" xfId="23198"/>
    <cellStyle name="Note 2 6 2 2 6 4" xfId="23199"/>
    <cellStyle name="Note 2 6 2 2 6 4 2" xfId="23200"/>
    <cellStyle name="Note 2 6 2 2 6 4 3" xfId="23201"/>
    <cellStyle name="Note 2 6 2 2 6 5" xfId="23202"/>
    <cellStyle name="Note 2 6 2 2 6 6" xfId="23203"/>
    <cellStyle name="Note 2 6 2 2 7" xfId="23204"/>
    <cellStyle name="Note 2 6 2 2 7 2" xfId="23205"/>
    <cellStyle name="Note 2 6 2 2 7 3" xfId="23206"/>
    <cellStyle name="Note 2 6 2 2 8" xfId="23207"/>
    <cellStyle name="Note 2 6 2 2 8 2" xfId="23208"/>
    <cellStyle name="Note 2 6 2 2 8 3" xfId="23209"/>
    <cellStyle name="Note 2 6 2 2 9" xfId="23210"/>
    <cellStyle name="Note 2 6 2 2 9 2" xfId="23211"/>
    <cellStyle name="Note 2 6 2 2 9 3" xfId="23212"/>
    <cellStyle name="Note 2 6 2 3" xfId="735"/>
    <cellStyle name="Note 2 6 2 3 10" xfId="23213"/>
    <cellStyle name="Note 2 6 2 3 11" xfId="23214"/>
    <cellStyle name="Note 2 6 2 3 2" xfId="23215"/>
    <cellStyle name="Note 2 6 2 3 2 2" xfId="23216"/>
    <cellStyle name="Note 2 6 2 3 2 2 2" xfId="23217"/>
    <cellStyle name="Note 2 6 2 3 2 2 3" xfId="23218"/>
    <cellStyle name="Note 2 6 2 3 2 3" xfId="23219"/>
    <cellStyle name="Note 2 6 2 3 2 3 2" xfId="23220"/>
    <cellStyle name="Note 2 6 2 3 2 3 3" xfId="23221"/>
    <cellStyle name="Note 2 6 2 3 2 4" xfId="23222"/>
    <cellStyle name="Note 2 6 2 3 2 4 2" xfId="23223"/>
    <cellStyle name="Note 2 6 2 3 2 4 3" xfId="23224"/>
    <cellStyle name="Note 2 6 2 3 2 5" xfId="23225"/>
    <cellStyle name="Note 2 6 2 3 2 6" xfId="23226"/>
    <cellStyle name="Note 2 6 2 3 3" xfId="23227"/>
    <cellStyle name="Note 2 6 2 3 3 2" xfId="23228"/>
    <cellStyle name="Note 2 6 2 3 3 2 2" xfId="23229"/>
    <cellStyle name="Note 2 6 2 3 3 2 3" xfId="23230"/>
    <cellStyle name="Note 2 6 2 3 3 3" xfId="23231"/>
    <cellStyle name="Note 2 6 2 3 3 3 2" xfId="23232"/>
    <cellStyle name="Note 2 6 2 3 3 3 3" xfId="23233"/>
    <cellStyle name="Note 2 6 2 3 3 4" xfId="23234"/>
    <cellStyle name="Note 2 6 2 3 3 4 2" xfId="23235"/>
    <cellStyle name="Note 2 6 2 3 3 4 3" xfId="23236"/>
    <cellStyle name="Note 2 6 2 3 3 5" xfId="23237"/>
    <cellStyle name="Note 2 6 2 3 3 6" xfId="23238"/>
    <cellStyle name="Note 2 6 2 3 4" xfId="23239"/>
    <cellStyle name="Note 2 6 2 3 4 2" xfId="23240"/>
    <cellStyle name="Note 2 6 2 3 4 2 2" xfId="23241"/>
    <cellStyle name="Note 2 6 2 3 4 2 3" xfId="23242"/>
    <cellStyle name="Note 2 6 2 3 4 3" xfId="23243"/>
    <cellStyle name="Note 2 6 2 3 4 3 2" xfId="23244"/>
    <cellStyle name="Note 2 6 2 3 4 3 3" xfId="23245"/>
    <cellStyle name="Note 2 6 2 3 4 4" xfId="23246"/>
    <cellStyle name="Note 2 6 2 3 4 4 2" xfId="23247"/>
    <cellStyle name="Note 2 6 2 3 4 4 3" xfId="23248"/>
    <cellStyle name="Note 2 6 2 3 4 5" xfId="23249"/>
    <cellStyle name="Note 2 6 2 3 4 6" xfId="23250"/>
    <cellStyle name="Note 2 6 2 3 5" xfId="23251"/>
    <cellStyle name="Note 2 6 2 3 5 2" xfId="23252"/>
    <cellStyle name="Note 2 6 2 3 5 2 2" xfId="23253"/>
    <cellStyle name="Note 2 6 2 3 5 2 3" xfId="23254"/>
    <cellStyle name="Note 2 6 2 3 5 3" xfId="23255"/>
    <cellStyle name="Note 2 6 2 3 5 3 2" xfId="23256"/>
    <cellStyle name="Note 2 6 2 3 5 3 3" xfId="23257"/>
    <cellStyle name="Note 2 6 2 3 5 4" xfId="23258"/>
    <cellStyle name="Note 2 6 2 3 5 4 2" xfId="23259"/>
    <cellStyle name="Note 2 6 2 3 5 4 3" xfId="23260"/>
    <cellStyle name="Note 2 6 2 3 5 5" xfId="23261"/>
    <cellStyle name="Note 2 6 2 3 5 6" xfId="23262"/>
    <cellStyle name="Note 2 6 2 3 6" xfId="23263"/>
    <cellStyle name="Note 2 6 2 3 6 2" xfId="23264"/>
    <cellStyle name="Note 2 6 2 3 6 2 2" xfId="23265"/>
    <cellStyle name="Note 2 6 2 3 6 2 3" xfId="23266"/>
    <cellStyle name="Note 2 6 2 3 6 3" xfId="23267"/>
    <cellStyle name="Note 2 6 2 3 6 3 2" xfId="23268"/>
    <cellStyle name="Note 2 6 2 3 6 3 3" xfId="23269"/>
    <cellStyle name="Note 2 6 2 3 6 4" xfId="23270"/>
    <cellStyle name="Note 2 6 2 3 6 4 2" xfId="23271"/>
    <cellStyle name="Note 2 6 2 3 6 4 3" xfId="23272"/>
    <cellStyle name="Note 2 6 2 3 6 5" xfId="23273"/>
    <cellStyle name="Note 2 6 2 3 6 6" xfId="23274"/>
    <cellStyle name="Note 2 6 2 3 7" xfId="23275"/>
    <cellStyle name="Note 2 6 2 3 7 2" xfId="23276"/>
    <cellStyle name="Note 2 6 2 3 7 3" xfId="23277"/>
    <cellStyle name="Note 2 6 2 3 8" xfId="23278"/>
    <cellStyle name="Note 2 6 2 3 8 2" xfId="23279"/>
    <cellStyle name="Note 2 6 2 3 8 3" xfId="23280"/>
    <cellStyle name="Note 2 6 2 3 9" xfId="23281"/>
    <cellStyle name="Note 2 6 2 3 9 2" xfId="23282"/>
    <cellStyle name="Note 2 6 2 3 9 3" xfId="23283"/>
    <cellStyle name="Note 2 6 2 4" xfId="947"/>
    <cellStyle name="Note 2 6 2 4 10" xfId="23284"/>
    <cellStyle name="Note 2 6 2 4 11" xfId="23285"/>
    <cellStyle name="Note 2 6 2 4 2" xfId="23286"/>
    <cellStyle name="Note 2 6 2 4 2 2" xfId="23287"/>
    <cellStyle name="Note 2 6 2 4 2 2 2" xfId="23288"/>
    <cellStyle name="Note 2 6 2 4 2 2 3" xfId="23289"/>
    <cellStyle name="Note 2 6 2 4 2 3" xfId="23290"/>
    <cellStyle name="Note 2 6 2 4 2 3 2" xfId="23291"/>
    <cellStyle name="Note 2 6 2 4 2 3 3" xfId="23292"/>
    <cellStyle name="Note 2 6 2 4 2 4" xfId="23293"/>
    <cellStyle name="Note 2 6 2 4 2 4 2" xfId="23294"/>
    <cellStyle name="Note 2 6 2 4 2 4 3" xfId="23295"/>
    <cellStyle name="Note 2 6 2 4 2 5" xfId="23296"/>
    <cellStyle name="Note 2 6 2 4 2 6" xfId="23297"/>
    <cellStyle name="Note 2 6 2 4 3" xfId="23298"/>
    <cellStyle name="Note 2 6 2 4 3 2" xfId="23299"/>
    <cellStyle name="Note 2 6 2 4 3 2 2" xfId="23300"/>
    <cellStyle name="Note 2 6 2 4 3 2 3" xfId="23301"/>
    <cellStyle name="Note 2 6 2 4 3 3" xfId="23302"/>
    <cellStyle name="Note 2 6 2 4 3 3 2" xfId="23303"/>
    <cellStyle name="Note 2 6 2 4 3 3 3" xfId="23304"/>
    <cellStyle name="Note 2 6 2 4 3 4" xfId="23305"/>
    <cellStyle name="Note 2 6 2 4 3 4 2" xfId="23306"/>
    <cellStyle name="Note 2 6 2 4 3 4 3" xfId="23307"/>
    <cellStyle name="Note 2 6 2 4 3 5" xfId="23308"/>
    <cellStyle name="Note 2 6 2 4 3 6" xfId="23309"/>
    <cellStyle name="Note 2 6 2 4 4" xfId="23310"/>
    <cellStyle name="Note 2 6 2 4 4 2" xfId="23311"/>
    <cellStyle name="Note 2 6 2 4 4 2 2" xfId="23312"/>
    <cellStyle name="Note 2 6 2 4 4 2 3" xfId="23313"/>
    <cellStyle name="Note 2 6 2 4 4 3" xfId="23314"/>
    <cellStyle name="Note 2 6 2 4 4 3 2" xfId="23315"/>
    <cellStyle name="Note 2 6 2 4 4 3 3" xfId="23316"/>
    <cellStyle name="Note 2 6 2 4 4 4" xfId="23317"/>
    <cellStyle name="Note 2 6 2 4 4 4 2" xfId="23318"/>
    <cellStyle name="Note 2 6 2 4 4 4 3" xfId="23319"/>
    <cellStyle name="Note 2 6 2 4 4 5" xfId="23320"/>
    <cellStyle name="Note 2 6 2 4 4 6" xfId="23321"/>
    <cellStyle name="Note 2 6 2 4 5" xfId="23322"/>
    <cellStyle name="Note 2 6 2 4 5 2" xfId="23323"/>
    <cellStyle name="Note 2 6 2 4 5 2 2" xfId="23324"/>
    <cellStyle name="Note 2 6 2 4 5 2 3" xfId="23325"/>
    <cellStyle name="Note 2 6 2 4 5 3" xfId="23326"/>
    <cellStyle name="Note 2 6 2 4 5 3 2" xfId="23327"/>
    <cellStyle name="Note 2 6 2 4 5 3 3" xfId="23328"/>
    <cellStyle name="Note 2 6 2 4 5 4" xfId="23329"/>
    <cellStyle name="Note 2 6 2 4 5 4 2" xfId="23330"/>
    <cellStyle name="Note 2 6 2 4 5 4 3" xfId="23331"/>
    <cellStyle name="Note 2 6 2 4 5 5" xfId="23332"/>
    <cellStyle name="Note 2 6 2 4 5 6" xfId="23333"/>
    <cellStyle name="Note 2 6 2 4 6" xfId="23334"/>
    <cellStyle name="Note 2 6 2 4 6 2" xfId="23335"/>
    <cellStyle name="Note 2 6 2 4 6 2 2" xfId="23336"/>
    <cellStyle name="Note 2 6 2 4 6 2 3" xfId="23337"/>
    <cellStyle name="Note 2 6 2 4 6 3" xfId="23338"/>
    <cellStyle name="Note 2 6 2 4 6 3 2" xfId="23339"/>
    <cellStyle name="Note 2 6 2 4 6 3 3" xfId="23340"/>
    <cellStyle name="Note 2 6 2 4 6 4" xfId="23341"/>
    <cellStyle name="Note 2 6 2 4 6 4 2" xfId="23342"/>
    <cellStyle name="Note 2 6 2 4 6 4 3" xfId="23343"/>
    <cellStyle name="Note 2 6 2 4 6 5" xfId="23344"/>
    <cellStyle name="Note 2 6 2 4 6 6" xfId="23345"/>
    <cellStyle name="Note 2 6 2 4 7" xfId="23346"/>
    <cellStyle name="Note 2 6 2 4 7 2" xfId="23347"/>
    <cellStyle name="Note 2 6 2 4 7 3" xfId="23348"/>
    <cellStyle name="Note 2 6 2 4 8" xfId="23349"/>
    <cellStyle name="Note 2 6 2 4 8 2" xfId="23350"/>
    <cellStyle name="Note 2 6 2 4 8 3" xfId="23351"/>
    <cellStyle name="Note 2 6 2 4 9" xfId="23352"/>
    <cellStyle name="Note 2 6 2 4 9 2" xfId="23353"/>
    <cellStyle name="Note 2 6 2 4 9 3" xfId="23354"/>
    <cellStyle name="Note 2 6 2 5" xfId="23355"/>
    <cellStyle name="Note 2 6 2 5 10" xfId="23356"/>
    <cellStyle name="Note 2 6 2 5 11" xfId="23357"/>
    <cellStyle name="Note 2 6 2 5 2" xfId="23358"/>
    <cellStyle name="Note 2 6 2 5 2 2" xfId="23359"/>
    <cellStyle name="Note 2 6 2 5 2 2 2" xfId="23360"/>
    <cellStyle name="Note 2 6 2 5 2 2 3" xfId="23361"/>
    <cellStyle name="Note 2 6 2 5 2 3" xfId="23362"/>
    <cellStyle name="Note 2 6 2 5 2 3 2" xfId="23363"/>
    <cellStyle name="Note 2 6 2 5 2 3 3" xfId="23364"/>
    <cellStyle name="Note 2 6 2 5 2 4" xfId="23365"/>
    <cellStyle name="Note 2 6 2 5 2 4 2" xfId="23366"/>
    <cellStyle name="Note 2 6 2 5 2 4 3" xfId="23367"/>
    <cellStyle name="Note 2 6 2 5 2 5" xfId="23368"/>
    <cellStyle name="Note 2 6 2 5 2 6" xfId="23369"/>
    <cellStyle name="Note 2 6 2 5 3" xfId="23370"/>
    <cellStyle name="Note 2 6 2 5 3 2" xfId="23371"/>
    <cellStyle name="Note 2 6 2 5 3 2 2" xfId="23372"/>
    <cellStyle name="Note 2 6 2 5 3 2 3" xfId="23373"/>
    <cellStyle name="Note 2 6 2 5 3 3" xfId="23374"/>
    <cellStyle name="Note 2 6 2 5 3 3 2" xfId="23375"/>
    <cellStyle name="Note 2 6 2 5 3 3 3" xfId="23376"/>
    <cellStyle name="Note 2 6 2 5 3 4" xfId="23377"/>
    <cellStyle name="Note 2 6 2 5 3 4 2" xfId="23378"/>
    <cellStyle name="Note 2 6 2 5 3 4 3" xfId="23379"/>
    <cellStyle name="Note 2 6 2 5 3 5" xfId="23380"/>
    <cellStyle name="Note 2 6 2 5 3 6" xfId="23381"/>
    <cellStyle name="Note 2 6 2 5 4" xfId="23382"/>
    <cellStyle name="Note 2 6 2 5 4 2" xfId="23383"/>
    <cellStyle name="Note 2 6 2 5 4 2 2" xfId="23384"/>
    <cellStyle name="Note 2 6 2 5 4 2 3" xfId="23385"/>
    <cellStyle name="Note 2 6 2 5 4 3" xfId="23386"/>
    <cellStyle name="Note 2 6 2 5 4 3 2" xfId="23387"/>
    <cellStyle name="Note 2 6 2 5 4 3 3" xfId="23388"/>
    <cellStyle name="Note 2 6 2 5 4 4" xfId="23389"/>
    <cellStyle name="Note 2 6 2 5 4 4 2" xfId="23390"/>
    <cellStyle name="Note 2 6 2 5 4 4 3" xfId="23391"/>
    <cellStyle name="Note 2 6 2 5 4 5" xfId="23392"/>
    <cellStyle name="Note 2 6 2 5 4 6" xfId="23393"/>
    <cellStyle name="Note 2 6 2 5 5" xfId="23394"/>
    <cellStyle name="Note 2 6 2 5 5 2" xfId="23395"/>
    <cellStyle name="Note 2 6 2 5 5 2 2" xfId="23396"/>
    <cellStyle name="Note 2 6 2 5 5 2 3" xfId="23397"/>
    <cellStyle name="Note 2 6 2 5 5 3" xfId="23398"/>
    <cellStyle name="Note 2 6 2 5 5 3 2" xfId="23399"/>
    <cellStyle name="Note 2 6 2 5 5 3 3" xfId="23400"/>
    <cellStyle name="Note 2 6 2 5 5 4" xfId="23401"/>
    <cellStyle name="Note 2 6 2 5 5 4 2" xfId="23402"/>
    <cellStyle name="Note 2 6 2 5 5 4 3" xfId="23403"/>
    <cellStyle name="Note 2 6 2 5 5 5" xfId="23404"/>
    <cellStyle name="Note 2 6 2 5 5 6" xfId="23405"/>
    <cellStyle name="Note 2 6 2 5 6" xfId="23406"/>
    <cellStyle name="Note 2 6 2 5 6 2" xfId="23407"/>
    <cellStyle name="Note 2 6 2 5 6 2 2" xfId="23408"/>
    <cellStyle name="Note 2 6 2 5 6 2 3" xfId="23409"/>
    <cellStyle name="Note 2 6 2 5 6 3" xfId="23410"/>
    <cellStyle name="Note 2 6 2 5 6 3 2" xfId="23411"/>
    <cellStyle name="Note 2 6 2 5 6 3 3" xfId="23412"/>
    <cellStyle name="Note 2 6 2 5 6 4" xfId="23413"/>
    <cellStyle name="Note 2 6 2 5 6 4 2" xfId="23414"/>
    <cellStyle name="Note 2 6 2 5 6 4 3" xfId="23415"/>
    <cellStyle name="Note 2 6 2 5 6 5" xfId="23416"/>
    <cellStyle name="Note 2 6 2 5 6 6" xfId="23417"/>
    <cellStyle name="Note 2 6 2 5 7" xfId="23418"/>
    <cellStyle name="Note 2 6 2 5 7 2" xfId="23419"/>
    <cellStyle name="Note 2 6 2 5 7 3" xfId="23420"/>
    <cellStyle name="Note 2 6 2 5 8" xfId="23421"/>
    <cellStyle name="Note 2 6 2 5 8 2" xfId="23422"/>
    <cellStyle name="Note 2 6 2 5 8 3" xfId="23423"/>
    <cellStyle name="Note 2 6 2 5 9" xfId="23424"/>
    <cellStyle name="Note 2 6 2 5 9 2" xfId="23425"/>
    <cellStyle name="Note 2 6 2 5 9 3" xfId="23426"/>
    <cellStyle name="Note 2 6 2 6" xfId="23427"/>
    <cellStyle name="Note 2 6 2 6 2" xfId="23428"/>
    <cellStyle name="Note 2 6 2 6 2 2" xfId="23429"/>
    <cellStyle name="Note 2 6 2 6 2 3" xfId="23430"/>
    <cellStyle name="Note 2 6 2 6 3" xfId="23431"/>
    <cellStyle name="Note 2 6 2 6 3 2" xfId="23432"/>
    <cellStyle name="Note 2 6 2 6 3 3" xfId="23433"/>
    <cellStyle name="Note 2 6 2 6 4" xfId="23434"/>
    <cellStyle name="Note 2 6 2 6 4 2" xfId="23435"/>
    <cellStyle name="Note 2 6 2 6 4 3" xfId="23436"/>
    <cellStyle name="Note 2 6 2 6 5" xfId="23437"/>
    <cellStyle name="Note 2 6 2 6 6" xfId="23438"/>
    <cellStyle name="Note 2 6 2 7" xfId="23439"/>
    <cellStyle name="Note 2 6 2 7 2" xfId="23440"/>
    <cellStyle name="Note 2 6 2 7 2 2" xfId="23441"/>
    <cellStyle name="Note 2 6 2 7 2 3" xfId="23442"/>
    <cellStyle name="Note 2 6 2 7 3" xfId="23443"/>
    <cellStyle name="Note 2 6 2 7 3 2" xfId="23444"/>
    <cellStyle name="Note 2 6 2 7 3 3" xfId="23445"/>
    <cellStyle name="Note 2 6 2 7 4" xfId="23446"/>
    <cellStyle name="Note 2 6 2 7 4 2" xfId="23447"/>
    <cellStyle name="Note 2 6 2 7 4 3" xfId="23448"/>
    <cellStyle name="Note 2 6 2 7 5" xfId="23449"/>
    <cellStyle name="Note 2 6 2 7 6" xfId="23450"/>
    <cellStyle name="Note 2 6 2 8" xfId="23451"/>
    <cellStyle name="Note 2 6 2 8 2" xfId="23452"/>
    <cellStyle name="Note 2 6 2 8 2 2" xfId="23453"/>
    <cellStyle name="Note 2 6 2 8 2 3" xfId="23454"/>
    <cellStyle name="Note 2 6 2 8 3" xfId="23455"/>
    <cellStyle name="Note 2 6 2 8 3 2" xfId="23456"/>
    <cellStyle name="Note 2 6 2 8 3 3" xfId="23457"/>
    <cellStyle name="Note 2 6 2 8 4" xfId="23458"/>
    <cellStyle name="Note 2 6 2 8 4 2" xfId="23459"/>
    <cellStyle name="Note 2 6 2 8 4 3" xfId="23460"/>
    <cellStyle name="Note 2 6 2 8 5" xfId="23461"/>
    <cellStyle name="Note 2 6 2 8 6" xfId="23462"/>
    <cellStyle name="Note 2 6 2 9" xfId="23463"/>
    <cellStyle name="Note 2 6 2 9 2" xfId="23464"/>
    <cellStyle name="Note 2 6 2 9 2 2" xfId="23465"/>
    <cellStyle name="Note 2 6 2 9 2 3" xfId="23466"/>
    <cellStyle name="Note 2 6 2 9 3" xfId="23467"/>
    <cellStyle name="Note 2 6 2 9 3 2" xfId="23468"/>
    <cellStyle name="Note 2 6 2 9 3 3" xfId="23469"/>
    <cellStyle name="Note 2 6 2 9 4" xfId="23470"/>
    <cellStyle name="Note 2 6 2 9 4 2" xfId="23471"/>
    <cellStyle name="Note 2 6 2 9 4 3" xfId="23472"/>
    <cellStyle name="Note 2 6 2 9 5" xfId="23473"/>
    <cellStyle name="Note 2 6 2 9 6" xfId="23474"/>
    <cellStyle name="Note 2 6 3" xfId="1076"/>
    <cellStyle name="Note 2 6 3 10" xfId="23475"/>
    <cellStyle name="Note 2 6 3 11" xfId="23476"/>
    <cellStyle name="Note 2 6 3 2" xfId="23477"/>
    <cellStyle name="Note 2 6 3 2 2" xfId="23478"/>
    <cellStyle name="Note 2 6 3 2 2 2" xfId="23479"/>
    <cellStyle name="Note 2 6 3 2 2 3" xfId="23480"/>
    <cellStyle name="Note 2 6 3 2 3" xfId="23481"/>
    <cellStyle name="Note 2 6 3 2 3 2" xfId="23482"/>
    <cellStyle name="Note 2 6 3 2 3 3" xfId="23483"/>
    <cellStyle name="Note 2 6 3 2 4" xfId="23484"/>
    <cellStyle name="Note 2 6 3 2 4 2" xfId="23485"/>
    <cellStyle name="Note 2 6 3 2 4 3" xfId="23486"/>
    <cellStyle name="Note 2 6 3 2 5" xfId="23487"/>
    <cellStyle name="Note 2 6 3 2 6" xfId="23488"/>
    <cellStyle name="Note 2 6 3 3" xfId="23489"/>
    <cellStyle name="Note 2 6 3 3 2" xfId="23490"/>
    <cellStyle name="Note 2 6 3 3 2 2" xfId="23491"/>
    <cellStyle name="Note 2 6 3 3 2 3" xfId="23492"/>
    <cellStyle name="Note 2 6 3 3 3" xfId="23493"/>
    <cellStyle name="Note 2 6 3 3 3 2" xfId="23494"/>
    <cellStyle name="Note 2 6 3 3 3 3" xfId="23495"/>
    <cellStyle name="Note 2 6 3 3 4" xfId="23496"/>
    <cellStyle name="Note 2 6 3 3 4 2" xfId="23497"/>
    <cellStyle name="Note 2 6 3 3 4 3" xfId="23498"/>
    <cellStyle name="Note 2 6 3 3 5" xfId="23499"/>
    <cellStyle name="Note 2 6 3 3 6" xfId="23500"/>
    <cellStyle name="Note 2 6 3 4" xfId="23501"/>
    <cellStyle name="Note 2 6 3 4 2" xfId="23502"/>
    <cellStyle name="Note 2 6 3 4 2 2" xfId="23503"/>
    <cellStyle name="Note 2 6 3 4 2 3" xfId="23504"/>
    <cellStyle name="Note 2 6 3 4 3" xfId="23505"/>
    <cellStyle name="Note 2 6 3 4 3 2" xfId="23506"/>
    <cellStyle name="Note 2 6 3 4 3 3" xfId="23507"/>
    <cellStyle name="Note 2 6 3 4 4" xfId="23508"/>
    <cellStyle name="Note 2 6 3 4 4 2" xfId="23509"/>
    <cellStyle name="Note 2 6 3 4 4 3" xfId="23510"/>
    <cellStyle name="Note 2 6 3 4 5" xfId="23511"/>
    <cellStyle name="Note 2 6 3 4 6" xfId="23512"/>
    <cellStyle name="Note 2 6 3 5" xfId="23513"/>
    <cellStyle name="Note 2 6 3 5 2" xfId="23514"/>
    <cellStyle name="Note 2 6 3 5 2 2" xfId="23515"/>
    <cellStyle name="Note 2 6 3 5 2 3" xfId="23516"/>
    <cellStyle name="Note 2 6 3 5 3" xfId="23517"/>
    <cellStyle name="Note 2 6 3 5 3 2" xfId="23518"/>
    <cellStyle name="Note 2 6 3 5 3 3" xfId="23519"/>
    <cellStyle name="Note 2 6 3 5 4" xfId="23520"/>
    <cellStyle name="Note 2 6 3 5 4 2" xfId="23521"/>
    <cellStyle name="Note 2 6 3 5 4 3" xfId="23522"/>
    <cellStyle name="Note 2 6 3 5 5" xfId="23523"/>
    <cellStyle name="Note 2 6 3 5 6" xfId="23524"/>
    <cellStyle name="Note 2 6 3 6" xfId="23525"/>
    <cellStyle name="Note 2 6 3 6 2" xfId="23526"/>
    <cellStyle name="Note 2 6 3 6 2 2" xfId="23527"/>
    <cellStyle name="Note 2 6 3 6 2 3" xfId="23528"/>
    <cellStyle name="Note 2 6 3 6 3" xfId="23529"/>
    <cellStyle name="Note 2 6 3 6 3 2" xfId="23530"/>
    <cellStyle name="Note 2 6 3 6 3 3" xfId="23531"/>
    <cellStyle name="Note 2 6 3 6 4" xfId="23532"/>
    <cellStyle name="Note 2 6 3 6 4 2" xfId="23533"/>
    <cellStyle name="Note 2 6 3 6 4 3" xfId="23534"/>
    <cellStyle name="Note 2 6 3 6 5" xfId="23535"/>
    <cellStyle name="Note 2 6 3 6 6" xfId="23536"/>
    <cellStyle name="Note 2 6 3 7" xfId="23537"/>
    <cellStyle name="Note 2 6 3 7 2" xfId="23538"/>
    <cellStyle name="Note 2 6 3 7 3" xfId="23539"/>
    <cellStyle name="Note 2 6 3 8" xfId="23540"/>
    <cellStyle name="Note 2 6 3 8 2" xfId="23541"/>
    <cellStyle name="Note 2 6 3 8 3" xfId="23542"/>
    <cellStyle name="Note 2 6 3 9" xfId="23543"/>
    <cellStyle name="Note 2 6 3 9 2" xfId="23544"/>
    <cellStyle name="Note 2 6 3 9 3" xfId="23545"/>
    <cellStyle name="Note 2 6 4" xfId="1133"/>
    <cellStyle name="Note 2 6 5" xfId="3153"/>
    <cellStyle name="Note 2 6 6" xfId="3224"/>
    <cellStyle name="Note 2 6 7" xfId="3130"/>
    <cellStyle name="Note 2 7" xfId="131"/>
    <cellStyle name="Note 2 7 2" xfId="619"/>
    <cellStyle name="Note 2 7 2 10" xfId="23546"/>
    <cellStyle name="Note 2 7 2 10 2" xfId="23547"/>
    <cellStyle name="Note 2 7 2 10 2 2" xfId="23548"/>
    <cellStyle name="Note 2 7 2 10 2 3" xfId="23549"/>
    <cellStyle name="Note 2 7 2 10 3" xfId="23550"/>
    <cellStyle name="Note 2 7 2 10 3 2" xfId="23551"/>
    <cellStyle name="Note 2 7 2 10 3 3" xfId="23552"/>
    <cellStyle name="Note 2 7 2 10 4" xfId="23553"/>
    <cellStyle name="Note 2 7 2 10 4 2" xfId="23554"/>
    <cellStyle name="Note 2 7 2 10 4 3" xfId="23555"/>
    <cellStyle name="Note 2 7 2 10 5" xfId="23556"/>
    <cellStyle name="Note 2 7 2 10 6" xfId="23557"/>
    <cellStyle name="Note 2 7 2 11" xfId="23558"/>
    <cellStyle name="Note 2 7 2 11 2" xfId="23559"/>
    <cellStyle name="Note 2 7 2 11 2 2" xfId="23560"/>
    <cellStyle name="Note 2 7 2 11 2 3" xfId="23561"/>
    <cellStyle name="Note 2 7 2 11 3" xfId="23562"/>
    <cellStyle name="Note 2 7 2 11 3 2" xfId="23563"/>
    <cellStyle name="Note 2 7 2 11 3 3" xfId="23564"/>
    <cellStyle name="Note 2 7 2 11 4" xfId="23565"/>
    <cellStyle name="Note 2 7 2 11 4 2" xfId="23566"/>
    <cellStyle name="Note 2 7 2 11 4 3" xfId="23567"/>
    <cellStyle name="Note 2 7 2 11 5" xfId="23568"/>
    <cellStyle name="Note 2 7 2 11 6" xfId="23569"/>
    <cellStyle name="Note 2 7 2 12" xfId="23570"/>
    <cellStyle name="Note 2 7 2 12 2" xfId="23571"/>
    <cellStyle name="Note 2 7 2 12 2 2" xfId="23572"/>
    <cellStyle name="Note 2 7 2 12 2 3" xfId="23573"/>
    <cellStyle name="Note 2 7 2 12 3" xfId="23574"/>
    <cellStyle name="Note 2 7 2 12 3 2" xfId="23575"/>
    <cellStyle name="Note 2 7 2 12 3 3" xfId="23576"/>
    <cellStyle name="Note 2 7 2 12 4" xfId="23577"/>
    <cellStyle name="Note 2 7 2 12 4 2" xfId="23578"/>
    <cellStyle name="Note 2 7 2 12 4 3" xfId="23579"/>
    <cellStyle name="Note 2 7 2 12 5" xfId="23580"/>
    <cellStyle name="Note 2 7 2 12 6" xfId="23581"/>
    <cellStyle name="Note 2 7 2 13" xfId="23582"/>
    <cellStyle name="Note 2 7 2 13 2" xfId="23583"/>
    <cellStyle name="Note 2 7 2 13 2 2" xfId="23584"/>
    <cellStyle name="Note 2 7 2 13 2 3" xfId="23585"/>
    <cellStyle name="Note 2 7 2 13 3" xfId="23586"/>
    <cellStyle name="Note 2 7 2 13 3 2" xfId="23587"/>
    <cellStyle name="Note 2 7 2 13 3 3" xfId="23588"/>
    <cellStyle name="Note 2 7 2 13 4" xfId="23589"/>
    <cellStyle name="Note 2 7 2 13 4 2" xfId="23590"/>
    <cellStyle name="Note 2 7 2 13 4 3" xfId="23591"/>
    <cellStyle name="Note 2 7 2 13 5" xfId="23592"/>
    <cellStyle name="Note 2 7 2 13 6" xfId="23593"/>
    <cellStyle name="Note 2 7 2 14" xfId="23594"/>
    <cellStyle name="Note 2 7 2 14 2" xfId="23595"/>
    <cellStyle name="Note 2 7 2 14 3" xfId="23596"/>
    <cellStyle name="Note 2 7 2 15" xfId="23597"/>
    <cellStyle name="Note 2 7 2 15 2" xfId="23598"/>
    <cellStyle name="Note 2 7 2 15 3" xfId="23599"/>
    <cellStyle name="Note 2 7 2 16" xfId="23600"/>
    <cellStyle name="Note 2 7 2 16 2" xfId="23601"/>
    <cellStyle name="Note 2 7 2 16 3" xfId="23602"/>
    <cellStyle name="Note 2 7 2 17" xfId="23603"/>
    <cellStyle name="Note 2 7 2 18" xfId="23604"/>
    <cellStyle name="Note 2 7 2 2" xfId="879"/>
    <cellStyle name="Note 2 7 2 2 10" xfId="23605"/>
    <cellStyle name="Note 2 7 2 2 11" xfId="23606"/>
    <cellStyle name="Note 2 7 2 2 2" xfId="23607"/>
    <cellStyle name="Note 2 7 2 2 2 2" xfId="23608"/>
    <cellStyle name="Note 2 7 2 2 2 2 2" xfId="23609"/>
    <cellStyle name="Note 2 7 2 2 2 2 3" xfId="23610"/>
    <cellStyle name="Note 2 7 2 2 2 3" xfId="23611"/>
    <cellStyle name="Note 2 7 2 2 2 3 2" xfId="23612"/>
    <cellStyle name="Note 2 7 2 2 2 3 3" xfId="23613"/>
    <cellStyle name="Note 2 7 2 2 2 4" xfId="23614"/>
    <cellStyle name="Note 2 7 2 2 2 4 2" xfId="23615"/>
    <cellStyle name="Note 2 7 2 2 2 4 3" xfId="23616"/>
    <cellStyle name="Note 2 7 2 2 2 5" xfId="23617"/>
    <cellStyle name="Note 2 7 2 2 2 6" xfId="23618"/>
    <cellStyle name="Note 2 7 2 2 3" xfId="23619"/>
    <cellStyle name="Note 2 7 2 2 3 2" xfId="23620"/>
    <cellStyle name="Note 2 7 2 2 3 2 2" xfId="23621"/>
    <cellStyle name="Note 2 7 2 2 3 2 3" xfId="23622"/>
    <cellStyle name="Note 2 7 2 2 3 3" xfId="23623"/>
    <cellStyle name="Note 2 7 2 2 3 3 2" xfId="23624"/>
    <cellStyle name="Note 2 7 2 2 3 3 3" xfId="23625"/>
    <cellStyle name="Note 2 7 2 2 3 4" xfId="23626"/>
    <cellStyle name="Note 2 7 2 2 3 4 2" xfId="23627"/>
    <cellStyle name="Note 2 7 2 2 3 4 3" xfId="23628"/>
    <cellStyle name="Note 2 7 2 2 3 5" xfId="23629"/>
    <cellStyle name="Note 2 7 2 2 3 6" xfId="23630"/>
    <cellStyle name="Note 2 7 2 2 4" xfId="23631"/>
    <cellStyle name="Note 2 7 2 2 4 2" xfId="23632"/>
    <cellStyle name="Note 2 7 2 2 4 2 2" xfId="23633"/>
    <cellStyle name="Note 2 7 2 2 4 2 3" xfId="23634"/>
    <cellStyle name="Note 2 7 2 2 4 3" xfId="23635"/>
    <cellStyle name="Note 2 7 2 2 4 3 2" xfId="23636"/>
    <cellStyle name="Note 2 7 2 2 4 3 3" xfId="23637"/>
    <cellStyle name="Note 2 7 2 2 4 4" xfId="23638"/>
    <cellStyle name="Note 2 7 2 2 4 4 2" xfId="23639"/>
    <cellStyle name="Note 2 7 2 2 4 4 3" xfId="23640"/>
    <cellStyle name="Note 2 7 2 2 4 5" xfId="23641"/>
    <cellStyle name="Note 2 7 2 2 4 6" xfId="23642"/>
    <cellStyle name="Note 2 7 2 2 5" xfId="23643"/>
    <cellStyle name="Note 2 7 2 2 5 2" xfId="23644"/>
    <cellStyle name="Note 2 7 2 2 5 2 2" xfId="23645"/>
    <cellStyle name="Note 2 7 2 2 5 2 3" xfId="23646"/>
    <cellStyle name="Note 2 7 2 2 5 3" xfId="23647"/>
    <cellStyle name="Note 2 7 2 2 5 3 2" xfId="23648"/>
    <cellStyle name="Note 2 7 2 2 5 3 3" xfId="23649"/>
    <cellStyle name="Note 2 7 2 2 5 4" xfId="23650"/>
    <cellStyle name="Note 2 7 2 2 5 4 2" xfId="23651"/>
    <cellStyle name="Note 2 7 2 2 5 4 3" xfId="23652"/>
    <cellStyle name="Note 2 7 2 2 5 5" xfId="23653"/>
    <cellStyle name="Note 2 7 2 2 5 6" xfId="23654"/>
    <cellStyle name="Note 2 7 2 2 6" xfId="23655"/>
    <cellStyle name="Note 2 7 2 2 6 2" xfId="23656"/>
    <cellStyle name="Note 2 7 2 2 6 2 2" xfId="23657"/>
    <cellStyle name="Note 2 7 2 2 6 2 3" xfId="23658"/>
    <cellStyle name="Note 2 7 2 2 6 3" xfId="23659"/>
    <cellStyle name="Note 2 7 2 2 6 3 2" xfId="23660"/>
    <cellStyle name="Note 2 7 2 2 6 3 3" xfId="23661"/>
    <cellStyle name="Note 2 7 2 2 6 4" xfId="23662"/>
    <cellStyle name="Note 2 7 2 2 6 4 2" xfId="23663"/>
    <cellStyle name="Note 2 7 2 2 6 4 3" xfId="23664"/>
    <cellStyle name="Note 2 7 2 2 6 5" xfId="23665"/>
    <cellStyle name="Note 2 7 2 2 6 6" xfId="23666"/>
    <cellStyle name="Note 2 7 2 2 7" xfId="23667"/>
    <cellStyle name="Note 2 7 2 2 7 2" xfId="23668"/>
    <cellStyle name="Note 2 7 2 2 7 3" xfId="23669"/>
    <cellStyle name="Note 2 7 2 2 8" xfId="23670"/>
    <cellStyle name="Note 2 7 2 2 8 2" xfId="23671"/>
    <cellStyle name="Note 2 7 2 2 8 3" xfId="23672"/>
    <cellStyle name="Note 2 7 2 2 9" xfId="23673"/>
    <cellStyle name="Note 2 7 2 2 9 2" xfId="23674"/>
    <cellStyle name="Note 2 7 2 2 9 3" xfId="23675"/>
    <cellStyle name="Note 2 7 2 3" xfId="753"/>
    <cellStyle name="Note 2 7 2 3 10" xfId="23676"/>
    <cellStyle name="Note 2 7 2 3 11" xfId="23677"/>
    <cellStyle name="Note 2 7 2 3 2" xfId="23678"/>
    <cellStyle name="Note 2 7 2 3 2 2" xfId="23679"/>
    <cellStyle name="Note 2 7 2 3 2 2 2" xfId="23680"/>
    <cellStyle name="Note 2 7 2 3 2 2 3" xfId="23681"/>
    <cellStyle name="Note 2 7 2 3 2 3" xfId="23682"/>
    <cellStyle name="Note 2 7 2 3 2 3 2" xfId="23683"/>
    <cellStyle name="Note 2 7 2 3 2 3 3" xfId="23684"/>
    <cellStyle name="Note 2 7 2 3 2 4" xfId="23685"/>
    <cellStyle name="Note 2 7 2 3 2 4 2" xfId="23686"/>
    <cellStyle name="Note 2 7 2 3 2 4 3" xfId="23687"/>
    <cellStyle name="Note 2 7 2 3 2 5" xfId="23688"/>
    <cellStyle name="Note 2 7 2 3 2 6" xfId="23689"/>
    <cellStyle name="Note 2 7 2 3 3" xfId="23690"/>
    <cellStyle name="Note 2 7 2 3 3 2" xfId="23691"/>
    <cellStyle name="Note 2 7 2 3 3 2 2" xfId="23692"/>
    <cellStyle name="Note 2 7 2 3 3 2 3" xfId="23693"/>
    <cellStyle name="Note 2 7 2 3 3 3" xfId="23694"/>
    <cellStyle name="Note 2 7 2 3 3 3 2" xfId="23695"/>
    <cellStyle name="Note 2 7 2 3 3 3 3" xfId="23696"/>
    <cellStyle name="Note 2 7 2 3 3 4" xfId="23697"/>
    <cellStyle name="Note 2 7 2 3 3 4 2" xfId="23698"/>
    <cellStyle name="Note 2 7 2 3 3 4 3" xfId="23699"/>
    <cellStyle name="Note 2 7 2 3 3 5" xfId="23700"/>
    <cellStyle name="Note 2 7 2 3 3 6" xfId="23701"/>
    <cellStyle name="Note 2 7 2 3 4" xfId="23702"/>
    <cellStyle name="Note 2 7 2 3 4 2" xfId="23703"/>
    <cellStyle name="Note 2 7 2 3 4 2 2" xfId="23704"/>
    <cellStyle name="Note 2 7 2 3 4 2 3" xfId="23705"/>
    <cellStyle name="Note 2 7 2 3 4 3" xfId="23706"/>
    <cellStyle name="Note 2 7 2 3 4 3 2" xfId="23707"/>
    <cellStyle name="Note 2 7 2 3 4 3 3" xfId="23708"/>
    <cellStyle name="Note 2 7 2 3 4 4" xfId="23709"/>
    <cellStyle name="Note 2 7 2 3 4 4 2" xfId="23710"/>
    <cellStyle name="Note 2 7 2 3 4 4 3" xfId="23711"/>
    <cellStyle name="Note 2 7 2 3 4 5" xfId="23712"/>
    <cellStyle name="Note 2 7 2 3 4 6" xfId="23713"/>
    <cellStyle name="Note 2 7 2 3 5" xfId="23714"/>
    <cellStyle name="Note 2 7 2 3 5 2" xfId="23715"/>
    <cellStyle name="Note 2 7 2 3 5 2 2" xfId="23716"/>
    <cellStyle name="Note 2 7 2 3 5 2 3" xfId="23717"/>
    <cellStyle name="Note 2 7 2 3 5 3" xfId="23718"/>
    <cellStyle name="Note 2 7 2 3 5 3 2" xfId="23719"/>
    <cellStyle name="Note 2 7 2 3 5 3 3" xfId="23720"/>
    <cellStyle name="Note 2 7 2 3 5 4" xfId="23721"/>
    <cellStyle name="Note 2 7 2 3 5 4 2" xfId="23722"/>
    <cellStyle name="Note 2 7 2 3 5 4 3" xfId="23723"/>
    <cellStyle name="Note 2 7 2 3 5 5" xfId="23724"/>
    <cellStyle name="Note 2 7 2 3 5 6" xfId="23725"/>
    <cellStyle name="Note 2 7 2 3 6" xfId="23726"/>
    <cellStyle name="Note 2 7 2 3 6 2" xfId="23727"/>
    <cellStyle name="Note 2 7 2 3 6 2 2" xfId="23728"/>
    <cellStyle name="Note 2 7 2 3 6 2 3" xfId="23729"/>
    <cellStyle name="Note 2 7 2 3 6 3" xfId="23730"/>
    <cellStyle name="Note 2 7 2 3 6 3 2" xfId="23731"/>
    <cellStyle name="Note 2 7 2 3 6 3 3" xfId="23732"/>
    <cellStyle name="Note 2 7 2 3 6 4" xfId="23733"/>
    <cellStyle name="Note 2 7 2 3 6 4 2" xfId="23734"/>
    <cellStyle name="Note 2 7 2 3 6 4 3" xfId="23735"/>
    <cellStyle name="Note 2 7 2 3 6 5" xfId="23736"/>
    <cellStyle name="Note 2 7 2 3 6 6" xfId="23737"/>
    <cellStyle name="Note 2 7 2 3 7" xfId="23738"/>
    <cellStyle name="Note 2 7 2 3 7 2" xfId="23739"/>
    <cellStyle name="Note 2 7 2 3 7 3" xfId="23740"/>
    <cellStyle name="Note 2 7 2 3 8" xfId="23741"/>
    <cellStyle name="Note 2 7 2 3 8 2" xfId="23742"/>
    <cellStyle name="Note 2 7 2 3 8 3" xfId="23743"/>
    <cellStyle name="Note 2 7 2 3 9" xfId="23744"/>
    <cellStyle name="Note 2 7 2 3 9 2" xfId="23745"/>
    <cellStyle name="Note 2 7 2 3 9 3" xfId="23746"/>
    <cellStyle name="Note 2 7 2 4" xfId="948"/>
    <cellStyle name="Note 2 7 2 4 10" xfId="23747"/>
    <cellStyle name="Note 2 7 2 4 11" xfId="23748"/>
    <cellStyle name="Note 2 7 2 4 2" xfId="23749"/>
    <cellStyle name="Note 2 7 2 4 2 2" xfId="23750"/>
    <cellStyle name="Note 2 7 2 4 2 2 2" xfId="23751"/>
    <cellStyle name="Note 2 7 2 4 2 2 3" xfId="23752"/>
    <cellStyle name="Note 2 7 2 4 2 3" xfId="23753"/>
    <cellStyle name="Note 2 7 2 4 2 3 2" xfId="23754"/>
    <cellStyle name="Note 2 7 2 4 2 3 3" xfId="23755"/>
    <cellStyle name="Note 2 7 2 4 2 4" xfId="23756"/>
    <cellStyle name="Note 2 7 2 4 2 4 2" xfId="23757"/>
    <cellStyle name="Note 2 7 2 4 2 4 3" xfId="23758"/>
    <cellStyle name="Note 2 7 2 4 2 5" xfId="23759"/>
    <cellStyle name="Note 2 7 2 4 2 6" xfId="23760"/>
    <cellStyle name="Note 2 7 2 4 3" xfId="23761"/>
    <cellStyle name="Note 2 7 2 4 3 2" xfId="23762"/>
    <cellStyle name="Note 2 7 2 4 3 2 2" xfId="23763"/>
    <cellStyle name="Note 2 7 2 4 3 2 3" xfId="23764"/>
    <cellStyle name="Note 2 7 2 4 3 3" xfId="23765"/>
    <cellStyle name="Note 2 7 2 4 3 3 2" xfId="23766"/>
    <cellStyle name="Note 2 7 2 4 3 3 3" xfId="23767"/>
    <cellStyle name="Note 2 7 2 4 3 4" xfId="23768"/>
    <cellStyle name="Note 2 7 2 4 3 4 2" xfId="23769"/>
    <cellStyle name="Note 2 7 2 4 3 4 3" xfId="23770"/>
    <cellStyle name="Note 2 7 2 4 3 5" xfId="23771"/>
    <cellStyle name="Note 2 7 2 4 3 6" xfId="23772"/>
    <cellStyle name="Note 2 7 2 4 4" xfId="23773"/>
    <cellStyle name="Note 2 7 2 4 4 2" xfId="23774"/>
    <cellStyle name="Note 2 7 2 4 4 2 2" xfId="23775"/>
    <cellStyle name="Note 2 7 2 4 4 2 3" xfId="23776"/>
    <cellStyle name="Note 2 7 2 4 4 3" xfId="23777"/>
    <cellStyle name="Note 2 7 2 4 4 3 2" xfId="23778"/>
    <cellStyle name="Note 2 7 2 4 4 3 3" xfId="23779"/>
    <cellStyle name="Note 2 7 2 4 4 4" xfId="23780"/>
    <cellStyle name="Note 2 7 2 4 4 4 2" xfId="23781"/>
    <cellStyle name="Note 2 7 2 4 4 4 3" xfId="23782"/>
    <cellStyle name="Note 2 7 2 4 4 5" xfId="23783"/>
    <cellStyle name="Note 2 7 2 4 4 6" xfId="23784"/>
    <cellStyle name="Note 2 7 2 4 5" xfId="23785"/>
    <cellStyle name="Note 2 7 2 4 5 2" xfId="23786"/>
    <cellStyle name="Note 2 7 2 4 5 2 2" xfId="23787"/>
    <cellStyle name="Note 2 7 2 4 5 2 3" xfId="23788"/>
    <cellStyle name="Note 2 7 2 4 5 3" xfId="23789"/>
    <cellStyle name="Note 2 7 2 4 5 3 2" xfId="23790"/>
    <cellStyle name="Note 2 7 2 4 5 3 3" xfId="23791"/>
    <cellStyle name="Note 2 7 2 4 5 4" xfId="23792"/>
    <cellStyle name="Note 2 7 2 4 5 4 2" xfId="23793"/>
    <cellStyle name="Note 2 7 2 4 5 4 3" xfId="23794"/>
    <cellStyle name="Note 2 7 2 4 5 5" xfId="23795"/>
    <cellStyle name="Note 2 7 2 4 5 6" xfId="23796"/>
    <cellStyle name="Note 2 7 2 4 6" xfId="23797"/>
    <cellStyle name="Note 2 7 2 4 6 2" xfId="23798"/>
    <cellStyle name="Note 2 7 2 4 6 2 2" xfId="23799"/>
    <cellStyle name="Note 2 7 2 4 6 2 3" xfId="23800"/>
    <cellStyle name="Note 2 7 2 4 6 3" xfId="23801"/>
    <cellStyle name="Note 2 7 2 4 6 3 2" xfId="23802"/>
    <cellStyle name="Note 2 7 2 4 6 3 3" xfId="23803"/>
    <cellStyle name="Note 2 7 2 4 6 4" xfId="23804"/>
    <cellStyle name="Note 2 7 2 4 6 4 2" xfId="23805"/>
    <cellStyle name="Note 2 7 2 4 6 4 3" xfId="23806"/>
    <cellStyle name="Note 2 7 2 4 6 5" xfId="23807"/>
    <cellStyle name="Note 2 7 2 4 6 6" xfId="23808"/>
    <cellStyle name="Note 2 7 2 4 7" xfId="23809"/>
    <cellStyle name="Note 2 7 2 4 7 2" xfId="23810"/>
    <cellStyle name="Note 2 7 2 4 7 3" xfId="23811"/>
    <cellStyle name="Note 2 7 2 4 8" xfId="23812"/>
    <cellStyle name="Note 2 7 2 4 8 2" xfId="23813"/>
    <cellStyle name="Note 2 7 2 4 8 3" xfId="23814"/>
    <cellStyle name="Note 2 7 2 4 9" xfId="23815"/>
    <cellStyle name="Note 2 7 2 4 9 2" xfId="23816"/>
    <cellStyle name="Note 2 7 2 4 9 3" xfId="23817"/>
    <cellStyle name="Note 2 7 2 5" xfId="23818"/>
    <cellStyle name="Note 2 7 2 5 10" xfId="23819"/>
    <cellStyle name="Note 2 7 2 5 11" xfId="23820"/>
    <cellStyle name="Note 2 7 2 5 2" xfId="23821"/>
    <cellStyle name="Note 2 7 2 5 2 2" xfId="23822"/>
    <cellStyle name="Note 2 7 2 5 2 2 2" xfId="23823"/>
    <cellStyle name="Note 2 7 2 5 2 2 3" xfId="23824"/>
    <cellStyle name="Note 2 7 2 5 2 3" xfId="23825"/>
    <cellStyle name="Note 2 7 2 5 2 3 2" xfId="23826"/>
    <cellStyle name="Note 2 7 2 5 2 3 3" xfId="23827"/>
    <cellStyle name="Note 2 7 2 5 2 4" xfId="23828"/>
    <cellStyle name="Note 2 7 2 5 2 4 2" xfId="23829"/>
    <cellStyle name="Note 2 7 2 5 2 4 3" xfId="23830"/>
    <cellStyle name="Note 2 7 2 5 2 5" xfId="23831"/>
    <cellStyle name="Note 2 7 2 5 2 6" xfId="23832"/>
    <cellStyle name="Note 2 7 2 5 3" xfId="23833"/>
    <cellStyle name="Note 2 7 2 5 3 2" xfId="23834"/>
    <cellStyle name="Note 2 7 2 5 3 2 2" xfId="23835"/>
    <cellStyle name="Note 2 7 2 5 3 2 3" xfId="23836"/>
    <cellStyle name="Note 2 7 2 5 3 3" xfId="23837"/>
    <cellStyle name="Note 2 7 2 5 3 3 2" xfId="23838"/>
    <cellStyle name="Note 2 7 2 5 3 3 3" xfId="23839"/>
    <cellStyle name="Note 2 7 2 5 3 4" xfId="23840"/>
    <cellStyle name="Note 2 7 2 5 3 4 2" xfId="23841"/>
    <cellStyle name="Note 2 7 2 5 3 4 3" xfId="23842"/>
    <cellStyle name="Note 2 7 2 5 3 5" xfId="23843"/>
    <cellStyle name="Note 2 7 2 5 3 6" xfId="23844"/>
    <cellStyle name="Note 2 7 2 5 4" xfId="23845"/>
    <cellStyle name="Note 2 7 2 5 4 2" xfId="23846"/>
    <cellStyle name="Note 2 7 2 5 4 2 2" xfId="23847"/>
    <cellStyle name="Note 2 7 2 5 4 2 3" xfId="23848"/>
    <cellStyle name="Note 2 7 2 5 4 3" xfId="23849"/>
    <cellStyle name="Note 2 7 2 5 4 3 2" xfId="23850"/>
    <cellStyle name="Note 2 7 2 5 4 3 3" xfId="23851"/>
    <cellStyle name="Note 2 7 2 5 4 4" xfId="23852"/>
    <cellStyle name="Note 2 7 2 5 4 4 2" xfId="23853"/>
    <cellStyle name="Note 2 7 2 5 4 4 3" xfId="23854"/>
    <cellStyle name="Note 2 7 2 5 4 5" xfId="23855"/>
    <cellStyle name="Note 2 7 2 5 4 6" xfId="23856"/>
    <cellStyle name="Note 2 7 2 5 5" xfId="23857"/>
    <cellStyle name="Note 2 7 2 5 5 2" xfId="23858"/>
    <cellStyle name="Note 2 7 2 5 5 2 2" xfId="23859"/>
    <cellStyle name="Note 2 7 2 5 5 2 3" xfId="23860"/>
    <cellStyle name="Note 2 7 2 5 5 3" xfId="23861"/>
    <cellStyle name="Note 2 7 2 5 5 3 2" xfId="23862"/>
    <cellStyle name="Note 2 7 2 5 5 3 3" xfId="23863"/>
    <cellStyle name="Note 2 7 2 5 5 4" xfId="23864"/>
    <cellStyle name="Note 2 7 2 5 5 4 2" xfId="23865"/>
    <cellStyle name="Note 2 7 2 5 5 4 3" xfId="23866"/>
    <cellStyle name="Note 2 7 2 5 5 5" xfId="23867"/>
    <cellStyle name="Note 2 7 2 5 5 6" xfId="23868"/>
    <cellStyle name="Note 2 7 2 5 6" xfId="23869"/>
    <cellStyle name="Note 2 7 2 5 6 2" xfId="23870"/>
    <cellStyle name="Note 2 7 2 5 6 2 2" xfId="23871"/>
    <cellStyle name="Note 2 7 2 5 6 2 3" xfId="23872"/>
    <cellStyle name="Note 2 7 2 5 6 3" xfId="23873"/>
    <cellStyle name="Note 2 7 2 5 6 3 2" xfId="23874"/>
    <cellStyle name="Note 2 7 2 5 6 3 3" xfId="23875"/>
    <cellStyle name="Note 2 7 2 5 6 4" xfId="23876"/>
    <cellStyle name="Note 2 7 2 5 6 4 2" xfId="23877"/>
    <cellStyle name="Note 2 7 2 5 6 4 3" xfId="23878"/>
    <cellStyle name="Note 2 7 2 5 6 5" xfId="23879"/>
    <cellStyle name="Note 2 7 2 5 6 6" xfId="23880"/>
    <cellStyle name="Note 2 7 2 5 7" xfId="23881"/>
    <cellStyle name="Note 2 7 2 5 7 2" xfId="23882"/>
    <cellStyle name="Note 2 7 2 5 7 3" xfId="23883"/>
    <cellStyle name="Note 2 7 2 5 8" xfId="23884"/>
    <cellStyle name="Note 2 7 2 5 8 2" xfId="23885"/>
    <cellStyle name="Note 2 7 2 5 8 3" xfId="23886"/>
    <cellStyle name="Note 2 7 2 5 9" xfId="23887"/>
    <cellStyle name="Note 2 7 2 5 9 2" xfId="23888"/>
    <cellStyle name="Note 2 7 2 5 9 3" xfId="23889"/>
    <cellStyle name="Note 2 7 2 6" xfId="23890"/>
    <cellStyle name="Note 2 7 2 6 2" xfId="23891"/>
    <cellStyle name="Note 2 7 2 6 2 2" xfId="23892"/>
    <cellStyle name="Note 2 7 2 6 2 3" xfId="23893"/>
    <cellStyle name="Note 2 7 2 6 3" xfId="23894"/>
    <cellStyle name="Note 2 7 2 6 3 2" xfId="23895"/>
    <cellStyle name="Note 2 7 2 6 3 3" xfId="23896"/>
    <cellStyle name="Note 2 7 2 6 4" xfId="23897"/>
    <cellStyle name="Note 2 7 2 6 4 2" xfId="23898"/>
    <cellStyle name="Note 2 7 2 6 4 3" xfId="23899"/>
    <cellStyle name="Note 2 7 2 6 5" xfId="23900"/>
    <cellStyle name="Note 2 7 2 6 6" xfId="23901"/>
    <cellStyle name="Note 2 7 2 7" xfId="23902"/>
    <cellStyle name="Note 2 7 2 7 2" xfId="23903"/>
    <cellStyle name="Note 2 7 2 7 2 2" xfId="23904"/>
    <cellStyle name="Note 2 7 2 7 2 3" xfId="23905"/>
    <cellStyle name="Note 2 7 2 7 3" xfId="23906"/>
    <cellStyle name="Note 2 7 2 7 3 2" xfId="23907"/>
    <cellStyle name="Note 2 7 2 7 3 3" xfId="23908"/>
    <cellStyle name="Note 2 7 2 7 4" xfId="23909"/>
    <cellStyle name="Note 2 7 2 7 4 2" xfId="23910"/>
    <cellStyle name="Note 2 7 2 7 4 3" xfId="23911"/>
    <cellStyle name="Note 2 7 2 7 5" xfId="23912"/>
    <cellStyle name="Note 2 7 2 7 6" xfId="23913"/>
    <cellStyle name="Note 2 7 2 8" xfId="23914"/>
    <cellStyle name="Note 2 7 2 8 2" xfId="23915"/>
    <cellStyle name="Note 2 7 2 8 2 2" xfId="23916"/>
    <cellStyle name="Note 2 7 2 8 2 3" xfId="23917"/>
    <cellStyle name="Note 2 7 2 8 3" xfId="23918"/>
    <cellStyle name="Note 2 7 2 8 3 2" xfId="23919"/>
    <cellStyle name="Note 2 7 2 8 3 3" xfId="23920"/>
    <cellStyle name="Note 2 7 2 8 4" xfId="23921"/>
    <cellStyle name="Note 2 7 2 8 4 2" xfId="23922"/>
    <cellStyle name="Note 2 7 2 8 4 3" xfId="23923"/>
    <cellStyle name="Note 2 7 2 8 5" xfId="23924"/>
    <cellStyle name="Note 2 7 2 8 6" xfId="23925"/>
    <cellStyle name="Note 2 7 2 9" xfId="23926"/>
    <cellStyle name="Note 2 7 2 9 2" xfId="23927"/>
    <cellStyle name="Note 2 7 2 9 2 2" xfId="23928"/>
    <cellStyle name="Note 2 7 2 9 2 3" xfId="23929"/>
    <cellStyle name="Note 2 7 2 9 3" xfId="23930"/>
    <cellStyle name="Note 2 7 2 9 3 2" xfId="23931"/>
    <cellStyle name="Note 2 7 2 9 3 3" xfId="23932"/>
    <cellStyle name="Note 2 7 2 9 4" xfId="23933"/>
    <cellStyle name="Note 2 7 2 9 4 2" xfId="23934"/>
    <cellStyle name="Note 2 7 2 9 4 3" xfId="23935"/>
    <cellStyle name="Note 2 7 2 9 5" xfId="23936"/>
    <cellStyle name="Note 2 7 2 9 6" xfId="23937"/>
    <cellStyle name="Note 2 7 3" xfId="1077"/>
    <cellStyle name="Note 2 7 3 10" xfId="23938"/>
    <cellStyle name="Note 2 7 3 11" xfId="23939"/>
    <cellStyle name="Note 2 7 3 2" xfId="23940"/>
    <cellStyle name="Note 2 7 3 2 2" xfId="23941"/>
    <cellStyle name="Note 2 7 3 2 2 2" xfId="23942"/>
    <cellStyle name="Note 2 7 3 2 2 3" xfId="23943"/>
    <cellStyle name="Note 2 7 3 2 3" xfId="23944"/>
    <cellStyle name="Note 2 7 3 2 3 2" xfId="23945"/>
    <cellStyle name="Note 2 7 3 2 3 3" xfId="23946"/>
    <cellStyle name="Note 2 7 3 2 4" xfId="23947"/>
    <cellStyle name="Note 2 7 3 2 4 2" xfId="23948"/>
    <cellStyle name="Note 2 7 3 2 4 3" xfId="23949"/>
    <cellStyle name="Note 2 7 3 2 5" xfId="23950"/>
    <cellStyle name="Note 2 7 3 2 6" xfId="23951"/>
    <cellStyle name="Note 2 7 3 3" xfId="23952"/>
    <cellStyle name="Note 2 7 3 3 2" xfId="23953"/>
    <cellStyle name="Note 2 7 3 3 2 2" xfId="23954"/>
    <cellStyle name="Note 2 7 3 3 2 3" xfId="23955"/>
    <cellStyle name="Note 2 7 3 3 3" xfId="23956"/>
    <cellStyle name="Note 2 7 3 3 3 2" xfId="23957"/>
    <cellStyle name="Note 2 7 3 3 3 3" xfId="23958"/>
    <cellStyle name="Note 2 7 3 3 4" xfId="23959"/>
    <cellStyle name="Note 2 7 3 3 4 2" xfId="23960"/>
    <cellStyle name="Note 2 7 3 3 4 3" xfId="23961"/>
    <cellStyle name="Note 2 7 3 3 5" xfId="23962"/>
    <cellStyle name="Note 2 7 3 3 6" xfId="23963"/>
    <cellStyle name="Note 2 7 3 4" xfId="23964"/>
    <cellStyle name="Note 2 7 3 4 2" xfId="23965"/>
    <cellStyle name="Note 2 7 3 4 2 2" xfId="23966"/>
    <cellStyle name="Note 2 7 3 4 2 3" xfId="23967"/>
    <cellStyle name="Note 2 7 3 4 3" xfId="23968"/>
    <cellStyle name="Note 2 7 3 4 3 2" xfId="23969"/>
    <cellStyle name="Note 2 7 3 4 3 3" xfId="23970"/>
    <cellStyle name="Note 2 7 3 4 4" xfId="23971"/>
    <cellStyle name="Note 2 7 3 4 4 2" xfId="23972"/>
    <cellStyle name="Note 2 7 3 4 4 3" xfId="23973"/>
    <cellStyle name="Note 2 7 3 4 5" xfId="23974"/>
    <cellStyle name="Note 2 7 3 4 6" xfId="23975"/>
    <cellStyle name="Note 2 7 3 5" xfId="23976"/>
    <cellStyle name="Note 2 7 3 5 2" xfId="23977"/>
    <cellStyle name="Note 2 7 3 5 2 2" xfId="23978"/>
    <cellStyle name="Note 2 7 3 5 2 3" xfId="23979"/>
    <cellStyle name="Note 2 7 3 5 3" xfId="23980"/>
    <cellStyle name="Note 2 7 3 5 3 2" xfId="23981"/>
    <cellStyle name="Note 2 7 3 5 3 3" xfId="23982"/>
    <cellStyle name="Note 2 7 3 5 4" xfId="23983"/>
    <cellStyle name="Note 2 7 3 5 4 2" xfId="23984"/>
    <cellStyle name="Note 2 7 3 5 4 3" xfId="23985"/>
    <cellStyle name="Note 2 7 3 5 5" xfId="23986"/>
    <cellStyle name="Note 2 7 3 5 6" xfId="23987"/>
    <cellStyle name="Note 2 7 3 6" xfId="23988"/>
    <cellStyle name="Note 2 7 3 6 2" xfId="23989"/>
    <cellStyle name="Note 2 7 3 6 2 2" xfId="23990"/>
    <cellStyle name="Note 2 7 3 6 2 3" xfId="23991"/>
    <cellStyle name="Note 2 7 3 6 3" xfId="23992"/>
    <cellStyle name="Note 2 7 3 6 3 2" xfId="23993"/>
    <cellStyle name="Note 2 7 3 6 3 3" xfId="23994"/>
    <cellStyle name="Note 2 7 3 6 4" xfId="23995"/>
    <cellStyle name="Note 2 7 3 6 4 2" xfId="23996"/>
    <cellStyle name="Note 2 7 3 6 4 3" xfId="23997"/>
    <cellStyle name="Note 2 7 3 6 5" xfId="23998"/>
    <cellStyle name="Note 2 7 3 6 6" xfId="23999"/>
    <cellStyle name="Note 2 7 3 7" xfId="24000"/>
    <cellStyle name="Note 2 7 3 7 2" xfId="24001"/>
    <cellStyle name="Note 2 7 3 7 3" xfId="24002"/>
    <cellStyle name="Note 2 7 3 8" xfId="24003"/>
    <cellStyle name="Note 2 7 3 8 2" xfId="24004"/>
    <cellStyle name="Note 2 7 3 8 3" xfId="24005"/>
    <cellStyle name="Note 2 7 3 9" xfId="24006"/>
    <cellStyle name="Note 2 7 3 9 2" xfId="24007"/>
    <cellStyle name="Note 2 7 3 9 3" xfId="24008"/>
    <cellStyle name="Note 2 7 4" xfId="3199"/>
    <cellStyle name="Note 2 7 5" xfId="3248"/>
    <cellStyle name="Note 2 7 6" xfId="1016"/>
    <cellStyle name="Note 2 7 7" xfId="3163"/>
    <cellStyle name="Note 2 8" xfId="132"/>
    <cellStyle name="Note 2 8 2" xfId="620"/>
    <cellStyle name="Note 2 8 2 10" xfId="24009"/>
    <cellStyle name="Note 2 8 2 10 2" xfId="24010"/>
    <cellStyle name="Note 2 8 2 10 2 2" xfId="24011"/>
    <cellStyle name="Note 2 8 2 10 2 3" xfId="24012"/>
    <cellStyle name="Note 2 8 2 10 3" xfId="24013"/>
    <cellStyle name="Note 2 8 2 10 3 2" xfId="24014"/>
    <cellStyle name="Note 2 8 2 10 3 3" xfId="24015"/>
    <cellStyle name="Note 2 8 2 10 4" xfId="24016"/>
    <cellStyle name="Note 2 8 2 10 4 2" xfId="24017"/>
    <cellStyle name="Note 2 8 2 10 4 3" xfId="24018"/>
    <cellStyle name="Note 2 8 2 10 5" xfId="24019"/>
    <cellStyle name="Note 2 8 2 10 6" xfId="24020"/>
    <cellStyle name="Note 2 8 2 11" xfId="24021"/>
    <cellStyle name="Note 2 8 2 11 2" xfId="24022"/>
    <cellStyle name="Note 2 8 2 11 2 2" xfId="24023"/>
    <cellStyle name="Note 2 8 2 11 2 3" xfId="24024"/>
    <cellStyle name="Note 2 8 2 11 3" xfId="24025"/>
    <cellStyle name="Note 2 8 2 11 3 2" xfId="24026"/>
    <cellStyle name="Note 2 8 2 11 3 3" xfId="24027"/>
    <cellStyle name="Note 2 8 2 11 4" xfId="24028"/>
    <cellStyle name="Note 2 8 2 11 4 2" xfId="24029"/>
    <cellStyle name="Note 2 8 2 11 4 3" xfId="24030"/>
    <cellStyle name="Note 2 8 2 11 5" xfId="24031"/>
    <cellStyle name="Note 2 8 2 11 6" xfId="24032"/>
    <cellStyle name="Note 2 8 2 12" xfId="24033"/>
    <cellStyle name="Note 2 8 2 12 2" xfId="24034"/>
    <cellStyle name="Note 2 8 2 12 2 2" xfId="24035"/>
    <cellStyle name="Note 2 8 2 12 2 3" xfId="24036"/>
    <cellStyle name="Note 2 8 2 12 3" xfId="24037"/>
    <cellStyle name="Note 2 8 2 12 3 2" xfId="24038"/>
    <cellStyle name="Note 2 8 2 12 3 3" xfId="24039"/>
    <cellStyle name="Note 2 8 2 12 4" xfId="24040"/>
    <cellStyle name="Note 2 8 2 12 4 2" xfId="24041"/>
    <cellStyle name="Note 2 8 2 12 4 3" xfId="24042"/>
    <cellStyle name="Note 2 8 2 12 5" xfId="24043"/>
    <cellStyle name="Note 2 8 2 12 6" xfId="24044"/>
    <cellStyle name="Note 2 8 2 13" xfId="24045"/>
    <cellStyle name="Note 2 8 2 13 2" xfId="24046"/>
    <cellStyle name="Note 2 8 2 13 2 2" xfId="24047"/>
    <cellStyle name="Note 2 8 2 13 2 3" xfId="24048"/>
    <cellStyle name="Note 2 8 2 13 3" xfId="24049"/>
    <cellStyle name="Note 2 8 2 13 3 2" xfId="24050"/>
    <cellStyle name="Note 2 8 2 13 3 3" xfId="24051"/>
    <cellStyle name="Note 2 8 2 13 4" xfId="24052"/>
    <cellStyle name="Note 2 8 2 13 4 2" xfId="24053"/>
    <cellStyle name="Note 2 8 2 13 4 3" xfId="24054"/>
    <cellStyle name="Note 2 8 2 13 5" xfId="24055"/>
    <cellStyle name="Note 2 8 2 13 6" xfId="24056"/>
    <cellStyle name="Note 2 8 2 14" xfId="24057"/>
    <cellStyle name="Note 2 8 2 14 2" xfId="24058"/>
    <cellStyle name="Note 2 8 2 14 3" xfId="24059"/>
    <cellStyle name="Note 2 8 2 15" xfId="24060"/>
    <cellStyle name="Note 2 8 2 15 2" xfId="24061"/>
    <cellStyle name="Note 2 8 2 15 3" xfId="24062"/>
    <cellStyle name="Note 2 8 2 16" xfId="24063"/>
    <cellStyle name="Note 2 8 2 16 2" xfId="24064"/>
    <cellStyle name="Note 2 8 2 16 3" xfId="24065"/>
    <cellStyle name="Note 2 8 2 17" xfId="24066"/>
    <cellStyle name="Note 2 8 2 18" xfId="24067"/>
    <cellStyle name="Note 2 8 2 2" xfId="880"/>
    <cellStyle name="Note 2 8 2 2 10" xfId="24068"/>
    <cellStyle name="Note 2 8 2 2 11" xfId="24069"/>
    <cellStyle name="Note 2 8 2 2 2" xfId="24070"/>
    <cellStyle name="Note 2 8 2 2 2 2" xfId="24071"/>
    <cellStyle name="Note 2 8 2 2 2 2 2" xfId="24072"/>
    <cellStyle name="Note 2 8 2 2 2 2 3" xfId="24073"/>
    <cellStyle name="Note 2 8 2 2 2 3" xfId="24074"/>
    <cellStyle name="Note 2 8 2 2 2 3 2" xfId="24075"/>
    <cellStyle name="Note 2 8 2 2 2 3 3" xfId="24076"/>
    <cellStyle name="Note 2 8 2 2 2 4" xfId="24077"/>
    <cellStyle name="Note 2 8 2 2 2 4 2" xfId="24078"/>
    <cellStyle name="Note 2 8 2 2 2 4 3" xfId="24079"/>
    <cellStyle name="Note 2 8 2 2 2 5" xfId="24080"/>
    <cellStyle name="Note 2 8 2 2 2 6" xfId="24081"/>
    <cellStyle name="Note 2 8 2 2 3" xfId="24082"/>
    <cellStyle name="Note 2 8 2 2 3 2" xfId="24083"/>
    <cellStyle name="Note 2 8 2 2 3 2 2" xfId="24084"/>
    <cellStyle name="Note 2 8 2 2 3 2 3" xfId="24085"/>
    <cellStyle name="Note 2 8 2 2 3 3" xfId="24086"/>
    <cellStyle name="Note 2 8 2 2 3 3 2" xfId="24087"/>
    <cellStyle name="Note 2 8 2 2 3 3 3" xfId="24088"/>
    <cellStyle name="Note 2 8 2 2 3 4" xfId="24089"/>
    <cellStyle name="Note 2 8 2 2 3 4 2" xfId="24090"/>
    <cellStyle name="Note 2 8 2 2 3 4 3" xfId="24091"/>
    <cellStyle name="Note 2 8 2 2 3 5" xfId="24092"/>
    <cellStyle name="Note 2 8 2 2 3 6" xfId="24093"/>
    <cellStyle name="Note 2 8 2 2 4" xfId="24094"/>
    <cellStyle name="Note 2 8 2 2 4 2" xfId="24095"/>
    <cellStyle name="Note 2 8 2 2 4 2 2" xfId="24096"/>
    <cellStyle name="Note 2 8 2 2 4 2 3" xfId="24097"/>
    <cellStyle name="Note 2 8 2 2 4 3" xfId="24098"/>
    <cellStyle name="Note 2 8 2 2 4 3 2" xfId="24099"/>
    <cellStyle name="Note 2 8 2 2 4 3 3" xfId="24100"/>
    <cellStyle name="Note 2 8 2 2 4 4" xfId="24101"/>
    <cellStyle name="Note 2 8 2 2 4 4 2" xfId="24102"/>
    <cellStyle name="Note 2 8 2 2 4 4 3" xfId="24103"/>
    <cellStyle name="Note 2 8 2 2 4 5" xfId="24104"/>
    <cellStyle name="Note 2 8 2 2 4 6" xfId="24105"/>
    <cellStyle name="Note 2 8 2 2 5" xfId="24106"/>
    <cellStyle name="Note 2 8 2 2 5 2" xfId="24107"/>
    <cellStyle name="Note 2 8 2 2 5 2 2" xfId="24108"/>
    <cellStyle name="Note 2 8 2 2 5 2 3" xfId="24109"/>
    <cellStyle name="Note 2 8 2 2 5 3" xfId="24110"/>
    <cellStyle name="Note 2 8 2 2 5 3 2" xfId="24111"/>
    <cellStyle name="Note 2 8 2 2 5 3 3" xfId="24112"/>
    <cellStyle name="Note 2 8 2 2 5 4" xfId="24113"/>
    <cellStyle name="Note 2 8 2 2 5 4 2" xfId="24114"/>
    <cellStyle name="Note 2 8 2 2 5 4 3" xfId="24115"/>
    <cellStyle name="Note 2 8 2 2 5 5" xfId="24116"/>
    <cellStyle name="Note 2 8 2 2 5 6" xfId="24117"/>
    <cellStyle name="Note 2 8 2 2 6" xfId="24118"/>
    <cellStyle name="Note 2 8 2 2 6 2" xfId="24119"/>
    <cellStyle name="Note 2 8 2 2 6 2 2" xfId="24120"/>
    <cellStyle name="Note 2 8 2 2 6 2 3" xfId="24121"/>
    <cellStyle name="Note 2 8 2 2 6 3" xfId="24122"/>
    <cellStyle name="Note 2 8 2 2 6 3 2" xfId="24123"/>
    <cellStyle name="Note 2 8 2 2 6 3 3" xfId="24124"/>
    <cellStyle name="Note 2 8 2 2 6 4" xfId="24125"/>
    <cellStyle name="Note 2 8 2 2 6 4 2" xfId="24126"/>
    <cellStyle name="Note 2 8 2 2 6 4 3" xfId="24127"/>
    <cellStyle name="Note 2 8 2 2 6 5" xfId="24128"/>
    <cellStyle name="Note 2 8 2 2 6 6" xfId="24129"/>
    <cellStyle name="Note 2 8 2 2 7" xfId="24130"/>
    <cellStyle name="Note 2 8 2 2 7 2" xfId="24131"/>
    <cellStyle name="Note 2 8 2 2 7 3" xfId="24132"/>
    <cellStyle name="Note 2 8 2 2 8" xfId="24133"/>
    <cellStyle name="Note 2 8 2 2 8 2" xfId="24134"/>
    <cellStyle name="Note 2 8 2 2 8 3" xfId="24135"/>
    <cellStyle name="Note 2 8 2 2 9" xfId="24136"/>
    <cellStyle name="Note 2 8 2 2 9 2" xfId="24137"/>
    <cellStyle name="Note 2 8 2 2 9 3" xfId="24138"/>
    <cellStyle name="Note 2 8 2 3" xfId="791"/>
    <cellStyle name="Note 2 8 2 3 10" xfId="24139"/>
    <cellStyle name="Note 2 8 2 3 11" xfId="24140"/>
    <cellStyle name="Note 2 8 2 3 2" xfId="24141"/>
    <cellStyle name="Note 2 8 2 3 2 2" xfId="24142"/>
    <cellStyle name="Note 2 8 2 3 2 2 2" xfId="24143"/>
    <cellStyle name="Note 2 8 2 3 2 2 3" xfId="24144"/>
    <cellStyle name="Note 2 8 2 3 2 3" xfId="24145"/>
    <cellStyle name="Note 2 8 2 3 2 3 2" xfId="24146"/>
    <cellStyle name="Note 2 8 2 3 2 3 3" xfId="24147"/>
    <cellStyle name="Note 2 8 2 3 2 4" xfId="24148"/>
    <cellStyle name="Note 2 8 2 3 2 4 2" xfId="24149"/>
    <cellStyle name="Note 2 8 2 3 2 4 3" xfId="24150"/>
    <cellStyle name="Note 2 8 2 3 2 5" xfId="24151"/>
    <cellStyle name="Note 2 8 2 3 2 6" xfId="24152"/>
    <cellStyle name="Note 2 8 2 3 3" xfId="24153"/>
    <cellStyle name="Note 2 8 2 3 3 2" xfId="24154"/>
    <cellStyle name="Note 2 8 2 3 3 2 2" xfId="24155"/>
    <cellStyle name="Note 2 8 2 3 3 2 3" xfId="24156"/>
    <cellStyle name="Note 2 8 2 3 3 3" xfId="24157"/>
    <cellStyle name="Note 2 8 2 3 3 3 2" xfId="24158"/>
    <cellStyle name="Note 2 8 2 3 3 3 3" xfId="24159"/>
    <cellStyle name="Note 2 8 2 3 3 4" xfId="24160"/>
    <cellStyle name="Note 2 8 2 3 3 4 2" xfId="24161"/>
    <cellStyle name="Note 2 8 2 3 3 4 3" xfId="24162"/>
    <cellStyle name="Note 2 8 2 3 3 5" xfId="24163"/>
    <cellStyle name="Note 2 8 2 3 3 6" xfId="24164"/>
    <cellStyle name="Note 2 8 2 3 4" xfId="24165"/>
    <cellStyle name="Note 2 8 2 3 4 2" xfId="24166"/>
    <cellStyle name="Note 2 8 2 3 4 2 2" xfId="24167"/>
    <cellStyle name="Note 2 8 2 3 4 2 3" xfId="24168"/>
    <cellStyle name="Note 2 8 2 3 4 3" xfId="24169"/>
    <cellStyle name="Note 2 8 2 3 4 3 2" xfId="24170"/>
    <cellStyle name="Note 2 8 2 3 4 3 3" xfId="24171"/>
    <cellStyle name="Note 2 8 2 3 4 4" xfId="24172"/>
    <cellStyle name="Note 2 8 2 3 4 4 2" xfId="24173"/>
    <cellStyle name="Note 2 8 2 3 4 4 3" xfId="24174"/>
    <cellStyle name="Note 2 8 2 3 4 5" xfId="24175"/>
    <cellStyle name="Note 2 8 2 3 4 6" xfId="24176"/>
    <cellStyle name="Note 2 8 2 3 5" xfId="24177"/>
    <cellStyle name="Note 2 8 2 3 5 2" xfId="24178"/>
    <cellStyle name="Note 2 8 2 3 5 2 2" xfId="24179"/>
    <cellStyle name="Note 2 8 2 3 5 2 3" xfId="24180"/>
    <cellStyle name="Note 2 8 2 3 5 3" xfId="24181"/>
    <cellStyle name="Note 2 8 2 3 5 3 2" xfId="24182"/>
    <cellStyle name="Note 2 8 2 3 5 3 3" xfId="24183"/>
    <cellStyle name="Note 2 8 2 3 5 4" xfId="24184"/>
    <cellStyle name="Note 2 8 2 3 5 4 2" xfId="24185"/>
    <cellStyle name="Note 2 8 2 3 5 4 3" xfId="24186"/>
    <cellStyle name="Note 2 8 2 3 5 5" xfId="24187"/>
    <cellStyle name="Note 2 8 2 3 5 6" xfId="24188"/>
    <cellStyle name="Note 2 8 2 3 6" xfId="24189"/>
    <cellStyle name="Note 2 8 2 3 6 2" xfId="24190"/>
    <cellStyle name="Note 2 8 2 3 6 2 2" xfId="24191"/>
    <cellStyle name="Note 2 8 2 3 6 2 3" xfId="24192"/>
    <cellStyle name="Note 2 8 2 3 6 3" xfId="24193"/>
    <cellStyle name="Note 2 8 2 3 6 3 2" xfId="24194"/>
    <cellStyle name="Note 2 8 2 3 6 3 3" xfId="24195"/>
    <cellStyle name="Note 2 8 2 3 6 4" xfId="24196"/>
    <cellStyle name="Note 2 8 2 3 6 4 2" xfId="24197"/>
    <cellStyle name="Note 2 8 2 3 6 4 3" xfId="24198"/>
    <cellStyle name="Note 2 8 2 3 6 5" xfId="24199"/>
    <cellStyle name="Note 2 8 2 3 6 6" xfId="24200"/>
    <cellStyle name="Note 2 8 2 3 7" xfId="24201"/>
    <cellStyle name="Note 2 8 2 3 7 2" xfId="24202"/>
    <cellStyle name="Note 2 8 2 3 7 3" xfId="24203"/>
    <cellStyle name="Note 2 8 2 3 8" xfId="24204"/>
    <cellStyle name="Note 2 8 2 3 8 2" xfId="24205"/>
    <cellStyle name="Note 2 8 2 3 8 3" xfId="24206"/>
    <cellStyle name="Note 2 8 2 3 9" xfId="24207"/>
    <cellStyle name="Note 2 8 2 3 9 2" xfId="24208"/>
    <cellStyle name="Note 2 8 2 3 9 3" xfId="24209"/>
    <cellStyle name="Note 2 8 2 4" xfId="949"/>
    <cellStyle name="Note 2 8 2 4 10" xfId="24210"/>
    <cellStyle name="Note 2 8 2 4 11" xfId="24211"/>
    <cellStyle name="Note 2 8 2 4 2" xfId="24212"/>
    <cellStyle name="Note 2 8 2 4 2 2" xfId="24213"/>
    <cellStyle name="Note 2 8 2 4 2 2 2" xfId="24214"/>
    <cellStyle name="Note 2 8 2 4 2 2 3" xfId="24215"/>
    <cellStyle name="Note 2 8 2 4 2 3" xfId="24216"/>
    <cellStyle name="Note 2 8 2 4 2 3 2" xfId="24217"/>
    <cellStyle name="Note 2 8 2 4 2 3 3" xfId="24218"/>
    <cellStyle name="Note 2 8 2 4 2 4" xfId="24219"/>
    <cellStyle name="Note 2 8 2 4 2 4 2" xfId="24220"/>
    <cellStyle name="Note 2 8 2 4 2 4 3" xfId="24221"/>
    <cellStyle name="Note 2 8 2 4 2 5" xfId="24222"/>
    <cellStyle name="Note 2 8 2 4 2 6" xfId="24223"/>
    <cellStyle name="Note 2 8 2 4 3" xfId="24224"/>
    <cellStyle name="Note 2 8 2 4 3 2" xfId="24225"/>
    <cellStyle name="Note 2 8 2 4 3 2 2" xfId="24226"/>
    <cellStyle name="Note 2 8 2 4 3 2 3" xfId="24227"/>
    <cellStyle name="Note 2 8 2 4 3 3" xfId="24228"/>
    <cellStyle name="Note 2 8 2 4 3 3 2" xfId="24229"/>
    <cellStyle name="Note 2 8 2 4 3 3 3" xfId="24230"/>
    <cellStyle name="Note 2 8 2 4 3 4" xfId="24231"/>
    <cellStyle name="Note 2 8 2 4 3 4 2" xfId="24232"/>
    <cellStyle name="Note 2 8 2 4 3 4 3" xfId="24233"/>
    <cellStyle name="Note 2 8 2 4 3 5" xfId="24234"/>
    <cellStyle name="Note 2 8 2 4 3 6" xfId="24235"/>
    <cellStyle name="Note 2 8 2 4 4" xfId="24236"/>
    <cellStyle name="Note 2 8 2 4 4 2" xfId="24237"/>
    <cellStyle name="Note 2 8 2 4 4 2 2" xfId="24238"/>
    <cellStyle name="Note 2 8 2 4 4 2 3" xfId="24239"/>
    <cellStyle name="Note 2 8 2 4 4 3" xfId="24240"/>
    <cellStyle name="Note 2 8 2 4 4 3 2" xfId="24241"/>
    <cellStyle name="Note 2 8 2 4 4 3 3" xfId="24242"/>
    <cellStyle name="Note 2 8 2 4 4 4" xfId="24243"/>
    <cellStyle name="Note 2 8 2 4 4 4 2" xfId="24244"/>
    <cellStyle name="Note 2 8 2 4 4 4 3" xfId="24245"/>
    <cellStyle name="Note 2 8 2 4 4 5" xfId="24246"/>
    <cellStyle name="Note 2 8 2 4 4 6" xfId="24247"/>
    <cellStyle name="Note 2 8 2 4 5" xfId="24248"/>
    <cellStyle name="Note 2 8 2 4 5 2" xfId="24249"/>
    <cellStyle name="Note 2 8 2 4 5 2 2" xfId="24250"/>
    <cellStyle name="Note 2 8 2 4 5 2 3" xfId="24251"/>
    <cellStyle name="Note 2 8 2 4 5 3" xfId="24252"/>
    <cellStyle name="Note 2 8 2 4 5 3 2" xfId="24253"/>
    <cellStyle name="Note 2 8 2 4 5 3 3" xfId="24254"/>
    <cellStyle name="Note 2 8 2 4 5 4" xfId="24255"/>
    <cellStyle name="Note 2 8 2 4 5 4 2" xfId="24256"/>
    <cellStyle name="Note 2 8 2 4 5 4 3" xfId="24257"/>
    <cellStyle name="Note 2 8 2 4 5 5" xfId="24258"/>
    <cellStyle name="Note 2 8 2 4 5 6" xfId="24259"/>
    <cellStyle name="Note 2 8 2 4 6" xfId="24260"/>
    <cellStyle name="Note 2 8 2 4 6 2" xfId="24261"/>
    <cellStyle name="Note 2 8 2 4 6 2 2" xfId="24262"/>
    <cellStyle name="Note 2 8 2 4 6 2 3" xfId="24263"/>
    <cellStyle name="Note 2 8 2 4 6 3" xfId="24264"/>
    <cellStyle name="Note 2 8 2 4 6 3 2" xfId="24265"/>
    <cellStyle name="Note 2 8 2 4 6 3 3" xfId="24266"/>
    <cellStyle name="Note 2 8 2 4 6 4" xfId="24267"/>
    <cellStyle name="Note 2 8 2 4 6 4 2" xfId="24268"/>
    <cellStyle name="Note 2 8 2 4 6 4 3" xfId="24269"/>
    <cellStyle name="Note 2 8 2 4 6 5" xfId="24270"/>
    <cellStyle name="Note 2 8 2 4 6 6" xfId="24271"/>
    <cellStyle name="Note 2 8 2 4 7" xfId="24272"/>
    <cellStyle name="Note 2 8 2 4 7 2" xfId="24273"/>
    <cellStyle name="Note 2 8 2 4 7 3" xfId="24274"/>
    <cellStyle name="Note 2 8 2 4 8" xfId="24275"/>
    <cellStyle name="Note 2 8 2 4 8 2" xfId="24276"/>
    <cellStyle name="Note 2 8 2 4 8 3" xfId="24277"/>
    <cellStyle name="Note 2 8 2 4 9" xfId="24278"/>
    <cellStyle name="Note 2 8 2 4 9 2" xfId="24279"/>
    <cellStyle name="Note 2 8 2 4 9 3" xfId="24280"/>
    <cellStyle name="Note 2 8 2 5" xfId="24281"/>
    <cellStyle name="Note 2 8 2 5 10" xfId="24282"/>
    <cellStyle name="Note 2 8 2 5 11" xfId="24283"/>
    <cellStyle name="Note 2 8 2 5 2" xfId="24284"/>
    <cellStyle name="Note 2 8 2 5 2 2" xfId="24285"/>
    <cellStyle name="Note 2 8 2 5 2 2 2" xfId="24286"/>
    <cellStyle name="Note 2 8 2 5 2 2 3" xfId="24287"/>
    <cellStyle name="Note 2 8 2 5 2 3" xfId="24288"/>
    <cellStyle name="Note 2 8 2 5 2 3 2" xfId="24289"/>
    <cellStyle name="Note 2 8 2 5 2 3 3" xfId="24290"/>
    <cellStyle name="Note 2 8 2 5 2 4" xfId="24291"/>
    <cellStyle name="Note 2 8 2 5 2 4 2" xfId="24292"/>
    <cellStyle name="Note 2 8 2 5 2 4 3" xfId="24293"/>
    <cellStyle name="Note 2 8 2 5 2 5" xfId="24294"/>
    <cellStyle name="Note 2 8 2 5 2 6" xfId="24295"/>
    <cellStyle name="Note 2 8 2 5 3" xfId="24296"/>
    <cellStyle name="Note 2 8 2 5 3 2" xfId="24297"/>
    <cellStyle name="Note 2 8 2 5 3 2 2" xfId="24298"/>
    <cellStyle name="Note 2 8 2 5 3 2 3" xfId="24299"/>
    <cellStyle name="Note 2 8 2 5 3 3" xfId="24300"/>
    <cellStyle name="Note 2 8 2 5 3 3 2" xfId="24301"/>
    <cellStyle name="Note 2 8 2 5 3 3 3" xfId="24302"/>
    <cellStyle name="Note 2 8 2 5 3 4" xfId="24303"/>
    <cellStyle name="Note 2 8 2 5 3 4 2" xfId="24304"/>
    <cellStyle name="Note 2 8 2 5 3 4 3" xfId="24305"/>
    <cellStyle name="Note 2 8 2 5 3 5" xfId="24306"/>
    <cellStyle name="Note 2 8 2 5 3 6" xfId="24307"/>
    <cellStyle name="Note 2 8 2 5 4" xfId="24308"/>
    <cellStyle name="Note 2 8 2 5 4 2" xfId="24309"/>
    <cellStyle name="Note 2 8 2 5 4 2 2" xfId="24310"/>
    <cellStyle name="Note 2 8 2 5 4 2 3" xfId="24311"/>
    <cellStyle name="Note 2 8 2 5 4 3" xfId="24312"/>
    <cellStyle name="Note 2 8 2 5 4 3 2" xfId="24313"/>
    <cellStyle name="Note 2 8 2 5 4 3 3" xfId="24314"/>
    <cellStyle name="Note 2 8 2 5 4 4" xfId="24315"/>
    <cellStyle name="Note 2 8 2 5 4 4 2" xfId="24316"/>
    <cellStyle name="Note 2 8 2 5 4 4 3" xfId="24317"/>
    <cellStyle name="Note 2 8 2 5 4 5" xfId="24318"/>
    <cellStyle name="Note 2 8 2 5 4 6" xfId="24319"/>
    <cellStyle name="Note 2 8 2 5 5" xfId="24320"/>
    <cellStyle name="Note 2 8 2 5 5 2" xfId="24321"/>
    <cellStyle name="Note 2 8 2 5 5 2 2" xfId="24322"/>
    <cellStyle name="Note 2 8 2 5 5 2 3" xfId="24323"/>
    <cellStyle name="Note 2 8 2 5 5 3" xfId="24324"/>
    <cellStyle name="Note 2 8 2 5 5 3 2" xfId="24325"/>
    <cellStyle name="Note 2 8 2 5 5 3 3" xfId="24326"/>
    <cellStyle name="Note 2 8 2 5 5 4" xfId="24327"/>
    <cellStyle name="Note 2 8 2 5 5 4 2" xfId="24328"/>
    <cellStyle name="Note 2 8 2 5 5 4 3" xfId="24329"/>
    <cellStyle name="Note 2 8 2 5 5 5" xfId="24330"/>
    <cellStyle name="Note 2 8 2 5 5 6" xfId="24331"/>
    <cellStyle name="Note 2 8 2 5 6" xfId="24332"/>
    <cellStyle name="Note 2 8 2 5 6 2" xfId="24333"/>
    <cellStyle name="Note 2 8 2 5 6 2 2" xfId="24334"/>
    <cellStyle name="Note 2 8 2 5 6 2 3" xfId="24335"/>
    <cellStyle name="Note 2 8 2 5 6 3" xfId="24336"/>
    <cellStyle name="Note 2 8 2 5 6 3 2" xfId="24337"/>
    <cellStyle name="Note 2 8 2 5 6 3 3" xfId="24338"/>
    <cellStyle name="Note 2 8 2 5 6 4" xfId="24339"/>
    <cellStyle name="Note 2 8 2 5 6 4 2" xfId="24340"/>
    <cellStyle name="Note 2 8 2 5 6 4 3" xfId="24341"/>
    <cellStyle name="Note 2 8 2 5 6 5" xfId="24342"/>
    <cellStyle name="Note 2 8 2 5 6 6" xfId="24343"/>
    <cellStyle name="Note 2 8 2 5 7" xfId="24344"/>
    <cellStyle name="Note 2 8 2 5 7 2" xfId="24345"/>
    <cellStyle name="Note 2 8 2 5 7 3" xfId="24346"/>
    <cellStyle name="Note 2 8 2 5 8" xfId="24347"/>
    <cellStyle name="Note 2 8 2 5 8 2" xfId="24348"/>
    <cellStyle name="Note 2 8 2 5 8 3" xfId="24349"/>
    <cellStyle name="Note 2 8 2 5 9" xfId="24350"/>
    <cellStyle name="Note 2 8 2 5 9 2" xfId="24351"/>
    <cellStyle name="Note 2 8 2 5 9 3" xfId="24352"/>
    <cellStyle name="Note 2 8 2 6" xfId="24353"/>
    <cellStyle name="Note 2 8 2 6 2" xfId="24354"/>
    <cellStyle name="Note 2 8 2 6 2 2" xfId="24355"/>
    <cellStyle name="Note 2 8 2 6 2 3" xfId="24356"/>
    <cellStyle name="Note 2 8 2 6 3" xfId="24357"/>
    <cellStyle name="Note 2 8 2 6 3 2" xfId="24358"/>
    <cellStyle name="Note 2 8 2 6 3 3" xfId="24359"/>
    <cellStyle name="Note 2 8 2 6 4" xfId="24360"/>
    <cellStyle name="Note 2 8 2 6 4 2" xfId="24361"/>
    <cellStyle name="Note 2 8 2 6 4 3" xfId="24362"/>
    <cellStyle name="Note 2 8 2 6 5" xfId="24363"/>
    <cellStyle name="Note 2 8 2 6 6" xfId="24364"/>
    <cellStyle name="Note 2 8 2 7" xfId="24365"/>
    <cellStyle name="Note 2 8 2 7 2" xfId="24366"/>
    <cellStyle name="Note 2 8 2 7 2 2" xfId="24367"/>
    <cellStyle name="Note 2 8 2 7 2 3" xfId="24368"/>
    <cellStyle name="Note 2 8 2 7 3" xfId="24369"/>
    <cellStyle name="Note 2 8 2 7 3 2" xfId="24370"/>
    <cellStyle name="Note 2 8 2 7 3 3" xfId="24371"/>
    <cellStyle name="Note 2 8 2 7 4" xfId="24372"/>
    <cellStyle name="Note 2 8 2 7 4 2" xfId="24373"/>
    <cellStyle name="Note 2 8 2 7 4 3" xfId="24374"/>
    <cellStyle name="Note 2 8 2 7 5" xfId="24375"/>
    <cellStyle name="Note 2 8 2 7 6" xfId="24376"/>
    <cellStyle name="Note 2 8 2 8" xfId="24377"/>
    <cellStyle name="Note 2 8 2 8 2" xfId="24378"/>
    <cellStyle name="Note 2 8 2 8 2 2" xfId="24379"/>
    <cellStyle name="Note 2 8 2 8 2 3" xfId="24380"/>
    <cellStyle name="Note 2 8 2 8 3" xfId="24381"/>
    <cellStyle name="Note 2 8 2 8 3 2" xfId="24382"/>
    <cellStyle name="Note 2 8 2 8 3 3" xfId="24383"/>
    <cellStyle name="Note 2 8 2 8 4" xfId="24384"/>
    <cellStyle name="Note 2 8 2 8 4 2" xfId="24385"/>
    <cellStyle name="Note 2 8 2 8 4 3" xfId="24386"/>
    <cellStyle name="Note 2 8 2 8 5" xfId="24387"/>
    <cellStyle name="Note 2 8 2 8 6" xfId="24388"/>
    <cellStyle name="Note 2 8 2 9" xfId="24389"/>
    <cellStyle name="Note 2 8 2 9 2" xfId="24390"/>
    <cellStyle name="Note 2 8 2 9 2 2" xfId="24391"/>
    <cellStyle name="Note 2 8 2 9 2 3" xfId="24392"/>
    <cellStyle name="Note 2 8 2 9 3" xfId="24393"/>
    <cellStyle name="Note 2 8 2 9 3 2" xfId="24394"/>
    <cellStyle name="Note 2 8 2 9 3 3" xfId="24395"/>
    <cellStyle name="Note 2 8 2 9 4" xfId="24396"/>
    <cellStyle name="Note 2 8 2 9 4 2" xfId="24397"/>
    <cellStyle name="Note 2 8 2 9 4 3" xfId="24398"/>
    <cellStyle name="Note 2 8 2 9 5" xfId="24399"/>
    <cellStyle name="Note 2 8 2 9 6" xfId="24400"/>
    <cellStyle name="Note 2 8 3" xfId="1078"/>
    <cellStyle name="Note 2 8 3 10" xfId="24401"/>
    <cellStyle name="Note 2 8 3 11" xfId="24402"/>
    <cellStyle name="Note 2 8 3 2" xfId="24403"/>
    <cellStyle name="Note 2 8 3 2 2" xfId="24404"/>
    <cellStyle name="Note 2 8 3 2 2 2" xfId="24405"/>
    <cellStyle name="Note 2 8 3 2 2 3" xfId="24406"/>
    <cellStyle name="Note 2 8 3 2 3" xfId="24407"/>
    <cellStyle name="Note 2 8 3 2 3 2" xfId="24408"/>
    <cellStyle name="Note 2 8 3 2 3 3" xfId="24409"/>
    <cellStyle name="Note 2 8 3 2 4" xfId="24410"/>
    <cellStyle name="Note 2 8 3 2 4 2" xfId="24411"/>
    <cellStyle name="Note 2 8 3 2 4 3" xfId="24412"/>
    <cellStyle name="Note 2 8 3 2 5" xfId="24413"/>
    <cellStyle name="Note 2 8 3 2 6" xfId="24414"/>
    <cellStyle name="Note 2 8 3 3" xfId="24415"/>
    <cellStyle name="Note 2 8 3 3 2" xfId="24416"/>
    <cellStyle name="Note 2 8 3 3 2 2" xfId="24417"/>
    <cellStyle name="Note 2 8 3 3 2 3" xfId="24418"/>
    <cellStyle name="Note 2 8 3 3 3" xfId="24419"/>
    <cellStyle name="Note 2 8 3 3 3 2" xfId="24420"/>
    <cellStyle name="Note 2 8 3 3 3 3" xfId="24421"/>
    <cellStyle name="Note 2 8 3 3 4" xfId="24422"/>
    <cellStyle name="Note 2 8 3 3 4 2" xfId="24423"/>
    <cellStyle name="Note 2 8 3 3 4 3" xfId="24424"/>
    <cellStyle name="Note 2 8 3 3 5" xfId="24425"/>
    <cellStyle name="Note 2 8 3 3 6" xfId="24426"/>
    <cellStyle name="Note 2 8 3 4" xfId="24427"/>
    <cellStyle name="Note 2 8 3 4 2" xfId="24428"/>
    <cellStyle name="Note 2 8 3 4 2 2" xfId="24429"/>
    <cellStyle name="Note 2 8 3 4 2 3" xfId="24430"/>
    <cellStyle name="Note 2 8 3 4 3" xfId="24431"/>
    <cellStyle name="Note 2 8 3 4 3 2" xfId="24432"/>
    <cellStyle name="Note 2 8 3 4 3 3" xfId="24433"/>
    <cellStyle name="Note 2 8 3 4 4" xfId="24434"/>
    <cellStyle name="Note 2 8 3 4 4 2" xfId="24435"/>
    <cellStyle name="Note 2 8 3 4 4 3" xfId="24436"/>
    <cellStyle name="Note 2 8 3 4 5" xfId="24437"/>
    <cellStyle name="Note 2 8 3 4 6" xfId="24438"/>
    <cellStyle name="Note 2 8 3 5" xfId="24439"/>
    <cellStyle name="Note 2 8 3 5 2" xfId="24440"/>
    <cellStyle name="Note 2 8 3 5 2 2" xfId="24441"/>
    <cellStyle name="Note 2 8 3 5 2 3" xfId="24442"/>
    <cellStyle name="Note 2 8 3 5 3" xfId="24443"/>
    <cellStyle name="Note 2 8 3 5 3 2" xfId="24444"/>
    <cellStyle name="Note 2 8 3 5 3 3" xfId="24445"/>
    <cellStyle name="Note 2 8 3 5 4" xfId="24446"/>
    <cellStyle name="Note 2 8 3 5 4 2" xfId="24447"/>
    <cellStyle name="Note 2 8 3 5 4 3" xfId="24448"/>
    <cellStyle name="Note 2 8 3 5 5" xfId="24449"/>
    <cellStyle name="Note 2 8 3 5 6" xfId="24450"/>
    <cellStyle name="Note 2 8 3 6" xfId="24451"/>
    <cellStyle name="Note 2 8 3 6 2" xfId="24452"/>
    <cellStyle name="Note 2 8 3 6 2 2" xfId="24453"/>
    <cellStyle name="Note 2 8 3 6 2 3" xfId="24454"/>
    <cellStyle name="Note 2 8 3 6 3" xfId="24455"/>
    <cellStyle name="Note 2 8 3 6 3 2" xfId="24456"/>
    <cellStyle name="Note 2 8 3 6 3 3" xfId="24457"/>
    <cellStyle name="Note 2 8 3 6 4" xfId="24458"/>
    <cellStyle name="Note 2 8 3 6 4 2" xfId="24459"/>
    <cellStyle name="Note 2 8 3 6 4 3" xfId="24460"/>
    <cellStyle name="Note 2 8 3 6 5" xfId="24461"/>
    <cellStyle name="Note 2 8 3 6 6" xfId="24462"/>
    <cellStyle name="Note 2 8 3 7" xfId="24463"/>
    <cellStyle name="Note 2 8 3 7 2" xfId="24464"/>
    <cellStyle name="Note 2 8 3 7 3" xfId="24465"/>
    <cellStyle name="Note 2 8 3 8" xfId="24466"/>
    <cellStyle name="Note 2 8 3 8 2" xfId="24467"/>
    <cellStyle name="Note 2 8 3 8 3" xfId="24468"/>
    <cellStyle name="Note 2 8 3 9" xfId="24469"/>
    <cellStyle name="Note 2 8 3 9 2" xfId="24470"/>
    <cellStyle name="Note 2 8 3 9 3" xfId="24471"/>
    <cellStyle name="Note 2 8 4" xfId="3200"/>
    <cellStyle name="Note 2 8 5" xfId="3211"/>
    <cellStyle name="Note 2 8 6" xfId="1099"/>
    <cellStyle name="Note 2 8 7" xfId="3241"/>
    <cellStyle name="Note 2 9" xfId="186"/>
    <cellStyle name="Note 2 9 2" xfId="621"/>
    <cellStyle name="Note 2 9 2 10" xfId="24472"/>
    <cellStyle name="Note 2 9 2 10 2" xfId="24473"/>
    <cellStyle name="Note 2 9 2 10 2 2" xfId="24474"/>
    <cellStyle name="Note 2 9 2 10 2 3" xfId="24475"/>
    <cellStyle name="Note 2 9 2 10 3" xfId="24476"/>
    <cellStyle name="Note 2 9 2 10 3 2" xfId="24477"/>
    <cellStyle name="Note 2 9 2 10 3 3" xfId="24478"/>
    <cellStyle name="Note 2 9 2 10 4" xfId="24479"/>
    <cellStyle name="Note 2 9 2 10 4 2" xfId="24480"/>
    <cellStyle name="Note 2 9 2 10 4 3" xfId="24481"/>
    <cellStyle name="Note 2 9 2 10 5" xfId="24482"/>
    <cellStyle name="Note 2 9 2 10 6" xfId="24483"/>
    <cellStyle name="Note 2 9 2 11" xfId="24484"/>
    <cellStyle name="Note 2 9 2 11 2" xfId="24485"/>
    <cellStyle name="Note 2 9 2 11 2 2" xfId="24486"/>
    <cellStyle name="Note 2 9 2 11 2 3" xfId="24487"/>
    <cellStyle name="Note 2 9 2 11 3" xfId="24488"/>
    <cellStyle name="Note 2 9 2 11 3 2" xfId="24489"/>
    <cellStyle name="Note 2 9 2 11 3 3" xfId="24490"/>
    <cellStyle name="Note 2 9 2 11 4" xfId="24491"/>
    <cellStyle name="Note 2 9 2 11 4 2" xfId="24492"/>
    <cellStyle name="Note 2 9 2 11 4 3" xfId="24493"/>
    <cellStyle name="Note 2 9 2 11 5" xfId="24494"/>
    <cellStyle name="Note 2 9 2 11 6" xfId="24495"/>
    <cellStyle name="Note 2 9 2 12" xfId="24496"/>
    <cellStyle name="Note 2 9 2 12 2" xfId="24497"/>
    <cellStyle name="Note 2 9 2 12 2 2" xfId="24498"/>
    <cellStyle name="Note 2 9 2 12 2 3" xfId="24499"/>
    <cellStyle name="Note 2 9 2 12 3" xfId="24500"/>
    <cellStyle name="Note 2 9 2 12 3 2" xfId="24501"/>
    <cellStyle name="Note 2 9 2 12 3 3" xfId="24502"/>
    <cellStyle name="Note 2 9 2 12 4" xfId="24503"/>
    <cellStyle name="Note 2 9 2 12 4 2" xfId="24504"/>
    <cellStyle name="Note 2 9 2 12 4 3" xfId="24505"/>
    <cellStyle name="Note 2 9 2 12 5" xfId="24506"/>
    <cellStyle name="Note 2 9 2 12 6" xfId="24507"/>
    <cellStyle name="Note 2 9 2 13" xfId="24508"/>
    <cellStyle name="Note 2 9 2 13 2" xfId="24509"/>
    <cellStyle name="Note 2 9 2 13 2 2" xfId="24510"/>
    <cellStyle name="Note 2 9 2 13 2 3" xfId="24511"/>
    <cellStyle name="Note 2 9 2 13 3" xfId="24512"/>
    <cellStyle name="Note 2 9 2 13 3 2" xfId="24513"/>
    <cellStyle name="Note 2 9 2 13 3 3" xfId="24514"/>
    <cellStyle name="Note 2 9 2 13 4" xfId="24515"/>
    <cellStyle name="Note 2 9 2 13 4 2" xfId="24516"/>
    <cellStyle name="Note 2 9 2 13 4 3" xfId="24517"/>
    <cellStyle name="Note 2 9 2 13 5" xfId="24518"/>
    <cellStyle name="Note 2 9 2 13 6" xfId="24519"/>
    <cellStyle name="Note 2 9 2 14" xfId="24520"/>
    <cellStyle name="Note 2 9 2 14 2" xfId="24521"/>
    <cellStyle name="Note 2 9 2 14 3" xfId="24522"/>
    <cellStyle name="Note 2 9 2 15" xfId="24523"/>
    <cellStyle name="Note 2 9 2 15 2" xfId="24524"/>
    <cellStyle name="Note 2 9 2 15 3" xfId="24525"/>
    <cellStyle name="Note 2 9 2 16" xfId="24526"/>
    <cellStyle name="Note 2 9 2 16 2" xfId="24527"/>
    <cellStyle name="Note 2 9 2 16 3" xfId="24528"/>
    <cellStyle name="Note 2 9 2 17" xfId="24529"/>
    <cellStyle name="Note 2 9 2 18" xfId="24530"/>
    <cellStyle name="Note 2 9 2 2" xfId="881"/>
    <cellStyle name="Note 2 9 2 2 10" xfId="24531"/>
    <cellStyle name="Note 2 9 2 2 11" xfId="24532"/>
    <cellStyle name="Note 2 9 2 2 2" xfId="24533"/>
    <cellStyle name="Note 2 9 2 2 2 2" xfId="24534"/>
    <cellStyle name="Note 2 9 2 2 2 2 2" xfId="24535"/>
    <cellStyle name="Note 2 9 2 2 2 2 3" xfId="24536"/>
    <cellStyle name="Note 2 9 2 2 2 3" xfId="24537"/>
    <cellStyle name="Note 2 9 2 2 2 3 2" xfId="24538"/>
    <cellStyle name="Note 2 9 2 2 2 3 3" xfId="24539"/>
    <cellStyle name="Note 2 9 2 2 2 4" xfId="24540"/>
    <cellStyle name="Note 2 9 2 2 2 4 2" xfId="24541"/>
    <cellStyle name="Note 2 9 2 2 2 4 3" xfId="24542"/>
    <cellStyle name="Note 2 9 2 2 2 5" xfId="24543"/>
    <cellStyle name="Note 2 9 2 2 2 6" xfId="24544"/>
    <cellStyle name="Note 2 9 2 2 3" xfId="24545"/>
    <cellStyle name="Note 2 9 2 2 3 2" xfId="24546"/>
    <cellStyle name="Note 2 9 2 2 3 2 2" xfId="24547"/>
    <cellStyle name="Note 2 9 2 2 3 2 3" xfId="24548"/>
    <cellStyle name="Note 2 9 2 2 3 3" xfId="24549"/>
    <cellStyle name="Note 2 9 2 2 3 3 2" xfId="24550"/>
    <cellStyle name="Note 2 9 2 2 3 3 3" xfId="24551"/>
    <cellStyle name="Note 2 9 2 2 3 4" xfId="24552"/>
    <cellStyle name="Note 2 9 2 2 3 4 2" xfId="24553"/>
    <cellStyle name="Note 2 9 2 2 3 4 3" xfId="24554"/>
    <cellStyle name="Note 2 9 2 2 3 5" xfId="24555"/>
    <cellStyle name="Note 2 9 2 2 3 6" xfId="24556"/>
    <cellStyle name="Note 2 9 2 2 4" xfId="24557"/>
    <cellStyle name="Note 2 9 2 2 4 2" xfId="24558"/>
    <cellStyle name="Note 2 9 2 2 4 2 2" xfId="24559"/>
    <cellStyle name="Note 2 9 2 2 4 2 3" xfId="24560"/>
    <cellStyle name="Note 2 9 2 2 4 3" xfId="24561"/>
    <cellStyle name="Note 2 9 2 2 4 3 2" xfId="24562"/>
    <cellStyle name="Note 2 9 2 2 4 3 3" xfId="24563"/>
    <cellStyle name="Note 2 9 2 2 4 4" xfId="24564"/>
    <cellStyle name="Note 2 9 2 2 4 4 2" xfId="24565"/>
    <cellStyle name="Note 2 9 2 2 4 4 3" xfId="24566"/>
    <cellStyle name="Note 2 9 2 2 4 5" xfId="24567"/>
    <cellStyle name="Note 2 9 2 2 4 6" xfId="24568"/>
    <cellStyle name="Note 2 9 2 2 5" xfId="24569"/>
    <cellStyle name="Note 2 9 2 2 5 2" xfId="24570"/>
    <cellStyle name="Note 2 9 2 2 5 2 2" xfId="24571"/>
    <cellStyle name="Note 2 9 2 2 5 2 3" xfId="24572"/>
    <cellStyle name="Note 2 9 2 2 5 3" xfId="24573"/>
    <cellStyle name="Note 2 9 2 2 5 3 2" xfId="24574"/>
    <cellStyle name="Note 2 9 2 2 5 3 3" xfId="24575"/>
    <cellStyle name="Note 2 9 2 2 5 4" xfId="24576"/>
    <cellStyle name="Note 2 9 2 2 5 4 2" xfId="24577"/>
    <cellStyle name="Note 2 9 2 2 5 4 3" xfId="24578"/>
    <cellStyle name="Note 2 9 2 2 5 5" xfId="24579"/>
    <cellStyle name="Note 2 9 2 2 5 6" xfId="24580"/>
    <cellStyle name="Note 2 9 2 2 6" xfId="24581"/>
    <cellStyle name="Note 2 9 2 2 6 2" xfId="24582"/>
    <cellStyle name="Note 2 9 2 2 6 2 2" xfId="24583"/>
    <cellStyle name="Note 2 9 2 2 6 2 3" xfId="24584"/>
    <cellStyle name="Note 2 9 2 2 6 3" xfId="24585"/>
    <cellStyle name="Note 2 9 2 2 6 3 2" xfId="24586"/>
    <cellStyle name="Note 2 9 2 2 6 3 3" xfId="24587"/>
    <cellStyle name="Note 2 9 2 2 6 4" xfId="24588"/>
    <cellStyle name="Note 2 9 2 2 6 4 2" xfId="24589"/>
    <cellStyle name="Note 2 9 2 2 6 4 3" xfId="24590"/>
    <cellStyle name="Note 2 9 2 2 6 5" xfId="24591"/>
    <cellStyle name="Note 2 9 2 2 6 6" xfId="24592"/>
    <cellStyle name="Note 2 9 2 2 7" xfId="24593"/>
    <cellStyle name="Note 2 9 2 2 7 2" xfId="24594"/>
    <cellStyle name="Note 2 9 2 2 7 3" xfId="24595"/>
    <cellStyle name="Note 2 9 2 2 8" xfId="24596"/>
    <cellStyle name="Note 2 9 2 2 8 2" xfId="24597"/>
    <cellStyle name="Note 2 9 2 2 8 3" xfId="24598"/>
    <cellStyle name="Note 2 9 2 2 9" xfId="24599"/>
    <cellStyle name="Note 2 9 2 2 9 2" xfId="24600"/>
    <cellStyle name="Note 2 9 2 2 9 3" xfId="24601"/>
    <cellStyle name="Note 2 9 2 3" xfId="929"/>
    <cellStyle name="Note 2 9 2 3 10" xfId="24602"/>
    <cellStyle name="Note 2 9 2 3 11" xfId="24603"/>
    <cellStyle name="Note 2 9 2 3 2" xfId="24604"/>
    <cellStyle name="Note 2 9 2 3 2 2" xfId="24605"/>
    <cellStyle name="Note 2 9 2 3 2 2 2" xfId="24606"/>
    <cellStyle name="Note 2 9 2 3 2 2 3" xfId="24607"/>
    <cellStyle name="Note 2 9 2 3 2 3" xfId="24608"/>
    <cellStyle name="Note 2 9 2 3 2 3 2" xfId="24609"/>
    <cellStyle name="Note 2 9 2 3 2 3 3" xfId="24610"/>
    <cellStyle name="Note 2 9 2 3 2 4" xfId="24611"/>
    <cellStyle name="Note 2 9 2 3 2 4 2" xfId="24612"/>
    <cellStyle name="Note 2 9 2 3 2 4 3" xfId="24613"/>
    <cellStyle name="Note 2 9 2 3 2 5" xfId="24614"/>
    <cellStyle name="Note 2 9 2 3 2 6" xfId="24615"/>
    <cellStyle name="Note 2 9 2 3 3" xfId="24616"/>
    <cellStyle name="Note 2 9 2 3 3 2" xfId="24617"/>
    <cellStyle name="Note 2 9 2 3 3 2 2" xfId="24618"/>
    <cellStyle name="Note 2 9 2 3 3 2 3" xfId="24619"/>
    <cellStyle name="Note 2 9 2 3 3 3" xfId="24620"/>
    <cellStyle name="Note 2 9 2 3 3 3 2" xfId="24621"/>
    <cellStyle name="Note 2 9 2 3 3 3 3" xfId="24622"/>
    <cellStyle name="Note 2 9 2 3 3 4" xfId="24623"/>
    <cellStyle name="Note 2 9 2 3 3 4 2" xfId="24624"/>
    <cellStyle name="Note 2 9 2 3 3 4 3" xfId="24625"/>
    <cellStyle name="Note 2 9 2 3 3 5" xfId="24626"/>
    <cellStyle name="Note 2 9 2 3 3 6" xfId="24627"/>
    <cellStyle name="Note 2 9 2 3 4" xfId="24628"/>
    <cellStyle name="Note 2 9 2 3 4 2" xfId="24629"/>
    <cellStyle name="Note 2 9 2 3 4 2 2" xfId="24630"/>
    <cellStyle name="Note 2 9 2 3 4 2 3" xfId="24631"/>
    <cellStyle name="Note 2 9 2 3 4 3" xfId="24632"/>
    <cellStyle name="Note 2 9 2 3 4 3 2" xfId="24633"/>
    <cellStyle name="Note 2 9 2 3 4 3 3" xfId="24634"/>
    <cellStyle name="Note 2 9 2 3 4 4" xfId="24635"/>
    <cellStyle name="Note 2 9 2 3 4 4 2" xfId="24636"/>
    <cellStyle name="Note 2 9 2 3 4 4 3" xfId="24637"/>
    <cellStyle name="Note 2 9 2 3 4 5" xfId="24638"/>
    <cellStyle name="Note 2 9 2 3 4 6" xfId="24639"/>
    <cellStyle name="Note 2 9 2 3 5" xfId="24640"/>
    <cellStyle name="Note 2 9 2 3 5 2" xfId="24641"/>
    <cellStyle name="Note 2 9 2 3 5 2 2" xfId="24642"/>
    <cellStyle name="Note 2 9 2 3 5 2 3" xfId="24643"/>
    <cellStyle name="Note 2 9 2 3 5 3" xfId="24644"/>
    <cellStyle name="Note 2 9 2 3 5 3 2" xfId="24645"/>
    <cellStyle name="Note 2 9 2 3 5 3 3" xfId="24646"/>
    <cellStyle name="Note 2 9 2 3 5 4" xfId="24647"/>
    <cellStyle name="Note 2 9 2 3 5 4 2" xfId="24648"/>
    <cellStyle name="Note 2 9 2 3 5 4 3" xfId="24649"/>
    <cellStyle name="Note 2 9 2 3 5 5" xfId="24650"/>
    <cellStyle name="Note 2 9 2 3 5 6" xfId="24651"/>
    <cellStyle name="Note 2 9 2 3 6" xfId="24652"/>
    <cellStyle name="Note 2 9 2 3 6 2" xfId="24653"/>
    <cellStyle name="Note 2 9 2 3 6 2 2" xfId="24654"/>
    <cellStyle name="Note 2 9 2 3 6 2 3" xfId="24655"/>
    <cellStyle name="Note 2 9 2 3 6 3" xfId="24656"/>
    <cellStyle name="Note 2 9 2 3 6 3 2" xfId="24657"/>
    <cellStyle name="Note 2 9 2 3 6 3 3" xfId="24658"/>
    <cellStyle name="Note 2 9 2 3 6 4" xfId="24659"/>
    <cellStyle name="Note 2 9 2 3 6 4 2" xfId="24660"/>
    <cellStyle name="Note 2 9 2 3 6 4 3" xfId="24661"/>
    <cellStyle name="Note 2 9 2 3 6 5" xfId="24662"/>
    <cellStyle name="Note 2 9 2 3 6 6" xfId="24663"/>
    <cellStyle name="Note 2 9 2 3 7" xfId="24664"/>
    <cellStyle name="Note 2 9 2 3 7 2" xfId="24665"/>
    <cellStyle name="Note 2 9 2 3 7 3" xfId="24666"/>
    <cellStyle name="Note 2 9 2 3 8" xfId="24667"/>
    <cellStyle name="Note 2 9 2 3 8 2" xfId="24668"/>
    <cellStyle name="Note 2 9 2 3 8 3" xfId="24669"/>
    <cellStyle name="Note 2 9 2 3 9" xfId="24670"/>
    <cellStyle name="Note 2 9 2 3 9 2" xfId="24671"/>
    <cellStyle name="Note 2 9 2 3 9 3" xfId="24672"/>
    <cellStyle name="Note 2 9 2 4" xfId="950"/>
    <cellStyle name="Note 2 9 2 4 10" xfId="24673"/>
    <cellStyle name="Note 2 9 2 4 11" xfId="24674"/>
    <cellStyle name="Note 2 9 2 4 2" xfId="24675"/>
    <cellStyle name="Note 2 9 2 4 2 2" xfId="24676"/>
    <cellStyle name="Note 2 9 2 4 2 2 2" xfId="24677"/>
    <cellStyle name="Note 2 9 2 4 2 2 3" xfId="24678"/>
    <cellStyle name="Note 2 9 2 4 2 3" xfId="24679"/>
    <cellStyle name="Note 2 9 2 4 2 3 2" xfId="24680"/>
    <cellStyle name="Note 2 9 2 4 2 3 3" xfId="24681"/>
    <cellStyle name="Note 2 9 2 4 2 4" xfId="24682"/>
    <cellStyle name="Note 2 9 2 4 2 4 2" xfId="24683"/>
    <cellStyle name="Note 2 9 2 4 2 4 3" xfId="24684"/>
    <cellStyle name="Note 2 9 2 4 2 5" xfId="24685"/>
    <cellStyle name="Note 2 9 2 4 2 6" xfId="24686"/>
    <cellStyle name="Note 2 9 2 4 3" xfId="24687"/>
    <cellStyle name="Note 2 9 2 4 3 2" xfId="24688"/>
    <cellStyle name="Note 2 9 2 4 3 2 2" xfId="24689"/>
    <cellStyle name="Note 2 9 2 4 3 2 3" xfId="24690"/>
    <cellStyle name="Note 2 9 2 4 3 3" xfId="24691"/>
    <cellStyle name="Note 2 9 2 4 3 3 2" xfId="24692"/>
    <cellStyle name="Note 2 9 2 4 3 3 3" xfId="24693"/>
    <cellStyle name="Note 2 9 2 4 3 4" xfId="24694"/>
    <cellStyle name="Note 2 9 2 4 3 4 2" xfId="24695"/>
    <cellStyle name="Note 2 9 2 4 3 4 3" xfId="24696"/>
    <cellStyle name="Note 2 9 2 4 3 5" xfId="24697"/>
    <cellStyle name="Note 2 9 2 4 3 6" xfId="24698"/>
    <cellStyle name="Note 2 9 2 4 4" xfId="24699"/>
    <cellStyle name="Note 2 9 2 4 4 2" xfId="24700"/>
    <cellStyle name="Note 2 9 2 4 4 2 2" xfId="24701"/>
    <cellStyle name="Note 2 9 2 4 4 2 3" xfId="24702"/>
    <cellStyle name="Note 2 9 2 4 4 3" xfId="24703"/>
    <cellStyle name="Note 2 9 2 4 4 3 2" xfId="24704"/>
    <cellStyle name="Note 2 9 2 4 4 3 3" xfId="24705"/>
    <cellStyle name="Note 2 9 2 4 4 4" xfId="24706"/>
    <cellStyle name="Note 2 9 2 4 4 4 2" xfId="24707"/>
    <cellStyle name="Note 2 9 2 4 4 4 3" xfId="24708"/>
    <cellStyle name="Note 2 9 2 4 4 5" xfId="24709"/>
    <cellStyle name="Note 2 9 2 4 4 6" xfId="24710"/>
    <cellStyle name="Note 2 9 2 4 5" xfId="24711"/>
    <cellStyle name="Note 2 9 2 4 5 2" xfId="24712"/>
    <cellStyle name="Note 2 9 2 4 5 2 2" xfId="24713"/>
    <cellStyle name="Note 2 9 2 4 5 2 3" xfId="24714"/>
    <cellStyle name="Note 2 9 2 4 5 3" xfId="24715"/>
    <cellStyle name="Note 2 9 2 4 5 3 2" xfId="24716"/>
    <cellStyle name="Note 2 9 2 4 5 3 3" xfId="24717"/>
    <cellStyle name="Note 2 9 2 4 5 4" xfId="24718"/>
    <cellStyle name="Note 2 9 2 4 5 4 2" xfId="24719"/>
    <cellStyle name="Note 2 9 2 4 5 4 3" xfId="24720"/>
    <cellStyle name="Note 2 9 2 4 5 5" xfId="24721"/>
    <cellStyle name="Note 2 9 2 4 5 6" xfId="24722"/>
    <cellStyle name="Note 2 9 2 4 6" xfId="24723"/>
    <cellStyle name="Note 2 9 2 4 6 2" xfId="24724"/>
    <cellStyle name="Note 2 9 2 4 6 2 2" xfId="24725"/>
    <cellStyle name="Note 2 9 2 4 6 2 3" xfId="24726"/>
    <cellStyle name="Note 2 9 2 4 6 3" xfId="24727"/>
    <cellStyle name="Note 2 9 2 4 6 3 2" xfId="24728"/>
    <cellStyle name="Note 2 9 2 4 6 3 3" xfId="24729"/>
    <cellStyle name="Note 2 9 2 4 6 4" xfId="24730"/>
    <cellStyle name="Note 2 9 2 4 6 4 2" xfId="24731"/>
    <cellStyle name="Note 2 9 2 4 6 4 3" xfId="24732"/>
    <cellStyle name="Note 2 9 2 4 6 5" xfId="24733"/>
    <cellStyle name="Note 2 9 2 4 6 6" xfId="24734"/>
    <cellStyle name="Note 2 9 2 4 7" xfId="24735"/>
    <cellStyle name="Note 2 9 2 4 7 2" xfId="24736"/>
    <cellStyle name="Note 2 9 2 4 7 3" xfId="24737"/>
    <cellStyle name="Note 2 9 2 4 8" xfId="24738"/>
    <cellStyle name="Note 2 9 2 4 8 2" xfId="24739"/>
    <cellStyle name="Note 2 9 2 4 8 3" xfId="24740"/>
    <cellStyle name="Note 2 9 2 4 9" xfId="24741"/>
    <cellStyle name="Note 2 9 2 4 9 2" xfId="24742"/>
    <cellStyle name="Note 2 9 2 4 9 3" xfId="24743"/>
    <cellStyle name="Note 2 9 2 5" xfId="24744"/>
    <cellStyle name="Note 2 9 2 5 10" xfId="24745"/>
    <cellStyle name="Note 2 9 2 5 11" xfId="24746"/>
    <cellStyle name="Note 2 9 2 5 2" xfId="24747"/>
    <cellStyle name="Note 2 9 2 5 2 2" xfId="24748"/>
    <cellStyle name="Note 2 9 2 5 2 2 2" xfId="24749"/>
    <cellStyle name="Note 2 9 2 5 2 2 3" xfId="24750"/>
    <cellStyle name="Note 2 9 2 5 2 3" xfId="24751"/>
    <cellStyle name="Note 2 9 2 5 2 3 2" xfId="24752"/>
    <cellStyle name="Note 2 9 2 5 2 3 3" xfId="24753"/>
    <cellStyle name="Note 2 9 2 5 2 4" xfId="24754"/>
    <cellStyle name="Note 2 9 2 5 2 4 2" xfId="24755"/>
    <cellStyle name="Note 2 9 2 5 2 4 3" xfId="24756"/>
    <cellStyle name="Note 2 9 2 5 2 5" xfId="24757"/>
    <cellStyle name="Note 2 9 2 5 2 6" xfId="24758"/>
    <cellStyle name="Note 2 9 2 5 3" xfId="24759"/>
    <cellStyle name="Note 2 9 2 5 3 2" xfId="24760"/>
    <cellStyle name="Note 2 9 2 5 3 2 2" xfId="24761"/>
    <cellStyle name="Note 2 9 2 5 3 2 3" xfId="24762"/>
    <cellStyle name="Note 2 9 2 5 3 3" xfId="24763"/>
    <cellStyle name="Note 2 9 2 5 3 3 2" xfId="24764"/>
    <cellStyle name="Note 2 9 2 5 3 3 3" xfId="24765"/>
    <cellStyle name="Note 2 9 2 5 3 4" xfId="24766"/>
    <cellStyle name="Note 2 9 2 5 3 4 2" xfId="24767"/>
    <cellStyle name="Note 2 9 2 5 3 4 3" xfId="24768"/>
    <cellStyle name="Note 2 9 2 5 3 5" xfId="24769"/>
    <cellStyle name="Note 2 9 2 5 3 6" xfId="24770"/>
    <cellStyle name="Note 2 9 2 5 4" xfId="24771"/>
    <cellStyle name="Note 2 9 2 5 4 2" xfId="24772"/>
    <cellStyle name="Note 2 9 2 5 4 2 2" xfId="24773"/>
    <cellStyle name="Note 2 9 2 5 4 2 3" xfId="24774"/>
    <cellStyle name="Note 2 9 2 5 4 3" xfId="24775"/>
    <cellStyle name="Note 2 9 2 5 4 3 2" xfId="24776"/>
    <cellStyle name="Note 2 9 2 5 4 3 3" xfId="24777"/>
    <cellStyle name="Note 2 9 2 5 4 4" xfId="24778"/>
    <cellStyle name="Note 2 9 2 5 4 4 2" xfId="24779"/>
    <cellStyle name="Note 2 9 2 5 4 4 3" xfId="24780"/>
    <cellStyle name="Note 2 9 2 5 4 5" xfId="24781"/>
    <cellStyle name="Note 2 9 2 5 4 6" xfId="24782"/>
    <cellStyle name="Note 2 9 2 5 5" xfId="24783"/>
    <cellStyle name="Note 2 9 2 5 5 2" xfId="24784"/>
    <cellStyle name="Note 2 9 2 5 5 2 2" xfId="24785"/>
    <cellStyle name="Note 2 9 2 5 5 2 3" xfId="24786"/>
    <cellStyle name="Note 2 9 2 5 5 3" xfId="24787"/>
    <cellStyle name="Note 2 9 2 5 5 3 2" xfId="24788"/>
    <cellStyle name="Note 2 9 2 5 5 3 3" xfId="24789"/>
    <cellStyle name="Note 2 9 2 5 5 4" xfId="24790"/>
    <cellStyle name="Note 2 9 2 5 5 4 2" xfId="24791"/>
    <cellStyle name="Note 2 9 2 5 5 4 3" xfId="24792"/>
    <cellStyle name="Note 2 9 2 5 5 5" xfId="24793"/>
    <cellStyle name="Note 2 9 2 5 5 6" xfId="24794"/>
    <cellStyle name="Note 2 9 2 5 6" xfId="24795"/>
    <cellStyle name="Note 2 9 2 5 6 2" xfId="24796"/>
    <cellStyle name="Note 2 9 2 5 6 2 2" xfId="24797"/>
    <cellStyle name="Note 2 9 2 5 6 2 3" xfId="24798"/>
    <cellStyle name="Note 2 9 2 5 6 3" xfId="24799"/>
    <cellStyle name="Note 2 9 2 5 6 3 2" xfId="24800"/>
    <cellStyle name="Note 2 9 2 5 6 3 3" xfId="24801"/>
    <cellStyle name="Note 2 9 2 5 6 4" xfId="24802"/>
    <cellStyle name="Note 2 9 2 5 6 4 2" xfId="24803"/>
    <cellStyle name="Note 2 9 2 5 6 4 3" xfId="24804"/>
    <cellStyle name="Note 2 9 2 5 6 5" xfId="24805"/>
    <cellStyle name="Note 2 9 2 5 6 6" xfId="24806"/>
    <cellStyle name="Note 2 9 2 5 7" xfId="24807"/>
    <cellStyle name="Note 2 9 2 5 7 2" xfId="24808"/>
    <cellStyle name="Note 2 9 2 5 7 3" xfId="24809"/>
    <cellStyle name="Note 2 9 2 5 8" xfId="24810"/>
    <cellStyle name="Note 2 9 2 5 8 2" xfId="24811"/>
    <cellStyle name="Note 2 9 2 5 8 3" xfId="24812"/>
    <cellStyle name="Note 2 9 2 5 9" xfId="24813"/>
    <cellStyle name="Note 2 9 2 5 9 2" xfId="24814"/>
    <cellStyle name="Note 2 9 2 5 9 3" xfId="24815"/>
    <cellStyle name="Note 2 9 2 6" xfId="24816"/>
    <cellStyle name="Note 2 9 2 6 2" xfId="24817"/>
    <cellStyle name="Note 2 9 2 6 2 2" xfId="24818"/>
    <cellStyle name="Note 2 9 2 6 2 3" xfId="24819"/>
    <cellStyle name="Note 2 9 2 6 3" xfId="24820"/>
    <cellStyle name="Note 2 9 2 6 3 2" xfId="24821"/>
    <cellStyle name="Note 2 9 2 6 3 3" xfId="24822"/>
    <cellStyle name="Note 2 9 2 6 4" xfId="24823"/>
    <cellStyle name="Note 2 9 2 6 4 2" xfId="24824"/>
    <cellStyle name="Note 2 9 2 6 4 3" xfId="24825"/>
    <cellStyle name="Note 2 9 2 6 5" xfId="24826"/>
    <cellStyle name="Note 2 9 2 6 6" xfId="24827"/>
    <cellStyle name="Note 2 9 2 7" xfId="24828"/>
    <cellStyle name="Note 2 9 2 7 2" xfId="24829"/>
    <cellStyle name="Note 2 9 2 7 2 2" xfId="24830"/>
    <cellStyle name="Note 2 9 2 7 2 3" xfId="24831"/>
    <cellStyle name="Note 2 9 2 7 3" xfId="24832"/>
    <cellStyle name="Note 2 9 2 7 3 2" xfId="24833"/>
    <cellStyle name="Note 2 9 2 7 3 3" xfId="24834"/>
    <cellStyle name="Note 2 9 2 7 4" xfId="24835"/>
    <cellStyle name="Note 2 9 2 7 4 2" xfId="24836"/>
    <cellStyle name="Note 2 9 2 7 4 3" xfId="24837"/>
    <cellStyle name="Note 2 9 2 7 5" xfId="24838"/>
    <cellStyle name="Note 2 9 2 7 6" xfId="24839"/>
    <cellStyle name="Note 2 9 2 8" xfId="24840"/>
    <cellStyle name="Note 2 9 2 8 2" xfId="24841"/>
    <cellStyle name="Note 2 9 2 8 2 2" xfId="24842"/>
    <cellStyle name="Note 2 9 2 8 2 3" xfId="24843"/>
    <cellStyle name="Note 2 9 2 8 3" xfId="24844"/>
    <cellStyle name="Note 2 9 2 8 3 2" xfId="24845"/>
    <cellStyle name="Note 2 9 2 8 3 3" xfId="24846"/>
    <cellStyle name="Note 2 9 2 8 4" xfId="24847"/>
    <cellStyle name="Note 2 9 2 8 4 2" xfId="24848"/>
    <cellStyle name="Note 2 9 2 8 4 3" xfId="24849"/>
    <cellStyle name="Note 2 9 2 8 5" xfId="24850"/>
    <cellStyle name="Note 2 9 2 8 6" xfId="24851"/>
    <cellStyle name="Note 2 9 2 9" xfId="24852"/>
    <cellStyle name="Note 2 9 2 9 2" xfId="24853"/>
    <cellStyle name="Note 2 9 2 9 2 2" xfId="24854"/>
    <cellStyle name="Note 2 9 2 9 2 3" xfId="24855"/>
    <cellStyle name="Note 2 9 2 9 3" xfId="24856"/>
    <cellStyle name="Note 2 9 2 9 3 2" xfId="24857"/>
    <cellStyle name="Note 2 9 2 9 3 3" xfId="24858"/>
    <cellStyle name="Note 2 9 2 9 4" xfId="24859"/>
    <cellStyle name="Note 2 9 2 9 4 2" xfId="24860"/>
    <cellStyle name="Note 2 9 2 9 4 3" xfId="24861"/>
    <cellStyle name="Note 2 9 2 9 5" xfId="24862"/>
    <cellStyle name="Note 2 9 2 9 6" xfId="24863"/>
    <cellStyle name="Note 2 9 3" xfId="622"/>
    <cellStyle name="Note 2 9 3 10" xfId="24864"/>
    <cellStyle name="Note 2 9 3 11" xfId="24865"/>
    <cellStyle name="Note 2 9 3 2" xfId="882"/>
    <cellStyle name="Note 2 9 3 2 2" xfId="24866"/>
    <cellStyle name="Note 2 9 3 2 2 2" xfId="24867"/>
    <cellStyle name="Note 2 9 3 2 2 3" xfId="24868"/>
    <cellStyle name="Note 2 9 3 2 3" xfId="24869"/>
    <cellStyle name="Note 2 9 3 2 3 2" xfId="24870"/>
    <cellStyle name="Note 2 9 3 2 3 3" xfId="24871"/>
    <cellStyle name="Note 2 9 3 2 4" xfId="24872"/>
    <cellStyle name="Note 2 9 3 2 4 2" xfId="24873"/>
    <cellStyle name="Note 2 9 3 2 4 3" xfId="24874"/>
    <cellStyle name="Note 2 9 3 2 5" xfId="24875"/>
    <cellStyle name="Note 2 9 3 2 6" xfId="24876"/>
    <cellStyle name="Note 2 9 3 3" xfId="806"/>
    <cellStyle name="Note 2 9 3 3 2" xfId="24877"/>
    <cellStyle name="Note 2 9 3 3 2 2" xfId="24878"/>
    <cellStyle name="Note 2 9 3 3 2 3" xfId="24879"/>
    <cellStyle name="Note 2 9 3 3 3" xfId="24880"/>
    <cellStyle name="Note 2 9 3 3 3 2" xfId="24881"/>
    <cellStyle name="Note 2 9 3 3 3 3" xfId="24882"/>
    <cellStyle name="Note 2 9 3 3 4" xfId="24883"/>
    <cellStyle name="Note 2 9 3 3 4 2" xfId="24884"/>
    <cellStyle name="Note 2 9 3 3 4 3" xfId="24885"/>
    <cellStyle name="Note 2 9 3 3 5" xfId="24886"/>
    <cellStyle name="Note 2 9 3 3 6" xfId="24887"/>
    <cellStyle name="Note 2 9 3 4" xfId="951"/>
    <cellStyle name="Note 2 9 3 4 2" xfId="24888"/>
    <cellStyle name="Note 2 9 3 4 2 2" xfId="24889"/>
    <cellStyle name="Note 2 9 3 4 2 3" xfId="24890"/>
    <cellStyle name="Note 2 9 3 4 3" xfId="24891"/>
    <cellStyle name="Note 2 9 3 4 3 2" xfId="24892"/>
    <cellStyle name="Note 2 9 3 4 3 3" xfId="24893"/>
    <cellStyle name="Note 2 9 3 4 4" xfId="24894"/>
    <cellStyle name="Note 2 9 3 4 4 2" xfId="24895"/>
    <cellStyle name="Note 2 9 3 4 4 3" xfId="24896"/>
    <cellStyle name="Note 2 9 3 4 5" xfId="24897"/>
    <cellStyle name="Note 2 9 3 4 6" xfId="24898"/>
    <cellStyle name="Note 2 9 3 5" xfId="24899"/>
    <cellStyle name="Note 2 9 3 5 2" xfId="24900"/>
    <cellStyle name="Note 2 9 3 5 2 2" xfId="24901"/>
    <cellStyle name="Note 2 9 3 5 2 3" xfId="24902"/>
    <cellStyle name="Note 2 9 3 5 3" xfId="24903"/>
    <cellStyle name="Note 2 9 3 5 3 2" xfId="24904"/>
    <cellStyle name="Note 2 9 3 5 3 3" xfId="24905"/>
    <cellStyle name="Note 2 9 3 5 4" xfId="24906"/>
    <cellStyle name="Note 2 9 3 5 4 2" xfId="24907"/>
    <cellStyle name="Note 2 9 3 5 4 3" xfId="24908"/>
    <cellStyle name="Note 2 9 3 5 5" xfId="24909"/>
    <cellStyle name="Note 2 9 3 5 6" xfId="24910"/>
    <cellStyle name="Note 2 9 3 6" xfId="24911"/>
    <cellStyle name="Note 2 9 3 6 2" xfId="24912"/>
    <cellStyle name="Note 2 9 3 6 2 2" xfId="24913"/>
    <cellStyle name="Note 2 9 3 6 2 3" xfId="24914"/>
    <cellStyle name="Note 2 9 3 6 3" xfId="24915"/>
    <cellStyle name="Note 2 9 3 6 3 2" xfId="24916"/>
    <cellStyle name="Note 2 9 3 6 3 3" xfId="24917"/>
    <cellStyle name="Note 2 9 3 6 4" xfId="24918"/>
    <cellStyle name="Note 2 9 3 6 4 2" xfId="24919"/>
    <cellStyle name="Note 2 9 3 6 4 3" xfId="24920"/>
    <cellStyle name="Note 2 9 3 6 5" xfId="24921"/>
    <cellStyle name="Note 2 9 3 6 6" xfId="24922"/>
    <cellStyle name="Note 2 9 3 7" xfId="24923"/>
    <cellStyle name="Note 2 9 3 7 2" xfId="24924"/>
    <cellStyle name="Note 2 9 3 7 3" xfId="24925"/>
    <cellStyle name="Note 2 9 3 8" xfId="24926"/>
    <cellStyle name="Note 2 9 3 8 2" xfId="24927"/>
    <cellStyle name="Note 2 9 3 8 3" xfId="24928"/>
    <cellStyle name="Note 2 9 3 9" xfId="24929"/>
    <cellStyle name="Note 2 9 3 9 2" xfId="24930"/>
    <cellStyle name="Note 2 9 3 9 3" xfId="24931"/>
    <cellStyle name="Note 2 9 4" xfId="1108"/>
    <cellStyle name="Note 2 9 5" xfId="3170"/>
    <cellStyle name="Note 2 9 6" xfId="1119"/>
    <cellStyle name="Note 2 9 7" xfId="3121"/>
    <cellStyle name="Note 2 9 8" xfId="1018"/>
    <cellStyle name="Note 2_2011 Gas Production savings by program 7.27.12 eval w 2-14-14 changes" xfId="3112"/>
    <cellStyle name="Note 3" xfId="133"/>
    <cellStyle name="Note 3 2" xfId="623"/>
    <cellStyle name="Note 3 2 10" xfId="24932"/>
    <cellStyle name="Note 3 2 10 2" xfId="24933"/>
    <cellStyle name="Note 3 2 10 2 2" xfId="24934"/>
    <cellStyle name="Note 3 2 10 2 3" xfId="24935"/>
    <cellStyle name="Note 3 2 10 3" xfId="24936"/>
    <cellStyle name="Note 3 2 10 3 2" xfId="24937"/>
    <cellStyle name="Note 3 2 10 3 3" xfId="24938"/>
    <cellStyle name="Note 3 2 10 4" xfId="24939"/>
    <cellStyle name="Note 3 2 10 4 2" xfId="24940"/>
    <cellStyle name="Note 3 2 10 4 3" xfId="24941"/>
    <cellStyle name="Note 3 2 10 5" xfId="24942"/>
    <cellStyle name="Note 3 2 10 6" xfId="24943"/>
    <cellStyle name="Note 3 2 11" xfId="24944"/>
    <cellStyle name="Note 3 2 11 2" xfId="24945"/>
    <cellStyle name="Note 3 2 11 2 2" xfId="24946"/>
    <cellStyle name="Note 3 2 11 2 3" xfId="24947"/>
    <cellStyle name="Note 3 2 11 3" xfId="24948"/>
    <cellStyle name="Note 3 2 11 3 2" xfId="24949"/>
    <cellStyle name="Note 3 2 11 3 3" xfId="24950"/>
    <cellStyle name="Note 3 2 11 4" xfId="24951"/>
    <cellStyle name="Note 3 2 11 4 2" xfId="24952"/>
    <cellStyle name="Note 3 2 11 4 3" xfId="24953"/>
    <cellStyle name="Note 3 2 11 5" xfId="24954"/>
    <cellStyle name="Note 3 2 11 6" xfId="24955"/>
    <cellStyle name="Note 3 2 12" xfId="24956"/>
    <cellStyle name="Note 3 2 12 2" xfId="24957"/>
    <cellStyle name="Note 3 2 12 2 2" xfId="24958"/>
    <cellStyle name="Note 3 2 12 2 3" xfId="24959"/>
    <cellStyle name="Note 3 2 12 3" xfId="24960"/>
    <cellStyle name="Note 3 2 12 3 2" xfId="24961"/>
    <cellStyle name="Note 3 2 12 3 3" xfId="24962"/>
    <cellStyle name="Note 3 2 12 4" xfId="24963"/>
    <cellStyle name="Note 3 2 12 4 2" xfId="24964"/>
    <cellStyle name="Note 3 2 12 4 3" xfId="24965"/>
    <cellStyle name="Note 3 2 12 5" xfId="24966"/>
    <cellStyle name="Note 3 2 12 6" xfId="24967"/>
    <cellStyle name="Note 3 2 13" xfId="24968"/>
    <cellStyle name="Note 3 2 13 2" xfId="24969"/>
    <cellStyle name="Note 3 2 13 2 2" xfId="24970"/>
    <cellStyle name="Note 3 2 13 2 3" xfId="24971"/>
    <cellStyle name="Note 3 2 13 3" xfId="24972"/>
    <cellStyle name="Note 3 2 13 3 2" xfId="24973"/>
    <cellStyle name="Note 3 2 13 3 3" xfId="24974"/>
    <cellStyle name="Note 3 2 13 4" xfId="24975"/>
    <cellStyle name="Note 3 2 13 4 2" xfId="24976"/>
    <cellStyle name="Note 3 2 13 4 3" xfId="24977"/>
    <cellStyle name="Note 3 2 13 5" xfId="24978"/>
    <cellStyle name="Note 3 2 13 6" xfId="24979"/>
    <cellStyle name="Note 3 2 14" xfId="24980"/>
    <cellStyle name="Note 3 2 14 2" xfId="24981"/>
    <cellStyle name="Note 3 2 14 3" xfId="24982"/>
    <cellStyle name="Note 3 2 15" xfId="24983"/>
    <cellStyle name="Note 3 2 15 2" xfId="24984"/>
    <cellStyle name="Note 3 2 15 3" xfId="24985"/>
    <cellStyle name="Note 3 2 16" xfId="24986"/>
    <cellStyle name="Note 3 2 16 2" xfId="24987"/>
    <cellStyle name="Note 3 2 16 3" xfId="24988"/>
    <cellStyle name="Note 3 2 17" xfId="24989"/>
    <cellStyle name="Note 3 2 18" xfId="24990"/>
    <cellStyle name="Note 3 2 2" xfId="624"/>
    <cellStyle name="Note 3 2 2 10" xfId="24991"/>
    <cellStyle name="Note 3 2 2 11" xfId="24992"/>
    <cellStyle name="Note 3 2 2 2" xfId="884"/>
    <cellStyle name="Note 3 2 2 2 2" xfId="24993"/>
    <cellStyle name="Note 3 2 2 2 2 2" xfId="24994"/>
    <cellStyle name="Note 3 2 2 2 2 3" xfId="24995"/>
    <cellStyle name="Note 3 2 2 2 3" xfId="24996"/>
    <cellStyle name="Note 3 2 2 2 3 2" xfId="24997"/>
    <cellStyle name="Note 3 2 2 2 3 3" xfId="24998"/>
    <cellStyle name="Note 3 2 2 2 4" xfId="24999"/>
    <cellStyle name="Note 3 2 2 2 4 2" xfId="25000"/>
    <cellStyle name="Note 3 2 2 2 4 3" xfId="25001"/>
    <cellStyle name="Note 3 2 2 2 5" xfId="25002"/>
    <cellStyle name="Note 3 2 2 2 6" xfId="25003"/>
    <cellStyle name="Note 3 2 2 3" xfId="801"/>
    <cellStyle name="Note 3 2 2 3 2" xfId="25004"/>
    <cellStyle name="Note 3 2 2 3 2 2" xfId="25005"/>
    <cellStyle name="Note 3 2 2 3 2 3" xfId="25006"/>
    <cellStyle name="Note 3 2 2 3 3" xfId="25007"/>
    <cellStyle name="Note 3 2 2 3 3 2" xfId="25008"/>
    <cellStyle name="Note 3 2 2 3 3 3" xfId="25009"/>
    <cellStyle name="Note 3 2 2 3 4" xfId="25010"/>
    <cellStyle name="Note 3 2 2 3 4 2" xfId="25011"/>
    <cellStyle name="Note 3 2 2 3 4 3" xfId="25012"/>
    <cellStyle name="Note 3 2 2 3 5" xfId="25013"/>
    <cellStyle name="Note 3 2 2 3 6" xfId="25014"/>
    <cellStyle name="Note 3 2 2 4" xfId="953"/>
    <cellStyle name="Note 3 2 2 4 2" xfId="25015"/>
    <cellStyle name="Note 3 2 2 4 2 2" xfId="25016"/>
    <cellStyle name="Note 3 2 2 4 2 3" xfId="25017"/>
    <cellStyle name="Note 3 2 2 4 3" xfId="25018"/>
    <cellStyle name="Note 3 2 2 4 3 2" xfId="25019"/>
    <cellStyle name="Note 3 2 2 4 3 3" xfId="25020"/>
    <cellStyle name="Note 3 2 2 4 4" xfId="25021"/>
    <cellStyle name="Note 3 2 2 4 4 2" xfId="25022"/>
    <cellStyle name="Note 3 2 2 4 4 3" xfId="25023"/>
    <cellStyle name="Note 3 2 2 4 5" xfId="25024"/>
    <cellStyle name="Note 3 2 2 4 6" xfId="25025"/>
    <cellStyle name="Note 3 2 2 5" xfId="25026"/>
    <cellStyle name="Note 3 2 2 5 2" xfId="25027"/>
    <cellStyle name="Note 3 2 2 5 2 2" xfId="25028"/>
    <cellStyle name="Note 3 2 2 5 2 3" xfId="25029"/>
    <cellStyle name="Note 3 2 2 5 3" xfId="25030"/>
    <cellStyle name="Note 3 2 2 5 3 2" xfId="25031"/>
    <cellStyle name="Note 3 2 2 5 3 3" xfId="25032"/>
    <cellStyle name="Note 3 2 2 5 4" xfId="25033"/>
    <cellStyle name="Note 3 2 2 5 4 2" xfId="25034"/>
    <cellStyle name="Note 3 2 2 5 4 3" xfId="25035"/>
    <cellStyle name="Note 3 2 2 5 5" xfId="25036"/>
    <cellStyle name="Note 3 2 2 5 6" xfId="25037"/>
    <cellStyle name="Note 3 2 2 6" xfId="25038"/>
    <cellStyle name="Note 3 2 2 6 2" xfId="25039"/>
    <cellStyle name="Note 3 2 2 6 2 2" xfId="25040"/>
    <cellStyle name="Note 3 2 2 6 2 3" xfId="25041"/>
    <cellStyle name="Note 3 2 2 6 3" xfId="25042"/>
    <cellStyle name="Note 3 2 2 6 3 2" xfId="25043"/>
    <cellStyle name="Note 3 2 2 6 3 3" xfId="25044"/>
    <cellStyle name="Note 3 2 2 6 4" xfId="25045"/>
    <cellStyle name="Note 3 2 2 6 4 2" xfId="25046"/>
    <cellStyle name="Note 3 2 2 6 4 3" xfId="25047"/>
    <cellStyle name="Note 3 2 2 6 5" xfId="25048"/>
    <cellStyle name="Note 3 2 2 6 6" xfId="25049"/>
    <cellStyle name="Note 3 2 2 7" xfId="25050"/>
    <cellStyle name="Note 3 2 2 7 2" xfId="25051"/>
    <cellStyle name="Note 3 2 2 7 3" xfId="25052"/>
    <cellStyle name="Note 3 2 2 8" xfId="25053"/>
    <cellStyle name="Note 3 2 2 8 2" xfId="25054"/>
    <cellStyle name="Note 3 2 2 8 3" xfId="25055"/>
    <cellStyle name="Note 3 2 2 9" xfId="25056"/>
    <cellStyle name="Note 3 2 2 9 2" xfId="25057"/>
    <cellStyle name="Note 3 2 2 9 3" xfId="25058"/>
    <cellStyle name="Note 3 2 3" xfId="883"/>
    <cellStyle name="Note 3 2 3 10" xfId="25059"/>
    <cellStyle name="Note 3 2 3 11" xfId="25060"/>
    <cellStyle name="Note 3 2 3 2" xfId="25061"/>
    <cellStyle name="Note 3 2 3 2 2" xfId="25062"/>
    <cellStyle name="Note 3 2 3 2 2 2" xfId="25063"/>
    <cellStyle name="Note 3 2 3 2 2 3" xfId="25064"/>
    <cellStyle name="Note 3 2 3 2 3" xfId="25065"/>
    <cellStyle name="Note 3 2 3 2 3 2" xfId="25066"/>
    <cellStyle name="Note 3 2 3 2 3 3" xfId="25067"/>
    <cellStyle name="Note 3 2 3 2 4" xfId="25068"/>
    <cellStyle name="Note 3 2 3 2 4 2" xfId="25069"/>
    <cellStyle name="Note 3 2 3 2 4 3" xfId="25070"/>
    <cellStyle name="Note 3 2 3 2 5" xfId="25071"/>
    <cellStyle name="Note 3 2 3 2 6" xfId="25072"/>
    <cellStyle name="Note 3 2 3 3" xfId="25073"/>
    <cellStyle name="Note 3 2 3 3 2" xfId="25074"/>
    <cellStyle name="Note 3 2 3 3 2 2" xfId="25075"/>
    <cellStyle name="Note 3 2 3 3 2 3" xfId="25076"/>
    <cellStyle name="Note 3 2 3 3 3" xfId="25077"/>
    <cellStyle name="Note 3 2 3 3 3 2" xfId="25078"/>
    <cellStyle name="Note 3 2 3 3 3 3" xfId="25079"/>
    <cellStyle name="Note 3 2 3 3 4" xfId="25080"/>
    <cellStyle name="Note 3 2 3 3 4 2" xfId="25081"/>
    <cellStyle name="Note 3 2 3 3 4 3" xfId="25082"/>
    <cellStyle name="Note 3 2 3 3 5" xfId="25083"/>
    <cellStyle name="Note 3 2 3 3 6" xfId="25084"/>
    <cellStyle name="Note 3 2 3 4" xfId="25085"/>
    <cellStyle name="Note 3 2 3 4 2" xfId="25086"/>
    <cellStyle name="Note 3 2 3 4 2 2" xfId="25087"/>
    <cellStyle name="Note 3 2 3 4 2 3" xfId="25088"/>
    <cellStyle name="Note 3 2 3 4 3" xfId="25089"/>
    <cellStyle name="Note 3 2 3 4 3 2" xfId="25090"/>
    <cellStyle name="Note 3 2 3 4 3 3" xfId="25091"/>
    <cellStyle name="Note 3 2 3 4 4" xfId="25092"/>
    <cellStyle name="Note 3 2 3 4 4 2" xfId="25093"/>
    <cellStyle name="Note 3 2 3 4 4 3" xfId="25094"/>
    <cellStyle name="Note 3 2 3 4 5" xfId="25095"/>
    <cellStyle name="Note 3 2 3 4 6" xfId="25096"/>
    <cellStyle name="Note 3 2 3 5" xfId="25097"/>
    <cellStyle name="Note 3 2 3 5 2" xfId="25098"/>
    <cellStyle name="Note 3 2 3 5 2 2" xfId="25099"/>
    <cellStyle name="Note 3 2 3 5 2 3" xfId="25100"/>
    <cellStyle name="Note 3 2 3 5 3" xfId="25101"/>
    <cellStyle name="Note 3 2 3 5 3 2" xfId="25102"/>
    <cellStyle name="Note 3 2 3 5 3 3" xfId="25103"/>
    <cellStyle name="Note 3 2 3 5 4" xfId="25104"/>
    <cellStyle name="Note 3 2 3 5 4 2" xfId="25105"/>
    <cellStyle name="Note 3 2 3 5 4 3" xfId="25106"/>
    <cellStyle name="Note 3 2 3 5 5" xfId="25107"/>
    <cellStyle name="Note 3 2 3 5 6" xfId="25108"/>
    <cellStyle name="Note 3 2 3 6" xfId="25109"/>
    <cellStyle name="Note 3 2 3 6 2" xfId="25110"/>
    <cellStyle name="Note 3 2 3 6 2 2" xfId="25111"/>
    <cellStyle name="Note 3 2 3 6 2 3" xfId="25112"/>
    <cellStyle name="Note 3 2 3 6 3" xfId="25113"/>
    <cellStyle name="Note 3 2 3 6 3 2" xfId="25114"/>
    <cellStyle name="Note 3 2 3 6 3 3" xfId="25115"/>
    <cellStyle name="Note 3 2 3 6 4" xfId="25116"/>
    <cellStyle name="Note 3 2 3 6 4 2" xfId="25117"/>
    <cellStyle name="Note 3 2 3 6 4 3" xfId="25118"/>
    <cellStyle name="Note 3 2 3 6 5" xfId="25119"/>
    <cellStyle name="Note 3 2 3 6 6" xfId="25120"/>
    <cellStyle name="Note 3 2 3 7" xfId="25121"/>
    <cellStyle name="Note 3 2 3 7 2" xfId="25122"/>
    <cellStyle name="Note 3 2 3 7 3" xfId="25123"/>
    <cellStyle name="Note 3 2 3 8" xfId="25124"/>
    <cellStyle name="Note 3 2 3 8 2" xfId="25125"/>
    <cellStyle name="Note 3 2 3 8 3" xfId="25126"/>
    <cellStyle name="Note 3 2 3 9" xfId="25127"/>
    <cellStyle name="Note 3 2 3 9 2" xfId="25128"/>
    <cellStyle name="Note 3 2 3 9 3" xfId="25129"/>
    <cellStyle name="Note 3 2 4" xfId="737"/>
    <cellStyle name="Note 3 2 4 10" xfId="25130"/>
    <cellStyle name="Note 3 2 4 11" xfId="25131"/>
    <cellStyle name="Note 3 2 4 2" xfId="25132"/>
    <cellStyle name="Note 3 2 4 2 2" xfId="25133"/>
    <cellStyle name="Note 3 2 4 2 2 2" xfId="25134"/>
    <cellStyle name="Note 3 2 4 2 2 3" xfId="25135"/>
    <cellStyle name="Note 3 2 4 2 3" xfId="25136"/>
    <cellStyle name="Note 3 2 4 2 3 2" xfId="25137"/>
    <cellStyle name="Note 3 2 4 2 3 3" xfId="25138"/>
    <cellStyle name="Note 3 2 4 2 4" xfId="25139"/>
    <cellStyle name="Note 3 2 4 2 4 2" xfId="25140"/>
    <cellStyle name="Note 3 2 4 2 4 3" xfId="25141"/>
    <cellStyle name="Note 3 2 4 2 5" xfId="25142"/>
    <cellStyle name="Note 3 2 4 2 6" xfId="25143"/>
    <cellStyle name="Note 3 2 4 3" xfId="25144"/>
    <cellStyle name="Note 3 2 4 3 2" xfId="25145"/>
    <cellStyle name="Note 3 2 4 3 2 2" xfId="25146"/>
    <cellStyle name="Note 3 2 4 3 2 3" xfId="25147"/>
    <cellStyle name="Note 3 2 4 3 3" xfId="25148"/>
    <cellStyle name="Note 3 2 4 3 3 2" xfId="25149"/>
    <cellStyle name="Note 3 2 4 3 3 3" xfId="25150"/>
    <cellStyle name="Note 3 2 4 3 4" xfId="25151"/>
    <cellStyle name="Note 3 2 4 3 4 2" xfId="25152"/>
    <cellStyle name="Note 3 2 4 3 4 3" xfId="25153"/>
    <cellStyle name="Note 3 2 4 3 5" xfId="25154"/>
    <cellStyle name="Note 3 2 4 3 6" xfId="25155"/>
    <cellStyle name="Note 3 2 4 4" xfId="25156"/>
    <cellStyle name="Note 3 2 4 4 2" xfId="25157"/>
    <cellStyle name="Note 3 2 4 4 2 2" xfId="25158"/>
    <cellStyle name="Note 3 2 4 4 2 3" xfId="25159"/>
    <cellStyle name="Note 3 2 4 4 3" xfId="25160"/>
    <cellStyle name="Note 3 2 4 4 3 2" xfId="25161"/>
    <cellStyle name="Note 3 2 4 4 3 3" xfId="25162"/>
    <cellStyle name="Note 3 2 4 4 4" xfId="25163"/>
    <cellStyle name="Note 3 2 4 4 4 2" xfId="25164"/>
    <cellStyle name="Note 3 2 4 4 4 3" xfId="25165"/>
    <cellStyle name="Note 3 2 4 4 5" xfId="25166"/>
    <cellStyle name="Note 3 2 4 4 6" xfId="25167"/>
    <cellStyle name="Note 3 2 4 5" xfId="25168"/>
    <cellStyle name="Note 3 2 4 5 2" xfId="25169"/>
    <cellStyle name="Note 3 2 4 5 2 2" xfId="25170"/>
    <cellStyle name="Note 3 2 4 5 2 3" xfId="25171"/>
    <cellStyle name="Note 3 2 4 5 3" xfId="25172"/>
    <cellStyle name="Note 3 2 4 5 3 2" xfId="25173"/>
    <cellStyle name="Note 3 2 4 5 3 3" xfId="25174"/>
    <cellStyle name="Note 3 2 4 5 4" xfId="25175"/>
    <cellStyle name="Note 3 2 4 5 4 2" xfId="25176"/>
    <cellStyle name="Note 3 2 4 5 4 3" xfId="25177"/>
    <cellStyle name="Note 3 2 4 5 5" xfId="25178"/>
    <cellStyle name="Note 3 2 4 5 6" xfId="25179"/>
    <cellStyle name="Note 3 2 4 6" xfId="25180"/>
    <cellStyle name="Note 3 2 4 6 2" xfId="25181"/>
    <cellStyle name="Note 3 2 4 6 2 2" xfId="25182"/>
    <cellStyle name="Note 3 2 4 6 2 3" xfId="25183"/>
    <cellStyle name="Note 3 2 4 6 3" xfId="25184"/>
    <cellStyle name="Note 3 2 4 6 3 2" xfId="25185"/>
    <cellStyle name="Note 3 2 4 6 3 3" xfId="25186"/>
    <cellStyle name="Note 3 2 4 6 4" xfId="25187"/>
    <cellStyle name="Note 3 2 4 6 4 2" xfId="25188"/>
    <cellStyle name="Note 3 2 4 6 4 3" xfId="25189"/>
    <cellStyle name="Note 3 2 4 6 5" xfId="25190"/>
    <cellStyle name="Note 3 2 4 6 6" xfId="25191"/>
    <cellStyle name="Note 3 2 4 7" xfId="25192"/>
    <cellStyle name="Note 3 2 4 7 2" xfId="25193"/>
    <cellStyle name="Note 3 2 4 7 3" xfId="25194"/>
    <cellStyle name="Note 3 2 4 8" xfId="25195"/>
    <cellStyle name="Note 3 2 4 8 2" xfId="25196"/>
    <cellStyle name="Note 3 2 4 8 3" xfId="25197"/>
    <cellStyle name="Note 3 2 4 9" xfId="25198"/>
    <cellStyle name="Note 3 2 4 9 2" xfId="25199"/>
    <cellStyle name="Note 3 2 4 9 3" xfId="25200"/>
    <cellStyle name="Note 3 2 5" xfId="952"/>
    <cellStyle name="Note 3 2 5 10" xfId="25201"/>
    <cellStyle name="Note 3 2 5 11" xfId="25202"/>
    <cellStyle name="Note 3 2 5 2" xfId="25203"/>
    <cellStyle name="Note 3 2 5 2 2" xfId="25204"/>
    <cellStyle name="Note 3 2 5 2 2 2" xfId="25205"/>
    <cellStyle name="Note 3 2 5 2 2 3" xfId="25206"/>
    <cellStyle name="Note 3 2 5 2 3" xfId="25207"/>
    <cellStyle name="Note 3 2 5 2 3 2" xfId="25208"/>
    <cellStyle name="Note 3 2 5 2 3 3" xfId="25209"/>
    <cellStyle name="Note 3 2 5 2 4" xfId="25210"/>
    <cellStyle name="Note 3 2 5 2 4 2" xfId="25211"/>
    <cellStyle name="Note 3 2 5 2 4 3" xfId="25212"/>
    <cellStyle name="Note 3 2 5 2 5" xfId="25213"/>
    <cellStyle name="Note 3 2 5 2 6" xfId="25214"/>
    <cellStyle name="Note 3 2 5 3" xfId="25215"/>
    <cellStyle name="Note 3 2 5 3 2" xfId="25216"/>
    <cellStyle name="Note 3 2 5 3 2 2" xfId="25217"/>
    <cellStyle name="Note 3 2 5 3 2 3" xfId="25218"/>
    <cellStyle name="Note 3 2 5 3 3" xfId="25219"/>
    <cellStyle name="Note 3 2 5 3 3 2" xfId="25220"/>
    <cellStyle name="Note 3 2 5 3 3 3" xfId="25221"/>
    <cellStyle name="Note 3 2 5 3 4" xfId="25222"/>
    <cellStyle name="Note 3 2 5 3 4 2" xfId="25223"/>
    <cellStyle name="Note 3 2 5 3 4 3" xfId="25224"/>
    <cellStyle name="Note 3 2 5 3 5" xfId="25225"/>
    <cellStyle name="Note 3 2 5 3 6" xfId="25226"/>
    <cellStyle name="Note 3 2 5 4" xfId="25227"/>
    <cellStyle name="Note 3 2 5 4 2" xfId="25228"/>
    <cellStyle name="Note 3 2 5 4 2 2" xfId="25229"/>
    <cellStyle name="Note 3 2 5 4 2 3" xfId="25230"/>
    <cellStyle name="Note 3 2 5 4 3" xfId="25231"/>
    <cellStyle name="Note 3 2 5 4 3 2" xfId="25232"/>
    <cellStyle name="Note 3 2 5 4 3 3" xfId="25233"/>
    <cellStyle name="Note 3 2 5 4 4" xfId="25234"/>
    <cellStyle name="Note 3 2 5 4 4 2" xfId="25235"/>
    <cellStyle name="Note 3 2 5 4 4 3" xfId="25236"/>
    <cellStyle name="Note 3 2 5 4 5" xfId="25237"/>
    <cellStyle name="Note 3 2 5 4 6" xfId="25238"/>
    <cellStyle name="Note 3 2 5 5" xfId="25239"/>
    <cellStyle name="Note 3 2 5 5 2" xfId="25240"/>
    <cellStyle name="Note 3 2 5 5 2 2" xfId="25241"/>
    <cellStyle name="Note 3 2 5 5 2 3" xfId="25242"/>
    <cellStyle name="Note 3 2 5 5 3" xfId="25243"/>
    <cellStyle name="Note 3 2 5 5 3 2" xfId="25244"/>
    <cellStyle name="Note 3 2 5 5 3 3" xfId="25245"/>
    <cellStyle name="Note 3 2 5 5 4" xfId="25246"/>
    <cellStyle name="Note 3 2 5 5 4 2" xfId="25247"/>
    <cellStyle name="Note 3 2 5 5 4 3" xfId="25248"/>
    <cellStyle name="Note 3 2 5 5 5" xfId="25249"/>
    <cellStyle name="Note 3 2 5 5 6" xfId="25250"/>
    <cellStyle name="Note 3 2 5 6" xfId="25251"/>
    <cellStyle name="Note 3 2 5 6 2" xfId="25252"/>
    <cellStyle name="Note 3 2 5 6 2 2" xfId="25253"/>
    <cellStyle name="Note 3 2 5 6 2 3" xfId="25254"/>
    <cellStyle name="Note 3 2 5 6 3" xfId="25255"/>
    <cellStyle name="Note 3 2 5 6 3 2" xfId="25256"/>
    <cellStyle name="Note 3 2 5 6 3 3" xfId="25257"/>
    <cellStyle name="Note 3 2 5 6 4" xfId="25258"/>
    <cellStyle name="Note 3 2 5 6 4 2" xfId="25259"/>
    <cellStyle name="Note 3 2 5 6 4 3" xfId="25260"/>
    <cellStyle name="Note 3 2 5 6 5" xfId="25261"/>
    <cellStyle name="Note 3 2 5 6 6" xfId="25262"/>
    <cellStyle name="Note 3 2 5 7" xfId="25263"/>
    <cellStyle name="Note 3 2 5 7 2" xfId="25264"/>
    <cellStyle name="Note 3 2 5 7 3" xfId="25265"/>
    <cellStyle name="Note 3 2 5 8" xfId="25266"/>
    <cellStyle name="Note 3 2 5 8 2" xfId="25267"/>
    <cellStyle name="Note 3 2 5 8 3" xfId="25268"/>
    <cellStyle name="Note 3 2 5 9" xfId="25269"/>
    <cellStyle name="Note 3 2 5 9 2" xfId="25270"/>
    <cellStyle name="Note 3 2 5 9 3" xfId="25271"/>
    <cellStyle name="Note 3 2 6" xfId="25272"/>
    <cellStyle name="Note 3 2 6 2" xfId="25273"/>
    <cellStyle name="Note 3 2 6 2 2" xfId="25274"/>
    <cellStyle name="Note 3 2 6 2 3" xfId="25275"/>
    <cellStyle name="Note 3 2 6 3" xfId="25276"/>
    <cellStyle name="Note 3 2 6 3 2" xfId="25277"/>
    <cellStyle name="Note 3 2 6 3 3" xfId="25278"/>
    <cellStyle name="Note 3 2 6 4" xfId="25279"/>
    <cellStyle name="Note 3 2 6 4 2" xfId="25280"/>
    <cellStyle name="Note 3 2 6 4 3" xfId="25281"/>
    <cellStyle name="Note 3 2 6 5" xfId="25282"/>
    <cellStyle name="Note 3 2 6 6" xfId="25283"/>
    <cellStyle name="Note 3 2 7" xfId="25284"/>
    <cellStyle name="Note 3 2 7 2" xfId="25285"/>
    <cellStyle name="Note 3 2 7 2 2" xfId="25286"/>
    <cellStyle name="Note 3 2 7 2 3" xfId="25287"/>
    <cellStyle name="Note 3 2 7 3" xfId="25288"/>
    <cellStyle name="Note 3 2 7 3 2" xfId="25289"/>
    <cellStyle name="Note 3 2 7 3 3" xfId="25290"/>
    <cellStyle name="Note 3 2 7 4" xfId="25291"/>
    <cellStyle name="Note 3 2 7 4 2" xfId="25292"/>
    <cellStyle name="Note 3 2 7 4 3" xfId="25293"/>
    <cellStyle name="Note 3 2 7 5" xfId="25294"/>
    <cellStyle name="Note 3 2 7 6" xfId="25295"/>
    <cellStyle name="Note 3 2 8" xfId="25296"/>
    <cellStyle name="Note 3 2 8 2" xfId="25297"/>
    <cellStyle name="Note 3 2 8 2 2" xfId="25298"/>
    <cellStyle name="Note 3 2 8 2 3" xfId="25299"/>
    <cellStyle name="Note 3 2 8 3" xfId="25300"/>
    <cellStyle name="Note 3 2 8 3 2" xfId="25301"/>
    <cellStyle name="Note 3 2 8 3 3" xfId="25302"/>
    <cellStyle name="Note 3 2 8 4" xfId="25303"/>
    <cellStyle name="Note 3 2 8 4 2" xfId="25304"/>
    <cellStyle name="Note 3 2 8 4 3" xfId="25305"/>
    <cellStyle name="Note 3 2 8 5" xfId="25306"/>
    <cellStyle name="Note 3 2 8 6" xfId="25307"/>
    <cellStyle name="Note 3 2 9" xfId="25308"/>
    <cellStyle name="Note 3 2 9 2" xfId="25309"/>
    <cellStyle name="Note 3 2 9 2 2" xfId="25310"/>
    <cellStyle name="Note 3 2 9 2 3" xfId="25311"/>
    <cellStyle name="Note 3 2 9 3" xfId="25312"/>
    <cellStyle name="Note 3 2 9 3 2" xfId="25313"/>
    <cellStyle name="Note 3 2 9 3 3" xfId="25314"/>
    <cellStyle name="Note 3 2 9 4" xfId="25315"/>
    <cellStyle name="Note 3 2 9 4 2" xfId="25316"/>
    <cellStyle name="Note 3 2 9 4 3" xfId="25317"/>
    <cellStyle name="Note 3 2 9 5" xfId="25318"/>
    <cellStyle name="Note 3 2 9 6" xfId="25319"/>
    <cellStyle name="Note 3 3" xfId="625"/>
    <cellStyle name="Note 3 3 10" xfId="25320"/>
    <cellStyle name="Note 3 3 11" xfId="25321"/>
    <cellStyle name="Note 3 3 2" xfId="885"/>
    <cellStyle name="Note 3 3 2 2" xfId="25322"/>
    <cellStyle name="Note 3 3 2 2 2" xfId="25323"/>
    <cellStyle name="Note 3 3 2 2 3" xfId="25324"/>
    <cellStyle name="Note 3 3 2 3" xfId="25325"/>
    <cellStyle name="Note 3 3 2 3 2" xfId="25326"/>
    <cellStyle name="Note 3 3 2 3 3" xfId="25327"/>
    <cellStyle name="Note 3 3 2 4" xfId="25328"/>
    <cellStyle name="Note 3 3 2 4 2" xfId="25329"/>
    <cellStyle name="Note 3 3 2 4 3" xfId="25330"/>
    <cellStyle name="Note 3 3 2 5" xfId="25331"/>
    <cellStyle name="Note 3 3 2 6" xfId="25332"/>
    <cellStyle name="Note 3 3 3" xfId="787"/>
    <cellStyle name="Note 3 3 3 2" xfId="25333"/>
    <cellStyle name="Note 3 3 3 2 2" xfId="25334"/>
    <cellStyle name="Note 3 3 3 2 3" xfId="25335"/>
    <cellStyle name="Note 3 3 3 3" xfId="25336"/>
    <cellStyle name="Note 3 3 3 3 2" xfId="25337"/>
    <cellStyle name="Note 3 3 3 3 3" xfId="25338"/>
    <cellStyle name="Note 3 3 3 4" xfId="25339"/>
    <cellStyle name="Note 3 3 3 4 2" xfId="25340"/>
    <cellStyle name="Note 3 3 3 4 3" xfId="25341"/>
    <cellStyle name="Note 3 3 3 5" xfId="25342"/>
    <cellStyle name="Note 3 3 3 6" xfId="25343"/>
    <cellStyle name="Note 3 3 4" xfId="954"/>
    <cellStyle name="Note 3 3 4 2" xfId="25344"/>
    <cellStyle name="Note 3 3 4 2 2" xfId="25345"/>
    <cellStyle name="Note 3 3 4 2 3" xfId="25346"/>
    <cellStyle name="Note 3 3 4 3" xfId="25347"/>
    <cellStyle name="Note 3 3 4 3 2" xfId="25348"/>
    <cellStyle name="Note 3 3 4 3 3" xfId="25349"/>
    <cellStyle name="Note 3 3 4 4" xfId="25350"/>
    <cellStyle name="Note 3 3 4 4 2" xfId="25351"/>
    <cellStyle name="Note 3 3 4 4 3" xfId="25352"/>
    <cellStyle name="Note 3 3 4 5" xfId="25353"/>
    <cellStyle name="Note 3 3 4 6" xfId="25354"/>
    <cellStyle name="Note 3 3 5" xfId="25355"/>
    <cellStyle name="Note 3 3 5 2" xfId="25356"/>
    <cellStyle name="Note 3 3 5 2 2" xfId="25357"/>
    <cellStyle name="Note 3 3 5 2 3" xfId="25358"/>
    <cellStyle name="Note 3 3 5 3" xfId="25359"/>
    <cellStyle name="Note 3 3 5 3 2" xfId="25360"/>
    <cellStyle name="Note 3 3 5 3 3" xfId="25361"/>
    <cellStyle name="Note 3 3 5 4" xfId="25362"/>
    <cellStyle name="Note 3 3 5 4 2" xfId="25363"/>
    <cellStyle name="Note 3 3 5 4 3" xfId="25364"/>
    <cellStyle name="Note 3 3 5 5" xfId="25365"/>
    <cellStyle name="Note 3 3 5 6" xfId="25366"/>
    <cellStyle name="Note 3 3 6" xfId="25367"/>
    <cellStyle name="Note 3 3 6 2" xfId="25368"/>
    <cellStyle name="Note 3 3 6 2 2" xfId="25369"/>
    <cellStyle name="Note 3 3 6 2 3" xfId="25370"/>
    <cellStyle name="Note 3 3 6 3" xfId="25371"/>
    <cellStyle name="Note 3 3 6 3 2" xfId="25372"/>
    <cellStyle name="Note 3 3 6 3 3" xfId="25373"/>
    <cellStyle name="Note 3 3 6 4" xfId="25374"/>
    <cellStyle name="Note 3 3 6 4 2" xfId="25375"/>
    <cellStyle name="Note 3 3 6 4 3" xfId="25376"/>
    <cellStyle name="Note 3 3 6 5" xfId="25377"/>
    <cellStyle name="Note 3 3 6 6" xfId="25378"/>
    <cellStyle name="Note 3 3 7" xfId="25379"/>
    <cellStyle name="Note 3 3 7 2" xfId="25380"/>
    <cellStyle name="Note 3 3 7 3" xfId="25381"/>
    <cellStyle name="Note 3 3 8" xfId="25382"/>
    <cellStyle name="Note 3 3 8 2" xfId="25383"/>
    <cellStyle name="Note 3 3 8 3" xfId="25384"/>
    <cellStyle name="Note 3 3 9" xfId="25385"/>
    <cellStyle name="Note 3 3 9 2" xfId="25386"/>
    <cellStyle name="Note 3 3 9 3" xfId="25387"/>
    <cellStyle name="Note 3 4" xfId="1079"/>
    <cellStyle name="Note 3 5" xfId="3198"/>
    <cellStyle name="Note 3 6" xfId="3212"/>
    <cellStyle name="Note 3 7" xfId="3223"/>
    <cellStyle name="Note 3 8" xfId="1156"/>
    <cellStyle name="Note 4" xfId="308"/>
    <cellStyle name="Note 4 2" xfId="626"/>
    <cellStyle name="Note 4 2 10" xfId="25388"/>
    <cellStyle name="Note 4 2 10 2" xfId="25389"/>
    <cellStyle name="Note 4 2 10 2 2" xfId="25390"/>
    <cellStyle name="Note 4 2 10 2 3" xfId="25391"/>
    <cellStyle name="Note 4 2 10 3" xfId="25392"/>
    <cellStyle name="Note 4 2 10 3 2" xfId="25393"/>
    <cellStyle name="Note 4 2 10 3 3" xfId="25394"/>
    <cellStyle name="Note 4 2 10 4" xfId="25395"/>
    <cellStyle name="Note 4 2 10 4 2" xfId="25396"/>
    <cellStyle name="Note 4 2 10 4 3" xfId="25397"/>
    <cellStyle name="Note 4 2 10 5" xfId="25398"/>
    <cellStyle name="Note 4 2 10 6" xfId="25399"/>
    <cellStyle name="Note 4 2 11" xfId="25400"/>
    <cellStyle name="Note 4 2 11 2" xfId="25401"/>
    <cellStyle name="Note 4 2 11 2 2" xfId="25402"/>
    <cellStyle name="Note 4 2 11 2 3" xfId="25403"/>
    <cellStyle name="Note 4 2 11 3" xfId="25404"/>
    <cellStyle name="Note 4 2 11 3 2" xfId="25405"/>
    <cellStyle name="Note 4 2 11 3 3" xfId="25406"/>
    <cellStyle name="Note 4 2 11 4" xfId="25407"/>
    <cellStyle name="Note 4 2 11 4 2" xfId="25408"/>
    <cellStyle name="Note 4 2 11 4 3" xfId="25409"/>
    <cellStyle name="Note 4 2 11 5" xfId="25410"/>
    <cellStyle name="Note 4 2 11 6" xfId="25411"/>
    <cellStyle name="Note 4 2 12" xfId="25412"/>
    <cellStyle name="Note 4 2 12 2" xfId="25413"/>
    <cellStyle name="Note 4 2 12 2 2" xfId="25414"/>
    <cellStyle name="Note 4 2 12 2 3" xfId="25415"/>
    <cellStyle name="Note 4 2 12 3" xfId="25416"/>
    <cellStyle name="Note 4 2 12 3 2" xfId="25417"/>
    <cellStyle name="Note 4 2 12 3 3" xfId="25418"/>
    <cellStyle name="Note 4 2 12 4" xfId="25419"/>
    <cellStyle name="Note 4 2 12 4 2" xfId="25420"/>
    <cellStyle name="Note 4 2 12 4 3" xfId="25421"/>
    <cellStyle name="Note 4 2 12 5" xfId="25422"/>
    <cellStyle name="Note 4 2 12 6" xfId="25423"/>
    <cellStyle name="Note 4 2 13" xfId="25424"/>
    <cellStyle name="Note 4 2 13 2" xfId="25425"/>
    <cellStyle name="Note 4 2 13 2 2" xfId="25426"/>
    <cellStyle name="Note 4 2 13 2 3" xfId="25427"/>
    <cellStyle name="Note 4 2 13 3" xfId="25428"/>
    <cellStyle name="Note 4 2 13 3 2" xfId="25429"/>
    <cellStyle name="Note 4 2 13 3 3" xfId="25430"/>
    <cellStyle name="Note 4 2 13 4" xfId="25431"/>
    <cellStyle name="Note 4 2 13 4 2" xfId="25432"/>
    <cellStyle name="Note 4 2 13 4 3" xfId="25433"/>
    <cellStyle name="Note 4 2 13 5" xfId="25434"/>
    <cellStyle name="Note 4 2 13 6" xfId="25435"/>
    <cellStyle name="Note 4 2 14" xfId="25436"/>
    <cellStyle name="Note 4 2 14 2" xfId="25437"/>
    <cellStyle name="Note 4 2 14 3" xfId="25438"/>
    <cellStyle name="Note 4 2 15" xfId="25439"/>
    <cellStyle name="Note 4 2 15 2" xfId="25440"/>
    <cellStyle name="Note 4 2 15 3" xfId="25441"/>
    <cellStyle name="Note 4 2 16" xfId="25442"/>
    <cellStyle name="Note 4 2 16 2" xfId="25443"/>
    <cellStyle name="Note 4 2 16 3" xfId="25444"/>
    <cellStyle name="Note 4 2 17" xfId="25445"/>
    <cellStyle name="Note 4 2 18" xfId="25446"/>
    <cellStyle name="Note 4 2 2" xfId="886"/>
    <cellStyle name="Note 4 2 2 10" xfId="25447"/>
    <cellStyle name="Note 4 2 2 11" xfId="25448"/>
    <cellStyle name="Note 4 2 2 2" xfId="25449"/>
    <cellStyle name="Note 4 2 2 2 2" xfId="25450"/>
    <cellStyle name="Note 4 2 2 2 2 2" xfId="25451"/>
    <cellStyle name="Note 4 2 2 2 2 3" xfId="25452"/>
    <cellStyle name="Note 4 2 2 2 3" xfId="25453"/>
    <cellStyle name="Note 4 2 2 2 3 2" xfId="25454"/>
    <cellStyle name="Note 4 2 2 2 3 3" xfId="25455"/>
    <cellStyle name="Note 4 2 2 2 4" xfId="25456"/>
    <cellStyle name="Note 4 2 2 2 4 2" xfId="25457"/>
    <cellStyle name="Note 4 2 2 2 4 3" xfId="25458"/>
    <cellStyle name="Note 4 2 2 2 5" xfId="25459"/>
    <cellStyle name="Note 4 2 2 2 6" xfId="25460"/>
    <cellStyle name="Note 4 2 2 3" xfId="25461"/>
    <cellStyle name="Note 4 2 2 3 2" xfId="25462"/>
    <cellStyle name="Note 4 2 2 3 2 2" xfId="25463"/>
    <cellStyle name="Note 4 2 2 3 2 3" xfId="25464"/>
    <cellStyle name="Note 4 2 2 3 3" xfId="25465"/>
    <cellStyle name="Note 4 2 2 3 3 2" xfId="25466"/>
    <cellStyle name="Note 4 2 2 3 3 3" xfId="25467"/>
    <cellStyle name="Note 4 2 2 3 4" xfId="25468"/>
    <cellStyle name="Note 4 2 2 3 4 2" xfId="25469"/>
    <cellStyle name="Note 4 2 2 3 4 3" xfId="25470"/>
    <cellStyle name="Note 4 2 2 3 5" xfId="25471"/>
    <cellStyle name="Note 4 2 2 3 6" xfId="25472"/>
    <cellStyle name="Note 4 2 2 4" xfId="25473"/>
    <cellStyle name="Note 4 2 2 4 2" xfId="25474"/>
    <cellStyle name="Note 4 2 2 4 2 2" xfId="25475"/>
    <cellStyle name="Note 4 2 2 4 2 3" xfId="25476"/>
    <cellStyle name="Note 4 2 2 4 3" xfId="25477"/>
    <cellStyle name="Note 4 2 2 4 3 2" xfId="25478"/>
    <cellStyle name="Note 4 2 2 4 3 3" xfId="25479"/>
    <cellStyle name="Note 4 2 2 4 4" xfId="25480"/>
    <cellStyle name="Note 4 2 2 4 4 2" xfId="25481"/>
    <cellStyle name="Note 4 2 2 4 4 3" xfId="25482"/>
    <cellStyle name="Note 4 2 2 4 5" xfId="25483"/>
    <cellStyle name="Note 4 2 2 4 6" xfId="25484"/>
    <cellStyle name="Note 4 2 2 5" xfId="25485"/>
    <cellStyle name="Note 4 2 2 5 2" xfId="25486"/>
    <cellStyle name="Note 4 2 2 5 2 2" xfId="25487"/>
    <cellStyle name="Note 4 2 2 5 2 3" xfId="25488"/>
    <cellStyle name="Note 4 2 2 5 3" xfId="25489"/>
    <cellStyle name="Note 4 2 2 5 3 2" xfId="25490"/>
    <cellStyle name="Note 4 2 2 5 3 3" xfId="25491"/>
    <cellStyle name="Note 4 2 2 5 4" xfId="25492"/>
    <cellStyle name="Note 4 2 2 5 4 2" xfId="25493"/>
    <cellStyle name="Note 4 2 2 5 4 3" xfId="25494"/>
    <cellStyle name="Note 4 2 2 5 5" xfId="25495"/>
    <cellStyle name="Note 4 2 2 5 6" xfId="25496"/>
    <cellStyle name="Note 4 2 2 6" xfId="25497"/>
    <cellStyle name="Note 4 2 2 6 2" xfId="25498"/>
    <cellStyle name="Note 4 2 2 6 2 2" xfId="25499"/>
    <cellStyle name="Note 4 2 2 6 2 3" xfId="25500"/>
    <cellStyle name="Note 4 2 2 6 3" xfId="25501"/>
    <cellStyle name="Note 4 2 2 6 3 2" xfId="25502"/>
    <cellStyle name="Note 4 2 2 6 3 3" xfId="25503"/>
    <cellStyle name="Note 4 2 2 6 4" xfId="25504"/>
    <cellStyle name="Note 4 2 2 6 4 2" xfId="25505"/>
    <cellStyle name="Note 4 2 2 6 4 3" xfId="25506"/>
    <cellStyle name="Note 4 2 2 6 5" xfId="25507"/>
    <cellStyle name="Note 4 2 2 6 6" xfId="25508"/>
    <cellStyle name="Note 4 2 2 7" xfId="25509"/>
    <cellStyle name="Note 4 2 2 7 2" xfId="25510"/>
    <cellStyle name="Note 4 2 2 7 3" xfId="25511"/>
    <cellStyle name="Note 4 2 2 8" xfId="25512"/>
    <cellStyle name="Note 4 2 2 8 2" xfId="25513"/>
    <cellStyle name="Note 4 2 2 8 3" xfId="25514"/>
    <cellStyle name="Note 4 2 2 9" xfId="25515"/>
    <cellStyle name="Note 4 2 2 9 2" xfId="25516"/>
    <cellStyle name="Note 4 2 2 9 3" xfId="25517"/>
    <cellStyle name="Note 4 2 3" xfId="794"/>
    <cellStyle name="Note 4 2 3 10" xfId="25518"/>
    <cellStyle name="Note 4 2 3 11" xfId="25519"/>
    <cellStyle name="Note 4 2 3 2" xfId="25520"/>
    <cellStyle name="Note 4 2 3 2 2" xfId="25521"/>
    <cellStyle name="Note 4 2 3 2 2 2" xfId="25522"/>
    <cellStyle name="Note 4 2 3 2 2 3" xfId="25523"/>
    <cellStyle name="Note 4 2 3 2 3" xfId="25524"/>
    <cellStyle name="Note 4 2 3 2 3 2" xfId="25525"/>
    <cellStyle name="Note 4 2 3 2 3 3" xfId="25526"/>
    <cellStyle name="Note 4 2 3 2 4" xfId="25527"/>
    <cellStyle name="Note 4 2 3 2 4 2" xfId="25528"/>
    <cellStyle name="Note 4 2 3 2 4 3" xfId="25529"/>
    <cellStyle name="Note 4 2 3 2 5" xfId="25530"/>
    <cellStyle name="Note 4 2 3 2 6" xfId="25531"/>
    <cellStyle name="Note 4 2 3 3" xfId="25532"/>
    <cellStyle name="Note 4 2 3 3 2" xfId="25533"/>
    <cellStyle name="Note 4 2 3 3 2 2" xfId="25534"/>
    <cellStyle name="Note 4 2 3 3 2 3" xfId="25535"/>
    <cellStyle name="Note 4 2 3 3 3" xfId="25536"/>
    <cellStyle name="Note 4 2 3 3 3 2" xfId="25537"/>
    <cellStyle name="Note 4 2 3 3 3 3" xfId="25538"/>
    <cellStyle name="Note 4 2 3 3 4" xfId="25539"/>
    <cellStyle name="Note 4 2 3 3 4 2" xfId="25540"/>
    <cellStyle name="Note 4 2 3 3 4 3" xfId="25541"/>
    <cellStyle name="Note 4 2 3 3 5" xfId="25542"/>
    <cellStyle name="Note 4 2 3 3 6" xfId="25543"/>
    <cellStyle name="Note 4 2 3 4" xfId="25544"/>
    <cellStyle name="Note 4 2 3 4 2" xfId="25545"/>
    <cellStyle name="Note 4 2 3 4 2 2" xfId="25546"/>
    <cellStyle name="Note 4 2 3 4 2 3" xfId="25547"/>
    <cellStyle name="Note 4 2 3 4 3" xfId="25548"/>
    <cellStyle name="Note 4 2 3 4 3 2" xfId="25549"/>
    <cellStyle name="Note 4 2 3 4 3 3" xfId="25550"/>
    <cellStyle name="Note 4 2 3 4 4" xfId="25551"/>
    <cellStyle name="Note 4 2 3 4 4 2" xfId="25552"/>
    <cellStyle name="Note 4 2 3 4 4 3" xfId="25553"/>
    <cellStyle name="Note 4 2 3 4 5" xfId="25554"/>
    <cellStyle name="Note 4 2 3 4 6" xfId="25555"/>
    <cellStyle name="Note 4 2 3 5" xfId="25556"/>
    <cellStyle name="Note 4 2 3 5 2" xfId="25557"/>
    <cellStyle name="Note 4 2 3 5 2 2" xfId="25558"/>
    <cellStyle name="Note 4 2 3 5 2 3" xfId="25559"/>
    <cellStyle name="Note 4 2 3 5 3" xfId="25560"/>
    <cellStyle name="Note 4 2 3 5 3 2" xfId="25561"/>
    <cellStyle name="Note 4 2 3 5 3 3" xfId="25562"/>
    <cellStyle name="Note 4 2 3 5 4" xfId="25563"/>
    <cellStyle name="Note 4 2 3 5 4 2" xfId="25564"/>
    <cellStyle name="Note 4 2 3 5 4 3" xfId="25565"/>
    <cellStyle name="Note 4 2 3 5 5" xfId="25566"/>
    <cellStyle name="Note 4 2 3 5 6" xfId="25567"/>
    <cellStyle name="Note 4 2 3 6" xfId="25568"/>
    <cellStyle name="Note 4 2 3 6 2" xfId="25569"/>
    <cellStyle name="Note 4 2 3 6 2 2" xfId="25570"/>
    <cellStyle name="Note 4 2 3 6 2 3" xfId="25571"/>
    <cellStyle name="Note 4 2 3 6 3" xfId="25572"/>
    <cellStyle name="Note 4 2 3 6 3 2" xfId="25573"/>
    <cellStyle name="Note 4 2 3 6 3 3" xfId="25574"/>
    <cellStyle name="Note 4 2 3 6 4" xfId="25575"/>
    <cellStyle name="Note 4 2 3 6 4 2" xfId="25576"/>
    <cellStyle name="Note 4 2 3 6 4 3" xfId="25577"/>
    <cellStyle name="Note 4 2 3 6 5" xfId="25578"/>
    <cellStyle name="Note 4 2 3 6 6" xfId="25579"/>
    <cellStyle name="Note 4 2 3 7" xfId="25580"/>
    <cellStyle name="Note 4 2 3 7 2" xfId="25581"/>
    <cellStyle name="Note 4 2 3 7 3" xfId="25582"/>
    <cellStyle name="Note 4 2 3 8" xfId="25583"/>
    <cellStyle name="Note 4 2 3 8 2" xfId="25584"/>
    <cellStyle name="Note 4 2 3 8 3" xfId="25585"/>
    <cellStyle name="Note 4 2 3 9" xfId="25586"/>
    <cellStyle name="Note 4 2 3 9 2" xfId="25587"/>
    <cellStyle name="Note 4 2 3 9 3" xfId="25588"/>
    <cellStyle name="Note 4 2 4" xfId="955"/>
    <cellStyle name="Note 4 2 4 10" xfId="25589"/>
    <cellStyle name="Note 4 2 4 11" xfId="25590"/>
    <cellStyle name="Note 4 2 4 2" xfId="25591"/>
    <cellStyle name="Note 4 2 4 2 2" xfId="25592"/>
    <cellStyle name="Note 4 2 4 2 2 2" xfId="25593"/>
    <cellStyle name="Note 4 2 4 2 2 3" xfId="25594"/>
    <cellStyle name="Note 4 2 4 2 3" xfId="25595"/>
    <cellStyle name="Note 4 2 4 2 3 2" xfId="25596"/>
    <cellStyle name="Note 4 2 4 2 3 3" xfId="25597"/>
    <cellStyle name="Note 4 2 4 2 4" xfId="25598"/>
    <cellStyle name="Note 4 2 4 2 4 2" xfId="25599"/>
    <cellStyle name="Note 4 2 4 2 4 3" xfId="25600"/>
    <cellStyle name="Note 4 2 4 2 5" xfId="25601"/>
    <cellStyle name="Note 4 2 4 2 6" xfId="25602"/>
    <cellStyle name="Note 4 2 4 3" xfId="25603"/>
    <cellStyle name="Note 4 2 4 3 2" xfId="25604"/>
    <cellStyle name="Note 4 2 4 3 2 2" xfId="25605"/>
    <cellStyle name="Note 4 2 4 3 2 3" xfId="25606"/>
    <cellStyle name="Note 4 2 4 3 3" xfId="25607"/>
    <cellStyle name="Note 4 2 4 3 3 2" xfId="25608"/>
    <cellStyle name="Note 4 2 4 3 3 3" xfId="25609"/>
    <cellStyle name="Note 4 2 4 3 4" xfId="25610"/>
    <cellStyle name="Note 4 2 4 3 4 2" xfId="25611"/>
    <cellStyle name="Note 4 2 4 3 4 3" xfId="25612"/>
    <cellStyle name="Note 4 2 4 3 5" xfId="25613"/>
    <cellStyle name="Note 4 2 4 3 6" xfId="25614"/>
    <cellStyle name="Note 4 2 4 4" xfId="25615"/>
    <cellStyle name="Note 4 2 4 4 2" xfId="25616"/>
    <cellStyle name="Note 4 2 4 4 2 2" xfId="25617"/>
    <cellStyle name="Note 4 2 4 4 2 3" xfId="25618"/>
    <cellStyle name="Note 4 2 4 4 3" xfId="25619"/>
    <cellStyle name="Note 4 2 4 4 3 2" xfId="25620"/>
    <cellStyle name="Note 4 2 4 4 3 3" xfId="25621"/>
    <cellStyle name="Note 4 2 4 4 4" xfId="25622"/>
    <cellStyle name="Note 4 2 4 4 4 2" xfId="25623"/>
    <cellStyle name="Note 4 2 4 4 4 3" xfId="25624"/>
    <cellStyle name="Note 4 2 4 4 5" xfId="25625"/>
    <cellStyle name="Note 4 2 4 4 6" xfId="25626"/>
    <cellStyle name="Note 4 2 4 5" xfId="25627"/>
    <cellStyle name="Note 4 2 4 5 2" xfId="25628"/>
    <cellStyle name="Note 4 2 4 5 2 2" xfId="25629"/>
    <cellStyle name="Note 4 2 4 5 2 3" xfId="25630"/>
    <cellStyle name="Note 4 2 4 5 3" xfId="25631"/>
    <cellStyle name="Note 4 2 4 5 3 2" xfId="25632"/>
    <cellStyle name="Note 4 2 4 5 3 3" xfId="25633"/>
    <cellStyle name="Note 4 2 4 5 4" xfId="25634"/>
    <cellStyle name="Note 4 2 4 5 4 2" xfId="25635"/>
    <cellStyle name="Note 4 2 4 5 4 3" xfId="25636"/>
    <cellStyle name="Note 4 2 4 5 5" xfId="25637"/>
    <cellStyle name="Note 4 2 4 5 6" xfId="25638"/>
    <cellStyle name="Note 4 2 4 6" xfId="25639"/>
    <cellStyle name="Note 4 2 4 6 2" xfId="25640"/>
    <cellStyle name="Note 4 2 4 6 2 2" xfId="25641"/>
    <cellStyle name="Note 4 2 4 6 2 3" xfId="25642"/>
    <cellStyle name="Note 4 2 4 6 3" xfId="25643"/>
    <cellStyle name="Note 4 2 4 6 3 2" xfId="25644"/>
    <cellStyle name="Note 4 2 4 6 3 3" xfId="25645"/>
    <cellStyle name="Note 4 2 4 6 4" xfId="25646"/>
    <cellStyle name="Note 4 2 4 6 4 2" xfId="25647"/>
    <cellStyle name="Note 4 2 4 6 4 3" xfId="25648"/>
    <cellStyle name="Note 4 2 4 6 5" xfId="25649"/>
    <cellStyle name="Note 4 2 4 6 6" xfId="25650"/>
    <cellStyle name="Note 4 2 4 7" xfId="25651"/>
    <cellStyle name="Note 4 2 4 7 2" xfId="25652"/>
    <cellStyle name="Note 4 2 4 7 3" xfId="25653"/>
    <cellStyle name="Note 4 2 4 8" xfId="25654"/>
    <cellStyle name="Note 4 2 4 8 2" xfId="25655"/>
    <cellStyle name="Note 4 2 4 8 3" xfId="25656"/>
    <cellStyle name="Note 4 2 4 9" xfId="25657"/>
    <cellStyle name="Note 4 2 4 9 2" xfId="25658"/>
    <cellStyle name="Note 4 2 4 9 3" xfId="25659"/>
    <cellStyle name="Note 4 2 5" xfId="25660"/>
    <cellStyle name="Note 4 2 5 10" xfId="25661"/>
    <cellStyle name="Note 4 2 5 11" xfId="25662"/>
    <cellStyle name="Note 4 2 5 2" xfId="25663"/>
    <cellStyle name="Note 4 2 5 2 2" xfId="25664"/>
    <cellStyle name="Note 4 2 5 2 2 2" xfId="25665"/>
    <cellStyle name="Note 4 2 5 2 2 3" xfId="25666"/>
    <cellStyle name="Note 4 2 5 2 3" xfId="25667"/>
    <cellStyle name="Note 4 2 5 2 3 2" xfId="25668"/>
    <cellStyle name="Note 4 2 5 2 3 3" xfId="25669"/>
    <cellStyle name="Note 4 2 5 2 4" xfId="25670"/>
    <cellStyle name="Note 4 2 5 2 4 2" xfId="25671"/>
    <cellStyle name="Note 4 2 5 2 4 3" xfId="25672"/>
    <cellStyle name="Note 4 2 5 2 5" xfId="25673"/>
    <cellStyle name="Note 4 2 5 2 6" xfId="25674"/>
    <cellStyle name="Note 4 2 5 3" xfId="25675"/>
    <cellStyle name="Note 4 2 5 3 2" xfId="25676"/>
    <cellStyle name="Note 4 2 5 3 2 2" xfId="25677"/>
    <cellStyle name="Note 4 2 5 3 2 3" xfId="25678"/>
    <cellStyle name="Note 4 2 5 3 3" xfId="25679"/>
    <cellStyle name="Note 4 2 5 3 3 2" xfId="25680"/>
    <cellStyle name="Note 4 2 5 3 3 3" xfId="25681"/>
    <cellStyle name="Note 4 2 5 3 4" xfId="25682"/>
    <cellStyle name="Note 4 2 5 3 4 2" xfId="25683"/>
    <cellStyle name="Note 4 2 5 3 4 3" xfId="25684"/>
    <cellStyle name="Note 4 2 5 3 5" xfId="25685"/>
    <cellStyle name="Note 4 2 5 3 6" xfId="25686"/>
    <cellStyle name="Note 4 2 5 4" xfId="25687"/>
    <cellStyle name="Note 4 2 5 4 2" xfId="25688"/>
    <cellStyle name="Note 4 2 5 4 2 2" xfId="25689"/>
    <cellStyle name="Note 4 2 5 4 2 3" xfId="25690"/>
    <cellStyle name="Note 4 2 5 4 3" xfId="25691"/>
    <cellStyle name="Note 4 2 5 4 3 2" xfId="25692"/>
    <cellStyle name="Note 4 2 5 4 3 3" xfId="25693"/>
    <cellStyle name="Note 4 2 5 4 4" xfId="25694"/>
    <cellStyle name="Note 4 2 5 4 4 2" xfId="25695"/>
    <cellStyle name="Note 4 2 5 4 4 3" xfId="25696"/>
    <cellStyle name="Note 4 2 5 4 5" xfId="25697"/>
    <cellStyle name="Note 4 2 5 4 6" xfId="25698"/>
    <cellStyle name="Note 4 2 5 5" xfId="25699"/>
    <cellStyle name="Note 4 2 5 5 2" xfId="25700"/>
    <cellStyle name="Note 4 2 5 5 2 2" xfId="25701"/>
    <cellStyle name="Note 4 2 5 5 2 3" xfId="25702"/>
    <cellStyle name="Note 4 2 5 5 3" xfId="25703"/>
    <cellStyle name="Note 4 2 5 5 3 2" xfId="25704"/>
    <cellStyle name="Note 4 2 5 5 3 3" xfId="25705"/>
    <cellStyle name="Note 4 2 5 5 4" xfId="25706"/>
    <cellStyle name="Note 4 2 5 5 4 2" xfId="25707"/>
    <cellStyle name="Note 4 2 5 5 4 3" xfId="25708"/>
    <cellStyle name="Note 4 2 5 5 5" xfId="25709"/>
    <cellStyle name="Note 4 2 5 5 6" xfId="25710"/>
    <cellStyle name="Note 4 2 5 6" xfId="25711"/>
    <cellStyle name="Note 4 2 5 6 2" xfId="25712"/>
    <cellStyle name="Note 4 2 5 6 2 2" xfId="25713"/>
    <cellStyle name="Note 4 2 5 6 2 3" xfId="25714"/>
    <cellStyle name="Note 4 2 5 6 3" xfId="25715"/>
    <cellStyle name="Note 4 2 5 6 3 2" xfId="25716"/>
    <cellStyle name="Note 4 2 5 6 3 3" xfId="25717"/>
    <cellStyle name="Note 4 2 5 6 4" xfId="25718"/>
    <cellStyle name="Note 4 2 5 6 4 2" xfId="25719"/>
    <cellStyle name="Note 4 2 5 6 4 3" xfId="25720"/>
    <cellStyle name="Note 4 2 5 6 5" xfId="25721"/>
    <cellStyle name="Note 4 2 5 6 6" xfId="25722"/>
    <cellStyle name="Note 4 2 5 7" xfId="25723"/>
    <cellStyle name="Note 4 2 5 7 2" xfId="25724"/>
    <cellStyle name="Note 4 2 5 7 3" xfId="25725"/>
    <cellStyle name="Note 4 2 5 8" xfId="25726"/>
    <cellStyle name="Note 4 2 5 8 2" xfId="25727"/>
    <cellStyle name="Note 4 2 5 8 3" xfId="25728"/>
    <cellStyle name="Note 4 2 5 9" xfId="25729"/>
    <cellStyle name="Note 4 2 5 9 2" xfId="25730"/>
    <cellStyle name="Note 4 2 5 9 3" xfId="25731"/>
    <cellStyle name="Note 4 2 6" xfId="25732"/>
    <cellStyle name="Note 4 2 6 2" xfId="25733"/>
    <cellStyle name="Note 4 2 6 2 2" xfId="25734"/>
    <cellStyle name="Note 4 2 6 2 3" xfId="25735"/>
    <cellStyle name="Note 4 2 6 3" xfId="25736"/>
    <cellStyle name="Note 4 2 6 3 2" xfId="25737"/>
    <cellStyle name="Note 4 2 6 3 3" xfId="25738"/>
    <cellStyle name="Note 4 2 6 4" xfId="25739"/>
    <cellStyle name="Note 4 2 6 4 2" xfId="25740"/>
    <cellStyle name="Note 4 2 6 4 3" xfId="25741"/>
    <cellStyle name="Note 4 2 6 5" xfId="25742"/>
    <cellStyle name="Note 4 2 6 6" xfId="25743"/>
    <cellStyle name="Note 4 2 7" xfId="25744"/>
    <cellStyle name="Note 4 2 7 2" xfId="25745"/>
    <cellStyle name="Note 4 2 7 2 2" xfId="25746"/>
    <cellStyle name="Note 4 2 7 2 3" xfId="25747"/>
    <cellStyle name="Note 4 2 7 3" xfId="25748"/>
    <cellStyle name="Note 4 2 7 3 2" xfId="25749"/>
    <cellStyle name="Note 4 2 7 3 3" xfId="25750"/>
    <cellStyle name="Note 4 2 7 4" xfId="25751"/>
    <cellStyle name="Note 4 2 7 4 2" xfId="25752"/>
    <cellStyle name="Note 4 2 7 4 3" xfId="25753"/>
    <cellStyle name="Note 4 2 7 5" xfId="25754"/>
    <cellStyle name="Note 4 2 7 6" xfId="25755"/>
    <cellStyle name="Note 4 2 8" xfId="25756"/>
    <cellStyle name="Note 4 2 8 2" xfId="25757"/>
    <cellStyle name="Note 4 2 8 2 2" xfId="25758"/>
    <cellStyle name="Note 4 2 8 2 3" xfId="25759"/>
    <cellStyle name="Note 4 2 8 3" xfId="25760"/>
    <cellStyle name="Note 4 2 8 3 2" xfId="25761"/>
    <cellStyle name="Note 4 2 8 3 3" xfId="25762"/>
    <cellStyle name="Note 4 2 8 4" xfId="25763"/>
    <cellStyle name="Note 4 2 8 4 2" xfId="25764"/>
    <cellStyle name="Note 4 2 8 4 3" xfId="25765"/>
    <cellStyle name="Note 4 2 8 5" xfId="25766"/>
    <cellStyle name="Note 4 2 8 6" xfId="25767"/>
    <cellStyle name="Note 4 2 9" xfId="25768"/>
    <cellStyle name="Note 4 2 9 2" xfId="25769"/>
    <cellStyle name="Note 4 2 9 2 2" xfId="25770"/>
    <cellStyle name="Note 4 2 9 2 3" xfId="25771"/>
    <cellStyle name="Note 4 2 9 3" xfId="25772"/>
    <cellStyle name="Note 4 2 9 3 2" xfId="25773"/>
    <cellStyle name="Note 4 2 9 3 3" xfId="25774"/>
    <cellStyle name="Note 4 2 9 4" xfId="25775"/>
    <cellStyle name="Note 4 2 9 4 2" xfId="25776"/>
    <cellStyle name="Note 4 2 9 4 3" xfId="25777"/>
    <cellStyle name="Note 4 2 9 5" xfId="25778"/>
    <cellStyle name="Note 4 2 9 6" xfId="25779"/>
    <cellStyle name="Note 4 3" xfId="1163"/>
    <cellStyle name="Note 4 3 10" xfId="25780"/>
    <cellStyle name="Note 4 3 11" xfId="25781"/>
    <cellStyle name="Note 4 3 2" xfId="25782"/>
    <cellStyle name="Note 4 3 2 2" xfId="25783"/>
    <cellStyle name="Note 4 3 2 2 2" xfId="25784"/>
    <cellStyle name="Note 4 3 2 2 3" xfId="25785"/>
    <cellStyle name="Note 4 3 2 3" xfId="25786"/>
    <cellStyle name="Note 4 3 2 3 2" xfId="25787"/>
    <cellStyle name="Note 4 3 2 3 3" xfId="25788"/>
    <cellStyle name="Note 4 3 2 4" xfId="25789"/>
    <cellStyle name="Note 4 3 2 4 2" xfId="25790"/>
    <cellStyle name="Note 4 3 2 4 3" xfId="25791"/>
    <cellStyle name="Note 4 3 2 5" xfId="25792"/>
    <cellStyle name="Note 4 3 2 6" xfId="25793"/>
    <cellStyle name="Note 4 3 3" xfId="25794"/>
    <cellStyle name="Note 4 3 3 2" xfId="25795"/>
    <cellStyle name="Note 4 3 3 2 2" xfId="25796"/>
    <cellStyle name="Note 4 3 3 2 3" xfId="25797"/>
    <cellStyle name="Note 4 3 3 3" xfId="25798"/>
    <cellStyle name="Note 4 3 3 3 2" xfId="25799"/>
    <cellStyle name="Note 4 3 3 3 3" xfId="25800"/>
    <cellStyle name="Note 4 3 3 4" xfId="25801"/>
    <cellStyle name="Note 4 3 3 4 2" xfId="25802"/>
    <cellStyle name="Note 4 3 3 4 3" xfId="25803"/>
    <cellStyle name="Note 4 3 3 5" xfId="25804"/>
    <cellStyle name="Note 4 3 3 6" xfId="25805"/>
    <cellStyle name="Note 4 3 4" xfId="25806"/>
    <cellStyle name="Note 4 3 4 2" xfId="25807"/>
    <cellStyle name="Note 4 3 4 2 2" xfId="25808"/>
    <cellStyle name="Note 4 3 4 2 3" xfId="25809"/>
    <cellStyle name="Note 4 3 4 3" xfId="25810"/>
    <cellStyle name="Note 4 3 4 3 2" xfId="25811"/>
    <cellStyle name="Note 4 3 4 3 3" xfId="25812"/>
    <cellStyle name="Note 4 3 4 4" xfId="25813"/>
    <cellStyle name="Note 4 3 4 4 2" xfId="25814"/>
    <cellStyle name="Note 4 3 4 4 3" xfId="25815"/>
    <cellStyle name="Note 4 3 4 5" xfId="25816"/>
    <cellStyle name="Note 4 3 4 6" xfId="25817"/>
    <cellStyle name="Note 4 3 5" xfId="25818"/>
    <cellStyle name="Note 4 3 5 2" xfId="25819"/>
    <cellStyle name="Note 4 3 5 2 2" xfId="25820"/>
    <cellStyle name="Note 4 3 5 2 3" xfId="25821"/>
    <cellStyle name="Note 4 3 5 3" xfId="25822"/>
    <cellStyle name="Note 4 3 5 3 2" xfId="25823"/>
    <cellStyle name="Note 4 3 5 3 3" xfId="25824"/>
    <cellStyle name="Note 4 3 5 4" xfId="25825"/>
    <cellStyle name="Note 4 3 5 4 2" xfId="25826"/>
    <cellStyle name="Note 4 3 5 4 3" xfId="25827"/>
    <cellStyle name="Note 4 3 5 5" xfId="25828"/>
    <cellStyle name="Note 4 3 5 6" xfId="25829"/>
    <cellStyle name="Note 4 3 6" xfId="25830"/>
    <cellStyle name="Note 4 3 6 2" xfId="25831"/>
    <cellStyle name="Note 4 3 6 2 2" xfId="25832"/>
    <cellStyle name="Note 4 3 6 2 3" xfId="25833"/>
    <cellStyle name="Note 4 3 6 3" xfId="25834"/>
    <cellStyle name="Note 4 3 6 3 2" xfId="25835"/>
    <cellStyle name="Note 4 3 6 3 3" xfId="25836"/>
    <cellStyle name="Note 4 3 6 4" xfId="25837"/>
    <cellStyle name="Note 4 3 6 4 2" xfId="25838"/>
    <cellStyle name="Note 4 3 6 4 3" xfId="25839"/>
    <cellStyle name="Note 4 3 6 5" xfId="25840"/>
    <cellStyle name="Note 4 3 6 6" xfId="25841"/>
    <cellStyle name="Note 4 3 7" xfId="25842"/>
    <cellStyle name="Note 4 3 7 2" xfId="25843"/>
    <cellStyle name="Note 4 3 7 3" xfId="25844"/>
    <cellStyle name="Note 4 3 8" xfId="25845"/>
    <cellStyle name="Note 4 3 8 2" xfId="25846"/>
    <cellStyle name="Note 4 3 8 3" xfId="25847"/>
    <cellStyle name="Note 4 3 9" xfId="25848"/>
    <cellStyle name="Note 4 3 9 2" xfId="25849"/>
    <cellStyle name="Note 4 3 9 3" xfId="25850"/>
    <cellStyle name="Note 4 4" xfId="1110"/>
    <cellStyle name="Note 4 5" xfId="3270"/>
    <cellStyle name="Note 4 6" xfId="3293"/>
    <cellStyle name="Note 4 7" xfId="3306"/>
    <cellStyle name="Note 5" xfId="309"/>
    <cellStyle name="Note 5 2" xfId="627"/>
    <cellStyle name="Note 5 2 10" xfId="25851"/>
    <cellStyle name="Note 5 2 10 2" xfId="25852"/>
    <cellStyle name="Note 5 2 10 2 2" xfId="25853"/>
    <cellStyle name="Note 5 2 10 2 3" xfId="25854"/>
    <cellStyle name="Note 5 2 10 3" xfId="25855"/>
    <cellStyle name="Note 5 2 10 3 2" xfId="25856"/>
    <cellStyle name="Note 5 2 10 3 3" xfId="25857"/>
    <cellStyle name="Note 5 2 10 4" xfId="25858"/>
    <cellStyle name="Note 5 2 10 4 2" xfId="25859"/>
    <cellStyle name="Note 5 2 10 4 3" xfId="25860"/>
    <cellStyle name="Note 5 2 10 5" xfId="25861"/>
    <cellStyle name="Note 5 2 10 6" xfId="25862"/>
    <cellStyle name="Note 5 2 11" xfId="25863"/>
    <cellStyle name="Note 5 2 11 2" xfId="25864"/>
    <cellStyle name="Note 5 2 11 2 2" xfId="25865"/>
    <cellStyle name="Note 5 2 11 2 3" xfId="25866"/>
    <cellStyle name="Note 5 2 11 3" xfId="25867"/>
    <cellStyle name="Note 5 2 11 3 2" xfId="25868"/>
    <cellStyle name="Note 5 2 11 3 3" xfId="25869"/>
    <cellStyle name="Note 5 2 11 4" xfId="25870"/>
    <cellStyle name="Note 5 2 11 4 2" xfId="25871"/>
    <cellStyle name="Note 5 2 11 4 3" xfId="25872"/>
    <cellStyle name="Note 5 2 11 5" xfId="25873"/>
    <cellStyle name="Note 5 2 11 6" xfId="25874"/>
    <cellStyle name="Note 5 2 12" xfId="25875"/>
    <cellStyle name="Note 5 2 12 2" xfId="25876"/>
    <cellStyle name="Note 5 2 12 2 2" xfId="25877"/>
    <cellStyle name="Note 5 2 12 2 3" xfId="25878"/>
    <cellStyle name="Note 5 2 12 3" xfId="25879"/>
    <cellStyle name="Note 5 2 12 3 2" xfId="25880"/>
    <cellStyle name="Note 5 2 12 3 3" xfId="25881"/>
    <cellStyle name="Note 5 2 12 4" xfId="25882"/>
    <cellStyle name="Note 5 2 12 4 2" xfId="25883"/>
    <cellStyle name="Note 5 2 12 4 3" xfId="25884"/>
    <cellStyle name="Note 5 2 12 5" xfId="25885"/>
    <cellStyle name="Note 5 2 12 6" xfId="25886"/>
    <cellStyle name="Note 5 2 13" xfId="25887"/>
    <cellStyle name="Note 5 2 13 2" xfId="25888"/>
    <cellStyle name="Note 5 2 13 2 2" xfId="25889"/>
    <cellStyle name="Note 5 2 13 2 3" xfId="25890"/>
    <cellStyle name="Note 5 2 13 3" xfId="25891"/>
    <cellStyle name="Note 5 2 13 3 2" xfId="25892"/>
    <cellStyle name="Note 5 2 13 3 3" xfId="25893"/>
    <cellStyle name="Note 5 2 13 4" xfId="25894"/>
    <cellStyle name="Note 5 2 13 4 2" xfId="25895"/>
    <cellStyle name="Note 5 2 13 4 3" xfId="25896"/>
    <cellStyle name="Note 5 2 13 5" xfId="25897"/>
    <cellStyle name="Note 5 2 13 6" xfId="25898"/>
    <cellStyle name="Note 5 2 14" xfId="25899"/>
    <cellStyle name="Note 5 2 14 2" xfId="25900"/>
    <cellStyle name="Note 5 2 14 3" xfId="25901"/>
    <cellStyle name="Note 5 2 15" xfId="25902"/>
    <cellStyle name="Note 5 2 15 2" xfId="25903"/>
    <cellStyle name="Note 5 2 15 3" xfId="25904"/>
    <cellStyle name="Note 5 2 16" xfId="25905"/>
    <cellStyle name="Note 5 2 16 2" xfId="25906"/>
    <cellStyle name="Note 5 2 16 3" xfId="25907"/>
    <cellStyle name="Note 5 2 17" xfId="25908"/>
    <cellStyle name="Note 5 2 18" xfId="25909"/>
    <cellStyle name="Note 5 2 2" xfId="887"/>
    <cellStyle name="Note 5 2 2 10" xfId="25910"/>
    <cellStyle name="Note 5 2 2 11" xfId="25911"/>
    <cellStyle name="Note 5 2 2 2" xfId="25912"/>
    <cellStyle name="Note 5 2 2 2 2" xfId="25913"/>
    <cellStyle name="Note 5 2 2 2 2 2" xfId="25914"/>
    <cellStyle name="Note 5 2 2 2 2 3" xfId="25915"/>
    <cellStyle name="Note 5 2 2 2 3" xfId="25916"/>
    <cellStyle name="Note 5 2 2 2 3 2" xfId="25917"/>
    <cellStyle name="Note 5 2 2 2 3 3" xfId="25918"/>
    <cellStyle name="Note 5 2 2 2 4" xfId="25919"/>
    <cellStyle name="Note 5 2 2 2 4 2" xfId="25920"/>
    <cellStyle name="Note 5 2 2 2 4 3" xfId="25921"/>
    <cellStyle name="Note 5 2 2 2 5" xfId="25922"/>
    <cellStyle name="Note 5 2 2 2 6" xfId="25923"/>
    <cellStyle name="Note 5 2 2 3" xfId="25924"/>
    <cellStyle name="Note 5 2 2 3 2" xfId="25925"/>
    <cellStyle name="Note 5 2 2 3 2 2" xfId="25926"/>
    <cellStyle name="Note 5 2 2 3 2 3" xfId="25927"/>
    <cellStyle name="Note 5 2 2 3 3" xfId="25928"/>
    <cellStyle name="Note 5 2 2 3 3 2" xfId="25929"/>
    <cellStyle name="Note 5 2 2 3 3 3" xfId="25930"/>
    <cellStyle name="Note 5 2 2 3 4" xfId="25931"/>
    <cellStyle name="Note 5 2 2 3 4 2" xfId="25932"/>
    <cellStyle name="Note 5 2 2 3 4 3" xfId="25933"/>
    <cellStyle name="Note 5 2 2 3 5" xfId="25934"/>
    <cellStyle name="Note 5 2 2 3 6" xfId="25935"/>
    <cellStyle name="Note 5 2 2 4" xfId="25936"/>
    <cellStyle name="Note 5 2 2 4 2" xfId="25937"/>
    <cellStyle name="Note 5 2 2 4 2 2" xfId="25938"/>
    <cellStyle name="Note 5 2 2 4 2 3" xfId="25939"/>
    <cellStyle name="Note 5 2 2 4 3" xfId="25940"/>
    <cellStyle name="Note 5 2 2 4 3 2" xfId="25941"/>
    <cellStyle name="Note 5 2 2 4 3 3" xfId="25942"/>
    <cellStyle name="Note 5 2 2 4 4" xfId="25943"/>
    <cellStyle name="Note 5 2 2 4 4 2" xfId="25944"/>
    <cellStyle name="Note 5 2 2 4 4 3" xfId="25945"/>
    <cellStyle name="Note 5 2 2 4 5" xfId="25946"/>
    <cellStyle name="Note 5 2 2 4 6" xfId="25947"/>
    <cellStyle name="Note 5 2 2 5" xfId="25948"/>
    <cellStyle name="Note 5 2 2 5 2" xfId="25949"/>
    <cellStyle name="Note 5 2 2 5 2 2" xfId="25950"/>
    <cellStyle name="Note 5 2 2 5 2 3" xfId="25951"/>
    <cellStyle name="Note 5 2 2 5 3" xfId="25952"/>
    <cellStyle name="Note 5 2 2 5 3 2" xfId="25953"/>
    <cellStyle name="Note 5 2 2 5 3 3" xfId="25954"/>
    <cellStyle name="Note 5 2 2 5 4" xfId="25955"/>
    <cellStyle name="Note 5 2 2 5 4 2" xfId="25956"/>
    <cellStyle name="Note 5 2 2 5 4 3" xfId="25957"/>
    <cellStyle name="Note 5 2 2 5 5" xfId="25958"/>
    <cellStyle name="Note 5 2 2 5 6" xfId="25959"/>
    <cellStyle name="Note 5 2 2 6" xfId="25960"/>
    <cellStyle name="Note 5 2 2 6 2" xfId="25961"/>
    <cellStyle name="Note 5 2 2 6 2 2" xfId="25962"/>
    <cellStyle name="Note 5 2 2 6 2 3" xfId="25963"/>
    <cellStyle name="Note 5 2 2 6 3" xfId="25964"/>
    <cellStyle name="Note 5 2 2 6 3 2" xfId="25965"/>
    <cellStyle name="Note 5 2 2 6 3 3" xfId="25966"/>
    <cellStyle name="Note 5 2 2 6 4" xfId="25967"/>
    <cellStyle name="Note 5 2 2 6 4 2" xfId="25968"/>
    <cellStyle name="Note 5 2 2 6 4 3" xfId="25969"/>
    <cellStyle name="Note 5 2 2 6 5" xfId="25970"/>
    <cellStyle name="Note 5 2 2 6 6" xfId="25971"/>
    <cellStyle name="Note 5 2 2 7" xfId="25972"/>
    <cellStyle name="Note 5 2 2 7 2" xfId="25973"/>
    <cellStyle name="Note 5 2 2 7 3" xfId="25974"/>
    <cellStyle name="Note 5 2 2 8" xfId="25975"/>
    <cellStyle name="Note 5 2 2 8 2" xfId="25976"/>
    <cellStyle name="Note 5 2 2 8 3" xfId="25977"/>
    <cellStyle name="Note 5 2 2 9" xfId="25978"/>
    <cellStyle name="Note 5 2 2 9 2" xfId="25979"/>
    <cellStyle name="Note 5 2 2 9 3" xfId="25980"/>
    <cellStyle name="Note 5 2 3" xfId="836"/>
    <cellStyle name="Note 5 2 3 10" xfId="25981"/>
    <cellStyle name="Note 5 2 3 11" xfId="25982"/>
    <cellStyle name="Note 5 2 3 2" xfId="25983"/>
    <cellStyle name="Note 5 2 3 2 2" xfId="25984"/>
    <cellStyle name="Note 5 2 3 2 2 2" xfId="25985"/>
    <cellStyle name="Note 5 2 3 2 2 3" xfId="25986"/>
    <cellStyle name="Note 5 2 3 2 3" xfId="25987"/>
    <cellStyle name="Note 5 2 3 2 3 2" xfId="25988"/>
    <cellStyle name="Note 5 2 3 2 3 3" xfId="25989"/>
    <cellStyle name="Note 5 2 3 2 4" xfId="25990"/>
    <cellStyle name="Note 5 2 3 2 4 2" xfId="25991"/>
    <cellStyle name="Note 5 2 3 2 4 3" xfId="25992"/>
    <cellStyle name="Note 5 2 3 2 5" xfId="25993"/>
    <cellStyle name="Note 5 2 3 2 6" xfId="25994"/>
    <cellStyle name="Note 5 2 3 3" xfId="25995"/>
    <cellStyle name="Note 5 2 3 3 2" xfId="25996"/>
    <cellStyle name="Note 5 2 3 3 2 2" xfId="25997"/>
    <cellStyle name="Note 5 2 3 3 2 3" xfId="25998"/>
    <cellStyle name="Note 5 2 3 3 3" xfId="25999"/>
    <cellStyle name="Note 5 2 3 3 3 2" xfId="26000"/>
    <cellStyle name="Note 5 2 3 3 3 3" xfId="26001"/>
    <cellStyle name="Note 5 2 3 3 4" xfId="26002"/>
    <cellStyle name="Note 5 2 3 3 4 2" xfId="26003"/>
    <cellStyle name="Note 5 2 3 3 4 3" xfId="26004"/>
    <cellStyle name="Note 5 2 3 3 5" xfId="26005"/>
    <cellStyle name="Note 5 2 3 3 6" xfId="26006"/>
    <cellStyle name="Note 5 2 3 4" xfId="26007"/>
    <cellStyle name="Note 5 2 3 4 2" xfId="26008"/>
    <cellStyle name="Note 5 2 3 4 2 2" xfId="26009"/>
    <cellStyle name="Note 5 2 3 4 2 3" xfId="26010"/>
    <cellStyle name="Note 5 2 3 4 3" xfId="26011"/>
    <cellStyle name="Note 5 2 3 4 3 2" xfId="26012"/>
    <cellStyle name="Note 5 2 3 4 3 3" xfId="26013"/>
    <cellStyle name="Note 5 2 3 4 4" xfId="26014"/>
    <cellStyle name="Note 5 2 3 4 4 2" xfId="26015"/>
    <cellStyle name="Note 5 2 3 4 4 3" xfId="26016"/>
    <cellStyle name="Note 5 2 3 4 5" xfId="26017"/>
    <cellStyle name="Note 5 2 3 4 6" xfId="26018"/>
    <cellStyle name="Note 5 2 3 5" xfId="26019"/>
    <cellStyle name="Note 5 2 3 5 2" xfId="26020"/>
    <cellStyle name="Note 5 2 3 5 2 2" xfId="26021"/>
    <cellStyle name="Note 5 2 3 5 2 3" xfId="26022"/>
    <cellStyle name="Note 5 2 3 5 3" xfId="26023"/>
    <cellStyle name="Note 5 2 3 5 3 2" xfId="26024"/>
    <cellStyle name="Note 5 2 3 5 3 3" xfId="26025"/>
    <cellStyle name="Note 5 2 3 5 4" xfId="26026"/>
    <cellStyle name="Note 5 2 3 5 4 2" xfId="26027"/>
    <cellStyle name="Note 5 2 3 5 4 3" xfId="26028"/>
    <cellStyle name="Note 5 2 3 5 5" xfId="26029"/>
    <cellStyle name="Note 5 2 3 5 6" xfId="26030"/>
    <cellStyle name="Note 5 2 3 6" xfId="26031"/>
    <cellStyle name="Note 5 2 3 6 2" xfId="26032"/>
    <cellStyle name="Note 5 2 3 6 2 2" xfId="26033"/>
    <cellStyle name="Note 5 2 3 6 2 3" xfId="26034"/>
    <cellStyle name="Note 5 2 3 6 3" xfId="26035"/>
    <cellStyle name="Note 5 2 3 6 3 2" xfId="26036"/>
    <cellStyle name="Note 5 2 3 6 3 3" xfId="26037"/>
    <cellStyle name="Note 5 2 3 6 4" xfId="26038"/>
    <cellStyle name="Note 5 2 3 6 4 2" xfId="26039"/>
    <cellStyle name="Note 5 2 3 6 4 3" xfId="26040"/>
    <cellStyle name="Note 5 2 3 6 5" xfId="26041"/>
    <cellStyle name="Note 5 2 3 6 6" xfId="26042"/>
    <cellStyle name="Note 5 2 3 7" xfId="26043"/>
    <cellStyle name="Note 5 2 3 7 2" xfId="26044"/>
    <cellStyle name="Note 5 2 3 7 3" xfId="26045"/>
    <cellStyle name="Note 5 2 3 8" xfId="26046"/>
    <cellStyle name="Note 5 2 3 8 2" xfId="26047"/>
    <cellStyle name="Note 5 2 3 8 3" xfId="26048"/>
    <cellStyle name="Note 5 2 3 9" xfId="26049"/>
    <cellStyle name="Note 5 2 3 9 2" xfId="26050"/>
    <cellStyle name="Note 5 2 3 9 3" xfId="26051"/>
    <cellStyle name="Note 5 2 4" xfId="956"/>
    <cellStyle name="Note 5 2 4 10" xfId="26052"/>
    <cellStyle name="Note 5 2 4 11" xfId="26053"/>
    <cellStyle name="Note 5 2 4 2" xfId="26054"/>
    <cellStyle name="Note 5 2 4 2 2" xfId="26055"/>
    <cellStyle name="Note 5 2 4 2 2 2" xfId="26056"/>
    <cellStyle name="Note 5 2 4 2 2 3" xfId="26057"/>
    <cellStyle name="Note 5 2 4 2 3" xfId="26058"/>
    <cellStyle name="Note 5 2 4 2 3 2" xfId="26059"/>
    <cellStyle name="Note 5 2 4 2 3 3" xfId="26060"/>
    <cellStyle name="Note 5 2 4 2 4" xfId="26061"/>
    <cellStyle name="Note 5 2 4 2 4 2" xfId="26062"/>
    <cellStyle name="Note 5 2 4 2 4 3" xfId="26063"/>
    <cellStyle name="Note 5 2 4 2 5" xfId="26064"/>
    <cellStyle name="Note 5 2 4 2 6" xfId="26065"/>
    <cellStyle name="Note 5 2 4 3" xfId="26066"/>
    <cellStyle name="Note 5 2 4 3 2" xfId="26067"/>
    <cellStyle name="Note 5 2 4 3 2 2" xfId="26068"/>
    <cellStyle name="Note 5 2 4 3 2 3" xfId="26069"/>
    <cellStyle name="Note 5 2 4 3 3" xfId="26070"/>
    <cellStyle name="Note 5 2 4 3 3 2" xfId="26071"/>
    <cellStyle name="Note 5 2 4 3 3 3" xfId="26072"/>
    <cellStyle name="Note 5 2 4 3 4" xfId="26073"/>
    <cellStyle name="Note 5 2 4 3 4 2" xfId="26074"/>
    <cellStyle name="Note 5 2 4 3 4 3" xfId="26075"/>
    <cellStyle name="Note 5 2 4 3 5" xfId="26076"/>
    <cellStyle name="Note 5 2 4 3 6" xfId="26077"/>
    <cellStyle name="Note 5 2 4 4" xfId="26078"/>
    <cellStyle name="Note 5 2 4 4 2" xfId="26079"/>
    <cellStyle name="Note 5 2 4 4 2 2" xfId="26080"/>
    <cellStyle name="Note 5 2 4 4 2 3" xfId="26081"/>
    <cellStyle name="Note 5 2 4 4 3" xfId="26082"/>
    <cellStyle name="Note 5 2 4 4 3 2" xfId="26083"/>
    <cellStyle name="Note 5 2 4 4 3 3" xfId="26084"/>
    <cellStyle name="Note 5 2 4 4 4" xfId="26085"/>
    <cellStyle name="Note 5 2 4 4 4 2" xfId="26086"/>
    <cellStyle name="Note 5 2 4 4 4 3" xfId="26087"/>
    <cellStyle name="Note 5 2 4 4 5" xfId="26088"/>
    <cellStyle name="Note 5 2 4 4 6" xfId="26089"/>
    <cellStyle name="Note 5 2 4 5" xfId="26090"/>
    <cellStyle name="Note 5 2 4 5 2" xfId="26091"/>
    <cellStyle name="Note 5 2 4 5 2 2" xfId="26092"/>
    <cellStyle name="Note 5 2 4 5 2 3" xfId="26093"/>
    <cellStyle name="Note 5 2 4 5 3" xfId="26094"/>
    <cellStyle name="Note 5 2 4 5 3 2" xfId="26095"/>
    <cellStyle name="Note 5 2 4 5 3 3" xfId="26096"/>
    <cellStyle name="Note 5 2 4 5 4" xfId="26097"/>
    <cellStyle name="Note 5 2 4 5 4 2" xfId="26098"/>
    <cellStyle name="Note 5 2 4 5 4 3" xfId="26099"/>
    <cellStyle name="Note 5 2 4 5 5" xfId="26100"/>
    <cellStyle name="Note 5 2 4 5 6" xfId="26101"/>
    <cellStyle name="Note 5 2 4 6" xfId="26102"/>
    <cellStyle name="Note 5 2 4 6 2" xfId="26103"/>
    <cellStyle name="Note 5 2 4 6 2 2" xfId="26104"/>
    <cellStyle name="Note 5 2 4 6 2 3" xfId="26105"/>
    <cellStyle name="Note 5 2 4 6 3" xfId="26106"/>
    <cellStyle name="Note 5 2 4 6 3 2" xfId="26107"/>
    <cellStyle name="Note 5 2 4 6 3 3" xfId="26108"/>
    <cellStyle name="Note 5 2 4 6 4" xfId="26109"/>
    <cellStyle name="Note 5 2 4 6 4 2" xfId="26110"/>
    <cellStyle name="Note 5 2 4 6 4 3" xfId="26111"/>
    <cellStyle name="Note 5 2 4 6 5" xfId="26112"/>
    <cellStyle name="Note 5 2 4 6 6" xfId="26113"/>
    <cellStyle name="Note 5 2 4 7" xfId="26114"/>
    <cellStyle name="Note 5 2 4 7 2" xfId="26115"/>
    <cellStyle name="Note 5 2 4 7 3" xfId="26116"/>
    <cellStyle name="Note 5 2 4 8" xfId="26117"/>
    <cellStyle name="Note 5 2 4 8 2" xfId="26118"/>
    <cellStyle name="Note 5 2 4 8 3" xfId="26119"/>
    <cellStyle name="Note 5 2 4 9" xfId="26120"/>
    <cellStyle name="Note 5 2 4 9 2" xfId="26121"/>
    <cellStyle name="Note 5 2 4 9 3" xfId="26122"/>
    <cellStyle name="Note 5 2 5" xfId="26123"/>
    <cellStyle name="Note 5 2 5 10" xfId="26124"/>
    <cellStyle name="Note 5 2 5 11" xfId="26125"/>
    <cellStyle name="Note 5 2 5 2" xfId="26126"/>
    <cellStyle name="Note 5 2 5 2 2" xfId="26127"/>
    <cellStyle name="Note 5 2 5 2 2 2" xfId="26128"/>
    <cellStyle name="Note 5 2 5 2 2 3" xfId="26129"/>
    <cellStyle name="Note 5 2 5 2 3" xfId="26130"/>
    <cellStyle name="Note 5 2 5 2 3 2" xfId="26131"/>
    <cellStyle name="Note 5 2 5 2 3 3" xfId="26132"/>
    <cellStyle name="Note 5 2 5 2 4" xfId="26133"/>
    <cellStyle name="Note 5 2 5 2 4 2" xfId="26134"/>
    <cellStyle name="Note 5 2 5 2 4 3" xfId="26135"/>
    <cellStyle name="Note 5 2 5 2 5" xfId="26136"/>
    <cellStyle name="Note 5 2 5 2 6" xfId="26137"/>
    <cellStyle name="Note 5 2 5 3" xfId="26138"/>
    <cellStyle name="Note 5 2 5 3 2" xfId="26139"/>
    <cellStyle name="Note 5 2 5 3 2 2" xfId="26140"/>
    <cellStyle name="Note 5 2 5 3 2 3" xfId="26141"/>
    <cellStyle name="Note 5 2 5 3 3" xfId="26142"/>
    <cellStyle name="Note 5 2 5 3 3 2" xfId="26143"/>
    <cellStyle name="Note 5 2 5 3 3 3" xfId="26144"/>
    <cellStyle name="Note 5 2 5 3 4" xfId="26145"/>
    <cellStyle name="Note 5 2 5 3 4 2" xfId="26146"/>
    <cellStyle name="Note 5 2 5 3 4 3" xfId="26147"/>
    <cellStyle name="Note 5 2 5 3 5" xfId="26148"/>
    <cellStyle name="Note 5 2 5 3 6" xfId="26149"/>
    <cellStyle name="Note 5 2 5 4" xfId="26150"/>
    <cellStyle name="Note 5 2 5 4 2" xfId="26151"/>
    <cellStyle name="Note 5 2 5 4 2 2" xfId="26152"/>
    <cellStyle name="Note 5 2 5 4 2 3" xfId="26153"/>
    <cellStyle name="Note 5 2 5 4 3" xfId="26154"/>
    <cellStyle name="Note 5 2 5 4 3 2" xfId="26155"/>
    <cellStyle name="Note 5 2 5 4 3 3" xfId="26156"/>
    <cellStyle name="Note 5 2 5 4 4" xfId="26157"/>
    <cellStyle name="Note 5 2 5 4 4 2" xfId="26158"/>
    <cellStyle name="Note 5 2 5 4 4 3" xfId="26159"/>
    <cellStyle name="Note 5 2 5 4 5" xfId="26160"/>
    <cellStyle name="Note 5 2 5 4 6" xfId="26161"/>
    <cellStyle name="Note 5 2 5 5" xfId="26162"/>
    <cellStyle name="Note 5 2 5 5 2" xfId="26163"/>
    <cellStyle name="Note 5 2 5 5 2 2" xfId="26164"/>
    <cellStyle name="Note 5 2 5 5 2 3" xfId="26165"/>
    <cellStyle name="Note 5 2 5 5 3" xfId="26166"/>
    <cellStyle name="Note 5 2 5 5 3 2" xfId="26167"/>
    <cellStyle name="Note 5 2 5 5 3 3" xfId="26168"/>
    <cellStyle name="Note 5 2 5 5 4" xfId="26169"/>
    <cellStyle name="Note 5 2 5 5 4 2" xfId="26170"/>
    <cellStyle name="Note 5 2 5 5 4 3" xfId="26171"/>
    <cellStyle name="Note 5 2 5 5 5" xfId="26172"/>
    <cellStyle name="Note 5 2 5 5 6" xfId="26173"/>
    <cellStyle name="Note 5 2 5 6" xfId="26174"/>
    <cellStyle name="Note 5 2 5 6 2" xfId="26175"/>
    <cellStyle name="Note 5 2 5 6 2 2" xfId="26176"/>
    <cellStyle name="Note 5 2 5 6 2 3" xfId="26177"/>
    <cellStyle name="Note 5 2 5 6 3" xfId="26178"/>
    <cellStyle name="Note 5 2 5 6 3 2" xfId="26179"/>
    <cellStyle name="Note 5 2 5 6 3 3" xfId="26180"/>
    <cellStyle name="Note 5 2 5 6 4" xfId="26181"/>
    <cellStyle name="Note 5 2 5 6 4 2" xfId="26182"/>
    <cellStyle name="Note 5 2 5 6 4 3" xfId="26183"/>
    <cellStyle name="Note 5 2 5 6 5" xfId="26184"/>
    <cellStyle name="Note 5 2 5 6 6" xfId="26185"/>
    <cellStyle name="Note 5 2 5 7" xfId="26186"/>
    <cellStyle name="Note 5 2 5 7 2" xfId="26187"/>
    <cellStyle name="Note 5 2 5 7 3" xfId="26188"/>
    <cellStyle name="Note 5 2 5 8" xfId="26189"/>
    <cellStyle name="Note 5 2 5 8 2" xfId="26190"/>
    <cellStyle name="Note 5 2 5 8 3" xfId="26191"/>
    <cellStyle name="Note 5 2 5 9" xfId="26192"/>
    <cellStyle name="Note 5 2 5 9 2" xfId="26193"/>
    <cellStyle name="Note 5 2 5 9 3" xfId="26194"/>
    <cellStyle name="Note 5 2 6" xfId="26195"/>
    <cellStyle name="Note 5 2 6 2" xfId="26196"/>
    <cellStyle name="Note 5 2 6 2 2" xfId="26197"/>
    <cellStyle name="Note 5 2 6 2 3" xfId="26198"/>
    <cellStyle name="Note 5 2 6 3" xfId="26199"/>
    <cellStyle name="Note 5 2 6 3 2" xfId="26200"/>
    <cellStyle name="Note 5 2 6 3 3" xfId="26201"/>
    <cellStyle name="Note 5 2 6 4" xfId="26202"/>
    <cellStyle name="Note 5 2 6 4 2" xfId="26203"/>
    <cellStyle name="Note 5 2 6 4 3" xfId="26204"/>
    <cellStyle name="Note 5 2 6 5" xfId="26205"/>
    <cellStyle name="Note 5 2 6 6" xfId="26206"/>
    <cellStyle name="Note 5 2 7" xfId="26207"/>
    <cellStyle name="Note 5 2 7 2" xfId="26208"/>
    <cellStyle name="Note 5 2 7 2 2" xfId="26209"/>
    <cellStyle name="Note 5 2 7 2 3" xfId="26210"/>
    <cellStyle name="Note 5 2 7 3" xfId="26211"/>
    <cellStyle name="Note 5 2 7 3 2" xfId="26212"/>
    <cellStyle name="Note 5 2 7 3 3" xfId="26213"/>
    <cellStyle name="Note 5 2 7 4" xfId="26214"/>
    <cellStyle name="Note 5 2 7 4 2" xfId="26215"/>
    <cellStyle name="Note 5 2 7 4 3" xfId="26216"/>
    <cellStyle name="Note 5 2 7 5" xfId="26217"/>
    <cellStyle name="Note 5 2 7 6" xfId="26218"/>
    <cellStyle name="Note 5 2 8" xfId="26219"/>
    <cellStyle name="Note 5 2 8 2" xfId="26220"/>
    <cellStyle name="Note 5 2 8 2 2" xfId="26221"/>
    <cellStyle name="Note 5 2 8 2 3" xfId="26222"/>
    <cellStyle name="Note 5 2 8 3" xfId="26223"/>
    <cellStyle name="Note 5 2 8 3 2" xfId="26224"/>
    <cellStyle name="Note 5 2 8 3 3" xfId="26225"/>
    <cellStyle name="Note 5 2 8 4" xfId="26226"/>
    <cellStyle name="Note 5 2 8 4 2" xfId="26227"/>
    <cellStyle name="Note 5 2 8 4 3" xfId="26228"/>
    <cellStyle name="Note 5 2 8 5" xfId="26229"/>
    <cellStyle name="Note 5 2 8 6" xfId="26230"/>
    <cellStyle name="Note 5 2 9" xfId="26231"/>
    <cellStyle name="Note 5 2 9 2" xfId="26232"/>
    <cellStyle name="Note 5 2 9 2 2" xfId="26233"/>
    <cellStyle name="Note 5 2 9 2 3" xfId="26234"/>
    <cellStyle name="Note 5 2 9 3" xfId="26235"/>
    <cellStyle name="Note 5 2 9 3 2" xfId="26236"/>
    <cellStyle name="Note 5 2 9 3 3" xfId="26237"/>
    <cellStyle name="Note 5 2 9 4" xfId="26238"/>
    <cellStyle name="Note 5 2 9 4 2" xfId="26239"/>
    <cellStyle name="Note 5 2 9 4 3" xfId="26240"/>
    <cellStyle name="Note 5 2 9 5" xfId="26241"/>
    <cellStyle name="Note 5 2 9 6" xfId="26242"/>
    <cellStyle name="Note 5 3" xfId="1164"/>
    <cellStyle name="Note 5 3 10" xfId="26243"/>
    <cellStyle name="Note 5 3 11" xfId="26244"/>
    <cellStyle name="Note 5 3 2" xfId="26245"/>
    <cellStyle name="Note 5 3 2 2" xfId="26246"/>
    <cellStyle name="Note 5 3 2 2 2" xfId="26247"/>
    <cellStyle name="Note 5 3 2 2 3" xfId="26248"/>
    <cellStyle name="Note 5 3 2 3" xfId="26249"/>
    <cellStyle name="Note 5 3 2 3 2" xfId="26250"/>
    <cellStyle name="Note 5 3 2 3 3" xfId="26251"/>
    <cellStyle name="Note 5 3 2 4" xfId="26252"/>
    <cellStyle name="Note 5 3 2 4 2" xfId="26253"/>
    <cellStyle name="Note 5 3 2 4 3" xfId="26254"/>
    <cellStyle name="Note 5 3 2 5" xfId="26255"/>
    <cellStyle name="Note 5 3 2 6" xfId="26256"/>
    <cellStyle name="Note 5 3 3" xfId="26257"/>
    <cellStyle name="Note 5 3 3 2" xfId="26258"/>
    <cellStyle name="Note 5 3 3 2 2" xfId="26259"/>
    <cellStyle name="Note 5 3 3 2 3" xfId="26260"/>
    <cellStyle name="Note 5 3 3 3" xfId="26261"/>
    <cellStyle name="Note 5 3 3 3 2" xfId="26262"/>
    <cellStyle name="Note 5 3 3 3 3" xfId="26263"/>
    <cellStyle name="Note 5 3 3 4" xfId="26264"/>
    <cellStyle name="Note 5 3 3 4 2" xfId="26265"/>
    <cellStyle name="Note 5 3 3 4 3" xfId="26266"/>
    <cellStyle name="Note 5 3 3 5" xfId="26267"/>
    <cellStyle name="Note 5 3 3 6" xfId="26268"/>
    <cellStyle name="Note 5 3 4" xfId="26269"/>
    <cellStyle name="Note 5 3 4 2" xfId="26270"/>
    <cellStyle name="Note 5 3 4 2 2" xfId="26271"/>
    <cellStyle name="Note 5 3 4 2 3" xfId="26272"/>
    <cellStyle name="Note 5 3 4 3" xfId="26273"/>
    <cellStyle name="Note 5 3 4 3 2" xfId="26274"/>
    <cellStyle name="Note 5 3 4 3 3" xfId="26275"/>
    <cellStyle name="Note 5 3 4 4" xfId="26276"/>
    <cellStyle name="Note 5 3 4 4 2" xfId="26277"/>
    <cellStyle name="Note 5 3 4 4 3" xfId="26278"/>
    <cellStyle name="Note 5 3 4 5" xfId="26279"/>
    <cellStyle name="Note 5 3 4 6" xfId="26280"/>
    <cellStyle name="Note 5 3 5" xfId="26281"/>
    <cellStyle name="Note 5 3 5 2" xfId="26282"/>
    <cellStyle name="Note 5 3 5 2 2" xfId="26283"/>
    <cellStyle name="Note 5 3 5 2 3" xfId="26284"/>
    <cellStyle name="Note 5 3 5 3" xfId="26285"/>
    <cellStyle name="Note 5 3 5 3 2" xfId="26286"/>
    <cellStyle name="Note 5 3 5 3 3" xfId="26287"/>
    <cellStyle name="Note 5 3 5 4" xfId="26288"/>
    <cellStyle name="Note 5 3 5 4 2" xfId="26289"/>
    <cellStyle name="Note 5 3 5 4 3" xfId="26290"/>
    <cellStyle name="Note 5 3 5 5" xfId="26291"/>
    <cellStyle name="Note 5 3 5 6" xfId="26292"/>
    <cellStyle name="Note 5 3 6" xfId="26293"/>
    <cellStyle name="Note 5 3 6 2" xfId="26294"/>
    <cellStyle name="Note 5 3 6 2 2" xfId="26295"/>
    <cellStyle name="Note 5 3 6 2 3" xfId="26296"/>
    <cellStyle name="Note 5 3 6 3" xfId="26297"/>
    <cellStyle name="Note 5 3 6 3 2" xfId="26298"/>
    <cellStyle name="Note 5 3 6 3 3" xfId="26299"/>
    <cellStyle name="Note 5 3 6 4" xfId="26300"/>
    <cellStyle name="Note 5 3 6 4 2" xfId="26301"/>
    <cellStyle name="Note 5 3 6 4 3" xfId="26302"/>
    <cellStyle name="Note 5 3 6 5" xfId="26303"/>
    <cellStyle name="Note 5 3 6 6" xfId="26304"/>
    <cellStyle name="Note 5 3 7" xfId="26305"/>
    <cellStyle name="Note 5 3 7 2" xfId="26306"/>
    <cellStyle name="Note 5 3 7 3" xfId="26307"/>
    <cellStyle name="Note 5 3 8" xfId="26308"/>
    <cellStyle name="Note 5 3 8 2" xfId="26309"/>
    <cellStyle name="Note 5 3 8 3" xfId="26310"/>
    <cellStyle name="Note 5 3 9" xfId="26311"/>
    <cellStyle name="Note 5 3 9 2" xfId="26312"/>
    <cellStyle name="Note 5 3 9 3" xfId="26313"/>
    <cellStyle name="Note 5 4" xfId="1112"/>
    <cellStyle name="Note 5 5" xfId="3271"/>
    <cellStyle name="Note 5 6" xfId="3294"/>
    <cellStyle name="Note 5 7" xfId="3307"/>
    <cellStyle name="Note 6" xfId="310"/>
    <cellStyle name="Note 6 2" xfId="628"/>
    <cellStyle name="Note 6 2 10" xfId="26314"/>
    <cellStyle name="Note 6 2 10 2" xfId="26315"/>
    <cellStyle name="Note 6 2 10 2 2" xfId="26316"/>
    <cellStyle name="Note 6 2 10 2 3" xfId="26317"/>
    <cellStyle name="Note 6 2 10 3" xfId="26318"/>
    <cellStyle name="Note 6 2 10 3 2" xfId="26319"/>
    <cellStyle name="Note 6 2 10 3 3" xfId="26320"/>
    <cellStyle name="Note 6 2 10 4" xfId="26321"/>
    <cellStyle name="Note 6 2 10 4 2" xfId="26322"/>
    <cellStyle name="Note 6 2 10 4 3" xfId="26323"/>
    <cellStyle name="Note 6 2 10 5" xfId="26324"/>
    <cellStyle name="Note 6 2 10 6" xfId="26325"/>
    <cellStyle name="Note 6 2 11" xfId="26326"/>
    <cellStyle name="Note 6 2 11 2" xfId="26327"/>
    <cellStyle name="Note 6 2 11 2 2" xfId="26328"/>
    <cellStyle name="Note 6 2 11 2 3" xfId="26329"/>
    <cellStyle name="Note 6 2 11 3" xfId="26330"/>
    <cellStyle name="Note 6 2 11 3 2" xfId="26331"/>
    <cellStyle name="Note 6 2 11 3 3" xfId="26332"/>
    <cellStyle name="Note 6 2 11 4" xfId="26333"/>
    <cellStyle name="Note 6 2 11 4 2" xfId="26334"/>
    <cellStyle name="Note 6 2 11 4 3" xfId="26335"/>
    <cellStyle name="Note 6 2 11 5" xfId="26336"/>
    <cellStyle name="Note 6 2 11 6" xfId="26337"/>
    <cellStyle name="Note 6 2 12" xfId="26338"/>
    <cellStyle name="Note 6 2 12 2" xfId="26339"/>
    <cellStyle name="Note 6 2 12 2 2" xfId="26340"/>
    <cellStyle name="Note 6 2 12 2 3" xfId="26341"/>
    <cellStyle name="Note 6 2 12 3" xfId="26342"/>
    <cellStyle name="Note 6 2 12 3 2" xfId="26343"/>
    <cellStyle name="Note 6 2 12 3 3" xfId="26344"/>
    <cellStyle name="Note 6 2 12 4" xfId="26345"/>
    <cellStyle name="Note 6 2 12 4 2" xfId="26346"/>
    <cellStyle name="Note 6 2 12 4 3" xfId="26347"/>
    <cellStyle name="Note 6 2 12 5" xfId="26348"/>
    <cellStyle name="Note 6 2 12 6" xfId="26349"/>
    <cellStyle name="Note 6 2 13" xfId="26350"/>
    <cellStyle name="Note 6 2 13 2" xfId="26351"/>
    <cellStyle name="Note 6 2 13 2 2" xfId="26352"/>
    <cellStyle name="Note 6 2 13 2 3" xfId="26353"/>
    <cellStyle name="Note 6 2 13 3" xfId="26354"/>
    <cellStyle name="Note 6 2 13 3 2" xfId="26355"/>
    <cellStyle name="Note 6 2 13 3 3" xfId="26356"/>
    <cellStyle name="Note 6 2 13 4" xfId="26357"/>
    <cellStyle name="Note 6 2 13 4 2" xfId="26358"/>
    <cellStyle name="Note 6 2 13 4 3" xfId="26359"/>
    <cellStyle name="Note 6 2 13 5" xfId="26360"/>
    <cellStyle name="Note 6 2 13 6" xfId="26361"/>
    <cellStyle name="Note 6 2 14" xfId="26362"/>
    <cellStyle name="Note 6 2 14 2" xfId="26363"/>
    <cellStyle name="Note 6 2 14 3" xfId="26364"/>
    <cellStyle name="Note 6 2 15" xfId="26365"/>
    <cellStyle name="Note 6 2 15 2" xfId="26366"/>
    <cellStyle name="Note 6 2 15 3" xfId="26367"/>
    <cellStyle name="Note 6 2 16" xfId="26368"/>
    <cellStyle name="Note 6 2 16 2" xfId="26369"/>
    <cellStyle name="Note 6 2 16 3" xfId="26370"/>
    <cellStyle name="Note 6 2 17" xfId="26371"/>
    <cellStyle name="Note 6 2 18" xfId="26372"/>
    <cellStyle name="Note 6 2 2" xfId="888"/>
    <cellStyle name="Note 6 2 2 10" xfId="26373"/>
    <cellStyle name="Note 6 2 2 11" xfId="26374"/>
    <cellStyle name="Note 6 2 2 2" xfId="26375"/>
    <cellStyle name="Note 6 2 2 2 2" xfId="26376"/>
    <cellStyle name="Note 6 2 2 2 2 2" xfId="26377"/>
    <cellStyle name="Note 6 2 2 2 2 3" xfId="26378"/>
    <cellStyle name="Note 6 2 2 2 3" xfId="26379"/>
    <cellStyle name="Note 6 2 2 2 3 2" xfId="26380"/>
    <cellStyle name="Note 6 2 2 2 3 3" xfId="26381"/>
    <cellStyle name="Note 6 2 2 2 4" xfId="26382"/>
    <cellStyle name="Note 6 2 2 2 4 2" xfId="26383"/>
    <cellStyle name="Note 6 2 2 2 4 3" xfId="26384"/>
    <cellStyle name="Note 6 2 2 2 5" xfId="26385"/>
    <cellStyle name="Note 6 2 2 2 6" xfId="26386"/>
    <cellStyle name="Note 6 2 2 3" xfId="26387"/>
    <cellStyle name="Note 6 2 2 3 2" xfId="26388"/>
    <cellStyle name="Note 6 2 2 3 2 2" xfId="26389"/>
    <cellStyle name="Note 6 2 2 3 2 3" xfId="26390"/>
    <cellStyle name="Note 6 2 2 3 3" xfId="26391"/>
    <cellStyle name="Note 6 2 2 3 3 2" xfId="26392"/>
    <cellStyle name="Note 6 2 2 3 3 3" xfId="26393"/>
    <cellStyle name="Note 6 2 2 3 4" xfId="26394"/>
    <cellStyle name="Note 6 2 2 3 4 2" xfId="26395"/>
    <cellStyle name="Note 6 2 2 3 4 3" xfId="26396"/>
    <cellStyle name="Note 6 2 2 3 5" xfId="26397"/>
    <cellStyle name="Note 6 2 2 3 6" xfId="26398"/>
    <cellStyle name="Note 6 2 2 4" xfId="26399"/>
    <cellStyle name="Note 6 2 2 4 2" xfId="26400"/>
    <cellStyle name="Note 6 2 2 4 2 2" xfId="26401"/>
    <cellStyle name="Note 6 2 2 4 2 3" xfId="26402"/>
    <cellStyle name="Note 6 2 2 4 3" xfId="26403"/>
    <cellStyle name="Note 6 2 2 4 3 2" xfId="26404"/>
    <cellStyle name="Note 6 2 2 4 3 3" xfId="26405"/>
    <cellStyle name="Note 6 2 2 4 4" xfId="26406"/>
    <cellStyle name="Note 6 2 2 4 4 2" xfId="26407"/>
    <cellStyle name="Note 6 2 2 4 4 3" xfId="26408"/>
    <cellStyle name="Note 6 2 2 4 5" xfId="26409"/>
    <cellStyle name="Note 6 2 2 4 6" xfId="26410"/>
    <cellStyle name="Note 6 2 2 5" xfId="26411"/>
    <cellStyle name="Note 6 2 2 5 2" xfId="26412"/>
    <cellStyle name="Note 6 2 2 5 2 2" xfId="26413"/>
    <cellStyle name="Note 6 2 2 5 2 3" xfId="26414"/>
    <cellStyle name="Note 6 2 2 5 3" xfId="26415"/>
    <cellStyle name="Note 6 2 2 5 3 2" xfId="26416"/>
    <cellStyle name="Note 6 2 2 5 3 3" xfId="26417"/>
    <cellStyle name="Note 6 2 2 5 4" xfId="26418"/>
    <cellStyle name="Note 6 2 2 5 4 2" xfId="26419"/>
    <cellStyle name="Note 6 2 2 5 4 3" xfId="26420"/>
    <cellStyle name="Note 6 2 2 5 5" xfId="26421"/>
    <cellStyle name="Note 6 2 2 5 6" xfId="26422"/>
    <cellStyle name="Note 6 2 2 6" xfId="26423"/>
    <cellStyle name="Note 6 2 2 6 2" xfId="26424"/>
    <cellStyle name="Note 6 2 2 6 2 2" xfId="26425"/>
    <cellStyle name="Note 6 2 2 6 2 3" xfId="26426"/>
    <cellStyle name="Note 6 2 2 6 3" xfId="26427"/>
    <cellStyle name="Note 6 2 2 6 3 2" xfId="26428"/>
    <cellStyle name="Note 6 2 2 6 3 3" xfId="26429"/>
    <cellStyle name="Note 6 2 2 6 4" xfId="26430"/>
    <cellStyle name="Note 6 2 2 6 4 2" xfId="26431"/>
    <cellStyle name="Note 6 2 2 6 4 3" xfId="26432"/>
    <cellStyle name="Note 6 2 2 6 5" xfId="26433"/>
    <cellStyle name="Note 6 2 2 6 6" xfId="26434"/>
    <cellStyle name="Note 6 2 2 7" xfId="26435"/>
    <cellStyle name="Note 6 2 2 7 2" xfId="26436"/>
    <cellStyle name="Note 6 2 2 7 3" xfId="26437"/>
    <cellStyle name="Note 6 2 2 8" xfId="26438"/>
    <cellStyle name="Note 6 2 2 8 2" xfId="26439"/>
    <cellStyle name="Note 6 2 2 8 3" xfId="26440"/>
    <cellStyle name="Note 6 2 2 9" xfId="26441"/>
    <cellStyle name="Note 6 2 2 9 2" xfId="26442"/>
    <cellStyle name="Note 6 2 2 9 3" xfId="26443"/>
    <cellStyle name="Note 6 2 3" xfId="802"/>
    <cellStyle name="Note 6 2 3 10" xfId="26444"/>
    <cellStyle name="Note 6 2 3 11" xfId="26445"/>
    <cellStyle name="Note 6 2 3 2" xfId="26446"/>
    <cellStyle name="Note 6 2 3 2 2" xfId="26447"/>
    <cellStyle name="Note 6 2 3 2 2 2" xfId="26448"/>
    <cellStyle name="Note 6 2 3 2 2 3" xfId="26449"/>
    <cellStyle name="Note 6 2 3 2 3" xfId="26450"/>
    <cellStyle name="Note 6 2 3 2 3 2" xfId="26451"/>
    <cellStyle name="Note 6 2 3 2 3 3" xfId="26452"/>
    <cellStyle name="Note 6 2 3 2 4" xfId="26453"/>
    <cellStyle name="Note 6 2 3 2 4 2" xfId="26454"/>
    <cellStyle name="Note 6 2 3 2 4 3" xfId="26455"/>
    <cellStyle name="Note 6 2 3 2 5" xfId="26456"/>
    <cellStyle name="Note 6 2 3 2 6" xfId="26457"/>
    <cellStyle name="Note 6 2 3 3" xfId="26458"/>
    <cellStyle name="Note 6 2 3 3 2" xfId="26459"/>
    <cellStyle name="Note 6 2 3 3 2 2" xfId="26460"/>
    <cellStyle name="Note 6 2 3 3 2 3" xfId="26461"/>
    <cellStyle name="Note 6 2 3 3 3" xfId="26462"/>
    <cellStyle name="Note 6 2 3 3 3 2" xfId="26463"/>
    <cellStyle name="Note 6 2 3 3 3 3" xfId="26464"/>
    <cellStyle name="Note 6 2 3 3 4" xfId="26465"/>
    <cellStyle name="Note 6 2 3 3 4 2" xfId="26466"/>
    <cellStyle name="Note 6 2 3 3 4 3" xfId="26467"/>
    <cellStyle name="Note 6 2 3 3 5" xfId="26468"/>
    <cellStyle name="Note 6 2 3 3 6" xfId="26469"/>
    <cellStyle name="Note 6 2 3 4" xfId="26470"/>
    <cellStyle name="Note 6 2 3 4 2" xfId="26471"/>
    <cellStyle name="Note 6 2 3 4 2 2" xfId="26472"/>
    <cellStyle name="Note 6 2 3 4 2 3" xfId="26473"/>
    <cellStyle name="Note 6 2 3 4 3" xfId="26474"/>
    <cellStyle name="Note 6 2 3 4 3 2" xfId="26475"/>
    <cellStyle name="Note 6 2 3 4 3 3" xfId="26476"/>
    <cellStyle name="Note 6 2 3 4 4" xfId="26477"/>
    <cellStyle name="Note 6 2 3 4 4 2" xfId="26478"/>
    <cellStyle name="Note 6 2 3 4 4 3" xfId="26479"/>
    <cellStyle name="Note 6 2 3 4 5" xfId="26480"/>
    <cellStyle name="Note 6 2 3 4 6" xfId="26481"/>
    <cellStyle name="Note 6 2 3 5" xfId="26482"/>
    <cellStyle name="Note 6 2 3 5 2" xfId="26483"/>
    <cellStyle name="Note 6 2 3 5 2 2" xfId="26484"/>
    <cellStyle name="Note 6 2 3 5 2 3" xfId="26485"/>
    <cellStyle name="Note 6 2 3 5 3" xfId="26486"/>
    <cellStyle name="Note 6 2 3 5 3 2" xfId="26487"/>
    <cellStyle name="Note 6 2 3 5 3 3" xfId="26488"/>
    <cellStyle name="Note 6 2 3 5 4" xfId="26489"/>
    <cellStyle name="Note 6 2 3 5 4 2" xfId="26490"/>
    <cellStyle name="Note 6 2 3 5 4 3" xfId="26491"/>
    <cellStyle name="Note 6 2 3 5 5" xfId="26492"/>
    <cellStyle name="Note 6 2 3 5 6" xfId="26493"/>
    <cellStyle name="Note 6 2 3 6" xfId="26494"/>
    <cellStyle name="Note 6 2 3 6 2" xfId="26495"/>
    <cellStyle name="Note 6 2 3 6 2 2" xfId="26496"/>
    <cellStyle name="Note 6 2 3 6 2 3" xfId="26497"/>
    <cellStyle name="Note 6 2 3 6 3" xfId="26498"/>
    <cellStyle name="Note 6 2 3 6 3 2" xfId="26499"/>
    <cellStyle name="Note 6 2 3 6 3 3" xfId="26500"/>
    <cellStyle name="Note 6 2 3 6 4" xfId="26501"/>
    <cellStyle name="Note 6 2 3 6 4 2" xfId="26502"/>
    <cellStyle name="Note 6 2 3 6 4 3" xfId="26503"/>
    <cellStyle name="Note 6 2 3 6 5" xfId="26504"/>
    <cellStyle name="Note 6 2 3 6 6" xfId="26505"/>
    <cellStyle name="Note 6 2 3 7" xfId="26506"/>
    <cellStyle name="Note 6 2 3 7 2" xfId="26507"/>
    <cellStyle name="Note 6 2 3 7 3" xfId="26508"/>
    <cellStyle name="Note 6 2 3 8" xfId="26509"/>
    <cellStyle name="Note 6 2 3 8 2" xfId="26510"/>
    <cellStyle name="Note 6 2 3 8 3" xfId="26511"/>
    <cellStyle name="Note 6 2 3 9" xfId="26512"/>
    <cellStyle name="Note 6 2 3 9 2" xfId="26513"/>
    <cellStyle name="Note 6 2 3 9 3" xfId="26514"/>
    <cellStyle name="Note 6 2 4" xfId="957"/>
    <cellStyle name="Note 6 2 4 10" xfId="26515"/>
    <cellStyle name="Note 6 2 4 11" xfId="26516"/>
    <cellStyle name="Note 6 2 4 2" xfId="26517"/>
    <cellStyle name="Note 6 2 4 2 2" xfId="26518"/>
    <cellStyle name="Note 6 2 4 2 2 2" xfId="26519"/>
    <cellStyle name="Note 6 2 4 2 2 3" xfId="26520"/>
    <cellStyle name="Note 6 2 4 2 3" xfId="26521"/>
    <cellStyle name="Note 6 2 4 2 3 2" xfId="26522"/>
    <cellStyle name="Note 6 2 4 2 3 3" xfId="26523"/>
    <cellStyle name="Note 6 2 4 2 4" xfId="26524"/>
    <cellStyle name="Note 6 2 4 2 4 2" xfId="26525"/>
    <cellStyle name="Note 6 2 4 2 4 3" xfId="26526"/>
    <cellStyle name="Note 6 2 4 2 5" xfId="26527"/>
    <cellStyle name="Note 6 2 4 2 6" xfId="26528"/>
    <cellStyle name="Note 6 2 4 3" xfId="26529"/>
    <cellStyle name="Note 6 2 4 3 2" xfId="26530"/>
    <cellStyle name="Note 6 2 4 3 2 2" xfId="26531"/>
    <cellStyle name="Note 6 2 4 3 2 3" xfId="26532"/>
    <cellStyle name="Note 6 2 4 3 3" xfId="26533"/>
    <cellStyle name="Note 6 2 4 3 3 2" xfId="26534"/>
    <cellStyle name="Note 6 2 4 3 3 3" xfId="26535"/>
    <cellStyle name="Note 6 2 4 3 4" xfId="26536"/>
    <cellStyle name="Note 6 2 4 3 4 2" xfId="26537"/>
    <cellStyle name="Note 6 2 4 3 4 3" xfId="26538"/>
    <cellStyle name="Note 6 2 4 3 5" xfId="26539"/>
    <cellStyle name="Note 6 2 4 3 6" xfId="26540"/>
    <cellStyle name="Note 6 2 4 4" xfId="26541"/>
    <cellStyle name="Note 6 2 4 4 2" xfId="26542"/>
    <cellStyle name="Note 6 2 4 4 2 2" xfId="26543"/>
    <cellStyle name="Note 6 2 4 4 2 3" xfId="26544"/>
    <cellStyle name="Note 6 2 4 4 3" xfId="26545"/>
    <cellStyle name="Note 6 2 4 4 3 2" xfId="26546"/>
    <cellStyle name="Note 6 2 4 4 3 3" xfId="26547"/>
    <cellStyle name="Note 6 2 4 4 4" xfId="26548"/>
    <cellStyle name="Note 6 2 4 4 4 2" xfId="26549"/>
    <cellStyle name="Note 6 2 4 4 4 3" xfId="26550"/>
    <cellStyle name="Note 6 2 4 4 5" xfId="26551"/>
    <cellStyle name="Note 6 2 4 4 6" xfId="26552"/>
    <cellStyle name="Note 6 2 4 5" xfId="26553"/>
    <cellStyle name="Note 6 2 4 5 2" xfId="26554"/>
    <cellStyle name="Note 6 2 4 5 2 2" xfId="26555"/>
    <cellStyle name="Note 6 2 4 5 2 3" xfId="26556"/>
    <cellStyle name="Note 6 2 4 5 3" xfId="26557"/>
    <cellStyle name="Note 6 2 4 5 3 2" xfId="26558"/>
    <cellStyle name="Note 6 2 4 5 3 3" xfId="26559"/>
    <cellStyle name="Note 6 2 4 5 4" xfId="26560"/>
    <cellStyle name="Note 6 2 4 5 4 2" xfId="26561"/>
    <cellStyle name="Note 6 2 4 5 4 3" xfId="26562"/>
    <cellStyle name="Note 6 2 4 5 5" xfId="26563"/>
    <cellStyle name="Note 6 2 4 5 6" xfId="26564"/>
    <cellStyle name="Note 6 2 4 6" xfId="26565"/>
    <cellStyle name="Note 6 2 4 6 2" xfId="26566"/>
    <cellStyle name="Note 6 2 4 6 2 2" xfId="26567"/>
    <cellStyle name="Note 6 2 4 6 2 3" xfId="26568"/>
    <cellStyle name="Note 6 2 4 6 3" xfId="26569"/>
    <cellStyle name="Note 6 2 4 6 3 2" xfId="26570"/>
    <cellStyle name="Note 6 2 4 6 3 3" xfId="26571"/>
    <cellStyle name="Note 6 2 4 6 4" xfId="26572"/>
    <cellStyle name="Note 6 2 4 6 4 2" xfId="26573"/>
    <cellStyle name="Note 6 2 4 6 4 3" xfId="26574"/>
    <cellStyle name="Note 6 2 4 6 5" xfId="26575"/>
    <cellStyle name="Note 6 2 4 6 6" xfId="26576"/>
    <cellStyle name="Note 6 2 4 7" xfId="26577"/>
    <cellStyle name="Note 6 2 4 7 2" xfId="26578"/>
    <cellStyle name="Note 6 2 4 7 3" xfId="26579"/>
    <cellStyle name="Note 6 2 4 8" xfId="26580"/>
    <cellStyle name="Note 6 2 4 8 2" xfId="26581"/>
    <cellStyle name="Note 6 2 4 8 3" xfId="26582"/>
    <cellStyle name="Note 6 2 4 9" xfId="26583"/>
    <cellStyle name="Note 6 2 4 9 2" xfId="26584"/>
    <cellStyle name="Note 6 2 4 9 3" xfId="26585"/>
    <cellStyle name="Note 6 2 5" xfId="26586"/>
    <cellStyle name="Note 6 2 5 10" xfId="26587"/>
    <cellStyle name="Note 6 2 5 11" xfId="26588"/>
    <cellStyle name="Note 6 2 5 2" xfId="26589"/>
    <cellStyle name="Note 6 2 5 2 2" xfId="26590"/>
    <cellStyle name="Note 6 2 5 2 2 2" xfId="26591"/>
    <cellStyle name="Note 6 2 5 2 2 3" xfId="26592"/>
    <cellStyle name="Note 6 2 5 2 3" xfId="26593"/>
    <cellStyle name="Note 6 2 5 2 3 2" xfId="26594"/>
    <cellStyle name="Note 6 2 5 2 3 3" xfId="26595"/>
    <cellStyle name="Note 6 2 5 2 4" xfId="26596"/>
    <cellStyle name="Note 6 2 5 2 4 2" xfId="26597"/>
    <cellStyle name="Note 6 2 5 2 4 3" xfId="26598"/>
    <cellStyle name="Note 6 2 5 2 5" xfId="26599"/>
    <cellStyle name="Note 6 2 5 2 6" xfId="26600"/>
    <cellStyle name="Note 6 2 5 3" xfId="26601"/>
    <cellStyle name="Note 6 2 5 3 2" xfId="26602"/>
    <cellStyle name="Note 6 2 5 3 2 2" xfId="26603"/>
    <cellStyle name="Note 6 2 5 3 2 3" xfId="26604"/>
    <cellStyle name="Note 6 2 5 3 3" xfId="26605"/>
    <cellStyle name="Note 6 2 5 3 3 2" xfId="26606"/>
    <cellStyle name="Note 6 2 5 3 3 3" xfId="26607"/>
    <cellStyle name="Note 6 2 5 3 4" xfId="26608"/>
    <cellStyle name="Note 6 2 5 3 4 2" xfId="26609"/>
    <cellStyle name="Note 6 2 5 3 4 3" xfId="26610"/>
    <cellStyle name="Note 6 2 5 3 5" xfId="26611"/>
    <cellStyle name="Note 6 2 5 3 6" xfId="26612"/>
    <cellStyle name="Note 6 2 5 4" xfId="26613"/>
    <cellStyle name="Note 6 2 5 4 2" xfId="26614"/>
    <cellStyle name="Note 6 2 5 4 2 2" xfId="26615"/>
    <cellStyle name="Note 6 2 5 4 2 3" xfId="26616"/>
    <cellStyle name="Note 6 2 5 4 3" xfId="26617"/>
    <cellStyle name="Note 6 2 5 4 3 2" xfId="26618"/>
    <cellStyle name="Note 6 2 5 4 3 3" xfId="26619"/>
    <cellStyle name="Note 6 2 5 4 4" xfId="26620"/>
    <cellStyle name="Note 6 2 5 4 4 2" xfId="26621"/>
    <cellStyle name="Note 6 2 5 4 4 3" xfId="26622"/>
    <cellStyle name="Note 6 2 5 4 5" xfId="26623"/>
    <cellStyle name="Note 6 2 5 4 6" xfId="26624"/>
    <cellStyle name="Note 6 2 5 5" xfId="26625"/>
    <cellStyle name="Note 6 2 5 5 2" xfId="26626"/>
    <cellStyle name="Note 6 2 5 5 2 2" xfId="26627"/>
    <cellStyle name="Note 6 2 5 5 2 3" xfId="26628"/>
    <cellStyle name="Note 6 2 5 5 3" xfId="26629"/>
    <cellStyle name="Note 6 2 5 5 3 2" xfId="26630"/>
    <cellStyle name="Note 6 2 5 5 3 3" xfId="26631"/>
    <cellStyle name="Note 6 2 5 5 4" xfId="26632"/>
    <cellStyle name="Note 6 2 5 5 4 2" xfId="26633"/>
    <cellStyle name="Note 6 2 5 5 4 3" xfId="26634"/>
    <cellStyle name="Note 6 2 5 5 5" xfId="26635"/>
    <cellStyle name="Note 6 2 5 5 6" xfId="26636"/>
    <cellStyle name="Note 6 2 5 6" xfId="26637"/>
    <cellStyle name="Note 6 2 5 6 2" xfId="26638"/>
    <cellStyle name="Note 6 2 5 6 2 2" xfId="26639"/>
    <cellStyle name="Note 6 2 5 6 2 3" xfId="26640"/>
    <cellStyle name="Note 6 2 5 6 3" xfId="26641"/>
    <cellStyle name="Note 6 2 5 6 3 2" xfId="26642"/>
    <cellStyle name="Note 6 2 5 6 3 3" xfId="26643"/>
    <cellStyle name="Note 6 2 5 6 4" xfId="26644"/>
    <cellStyle name="Note 6 2 5 6 4 2" xfId="26645"/>
    <cellStyle name="Note 6 2 5 6 4 3" xfId="26646"/>
    <cellStyle name="Note 6 2 5 6 5" xfId="26647"/>
    <cellStyle name="Note 6 2 5 6 6" xfId="26648"/>
    <cellStyle name="Note 6 2 5 7" xfId="26649"/>
    <cellStyle name="Note 6 2 5 7 2" xfId="26650"/>
    <cellStyle name="Note 6 2 5 7 3" xfId="26651"/>
    <cellStyle name="Note 6 2 5 8" xfId="26652"/>
    <cellStyle name="Note 6 2 5 8 2" xfId="26653"/>
    <cellStyle name="Note 6 2 5 8 3" xfId="26654"/>
    <cellStyle name="Note 6 2 5 9" xfId="26655"/>
    <cellStyle name="Note 6 2 5 9 2" xfId="26656"/>
    <cellStyle name="Note 6 2 5 9 3" xfId="26657"/>
    <cellStyle name="Note 6 2 6" xfId="26658"/>
    <cellStyle name="Note 6 2 6 2" xfId="26659"/>
    <cellStyle name="Note 6 2 6 2 2" xfId="26660"/>
    <cellStyle name="Note 6 2 6 2 3" xfId="26661"/>
    <cellStyle name="Note 6 2 6 3" xfId="26662"/>
    <cellStyle name="Note 6 2 6 3 2" xfId="26663"/>
    <cellStyle name="Note 6 2 6 3 3" xfId="26664"/>
    <cellStyle name="Note 6 2 6 4" xfId="26665"/>
    <cellStyle name="Note 6 2 6 4 2" xfId="26666"/>
    <cellStyle name="Note 6 2 6 4 3" xfId="26667"/>
    <cellStyle name="Note 6 2 6 5" xfId="26668"/>
    <cellStyle name="Note 6 2 6 6" xfId="26669"/>
    <cellStyle name="Note 6 2 7" xfId="26670"/>
    <cellStyle name="Note 6 2 7 2" xfId="26671"/>
    <cellStyle name="Note 6 2 7 2 2" xfId="26672"/>
    <cellStyle name="Note 6 2 7 2 3" xfId="26673"/>
    <cellStyle name="Note 6 2 7 3" xfId="26674"/>
    <cellStyle name="Note 6 2 7 3 2" xfId="26675"/>
    <cellStyle name="Note 6 2 7 3 3" xfId="26676"/>
    <cellStyle name="Note 6 2 7 4" xfId="26677"/>
    <cellStyle name="Note 6 2 7 4 2" xfId="26678"/>
    <cellStyle name="Note 6 2 7 4 3" xfId="26679"/>
    <cellStyle name="Note 6 2 7 5" xfId="26680"/>
    <cellStyle name="Note 6 2 7 6" xfId="26681"/>
    <cellStyle name="Note 6 2 8" xfId="26682"/>
    <cellStyle name="Note 6 2 8 2" xfId="26683"/>
    <cellStyle name="Note 6 2 8 2 2" xfId="26684"/>
    <cellStyle name="Note 6 2 8 2 3" xfId="26685"/>
    <cellStyle name="Note 6 2 8 3" xfId="26686"/>
    <cellStyle name="Note 6 2 8 3 2" xfId="26687"/>
    <cellStyle name="Note 6 2 8 3 3" xfId="26688"/>
    <cellStyle name="Note 6 2 8 4" xfId="26689"/>
    <cellStyle name="Note 6 2 8 4 2" xfId="26690"/>
    <cellStyle name="Note 6 2 8 4 3" xfId="26691"/>
    <cellStyle name="Note 6 2 8 5" xfId="26692"/>
    <cellStyle name="Note 6 2 8 6" xfId="26693"/>
    <cellStyle name="Note 6 2 9" xfId="26694"/>
    <cellStyle name="Note 6 2 9 2" xfId="26695"/>
    <cellStyle name="Note 6 2 9 2 2" xfId="26696"/>
    <cellStyle name="Note 6 2 9 2 3" xfId="26697"/>
    <cellStyle name="Note 6 2 9 3" xfId="26698"/>
    <cellStyle name="Note 6 2 9 3 2" xfId="26699"/>
    <cellStyle name="Note 6 2 9 3 3" xfId="26700"/>
    <cellStyle name="Note 6 2 9 4" xfId="26701"/>
    <cellStyle name="Note 6 2 9 4 2" xfId="26702"/>
    <cellStyle name="Note 6 2 9 4 3" xfId="26703"/>
    <cellStyle name="Note 6 2 9 5" xfId="26704"/>
    <cellStyle name="Note 6 2 9 6" xfId="26705"/>
    <cellStyle name="Note 6 3" xfId="1165"/>
    <cellStyle name="Note 6 3 10" xfId="26706"/>
    <cellStyle name="Note 6 3 11" xfId="26707"/>
    <cellStyle name="Note 6 3 2" xfId="26708"/>
    <cellStyle name="Note 6 3 2 2" xfId="26709"/>
    <cellStyle name="Note 6 3 2 2 2" xfId="26710"/>
    <cellStyle name="Note 6 3 2 2 3" xfId="26711"/>
    <cellStyle name="Note 6 3 2 3" xfId="26712"/>
    <cellStyle name="Note 6 3 2 3 2" xfId="26713"/>
    <cellStyle name="Note 6 3 2 3 3" xfId="26714"/>
    <cellStyle name="Note 6 3 2 4" xfId="26715"/>
    <cellStyle name="Note 6 3 2 4 2" xfId="26716"/>
    <cellStyle name="Note 6 3 2 4 3" xfId="26717"/>
    <cellStyle name="Note 6 3 2 5" xfId="26718"/>
    <cellStyle name="Note 6 3 2 6" xfId="26719"/>
    <cellStyle name="Note 6 3 3" xfId="26720"/>
    <cellStyle name="Note 6 3 3 2" xfId="26721"/>
    <cellStyle name="Note 6 3 3 2 2" xfId="26722"/>
    <cellStyle name="Note 6 3 3 2 3" xfId="26723"/>
    <cellStyle name="Note 6 3 3 3" xfId="26724"/>
    <cellStyle name="Note 6 3 3 3 2" xfId="26725"/>
    <cellStyle name="Note 6 3 3 3 3" xfId="26726"/>
    <cellStyle name="Note 6 3 3 4" xfId="26727"/>
    <cellStyle name="Note 6 3 3 4 2" xfId="26728"/>
    <cellStyle name="Note 6 3 3 4 3" xfId="26729"/>
    <cellStyle name="Note 6 3 3 5" xfId="26730"/>
    <cellStyle name="Note 6 3 3 6" xfId="26731"/>
    <cellStyle name="Note 6 3 4" xfId="26732"/>
    <cellStyle name="Note 6 3 4 2" xfId="26733"/>
    <cellStyle name="Note 6 3 4 2 2" xfId="26734"/>
    <cellStyle name="Note 6 3 4 2 3" xfId="26735"/>
    <cellStyle name="Note 6 3 4 3" xfId="26736"/>
    <cellStyle name="Note 6 3 4 3 2" xfId="26737"/>
    <cellStyle name="Note 6 3 4 3 3" xfId="26738"/>
    <cellStyle name="Note 6 3 4 4" xfId="26739"/>
    <cellStyle name="Note 6 3 4 4 2" xfId="26740"/>
    <cellStyle name="Note 6 3 4 4 3" xfId="26741"/>
    <cellStyle name="Note 6 3 4 5" xfId="26742"/>
    <cellStyle name="Note 6 3 4 6" xfId="26743"/>
    <cellStyle name="Note 6 3 5" xfId="26744"/>
    <cellStyle name="Note 6 3 5 2" xfId="26745"/>
    <cellStyle name="Note 6 3 5 2 2" xfId="26746"/>
    <cellStyle name="Note 6 3 5 2 3" xfId="26747"/>
    <cellStyle name="Note 6 3 5 3" xfId="26748"/>
    <cellStyle name="Note 6 3 5 3 2" xfId="26749"/>
    <cellStyle name="Note 6 3 5 3 3" xfId="26750"/>
    <cellStyle name="Note 6 3 5 4" xfId="26751"/>
    <cellStyle name="Note 6 3 5 4 2" xfId="26752"/>
    <cellStyle name="Note 6 3 5 4 3" xfId="26753"/>
    <cellStyle name="Note 6 3 5 5" xfId="26754"/>
    <cellStyle name="Note 6 3 5 6" xfId="26755"/>
    <cellStyle name="Note 6 3 6" xfId="26756"/>
    <cellStyle name="Note 6 3 6 2" xfId="26757"/>
    <cellStyle name="Note 6 3 6 2 2" xfId="26758"/>
    <cellStyle name="Note 6 3 6 2 3" xfId="26759"/>
    <cellStyle name="Note 6 3 6 3" xfId="26760"/>
    <cellStyle name="Note 6 3 6 3 2" xfId="26761"/>
    <cellStyle name="Note 6 3 6 3 3" xfId="26762"/>
    <cellStyle name="Note 6 3 6 4" xfId="26763"/>
    <cellStyle name="Note 6 3 6 4 2" xfId="26764"/>
    <cellStyle name="Note 6 3 6 4 3" xfId="26765"/>
    <cellStyle name="Note 6 3 6 5" xfId="26766"/>
    <cellStyle name="Note 6 3 6 6" xfId="26767"/>
    <cellStyle name="Note 6 3 7" xfId="26768"/>
    <cellStyle name="Note 6 3 7 2" xfId="26769"/>
    <cellStyle name="Note 6 3 7 3" xfId="26770"/>
    <cellStyle name="Note 6 3 8" xfId="26771"/>
    <cellStyle name="Note 6 3 8 2" xfId="26772"/>
    <cellStyle name="Note 6 3 8 3" xfId="26773"/>
    <cellStyle name="Note 6 3 9" xfId="26774"/>
    <cellStyle name="Note 6 3 9 2" xfId="26775"/>
    <cellStyle name="Note 6 3 9 3" xfId="26776"/>
    <cellStyle name="Note 6 4" xfId="3235"/>
    <cellStyle name="Note 6 5" xfId="3272"/>
    <cellStyle name="Note 6 6" xfId="3295"/>
    <cellStyle name="Note 6 7" xfId="3308"/>
    <cellStyle name="Note 7" xfId="311"/>
    <cellStyle name="Note 7 2" xfId="629"/>
    <cellStyle name="Note 7 2 10" xfId="26777"/>
    <cellStyle name="Note 7 2 10 2" xfId="26778"/>
    <cellStyle name="Note 7 2 10 2 2" xfId="26779"/>
    <cellStyle name="Note 7 2 10 2 3" xfId="26780"/>
    <cellStyle name="Note 7 2 10 3" xfId="26781"/>
    <cellStyle name="Note 7 2 10 3 2" xfId="26782"/>
    <cellStyle name="Note 7 2 10 3 3" xfId="26783"/>
    <cellStyle name="Note 7 2 10 4" xfId="26784"/>
    <cellStyle name="Note 7 2 10 4 2" xfId="26785"/>
    <cellStyle name="Note 7 2 10 4 3" xfId="26786"/>
    <cellStyle name="Note 7 2 10 5" xfId="26787"/>
    <cellStyle name="Note 7 2 10 6" xfId="26788"/>
    <cellStyle name="Note 7 2 11" xfId="26789"/>
    <cellStyle name="Note 7 2 11 2" xfId="26790"/>
    <cellStyle name="Note 7 2 11 2 2" xfId="26791"/>
    <cellStyle name="Note 7 2 11 2 3" xfId="26792"/>
    <cellStyle name="Note 7 2 11 3" xfId="26793"/>
    <cellStyle name="Note 7 2 11 3 2" xfId="26794"/>
    <cellStyle name="Note 7 2 11 3 3" xfId="26795"/>
    <cellStyle name="Note 7 2 11 4" xfId="26796"/>
    <cellStyle name="Note 7 2 11 4 2" xfId="26797"/>
    <cellStyle name="Note 7 2 11 4 3" xfId="26798"/>
    <cellStyle name="Note 7 2 11 5" xfId="26799"/>
    <cellStyle name="Note 7 2 11 6" xfId="26800"/>
    <cellStyle name="Note 7 2 12" xfId="26801"/>
    <cellStyle name="Note 7 2 12 2" xfId="26802"/>
    <cellStyle name="Note 7 2 12 2 2" xfId="26803"/>
    <cellStyle name="Note 7 2 12 2 3" xfId="26804"/>
    <cellStyle name="Note 7 2 12 3" xfId="26805"/>
    <cellStyle name="Note 7 2 12 3 2" xfId="26806"/>
    <cellStyle name="Note 7 2 12 3 3" xfId="26807"/>
    <cellStyle name="Note 7 2 12 4" xfId="26808"/>
    <cellStyle name="Note 7 2 12 4 2" xfId="26809"/>
    <cellStyle name="Note 7 2 12 4 3" xfId="26810"/>
    <cellStyle name="Note 7 2 12 5" xfId="26811"/>
    <cellStyle name="Note 7 2 12 6" xfId="26812"/>
    <cellStyle name="Note 7 2 13" xfId="26813"/>
    <cellStyle name="Note 7 2 13 2" xfId="26814"/>
    <cellStyle name="Note 7 2 13 2 2" xfId="26815"/>
    <cellStyle name="Note 7 2 13 2 3" xfId="26816"/>
    <cellStyle name="Note 7 2 13 3" xfId="26817"/>
    <cellStyle name="Note 7 2 13 3 2" xfId="26818"/>
    <cellStyle name="Note 7 2 13 3 3" xfId="26819"/>
    <cellStyle name="Note 7 2 13 4" xfId="26820"/>
    <cellStyle name="Note 7 2 13 4 2" xfId="26821"/>
    <cellStyle name="Note 7 2 13 4 3" xfId="26822"/>
    <cellStyle name="Note 7 2 13 5" xfId="26823"/>
    <cellStyle name="Note 7 2 13 6" xfId="26824"/>
    <cellStyle name="Note 7 2 14" xfId="26825"/>
    <cellStyle name="Note 7 2 14 2" xfId="26826"/>
    <cellStyle name="Note 7 2 14 3" xfId="26827"/>
    <cellStyle name="Note 7 2 15" xfId="26828"/>
    <cellStyle name="Note 7 2 15 2" xfId="26829"/>
    <cellStyle name="Note 7 2 15 3" xfId="26830"/>
    <cellStyle name="Note 7 2 16" xfId="26831"/>
    <cellStyle name="Note 7 2 16 2" xfId="26832"/>
    <cellStyle name="Note 7 2 16 3" xfId="26833"/>
    <cellStyle name="Note 7 2 17" xfId="26834"/>
    <cellStyle name="Note 7 2 18" xfId="26835"/>
    <cellStyle name="Note 7 2 2" xfId="889"/>
    <cellStyle name="Note 7 2 2 10" xfId="26836"/>
    <cellStyle name="Note 7 2 2 11" xfId="26837"/>
    <cellStyle name="Note 7 2 2 2" xfId="26838"/>
    <cellStyle name="Note 7 2 2 2 2" xfId="26839"/>
    <cellStyle name="Note 7 2 2 2 2 2" xfId="26840"/>
    <cellStyle name="Note 7 2 2 2 2 3" xfId="26841"/>
    <cellStyle name="Note 7 2 2 2 3" xfId="26842"/>
    <cellStyle name="Note 7 2 2 2 3 2" xfId="26843"/>
    <cellStyle name="Note 7 2 2 2 3 3" xfId="26844"/>
    <cellStyle name="Note 7 2 2 2 4" xfId="26845"/>
    <cellStyle name="Note 7 2 2 2 4 2" xfId="26846"/>
    <cellStyle name="Note 7 2 2 2 4 3" xfId="26847"/>
    <cellStyle name="Note 7 2 2 2 5" xfId="26848"/>
    <cellStyle name="Note 7 2 2 2 6" xfId="26849"/>
    <cellStyle name="Note 7 2 2 3" xfId="26850"/>
    <cellStyle name="Note 7 2 2 3 2" xfId="26851"/>
    <cellStyle name="Note 7 2 2 3 2 2" xfId="26852"/>
    <cellStyle name="Note 7 2 2 3 2 3" xfId="26853"/>
    <cellStyle name="Note 7 2 2 3 3" xfId="26854"/>
    <cellStyle name="Note 7 2 2 3 3 2" xfId="26855"/>
    <cellStyle name="Note 7 2 2 3 3 3" xfId="26856"/>
    <cellStyle name="Note 7 2 2 3 4" xfId="26857"/>
    <cellStyle name="Note 7 2 2 3 4 2" xfId="26858"/>
    <cellStyle name="Note 7 2 2 3 4 3" xfId="26859"/>
    <cellStyle name="Note 7 2 2 3 5" xfId="26860"/>
    <cellStyle name="Note 7 2 2 3 6" xfId="26861"/>
    <cellStyle name="Note 7 2 2 4" xfId="26862"/>
    <cellStyle name="Note 7 2 2 4 2" xfId="26863"/>
    <cellStyle name="Note 7 2 2 4 2 2" xfId="26864"/>
    <cellStyle name="Note 7 2 2 4 2 3" xfId="26865"/>
    <cellStyle name="Note 7 2 2 4 3" xfId="26866"/>
    <cellStyle name="Note 7 2 2 4 3 2" xfId="26867"/>
    <cellStyle name="Note 7 2 2 4 3 3" xfId="26868"/>
    <cellStyle name="Note 7 2 2 4 4" xfId="26869"/>
    <cellStyle name="Note 7 2 2 4 4 2" xfId="26870"/>
    <cellStyle name="Note 7 2 2 4 4 3" xfId="26871"/>
    <cellStyle name="Note 7 2 2 4 5" xfId="26872"/>
    <cellStyle name="Note 7 2 2 4 6" xfId="26873"/>
    <cellStyle name="Note 7 2 2 5" xfId="26874"/>
    <cellStyle name="Note 7 2 2 5 2" xfId="26875"/>
    <cellStyle name="Note 7 2 2 5 2 2" xfId="26876"/>
    <cellStyle name="Note 7 2 2 5 2 3" xfId="26877"/>
    <cellStyle name="Note 7 2 2 5 3" xfId="26878"/>
    <cellStyle name="Note 7 2 2 5 3 2" xfId="26879"/>
    <cellStyle name="Note 7 2 2 5 3 3" xfId="26880"/>
    <cellStyle name="Note 7 2 2 5 4" xfId="26881"/>
    <cellStyle name="Note 7 2 2 5 4 2" xfId="26882"/>
    <cellStyle name="Note 7 2 2 5 4 3" xfId="26883"/>
    <cellStyle name="Note 7 2 2 5 5" xfId="26884"/>
    <cellStyle name="Note 7 2 2 5 6" xfId="26885"/>
    <cellStyle name="Note 7 2 2 6" xfId="26886"/>
    <cellStyle name="Note 7 2 2 6 2" xfId="26887"/>
    <cellStyle name="Note 7 2 2 6 2 2" xfId="26888"/>
    <cellStyle name="Note 7 2 2 6 2 3" xfId="26889"/>
    <cellStyle name="Note 7 2 2 6 3" xfId="26890"/>
    <cellStyle name="Note 7 2 2 6 3 2" xfId="26891"/>
    <cellStyle name="Note 7 2 2 6 3 3" xfId="26892"/>
    <cellStyle name="Note 7 2 2 6 4" xfId="26893"/>
    <cellStyle name="Note 7 2 2 6 4 2" xfId="26894"/>
    <cellStyle name="Note 7 2 2 6 4 3" xfId="26895"/>
    <cellStyle name="Note 7 2 2 6 5" xfId="26896"/>
    <cellStyle name="Note 7 2 2 6 6" xfId="26897"/>
    <cellStyle name="Note 7 2 2 7" xfId="26898"/>
    <cellStyle name="Note 7 2 2 7 2" xfId="26899"/>
    <cellStyle name="Note 7 2 2 7 3" xfId="26900"/>
    <cellStyle name="Note 7 2 2 8" xfId="26901"/>
    <cellStyle name="Note 7 2 2 8 2" xfId="26902"/>
    <cellStyle name="Note 7 2 2 8 3" xfId="26903"/>
    <cellStyle name="Note 7 2 2 9" xfId="26904"/>
    <cellStyle name="Note 7 2 2 9 2" xfId="26905"/>
    <cellStyle name="Note 7 2 2 9 3" xfId="26906"/>
    <cellStyle name="Note 7 2 3" xfId="809"/>
    <cellStyle name="Note 7 2 3 10" xfId="26907"/>
    <cellStyle name="Note 7 2 3 11" xfId="26908"/>
    <cellStyle name="Note 7 2 3 2" xfId="26909"/>
    <cellStyle name="Note 7 2 3 2 2" xfId="26910"/>
    <cellStyle name="Note 7 2 3 2 2 2" xfId="26911"/>
    <cellStyle name="Note 7 2 3 2 2 3" xfId="26912"/>
    <cellStyle name="Note 7 2 3 2 3" xfId="26913"/>
    <cellStyle name="Note 7 2 3 2 3 2" xfId="26914"/>
    <cellStyle name="Note 7 2 3 2 3 3" xfId="26915"/>
    <cellStyle name="Note 7 2 3 2 4" xfId="26916"/>
    <cellStyle name="Note 7 2 3 2 4 2" xfId="26917"/>
    <cellStyle name="Note 7 2 3 2 4 3" xfId="26918"/>
    <cellStyle name="Note 7 2 3 2 5" xfId="26919"/>
    <cellStyle name="Note 7 2 3 2 6" xfId="26920"/>
    <cellStyle name="Note 7 2 3 3" xfId="26921"/>
    <cellStyle name="Note 7 2 3 3 2" xfId="26922"/>
    <cellStyle name="Note 7 2 3 3 2 2" xfId="26923"/>
    <cellStyle name="Note 7 2 3 3 2 3" xfId="26924"/>
    <cellStyle name="Note 7 2 3 3 3" xfId="26925"/>
    <cellStyle name="Note 7 2 3 3 3 2" xfId="26926"/>
    <cellStyle name="Note 7 2 3 3 3 3" xfId="26927"/>
    <cellStyle name="Note 7 2 3 3 4" xfId="26928"/>
    <cellStyle name="Note 7 2 3 3 4 2" xfId="26929"/>
    <cellStyle name="Note 7 2 3 3 4 3" xfId="26930"/>
    <cellStyle name="Note 7 2 3 3 5" xfId="26931"/>
    <cellStyle name="Note 7 2 3 3 6" xfId="26932"/>
    <cellStyle name="Note 7 2 3 4" xfId="26933"/>
    <cellStyle name="Note 7 2 3 4 2" xfId="26934"/>
    <cellStyle name="Note 7 2 3 4 2 2" xfId="26935"/>
    <cellStyle name="Note 7 2 3 4 2 3" xfId="26936"/>
    <cellStyle name="Note 7 2 3 4 3" xfId="26937"/>
    <cellStyle name="Note 7 2 3 4 3 2" xfId="26938"/>
    <cellStyle name="Note 7 2 3 4 3 3" xfId="26939"/>
    <cellStyle name="Note 7 2 3 4 4" xfId="26940"/>
    <cellStyle name="Note 7 2 3 4 4 2" xfId="26941"/>
    <cellStyle name="Note 7 2 3 4 4 3" xfId="26942"/>
    <cellStyle name="Note 7 2 3 4 5" xfId="26943"/>
    <cellStyle name="Note 7 2 3 4 6" xfId="26944"/>
    <cellStyle name="Note 7 2 3 5" xfId="26945"/>
    <cellStyle name="Note 7 2 3 5 2" xfId="26946"/>
    <cellStyle name="Note 7 2 3 5 2 2" xfId="26947"/>
    <cellStyle name="Note 7 2 3 5 2 3" xfId="26948"/>
    <cellStyle name="Note 7 2 3 5 3" xfId="26949"/>
    <cellStyle name="Note 7 2 3 5 3 2" xfId="26950"/>
    <cellStyle name="Note 7 2 3 5 3 3" xfId="26951"/>
    <cellStyle name="Note 7 2 3 5 4" xfId="26952"/>
    <cellStyle name="Note 7 2 3 5 4 2" xfId="26953"/>
    <cellStyle name="Note 7 2 3 5 4 3" xfId="26954"/>
    <cellStyle name="Note 7 2 3 5 5" xfId="26955"/>
    <cellStyle name="Note 7 2 3 5 6" xfId="26956"/>
    <cellStyle name="Note 7 2 3 6" xfId="26957"/>
    <cellStyle name="Note 7 2 3 6 2" xfId="26958"/>
    <cellStyle name="Note 7 2 3 6 2 2" xfId="26959"/>
    <cellStyle name="Note 7 2 3 6 2 3" xfId="26960"/>
    <cellStyle name="Note 7 2 3 6 3" xfId="26961"/>
    <cellStyle name="Note 7 2 3 6 3 2" xfId="26962"/>
    <cellStyle name="Note 7 2 3 6 3 3" xfId="26963"/>
    <cellStyle name="Note 7 2 3 6 4" xfId="26964"/>
    <cellStyle name="Note 7 2 3 6 4 2" xfId="26965"/>
    <cellStyle name="Note 7 2 3 6 4 3" xfId="26966"/>
    <cellStyle name="Note 7 2 3 6 5" xfId="26967"/>
    <cellStyle name="Note 7 2 3 6 6" xfId="26968"/>
    <cellStyle name="Note 7 2 3 7" xfId="26969"/>
    <cellStyle name="Note 7 2 3 7 2" xfId="26970"/>
    <cellStyle name="Note 7 2 3 7 3" xfId="26971"/>
    <cellStyle name="Note 7 2 3 8" xfId="26972"/>
    <cellStyle name="Note 7 2 3 8 2" xfId="26973"/>
    <cellStyle name="Note 7 2 3 8 3" xfId="26974"/>
    <cellStyle name="Note 7 2 3 9" xfId="26975"/>
    <cellStyle name="Note 7 2 3 9 2" xfId="26976"/>
    <cellStyle name="Note 7 2 3 9 3" xfId="26977"/>
    <cellStyle name="Note 7 2 4" xfId="958"/>
    <cellStyle name="Note 7 2 4 10" xfId="26978"/>
    <cellStyle name="Note 7 2 4 11" xfId="26979"/>
    <cellStyle name="Note 7 2 4 2" xfId="26980"/>
    <cellStyle name="Note 7 2 4 2 2" xfId="26981"/>
    <cellStyle name="Note 7 2 4 2 2 2" xfId="26982"/>
    <cellStyle name="Note 7 2 4 2 2 3" xfId="26983"/>
    <cellStyle name="Note 7 2 4 2 3" xfId="26984"/>
    <cellStyle name="Note 7 2 4 2 3 2" xfId="26985"/>
    <cellStyle name="Note 7 2 4 2 3 3" xfId="26986"/>
    <cellStyle name="Note 7 2 4 2 4" xfId="26987"/>
    <cellStyle name="Note 7 2 4 2 4 2" xfId="26988"/>
    <cellStyle name="Note 7 2 4 2 4 3" xfId="26989"/>
    <cellStyle name="Note 7 2 4 2 5" xfId="26990"/>
    <cellStyle name="Note 7 2 4 2 6" xfId="26991"/>
    <cellStyle name="Note 7 2 4 3" xfId="26992"/>
    <cellStyle name="Note 7 2 4 3 2" xfId="26993"/>
    <cellStyle name="Note 7 2 4 3 2 2" xfId="26994"/>
    <cellStyle name="Note 7 2 4 3 2 3" xfId="26995"/>
    <cellStyle name="Note 7 2 4 3 3" xfId="26996"/>
    <cellStyle name="Note 7 2 4 3 3 2" xfId="26997"/>
    <cellStyle name="Note 7 2 4 3 3 3" xfId="26998"/>
    <cellStyle name="Note 7 2 4 3 4" xfId="26999"/>
    <cellStyle name="Note 7 2 4 3 4 2" xfId="27000"/>
    <cellStyle name="Note 7 2 4 3 4 3" xfId="27001"/>
    <cellStyle name="Note 7 2 4 3 5" xfId="27002"/>
    <cellStyle name="Note 7 2 4 3 6" xfId="27003"/>
    <cellStyle name="Note 7 2 4 4" xfId="27004"/>
    <cellStyle name="Note 7 2 4 4 2" xfId="27005"/>
    <cellStyle name="Note 7 2 4 4 2 2" xfId="27006"/>
    <cellStyle name="Note 7 2 4 4 2 3" xfId="27007"/>
    <cellStyle name="Note 7 2 4 4 3" xfId="27008"/>
    <cellStyle name="Note 7 2 4 4 3 2" xfId="27009"/>
    <cellStyle name="Note 7 2 4 4 3 3" xfId="27010"/>
    <cellStyle name="Note 7 2 4 4 4" xfId="27011"/>
    <cellStyle name="Note 7 2 4 4 4 2" xfId="27012"/>
    <cellStyle name="Note 7 2 4 4 4 3" xfId="27013"/>
    <cellStyle name="Note 7 2 4 4 5" xfId="27014"/>
    <cellStyle name="Note 7 2 4 4 6" xfId="27015"/>
    <cellStyle name="Note 7 2 4 5" xfId="27016"/>
    <cellStyle name="Note 7 2 4 5 2" xfId="27017"/>
    <cellStyle name="Note 7 2 4 5 2 2" xfId="27018"/>
    <cellStyle name="Note 7 2 4 5 2 3" xfId="27019"/>
    <cellStyle name="Note 7 2 4 5 3" xfId="27020"/>
    <cellStyle name="Note 7 2 4 5 3 2" xfId="27021"/>
    <cellStyle name="Note 7 2 4 5 3 3" xfId="27022"/>
    <cellStyle name="Note 7 2 4 5 4" xfId="27023"/>
    <cellStyle name="Note 7 2 4 5 4 2" xfId="27024"/>
    <cellStyle name="Note 7 2 4 5 4 3" xfId="27025"/>
    <cellStyle name="Note 7 2 4 5 5" xfId="27026"/>
    <cellStyle name="Note 7 2 4 5 6" xfId="27027"/>
    <cellStyle name="Note 7 2 4 6" xfId="27028"/>
    <cellStyle name="Note 7 2 4 6 2" xfId="27029"/>
    <cellStyle name="Note 7 2 4 6 2 2" xfId="27030"/>
    <cellStyle name="Note 7 2 4 6 2 3" xfId="27031"/>
    <cellStyle name="Note 7 2 4 6 3" xfId="27032"/>
    <cellStyle name="Note 7 2 4 6 3 2" xfId="27033"/>
    <cellStyle name="Note 7 2 4 6 3 3" xfId="27034"/>
    <cellStyle name="Note 7 2 4 6 4" xfId="27035"/>
    <cellStyle name="Note 7 2 4 6 4 2" xfId="27036"/>
    <cellStyle name="Note 7 2 4 6 4 3" xfId="27037"/>
    <cellStyle name="Note 7 2 4 6 5" xfId="27038"/>
    <cellStyle name="Note 7 2 4 6 6" xfId="27039"/>
    <cellStyle name="Note 7 2 4 7" xfId="27040"/>
    <cellStyle name="Note 7 2 4 7 2" xfId="27041"/>
    <cellStyle name="Note 7 2 4 7 3" xfId="27042"/>
    <cellStyle name="Note 7 2 4 8" xfId="27043"/>
    <cellStyle name="Note 7 2 4 8 2" xfId="27044"/>
    <cellStyle name="Note 7 2 4 8 3" xfId="27045"/>
    <cellStyle name="Note 7 2 4 9" xfId="27046"/>
    <cellStyle name="Note 7 2 4 9 2" xfId="27047"/>
    <cellStyle name="Note 7 2 4 9 3" xfId="27048"/>
    <cellStyle name="Note 7 2 5" xfId="27049"/>
    <cellStyle name="Note 7 2 5 10" xfId="27050"/>
    <cellStyle name="Note 7 2 5 11" xfId="27051"/>
    <cellStyle name="Note 7 2 5 2" xfId="27052"/>
    <cellStyle name="Note 7 2 5 2 2" xfId="27053"/>
    <cellStyle name="Note 7 2 5 2 2 2" xfId="27054"/>
    <cellStyle name="Note 7 2 5 2 2 3" xfId="27055"/>
    <cellStyle name="Note 7 2 5 2 3" xfId="27056"/>
    <cellStyle name="Note 7 2 5 2 3 2" xfId="27057"/>
    <cellStyle name="Note 7 2 5 2 3 3" xfId="27058"/>
    <cellStyle name="Note 7 2 5 2 4" xfId="27059"/>
    <cellStyle name="Note 7 2 5 2 4 2" xfId="27060"/>
    <cellStyle name="Note 7 2 5 2 4 3" xfId="27061"/>
    <cellStyle name="Note 7 2 5 2 5" xfId="27062"/>
    <cellStyle name="Note 7 2 5 2 6" xfId="27063"/>
    <cellStyle name="Note 7 2 5 3" xfId="27064"/>
    <cellStyle name="Note 7 2 5 3 2" xfId="27065"/>
    <cellStyle name="Note 7 2 5 3 2 2" xfId="27066"/>
    <cellStyle name="Note 7 2 5 3 2 3" xfId="27067"/>
    <cellStyle name="Note 7 2 5 3 3" xfId="27068"/>
    <cellStyle name="Note 7 2 5 3 3 2" xfId="27069"/>
    <cellStyle name="Note 7 2 5 3 3 3" xfId="27070"/>
    <cellStyle name="Note 7 2 5 3 4" xfId="27071"/>
    <cellStyle name="Note 7 2 5 3 4 2" xfId="27072"/>
    <cellStyle name="Note 7 2 5 3 4 3" xfId="27073"/>
    <cellStyle name="Note 7 2 5 3 5" xfId="27074"/>
    <cellStyle name="Note 7 2 5 3 6" xfId="27075"/>
    <cellStyle name="Note 7 2 5 4" xfId="27076"/>
    <cellStyle name="Note 7 2 5 4 2" xfId="27077"/>
    <cellStyle name="Note 7 2 5 4 2 2" xfId="27078"/>
    <cellStyle name="Note 7 2 5 4 2 3" xfId="27079"/>
    <cellStyle name="Note 7 2 5 4 3" xfId="27080"/>
    <cellStyle name="Note 7 2 5 4 3 2" xfId="27081"/>
    <cellStyle name="Note 7 2 5 4 3 3" xfId="27082"/>
    <cellStyle name="Note 7 2 5 4 4" xfId="27083"/>
    <cellStyle name="Note 7 2 5 4 4 2" xfId="27084"/>
    <cellStyle name="Note 7 2 5 4 4 3" xfId="27085"/>
    <cellStyle name="Note 7 2 5 4 5" xfId="27086"/>
    <cellStyle name="Note 7 2 5 4 6" xfId="27087"/>
    <cellStyle name="Note 7 2 5 5" xfId="27088"/>
    <cellStyle name="Note 7 2 5 5 2" xfId="27089"/>
    <cellStyle name="Note 7 2 5 5 2 2" xfId="27090"/>
    <cellStyle name="Note 7 2 5 5 2 3" xfId="27091"/>
    <cellStyle name="Note 7 2 5 5 3" xfId="27092"/>
    <cellStyle name="Note 7 2 5 5 3 2" xfId="27093"/>
    <cellStyle name="Note 7 2 5 5 3 3" xfId="27094"/>
    <cellStyle name="Note 7 2 5 5 4" xfId="27095"/>
    <cellStyle name="Note 7 2 5 5 4 2" xfId="27096"/>
    <cellStyle name="Note 7 2 5 5 4 3" xfId="27097"/>
    <cellStyle name="Note 7 2 5 5 5" xfId="27098"/>
    <cellStyle name="Note 7 2 5 5 6" xfId="27099"/>
    <cellStyle name="Note 7 2 5 6" xfId="27100"/>
    <cellStyle name="Note 7 2 5 6 2" xfId="27101"/>
    <cellStyle name="Note 7 2 5 6 2 2" xfId="27102"/>
    <cellStyle name="Note 7 2 5 6 2 3" xfId="27103"/>
    <cellStyle name="Note 7 2 5 6 3" xfId="27104"/>
    <cellStyle name="Note 7 2 5 6 3 2" xfId="27105"/>
    <cellStyle name="Note 7 2 5 6 3 3" xfId="27106"/>
    <cellStyle name="Note 7 2 5 6 4" xfId="27107"/>
    <cellStyle name="Note 7 2 5 6 4 2" xfId="27108"/>
    <cellStyle name="Note 7 2 5 6 4 3" xfId="27109"/>
    <cellStyle name="Note 7 2 5 6 5" xfId="27110"/>
    <cellStyle name="Note 7 2 5 6 6" xfId="27111"/>
    <cellStyle name="Note 7 2 5 7" xfId="27112"/>
    <cellStyle name="Note 7 2 5 7 2" xfId="27113"/>
    <cellStyle name="Note 7 2 5 7 3" xfId="27114"/>
    <cellStyle name="Note 7 2 5 8" xfId="27115"/>
    <cellStyle name="Note 7 2 5 8 2" xfId="27116"/>
    <cellStyle name="Note 7 2 5 8 3" xfId="27117"/>
    <cellStyle name="Note 7 2 5 9" xfId="27118"/>
    <cellStyle name="Note 7 2 5 9 2" xfId="27119"/>
    <cellStyle name="Note 7 2 5 9 3" xfId="27120"/>
    <cellStyle name="Note 7 2 6" xfId="27121"/>
    <cellStyle name="Note 7 2 6 2" xfId="27122"/>
    <cellStyle name="Note 7 2 6 2 2" xfId="27123"/>
    <cellStyle name="Note 7 2 6 2 3" xfId="27124"/>
    <cellStyle name="Note 7 2 6 3" xfId="27125"/>
    <cellStyle name="Note 7 2 6 3 2" xfId="27126"/>
    <cellStyle name="Note 7 2 6 3 3" xfId="27127"/>
    <cellStyle name="Note 7 2 6 4" xfId="27128"/>
    <cellStyle name="Note 7 2 6 4 2" xfId="27129"/>
    <cellStyle name="Note 7 2 6 4 3" xfId="27130"/>
    <cellStyle name="Note 7 2 6 5" xfId="27131"/>
    <cellStyle name="Note 7 2 6 6" xfId="27132"/>
    <cellStyle name="Note 7 2 7" xfId="27133"/>
    <cellStyle name="Note 7 2 7 2" xfId="27134"/>
    <cellStyle name="Note 7 2 7 2 2" xfId="27135"/>
    <cellStyle name="Note 7 2 7 2 3" xfId="27136"/>
    <cellStyle name="Note 7 2 7 3" xfId="27137"/>
    <cellStyle name="Note 7 2 7 3 2" xfId="27138"/>
    <cellStyle name="Note 7 2 7 3 3" xfId="27139"/>
    <cellStyle name="Note 7 2 7 4" xfId="27140"/>
    <cellStyle name="Note 7 2 7 4 2" xfId="27141"/>
    <cellStyle name="Note 7 2 7 4 3" xfId="27142"/>
    <cellStyle name="Note 7 2 7 5" xfId="27143"/>
    <cellStyle name="Note 7 2 7 6" xfId="27144"/>
    <cellStyle name="Note 7 2 8" xfId="27145"/>
    <cellStyle name="Note 7 2 8 2" xfId="27146"/>
    <cellStyle name="Note 7 2 8 2 2" xfId="27147"/>
    <cellStyle name="Note 7 2 8 2 3" xfId="27148"/>
    <cellStyle name="Note 7 2 8 3" xfId="27149"/>
    <cellStyle name="Note 7 2 8 3 2" xfId="27150"/>
    <cellStyle name="Note 7 2 8 3 3" xfId="27151"/>
    <cellStyle name="Note 7 2 8 4" xfId="27152"/>
    <cellStyle name="Note 7 2 8 4 2" xfId="27153"/>
    <cellStyle name="Note 7 2 8 4 3" xfId="27154"/>
    <cellStyle name="Note 7 2 8 5" xfId="27155"/>
    <cellStyle name="Note 7 2 8 6" xfId="27156"/>
    <cellStyle name="Note 7 2 9" xfId="27157"/>
    <cellStyle name="Note 7 2 9 2" xfId="27158"/>
    <cellStyle name="Note 7 2 9 2 2" xfId="27159"/>
    <cellStyle name="Note 7 2 9 2 3" xfId="27160"/>
    <cellStyle name="Note 7 2 9 3" xfId="27161"/>
    <cellStyle name="Note 7 2 9 3 2" xfId="27162"/>
    <cellStyle name="Note 7 2 9 3 3" xfId="27163"/>
    <cellStyle name="Note 7 2 9 4" xfId="27164"/>
    <cellStyle name="Note 7 2 9 4 2" xfId="27165"/>
    <cellStyle name="Note 7 2 9 4 3" xfId="27166"/>
    <cellStyle name="Note 7 2 9 5" xfId="27167"/>
    <cellStyle name="Note 7 2 9 6" xfId="27168"/>
    <cellStyle name="Note 7 3" xfId="1166"/>
    <cellStyle name="Note 7 3 10" xfId="27169"/>
    <cellStyle name="Note 7 3 11" xfId="27170"/>
    <cellStyle name="Note 7 3 2" xfId="27171"/>
    <cellStyle name="Note 7 3 2 2" xfId="27172"/>
    <cellStyle name="Note 7 3 2 2 2" xfId="27173"/>
    <cellStyle name="Note 7 3 2 2 3" xfId="27174"/>
    <cellStyle name="Note 7 3 2 3" xfId="27175"/>
    <cellStyle name="Note 7 3 2 3 2" xfId="27176"/>
    <cellStyle name="Note 7 3 2 3 3" xfId="27177"/>
    <cellStyle name="Note 7 3 2 4" xfId="27178"/>
    <cellStyle name="Note 7 3 2 4 2" xfId="27179"/>
    <cellStyle name="Note 7 3 2 4 3" xfId="27180"/>
    <cellStyle name="Note 7 3 2 5" xfId="27181"/>
    <cellStyle name="Note 7 3 2 6" xfId="27182"/>
    <cellStyle name="Note 7 3 3" xfId="27183"/>
    <cellStyle name="Note 7 3 3 2" xfId="27184"/>
    <cellStyle name="Note 7 3 3 2 2" xfId="27185"/>
    <cellStyle name="Note 7 3 3 2 3" xfId="27186"/>
    <cellStyle name="Note 7 3 3 3" xfId="27187"/>
    <cellStyle name="Note 7 3 3 3 2" xfId="27188"/>
    <cellStyle name="Note 7 3 3 3 3" xfId="27189"/>
    <cellStyle name="Note 7 3 3 4" xfId="27190"/>
    <cellStyle name="Note 7 3 3 4 2" xfId="27191"/>
    <cellStyle name="Note 7 3 3 4 3" xfId="27192"/>
    <cellStyle name="Note 7 3 3 5" xfId="27193"/>
    <cellStyle name="Note 7 3 3 6" xfId="27194"/>
    <cellStyle name="Note 7 3 4" xfId="27195"/>
    <cellStyle name="Note 7 3 4 2" xfId="27196"/>
    <cellStyle name="Note 7 3 4 2 2" xfId="27197"/>
    <cellStyle name="Note 7 3 4 2 3" xfId="27198"/>
    <cellStyle name="Note 7 3 4 3" xfId="27199"/>
    <cellStyle name="Note 7 3 4 3 2" xfId="27200"/>
    <cellStyle name="Note 7 3 4 3 3" xfId="27201"/>
    <cellStyle name="Note 7 3 4 4" xfId="27202"/>
    <cellStyle name="Note 7 3 4 4 2" xfId="27203"/>
    <cellStyle name="Note 7 3 4 4 3" xfId="27204"/>
    <cellStyle name="Note 7 3 4 5" xfId="27205"/>
    <cellStyle name="Note 7 3 4 6" xfId="27206"/>
    <cellStyle name="Note 7 3 5" xfId="27207"/>
    <cellStyle name="Note 7 3 5 2" xfId="27208"/>
    <cellStyle name="Note 7 3 5 2 2" xfId="27209"/>
    <cellStyle name="Note 7 3 5 2 3" xfId="27210"/>
    <cellStyle name="Note 7 3 5 3" xfId="27211"/>
    <cellStyle name="Note 7 3 5 3 2" xfId="27212"/>
    <cellStyle name="Note 7 3 5 3 3" xfId="27213"/>
    <cellStyle name="Note 7 3 5 4" xfId="27214"/>
    <cellStyle name="Note 7 3 5 4 2" xfId="27215"/>
    <cellStyle name="Note 7 3 5 4 3" xfId="27216"/>
    <cellStyle name="Note 7 3 5 5" xfId="27217"/>
    <cellStyle name="Note 7 3 5 6" xfId="27218"/>
    <cellStyle name="Note 7 3 6" xfId="27219"/>
    <cellStyle name="Note 7 3 6 2" xfId="27220"/>
    <cellStyle name="Note 7 3 6 2 2" xfId="27221"/>
    <cellStyle name="Note 7 3 6 2 3" xfId="27222"/>
    <cellStyle name="Note 7 3 6 3" xfId="27223"/>
    <cellStyle name="Note 7 3 6 3 2" xfId="27224"/>
    <cellStyle name="Note 7 3 6 3 3" xfId="27225"/>
    <cellStyle name="Note 7 3 6 4" xfId="27226"/>
    <cellStyle name="Note 7 3 6 4 2" xfId="27227"/>
    <cellStyle name="Note 7 3 6 4 3" xfId="27228"/>
    <cellStyle name="Note 7 3 6 5" xfId="27229"/>
    <cellStyle name="Note 7 3 6 6" xfId="27230"/>
    <cellStyle name="Note 7 3 7" xfId="27231"/>
    <cellStyle name="Note 7 3 7 2" xfId="27232"/>
    <cellStyle name="Note 7 3 7 3" xfId="27233"/>
    <cellStyle name="Note 7 3 8" xfId="27234"/>
    <cellStyle name="Note 7 3 8 2" xfId="27235"/>
    <cellStyle name="Note 7 3 8 3" xfId="27236"/>
    <cellStyle name="Note 7 3 9" xfId="27237"/>
    <cellStyle name="Note 7 3 9 2" xfId="27238"/>
    <cellStyle name="Note 7 3 9 3" xfId="27239"/>
    <cellStyle name="Note 7 4" xfId="3236"/>
    <cellStyle name="Note 7 5" xfId="3273"/>
    <cellStyle name="Note 7 6" xfId="3296"/>
    <cellStyle name="Note 7 7" xfId="3309"/>
    <cellStyle name="Note 8" xfId="312"/>
    <cellStyle name="Note 8 2" xfId="630"/>
    <cellStyle name="Note 8 2 10" xfId="27240"/>
    <cellStyle name="Note 8 2 10 2" xfId="27241"/>
    <cellStyle name="Note 8 2 10 2 2" xfId="27242"/>
    <cellStyle name="Note 8 2 10 2 3" xfId="27243"/>
    <cellStyle name="Note 8 2 10 3" xfId="27244"/>
    <cellStyle name="Note 8 2 10 3 2" xfId="27245"/>
    <cellStyle name="Note 8 2 10 3 3" xfId="27246"/>
    <cellStyle name="Note 8 2 10 4" xfId="27247"/>
    <cellStyle name="Note 8 2 10 4 2" xfId="27248"/>
    <cellStyle name="Note 8 2 10 4 3" xfId="27249"/>
    <cellStyle name="Note 8 2 10 5" xfId="27250"/>
    <cellStyle name="Note 8 2 10 6" xfId="27251"/>
    <cellStyle name="Note 8 2 11" xfId="27252"/>
    <cellStyle name="Note 8 2 11 2" xfId="27253"/>
    <cellStyle name="Note 8 2 11 2 2" xfId="27254"/>
    <cellStyle name="Note 8 2 11 2 3" xfId="27255"/>
    <cellStyle name="Note 8 2 11 3" xfId="27256"/>
    <cellStyle name="Note 8 2 11 3 2" xfId="27257"/>
    <cellStyle name="Note 8 2 11 3 3" xfId="27258"/>
    <cellStyle name="Note 8 2 11 4" xfId="27259"/>
    <cellStyle name="Note 8 2 11 4 2" xfId="27260"/>
    <cellStyle name="Note 8 2 11 4 3" xfId="27261"/>
    <cellStyle name="Note 8 2 11 5" xfId="27262"/>
    <cellStyle name="Note 8 2 11 6" xfId="27263"/>
    <cellStyle name="Note 8 2 12" xfId="27264"/>
    <cellStyle name="Note 8 2 12 2" xfId="27265"/>
    <cellStyle name="Note 8 2 12 2 2" xfId="27266"/>
    <cellStyle name="Note 8 2 12 2 3" xfId="27267"/>
    <cellStyle name="Note 8 2 12 3" xfId="27268"/>
    <cellStyle name="Note 8 2 12 3 2" xfId="27269"/>
    <cellStyle name="Note 8 2 12 3 3" xfId="27270"/>
    <cellStyle name="Note 8 2 12 4" xfId="27271"/>
    <cellStyle name="Note 8 2 12 4 2" xfId="27272"/>
    <cellStyle name="Note 8 2 12 4 3" xfId="27273"/>
    <cellStyle name="Note 8 2 12 5" xfId="27274"/>
    <cellStyle name="Note 8 2 12 6" xfId="27275"/>
    <cellStyle name="Note 8 2 13" xfId="27276"/>
    <cellStyle name="Note 8 2 13 2" xfId="27277"/>
    <cellStyle name="Note 8 2 13 2 2" xfId="27278"/>
    <cellStyle name="Note 8 2 13 2 3" xfId="27279"/>
    <cellStyle name="Note 8 2 13 3" xfId="27280"/>
    <cellStyle name="Note 8 2 13 3 2" xfId="27281"/>
    <cellStyle name="Note 8 2 13 3 3" xfId="27282"/>
    <cellStyle name="Note 8 2 13 4" xfId="27283"/>
    <cellStyle name="Note 8 2 13 4 2" xfId="27284"/>
    <cellStyle name="Note 8 2 13 4 3" xfId="27285"/>
    <cellStyle name="Note 8 2 13 5" xfId="27286"/>
    <cellStyle name="Note 8 2 13 6" xfId="27287"/>
    <cellStyle name="Note 8 2 14" xfId="27288"/>
    <cellStyle name="Note 8 2 14 2" xfId="27289"/>
    <cellStyle name="Note 8 2 14 3" xfId="27290"/>
    <cellStyle name="Note 8 2 15" xfId="27291"/>
    <cellStyle name="Note 8 2 15 2" xfId="27292"/>
    <cellStyle name="Note 8 2 15 3" xfId="27293"/>
    <cellStyle name="Note 8 2 16" xfId="27294"/>
    <cellStyle name="Note 8 2 16 2" xfId="27295"/>
    <cellStyle name="Note 8 2 16 3" xfId="27296"/>
    <cellStyle name="Note 8 2 17" xfId="27297"/>
    <cellStyle name="Note 8 2 18" xfId="27298"/>
    <cellStyle name="Note 8 2 2" xfId="890"/>
    <cellStyle name="Note 8 2 2 10" xfId="27299"/>
    <cellStyle name="Note 8 2 2 11" xfId="27300"/>
    <cellStyle name="Note 8 2 2 2" xfId="27301"/>
    <cellStyle name="Note 8 2 2 2 2" xfId="27302"/>
    <cellStyle name="Note 8 2 2 2 2 2" xfId="27303"/>
    <cellStyle name="Note 8 2 2 2 2 3" xfId="27304"/>
    <cellStyle name="Note 8 2 2 2 3" xfId="27305"/>
    <cellStyle name="Note 8 2 2 2 3 2" xfId="27306"/>
    <cellStyle name="Note 8 2 2 2 3 3" xfId="27307"/>
    <cellStyle name="Note 8 2 2 2 4" xfId="27308"/>
    <cellStyle name="Note 8 2 2 2 4 2" xfId="27309"/>
    <cellStyle name="Note 8 2 2 2 4 3" xfId="27310"/>
    <cellStyle name="Note 8 2 2 2 5" xfId="27311"/>
    <cellStyle name="Note 8 2 2 2 6" xfId="27312"/>
    <cellStyle name="Note 8 2 2 3" xfId="27313"/>
    <cellStyle name="Note 8 2 2 3 2" xfId="27314"/>
    <cellStyle name="Note 8 2 2 3 2 2" xfId="27315"/>
    <cellStyle name="Note 8 2 2 3 2 3" xfId="27316"/>
    <cellStyle name="Note 8 2 2 3 3" xfId="27317"/>
    <cellStyle name="Note 8 2 2 3 3 2" xfId="27318"/>
    <cellStyle name="Note 8 2 2 3 3 3" xfId="27319"/>
    <cellStyle name="Note 8 2 2 3 4" xfId="27320"/>
    <cellStyle name="Note 8 2 2 3 4 2" xfId="27321"/>
    <cellStyle name="Note 8 2 2 3 4 3" xfId="27322"/>
    <cellStyle name="Note 8 2 2 3 5" xfId="27323"/>
    <cellStyle name="Note 8 2 2 3 6" xfId="27324"/>
    <cellStyle name="Note 8 2 2 4" xfId="27325"/>
    <cellStyle name="Note 8 2 2 4 2" xfId="27326"/>
    <cellStyle name="Note 8 2 2 4 2 2" xfId="27327"/>
    <cellStyle name="Note 8 2 2 4 2 3" xfId="27328"/>
    <cellStyle name="Note 8 2 2 4 3" xfId="27329"/>
    <cellStyle name="Note 8 2 2 4 3 2" xfId="27330"/>
    <cellStyle name="Note 8 2 2 4 3 3" xfId="27331"/>
    <cellStyle name="Note 8 2 2 4 4" xfId="27332"/>
    <cellStyle name="Note 8 2 2 4 4 2" xfId="27333"/>
    <cellStyle name="Note 8 2 2 4 4 3" xfId="27334"/>
    <cellStyle name="Note 8 2 2 4 5" xfId="27335"/>
    <cellStyle name="Note 8 2 2 4 6" xfId="27336"/>
    <cellStyle name="Note 8 2 2 5" xfId="27337"/>
    <cellStyle name="Note 8 2 2 5 2" xfId="27338"/>
    <cellStyle name="Note 8 2 2 5 2 2" xfId="27339"/>
    <cellStyle name="Note 8 2 2 5 2 3" xfId="27340"/>
    <cellStyle name="Note 8 2 2 5 3" xfId="27341"/>
    <cellStyle name="Note 8 2 2 5 3 2" xfId="27342"/>
    <cellStyle name="Note 8 2 2 5 3 3" xfId="27343"/>
    <cellStyle name="Note 8 2 2 5 4" xfId="27344"/>
    <cellStyle name="Note 8 2 2 5 4 2" xfId="27345"/>
    <cellStyle name="Note 8 2 2 5 4 3" xfId="27346"/>
    <cellStyle name="Note 8 2 2 5 5" xfId="27347"/>
    <cellStyle name="Note 8 2 2 5 6" xfId="27348"/>
    <cellStyle name="Note 8 2 2 6" xfId="27349"/>
    <cellStyle name="Note 8 2 2 6 2" xfId="27350"/>
    <cellStyle name="Note 8 2 2 6 2 2" xfId="27351"/>
    <cellStyle name="Note 8 2 2 6 2 3" xfId="27352"/>
    <cellStyle name="Note 8 2 2 6 3" xfId="27353"/>
    <cellStyle name="Note 8 2 2 6 3 2" xfId="27354"/>
    <cellStyle name="Note 8 2 2 6 3 3" xfId="27355"/>
    <cellStyle name="Note 8 2 2 6 4" xfId="27356"/>
    <cellStyle name="Note 8 2 2 6 4 2" xfId="27357"/>
    <cellStyle name="Note 8 2 2 6 4 3" xfId="27358"/>
    <cellStyle name="Note 8 2 2 6 5" xfId="27359"/>
    <cellStyle name="Note 8 2 2 6 6" xfId="27360"/>
    <cellStyle name="Note 8 2 2 7" xfId="27361"/>
    <cellStyle name="Note 8 2 2 7 2" xfId="27362"/>
    <cellStyle name="Note 8 2 2 7 3" xfId="27363"/>
    <cellStyle name="Note 8 2 2 8" xfId="27364"/>
    <cellStyle name="Note 8 2 2 8 2" xfId="27365"/>
    <cellStyle name="Note 8 2 2 8 3" xfId="27366"/>
    <cellStyle name="Note 8 2 2 9" xfId="27367"/>
    <cellStyle name="Note 8 2 2 9 2" xfId="27368"/>
    <cellStyle name="Note 8 2 2 9 3" xfId="27369"/>
    <cellStyle name="Note 8 2 3" xfId="932"/>
    <cellStyle name="Note 8 2 3 10" xfId="27370"/>
    <cellStyle name="Note 8 2 3 11" xfId="27371"/>
    <cellStyle name="Note 8 2 3 2" xfId="27372"/>
    <cellStyle name="Note 8 2 3 2 2" xfId="27373"/>
    <cellStyle name="Note 8 2 3 2 2 2" xfId="27374"/>
    <cellStyle name="Note 8 2 3 2 2 3" xfId="27375"/>
    <cellStyle name="Note 8 2 3 2 3" xfId="27376"/>
    <cellStyle name="Note 8 2 3 2 3 2" xfId="27377"/>
    <cellStyle name="Note 8 2 3 2 3 3" xfId="27378"/>
    <cellStyle name="Note 8 2 3 2 4" xfId="27379"/>
    <cellStyle name="Note 8 2 3 2 4 2" xfId="27380"/>
    <cellStyle name="Note 8 2 3 2 4 3" xfId="27381"/>
    <cellStyle name="Note 8 2 3 2 5" xfId="27382"/>
    <cellStyle name="Note 8 2 3 2 6" xfId="27383"/>
    <cellStyle name="Note 8 2 3 3" xfId="27384"/>
    <cellStyle name="Note 8 2 3 3 2" xfId="27385"/>
    <cellStyle name="Note 8 2 3 3 2 2" xfId="27386"/>
    <cellStyle name="Note 8 2 3 3 2 3" xfId="27387"/>
    <cellStyle name="Note 8 2 3 3 3" xfId="27388"/>
    <cellStyle name="Note 8 2 3 3 3 2" xfId="27389"/>
    <cellStyle name="Note 8 2 3 3 3 3" xfId="27390"/>
    <cellStyle name="Note 8 2 3 3 4" xfId="27391"/>
    <cellStyle name="Note 8 2 3 3 4 2" xfId="27392"/>
    <cellStyle name="Note 8 2 3 3 4 3" xfId="27393"/>
    <cellStyle name="Note 8 2 3 3 5" xfId="27394"/>
    <cellStyle name="Note 8 2 3 3 6" xfId="27395"/>
    <cellStyle name="Note 8 2 3 4" xfId="27396"/>
    <cellStyle name="Note 8 2 3 4 2" xfId="27397"/>
    <cellStyle name="Note 8 2 3 4 2 2" xfId="27398"/>
    <cellStyle name="Note 8 2 3 4 2 3" xfId="27399"/>
    <cellStyle name="Note 8 2 3 4 3" xfId="27400"/>
    <cellStyle name="Note 8 2 3 4 3 2" xfId="27401"/>
    <cellStyle name="Note 8 2 3 4 3 3" xfId="27402"/>
    <cellStyle name="Note 8 2 3 4 4" xfId="27403"/>
    <cellStyle name="Note 8 2 3 4 4 2" xfId="27404"/>
    <cellStyle name="Note 8 2 3 4 4 3" xfId="27405"/>
    <cellStyle name="Note 8 2 3 4 5" xfId="27406"/>
    <cellStyle name="Note 8 2 3 4 6" xfId="27407"/>
    <cellStyle name="Note 8 2 3 5" xfId="27408"/>
    <cellStyle name="Note 8 2 3 5 2" xfId="27409"/>
    <cellStyle name="Note 8 2 3 5 2 2" xfId="27410"/>
    <cellStyle name="Note 8 2 3 5 2 3" xfId="27411"/>
    <cellStyle name="Note 8 2 3 5 3" xfId="27412"/>
    <cellStyle name="Note 8 2 3 5 3 2" xfId="27413"/>
    <cellStyle name="Note 8 2 3 5 3 3" xfId="27414"/>
    <cellStyle name="Note 8 2 3 5 4" xfId="27415"/>
    <cellStyle name="Note 8 2 3 5 4 2" xfId="27416"/>
    <cellStyle name="Note 8 2 3 5 4 3" xfId="27417"/>
    <cellStyle name="Note 8 2 3 5 5" xfId="27418"/>
    <cellStyle name="Note 8 2 3 5 6" xfId="27419"/>
    <cellStyle name="Note 8 2 3 6" xfId="27420"/>
    <cellStyle name="Note 8 2 3 6 2" xfId="27421"/>
    <cellStyle name="Note 8 2 3 6 2 2" xfId="27422"/>
    <cellStyle name="Note 8 2 3 6 2 3" xfId="27423"/>
    <cellStyle name="Note 8 2 3 6 3" xfId="27424"/>
    <cellStyle name="Note 8 2 3 6 3 2" xfId="27425"/>
    <cellStyle name="Note 8 2 3 6 3 3" xfId="27426"/>
    <cellStyle name="Note 8 2 3 6 4" xfId="27427"/>
    <cellStyle name="Note 8 2 3 6 4 2" xfId="27428"/>
    <cellStyle name="Note 8 2 3 6 4 3" xfId="27429"/>
    <cellStyle name="Note 8 2 3 6 5" xfId="27430"/>
    <cellStyle name="Note 8 2 3 6 6" xfId="27431"/>
    <cellStyle name="Note 8 2 3 7" xfId="27432"/>
    <cellStyle name="Note 8 2 3 7 2" xfId="27433"/>
    <cellStyle name="Note 8 2 3 7 3" xfId="27434"/>
    <cellStyle name="Note 8 2 3 8" xfId="27435"/>
    <cellStyle name="Note 8 2 3 8 2" xfId="27436"/>
    <cellStyle name="Note 8 2 3 8 3" xfId="27437"/>
    <cellStyle name="Note 8 2 3 9" xfId="27438"/>
    <cellStyle name="Note 8 2 3 9 2" xfId="27439"/>
    <cellStyle name="Note 8 2 3 9 3" xfId="27440"/>
    <cellStyle name="Note 8 2 4" xfId="959"/>
    <cellStyle name="Note 8 2 4 10" xfId="27441"/>
    <cellStyle name="Note 8 2 4 11" xfId="27442"/>
    <cellStyle name="Note 8 2 4 2" xfId="27443"/>
    <cellStyle name="Note 8 2 4 2 2" xfId="27444"/>
    <cellStyle name="Note 8 2 4 2 2 2" xfId="27445"/>
    <cellStyle name="Note 8 2 4 2 2 3" xfId="27446"/>
    <cellStyle name="Note 8 2 4 2 3" xfId="27447"/>
    <cellStyle name="Note 8 2 4 2 3 2" xfId="27448"/>
    <cellStyle name="Note 8 2 4 2 3 3" xfId="27449"/>
    <cellStyle name="Note 8 2 4 2 4" xfId="27450"/>
    <cellStyle name="Note 8 2 4 2 4 2" xfId="27451"/>
    <cellStyle name="Note 8 2 4 2 4 3" xfId="27452"/>
    <cellStyle name="Note 8 2 4 2 5" xfId="27453"/>
    <cellStyle name="Note 8 2 4 2 6" xfId="27454"/>
    <cellStyle name="Note 8 2 4 3" xfId="27455"/>
    <cellStyle name="Note 8 2 4 3 2" xfId="27456"/>
    <cellStyle name="Note 8 2 4 3 2 2" xfId="27457"/>
    <cellStyle name="Note 8 2 4 3 2 3" xfId="27458"/>
    <cellStyle name="Note 8 2 4 3 3" xfId="27459"/>
    <cellStyle name="Note 8 2 4 3 3 2" xfId="27460"/>
    <cellStyle name="Note 8 2 4 3 3 3" xfId="27461"/>
    <cellStyle name="Note 8 2 4 3 4" xfId="27462"/>
    <cellStyle name="Note 8 2 4 3 4 2" xfId="27463"/>
    <cellStyle name="Note 8 2 4 3 4 3" xfId="27464"/>
    <cellStyle name="Note 8 2 4 3 5" xfId="27465"/>
    <cellStyle name="Note 8 2 4 3 6" xfId="27466"/>
    <cellStyle name="Note 8 2 4 4" xfId="27467"/>
    <cellStyle name="Note 8 2 4 4 2" xfId="27468"/>
    <cellStyle name="Note 8 2 4 4 2 2" xfId="27469"/>
    <cellStyle name="Note 8 2 4 4 2 3" xfId="27470"/>
    <cellStyle name="Note 8 2 4 4 3" xfId="27471"/>
    <cellStyle name="Note 8 2 4 4 3 2" xfId="27472"/>
    <cellStyle name="Note 8 2 4 4 3 3" xfId="27473"/>
    <cellStyle name="Note 8 2 4 4 4" xfId="27474"/>
    <cellStyle name="Note 8 2 4 4 4 2" xfId="27475"/>
    <cellStyle name="Note 8 2 4 4 4 3" xfId="27476"/>
    <cellStyle name="Note 8 2 4 4 5" xfId="27477"/>
    <cellStyle name="Note 8 2 4 4 6" xfId="27478"/>
    <cellStyle name="Note 8 2 4 5" xfId="27479"/>
    <cellStyle name="Note 8 2 4 5 2" xfId="27480"/>
    <cellStyle name="Note 8 2 4 5 2 2" xfId="27481"/>
    <cellStyle name="Note 8 2 4 5 2 3" xfId="27482"/>
    <cellStyle name="Note 8 2 4 5 3" xfId="27483"/>
    <cellStyle name="Note 8 2 4 5 3 2" xfId="27484"/>
    <cellStyle name="Note 8 2 4 5 3 3" xfId="27485"/>
    <cellStyle name="Note 8 2 4 5 4" xfId="27486"/>
    <cellStyle name="Note 8 2 4 5 4 2" xfId="27487"/>
    <cellStyle name="Note 8 2 4 5 4 3" xfId="27488"/>
    <cellStyle name="Note 8 2 4 5 5" xfId="27489"/>
    <cellStyle name="Note 8 2 4 5 6" xfId="27490"/>
    <cellStyle name="Note 8 2 4 6" xfId="27491"/>
    <cellStyle name="Note 8 2 4 6 2" xfId="27492"/>
    <cellStyle name="Note 8 2 4 6 2 2" xfId="27493"/>
    <cellStyle name="Note 8 2 4 6 2 3" xfId="27494"/>
    <cellStyle name="Note 8 2 4 6 3" xfId="27495"/>
    <cellStyle name="Note 8 2 4 6 3 2" xfId="27496"/>
    <cellStyle name="Note 8 2 4 6 3 3" xfId="27497"/>
    <cellStyle name="Note 8 2 4 6 4" xfId="27498"/>
    <cellStyle name="Note 8 2 4 6 4 2" xfId="27499"/>
    <cellStyle name="Note 8 2 4 6 4 3" xfId="27500"/>
    <cellStyle name="Note 8 2 4 6 5" xfId="27501"/>
    <cellStyle name="Note 8 2 4 6 6" xfId="27502"/>
    <cellStyle name="Note 8 2 4 7" xfId="27503"/>
    <cellStyle name="Note 8 2 4 7 2" xfId="27504"/>
    <cellStyle name="Note 8 2 4 7 3" xfId="27505"/>
    <cellStyle name="Note 8 2 4 8" xfId="27506"/>
    <cellStyle name="Note 8 2 4 8 2" xfId="27507"/>
    <cellStyle name="Note 8 2 4 8 3" xfId="27508"/>
    <cellStyle name="Note 8 2 4 9" xfId="27509"/>
    <cellStyle name="Note 8 2 4 9 2" xfId="27510"/>
    <cellStyle name="Note 8 2 4 9 3" xfId="27511"/>
    <cellStyle name="Note 8 2 5" xfId="27512"/>
    <cellStyle name="Note 8 2 5 10" xfId="27513"/>
    <cellStyle name="Note 8 2 5 11" xfId="27514"/>
    <cellStyle name="Note 8 2 5 2" xfId="27515"/>
    <cellStyle name="Note 8 2 5 2 2" xfId="27516"/>
    <cellStyle name="Note 8 2 5 2 2 2" xfId="27517"/>
    <cellStyle name="Note 8 2 5 2 2 3" xfId="27518"/>
    <cellStyle name="Note 8 2 5 2 3" xfId="27519"/>
    <cellStyle name="Note 8 2 5 2 3 2" xfId="27520"/>
    <cellStyle name="Note 8 2 5 2 3 3" xfId="27521"/>
    <cellStyle name="Note 8 2 5 2 4" xfId="27522"/>
    <cellStyle name="Note 8 2 5 2 4 2" xfId="27523"/>
    <cellStyle name="Note 8 2 5 2 4 3" xfId="27524"/>
    <cellStyle name="Note 8 2 5 2 5" xfId="27525"/>
    <cellStyle name="Note 8 2 5 2 6" xfId="27526"/>
    <cellStyle name="Note 8 2 5 3" xfId="27527"/>
    <cellStyle name="Note 8 2 5 3 2" xfId="27528"/>
    <cellStyle name="Note 8 2 5 3 2 2" xfId="27529"/>
    <cellStyle name="Note 8 2 5 3 2 3" xfId="27530"/>
    <cellStyle name="Note 8 2 5 3 3" xfId="27531"/>
    <cellStyle name="Note 8 2 5 3 3 2" xfId="27532"/>
    <cellStyle name="Note 8 2 5 3 3 3" xfId="27533"/>
    <cellStyle name="Note 8 2 5 3 4" xfId="27534"/>
    <cellStyle name="Note 8 2 5 3 4 2" xfId="27535"/>
    <cellStyle name="Note 8 2 5 3 4 3" xfId="27536"/>
    <cellStyle name="Note 8 2 5 3 5" xfId="27537"/>
    <cellStyle name="Note 8 2 5 3 6" xfId="27538"/>
    <cellStyle name="Note 8 2 5 4" xfId="27539"/>
    <cellStyle name="Note 8 2 5 4 2" xfId="27540"/>
    <cellStyle name="Note 8 2 5 4 2 2" xfId="27541"/>
    <cellStyle name="Note 8 2 5 4 2 3" xfId="27542"/>
    <cellStyle name="Note 8 2 5 4 3" xfId="27543"/>
    <cellStyle name="Note 8 2 5 4 3 2" xfId="27544"/>
    <cellStyle name="Note 8 2 5 4 3 3" xfId="27545"/>
    <cellStyle name="Note 8 2 5 4 4" xfId="27546"/>
    <cellStyle name="Note 8 2 5 4 4 2" xfId="27547"/>
    <cellStyle name="Note 8 2 5 4 4 3" xfId="27548"/>
    <cellStyle name="Note 8 2 5 4 5" xfId="27549"/>
    <cellStyle name="Note 8 2 5 4 6" xfId="27550"/>
    <cellStyle name="Note 8 2 5 5" xfId="27551"/>
    <cellStyle name="Note 8 2 5 5 2" xfId="27552"/>
    <cellStyle name="Note 8 2 5 5 2 2" xfId="27553"/>
    <cellStyle name="Note 8 2 5 5 2 3" xfId="27554"/>
    <cellStyle name="Note 8 2 5 5 3" xfId="27555"/>
    <cellStyle name="Note 8 2 5 5 3 2" xfId="27556"/>
    <cellStyle name="Note 8 2 5 5 3 3" xfId="27557"/>
    <cellStyle name="Note 8 2 5 5 4" xfId="27558"/>
    <cellStyle name="Note 8 2 5 5 4 2" xfId="27559"/>
    <cellStyle name="Note 8 2 5 5 4 3" xfId="27560"/>
    <cellStyle name="Note 8 2 5 5 5" xfId="27561"/>
    <cellStyle name="Note 8 2 5 5 6" xfId="27562"/>
    <cellStyle name="Note 8 2 5 6" xfId="27563"/>
    <cellStyle name="Note 8 2 5 6 2" xfId="27564"/>
    <cellStyle name="Note 8 2 5 6 2 2" xfId="27565"/>
    <cellStyle name="Note 8 2 5 6 2 3" xfId="27566"/>
    <cellStyle name="Note 8 2 5 6 3" xfId="27567"/>
    <cellStyle name="Note 8 2 5 6 3 2" xfId="27568"/>
    <cellStyle name="Note 8 2 5 6 3 3" xfId="27569"/>
    <cellStyle name="Note 8 2 5 6 4" xfId="27570"/>
    <cellStyle name="Note 8 2 5 6 4 2" xfId="27571"/>
    <cellStyle name="Note 8 2 5 6 4 3" xfId="27572"/>
    <cellStyle name="Note 8 2 5 6 5" xfId="27573"/>
    <cellStyle name="Note 8 2 5 6 6" xfId="27574"/>
    <cellStyle name="Note 8 2 5 7" xfId="27575"/>
    <cellStyle name="Note 8 2 5 7 2" xfId="27576"/>
    <cellStyle name="Note 8 2 5 7 3" xfId="27577"/>
    <cellStyle name="Note 8 2 5 8" xfId="27578"/>
    <cellStyle name="Note 8 2 5 8 2" xfId="27579"/>
    <cellStyle name="Note 8 2 5 8 3" xfId="27580"/>
    <cellStyle name="Note 8 2 5 9" xfId="27581"/>
    <cellStyle name="Note 8 2 5 9 2" xfId="27582"/>
    <cellStyle name="Note 8 2 5 9 3" xfId="27583"/>
    <cellStyle name="Note 8 2 6" xfId="27584"/>
    <cellStyle name="Note 8 2 6 2" xfId="27585"/>
    <cellStyle name="Note 8 2 6 2 2" xfId="27586"/>
    <cellStyle name="Note 8 2 6 2 3" xfId="27587"/>
    <cellStyle name="Note 8 2 6 3" xfId="27588"/>
    <cellStyle name="Note 8 2 6 3 2" xfId="27589"/>
    <cellStyle name="Note 8 2 6 3 3" xfId="27590"/>
    <cellStyle name="Note 8 2 6 4" xfId="27591"/>
    <cellStyle name="Note 8 2 6 4 2" xfId="27592"/>
    <cellStyle name="Note 8 2 6 4 3" xfId="27593"/>
    <cellStyle name="Note 8 2 6 5" xfId="27594"/>
    <cellStyle name="Note 8 2 6 6" xfId="27595"/>
    <cellStyle name="Note 8 2 7" xfId="27596"/>
    <cellStyle name="Note 8 2 7 2" xfId="27597"/>
    <cellStyle name="Note 8 2 7 2 2" xfId="27598"/>
    <cellStyle name="Note 8 2 7 2 3" xfId="27599"/>
    <cellStyle name="Note 8 2 7 3" xfId="27600"/>
    <cellStyle name="Note 8 2 7 3 2" xfId="27601"/>
    <cellStyle name="Note 8 2 7 3 3" xfId="27602"/>
    <cellStyle name="Note 8 2 7 4" xfId="27603"/>
    <cellStyle name="Note 8 2 7 4 2" xfId="27604"/>
    <cellStyle name="Note 8 2 7 4 3" xfId="27605"/>
    <cellStyle name="Note 8 2 7 5" xfId="27606"/>
    <cellStyle name="Note 8 2 7 6" xfId="27607"/>
    <cellStyle name="Note 8 2 8" xfId="27608"/>
    <cellStyle name="Note 8 2 8 2" xfId="27609"/>
    <cellStyle name="Note 8 2 8 2 2" xfId="27610"/>
    <cellStyle name="Note 8 2 8 2 3" xfId="27611"/>
    <cellStyle name="Note 8 2 8 3" xfId="27612"/>
    <cellStyle name="Note 8 2 8 3 2" xfId="27613"/>
    <cellStyle name="Note 8 2 8 3 3" xfId="27614"/>
    <cellStyle name="Note 8 2 8 4" xfId="27615"/>
    <cellStyle name="Note 8 2 8 4 2" xfId="27616"/>
    <cellStyle name="Note 8 2 8 4 3" xfId="27617"/>
    <cellStyle name="Note 8 2 8 5" xfId="27618"/>
    <cellStyle name="Note 8 2 8 6" xfId="27619"/>
    <cellStyle name="Note 8 2 9" xfId="27620"/>
    <cellStyle name="Note 8 2 9 2" xfId="27621"/>
    <cellStyle name="Note 8 2 9 2 2" xfId="27622"/>
    <cellStyle name="Note 8 2 9 2 3" xfId="27623"/>
    <cellStyle name="Note 8 2 9 3" xfId="27624"/>
    <cellStyle name="Note 8 2 9 3 2" xfId="27625"/>
    <cellStyle name="Note 8 2 9 3 3" xfId="27626"/>
    <cellStyle name="Note 8 2 9 4" xfId="27627"/>
    <cellStyle name="Note 8 2 9 4 2" xfId="27628"/>
    <cellStyle name="Note 8 2 9 4 3" xfId="27629"/>
    <cellStyle name="Note 8 2 9 5" xfId="27630"/>
    <cellStyle name="Note 8 2 9 6" xfId="27631"/>
    <cellStyle name="Note 8 3" xfId="1167"/>
    <cellStyle name="Note 8 3 10" xfId="27632"/>
    <cellStyle name="Note 8 3 11" xfId="27633"/>
    <cellStyle name="Note 8 3 2" xfId="27634"/>
    <cellStyle name="Note 8 3 2 2" xfId="27635"/>
    <cellStyle name="Note 8 3 2 2 2" xfId="27636"/>
    <cellStyle name="Note 8 3 2 2 3" xfId="27637"/>
    <cellStyle name="Note 8 3 2 3" xfId="27638"/>
    <cellStyle name="Note 8 3 2 3 2" xfId="27639"/>
    <cellStyle name="Note 8 3 2 3 3" xfId="27640"/>
    <cellStyle name="Note 8 3 2 4" xfId="27641"/>
    <cellStyle name="Note 8 3 2 4 2" xfId="27642"/>
    <cellStyle name="Note 8 3 2 4 3" xfId="27643"/>
    <cellStyle name="Note 8 3 2 5" xfId="27644"/>
    <cellStyle name="Note 8 3 2 6" xfId="27645"/>
    <cellStyle name="Note 8 3 3" xfId="27646"/>
    <cellStyle name="Note 8 3 3 2" xfId="27647"/>
    <cellStyle name="Note 8 3 3 2 2" xfId="27648"/>
    <cellStyle name="Note 8 3 3 2 3" xfId="27649"/>
    <cellStyle name="Note 8 3 3 3" xfId="27650"/>
    <cellStyle name="Note 8 3 3 3 2" xfId="27651"/>
    <cellStyle name="Note 8 3 3 3 3" xfId="27652"/>
    <cellStyle name="Note 8 3 3 4" xfId="27653"/>
    <cellStyle name="Note 8 3 3 4 2" xfId="27654"/>
    <cellStyle name="Note 8 3 3 4 3" xfId="27655"/>
    <cellStyle name="Note 8 3 3 5" xfId="27656"/>
    <cellStyle name="Note 8 3 3 6" xfId="27657"/>
    <cellStyle name="Note 8 3 4" xfId="27658"/>
    <cellStyle name="Note 8 3 4 2" xfId="27659"/>
    <cellStyle name="Note 8 3 4 2 2" xfId="27660"/>
    <cellStyle name="Note 8 3 4 2 3" xfId="27661"/>
    <cellStyle name="Note 8 3 4 3" xfId="27662"/>
    <cellStyle name="Note 8 3 4 3 2" xfId="27663"/>
    <cellStyle name="Note 8 3 4 3 3" xfId="27664"/>
    <cellStyle name="Note 8 3 4 4" xfId="27665"/>
    <cellStyle name="Note 8 3 4 4 2" xfId="27666"/>
    <cellStyle name="Note 8 3 4 4 3" xfId="27667"/>
    <cellStyle name="Note 8 3 4 5" xfId="27668"/>
    <cellStyle name="Note 8 3 4 6" xfId="27669"/>
    <cellStyle name="Note 8 3 5" xfId="27670"/>
    <cellStyle name="Note 8 3 5 2" xfId="27671"/>
    <cellStyle name="Note 8 3 5 2 2" xfId="27672"/>
    <cellStyle name="Note 8 3 5 2 3" xfId="27673"/>
    <cellStyle name="Note 8 3 5 3" xfId="27674"/>
    <cellStyle name="Note 8 3 5 3 2" xfId="27675"/>
    <cellStyle name="Note 8 3 5 3 3" xfId="27676"/>
    <cellStyle name="Note 8 3 5 4" xfId="27677"/>
    <cellStyle name="Note 8 3 5 4 2" xfId="27678"/>
    <cellStyle name="Note 8 3 5 4 3" xfId="27679"/>
    <cellStyle name="Note 8 3 5 5" xfId="27680"/>
    <cellStyle name="Note 8 3 5 6" xfId="27681"/>
    <cellStyle name="Note 8 3 6" xfId="27682"/>
    <cellStyle name="Note 8 3 6 2" xfId="27683"/>
    <cellStyle name="Note 8 3 6 2 2" xfId="27684"/>
    <cellStyle name="Note 8 3 6 2 3" xfId="27685"/>
    <cellStyle name="Note 8 3 6 3" xfId="27686"/>
    <cellStyle name="Note 8 3 6 3 2" xfId="27687"/>
    <cellStyle name="Note 8 3 6 3 3" xfId="27688"/>
    <cellStyle name="Note 8 3 6 4" xfId="27689"/>
    <cellStyle name="Note 8 3 6 4 2" xfId="27690"/>
    <cellStyle name="Note 8 3 6 4 3" xfId="27691"/>
    <cellStyle name="Note 8 3 6 5" xfId="27692"/>
    <cellStyle name="Note 8 3 6 6" xfId="27693"/>
    <cellStyle name="Note 8 3 7" xfId="27694"/>
    <cellStyle name="Note 8 3 7 2" xfId="27695"/>
    <cellStyle name="Note 8 3 7 3" xfId="27696"/>
    <cellStyle name="Note 8 3 8" xfId="27697"/>
    <cellStyle name="Note 8 3 8 2" xfId="27698"/>
    <cellStyle name="Note 8 3 8 3" xfId="27699"/>
    <cellStyle name="Note 8 3 9" xfId="27700"/>
    <cellStyle name="Note 8 3 9 2" xfId="27701"/>
    <cellStyle name="Note 8 3 9 3" xfId="27702"/>
    <cellStyle name="Note 8 4" xfId="3237"/>
    <cellStyle name="Note 8 5" xfId="3274"/>
    <cellStyle name="Note 8 6" xfId="3297"/>
    <cellStyle name="Note 8 7" xfId="3310"/>
    <cellStyle name="Note 9" xfId="313"/>
    <cellStyle name="Note 9 2" xfId="631"/>
    <cellStyle name="Note 9 2 10" xfId="27703"/>
    <cellStyle name="Note 9 2 10 2" xfId="27704"/>
    <cellStyle name="Note 9 2 10 2 2" xfId="27705"/>
    <cellStyle name="Note 9 2 10 2 3" xfId="27706"/>
    <cellStyle name="Note 9 2 10 3" xfId="27707"/>
    <cellStyle name="Note 9 2 10 3 2" xfId="27708"/>
    <cellStyle name="Note 9 2 10 3 3" xfId="27709"/>
    <cellStyle name="Note 9 2 10 4" xfId="27710"/>
    <cellStyle name="Note 9 2 10 4 2" xfId="27711"/>
    <cellStyle name="Note 9 2 10 4 3" xfId="27712"/>
    <cellStyle name="Note 9 2 10 5" xfId="27713"/>
    <cellStyle name="Note 9 2 10 6" xfId="27714"/>
    <cellStyle name="Note 9 2 11" xfId="27715"/>
    <cellStyle name="Note 9 2 11 2" xfId="27716"/>
    <cellStyle name="Note 9 2 11 2 2" xfId="27717"/>
    <cellStyle name="Note 9 2 11 2 3" xfId="27718"/>
    <cellStyle name="Note 9 2 11 3" xfId="27719"/>
    <cellStyle name="Note 9 2 11 3 2" xfId="27720"/>
    <cellStyle name="Note 9 2 11 3 3" xfId="27721"/>
    <cellStyle name="Note 9 2 11 4" xfId="27722"/>
    <cellStyle name="Note 9 2 11 4 2" xfId="27723"/>
    <cellStyle name="Note 9 2 11 4 3" xfId="27724"/>
    <cellStyle name="Note 9 2 11 5" xfId="27725"/>
    <cellStyle name="Note 9 2 11 6" xfId="27726"/>
    <cellStyle name="Note 9 2 12" xfId="27727"/>
    <cellStyle name="Note 9 2 12 2" xfId="27728"/>
    <cellStyle name="Note 9 2 12 2 2" xfId="27729"/>
    <cellStyle name="Note 9 2 12 2 3" xfId="27730"/>
    <cellStyle name="Note 9 2 12 3" xfId="27731"/>
    <cellStyle name="Note 9 2 12 3 2" xfId="27732"/>
    <cellStyle name="Note 9 2 12 3 3" xfId="27733"/>
    <cellStyle name="Note 9 2 12 4" xfId="27734"/>
    <cellStyle name="Note 9 2 12 4 2" xfId="27735"/>
    <cellStyle name="Note 9 2 12 4 3" xfId="27736"/>
    <cellStyle name="Note 9 2 12 5" xfId="27737"/>
    <cellStyle name="Note 9 2 12 6" xfId="27738"/>
    <cellStyle name="Note 9 2 13" xfId="27739"/>
    <cellStyle name="Note 9 2 13 2" xfId="27740"/>
    <cellStyle name="Note 9 2 13 2 2" xfId="27741"/>
    <cellStyle name="Note 9 2 13 2 3" xfId="27742"/>
    <cellStyle name="Note 9 2 13 3" xfId="27743"/>
    <cellStyle name="Note 9 2 13 3 2" xfId="27744"/>
    <cellStyle name="Note 9 2 13 3 3" xfId="27745"/>
    <cellStyle name="Note 9 2 13 4" xfId="27746"/>
    <cellStyle name="Note 9 2 13 4 2" xfId="27747"/>
    <cellStyle name="Note 9 2 13 4 3" xfId="27748"/>
    <cellStyle name="Note 9 2 13 5" xfId="27749"/>
    <cellStyle name="Note 9 2 13 6" xfId="27750"/>
    <cellStyle name="Note 9 2 14" xfId="27751"/>
    <cellStyle name="Note 9 2 14 2" xfId="27752"/>
    <cellStyle name="Note 9 2 14 3" xfId="27753"/>
    <cellStyle name="Note 9 2 15" xfId="27754"/>
    <cellStyle name="Note 9 2 15 2" xfId="27755"/>
    <cellStyle name="Note 9 2 15 3" xfId="27756"/>
    <cellStyle name="Note 9 2 16" xfId="27757"/>
    <cellStyle name="Note 9 2 16 2" xfId="27758"/>
    <cellStyle name="Note 9 2 16 3" xfId="27759"/>
    <cellStyle name="Note 9 2 17" xfId="27760"/>
    <cellStyle name="Note 9 2 18" xfId="27761"/>
    <cellStyle name="Note 9 2 2" xfId="891"/>
    <cellStyle name="Note 9 2 2 10" xfId="27762"/>
    <cellStyle name="Note 9 2 2 11" xfId="27763"/>
    <cellStyle name="Note 9 2 2 2" xfId="27764"/>
    <cellStyle name="Note 9 2 2 2 2" xfId="27765"/>
    <cellStyle name="Note 9 2 2 2 2 2" xfId="27766"/>
    <cellStyle name="Note 9 2 2 2 2 3" xfId="27767"/>
    <cellStyle name="Note 9 2 2 2 3" xfId="27768"/>
    <cellStyle name="Note 9 2 2 2 3 2" xfId="27769"/>
    <cellStyle name="Note 9 2 2 2 3 3" xfId="27770"/>
    <cellStyle name="Note 9 2 2 2 4" xfId="27771"/>
    <cellStyle name="Note 9 2 2 2 4 2" xfId="27772"/>
    <cellStyle name="Note 9 2 2 2 4 3" xfId="27773"/>
    <cellStyle name="Note 9 2 2 2 5" xfId="27774"/>
    <cellStyle name="Note 9 2 2 2 6" xfId="27775"/>
    <cellStyle name="Note 9 2 2 3" xfId="27776"/>
    <cellStyle name="Note 9 2 2 3 2" xfId="27777"/>
    <cellStyle name="Note 9 2 2 3 2 2" xfId="27778"/>
    <cellStyle name="Note 9 2 2 3 2 3" xfId="27779"/>
    <cellStyle name="Note 9 2 2 3 3" xfId="27780"/>
    <cellStyle name="Note 9 2 2 3 3 2" xfId="27781"/>
    <cellStyle name="Note 9 2 2 3 3 3" xfId="27782"/>
    <cellStyle name="Note 9 2 2 3 4" xfId="27783"/>
    <cellStyle name="Note 9 2 2 3 4 2" xfId="27784"/>
    <cellStyle name="Note 9 2 2 3 4 3" xfId="27785"/>
    <cellStyle name="Note 9 2 2 3 5" xfId="27786"/>
    <cellStyle name="Note 9 2 2 3 6" xfId="27787"/>
    <cellStyle name="Note 9 2 2 4" xfId="27788"/>
    <cellStyle name="Note 9 2 2 4 2" xfId="27789"/>
    <cellStyle name="Note 9 2 2 4 2 2" xfId="27790"/>
    <cellStyle name="Note 9 2 2 4 2 3" xfId="27791"/>
    <cellStyle name="Note 9 2 2 4 3" xfId="27792"/>
    <cellStyle name="Note 9 2 2 4 3 2" xfId="27793"/>
    <cellStyle name="Note 9 2 2 4 3 3" xfId="27794"/>
    <cellStyle name="Note 9 2 2 4 4" xfId="27795"/>
    <cellStyle name="Note 9 2 2 4 4 2" xfId="27796"/>
    <cellStyle name="Note 9 2 2 4 4 3" xfId="27797"/>
    <cellStyle name="Note 9 2 2 4 5" xfId="27798"/>
    <cellStyle name="Note 9 2 2 4 6" xfId="27799"/>
    <cellStyle name="Note 9 2 2 5" xfId="27800"/>
    <cellStyle name="Note 9 2 2 5 2" xfId="27801"/>
    <cellStyle name="Note 9 2 2 5 2 2" xfId="27802"/>
    <cellStyle name="Note 9 2 2 5 2 3" xfId="27803"/>
    <cellStyle name="Note 9 2 2 5 3" xfId="27804"/>
    <cellStyle name="Note 9 2 2 5 3 2" xfId="27805"/>
    <cellStyle name="Note 9 2 2 5 3 3" xfId="27806"/>
    <cellStyle name="Note 9 2 2 5 4" xfId="27807"/>
    <cellStyle name="Note 9 2 2 5 4 2" xfId="27808"/>
    <cellStyle name="Note 9 2 2 5 4 3" xfId="27809"/>
    <cellStyle name="Note 9 2 2 5 5" xfId="27810"/>
    <cellStyle name="Note 9 2 2 5 6" xfId="27811"/>
    <cellStyle name="Note 9 2 2 6" xfId="27812"/>
    <cellStyle name="Note 9 2 2 6 2" xfId="27813"/>
    <cellStyle name="Note 9 2 2 6 2 2" xfId="27814"/>
    <cellStyle name="Note 9 2 2 6 2 3" xfId="27815"/>
    <cellStyle name="Note 9 2 2 6 3" xfId="27816"/>
    <cellStyle name="Note 9 2 2 6 3 2" xfId="27817"/>
    <cellStyle name="Note 9 2 2 6 3 3" xfId="27818"/>
    <cellStyle name="Note 9 2 2 6 4" xfId="27819"/>
    <cellStyle name="Note 9 2 2 6 4 2" xfId="27820"/>
    <cellStyle name="Note 9 2 2 6 4 3" xfId="27821"/>
    <cellStyle name="Note 9 2 2 6 5" xfId="27822"/>
    <cellStyle name="Note 9 2 2 6 6" xfId="27823"/>
    <cellStyle name="Note 9 2 2 7" xfId="27824"/>
    <cellStyle name="Note 9 2 2 7 2" xfId="27825"/>
    <cellStyle name="Note 9 2 2 7 3" xfId="27826"/>
    <cellStyle name="Note 9 2 2 8" xfId="27827"/>
    <cellStyle name="Note 9 2 2 8 2" xfId="27828"/>
    <cellStyle name="Note 9 2 2 8 3" xfId="27829"/>
    <cellStyle name="Note 9 2 2 9" xfId="27830"/>
    <cellStyle name="Note 9 2 2 9 2" xfId="27831"/>
    <cellStyle name="Note 9 2 2 9 3" xfId="27832"/>
    <cellStyle name="Note 9 2 3" xfId="776"/>
    <cellStyle name="Note 9 2 3 10" xfId="27833"/>
    <cellStyle name="Note 9 2 3 11" xfId="27834"/>
    <cellStyle name="Note 9 2 3 2" xfId="27835"/>
    <cellStyle name="Note 9 2 3 2 2" xfId="27836"/>
    <cellStyle name="Note 9 2 3 2 2 2" xfId="27837"/>
    <cellStyle name="Note 9 2 3 2 2 3" xfId="27838"/>
    <cellStyle name="Note 9 2 3 2 3" xfId="27839"/>
    <cellStyle name="Note 9 2 3 2 3 2" xfId="27840"/>
    <cellStyle name="Note 9 2 3 2 3 3" xfId="27841"/>
    <cellStyle name="Note 9 2 3 2 4" xfId="27842"/>
    <cellStyle name="Note 9 2 3 2 4 2" xfId="27843"/>
    <cellStyle name="Note 9 2 3 2 4 3" xfId="27844"/>
    <cellStyle name="Note 9 2 3 2 5" xfId="27845"/>
    <cellStyle name="Note 9 2 3 2 6" xfId="27846"/>
    <cellStyle name="Note 9 2 3 3" xfId="27847"/>
    <cellStyle name="Note 9 2 3 3 2" xfId="27848"/>
    <cellStyle name="Note 9 2 3 3 2 2" xfId="27849"/>
    <cellStyle name="Note 9 2 3 3 2 3" xfId="27850"/>
    <cellStyle name="Note 9 2 3 3 3" xfId="27851"/>
    <cellStyle name="Note 9 2 3 3 3 2" xfId="27852"/>
    <cellStyle name="Note 9 2 3 3 3 3" xfId="27853"/>
    <cellStyle name="Note 9 2 3 3 4" xfId="27854"/>
    <cellStyle name="Note 9 2 3 3 4 2" xfId="27855"/>
    <cellStyle name="Note 9 2 3 3 4 3" xfId="27856"/>
    <cellStyle name="Note 9 2 3 3 5" xfId="27857"/>
    <cellStyle name="Note 9 2 3 3 6" xfId="27858"/>
    <cellStyle name="Note 9 2 3 4" xfId="27859"/>
    <cellStyle name="Note 9 2 3 4 2" xfId="27860"/>
    <cellStyle name="Note 9 2 3 4 2 2" xfId="27861"/>
    <cellStyle name="Note 9 2 3 4 2 3" xfId="27862"/>
    <cellStyle name="Note 9 2 3 4 3" xfId="27863"/>
    <cellStyle name="Note 9 2 3 4 3 2" xfId="27864"/>
    <cellStyle name="Note 9 2 3 4 3 3" xfId="27865"/>
    <cellStyle name="Note 9 2 3 4 4" xfId="27866"/>
    <cellStyle name="Note 9 2 3 4 4 2" xfId="27867"/>
    <cellStyle name="Note 9 2 3 4 4 3" xfId="27868"/>
    <cellStyle name="Note 9 2 3 4 5" xfId="27869"/>
    <cellStyle name="Note 9 2 3 4 6" xfId="27870"/>
    <cellStyle name="Note 9 2 3 5" xfId="27871"/>
    <cellStyle name="Note 9 2 3 5 2" xfId="27872"/>
    <cellStyle name="Note 9 2 3 5 2 2" xfId="27873"/>
    <cellStyle name="Note 9 2 3 5 2 3" xfId="27874"/>
    <cellStyle name="Note 9 2 3 5 3" xfId="27875"/>
    <cellStyle name="Note 9 2 3 5 3 2" xfId="27876"/>
    <cellStyle name="Note 9 2 3 5 3 3" xfId="27877"/>
    <cellStyle name="Note 9 2 3 5 4" xfId="27878"/>
    <cellStyle name="Note 9 2 3 5 4 2" xfId="27879"/>
    <cellStyle name="Note 9 2 3 5 4 3" xfId="27880"/>
    <cellStyle name="Note 9 2 3 5 5" xfId="27881"/>
    <cellStyle name="Note 9 2 3 5 6" xfId="27882"/>
    <cellStyle name="Note 9 2 3 6" xfId="27883"/>
    <cellStyle name="Note 9 2 3 6 2" xfId="27884"/>
    <cellStyle name="Note 9 2 3 6 2 2" xfId="27885"/>
    <cellStyle name="Note 9 2 3 6 2 3" xfId="27886"/>
    <cellStyle name="Note 9 2 3 6 3" xfId="27887"/>
    <cellStyle name="Note 9 2 3 6 3 2" xfId="27888"/>
    <cellStyle name="Note 9 2 3 6 3 3" xfId="27889"/>
    <cellStyle name="Note 9 2 3 6 4" xfId="27890"/>
    <cellStyle name="Note 9 2 3 6 4 2" xfId="27891"/>
    <cellStyle name="Note 9 2 3 6 4 3" xfId="27892"/>
    <cellStyle name="Note 9 2 3 6 5" xfId="27893"/>
    <cellStyle name="Note 9 2 3 6 6" xfId="27894"/>
    <cellStyle name="Note 9 2 3 7" xfId="27895"/>
    <cellStyle name="Note 9 2 3 7 2" xfId="27896"/>
    <cellStyle name="Note 9 2 3 7 3" xfId="27897"/>
    <cellStyle name="Note 9 2 3 8" xfId="27898"/>
    <cellStyle name="Note 9 2 3 8 2" xfId="27899"/>
    <cellStyle name="Note 9 2 3 8 3" xfId="27900"/>
    <cellStyle name="Note 9 2 3 9" xfId="27901"/>
    <cellStyle name="Note 9 2 3 9 2" xfId="27902"/>
    <cellStyle name="Note 9 2 3 9 3" xfId="27903"/>
    <cellStyle name="Note 9 2 4" xfId="960"/>
    <cellStyle name="Note 9 2 4 10" xfId="27904"/>
    <cellStyle name="Note 9 2 4 11" xfId="27905"/>
    <cellStyle name="Note 9 2 4 2" xfId="27906"/>
    <cellStyle name="Note 9 2 4 2 2" xfId="27907"/>
    <cellStyle name="Note 9 2 4 2 2 2" xfId="27908"/>
    <cellStyle name="Note 9 2 4 2 2 3" xfId="27909"/>
    <cellStyle name="Note 9 2 4 2 3" xfId="27910"/>
    <cellStyle name="Note 9 2 4 2 3 2" xfId="27911"/>
    <cellStyle name="Note 9 2 4 2 3 3" xfId="27912"/>
    <cellStyle name="Note 9 2 4 2 4" xfId="27913"/>
    <cellStyle name="Note 9 2 4 2 4 2" xfId="27914"/>
    <cellStyle name="Note 9 2 4 2 4 3" xfId="27915"/>
    <cellStyle name="Note 9 2 4 2 5" xfId="27916"/>
    <cellStyle name="Note 9 2 4 2 6" xfId="27917"/>
    <cellStyle name="Note 9 2 4 3" xfId="27918"/>
    <cellStyle name="Note 9 2 4 3 2" xfId="27919"/>
    <cellStyle name="Note 9 2 4 3 2 2" xfId="27920"/>
    <cellStyle name="Note 9 2 4 3 2 3" xfId="27921"/>
    <cellStyle name="Note 9 2 4 3 3" xfId="27922"/>
    <cellStyle name="Note 9 2 4 3 3 2" xfId="27923"/>
    <cellStyle name="Note 9 2 4 3 3 3" xfId="27924"/>
    <cellStyle name="Note 9 2 4 3 4" xfId="27925"/>
    <cellStyle name="Note 9 2 4 3 4 2" xfId="27926"/>
    <cellStyle name="Note 9 2 4 3 4 3" xfId="27927"/>
    <cellStyle name="Note 9 2 4 3 5" xfId="27928"/>
    <cellStyle name="Note 9 2 4 3 6" xfId="27929"/>
    <cellStyle name="Note 9 2 4 4" xfId="27930"/>
    <cellStyle name="Note 9 2 4 4 2" xfId="27931"/>
    <cellStyle name="Note 9 2 4 4 2 2" xfId="27932"/>
    <cellStyle name="Note 9 2 4 4 2 3" xfId="27933"/>
    <cellStyle name="Note 9 2 4 4 3" xfId="27934"/>
    <cellStyle name="Note 9 2 4 4 3 2" xfId="27935"/>
    <cellStyle name="Note 9 2 4 4 3 3" xfId="27936"/>
    <cellStyle name="Note 9 2 4 4 4" xfId="27937"/>
    <cellStyle name="Note 9 2 4 4 4 2" xfId="27938"/>
    <cellStyle name="Note 9 2 4 4 4 3" xfId="27939"/>
    <cellStyle name="Note 9 2 4 4 5" xfId="27940"/>
    <cellStyle name="Note 9 2 4 4 6" xfId="27941"/>
    <cellStyle name="Note 9 2 4 5" xfId="27942"/>
    <cellStyle name="Note 9 2 4 5 2" xfId="27943"/>
    <cellStyle name="Note 9 2 4 5 2 2" xfId="27944"/>
    <cellStyle name="Note 9 2 4 5 2 3" xfId="27945"/>
    <cellStyle name="Note 9 2 4 5 3" xfId="27946"/>
    <cellStyle name="Note 9 2 4 5 3 2" xfId="27947"/>
    <cellStyle name="Note 9 2 4 5 3 3" xfId="27948"/>
    <cellStyle name="Note 9 2 4 5 4" xfId="27949"/>
    <cellStyle name="Note 9 2 4 5 4 2" xfId="27950"/>
    <cellStyle name="Note 9 2 4 5 4 3" xfId="27951"/>
    <cellStyle name="Note 9 2 4 5 5" xfId="27952"/>
    <cellStyle name="Note 9 2 4 5 6" xfId="27953"/>
    <cellStyle name="Note 9 2 4 6" xfId="27954"/>
    <cellStyle name="Note 9 2 4 6 2" xfId="27955"/>
    <cellStyle name="Note 9 2 4 6 2 2" xfId="27956"/>
    <cellStyle name="Note 9 2 4 6 2 3" xfId="27957"/>
    <cellStyle name="Note 9 2 4 6 3" xfId="27958"/>
    <cellStyle name="Note 9 2 4 6 3 2" xfId="27959"/>
    <cellStyle name="Note 9 2 4 6 3 3" xfId="27960"/>
    <cellStyle name="Note 9 2 4 6 4" xfId="27961"/>
    <cellStyle name="Note 9 2 4 6 4 2" xfId="27962"/>
    <cellStyle name="Note 9 2 4 6 4 3" xfId="27963"/>
    <cellStyle name="Note 9 2 4 6 5" xfId="27964"/>
    <cellStyle name="Note 9 2 4 6 6" xfId="27965"/>
    <cellStyle name="Note 9 2 4 7" xfId="27966"/>
    <cellStyle name="Note 9 2 4 7 2" xfId="27967"/>
    <cellStyle name="Note 9 2 4 7 3" xfId="27968"/>
    <cellStyle name="Note 9 2 4 8" xfId="27969"/>
    <cellStyle name="Note 9 2 4 8 2" xfId="27970"/>
    <cellStyle name="Note 9 2 4 8 3" xfId="27971"/>
    <cellStyle name="Note 9 2 4 9" xfId="27972"/>
    <cellStyle name="Note 9 2 4 9 2" xfId="27973"/>
    <cellStyle name="Note 9 2 4 9 3" xfId="27974"/>
    <cellStyle name="Note 9 2 5" xfId="27975"/>
    <cellStyle name="Note 9 2 5 10" xfId="27976"/>
    <cellStyle name="Note 9 2 5 11" xfId="27977"/>
    <cellStyle name="Note 9 2 5 2" xfId="27978"/>
    <cellStyle name="Note 9 2 5 2 2" xfId="27979"/>
    <cellStyle name="Note 9 2 5 2 2 2" xfId="27980"/>
    <cellStyle name="Note 9 2 5 2 2 3" xfId="27981"/>
    <cellStyle name="Note 9 2 5 2 3" xfId="27982"/>
    <cellStyle name="Note 9 2 5 2 3 2" xfId="27983"/>
    <cellStyle name="Note 9 2 5 2 3 3" xfId="27984"/>
    <cellStyle name="Note 9 2 5 2 4" xfId="27985"/>
    <cellStyle name="Note 9 2 5 2 4 2" xfId="27986"/>
    <cellStyle name="Note 9 2 5 2 4 3" xfId="27987"/>
    <cellStyle name="Note 9 2 5 2 5" xfId="27988"/>
    <cellStyle name="Note 9 2 5 2 6" xfId="27989"/>
    <cellStyle name="Note 9 2 5 3" xfId="27990"/>
    <cellStyle name="Note 9 2 5 3 2" xfId="27991"/>
    <cellStyle name="Note 9 2 5 3 2 2" xfId="27992"/>
    <cellStyle name="Note 9 2 5 3 2 3" xfId="27993"/>
    <cellStyle name="Note 9 2 5 3 3" xfId="27994"/>
    <cellStyle name="Note 9 2 5 3 3 2" xfId="27995"/>
    <cellStyle name="Note 9 2 5 3 3 3" xfId="27996"/>
    <cellStyle name="Note 9 2 5 3 4" xfId="27997"/>
    <cellStyle name="Note 9 2 5 3 4 2" xfId="27998"/>
    <cellStyle name="Note 9 2 5 3 4 3" xfId="27999"/>
    <cellStyle name="Note 9 2 5 3 5" xfId="28000"/>
    <cellStyle name="Note 9 2 5 3 6" xfId="28001"/>
    <cellStyle name="Note 9 2 5 4" xfId="28002"/>
    <cellStyle name="Note 9 2 5 4 2" xfId="28003"/>
    <cellStyle name="Note 9 2 5 4 2 2" xfId="28004"/>
    <cellStyle name="Note 9 2 5 4 2 3" xfId="28005"/>
    <cellStyle name="Note 9 2 5 4 3" xfId="28006"/>
    <cellStyle name="Note 9 2 5 4 3 2" xfId="28007"/>
    <cellStyle name="Note 9 2 5 4 3 3" xfId="28008"/>
    <cellStyle name="Note 9 2 5 4 4" xfId="28009"/>
    <cellStyle name="Note 9 2 5 4 4 2" xfId="28010"/>
    <cellStyle name="Note 9 2 5 4 4 3" xfId="28011"/>
    <cellStyle name="Note 9 2 5 4 5" xfId="28012"/>
    <cellStyle name="Note 9 2 5 4 6" xfId="28013"/>
    <cellStyle name="Note 9 2 5 5" xfId="28014"/>
    <cellStyle name="Note 9 2 5 5 2" xfId="28015"/>
    <cellStyle name="Note 9 2 5 5 2 2" xfId="28016"/>
    <cellStyle name="Note 9 2 5 5 2 3" xfId="28017"/>
    <cellStyle name="Note 9 2 5 5 3" xfId="28018"/>
    <cellStyle name="Note 9 2 5 5 3 2" xfId="28019"/>
    <cellStyle name="Note 9 2 5 5 3 3" xfId="28020"/>
    <cellStyle name="Note 9 2 5 5 4" xfId="28021"/>
    <cellStyle name="Note 9 2 5 5 4 2" xfId="28022"/>
    <cellStyle name="Note 9 2 5 5 4 3" xfId="28023"/>
    <cellStyle name="Note 9 2 5 5 5" xfId="28024"/>
    <cellStyle name="Note 9 2 5 5 6" xfId="28025"/>
    <cellStyle name="Note 9 2 5 6" xfId="28026"/>
    <cellStyle name="Note 9 2 5 6 2" xfId="28027"/>
    <cellStyle name="Note 9 2 5 6 2 2" xfId="28028"/>
    <cellStyle name="Note 9 2 5 6 2 3" xfId="28029"/>
    <cellStyle name="Note 9 2 5 6 3" xfId="28030"/>
    <cellStyle name="Note 9 2 5 6 3 2" xfId="28031"/>
    <cellStyle name="Note 9 2 5 6 3 3" xfId="28032"/>
    <cellStyle name="Note 9 2 5 6 4" xfId="28033"/>
    <cellStyle name="Note 9 2 5 6 4 2" xfId="28034"/>
    <cellStyle name="Note 9 2 5 6 4 3" xfId="28035"/>
    <cellStyle name="Note 9 2 5 6 5" xfId="28036"/>
    <cellStyle name="Note 9 2 5 6 6" xfId="28037"/>
    <cellStyle name="Note 9 2 5 7" xfId="28038"/>
    <cellStyle name="Note 9 2 5 7 2" xfId="28039"/>
    <cellStyle name="Note 9 2 5 7 3" xfId="28040"/>
    <cellStyle name="Note 9 2 5 8" xfId="28041"/>
    <cellStyle name="Note 9 2 5 8 2" xfId="28042"/>
    <cellStyle name="Note 9 2 5 8 3" xfId="28043"/>
    <cellStyle name="Note 9 2 5 9" xfId="28044"/>
    <cellStyle name="Note 9 2 5 9 2" xfId="28045"/>
    <cellStyle name="Note 9 2 5 9 3" xfId="28046"/>
    <cellStyle name="Note 9 2 6" xfId="28047"/>
    <cellStyle name="Note 9 2 6 2" xfId="28048"/>
    <cellStyle name="Note 9 2 6 2 2" xfId="28049"/>
    <cellStyle name="Note 9 2 6 2 3" xfId="28050"/>
    <cellStyle name="Note 9 2 6 3" xfId="28051"/>
    <cellStyle name="Note 9 2 6 3 2" xfId="28052"/>
    <cellStyle name="Note 9 2 6 3 3" xfId="28053"/>
    <cellStyle name="Note 9 2 6 4" xfId="28054"/>
    <cellStyle name="Note 9 2 6 4 2" xfId="28055"/>
    <cellStyle name="Note 9 2 6 4 3" xfId="28056"/>
    <cellStyle name="Note 9 2 6 5" xfId="28057"/>
    <cellStyle name="Note 9 2 6 6" xfId="28058"/>
    <cellStyle name="Note 9 2 7" xfId="28059"/>
    <cellStyle name="Note 9 2 7 2" xfId="28060"/>
    <cellStyle name="Note 9 2 7 2 2" xfId="28061"/>
    <cellStyle name="Note 9 2 7 2 3" xfId="28062"/>
    <cellStyle name="Note 9 2 7 3" xfId="28063"/>
    <cellStyle name="Note 9 2 7 3 2" xfId="28064"/>
    <cellStyle name="Note 9 2 7 3 3" xfId="28065"/>
    <cellStyle name="Note 9 2 7 4" xfId="28066"/>
    <cellStyle name="Note 9 2 7 4 2" xfId="28067"/>
    <cellStyle name="Note 9 2 7 4 3" xfId="28068"/>
    <cellStyle name="Note 9 2 7 5" xfId="28069"/>
    <cellStyle name="Note 9 2 7 6" xfId="28070"/>
    <cellStyle name="Note 9 2 8" xfId="28071"/>
    <cellStyle name="Note 9 2 8 2" xfId="28072"/>
    <cellStyle name="Note 9 2 8 2 2" xfId="28073"/>
    <cellStyle name="Note 9 2 8 2 3" xfId="28074"/>
    <cellStyle name="Note 9 2 8 3" xfId="28075"/>
    <cellStyle name="Note 9 2 8 3 2" xfId="28076"/>
    <cellStyle name="Note 9 2 8 3 3" xfId="28077"/>
    <cellStyle name="Note 9 2 8 4" xfId="28078"/>
    <cellStyle name="Note 9 2 8 4 2" xfId="28079"/>
    <cellStyle name="Note 9 2 8 4 3" xfId="28080"/>
    <cellStyle name="Note 9 2 8 5" xfId="28081"/>
    <cellStyle name="Note 9 2 8 6" xfId="28082"/>
    <cellStyle name="Note 9 2 9" xfId="28083"/>
    <cellStyle name="Note 9 2 9 2" xfId="28084"/>
    <cellStyle name="Note 9 2 9 2 2" xfId="28085"/>
    <cellStyle name="Note 9 2 9 2 3" xfId="28086"/>
    <cellStyle name="Note 9 2 9 3" xfId="28087"/>
    <cellStyle name="Note 9 2 9 3 2" xfId="28088"/>
    <cellStyle name="Note 9 2 9 3 3" xfId="28089"/>
    <cellStyle name="Note 9 2 9 4" xfId="28090"/>
    <cellStyle name="Note 9 2 9 4 2" xfId="28091"/>
    <cellStyle name="Note 9 2 9 4 3" xfId="28092"/>
    <cellStyle name="Note 9 2 9 5" xfId="28093"/>
    <cellStyle name="Note 9 2 9 6" xfId="28094"/>
    <cellStyle name="Note 9 3" xfId="1168"/>
    <cellStyle name="Note 9 3 10" xfId="28095"/>
    <cellStyle name="Note 9 3 11" xfId="28096"/>
    <cellStyle name="Note 9 3 2" xfId="28097"/>
    <cellStyle name="Note 9 3 2 2" xfId="28098"/>
    <cellStyle name="Note 9 3 2 2 2" xfId="28099"/>
    <cellStyle name="Note 9 3 2 2 3" xfId="28100"/>
    <cellStyle name="Note 9 3 2 3" xfId="28101"/>
    <cellStyle name="Note 9 3 2 3 2" xfId="28102"/>
    <cellStyle name="Note 9 3 2 3 3" xfId="28103"/>
    <cellStyle name="Note 9 3 2 4" xfId="28104"/>
    <cellStyle name="Note 9 3 2 4 2" xfId="28105"/>
    <cellStyle name="Note 9 3 2 4 3" xfId="28106"/>
    <cellStyle name="Note 9 3 2 5" xfId="28107"/>
    <cellStyle name="Note 9 3 2 6" xfId="28108"/>
    <cellStyle name="Note 9 3 3" xfId="28109"/>
    <cellStyle name="Note 9 3 3 2" xfId="28110"/>
    <cellStyle name="Note 9 3 3 2 2" xfId="28111"/>
    <cellStyle name="Note 9 3 3 2 3" xfId="28112"/>
    <cellStyle name="Note 9 3 3 3" xfId="28113"/>
    <cellStyle name="Note 9 3 3 3 2" xfId="28114"/>
    <cellStyle name="Note 9 3 3 3 3" xfId="28115"/>
    <cellStyle name="Note 9 3 3 4" xfId="28116"/>
    <cellStyle name="Note 9 3 3 4 2" xfId="28117"/>
    <cellStyle name="Note 9 3 3 4 3" xfId="28118"/>
    <cellStyle name="Note 9 3 3 5" xfId="28119"/>
    <cellStyle name="Note 9 3 3 6" xfId="28120"/>
    <cellStyle name="Note 9 3 4" xfId="28121"/>
    <cellStyle name="Note 9 3 4 2" xfId="28122"/>
    <cellStyle name="Note 9 3 4 2 2" xfId="28123"/>
    <cellStyle name="Note 9 3 4 2 3" xfId="28124"/>
    <cellStyle name="Note 9 3 4 3" xfId="28125"/>
    <cellStyle name="Note 9 3 4 3 2" xfId="28126"/>
    <cellStyle name="Note 9 3 4 3 3" xfId="28127"/>
    <cellStyle name="Note 9 3 4 4" xfId="28128"/>
    <cellStyle name="Note 9 3 4 4 2" xfId="28129"/>
    <cellStyle name="Note 9 3 4 4 3" xfId="28130"/>
    <cellStyle name="Note 9 3 4 5" xfId="28131"/>
    <cellStyle name="Note 9 3 4 6" xfId="28132"/>
    <cellStyle name="Note 9 3 5" xfId="28133"/>
    <cellStyle name="Note 9 3 5 2" xfId="28134"/>
    <cellStyle name="Note 9 3 5 2 2" xfId="28135"/>
    <cellStyle name="Note 9 3 5 2 3" xfId="28136"/>
    <cellStyle name="Note 9 3 5 3" xfId="28137"/>
    <cellStyle name="Note 9 3 5 3 2" xfId="28138"/>
    <cellStyle name="Note 9 3 5 3 3" xfId="28139"/>
    <cellStyle name="Note 9 3 5 4" xfId="28140"/>
    <cellStyle name="Note 9 3 5 4 2" xfId="28141"/>
    <cellStyle name="Note 9 3 5 4 3" xfId="28142"/>
    <cellStyle name="Note 9 3 5 5" xfId="28143"/>
    <cellStyle name="Note 9 3 5 6" xfId="28144"/>
    <cellStyle name="Note 9 3 6" xfId="28145"/>
    <cellStyle name="Note 9 3 6 2" xfId="28146"/>
    <cellStyle name="Note 9 3 6 2 2" xfId="28147"/>
    <cellStyle name="Note 9 3 6 2 3" xfId="28148"/>
    <cellStyle name="Note 9 3 6 3" xfId="28149"/>
    <cellStyle name="Note 9 3 6 3 2" xfId="28150"/>
    <cellStyle name="Note 9 3 6 3 3" xfId="28151"/>
    <cellStyle name="Note 9 3 6 4" xfId="28152"/>
    <cellStyle name="Note 9 3 6 4 2" xfId="28153"/>
    <cellStyle name="Note 9 3 6 4 3" xfId="28154"/>
    <cellStyle name="Note 9 3 6 5" xfId="28155"/>
    <cellStyle name="Note 9 3 6 6" xfId="28156"/>
    <cellStyle name="Note 9 3 7" xfId="28157"/>
    <cellStyle name="Note 9 3 7 2" xfId="28158"/>
    <cellStyle name="Note 9 3 7 3" xfId="28159"/>
    <cellStyle name="Note 9 3 8" xfId="28160"/>
    <cellStyle name="Note 9 3 8 2" xfId="28161"/>
    <cellStyle name="Note 9 3 8 3" xfId="28162"/>
    <cellStyle name="Note 9 3 9" xfId="28163"/>
    <cellStyle name="Note 9 3 9 2" xfId="28164"/>
    <cellStyle name="Note 9 3 9 3" xfId="28165"/>
    <cellStyle name="Note 9 4" xfId="3238"/>
    <cellStyle name="Note 9 5" xfId="3275"/>
    <cellStyle name="Note 9 6" xfId="3298"/>
    <cellStyle name="Note 9 7" xfId="3311"/>
    <cellStyle name="Output" xfId="134" builtinId="21" customBuiltin="1"/>
    <cellStyle name="Output 10" xfId="1155"/>
    <cellStyle name="Output 2" xfId="135"/>
    <cellStyle name="Output 2 10" xfId="1080"/>
    <cellStyle name="Output 2 10 10" xfId="28166"/>
    <cellStyle name="Output 2 10 11" xfId="28167"/>
    <cellStyle name="Output 2 10 12" xfId="28168"/>
    <cellStyle name="Output 2 10 2" xfId="28169"/>
    <cellStyle name="Output 2 10 2 2" xfId="28170"/>
    <cellStyle name="Output 2 10 2 2 2" xfId="28171"/>
    <cellStyle name="Output 2 10 2 2 3" xfId="28172"/>
    <cellStyle name="Output 2 10 2 2 4" xfId="28173"/>
    <cellStyle name="Output 2 10 2 3" xfId="28174"/>
    <cellStyle name="Output 2 10 2 3 2" xfId="28175"/>
    <cellStyle name="Output 2 10 2 3 3" xfId="28176"/>
    <cellStyle name="Output 2 10 2 3 4" xfId="28177"/>
    <cellStyle name="Output 2 10 2 4" xfId="28178"/>
    <cellStyle name="Output 2 10 2 4 2" xfId="28179"/>
    <cellStyle name="Output 2 10 2 4 3" xfId="28180"/>
    <cellStyle name="Output 2 10 2 4 4" xfId="28181"/>
    <cellStyle name="Output 2 10 2 5" xfId="28182"/>
    <cellStyle name="Output 2 10 2 6" xfId="28183"/>
    <cellStyle name="Output 2 10 2 7" xfId="28184"/>
    <cellStyle name="Output 2 10 3" xfId="28185"/>
    <cellStyle name="Output 2 10 3 2" xfId="28186"/>
    <cellStyle name="Output 2 10 3 2 2" xfId="28187"/>
    <cellStyle name="Output 2 10 3 2 3" xfId="28188"/>
    <cellStyle name="Output 2 10 3 2 4" xfId="28189"/>
    <cellStyle name="Output 2 10 3 3" xfId="28190"/>
    <cellStyle name="Output 2 10 3 3 2" xfId="28191"/>
    <cellStyle name="Output 2 10 3 3 3" xfId="28192"/>
    <cellStyle name="Output 2 10 3 3 4" xfId="28193"/>
    <cellStyle name="Output 2 10 3 4" xfId="28194"/>
    <cellStyle name="Output 2 10 3 4 2" xfId="28195"/>
    <cellStyle name="Output 2 10 3 4 3" xfId="28196"/>
    <cellStyle name="Output 2 10 3 4 4" xfId="28197"/>
    <cellStyle name="Output 2 10 3 5" xfId="28198"/>
    <cellStyle name="Output 2 10 3 6" xfId="28199"/>
    <cellStyle name="Output 2 10 3 7" xfId="28200"/>
    <cellStyle name="Output 2 10 4" xfId="28201"/>
    <cellStyle name="Output 2 10 4 2" xfId="28202"/>
    <cellStyle name="Output 2 10 4 2 2" xfId="28203"/>
    <cellStyle name="Output 2 10 4 2 3" xfId="28204"/>
    <cellStyle name="Output 2 10 4 2 4" xfId="28205"/>
    <cellStyle name="Output 2 10 4 3" xfId="28206"/>
    <cellStyle name="Output 2 10 4 3 2" xfId="28207"/>
    <cellStyle name="Output 2 10 4 3 3" xfId="28208"/>
    <cellStyle name="Output 2 10 4 3 4" xfId="28209"/>
    <cellStyle name="Output 2 10 4 4" xfId="28210"/>
    <cellStyle name="Output 2 10 4 4 2" xfId="28211"/>
    <cellStyle name="Output 2 10 4 4 3" xfId="28212"/>
    <cellStyle name="Output 2 10 4 4 4" xfId="28213"/>
    <cellStyle name="Output 2 10 4 5" xfId="28214"/>
    <cellStyle name="Output 2 10 4 6" xfId="28215"/>
    <cellStyle name="Output 2 10 4 7" xfId="28216"/>
    <cellStyle name="Output 2 10 5" xfId="28217"/>
    <cellStyle name="Output 2 10 5 2" xfId="28218"/>
    <cellStyle name="Output 2 10 5 2 2" xfId="28219"/>
    <cellStyle name="Output 2 10 5 2 3" xfId="28220"/>
    <cellStyle name="Output 2 10 5 2 4" xfId="28221"/>
    <cellStyle name="Output 2 10 5 3" xfId="28222"/>
    <cellStyle name="Output 2 10 5 3 2" xfId="28223"/>
    <cellStyle name="Output 2 10 5 3 3" xfId="28224"/>
    <cellStyle name="Output 2 10 5 3 4" xfId="28225"/>
    <cellStyle name="Output 2 10 5 4" xfId="28226"/>
    <cellStyle name="Output 2 10 5 4 2" xfId="28227"/>
    <cellStyle name="Output 2 10 5 4 3" xfId="28228"/>
    <cellStyle name="Output 2 10 5 4 4" xfId="28229"/>
    <cellStyle name="Output 2 10 5 5" xfId="28230"/>
    <cellStyle name="Output 2 10 5 6" xfId="28231"/>
    <cellStyle name="Output 2 10 5 7" xfId="28232"/>
    <cellStyle name="Output 2 10 6" xfId="28233"/>
    <cellStyle name="Output 2 10 6 2" xfId="28234"/>
    <cellStyle name="Output 2 10 6 2 2" xfId="28235"/>
    <cellStyle name="Output 2 10 6 2 3" xfId="28236"/>
    <cellStyle name="Output 2 10 6 2 4" xfId="28237"/>
    <cellStyle name="Output 2 10 6 3" xfId="28238"/>
    <cellStyle name="Output 2 10 6 3 2" xfId="28239"/>
    <cellStyle name="Output 2 10 6 3 3" xfId="28240"/>
    <cellStyle name="Output 2 10 6 3 4" xfId="28241"/>
    <cellStyle name="Output 2 10 6 4" xfId="28242"/>
    <cellStyle name="Output 2 10 6 4 2" xfId="28243"/>
    <cellStyle name="Output 2 10 6 4 3" xfId="28244"/>
    <cellStyle name="Output 2 10 6 4 4" xfId="28245"/>
    <cellStyle name="Output 2 10 6 5" xfId="28246"/>
    <cellStyle name="Output 2 10 6 6" xfId="28247"/>
    <cellStyle name="Output 2 10 6 7" xfId="28248"/>
    <cellStyle name="Output 2 10 7" xfId="28249"/>
    <cellStyle name="Output 2 10 7 2" xfId="28250"/>
    <cellStyle name="Output 2 10 7 3" xfId="28251"/>
    <cellStyle name="Output 2 10 7 4" xfId="28252"/>
    <cellStyle name="Output 2 10 8" xfId="28253"/>
    <cellStyle name="Output 2 10 8 2" xfId="28254"/>
    <cellStyle name="Output 2 10 8 3" xfId="28255"/>
    <cellStyle name="Output 2 10 8 4" xfId="28256"/>
    <cellStyle name="Output 2 10 9" xfId="28257"/>
    <cellStyle name="Output 2 10 9 2" xfId="28258"/>
    <cellStyle name="Output 2 10 9 3" xfId="28259"/>
    <cellStyle name="Output 2 10 9 4" xfId="28260"/>
    <cellStyle name="Output 2 11" xfId="3139"/>
    <cellStyle name="Output 2 12" xfId="1174"/>
    <cellStyle name="Output 2 13" xfId="1028"/>
    <cellStyle name="Output 2 14" xfId="1019"/>
    <cellStyle name="Output 2 2" xfId="136"/>
    <cellStyle name="Output 2 2 2" xfId="632"/>
    <cellStyle name="Output 2 2 2 10" xfId="28261"/>
    <cellStyle name="Output 2 2 2 10 2" xfId="28262"/>
    <cellStyle name="Output 2 2 2 10 2 2" xfId="28263"/>
    <cellStyle name="Output 2 2 2 10 2 3" xfId="28264"/>
    <cellStyle name="Output 2 2 2 10 2 4" xfId="28265"/>
    <cellStyle name="Output 2 2 2 10 3" xfId="28266"/>
    <cellStyle name="Output 2 2 2 10 3 2" xfId="28267"/>
    <cellStyle name="Output 2 2 2 10 3 3" xfId="28268"/>
    <cellStyle name="Output 2 2 2 10 3 4" xfId="28269"/>
    <cellStyle name="Output 2 2 2 10 4" xfId="28270"/>
    <cellStyle name="Output 2 2 2 10 4 2" xfId="28271"/>
    <cellStyle name="Output 2 2 2 10 4 3" xfId="28272"/>
    <cellStyle name="Output 2 2 2 10 4 4" xfId="28273"/>
    <cellStyle name="Output 2 2 2 10 5" xfId="28274"/>
    <cellStyle name="Output 2 2 2 10 6" xfId="28275"/>
    <cellStyle name="Output 2 2 2 10 7" xfId="28276"/>
    <cellStyle name="Output 2 2 2 11" xfId="28277"/>
    <cellStyle name="Output 2 2 2 11 2" xfId="28278"/>
    <cellStyle name="Output 2 2 2 11 2 2" xfId="28279"/>
    <cellStyle name="Output 2 2 2 11 2 3" xfId="28280"/>
    <cellStyle name="Output 2 2 2 11 2 4" xfId="28281"/>
    <cellStyle name="Output 2 2 2 11 3" xfId="28282"/>
    <cellStyle name="Output 2 2 2 11 3 2" xfId="28283"/>
    <cellStyle name="Output 2 2 2 11 3 3" xfId="28284"/>
    <cellStyle name="Output 2 2 2 11 3 4" xfId="28285"/>
    <cellStyle name="Output 2 2 2 11 4" xfId="28286"/>
    <cellStyle name="Output 2 2 2 11 4 2" xfId="28287"/>
    <cellStyle name="Output 2 2 2 11 4 3" xfId="28288"/>
    <cellStyle name="Output 2 2 2 11 4 4" xfId="28289"/>
    <cellStyle name="Output 2 2 2 11 5" xfId="28290"/>
    <cellStyle name="Output 2 2 2 11 6" xfId="28291"/>
    <cellStyle name="Output 2 2 2 11 7" xfId="28292"/>
    <cellStyle name="Output 2 2 2 12" xfId="28293"/>
    <cellStyle name="Output 2 2 2 12 2" xfId="28294"/>
    <cellStyle name="Output 2 2 2 12 2 2" xfId="28295"/>
    <cellStyle name="Output 2 2 2 12 2 3" xfId="28296"/>
    <cellStyle name="Output 2 2 2 12 2 4" xfId="28297"/>
    <cellStyle name="Output 2 2 2 12 3" xfId="28298"/>
    <cellStyle name="Output 2 2 2 12 3 2" xfId="28299"/>
    <cellStyle name="Output 2 2 2 12 3 3" xfId="28300"/>
    <cellStyle name="Output 2 2 2 12 3 4" xfId="28301"/>
    <cellStyle name="Output 2 2 2 12 4" xfId="28302"/>
    <cellStyle name="Output 2 2 2 12 4 2" xfId="28303"/>
    <cellStyle name="Output 2 2 2 12 4 3" xfId="28304"/>
    <cellStyle name="Output 2 2 2 12 4 4" xfId="28305"/>
    <cellStyle name="Output 2 2 2 12 5" xfId="28306"/>
    <cellStyle name="Output 2 2 2 12 6" xfId="28307"/>
    <cellStyle name="Output 2 2 2 12 7" xfId="28308"/>
    <cellStyle name="Output 2 2 2 13" xfId="28309"/>
    <cellStyle name="Output 2 2 2 13 2" xfId="28310"/>
    <cellStyle name="Output 2 2 2 13 2 2" xfId="28311"/>
    <cellStyle name="Output 2 2 2 13 2 3" xfId="28312"/>
    <cellStyle name="Output 2 2 2 13 2 4" xfId="28313"/>
    <cellStyle name="Output 2 2 2 13 3" xfId="28314"/>
    <cellStyle name="Output 2 2 2 13 3 2" xfId="28315"/>
    <cellStyle name="Output 2 2 2 13 3 3" xfId="28316"/>
    <cellStyle name="Output 2 2 2 13 3 4" xfId="28317"/>
    <cellStyle name="Output 2 2 2 13 4" xfId="28318"/>
    <cellStyle name="Output 2 2 2 13 4 2" xfId="28319"/>
    <cellStyle name="Output 2 2 2 13 4 3" xfId="28320"/>
    <cellStyle name="Output 2 2 2 13 4 4" xfId="28321"/>
    <cellStyle name="Output 2 2 2 13 5" xfId="28322"/>
    <cellStyle name="Output 2 2 2 13 6" xfId="28323"/>
    <cellStyle name="Output 2 2 2 13 7" xfId="28324"/>
    <cellStyle name="Output 2 2 2 14" xfId="28325"/>
    <cellStyle name="Output 2 2 2 14 2" xfId="28326"/>
    <cellStyle name="Output 2 2 2 14 3" xfId="28327"/>
    <cellStyle name="Output 2 2 2 14 4" xfId="28328"/>
    <cellStyle name="Output 2 2 2 15" xfId="28329"/>
    <cellStyle name="Output 2 2 2 15 2" xfId="28330"/>
    <cellStyle name="Output 2 2 2 15 3" xfId="28331"/>
    <cellStyle name="Output 2 2 2 15 4" xfId="28332"/>
    <cellStyle name="Output 2 2 2 16" xfId="28333"/>
    <cellStyle name="Output 2 2 2 16 2" xfId="28334"/>
    <cellStyle name="Output 2 2 2 16 3" xfId="28335"/>
    <cellStyle name="Output 2 2 2 16 4" xfId="28336"/>
    <cellStyle name="Output 2 2 2 17" xfId="28337"/>
    <cellStyle name="Output 2 2 2 18" xfId="28338"/>
    <cellStyle name="Output 2 2 2 19" xfId="28339"/>
    <cellStyle name="Output 2 2 2 2" xfId="892"/>
    <cellStyle name="Output 2 2 2 2 10" xfId="28340"/>
    <cellStyle name="Output 2 2 2 2 11" xfId="28341"/>
    <cellStyle name="Output 2 2 2 2 12" xfId="28342"/>
    <cellStyle name="Output 2 2 2 2 2" xfId="28343"/>
    <cellStyle name="Output 2 2 2 2 2 2" xfId="28344"/>
    <cellStyle name="Output 2 2 2 2 2 2 2" xfId="28345"/>
    <cellStyle name="Output 2 2 2 2 2 2 3" xfId="28346"/>
    <cellStyle name="Output 2 2 2 2 2 2 4" xfId="28347"/>
    <cellStyle name="Output 2 2 2 2 2 3" xfId="28348"/>
    <cellStyle name="Output 2 2 2 2 2 3 2" xfId="28349"/>
    <cellStyle name="Output 2 2 2 2 2 3 3" xfId="28350"/>
    <cellStyle name="Output 2 2 2 2 2 3 4" xfId="28351"/>
    <cellStyle name="Output 2 2 2 2 2 4" xfId="28352"/>
    <cellStyle name="Output 2 2 2 2 2 4 2" xfId="28353"/>
    <cellStyle name="Output 2 2 2 2 2 4 3" xfId="28354"/>
    <cellStyle name="Output 2 2 2 2 2 4 4" xfId="28355"/>
    <cellStyle name="Output 2 2 2 2 2 5" xfId="28356"/>
    <cellStyle name="Output 2 2 2 2 2 6" xfId="28357"/>
    <cellStyle name="Output 2 2 2 2 2 7" xfId="28358"/>
    <cellStyle name="Output 2 2 2 2 3" xfId="28359"/>
    <cellStyle name="Output 2 2 2 2 3 2" xfId="28360"/>
    <cellStyle name="Output 2 2 2 2 3 2 2" xfId="28361"/>
    <cellStyle name="Output 2 2 2 2 3 2 3" xfId="28362"/>
    <cellStyle name="Output 2 2 2 2 3 2 4" xfId="28363"/>
    <cellStyle name="Output 2 2 2 2 3 3" xfId="28364"/>
    <cellStyle name="Output 2 2 2 2 3 3 2" xfId="28365"/>
    <cellStyle name="Output 2 2 2 2 3 3 3" xfId="28366"/>
    <cellStyle name="Output 2 2 2 2 3 3 4" xfId="28367"/>
    <cellStyle name="Output 2 2 2 2 3 4" xfId="28368"/>
    <cellStyle name="Output 2 2 2 2 3 4 2" xfId="28369"/>
    <cellStyle name="Output 2 2 2 2 3 4 3" xfId="28370"/>
    <cellStyle name="Output 2 2 2 2 3 4 4" xfId="28371"/>
    <cellStyle name="Output 2 2 2 2 3 5" xfId="28372"/>
    <cellStyle name="Output 2 2 2 2 3 6" xfId="28373"/>
    <cellStyle name="Output 2 2 2 2 3 7" xfId="28374"/>
    <cellStyle name="Output 2 2 2 2 4" xfId="28375"/>
    <cellStyle name="Output 2 2 2 2 4 2" xfId="28376"/>
    <cellStyle name="Output 2 2 2 2 4 2 2" xfId="28377"/>
    <cellStyle name="Output 2 2 2 2 4 2 3" xfId="28378"/>
    <cellStyle name="Output 2 2 2 2 4 2 4" xfId="28379"/>
    <cellStyle name="Output 2 2 2 2 4 3" xfId="28380"/>
    <cellStyle name="Output 2 2 2 2 4 3 2" xfId="28381"/>
    <cellStyle name="Output 2 2 2 2 4 3 3" xfId="28382"/>
    <cellStyle name="Output 2 2 2 2 4 3 4" xfId="28383"/>
    <cellStyle name="Output 2 2 2 2 4 4" xfId="28384"/>
    <cellStyle name="Output 2 2 2 2 4 4 2" xfId="28385"/>
    <cellStyle name="Output 2 2 2 2 4 4 3" xfId="28386"/>
    <cellStyle name="Output 2 2 2 2 4 4 4" xfId="28387"/>
    <cellStyle name="Output 2 2 2 2 4 5" xfId="28388"/>
    <cellStyle name="Output 2 2 2 2 4 6" xfId="28389"/>
    <cellStyle name="Output 2 2 2 2 4 7" xfId="28390"/>
    <cellStyle name="Output 2 2 2 2 5" xfId="28391"/>
    <cellStyle name="Output 2 2 2 2 5 2" xfId="28392"/>
    <cellStyle name="Output 2 2 2 2 5 2 2" xfId="28393"/>
    <cellStyle name="Output 2 2 2 2 5 2 3" xfId="28394"/>
    <cellStyle name="Output 2 2 2 2 5 2 4" xfId="28395"/>
    <cellStyle name="Output 2 2 2 2 5 3" xfId="28396"/>
    <cellStyle name="Output 2 2 2 2 5 3 2" xfId="28397"/>
    <cellStyle name="Output 2 2 2 2 5 3 3" xfId="28398"/>
    <cellStyle name="Output 2 2 2 2 5 3 4" xfId="28399"/>
    <cellStyle name="Output 2 2 2 2 5 4" xfId="28400"/>
    <cellStyle name="Output 2 2 2 2 5 4 2" xfId="28401"/>
    <cellStyle name="Output 2 2 2 2 5 4 3" xfId="28402"/>
    <cellStyle name="Output 2 2 2 2 5 4 4" xfId="28403"/>
    <cellStyle name="Output 2 2 2 2 5 5" xfId="28404"/>
    <cellStyle name="Output 2 2 2 2 5 6" xfId="28405"/>
    <cellStyle name="Output 2 2 2 2 5 7" xfId="28406"/>
    <cellStyle name="Output 2 2 2 2 6" xfId="28407"/>
    <cellStyle name="Output 2 2 2 2 6 2" xfId="28408"/>
    <cellStyle name="Output 2 2 2 2 6 2 2" xfId="28409"/>
    <cellStyle name="Output 2 2 2 2 6 2 3" xfId="28410"/>
    <cellStyle name="Output 2 2 2 2 6 2 4" xfId="28411"/>
    <cellStyle name="Output 2 2 2 2 6 3" xfId="28412"/>
    <cellStyle name="Output 2 2 2 2 6 3 2" xfId="28413"/>
    <cellStyle name="Output 2 2 2 2 6 3 3" xfId="28414"/>
    <cellStyle name="Output 2 2 2 2 6 3 4" xfId="28415"/>
    <cellStyle name="Output 2 2 2 2 6 4" xfId="28416"/>
    <cellStyle name="Output 2 2 2 2 6 4 2" xfId="28417"/>
    <cellStyle name="Output 2 2 2 2 6 4 3" xfId="28418"/>
    <cellStyle name="Output 2 2 2 2 6 4 4" xfId="28419"/>
    <cellStyle name="Output 2 2 2 2 6 5" xfId="28420"/>
    <cellStyle name="Output 2 2 2 2 6 6" xfId="28421"/>
    <cellStyle name="Output 2 2 2 2 6 7" xfId="28422"/>
    <cellStyle name="Output 2 2 2 2 7" xfId="28423"/>
    <cellStyle name="Output 2 2 2 2 7 2" xfId="28424"/>
    <cellStyle name="Output 2 2 2 2 7 3" xfId="28425"/>
    <cellStyle name="Output 2 2 2 2 7 4" xfId="28426"/>
    <cellStyle name="Output 2 2 2 2 8" xfId="28427"/>
    <cellStyle name="Output 2 2 2 2 8 2" xfId="28428"/>
    <cellStyle name="Output 2 2 2 2 8 3" xfId="28429"/>
    <cellStyle name="Output 2 2 2 2 8 4" xfId="28430"/>
    <cellStyle name="Output 2 2 2 2 9" xfId="28431"/>
    <cellStyle name="Output 2 2 2 2 9 2" xfId="28432"/>
    <cellStyle name="Output 2 2 2 2 9 3" xfId="28433"/>
    <cellStyle name="Output 2 2 2 2 9 4" xfId="28434"/>
    <cellStyle name="Output 2 2 2 3" xfId="743"/>
    <cellStyle name="Output 2 2 2 3 10" xfId="28435"/>
    <cellStyle name="Output 2 2 2 3 11" xfId="28436"/>
    <cellStyle name="Output 2 2 2 3 12" xfId="28437"/>
    <cellStyle name="Output 2 2 2 3 2" xfId="28438"/>
    <cellStyle name="Output 2 2 2 3 2 2" xfId="28439"/>
    <cellStyle name="Output 2 2 2 3 2 2 2" xfId="28440"/>
    <cellStyle name="Output 2 2 2 3 2 2 3" xfId="28441"/>
    <cellStyle name="Output 2 2 2 3 2 2 4" xfId="28442"/>
    <cellStyle name="Output 2 2 2 3 2 3" xfId="28443"/>
    <cellStyle name="Output 2 2 2 3 2 3 2" xfId="28444"/>
    <cellStyle name="Output 2 2 2 3 2 3 3" xfId="28445"/>
    <cellStyle name="Output 2 2 2 3 2 3 4" xfId="28446"/>
    <cellStyle name="Output 2 2 2 3 2 4" xfId="28447"/>
    <cellStyle name="Output 2 2 2 3 2 4 2" xfId="28448"/>
    <cellStyle name="Output 2 2 2 3 2 4 3" xfId="28449"/>
    <cellStyle name="Output 2 2 2 3 2 4 4" xfId="28450"/>
    <cellStyle name="Output 2 2 2 3 2 5" xfId="28451"/>
    <cellStyle name="Output 2 2 2 3 2 6" xfId="28452"/>
    <cellStyle name="Output 2 2 2 3 2 7" xfId="28453"/>
    <cellStyle name="Output 2 2 2 3 3" xfId="28454"/>
    <cellStyle name="Output 2 2 2 3 3 2" xfId="28455"/>
    <cellStyle name="Output 2 2 2 3 3 2 2" xfId="28456"/>
    <cellStyle name="Output 2 2 2 3 3 2 3" xfId="28457"/>
    <cellStyle name="Output 2 2 2 3 3 2 4" xfId="28458"/>
    <cellStyle name="Output 2 2 2 3 3 3" xfId="28459"/>
    <cellStyle name="Output 2 2 2 3 3 3 2" xfId="28460"/>
    <cellStyle name="Output 2 2 2 3 3 3 3" xfId="28461"/>
    <cellStyle name="Output 2 2 2 3 3 3 4" xfId="28462"/>
    <cellStyle name="Output 2 2 2 3 3 4" xfId="28463"/>
    <cellStyle name="Output 2 2 2 3 3 4 2" xfId="28464"/>
    <cellStyle name="Output 2 2 2 3 3 4 3" xfId="28465"/>
    <cellStyle name="Output 2 2 2 3 3 4 4" xfId="28466"/>
    <cellStyle name="Output 2 2 2 3 3 5" xfId="28467"/>
    <cellStyle name="Output 2 2 2 3 3 6" xfId="28468"/>
    <cellStyle name="Output 2 2 2 3 3 7" xfId="28469"/>
    <cellStyle name="Output 2 2 2 3 4" xfId="28470"/>
    <cellStyle name="Output 2 2 2 3 4 2" xfId="28471"/>
    <cellStyle name="Output 2 2 2 3 4 2 2" xfId="28472"/>
    <cellStyle name="Output 2 2 2 3 4 2 3" xfId="28473"/>
    <cellStyle name="Output 2 2 2 3 4 2 4" xfId="28474"/>
    <cellStyle name="Output 2 2 2 3 4 3" xfId="28475"/>
    <cellStyle name="Output 2 2 2 3 4 3 2" xfId="28476"/>
    <cellStyle name="Output 2 2 2 3 4 3 3" xfId="28477"/>
    <cellStyle name="Output 2 2 2 3 4 3 4" xfId="28478"/>
    <cellStyle name="Output 2 2 2 3 4 4" xfId="28479"/>
    <cellStyle name="Output 2 2 2 3 4 4 2" xfId="28480"/>
    <cellStyle name="Output 2 2 2 3 4 4 3" xfId="28481"/>
    <cellStyle name="Output 2 2 2 3 4 4 4" xfId="28482"/>
    <cellStyle name="Output 2 2 2 3 4 5" xfId="28483"/>
    <cellStyle name="Output 2 2 2 3 4 6" xfId="28484"/>
    <cellStyle name="Output 2 2 2 3 4 7" xfId="28485"/>
    <cellStyle name="Output 2 2 2 3 5" xfId="28486"/>
    <cellStyle name="Output 2 2 2 3 5 2" xfId="28487"/>
    <cellStyle name="Output 2 2 2 3 5 2 2" xfId="28488"/>
    <cellStyle name="Output 2 2 2 3 5 2 3" xfId="28489"/>
    <cellStyle name="Output 2 2 2 3 5 2 4" xfId="28490"/>
    <cellStyle name="Output 2 2 2 3 5 3" xfId="28491"/>
    <cellStyle name="Output 2 2 2 3 5 3 2" xfId="28492"/>
    <cellStyle name="Output 2 2 2 3 5 3 3" xfId="28493"/>
    <cellStyle name="Output 2 2 2 3 5 3 4" xfId="28494"/>
    <cellStyle name="Output 2 2 2 3 5 4" xfId="28495"/>
    <cellStyle name="Output 2 2 2 3 5 4 2" xfId="28496"/>
    <cellStyle name="Output 2 2 2 3 5 4 3" xfId="28497"/>
    <cellStyle name="Output 2 2 2 3 5 4 4" xfId="28498"/>
    <cellStyle name="Output 2 2 2 3 5 5" xfId="28499"/>
    <cellStyle name="Output 2 2 2 3 5 6" xfId="28500"/>
    <cellStyle name="Output 2 2 2 3 5 7" xfId="28501"/>
    <cellStyle name="Output 2 2 2 3 6" xfId="28502"/>
    <cellStyle name="Output 2 2 2 3 6 2" xfId="28503"/>
    <cellStyle name="Output 2 2 2 3 6 2 2" xfId="28504"/>
    <cellStyle name="Output 2 2 2 3 6 2 3" xfId="28505"/>
    <cellStyle name="Output 2 2 2 3 6 2 4" xfId="28506"/>
    <cellStyle name="Output 2 2 2 3 6 3" xfId="28507"/>
    <cellStyle name="Output 2 2 2 3 6 3 2" xfId="28508"/>
    <cellStyle name="Output 2 2 2 3 6 3 3" xfId="28509"/>
    <cellStyle name="Output 2 2 2 3 6 3 4" xfId="28510"/>
    <cellStyle name="Output 2 2 2 3 6 4" xfId="28511"/>
    <cellStyle name="Output 2 2 2 3 6 4 2" xfId="28512"/>
    <cellStyle name="Output 2 2 2 3 6 4 3" xfId="28513"/>
    <cellStyle name="Output 2 2 2 3 6 4 4" xfId="28514"/>
    <cellStyle name="Output 2 2 2 3 6 5" xfId="28515"/>
    <cellStyle name="Output 2 2 2 3 6 6" xfId="28516"/>
    <cellStyle name="Output 2 2 2 3 6 7" xfId="28517"/>
    <cellStyle name="Output 2 2 2 3 7" xfId="28518"/>
    <cellStyle name="Output 2 2 2 3 7 2" xfId="28519"/>
    <cellStyle name="Output 2 2 2 3 7 3" xfId="28520"/>
    <cellStyle name="Output 2 2 2 3 7 4" xfId="28521"/>
    <cellStyle name="Output 2 2 2 3 8" xfId="28522"/>
    <cellStyle name="Output 2 2 2 3 8 2" xfId="28523"/>
    <cellStyle name="Output 2 2 2 3 8 3" xfId="28524"/>
    <cellStyle name="Output 2 2 2 3 8 4" xfId="28525"/>
    <cellStyle name="Output 2 2 2 3 9" xfId="28526"/>
    <cellStyle name="Output 2 2 2 3 9 2" xfId="28527"/>
    <cellStyle name="Output 2 2 2 3 9 3" xfId="28528"/>
    <cellStyle name="Output 2 2 2 3 9 4" xfId="28529"/>
    <cellStyle name="Output 2 2 2 4" xfId="961"/>
    <cellStyle name="Output 2 2 2 4 10" xfId="28530"/>
    <cellStyle name="Output 2 2 2 4 11" xfId="28531"/>
    <cellStyle name="Output 2 2 2 4 12" xfId="28532"/>
    <cellStyle name="Output 2 2 2 4 2" xfId="28533"/>
    <cellStyle name="Output 2 2 2 4 2 2" xfId="28534"/>
    <cellStyle name="Output 2 2 2 4 2 2 2" xfId="28535"/>
    <cellStyle name="Output 2 2 2 4 2 2 3" xfId="28536"/>
    <cellStyle name="Output 2 2 2 4 2 2 4" xfId="28537"/>
    <cellStyle name="Output 2 2 2 4 2 3" xfId="28538"/>
    <cellStyle name="Output 2 2 2 4 2 3 2" xfId="28539"/>
    <cellStyle name="Output 2 2 2 4 2 3 3" xfId="28540"/>
    <cellStyle name="Output 2 2 2 4 2 3 4" xfId="28541"/>
    <cellStyle name="Output 2 2 2 4 2 4" xfId="28542"/>
    <cellStyle name="Output 2 2 2 4 2 4 2" xfId="28543"/>
    <cellStyle name="Output 2 2 2 4 2 4 3" xfId="28544"/>
    <cellStyle name="Output 2 2 2 4 2 4 4" xfId="28545"/>
    <cellStyle name="Output 2 2 2 4 2 5" xfId="28546"/>
    <cellStyle name="Output 2 2 2 4 2 6" xfId="28547"/>
    <cellStyle name="Output 2 2 2 4 2 7" xfId="28548"/>
    <cellStyle name="Output 2 2 2 4 3" xfId="28549"/>
    <cellStyle name="Output 2 2 2 4 3 2" xfId="28550"/>
    <cellStyle name="Output 2 2 2 4 3 2 2" xfId="28551"/>
    <cellStyle name="Output 2 2 2 4 3 2 3" xfId="28552"/>
    <cellStyle name="Output 2 2 2 4 3 2 4" xfId="28553"/>
    <cellStyle name="Output 2 2 2 4 3 3" xfId="28554"/>
    <cellStyle name="Output 2 2 2 4 3 3 2" xfId="28555"/>
    <cellStyle name="Output 2 2 2 4 3 3 3" xfId="28556"/>
    <cellStyle name="Output 2 2 2 4 3 3 4" xfId="28557"/>
    <cellStyle name="Output 2 2 2 4 3 4" xfId="28558"/>
    <cellStyle name="Output 2 2 2 4 3 4 2" xfId="28559"/>
    <cellStyle name="Output 2 2 2 4 3 4 3" xfId="28560"/>
    <cellStyle name="Output 2 2 2 4 3 4 4" xfId="28561"/>
    <cellStyle name="Output 2 2 2 4 3 5" xfId="28562"/>
    <cellStyle name="Output 2 2 2 4 3 6" xfId="28563"/>
    <cellStyle name="Output 2 2 2 4 3 7" xfId="28564"/>
    <cellStyle name="Output 2 2 2 4 4" xfId="28565"/>
    <cellStyle name="Output 2 2 2 4 4 2" xfId="28566"/>
    <cellStyle name="Output 2 2 2 4 4 2 2" xfId="28567"/>
    <cellStyle name="Output 2 2 2 4 4 2 3" xfId="28568"/>
    <cellStyle name="Output 2 2 2 4 4 2 4" xfId="28569"/>
    <cellStyle name="Output 2 2 2 4 4 3" xfId="28570"/>
    <cellStyle name="Output 2 2 2 4 4 3 2" xfId="28571"/>
    <cellStyle name="Output 2 2 2 4 4 3 3" xfId="28572"/>
    <cellStyle name="Output 2 2 2 4 4 3 4" xfId="28573"/>
    <cellStyle name="Output 2 2 2 4 4 4" xfId="28574"/>
    <cellStyle name="Output 2 2 2 4 4 4 2" xfId="28575"/>
    <cellStyle name="Output 2 2 2 4 4 4 3" xfId="28576"/>
    <cellStyle name="Output 2 2 2 4 4 4 4" xfId="28577"/>
    <cellStyle name="Output 2 2 2 4 4 5" xfId="28578"/>
    <cellStyle name="Output 2 2 2 4 4 6" xfId="28579"/>
    <cellStyle name="Output 2 2 2 4 4 7" xfId="28580"/>
    <cellStyle name="Output 2 2 2 4 5" xfId="28581"/>
    <cellStyle name="Output 2 2 2 4 5 2" xfId="28582"/>
    <cellStyle name="Output 2 2 2 4 5 2 2" xfId="28583"/>
    <cellStyle name="Output 2 2 2 4 5 2 3" xfId="28584"/>
    <cellStyle name="Output 2 2 2 4 5 2 4" xfId="28585"/>
    <cellStyle name="Output 2 2 2 4 5 3" xfId="28586"/>
    <cellStyle name="Output 2 2 2 4 5 3 2" xfId="28587"/>
    <cellStyle name="Output 2 2 2 4 5 3 3" xfId="28588"/>
    <cellStyle name="Output 2 2 2 4 5 3 4" xfId="28589"/>
    <cellStyle name="Output 2 2 2 4 5 4" xfId="28590"/>
    <cellStyle name="Output 2 2 2 4 5 4 2" xfId="28591"/>
    <cellStyle name="Output 2 2 2 4 5 4 3" xfId="28592"/>
    <cellStyle name="Output 2 2 2 4 5 4 4" xfId="28593"/>
    <cellStyle name="Output 2 2 2 4 5 5" xfId="28594"/>
    <cellStyle name="Output 2 2 2 4 5 6" xfId="28595"/>
    <cellStyle name="Output 2 2 2 4 5 7" xfId="28596"/>
    <cellStyle name="Output 2 2 2 4 6" xfId="28597"/>
    <cellStyle name="Output 2 2 2 4 6 2" xfId="28598"/>
    <cellStyle name="Output 2 2 2 4 6 2 2" xfId="28599"/>
    <cellStyle name="Output 2 2 2 4 6 2 3" xfId="28600"/>
    <cellStyle name="Output 2 2 2 4 6 2 4" xfId="28601"/>
    <cellStyle name="Output 2 2 2 4 6 3" xfId="28602"/>
    <cellStyle name="Output 2 2 2 4 6 3 2" xfId="28603"/>
    <cellStyle name="Output 2 2 2 4 6 3 3" xfId="28604"/>
    <cellStyle name="Output 2 2 2 4 6 3 4" xfId="28605"/>
    <cellStyle name="Output 2 2 2 4 6 4" xfId="28606"/>
    <cellStyle name="Output 2 2 2 4 6 4 2" xfId="28607"/>
    <cellStyle name="Output 2 2 2 4 6 4 3" xfId="28608"/>
    <cellStyle name="Output 2 2 2 4 6 4 4" xfId="28609"/>
    <cellStyle name="Output 2 2 2 4 6 5" xfId="28610"/>
    <cellStyle name="Output 2 2 2 4 6 6" xfId="28611"/>
    <cellStyle name="Output 2 2 2 4 6 7" xfId="28612"/>
    <cellStyle name="Output 2 2 2 4 7" xfId="28613"/>
    <cellStyle name="Output 2 2 2 4 7 2" xfId="28614"/>
    <cellStyle name="Output 2 2 2 4 7 3" xfId="28615"/>
    <cellStyle name="Output 2 2 2 4 7 4" xfId="28616"/>
    <cellStyle name="Output 2 2 2 4 8" xfId="28617"/>
    <cellStyle name="Output 2 2 2 4 8 2" xfId="28618"/>
    <cellStyle name="Output 2 2 2 4 8 3" xfId="28619"/>
    <cellStyle name="Output 2 2 2 4 8 4" xfId="28620"/>
    <cellStyle name="Output 2 2 2 4 9" xfId="28621"/>
    <cellStyle name="Output 2 2 2 4 9 2" xfId="28622"/>
    <cellStyle name="Output 2 2 2 4 9 3" xfId="28623"/>
    <cellStyle name="Output 2 2 2 4 9 4" xfId="28624"/>
    <cellStyle name="Output 2 2 2 5" xfId="28625"/>
    <cellStyle name="Output 2 2 2 5 10" xfId="28626"/>
    <cellStyle name="Output 2 2 2 5 11" xfId="28627"/>
    <cellStyle name="Output 2 2 2 5 12" xfId="28628"/>
    <cellStyle name="Output 2 2 2 5 2" xfId="28629"/>
    <cellStyle name="Output 2 2 2 5 2 2" xfId="28630"/>
    <cellStyle name="Output 2 2 2 5 2 2 2" xfId="28631"/>
    <cellStyle name="Output 2 2 2 5 2 2 3" xfId="28632"/>
    <cellStyle name="Output 2 2 2 5 2 2 4" xfId="28633"/>
    <cellStyle name="Output 2 2 2 5 2 3" xfId="28634"/>
    <cellStyle name="Output 2 2 2 5 2 3 2" xfId="28635"/>
    <cellStyle name="Output 2 2 2 5 2 3 3" xfId="28636"/>
    <cellStyle name="Output 2 2 2 5 2 3 4" xfId="28637"/>
    <cellStyle name="Output 2 2 2 5 2 4" xfId="28638"/>
    <cellStyle name="Output 2 2 2 5 2 4 2" xfId="28639"/>
    <cellStyle name="Output 2 2 2 5 2 4 3" xfId="28640"/>
    <cellStyle name="Output 2 2 2 5 2 4 4" xfId="28641"/>
    <cellStyle name="Output 2 2 2 5 2 5" xfId="28642"/>
    <cellStyle name="Output 2 2 2 5 2 6" xfId="28643"/>
    <cellStyle name="Output 2 2 2 5 2 7" xfId="28644"/>
    <cellStyle name="Output 2 2 2 5 3" xfId="28645"/>
    <cellStyle name="Output 2 2 2 5 3 2" xfId="28646"/>
    <cellStyle name="Output 2 2 2 5 3 2 2" xfId="28647"/>
    <cellStyle name="Output 2 2 2 5 3 2 3" xfId="28648"/>
    <cellStyle name="Output 2 2 2 5 3 2 4" xfId="28649"/>
    <cellStyle name="Output 2 2 2 5 3 3" xfId="28650"/>
    <cellStyle name="Output 2 2 2 5 3 3 2" xfId="28651"/>
    <cellStyle name="Output 2 2 2 5 3 3 3" xfId="28652"/>
    <cellStyle name="Output 2 2 2 5 3 3 4" xfId="28653"/>
    <cellStyle name="Output 2 2 2 5 3 4" xfId="28654"/>
    <cellStyle name="Output 2 2 2 5 3 4 2" xfId="28655"/>
    <cellStyle name="Output 2 2 2 5 3 4 3" xfId="28656"/>
    <cellStyle name="Output 2 2 2 5 3 4 4" xfId="28657"/>
    <cellStyle name="Output 2 2 2 5 3 5" xfId="28658"/>
    <cellStyle name="Output 2 2 2 5 3 6" xfId="28659"/>
    <cellStyle name="Output 2 2 2 5 3 7" xfId="28660"/>
    <cellStyle name="Output 2 2 2 5 4" xfId="28661"/>
    <cellStyle name="Output 2 2 2 5 4 2" xfId="28662"/>
    <cellStyle name="Output 2 2 2 5 4 2 2" xfId="28663"/>
    <cellStyle name="Output 2 2 2 5 4 2 3" xfId="28664"/>
    <cellStyle name="Output 2 2 2 5 4 2 4" xfId="28665"/>
    <cellStyle name="Output 2 2 2 5 4 3" xfId="28666"/>
    <cellStyle name="Output 2 2 2 5 4 3 2" xfId="28667"/>
    <cellStyle name="Output 2 2 2 5 4 3 3" xfId="28668"/>
    <cellStyle name="Output 2 2 2 5 4 3 4" xfId="28669"/>
    <cellStyle name="Output 2 2 2 5 4 4" xfId="28670"/>
    <cellStyle name="Output 2 2 2 5 4 4 2" xfId="28671"/>
    <cellStyle name="Output 2 2 2 5 4 4 3" xfId="28672"/>
    <cellStyle name="Output 2 2 2 5 4 4 4" xfId="28673"/>
    <cellStyle name="Output 2 2 2 5 4 5" xfId="28674"/>
    <cellStyle name="Output 2 2 2 5 4 6" xfId="28675"/>
    <cellStyle name="Output 2 2 2 5 4 7" xfId="28676"/>
    <cellStyle name="Output 2 2 2 5 5" xfId="28677"/>
    <cellStyle name="Output 2 2 2 5 5 2" xfId="28678"/>
    <cellStyle name="Output 2 2 2 5 5 2 2" xfId="28679"/>
    <cellStyle name="Output 2 2 2 5 5 2 3" xfId="28680"/>
    <cellStyle name="Output 2 2 2 5 5 2 4" xfId="28681"/>
    <cellStyle name="Output 2 2 2 5 5 3" xfId="28682"/>
    <cellStyle name="Output 2 2 2 5 5 3 2" xfId="28683"/>
    <cellStyle name="Output 2 2 2 5 5 3 3" xfId="28684"/>
    <cellStyle name="Output 2 2 2 5 5 3 4" xfId="28685"/>
    <cellStyle name="Output 2 2 2 5 5 4" xfId="28686"/>
    <cellStyle name="Output 2 2 2 5 5 4 2" xfId="28687"/>
    <cellStyle name="Output 2 2 2 5 5 4 3" xfId="28688"/>
    <cellStyle name="Output 2 2 2 5 5 4 4" xfId="28689"/>
    <cellStyle name="Output 2 2 2 5 5 5" xfId="28690"/>
    <cellStyle name="Output 2 2 2 5 5 6" xfId="28691"/>
    <cellStyle name="Output 2 2 2 5 5 7" xfId="28692"/>
    <cellStyle name="Output 2 2 2 5 6" xfId="28693"/>
    <cellStyle name="Output 2 2 2 5 6 2" xfId="28694"/>
    <cellStyle name="Output 2 2 2 5 6 2 2" xfId="28695"/>
    <cellStyle name="Output 2 2 2 5 6 2 3" xfId="28696"/>
    <cellStyle name="Output 2 2 2 5 6 2 4" xfId="28697"/>
    <cellStyle name="Output 2 2 2 5 6 3" xfId="28698"/>
    <cellStyle name="Output 2 2 2 5 6 3 2" xfId="28699"/>
    <cellStyle name="Output 2 2 2 5 6 3 3" xfId="28700"/>
    <cellStyle name="Output 2 2 2 5 6 3 4" xfId="28701"/>
    <cellStyle name="Output 2 2 2 5 6 4" xfId="28702"/>
    <cellStyle name="Output 2 2 2 5 6 4 2" xfId="28703"/>
    <cellStyle name="Output 2 2 2 5 6 4 3" xfId="28704"/>
    <cellStyle name="Output 2 2 2 5 6 4 4" xfId="28705"/>
    <cellStyle name="Output 2 2 2 5 6 5" xfId="28706"/>
    <cellStyle name="Output 2 2 2 5 6 6" xfId="28707"/>
    <cellStyle name="Output 2 2 2 5 6 7" xfId="28708"/>
    <cellStyle name="Output 2 2 2 5 7" xfId="28709"/>
    <cellStyle name="Output 2 2 2 5 7 2" xfId="28710"/>
    <cellStyle name="Output 2 2 2 5 7 3" xfId="28711"/>
    <cellStyle name="Output 2 2 2 5 7 4" xfId="28712"/>
    <cellStyle name="Output 2 2 2 5 8" xfId="28713"/>
    <cellStyle name="Output 2 2 2 5 8 2" xfId="28714"/>
    <cellStyle name="Output 2 2 2 5 8 3" xfId="28715"/>
    <cellStyle name="Output 2 2 2 5 8 4" xfId="28716"/>
    <cellStyle name="Output 2 2 2 5 9" xfId="28717"/>
    <cellStyle name="Output 2 2 2 5 9 2" xfId="28718"/>
    <cellStyle name="Output 2 2 2 5 9 3" xfId="28719"/>
    <cellStyle name="Output 2 2 2 5 9 4" xfId="28720"/>
    <cellStyle name="Output 2 2 2 6" xfId="28721"/>
    <cellStyle name="Output 2 2 2 6 2" xfId="28722"/>
    <cellStyle name="Output 2 2 2 6 2 2" xfId="28723"/>
    <cellStyle name="Output 2 2 2 6 2 3" xfId="28724"/>
    <cellStyle name="Output 2 2 2 6 2 4" xfId="28725"/>
    <cellStyle name="Output 2 2 2 6 3" xfId="28726"/>
    <cellStyle name="Output 2 2 2 6 3 2" xfId="28727"/>
    <cellStyle name="Output 2 2 2 6 3 3" xfId="28728"/>
    <cellStyle name="Output 2 2 2 6 3 4" xfId="28729"/>
    <cellStyle name="Output 2 2 2 6 4" xfId="28730"/>
    <cellStyle name="Output 2 2 2 6 4 2" xfId="28731"/>
    <cellStyle name="Output 2 2 2 6 4 3" xfId="28732"/>
    <cellStyle name="Output 2 2 2 6 4 4" xfId="28733"/>
    <cellStyle name="Output 2 2 2 6 5" xfId="28734"/>
    <cellStyle name="Output 2 2 2 6 6" xfId="28735"/>
    <cellStyle name="Output 2 2 2 6 7" xfId="28736"/>
    <cellStyle name="Output 2 2 2 7" xfId="28737"/>
    <cellStyle name="Output 2 2 2 7 2" xfId="28738"/>
    <cellStyle name="Output 2 2 2 7 2 2" xfId="28739"/>
    <cellStyle name="Output 2 2 2 7 2 3" xfId="28740"/>
    <cellStyle name="Output 2 2 2 7 2 4" xfId="28741"/>
    <cellStyle name="Output 2 2 2 7 3" xfId="28742"/>
    <cellStyle name="Output 2 2 2 7 3 2" xfId="28743"/>
    <cellStyle name="Output 2 2 2 7 3 3" xfId="28744"/>
    <cellStyle name="Output 2 2 2 7 3 4" xfId="28745"/>
    <cellStyle name="Output 2 2 2 7 4" xfId="28746"/>
    <cellStyle name="Output 2 2 2 7 4 2" xfId="28747"/>
    <cellStyle name="Output 2 2 2 7 4 3" xfId="28748"/>
    <cellStyle name="Output 2 2 2 7 4 4" xfId="28749"/>
    <cellStyle name="Output 2 2 2 7 5" xfId="28750"/>
    <cellStyle name="Output 2 2 2 7 6" xfId="28751"/>
    <cellStyle name="Output 2 2 2 7 7" xfId="28752"/>
    <cellStyle name="Output 2 2 2 8" xfId="28753"/>
    <cellStyle name="Output 2 2 2 8 2" xfId="28754"/>
    <cellStyle name="Output 2 2 2 8 2 2" xfId="28755"/>
    <cellStyle name="Output 2 2 2 8 2 3" xfId="28756"/>
    <cellStyle name="Output 2 2 2 8 2 4" xfId="28757"/>
    <cellStyle name="Output 2 2 2 8 3" xfId="28758"/>
    <cellStyle name="Output 2 2 2 8 3 2" xfId="28759"/>
    <cellStyle name="Output 2 2 2 8 3 3" xfId="28760"/>
    <cellStyle name="Output 2 2 2 8 3 4" xfId="28761"/>
    <cellStyle name="Output 2 2 2 8 4" xfId="28762"/>
    <cellStyle name="Output 2 2 2 8 4 2" xfId="28763"/>
    <cellStyle name="Output 2 2 2 8 4 3" xfId="28764"/>
    <cellStyle name="Output 2 2 2 8 4 4" xfId="28765"/>
    <cellStyle name="Output 2 2 2 8 5" xfId="28766"/>
    <cellStyle name="Output 2 2 2 8 6" xfId="28767"/>
    <cellStyle name="Output 2 2 2 8 7" xfId="28768"/>
    <cellStyle name="Output 2 2 2 9" xfId="28769"/>
    <cellStyle name="Output 2 2 2 9 2" xfId="28770"/>
    <cellStyle name="Output 2 2 2 9 2 2" xfId="28771"/>
    <cellStyle name="Output 2 2 2 9 2 3" xfId="28772"/>
    <cellStyle name="Output 2 2 2 9 2 4" xfId="28773"/>
    <cellStyle name="Output 2 2 2 9 3" xfId="28774"/>
    <cellStyle name="Output 2 2 2 9 3 2" xfId="28775"/>
    <cellStyle name="Output 2 2 2 9 3 3" xfId="28776"/>
    <cellStyle name="Output 2 2 2 9 3 4" xfId="28777"/>
    <cellStyle name="Output 2 2 2 9 4" xfId="28778"/>
    <cellStyle name="Output 2 2 2 9 4 2" xfId="28779"/>
    <cellStyle name="Output 2 2 2 9 4 3" xfId="28780"/>
    <cellStyle name="Output 2 2 2 9 4 4" xfId="28781"/>
    <cellStyle name="Output 2 2 2 9 5" xfId="28782"/>
    <cellStyle name="Output 2 2 2 9 6" xfId="28783"/>
    <cellStyle name="Output 2 2 2 9 7" xfId="28784"/>
    <cellStyle name="Output 2 2 3" xfId="1081"/>
    <cellStyle name="Output 2 2 3 10" xfId="28785"/>
    <cellStyle name="Output 2 2 3 11" xfId="28786"/>
    <cellStyle name="Output 2 2 3 12" xfId="28787"/>
    <cellStyle name="Output 2 2 3 2" xfId="28788"/>
    <cellStyle name="Output 2 2 3 2 2" xfId="28789"/>
    <cellStyle name="Output 2 2 3 2 2 2" xfId="28790"/>
    <cellStyle name="Output 2 2 3 2 2 3" xfId="28791"/>
    <cellStyle name="Output 2 2 3 2 2 4" xfId="28792"/>
    <cellStyle name="Output 2 2 3 2 3" xfId="28793"/>
    <cellStyle name="Output 2 2 3 2 3 2" xfId="28794"/>
    <cellStyle name="Output 2 2 3 2 3 3" xfId="28795"/>
    <cellStyle name="Output 2 2 3 2 3 4" xfId="28796"/>
    <cellStyle name="Output 2 2 3 2 4" xfId="28797"/>
    <cellStyle name="Output 2 2 3 2 4 2" xfId="28798"/>
    <cellStyle name="Output 2 2 3 2 4 3" xfId="28799"/>
    <cellStyle name="Output 2 2 3 2 4 4" xfId="28800"/>
    <cellStyle name="Output 2 2 3 2 5" xfId="28801"/>
    <cellStyle name="Output 2 2 3 2 6" xfId="28802"/>
    <cellStyle name="Output 2 2 3 2 7" xfId="28803"/>
    <cellStyle name="Output 2 2 3 3" xfId="28804"/>
    <cellStyle name="Output 2 2 3 3 2" xfId="28805"/>
    <cellStyle name="Output 2 2 3 3 2 2" xfId="28806"/>
    <cellStyle name="Output 2 2 3 3 2 3" xfId="28807"/>
    <cellStyle name="Output 2 2 3 3 2 4" xfId="28808"/>
    <cellStyle name="Output 2 2 3 3 3" xfId="28809"/>
    <cellStyle name="Output 2 2 3 3 3 2" xfId="28810"/>
    <cellStyle name="Output 2 2 3 3 3 3" xfId="28811"/>
    <cellStyle name="Output 2 2 3 3 3 4" xfId="28812"/>
    <cellStyle name="Output 2 2 3 3 4" xfId="28813"/>
    <cellStyle name="Output 2 2 3 3 4 2" xfId="28814"/>
    <cellStyle name="Output 2 2 3 3 4 3" xfId="28815"/>
    <cellStyle name="Output 2 2 3 3 4 4" xfId="28816"/>
    <cellStyle name="Output 2 2 3 3 5" xfId="28817"/>
    <cellStyle name="Output 2 2 3 3 6" xfId="28818"/>
    <cellStyle name="Output 2 2 3 3 7" xfId="28819"/>
    <cellStyle name="Output 2 2 3 4" xfId="28820"/>
    <cellStyle name="Output 2 2 3 4 2" xfId="28821"/>
    <cellStyle name="Output 2 2 3 4 2 2" xfId="28822"/>
    <cellStyle name="Output 2 2 3 4 2 3" xfId="28823"/>
    <cellStyle name="Output 2 2 3 4 2 4" xfId="28824"/>
    <cellStyle name="Output 2 2 3 4 3" xfId="28825"/>
    <cellStyle name="Output 2 2 3 4 3 2" xfId="28826"/>
    <cellStyle name="Output 2 2 3 4 3 3" xfId="28827"/>
    <cellStyle name="Output 2 2 3 4 3 4" xfId="28828"/>
    <cellStyle name="Output 2 2 3 4 4" xfId="28829"/>
    <cellStyle name="Output 2 2 3 4 4 2" xfId="28830"/>
    <cellStyle name="Output 2 2 3 4 4 3" xfId="28831"/>
    <cellStyle name="Output 2 2 3 4 4 4" xfId="28832"/>
    <cellStyle name="Output 2 2 3 4 5" xfId="28833"/>
    <cellStyle name="Output 2 2 3 4 6" xfId="28834"/>
    <cellStyle name="Output 2 2 3 4 7" xfId="28835"/>
    <cellStyle name="Output 2 2 3 5" xfId="28836"/>
    <cellStyle name="Output 2 2 3 5 2" xfId="28837"/>
    <cellStyle name="Output 2 2 3 5 2 2" xfId="28838"/>
    <cellStyle name="Output 2 2 3 5 2 3" xfId="28839"/>
    <cellStyle name="Output 2 2 3 5 2 4" xfId="28840"/>
    <cellStyle name="Output 2 2 3 5 3" xfId="28841"/>
    <cellStyle name="Output 2 2 3 5 3 2" xfId="28842"/>
    <cellStyle name="Output 2 2 3 5 3 3" xfId="28843"/>
    <cellStyle name="Output 2 2 3 5 3 4" xfId="28844"/>
    <cellStyle name="Output 2 2 3 5 4" xfId="28845"/>
    <cellStyle name="Output 2 2 3 5 4 2" xfId="28846"/>
    <cellStyle name="Output 2 2 3 5 4 3" xfId="28847"/>
    <cellStyle name="Output 2 2 3 5 4 4" xfId="28848"/>
    <cellStyle name="Output 2 2 3 5 5" xfId="28849"/>
    <cellStyle name="Output 2 2 3 5 6" xfId="28850"/>
    <cellStyle name="Output 2 2 3 5 7" xfId="28851"/>
    <cellStyle name="Output 2 2 3 6" xfId="28852"/>
    <cellStyle name="Output 2 2 3 6 2" xfId="28853"/>
    <cellStyle name="Output 2 2 3 6 2 2" xfId="28854"/>
    <cellStyle name="Output 2 2 3 6 2 3" xfId="28855"/>
    <cellStyle name="Output 2 2 3 6 2 4" xfId="28856"/>
    <cellStyle name="Output 2 2 3 6 3" xfId="28857"/>
    <cellStyle name="Output 2 2 3 6 3 2" xfId="28858"/>
    <cellStyle name="Output 2 2 3 6 3 3" xfId="28859"/>
    <cellStyle name="Output 2 2 3 6 3 4" xfId="28860"/>
    <cellStyle name="Output 2 2 3 6 4" xfId="28861"/>
    <cellStyle name="Output 2 2 3 6 4 2" xfId="28862"/>
    <cellStyle name="Output 2 2 3 6 4 3" xfId="28863"/>
    <cellStyle name="Output 2 2 3 6 4 4" xfId="28864"/>
    <cellStyle name="Output 2 2 3 6 5" xfId="28865"/>
    <cellStyle name="Output 2 2 3 6 6" xfId="28866"/>
    <cellStyle name="Output 2 2 3 6 7" xfId="28867"/>
    <cellStyle name="Output 2 2 3 7" xfId="28868"/>
    <cellStyle name="Output 2 2 3 7 2" xfId="28869"/>
    <cellStyle name="Output 2 2 3 7 3" xfId="28870"/>
    <cellStyle name="Output 2 2 3 7 4" xfId="28871"/>
    <cellStyle name="Output 2 2 3 8" xfId="28872"/>
    <cellStyle name="Output 2 2 3 8 2" xfId="28873"/>
    <cellStyle name="Output 2 2 3 8 3" xfId="28874"/>
    <cellStyle name="Output 2 2 3 8 4" xfId="28875"/>
    <cellStyle name="Output 2 2 3 9" xfId="28876"/>
    <cellStyle name="Output 2 2 3 9 2" xfId="28877"/>
    <cellStyle name="Output 2 2 3 9 3" xfId="28878"/>
    <cellStyle name="Output 2 2 3 9 4" xfId="28879"/>
    <cellStyle name="Output 2 2 4" xfId="3137"/>
    <cellStyle name="Output 2 2 5" xfId="3127"/>
    <cellStyle name="Output 2 2 6" xfId="3171"/>
    <cellStyle name="Output 2 2 7" xfId="3189"/>
    <cellStyle name="Output 2 3" xfId="137"/>
    <cellStyle name="Output 2 3 2" xfId="633"/>
    <cellStyle name="Output 2 3 2 10" xfId="28880"/>
    <cellStyle name="Output 2 3 2 10 2" xfId="28881"/>
    <cellStyle name="Output 2 3 2 10 2 2" xfId="28882"/>
    <cellStyle name="Output 2 3 2 10 2 3" xfId="28883"/>
    <cellStyle name="Output 2 3 2 10 2 4" xfId="28884"/>
    <cellStyle name="Output 2 3 2 10 3" xfId="28885"/>
    <cellStyle name="Output 2 3 2 10 3 2" xfId="28886"/>
    <cellStyle name="Output 2 3 2 10 3 3" xfId="28887"/>
    <cellStyle name="Output 2 3 2 10 3 4" xfId="28888"/>
    <cellStyle name="Output 2 3 2 10 4" xfId="28889"/>
    <cellStyle name="Output 2 3 2 10 4 2" xfId="28890"/>
    <cellStyle name="Output 2 3 2 10 4 3" xfId="28891"/>
    <cellStyle name="Output 2 3 2 10 4 4" xfId="28892"/>
    <cellStyle name="Output 2 3 2 10 5" xfId="28893"/>
    <cellStyle name="Output 2 3 2 10 6" xfId="28894"/>
    <cellStyle name="Output 2 3 2 10 7" xfId="28895"/>
    <cellStyle name="Output 2 3 2 11" xfId="28896"/>
    <cellStyle name="Output 2 3 2 11 2" xfId="28897"/>
    <cellStyle name="Output 2 3 2 11 2 2" xfId="28898"/>
    <cellStyle name="Output 2 3 2 11 2 3" xfId="28899"/>
    <cellStyle name="Output 2 3 2 11 2 4" xfId="28900"/>
    <cellStyle name="Output 2 3 2 11 3" xfId="28901"/>
    <cellStyle name="Output 2 3 2 11 3 2" xfId="28902"/>
    <cellStyle name="Output 2 3 2 11 3 3" xfId="28903"/>
    <cellStyle name="Output 2 3 2 11 3 4" xfId="28904"/>
    <cellStyle name="Output 2 3 2 11 4" xfId="28905"/>
    <cellStyle name="Output 2 3 2 11 4 2" xfId="28906"/>
    <cellStyle name="Output 2 3 2 11 4 3" xfId="28907"/>
    <cellStyle name="Output 2 3 2 11 4 4" xfId="28908"/>
    <cellStyle name="Output 2 3 2 11 5" xfId="28909"/>
    <cellStyle name="Output 2 3 2 11 6" xfId="28910"/>
    <cellStyle name="Output 2 3 2 11 7" xfId="28911"/>
    <cellStyle name="Output 2 3 2 12" xfId="28912"/>
    <cellStyle name="Output 2 3 2 12 2" xfId="28913"/>
    <cellStyle name="Output 2 3 2 12 2 2" xfId="28914"/>
    <cellStyle name="Output 2 3 2 12 2 3" xfId="28915"/>
    <cellStyle name="Output 2 3 2 12 2 4" xfId="28916"/>
    <cellStyle name="Output 2 3 2 12 3" xfId="28917"/>
    <cellStyle name="Output 2 3 2 12 3 2" xfId="28918"/>
    <cellStyle name="Output 2 3 2 12 3 3" xfId="28919"/>
    <cellStyle name="Output 2 3 2 12 3 4" xfId="28920"/>
    <cellStyle name="Output 2 3 2 12 4" xfId="28921"/>
    <cellStyle name="Output 2 3 2 12 4 2" xfId="28922"/>
    <cellStyle name="Output 2 3 2 12 4 3" xfId="28923"/>
    <cellStyle name="Output 2 3 2 12 4 4" xfId="28924"/>
    <cellStyle name="Output 2 3 2 12 5" xfId="28925"/>
    <cellStyle name="Output 2 3 2 12 6" xfId="28926"/>
    <cellStyle name="Output 2 3 2 12 7" xfId="28927"/>
    <cellStyle name="Output 2 3 2 13" xfId="28928"/>
    <cellStyle name="Output 2 3 2 13 2" xfId="28929"/>
    <cellStyle name="Output 2 3 2 13 2 2" xfId="28930"/>
    <cellStyle name="Output 2 3 2 13 2 3" xfId="28931"/>
    <cellStyle name="Output 2 3 2 13 2 4" xfId="28932"/>
    <cellStyle name="Output 2 3 2 13 3" xfId="28933"/>
    <cellStyle name="Output 2 3 2 13 3 2" xfId="28934"/>
    <cellStyle name="Output 2 3 2 13 3 3" xfId="28935"/>
    <cellStyle name="Output 2 3 2 13 3 4" xfId="28936"/>
    <cellStyle name="Output 2 3 2 13 4" xfId="28937"/>
    <cellStyle name="Output 2 3 2 13 4 2" xfId="28938"/>
    <cellStyle name="Output 2 3 2 13 4 3" xfId="28939"/>
    <cellStyle name="Output 2 3 2 13 4 4" xfId="28940"/>
    <cellStyle name="Output 2 3 2 13 5" xfId="28941"/>
    <cellStyle name="Output 2 3 2 13 6" xfId="28942"/>
    <cellStyle name="Output 2 3 2 13 7" xfId="28943"/>
    <cellStyle name="Output 2 3 2 14" xfId="28944"/>
    <cellStyle name="Output 2 3 2 14 2" xfId="28945"/>
    <cellStyle name="Output 2 3 2 14 3" xfId="28946"/>
    <cellStyle name="Output 2 3 2 14 4" xfId="28947"/>
    <cellStyle name="Output 2 3 2 15" xfId="28948"/>
    <cellStyle name="Output 2 3 2 15 2" xfId="28949"/>
    <cellStyle name="Output 2 3 2 15 3" xfId="28950"/>
    <cellStyle name="Output 2 3 2 15 4" xfId="28951"/>
    <cellStyle name="Output 2 3 2 16" xfId="28952"/>
    <cellStyle name="Output 2 3 2 16 2" xfId="28953"/>
    <cellStyle name="Output 2 3 2 16 3" xfId="28954"/>
    <cellStyle name="Output 2 3 2 16 4" xfId="28955"/>
    <cellStyle name="Output 2 3 2 17" xfId="28956"/>
    <cellStyle name="Output 2 3 2 18" xfId="28957"/>
    <cellStyle name="Output 2 3 2 19" xfId="28958"/>
    <cellStyle name="Output 2 3 2 2" xfId="893"/>
    <cellStyle name="Output 2 3 2 2 10" xfId="28959"/>
    <cellStyle name="Output 2 3 2 2 11" xfId="28960"/>
    <cellStyle name="Output 2 3 2 2 12" xfId="28961"/>
    <cellStyle name="Output 2 3 2 2 2" xfId="28962"/>
    <cellStyle name="Output 2 3 2 2 2 2" xfId="28963"/>
    <cellStyle name="Output 2 3 2 2 2 2 2" xfId="28964"/>
    <cellStyle name="Output 2 3 2 2 2 2 3" xfId="28965"/>
    <cellStyle name="Output 2 3 2 2 2 2 4" xfId="28966"/>
    <cellStyle name="Output 2 3 2 2 2 3" xfId="28967"/>
    <cellStyle name="Output 2 3 2 2 2 3 2" xfId="28968"/>
    <cellStyle name="Output 2 3 2 2 2 3 3" xfId="28969"/>
    <cellStyle name="Output 2 3 2 2 2 3 4" xfId="28970"/>
    <cellStyle name="Output 2 3 2 2 2 4" xfId="28971"/>
    <cellStyle name="Output 2 3 2 2 2 4 2" xfId="28972"/>
    <cellStyle name="Output 2 3 2 2 2 4 3" xfId="28973"/>
    <cellStyle name="Output 2 3 2 2 2 4 4" xfId="28974"/>
    <cellStyle name="Output 2 3 2 2 2 5" xfId="28975"/>
    <cellStyle name="Output 2 3 2 2 2 6" xfId="28976"/>
    <cellStyle name="Output 2 3 2 2 2 7" xfId="28977"/>
    <cellStyle name="Output 2 3 2 2 3" xfId="28978"/>
    <cellStyle name="Output 2 3 2 2 3 2" xfId="28979"/>
    <cellStyle name="Output 2 3 2 2 3 2 2" xfId="28980"/>
    <cellStyle name="Output 2 3 2 2 3 2 3" xfId="28981"/>
    <cellStyle name="Output 2 3 2 2 3 2 4" xfId="28982"/>
    <cellStyle name="Output 2 3 2 2 3 3" xfId="28983"/>
    <cellStyle name="Output 2 3 2 2 3 3 2" xfId="28984"/>
    <cellStyle name="Output 2 3 2 2 3 3 3" xfId="28985"/>
    <cellStyle name="Output 2 3 2 2 3 3 4" xfId="28986"/>
    <cellStyle name="Output 2 3 2 2 3 4" xfId="28987"/>
    <cellStyle name="Output 2 3 2 2 3 4 2" xfId="28988"/>
    <cellStyle name="Output 2 3 2 2 3 4 3" xfId="28989"/>
    <cellStyle name="Output 2 3 2 2 3 4 4" xfId="28990"/>
    <cellStyle name="Output 2 3 2 2 3 5" xfId="28991"/>
    <cellStyle name="Output 2 3 2 2 3 6" xfId="28992"/>
    <cellStyle name="Output 2 3 2 2 3 7" xfId="28993"/>
    <cellStyle name="Output 2 3 2 2 4" xfId="28994"/>
    <cellStyle name="Output 2 3 2 2 4 2" xfId="28995"/>
    <cellStyle name="Output 2 3 2 2 4 2 2" xfId="28996"/>
    <cellStyle name="Output 2 3 2 2 4 2 3" xfId="28997"/>
    <cellStyle name="Output 2 3 2 2 4 2 4" xfId="28998"/>
    <cellStyle name="Output 2 3 2 2 4 3" xfId="28999"/>
    <cellStyle name="Output 2 3 2 2 4 3 2" xfId="29000"/>
    <cellStyle name="Output 2 3 2 2 4 3 3" xfId="29001"/>
    <cellStyle name="Output 2 3 2 2 4 3 4" xfId="29002"/>
    <cellStyle name="Output 2 3 2 2 4 4" xfId="29003"/>
    <cellStyle name="Output 2 3 2 2 4 4 2" xfId="29004"/>
    <cellStyle name="Output 2 3 2 2 4 4 3" xfId="29005"/>
    <cellStyle name="Output 2 3 2 2 4 4 4" xfId="29006"/>
    <cellStyle name="Output 2 3 2 2 4 5" xfId="29007"/>
    <cellStyle name="Output 2 3 2 2 4 6" xfId="29008"/>
    <cellStyle name="Output 2 3 2 2 4 7" xfId="29009"/>
    <cellStyle name="Output 2 3 2 2 5" xfId="29010"/>
    <cellStyle name="Output 2 3 2 2 5 2" xfId="29011"/>
    <cellStyle name="Output 2 3 2 2 5 2 2" xfId="29012"/>
    <cellStyle name="Output 2 3 2 2 5 2 3" xfId="29013"/>
    <cellStyle name="Output 2 3 2 2 5 2 4" xfId="29014"/>
    <cellStyle name="Output 2 3 2 2 5 3" xfId="29015"/>
    <cellStyle name="Output 2 3 2 2 5 3 2" xfId="29016"/>
    <cellStyle name="Output 2 3 2 2 5 3 3" xfId="29017"/>
    <cellStyle name="Output 2 3 2 2 5 3 4" xfId="29018"/>
    <cellStyle name="Output 2 3 2 2 5 4" xfId="29019"/>
    <cellStyle name="Output 2 3 2 2 5 4 2" xfId="29020"/>
    <cellStyle name="Output 2 3 2 2 5 4 3" xfId="29021"/>
    <cellStyle name="Output 2 3 2 2 5 4 4" xfId="29022"/>
    <cellStyle name="Output 2 3 2 2 5 5" xfId="29023"/>
    <cellStyle name="Output 2 3 2 2 5 6" xfId="29024"/>
    <cellStyle name="Output 2 3 2 2 5 7" xfId="29025"/>
    <cellStyle name="Output 2 3 2 2 6" xfId="29026"/>
    <cellStyle name="Output 2 3 2 2 6 2" xfId="29027"/>
    <cellStyle name="Output 2 3 2 2 6 2 2" xfId="29028"/>
    <cellStyle name="Output 2 3 2 2 6 2 3" xfId="29029"/>
    <cellStyle name="Output 2 3 2 2 6 2 4" xfId="29030"/>
    <cellStyle name="Output 2 3 2 2 6 3" xfId="29031"/>
    <cellStyle name="Output 2 3 2 2 6 3 2" xfId="29032"/>
    <cellStyle name="Output 2 3 2 2 6 3 3" xfId="29033"/>
    <cellStyle name="Output 2 3 2 2 6 3 4" xfId="29034"/>
    <cellStyle name="Output 2 3 2 2 6 4" xfId="29035"/>
    <cellStyle name="Output 2 3 2 2 6 4 2" xfId="29036"/>
    <cellStyle name="Output 2 3 2 2 6 4 3" xfId="29037"/>
    <cellStyle name="Output 2 3 2 2 6 4 4" xfId="29038"/>
    <cellStyle name="Output 2 3 2 2 6 5" xfId="29039"/>
    <cellStyle name="Output 2 3 2 2 6 6" xfId="29040"/>
    <cellStyle name="Output 2 3 2 2 6 7" xfId="29041"/>
    <cellStyle name="Output 2 3 2 2 7" xfId="29042"/>
    <cellStyle name="Output 2 3 2 2 7 2" xfId="29043"/>
    <cellStyle name="Output 2 3 2 2 7 3" xfId="29044"/>
    <cellStyle name="Output 2 3 2 2 7 4" xfId="29045"/>
    <cellStyle name="Output 2 3 2 2 8" xfId="29046"/>
    <cellStyle name="Output 2 3 2 2 8 2" xfId="29047"/>
    <cellStyle name="Output 2 3 2 2 8 3" xfId="29048"/>
    <cellStyle name="Output 2 3 2 2 8 4" xfId="29049"/>
    <cellStyle name="Output 2 3 2 2 9" xfId="29050"/>
    <cellStyle name="Output 2 3 2 2 9 2" xfId="29051"/>
    <cellStyle name="Output 2 3 2 2 9 3" xfId="29052"/>
    <cellStyle name="Output 2 3 2 2 9 4" xfId="29053"/>
    <cellStyle name="Output 2 3 2 3" xfId="927"/>
    <cellStyle name="Output 2 3 2 3 10" xfId="29054"/>
    <cellStyle name="Output 2 3 2 3 11" xfId="29055"/>
    <cellStyle name="Output 2 3 2 3 12" xfId="29056"/>
    <cellStyle name="Output 2 3 2 3 2" xfId="29057"/>
    <cellStyle name="Output 2 3 2 3 2 2" xfId="29058"/>
    <cellStyle name="Output 2 3 2 3 2 2 2" xfId="29059"/>
    <cellStyle name="Output 2 3 2 3 2 2 3" xfId="29060"/>
    <cellStyle name="Output 2 3 2 3 2 2 4" xfId="29061"/>
    <cellStyle name="Output 2 3 2 3 2 3" xfId="29062"/>
    <cellStyle name="Output 2 3 2 3 2 3 2" xfId="29063"/>
    <cellStyle name="Output 2 3 2 3 2 3 3" xfId="29064"/>
    <cellStyle name="Output 2 3 2 3 2 3 4" xfId="29065"/>
    <cellStyle name="Output 2 3 2 3 2 4" xfId="29066"/>
    <cellStyle name="Output 2 3 2 3 2 4 2" xfId="29067"/>
    <cellStyle name="Output 2 3 2 3 2 4 3" xfId="29068"/>
    <cellStyle name="Output 2 3 2 3 2 4 4" xfId="29069"/>
    <cellStyle name="Output 2 3 2 3 2 5" xfId="29070"/>
    <cellStyle name="Output 2 3 2 3 2 6" xfId="29071"/>
    <cellStyle name="Output 2 3 2 3 2 7" xfId="29072"/>
    <cellStyle name="Output 2 3 2 3 3" xfId="29073"/>
    <cellStyle name="Output 2 3 2 3 3 2" xfId="29074"/>
    <cellStyle name="Output 2 3 2 3 3 2 2" xfId="29075"/>
    <cellStyle name="Output 2 3 2 3 3 2 3" xfId="29076"/>
    <cellStyle name="Output 2 3 2 3 3 2 4" xfId="29077"/>
    <cellStyle name="Output 2 3 2 3 3 3" xfId="29078"/>
    <cellStyle name="Output 2 3 2 3 3 3 2" xfId="29079"/>
    <cellStyle name="Output 2 3 2 3 3 3 3" xfId="29080"/>
    <cellStyle name="Output 2 3 2 3 3 3 4" xfId="29081"/>
    <cellStyle name="Output 2 3 2 3 3 4" xfId="29082"/>
    <cellStyle name="Output 2 3 2 3 3 4 2" xfId="29083"/>
    <cellStyle name="Output 2 3 2 3 3 4 3" xfId="29084"/>
    <cellStyle name="Output 2 3 2 3 3 4 4" xfId="29085"/>
    <cellStyle name="Output 2 3 2 3 3 5" xfId="29086"/>
    <cellStyle name="Output 2 3 2 3 3 6" xfId="29087"/>
    <cellStyle name="Output 2 3 2 3 3 7" xfId="29088"/>
    <cellStyle name="Output 2 3 2 3 4" xfId="29089"/>
    <cellStyle name="Output 2 3 2 3 4 2" xfId="29090"/>
    <cellStyle name="Output 2 3 2 3 4 2 2" xfId="29091"/>
    <cellStyle name="Output 2 3 2 3 4 2 3" xfId="29092"/>
    <cellStyle name="Output 2 3 2 3 4 2 4" xfId="29093"/>
    <cellStyle name="Output 2 3 2 3 4 3" xfId="29094"/>
    <cellStyle name="Output 2 3 2 3 4 3 2" xfId="29095"/>
    <cellStyle name="Output 2 3 2 3 4 3 3" xfId="29096"/>
    <cellStyle name="Output 2 3 2 3 4 3 4" xfId="29097"/>
    <cellStyle name="Output 2 3 2 3 4 4" xfId="29098"/>
    <cellStyle name="Output 2 3 2 3 4 4 2" xfId="29099"/>
    <cellStyle name="Output 2 3 2 3 4 4 3" xfId="29100"/>
    <cellStyle name="Output 2 3 2 3 4 4 4" xfId="29101"/>
    <cellStyle name="Output 2 3 2 3 4 5" xfId="29102"/>
    <cellStyle name="Output 2 3 2 3 4 6" xfId="29103"/>
    <cellStyle name="Output 2 3 2 3 4 7" xfId="29104"/>
    <cellStyle name="Output 2 3 2 3 5" xfId="29105"/>
    <cellStyle name="Output 2 3 2 3 5 2" xfId="29106"/>
    <cellStyle name="Output 2 3 2 3 5 2 2" xfId="29107"/>
    <cellStyle name="Output 2 3 2 3 5 2 3" xfId="29108"/>
    <cellStyle name="Output 2 3 2 3 5 2 4" xfId="29109"/>
    <cellStyle name="Output 2 3 2 3 5 3" xfId="29110"/>
    <cellStyle name="Output 2 3 2 3 5 3 2" xfId="29111"/>
    <cellStyle name="Output 2 3 2 3 5 3 3" xfId="29112"/>
    <cellStyle name="Output 2 3 2 3 5 3 4" xfId="29113"/>
    <cellStyle name="Output 2 3 2 3 5 4" xfId="29114"/>
    <cellStyle name="Output 2 3 2 3 5 4 2" xfId="29115"/>
    <cellStyle name="Output 2 3 2 3 5 4 3" xfId="29116"/>
    <cellStyle name="Output 2 3 2 3 5 4 4" xfId="29117"/>
    <cellStyle name="Output 2 3 2 3 5 5" xfId="29118"/>
    <cellStyle name="Output 2 3 2 3 5 6" xfId="29119"/>
    <cellStyle name="Output 2 3 2 3 5 7" xfId="29120"/>
    <cellStyle name="Output 2 3 2 3 6" xfId="29121"/>
    <cellStyle name="Output 2 3 2 3 6 2" xfId="29122"/>
    <cellStyle name="Output 2 3 2 3 6 2 2" xfId="29123"/>
    <cellStyle name="Output 2 3 2 3 6 2 3" xfId="29124"/>
    <cellStyle name="Output 2 3 2 3 6 2 4" xfId="29125"/>
    <cellStyle name="Output 2 3 2 3 6 3" xfId="29126"/>
    <cellStyle name="Output 2 3 2 3 6 3 2" xfId="29127"/>
    <cellStyle name="Output 2 3 2 3 6 3 3" xfId="29128"/>
    <cellStyle name="Output 2 3 2 3 6 3 4" xfId="29129"/>
    <cellStyle name="Output 2 3 2 3 6 4" xfId="29130"/>
    <cellStyle name="Output 2 3 2 3 6 4 2" xfId="29131"/>
    <cellStyle name="Output 2 3 2 3 6 4 3" xfId="29132"/>
    <cellStyle name="Output 2 3 2 3 6 4 4" xfId="29133"/>
    <cellStyle name="Output 2 3 2 3 6 5" xfId="29134"/>
    <cellStyle name="Output 2 3 2 3 6 6" xfId="29135"/>
    <cellStyle name="Output 2 3 2 3 6 7" xfId="29136"/>
    <cellStyle name="Output 2 3 2 3 7" xfId="29137"/>
    <cellStyle name="Output 2 3 2 3 7 2" xfId="29138"/>
    <cellStyle name="Output 2 3 2 3 7 3" xfId="29139"/>
    <cellStyle name="Output 2 3 2 3 7 4" xfId="29140"/>
    <cellStyle name="Output 2 3 2 3 8" xfId="29141"/>
    <cellStyle name="Output 2 3 2 3 8 2" xfId="29142"/>
    <cellStyle name="Output 2 3 2 3 8 3" xfId="29143"/>
    <cellStyle name="Output 2 3 2 3 8 4" xfId="29144"/>
    <cellStyle name="Output 2 3 2 3 9" xfId="29145"/>
    <cellStyle name="Output 2 3 2 3 9 2" xfId="29146"/>
    <cellStyle name="Output 2 3 2 3 9 3" xfId="29147"/>
    <cellStyle name="Output 2 3 2 3 9 4" xfId="29148"/>
    <cellStyle name="Output 2 3 2 4" xfId="962"/>
    <cellStyle name="Output 2 3 2 4 10" xfId="29149"/>
    <cellStyle name="Output 2 3 2 4 11" xfId="29150"/>
    <cellStyle name="Output 2 3 2 4 12" xfId="29151"/>
    <cellStyle name="Output 2 3 2 4 2" xfId="29152"/>
    <cellStyle name="Output 2 3 2 4 2 2" xfId="29153"/>
    <cellStyle name="Output 2 3 2 4 2 2 2" xfId="29154"/>
    <cellStyle name="Output 2 3 2 4 2 2 3" xfId="29155"/>
    <cellStyle name="Output 2 3 2 4 2 2 4" xfId="29156"/>
    <cellStyle name="Output 2 3 2 4 2 3" xfId="29157"/>
    <cellStyle name="Output 2 3 2 4 2 3 2" xfId="29158"/>
    <cellStyle name="Output 2 3 2 4 2 3 3" xfId="29159"/>
    <cellStyle name="Output 2 3 2 4 2 3 4" xfId="29160"/>
    <cellStyle name="Output 2 3 2 4 2 4" xfId="29161"/>
    <cellStyle name="Output 2 3 2 4 2 4 2" xfId="29162"/>
    <cellStyle name="Output 2 3 2 4 2 4 3" xfId="29163"/>
    <cellStyle name="Output 2 3 2 4 2 4 4" xfId="29164"/>
    <cellStyle name="Output 2 3 2 4 2 5" xfId="29165"/>
    <cellStyle name="Output 2 3 2 4 2 6" xfId="29166"/>
    <cellStyle name="Output 2 3 2 4 2 7" xfId="29167"/>
    <cellStyle name="Output 2 3 2 4 3" xfId="29168"/>
    <cellStyle name="Output 2 3 2 4 3 2" xfId="29169"/>
    <cellStyle name="Output 2 3 2 4 3 2 2" xfId="29170"/>
    <cellStyle name="Output 2 3 2 4 3 2 3" xfId="29171"/>
    <cellStyle name="Output 2 3 2 4 3 2 4" xfId="29172"/>
    <cellStyle name="Output 2 3 2 4 3 3" xfId="29173"/>
    <cellStyle name="Output 2 3 2 4 3 3 2" xfId="29174"/>
    <cellStyle name="Output 2 3 2 4 3 3 3" xfId="29175"/>
    <cellStyle name="Output 2 3 2 4 3 3 4" xfId="29176"/>
    <cellStyle name="Output 2 3 2 4 3 4" xfId="29177"/>
    <cellStyle name="Output 2 3 2 4 3 4 2" xfId="29178"/>
    <cellStyle name="Output 2 3 2 4 3 4 3" xfId="29179"/>
    <cellStyle name="Output 2 3 2 4 3 4 4" xfId="29180"/>
    <cellStyle name="Output 2 3 2 4 3 5" xfId="29181"/>
    <cellStyle name="Output 2 3 2 4 3 6" xfId="29182"/>
    <cellStyle name="Output 2 3 2 4 3 7" xfId="29183"/>
    <cellStyle name="Output 2 3 2 4 4" xfId="29184"/>
    <cellStyle name="Output 2 3 2 4 4 2" xfId="29185"/>
    <cellStyle name="Output 2 3 2 4 4 2 2" xfId="29186"/>
    <cellStyle name="Output 2 3 2 4 4 2 3" xfId="29187"/>
    <cellStyle name="Output 2 3 2 4 4 2 4" xfId="29188"/>
    <cellStyle name="Output 2 3 2 4 4 3" xfId="29189"/>
    <cellStyle name="Output 2 3 2 4 4 3 2" xfId="29190"/>
    <cellStyle name="Output 2 3 2 4 4 3 3" xfId="29191"/>
    <cellStyle name="Output 2 3 2 4 4 3 4" xfId="29192"/>
    <cellStyle name="Output 2 3 2 4 4 4" xfId="29193"/>
    <cellStyle name="Output 2 3 2 4 4 4 2" xfId="29194"/>
    <cellStyle name="Output 2 3 2 4 4 4 3" xfId="29195"/>
    <cellStyle name="Output 2 3 2 4 4 4 4" xfId="29196"/>
    <cellStyle name="Output 2 3 2 4 4 5" xfId="29197"/>
    <cellStyle name="Output 2 3 2 4 4 6" xfId="29198"/>
    <cellStyle name="Output 2 3 2 4 4 7" xfId="29199"/>
    <cellStyle name="Output 2 3 2 4 5" xfId="29200"/>
    <cellStyle name="Output 2 3 2 4 5 2" xfId="29201"/>
    <cellStyle name="Output 2 3 2 4 5 2 2" xfId="29202"/>
    <cellStyle name="Output 2 3 2 4 5 2 3" xfId="29203"/>
    <cellStyle name="Output 2 3 2 4 5 2 4" xfId="29204"/>
    <cellStyle name="Output 2 3 2 4 5 3" xfId="29205"/>
    <cellStyle name="Output 2 3 2 4 5 3 2" xfId="29206"/>
    <cellStyle name="Output 2 3 2 4 5 3 3" xfId="29207"/>
    <cellStyle name="Output 2 3 2 4 5 3 4" xfId="29208"/>
    <cellStyle name="Output 2 3 2 4 5 4" xfId="29209"/>
    <cellStyle name="Output 2 3 2 4 5 4 2" xfId="29210"/>
    <cellStyle name="Output 2 3 2 4 5 4 3" xfId="29211"/>
    <cellStyle name="Output 2 3 2 4 5 4 4" xfId="29212"/>
    <cellStyle name="Output 2 3 2 4 5 5" xfId="29213"/>
    <cellStyle name="Output 2 3 2 4 5 6" xfId="29214"/>
    <cellStyle name="Output 2 3 2 4 5 7" xfId="29215"/>
    <cellStyle name="Output 2 3 2 4 6" xfId="29216"/>
    <cellStyle name="Output 2 3 2 4 6 2" xfId="29217"/>
    <cellStyle name="Output 2 3 2 4 6 2 2" xfId="29218"/>
    <cellStyle name="Output 2 3 2 4 6 2 3" xfId="29219"/>
    <cellStyle name="Output 2 3 2 4 6 2 4" xfId="29220"/>
    <cellStyle name="Output 2 3 2 4 6 3" xfId="29221"/>
    <cellStyle name="Output 2 3 2 4 6 3 2" xfId="29222"/>
    <cellStyle name="Output 2 3 2 4 6 3 3" xfId="29223"/>
    <cellStyle name="Output 2 3 2 4 6 3 4" xfId="29224"/>
    <cellStyle name="Output 2 3 2 4 6 4" xfId="29225"/>
    <cellStyle name="Output 2 3 2 4 6 4 2" xfId="29226"/>
    <cellStyle name="Output 2 3 2 4 6 4 3" xfId="29227"/>
    <cellStyle name="Output 2 3 2 4 6 4 4" xfId="29228"/>
    <cellStyle name="Output 2 3 2 4 6 5" xfId="29229"/>
    <cellStyle name="Output 2 3 2 4 6 6" xfId="29230"/>
    <cellStyle name="Output 2 3 2 4 6 7" xfId="29231"/>
    <cellStyle name="Output 2 3 2 4 7" xfId="29232"/>
    <cellStyle name="Output 2 3 2 4 7 2" xfId="29233"/>
    <cellStyle name="Output 2 3 2 4 7 3" xfId="29234"/>
    <cellStyle name="Output 2 3 2 4 7 4" xfId="29235"/>
    <cellStyle name="Output 2 3 2 4 8" xfId="29236"/>
    <cellStyle name="Output 2 3 2 4 8 2" xfId="29237"/>
    <cellStyle name="Output 2 3 2 4 8 3" xfId="29238"/>
    <cellStyle name="Output 2 3 2 4 8 4" xfId="29239"/>
    <cellStyle name="Output 2 3 2 4 9" xfId="29240"/>
    <cellStyle name="Output 2 3 2 4 9 2" xfId="29241"/>
    <cellStyle name="Output 2 3 2 4 9 3" xfId="29242"/>
    <cellStyle name="Output 2 3 2 4 9 4" xfId="29243"/>
    <cellStyle name="Output 2 3 2 5" xfId="29244"/>
    <cellStyle name="Output 2 3 2 5 10" xfId="29245"/>
    <cellStyle name="Output 2 3 2 5 11" xfId="29246"/>
    <cellStyle name="Output 2 3 2 5 12" xfId="29247"/>
    <cellStyle name="Output 2 3 2 5 2" xfId="29248"/>
    <cellStyle name="Output 2 3 2 5 2 2" xfId="29249"/>
    <cellStyle name="Output 2 3 2 5 2 2 2" xfId="29250"/>
    <cellStyle name="Output 2 3 2 5 2 2 3" xfId="29251"/>
    <cellStyle name="Output 2 3 2 5 2 2 4" xfId="29252"/>
    <cellStyle name="Output 2 3 2 5 2 3" xfId="29253"/>
    <cellStyle name="Output 2 3 2 5 2 3 2" xfId="29254"/>
    <cellStyle name="Output 2 3 2 5 2 3 3" xfId="29255"/>
    <cellStyle name="Output 2 3 2 5 2 3 4" xfId="29256"/>
    <cellStyle name="Output 2 3 2 5 2 4" xfId="29257"/>
    <cellStyle name="Output 2 3 2 5 2 4 2" xfId="29258"/>
    <cellStyle name="Output 2 3 2 5 2 4 3" xfId="29259"/>
    <cellStyle name="Output 2 3 2 5 2 4 4" xfId="29260"/>
    <cellStyle name="Output 2 3 2 5 2 5" xfId="29261"/>
    <cellStyle name="Output 2 3 2 5 2 6" xfId="29262"/>
    <cellStyle name="Output 2 3 2 5 2 7" xfId="29263"/>
    <cellStyle name="Output 2 3 2 5 3" xfId="29264"/>
    <cellStyle name="Output 2 3 2 5 3 2" xfId="29265"/>
    <cellStyle name="Output 2 3 2 5 3 2 2" xfId="29266"/>
    <cellStyle name="Output 2 3 2 5 3 2 3" xfId="29267"/>
    <cellStyle name="Output 2 3 2 5 3 2 4" xfId="29268"/>
    <cellStyle name="Output 2 3 2 5 3 3" xfId="29269"/>
    <cellStyle name="Output 2 3 2 5 3 3 2" xfId="29270"/>
    <cellStyle name="Output 2 3 2 5 3 3 3" xfId="29271"/>
    <cellStyle name="Output 2 3 2 5 3 3 4" xfId="29272"/>
    <cellStyle name="Output 2 3 2 5 3 4" xfId="29273"/>
    <cellStyle name="Output 2 3 2 5 3 4 2" xfId="29274"/>
    <cellStyle name="Output 2 3 2 5 3 4 3" xfId="29275"/>
    <cellStyle name="Output 2 3 2 5 3 4 4" xfId="29276"/>
    <cellStyle name="Output 2 3 2 5 3 5" xfId="29277"/>
    <cellStyle name="Output 2 3 2 5 3 6" xfId="29278"/>
    <cellStyle name="Output 2 3 2 5 3 7" xfId="29279"/>
    <cellStyle name="Output 2 3 2 5 4" xfId="29280"/>
    <cellStyle name="Output 2 3 2 5 4 2" xfId="29281"/>
    <cellStyle name="Output 2 3 2 5 4 2 2" xfId="29282"/>
    <cellStyle name="Output 2 3 2 5 4 2 3" xfId="29283"/>
    <cellStyle name="Output 2 3 2 5 4 2 4" xfId="29284"/>
    <cellStyle name="Output 2 3 2 5 4 3" xfId="29285"/>
    <cellStyle name="Output 2 3 2 5 4 3 2" xfId="29286"/>
    <cellStyle name="Output 2 3 2 5 4 3 3" xfId="29287"/>
    <cellStyle name="Output 2 3 2 5 4 3 4" xfId="29288"/>
    <cellStyle name="Output 2 3 2 5 4 4" xfId="29289"/>
    <cellStyle name="Output 2 3 2 5 4 4 2" xfId="29290"/>
    <cellStyle name="Output 2 3 2 5 4 4 3" xfId="29291"/>
    <cellStyle name="Output 2 3 2 5 4 4 4" xfId="29292"/>
    <cellStyle name="Output 2 3 2 5 4 5" xfId="29293"/>
    <cellStyle name="Output 2 3 2 5 4 6" xfId="29294"/>
    <cellStyle name="Output 2 3 2 5 4 7" xfId="29295"/>
    <cellStyle name="Output 2 3 2 5 5" xfId="29296"/>
    <cellStyle name="Output 2 3 2 5 5 2" xfId="29297"/>
    <cellStyle name="Output 2 3 2 5 5 2 2" xfId="29298"/>
    <cellStyle name="Output 2 3 2 5 5 2 3" xfId="29299"/>
    <cellStyle name="Output 2 3 2 5 5 2 4" xfId="29300"/>
    <cellStyle name="Output 2 3 2 5 5 3" xfId="29301"/>
    <cellStyle name="Output 2 3 2 5 5 3 2" xfId="29302"/>
    <cellStyle name="Output 2 3 2 5 5 3 3" xfId="29303"/>
    <cellStyle name="Output 2 3 2 5 5 3 4" xfId="29304"/>
    <cellStyle name="Output 2 3 2 5 5 4" xfId="29305"/>
    <cellStyle name="Output 2 3 2 5 5 4 2" xfId="29306"/>
    <cellStyle name="Output 2 3 2 5 5 4 3" xfId="29307"/>
    <cellStyle name="Output 2 3 2 5 5 4 4" xfId="29308"/>
    <cellStyle name="Output 2 3 2 5 5 5" xfId="29309"/>
    <cellStyle name="Output 2 3 2 5 5 6" xfId="29310"/>
    <cellStyle name="Output 2 3 2 5 5 7" xfId="29311"/>
    <cellStyle name="Output 2 3 2 5 6" xfId="29312"/>
    <cellStyle name="Output 2 3 2 5 6 2" xfId="29313"/>
    <cellStyle name="Output 2 3 2 5 6 2 2" xfId="29314"/>
    <cellStyle name="Output 2 3 2 5 6 2 3" xfId="29315"/>
    <cellStyle name="Output 2 3 2 5 6 2 4" xfId="29316"/>
    <cellStyle name="Output 2 3 2 5 6 3" xfId="29317"/>
    <cellStyle name="Output 2 3 2 5 6 3 2" xfId="29318"/>
    <cellStyle name="Output 2 3 2 5 6 3 3" xfId="29319"/>
    <cellStyle name="Output 2 3 2 5 6 3 4" xfId="29320"/>
    <cellStyle name="Output 2 3 2 5 6 4" xfId="29321"/>
    <cellStyle name="Output 2 3 2 5 6 4 2" xfId="29322"/>
    <cellStyle name="Output 2 3 2 5 6 4 3" xfId="29323"/>
    <cellStyle name="Output 2 3 2 5 6 4 4" xfId="29324"/>
    <cellStyle name="Output 2 3 2 5 6 5" xfId="29325"/>
    <cellStyle name="Output 2 3 2 5 6 6" xfId="29326"/>
    <cellStyle name="Output 2 3 2 5 6 7" xfId="29327"/>
    <cellStyle name="Output 2 3 2 5 7" xfId="29328"/>
    <cellStyle name="Output 2 3 2 5 7 2" xfId="29329"/>
    <cellStyle name="Output 2 3 2 5 7 3" xfId="29330"/>
    <cellStyle name="Output 2 3 2 5 7 4" xfId="29331"/>
    <cellStyle name="Output 2 3 2 5 8" xfId="29332"/>
    <cellStyle name="Output 2 3 2 5 8 2" xfId="29333"/>
    <cellStyle name="Output 2 3 2 5 8 3" xfId="29334"/>
    <cellStyle name="Output 2 3 2 5 8 4" xfId="29335"/>
    <cellStyle name="Output 2 3 2 5 9" xfId="29336"/>
    <cellStyle name="Output 2 3 2 5 9 2" xfId="29337"/>
    <cellStyle name="Output 2 3 2 5 9 3" xfId="29338"/>
    <cellStyle name="Output 2 3 2 5 9 4" xfId="29339"/>
    <cellStyle name="Output 2 3 2 6" xfId="29340"/>
    <cellStyle name="Output 2 3 2 6 2" xfId="29341"/>
    <cellStyle name="Output 2 3 2 6 2 2" xfId="29342"/>
    <cellStyle name="Output 2 3 2 6 2 3" xfId="29343"/>
    <cellStyle name="Output 2 3 2 6 2 4" xfId="29344"/>
    <cellStyle name="Output 2 3 2 6 3" xfId="29345"/>
    <cellStyle name="Output 2 3 2 6 3 2" xfId="29346"/>
    <cellStyle name="Output 2 3 2 6 3 3" xfId="29347"/>
    <cellStyle name="Output 2 3 2 6 3 4" xfId="29348"/>
    <cellStyle name="Output 2 3 2 6 4" xfId="29349"/>
    <cellStyle name="Output 2 3 2 6 4 2" xfId="29350"/>
    <cellStyle name="Output 2 3 2 6 4 3" xfId="29351"/>
    <cellStyle name="Output 2 3 2 6 4 4" xfId="29352"/>
    <cellStyle name="Output 2 3 2 6 5" xfId="29353"/>
    <cellStyle name="Output 2 3 2 6 6" xfId="29354"/>
    <cellStyle name="Output 2 3 2 6 7" xfId="29355"/>
    <cellStyle name="Output 2 3 2 7" xfId="29356"/>
    <cellStyle name="Output 2 3 2 7 2" xfId="29357"/>
    <cellStyle name="Output 2 3 2 7 2 2" xfId="29358"/>
    <cellStyle name="Output 2 3 2 7 2 3" xfId="29359"/>
    <cellStyle name="Output 2 3 2 7 2 4" xfId="29360"/>
    <cellStyle name="Output 2 3 2 7 3" xfId="29361"/>
    <cellStyle name="Output 2 3 2 7 3 2" xfId="29362"/>
    <cellStyle name="Output 2 3 2 7 3 3" xfId="29363"/>
    <cellStyle name="Output 2 3 2 7 3 4" xfId="29364"/>
    <cellStyle name="Output 2 3 2 7 4" xfId="29365"/>
    <cellStyle name="Output 2 3 2 7 4 2" xfId="29366"/>
    <cellStyle name="Output 2 3 2 7 4 3" xfId="29367"/>
    <cellStyle name="Output 2 3 2 7 4 4" xfId="29368"/>
    <cellStyle name="Output 2 3 2 7 5" xfId="29369"/>
    <cellStyle name="Output 2 3 2 7 6" xfId="29370"/>
    <cellStyle name="Output 2 3 2 7 7" xfId="29371"/>
    <cellStyle name="Output 2 3 2 8" xfId="29372"/>
    <cellStyle name="Output 2 3 2 8 2" xfId="29373"/>
    <cellStyle name="Output 2 3 2 8 2 2" xfId="29374"/>
    <cellStyle name="Output 2 3 2 8 2 3" xfId="29375"/>
    <cellStyle name="Output 2 3 2 8 2 4" xfId="29376"/>
    <cellStyle name="Output 2 3 2 8 3" xfId="29377"/>
    <cellStyle name="Output 2 3 2 8 3 2" xfId="29378"/>
    <cellStyle name="Output 2 3 2 8 3 3" xfId="29379"/>
    <cellStyle name="Output 2 3 2 8 3 4" xfId="29380"/>
    <cellStyle name="Output 2 3 2 8 4" xfId="29381"/>
    <cellStyle name="Output 2 3 2 8 4 2" xfId="29382"/>
    <cellStyle name="Output 2 3 2 8 4 3" xfId="29383"/>
    <cellStyle name="Output 2 3 2 8 4 4" xfId="29384"/>
    <cellStyle name="Output 2 3 2 8 5" xfId="29385"/>
    <cellStyle name="Output 2 3 2 8 6" xfId="29386"/>
    <cellStyle name="Output 2 3 2 8 7" xfId="29387"/>
    <cellStyle name="Output 2 3 2 9" xfId="29388"/>
    <cellStyle name="Output 2 3 2 9 2" xfId="29389"/>
    <cellStyle name="Output 2 3 2 9 2 2" xfId="29390"/>
    <cellStyle name="Output 2 3 2 9 2 3" xfId="29391"/>
    <cellStyle name="Output 2 3 2 9 2 4" xfId="29392"/>
    <cellStyle name="Output 2 3 2 9 3" xfId="29393"/>
    <cellStyle name="Output 2 3 2 9 3 2" xfId="29394"/>
    <cellStyle name="Output 2 3 2 9 3 3" xfId="29395"/>
    <cellStyle name="Output 2 3 2 9 3 4" xfId="29396"/>
    <cellStyle name="Output 2 3 2 9 4" xfId="29397"/>
    <cellStyle name="Output 2 3 2 9 4 2" xfId="29398"/>
    <cellStyle name="Output 2 3 2 9 4 3" xfId="29399"/>
    <cellStyle name="Output 2 3 2 9 4 4" xfId="29400"/>
    <cellStyle name="Output 2 3 2 9 5" xfId="29401"/>
    <cellStyle name="Output 2 3 2 9 6" xfId="29402"/>
    <cellStyle name="Output 2 3 2 9 7" xfId="29403"/>
    <cellStyle name="Output 2 3 3" xfId="1082"/>
    <cellStyle name="Output 2 3 3 10" xfId="29404"/>
    <cellStyle name="Output 2 3 3 11" xfId="29405"/>
    <cellStyle name="Output 2 3 3 12" xfId="29406"/>
    <cellStyle name="Output 2 3 3 2" xfId="29407"/>
    <cellStyle name="Output 2 3 3 2 2" xfId="29408"/>
    <cellStyle name="Output 2 3 3 2 2 2" xfId="29409"/>
    <cellStyle name="Output 2 3 3 2 2 3" xfId="29410"/>
    <cellStyle name="Output 2 3 3 2 2 4" xfId="29411"/>
    <cellStyle name="Output 2 3 3 2 3" xfId="29412"/>
    <cellStyle name="Output 2 3 3 2 3 2" xfId="29413"/>
    <cellStyle name="Output 2 3 3 2 3 3" xfId="29414"/>
    <cellStyle name="Output 2 3 3 2 3 4" xfId="29415"/>
    <cellStyle name="Output 2 3 3 2 4" xfId="29416"/>
    <cellStyle name="Output 2 3 3 2 4 2" xfId="29417"/>
    <cellStyle name="Output 2 3 3 2 4 3" xfId="29418"/>
    <cellStyle name="Output 2 3 3 2 4 4" xfId="29419"/>
    <cellStyle name="Output 2 3 3 2 5" xfId="29420"/>
    <cellStyle name="Output 2 3 3 2 6" xfId="29421"/>
    <cellStyle name="Output 2 3 3 2 7" xfId="29422"/>
    <cellStyle name="Output 2 3 3 3" xfId="29423"/>
    <cellStyle name="Output 2 3 3 3 2" xfId="29424"/>
    <cellStyle name="Output 2 3 3 3 2 2" xfId="29425"/>
    <cellStyle name="Output 2 3 3 3 2 3" xfId="29426"/>
    <cellStyle name="Output 2 3 3 3 2 4" xfId="29427"/>
    <cellStyle name="Output 2 3 3 3 3" xfId="29428"/>
    <cellStyle name="Output 2 3 3 3 3 2" xfId="29429"/>
    <cellStyle name="Output 2 3 3 3 3 3" xfId="29430"/>
    <cellStyle name="Output 2 3 3 3 3 4" xfId="29431"/>
    <cellStyle name="Output 2 3 3 3 4" xfId="29432"/>
    <cellStyle name="Output 2 3 3 3 4 2" xfId="29433"/>
    <cellStyle name="Output 2 3 3 3 4 3" xfId="29434"/>
    <cellStyle name="Output 2 3 3 3 4 4" xfId="29435"/>
    <cellStyle name="Output 2 3 3 3 5" xfId="29436"/>
    <cellStyle name="Output 2 3 3 3 6" xfId="29437"/>
    <cellStyle name="Output 2 3 3 3 7" xfId="29438"/>
    <cellStyle name="Output 2 3 3 4" xfId="29439"/>
    <cellStyle name="Output 2 3 3 4 2" xfId="29440"/>
    <cellStyle name="Output 2 3 3 4 2 2" xfId="29441"/>
    <cellStyle name="Output 2 3 3 4 2 3" xfId="29442"/>
    <cellStyle name="Output 2 3 3 4 2 4" xfId="29443"/>
    <cellStyle name="Output 2 3 3 4 3" xfId="29444"/>
    <cellStyle name="Output 2 3 3 4 3 2" xfId="29445"/>
    <cellStyle name="Output 2 3 3 4 3 3" xfId="29446"/>
    <cellStyle name="Output 2 3 3 4 3 4" xfId="29447"/>
    <cellStyle name="Output 2 3 3 4 4" xfId="29448"/>
    <cellStyle name="Output 2 3 3 4 4 2" xfId="29449"/>
    <cellStyle name="Output 2 3 3 4 4 3" xfId="29450"/>
    <cellStyle name="Output 2 3 3 4 4 4" xfId="29451"/>
    <cellStyle name="Output 2 3 3 4 5" xfId="29452"/>
    <cellStyle name="Output 2 3 3 4 6" xfId="29453"/>
    <cellStyle name="Output 2 3 3 4 7" xfId="29454"/>
    <cellStyle name="Output 2 3 3 5" xfId="29455"/>
    <cellStyle name="Output 2 3 3 5 2" xfId="29456"/>
    <cellStyle name="Output 2 3 3 5 2 2" xfId="29457"/>
    <cellStyle name="Output 2 3 3 5 2 3" xfId="29458"/>
    <cellStyle name="Output 2 3 3 5 2 4" xfId="29459"/>
    <cellStyle name="Output 2 3 3 5 3" xfId="29460"/>
    <cellStyle name="Output 2 3 3 5 3 2" xfId="29461"/>
    <cellStyle name="Output 2 3 3 5 3 3" xfId="29462"/>
    <cellStyle name="Output 2 3 3 5 3 4" xfId="29463"/>
    <cellStyle name="Output 2 3 3 5 4" xfId="29464"/>
    <cellStyle name="Output 2 3 3 5 4 2" xfId="29465"/>
    <cellStyle name="Output 2 3 3 5 4 3" xfId="29466"/>
    <cellStyle name="Output 2 3 3 5 4 4" xfId="29467"/>
    <cellStyle name="Output 2 3 3 5 5" xfId="29468"/>
    <cellStyle name="Output 2 3 3 5 6" xfId="29469"/>
    <cellStyle name="Output 2 3 3 5 7" xfId="29470"/>
    <cellStyle name="Output 2 3 3 6" xfId="29471"/>
    <cellStyle name="Output 2 3 3 6 2" xfId="29472"/>
    <cellStyle name="Output 2 3 3 6 2 2" xfId="29473"/>
    <cellStyle name="Output 2 3 3 6 2 3" xfId="29474"/>
    <cellStyle name="Output 2 3 3 6 2 4" xfId="29475"/>
    <cellStyle name="Output 2 3 3 6 3" xfId="29476"/>
    <cellStyle name="Output 2 3 3 6 3 2" xfId="29477"/>
    <cellStyle name="Output 2 3 3 6 3 3" xfId="29478"/>
    <cellStyle name="Output 2 3 3 6 3 4" xfId="29479"/>
    <cellStyle name="Output 2 3 3 6 4" xfId="29480"/>
    <cellStyle name="Output 2 3 3 6 4 2" xfId="29481"/>
    <cellStyle name="Output 2 3 3 6 4 3" xfId="29482"/>
    <cellStyle name="Output 2 3 3 6 4 4" xfId="29483"/>
    <cellStyle name="Output 2 3 3 6 5" xfId="29484"/>
    <cellStyle name="Output 2 3 3 6 6" xfId="29485"/>
    <cellStyle name="Output 2 3 3 6 7" xfId="29486"/>
    <cellStyle name="Output 2 3 3 7" xfId="29487"/>
    <cellStyle name="Output 2 3 3 7 2" xfId="29488"/>
    <cellStyle name="Output 2 3 3 7 3" xfId="29489"/>
    <cellStyle name="Output 2 3 3 7 4" xfId="29490"/>
    <cellStyle name="Output 2 3 3 8" xfId="29491"/>
    <cellStyle name="Output 2 3 3 8 2" xfId="29492"/>
    <cellStyle name="Output 2 3 3 8 3" xfId="29493"/>
    <cellStyle name="Output 2 3 3 8 4" xfId="29494"/>
    <cellStyle name="Output 2 3 3 9" xfId="29495"/>
    <cellStyle name="Output 2 3 3 9 2" xfId="29496"/>
    <cellStyle name="Output 2 3 3 9 3" xfId="29497"/>
    <cellStyle name="Output 2 3 3 9 4" xfId="29498"/>
    <cellStyle name="Output 2 3 4" xfId="3135"/>
    <cellStyle name="Output 2 3 5" xfId="3154"/>
    <cellStyle name="Output 2 3 6" xfId="1157"/>
    <cellStyle name="Output 2 3 7" xfId="1135"/>
    <cellStyle name="Output 2 4" xfId="138"/>
    <cellStyle name="Output 2 4 2" xfId="634"/>
    <cellStyle name="Output 2 4 2 10" xfId="29499"/>
    <cellStyle name="Output 2 4 2 10 2" xfId="29500"/>
    <cellStyle name="Output 2 4 2 10 2 2" xfId="29501"/>
    <cellStyle name="Output 2 4 2 10 2 3" xfId="29502"/>
    <cellStyle name="Output 2 4 2 10 2 4" xfId="29503"/>
    <cellStyle name="Output 2 4 2 10 3" xfId="29504"/>
    <cellStyle name="Output 2 4 2 10 3 2" xfId="29505"/>
    <cellStyle name="Output 2 4 2 10 3 3" xfId="29506"/>
    <cellStyle name="Output 2 4 2 10 3 4" xfId="29507"/>
    <cellStyle name="Output 2 4 2 10 4" xfId="29508"/>
    <cellStyle name="Output 2 4 2 10 4 2" xfId="29509"/>
    <cellStyle name="Output 2 4 2 10 4 3" xfId="29510"/>
    <cellStyle name="Output 2 4 2 10 4 4" xfId="29511"/>
    <cellStyle name="Output 2 4 2 10 5" xfId="29512"/>
    <cellStyle name="Output 2 4 2 10 6" xfId="29513"/>
    <cellStyle name="Output 2 4 2 10 7" xfId="29514"/>
    <cellStyle name="Output 2 4 2 11" xfId="29515"/>
    <cellStyle name="Output 2 4 2 11 2" xfId="29516"/>
    <cellStyle name="Output 2 4 2 11 2 2" xfId="29517"/>
    <cellStyle name="Output 2 4 2 11 2 3" xfId="29518"/>
    <cellStyle name="Output 2 4 2 11 2 4" xfId="29519"/>
    <cellStyle name="Output 2 4 2 11 3" xfId="29520"/>
    <cellStyle name="Output 2 4 2 11 3 2" xfId="29521"/>
    <cellStyle name="Output 2 4 2 11 3 3" xfId="29522"/>
    <cellStyle name="Output 2 4 2 11 3 4" xfId="29523"/>
    <cellStyle name="Output 2 4 2 11 4" xfId="29524"/>
    <cellStyle name="Output 2 4 2 11 4 2" xfId="29525"/>
    <cellStyle name="Output 2 4 2 11 4 3" xfId="29526"/>
    <cellStyle name="Output 2 4 2 11 4 4" xfId="29527"/>
    <cellStyle name="Output 2 4 2 11 5" xfId="29528"/>
    <cellStyle name="Output 2 4 2 11 6" xfId="29529"/>
    <cellStyle name="Output 2 4 2 11 7" xfId="29530"/>
    <cellStyle name="Output 2 4 2 12" xfId="29531"/>
    <cellStyle name="Output 2 4 2 12 2" xfId="29532"/>
    <cellStyle name="Output 2 4 2 12 2 2" xfId="29533"/>
    <cellStyle name="Output 2 4 2 12 2 3" xfId="29534"/>
    <cellStyle name="Output 2 4 2 12 2 4" xfId="29535"/>
    <cellStyle name="Output 2 4 2 12 3" xfId="29536"/>
    <cellStyle name="Output 2 4 2 12 3 2" xfId="29537"/>
    <cellStyle name="Output 2 4 2 12 3 3" xfId="29538"/>
    <cellStyle name="Output 2 4 2 12 3 4" xfId="29539"/>
    <cellStyle name="Output 2 4 2 12 4" xfId="29540"/>
    <cellStyle name="Output 2 4 2 12 4 2" xfId="29541"/>
    <cellStyle name="Output 2 4 2 12 4 3" xfId="29542"/>
    <cellStyle name="Output 2 4 2 12 4 4" xfId="29543"/>
    <cellStyle name="Output 2 4 2 12 5" xfId="29544"/>
    <cellStyle name="Output 2 4 2 12 6" xfId="29545"/>
    <cellStyle name="Output 2 4 2 12 7" xfId="29546"/>
    <cellStyle name="Output 2 4 2 13" xfId="29547"/>
    <cellStyle name="Output 2 4 2 13 2" xfId="29548"/>
    <cellStyle name="Output 2 4 2 13 2 2" xfId="29549"/>
    <cellStyle name="Output 2 4 2 13 2 3" xfId="29550"/>
    <cellStyle name="Output 2 4 2 13 2 4" xfId="29551"/>
    <cellStyle name="Output 2 4 2 13 3" xfId="29552"/>
    <cellStyle name="Output 2 4 2 13 3 2" xfId="29553"/>
    <cellStyle name="Output 2 4 2 13 3 3" xfId="29554"/>
    <cellStyle name="Output 2 4 2 13 3 4" xfId="29555"/>
    <cellStyle name="Output 2 4 2 13 4" xfId="29556"/>
    <cellStyle name="Output 2 4 2 13 4 2" xfId="29557"/>
    <cellStyle name="Output 2 4 2 13 4 3" xfId="29558"/>
    <cellStyle name="Output 2 4 2 13 4 4" xfId="29559"/>
    <cellStyle name="Output 2 4 2 13 5" xfId="29560"/>
    <cellStyle name="Output 2 4 2 13 6" xfId="29561"/>
    <cellStyle name="Output 2 4 2 13 7" xfId="29562"/>
    <cellStyle name="Output 2 4 2 14" xfId="29563"/>
    <cellStyle name="Output 2 4 2 14 2" xfId="29564"/>
    <cellStyle name="Output 2 4 2 14 3" xfId="29565"/>
    <cellStyle name="Output 2 4 2 14 4" xfId="29566"/>
    <cellStyle name="Output 2 4 2 15" xfId="29567"/>
    <cellStyle name="Output 2 4 2 15 2" xfId="29568"/>
    <cellStyle name="Output 2 4 2 15 3" xfId="29569"/>
    <cellStyle name="Output 2 4 2 15 4" xfId="29570"/>
    <cellStyle name="Output 2 4 2 16" xfId="29571"/>
    <cellStyle name="Output 2 4 2 16 2" xfId="29572"/>
    <cellStyle name="Output 2 4 2 16 3" xfId="29573"/>
    <cellStyle name="Output 2 4 2 16 4" xfId="29574"/>
    <cellStyle name="Output 2 4 2 17" xfId="29575"/>
    <cellStyle name="Output 2 4 2 18" xfId="29576"/>
    <cellStyle name="Output 2 4 2 19" xfId="29577"/>
    <cellStyle name="Output 2 4 2 2" xfId="894"/>
    <cellStyle name="Output 2 4 2 2 10" xfId="29578"/>
    <cellStyle name="Output 2 4 2 2 11" xfId="29579"/>
    <cellStyle name="Output 2 4 2 2 12" xfId="29580"/>
    <cellStyle name="Output 2 4 2 2 2" xfId="29581"/>
    <cellStyle name="Output 2 4 2 2 2 2" xfId="29582"/>
    <cellStyle name="Output 2 4 2 2 2 2 2" xfId="29583"/>
    <cellStyle name="Output 2 4 2 2 2 2 3" xfId="29584"/>
    <cellStyle name="Output 2 4 2 2 2 2 4" xfId="29585"/>
    <cellStyle name="Output 2 4 2 2 2 3" xfId="29586"/>
    <cellStyle name="Output 2 4 2 2 2 3 2" xfId="29587"/>
    <cellStyle name="Output 2 4 2 2 2 3 3" xfId="29588"/>
    <cellStyle name="Output 2 4 2 2 2 3 4" xfId="29589"/>
    <cellStyle name="Output 2 4 2 2 2 4" xfId="29590"/>
    <cellStyle name="Output 2 4 2 2 2 4 2" xfId="29591"/>
    <cellStyle name="Output 2 4 2 2 2 4 3" xfId="29592"/>
    <cellStyle name="Output 2 4 2 2 2 4 4" xfId="29593"/>
    <cellStyle name="Output 2 4 2 2 2 5" xfId="29594"/>
    <cellStyle name="Output 2 4 2 2 2 6" xfId="29595"/>
    <cellStyle name="Output 2 4 2 2 2 7" xfId="29596"/>
    <cellStyle name="Output 2 4 2 2 3" xfId="29597"/>
    <cellStyle name="Output 2 4 2 2 3 2" xfId="29598"/>
    <cellStyle name="Output 2 4 2 2 3 2 2" xfId="29599"/>
    <cellStyle name="Output 2 4 2 2 3 2 3" xfId="29600"/>
    <cellStyle name="Output 2 4 2 2 3 2 4" xfId="29601"/>
    <cellStyle name="Output 2 4 2 2 3 3" xfId="29602"/>
    <cellStyle name="Output 2 4 2 2 3 3 2" xfId="29603"/>
    <cellStyle name="Output 2 4 2 2 3 3 3" xfId="29604"/>
    <cellStyle name="Output 2 4 2 2 3 3 4" xfId="29605"/>
    <cellStyle name="Output 2 4 2 2 3 4" xfId="29606"/>
    <cellStyle name="Output 2 4 2 2 3 4 2" xfId="29607"/>
    <cellStyle name="Output 2 4 2 2 3 4 3" xfId="29608"/>
    <cellStyle name="Output 2 4 2 2 3 4 4" xfId="29609"/>
    <cellStyle name="Output 2 4 2 2 3 5" xfId="29610"/>
    <cellStyle name="Output 2 4 2 2 3 6" xfId="29611"/>
    <cellStyle name="Output 2 4 2 2 3 7" xfId="29612"/>
    <cellStyle name="Output 2 4 2 2 4" xfId="29613"/>
    <cellStyle name="Output 2 4 2 2 4 2" xfId="29614"/>
    <cellStyle name="Output 2 4 2 2 4 2 2" xfId="29615"/>
    <cellStyle name="Output 2 4 2 2 4 2 3" xfId="29616"/>
    <cellStyle name="Output 2 4 2 2 4 2 4" xfId="29617"/>
    <cellStyle name="Output 2 4 2 2 4 3" xfId="29618"/>
    <cellStyle name="Output 2 4 2 2 4 3 2" xfId="29619"/>
    <cellStyle name="Output 2 4 2 2 4 3 3" xfId="29620"/>
    <cellStyle name="Output 2 4 2 2 4 3 4" xfId="29621"/>
    <cellStyle name="Output 2 4 2 2 4 4" xfId="29622"/>
    <cellStyle name="Output 2 4 2 2 4 4 2" xfId="29623"/>
    <cellStyle name="Output 2 4 2 2 4 4 3" xfId="29624"/>
    <cellStyle name="Output 2 4 2 2 4 4 4" xfId="29625"/>
    <cellStyle name="Output 2 4 2 2 4 5" xfId="29626"/>
    <cellStyle name="Output 2 4 2 2 4 6" xfId="29627"/>
    <cellStyle name="Output 2 4 2 2 4 7" xfId="29628"/>
    <cellStyle name="Output 2 4 2 2 5" xfId="29629"/>
    <cellStyle name="Output 2 4 2 2 5 2" xfId="29630"/>
    <cellStyle name="Output 2 4 2 2 5 2 2" xfId="29631"/>
    <cellStyle name="Output 2 4 2 2 5 2 3" xfId="29632"/>
    <cellStyle name="Output 2 4 2 2 5 2 4" xfId="29633"/>
    <cellStyle name="Output 2 4 2 2 5 3" xfId="29634"/>
    <cellStyle name="Output 2 4 2 2 5 3 2" xfId="29635"/>
    <cellStyle name="Output 2 4 2 2 5 3 3" xfId="29636"/>
    <cellStyle name="Output 2 4 2 2 5 3 4" xfId="29637"/>
    <cellStyle name="Output 2 4 2 2 5 4" xfId="29638"/>
    <cellStyle name="Output 2 4 2 2 5 4 2" xfId="29639"/>
    <cellStyle name="Output 2 4 2 2 5 4 3" xfId="29640"/>
    <cellStyle name="Output 2 4 2 2 5 4 4" xfId="29641"/>
    <cellStyle name="Output 2 4 2 2 5 5" xfId="29642"/>
    <cellStyle name="Output 2 4 2 2 5 6" xfId="29643"/>
    <cellStyle name="Output 2 4 2 2 5 7" xfId="29644"/>
    <cellStyle name="Output 2 4 2 2 6" xfId="29645"/>
    <cellStyle name="Output 2 4 2 2 6 2" xfId="29646"/>
    <cellStyle name="Output 2 4 2 2 6 2 2" xfId="29647"/>
    <cellStyle name="Output 2 4 2 2 6 2 3" xfId="29648"/>
    <cellStyle name="Output 2 4 2 2 6 2 4" xfId="29649"/>
    <cellStyle name="Output 2 4 2 2 6 3" xfId="29650"/>
    <cellStyle name="Output 2 4 2 2 6 3 2" xfId="29651"/>
    <cellStyle name="Output 2 4 2 2 6 3 3" xfId="29652"/>
    <cellStyle name="Output 2 4 2 2 6 3 4" xfId="29653"/>
    <cellStyle name="Output 2 4 2 2 6 4" xfId="29654"/>
    <cellStyle name="Output 2 4 2 2 6 4 2" xfId="29655"/>
    <cellStyle name="Output 2 4 2 2 6 4 3" xfId="29656"/>
    <cellStyle name="Output 2 4 2 2 6 4 4" xfId="29657"/>
    <cellStyle name="Output 2 4 2 2 6 5" xfId="29658"/>
    <cellStyle name="Output 2 4 2 2 6 6" xfId="29659"/>
    <cellStyle name="Output 2 4 2 2 6 7" xfId="29660"/>
    <cellStyle name="Output 2 4 2 2 7" xfId="29661"/>
    <cellStyle name="Output 2 4 2 2 7 2" xfId="29662"/>
    <cellStyle name="Output 2 4 2 2 7 3" xfId="29663"/>
    <cellStyle name="Output 2 4 2 2 7 4" xfId="29664"/>
    <cellStyle name="Output 2 4 2 2 8" xfId="29665"/>
    <cellStyle name="Output 2 4 2 2 8 2" xfId="29666"/>
    <cellStyle name="Output 2 4 2 2 8 3" xfId="29667"/>
    <cellStyle name="Output 2 4 2 2 8 4" xfId="29668"/>
    <cellStyle name="Output 2 4 2 2 9" xfId="29669"/>
    <cellStyle name="Output 2 4 2 2 9 2" xfId="29670"/>
    <cellStyle name="Output 2 4 2 2 9 3" xfId="29671"/>
    <cellStyle name="Output 2 4 2 2 9 4" xfId="29672"/>
    <cellStyle name="Output 2 4 2 3" xfId="750"/>
    <cellStyle name="Output 2 4 2 3 10" xfId="29673"/>
    <cellStyle name="Output 2 4 2 3 11" xfId="29674"/>
    <cellStyle name="Output 2 4 2 3 12" xfId="29675"/>
    <cellStyle name="Output 2 4 2 3 2" xfId="29676"/>
    <cellStyle name="Output 2 4 2 3 2 2" xfId="29677"/>
    <cellStyle name="Output 2 4 2 3 2 2 2" xfId="29678"/>
    <cellStyle name="Output 2 4 2 3 2 2 3" xfId="29679"/>
    <cellStyle name="Output 2 4 2 3 2 2 4" xfId="29680"/>
    <cellStyle name="Output 2 4 2 3 2 3" xfId="29681"/>
    <cellStyle name="Output 2 4 2 3 2 3 2" xfId="29682"/>
    <cellStyle name="Output 2 4 2 3 2 3 3" xfId="29683"/>
    <cellStyle name="Output 2 4 2 3 2 3 4" xfId="29684"/>
    <cellStyle name="Output 2 4 2 3 2 4" xfId="29685"/>
    <cellStyle name="Output 2 4 2 3 2 4 2" xfId="29686"/>
    <cellStyle name="Output 2 4 2 3 2 4 3" xfId="29687"/>
    <cellStyle name="Output 2 4 2 3 2 4 4" xfId="29688"/>
    <cellStyle name="Output 2 4 2 3 2 5" xfId="29689"/>
    <cellStyle name="Output 2 4 2 3 2 6" xfId="29690"/>
    <cellStyle name="Output 2 4 2 3 2 7" xfId="29691"/>
    <cellStyle name="Output 2 4 2 3 3" xfId="29692"/>
    <cellStyle name="Output 2 4 2 3 3 2" xfId="29693"/>
    <cellStyle name="Output 2 4 2 3 3 2 2" xfId="29694"/>
    <cellStyle name="Output 2 4 2 3 3 2 3" xfId="29695"/>
    <cellStyle name="Output 2 4 2 3 3 2 4" xfId="29696"/>
    <cellStyle name="Output 2 4 2 3 3 3" xfId="29697"/>
    <cellStyle name="Output 2 4 2 3 3 3 2" xfId="29698"/>
    <cellStyle name="Output 2 4 2 3 3 3 3" xfId="29699"/>
    <cellStyle name="Output 2 4 2 3 3 3 4" xfId="29700"/>
    <cellStyle name="Output 2 4 2 3 3 4" xfId="29701"/>
    <cellStyle name="Output 2 4 2 3 3 4 2" xfId="29702"/>
    <cellStyle name="Output 2 4 2 3 3 4 3" xfId="29703"/>
    <cellStyle name="Output 2 4 2 3 3 4 4" xfId="29704"/>
    <cellStyle name="Output 2 4 2 3 3 5" xfId="29705"/>
    <cellStyle name="Output 2 4 2 3 3 6" xfId="29706"/>
    <cellStyle name="Output 2 4 2 3 3 7" xfId="29707"/>
    <cellStyle name="Output 2 4 2 3 4" xfId="29708"/>
    <cellStyle name="Output 2 4 2 3 4 2" xfId="29709"/>
    <cellStyle name="Output 2 4 2 3 4 2 2" xfId="29710"/>
    <cellStyle name="Output 2 4 2 3 4 2 3" xfId="29711"/>
    <cellStyle name="Output 2 4 2 3 4 2 4" xfId="29712"/>
    <cellStyle name="Output 2 4 2 3 4 3" xfId="29713"/>
    <cellStyle name="Output 2 4 2 3 4 3 2" xfId="29714"/>
    <cellStyle name="Output 2 4 2 3 4 3 3" xfId="29715"/>
    <cellStyle name="Output 2 4 2 3 4 3 4" xfId="29716"/>
    <cellStyle name="Output 2 4 2 3 4 4" xfId="29717"/>
    <cellStyle name="Output 2 4 2 3 4 4 2" xfId="29718"/>
    <cellStyle name="Output 2 4 2 3 4 4 3" xfId="29719"/>
    <cellStyle name="Output 2 4 2 3 4 4 4" xfId="29720"/>
    <cellStyle name="Output 2 4 2 3 4 5" xfId="29721"/>
    <cellStyle name="Output 2 4 2 3 4 6" xfId="29722"/>
    <cellStyle name="Output 2 4 2 3 4 7" xfId="29723"/>
    <cellStyle name="Output 2 4 2 3 5" xfId="29724"/>
    <cellStyle name="Output 2 4 2 3 5 2" xfId="29725"/>
    <cellStyle name="Output 2 4 2 3 5 2 2" xfId="29726"/>
    <cellStyle name="Output 2 4 2 3 5 2 3" xfId="29727"/>
    <cellStyle name="Output 2 4 2 3 5 2 4" xfId="29728"/>
    <cellStyle name="Output 2 4 2 3 5 3" xfId="29729"/>
    <cellStyle name="Output 2 4 2 3 5 3 2" xfId="29730"/>
    <cellStyle name="Output 2 4 2 3 5 3 3" xfId="29731"/>
    <cellStyle name="Output 2 4 2 3 5 3 4" xfId="29732"/>
    <cellStyle name="Output 2 4 2 3 5 4" xfId="29733"/>
    <cellStyle name="Output 2 4 2 3 5 4 2" xfId="29734"/>
    <cellStyle name="Output 2 4 2 3 5 4 3" xfId="29735"/>
    <cellStyle name="Output 2 4 2 3 5 4 4" xfId="29736"/>
    <cellStyle name="Output 2 4 2 3 5 5" xfId="29737"/>
    <cellStyle name="Output 2 4 2 3 5 6" xfId="29738"/>
    <cellStyle name="Output 2 4 2 3 5 7" xfId="29739"/>
    <cellStyle name="Output 2 4 2 3 6" xfId="29740"/>
    <cellStyle name="Output 2 4 2 3 6 2" xfId="29741"/>
    <cellStyle name="Output 2 4 2 3 6 2 2" xfId="29742"/>
    <cellStyle name="Output 2 4 2 3 6 2 3" xfId="29743"/>
    <cellStyle name="Output 2 4 2 3 6 2 4" xfId="29744"/>
    <cellStyle name="Output 2 4 2 3 6 3" xfId="29745"/>
    <cellStyle name="Output 2 4 2 3 6 3 2" xfId="29746"/>
    <cellStyle name="Output 2 4 2 3 6 3 3" xfId="29747"/>
    <cellStyle name="Output 2 4 2 3 6 3 4" xfId="29748"/>
    <cellStyle name="Output 2 4 2 3 6 4" xfId="29749"/>
    <cellStyle name="Output 2 4 2 3 6 4 2" xfId="29750"/>
    <cellStyle name="Output 2 4 2 3 6 4 3" xfId="29751"/>
    <cellStyle name="Output 2 4 2 3 6 4 4" xfId="29752"/>
    <cellStyle name="Output 2 4 2 3 6 5" xfId="29753"/>
    <cellStyle name="Output 2 4 2 3 6 6" xfId="29754"/>
    <cellStyle name="Output 2 4 2 3 6 7" xfId="29755"/>
    <cellStyle name="Output 2 4 2 3 7" xfId="29756"/>
    <cellStyle name="Output 2 4 2 3 7 2" xfId="29757"/>
    <cellStyle name="Output 2 4 2 3 7 3" xfId="29758"/>
    <cellStyle name="Output 2 4 2 3 7 4" xfId="29759"/>
    <cellStyle name="Output 2 4 2 3 8" xfId="29760"/>
    <cellStyle name="Output 2 4 2 3 8 2" xfId="29761"/>
    <cellStyle name="Output 2 4 2 3 8 3" xfId="29762"/>
    <cellStyle name="Output 2 4 2 3 8 4" xfId="29763"/>
    <cellStyle name="Output 2 4 2 3 9" xfId="29764"/>
    <cellStyle name="Output 2 4 2 3 9 2" xfId="29765"/>
    <cellStyle name="Output 2 4 2 3 9 3" xfId="29766"/>
    <cellStyle name="Output 2 4 2 3 9 4" xfId="29767"/>
    <cellStyle name="Output 2 4 2 4" xfId="963"/>
    <cellStyle name="Output 2 4 2 4 10" xfId="29768"/>
    <cellStyle name="Output 2 4 2 4 11" xfId="29769"/>
    <cellStyle name="Output 2 4 2 4 12" xfId="29770"/>
    <cellStyle name="Output 2 4 2 4 2" xfId="29771"/>
    <cellStyle name="Output 2 4 2 4 2 2" xfId="29772"/>
    <cellStyle name="Output 2 4 2 4 2 2 2" xfId="29773"/>
    <cellStyle name="Output 2 4 2 4 2 2 3" xfId="29774"/>
    <cellStyle name="Output 2 4 2 4 2 2 4" xfId="29775"/>
    <cellStyle name="Output 2 4 2 4 2 3" xfId="29776"/>
    <cellStyle name="Output 2 4 2 4 2 3 2" xfId="29777"/>
    <cellStyle name="Output 2 4 2 4 2 3 3" xfId="29778"/>
    <cellStyle name="Output 2 4 2 4 2 3 4" xfId="29779"/>
    <cellStyle name="Output 2 4 2 4 2 4" xfId="29780"/>
    <cellStyle name="Output 2 4 2 4 2 4 2" xfId="29781"/>
    <cellStyle name="Output 2 4 2 4 2 4 3" xfId="29782"/>
    <cellStyle name="Output 2 4 2 4 2 4 4" xfId="29783"/>
    <cellStyle name="Output 2 4 2 4 2 5" xfId="29784"/>
    <cellStyle name="Output 2 4 2 4 2 6" xfId="29785"/>
    <cellStyle name="Output 2 4 2 4 2 7" xfId="29786"/>
    <cellStyle name="Output 2 4 2 4 3" xfId="29787"/>
    <cellStyle name="Output 2 4 2 4 3 2" xfId="29788"/>
    <cellStyle name="Output 2 4 2 4 3 2 2" xfId="29789"/>
    <cellStyle name="Output 2 4 2 4 3 2 3" xfId="29790"/>
    <cellStyle name="Output 2 4 2 4 3 2 4" xfId="29791"/>
    <cellStyle name="Output 2 4 2 4 3 3" xfId="29792"/>
    <cellStyle name="Output 2 4 2 4 3 3 2" xfId="29793"/>
    <cellStyle name="Output 2 4 2 4 3 3 3" xfId="29794"/>
    <cellStyle name="Output 2 4 2 4 3 3 4" xfId="29795"/>
    <cellStyle name="Output 2 4 2 4 3 4" xfId="29796"/>
    <cellStyle name="Output 2 4 2 4 3 4 2" xfId="29797"/>
    <cellStyle name="Output 2 4 2 4 3 4 3" xfId="29798"/>
    <cellStyle name="Output 2 4 2 4 3 4 4" xfId="29799"/>
    <cellStyle name="Output 2 4 2 4 3 5" xfId="29800"/>
    <cellStyle name="Output 2 4 2 4 3 6" xfId="29801"/>
    <cellStyle name="Output 2 4 2 4 3 7" xfId="29802"/>
    <cellStyle name="Output 2 4 2 4 4" xfId="29803"/>
    <cellStyle name="Output 2 4 2 4 4 2" xfId="29804"/>
    <cellStyle name="Output 2 4 2 4 4 2 2" xfId="29805"/>
    <cellStyle name="Output 2 4 2 4 4 2 3" xfId="29806"/>
    <cellStyle name="Output 2 4 2 4 4 2 4" xfId="29807"/>
    <cellStyle name="Output 2 4 2 4 4 3" xfId="29808"/>
    <cellStyle name="Output 2 4 2 4 4 3 2" xfId="29809"/>
    <cellStyle name="Output 2 4 2 4 4 3 3" xfId="29810"/>
    <cellStyle name="Output 2 4 2 4 4 3 4" xfId="29811"/>
    <cellStyle name="Output 2 4 2 4 4 4" xfId="29812"/>
    <cellStyle name="Output 2 4 2 4 4 4 2" xfId="29813"/>
    <cellStyle name="Output 2 4 2 4 4 4 3" xfId="29814"/>
    <cellStyle name="Output 2 4 2 4 4 4 4" xfId="29815"/>
    <cellStyle name="Output 2 4 2 4 4 5" xfId="29816"/>
    <cellStyle name="Output 2 4 2 4 4 6" xfId="29817"/>
    <cellStyle name="Output 2 4 2 4 4 7" xfId="29818"/>
    <cellStyle name="Output 2 4 2 4 5" xfId="29819"/>
    <cellStyle name="Output 2 4 2 4 5 2" xfId="29820"/>
    <cellStyle name="Output 2 4 2 4 5 2 2" xfId="29821"/>
    <cellStyle name="Output 2 4 2 4 5 2 3" xfId="29822"/>
    <cellStyle name="Output 2 4 2 4 5 2 4" xfId="29823"/>
    <cellStyle name="Output 2 4 2 4 5 3" xfId="29824"/>
    <cellStyle name="Output 2 4 2 4 5 3 2" xfId="29825"/>
    <cellStyle name="Output 2 4 2 4 5 3 3" xfId="29826"/>
    <cellStyle name="Output 2 4 2 4 5 3 4" xfId="29827"/>
    <cellStyle name="Output 2 4 2 4 5 4" xfId="29828"/>
    <cellStyle name="Output 2 4 2 4 5 4 2" xfId="29829"/>
    <cellStyle name="Output 2 4 2 4 5 4 3" xfId="29830"/>
    <cellStyle name="Output 2 4 2 4 5 4 4" xfId="29831"/>
    <cellStyle name="Output 2 4 2 4 5 5" xfId="29832"/>
    <cellStyle name="Output 2 4 2 4 5 6" xfId="29833"/>
    <cellStyle name="Output 2 4 2 4 5 7" xfId="29834"/>
    <cellStyle name="Output 2 4 2 4 6" xfId="29835"/>
    <cellStyle name="Output 2 4 2 4 6 2" xfId="29836"/>
    <cellStyle name="Output 2 4 2 4 6 2 2" xfId="29837"/>
    <cellStyle name="Output 2 4 2 4 6 2 3" xfId="29838"/>
    <cellStyle name="Output 2 4 2 4 6 2 4" xfId="29839"/>
    <cellStyle name="Output 2 4 2 4 6 3" xfId="29840"/>
    <cellStyle name="Output 2 4 2 4 6 3 2" xfId="29841"/>
    <cellStyle name="Output 2 4 2 4 6 3 3" xfId="29842"/>
    <cellStyle name="Output 2 4 2 4 6 3 4" xfId="29843"/>
    <cellStyle name="Output 2 4 2 4 6 4" xfId="29844"/>
    <cellStyle name="Output 2 4 2 4 6 4 2" xfId="29845"/>
    <cellStyle name="Output 2 4 2 4 6 4 3" xfId="29846"/>
    <cellStyle name="Output 2 4 2 4 6 4 4" xfId="29847"/>
    <cellStyle name="Output 2 4 2 4 6 5" xfId="29848"/>
    <cellStyle name="Output 2 4 2 4 6 6" xfId="29849"/>
    <cellStyle name="Output 2 4 2 4 6 7" xfId="29850"/>
    <cellStyle name="Output 2 4 2 4 7" xfId="29851"/>
    <cellStyle name="Output 2 4 2 4 7 2" xfId="29852"/>
    <cellStyle name="Output 2 4 2 4 7 3" xfId="29853"/>
    <cellStyle name="Output 2 4 2 4 7 4" xfId="29854"/>
    <cellStyle name="Output 2 4 2 4 8" xfId="29855"/>
    <cellStyle name="Output 2 4 2 4 8 2" xfId="29856"/>
    <cellStyle name="Output 2 4 2 4 8 3" xfId="29857"/>
    <cellStyle name="Output 2 4 2 4 8 4" xfId="29858"/>
    <cellStyle name="Output 2 4 2 4 9" xfId="29859"/>
    <cellStyle name="Output 2 4 2 4 9 2" xfId="29860"/>
    <cellStyle name="Output 2 4 2 4 9 3" xfId="29861"/>
    <cellStyle name="Output 2 4 2 4 9 4" xfId="29862"/>
    <cellStyle name="Output 2 4 2 5" xfId="29863"/>
    <cellStyle name="Output 2 4 2 5 10" xfId="29864"/>
    <cellStyle name="Output 2 4 2 5 11" xfId="29865"/>
    <cellStyle name="Output 2 4 2 5 12" xfId="29866"/>
    <cellStyle name="Output 2 4 2 5 2" xfId="29867"/>
    <cellStyle name="Output 2 4 2 5 2 2" xfId="29868"/>
    <cellStyle name="Output 2 4 2 5 2 2 2" xfId="29869"/>
    <cellStyle name="Output 2 4 2 5 2 2 3" xfId="29870"/>
    <cellStyle name="Output 2 4 2 5 2 2 4" xfId="29871"/>
    <cellStyle name="Output 2 4 2 5 2 3" xfId="29872"/>
    <cellStyle name="Output 2 4 2 5 2 3 2" xfId="29873"/>
    <cellStyle name="Output 2 4 2 5 2 3 3" xfId="29874"/>
    <cellStyle name="Output 2 4 2 5 2 3 4" xfId="29875"/>
    <cellStyle name="Output 2 4 2 5 2 4" xfId="29876"/>
    <cellStyle name="Output 2 4 2 5 2 4 2" xfId="29877"/>
    <cellStyle name="Output 2 4 2 5 2 4 3" xfId="29878"/>
    <cellStyle name="Output 2 4 2 5 2 4 4" xfId="29879"/>
    <cellStyle name="Output 2 4 2 5 2 5" xfId="29880"/>
    <cellStyle name="Output 2 4 2 5 2 6" xfId="29881"/>
    <cellStyle name="Output 2 4 2 5 2 7" xfId="29882"/>
    <cellStyle name="Output 2 4 2 5 3" xfId="29883"/>
    <cellStyle name="Output 2 4 2 5 3 2" xfId="29884"/>
    <cellStyle name="Output 2 4 2 5 3 2 2" xfId="29885"/>
    <cellStyle name="Output 2 4 2 5 3 2 3" xfId="29886"/>
    <cellStyle name="Output 2 4 2 5 3 2 4" xfId="29887"/>
    <cellStyle name="Output 2 4 2 5 3 3" xfId="29888"/>
    <cellStyle name="Output 2 4 2 5 3 3 2" xfId="29889"/>
    <cellStyle name="Output 2 4 2 5 3 3 3" xfId="29890"/>
    <cellStyle name="Output 2 4 2 5 3 3 4" xfId="29891"/>
    <cellStyle name="Output 2 4 2 5 3 4" xfId="29892"/>
    <cellStyle name="Output 2 4 2 5 3 4 2" xfId="29893"/>
    <cellStyle name="Output 2 4 2 5 3 4 3" xfId="29894"/>
    <cellStyle name="Output 2 4 2 5 3 4 4" xfId="29895"/>
    <cellStyle name="Output 2 4 2 5 3 5" xfId="29896"/>
    <cellStyle name="Output 2 4 2 5 3 6" xfId="29897"/>
    <cellStyle name="Output 2 4 2 5 3 7" xfId="29898"/>
    <cellStyle name="Output 2 4 2 5 4" xfId="29899"/>
    <cellStyle name="Output 2 4 2 5 4 2" xfId="29900"/>
    <cellStyle name="Output 2 4 2 5 4 2 2" xfId="29901"/>
    <cellStyle name="Output 2 4 2 5 4 2 3" xfId="29902"/>
    <cellStyle name="Output 2 4 2 5 4 2 4" xfId="29903"/>
    <cellStyle name="Output 2 4 2 5 4 3" xfId="29904"/>
    <cellStyle name="Output 2 4 2 5 4 3 2" xfId="29905"/>
    <cellStyle name="Output 2 4 2 5 4 3 3" xfId="29906"/>
    <cellStyle name="Output 2 4 2 5 4 3 4" xfId="29907"/>
    <cellStyle name="Output 2 4 2 5 4 4" xfId="29908"/>
    <cellStyle name="Output 2 4 2 5 4 4 2" xfId="29909"/>
    <cellStyle name="Output 2 4 2 5 4 4 3" xfId="29910"/>
    <cellStyle name="Output 2 4 2 5 4 4 4" xfId="29911"/>
    <cellStyle name="Output 2 4 2 5 4 5" xfId="29912"/>
    <cellStyle name="Output 2 4 2 5 4 6" xfId="29913"/>
    <cellStyle name="Output 2 4 2 5 4 7" xfId="29914"/>
    <cellStyle name="Output 2 4 2 5 5" xfId="29915"/>
    <cellStyle name="Output 2 4 2 5 5 2" xfId="29916"/>
    <cellStyle name="Output 2 4 2 5 5 2 2" xfId="29917"/>
    <cellStyle name="Output 2 4 2 5 5 2 3" xfId="29918"/>
    <cellStyle name="Output 2 4 2 5 5 2 4" xfId="29919"/>
    <cellStyle name="Output 2 4 2 5 5 3" xfId="29920"/>
    <cellStyle name="Output 2 4 2 5 5 3 2" xfId="29921"/>
    <cellStyle name="Output 2 4 2 5 5 3 3" xfId="29922"/>
    <cellStyle name="Output 2 4 2 5 5 3 4" xfId="29923"/>
    <cellStyle name="Output 2 4 2 5 5 4" xfId="29924"/>
    <cellStyle name="Output 2 4 2 5 5 4 2" xfId="29925"/>
    <cellStyle name="Output 2 4 2 5 5 4 3" xfId="29926"/>
    <cellStyle name="Output 2 4 2 5 5 4 4" xfId="29927"/>
    <cellStyle name="Output 2 4 2 5 5 5" xfId="29928"/>
    <cellStyle name="Output 2 4 2 5 5 6" xfId="29929"/>
    <cellStyle name="Output 2 4 2 5 5 7" xfId="29930"/>
    <cellStyle name="Output 2 4 2 5 6" xfId="29931"/>
    <cellStyle name="Output 2 4 2 5 6 2" xfId="29932"/>
    <cellStyle name="Output 2 4 2 5 6 2 2" xfId="29933"/>
    <cellStyle name="Output 2 4 2 5 6 2 3" xfId="29934"/>
    <cellStyle name="Output 2 4 2 5 6 2 4" xfId="29935"/>
    <cellStyle name="Output 2 4 2 5 6 3" xfId="29936"/>
    <cellStyle name="Output 2 4 2 5 6 3 2" xfId="29937"/>
    <cellStyle name="Output 2 4 2 5 6 3 3" xfId="29938"/>
    <cellStyle name="Output 2 4 2 5 6 3 4" xfId="29939"/>
    <cellStyle name="Output 2 4 2 5 6 4" xfId="29940"/>
    <cellStyle name="Output 2 4 2 5 6 4 2" xfId="29941"/>
    <cellStyle name="Output 2 4 2 5 6 4 3" xfId="29942"/>
    <cellStyle name="Output 2 4 2 5 6 4 4" xfId="29943"/>
    <cellStyle name="Output 2 4 2 5 6 5" xfId="29944"/>
    <cellStyle name="Output 2 4 2 5 6 6" xfId="29945"/>
    <cellStyle name="Output 2 4 2 5 6 7" xfId="29946"/>
    <cellStyle name="Output 2 4 2 5 7" xfId="29947"/>
    <cellStyle name="Output 2 4 2 5 7 2" xfId="29948"/>
    <cellStyle name="Output 2 4 2 5 7 3" xfId="29949"/>
    <cellStyle name="Output 2 4 2 5 7 4" xfId="29950"/>
    <cellStyle name="Output 2 4 2 5 8" xfId="29951"/>
    <cellStyle name="Output 2 4 2 5 8 2" xfId="29952"/>
    <cellStyle name="Output 2 4 2 5 8 3" xfId="29953"/>
    <cellStyle name="Output 2 4 2 5 8 4" xfId="29954"/>
    <cellStyle name="Output 2 4 2 5 9" xfId="29955"/>
    <cellStyle name="Output 2 4 2 5 9 2" xfId="29956"/>
    <cellStyle name="Output 2 4 2 5 9 3" xfId="29957"/>
    <cellStyle name="Output 2 4 2 5 9 4" xfId="29958"/>
    <cellStyle name="Output 2 4 2 6" xfId="29959"/>
    <cellStyle name="Output 2 4 2 6 2" xfId="29960"/>
    <cellStyle name="Output 2 4 2 6 2 2" xfId="29961"/>
    <cellStyle name="Output 2 4 2 6 2 3" xfId="29962"/>
    <cellStyle name="Output 2 4 2 6 2 4" xfId="29963"/>
    <cellStyle name="Output 2 4 2 6 3" xfId="29964"/>
    <cellStyle name="Output 2 4 2 6 3 2" xfId="29965"/>
    <cellStyle name="Output 2 4 2 6 3 3" xfId="29966"/>
    <cellStyle name="Output 2 4 2 6 3 4" xfId="29967"/>
    <cellStyle name="Output 2 4 2 6 4" xfId="29968"/>
    <cellStyle name="Output 2 4 2 6 4 2" xfId="29969"/>
    <cellStyle name="Output 2 4 2 6 4 3" xfId="29970"/>
    <cellStyle name="Output 2 4 2 6 4 4" xfId="29971"/>
    <cellStyle name="Output 2 4 2 6 5" xfId="29972"/>
    <cellStyle name="Output 2 4 2 6 6" xfId="29973"/>
    <cellStyle name="Output 2 4 2 6 7" xfId="29974"/>
    <cellStyle name="Output 2 4 2 7" xfId="29975"/>
    <cellStyle name="Output 2 4 2 7 2" xfId="29976"/>
    <cellStyle name="Output 2 4 2 7 2 2" xfId="29977"/>
    <cellStyle name="Output 2 4 2 7 2 3" xfId="29978"/>
    <cellStyle name="Output 2 4 2 7 2 4" xfId="29979"/>
    <cellStyle name="Output 2 4 2 7 3" xfId="29980"/>
    <cellStyle name="Output 2 4 2 7 3 2" xfId="29981"/>
    <cellStyle name="Output 2 4 2 7 3 3" xfId="29982"/>
    <cellStyle name="Output 2 4 2 7 3 4" xfId="29983"/>
    <cellStyle name="Output 2 4 2 7 4" xfId="29984"/>
    <cellStyle name="Output 2 4 2 7 4 2" xfId="29985"/>
    <cellStyle name="Output 2 4 2 7 4 3" xfId="29986"/>
    <cellStyle name="Output 2 4 2 7 4 4" xfId="29987"/>
    <cellStyle name="Output 2 4 2 7 5" xfId="29988"/>
    <cellStyle name="Output 2 4 2 7 6" xfId="29989"/>
    <cellStyle name="Output 2 4 2 7 7" xfId="29990"/>
    <cellStyle name="Output 2 4 2 8" xfId="29991"/>
    <cellStyle name="Output 2 4 2 8 2" xfId="29992"/>
    <cellStyle name="Output 2 4 2 8 2 2" xfId="29993"/>
    <cellStyle name="Output 2 4 2 8 2 3" xfId="29994"/>
    <cellStyle name="Output 2 4 2 8 2 4" xfId="29995"/>
    <cellStyle name="Output 2 4 2 8 3" xfId="29996"/>
    <cellStyle name="Output 2 4 2 8 3 2" xfId="29997"/>
    <cellStyle name="Output 2 4 2 8 3 3" xfId="29998"/>
    <cellStyle name="Output 2 4 2 8 3 4" xfId="29999"/>
    <cellStyle name="Output 2 4 2 8 4" xfId="30000"/>
    <cellStyle name="Output 2 4 2 8 4 2" xfId="30001"/>
    <cellStyle name="Output 2 4 2 8 4 3" xfId="30002"/>
    <cellStyle name="Output 2 4 2 8 4 4" xfId="30003"/>
    <cellStyle name="Output 2 4 2 8 5" xfId="30004"/>
    <cellStyle name="Output 2 4 2 8 6" xfId="30005"/>
    <cellStyle name="Output 2 4 2 8 7" xfId="30006"/>
    <cellStyle name="Output 2 4 2 9" xfId="30007"/>
    <cellStyle name="Output 2 4 2 9 2" xfId="30008"/>
    <cellStyle name="Output 2 4 2 9 2 2" xfId="30009"/>
    <cellStyle name="Output 2 4 2 9 2 3" xfId="30010"/>
    <cellStyle name="Output 2 4 2 9 2 4" xfId="30011"/>
    <cellStyle name="Output 2 4 2 9 3" xfId="30012"/>
    <cellStyle name="Output 2 4 2 9 3 2" xfId="30013"/>
    <cellStyle name="Output 2 4 2 9 3 3" xfId="30014"/>
    <cellStyle name="Output 2 4 2 9 3 4" xfId="30015"/>
    <cellStyle name="Output 2 4 2 9 4" xfId="30016"/>
    <cellStyle name="Output 2 4 2 9 4 2" xfId="30017"/>
    <cellStyle name="Output 2 4 2 9 4 3" xfId="30018"/>
    <cellStyle name="Output 2 4 2 9 4 4" xfId="30019"/>
    <cellStyle name="Output 2 4 2 9 5" xfId="30020"/>
    <cellStyle name="Output 2 4 2 9 6" xfId="30021"/>
    <cellStyle name="Output 2 4 2 9 7" xfId="30022"/>
    <cellStyle name="Output 2 4 3" xfId="1083"/>
    <cellStyle name="Output 2 4 3 10" xfId="30023"/>
    <cellStyle name="Output 2 4 3 11" xfId="30024"/>
    <cellStyle name="Output 2 4 3 12" xfId="30025"/>
    <cellStyle name="Output 2 4 3 2" xfId="30026"/>
    <cellStyle name="Output 2 4 3 2 2" xfId="30027"/>
    <cellStyle name="Output 2 4 3 2 2 2" xfId="30028"/>
    <cellStyle name="Output 2 4 3 2 2 3" xfId="30029"/>
    <cellStyle name="Output 2 4 3 2 2 4" xfId="30030"/>
    <cellStyle name="Output 2 4 3 2 3" xfId="30031"/>
    <cellStyle name="Output 2 4 3 2 3 2" xfId="30032"/>
    <cellStyle name="Output 2 4 3 2 3 3" xfId="30033"/>
    <cellStyle name="Output 2 4 3 2 3 4" xfId="30034"/>
    <cellStyle name="Output 2 4 3 2 4" xfId="30035"/>
    <cellStyle name="Output 2 4 3 2 4 2" xfId="30036"/>
    <cellStyle name="Output 2 4 3 2 4 3" xfId="30037"/>
    <cellStyle name="Output 2 4 3 2 4 4" xfId="30038"/>
    <cellStyle name="Output 2 4 3 2 5" xfId="30039"/>
    <cellStyle name="Output 2 4 3 2 6" xfId="30040"/>
    <cellStyle name="Output 2 4 3 2 7" xfId="30041"/>
    <cellStyle name="Output 2 4 3 3" xfId="30042"/>
    <cellStyle name="Output 2 4 3 3 2" xfId="30043"/>
    <cellStyle name="Output 2 4 3 3 2 2" xfId="30044"/>
    <cellStyle name="Output 2 4 3 3 2 3" xfId="30045"/>
    <cellStyle name="Output 2 4 3 3 2 4" xfId="30046"/>
    <cellStyle name="Output 2 4 3 3 3" xfId="30047"/>
    <cellStyle name="Output 2 4 3 3 3 2" xfId="30048"/>
    <cellStyle name="Output 2 4 3 3 3 3" xfId="30049"/>
    <cellStyle name="Output 2 4 3 3 3 4" xfId="30050"/>
    <cellStyle name="Output 2 4 3 3 4" xfId="30051"/>
    <cellStyle name="Output 2 4 3 3 4 2" xfId="30052"/>
    <cellStyle name="Output 2 4 3 3 4 3" xfId="30053"/>
    <cellStyle name="Output 2 4 3 3 4 4" xfId="30054"/>
    <cellStyle name="Output 2 4 3 3 5" xfId="30055"/>
    <cellStyle name="Output 2 4 3 3 6" xfId="30056"/>
    <cellStyle name="Output 2 4 3 3 7" xfId="30057"/>
    <cellStyle name="Output 2 4 3 4" xfId="30058"/>
    <cellStyle name="Output 2 4 3 4 2" xfId="30059"/>
    <cellStyle name="Output 2 4 3 4 2 2" xfId="30060"/>
    <cellStyle name="Output 2 4 3 4 2 3" xfId="30061"/>
    <cellStyle name="Output 2 4 3 4 2 4" xfId="30062"/>
    <cellStyle name="Output 2 4 3 4 3" xfId="30063"/>
    <cellStyle name="Output 2 4 3 4 3 2" xfId="30064"/>
    <cellStyle name="Output 2 4 3 4 3 3" xfId="30065"/>
    <cellStyle name="Output 2 4 3 4 3 4" xfId="30066"/>
    <cellStyle name="Output 2 4 3 4 4" xfId="30067"/>
    <cellStyle name="Output 2 4 3 4 4 2" xfId="30068"/>
    <cellStyle name="Output 2 4 3 4 4 3" xfId="30069"/>
    <cellStyle name="Output 2 4 3 4 4 4" xfId="30070"/>
    <cellStyle name="Output 2 4 3 4 5" xfId="30071"/>
    <cellStyle name="Output 2 4 3 4 6" xfId="30072"/>
    <cellStyle name="Output 2 4 3 4 7" xfId="30073"/>
    <cellStyle name="Output 2 4 3 5" xfId="30074"/>
    <cellStyle name="Output 2 4 3 5 2" xfId="30075"/>
    <cellStyle name="Output 2 4 3 5 2 2" xfId="30076"/>
    <cellStyle name="Output 2 4 3 5 2 3" xfId="30077"/>
    <cellStyle name="Output 2 4 3 5 2 4" xfId="30078"/>
    <cellStyle name="Output 2 4 3 5 3" xfId="30079"/>
    <cellStyle name="Output 2 4 3 5 3 2" xfId="30080"/>
    <cellStyle name="Output 2 4 3 5 3 3" xfId="30081"/>
    <cellStyle name="Output 2 4 3 5 3 4" xfId="30082"/>
    <cellStyle name="Output 2 4 3 5 4" xfId="30083"/>
    <cellStyle name="Output 2 4 3 5 4 2" xfId="30084"/>
    <cellStyle name="Output 2 4 3 5 4 3" xfId="30085"/>
    <cellStyle name="Output 2 4 3 5 4 4" xfId="30086"/>
    <cellStyle name="Output 2 4 3 5 5" xfId="30087"/>
    <cellStyle name="Output 2 4 3 5 6" xfId="30088"/>
    <cellStyle name="Output 2 4 3 5 7" xfId="30089"/>
    <cellStyle name="Output 2 4 3 6" xfId="30090"/>
    <cellStyle name="Output 2 4 3 6 2" xfId="30091"/>
    <cellStyle name="Output 2 4 3 6 2 2" xfId="30092"/>
    <cellStyle name="Output 2 4 3 6 2 3" xfId="30093"/>
    <cellStyle name="Output 2 4 3 6 2 4" xfId="30094"/>
    <cellStyle name="Output 2 4 3 6 3" xfId="30095"/>
    <cellStyle name="Output 2 4 3 6 3 2" xfId="30096"/>
    <cellStyle name="Output 2 4 3 6 3 3" xfId="30097"/>
    <cellStyle name="Output 2 4 3 6 3 4" xfId="30098"/>
    <cellStyle name="Output 2 4 3 6 4" xfId="30099"/>
    <cellStyle name="Output 2 4 3 6 4 2" xfId="30100"/>
    <cellStyle name="Output 2 4 3 6 4 3" xfId="30101"/>
    <cellStyle name="Output 2 4 3 6 4 4" xfId="30102"/>
    <cellStyle name="Output 2 4 3 6 5" xfId="30103"/>
    <cellStyle name="Output 2 4 3 6 6" xfId="30104"/>
    <cellStyle name="Output 2 4 3 6 7" xfId="30105"/>
    <cellStyle name="Output 2 4 3 7" xfId="30106"/>
    <cellStyle name="Output 2 4 3 7 2" xfId="30107"/>
    <cellStyle name="Output 2 4 3 7 3" xfId="30108"/>
    <cellStyle name="Output 2 4 3 7 4" xfId="30109"/>
    <cellStyle name="Output 2 4 3 8" xfId="30110"/>
    <cellStyle name="Output 2 4 3 8 2" xfId="30111"/>
    <cellStyle name="Output 2 4 3 8 3" xfId="30112"/>
    <cellStyle name="Output 2 4 3 8 4" xfId="30113"/>
    <cellStyle name="Output 2 4 3 9" xfId="30114"/>
    <cellStyle name="Output 2 4 3 9 2" xfId="30115"/>
    <cellStyle name="Output 2 4 3 9 3" xfId="30116"/>
    <cellStyle name="Output 2 4 3 9 4" xfId="30117"/>
    <cellStyle name="Output 2 4 4" xfId="3197"/>
    <cellStyle name="Output 2 4 5" xfId="3155"/>
    <cellStyle name="Output 2 4 6" xfId="3229"/>
    <cellStyle name="Output 2 4 7" xfId="3174"/>
    <cellStyle name="Output 2 5" xfId="139"/>
    <cellStyle name="Output 2 5 2" xfId="635"/>
    <cellStyle name="Output 2 5 2 10" xfId="30118"/>
    <cellStyle name="Output 2 5 2 10 2" xfId="30119"/>
    <cellStyle name="Output 2 5 2 10 2 2" xfId="30120"/>
    <cellStyle name="Output 2 5 2 10 2 3" xfId="30121"/>
    <cellStyle name="Output 2 5 2 10 2 4" xfId="30122"/>
    <cellStyle name="Output 2 5 2 10 3" xfId="30123"/>
    <cellStyle name="Output 2 5 2 10 3 2" xfId="30124"/>
    <cellStyle name="Output 2 5 2 10 3 3" xfId="30125"/>
    <cellStyle name="Output 2 5 2 10 3 4" xfId="30126"/>
    <cellStyle name="Output 2 5 2 10 4" xfId="30127"/>
    <cellStyle name="Output 2 5 2 10 4 2" xfId="30128"/>
    <cellStyle name="Output 2 5 2 10 4 3" xfId="30129"/>
    <cellStyle name="Output 2 5 2 10 4 4" xfId="30130"/>
    <cellStyle name="Output 2 5 2 10 5" xfId="30131"/>
    <cellStyle name="Output 2 5 2 10 6" xfId="30132"/>
    <cellStyle name="Output 2 5 2 10 7" xfId="30133"/>
    <cellStyle name="Output 2 5 2 11" xfId="30134"/>
    <cellStyle name="Output 2 5 2 11 2" xfId="30135"/>
    <cellStyle name="Output 2 5 2 11 2 2" xfId="30136"/>
    <cellStyle name="Output 2 5 2 11 2 3" xfId="30137"/>
    <cellStyle name="Output 2 5 2 11 2 4" xfId="30138"/>
    <cellStyle name="Output 2 5 2 11 3" xfId="30139"/>
    <cellStyle name="Output 2 5 2 11 3 2" xfId="30140"/>
    <cellStyle name="Output 2 5 2 11 3 3" xfId="30141"/>
    <cellStyle name="Output 2 5 2 11 3 4" xfId="30142"/>
    <cellStyle name="Output 2 5 2 11 4" xfId="30143"/>
    <cellStyle name="Output 2 5 2 11 4 2" xfId="30144"/>
    <cellStyle name="Output 2 5 2 11 4 3" xfId="30145"/>
    <cellStyle name="Output 2 5 2 11 4 4" xfId="30146"/>
    <cellStyle name="Output 2 5 2 11 5" xfId="30147"/>
    <cellStyle name="Output 2 5 2 11 6" xfId="30148"/>
    <cellStyle name="Output 2 5 2 11 7" xfId="30149"/>
    <cellStyle name="Output 2 5 2 12" xfId="30150"/>
    <cellStyle name="Output 2 5 2 12 2" xfId="30151"/>
    <cellStyle name="Output 2 5 2 12 2 2" xfId="30152"/>
    <cellStyle name="Output 2 5 2 12 2 3" xfId="30153"/>
    <cellStyle name="Output 2 5 2 12 2 4" xfId="30154"/>
    <cellStyle name="Output 2 5 2 12 3" xfId="30155"/>
    <cellStyle name="Output 2 5 2 12 3 2" xfId="30156"/>
    <cellStyle name="Output 2 5 2 12 3 3" xfId="30157"/>
    <cellStyle name="Output 2 5 2 12 3 4" xfId="30158"/>
    <cellStyle name="Output 2 5 2 12 4" xfId="30159"/>
    <cellStyle name="Output 2 5 2 12 4 2" xfId="30160"/>
    <cellStyle name="Output 2 5 2 12 4 3" xfId="30161"/>
    <cellStyle name="Output 2 5 2 12 4 4" xfId="30162"/>
    <cellStyle name="Output 2 5 2 12 5" xfId="30163"/>
    <cellStyle name="Output 2 5 2 12 6" xfId="30164"/>
    <cellStyle name="Output 2 5 2 12 7" xfId="30165"/>
    <cellStyle name="Output 2 5 2 13" xfId="30166"/>
    <cellStyle name="Output 2 5 2 13 2" xfId="30167"/>
    <cellStyle name="Output 2 5 2 13 2 2" xfId="30168"/>
    <cellStyle name="Output 2 5 2 13 2 3" xfId="30169"/>
    <cellStyle name="Output 2 5 2 13 2 4" xfId="30170"/>
    <cellStyle name="Output 2 5 2 13 3" xfId="30171"/>
    <cellStyle name="Output 2 5 2 13 3 2" xfId="30172"/>
    <cellStyle name="Output 2 5 2 13 3 3" xfId="30173"/>
    <cellStyle name="Output 2 5 2 13 3 4" xfId="30174"/>
    <cellStyle name="Output 2 5 2 13 4" xfId="30175"/>
    <cellStyle name="Output 2 5 2 13 4 2" xfId="30176"/>
    <cellStyle name="Output 2 5 2 13 4 3" xfId="30177"/>
    <cellStyle name="Output 2 5 2 13 4 4" xfId="30178"/>
    <cellStyle name="Output 2 5 2 13 5" xfId="30179"/>
    <cellStyle name="Output 2 5 2 13 6" xfId="30180"/>
    <cellStyle name="Output 2 5 2 13 7" xfId="30181"/>
    <cellStyle name="Output 2 5 2 14" xfId="30182"/>
    <cellStyle name="Output 2 5 2 14 2" xfId="30183"/>
    <cellStyle name="Output 2 5 2 14 3" xfId="30184"/>
    <cellStyle name="Output 2 5 2 14 4" xfId="30185"/>
    <cellStyle name="Output 2 5 2 15" xfId="30186"/>
    <cellStyle name="Output 2 5 2 15 2" xfId="30187"/>
    <cellStyle name="Output 2 5 2 15 3" xfId="30188"/>
    <cellStyle name="Output 2 5 2 15 4" xfId="30189"/>
    <cellStyle name="Output 2 5 2 16" xfId="30190"/>
    <cellStyle name="Output 2 5 2 16 2" xfId="30191"/>
    <cellStyle name="Output 2 5 2 16 3" xfId="30192"/>
    <cellStyle name="Output 2 5 2 16 4" xfId="30193"/>
    <cellStyle name="Output 2 5 2 17" xfId="30194"/>
    <cellStyle name="Output 2 5 2 18" xfId="30195"/>
    <cellStyle name="Output 2 5 2 19" xfId="30196"/>
    <cellStyle name="Output 2 5 2 2" xfId="895"/>
    <cellStyle name="Output 2 5 2 2 10" xfId="30197"/>
    <cellStyle name="Output 2 5 2 2 11" xfId="30198"/>
    <cellStyle name="Output 2 5 2 2 12" xfId="30199"/>
    <cellStyle name="Output 2 5 2 2 2" xfId="30200"/>
    <cellStyle name="Output 2 5 2 2 2 2" xfId="30201"/>
    <cellStyle name="Output 2 5 2 2 2 2 2" xfId="30202"/>
    <cellStyle name="Output 2 5 2 2 2 2 3" xfId="30203"/>
    <cellStyle name="Output 2 5 2 2 2 2 4" xfId="30204"/>
    <cellStyle name="Output 2 5 2 2 2 3" xfId="30205"/>
    <cellStyle name="Output 2 5 2 2 2 3 2" xfId="30206"/>
    <cellStyle name="Output 2 5 2 2 2 3 3" xfId="30207"/>
    <cellStyle name="Output 2 5 2 2 2 3 4" xfId="30208"/>
    <cellStyle name="Output 2 5 2 2 2 4" xfId="30209"/>
    <cellStyle name="Output 2 5 2 2 2 4 2" xfId="30210"/>
    <cellStyle name="Output 2 5 2 2 2 4 3" xfId="30211"/>
    <cellStyle name="Output 2 5 2 2 2 4 4" xfId="30212"/>
    <cellStyle name="Output 2 5 2 2 2 5" xfId="30213"/>
    <cellStyle name="Output 2 5 2 2 2 6" xfId="30214"/>
    <cellStyle name="Output 2 5 2 2 2 7" xfId="30215"/>
    <cellStyle name="Output 2 5 2 2 3" xfId="30216"/>
    <cellStyle name="Output 2 5 2 2 3 2" xfId="30217"/>
    <cellStyle name="Output 2 5 2 2 3 2 2" xfId="30218"/>
    <cellStyle name="Output 2 5 2 2 3 2 3" xfId="30219"/>
    <cellStyle name="Output 2 5 2 2 3 2 4" xfId="30220"/>
    <cellStyle name="Output 2 5 2 2 3 3" xfId="30221"/>
    <cellStyle name="Output 2 5 2 2 3 3 2" xfId="30222"/>
    <cellStyle name="Output 2 5 2 2 3 3 3" xfId="30223"/>
    <cellStyle name="Output 2 5 2 2 3 3 4" xfId="30224"/>
    <cellStyle name="Output 2 5 2 2 3 4" xfId="30225"/>
    <cellStyle name="Output 2 5 2 2 3 4 2" xfId="30226"/>
    <cellStyle name="Output 2 5 2 2 3 4 3" xfId="30227"/>
    <cellStyle name="Output 2 5 2 2 3 4 4" xfId="30228"/>
    <cellStyle name="Output 2 5 2 2 3 5" xfId="30229"/>
    <cellStyle name="Output 2 5 2 2 3 6" xfId="30230"/>
    <cellStyle name="Output 2 5 2 2 3 7" xfId="30231"/>
    <cellStyle name="Output 2 5 2 2 4" xfId="30232"/>
    <cellStyle name="Output 2 5 2 2 4 2" xfId="30233"/>
    <cellStyle name="Output 2 5 2 2 4 2 2" xfId="30234"/>
    <cellStyle name="Output 2 5 2 2 4 2 3" xfId="30235"/>
    <cellStyle name="Output 2 5 2 2 4 2 4" xfId="30236"/>
    <cellStyle name="Output 2 5 2 2 4 3" xfId="30237"/>
    <cellStyle name="Output 2 5 2 2 4 3 2" xfId="30238"/>
    <cellStyle name="Output 2 5 2 2 4 3 3" xfId="30239"/>
    <cellStyle name="Output 2 5 2 2 4 3 4" xfId="30240"/>
    <cellStyle name="Output 2 5 2 2 4 4" xfId="30241"/>
    <cellStyle name="Output 2 5 2 2 4 4 2" xfId="30242"/>
    <cellStyle name="Output 2 5 2 2 4 4 3" xfId="30243"/>
    <cellStyle name="Output 2 5 2 2 4 4 4" xfId="30244"/>
    <cellStyle name="Output 2 5 2 2 4 5" xfId="30245"/>
    <cellStyle name="Output 2 5 2 2 4 6" xfId="30246"/>
    <cellStyle name="Output 2 5 2 2 4 7" xfId="30247"/>
    <cellStyle name="Output 2 5 2 2 5" xfId="30248"/>
    <cellStyle name="Output 2 5 2 2 5 2" xfId="30249"/>
    <cellStyle name="Output 2 5 2 2 5 2 2" xfId="30250"/>
    <cellStyle name="Output 2 5 2 2 5 2 3" xfId="30251"/>
    <cellStyle name="Output 2 5 2 2 5 2 4" xfId="30252"/>
    <cellStyle name="Output 2 5 2 2 5 3" xfId="30253"/>
    <cellStyle name="Output 2 5 2 2 5 3 2" xfId="30254"/>
    <cellStyle name="Output 2 5 2 2 5 3 3" xfId="30255"/>
    <cellStyle name="Output 2 5 2 2 5 3 4" xfId="30256"/>
    <cellStyle name="Output 2 5 2 2 5 4" xfId="30257"/>
    <cellStyle name="Output 2 5 2 2 5 4 2" xfId="30258"/>
    <cellStyle name="Output 2 5 2 2 5 4 3" xfId="30259"/>
    <cellStyle name="Output 2 5 2 2 5 4 4" xfId="30260"/>
    <cellStyle name="Output 2 5 2 2 5 5" xfId="30261"/>
    <cellStyle name="Output 2 5 2 2 5 6" xfId="30262"/>
    <cellStyle name="Output 2 5 2 2 5 7" xfId="30263"/>
    <cellStyle name="Output 2 5 2 2 6" xfId="30264"/>
    <cellStyle name="Output 2 5 2 2 6 2" xfId="30265"/>
    <cellStyle name="Output 2 5 2 2 6 2 2" xfId="30266"/>
    <cellStyle name="Output 2 5 2 2 6 2 3" xfId="30267"/>
    <cellStyle name="Output 2 5 2 2 6 2 4" xfId="30268"/>
    <cellStyle name="Output 2 5 2 2 6 3" xfId="30269"/>
    <cellStyle name="Output 2 5 2 2 6 3 2" xfId="30270"/>
    <cellStyle name="Output 2 5 2 2 6 3 3" xfId="30271"/>
    <cellStyle name="Output 2 5 2 2 6 3 4" xfId="30272"/>
    <cellStyle name="Output 2 5 2 2 6 4" xfId="30273"/>
    <cellStyle name="Output 2 5 2 2 6 4 2" xfId="30274"/>
    <cellStyle name="Output 2 5 2 2 6 4 3" xfId="30275"/>
    <cellStyle name="Output 2 5 2 2 6 4 4" xfId="30276"/>
    <cellStyle name="Output 2 5 2 2 6 5" xfId="30277"/>
    <cellStyle name="Output 2 5 2 2 6 6" xfId="30278"/>
    <cellStyle name="Output 2 5 2 2 6 7" xfId="30279"/>
    <cellStyle name="Output 2 5 2 2 7" xfId="30280"/>
    <cellStyle name="Output 2 5 2 2 7 2" xfId="30281"/>
    <cellStyle name="Output 2 5 2 2 7 3" xfId="30282"/>
    <cellStyle name="Output 2 5 2 2 7 4" xfId="30283"/>
    <cellStyle name="Output 2 5 2 2 8" xfId="30284"/>
    <cellStyle name="Output 2 5 2 2 8 2" xfId="30285"/>
    <cellStyle name="Output 2 5 2 2 8 3" xfId="30286"/>
    <cellStyle name="Output 2 5 2 2 8 4" xfId="30287"/>
    <cellStyle name="Output 2 5 2 2 9" xfId="30288"/>
    <cellStyle name="Output 2 5 2 2 9 2" xfId="30289"/>
    <cellStyle name="Output 2 5 2 2 9 3" xfId="30290"/>
    <cellStyle name="Output 2 5 2 2 9 4" xfId="30291"/>
    <cellStyle name="Output 2 5 2 3" xfId="928"/>
    <cellStyle name="Output 2 5 2 3 10" xfId="30292"/>
    <cellStyle name="Output 2 5 2 3 11" xfId="30293"/>
    <cellStyle name="Output 2 5 2 3 12" xfId="30294"/>
    <cellStyle name="Output 2 5 2 3 2" xfId="30295"/>
    <cellStyle name="Output 2 5 2 3 2 2" xfId="30296"/>
    <cellStyle name="Output 2 5 2 3 2 2 2" xfId="30297"/>
    <cellStyle name="Output 2 5 2 3 2 2 3" xfId="30298"/>
    <cellStyle name="Output 2 5 2 3 2 2 4" xfId="30299"/>
    <cellStyle name="Output 2 5 2 3 2 3" xfId="30300"/>
    <cellStyle name="Output 2 5 2 3 2 3 2" xfId="30301"/>
    <cellStyle name="Output 2 5 2 3 2 3 3" xfId="30302"/>
    <cellStyle name="Output 2 5 2 3 2 3 4" xfId="30303"/>
    <cellStyle name="Output 2 5 2 3 2 4" xfId="30304"/>
    <cellStyle name="Output 2 5 2 3 2 4 2" xfId="30305"/>
    <cellStyle name="Output 2 5 2 3 2 4 3" xfId="30306"/>
    <cellStyle name="Output 2 5 2 3 2 4 4" xfId="30307"/>
    <cellStyle name="Output 2 5 2 3 2 5" xfId="30308"/>
    <cellStyle name="Output 2 5 2 3 2 6" xfId="30309"/>
    <cellStyle name="Output 2 5 2 3 2 7" xfId="30310"/>
    <cellStyle name="Output 2 5 2 3 3" xfId="30311"/>
    <cellStyle name="Output 2 5 2 3 3 2" xfId="30312"/>
    <cellStyle name="Output 2 5 2 3 3 2 2" xfId="30313"/>
    <cellStyle name="Output 2 5 2 3 3 2 3" xfId="30314"/>
    <cellStyle name="Output 2 5 2 3 3 2 4" xfId="30315"/>
    <cellStyle name="Output 2 5 2 3 3 3" xfId="30316"/>
    <cellStyle name="Output 2 5 2 3 3 3 2" xfId="30317"/>
    <cellStyle name="Output 2 5 2 3 3 3 3" xfId="30318"/>
    <cellStyle name="Output 2 5 2 3 3 3 4" xfId="30319"/>
    <cellStyle name="Output 2 5 2 3 3 4" xfId="30320"/>
    <cellStyle name="Output 2 5 2 3 3 4 2" xfId="30321"/>
    <cellStyle name="Output 2 5 2 3 3 4 3" xfId="30322"/>
    <cellStyle name="Output 2 5 2 3 3 4 4" xfId="30323"/>
    <cellStyle name="Output 2 5 2 3 3 5" xfId="30324"/>
    <cellStyle name="Output 2 5 2 3 3 6" xfId="30325"/>
    <cellStyle name="Output 2 5 2 3 3 7" xfId="30326"/>
    <cellStyle name="Output 2 5 2 3 4" xfId="30327"/>
    <cellStyle name="Output 2 5 2 3 4 2" xfId="30328"/>
    <cellStyle name="Output 2 5 2 3 4 2 2" xfId="30329"/>
    <cellStyle name="Output 2 5 2 3 4 2 3" xfId="30330"/>
    <cellStyle name="Output 2 5 2 3 4 2 4" xfId="30331"/>
    <cellStyle name="Output 2 5 2 3 4 3" xfId="30332"/>
    <cellStyle name="Output 2 5 2 3 4 3 2" xfId="30333"/>
    <cellStyle name="Output 2 5 2 3 4 3 3" xfId="30334"/>
    <cellStyle name="Output 2 5 2 3 4 3 4" xfId="30335"/>
    <cellStyle name="Output 2 5 2 3 4 4" xfId="30336"/>
    <cellStyle name="Output 2 5 2 3 4 4 2" xfId="30337"/>
    <cellStyle name="Output 2 5 2 3 4 4 3" xfId="30338"/>
    <cellStyle name="Output 2 5 2 3 4 4 4" xfId="30339"/>
    <cellStyle name="Output 2 5 2 3 4 5" xfId="30340"/>
    <cellStyle name="Output 2 5 2 3 4 6" xfId="30341"/>
    <cellStyle name="Output 2 5 2 3 4 7" xfId="30342"/>
    <cellStyle name="Output 2 5 2 3 5" xfId="30343"/>
    <cellStyle name="Output 2 5 2 3 5 2" xfId="30344"/>
    <cellStyle name="Output 2 5 2 3 5 2 2" xfId="30345"/>
    <cellStyle name="Output 2 5 2 3 5 2 3" xfId="30346"/>
    <cellStyle name="Output 2 5 2 3 5 2 4" xfId="30347"/>
    <cellStyle name="Output 2 5 2 3 5 3" xfId="30348"/>
    <cellStyle name="Output 2 5 2 3 5 3 2" xfId="30349"/>
    <cellStyle name="Output 2 5 2 3 5 3 3" xfId="30350"/>
    <cellStyle name="Output 2 5 2 3 5 3 4" xfId="30351"/>
    <cellStyle name="Output 2 5 2 3 5 4" xfId="30352"/>
    <cellStyle name="Output 2 5 2 3 5 4 2" xfId="30353"/>
    <cellStyle name="Output 2 5 2 3 5 4 3" xfId="30354"/>
    <cellStyle name="Output 2 5 2 3 5 4 4" xfId="30355"/>
    <cellStyle name="Output 2 5 2 3 5 5" xfId="30356"/>
    <cellStyle name="Output 2 5 2 3 5 6" xfId="30357"/>
    <cellStyle name="Output 2 5 2 3 5 7" xfId="30358"/>
    <cellStyle name="Output 2 5 2 3 6" xfId="30359"/>
    <cellStyle name="Output 2 5 2 3 6 2" xfId="30360"/>
    <cellStyle name="Output 2 5 2 3 6 2 2" xfId="30361"/>
    <cellStyle name="Output 2 5 2 3 6 2 3" xfId="30362"/>
    <cellStyle name="Output 2 5 2 3 6 2 4" xfId="30363"/>
    <cellStyle name="Output 2 5 2 3 6 3" xfId="30364"/>
    <cellStyle name="Output 2 5 2 3 6 3 2" xfId="30365"/>
    <cellStyle name="Output 2 5 2 3 6 3 3" xfId="30366"/>
    <cellStyle name="Output 2 5 2 3 6 3 4" xfId="30367"/>
    <cellStyle name="Output 2 5 2 3 6 4" xfId="30368"/>
    <cellStyle name="Output 2 5 2 3 6 4 2" xfId="30369"/>
    <cellStyle name="Output 2 5 2 3 6 4 3" xfId="30370"/>
    <cellStyle name="Output 2 5 2 3 6 4 4" xfId="30371"/>
    <cellStyle name="Output 2 5 2 3 6 5" xfId="30372"/>
    <cellStyle name="Output 2 5 2 3 6 6" xfId="30373"/>
    <cellStyle name="Output 2 5 2 3 6 7" xfId="30374"/>
    <cellStyle name="Output 2 5 2 3 7" xfId="30375"/>
    <cellStyle name="Output 2 5 2 3 7 2" xfId="30376"/>
    <cellStyle name="Output 2 5 2 3 7 3" xfId="30377"/>
    <cellStyle name="Output 2 5 2 3 7 4" xfId="30378"/>
    <cellStyle name="Output 2 5 2 3 8" xfId="30379"/>
    <cellStyle name="Output 2 5 2 3 8 2" xfId="30380"/>
    <cellStyle name="Output 2 5 2 3 8 3" xfId="30381"/>
    <cellStyle name="Output 2 5 2 3 8 4" xfId="30382"/>
    <cellStyle name="Output 2 5 2 3 9" xfId="30383"/>
    <cellStyle name="Output 2 5 2 3 9 2" xfId="30384"/>
    <cellStyle name="Output 2 5 2 3 9 3" xfId="30385"/>
    <cellStyle name="Output 2 5 2 3 9 4" xfId="30386"/>
    <cellStyle name="Output 2 5 2 4" xfId="964"/>
    <cellStyle name="Output 2 5 2 4 10" xfId="30387"/>
    <cellStyle name="Output 2 5 2 4 11" xfId="30388"/>
    <cellStyle name="Output 2 5 2 4 12" xfId="30389"/>
    <cellStyle name="Output 2 5 2 4 2" xfId="30390"/>
    <cellStyle name="Output 2 5 2 4 2 2" xfId="30391"/>
    <cellStyle name="Output 2 5 2 4 2 2 2" xfId="30392"/>
    <cellStyle name="Output 2 5 2 4 2 2 3" xfId="30393"/>
    <cellStyle name="Output 2 5 2 4 2 2 4" xfId="30394"/>
    <cellStyle name="Output 2 5 2 4 2 3" xfId="30395"/>
    <cellStyle name="Output 2 5 2 4 2 3 2" xfId="30396"/>
    <cellStyle name="Output 2 5 2 4 2 3 3" xfId="30397"/>
    <cellStyle name="Output 2 5 2 4 2 3 4" xfId="30398"/>
    <cellStyle name="Output 2 5 2 4 2 4" xfId="30399"/>
    <cellStyle name="Output 2 5 2 4 2 4 2" xfId="30400"/>
    <cellStyle name="Output 2 5 2 4 2 4 3" xfId="30401"/>
    <cellStyle name="Output 2 5 2 4 2 4 4" xfId="30402"/>
    <cellStyle name="Output 2 5 2 4 2 5" xfId="30403"/>
    <cellStyle name="Output 2 5 2 4 2 6" xfId="30404"/>
    <cellStyle name="Output 2 5 2 4 2 7" xfId="30405"/>
    <cellStyle name="Output 2 5 2 4 3" xfId="30406"/>
    <cellStyle name="Output 2 5 2 4 3 2" xfId="30407"/>
    <cellStyle name="Output 2 5 2 4 3 2 2" xfId="30408"/>
    <cellStyle name="Output 2 5 2 4 3 2 3" xfId="30409"/>
    <cellStyle name="Output 2 5 2 4 3 2 4" xfId="30410"/>
    <cellStyle name="Output 2 5 2 4 3 3" xfId="30411"/>
    <cellStyle name="Output 2 5 2 4 3 3 2" xfId="30412"/>
    <cellStyle name="Output 2 5 2 4 3 3 3" xfId="30413"/>
    <cellStyle name="Output 2 5 2 4 3 3 4" xfId="30414"/>
    <cellStyle name="Output 2 5 2 4 3 4" xfId="30415"/>
    <cellStyle name="Output 2 5 2 4 3 4 2" xfId="30416"/>
    <cellStyle name="Output 2 5 2 4 3 4 3" xfId="30417"/>
    <cellStyle name="Output 2 5 2 4 3 4 4" xfId="30418"/>
    <cellStyle name="Output 2 5 2 4 3 5" xfId="30419"/>
    <cellStyle name="Output 2 5 2 4 3 6" xfId="30420"/>
    <cellStyle name="Output 2 5 2 4 3 7" xfId="30421"/>
    <cellStyle name="Output 2 5 2 4 4" xfId="30422"/>
    <cellStyle name="Output 2 5 2 4 4 2" xfId="30423"/>
    <cellStyle name="Output 2 5 2 4 4 2 2" xfId="30424"/>
    <cellStyle name="Output 2 5 2 4 4 2 3" xfId="30425"/>
    <cellStyle name="Output 2 5 2 4 4 2 4" xfId="30426"/>
    <cellStyle name="Output 2 5 2 4 4 3" xfId="30427"/>
    <cellStyle name="Output 2 5 2 4 4 3 2" xfId="30428"/>
    <cellStyle name="Output 2 5 2 4 4 3 3" xfId="30429"/>
    <cellStyle name="Output 2 5 2 4 4 3 4" xfId="30430"/>
    <cellStyle name="Output 2 5 2 4 4 4" xfId="30431"/>
    <cellStyle name="Output 2 5 2 4 4 4 2" xfId="30432"/>
    <cellStyle name="Output 2 5 2 4 4 4 3" xfId="30433"/>
    <cellStyle name="Output 2 5 2 4 4 4 4" xfId="30434"/>
    <cellStyle name="Output 2 5 2 4 4 5" xfId="30435"/>
    <cellStyle name="Output 2 5 2 4 4 6" xfId="30436"/>
    <cellStyle name="Output 2 5 2 4 4 7" xfId="30437"/>
    <cellStyle name="Output 2 5 2 4 5" xfId="30438"/>
    <cellStyle name="Output 2 5 2 4 5 2" xfId="30439"/>
    <cellStyle name="Output 2 5 2 4 5 2 2" xfId="30440"/>
    <cellStyle name="Output 2 5 2 4 5 2 3" xfId="30441"/>
    <cellStyle name="Output 2 5 2 4 5 2 4" xfId="30442"/>
    <cellStyle name="Output 2 5 2 4 5 3" xfId="30443"/>
    <cellStyle name="Output 2 5 2 4 5 3 2" xfId="30444"/>
    <cellStyle name="Output 2 5 2 4 5 3 3" xfId="30445"/>
    <cellStyle name="Output 2 5 2 4 5 3 4" xfId="30446"/>
    <cellStyle name="Output 2 5 2 4 5 4" xfId="30447"/>
    <cellStyle name="Output 2 5 2 4 5 4 2" xfId="30448"/>
    <cellStyle name="Output 2 5 2 4 5 4 3" xfId="30449"/>
    <cellStyle name="Output 2 5 2 4 5 4 4" xfId="30450"/>
    <cellStyle name="Output 2 5 2 4 5 5" xfId="30451"/>
    <cellStyle name="Output 2 5 2 4 5 6" xfId="30452"/>
    <cellStyle name="Output 2 5 2 4 5 7" xfId="30453"/>
    <cellStyle name="Output 2 5 2 4 6" xfId="30454"/>
    <cellStyle name="Output 2 5 2 4 6 2" xfId="30455"/>
    <cellStyle name="Output 2 5 2 4 6 2 2" xfId="30456"/>
    <cellStyle name="Output 2 5 2 4 6 2 3" xfId="30457"/>
    <cellStyle name="Output 2 5 2 4 6 2 4" xfId="30458"/>
    <cellStyle name="Output 2 5 2 4 6 3" xfId="30459"/>
    <cellStyle name="Output 2 5 2 4 6 3 2" xfId="30460"/>
    <cellStyle name="Output 2 5 2 4 6 3 3" xfId="30461"/>
    <cellStyle name="Output 2 5 2 4 6 3 4" xfId="30462"/>
    <cellStyle name="Output 2 5 2 4 6 4" xfId="30463"/>
    <cellStyle name="Output 2 5 2 4 6 4 2" xfId="30464"/>
    <cellStyle name="Output 2 5 2 4 6 4 3" xfId="30465"/>
    <cellStyle name="Output 2 5 2 4 6 4 4" xfId="30466"/>
    <cellStyle name="Output 2 5 2 4 6 5" xfId="30467"/>
    <cellStyle name="Output 2 5 2 4 6 6" xfId="30468"/>
    <cellStyle name="Output 2 5 2 4 6 7" xfId="30469"/>
    <cellStyle name="Output 2 5 2 4 7" xfId="30470"/>
    <cellStyle name="Output 2 5 2 4 7 2" xfId="30471"/>
    <cellStyle name="Output 2 5 2 4 7 3" xfId="30472"/>
    <cellStyle name="Output 2 5 2 4 7 4" xfId="30473"/>
    <cellStyle name="Output 2 5 2 4 8" xfId="30474"/>
    <cellStyle name="Output 2 5 2 4 8 2" xfId="30475"/>
    <cellStyle name="Output 2 5 2 4 8 3" xfId="30476"/>
    <cellStyle name="Output 2 5 2 4 8 4" xfId="30477"/>
    <cellStyle name="Output 2 5 2 4 9" xfId="30478"/>
    <cellStyle name="Output 2 5 2 4 9 2" xfId="30479"/>
    <cellStyle name="Output 2 5 2 4 9 3" xfId="30480"/>
    <cellStyle name="Output 2 5 2 4 9 4" xfId="30481"/>
    <cellStyle name="Output 2 5 2 5" xfId="30482"/>
    <cellStyle name="Output 2 5 2 5 10" xfId="30483"/>
    <cellStyle name="Output 2 5 2 5 11" xfId="30484"/>
    <cellStyle name="Output 2 5 2 5 12" xfId="30485"/>
    <cellStyle name="Output 2 5 2 5 2" xfId="30486"/>
    <cellStyle name="Output 2 5 2 5 2 2" xfId="30487"/>
    <cellStyle name="Output 2 5 2 5 2 2 2" xfId="30488"/>
    <cellStyle name="Output 2 5 2 5 2 2 3" xfId="30489"/>
    <cellStyle name="Output 2 5 2 5 2 2 4" xfId="30490"/>
    <cellStyle name="Output 2 5 2 5 2 3" xfId="30491"/>
    <cellStyle name="Output 2 5 2 5 2 3 2" xfId="30492"/>
    <cellStyle name="Output 2 5 2 5 2 3 3" xfId="30493"/>
    <cellStyle name="Output 2 5 2 5 2 3 4" xfId="30494"/>
    <cellStyle name="Output 2 5 2 5 2 4" xfId="30495"/>
    <cellStyle name="Output 2 5 2 5 2 4 2" xfId="30496"/>
    <cellStyle name="Output 2 5 2 5 2 4 3" xfId="30497"/>
    <cellStyle name="Output 2 5 2 5 2 4 4" xfId="30498"/>
    <cellStyle name="Output 2 5 2 5 2 5" xfId="30499"/>
    <cellStyle name="Output 2 5 2 5 2 6" xfId="30500"/>
    <cellStyle name="Output 2 5 2 5 2 7" xfId="30501"/>
    <cellStyle name="Output 2 5 2 5 3" xfId="30502"/>
    <cellStyle name="Output 2 5 2 5 3 2" xfId="30503"/>
    <cellStyle name="Output 2 5 2 5 3 2 2" xfId="30504"/>
    <cellStyle name="Output 2 5 2 5 3 2 3" xfId="30505"/>
    <cellStyle name="Output 2 5 2 5 3 2 4" xfId="30506"/>
    <cellStyle name="Output 2 5 2 5 3 3" xfId="30507"/>
    <cellStyle name="Output 2 5 2 5 3 3 2" xfId="30508"/>
    <cellStyle name="Output 2 5 2 5 3 3 3" xfId="30509"/>
    <cellStyle name="Output 2 5 2 5 3 3 4" xfId="30510"/>
    <cellStyle name="Output 2 5 2 5 3 4" xfId="30511"/>
    <cellStyle name="Output 2 5 2 5 3 4 2" xfId="30512"/>
    <cellStyle name="Output 2 5 2 5 3 4 3" xfId="30513"/>
    <cellStyle name="Output 2 5 2 5 3 4 4" xfId="30514"/>
    <cellStyle name="Output 2 5 2 5 3 5" xfId="30515"/>
    <cellStyle name="Output 2 5 2 5 3 6" xfId="30516"/>
    <cellStyle name="Output 2 5 2 5 3 7" xfId="30517"/>
    <cellStyle name="Output 2 5 2 5 4" xfId="30518"/>
    <cellStyle name="Output 2 5 2 5 4 2" xfId="30519"/>
    <cellStyle name="Output 2 5 2 5 4 2 2" xfId="30520"/>
    <cellStyle name="Output 2 5 2 5 4 2 3" xfId="30521"/>
    <cellStyle name="Output 2 5 2 5 4 2 4" xfId="30522"/>
    <cellStyle name="Output 2 5 2 5 4 3" xfId="30523"/>
    <cellStyle name="Output 2 5 2 5 4 3 2" xfId="30524"/>
    <cellStyle name="Output 2 5 2 5 4 3 3" xfId="30525"/>
    <cellStyle name="Output 2 5 2 5 4 3 4" xfId="30526"/>
    <cellStyle name="Output 2 5 2 5 4 4" xfId="30527"/>
    <cellStyle name="Output 2 5 2 5 4 4 2" xfId="30528"/>
    <cellStyle name="Output 2 5 2 5 4 4 3" xfId="30529"/>
    <cellStyle name="Output 2 5 2 5 4 4 4" xfId="30530"/>
    <cellStyle name="Output 2 5 2 5 4 5" xfId="30531"/>
    <cellStyle name="Output 2 5 2 5 4 6" xfId="30532"/>
    <cellStyle name="Output 2 5 2 5 4 7" xfId="30533"/>
    <cellStyle name="Output 2 5 2 5 5" xfId="30534"/>
    <cellStyle name="Output 2 5 2 5 5 2" xfId="30535"/>
    <cellStyle name="Output 2 5 2 5 5 2 2" xfId="30536"/>
    <cellStyle name="Output 2 5 2 5 5 2 3" xfId="30537"/>
    <cellStyle name="Output 2 5 2 5 5 2 4" xfId="30538"/>
    <cellStyle name="Output 2 5 2 5 5 3" xfId="30539"/>
    <cellStyle name="Output 2 5 2 5 5 3 2" xfId="30540"/>
    <cellStyle name="Output 2 5 2 5 5 3 3" xfId="30541"/>
    <cellStyle name="Output 2 5 2 5 5 3 4" xfId="30542"/>
    <cellStyle name="Output 2 5 2 5 5 4" xfId="30543"/>
    <cellStyle name="Output 2 5 2 5 5 4 2" xfId="30544"/>
    <cellStyle name="Output 2 5 2 5 5 4 3" xfId="30545"/>
    <cellStyle name="Output 2 5 2 5 5 4 4" xfId="30546"/>
    <cellStyle name="Output 2 5 2 5 5 5" xfId="30547"/>
    <cellStyle name="Output 2 5 2 5 5 6" xfId="30548"/>
    <cellStyle name="Output 2 5 2 5 5 7" xfId="30549"/>
    <cellStyle name="Output 2 5 2 5 6" xfId="30550"/>
    <cellStyle name="Output 2 5 2 5 6 2" xfId="30551"/>
    <cellStyle name="Output 2 5 2 5 6 2 2" xfId="30552"/>
    <cellStyle name="Output 2 5 2 5 6 2 3" xfId="30553"/>
    <cellStyle name="Output 2 5 2 5 6 2 4" xfId="30554"/>
    <cellStyle name="Output 2 5 2 5 6 3" xfId="30555"/>
    <cellStyle name="Output 2 5 2 5 6 3 2" xfId="30556"/>
    <cellStyle name="Output 2 5 2 5 6 3 3" xfId="30557"/>
    <cellStyle name="Output 2 5 2 5 6 3 4" xfId="30558"/>
    <cellStyle name="Output 2 5 2 5 6 4" xfId="30559"/>
    <cellStyle name="Output 2 5 2 5 6 4 2" xfId="30560"/>
    <cellStyle name="Output 2 5 2 5 6 4 3" xfId="30561"/>
    <cellStyle name="Output 2 5 2 5 6 4 4" xfId="30562"/>
    <cellStyle name="Output 2 5 2 5 6 5" xfId="30563"/>
    <cellStyle name="Output 2 5 2 5 6 6" xfId="30564"/>
    <cellStyle name="Output 2 5 2 5 6 7" xfId="30565"/>
    <cellStyle name="Output 2 5 2 5 7" xfId="30566"/>
    <cellStyle name="Output 2 5 2 5 7 2" xfId="30567"/>
    <cellStyle name="Output 2 5 2 5 7 3" xfId="30568"/>
    <cellStyle name="Output 2 5 2 5 7 4" xfId="30569"/>
    <cellStyle name="Output 2 5 2 5 8" xfId="30570"/>
    <cellStyle name="Output 2 5 2 5 8 2" xfId="30571"/>
    <cellStyle name="Output 2 5 2 5 8 3" xfId="30572"/>
    <cellStyle name="Output 2 5 2 5 8 4" xfId="30573"/>
    <cellStyle name="Output 2 5 2 5 9" xfId="30574"/>
    <cellStyle name="Output 2 5 2 5 9 2" xfId="30575"/>
    <cellStyle name="Output 2 5 2 5 9 3" xfId="30576"/>
    <cellStyle name="Output 2 5 2 5 9 4" xfId="30577"/>
    <cellStyle name="Output 2 5 2 6" xfId="30578"/>
    <cellStyle name="Output 2 5 2 6 2" xfId="30579"/>
    <cellStyle name="Output 2 5 2 6 2 2" xfId="30580"/>
    <cellStyle name="Output 2 5 2 6 2 3" xfId="30581"/>
    <cellStyle name="Output 2 5 2 6 2 4" xfId="30582"/>
    <cellStyle name="Output 2 5 2 6 3" xfId="30583"/>
    <cellStyle name="Output 2 5 2 6 3 2" xfId="30584"/>
    <cellStyle name="Output 2 5 2 6 3 3" xfId="30585"/>
    <cellStyle name="Output 2 5 2 6 3 4" xfId="30586"/>
    <cellStyle name="Output 2 5 2 6 4" xfId="30587"/>
    <cellStyle name="Output 2 5 2 6 4 2" xfId="30588"/>
    <cellStyle name="Output 2 5 2 6 4 3" xfId="30589"/>
    <cellStyle name="Output 2 5 2 6 4 4" xfId="30590"/>
    <cellStyle name="Output 2 5 2 6 5" xfId="30591"/>
    <cellStyle name="Output 2 5 2 6 6" xfId="30592"/>
    <cellStyle name="Output 2 5 2 6 7" xfId="30593"/>
    <cellStyle name="Output 2 5 2 7" xfId="30594"/>
    <cellStyle name="Output 2 5 2 7 2" xfId="30595"/>
    <cellStyle name="Output 2 5 2 7 2 2" xfId="30596"/>
    <cellStyle name="Output 2 5 2 7 2 3" xfId="30597"/>
    <cellStyle name="Output 2 5 2 7 2 4" xfId="30598"/>
    <cellStyle name="Output 2 5 2 7 3" xfId="30599"/>
    <cellStyle name="Output 2 5 2 7 3 2" xfId="30600"/>
    <cellStyle name="Output 2 5 2 7 3 3" xfId="30601"/>
    <cellStyle name="Output 2 5 2 7 3 4" xfId="30602"/>
    <cellStyle name="Output 2 5 2 7 4" xfId="30603"/>
    <cellStyle name="Output 2 5 2 7 4 2" xfId="30604"/>
    <cellStyle name="Output 2 5 2 7 4 3" xfId="30605"/>
    <cellStyle name="Output 2 5 2 7 4 4" xfId="30606"/>
    <cellStyle name="Output 2 5 2 7 5" xfId="30607"/>
    <cellStyle name="Output 2 5 2 7 6" xfId="30608"/>
    <cellStyle name="Output 2 5 2 7 7" xfId="30609"/>
    <cellStyle name="Output 2 5 2 8" xfId="30610"/>
    <cellStyle name="Output 2 5 2 8 2" xfId="30611"/>
    <cellStyle name="Output 2 5 2 8 2 2" xfId="30612"/>
    <cellStyle name="Output 2 5 2 8 2 3" xfId="30613"/>
    <cellStyle name="Output 2 5 2 8 2 4" xfId="30614"/>
    <cellStyle name="Output 2 5 2 8 3" xfId="30615"/>
    <cellStyle name="Output 2 5 2 8 3 2" xfId="30616"/>
    <cellStyle name="Output 2 5 2 8 3 3" xfId="30617"/>
    <cellStyle name="Output 2 5 2 8 3 4" xfId="30618"/>
    <cellStyle name="Output 2 5 2 8 4" xfId="30619"/>
    <cellStyle name="Output 2 5 2 8 4 2" xfId="30620"/>
    <cellStyle name="Output 2 5 2 8 4 3" xfId="30621"/>
    <cellStyle name="Output 2 5 2 8 4 4" xfId="30622"/>
    <cellStyle name="Output 2 5 2 8 5" xfId="30623"/>
    <cellStyle name="Output 2 5 2 8 6" xfId="30624"/>
    <cellStyle name="Output 2 5 2 8 7" xfId="30625"/>
    <cellStyle name="Output 2 5 2 9" xfId="30626"/>
    <cellStyle name="Output 2 5 2 9 2" xfId="30627"/>
    <cellStyle name="Output 2 5 2 9 2 2" xfId="30628"/>
    <cellStyle name="Output 2 5 2 9 2 3" xfId="30629"/>
    <cellStyle name="Output 2 5 2 9 2 4" xfId="30630"/>
    <cellStyle name="Output 2 5 2 9 3" xfId="30631"/>
    <cellStyle name="Output 2 5 2 9 3 2" xfId="30632"/>
    <cellStyle name="Output 2 5 2 9 3 3" xfId="30633"/>
    <cellStyle name="Output 2 5 2 9 3 4" xfId="30634"/>
    <cellStyle name="Output 2 5 2 9 4" xfId="30635"/>
    <cellStyle name="Output 2 5 2 9 4 2" xfId="30636"/>
    <cellStyle name="Output 2 5 2 9 4 3" xfId="30637"/>
    <cellStyle name="Output 2 5 2 9 4 4" xfId="30638"/>
    <cellStyle name="Output 2 5 2 9 5" xfId="30639"/>
    <cellStyle name="Output 2 5 2 9 6" xfId="30640"/>
    <cellStyle name="Output 2 5 2 9 7" xfId="30641"/>
    <cellStyle name="Output 2 5 3" xfId="1084"/>
    <cellStyle name="Output 2 5 3 10" xfId="30642"/>
    <cellStyle name="Output 2 5 3 11" xfId="30643"/>
    <cellStyle name="Output 2 5 3 12" xfId="30644"/>
    <cellStyle name="Output 2 5 3 2" xfId="30645"/>
    <cellStyle name="Output 2 5 3 2 2" xfId="30646"/>
    <cellStyle name="Output 2 5 3 2 2 2" xfId="30647"/>
    <cellStyle name="Output 2 5 3 2 2 3" xfId="30648"/>
    <cellStyle name="Output 2 5 3 2 2 4" xfId="30649"/>
    <cellStyle name="Output 2 5 3 2 3" xfId="30650"/>
    <cellStyle name="Output 2 5 3 2 3 2" xfId="30651"/>
    <cellStyle name="Output 2 5 3 2 3 3" xfId="30652"/>
    <cellStyle name="Output 2 5 3 2 3 4" xfId="30653"/>
    <cellStyle name="Output 2 5 3 2 4" xfId="30654"/>
    <cellStyle name="Output 2 5 3 2 4 2" xfId="30655"/>
    <cellStyle name="Output 2 5 3 2 4 3" xfId="30656"/>
    <cellStyle name="Output 2 5 3 2 4 4" xfId="30657"/>
    <cellStyle name="Output 2 5 3 2 5" xfId="30658"/>
    <cellStyle name="Output 2 5 3 2 6" xfId="30659"/>
    <cellStyle name="Output 2 5 3 2 7" xfId="30660"/>
    <cellStyle name="Output 2 5 3 3" xfId="30661"/>
    <cellStyle name="Output 2 5 3 3 2" xfId="30662"/>
    <cellStyle name="Output 2 5 3 3 2 2" xfId="30663"/>
    <cellStyle name="Output 2 5 3 3 2 3" xfId="30664"/>
    <cellStyle name="Output 2 5 3 3 2 4" xfId="30665"/>
    <cellStyle name="Output 2 5 3 3 3" xfId="30666"/>
    <cellStyle name="Output 2 5 3 3 3 2" xfId="30667"/>
    <cellStyle name="Output 2 5 3 3 3 3" xfId="30668"/>
    <cellStyle name="Output 2 5 3 3 3 4" xfId="30669"/>
    <cellStyle name="Output 2 5 3 3 4" xfId="30670"/>
    <cellStyle name="Output 2 5 3 3 4 2" xfId="30671"/>
    <cellStyle name="Output 2 5 3 3 4 3" xfId="30672"/>
    <cellStyle name="Output 2 5 3 3 4 4" xfId="30673"/>
    <cellStyle name="Output 2 5 3 3 5" xfId="30674"/>
    <cellStyle name="Output 2 5 3 3 6" xfId="30675"/>
    <cellStyle name="Output 2 5 3 3 7" xfId="30676"/>
    <cellStyle name="Output 2 5 3 4" xfId="30677"/>
    <cellStyle name="Output 2 5 3 4 2" xfId="30678"/>
    <cellStyle name="Output 2 5 3 4 2 2" xfId="30679"/>
    <cellStyle name="Output 2 5 3 4 2 3" xfId="30680"/>
    <cellStyle name="Output 2 5 3 4 2 4" xfId="30681"/>
    <cellStyle name="Output 2 5 3 4 3" xfId="30682"/>
    <cellStyle name="Output 2 5 3 4 3 2" xfId="30683"/>
    <cellStyle name="Output 2 5 3 4 3 3" xfId="30684"/>
    <cellStyle name="Output 2 5 3 4 3 4" xfId="30685"/>
    <cellStyle name="Output 2 5 3 4 4" xfId="30686"/>
    <cellStyle name="Output 2 5 3 4 4 2" xfId="30687"/>
    <cellStyle name="Output 2 5 3 4 4 3" xfId="30688"/>
    <cellStyle name="Output 2 5 3 4 4 4" xfId="30689"/>
    <cellStyle name="Output 2 5 3 4 5" xfId="30690"/>
    <cellStyle name="Output 2 5 3 4 6" xfId="30691"/>
    <cellStyle name="Output 2 5 3 4 7" xfId="30692"/>
    <cellStyle name="Output 2 5 3 5" xfId="30693"/>
    <cellStyle name="Output 2 5 3 5 2" xfId="30694"/>
    <cellStyle name="Output 2 5 3 5 2 2" xfId="30695"/>
    <cellStyle name="Output 2 5 3 5 2 3" xfId="30696"/>
    <cellStyle name="Output 2 5 3 5 2 4" xfId="30697"/>
    <cellStyle name="Output 2 5 3 5 3" xfId="30698"/>
    <cellStyle name="Output 2 5 3 5 3 2" xfId="30699"/>
    <cellStyle name="Output 2 5 3 5 3 3" xfId="30700"/>
    <cellStyle name="Output 2 5 3 5 3 4" xfId="30701"/>
    <cellStyle name="Output 2 5 3 5 4" xfId="30702"/>
    <cellStyle name="Output 2 5 3 5 4 2" xfId="30703"/>
    <cellStyle name="Output 2 5 3 5 4 3" xfId="30704"/>
    <cellStyle name="Output 2 5 3 5 4 4" xfId="30705"/>
    <cellStyle name="Output 2 5 3 5 5" xfId="30706"/>
    <cellStyle name="Output 2 5 3 5 6" xfId="30707"/>
    <cellStyle name="Output 2 5 3 5 7" xfId="30708"/>
    <cellStyle name="Output 2 5 3 6" xfId="30709"/>
    <cellStyle name="Output 2 5 3 6 2" xfId="30710"/>
    <cellStyle name="Output 2 5 3 6 2 2" xfId="30711"/>
    <cellStyle name="Output 2 5 3 6 2 3" xfId="30712"/>
    <cellStyle name="Output 2 5 3 6 2 4" xfId="30713"/>
    <cellStyle name="Output 2 5 3 6 3" xfId="30714"/>
    <cellStyle name="Output 2 5 3 6 3 2" xfId="30715"/>
    <cellStyle name="Output 2 5 3 6 3 3" xfId="30716"/>
    <cellStyle name="Output 2 5 3 6 3 4" xfId="30717"/>
    <cellStyle name="Output 2 5 3 6 4" xfId="30718"/>
    <cellStyle name="Output 2 5 3 6 4 2" xfId="30719"/>
    <cellStyle name="Output 2 5 3 6 4 3" xfId="30720"/>
    <cellStyle name="Output 2 5 3 6 4 4" xfId="30721"/>
    <cellStyle name="Output 2 5 3 6 5" xfId="30722"/>
    <cellStyle name="Output 2 5 3 6 6" xfId="30723"/>
    <cellStyle name="Output 2 5 3 6 7" xfId="30724"/>
    <cellStyle name="Output 2 5 3 7" xfId="30725"/>
    <cellStyle name="Output 2 5 3 7 2" xfId="30726"/>
    <cellStyle name="Output 2 5 3 7 3" xfId="30727"/>
    <cellStyle name="Output 2 5 3 7 4" xfId="30728"/>
    <cellStyle name="Output 2 5 3 8" xfId="30729"/>
    <cellStyle name="Output 2 5 3 8 2" xfId="30730"/>
    <cellStyle name="Output 2 5 3 8 3" xfId="30731"/>
    <cellStyle name="Output 2 5 3 8 4" xfId="30732"/>
    <cellStyle name="Output 2 5 3 9" xfId="30733"/>
    <cellStyle name="Output 2 5 3 9 2" xfId="30734"/>
    <cellStyle name="Output 2 5 3 9 3" xfId="30735"/>
    <cellStyle name="Output 2 5 3 9 4" xfId="30736"/>
    <cellStyle name="Output 2 5 4" xfId="3196"/>
    <cellStyle name="Output 2 5 5" xfId="1056"/>
    <cellStyle name="Output 2 5 6" xfId="3167"/>
    <cellStyle name="Output 2 5 7" xfId="3220"/>
    <cellStyle name="Output 2 6" xfId="140"/>
    <cellStyle name="Output 2 6 2" xfId="636"/>
    <cellStyle name="Output 2 6 2 10" xfId="30737"/>
    <cellStyle name="Output 2 6 2 10 2" xfId="30738"/>
    <cellStyle name="Output 2 6 2 10 2 2" xfId="30739"/>
    <cellStyle name="Output 2 6 2 10 2 3" xfId="30740"/>
    <cellStyle name="Output 2 6 2 10 2 4" xfId="30741"/>
    <cellStyle name="Output 2 6 2 10 3" xfId="30742"/>
    <cellStyle name="Output 2 6 2 10 3 2" xfId="30743"/>
    <cellStyle name="Output 2 6 2 10 3 3" xfId="30744"/>
    <cellStyle name="Output 2 6 2 10 3 4" xfId="30745"/>
    <cellStyle name="Output 2 6 2 10 4" xfId="30746"/>
    <cellStyle name="Output 2 6 2 10 4 2" xfId="30747"/>
    <cellStyle name="Output 2 6 2 10 4 3" xfId="30748"/>
    <cellStyle name="Output 2 6 2 10 4 4" xfId="30749"/>
    <cellStyle name="Output 2 6 2 10 5" xfId="30750"/>
    <cellStyle name="Output 2 6 2 10 6" xfId="30751"/>
    <cellStyle name="Output 2 6 2 10 7" xfId="30752"/>
    <cellStyle name="Output 2 6 2 11" xfId="30753"/>
    <cellStyle name="Output 2 6 2 11 2" xfId="30754"/>
    <cellStyle name="Output 2 6 2 11 2 2" xfId="30755"/>
    <cellStyle name="Output 2 6 2 11 2 3" xfId="30756"/>
    <cellStyle name="Output 2 6 2 11 2 4" xfId="30757"/>
    <cellStyle name="Output 2 6 2 11 3" xfId="30758"/>
    <cellStyle name="Output 2 6 2 11 3 2" xfId="30759"/>
    <cellStyle name="Output 2 6 2 11 3 3" xfId="30760"/>
    <cellStyle name="Output 2 6 2 11 3 4" xfId="30761"/>
    <cellStyle name="Output 2 6 2 11 4" xfId="30762"/>
    <cellStyle name="Output 2 6 2 11 4 2" xfId="30763"/>
    <cellStyle name="Output 2 6 2 11 4 3" xfId="30764"/>
    <cellStyle name="Output 2 6 2 11 4 4" xfId="30765"/>
    <cellStyle name="Output 2 6 2 11 5" xfId="30766"/>
    <cellStyle name="Output 2 6 2 11 6" xfId="30767"/>
    <cellStyle name="Output 2 6 2 11 7" xfId="30768"/>
    <cellStyle name="Output 2 6 2 12" xfId="30769"/>
    <cellStyle name="Output 2 6 2 12 2" xfId="30770"/>
    <cellStyle name="Output 2 6 2 12 2 2" xfId="30771"/>
    <cellStyle name="Output 2 6 2 12 2 3" xfId="30772"/>
    <cellStyle name="Output 2 6 2 12 2 4" xfId="30773"/>
    <cellStyle name="Output 2 6 2 12 3" xfId="30774"/>
    <cellStyle name="Output 2 6 2 12 3 2" xfId="30775"/>
    <cellStyle name="Output 2 6 2 12 3 3" xfId="30776"/>
    <cellStyle name="Output 2 6 2 12 3 4" xfId="30777"/>
    <cellStyle name="Output 2 6 2 12 4" xfId="30778"/>
    <cellStyle name="Output 2 6 2 12 4 2" xfId="30779"/>
    <cellStyle name="Output 2 6 2 12 4 3" xfId="30780"/>
    <cellStyle name="Output 2 6 2 12 4 4" xfId="30781"/>
    <cellStyle name="Output 2 6 2 12 5" xfId="30782"/>
    <cellStyle name="Output 2 6 2 12 6" xfId="30783"/>
    <cellStyle name="Output 2 6 2 12 7" xfId="30784"/>
    <cellStyle name="Output 2 6 2 13" xfId="30785"/>
    <cellStyle name="Output 2 6 2 13 2" xfId="30786"/>
    <cellStyle name="Output 2 6 2 13 2 2" xfId="30787"/>
    <cellStyle name="Output 2 6 2 13 2 3" xfId="30788"/>
    <cellStyle name="Output 2 6 2 13 2 4" xfId="30789"/>
    <cellStyle name="Output 2 6 2 13 3" xfId="30790"/>
    <cellStyle name="Output 2 6 2 13 3 2" xfId="30791"/>
    <cellStyle name="Output 2 6 2 13 3 3" xfId="30792"/>
    <cellStyle name="Output 2 6 2 13 3 4" xfId="30793"/>
    <cellStyle name="Output 2 6 2 13 4" xfId="30794"/>
    <cellStyle name="Output 2 6 2 13 4 2" xfId="30795"/>
    <cellStyle name="Output 2 6 2 13 4 3" xfId="30796"/>
    <cellStyle name="Output 2 6 2 13 4 4" xfId="30797"/>
    <cellStyle name="Output 2 6 2 13 5" xfId="30798"/>
    <cellStyle name="Output 2 6 2 13 6" xfId="30799"/>
    <cellStyle name="Output 2 6 2 13 7" xfId="30800"/>
    <cellStyle name="Output 2 6 2 14" xfId="30801"/>
    <cellStyle name="Output 2 6 2 14 2" xfId="30802"/>
    <cellStyle name="Output 2 6 2 14 3" xfId="30803"/>
    <cellStyle name="Output 2 6 2 14 4" xfId="30804"/>
    <cellStyle name="Output 2 6 2 15" xfId="30805"/>
    <cellStyle name="Output 2 6 2 15 2" xfId="30806"/>
    <cellStyle name="Output 2 6 2 15 3" xfId="30807"/>
    <cellStyle name="Output 2 6 2 15 4" xfId="30808"/>
    <cellStyle name="Output 2 6 2 16" xfId="30809"/>
    <cellStyle name="Output 2 6 2 16 2" xfId="30810"/>
    <cellStyle name="Output 2 6 2 16 3" xfId="30811"/>
    <cellStyle name="Output 2 6 2 16 4" xfId="30812"/>
    <cellStyle name="Output 2 6 2 17" xfId="30813"/>
    <cellStyle name="Output 2 6 2 18" xfId="30814"/>
    <cellStyle name="Output 2 6 2 19" xfId="30815"/>
    <cellStyle name="Output 2 6 2 2" xfId="896"/>
    <cellStyle name="Output 2 6 2 2 10" xfId="30816"/>
    <cellStyle name="Output 2 6 2 2 11" xfId="30817"/>
    <cellStyle name="Output 2 6 2 2 12" xfId="30818"/>
    <cellStyle name="Output 2 6 2 2 2" xfId="30819"/>
    <cellStyle name="Output 2 6 2 2 2 2" xfId="30820"/>
    <cellStyle name="Output 2 6 2 2 2 2 2" xfId="30821"/>
    <cellStyle name="Output 2 6 2 2 2 2 3" xfId="30822"/>
    <cellStyle name="Output 2 6 2 2 2 2 4" xfId="30823"/>
    <cellStyle name="Output 2 6 2 2 2 3" xfId="30824"/>
    <cellStyle name="Output 2 6 2 2 2 3 2" xfId="30825"/>
    <cellStyle name="Output 2 6 2 2 2 3 3" xfId="30826"/>
    <cellStyle name="Output 2 6 2 2 2 3 4" xfId="30827"/>
    <cellStyle name="Output 2 6 2 2 2 4" xfId="30828"/>
    <cellStyle name="Output 2 6 2 2 2 4 2" xfId="30829"/>
    <cellStyle name="Output 2 6 2 2 2 4 3" xfId="30830"/>
    <cellStyle name="Output 2 6 2 2 2 4 4" xfId="30831"/>
    <cellStyle name="Output 2 6 2 2 2 5" xfId="30832"/>
    <cellStyle name="Output 2 6 2 2 2 6" xfId="30833"/>
    <cellStyle name="Output 2 6 2 2 2 7" xfId="30834"/>
    <cellStyle name="Output 2 6 2 2 3" xfId="30835"/>
    <cellStyle name="Output 2 6 2 2 3 2" xfId="30836"/>
    <cellStyle name="Output 2 6 2 2 3 2 2" xfId="30837"/>
    <cellStyle name="Output 2 6 2 2 3 2 3" xfId="30838"/>
    <cellStyle name="Output 2 6 2 2 3 2 4" xfId="30839"/>
    <cellStyle name="Output 2 6 2 2 3 3" xfId="30840"/>
    <cellStyle name="Output 2 6 2 2 3 3 2" xfId="30841"/>
    <cellStyle name="Output 2 6 2 2 3 3 3" xfId="30842"/>
    <cellStyle name="Output 2 6 2 2 3 3 4" xfId="30843"/>
    <cellStyle name="Output 2 6 2 2 3 4" xfId="30844"/>
    <cellStyle name="Output 2 6 2 2 3 4 2" xfId="30845"/>
    <cellStyle name="Output 2 6 2 2 3 4 3" xfId="30846"/>
    <cellStyle name="Output 2 6 2 2 3 4 4" xfId="30847"/>
    <cellStyle name="Output 2 6 2 2 3 5" xfId="30848"/>
    <cellStyle name="Output 2 6 2 2 3 6" xfId="30849"/>
    <cellStyle name="Output 2 6 2 2 3 7" xfId="30850"/>
    <cellStyle name="Output 2 6 2 2 4" xfId="30851"/>
    <cellStyle name="Output 2 6 2 2 4 2" xfId="30852"/>
    <cellStyle name="Output 2 6 2 2 4 2 2" xfId="30853"/>
    <cellStyle name="Output 2 6 2 2 4 2 3" xfId="30854"/>
    <cellStyle name="Output 2 6 2 2 4 2 4" xfId="30855"/>
    <cellStyle name="Output 2 6 2 2 4 3" xfId="30856"/>
    <cellStyle name="Output 2 6 2 2 4 3 2" xfId="30857"/>
    <cellStyle name="Output 2 6 2 2 4 3 3" xfId="30858"/>
    <cellStyle name="Output 2 6 2 2 4 3 4" xfId="30859"/>
    <cellStyle name="Output 2 6 2 2 4 4" xfId="30860"/>
    <cellStyle name="Output 2 6 2 2 4 4 2" xfId="30861"/>
    <cellStyle name="Output 2 6 2 2 4 4 3" xfId="30862"/>
    <cellStyle name="Output 2 6 2 2 4 4 4" xfId="30863"/>
    <cellStyle name="Output 2 6 2 2 4 5" xfId="30864"/>
    <cellStyle name="Output 2 6 2 2 4 6" xfId="30865"/>
    <cellStyle name="Output 2 6 2 2 4 7" xfId="30866"/>
    <cellStyle name="Output 2 6 2 2 5" xfId="30867"/>
    <cellStyle name="Output 2 6 2 2 5 2" xfId="30868"/>
    <cellStyle name="Output 2 6 2 2 5 2 2" xfId="30869"/>
    <cellStyle name="Output 2 6 2 2 5 2 3" xfId="30870"/>
    <cellStyle name="Output 2 6 2 2 5 2 4" xfId="30871"/>
    <cellStyle name="Output 2 6 2 2 5 3" xfId="30872"/>
    <cellStyle name="Output 2 6 2 2 5 3 2" xfId="30873"/>
    <cellStyle name="Output 2 6 2 2 5 3 3" xfId="30874"/>
    <cellStyle name="Output 2 6 2 2 5 3 4" xfId="30875"/>
    <cellStyle name="Output 2 6 2 2 5 4" xfId="30876"/>
    <cellStyle name="Output 2 6 2 2 5 4 2" xfId="30877"/>
    <cellStyle name="Output 2 6 2 2 5 4 3" xfId="30878"/>
    <cellStyle name="Output 2 6 2 2 5 4 4" xfId="30879"/>
    <cellStyle name="Output 2 6 2 2 5 5" xfId="30880"/>
    <cellStyle name="Output 2 6 2 2 5 6" xfId="30881"/>
    <cellStyle name="Output 2 6 2 2 5 7" xfId="30882"/>
    <cellStyle name="Output 2 6 2 2 6" xfId="30883"/>
    <cellStyle name="Output 2 6 2 2 6 2" xfId="30884"/>
    <cellStyle name="Output 2 6 2 2 6 2 2" xfId="30885"/>
    <cellStyle name="Output 2 6 2 2 6 2 3" xfId="30886"/>
    <cellStyle name="Output 2 6 2 2 6 2 4" xfId="30887"/>
    <cellStyle name="Output 2 6 2 2 6 3" xfId="30888"/>
    <cellStyle name="Output 2 6 2 2 6 3 2" xfId="30889"/>
    <cellStyle name="Output 2 6 2 2 6 3 3" xfId="30890"/>
    <cellStyle name="Output 2 6 2 2 6 3 4" xfId="30891"/>
    <cellStyle name="Output 2 6 2 2 6 4" xfId="30892"/>
    <cellStyle name="Output 2 6 2 2 6 4 2" xfId="30893"/>
    <cellStyle name="Output 2 6 2 2 6 4 3" xfId="30894"/>
    <cellStyle name="Output 2 6 2 2 6 4 4" xfId="30895"/>
    <cellStyle name="Output 2 6 2 2 6 5" xfId="30896"/>
    <cellStyle name="Output 2 6 2 2 6 6" xfId="30897"/>
    <cellStyle name="Output 2 6 2 2 6 7" xfId="30898"/>
    <cellStyle name="Output 2 6 2 2 7" xfId="30899"/>
    <cellStyle name="Output 2 6 2 2 7 2" xfId="30900"/>
    <cellStyle name="Output 2 6 2 2 7 3" xfId="30901"/>
    <cellStyle name="Output 2 6 2 2 7 4" xfId="30902"/>
    <cellStyle name="Output 2 6 2 2 8" xfId="30903"/>
    <cellStyle name="Output 2 6 2 2 8 2" xfId="30904"/>
    <cellStyle name="Output 2 6 2 2 8 3" xfId="30905"/>
    <cellStyle name="Output 2 6 2 2 8 4" xfId="30906"/>
    <cellStyle name="Output 2 6 2 2 9" xfId="30907"/>
    <cellStyle name="Output 2 6 2 2 9 2" xfId="30908"/>
    <cellStyle name="Output 2 6 2 2 9 3" xfId="30909"/>
    <cellStyle name="Output 2 6 2 2 9 4" xfId="30910"/>
    <cellStyle name="Output 2 6 2 3" xfId="930"/>
    <cellStyle name="Output 2 6 2 3 10" xfId="30911"/>
    <cellStyle name="Output 2 6 2 3 11" xfId="30912"/>
    <cellStyle name="Output 2 6 2 3 12" xfId="30913"/>
    <cellStyle name="Output 2 6 2 3 2" xfId="30914"/>
    <cellStyle name="Output 2 6 2 3 2 2" xfId="30915"/>
    <cellStyle name="Output 2 6 2 3 2 2 2" xfId="30916"/>
    <cellStyle name="Output 2 6 2 3 2 2 3" xfId="30917"/>
    <cellStyle name="Output 2 6 2 3 2 2 4" xfId="30918"/>
    <cellStyle name="Output 2 6 2 3 2 3" xfId="30919"/>
    <cellStyle name="Output 2 6 2 3 2 3 2" xfId="30920"/>
    <cellStyle name="Output 2 6 2 3 2 3 3" xfId="30921"/>
    <cellStyle name="Output 2 6 2 3 2 3 4" xfId="30922"/>
    <cellStyle name="Output 2 6 2 3 2 4" xfId="30923"/>
    <cellStyle name="Output 2 6 2 3 2 4 2" xfId="30924"/>
    <cellStyle name="Output 2 6 2 3 2 4 3" xfId="30925"/>
    <cellStyle name="Output 2 6 2 3 2 4 4" xfId="30926"/>
    <cellStyle name="Output 2 6 2 3 2 5" xfId="30927"/>
    <cellStyle name="Output 2 6 2 3 2 6" xfId="30928"/>
    <cellStyle name="Output 2 6 2 3 2 7" xfId="30929"/>
    <cellStyle name="Output 2 6 2 3 3" xfId="30930"/>
    <cellStyle name="Output 2 6 2 3 3 2" xfId="30931"/>
    <cellStyle name="Output 2 6 2 3 3 2 2" xfId="30932"/>
    <cellStyle name="Output 2 6 2 3 3 2 3" xfId="30933"/>
    <cellStyle name="Output 2 6 2 3 3 2 4" xfId="30934"/>
    <cellStyle name="Output 2 6 2 3 3 3" xfId="30935"/>
    <cellStyle name="Output 2 6 2 3 3 3 2" xfId="30936"/>
    <cellStyle name="Output 2 6 2 3 3 3 3" xfId="30937"/>
    <cellStyle name="Output 2 6 2 3 3 3 4" xfId="30938"/>
    <cellStyle name="Output 2 6 2 3 3 4" xfId="30939"/>
    <cellStyle name="Output 2 6 2 3 3 4 2" xfId="30940"/>
    <cellStyle name="Output 2 6 2 3 3 4 3" xfId="30941"/>
    <cellStyle name="Output 2 6 2 3 3 4 4" xfId="30942"/>
    <cellStyle name="Output 2 6 2 3 3 5" xfId="30943"/>
    <cellStyle name="Output 2 6 2 3 3 6" xfId="30944"/>
    <cellStyle name="Output 2 6 2 3 3 7" xfId="30945"/>
    <cellStyle name="Output 2 6 2 3 4" xfId="30946"/>
    <cellStyle name="Output 2 6 2 3 4 2" xfId="30947"/>
    <cellStyle name="Output 2 6 2 3 4 2 2" xfId="30948"/>
    <cellStyle name="Output 2 6 2 3 4 2 3" xfId="30949"/>
    <cellStyle name="Output 2 6 2 3 4 2 4" xfId="30950"/>
    <cellStyle name="Output 2 6 2 3 4 3" xfId="30951"/>
    <cellStyle name="Output 2 6 2 3 4 3 2" xfId="30952"/>
    <cellStyle name="Output 2 6 2 3 4 3 3" xfId="30953"/>
    <cellStyle name="Output 2 6 2 3 4 3 4" xfId="30954"/>
    <cellStyle name="Output 2 6 2 3 4 4" xfId="30955"/>
    <cellStyle name="Output 2 6 2 3 4 4 2" xfId="30956"/>
    <cellStyle name="Output 2 6 2 3 4 4 3" xfId="30957"/>
    <cellStyle name="Output 2 6 2 3 4 4 4" xfId="30958"/>
    <cellStyle name="Output 2 6 2 3 4 5" xfId="30959"/>
    <cellStyle name="Output 2 6 2 3 4 6" xfId="30960"/>
    <cellStyle name="Output 2 6 2 3 4 7" xfId="30961"/>
    <cellStyle name="Output 2 6 2 3 5" xfId="30962"/>
    <cellStyle name="Output 2 6 2 3 5 2" xfId="30963"/>
    <cellStyle name="Output 2 6 2 3 5 2 2" xfId="30964"/>
    <cellStyle name="Output 2 6 2 3 5 2 3" xfId="30965"/>
    <cellStyle name="Output 2 6 2 3 5 2 4" xfId="30966"/>
    <cellStyle name="Output 2 6 2 3 5 3" xfId="30967"/>
    <cellStyle name="Output 2 6 2 3 5 3 2" xfId="30968"/>
    <cellStyle name="Output 2 6 2 3 5 3 3" xfId="30969"/>
    <cellStyle name="Output 2 6 2 3 5 3 4" xfId="30970"/>
    <cellStyle name="Output 2 6 2 3 5 4" xfId="30971"/>
    <cellStyle name="Output 2 6 2 3 5 4 2" xfId="30972"/>
    <cellStyle name="Output 2 6 2 3 5 4 3" xfId="30973"/>
    <cellStyle name="Output 2 6 2 3 5 4 4" xfId="30974"/>
    <cellStyle name="Output 2 6 2 3 5 5" xfId="30975"/>
    <cellStyle name="Output 2 6 2 3 5 6" xfId="30976"/>
    <cellStyle name="Output 2 6 2 3 5 7" xfId="30977"/>
    <cellStyle name="Output 2 6 2 3 6" xfId="30978"/>
    <cellStyle name="Output 2 6 2 3 6 2" xfId="30979"/>
    <cellStyle name="Output 2 6 2 3 6 2 2" xfId="30980"/>
    <cellStyle name="Output 2 6 2 3 6 2 3" xfId="30981"/>
    <cellStyle name="Output 2 6 2 3 6 2 4" xfId="30982"/>
    <cellStyle name="Output 2 6 2 3 6 3" xfId="30983"/>
    <cellStyle name="Output 2 6 2 3 6 3 2" xfId="30984"/>
    <cellStyle name="Output 2 6 2 3 6 3 3" xfId="30985"/>
    <cellStyle name="Output 2 6 2 3 6 3 4" xfId="30986"/>
    <cellStyle name="Output 2 6 2 3 6 4" xfId="30987"/>
    <cellStyle name="Output 2 6 2 3 6 4 2" xfId="30988"/>
    <cellStyle name="Output 2 6 2 3 6 4 3" xfId="30989"/>
    <cellStyle name="Output 2 6 2 3 6 4 4" xfId="30990"/>
    <cellStyle name="Output 2 6 2 3 6 5" xfId="30991"/>
    <cellStyle name="Output 2 6 2 3 6 6" xfId="30992"/>
    <cellStyle name="Output 2 6 2 3 6 7" xfId="30993"/>
    <cellStyle name="Output 2 6 2 3 7" xfId="30994"/>
    <cellStyle name="Output 2 6 2 3 7 2" xfId="30995"/>
    <cellStyle name="Output 2 6 2 3 7 3" xfId="30996"/>
    <cellStyle name="Output 2 6 2 3 7 4" xfId="30997"/>
    <cellStyle name="Output 2 6 2 3 8" xfId="30998"/>
    <cellStyle name="Output 2 6 2 3 8 2" xfId="30999"/>
    <cellStyle name="Output 2 6 2 3 8 3" xfId="31000"/>
    <cellStyle name="Output 2 6 2 3 8 4" xfId="31001"/>
    <cellStyle name="Output 2 6 2 3 9" xfId="31002"/>
    <cellStyle name="Output 2 6 2 3 9 2" xfId="31003"/>
    <cellStyle name="Output 2 6 2 3 9 3" xfId="31004"/>
    <cellStyle name="Output 2 6 2 3 9 4" xfId="31005"/>
    <cellStyle name="Output 2 6 2 4" xfId="965"/>
    <cellStyle name="Output 2 6 2 4 10" xfId="31006"/>
    <cellStyle name="Output 2 6 2 4 11" xfId="31007"/>
    <cellStyle name="Output 2 6 2 4 12" xfId="31008"/>
    <cellStyle name="Output 2 6 2 4 2" xfId="31009"/>
    <cellStyle name="Output 2 6 2 4 2 2" xfId="31010"/>
    <cellStyle name="Output 2 6 2 4 2 2 2" xfId="31011"/>
    <cellStyle name="Output 2 6 2 4 2 2 3" xfId="31012"/>
    <cellStyle name="Output 2 6 2 4 2 2 4" xfId="31013"/>
    <cellStyle name="Output 2 6 2 4 2 3" xfId="31014"/>
    <cellStyle name="Output 2 6 2 4 2 3 2" xfId="31015"/>
    <cellStyle name="Output 2 6 2 4 2 3 3" xfId="31016"/>
    <cellStyle name="Output 2 6 2 4 2 3 4" xfId="31017"/>
    <cellStyle name="Output 2 6 2 4 2 4" xfId="31018"/>
    <cellStyle name="Output 2 6 2 4 2 4 2" xfId="31019"/>
    <cellStyle name="Output 2 6 2 4 2 4 3" xfId="31020"/>
    <cellStyle name="Output 2 6 2 4 2 4 4" xfId="31021"/>
    <cellStyle name="Output 2 6 2 4 2 5" xfId="31022"/>
    <cellStyle name="Output 2 6 2 4 2 6" xfId="31023"/>
    <cellStyle name="Output 2 6 2 4 2 7" xfId="31024"/>
    <cellStyle name="Output 2 6 2 4 3" xfId="31025"/>
    <cellStyle name="Output 2 6 2 4 3 2" xfId="31026"/>
    <cellStyle name="Output 2 6 2 4 3 2 2" xfId="31027"/>
    <cellStyle name="Output 2 6 2 4 3 2 3" xfId="31028"/>
    <cellStyle name="Output 2 6 2 4 3 2 4" xfId="31029"/>
    <cellStyle name="Output 2 6 2 4 3 3" xfId="31030"/>
    <cellStyle name="Output 2 6 2 4 3 3 2" xfId="31031"/>
    <cellStyle name="Output 2 6 2 4 3 3 3" xfId="31032"/>
    <cellStyle name="Output 2 6 2 4 3 3 4" xfId="31033"/>
    <cellStyle name="Output 2 6 2 4 3 4" xfId="31034"/>
    <cellStyle name="Output 2 6 2 4 3 4 2" xfId="31035"/>
    <cellStyle name="Output 2 6 2 4 3 4 3" xfId="31036"/>
    <cellStyle name="Output 2 6 2 4 3 4 4" xfId="31037"/>
    <cellStyle name="Output 2 6 2 4 3 5" xfId="31038"/>
    <cellStyle name="Output 2 6 2 4 3 6" xfId="31039"/>
    <cellStyle name="Output 2 6 2 4 3 7" xfId="31040"/>
    <cellStyle name="Output 2 6 2 4 4" xfId="31041"/>
    <cellStyle name="Output 2 6 2 4 4 2" xfId="31042"/>
    <cellStyle name="Output 2 6 2 4 4 2 2" xfId="31043"/>
    <cellStyle name="Output 2 6 2 4 4 2 3" xfId="31044"/>
    <cellStyle name="Output 2 6 2 4 4 2 4" xfId="31045"/>
    <cellStyle name="Output 2 6 2 4 4 3" xfId="31046"/>
    <cellStyle name="Output 2 6 2 4 4 3 2" xfId="31047"/>
    <cellStyle name="Output 2 6 2 4 4 3 3" xfId="31048"/>
    <cellStyle name="Output 2 6 2 4 4 3 4" xfId="31049"/>
    <cellStyle name="Output 2 6 2 4 4 4" xfId="31050"/>
    <cellStyle name="Output 2 6 2 4 4 4 2" xfId="31051"/>
    <cellStyle name="Output 2 6 2 4 4 4 3" xfId="31052"/>
    <cellStyle name="Output 2 6 2 4 4 4 4" xfId="31053"/>
    <cellStyle name="Output 2 6 2 4 4 5" xfId="31054"/>
    <cellStyle name="Output 2 6 2 4 4 6" xfId="31055"/>
    <cellStyle name="Output 2 6 2 4 4 7" xfId="31056"/>
    <cellStyle name="Output 2 6 2 4 5" xfId="31057"/>
    <cellStyle name="Output 2 6 2 4 5 2" xfId="31058"/>
    <cellStyle name="Output 2 6 2 4 5 2 2" xfId="31059"/>
    <cellStyle name="Output 2 6 2 4 5 2 3" xfId="31060"/>
    <cellStyle name="Output 2 6 2 4 5 2 4" xfId="31061"/>
    <cellStyle name="Output 2 6 2 4 5 3" xfId="31062"/>
    <cellStyle name="Output 2 6 2 4 5 3 2" xfId="31063"/>
    <cellStyle name="Output 2 6 2 4 5 3 3" xfId="31064"/>
    <cellStyle name="Output 2 6 2 4 5 3 4" xfId="31065"/>
    <cellStyle name="Output 2 6 2 4 5 4" xfId="31066"/>
    <cellStyle name="Output 2 6 2 4 5 4 2" xfId="31067"/>
    <cellStyle name="Output 2 6 2 4 5 4 3" xfId="31068"/>
    <cellStyle name="Output 2 6 2 4 5 4 4" xfId="31069"/>
    <cellStyle name="Output 2 6 2 4 5 5" xfId="31070"/>
    <cellStyle name="Output 2 6 2 4 5 6" xfId="31071"/>
    <cellStyle name="Output 2 6 2 4 5 7" xfId="31072"/>
    <cellStyle name="Output 2 6 2 4 6" xfId="31073"/>
    <cellStyle name="Output 2 6 2 4 6 2" xfId="31074"/>
    <cellStyle name="Output 2 6 2 4 6 2 2" xfId="31075"/>
    <cellStyle name="Output 2 6 2 4 6 2 3" xfId="31076"/>
    <cellStyle name="Output 2 6 2 4 6 2 4" xfId="31077"/>
    <cellStyle name="Output 2 6 2 4 6 3" xfId="31078"/>
    <cellStyle name="Output 2 6 2 4 6 3 2" xfId="31079"/>
    <cellStyle name="Output 2 6 2 4 6 3 3" xfId="31080"/>
    <cellStyle name="Output 2 6 2 4 6 3 4" xfId="31081"/>
    <cellStyle name="Output 2 6 2 4 6 4" xfId="31082"/>
    <cellStyle name="Output 2 6 2 4 6 4 2" xfId="31083"/>
    <cellStyle name="Output 2 6 2 4 6 4 3" xfId="31084"/>
    <cellStyle name="Output 2 6 2 4 6 4 4" xfId="31085"/>
    <cellStyle name="Output 2 6 2 4 6 5" xfId="31086"/>
    <cellStyle name="Output 2 6 2 4 6 6" xfId="31087"/>
    <cellStyle name="Output 2 6 2 4 6 7" xfId="31088"/>
    <cellStyle name="Output 2 6 2 4 7" xfId="31089"/>
    <cellStyle name="Output 2 6 2 4 7 2" xfId="31090"/>
    <cellStyle name="Output 2 6 2 4 7 3" xfId="31091"/>
    <cellStyle name="Output 2 6 2 4 7 4" xfId="31092"/>
    <cellStyle name="Output 2 6 2 4 8" xfId="31093"/>
    <cellStyle name="Output 2 6 2 4 8 2" xfId="31094"/>
    <cellStyle name="Output 2 6 2 4 8 3" xfId="31095"/>
    <cellStyle name="Output 2 6 2 4 8 4" xfId="31096"/>
    <cellStyle name="Output 2 6 2 4 9" xfId="31097"/>
    <cellStyle name="Output 2 6 2 4 9 2" xfId="31098"/>
    <cellStyle name="Output 2 6 2 4 9 3" xfId="31099"/>
    <cellStyle name="Output 2 6 2 4 9 4" xfId="31100"/>
    <cellStyle name="Output 2 6 2 5" xfId="31101"/>
    <cellStyle name="Output 2 6 2 5 10" xfId="31102"/>
    <cellStyle name="Output 2 6 2 5 11" xfId="31103"/>
    <cellStyle name="Output 2 6 2 5 12" xfId="31104"/>
    <cellStyle name="Output 2 6 2 5 2" xfId="31105"/>
    <cellStyle name="Output 2 6 2 5 2 2" xfId="31106"/>
    <cellStyle name="Output 2 6 2 5 2 2 2" xfId="31107"/>
    <cellStyle name="Output 2 6 2 5 2 2 3" xfId="31108"/>
    <cellStyle name="Output 2 6 2 5 2 2 4" xfId="31109"/>
    <cellStyle name="Output 2 6 2 5 2 3" xfId="31110"/>
    <cellStyle name="Output 2 6 2 5 2 3 2" xfId="31111"/>
    <cellStyle name="Output 2 6 2 5 2 3 3" xfId="31112"/>
    <cellStyle name="Output 2 6 2 5 2 3 4" xfId="31113"/>
    <cellStyle name="Output 2 6 2 5 2 4" xfId="31114"/>
    <cellStyle name="Output 2 6 2 5 2 4 2" xfId="31115"/>
    <cellStyle name="Output 2 6 2 5 2 4 3" xfId="31116"/>
    <cellStyle name="Output 2 6 2 5 2 4 4" xfId="31117"/>
    <cellStyle name="Output 2 6 2 5 2 5" xfId="31118"/>
    <cellStyle name="Output 2 6 2 5 2 6" xfId="31119"/>
    <cellStyle name="Output 2 6 2 5 2 7" xfId="31120"/>
    <cellStyle name="Output 2 6 2 5 3" xfId="31121"/>
    <cellStyle name="Output 2 6 2 5 3 2" xfId="31122"/>
    <cellStyle name="Output 2 6 2 5 3 2 2" xfId="31123"/>
    <cellStyle name="Output 2 6 2 5 3 2 3" xfId="31124"/>
    <cellStyle name="Output 2 6 2 5 3 2 4" xfId="31125"/>
    <cellStyle name="Output 2 6 2 5 3 3" xfId="31126"/>
    <cellStyle name="Output 2 6 2 5 3 3 2" xfId="31127"/>
    <cellStyle name="Output 2 6 2 5 3 3 3" xfId="31128"/>
    <cellStyle name="Output 2 6 2 5 3 3 4" xfId="31129"/>
    <cellStyle name="Output 2 6 2 5 3 4" xfId="31130"/>
    <cellStyle name="Output 2 6 2 5 3 4 2" xfId="31131"/>
    <cellStyle name="Output 2 6 2 5 3 4 3" xfId="31132"/>
    <cellStyle name="Output 2 6 2 5 3 4 4" xfId="31133"/>
    <cellStyle name="Output 2 6 2 5 3 5" xfId="31134"/>
    <cellStyle name="Output 2 6 2 5 3 6" xfId="31135"/>
    <cellStyle name="Output 2 6 2 5 3 7" xfId="31136"/>
    <cellStyle name="Output 2 6 2 5 4" xfId="31137"/>
    <cellStyle name="Output 2 6 2 5 4 2" xfId="31138"/>
    <cellStyle name="Output 2 6 2 5 4 2 2" xfId="31139"/>
    <cellStyle name="Output 2 6 2 5 4 2 3" xfId="31140"/>
    <cellStyle name="Output 2 6 2 5 4 2 4" xfId="31141"/>
    <cellStyle name="Output 2 6 2 5 4 3" xfId="31142"/>
    <cellStyle name="Output 2 6 2 5 4 3 2" xfId="31143"/>
    <cellStyle name="Output 2 6 2 5 4 3 3" xfId="31144"/>
    <cellStyle name="Output 2 6 2 5 4 3 4" xfId="31145"/>
    <cellStyle name="Output 2 6 2 5 4 4" xfId="31146"/>
    <cellStyle name="Output 2 6 2 5 4 4 2" xfId="31147"/>
    <cellStyle name="Output 2 6 2 5 4 4 3" xfId="31148"/>
    <cellStyle name="Output 2 6 2 5 4 4 4" xfId="31149"/>
    <cellStyle name="Output 2 6 2 5 4 5" xfId="31150"/>
    <cellStyle name="Output 2 6 2 5 4 6" xfId="31151"/>
    <cellStyle name="Output 2 6 2 5 4 7" xfId="31152"/>
    <cellStyle name="Output 2 6 2 5 5" xfId="31153"/>
    <cellStyle name="Output 2 6 2 5 5 2" xfId="31154"/>
    <cellStyle name="Output 2 6 2 5 5 2 2" xfId="31155"/>
    <cellStyle name="Output 2 6 2 5 5 2 3" xfId="31156"/>
    <cellStyle name="Output 2 6 2 5 5 2 4" xfId="31157"/>
    <cellStyle name="Output 2 6 2 5 5 3" xfId="31158"/>
    <cellStyle name="Output 2 6 2 5 5 3 2" xfId="31159"/>
    <cellStyle name="Output 2 6 2 5 5 3 3" xfId="31160"/>
    <cellStyle name="Output 2 6 2 5 5 3 4" xfId="31161"/>
    <cellStyle name="Output 2 6 2 5 5 4" xfId="31162"/>
    <cellStyle name="Output 2 6 2 5 5 4 2" xfId="31163"/>
    <cellStyle name="Output 2 6 2 5 5 4 3" xfId="31164"/>
    <cellStyle name="Output 2 6 2 5 5 4 4" xfId="31165"/>
    <cellStyle name="Output 2 6 2 5 5 5" xfId="31166"/>
    <cellStyle name="Output 2 6 2 5 5 6" xfId="31167"/>
    <cellStyle name="Output 2 6 2 5 5 7" xfId="31168"/>
    <cellStyle name="Output 2 6 2 5 6" xfId="31169"/>
    <cellStyle name="Output 2 6 2 5 6 2" xfId="31170"/>
    <cellStyle name="Output 2 6 2 5 6 2 2" xfId="31171"/>
    <cellStyle name="Output 2 6 2 5 6 2 3" xfId="31172"/>
    <cellStyle name="Output 2 6 2 5 6 2 4" xfId="31173"/>
    <cellStyle name="Output 2 6 2 5 6 3" xfId="31174"/>
    <cellStyle name="Output 2 6 2 5 6 3 2" xfId="31175"/>
    <cellStyle name="Output 2 6 2 5 6 3 3" xfId="31176"/>
    <cellStyle name="Output 2 6 2 5 6 3 4" xfId="31177"/>
    <cellStyle name="Output 2 6 2 5 6 4" xfId="31178"/>
    <cellStyle name="Output 2 6 2 5 6 4 2" xfId="31179"/>
    <cellStyle name="Output 2 6 2 5 6 4 3" xfId="31180"/>
    <cellStyle name="Output 2 6 2 5 6 4 4" xfId="31181"/>
    <cellStyle name="Output 2 6 2 5 6 5" xfId="31182"/>
    <cellStyle name="Output 2 6 2 5 6 6" xfId="31183"/>
    <cellStyle name="Output 2 6 2 5 6 7" xfId="31184"/>
    <cellStyle name="Output 2 6 2 5 7" xfId="31185"/>
    <cellStyle name="Output 2 6 2 5 7 2" xfId="31186"/>
    <cellStyle name="Output 2 6 2 5 7 3" xfId="31187"/>
    <cellStyle name="Output 2 6 2 5 7 4" xfId="31188"/>
    <cellStyle name="Output 2 6 2 5 8" xfId="31189"/>
    <cellStyle name="Output 2 6 2 5 8 2" xfId="31190"/>
    <cellStyle name="Output 2 6 2 5 8 3" xfId="31191"/>
    <cellStyle name="Output 2 6 2 5 8 4" xfId="31192"/>
    <cellStyle name="Output 2 6 2 5 9" xfId="31193"/>
    <cellStyle name="Output 2 6 2 5 9 2" xfId="31194"/>
    <cellStyle name="Output 2 6 2 5 9 3" xfId="31195"/>
    <cellStyle name="Output 2 6 2 5 9 4" xfId="31196"/>
    <cellStyle name="Output 2 6 2 6" xfId="31197"/>
    <cellStyle name="Output 2 6 2 6 2" xfId="31198"/>
    <cellStyle name="Output 2 6 2 6 2 2" xfId="31199"/>
    <cellStyle name="Output 2 6 2 6 2 3" xfId="31200"/>
    <cellStyle name="Output 2 6 2 6 2 4" xfId="31201"/>
    <cellStyle name="Output 2 6 2 6 3" xfId="31202"/>
    <cellStyle name="Output 2 6 2 6 3 2" xfId="31203"/>
    <cellStyle name="Output 2 6 2 6 3 3" xfId="31204"/>
    <cellStyle name="Output 2 6 2 6 3 4" xfId="31205"/>
    <cellStyle name="Output 2 6 2 6 4" xfId="31206"/>
    <cellStyle name="Output 2 6 2 6 4 2" xfId="31207"/>
    <cellStyle name="Output 2 6 2 6 4 3" xfId="31208"/>
    <cellStyle name="Output 2 6 2 6 4 4" xfId="31209"/>
    <cellStyle name="Output 2 6 2 6 5" xfId="31210"/>
    <cellStyle name="Output 2 6 2 6 6" xfId="31211"/>
    <cellStyle name="Output 2 6 2 6 7" xfId="31212"/>
    <cellStyle name="Output 2 6 2 7" xfId="31213"/>
    <cellStyle name="Output 2 6 2 7 2" xfId="31214"/>
    <cellStyle name="Output 2 6 2 7 2 2" xfId="31215"/>
    <cellStyle name="Output 2 6 2 7 2 3" xfId="31216"/>
    <cellStyle name="Output 2 6 2 7 2 4" xfId="31217"/>
    <cellStyle name="Output 2 6 2 7 3" xfId="31218"/>
    <cellStyle name="Output 2 6 2 7 3 2" xfId="31219"/>
    <cellStyle name="Output 2 6 2 7 3 3" xfId="31220"/>
    <cellStyle name="Output 2 6 2 7 3 4" xfId="31221"/>
    <cellStyle name="Output 2 6 2 7 4" xfId="31222"/>
    <cellStyle name="Output 2 6 2 7 4 2" xfId="31223"/>
    <cellStyle name="Output 2 6 2 7 4 3" xfId="31224"/>
    <cellStyle name="Output 2 6 2 7 4 4" xfId="31225"/>
    <cellStyle name="Output 2 6 2 7 5" xfId="31226"/>
    <cellStyle name="Output 2 6 2 7 6" xfId="31227"/>
    <cellStyle name="Output 2 6 2 7 7" xfId="31228"/>
    <cellStyle name="Output 2 6 2 8" xfId="31229"/>
    <cellStyle name="Output 2 6 2 8 2" xfId="31230"/>
    <cellStyle name="Output 2 6 2 8 2 2" xfId="31231"/>
    <cellStyle name="Output 2 6 2 8 2 3" xfId="31232"/>
    <cellStyle name="Output 2 6 2 8 2 4" xfId="31233"/>
    <cellStyle name="Output 2 6 2 8 3" xfId="31234"/>
    <cellStyle name="Output 2 6 2 8 3 2" xfId="31235"/>
    <cellStyle name="Output 2 6 2 8 3 3" xfId="31236"/>
    <cellStyle name="Output 2 6 2 8 3 4" xfId="31237"/>
    <cellStyle name="Output 2 6 2 8 4" xfId="31238"/>
    <cellStyle name="Output 2 6 2 8 4 2" xfId="31239"/>
    <cellStyle name="Output 2 6 2 8 4 3" xfId="31240"/>
    <cellStyle name="Output 2 6 2 8 4 4" xfId="31241"/>
    <cellStyle name="Output 2 6 2 8 5" xfId="31242"/>
    <cellStyle name="Output 2 6 2 8 6" xfId="31243"/>
    <cellStyle name="Output 2 6 2 8 7" xfId="31244"/>
    <cellStyle name="Output 2 6 2 9" xfId="31245"/>
    <cellStyle name="Output 2 6 2 9 2" xfId="31246"/>
    <cellStyle name="Output 2 6 2 9 2 2" xfId="31247"/>
    <cellStyle name="Output 2 6 2 9 2 3" xfId="31248"/>
    <cellStyle name="Output 2 6 2 9 2 4" xfId="31249"/>
    <cellStyle name="Output 2 6 2 9 3" xfId="31250"/>
    <cellStyle name="Output 2 6 2 9 3 2" xfId="31251"/>
    <cellStyle name="Output 2 6 2 9 3 3" xfId="31252"/>
    <cellStyle name="Output 2 6 2 9 3 4" xfId="31253"/>
    <cellStyle name="Output 2 6 2 9 4" xfId="31254"/>
    <cellStyle name="Output 2 6 2 9 4 2" xfId="31255"/>
    <cellStyle name="Output 2 6 2 9 4 3" xfId="31256"/>
    <cellStyle name="Output 2 6 2 9 4 4" xfId="31257"/>
    <cellStyle name="Output 2 6 2 9 5" xfId="31258"/>
    <cellStyle name="Output 2 6 2 9 6" xfId="31259"/>
    <cellStyle name="Output 2 6 2 9 7" xfId="31260"/>
    <cellStyle name="Output 2 6 3" xfId="1085"/>
    <cellStyle name="Output 2 6 3 10" xfId="31261"/>
    <cellStyle name="Output 2 6 3 11" xfId="31262"/>
    <cellStyle name="Output 2 6 3 12" xfId="31263"/>
    <cellStyle name="Output 2 6 3 2" xfId="31264"/>
    <cellStyle name="Output 2 6 3 2 2" xfId="31265"/>
    <cellStyle name="Output 2 6 3 2 2 2" xfId="31266"/>
    <cellStyle name="Output 2 6 3 2 2 3" xfId="31267"/>
    <cellStyle name="Output 2 6 3 2 2 4" xfId="31268"/>
    <cellStyle name="Output 2 6 3 2 3" xfId="31269"/>
    <cellStyle name="Output 2 6 3 2 3 2" xfId="31270"/>
    <cellStyle name="Output 2 6 3 2 3 3" xfId="31271"/>
    <cellStyle name="Output 2 6 3 2 3 4" xfId="31272"/>
    <cellStyle name="Output 2 6 3 2 4" xfId="31273"/>
    <cellStyle name="Output 2 6 3 2 4 2" xfId="31274"/>
    <cellStyle name="Output 2 6 3 2 4 3" xfId="31275"/>
    <cellStyle name="Output 2 6 3 2 4 4" xfId="31276"/>
    <cellStyle name="Output 2 6 3 2 5" xfId="31277"/>
    <cellStyle name="Output 2 6 3 2 6" xfId="31278"/>
    <cellStyle name="Output 2 6 3 2 7" xfId="31279"/>
    <cellStyle name="Output 2 6 3 3" xfId="31280"/>
    <cellStyle name="Output 2 6 3 3 2" xfId="31281"/>
    <cellStyle name="Output 2 6 3 3 2 2" xfId="31282"/>
    <cellStyle name="Output 2 6 3 3 2 3" xfId="31283"/>
    <cellStyle name="Output 2 6 3 3 2 4" xfId="31284"/>
    <cellStyle name="Output 2 6 3 3 3" xfId="31285"/>
    <cellStyle name="Output 2 6 3 3 3 2" xfId="31286"/>
    <cellStyle name="Output 2 6 3 3 3 3" xfId="31287"/>
    <cellStyle name="Output 2 6 3 3 3 4" xfId="31288"/>
    <cellStyle name="Output 2 6 3 3 4" xfId="31289"/>
    <cellStyle name="Output 2 6 3 3 4 2" xfId="31290"/>
    <cellStyle name="Output 2 6 3 3 4 3" xfId="31291"/>
    <cellStyle name="Output 2 6 3 3 4 4" xfId="31292"/>
    <cellStyle name="Output 2 6 3 3 5" xfId="31293"/>
    <cellStyle name="Output 2 6 3 3 6" xfId="31294"/>
    <cellStyle name="Output 2 6 3 3 7" xfId="31295"/>
    <cellStyle name="Output 2 6 3 4" xfId="31296"/>
    <cellStyle name="Output 2 6 3 4 2" xfId="31297"/>
    <cellStyle name="Output 2 6 3 4 2 2" xfId="31298"/>
    <cellStyle name="Output 2 6 3 4 2 3" xfId="31299"/>
    <cellStyle name="Output 2 6 3 4 2 4" xfId="31300"/>
    <cellStyle name="Output 2 6 3 4 3" xfId="31301"/>
    <cellStyle name="Output 2 6 3 4 3 2" xfId="31302"/>
    <cellStyle name="Output 2 6 3 4 3 3" xfId="31303"/>
    <cellStyle name="Output 2 6 3 4 3 4" xfId="31304"/>
    <cellStyle name="Output 2 6 3 4 4" xfId="31305"/>
    <cellStyle name="Output 2 6 3 4 4 2" xfId="31306"/>
    <cellStyle name="Output 2 6 3 4 4 3" xfId="31307"/>
    <cellStyle name="Output 2 6 3 4 4 4" xfId="31308"/>
    <cellStyle name="Output 2 6 3 4 5" xfId="31309"/>
    <cellStyle name="Output 2 6 3 4 6" xfId="31310"/>
    <cellStyle name="Output 2 6 3 4 7" xfId="31311"/>
    <cellStyle name="Output 2 6 3 5" xfId="31312"/>
    <cellStyle name="Output 2 6 3 5 2" xfId="31313"/>
    <cellStyle name="Output 2 6 3 5 2 2" xfId="31314"/>
    <cellStyle name="Output 2 6 3 5 2 3" xfId="31315"/>
    <cellStyle name="Output 2 6 3 5 2 4" xfId="31316"/>
    <cellStyle name="Output 2 6 3 5 3" xfId="31317"/>
    <cellStyle name="Output 2 6 3 5 3 2" xfId="31318"/>
    <cellStyle name="Output 2 6 3 5 3 3" xfId="31319"/>
    <cellStyle name="Output 2 6 3 5 3 4" xfId="31320"/>
    <cellStyle name="Output 2 6 3 5 4" xfId="31321"/>
    <cellStyle name="Output 2 6 3 5 4 2" xfId="31322"/>
    <cellStyle name="Output 2 6 3 5 4 3" xfId="31323"/>
    <cellStyle name="Output 2 6 3 5 4 4" xfId="31324"/>
    <cellStyle name="Output 2 6 3 5 5" xfId="31325"/>
    <cellStyle name="Output 2 6 3 5 6" xfId="31326"/>
    <cellStyle name="Output 2 6 3 5 7" xfId="31327"/>
    <cellStyle name="Output 2 6 3 6" xfId="31328"/>
    <cellStyle name="Output 2 6 3 6 2" xfId="31329"/>
    <cellStyle name="Output 2 6 3 6 2 2" xfId="31330"/>
    <cellStyle name="Output 2 6 3 6 2 3" xfId="31331"/>
    <cellStyle name="Output 2 6 3 6 2 4" xfId="31332"/>
    <cellStyle name="Output 2 6 3 6 3" xfId="31333"/>
    <cellStyle name="Output 2 6 3 6 3 2" xfId="31334"/>
    <cellStyle name="Output 2 6 3 6 3 3" xfId="31335"/>
    <cellStyle name="Output 2 6 3 6 3 4" xfId="31336"/>
    <cellStyle name="Output 2 6 3 6 4" xfId="31337"/>
    <cellStyle name="Output 2 6 3 6 4 2" xfId="31338"/>
    <cellStyle name="Output 2 6 3 6 4 3" xfId="31339"/>
    <cellStyle name="Output 2 6 3 6 4 4" xfId="31340"/>
    <cellStyle name="Output 2 6 3 6 5" xfId="31341"/>
    <cellStyle name="Output 2 6 3 6 6" xfId="31342"/>
    <cellStyle name="Output 2 6 3 6 7" xfId="31343"/>
    <cellStyle name="Output 2 6 3 7" xfId="31344"/>
    <cellStyle name="Output 2 6 3 7 2" xfId="31345"/>
    <cellStyle name="Output 2 6 3 7 3" xfId="31346"/>
    <cellStyle name="Output 2 6 3 7 4" xfId="31347"/>
    <cellStyle name="Output 2 6 3 8" xfId="31348"/>
    <cellStyle name="Output 2 6 3 8 2" xfId="31349"/>
    <cellStyle name="Output 2 6 3 8 3" xfId="31350"/>
    <cellStyle name="Output 2 6 3 8 4" xfId="31351"/>
    <cellStyle name="Output 2 6 3 9" xfId="31352"/>
    <cellStyle name="Output 2 6 3 9 2" xfId="31353"/>
    <cellStyle name="Output 2 6 3 9 3" xfId="31354"/>
    <cellStyle name="Output 2 6 3 9 4" xfId="31355"/>
    <cellStyle name="Output 2 6 4" xfId="3195"/>
    <cellStyle name="Output 2 6 5" xfId="1055"/>
    <cellStyle name="Output 2 6 6" xfId="1138"/>
    <cellStyle name="Output 2 6 7" xfId="1136"/>
    <cellStyle name="Output 2 7" xfId="141"/>
    <cellStyle name="Output 2 7 2" xfId="637"/>
    <cellStyle name="Output 2 7 2 10" xfId="31356"/>
    <cellStyle name="Output 2 7 2 10 2" xfId="31357"/>
    <cellStyle name="Output 2 7 2 10 2 2" xfId="31358"/>
    <cellStyle name="Output 2 7 2 10 2 3" xfId="31359"/>
    <cellStyle name="Output 2 7 2 10 2 4" xfId="31360"/>
    <cellStyle name="Output 2 7 2 10 3" xfId="31361"/>
    <cellStyle name="Output 2 7 2 10 3 2" xfId="31362"/>
    <cellStyle name="Output 2 7 2 10 3 3" xfId="31363"/>
    <cellStyle name="Output 2 7 2 10 3 4" xfId="31364"/>
    <cellStyle name="Output 2 7 2 10 4" xfId="31365"/>
    <cellStyle name="Output 2 7 2 10 4 2" xfId="31366"/>
    <cellStyle name="Output 2 7 2 10 4 3" xfId="31367"/>
    <cellStyle name="Output 2 7 2 10 4 4" xfId="31368"/>
    <cellStyle name="Output 2 7 2 10 5" xfId="31369"/>
    <cellStyle name="Output 2 7 2 10 6" xfId="31370"/>
    <cellStyle name="Output 2 7 2 10 7" xfId="31371"/>
    <cellStyle name="Output 2 7 2 11" xfId="31372"/>
    <cellStyle name="Output 2 7 2 11 2" xfId="31373"/>
    <cellStyle name="Output 2 7 2 11 2 2" xfId="31374"/>
    <cellStyle name="Output 2 7 2 11 2 3" xfId="31375"/>
    <cellStyle name="Output 2 7 2 11 2 4" xfId="31376"/>
    <cellStyle name="Output 2 7 2 11 3" xfId="31377"/>
    <cellStyle name="Output 2 7 2 11 3 2" xfId="31378"/>
    <cellStyle name="Output 2 7 2 11 3 3" xfId="31379"/>
    <cellStyle name="Output 2 7 2 11 3 4" xfId="31380"/>
    <cellStyle name="Output 2 7 2 11 4" xfId="31381"/>
    <cellStyle name="Output 2 7 2 11 4 2" xfId="31382"/>
    <cellStyle name="Output 2 7 2 11 4 3" xfId="31383"/>
    <cellStyle name="Output 2 7 2 11 4 4" xfId="31384"/>
    <cellStyle name="Output 2 7 2 11 5" xfId="31385"/>
    <cellStyle name="Output 2 7 2 11 6" xfId="31386"/>
    <cellStyle name="Output 2 7 2 11 7" xfId="31387"/>
    <cellStyle name="Output 2 7 2 12" xfId="31388"/>
    <cellStyle name="Output 2 7 2 12 2" xfId="31389"/>
    <cellStyle name="Output 2 7 2 12 2 2" xfId="31390"/>
    <cellStyle name="Output 2 7 2 12 2 3" xfId="31391"/>
    <cellStyle name="Output 2 7 2 12 2 4" xfId="31392"/>
    <cellStyle name="Output 2 7 2 12 3" xfId="31393"/>
    <cellStyle name="Output 2 7 2 12 3 2" xfId="31394"/>
    <cellStyle name="Output 2 7 2 12 3 3" xfId="31395"/>
    <cellStyle name="Output 2 7 2 12 3 4" xfId="31396"/>
    <cellStyle name="Output 2 7 2 12 4" xfId="31397"/>
    <cellStyle name="Output 2 7 2 12 4 2" xfId="31398"/>
    <cellStyle name="Output 2 7 2 12 4 3" xfId="31399"/>
    <cellStyle name="Output 2 7 2 12 4 4" xfId="31400"/>
    <cellStyle name="Output 2 7 2 12 5" xfId="31401"/>
    <cellStyle name="Output 2 7 2 12 6" xfId="31402"/>
    <cellStyle name="Output 2 7 2 12 7" xfId="31403"/>
    <cellStyle name="Output 2 7 2 13" xfId="31404"/>
    <cellStyle name="Output 2 7 2 13 2" xfId="31405"/>
    <cellStyle name="Output 2 7 2 13 2 2" xfId="31406"/>
    <cellStyle name="Output 2 7 2 13 2 3" xfId="31407"/>
    <cellStyle name="Output 2 7 2 13 2 4" xfId="31408"/>
    <cellStyle name="Output 2 7 2 13 3" xfId="31409"/>
    <cellStyle name="Output 2 7 2 13 3 2" xfId="31410"/>
    <cellStyle name="Output 2 7 2 13 3 3" xfId="31411"/>
    <cellStyle name="Output 2 7 2 13 3 4" xfId="31412"/>
    <cellStyle name="Output 2 7 2 13 4" xfId="31413"/>
    <cellStyle name="Output 2 7 2 13 4 2" xfId="31414"/>
    <cellStyle name="Output 2 7 2 13 4 3" xfId="31415"/>
    <cellStyle name="Output 2 7 2 13 4 4" xfId="31416"/>
    <cellStyle name="Output 2 7 2 13 5" xfId="31417"/>
    <cellStyle name="Output 2 7 2 13 6" xfId="31418"/>
    <cellStyle name="Output 2 7 2 13 7" xfId="31419"/>
    <cellStyle name="Output 2 7 2 14" xfId="31420"/>
    <cellStyle name="Output 2 7 2 14 2" xfId="31421"/>
    <cellStyle name="Output 2 7 2 14 3" xfId="31422"/>
    <cellStyle name="Output 2 7 2 14 4" xfId="31423"/>
    <cellStyle name="Output 2 7 2 15" xfId="31424"/>
    <cellStyle name="Output 2 7 2 15 2" xfId="31425"/>
    <cellStyle name="Output 2 7 2 15 3" xfId="31426"/>
    <cellStyle name="Output 2 7 2 15 4" xfId="31427"/>
    <cellStyle name="Output 2 7 2 16" xfId="31428"/>
    <cellStyle name="Output 2 7 2 16 2" xfId="31429"/>
    <cellStyle name="Output 2 7 2 16 3" xfId="31430"/>
    <cellStyle name="Output 2 7 2 16 4" xfId="31431"/>
    <cellStyle name="Output 2 7 2 17" xfId="31432"/>
    <cellStyle name="Output 2 7 2 18" xfId="31433"/>
    <cellStyle name="Output 2 7 2 19" xfId="31434"/>
    <cellStyle name="Output 2 7 2 2" xfId="897"/>
    <cellStyle name="Output 2 7 2 2 10" xfId="31435"/>
    <cellStyle name="Output 2 7 2 2 11" xfId="31436"/>
    <cellStyle name="Output 2 7 2 2 12" xfId="31437"/>
    <cellStyle name="Output 2 7 2 2 2" xfId="31438"/>
    <cellStyle name="Output 2 7 2 2 2 2" xfId="31439"/>
    <cellStyle name="Output 2 7 2 2 2 2 2" xfId="31440"/>
    <cellStyle name="Output 2 7 2 2 2 2 3" xfId="31441"/>
    <cellStyle name="Output 2 7 2 2 2 2 4" xfId="31442"/>
    <cellStyle name="Output 2 7 2 2 2 3" xfId="31443"/>
    <cellStyle name="Output 2 7 2 2 2 3 2" xfId="31444"/>
    <cellStyle name="Output 2 7 2 2 2 3 3" xfId="31445"/>
    <cellStyle name="Output 2 7 2 2 2 3 4" xfId="31446"/>
    <cellStyle name="Output 2 7 2 2 2 4" xfId="31447"/>
    <cellStyle name="Output 2 7 2 2 2 4 2" xfId="31448"/>
    <cellStyle name="Output 2 7 2 2 2 4 3" xfId="31449"/>
    <cellStyle name="Output 2 7 2 2 2 4 4" xfId="31450"/>
    <cellStyle name="Output 2 7 2 2 2 5" xfId="31451"/>
    <cellStyle name="Output 2 7 2 2 2 6" xfId="31452"/>
    <cellStyle name="Output 2 7 2 2 2 7" xfId="31453"/>
    <cellStyle name="Output 2 7 2 2 3" xfId="31454"/>
    <cellStyle name="Output 2 7 2 2 3 2" xfId="31455"/>
    <cellStyle name="Output 2 7 2 2 3 2 2" xfId="31456"/>
    <cellStyle name="Output 2 7 2 2 3 2 3" xfId="31457"/>
    <cellStyle name="Output 2 7 2 2 3 2 4" xfId="31458"/>
    <cellStyle name="Output 2 7 2 2 3 3" xfId="31459"/>
    <cellStyle name="Output 2 7 2 2 3 3 2" xfId="31460"/>
    <cellStyle name="Output 2 7 2 2 3 3 3" xfId="31461"/>
    <cellStyle name="Output 2 7 2 2 3 3 4" xfId="31462"/>
    <cellStyle name="Output 2 7 2 2 3 4" xfId="31463"/>
    <cellStyle name="Output 2 7 2 2 3 4 2" xfId="31464"/>
    <cellStyle name="Output 2 7 2 2 3 4 3" xfId="31465"/>
    <cellStyle name="Output 2 7 2 2 3 4 4" xfId="31466"/>
    <cellStyle name="Output 2 7 2 2 3 5" xfId="31467"/>
    <cellStyle name="Output 2 7 2 2 3 6" xfId="31468"/>
    <cellStyle name="Output 2 7 2 2 3 7" xfId="31469"/>
    <cellStyle name="Output 2 7 2 2 4" xfId="31470"/>
    <cellStyle name="Output 2 7 2 2 4 2" xfId="31471"/>
    <cellStyle name="Output 2 7 2 2 4 2 2" xfId="31472"/>
    <cellStyle name="Output 2 7 2 2 4 2 3" xfId="31473"/>
    <cellStyle name="Output 2 7 2 2 4 2 4" xfId="31474"/>
    <cellStyle name="Output 2 7 2 2 4 3" xfId="31475"/>
    <cellStyle name="Output 2 7 2 2 4 3 2" xfId="31476"/>
    <cellStyle name="Output 2 7 2 2 4 3 3" xfId="31477"/>
    <cellStyle name="Output 2 7 2 2 4 3 4" xfId="31478"/>
    <cellStyle name="Output 2 7 2 2 4 4" xfId="31479"/>
    <cellStyle name="Output 2 7 2 2 4 4 2" xfId="31480"/>
    <cellStyle name="Output 2 7 2 2 4 4 3" xfId="31481"/>
    <cellStyle name="Output 2 7 2 2 4 4 4" xfId="31482"/>
    <cellStyle name="Output 2 7 2 2 4 5" xfId="31483"/>
    <cellStyle name="Output 2 7 2 2 4 6" xfId="31484"/>
    <cellStyle name="Output 2 7 2 2 4 7" xfId="31485"/>
    <cellStyle name="Output 2 7 2 2 5" xfId="31486"/>
    <cellStyle name="Output 2 7 2 2 5 2" xfId="31487"/>
    <cellStyle name="Output 2 7 2 2 5 2 2" xfId="31488"/>
    <cellStyle name="Output 2 7 2 2 5 2 3" xfId="31489"/>
    <cellStyle name="Output 2 7 2 2 5 2 4" xfId="31490"/>
    <cellStyle name="Output 2 7 2 2 5 3" xfId="31491"/>
    <cellStyle name="Output 2 7 2 2 5 3 2" xfId="31492"/>
    <cellStyle name="Output 2 7 2 2 5 3 3" xfId="31493"/>
    <cellStyle name="Output 2 7 2 2 5 3 4" xfId="31494"/>
    <cellStyle name="Output 2 7 2 2 5 4" xfId="31495"/>
    <cellStyle name="Output 2 7 2 2 5 4 2" xfId="31496"/>
    <cellStyle name="Output 2 7 2 2 5 4 3" xfId="31497"/>
    <cellStyle name="Output 2 7 2 2 5 4 4" xfId="31498"/>
    <cellStyle name="Output 2 7 2 2 5 5" xfId="31499"/>
    <cellStyle name="Output 2 7 2 2 5 6" xfId="31500"/>
    <cellStyle name="Output 2 7 2 2 5 7" xfId="31501"/>
    <cellStyle name="Output 2 7 2 2 6" xfId="31502"/>
    <cellStyle name="Output 2 7 2 2 6 2" xfId="31503"/>
    <cellStyle name="Output 2 7 2 2 6 2 2" xfId="31504"/>
    <cellStyle name="Output 2 7 2 2 6 2 3" xfId="31505"/>
    <cellStyle name="Output 2 7 2 2 6 2 4" xfId="31506"/>
    <cellStyle name="Output 2 7 2 2 6 3" xfId="31507"/>
    <cellStyle name="Output 2 7 2 2 6 3 2" xfId="31508"/>
    <cellStyle name="Output 2 7 2 2 6 3 3" xfId="31509"/>
    <cellStyle name="Output 2 7 2 2 6 3 4" xfId="31510"/>
    <cellStyle name="Output 2 7 2 2 6 4" xfId="31511"/>
    <cellStyle name="Output 2 7 2 2 6 4 2" xfId="31512"/>
    <cellStyle name="Output 2 7 2 2 6 4 3" xfId="31513"/>
    <cellStyle name="Output 2 7 2 2 6 4 4" xfId="31514"/>
    <cellStyle name="Output 2 7 2 2 6 5" xfId="31515"/>
    <cellStyle name="Output 2 7 2 2 6 6" xfId="31516"/>
    <cellStyle name="Output 2 7 2 2 6 7" xfId="31517"/>
    <cellStyle name="Output 2 7 2 2 7" xfId="31518"/>
    <cellStyle name="Output 2 7 2 2 7 2" xfId="31519"/>
    <cellStyle name="Output 2 7 2 2 7 3" xfId="31520"/>
    <cellStyle name="Output 2 7 2 2 7 4" xfId="31521"/>
    <cellStyle name="Output 2 7 2 2 8" xfId="31522"/>
    <cellStyle name="Output 2 7 2 2 8 2" xfId="31523"/>
    <cellStyle name="Output 2 7 2 2 8 3" xfId="31524"/>
    <cellStyle name="Output 2 7 2 2 8 4" xfId="31525"/>
    <cellStyle name="Output 2 7 2 2 9" xfId="31526"/>
    <cellStyle name="Output 2 7 2 2 9 2" xfId="31527"/>
    <cellStyle name="Output 2 7 2 2 9 3" xfId="31528"/>
    <cellStyle name="Output 2 7 2 2 9 4" xfId="31529"/>
    <cellStyle name="Output 2 7 2 3" xfId="785"/>
    <cellStyle name="Output 2 7 2 3 10" xfId="31530"/>
    <cellStyle name="Output 2 7 2 3 11" xfId="31531"/>
    <cellStyle name="Output 2 7 2 3 12" xfId="31532"/>
    <cellStyle name="Output 2 7 2 3 2" xfId="31533"/>
    <cellStyle name="Output 2 7 2 3 2 2" xfId="31534"/>
    <cellStyle name="Output 2 7 2 3 2 2 2" xfId="31535"/>
    <cellStyle name="Output 2 7 2 3 2 2 3" xfId="31536"/>
    <cellStyle name="Output 2 7 2 3 2 2 4" xfId="31537"/>
    <cellStyle name="Output 2 7 2 3 2 3" xfId="31538"/>
    <cellStyle name="Output 2 7 2 3 2 3 2" xfId="31539"/>
    <cellStyle name="Output 2 7 2 3 2 3 3" xfId="31540"/>
    <cellStyle name="Output 2 7 2 3 2 3 4" xfId="31541"/>
    <cellStyle name="Output 2 7 2 3 2 4" xfId="31542"/>
    <cellStyle name="Output 2 7 2 3 2 4 2" xfId="31543"/>
    <cellStyle name="Output 2 7 2 3 2 4 3" xfId="31544"/>
    <cellStyle name="Output 2 7 2 3 2 4 4" xfId="31545"/>
    <cellStyle name="Output 2 7 2 3 2 5" xfId="31546"/>
    <cellStyle name="Output 2 7 2 3 2 6" xfId="31547"/>
    <cellStyle name="Output 2 7 2 3 2 7" xfId="31548"/>
    <cellStyle name="Output 2 7 2 3 3" xfId="31549"/>
    <cellStyle name="Output 2 7 2 3 3 2" xfId="31550"/>
    <cellStyle name="Output 2 7 2 3 3 2 2" xfId="31551"/>
    <cellStyle name="Output 2 7 2 3 3 2 3" xfId="31552"/>
    <cellStyle name="Output 2 7 2 3 3 2 4" xfId="31553"/>
    <cellStyle name="Output 2 7 2 3 3 3" xfId="31554"/>
    <cellStyle name="Output 2 7 2 3 3 3 2" xfId="31555"/>
    <cellStyle name="Output 2 7 2 3 3 3 3" xfId="31556"/>
    <cellStyle name="Output 2 7 2 3 3 3 4" xfId="31557"/>
    <cellStyle name="Output 2 7 2 3 3 4" xfId="31558"/>
    <cellStyle name="Output 2 7 2 3 3 4 2" xfId="31559"/>
    <cellStyle name="Output 2 7 2 3 3 4 3" xfId="31560"/>
    <cellStyle name="Output 2 7 2 3 3 4 4" xfId="31561"/>
    <cellStyle name="Output 2 7 2 3 3 5" xfId="31562"/>
    <cellStyle name="Output 2 7 2 3 3 6" xfId="31563"/>
    <cellStyle name="Output 2 7 2 3 3 7" xfId="31564"/>
    <cellStyle name="Output 2 7 2 3 4" xfId="31565"/>
    <cellStyle name="Output 2 7 2 3 4 2" xfId="31566"/>
    <cellStyle name="Output 2 7 2 3 4 2 2" xfId="31567"/>
    <cellStyle name="Output 2 7 2 3 4 2 3" xfId="31568"/>
    <cellStyle name="Output 2 7 2 3 4 2 4" xfId="31569"/>
    <cellStyle name="Output 2 7 2 3 4 3" xfId="31570"/>
    <cellStyle name="Output 2 7 2 3 4 3 2" xfId="31571"/>
    <cellStyle name="Output 2 7 2 3 4 3 3" xfId="31572"/>
    <cellStyle name="Output 2 7 2 3 4 3 4" xfId="31573"/>
    <cellStyle name="Output 2 7 2 3 4 4" xfId="31574"/>
    <cellStyle name="Output 2 7 2 3 4 4 2" xfId="31575"/>
    <cellStyle name="Output 2 7 2 3 4 4 3" xfId="31576"/>
    <cellStyle name="Output 2 7 2 3 4 4 4" xfId="31577"/>
    <cellStyle name="Output 2 7 2 3 4 5" xfId="31578"/>
    <cellStyle name="Output 2 7 2 3 4 6" xfId="31579"/>
    <cellStyle name="Output 2 7 2 3 4 7" xfId="31580"/>
    <cellStyle name="Output 2 7 2 3 5" xfId="31581"/>
    <cellStyle name="Output 2 7 2 3 5 2" xfId="31582"/>
    <cellStyle name="Output 2 7 2 3 5 2 2" xfId="31583"/>
    <cellStyle name="Output 2 7 2 3 5 2 3" xfId="31584"/>
    <cellStyle name="Output 2 7 2 3 5 2 4" xfId="31585"/>
    <cellStyle name="Output 2 7 2 3 5 3" xfId="31586"/>
    <cellStyle name="Output 2 7 2 3 5 3 2" xfId="31587"/>
    <cellStyle name="Output 2 7 2 3 5 3 3" xfId="31588"/>
    <cellStyle name="Output 2 7 2 3 5 3 4" xfId="31589"/>
    <cellStyle name="Output 2 7 2 3 5 4" xfId="31590"/>
    <cellStyle name="Output 2 7 2 3 5 4 2" xfId="31591"/>
    <cellStyle name="Output 2 7 2 3 5 4 3" xfId="31592"/>
    <cellStyle name="Output 2 7 2 3 5 4 4" xfId="31593"/>
    <cellStyle name="Output 2 7 2 3 5 5" xfId="31594"/>
    <cellStyle name="Output 2 7 2 3 5 6" xfId="31595"/>
    <cellStyle name="Output 2 7 2 3 5 7" xfId="31596"/>
    <cellStyle name="Output 2 7 2 3 6" xfId="31597"/>
    <cellStyle name="Output 2 7 2 3 6 2" xfId="31598"/>
    <cellStyle name="Output 2 7 2 3 6 2 2" xfId="31599"/>
    <cellStyle name="Output 2 7 2 3 6 2 3" xfId="31600"/>
    <cellStyle name="Output 2 7 2 3 6 2 4" xfId="31601"/>
    <cellStyle name="Output 2 7 2 3 6 3" xfId="31602"/>
    <cellStyle name="Output 2 7 2 3 6 3 2" xfId="31603"/>
    <cellStyle name="Output 2 7 2 3 6 3 3" xfId="31604"/>
    <cellStyle name="Output 2 7 2 3 6 3 4" xfId="31605"/>
    <cellStyle name="Output 2 7 2 3 6 4" xfId="31606"/>
    <cellStyle name="Output 2 7 2 3 6 4 2" xfId="31607"/>
    <cellStyle name="Output 2 7 2 3 6 4 3" xfId="31608"/>
    <cellStyle name="Output 2 7 2 3 6 4 4" xfId="31609"/>
    <cellStyle name="Output 2 7 2 3 6 5" xfId="31610"/>
    <cellStyle name="Output 2 7 2 3 6 6" xfId="31611"/>
    <cellStyle name="Output 2 7 2 3 6 7" xfId="31612"/>
    <cellStyle name="Output 2 7 2 3 7" xfId="31613"/>
    <cellStyle name="Output 2 7 2 3 7 2" xfId="31614"/>
    <cellStyle name="Output 2 7 2 3 7 3" xfId="31615"/>
    <cellStyle name="Output 2 7 2 3 7 4" xfId="31616"/>
    <cellStyle name="Output 2 7 2 3 8" xfId="31617"/>
    <cellStyle name="Output 2 7 2 3 8 2" xfId="31618"/>
    <cellStyle name="Output 2 7 2 3 8 3" xfId="31619"/>
    <cellStyle name="Output 2 7 2 3 8 4" xfId="31620"/>
    <cellStyle name="Output 2 7 2 3 9" xfId="31621"/>
    <cellStyle name="Output 2 7 2 3 9 2" xfId="31622"/>
    <cellStyle name="Output 2 7 2 3 9 3" xfId="31623"/>
    <cellStyle name="Output 2 7 2 3 9 4" xfId="31624"/>
    <cellStyle name="Output 2 7 2 4" xfId="966"/>
    <cellStyle name="Output 2 7 2 4 10" xfId="31625"/>
    <cellStyle name="Output 2 7 2 4 11" xfId="31626"/>
    <cellStyle name="Output 2 7 2 4 12" xfId="31627"/>
    <cellStyle name="Output 2 7 2 4 2" xfId="31628"/>
    <cellStyle name="Output 2 7 2 4 2 2" xfId="31629"/>
    <cellStyle name="Output 2 7 2 4 2 2 2" xfId="31630"/>
    <cellStyle name="Output 2 7 2 4 2 2 3" xfId="31631"/>
    <cellStyle name="Output 2 7 2 4 2 2 4" xfId="31632"/>
    <cellStyle name="Output 2 7 2 4 2 3" xfId="31633"/>
    <cellStyle name="Output 2 7 2 4 2 3 2" xfId="31634"/>
    <cellStyle name="Output 2 7 2 4 2 3 3" xfId="31635"/>
    <cellStyle name="Output 2 7 2 4 2 3 4" xfId="31636"/>
    <cellStyle name="Output 2 7 2 4 2 4" xfId="31637"/>
    <cellStyle name="Output 2 7 2 4 2 4 2" xfId="31638"/>
    <cellStyle name="Output 2 7 2 4 2 4 3" xfId="31639"/>
    <cellStyle name="Output 2 7 2 4 2 4 4" xfId="31640"/>
    <cellStyle name="Output 2 7 2 4 2 5" xfId="31641"/>
    <cellStyle name="Output 2 7 2 4 2 6" xfId="31642"/>
    <cellStyle name="Output 2 7 2 4 2 7" xfId="31643"/>
    <cellStyle name="Output 2 7 2 4 3" xfId="31644"/>
    <cellStyle name="Output 2 7 2 4 3 2" xfId="31645"/>
    <cellStyle name="Output 2 7 2 4 3 2 2" xfId="31646"/>
    <cellStyle name="Output 2 7 2 4 3 2 3" xfId="31647"/>
    <cellStyle name="Output 2 7 2 4 3 2 4" xfId="31648"/>
    <cellStyle name="Output 2 7 2 4 3 3" xfId="31649"/>
    <cellStyle name="Output 2 7 2 4 3 3 2" xfId="31650"/>
    <cellStyle name="Output 2 7 2 4 3 3 3" xfId="31651"/>
    <cellStyle name="Output 2 7 2 4 3 3 4" xfId="31652"/>
    <cellStyle name="Output 2 7 2 4 3 4" xfId="31653"/>
    <cellStyle name="Output 2 7 2 4 3 4 2" xfId="31654"/>
    <cellStyle name="Output 2 7 2 4 3 4 3" xfId="31655"/>
    <cellStyle name="Output 2 7 2 4 3 4 4" xfId="31656"/>
    <cellStyle name="Output 2 7 2 4 3 5" xfId="31657"/>
    <cellStyle name="Output 2 7 2 4 3 6" xfId="31658"/>
    <cellStyle name="Output 2 7 2 4 3 7" xfId="31659"/>
    <cellStyle name="Output 2 7 2 4 4" xfId="31660"/>
    <cellStyle name="Output 2 7 2 4 4 2" xfId="31661"/>
    <cellStyle name="Output 2 7 2 4 4 2 2" xfId="31662"/>
    <cellStyle name="Output 2 7 2 4 4 2 3" xfId="31663"/>
    <cellStyle name="Output 2 7 2 4 4 2 4" xfId="31664"/>
    <cellStyle name="Output 2 7 2 4 4 3" xfId="31665"/>
    <cellStyle name="Output 2 7 2 4 4 3 2" xfId="31666"/>
    <cellStyle name="Output 2 7 2 4 4 3 3" xfId="31667"/>
    <cellStyle name="Output 2 7 2 4 4 3 4" xfId="31668"/>
    <cellStyle name="Output 2 7 2 4 4 4" xfId="31669"/>
    <cellStyle name="Output 2 7 2 4 4 4 2" xfId="31670"/>
    <cellStyle name="Output 2 7 2 4 4 4 3" xfId="31671"/>
    <cellStyle name="Output 2 7 2 4 4 4 4" xfId="31672"/>
    <cellStyle name="Output 2 7 2 4 4 5" xfId="31673"/>
    <cellStyle name="Output 2 7 2 4 4 6" xfId="31674"/>
    <cellStyle name="Output 2 7 2 4 4 7" xfId="31675"/>
    <cellStyle name="Output 2 7 2 4 5" xfId="31676"/>
    <cellStyle name="Output 2 7 2 4 5 2" xfId="31677"/>
    <cellStyle name="Output 2 7 2 4 5 2 2" xfId="31678"/>
    <cellStyle name="Output 2 7 2 4 5 2 3" xfId="31679"/>
    <cellStyle name="Output 2 7 2 4 5 2 4" xfId="31680"/>
    <cellStyle name="Output 2 7 2 4 5 3" xfId="31681"/>
    <cellStyle name="Output 2 7 2 4 5 3 2" xfId="31682"/>
    <cellStyle name="Output 2 7 2 4 5 3 3" xfId="31683"/>
    <cellStyle name="Output 2 7 2 4 5 3 4" xfId="31684"/>
    <cellStyle name="Output 2 7 2 4 5 4" xfId="31685"/>
    <cellStyle name="Output 2 7 2 4 5 4 2" xfId="31686"/>
    <cellStyle name="Output 2 7 2 4 5 4 3" xfId="31687"/>
    <cellStyle name="Output 2 7 2 4 5 4 4" xfId="31688"/>
    <cellStyle name="Output 2 7 2 4 5 5" xfId="31689"/>
    <cellStyle name="Output 2 7 2 4 5 6" xfId="31690"/>
    <cellStyle name="Output 2 7 2 4 5 7" xfId="31691"/>
    <cellStyle name="Output 2 7 2 4 6" xfId="31692"/>
    <cellStyle name="Output 2 7 2 4 6 2" xfId="31693"/>
    <cellStyle name="Output 2 7 2 4 6 2 2" xfId="31694"/>
    <cellStyle name="Output 2 7 2 4 6 2 3" xfId="31695"/>
    <cellStyle name="Output 2 7 2 4 6 2 4" xfId="31696"/>
    <cellStyle name="Output 2 7 2 4 6 3" xfId="31697"/>
    <cellStyle name="Output 2 7 2 4 6 3 2" xfId="31698"/>
    <cellStyle name="Output 2 7 2 4 6 3 3" xfId="31699"/>
    <cellStyle name="Output 2 7 2 4 6 3 4" xfId="31700"/>
    <cellStyle name="Output 2 7 2 4 6 4" xfId="31701"/>
    <cellStyle name="Output 2 7 2 4 6 4 2" xfId="31702"/>
    <cellStyle name="Output 2 7 2 4 6 4 3" xfId="31703"/>
    <cellStyle name="Output 2 7 2 4 6 4 4" xfId="31704"/>
    <cellStyle name="Output 2 7 2 4 6 5" xfId="31705"/>
    <cellStyle name="Output 2 7 2 4 6 6" xfId="31706"/>
    <cellStyle name="Output 2 7 2 4 6 7" xfId="31707"/>
    <cellStyle name="Output 2 7 2 4 7" xfId="31708"/>
    <cellStyle name="Output 2 7 2 4 7 2" xfId="31709"/>
    <cellStyle name="Output 2 7 2 4 7 3" xfId="31710"/>
    <cellStyle name="Output 2 7 2 4 7 4" xfId="31711"/>
    <cellStyle name="Output 2 7 2 4 8" xfId="31712"/>
    <cellStyle name="Output 2 7 2 4 8 2" xfId="31713"/>
    <cellStyle name="Output 2 7 2 4 8 3" xfId="31714"/>
    <cellStyle name="Output 2 7 2 4 8 4" xfId="31715"/>
    <cellStyle name="Output 2 7 2 4 9" xfId="31716"/>
    <cellStyle name="Output 2 7 2 4 9 2" xfId="31717"/>
    <cellStyle name="Output 2 7 2 4 9 3" xfId="31718"/>
    <cellStyle name="Output 2 7 2 4 9 4" xfId="31719"/>
    <cellStyle name="Output 2 7 2 5" xfId="31720"/>
    <cellStyle name="Output 2 7 2 5 10" xfId="31721"/>
    <cellStyle name="Output 2 7 2 5 11" xfId="31722"/>
    <cellStyle name="Output 2 7 2 5 12" xfId="31723"/>
    <cellStyle name="Output 2 7 2 5 2" xfId="31724"/>
    <cellStyle name="Output 2 7 2 5 2 2" xfId="31725"/>
    <cellStyle name="Output 2 7 2 5 2 2 2" xfId="31726"/>
    <cellStyle name="Output 2 7 2 5 2 2 3" xfId="31727"/>
    <cellStyle name="Output 2 7 2 5 2 2 4" xfId="31728"/>
    <cellStyle name="Output 2 7 2 5 2 3" xfId="31729"/>
    <cellStyle name="Output 2 7 2 5 2 3 2" xfId="31730"/>
    <cellStyle name="Output 2 7 2 5 2 3 3" xfId="31731"/>
    <cellStyle name="Output 2 7 2 5 2 3 4" xfId="31732"/>
    <cellStyle name="Output 2 7 2 5 2 4" xfId="31733"/>
    <cellStyle name="Output 2 7 2 5 2 4 2" xfId="31734"/>
    <cellStyle name="Output 2 7 2 5 2 4 3" xfId="31735"/>
    <cellStyle name="Output 2 7 2 5 2 4 4" xfId="31736"/>
    <cellStyle name="Output 2 7 2 5 2 5" xfId="31737"/>
    <cellStyle name="Output 2 7 2 5 2 6" xfId="31738"/>
    <cellStyle name="Output 2 7 2 5 2 7" xfId="31739"/>
    <cellStyle name="Output 2 7 2 5 3" xfId="31740"/>
    <cellStyle name="Output 2 7 2 5 3 2" xfId="31741"/>
    <cellStyle name="Output 2 7 2 5 3 2 2" xfId="31742"/>
    <cellStyle name="Output 2 7 2 5 3 2 3" xfId="31743"/>
    <cellStyle name="Output 2 7 2 5 3 2 4" xfId="31744"/>
    <cellStyle name="Output 2 7 2 5 3 3" xfId="31745"/>
    <cellStyle name="Output 2 7 2 5 3 3 2" xfId="31746"/>
    <cellStyle name="Output 2 7 2 5 3 3 3" xfId="31747"/>
    <cellStyle name="Output 2 7 2 5 3 3 4" xfId="31748"/>
    <cellStyle name="Output 2 7 2 5 3 4" xfId="31749"/>
    <cellStyle name="Output 2 7 2 5 3 4 2" xfId="31750"/>
    <cellStyle name="Output 2 7 2 5 3 4 3" xfId="31751"/>
    <cellStyle name="Output 2 7 2 5 3 4 4" xfId="31752"/>
    <cellStyle name="Output 2 7 2 5 3 5" xfId="31753"/>
    <cellStyle name="Output 2 7 2 5 3 6" xfId="31754"/>
    <cellStyle name="Output 2 7 2 5 3 7" xfId="31755"/>
    <cellStyle name="Output 2 7 2 5 4" xfId="31756"/>
    <cellStyle name="Output 2 7 2 5 4 2" xfId="31757"/>
    <cellStyle name="Output 2 7 2 5 4 2 2" xfId="31758"/>
    <cellStyle name="Output 2 7 2 5 4 2 3" xfId="31759"/>
    <cellStyle name="Output 2 7 2 5 4 2 4" xfId="31760"/>
    <cellStyle name="Output 2 7 2 5 4 3" xfId="31761"/>
    <cellStyle name="Output 2 7 2 5 4 3 2" xfId="31762"/>
    <cellStyle name="Output 2 7 2 5 4 3 3" xfId="31763"/>
    <cellStyle name="Output 2 7 2 5 4 3 4" xfId="31764"/>
    <cellStyle name="Output 2 7 2 5 4 4" xfId="31765"/>
    <cellStyle name="Output 2 7 2 5 4 4 2" xfId="31766"/>
    <cellStyle name="Output 2 7 2 5 4 4 3" xfId="31767"/>
    <cellStyle name="Output 2 7 2 5 4 4 4" xfId="31768"/>
    <cellStyle name="Output 2 7 2 5 4 5" xfId="31769"/>
    <cellStyle name="Output 2 7 2 5 4 6" xfId="31770"/>
    <cellStyle name="Output 2 7 2 5 4 7" xfId="31771"/>
    <cellStyle name="Output 2 7 2 5 5" xfId="31772"/>
    <cellStyle name="Output 2 7 2 5 5 2" xfId="31773"/>
    <cellStyle name="Output 2 7 2 5 5 2 2" xfId="31774"/>
    <cellStyle name="Output 2 7 2 5 5 2 3" xfId="31775"/>
    <cellStyle name="Output 2 7 2 5 5 2 4" xfId="31776"/>
    <cellStyle name="Output 2 7 2 5 5 3" xfId="31777"/>
    <cellStyle name="Output 2 7 2 5 5 3 2" xfId="31778"/>
    <cellStyle name="Output 2 7 2 5 5 3 3" xfId="31779"/>
    <cellStyle name="Output 2 7 2 5 5 3 4" xfId="31780"/>
    <cellStyle name="Output 2 7 2 5 5 4" xfId="31781"/>
    <cellStyle name="Output 2 7 2 5 5 4 2" xfId="31782"/>
    <cellStyle name="Output 2 7 2 5 5 4 3" xfId="31783"/>
    <cellStyle name="Output 2 7 2 5 5 4 4" xfId="31784"/>
    <cellStyle name="Output 2 7 2 5 5 5" xfId="31785"/>
    <cellStyle name="Output 2 7 2 5 5 6" xfId="31786"/>
    <cellStyle name="Output 2 7 2 5 5 7" xfId="31787"/>
    <cellStyle name="Output 2 7 2 5 6" xfId="31788"/>
    <cellStyle name="Output 2 7 2 5 6 2" xfId="31789"/>
    <cellStyle name="Output 2 7 2 5 6 2 2" xfId="31790"/>
    <cellStyle name="Output 2 7 2 5 6 2 3" xfId="31791"/>
    <cellStyle name="Output 2 7 2 5 6 2 4" xfId="31792"/>
    <cellStyle name="Output 2 7 2 5 6 3" xfId="31793"/>
    <cellStyle name="Output 2 7 2 5 6 3 2" xfId="31794"/>
    <cellStyle name="Output 2 7 2 5 6 3 3" xfId="31795"/>
    <cellStyle name="Output 2 7 2 5 6 3 4" xfId="31796"/>
    <cellStyle name="Output 2 7 2 5 6 4" xfId="31797"/>
    <cellStyle name="Output 2 7 2 5 6 4 2" xfId="31798"/>
    <cellStyle name="Output 2 7 2 5 6 4 3" xfId="31799"/>
    <cellStyle name="Output 2 7 2 5 6 4 4" xfId="31800"/>
    <cellStyle name="Output 2 7 2 5 6 5" xfId="31801"/>
    <cellStyle name="Output 2 7 2 5 6 6" xfId="31802"/>
    <cellStyle name="Output 2 7 2 5 6 7" xfId="31803"/>
    <cellStyle name="Output 2 7 2 5 7" xfId="31804"/>
    <cellStyle name="Output 2 7 2 5 7 2" xfId="31805"/>
    <cellStyle name="Output 2 7 2 5 7 3" xfId="31806"/>
    <cellStyle name="Output 2 7 2 5 7 4" xfId="31807"/>
    <cellStyle name="Output 2 7 2 5 8" xfId="31808"/>
    <cellStyle name="Output 2 7 2 5 8 2" xfId="31809"/>
    <cellStyle name="Output 2 7 2 5 8 3" xfId="31810"/>
    <cellStyle name="Output 2 7 2 5 8 4" xfId="31811"/>
    <cellStyle name="Output 2 7 2 5 9" xfId="31812"/>
    <cellStyle name="Output 2 7 2 5 9 2" xfId="31813"/>
    <cellStyle name="Output 2 7 2 5 9 3" xfId="31814"/>
    <cellStyle name="Output 2 7 2 5 9 4" xfId="31815"/>
    <cellStyle name="Output 2 7 2 6" xfId="31816"/>
    <cellStyle name="Output 2 7 2 6 2" xfId="31817"/>
    <cellStyle name="Output 2 7 2 6 2 2" xfId="31818"/>
    <cellStyle name="Output 2 7 2 6 2 3" xfId="31819"/>
    <cellStyle name="Output 2 7 2 6 2 4" xfId="31820"/>
    <cellStyle name="Output 2 7 2 6 3" xfId="31821"/>
    <cellStyle name="Output 2 7 2 6 3 2" xfId="31822"/>
    <cellStyle name="Output 2 7 2 6 3 3" xfId="31823"/>
    <cellStyle name="Output 2 7 2 6 3 4" xfId="31824"/>
    <cellStyle name="Output 2 7 2 6 4" xfId="31825"/>
    <cellStyle name="Output 2 7 2 6 4 2" xfId="31826"/>
    <cellStyle name="Output 2 7 2 6 4 3" xfId="31827"/>
    <cellStyle name="Output 2 7 2 6 4 4" xfId="31828"/>
    <cellStyle name="Output 2 7 2 6 5" xfId="31829"/>
    <cellStyle name="Output 2 7 2 6 6" xfId="31830"/>
    <cellStyle name="Output 2 7 2 6 7" xfId="31831"/>
    <cellStyle name="Output 2 7 2 7" xfId="31832"/>
    <cellStyle name="Output 2 7 2 7 2" xfId="31833"/>
    <cellStyle name="Output 2 7 2 7 2 2" xfId="31834"/>
    <cellStyle name="Output 2 7 2 7 2 3" xfId="31835"/>
    <cellStyle name="Output 2 7 2 7 2 4" xfId="31836"/>
    <cellStyle name="Output 2 7 2 7 3" xfId="31837"/>
    <cellStyle name="Output 2 7 2 7 3 2" xfId="31838"/>
    <cellStyle name="Output 2 7 2 7 3 3" xfId="31839"/>
    <cellStyle name="Output 2 7 2 7 3 4" xfId="31840"/>
    <cellStyle name="Output 2 7 2 7 4" xfId="31841"/>
    <cellStyle name="Output 2 7 2 7 4 2" xfId="31842"/>
    <cellStyle name="Output 2 7 2 7 4 3" xfId="31843"/>
    <cellStyle name="Output 2 7 2 7 4 4" xfId="31844"/>
    <cellStyle name="Output 2 7 2 7 5" xfId="31845"/>
    <cellStyle name="Output 2 7 2 7 6" xfId="31846"/>
    <cellStyle name="Output 2 7 2 7 7" xfId="31847"/>
    <cellStyle name="Output 2 7 2 8" xfId="31848"/>
    <cellStyle name="Output 2 7 2 8 2" xfId="31849"/>
    <cellStyle name="Output 2 7 2 8 2 2" xfId="31850"/>
    <cellStyle name="Output 2 7 2 8 2 3" xfId="31851"/>
    <cellStyle name="Output 2 7 2 8 2 4" xfId="31852"/>
    <cellStyle name="Output 2 7 2 8 3" xfId="31853"/>
    <cellStyle name="Output 2 7 2 8 3 2" xfId="31854"/>
    <cellStyle name="Output 2 7 2 8 3 3" xfId="31855"/>
    <cellStyle name="Output 2 7 2 8 3 4" xfId="31856"/>
    <cellStyle name="Output 2 7 2 8 4" xfId="31857"/>
    <cellStyle name="Output 2 7 2 8 4 2" xfId="31858"/>
    <cellStyle name="Output 2 7 2 8 4 3" xfId="31859"/>
    <cellStyle name="Output 2 7 2 8 4 4" xfId="31860"/>
    <cellStyle name="Output 2 7 2 8 5" xfId="31861"/>
    <cellStyle name="Output 2 7 2 8 6" xfId="31862"/>
    <cellStyle name="Output 2 7 2 8 7" xfId="31863"/>
    <cellStyle name="Output 2 7 2 9" xfId="31864"/>
    <cellStyle name="Output 2 7 2 9 2" xfId="31865"/>
    <cellStyle name="Output 2 7 2 9 2 2" xfId="31866"/>
    <cellStyle name="Output 2 7 2 9 2 3" xfId="31867"/>
    <cellStyle name="Output 2 7 2 9 2 4" xfId="31868"/>
    <cellStyle name="Output 2 7 2 9 3" xfId="31869"/>
    <cellStyle name="Output 2 7 2 9 3 2" xfId="31870"/>
    <cellStyle name="Output 2 7 2 9 3 3" xfId="31871"/>
    <cellStyle name="Output 2 7 2 9 3 4" xfId="31872"/>
    <cellStyle name="Output 2 7 2 9 4" xfId="31873"/>
    <cellStyle name="Output 2 7 2 9 4 2" xfId="31874"/>
    <cellStyle name="Output 2 7 2 9 4 3" xfId="31875"/>
    <cellStyle name="Output 2 7 2 9 4 4" xfId="31876"/>
    <cellStyle name="Output 2 7 2 9 5" xfId="31877"/>
    <cellStyle name="Output 2 7 2 9 6" xfId="31878"/>
    <cellStyle name="Output 2 7 2 9 7" xfId="31879"/>
    <cellStyle name="Output 2 7 3" xfId="1086"/>
    <cellStyle name="Output 2 7 3 10" xfId="31880"/>
    <cellStyle name="Output 2 7 3 11" xfId="31881"/>
    <cellStyle name="Output 2 7 3 12" xfId="31882"/>
    <cellStyle name="Output 2 7 3 2" xfId="31883"/>
    <cellStyle name="Output 2 7 3 2 2" xfId="31884"/>
    <cellStyle name="Output 2 7 3 2 2 2" xfId="31885"/>
    <cellStyle name="Output 2 7 3 2 2 3" xfId="31886"/>
    <cellStyle name="Output 2 7 3 2 2 4" xfId="31887"/>
    <cellStyle name="Output 2 7 3 2 3" xfId="31888"/>
    <cellStyle name="Output 2 7 3 2 3 2" xfId="31889"/>
    <cellStyle name="Output 2 7 3 2 3 3" xfId="31890"/>
    <cellStyle name="Output 2 7 3 2 3 4" xfId="31891"/>
    <cellStyle name="Output 2 7 3 2 4" xfId="31892"/>
    <cellStyle name="Output 2 7 3 2 4 2" xfId="31893"/>
    <cellStyle name="Output 2 7 3 2 4 3" xfId="31894"/>
    <cellStyle name="Output 2 7 3 2 4 4" xfId="31895"/>
    <cellStyle name="Output 2 7 3 2 5" xfId="31896"/>
    <cellStyle name="Output 2 7 3 2 6" xfId="31897"/>
    <cellStyle name="Output 2 7 3 2 7" xfId="31898"/>
    <cellStyle name="Output 2 7 3 3" xfId="31899"/>
    <cellStyle name="Output 2 7 3 3 2" xfId="31900"/>
    <cellStyle name="Output 2 7 3 3 2 2" xfId="31901"/>
    <cellStyle name="Output 2 7 3 3 2 3" xfId="31902"/>
    <cellStyle name="Output 2 7 3 3 2 4" xfId="31903"/>
    <cellStyle name="Output 2 7 3 3 3" xfId="31904"/>
    <cellStyle name="Output 2 7 3 3 3 2" xfId="31905"/>
    <cellStyle name="Output 2 7 3 3 3 3" xfId="31906"/>
    <cellStyle name="Output 2 7 3 3 3 4" xfId="31907"/>
    <cellStyle name="Output 2 7 3 3 4" xfId="31908"/>
    <cellStyle name="Output 2 7 3 3 4 2" xfId="31909"/>
    <cellStyle name="Output 2 7 3 3 4 3" xfId="31910"/>
    <cellStyle name="Output 2 7 3 3 4 4" xfId="31911"/>
    <cellStyle name="Output 2 7 3 3 5" xfId="31912"/>
    <cellStyle name="Output 2 7 3 3 6" xfId="31913"/>
    <cellStyle name="Output 2 7 3 3 7" xfId="31914"/>
    <cellStyle name="Output 2 7 3 4" xfId="31915"/>
    <cellStyle name="Output 2 7 3 4 2" xfId="31916"/>
    <cellStyle name="Output 2 7 3 4 2 2" xfId="31917"/>
    <cellStyle name="Output 2 7 3 4 2 3" xfId="31918"/>
    <cellStyle name="Output 2 7 3 4 2 4" xfId="31919"/>
    <cellStyle name="Output 2 7 3 4 3" xfId="31920"/>
    <cellStyle name="Output 2 7 3 4 3 2" xfId="31921"/>
    <cellStyle name="Output 2 7 3 4 3 3" xfId="31922"/>
    <cellStyle name="Output 2 7 3 4 3 4" xfId="31923"/>
    <cellStyle name="Output 2 7 3 4 4" xfId="31924"/>
    <cellStyle name="Output 2 7 3 4 4 2" xfId="31925"/>
    <cellStyle name="Output 2 7 3 4 4 3" xfId="31926"/>
    <cellStyle name="Output 2 7 3 4 4 4" xfId="31927"/>
    <cellStyle name="Output 2 7 3 4 5" xfId="31928"/>
    <cellStyle name="Output 2 7 3 4 6" xfId="31929"/>
    <cellStyle name="Output 2 7 3 4 7" xfId="31930"/>
    <cellStyle name="Output 2 7 3 5" xfId="31931"/>
    <cellStyle name="Output 2 7 3 5 2" xfId="31932"/>
    <cellStyle name="Output 2 7 3 5 2 2" xfId="31933"/>
    <cellStyle name="Output 2 7 3 5 2 3" xfId="31934"/>
    <cellStyle name="Output 2 7 3 5 2 4" xfId="31935"/>
    <cellStyle name="Output 2 7 3 5 3" xfId="31936"/>
    <cellStyle name="Output 2 7 3 5 3 2" xfId="31937"/>
    <cellStyle name="Output 2 7 3 5 3 3" xfId="31938"/>
    <cellStyle name="Output 2 7 3 5 3 4" xfId="31939"/>
    <cellStyle name="Output 2 7 3 5 4" xfId="31940"/>
    <cellStyle name="Output 2 7 3 5 4 2" xfId="31941"/>
    <cellStyle name="Output 2 7 3 5 4 3" xfId="31942"/>
    <cellStyle name="Output 2 7 3 5 4 4" xfId="31943"/>
    <cellStyle name="Output 2 7 3 5 5" xfId="31944"/>
    <cellStyle name="Output 2 7 3 5 6" xfId="31945"/>
    <cellStyle name="Output 2 7 3 5 7" xfId="31946"/>
    <cellStyle name="Output 2 7 3 6" xfId="31947"/>
    <cellStyle name="Output 2 7 3 6 2" xfId="31948"/>
    <cellStyle name="Output 2 7 3 6 2 2" xfId="31949"/>
    <cellStyle name="Output 2 7 3 6 2 3" xfId="31950"/>
    <cellStyle name="Output 2 7 3 6 2 4" xfId="31951"/>
    <cellStyle name="Output 2 7 3 6 3" xfId="31952"/>
    <cellStyle name="Output 2 7 3 6 3 2" xfId="31953"/>
    <cellStyle name="Output 2 7 3 6 3 3" xfId="31954"/>
    <cellStyle name="Output 2 7 3 6 3 4" xfId="31955"/>
    <cellStyle name="Output 2 7 3 6 4" xfId="31956"/>
    <cellStyle name="Output 2 7 3 6 4 2" xfId="31957"/>
    <cellStyle name="Output 2 7 3 6 4 3" xfId="31958"/>
    <cellStyle name="Output 2 7 3 6 4 4" xfId="31959"/>
    <cellStyle name="Output 2 7 3 6 5" xfId="31960"/>
    <cellStyle name="Output 2 7 3 6 6" xfId="31961"/>
    <cellStyle name="Output 2 7 3 6 7" xfId="31962"/>
    <cellStyle name="Output 2 7 3 7" xfId="31963"/>
    <cellStyle name="Output 2 7 3 7 2" xfId="31964"/>
    <cellStyle name="Output 2 7 3 7 3" xfId="31965"/>
    <cellStyle name="Output 2 7 3 7 4" xfId="31966"/>
    <cellStyle name="Output 2 7 3 8" xfId="31967"/>
    <cellStyle name="Output 2 7 3 8 2" xfId="31968"/>
    <cellStyle name="Output 2 7 3 8 3" xfId="31969"/>
    <cellStyle name="Output 2 7 3 8 4" xfId="31970"/>
    <cellStyle name="Output 2 7 3 9" xfId="31971"/>
    <cellStyle name="Output 2 7 3 9 2" xfId="31972"/>
    <cellStyle name="Output 2 7 3 9 3" xfId="31973"/>
    <cellStyle name="Output 2 7 3 9 4" xfId="31974"/>
    <cellStyle name="Output 2 7 4" xfId="3194"/>
    <cellStyle name="Output 2 7 5" xfId="3156"/>
    <cellStyle name="Output 2 7 6" xfId="3222"/>
    <cellStyle name="Output 2 7 7" xfId="1106"/>
    <cellStyle name="Output 2 8" xfId="142"/>
    <cellStyle name="Output 2 8 2" xfId="638"/>
    <cellStyle name="Output 2 8 2 10" xfId="31975"/>
    <cellStyle name="Output 2 8 2 10 2" xfId="31976"/>
    <cellStyle name="Output 2 8 2 10 2 2" xfId="31977"/>
    <cellStyle name="Output 2 8 2 10 2 3" xfId="31978"/>
    <cellStyle name="Output 2 8 2 10 2 4" xfId="31979"/>
    <cellStyle name="Output 2 8 2 10 3" xfId="31980"/>
    <cellStyle name="Output 2 8 2 10 3 2" xfId="31981"/>
    <cellStyle name="Output 2 8 2 10 3 3" xfId="31982"/>
    <cellStyle name="Output 2 8 2 10 3 4" xfId="31983"/>
    <cellStyle name="Output 2 8 2 10 4" xfId="31984"/>
    <cellStyle name="Output 2 8 2 10 4 2" xfId="31985"/>
    <cellStyle name="Output 2 8 2 10 4 3" xfId="31986"/>
    <cellStyle name="Output 2 8 2 10 4 4" xfId="31987"/>
    <cellStyle name="Output 2 8 2 10 5" xfId="31988"/>
    <cellStyle name="Output 2 8 2 10 6" xfId="31989"/>
    <cellStyle name="Output 2 8 2 10 7" xfId="31990"/>
    <cellStyle name="Output 2 8 2 11" xfId="31991"/>
    <cellStyle name="Output 2 8 2 11 2" xfId="31992"/>
    <cellStyle name="Output 2 8 2 11 2 2" xfId="31993"/>
    <cellStyle name="Output 2 8 2 11 2 3" xfId="31994"/>
    <cellStyle name="Output 2 8 2 11 2 4" xfId="31995"/>
    <cellStyle name="Output 2 8 2 11 3" xfId="31996"/>
    <cellStyle name="Output 2 8 2 11 3 2" xfId="31997"/>
    <cellStyle name="Output 2 8 2 11 3 3" xfId="31998"/>
    <cellStyle name="Output 2 8 2 11 3 4" xfId="31999"/>
    <cellStyle name="Output 2 8 2 11 4" xfId="32000"/>
    <cellStyle name="Output 2 8 2 11 4 2" xfId="32001"/>
    <cellStyle name="Output 2 8 2 11 4 3" xfId="32002"/>
    <cellStyle name="Output 2 8 2 11 4 4" xfId="32003"/>
    <cellStyle name="Output 2 8 2 11 5" xfId="32004"/>
    <cellStyle name="Output 2 8 2 11 6" xfId="32005"/>
    <cellStyle name="Output 2 8 2 11 7" xfId="32006"/>
    <cellStyle name="Output 2 8 2 12" xfId="32007"/>
    <cellStyle name="Output 2 8 2 12 2" xfId="32008"/>
    <cellStyle name="Output 2 8 2 12 2 2" xfId="32009"/>
    <cellStyle name="Output 2 8 2 12 2 3" xfId="32010"/>
    <cellStyle name="Output 2 8 2 12 2 4" xfId="32011"/>
    <cellStyle name="Output 2 8 2 12 3" xfId="32012"/>
    <cellStyle name="Output 2 8 2 12 3 2" xfId="32013"/>
    <cellStyle name="Output 2 8 2 12 3 3" xfId="32014"/>
    <cellStyle name="Output 2 8 2 12 3 4" xfId="32015"/>
    <cellStyle name="Output 2 8 2 12 4" xfId="32016"/>
    <cellStyle name="Output 2 8 2 12 4 2" xfId="32017"/>
    <cellStyle name="Output 2 8 2 12 4 3" xfId="32018"/>
    <cellStyle name="Output 2 8 2 12 4 4" xfId="32019"/>
    <cellStyle name="Output 2 8 2 12 5" xfId="32020"/>
    <cellStyle name="Output 2 8 2 12 6" xfId="32021"/>
    <cellStyle name="Output 2 8 2 12 7" xfId="32022"/>
    <cellStyle name="Output 2 8 2 13" xfId="32023"/>
    <cellStyle name="Output 2 8 2 13 2" xfId="32024"/>
    <cellStyle name="Output 2 8 2 13 2 2" xfId="32025"/>
    <cellStyle name="Output 2 8 2 13 2 3" xfId="32026"/>
    <cellStyle name="Output 2 8 2 13 2 4" xfId="32027"/>
    <cellStyle name="Output 2 8 2 13 3" xfId="32028"/>
    <cellStyle name="Output 2 8 2 13 3 2" xfId="32029"/>
    <cellStyle name="Output 2 8 2 13 3 3" xfId="32030"/>
    <cellStyle name="Output 2 8 2 13 3 4" xfId="32031"/>
    <cellStyle name="Output 2 8 2 13 4" xfId="32032"/>
    <cellStyle name="Output 2 8 2 13 4 2" xfId="32033"/>
    <cellStyle name="Output 2 8 2 13 4 3" xfId="32034"/>
    <cellStyle name="Output 2 8 2 13 4 4" xfId="32035"/>
    <cellStyle name="Output 2 8 2 13 5" xfId="32036"/>
    <cellStyle name="Output 2 8 2 13 6" xfId="32037"/>
    <cellStyle name="Output 2 8 2 13 7" xfId="32038"/>
    <cellStyle name="Output 2 8 2 14" xfId="32039"/>
    <cellStyle name="Output 2 8 2 14 2" xfId="32040"/>
    <cellStyle name="Output 2 8 2 14 3" xfId="32041"/>
    <cellStyle name="Output 2 8 2 14 4" xfId="32042"/>
    <cellStyle name="Output 2 8 2 15" xfId="32043"/>
    <cellStyle name="Output 2 8 2 15 2" xfId="32044"/>
    <cellStyle name="Output 2 8 2 15 3" xfId="32045"/>
    <cellStyle name="Output 2 8 2 15 4" xfId="32046"/>
    <cellStyle name="Output 2 8 2 16" xfId="32047"/>
    <cellStyle name="Output 2 8 2 16 2" xfId="32048"/>
    <cellStyle name="Output 2 8 2 16 3" xfId="32049"/>
    <cellStyle name="Output 2 8 2 16 4" xfId="32050"/>
    <cellStyle name="Output 2 8 2 17" xfId="32051"/>
    <cellStyle name="Output 2 8 2 18" xfId="32052"/>
    <cellStyle name="Output 2 8 2 19" xfId="32053"/>
    <cellStyle name="Output 2 8 2 2" xfId="898"/>
    <cellStyle name="Output 2 8 2 2 10" xfId="32054"/>
    <cellStyle name="Output 2 8 2 2 11" xfId="32055"/>
    <cellStyle name="Output 2 8 2 2 12" xfId="32056"/>
    <cellStyle name="Output 2 8 2 2 2" xfId="32057"/>
    <cellStyle name="Output 2 8 2 2 2 2" xfId="32058"/>
    <cellStyle name="Output 2 8 2 2 2 2 2" xfId="32059"/>
    <cellStyle name="Output 2 8 2 2 2 2 3" xfId="32060"/>
    <cellStyle name="Output 2 8 2 2 2 2 4" xfId="32061"/>
    <cellStyle name="Output 2 8 2 2 2 3" xfId="32062"/>
    <cellStyle name="Output 2 8 2 2 2 3 2" xfId="32063"/>
    <cellStyle name="Output 2 8 2 2 2 3 3" xfId="32064"/>
    <cellStyle name="Output 2 8 2 2 2 3 4" xfId="32065"/>
    <cellStyle name="Output 2 8 2 2 2 4" xfId="32066"/>
    <cellStyle name="Output 2 8 2 2 2 4 2" xfId="32067"/>
    <cellStyle name="Output 2 8 2 2 2 4 3" xfId="32068"/>
    <cellStyle name="Output 2 8 2 2 2 4 4" xfId="32069"/>
    <cellStyle name="Output 2 8 2 2 2 5" xfId="32070"/>
    <cellStyle name="Output 2 8 2 2 2 6" xfId="32071"/>
    <cellStyle name="Output 2 8 2 2 2 7" xfId="32072"/>
    <cellStyle name="Output 2 8 2 2 3" xfId="32073"/>
    <cellStyle name="Output 2 8 2 2 3 2" xfId="32074"/>
    <cellStyle name="Output 2 8 2 2 3 2 2" xfId="32075"/>
    <cellStyle name="Output 2 8 2 2 3 2 3" xfId="32076"/>
    <cellStyle name="Output 2 8 2 2 3 2 4" xfId="32077"/>
    <cellStyle name="Output 2 8 2 2 3 3" xfId="32078"/>
    <cellStyle name="Output 2 8 2 2 3 3 2" xfId="32079"/>
    <cellStyle name="Output 2 8 2 2 3 3 3" xfId="32080"/>
    <cellStyle name="Output 2 8 2 2 3 3 4" xfId="32081"/>
    <cellStyle name="Output 2 8 2 2 3 4" xfId="32082"/>
    <cellStyle name="Output 2 8 2 2 3 4 2" xfId="32083"/>
    <cellStyle name="Output 2 8 2 2 3 4 3" xfId="32084"/>
    <cellStyle name="Output 2 8 2 2 3 4 4" xfId="32085"/>
    <cellStyle name="Output 2 8 2 2 3 5" xfId="32086"/>
    <cellStyle name="Output 2 8 2 2 3 6" xfId="32087"/>
    <cellStyle name="Output 2 8 2 2 3 7" xfId="32088"/>
    <cellStyle name="Output 2 8 2 2 4" xfId="32089"/>
    <cellStyle name="Output 2 8 2 2 4 2" xfId="32090"/>
    <cellStyle name="Output 2 8 2 2 4 2 2" xfId="32091"/>
    <cellStyle name="Output 2 8 2 2 4 2 3" xfId="32092"/>
    <cellStyle name="Output 2 8 2 2 4 2 4" xfId="32093"/>
    <cellStyle name="Output 2 8 2 2 4 3" xfId="32094"/>
    <cellStyle name="Output 2 8 2 2 4 3 2" xfId="32095"/>
    <cellStyle name="Output 2 8 2 2 4 3 3" xfId="32096"/>
    <cellStyle name="Output 2 8 2 2 4 3 4" xfId="32097"/>
    <cellStyle name="Output 2 8 2 2 4 4" xfId="32098"/>
    <cellStyle name="Output 2 8 2 2 4 4 2" xfId="32099"/>
    <cellStyle name="Output 2 8 2 2 4 4 3" xfId="32100"/>
    <cellStyle name="Output 2 8 2 2 4 4 4" xfId="32101"/>
    <cellStyle name="Output 2 8 2 2 4 5" xfId="32102"/>
    <cellStyle name="Output 2 8 2 2 4 6" xfId="32103"/>
    <cellStyle name="Output 2 8 2 2 4 7" xfId="32104"/>
    <cellStyle name="Output 2 8 2 2 5" xfId="32105"/>
    <cellStyle name="Output 2 8 2 2 5 2" xfId="32106"/>
    <cellStyle name="Output 2 8 2 2 5 2 2" xfId="32107"/>
    <cellStyle name="Output 2 8 2 2 5 2 3" xfId="32108"/>
    <cellStyle name="Output 2 8 2 2 5 2 4" xfId="32109"/>
    <cellStyle name="Output 2 8 2 2 5 3" xfId="32110"/>
    <cellStyle name="Output 2 8 2 2 5 3 2" xfId="32111"/>
    <cellStyle name="Output 2 8 2 2 5 3 3" xfId="32112"/>
    <cellStyle name="Output 2 8 2 2 5 3 4" xfId="32113"/>
    <cellStyle name="Output 2 8 2 2 5 4" xfId="32114"/>
    <cellStyle name="Output 2 8 2 2 5 4 2" xfId="32115"/>
    <cellStyle name="Output 2 8 2 2 5 4 3" xfId="32116"/>
    <cellStyle name="Output 2 8 2 2 5 4 4" xfId="32117"/>
    <cellStyle name="Output 2 8 2 2 5 5" xfId="32118"/>
    <cellStyle name="Output 2 8 2 2 5 6" xfId="32119"/>
    <cellStyle name="Output 2 8 2 2 5 7" xfId="32120"/>
    <cellStyle name="Output 2 8 2 2 6" xfId="32121"/>
    <cellStyle name="Output 2 8 2 2 6 2" xfId="32122"/>
    <cellStyle name="Output 2 8 2 2 6 2 2" xfId="32123"/>
    <cellStyle name="Output 2 8 2 2 6 2 3" xfId="32124"/>
    <cellStyle name="Output 2 8 2 2 6 2 4" xfId="32125"/>
    <cellStyle name="Output 2 8 2 2 6 3" xfId="32126"/>
    <cellStyle name="Output 2 8 2 2 6 3 2" xfId="32127"/>
    <cellStyle name="Output 2 8 2 2 6 3 3" xfId="32128"/>
    <cellStyle name="Output 2 8 2 2 6 3 4" xfId="32129"/>
    <cellStyle name="Output 2 8 2 2 6 4" xfId="32130"/>
    <cellStyle name="Output 2 8 2 2 6 4 2" xfId="32131"/>
    <cellStyle name="Output 2 8 2 2 6 4 3" xfId="32132"/>
    <cellStyle name="Output 2 8 2 2 6 4 4" xfId="32133"/>
    <cellStyle name="Output 2 8 2 2 6 5" xfId="32134"/>
    <cellStyle name="Output 2 8 2 2 6 6" xfId="32135"/>
    <cellStyle name="Output 2 8 2 2 6 7" xfId="32136"/>
    <cellStyle name="Output 2 8 2 2 7" xfId="32137"/>
    <cellStyle name="Output 2 8 2 2 7 2" xfId="32138"/>
    <cellStyle name="Output 2 8 2 2 7 3" xfId="32139"/>
    <cellStyle name="Output 2 8 2 2 7 4" xfId="32140"/>
    <cellStyle name="Output 2 8 2 2 8" xfId="32141"/>
    <cellStyle name="Output 2 8 2 2 8 2" xfId="32142"/>
    <cellStyle name="Output 2 8 2 2 8 3" xfId="32143"/>
    <cellStyle name="Output 2 8 2 2 8 4" xfId="32144"/>
    <cellStyle name="Output 2 8 2 2 9" xfId="32145"/>
    <cellStyle name="Output 2 8 2 2 9 2" xfId="32146"/>
    <cellStyle name="Output 2 8 2 2 9 3" xfId="32147"/>
    <cellStyle name="Output 2 8 2 2 9 4" xfId="32148"/>
    <cellStyle name="Output 2 8 2 3" xfId="868"/>
    <cellStyle name="Output 2 8 2 3 10" xfId="32149"/>
    <cellStyle name="Output 2 8 2 3 11" xfId="32150"/>
    <cellStyle name="Output 2 8 2 3 12" xfId="32151"/>
    <cellStyle name="Output 2 8 2 3 2" xfId="32152"/>
    <cellStyle name="Output 2 8 2 3 2 2" xfId="32153"/>
    <cellStyle name="Output 2 8 2 3 2 2 2" xfId="32154"/>
    <cellStyle name="Output 2 8 2 3 2 2 3" xfId="32155"/>
    <cellStyle name="Output 2 8 2 3 2 2 4" xfId="32156"/>
    <cellStyle name="Output 2 8 2 3 2 3" xfId="32157"/>
    <cellStyle name="Output 2 8 2 3 2 3 2" xfId="32158"/>
    <cellStyle name="Output 2 8 2 3 2 3 3" xfId="32159"/>
    <cellStyle name="Output 2 8 2 3 2 3 4" xfId="32160"/>
    <cellStyle name="Output 2 8 2 3 2 4" xfId="32161"/>
    <cellStyle name="Output 2 8 2 3 2 4 2" xfId="32162"/>
    <cellStyle name="Output 2 8 2 3 2 4 3" xfId="32163"/>
    <cellStyle name="Output 2 8 2 3 2 4 4" xfId="32164"/>
    <cellStyle name="Output 2 8 2 3 2 5" xfId="32165"/>
    <cellStyle name="Output 2 8 2 3 2 6" xfId="32166"/>
    <cellStyle name="Output 2 8 2 3 2 7" xfId="32167"/>
    <cellStyle name="Output 2 8 2 3 3" xfId="32168"/>
    <cellStyle name="Output 2 8 2 3 3 2" xfId="32169"/>
    <cellStyle name="Output 2 8 2 3 3 2 2" xfId="32170"/>
    <cellStyle name="Output 2 8 2 3 3 2 3" xfId="32171"/>
    <cellStyle name="Output 2 8 2 3 3 2 4" xfId="32172"/>
    <cellStyle name="Output 2 8 2 3 3 3" xfId="32173"/>
    <cellStyle name="Output 2 8 2 3 3 3 2" xfId="32174"/>
    <cellStyle name="Output 2 8 2 3 3 3 3" xfId="32175"/>
    <cellStyle name="Output 2 8 2 3 3 3 4" xfId="32176"/>
    <cellStyle name="Output 2 8 2 3 3 4" xfId="32177"/>
    <cellStyle name="Output 2 8 2 3 3 4 2" xfId="32178"/>
    <cellStyle name="Output 2 8 2 3 3 4 3" xfId="32179"/>
    <cellStyle name="Output 2 8 2 3 3 4 4" xfId="32180"/>
    <cellStyle name="Output 2 8 2 3 3 5" xfId="32181"/>
    <cellStyle name="Output 2 8 2 3 3 6" xfId="32182"/>
    <cellStyle name="Output 2 8 2 3 3 7" xfId="32183"/>
    <cellStyle name="Output 2 8 2 3 4" xfId="32184"/>
    <cellStyle name="Output 2 8 2 3 4 2" xfId="32185"/>
    <cellStyle name="Output 2 8 2 3 4 2 2" xfId="32186"/>
    <cellStyle name="Output 2 8 2 3 4 2 3" xfId="32187"/>
    <cellStyle name="Output 2 8 2 3 4 2 4" xfId="32188"/>
    <cellStyle name="Output 2 8 2 3 4 3" xfId="32189"/>
    <cellStyle name="Output 2 8 2 3 4 3 2" xfId="32190"/>
    <cellStyle name="Output 2 8 2 3 4 3 3" xfId="32191"/>
    <cellStyle name="Output 2 8 2 3 4 3 4" xfId="32192"/>
    <cellStyle name="Output 2 8 2 3 4 4" xfId="32193"/>
    <cellStyle name="Output 2 8 2 3 4 4 2" xfId="32194"/>
    <cellStyle name="Output 2 8 2 3 4 4 3" xfId="32195"/>
    <cellStyle name="Output 2 8 2 3 4 4 4" xfId="32196"/>
    <cellStyle name="Output 2 8 2 3 4 5" xfId="32197"/>
    <cellStyle name="Output 2 8 2 3 4 6" xfId="32198"/>
    <cellStyle name="Output 2 8 2 3 4 7" xfId="32199"/>
    <cellStyle name="Output 2 8 2 3 5" xfId="32200"/>
    <cellStyle name="Output 2 8 2 3 5 2" xfId="32201"/>
    <cellStyle name="Output 2 8 2 3 5 2 2" xfId="32202"/>
    <cellStyle name="Output 2 8 2 3 5 2 3" xfId="32203"/>
    <cellStyle name="Output 2 8 2 3 5 2 4" xfId="32204"/>
    <cellStyle name="Output 2 8 2 3 5 3" xfId="32205"/>
    <cellStyle name="Output 2 8 2 3 5 3 2" xfId="32206"/>
    <cellStyle name="Output 2 8 2 3 5 3 3" xfId="32207"/>
    <cellStyle name="Output 2 8 2 3 5 3 4" xfId="32208"/>
    <cellStyle name="Output 2 8 2 3 5 4" xfId="32209"/>
    <cellStyle name="Output 2 8 2 3 5 4 2" xfId="32210"/>
    <cellStyle name="Output 2 8 2 3 5 4 3" xfId="32211"/>
    <cellStyle name="Output 2 8 2 3 5 4 4" xfId="32212"/>
    <cellStyle name="Output 2 8 2 3 5 5" xfId="32213"/>
    <cellStyle name="Output 2 8 2 3 5 6" xfId="32214"/>
    <cellStyle name="Output 2 8 2 3 5 7" xfId="32215"/>
    <cellStyle name="Output 2 8 2 3 6" xfId="32216"/>
    <cellStyle name="Output 2 8 2 3 6 2" xfId="32217"/>
    <cellStyle name="Output 2 8 2 3 6 2 2" xfId="32218"/>
    <cellStyle name="Output 2 8 2 3 6 2 3" xfId="32219"/>
    <cellStyle name="Output 2 8 2 3 6 2 4" xfId="32220"/>
    <cellStyle name="Output 2 8 2 3 6 3" xfId="32221"/>
    <cellStyle name="Output 2 8 2 3 6 3 2" xfId="32222"/>
    <cellStyle name="Output 2 8 2 3 6 3 3" xfId="32223"/>
    <cellStyle name="Output 2 8 2 3 6 3 4" xfId="32224"/>
    <cellStyle name="Output 2 8 2 3 6 4" xfId="32225"/>
    <cellStyle name="Output 2 8 2 3 6 4 2" xfId="32226"/>
    <cellStyle name="Output 2 8 2 3 6 4 3" xfId="32227"/>
    <cellStyle name="Output 2 8 2 3 6 4 4" xfId="32228"/>
    <cellStyle name="Output 2 8 2 3 6 5" xfId="32229"/>
    <cellStyle name="Output 2 8 2 3 6 6" xfId="32230"/>
    <cellStyle name="Output 2 8 2 3 6 7" xfId="32231"/>
    <cellStyle name="Output 2 8 2 3 7" xfId="32232"/>
    <cellStyle name="Output 2 8 2 3 7 2" xfId="32233"/>
    <cellStyle name="Output 2 8 2 3 7 3" xfId="32234"/>
    <cellStyle name="Output 2 8 2 3 7 4" xfId="32235"/>
    <cellStyle name="Output 2 8 2 3 8" xfId="32236"/>
    <cellStyle name="Output 2 8 2 3 8 2" xfId="32237"/>
    <cellStyle name="Output 2 8 2 3 8 3" xfId="32238"/>
    <cellStyle name="Output 2 8 2 3 8 4" xfId="32239"/>
    <cellStyle name="Output 2 8 2 3 9" xfId="32240"/>
    <cellStyle name="Output 2 8 2 3 9 2" xfId="32241"/>
    <cellStyle name="Output 2 8 2 3 9 3" xfId="32242"/>
    <cellStyle name="Output 2 8 2 3 9 4" xfId="32243"/>
    <cellStyle name="Output 2 8 2 4" xfId="967"/>
    <cellStyle name="Output 2 8 2 4 10" xfId="32244"/>
    <cellStyle name="Output 2 8 2 4 11" xfId="32245"/>
    <cellStyle name="Output 2 8 2 4 12" xfId="32246"/>
    <cellStyle name="Output 2 8 2 4 2" xfId="32247"/>
    <cellStyle name="Output 2 8 2 4 2 2" xfId="32248"/>
    <cellStyle name="Output 2 8 2 4 2 2 2" xfId="32249"/>
    <cellStyle name="Output 2 8 2 4 2 2 3" xfId="32250"/>
    <cellStyle name="Output 2 8 2 4 2 2 4" xfId="32251"/>
    <cellStyle name="Output 2 8 2 4 2 3" xfId="32252"/>
    <cellStyle name="Output 2 8 2 4 2 3 2" xfId="32253"/>
    <cellStyle name="Output 2 8 2 4 2 3 3" xfId="32254"/>
    <cellStyle name="Output 2 8 2 4 2 3 4" xfId="32255"/>
    <cellStyle name="Output 2 8 2 4 2 4" xfId="32256"/>
    <cellStyle name="Output 2 8 2 4 2 4 2" xfId="32257"/>
    <cellStyle name="Output 2 8 2 4 2 4 3" xfId="32258"/>
    <cellStyle name="Output 2 8 2 4 2 4 4" xfId="32259"/>
    <cellStyle name="Output 2 8 2 4 2 5" xfId="32260"/>
    <cellStyle name="Output 2 8 2 4 2 6" xfId="32261"/>
    <cellStyle name="Output 2 8 2 4 2 7" xfId="32262"/>
    <cellStyle name="Output 2 8 2 4 3" xfId="32263"/>
    <cellStyle name="Output 2 8 2 4 3 2" xfId="32264"/>
    <cellStyle name="Output 2 8 2 4 3 2 2" xfId="32265"/>
    <cellStyle name="Output 2 8 2 4 3 2 3" xfId="32266"/>
    <cellStyle name="Output 2 8 2 4 3 2 4" xfId="32267"/>
    <cellStyle name="Output 2 8 2 4 3 3" xfId="32268"/>
    <cellStyle name="Output 2 8 2 4 3 3 2" xfId="32269"/>
    <cellStyle name="Output 2 8 2 4 3 3 3" xfId="32270"/>
    <cellStyle name="Output 2 8 2 4 3 3 4" xfId="32271"/>
    <cellStyle name="Output 2 8 2 4 3 4" xfId="32272"/>
    <cellStyle name="Output 2 8 2 4 3 4 2" xfId="32273"/>
    <cellStyle name="Output 2 8 2 4 3 4 3" xfId="32274"/>
    <cellStyle name="Output 2 8 2 4 3 4 4" xfId="32275"/>
    <cellStyle name="Output 2 8 2 4 3 5" xfId="32276"/>
    <cellStyle name="Output 2 8 2 4 3 6" xfId="32277"/>
    <cellStyle name="Output 2 8 2 4 3 7" xfId="32278"/>
    <cellStyle name="Output 2 8 2 4 4" xfId="32279"/>
    <cellStyle name="Output 2 8 2 4 4 2" xfId="32280"/>
    <cellStyle name="Output 2 8 2 4 4 2 2" xfId="32281"/>
    <cellStyle name="Output 2 8 2 4 4 2 3" xfId="32282"/>
    <cellStyle name="Output 2 8 2 4 4 2 4" xfId="32283"/>
    <cellStyle name="Output 2 8 2 4 4 3" xfId="32284"/>
    <cellStyle name="Output 2 8 2 4 4 3 2" xfId="32285"/>
    <cellStyle name="Output 2 8 2 4 4 3 3" xfId="32286"/>
    <cellStyle name="Output 2 8 2 4 4 3 4" xfId="32287"/>
    <cellStyle name="Output 2 8 2 4 4 4" xfId="32288"/>
    <cellStyle name="Output 2 8 2 4 4 4 2" xfId="32289"/>
    <cellStyle name="Output 2 8 2 4 4 4 3" xfId="32290"/>
    <cellStyle name="Output 2 8 2 4 4 4 4" xfId="32291"/>
    <cellStyle name="Output 2 8 2 4 4 5" xfId="32292"/>
    <cellStyle name="Output 2 8 2 4 4 6" xfId="32293"/>
    <cellStyle name="Output 2 8 2 4 4 7" xfId="32294"/>
    <cellStyle name="Output 2 8 2 4 5" xfId="32295"/>
    <cellStyle name="Output 2 8 2 4 5 2" xfId="32296"/>
    <cellStyle name="Output 2 8 2 4 5 2 2" xfId="32297"/>
    <cellStyle name="Output 2 8 2 4 5 2 3" xfId="32298"/>
    <cellStyle name="Output 2 8 2 4 5 2 4" xfId="32299"/>
    <cellStyle name="Output 2 8 2 4 5 3" xfId="32300"/>
    <cellStyle name="Output 2 8 2 4 5 3 2" xfId="32301"/>
    <cellStyle name="Output 2 8 2 4 5 3 3" xfId="32302"/>
    <cellStyle name="Output 2 8 2 4 5 3 4" xfId="32303"/>
    <cellStyle name="Output 2 8 2 4 5 4" xfId="32304"/>
    <cellStyle name="Output 2 8 2 4 5 4 2" xfId="32305"/>
    <cellStyle name="Output 2 8 2 4 5 4 3" xfId="32306"/>
    <cellStyle name="Output 2 8 2 4 5 4 4" xfId="32307"/>
    <cellStyle name="Output 2 8 2 4 5 5" xfId="32308"/>
    <cellStyle name="Output 2 8 2 4 5 6" xfId="32309"/>
    <cellStyle name="Output 2 8 2 4 5 7" xfId="32310"/>
    <cellStyle name="Output 2 8 2 4 6" xfId="32311"/>
    <cellStyle name="Output 2 8 2 4 6 2" xfId="32312"/>
    <cellStyle name="Output 2 8 2 4 6 2 2" xfId="32313"/>
    <cellStyle name="Output 2 8 2 4 6 2 3" xfId="32314"/>
    <cellStyle name="Output 2 8 2 4 6 2 4" xfId="32315"/>
    <cellStyle name="Output 2 8 2 4 6 3" xfId="32316"/>
    <cellStyle name="Output 2 8 2 4 6 3 2" xfId="32317"/>
    <cellStyle name="Output 2 8 2 4 6 3 3" xfId="32318"/>
    <cellStyle name="Output 2 8 2 4 6 3 4" xfId="32319"/>
    <cellStyle name="Output 2 8 2 4 6 4" xfId="32320"/>
    <cellStyle name="Output 2 8 2 4 6 4 2" xfId="32321"/>
    <cellStyle name="Output 2 8 2 4 6 4 3" xfId="32322"/>
    <cellStyle name="Output 2 8 2 4 6 4 4" xfId="32323"/>
    <cellStyle name="Output 2 8 2 4 6 5" xfId="32324"/>
    <cellStyle name="Output 2 8 2 4 6 6" xfId="32325"/>
    <cellStyle name="Output 2 8 2 4 6 7" xfId="32326"/>
    <cellStyle name="Output 2 8 2 4 7" xfId="32327"/>
    <cellStyle name="Output 2 8 2 4 7 2" xfId="32328"/>
    <cellStyle name="Output 2 8 2 4 7 3" xfId="32329"/>
    <cellStyle name="Output 2 8 2 4 7 4" xfId="32330"/>
    <cellStyle name="Output 2 8 2 4 8" xfId="32331"/>
    <cellStyle name="Output 2 8 2 4 8 2" xfId="32332"/>
    <cellStyle name="Output 2 8 2 4 8 3" xfId="32333"/>
    <cellStyle name="Output 2 8 2 4 8 4" xfId="32334"/>
    <cellStyle name="Output 2 8 2 4 9" xfId="32335"/>
    <cellStyle name="Output 2 8 2 4 9 2" xfId="32336"/>
    <cellStyle name="Output 2 8 2 4 9 3" xfId="32337"/>
    <cellStyle name="Output 2 8 2 4 9 4" xfId="32338"/>
    <cellStyle name="Output 2 8 2 5" xfId="32339"/>
    <cellStyle name="Output 2 8 2 5 10" xfId="32340"/>
    <cellStyle name="Output 2 8 2 5 11" xfId="32341"/>
    <cellStyle name="Output 2 8 2 5 12" xfId="32342"/>
    <cellStyle name="Output 2 8 2 5 2" xfId="32343"/>
    <cellStyle name="Output 2 8 2 5 2 2" xfId="32344"/>
    <cellStyle name="Output 2 8 2 5 2 2 2" xfId="32345"/>
    <cellStyle name="Output 2 8 2 5 2 2 3" xfId="32346"/>
    <cellStyle name="Output 2 8 2 5 2 2 4" xfId="32347"/>
    <cellStyle name="Output 2 8 2 5 2 3" xfId="32348"/>
    <cellStyle name="Output 2 8 2 5 2 3 2" xfId="32349"/>
    <cellStyle name="Output 2 8 2 5 2 3 3" xfId="32350"/>
    <cellStyle name="Output 2 8 2 5 2 3 4" xfId="32351"/>
    <cellStyle name="Output 2 8 2 5 2 4" xfId="32352"/>
    <cellStyle name="Output 2 8 2 5 2 4 2" xfId="32353"/>
    <cellStyle name="Output 2 8 2 5 2 4 3" xfId="32354"/>
    <cellStyle name="Output 2 8 2 5 2 4 4" xfId="32355"/>
    <cellStyle name="Output 2 8 2 5 2 5" xfId="32356"/>
    <cellStyle name="Output 2 8 2 5 2 6" xfId="32357"/>
    <cellStyle name="Output 2 8 2 5 2 7" xfId="32358"/>
    <cellStyle name="Output 2 8 2 5 3" xfId="32359"/>
    <cellStyle name="Output 2 8 2 5 3 2" xfId="32360"/>
    <cellStyle name="Output 2 8 2 5 3 2 2" xfId="32361"/>
    <cellStyle name="Output 2 8 2 5 3 2 3" xfId="32362"/>
    <cellStyle name="Output 2 8 2 5 3 2 4" xfId="32363"/>
    <cellStyle name="Output 2 8 2 5 3 3" xfId="32364"/>
    <cellStyle name="Output 2 8 2 5 3 3 2" xfId="32365"/>
    <cellStyle name="Output 2 8 2 5 3 3 3" xfId="32366"/>
    <cellStyle name="Output 2 8 2 5 3 3 4" xfId="32367"/>
    <cellStyle name="Output 2 8 2 5 3 4" xfId="32368"/>
    <cellStyle name="Output 2 8 2 5 3 4 2" xfId="32369"/>
    <cellStyle name="Output 2 8 2 5 3 4 3" xfId="32370"/>
    <cellStyle name="Output 2 8 2 5 3 4 4" xfId="32371"/>
    <cellStyle name="Output 2 8 2 5 3 5" xfId="32372"/>
    <cellStyle name="Output 2 8 2 5 3 6" xfId="32373"/>
    <cellStyle name="Output 2 8 2 5 3 7" xfId="32374"/>
    <cellStyle name="Output 2 8 2 5 4" xfId="32375"/>
    <cellStyle name="Output 2 8 2 5 4 2" xfId="32376"/>
    <cellStyle name="Output 2 8 2 5 4 2 2" xfId="32377"/>
    <cellStyle name="Output 2 8 2 5 4 2 3" xfId="32378"/>
    <cellStyle name="Output 2 8 2 5 4 2 4" xfId="32379"/>
    <cellStyle name="Output 2 8 2 5 4 3" xfId="32380"/>
    <cellStyle name="Output 2 8 2 5 4 3 2" xfId="32381"/>
    <cellStyle name="Output 2 8 2 5 4 3 3" xfId="32382"/>
    <cellStyle name="Output 2 8 2 5 4 3 4" xfId="32383"/>
    <cellStyle name="Output 2 8 2 5 4 4" xfId="32384"/>
    <cellStyle name="Output 2 8 2 5 4 4 2" xfId="32385"/>
    <cellStyle name="Output 2 8 2 5 4 4 3" xfId="32386"/>
    <cellStyle name="Output 2 8 2 5 4 4 4" xfId="32387"/>
    <cellStyle name="Output 2 8 2 5 4 5" xfId="32388"/>
    <cellStyle name="Output 2 8 2 5 4 6" xfId="32389"/>
    <cellStyle name="Output 2 8 2 5 4 7" xfId="32390"/>
    <cellStyle name="Output 2 8 2 5 5" xfId="32391"/>
    <cellStyle name="Output 2 8 2 5 5 2" xfId="32392"/>
    <cellStyle name="Output 2 8 2 5 5 2 2" xfId="32393"/>
    <cellStyle name="Output 2 8 2 5 5 2 3" xfId="32394"/>
    <cellStyle name="Output 2 8 2 5 5 2 4" xfId="32395"/>
    <cellStyle name="Output 2 8 2 5 5 3" xfId="32396"/>
    <cellStyle name="Output 2 8 2 5 5 3 2" xfId="32397"/>
    <cellStyle name="Output 2 8 2 5 5 3 3" xfId="32398"/>
    <cellStyle name="Output 2 8 2 5 5 3 4" xfId="32399"/>
    <cellStyle name="Output 2 8 2 5 5 4" xfId="32400"/>
    <cellStyle name="Output 2 8 2 5 5 4 2" xfId="32401"/>
    <cellStyle name="Output 2 8 2 5 5 4 3" xfId="32402"/>
    <cellStyle name="Output 2 8 2 5 5 4 4" xfId="32403"/>
    <cellStyle name="Output 2 8 2 5 5 5" xfId="32404"/>
    <cellStyle name="Output 2 8 2 5 5 6" xfId="32405"/>
    <cellStyle name="Output 2 8 2 5 5 7" xfId="32406"/>
    <cellStyle name="Output 2 8 2 5 6" xfId="32407"/>
    <cellStyle name="Output 2 8 2 5 6 2" xfId="32408"/>
    <cellStyle name="Output 2 8 2 5 6 2 2" xfId="32409"/>
    <cellStyle name="Output 2 8 2 5 6 2 3" xfId="32410"/>
    <cellStyle name="Output 2 8 2 5 6 2 4" xfId="32411"/>
    <cellStyle name="Output 2 8 2 5 6 3" xfId="32412"/>
    <cellStyle name="Output 2 8 2 5 6 3 2" xfId="32413"/>
    <cellStyle name="Output 2 8 2 5 6 3 3" xfId="32414"/>
    <cellStyle name="Output 2 8 2 5 6 3 4" xfId="32415"/>
    <cellStyle name="Output 2 8 2 5 6 4" xfId="32416"/>
    <cellStyle name="Output 2 8 2 5 6 4 2" xfId="32417"/>
    <cellStyle name="Output 2 8 2 5 6 4 3" xfId="32418"/>
    <cellStyle name="Output 2 8 2 5 6 4 4" xfId="32419"/>
    <cellStyle name="Output 2 8 2 5 6 5" xfId="32420"/>
    <cellStyle name="Output 2 8 2 5 6 6" xfId="32421"/>
    <cellStyle name="Output 2 8 2 5 6 7" xfId="32422"/>
    <cellStyle name="Output 2 8 2 5 7" xfId="32423"/>
    <cellStyle name="Output 2 8 2 5 7 2" xfId="32424"/>
    <cellStyle name="Output 2 8 2 5 7 3" xfId="32425"/>
    <cellStyle name="Output 2 8 2 5 7 4" xfId="32426"/>
    <cellStyle name="Output 2 8 2 5 8" xfId="32427"/>
    <cellStyle name="Output 2 8 2 5 8 2" xfId="32428"/>
    <cellStyle name="Output 2 8 2 5 8 3" xfId="32429"/>
    <cellStyle name="Output 2 8 2 5 8 4" xfId="32430"/>
    <cellStyle name="Output 2 8 2 5 9" xfId="32431"/>
    <cellStyle name="Output 2 8 2 5 9 2" xfId="32432"/>
    <cellStyle name="Output 2 8 2 5 9 3" xfId="32433"/>
    <cellStyle name="Output 2 8 2 5 9 4" xfId="32434"/>
    <cellStyle name="Output 2 8 2 6" xfId="32435"/>
    <cellStyle name="Output 2 8 2 6 2" xfId="32436"/>
    <cellStyle name="Output 2 8 2 6 2 2" xfId="32437"/>
    <cellStyle name="Output 2 8 2 6 2 3" xfId="32438"/>
    <cellStyle name="Output 2 8 2 6 2 4" xfId="32439"/>
    <cellStyle name="Output 2 8 2 6 3" xfId="32440"/>
    <cellStyle name="Output 2 8 2 6 3 2" xfId="32441"/>
    <cellStyle name="Output 2 8 2 6 3 3" xfId="32442"/>
    <cellStyle name="Output 2 8 2 6 3 4" xfId="32443"/>
    <cellStyle name="Output 2 8 2 6 4" xfId="32444"/>
    <cellStyle name="Output 2 8 2 6 4 2" xfId="32445"/>
    <cellStyle name="Output 2 8 2 6 4 3" xfId="32446"/>
    <cellStyle name="Output 2 8 2 6 4 4" xfId="32447"/>
    <cellStyle name="Output 2 8 2 6 5" xfId="32448"/>
    <cellStyle name="Output 2 8 2 6 6" xfId="32449"/>
    <cellStyle name="Output 2 8 2 6 7" xfId="32450"/>
    <cellStyle name="Output 2 8 2 7" xfId="32451"/>
    <cellStyle name="Output 2 8 2 7 2" xfId="32452"/>
    <cellStyle name="Output 2 8 2 7 2 2" xfId="32453"/>
    <cellStyle name="Output 2 8 2 7 2 3" xfId="32454"/>
    <cellStyle name="Output 2 8 2 7 2 4" xfId="32455"/>
    <cellStyle name="Output 2 8 2 7 3" xfId="32456"/>
    <cellStyle name="Output 2 8 2 7 3 2" xfId="32457"/>
    <cellStyle name="Output 2 8 2 7 3 3" xfId="32458"/>
    <cellStyle name="Output 2 8 2 7 3 4" xfId="32459"/>
    <cellStyle name="Output 2 8 2 7 4" xfId="32460"/>
    <cellStyle name="Output 2 8 2 7 4 2" xfId="32461"/>
    <cellStyle name="Output 2 8 2 7 4 3" xfId="32462"/>
    <cellStyle name="Output 2 8 2 7 4 4" xfId="32463"/>
    <cellStyle name="Output 2 8 2 7 5" xfId="32464"/>
    <cellStyle name="Output 2 8 2 7 6" xfId="32465"/>
    <cellStyle name="Output 2 8 2 7 7" xfId="32466"/>
    <cellStyle name="Output 2 8 2 8" xfId="32467"/>
    <cellStyle name="Output 2 8 2 8 2" xfId="32468"/>
    <cellStyle name="Output 2 8 2 8 2 2" xfId="32469"/>
    <cellStyle name="Output 2 8 2 8 2 3" xfId="32470"/>
    <cellStyle name="Output 2 8 2 8 2 4" xfId="32471"/>
    <cellStyle name="Output 2 8 2 8 3" xfId="32472"/>
    <cellStyle name="Output 2 8 2 8 3 2" xfId="32473"/>
    <cellStyle name="Output 2 8 2 8 3 3" xfId="32474"/>
    <cellStyle name="Output 2 8 2 8 3 4" xfId="32475"/>
    <cellStyle name="Output 2 8 2 8 4" xfId="32476"/>
    <cellStyle name="Output 2 8 2 8 4 2" xfId="32477"/>
    <cellStyle name="Output 2 8 2 8 4 3" xfId="32478"/>
    <cellStyle name="Output 2 8 2 8 4 4" xfId="32479"/>
    <cellStyle name="Output 2 8 2 8 5" xfId="32480"/>
    <cellStyle name="Output 2 8 2 8 6" xfId="32481"/>
    <cellStyle name="Output 2 8 2 8 7" xfId="32482"/>
    <cellStyle name="Output 2 8 2 9" xfId="32483"/>
    <cellStyle name="Output 2 8 2 9 2" xfId="32484"/>
    <cellStyle name="Output 2 8 2 9 2 2" xfId="32485"/>
    <cellStyle name="Output 2 8 2 9 2 3" xfId="32486"/>
    <cellStyle name="Output 2 8 2 9 2 4" xfId="32487"/>
    <cellStyle name="Output 2 8 2 9 3" xfId="32488"/>
    <cellStyle name="Output 2 8 2 9 3 2" xfId="32489"/>
    <cellStyle name="Output 2 8 2 9 3 3" xfId="32490"/>
    <cellStyle name="Output 2 8 2 9 3 4" xfId="32491"/>
    <cellStyle name="Output 2 8 2 9 4" xfId="32492"/>
    <cellStyle name="Output 2 8 2 9 4 2" xfId="32493"/>
    <cellStyle name="Output 2 8 2 9 4 3" xfId="32494"/>
    <cellStyle name="Output 2 8 2 9 4 4" xfId="32495"/>
    <cellStyle name="Output 2 8 2 9 5" xfId="32496"/>
    <cellStyle name="Output 2 8 2 9 6" xfId="32497"/>
    <cellStyle name="Output 2 8 2 9 7" xfId="32498"/>
    <cellStyle name="Output 2 8 3" xfId="1087"/>
    <cellStyle name="Output 2 8 3 10" xfId="32499"/>
    <cellStyle name="Output 2 8 3 11" xfId="32500"/>
    <cellStyle name="Output 2 8 3 12" xfId="32501"/>
    <cellStyle name="Output 2 8 3 2" xfId="32502"/>
    <cellStyle name="Output 2 8 3 2 2" xfId="32503"/>
    <cellStyle name="Output 2 8 3 2 2 2" xfId="32504"/>
    <cellStyle name="Output 2 8 3 2 2 3" xfId="32505"/>
    <cellStyle name="Output 2 8 3 2 2 4" xfId="32506"/>
    <cellStyle name="Output 2 8 3 2 3" xfId="32507"/>
    <cellStyle name="Output 2 8 3 2 3 2" xfId="32508"/>
    <cellStyle name="Output 2 8 3 2 3 3" xfId="32509"/>
    <cellStyle name="Output 2 8 3 2 3 4" xfId="32510"/>
    <cellStyle name="Output 2 8 3 2 4" xfId="32511"/>
    <cellStyle name="Output 2 8 3 2 4 2" xfId="32512"/>
    <cellStyle name="Output 2 8 3 2 4 3" xfId="32513"/>
    <cellStyle name="Output 2 8 3 2 4 4" xfId="32514"/>
    <cellStyle name="Output 2 8 3 2 5" xfId="32515"/>
    <cellStyle name="Output 2 8 3 2 6" xfId="32516"/>
    <cellStyle name="Output 2 8 3 2 7" xfId="32517"/>
    <cellStyle name="Output 2 8 3 3" xfId="32518"/>
    <cellStyle name="Output 2 8 3 3 2" xfId="32519"/>
    <cellStyle name="Output 2 8 3 3 2 2" xfId="32520"/>
    <cellStyle name="Output 2 8 3 3 2 3" xfId="32521"/>
    <cellStyle name="Output 2 8 3 3 2 4" xfId="32522"/>
    <cellStyle name="Output 2 8 3 3 3" xfId="32523"/>
    <cellStyle name="Output 2 8 3 3 3 2" xfId="32524"/>
    <cellStyle name="Output 2 8 3 3 3 3" xfId="32525"/>
    <cellStyle name="Output 2 8 3 3 3 4" xfId="32526"/>
    <cellStyle name="Output 2 8 3 3 4" xfId="32527"/>
    <cellStyle name="Output 2 8 3 3 4 2" xfId="32528"/>
    <cellStyle name="Output 2 8 3 3 4 3" xfId="32529"/>
    <cellStyle name="Output 2 8 3 3 4 4" xfId="32530"/>
    <cellStyle name="Output 2 8 3 3 5" xfId="32531"/>
    <cellStyle name="Output 2 8 3 3 6" xfId="32532"/>
    <cellStyle name="Output 2 8 3 3 7" xfId="32533"/>
    <cellStyle name="Output 2 8 3 4" xfId="32534"/>
    <cellStyle name="Output 2 8 3 4 2" xfId="32535"/>
    <cellStyle name="Output 2 8 3 4 2 2" xfId="32536"/>
    <cellStyle name="Output 2 8 3 4 2 3" xfId="32537"/>
    <cellStyle name="Output 2 8 3 4 2 4" xfId="32538"/>
    <cellStyle name="Output 2 8 3 4 3" xfId="32539"/>
    <cellStyle name="Output 2 8 3 4 3 2" xfId="32540"/>
    <cellStyle name="Output 2 8 3 4 3 3" xfId="32541"/>
    <cellStyle name="Output 2 8 3 4 3 4" xfId="32542"/>
    <cellStyle name="Output 2 8 3 4 4" xfId="32543"/>
    <cellStyle name="Output 2 8 3 4 4 2" xfId="32544"/>
    <cellStyle name="Output 2 8 3 4 4 3" xfId="32545"/>
    <cellStyle name="Output 2 8 3 4 4 4" xfId="32546"/>
    <cellStyle name="Output 2 8 3 4 5" xfId="32547"/>
    <cellStyle name="Output 2 8 3 4 6" xfId="32548"/>
    <cellStyle name="Output 2 8 3 4 7" xfId="32549"/>
    <cellStyle name="Output 2 8 3 5" xfId="32550"/>
    <cellStyle name="Output 2 8 3 5 2" xfId="32551"/>
    <cellStyle name="Output 2 8 3 5 2 2" xfId="32552"/>
    <cellStyle name="Output 2 8 3 5 2 3" xfId="32553"/>
    <cellStyle name="Output 2 8 3 5 2 4" xfId="32554"/>
    <cellStyle name="Output 2 8 3 5 3" xfId="32555"/>
    <cellStyle name="Output 2 8 3 5 3 2" xfId="32556"/>
    <cellStyle name="Output 2 8 3 5 3 3" xfId="32557"/>
    <cellStyle name="Output 2 8 3 5 3 4" xfId="32558"/>
    <cellStyle name="Output 2 8 3 5 4" xfId="32559"/>
    <cellStyle name="Output 2 8 3 5 4 2" xfId="32560"/>
    <cellStyle name="Output 2 8 3 5 4 3" xfId="32561"/>
    <cellStyle name="Output 2 8 3 5 4 4" xfId="32562"/>
    <cellStyle name="Output 2 8 3 5 5" xfId="32563"/>
    <cellStyle name="Output 2 8 3 5 6" xfId="32564"/>
    <cellStyle name="Output 2 8 3 5 7" xfId="32565"/>
    <cellStyle name="Output 2 8 3 6" xfId="32566"/>
    <cellStyle name="Output 2 8 3 6 2" xfId="32567"/>
    <cellStyle name="Output 2 8 3 6 2 2" xfId="32568"/>
    <cellStyle name="Output 2 8 3 6 2 3" xfId="32569"/>
    <cellStyle name="Output 2 8 3 6 2 4" xfId="32570"/>
    <cellStyle name="Output 2 8 3 6 3" xfId="32571"/>
    <cellStyle name="Output 2 8 3 6 3 2" xfId="32572"/>
    <cellStyle name="Output 2 8 3 6 3 3" xfId="32573"/>
    <cellStyle name="Output 2 8 3 6 3 4" xfId="32574"/>
    <cellStyle name="Output 2 8 3 6 4" xfId="32575"/>
    <cellStyle name="Output 2 8 3 6 4 2" xfId="32576"/>
    <cellStyle name="Output 2 8 3 6 4 3" xfId="32577"/>
    <cellStyle name="Output 2 8 3 6 4 4" xfId="32578"/>
    <cellStyle name="Output 2 8 3 6 5" xfId="32579"/>
    <cellStyle name="Output 2 8 3 6 6" xfId="32580"/>
    <cellStyle name="Output 2 8 3 6 7" xfId="32581"/>
    <cellStyle name="Output 2 8 3 7" xfId="32582"/>
    <cellStyle name="Output 2 8 3 7 2" xfId="32583"/>
    <cellStyle name="Output 2 8 3 7 3" xfId="32584"/>
    <cellStyle name="Output 2 8 3 7 4" xfId="32585"/>
    <cellStyle name="Output 2 8 3 8" xfId="32586"/>
    <cellStyle name="Output 2 8 3 8 2" xfId="32587"/>
    <cellStyle name="Output 2 8 3 8 3" xfId="32588"/>
    <cellStyle name="Output 2 8 3 8 4" xfId="32589"/>
    <cellStyle name="Output 2 8 3 9" xfId="32590"/>
    <cellStyle name="Output 2 8 3 9 2" xfId="32591"/>
    <cellStyle name="Output 2 8 3 9 3" xfId="32592"/>
    <cellStyle name="Output 2 8 3 9 4" xfId="32593"/>
    <cellStyle name="Output 2 8 4" xfId="3193"/>
    <cellStyle name="Output 2 8 5" xfId="1145"/>
    <cellStyle name="Output 2 8 6" xfId="1117"/>
    <cellStyle name="Output 2 8 7" xfId="1121"/>
    <cellStyle name="Output 2 9" xfId="639"/>
    <cellStyle name="Output 2 9 10" xfId="32594"/>
    <cellStyle name="Output 2 9 10 2" xfId="32595"/>
    <cellStyle name="Output 2 9 10 2 2" xfId="32596"/>
    <cellStyle name="Output 2 9 10 2 3" xfId="32597"/>
    <cellStyle name="Output 2 9 10 2 4" xfId="32598"/>
    <cellStyle name="Output 2 9 10 3" xfId="32599"/>
    <cellStyle name="Output 2 9 10 3 2" xfId="32600"/>
    <cellStyle name="Output 2 9 10 3 3" xfId="32601"/>
    <cellStyle name="Output 2 9 10 3 4" xfId="32602"/>
    <cellStyle name="Output 2 9 10 4" xfId="32603"/>
    <cellStyle name="Output 2 9 10 4 2" xfId="32604"/>
    <cellStyle name="Output 2 9 10 4 3" xfId="32605"/>
    <cellStyle name="Output 2 9 10 4 4" xfId="32606"/>
    <cellStyle name="Output 2 9 10 5" xfId="32607"/>
    <cellStyle name="Output 2 9 10 6" xfId="32608"/>
    <cellStyle name="Output 2 9 10 7" xfId="32609"/>
    <cellStyle name="Output 2 9 11" xfId="32610"/>
    <cellStyle name="Output 2 9 11 2" xfId="32611"/>
    <cellStyle name="Output 2 9 11 2 2" xfId="32612"/>
    <cellStyle name="Output 2 9 11 2 3" xfId="32613"/>
    <cellStyle name="Output 2 9 11 2 4" xfId="32614"/>
    <cellStyle name="Output 2 9 11 3" xfId="32615"/>
    <cellStyle name="Output 2 9 11 3 2" xfId="32616"/>
    <cellStyle name="Output 2 9 11 3 3" xfId="32617"/>
    <cellStyle name="Output 2 9 11 3 4" xfId="32618"/>
    <cellStyle name="Output 2 9 11 4" xfId="32619"/>
    <cellStyle name="Output 2 9 11 4 2" xfId="32620"/>
    <cellStyle name="Output 2 9 11 4 3" xfId="32621"/>
    <cellStyle name="Output 2 9 11 4 4" xfId="32622"/>
    <cellStyle name="Output 2 9 11 5" xfId="32623"/>
    <cellStyle name="Output 2 9 11 6" xfId="32624"/>
    <cellStyle name="Output 2 9 11 7" xfId="32625"/>
    <cellStyle name="Output 2 9 12" xfId="32626"/>
    <cellStyle name="Output 2 9 12 2" xfId="32627"/>
    <cellStyle name="Output 2 9 12 2 2" xfId="32628"/>
    <cellStyle name="Output 2 9 12 2 3" xfId="32629"/>
    <cellStyle name="Output 2 9 12 2 4" xfId="32630"/>
    <cellStyle name="Output 2 9 12 3" xfId="32631"/>
    <cellStyle name="Output 2 9 12 3 2" xfId="32632"/>
    <cellStyle name="Output 2 9 12 3 3" xfId="32633"/>
    <cellStyle name="Output 2 9 12 3 4" xfId="32634"/>
    <cellStyle name="Output 2 9 12 4" xfId="32635"/>
    <cellStyle name="Output 2 9 12 4 2" xfId="32636"/>
    <cellStyle name="Output 2 9 12 4 3" xfId="32637"/>
    <cellStyle name="Output 2 9 12 4 4" xfId="32638"/>
    <cellStyle name="Output 2 9 12 5" xfId="32639"/>
    <cellStyle name="Output 2 9 12 6" xfId="32640"/>
    <cellStyle name="Output 2 9 12 7" xfId="32641"/>
    <cellStyle name="Output 2 9 13" xfId="32642"/>
    <cellStyle name="Output 2 9 13 2" xfId="32643"/>
    <cellStyle name="Output 2 9 13 2 2" xfId="32644"/>
    <cellStyle name="Output 2 9 13 2 3" xfId="32645"/>
    <cellStyle name="Output 2 9 13 2 4" xfId="32646"/>
    <cellStyle name="Output 2 9 13 3" xfId="32647"/>
    <cellStyle name="Output 2 9 13 3 2" xfId="32648"/>
    <cellStyle name="Output 2 9 13 3 3" xfId="32649"/>
    <cellStyle name="Output 2 9 13 3 4" xfId="32650"/>
    <cellStyle name="Output 2 9 13 4" xfId="32651"/>
    <cellStyle name="Output 2 9 13 4 2" xfId="32652"/>
    <cellStyle name="Output 2 9 13 4 3" xfId="32653"/>
    <cellStyle name="Output 2 9 13 4 4" xfId="32654"/>
    <cellStyle name="Output 2 9 13 5" xfId="32655"/>
    <cellStyle name="Output 2 9 13 6" xfId="32656"/>
    <cellStyle name="Output 2 9 13 7" xfId="32657"/>
    <cellStyle name="Output 2 9 14" xfId="32658"/>
    <cellStyle name="Output 2 9 14 2" xfId="32659"/>
    <cellStyle name="Output 2 9 14 3" xfId="32660"/>
    <cellStyle name="Output 2 9 14 4" xfId="32661"/>
    <cellStyle name="Output 2 9 15" xfId="32662"/>
    <cellStyle name="Output 2 9 15 2" xfId="32663"/>
    <cellStyle name="Output 2 9 15 3" xfId="32664"/>
    <cellStyle name="Output 2 9 15 4" xfId="32665"/>
    <cellStyle name="Output 2 9 16" xfId="32666"/>
    <cellStyle name="Output 2 9 16 2" xfId="32667"/>
    <cellStyle name="Output 2 9 16 3" xfId="32668"/>
    <cellStyle name="Output 2 9 16 4" xfId="32669"/>
    <cellStyle name="Output 2 9 17" xfId="32670"/>
    <cellStyle name="Output 2 9 18" xfId="32671"/>
    <cellStyle name="Output 2 9 19" xfId="32672"/>
    <cellStyle name="Output 2 9 2" xfId="899"/>
    <cellStyle name="Output 2 9 2 10" xfId="32673"/>
    <cellStyle name="Output 2 9 2 11" xfId="32674"/>
    <cellStyle name="Output 2 9 2 12" xfId="32675"/>
    <cellStyle name="Output 2 9 2 2" xfId="32676"/>
    <cellStyle name="Output 2 9 2 2 2" xfId="32677"/>
    <cellStyle name="Output 2 9 2 2 2 2" xfId="32678"/>
    <cellStyle name="Output 2 9 2 2 2 3" xfId="32679"/>
    <cellStyle name="Output 2 9 2 2 2 4" xfId="32680"/>
    <cellStyle name="Output 2 9 2 2 3" xfId="32681"/>
    <cellStyle name="Output 2 9 2 2 3 2" xfId="32682"/>
    <cellStyle name="Output 2 9 2 2 3 3" xfId="32683"/>
    <cellStyle name="Output 2 9 2 2 3 4" xfId="32684"/>
    <cellStyle name="Output 2 9 2 2 4" xfId="32685"/>
    <cellStyle name="Output 2 9 2 2 4 2" xfId="32686"/>
    <cellStyle name="Output 2 9 2 2 4 3" xfId="32687"/>
    <cellStyle name="Output 2 9 2 2 4 4" xfId="32688"/>
    <cellStyle name="Output 2 9 2 2 5" xfId="32689"/>
    <cellStyle name="Output 2 9 2 2 6" xfId="32690"/>
    <cellStyle name="Output 2 9 2 2 7" xfId="32691"/>
    <cellStyle name="Output 2 9 2 3" xfId="32692"/>
    <cellStyle name="Output 2 9 2 3 2" xfId="32693"/>
    <cellStyle name="Output 2 9 2 3 2 2" xfId="32694"/>
    <cellStyle name="Output 2 9 2 3 2 3" xfId="32695"/>
    <cellStyle name="Output 2 9 2 3 2 4" xfId="32696"/>
    <cellStyle name="Output 2 9 2 3 3" xfId="32697"/>
    <cellStyle name="Output 2 9 2 3 3 2" xfId="32698"/>
    <cellStyle name="Output 2 9 2 3 3 3" xfId="32699"/>
    <cellStyle name="Output 2 9 2 3 3 4" xfId="32700"/>
    <cellStyle name="Output 2 9 2 3 4" xfId="32701"/>
    <cellStyle name="Output 2 9 2 3 4 2" xfId="32702"/>
    <cellStyle name="Output 2 9 2 3 4 3" xfId="32703"/>
    <cellStyle name="Output 2 9 2 3 4 4" xfId="32704"/>
    <cellStyle name="Output 2 9 2 3 5" xfId="32705"/>
    <cellStyle name="Output 2 9 2 3 6" xfId="32706"/>
    <cellStyle name="Output 2 9 2 3 7" xfId="32707"/>
    <cellStyle name="Output 2 9 2 4" xfId="32708"/>
    <cellStyle name="Output 2 9 2 4 2" xfId="32709"/>
    <cellStyle name="Output 2 9 2 4 2 2" xfId="32710"/>
    <cellStyle name="Output 2 9 2 4 2 3" xfId="32711"/>
    <cellStyle name="Output 2 9 2 4 2 4" xfId="32712"/>
    <cellStyle name="Output 2 9 2 4 3" xfId="32713"/>
    <cellStyle name="Output 2 9 2 4 3 2" xfId="32714"/>
    <cellStyle name="Output 2 9 2 4 3 3" xfId="32715"/>
    <cellStyle name="Output 2 9 2 4 3 4" xfId="32716"/>
    <cellStyle name="Output 2 9 2 4 4" xfId="32717"/>
    <cellStyle name="Output 2 9 2 4 4 2" xfId="32718"/>
    <cellStyle name="Output 2 9 2 4 4 3" xfId="32719"/>
    <cellStyle name="Output 2 9 2 4 4 4" xfId="32720"/>
    <cellStyle name="Output 2 9 2 4 5" xfId="32721"/>
    <cellStyle name="Output 2 9 2 4 6" xfId="32722"/>
    <cellStyle name="Output 2 9 2 4 7" xfId="32723"/>
    <cellStyle name="Output 2 9 2 5" xfId="32724"/>
    <cellStyle name="Output 2 9 2 5 2" xfId="32725"/>
    <cellStyle name="Output 2 9 2 5 2 2" xfId="32726"/>
    <cellStyle name="Output 2 9 2 5 2 3" xfId="32727"/>
    <cellStyle name="Output 2 9 2 5 2 4" xfId="32728"/>
    <cellStyle name="Output 2 9 2 5 3" xfId="32729"/>
    <cellStyle name="Output 2 9 2 5 3 2" xfId="32730"/>
    <cellStyle name="Output 2 9 2 5 3 3" xfId="32731"/>
    <cellStyle name="Output 2 9 2 5 3 4" xfId="32732"/>
    <cellStyle name="Output 2 9 2 5 4" xfId="32733"/>
    <cellStyle name="Output 2 9 2 5 4 2" xfId="32734"/>
    <cellStyle name="Output 2 9 2 5 4 3" xfId="32735"/>
    <cellStyle name="Output 2 9 2 5 4 4" xfId="32736"/>
    <cellStyle name="Output 2 9 2 5 5" xfId="32737"/>
    <cellStyle name="Output 2 9 2 5 6" xfId="32738"/>
    <cellStyle name="Output 2 9 2 5 7" xfId="32739"/>
    <cellStyle name="Output 2 9 2 6" xfId="32740"/>
    <cellStyle name="Output 2 9 2 6 2" xfId="32741"/>
    <cellStyle name="Output 2 9 2 6 2 2" xfId="32742"/>
    <cellStyle name="Output 2 9 2 6 2 3" xfId="32743"/>
    <cellStyle name="Output 2 9 2 6 2 4" xfId="32744"/>
    <cellStyle name="Output 2 9 2 6 3" xfId="32745"/>
    <cellStyle name="Output 2 9 2 6 3 2" xfId="32746"/>
    <cellStyle name="Output 2 9 2 6 3 3" xfId="32747"/>
    <cellStyle name="Output 2 9 2 6 3 4" xfId="32748"/>
    <cellStyle name="Output 2 9 2 6 4" xfId="32749"/>
    <cellStyle name="Output 2 9 2 6 4 2" xfId="32750"/>
    <cellStyle name="Output 2 9 2 6 4 3" xfId="32751"/>
    <cellStyle name="Output 2 9 2 6 4 4" xfId="32752"/>
    <cellStyle name="Output 2 9 2 6 5" xfId="32753"/>
    <cellStyle name="Output 2 9 2 6 6" xfId="32754"/>
    <cellStyle name="Output 2 9 2 6 7" xfId="32755"/>
    <cellStyle name="Output 2 9 2 7" xfId="32756"/>
    <cellStyle name="Output 2 9 2 7 2" xfId="32757"/>
    <cellStyle name="Output 2 9 2 7 3" xfId="32758"/>
    <cellStyle name="Output 2 9 2 7 4" xfId="32759"/>
    <cellStyle name="Output 2 9 2 8" xfId="32760"/>
    <cellStyle name="Output 2 9 2 8 2" xfId="32761"/>
    <cellStyle name="Output 2 9 2 8 3" xfId="32762"/>
    <cellStyle name="Output 2 9 2 8 4" xfId="32763"/>
    <cellStyle name="Output 2 9 2 9" xfId="32764"/>
    <cellStyle name="Output 2 9 2 9 2" xfId="32765"/>
    <cellStyle name="Output 2 9 2 9 3" xfId="32766"/>
    <cellStyle name="Output 2 9 2 9 4" xfId="32767"/>
    <cellStyle name="Output 2 9 3" xfId="869"/>
    <cellStyle name="Output 2 9 3 10" xfId="32768"/>
    <cellStyle name="Output 2 9 3 11" xfId="32769"/>
    <cellStyle name="Output 2 9 3 12" xfId="32770"/>
    <cellStyle name="Output 2 9 3 2" xfId="32771"/>
    <cellStyle name="Output 2 9 3 2 2" xfId="32772"/>
    <cellStyle name="Output 2 9 3 2 2 2" xfId="32773"/>
    <cellStyle name="Output 2 9 3 2 2 3" xfId="32774"/>
    <cellStyle name="Output 2 9 3 2 2 4" xfId="32775"/>
    <cellStyle name="Output 2 9 3 2 3" xfId="32776"/>
    <cellStyle name="Output 2 9 3 2 3 2" xfId="32777"/>
    <cellStyle name="Output 2 9 3 2 3 3" xfId="32778"/>
    <cellStyle name="Output 2 9 3 2 3 4" xfId="32779"/>
    <cellStyle name="Output 2 9 3 2 4" xfId="32780"/>
    <cellStyle name="Output 2 9 3 2 4 2" xfId="32781"/>
    <cellStyle name="Output 2 9 3 2 4 3" xfId="32782"/>
    <cellStyle name="Output 2 9 3 2 4 4" xfId="32783"/>
    <cellStyle name="Output 2 9 3 2 5" xfId="32784"/>
    <cellStyle name="Output 2 9 3 2 6" xfId="32785"/>
    <cellStyle name="Output 2 9 3 2 7" xfId="32786"/>
    <cellStyle name="Output 2 9 3 3" xfId="32787"/>
    <cellStyle name="Output 2 9 3 3 2" xfId="32788"/>
    <cellStyle name="Output 2 9 3 3 2 2" xfId="32789"/>
    <cellStyle name="Output 2 9 3 3 2 3" xfId="32790"/>
    <cellStyle name="Output 2 9 3 3 2 4" xfId="32791"/>
    <cellStyle name="Output 2 9 3 3 3" xfId="32792"/>
    <cellStyle name="Output 2 9 3 3 3 2" xfId="32793"/>
    <cellStyle name="Output 2 9 3 3 3 3" xfId="32794"/>
    <cellStyle name="Output 2 9 3 3 3 4" xfId="32795"/>
    <cellStyle name="Output 2 9 3 3 4" xfId="32796"/>
    <cellStyle name="Output 2 9 3 3 4 2" xfId="32797"/>
    <cellStyle name="Output 2 9 3 3 4 3" xfId="32798"/>
    <cellStyle name="Output 2 9 3 3 4 4" xfId="32799"/>
    <cellStyle name="Output 2 9 3 3 5" xfId="32800"/>
    <cellStyle name="Output 2 9 3 3 6" xfId="32801"/>
    <cellStyle name="Output 2 9 3 3 7" xfId="32802"/>
    <cellStyle name="Output 2 9 3 4" xfId="32803"/>
    <cellStyle name="Output 2 9 3 4 2" xfId="32804"/>
    <cellStyle name="Output 2 9 3 4 2 2" xfId="32805"/>
    <cellStyle name="Output 2 9 3 4 2 3" xfId="32806"/>
    <cellStyle name="Output 2 9 3 4 2 4" xfId="32807"/>
    <cellStyle name="Output 2 9 3 4 3" xfId="32808"/>
    <cellStyle name="Output 2 9 3 4 3 2" xfId="32809"/>
    <cellStyle name="Output 2 9 3 4 3 3" xfId="32810"/>
    <cellStyle name="Output 2 9 3 4 3 4" xfId="32811"/>
    <cellStyle name="Output 2 9 3 4 4" xfId="32812"/>
    <cellStyle name="Output 2 9 3 4 4 2" xfId="32813"/>
    <cellStyle name="Output 2 9 3 4 4 3" xfId="32814"/>
    <cellStyle name="Output 2 9 3 4 4 4" xfId="32815"/>
    <cellStyle name="Output 2 9 3 4 5" xfId="32816"/>
    <cellStyle name="Output 2 9 3 4 6" xfId="32817"/>
    <cellStyle name="Output 2 9 3 4 7" xfId="32818"/>
    <cellStyle name="Output 2 9 3 5" xfId="32819"/>
    <cellStyle name="Output 2 9 3 5 2" xfId="32820"/>
    <cellStyle name="Output 2 9 3 5 2 2" xfId="32821"/>
    <cellStyle name="Output 2 9 3 5 2 3" xfId="32822"/>
    <cellStyle name="Output 2 9 3 5 2 4" xfId="32823"/>
    <cellStyle name="Output 2 9 3 5 3" xfId="32824"/>
    <cellStyle name="Output 2 9 3 5 3 2" xfId="32825"/>
    <cellStyle name="Output 2 9 3 5 3 3" xfId="32826"/>
    <cellStyle name="Output 2 9 3 5 3 4" xfId="32827"/>
    <cellStyle name="Output 2 9 3 5 4" xfId="32828"/>
    <cellStyle name="Output 2 9 3 5 4 2" xfId="32829"/>
    <cellStyle name="Output 2 9 3 5 4 3" xfId="32830"/>
    <cellStyle name="Output 2 9 3 5 4 4" xfId="32831"/>
    <cellStyle name="Output 2 9 3 5 5" xfId="32832"/>
    <cellStyle name="Output 2 9 3 5 6" xfId="32833"/>
    <cellStyle name="Output 2 9 3 5 7" xfId="32834"/>
    <cellStyle name="Output 2 9 3 6" xfId="32835"/>
    <cellStyle name="Output 2 9 3 6 2" xfId="32836"/>
    <cellStyle name="Output 2 9 3 6 2 2" xfId="32837"/>
    <cellStyle name="Output 2 9 3 6 2 3" xfId="32838"/>
    <cellStyle name="Output 2 9 3 6 2 4" xfId="32839"/>
    <cellStyle name="Output 2 9 3 6 3" xfId="32840"/>
    <cellStyle name="Output 2 9 3 6 3 2" xfId="32841"/>
    <cellStyle name="Output 2 9 3 6 3 3" xfId="32842"/>
    <cellStyle name="Output 2 9 3 6 3 4" xfId="32843"/>
    <cellStyle name="Output 2 9 3 6 4" xfId="32844"/>
    <cellStyle name="Output 2 9 3 6 4 2" xfId="32845"/>
    <cellStyle name="Output 2 9 3 6 4 3" xfId="32846"/>
    <cellStyle name="Output 2 9 3 6 4 4" xfId="32847"/>
    <cellStyle name="Output 2 9 3 6 5" xfId="32848"/>
    <cellStyle name="Output 2 9 3 6 6" xfId="32849"/>
    <cellStyle name="Output 2 9 3 6 7" xfId="32850"/>
    <cellStyle name="Output 2 9 3 7" xfId="32851"/>
    <cellStyle name="Output 2 9 3 7 2" xfId="32852"/>
    <cellStyle name="Output 2 9 3 7 3" xfId="32853"/>
    <cellStyle name="Output 2 9 3 7 4" xfId="32854"/>
    <cellStyle name="Output 2 9 3 8" xfId="32855"/>
    <cellStyle name="Output 2 9 3 8 2" xfId="32856"/>
    <cellStyle name="Output 2 9 3 8 3" xfId="32857"/>
    <cellStyle name="Output 2 9 3 8 4" xfId="32858"/>
    <cellStyle name="Output 2 9 3 9" xfId="32859"/>
    <cellStyle name="Output 2 9 3 9 2" xfId="32860"/>
    <cellStyle name="Output 2 9 3 9 3" xfId="32861"/>
    <cellStyle name="Output 2 9 3 9 4" xfId="32862"/>
    <cellStyle name="Output 2 9 4" xfId="968"/>
    <cellStyle name="Output 2 9 4 10" xfId="32863"/>
    <cellStyle name="Output 2 9 4 11" xfId="32864"/>
    <cellStyle name="Output 2 9 4 12" xfId="32865"/>
    <cellStyle name="Output 2 9 4 2" xfId="32866"/>
    <cellStyle name="Output 2 9 4 2 2" xfId="32867"/>
    <cellStyle name="Output 2 9 4 2 2 2" xfId="32868"/>
    <cellStyle name="Output 2 9 4 2 2 3" xfId="32869"/>
    <cellStyle name="Output 2 9 4 2 2 4" xfId="32870"/>
    <cellStyle name="Output 2 9 4 2 3" xfId="32871"/>
    <cellStyle name="Output 2 9 4 2 3 2" xfId="32872"/>
    <cellStyle name="Output 2 9 4 2 3 3" xfId="32873"/>
    <cellStyle name="Output 2 9 4 2 3 4" xfId="32874"/>
    <cellStyle name="Output 2 9 4 2 4" xfId="32875"/>
    <cellStyle name="Output 2 9 4 2 4 2" xfId="32876"/>
    <cellStyle name="Output 2 9 4 2 4 3" xfId="32877"/>
    <cellStyle name="Output 2 9 4 2 4 4" xfId="32878"/>
    <cellStyle name="Output 2 9 4 2 5" xfId="32879"/>
    <cellStyle name="Output 2 9 4 2 6" xfId="32880"/>
    <cellStyle name="Output 2 9 4 2 7" xfId="32881"/>
    <cellStyle name="Output 2 9 4 3" xfId="32882"/>
    <cellStyle name="Output 2 9 4 3 2" xfId="32883"/>
    <cellStyle name="Output 2 9 4 3 2 2" xfId="32884"/>
    <cellStyle name="Output 2 9 4 3 2 3" xfId="32885"/>
    <cellStyle name="Output 2 9 4 3 2 4" xfId="32886"/>
    <cellStyle name="Output 2 9 4 3 3" xfId="32887"/>
    <cellStyle name="Output 2 9 4 3 3 2" xfId="32888"/>
    <cellStyle name="Output 2 9 4 3 3 3" xfId="32889"/>
    <cellStyle name="Output 2 9 4 3 3 4" xfId="32890"/>
    <cellStyle name="Output 2 9 4 3 4" xfId="32891"/>
    <cellStyle name="Output 2 9 4 3 4 2" xfId="32892"/>
    <cellStyle name="Output 2 9 4 3 4 3" xfId="32893"/>
    <cellStyle name="Output 2 9 4 3 4 4" xfId="32894"/>
    <cellStyle name="Output 2 9 4 3 5" xfId="32895"/>
    <cellStyle name="Output 2 9 4 3 6" xfId="32896"/>
    <cellStyle name="Output 2 9 4 3 7" xfId="32897"/>
    <cellStyle name="Output 2 9 4 4" xfId="32898"/>
    <cellStyle name="Output 2 9 4 4 2" xfId="32899"/>
    <cellStyle name="Output 2 9 4 4 2 2" xfId="32900"/>
    <cellStyle name="Output 2 9 4 4 2 3" xfId="32901"/>
    <cellStyle name="Output 2 9 4 4 2 4" xfId="32902"/>
    <cellStyle name="Output 2 9 4 4 3" xfId="32903"/>
    <cellStyle name="Output 2 9 4 4 3 2" xfId="32904"/>
    <cellStyle name="Output 2 9 4 4 3 3" xfId="32905"/>
    <cellStyle name="Output 2 9 4 4 3 4" xfId="32906"/>
    <cellStyle name="Output 2 9 4 4 4" xfId="32907"/>
    <cellStyle name="Output 2 9 4 4 4 2" xfId="32908"/>
    <cellStyle name="Output 2 9 4 4 4 3" xfId="32909"/>
    <cellStyle name="Output 2 9 4 4 4 4" xfId="32910"/>
    <cellStyle name="Output 2 9 4 4 5" xfId="32911"/>
    <cellStyle name="Output 2 9 4 4 6" xfId="32912"/>
    <cellStyle name="Output 2 9 4 4 7" xfId="32913"/>
    <cellStyle name="Output 2 9 4 5" xfId="32914"/>
    <cellStyle name="Output 2 9 4 5 2" xfId="32915"/>
    <cellStyle name="Output 2 9 4 5 2 2" xfId="32916"/>
    <cellStyle name="Output 2 9 4 5 2 3" xfId="32917"/>
    <cellStyle name="Output 2 9 4 5 2 4" xfId="32918"/>
    <cellStyle name="Output 2 9 4 5 3" xfId="32919"/>
    <cellStyle name="Output 2 9 4 5 3 2" xfId="32920"/>
    <cellStyle name="Output 2 9 4 5 3 3" xfId="32921"/>
    <cellStyle name="Output 2 9 4 5 3 4" xfId="32922"/>
    <cellStyle name="Output 2 9 4 5 4" xfId="32923"/>
    <cellStyle name="Output 2 9 4 5 4 2" xfId="32924"/>
    <cellStyle name="Output 2 9 4 5 4 3" xfId="32925"/>
    <cellStyle name="Output 2 9 4 5 4 4" xfId="32926"/>
    <cellStyle name="Output 2 9 4 5 5" xfId="32927"/>
    <cellStyle name="Output 2 9 4 5 6" xfId="32928"/>
    <cellStyle name="Output 2 9 4 5 7" xfId="32929"/>
    <cellStyle name="Output 2 9 4 6" xfId="32930"/>
    <cellStyle name="Output 2 9 4 6 2" xfId="32931"/>
    <cellStyle name="Output 2 9 4 6 2 2" xfId="32932"/>
    <cellStyle name="Output 2 9 4 6 2 3" xfId="32933"/>
    <cellStyle name="Output 2 9 4 6 2 4" xfId="32934"/>
    <cellStyle name="Output 2 9 4 6 3" xfId="32935"/>
    <cellStyle name="Output 2 9 4 6 3 2" xfId="32936"/>
    <cellStyle name="Output 2 9 4 6 3 3" xfId="32937"/>
    <cellStyle name="Output 2 9 4 6 3 4" xfId="32938"/>
    <cellStyle name="Output 2 9 4 6 4" xfId="32939"/>
    <cellStyle name="Output 2 9 4 6 4 2" xfId="32940"/>
    <cellStyle name="Output 2 9 4 6 4 3" xfId="32941"/>
    <cellStyle name="Output 2 9 4 6 4 4" xfId="32942"/>
    <cellStyle name="Output 2 9 4 6 5" xfId="32943"/>
    <cellStyle name="Output 2 9 4 6 6" xfId="32944"/>
    <cellStyle name="Output 2 9 4 6 7" xfId="32945"/>
    <cellStyle name="Output 2 9 4 7" xfId="32946"/>
    <cellStyle name="Output 2 9 4 7 2" xfId="32947"/>
    <cellStyle name="Output 2 9 4 7 3" xfId="32948"/>
    <cellStyle name="Output 2 9 4 7 4" xfId="32949"/>
    <cellStyle name="Output 2 9 4 8" xfId="32950"/>
    <cellStyle name="Output 2 9 4 8 2" xfId="32951"/>
    <cellStyle name="Output 2 9 4 8 3" xfId="32952"/>
    <cellStyle name="Output 2 9 4 8 4" xfId="32953"/>
    <cellStyle name="Output 2 9 4 9" xfId="32954"/>
    <cellStyle name="Output 2 9 4 9 2" xfId="32955"/>
    <cellStyle name="Output 2 9 4 9 3" xfId="32956"/>
    <cellStyle name="Output 2 9 4 9 4" xfId="32957"/>
    <cellStyle name="Output 2 9 5" xfId="32958"/>
    <cellStyle name="Output 2 9 5 10" xfId="32959"/>
    <cellStyle name="Output 2 9 5 11" xfId="32960"/>
    <cellStyle name="Output 2 9 5 12" xfId="32961"/>
    <cellStyle name="Output 2 9 5 2" xfId="32962"/>
    <cellStyle name="Output 2 9 5 2 2" xfId="32963"/>
    <cellStyle name="Output 2 9 5 2 2 2" xfId="32964"/>
    <cellStyle name="Output 2 9 5 2 2 3" xfId="32965"/>
    <cellStyle name="Output 2 9 5 2 2 4" xfId="32966"/>
    <cellStyle name="Output 2 9 5 2 3" xfId="32967"/>
    <cellStyle name="Output 2 9 5 2 3 2" xfId="32968"/>
    <cellStyle name="Output 2 9 5 2 3 3" xfId="32969"/>
    <cellStyle name="Output 2 9 5 2 3 4" xfId="32970"/>
    <cellStyle name="Output 2 9 5 2 4" xfId="32971"/>
    <cellStyle name="Output 2 9 5 2 4 2" xfId="32972"/>
    <cellStyle name="Output 2 9 5 2 4 3" xfId="32973"/>
    <cellStyle name="Output 2 9 5 2 4 4" xfId="32974"/>
    <cellStyle name="Output 2 9 5 2 5" xfId="32975"/>
    <cellStyle name="Output 2 9 5 2 6" xfId="32976"/>
    <cellStyle name="Output 2 9 5 2 7" xfId="32977"/>
    <cellStyle name="Output 2 9 5 3" xfId="32978"/>
    <cellStyle name="Output 2 9 5 3 2" xfId="32979"/>
    <cellStyle name="Output 2 9 5 3 2 2" xfId="32980"/>
    <cellStyle name="Output 2 9 5 3 2 3" xfId="32981"/>
    <cellStyle name="Output 2 9 5 3 2 4" xfId="32982"/>
    <cellStyle name="Output 2 9 5 3 3" xfId="32983"/>
    <cellStyle name="Output 2 9 5 3 3 2" xfId="32984"/>
    <cellStyle name="Output 2 9 5 3 3 3" xfId="32985"/>
    <cellStyle name="Output 2 9 5 3 3 4" xfId="32986"/>
    <cellStyle name="Output 2 9 5 3 4" xfId="32987"/>
    <cellStyle name="Output 2 9 5 3 4 2" xfId="32988"/>
    <cellStyle name="Output 2 9 5 3 4 3" xfId="32989"/>
    <cellStyle name="Output 2 9 5 3 4 4" xfId="32990"/>
    <cellStyle name="Output 2 9 5 3 5" xfId="32991"/>
    <cellStyle name="Output 2 9 5 3 6" xfId="32992"/>
    <cellStyle name="Output 2 9 5 3 7" xfId="32993"/>
    <cellStyle name="Output 2 9 5 4" xfId="32994"/>
    <cellStyle name="Output 2 9 5 4 2" xfId="32995"/>
    <cellStyle name="Output 2 9 5 4 2 2" xfId="32996"/>
    <cellStyle name="Output 2 9 5 4 2 3" xfId="32997"/>
    <cellStyle name="Output 2 9 5 4 2 4" xfId="32998"/>
    <cellStyle name="Output 2 9 5 4 3" xfId="32999"/>
    <cellStyle name="Output 2 9 5 4 3 2" xfId="33000"/>
    <cellStyle name="Output 2 9 5 4 3 3" xfId="33001"/>
    <cellStyle name="Output 2 9 5 4 3 4" xfId="33002"/>
    <cellStyle name="Output 2 9 5 4 4" xfId="33003"/>
    <cellStyle name="Output 2 9 5 4 4 2" xfId="33004"/>
    <cellStyle name="Output 2 9 5 4 4 3" xfId="33005"/>
    <cellStyle name="Output 2 9 5 4 4 4" xfId="33006"/>
    <cellStyle name="Output 2 9 5 4 5" xfId="33007"/>
    <cellStyle name="Output 2 9 5 4 6" xfId="33008"/>
    <cellStyle name="Output 2 9 5 4 7" xfId="33009"/>
    <cellStyle name="Output 2 9 5 5" xfId="33010"/>
    <cellStyle name="Output 2 9 5 5 2" xfId="33011"/>
    <cellStyle name="Output 2 9 5 5 2 2" xfId="33012"/>
    <cellStyle name="Output 2 9 5 5 2 3" xfId="33013"/>
    <cellStyle name="Output 2 9 5 5 2 4" xfId="33014"/>
    <cellStyle name="Output 2 9 5 5 3" xfId="33015"/>
    <cellStyle name="Output 2 9 5 5 3 2" xfId="33016"/>
    <cellStyle name="Output 2 9 5 5 3 3" xfId="33017"/>
    <cellStyle name="Output 2 9 5 5 3 4" xfId="33018"/>
    <cellStyle name="Output 2 9 5 5 4" xfId="33019"/>
    <cellStyle name="Output 2 9 5 5 4 2" xfId="33020"/>
    <cellStyle name="Output 2 9 5 5 4 3" xfId="33021"/>
    <cellStyle name="Output 2 9 5 5 4 4" xfId="33022"/>
    <cellStyle name="Output 2 9 5 5 5" xfId="33023"/>
    <cellStyle name="Output 2 9 5 5 6" xfId="33024"/>
    <cellStyle name="Output 2 9 5 5 7" xfId="33025"/>
    <cellStyle name="Output 2 9 5 6" xfId="33026"/>
    <cellStyle name="Output 2 9 5 6 2" xfId="33027"/>
    <cellStyle name="Output 2 9 5 6 2 2" xfId="33028"/>
    <cellStyle name="Output 2 9 5 6 2 3" xfId="33029"/>
    <cellStyle name="Output 2 9 5 6 2 4" xfId="33030"/>
    <cellStyle name="Output 2 9 5 6 3" xfId="33031"/>
    <cellStyle name="Output 2 9 5 6 3 2" xfId="33032"/>
    <cellStyle name="Output 2 9 5 6 3 3" xfId="33033"/>
    <cellStyle name="Output 2 9 5 6 3 4" xfId="33034"/>
    <cellStyle name="Output 2 9 5 6 4" xfId="33035"/>
    <cellStyle name="Output 2 9 5 6 4 2" xfId="33036"/>
    <cellStyle name="Output 2 9 5 6 4 3" xfId="33037"/>
    <cellStyle name="Output 2 9 5 6 4 4" xfId="33038"/>
    <cellStyle name="Output 2 9 5 6 5" xfId="33039"/>
    <cellStyle name="Output 2 9 5 6 6" xfId="33040"/>
    <cellStyle name="Output 2 9 5 6 7" xfId="33041"/>
    <cellStyle name="Output 2 9 5 7" xfId="33042"/>
    <cellStyle name="Output 2 9 5 7 2" xfId="33043"/>
    <cellStyle name="Output 2 9 5 7 3" xfId="33044"/>
    <cellStyle name="Output 2 9 5 7 4" xfId="33045"/>
    <cellStyle name="Output 2 9 5 8" xfId="33046"/>
    <cellStyle name="Output 2 9 5 8 2" xfId="33047"/>
    <cellStyle name="Output 2 9 5 8 3" xfId="33048"/>
    <cellStyle name="Output 2 9 5 8 4" xfId="33049"/>
    <cellStyle name="Output 2 9 5 9" xfId="33050"/>
    <cellStyle name="Output 2 9 5 9 2" xfId="33051"/>
    <cellStyle name="Output 2 9 5 9 3" xfId="33052"/>
    <cellStyle name="Output 2 9 5 9 4" xfId="33053"/>
    <cellStyle name="Output 2 9 6" xfId="33054"/>
    <cellStyle name="Output 2 9 6 2" xfId="33055"/>
    <cellStyle name="Output 2 9 6 2 2" xfId="33056"/>
    <cellStyle name="Output 2 9 6 2 3" xfId="33057"/>
    <cellStyle name="Output 2 9 6 2 4" xfId="33058"/>
    <cellStyle name="Output 2 9 6 3" xfId="33059"/>
    <cellStyle name="Output 2 9 6 3 2" xfId="33060"/>
    <cellStyle name="Output 2 9 6 3 3" xfId="33061"/>
    <cellStyle name="Output 2 9 6 3 4" xfId="33062"/>
    <cellStyle name="Output 2 9 6 4" xfId="33063"/>
    <cellStyle name="Output 2 9 6 4 2" xfId="33064"/>
    <cellStyle name="Output 2 9 6 4 3" xfId="33065"/>
    <cellStyle name="Output 2 9 6 4 4" xfId="33066"/>
    <cellStyle name="Output 2 9 6 5" xfId="33067"/>
    <cellStyle name="Output 2 9 6 6" xfId="33068"/>
    <cellStyle name="Output 2 9 6 7" xfId="33069"/>
    <cellStyle name="Output 2 9 7" xfId="33070"/>
    <cellStyle name="Output 2 9 7 2" xfId="33071"/>
    <cellStyle name="Output 2 9 7 2 2" xfId="33072"/>
    <cellStyle name="Output 2 9 7 2 3" xfId="33073"/>
    <cellStyle name="Output 2 9 7 2 4" xfId="33074"/>
    <cellStyle name="Output 2 9 7 3" xfId="33075"/>
    <cellStyle name="Output 2 9 7 3 2" xfId="33076"/>
    <cellStyle name="Output 2 9 7 3 3" xfId="33077"/>
    <cellStyle name="Output 2 9 7 3 4" xfId="33078"/>
    <cellStyle name="Output 2 9 7 4" xfId="33079"/>
    <cellStyle name="Output 2 9 7 4 2" xfId="33080"/>
    <cellStyle name="Output 2 9 7 4 3" xfId="33081"/>
    <cellStyle name="Output 2 9 7 4 4" xfId="33082"/>
    <cellStyle name="Output 2 9 7 5" xfId="33083"/>
    <cellStyle name="Output 2 9 7 6" xfId="33084"/>
    <cellStyle name="Output 2 9 7 7" xfId="33085"/>
    <cellStyle name="Output 2 9 8" xfId="33086"/>
    <cellStyle name="Output 2 9 8 2" xfId="33087"/>
    <cellStyle name="Output 2 9 8 2 2" xfId="33088"/>
    <cellStyle name="Output 2 9 8 2 3" xfId="33089"/>
    <cellStyle name="Output 2 9 8 2 4" xfId="33090"/>
    <cellStyle name="Output 2 9 8 3" xfId="33091"/>
    <cellStyle name="Output 2 9 8 3 2" xfId="33092"/>
    <cellStyle name="Output 2 9 8 3 3" xfId="33093"/>
    <cellStyle name="Output 2 9 8 3 4" xfId="33094"/>
    <cellStyle name="Output 2 9 8 4" xfId="33095"/>
    <cellStyle name="Output 2 9 8 4 2" xfId="33096"/>
    <cellStyle name="Output 2 9 8 4 3" xfId="33097"/>
    <cellStyle name="Output 2 9 8 4 4" xfId="33098"/>
    <cellStyle name="Output 2 9 8 5" xfId="33099"/>
    <cellStyle name="Output 2 9 8 6" xfId="33100"/>
    <cellStyle name="Output 2 9 8 7" xfId="33101"/>
    <cellStyle name="Output 2 9 9" xfId="33102"/>
    <cellStyle name="Output 2 9 9 2" xfId="33103"/>
    <cellStyle name="Output 2 9 9 2 2" xfId="33104"/>
    <cellStyle name="Output 2 9 9 2 3" xfId="33105"/>
    <cellStyle name="Output 2 9 9 2 4" xfId="33106"/>
    <cellStyle name="Output 2 9 9 3" xfId="33107"/>
    <cellStyle name="Output 2 9 9 3 2" xfId="33108"/>
    <cellStyle name="Output 2 9 9 3 3" xfId="33109"/>
    <cellStyle name="Output 2 9 9 3 4" xfId="33110"/>
    <cellStyle name="Output 2 9 9 4" xfId="33111"/>
    <cellStyle name="Output 2 9 9 4 2" xfId="33112"/>
    <cellStyle name="Output 2 9 9 4 3" xfId="33113"/>
    <cellStyle name="Output 2 9 9 4 4" xfId="33114"/>
    <cellStyle name="Output 2 9 9 5" xfId="33115"/>
    <cellStyle name="Output 2 9 9 6" xfId="33116"/>
    <cellStyle name="Output 2 9 9 7" xfId="33117"/>
    <cellStyle name="Output 2_2011 Gas Production savings by program 7.27.12 eval w 2-14-14 changes" xfId="3113"/>
    <cellStyle name="Output 3" xfId="143"/>
    <cellStyle name="Output 3 2" xfId="640"/>
    <cellStyle name="Output 3 2 10" xfId="33118"/>
    <cellStyle name="Output 3 2 10 2" xfId="33119"/>
    <cellStyle name="Output 3 2 10 2 2" xfId="33120"/>
    <cellStyle name="Output 3 2 10 2 3" xfId="33121"/>
    <cellStyle name="Output 3 2 10 2 4" xfId="33122"/>
    <cellStyle name="Output 3 2 10 3" xfId="33123"/>
    <cellStyle name="Output 3 2 10 3 2" xfId="33124"/>
    <cellStyle name="Output 3 2 10 3 3" xfId="33125"/>
    <cellStyle name="Output 3 2 10 3 4" xfId="33126"/>
    <cellStyle name="Output 3 2 10 4" xfId="33127"/>
    <cellStyle name="Output 3 2 10 4 2" xfId="33128"/>
    <cellStyle name="Output 3 2 10 4 3" xfId="33129"/>
    <cellStyle name="Output 3 2 10 4 4" xfId="33130"/>
    <cellStyle name="Output 3 2 10 5" xfId="33131"/>
    <cellStyle name="Output 3 2 10 6" xfId="33132"/>
    <cellStyle name="Output 3 2 10 7" xfId="33133"/>
    <cellStyle name="Output 3 2 11" xfId="33134"/>
    <cellStyle name="Output 3 2 11 2" xfId="33135"/>
    <cellStyle name="Output 3 2 11 2 2" xfId="33136"/>
    <cellStyle name="Output 3 2 11 2 3" xfId="33137"/>
    <cellStyle name="Output 3 2 11 2 4" xfId="33138"/>
    <cellStyle name="Output 3 2 11 3" xfId="33139"/>
    <cellStyle name="Output 3 2 11 3 2" xfId="33140"/>
    <cellStyle name="Output 3 2 11 3 3" xfId="33141"/>
    <cellStyle name="Output 3 2 11 3 4" xfId="33142"/>
    <cellStyle name="Output 3 2 11 4" xfId="33143"/>
    <cellStyle name="Output 3 2 11 4 2" xfId="33144"/>
    <cellStyle name="Output 3 2 11 4 3" xfId="33145"/>
    <cellStyle name="Output 3 2 11 4 4" xfId="33146"/>
    <cellStyle name="Output 3 2 11 5" xfId="33147"/>
    <cellStyle name="Output 3 2 11 6" xfId="33148"/>
    <cellStyle name="Output 3 2 11 7" xfId="33149"/>
    <cellStyle name="Output 3 2 12" xfId="33150"/>
    <cellStyle name="Output 3 2 12 2" xfId="33151"/>
    <cellStyle name="Output 3 2 12 2 2" xfId="33152"/>
    <cellStyle name="Output 3 2 12 2 3" xfId="33153"/>
    <cellStyle name="Output 3 2 12 2 4" xfId="33154"/>
    <cellStyle name="Output 3 2 12 3" xfId="33155"/>
    <cellStyle name="Output 3 2 12 3 2" xfId="33156"/>
    <cellStyle name="Output 3 2 12 3 3" xfId="33157"/>
    <cellStyle name="Output 3 2 12 3 4" xfId="33158"/>
    <cellStyle name="Output 3 2 12 4" xfId="33159"/>
    <cellStyle name="Output 3 2 12 4 2" xfId="33160"/>
    <cellStyle name="Output 3 2 12 4 3" xfId="33161"/>
    <cellStyle name="Output 3 2 12 4 4" xfId="33162"/>
    <cellStyle name="Output 3 2 12 5" xfId="33163"/>
    <cellStyle name="Output 3 2 12 6" xfId="33164"/>
    <cellStyle name="Output 3 2 12 7" xfId="33165"/>
    <cellStyle name="Output 3 2 13" xfId="33166"/>
    <cellStyle name="Output 3 2 13 2" xfId="33167"/>
    <cellStyle name="Output 3 2 13 2 2" xfId="33168"/>
    <cellStyle name="Output 3 2 13 2 3" xfId="33169"/>
    <cellStyle name="Output 3 2 13 2 4" xfId="33170"/>
    <cellStyle name="Output 3 2 13 3" xfId="33171"/>
    <cellStyle name="Output 3 2 13 3 2" xfId="33172"/>
    <cellStyle name="Output 3 2 13 3 3" xfId="33173"/>
    <cellStyle name="Output 3 2 13 3 4" xfId="33174"/>
    <cellStyle name="Output 3 2 13 4" xfId="33175"/>
    <cellStyle name="Output 3 2 13 4 2" xfId="33176"/>
    <cellStyle name="Output 3 2 13 4 3" xfId="33177"/>
    <cellStyle name="Output 3 2 13 4 4" xfId="33178"/>
    <cellStyle name="Output 3 2 13 5" xfId="33179"/>
    <cellStyle name="Output 3 2 13 6" xfId="33180"/>
    <cellStyle name="Output 3 2 13 7" xfId="33181"/>
    <cellStyle name="Output 3 2 14" xfId="33182"/>
    <cellStyle name="Output 3 2 14 2" xfId="33183"/>
    <cellStyle name="Output 3 2 14 3" xfId="33184"/>
    <cellStyle name="Output 3 2 14 4" xfId="33185"/>
    <cellStyle name="Output 3 2 15" xfId="33186"/>
    <cellStyle name="Output 3 2 15 2" xfId="33187"/>
    <cellStyle name="Output 3 2 15 3" xfId="33188"/>
    <cellStyle name="Output 3 2 15 4" xfId="33189"/>
    <cellStyle name="Output 3 2 16" xfId="33190"/>
    <cellStyle name="Output 3 2 16 2" xfId="33191"/>
    <cellStyle name="Output 3 2 16 3" xfId="33192"/>
    <cellStyle name="Output 3 2 16 4" xfId="33193"/>
    <cellStyle name="Output 3 2 17" xfId="33194"/>
    <cellStyle name="Output 3 2 18" xfId="33195"/>
    <cellStyle name="Output 3 2 19" xfId="33196"/>
    <cellStyle name="Output 3 2 2" xfId="641"/>
    <cellStyle name="Output 3 2 2 10" xfId="33197"/>
    <cellStyle name="Output 3 2 2 11" xfId="33198"/>
    <cellStyle name="Output 3 2 2 12" xfId="33199"/>
    <cellStyle name="Output 3 2 2 2" xfId="901"/>
    <cellStyle name="Output 3 2 2 2 2" xfId="33200"/>
    <cellStyle name="Output 3 2 2 2 2 2" xfId="33201"/>
    <cellStyle name="Output 3 2 2 2 2 3" xfId="33202"/>
    <cellStyle name="Output 3 2 2 2 2 4" xfId="33203"/>
    <cellStyle name="Output 3 2 2 2 3" xfId="33204"/>
    <cellStyle name="Output 3 2 2 2 3 2" xfId="33205"/>
    <cellStyle name="Output 3 2 2 2 3 3" xfId="33206"/>
    <cellStyle name="Output 3 2 2 2 3 4" xfId="33207"/>
    <cellStyle name="Output 3 2 2 2 4" xfId="33208"/>
    <cellStyle name="Output 3 2 2 2 4 2" xfId="33209"/>
    <cellStyle name="Output 3 2 2 2 4 3" xfId="33210"/>
    <cellStyle name="Output 3 2 2 2 4 4" xfId="33211"/>
    <cellStyle name="Output 3 2 2 2 5" xfId="33212"/>
    <cellStyle name="Output 3 2 2 2 6" xfId="33213"/>
    <cellStyle name="Output 3 2 2 2 7" xfId="33214"/>
    <cellStyle name="Output 3 2 2 3" xfId="755"/>
    <cellStyle name="Output 3 2 2 3 2" xfId="33215"/>
    <cellStyle name="Output 3 2 2 3 2 2" xfId="33216"/>
    <cellStyle name="Output 3 2 2 3 2 3" xfId="33217"/>
    <cellStyle name="Output 3 2 2 3 2 4" xfId="33218"/>
    <cellStyle name="Output 3 2 2 3 3" xfId="33219"/>
    <cellStyle name="Output 3 2 2 3 3 2" xfId="33220"/>
    <cellStyle name="Output 3 2 2 3 3 3" xfId="33221"/>
    <cellStyle name="Output 3 2 2 3 3 4" xfId="33222"/>
    <cellStyle name="Output 3 2 2 3 4" xfId="33223"/>
    <cellStyle name="Output 3 2 2 3 4 2" xfId="33224"/>
    <cellStyle name="Output 3 2 2 3 4 3" xfId="33225"/>
    <cellStyle name="Output 3 2 2 3 4 4" xfId="33226"/>
    <cellStyle name="Output 3 2 2 3 5" xfId="33227"/>
    <cellStyle name="Output 3 2 2 3 6" xfId="33228"/>
    <cellStyle name="Output 3 2 2 3 7" xfId="33229"/>
    <cellStyle name="Output 3 2 2 4" xfId="970"/>
    <cellStyle name="Output 3 2 2 4 2" xfId="33230"/>
    <cellStyle name="Output 3 2 2 4 2 2" xfId="33231"/>
    <cellStyle name="Output 3 2 2 4 2 3" xfId="33232"/>
    <cellStyle name="Output 3 2 2 4 2 4" xfId="33233"/>
    <cellStyle name="Output 3 2 2 4 3" xfId="33234"/>
    <cellStyle name="Output 3 2 2 4 3 2" xfId="33235"/>
    <cellStyle name="Output 3 2 2 4 3 3" xfId="33236"/>
    <cellStyle name="Output 3 2 2 4 3 4" xfId="33237"/>
    <cellStyle name="Output 3 2 2 4 4" xfId="33238"/>
    <cellStyle name="Output 3 2 2 4 4 2" xfId="33239"/>
    <cellStyle name="Output 3 2 2 4 4 3" xfId="33240"/>
    <cellStyle name="Output 3 2 2 4 4 4" xfId="33241"/>
    <cellStyle name="Output 3 2 2 4 5" xfId="33242"/>
    <cellStyle name="Output 3 2 2 4 6" xfId="33243"/>
    <cellStyle name="Output 3 2 2 4 7" xfId="33244"/>
    <cellStyle name="Output 3 2 2 5" xfId="33245"/>
    <cellStyle name="Output 3 2 2 5 2" xfId="33246"/>
    <cellStyle name="Output 3 2 2 5 2 2" xfId="33247"/>
    <cellStyle name="Output 3 2 2 5 2 3" xfId="33248"/>
    <cellStyle name="Output 3 2 2 5 2 4" xfId="33249"/>
    <cellStyle name="Output 3 2 2 5 3" xfId="33250"/>
    <cellStyle name="Output 3 2 2 5 3 2" xfId="33251"/>
    <cellStyle name="Output 3 2 2 5 3 3" xfId="33252"/>
    <cellStyle name="Output 3 2 2 5 3 4" xfId="33253"/>
    <cellStyle name="Output 3 2 2 5 4" xfId="33254"/>
    <cellStyle name="Output 3 2 2 5 4 2" xfId="33255"/>
    <cellStyle name="Output 3 2 2 5 4 3" xfId="33256"/>
    <cellStyle name="Output 3 2 2 5 4 4" xfId="33257"/>
    <cellStyle name="Output 3 2 2 5 5" xfId="33258"/>
    <cellStyle name="Output 3 2 2 5 6" xfId="33259"/>
    <cellStyle name="Output 3 2 2 5 7" xfId="33260"/>
    <cellStyle name="Output 3 2 2 6" xfId="33261"/>
    <cellStyle name="Output 3 2 2 6 2" xfId="33262"/>
    <cellStyle name="Output 3 2 2 6 2 2" xfId="33263"/>
    <cellStyle name="Output 3 2 2 6 2 3" xfId="33264"/>
    <cellStyle name="Output 3 2 2 6 2 4" xfId="33265"/>
    <cellStyle name="Output 3 2 2 6 3" xfId="33266"/>
    <cellStyle name="Output 3 2 2 6 3 2" xfId="33267"/>
    <cellStyle name="Output 3 2 2 6 3 3" xfId="33268"/>
    <cellStyle name="Output 3 2 2 6 3 4" xfId="33269"/>
    <cellStyle name="Output 3 2 2 6 4" xfId="33270"/>
    <cellStyle name="Output 3 2 2 6 4 2" xfId="33271"/>
    <cellStyle name="Output 3 2 2 6 4 3" xfId="33272"/>
    <cellStyle name="Output 3 2 2 6 4 4" xfId="33273"/>
    <cellStyle name="Output 3 2 2 6 5" xfId="33274"/>
    <cellStyle name="Output 3 2 2 6 6" xfId="33275"/>
    <cellStyle name="Output 3 2 2 6 7" xfId="33276"/>
    <cellStyle name="Output 3 2 2 7" xfId="33277"/>
    <cellStyle name="Output 3 2 2 7 2" xfId="33278"/>
    <cellStyle name="Output 3 2 2 7 3" xfId="33279"/>
    <cellStyle name="Output 3 2 2 7 4" xfId="33280"/>
    <cellStyle name="Output 3 2 2 8" xfId="33281"/>
    <cellStyle name="Output 3 2 2 8 2" xfId="33282"/>
    <cellStyle name="Output 3 2 2 8 3" xfId="33283"/>
    <cellStyle name="Output 3 2 2 8 4" xfId="33284"/>
    <cellStyle name="Output 3 2 2 9" xfId="33285"/>
    <cellStyle name="Output 3 2 2 9 2" xfId="33286"/>
    <cellStyle name="Output 3 2 2 9 3" xfId="33287"/>
    <cellStyle name="Output 3 2 2 9 4" xfId="33288"/>
    <cellStyle name="Output 3 2 3" xfId="900"/>
    <cellStyle name="Output 3 2 3 10" xfId="33289"/>
    <cellStyle name="Output 3 2 3 11" xfId="33290"/>
    <cellStyle name="Output 3 2 3 12" xfId="33291"/>
    <cellStyle name="Output 3 2 3 2" xfId="33292"/>
    <cellStyle name="Output 3 2 3 2 2" xfId="33293"/>
    <cellStyle name="Output 3 2 3 2 2 2" xfId="33294"/>
    <cellStyle name="Output 3 2 3 2 2 3" xfId="33295"/>
    <cellStyle name="Output 3 2 3 2 2 4" xfId="33296"/>
    <cellStyle name="Output 3 2 3 2 3" xfId="33297"/>
    <cellStyle name="Output 3 2 3 2 3 2" xfId="33298"/>
    <cellStyle name="Output 3 2 3 2 3 3" xfId="33299"/>
    <cellStyle name="Output 3 2 3 2 3 4" xfId="33300"/>
    <cellStyle name="Output 3 2 3 2 4" xfId="33301"/>
    <cellStyle name="Output 3 2 3 2 4 2" xfId="33302"/>
    <cellStyle name="Output 3 2 3 2 4 3" xfId="33303"/>
    <cellStyle name="Output 3 2 3 2 4 4" xfId="33304"/>
    <cellStyle name="Output 3 2 3 2 5" xfId="33305"/>
    <cellStyle name="Output 3 2 3 2 6" xfId="33306"/>
    <cellStyle name="Output 3 2 3 2 7" xfId="33307"/>
    <cellStyle name="Output 3 2 3 3" xfId="33308"/>
    <cellStyle name="Output 3 2 3 3 2" xfId="33309"/>
    <cellStyle name="Output 3 2 3 3 2 2" xfId="33310"/>
    <cellStyle name="Output 3 2 3 3 2 3" xfId="33311"/>
    <cellStyle name="Output 3 2 3 3 2 4" xfId="33312"/>
    <cellStyle name="Output 3 2 3 3 3" xfId="33313"/>
    <cellStyle name="Output 3 2 3 3 3 2" xfId="33314"/>
    <cellStyle name="Output 3 2 3 3 3 3" xfId="33315"/>
    <cellStyle name="Output 3 2 3 3 3 4" xfId="33316"/>
    <cellStyle name="Output 3 2 3 3 4" xfId="33317"/>
    <cellStyle name="Output 3 2 3 3 4 2" xfId="33318"/>
    <cellStyle name="Output 3 2 3 3 4 3" xfId="33319"/>
    <cellStyle name="Output 3 2 3 3 4 4" xfId="33320"/>
    <cellStyle name="Output 3 2 3 3 5" xfId="33321"/>
    <cellStyle name="Output 3 2 3 3 6" xfId="33322"/>
    <cellStyle name="Output 3 2 3 3 7" xfId="33323"/>
    <cellStyle name="Output 3 2 3 4" xfId="33324"/>
    <cellStyle name="Output 3 2 3 4 2" xfId="33325"/>
    <cellStyle name="Output 3 2 3 4 2 2" xfId="33326"/>
    <cellStyle name="Output 3 2 3 4 2 3" xfId="33327"/>
    <cellStyle name="Output 3 2 3 4 2 4" xfId="33328"/>
    <cellStyle name="Output 3 2 3 4 3" xfId="33329"/>
    <cellStyle name="Output 3 2 3 4 3 2" xfId="33330"/>
    <cellStyle name="Output 3 2 3 4 3 3" xfId="33331"/>
    <cellStyle name="Output 3 2 3 4 3 4" xfId="33332"/>
    <cellStyle name="Output 3 2 3 4 4" xfId="33333"/>
    <cellStyle name="Output 3 2 3 4 4 2" xfId="33334"/>
    <cellStyle name="Output 3 2 3 4 4 3" xfId="33335"/>
    <cellStyle name="Output 3 2 3 4 4 4" xfId="33336"/>
    <cellStyle name="Output 3 2 3 4 5" xfId="33337"/>
    <cellStyle name="Output 3 2 3 4 6" xfId="33338"/>
    <cellStyle name="Output 3 2 3 4 7" xfId="33339"/>
    <cellStyle name="Output 3 2 3 5" xfId="33340"/>
    <cellStyle name="Output 3 2 3 5 2" xfId="33341"/>
    <cellStyle name="Output 3 2 3 5 2 2" xfId="33342"/>
    <cellStyle name="Output 3 2 3 5 2 3" xfId="33343"/>
    <cellStyle name="Output 3 2 3 5 2 4" xfId="33344"/>
    <cellStyle name="Output 3 2 3 5 3" xfId="33345"/>
    <cellStyle name="Output 3 2 3 5 3 2" xfId="33346"/>
    <cellStyle name="Output 3 2 3 5 3 3" xfId="33347"/>
    <cellStyle name="Output 3 2 3 5 3 4" xfId="33348"/>
    <cellStyle name="Output 3 2 3 5 4" xfId="33349"/>
    <cellStyle name="Output 3 2 3 5 4 2" xfId="33350"/>
    <cellStyle name="Output 3 2 3 5 4 3" xfId="33351"/>
    <cellStyle name="Output 3 2 3 5 4 4" xfId="33352"/>
    <cellStyle name="Output 3 2 3 5 5" xfId="33353"/>
    <cellStyle name="Output 3 2 3 5 6" xfId="33354"/>
    <cellStyle name="Output 3 2 3 5 7" xfId="33355"/>
    <cellStyle name="Output 3 2 3 6" xfId="33356"/>
    <cellStyle name="Output 3 2 3 6 2" xfId="33357"/>
    <cellStyle name="Output 3 2 3 6 2 2" xfId="33358"/>
    <cellStyle name="Output 3 2 3 6 2 3" xfId="33359"/>
    <cellStyle name="Output 3 2 3 6 2 4" xfId="33360"/>
    <cellStyle name="Output 3 2 3 6 3" xfId="33361"/>
    <cellStyle name="Output 3 2 3 6 3 2" xfId="33362"/>
    <cellStyle name="Output 3 2 3 6 3 3" xfId="33363"/>
    <cellStyle name="Output 3 2 3 6 3 4" xfId="33364"/>
    <cellStyle name="Output 3 2 3 6 4" xfId="33365"/>
    <cellStyle name="Output 3 2 3 6 4 2" xfId="33366"/>
    <cellStyle name="Output 3 2 3 6 4 3" xfId="33367"/>
    <cellStyle name="Output 3 2 3 6 4 4" xfId="33368"/>
    <cellStyle name="Output 3 2 3 6 5" xfId="33369"/>
    <cellStyle name="Output 3 2 3 6 6" xfId="33370"/>
    <cellStyle name="Output 3 2 3 6 7" xfId="33371"/>
    <cellStyle name="Output 3 2 3 7" xfId="33372"/>
    <cellStyle name="Output 3 2 3 7 2" xfId="33373"/>
    <cellStyle name="Output 3 2 3 7 3" xfId="33374"/>
    <cellStyle name="Output 3 2 3 7 4" xfId="33375"/>
    <cellStyle name="Output 3 2 3 8" xfId="33376"/>
    <cellStyle name="Output 3 2 3 8 2" xfId="33377"/>
    <cellStyle name="Output 3 2 3 8 3" xfId="33378"/>
    <cellStyle name="Output 3 2 3 8 4" xfId="33379"/>
    <cellStyle name="Output 3 2 3 9" xfId="33380"/>
    <cellStyle name="Output 3 2 3 9 2" xfId="33381"/>
    <cellStyle name="Output 3 2 3 9 3" xfId="33382"/>
    <cellStyle name="Output 3 2 3 9 4" xfId="33383"/>
    <cellStyle name="Output 3 2 4" xfId="760"/>
    <cellStyle name="Output 3 2 4 10" xfId="33384"/>
    <cellStyle name="Output 3 2 4 11" xfId="33385"/>
    <cellStyle name="Output 3 2 4 12" xfId="33386"/>
    <cellStyle name="Output 3 2 4 2" xfId="33387"/>
    <cellStyle name="Output 3 2 4 2 2" xfId="33388"/>
    <cellStyle name="Output 3 2 4 2 2 2" xfId="33389"/>
    <cellStyle name="Output 3 2 4 2 2 3" xfId="33390"/>
    <cellStyle name="Output 3 2 4 2 2 4" xfId="33391"/>
    <cellStyle name="Output 3 2 4 2 3" xfId="33392"/>
    <cellStyle name="Output 3 2 4 2 3 2" xfId="33393"/>
    <cellStyle name="Output 3 2 4 2 3 3" xfId="33394"/>
    <cellStyle name="Output 3 2 4 2 3 4" xfId="33395"/>
    <cellStyle name="Output 3 2 4 2 4" xfId="33396"/>
    <cellStyle name="Output 3 2 4 2 4 2" xfId="33397"/>
    <cellStyle name="Output 3 2 4 2 4 3" xfId="33398"/>
    <cellStyle name="Output 3 2 4 2 4 4" xfId="33399"/>
    <cellStyle name="Output 3 2 4 2 5" xfId="33400"/>
    <cellStyle name="Output 3 2 4 2 6" xfId="33401"/>
    <cellStyle name="Output 3 2 4 2 7" xfId="33402"/>
    <cellStyle name="Output 3 2 4 3" xfId="33403"/>
    <cellStyle name="Output 3 2 4 3 2" xfId="33404"/>
    <cellStyle name="Output 3 2 4 3 2 2" xfId="33405"/>
    <cellStyle name="Output 3 2 4 3 2 3" xfId="33406"/>
    <cellStyle name="Output 3 2 4 3 2 4" xfId="33407"/>
    <cellStyle name="Output 3 2 4 3 3" xfId="33408"/>
    <cellStyle name="Output 3 2 4 3 3 2" xfId="33409"/>
    <cellStyle name="Output 3 2 4 3 3 3" xfId="33410"/>
    <cellStyle name="Output 3 2 4 3 3 4" xfId="33411"/>
    <cellStyle name="Output 3 2 4 3 4" xfId="33412"/>
    <cellStyle name="Output 3 2 4 3 4 2" xfId="33413"/>
    <cellStyle name="Output 3 2 4 3 4 3" xfId="33414"/>
    <cellStyle name="Output 3 2 4 3 4 4" xfId="33415"/>
    <cellStyle name="Output 3 2 4 3 5" xfId="33416"/>
    <cellStyle name="Output 3 2 4 3 6" xfId="33417"/>
    <cellStyle name="Output 3 2 4 3 7" xfId="33418"/>
    <cellStyle name="Output 3 2 4 4" xfId="33419"/>
    <cellStyle name="Output 3 2 4 4 2" xfId="33420"/>
    <cellStyle name="Output 3 2 4 4 2 2" xfId="33421"/>
    <cellStyle name="Output 3 2 4 4 2 3" xfId="33422"/>
    <cellStyle name="Output 3 2 4 4 2 4" xfId="33423"/>
    <cellStyle name="Output 3 2 4 4 3" xfId="33424"/>
    <cellStyle name="Output 3 2 4 4 3 2" xfId="33425"/>
    <cellStyle name="Output 3 2 4 4 3 3" xfId="33426"/>
    <cellStyle name="Output 3 2 4 4 3 4" xfId="33427"/>
    <cellStyle name="Output 3 2 4 4 4" xfId="33428"/>
    <cellStyle name="Output 3 2 4 4 4 2" xfId="33429"/>
    <cellStyle name="Output 3 2 4 4 4 3" xfId="33430"/>
    <cellStyle name="Output 3 2 4 4 4 4" xfId="33431"/>
    <cellStyle name="Output 3 2 4 4 5" xfId="33432"/>
    <cellStyle name="Output 3 2 4 4 6" xfId="33433"/>
    <cellStyle name="Output 3 2 4 4 7" xfId="33434"/>
    <cellStyle name="Output 3 2 4 5" xfId="33435"/>
    <cellStyle name="Output 3 2 4 5 2" xfId="33436"/>
    <cellStyle name="Output 3 2 4 5 2 2" xfId="33437"/>
    <cellStyle name="Output 3 2 4 5 2 3" xfId="33438"/>
    <cellStyle name="Output 3 2 4 5 2 4" xfId="33439"/>
    <cellStyle name="Output 3 2 4 5 3" xfId="33440"/>
    <cellStyle name="Output 3 2 4 5 3 2" xfId="33441"/>
    <cellStyle name="Output 3 2 4 5 3 3" xfId="33442"/>
    <cellStyle name="Output 3 2 4 5 3 4" xfId="33443"/>
    <cellStyle name="Output 3 2 4 5 4" xfId="33444"/>
    <cellStyle name="Output 3 2 4 5 4 2" xfId="33445"/>
    <cellStyle name="Output 3 2 4 5 4 3" xfId="33446"/>
    <cellStyle name="Output 3 2 4 5 4 4" xfId="33447"/>
    <cellStyle name="Output 3 2 4 5 5" xfId="33448"/>
    <cellStyle name="Output 3 2 4 5 6" xfId="33449"/>
    <cellStyle name="Output 3 2 4 5 7" xfId="33450"/>
    <cellStyle name="Output 3 2 4 6" xfId="33451"/>
    <cellStyle name="Output 3 2 4 6 2" xfId="33452"/>
    <cellStyle name="Output 3 2 4 6 2 2" xfId="33453"/>
    <cellStyle name="Output 3 2 4 6 2 3" xfId="33454"/>
    <cellStyle name="Output 3 2 4 6 2 4" xfId="33455"/>
    <cellStyle name="Output 3 2 4 6 3" xfId="33456"/>
    <cellStyle name="Output 3 2 4 6 3 2" xfId="33457"/>
    <cellStyle name="Output 3 2 4 6 3 3" xfId="33458"/>
    <cellStyle name="Output 3 2 4 6 3 4" xfId="33459"/>
    <cellStyle name="Output 3 2 4 6 4" xfId="33460"/>
    <cellStyle name="Output 3 2 4 6 4 2" xfId="33461"/>
    <cellStyle name="Output 3 2 4 6 4 3" xfId="33462"/>
    <cellStyle name="Output 3 2 4 6 4 4" xfId="33463"/>
    <cellStyle name="Output 3 2 4 6 5" xfId="33464"/>
    <cellStyle name="Output 3 2 4 6 6" xfId="33465"/>
    <cellStyle name="Output 3 2 4 6 7" xfId="33466"/>
    <cellStyle name="Output 3 2 4 7" xfId="33467"/>
    <cellStyle name="Output 3 2 4 7 2" xfId="33468"/>
    <cellStyle name="Output 3 2 4 7 3" xfId="33469"/>
    <cellStyle name="Output 3 2 4 7 4" xfId="33470"/>
    <cellStyle name="Output 3 2 4 8" xfId="33471"/>
    <cellStyle name="Output 3 2 4 8 2" xfId="33472"/>
    <cellStyle name="Output 3 2 4 8 3" xfId="33473"/>
    <cellStyle name="Output 3 2 4 8 4" xfId="33474"/>
    <cellStyle name="Output 3 2 4 9" xfId="33475"/>
    <cellStyle name="Output 3 2 4 9 2" xfId="33476"/>
    <cellStyle name="Output 3 2 4 9 3" xfId="33477"/>
    <cellStyle name="Output 3 2 4 9 4" xfId="33478"/>
    <cellStyle name="Output 3 2 5" xfId="969"/>
    <cellStyle name="Output 3 2 5 10" xfId="33479"/>
    <cellStyle name="Output 3 2 5 11" xfId="33480"/>
    <cellStyle name="Output 3 2 5 12" xfId="33481"/>
    <cellStyle name="Output 3 2 5 2" xfId="33482"/>
    <cellStyle name="Output 3 2 5 2 2" xfId="33483"/>
    <cellStyle name="Output 3 2 5 2 2 2" xfId="33484"/>
    <cellStyle name="Output 3 2 5 2 2 3" xfId="33485"/>
    <cellStyle name="Output 3 2 5 2 2 4" xfId="33486"/>
    <cellStyle name="Output 3 2 5 2 3" xfId="33487"/>
    <cellStyle name="Output 3 2 5 2 3 2" xfId="33488"/>
    <cellStyle name="Output 3 2 5 2 3 3" xfId="33489"/>
    <cellStyle name="Output 3 2 5 2 3 4" xfId="33490"/>
    <cellStyle name="Output 3 2 5 2 4" xfId="33491"/>
    <cellStyle name="Output 3 2 5 2 4 2" xfId="33492"/>
    <cellStyle name="Output 3 2 5 2 4 3" xfId="33493"/>
    <cellStyle name="Output 3 2 5 2 4 4" xfId="33494"/>
    <cellStyle name="Output 3 2 5 2 5" xfId="33495"/>
    <cellStyle name="Output 3 2 5 2 6" xfId="33496"/>
    <cellStyle name="Output 3 2 5 2 7" xfId="33497"/>
    <cellStyle name="Output 3 2 5 3" xfId="33498"/>
    <cellStyle name="Output 3 2 5 3 2" xfId="33499"/>
    <cellStyle name="Output 3 2 5 3 2 2" xfId="33500"/>
    <cellStyle name="Output 3 2 5 3 2 3" xfId="33501"/>
    <cellStyle name="Output 3 2 5 3 2 4" xfId="33502"/>
    <cellStyle name="Output 3 2 5 3 3" xfId="33503"/>
    <cellStyle name="Output 3 2 5 3 3 2" xfId="33504"/>
    <cellStyle name="Output 3 2 5 3 3 3" xfId="33505"/>
    <cellStyle name="Output 3 2 5 3 3 4" xfId="33506"/>
    <cellStyle name="Output 3 2 5 3 4" xfId="33507"/>
    <cellStyle name="Output 3 2 5 3 4 2" xfId="33508"/>
    <cellStyle name="Output 3 2 5 3 4 3" xfId="33509"/>
    <cellStyle name="Output 3 2 5 3 4 4" xfId="33510"/>
    <cellStyle name="Output 3 2 5 3 5" xfId="33511"/>
    <cellStyle name="Output 3 2 5 3 6" xfId="33512"/>
    <cellStyle name="Output 3 2 5 3 7" xfId="33513"/>
    <cellStyle name="Output 3 2 5 4" xfId="33514"/>
    <cellStyle name="Output 3 2 5 4 2" xfId="33515"/>
    <cellStyle name="Output 3 2 5 4 2 2" xfId="33516"/>
    <cellStyle name="Output 3 2 5 4 2 3" xfId="33517"/>
    <cellStyle name="Output 3 2 5 4 2 4" xfId="33518"/>
    <cellStyle name="Output 3 2 5 4 3" xfId="33519"/>
    <cellStyle name="Output 3 2 5 4 3 2" xfId="33520"/>
    <cellStyle name="Output 3 2 5 4 3 3" xfId="33521"/>
    <cellStyle name="Output 3 2 5 4 3 4" xfId="33522"/>
    <cellStyle name="Output 3 2 5 4 4" xfId="33523"/>
    <cellStyle name="Output 3 2 5 4 4 2" xfId="33524"/>
    <cellStyle name="Output 3 2 5 4 4 3" xfId="33525"/>
    <cellStyle name="Output 3 2 5 4 4 4" xfId="33526"/>
    <cellStyle name="Output 3 2 5 4 5" xfId="33527"/>
    <cellStyle name="Output 3 2 5 4 6" xfId="33528"/>
    <cellStyle name="Output 3 2 5 4 7" xfId="33529"/>
    <cellStyle name="Output 3 2 5 5" xfId="33530"/>
    <cellStyle name="Output 3 2 5 5 2" xfId="33531"/>
    <cellStyle name="Output 3 2 5 5 2 2" xfId="33532"/>
    <cellStyle name="Output 3 2 5 5 2 3" xfId="33533"/>
    <cellStyle name="Output 3 2 5 5 2 4" xfId="33534"/>
    <cellStyle name="Output 3 2 5 5 3" xfId="33535"/>
    <cellStyle name="Output 3 2 5 5 3 2" xfId="33536"/>
    <cellStyle name="Output 3 2 5 5 3 3" xfId="33537"/>
    <cellStyle name="Output 3 2 5 5 3 4" xfId="33538"/>
    <cellStyle name="Output 3 2 5 5 4" xfId="33539"/>
    <cellStyle name="Output 3 2 5 5 4 2" xfId="33540"/>
    <cellStyle name="Output 3 2 5 5 4 3" xfId="33541"/>
    <cellStyle name="Output 3 2 5 5 4 4" xfId="33542"/>
    <cellStyle name="Output 3 2 5 5 5" xfId="33543"/>
    <cellStyle name="Output 3 2 5 5 6" xfId="33544"/>
    <cellStyle name="Output 3 2 5 5 7" xfId="33545"/>
    <cellStyle name="Output 3 2 5 6" xfId="33546"/>
    <cellStyle name="Output 3 2 5 6 2" xfId="33547"/>
    <cellStyle name="Output 3 2 5 6 2 2" xfId="33548"/>
    <cellStyle name="Output 3 2 5 6 2 3" xfId="33549"/>
    <cellStyle name="Output 3 2 5 6 2 4" xfId="33550"/>
    <cellStyle name="Output 3 2 5 6 3" xfId="33551"/>
    <cellStyle name="Output 3 2 5 6 3 2" xfId="33552"/>
    <cellStyle name="Output 3 2 5 6 3 3" xfId="33553"/>
    <cellStyle name="Output 3 2 5 6 3 4" xfId="33554"/>
    <cellStyle name="Output 3 2 5 6 4" xfId="33555"/>
    <cellStyle name="Output 3 2 5 6 4 2" xfId="33556"/>
    <cellStyle name="Output 3 2 5 6 4 3" xfId="33557"/>
    <cellStyle name="Output 3 2 5 6 4 4" xfId="33558"/>
    <cellStyle name="Output 3 2 5 6 5" xfId="33559"/>
    <cellStyle name="Output 3 2 5 6 6" xfId="33560"/>
    <cellStyle name="Output 3 2 5 6 7" xfId="33561"/>
    <cellStyle name="Output 3 2 5 7" xfId="33562"/>
    <cellStyle name="Output 3 2 5 7 2" xfId="33563"/>
    <cellStyle name="Output 3 2 5 7 3" xfId="33564"/>
    <cellStyle name="Output 3 2 5 7 4" xfId="33565"/>
    <cellStyle name="Output 3 2 5 8" xfId="33566"/>
    <cellStyle name="Output 3 2 5 8 2" xfId="33567"/>
    <cellStyle name="Output 3 2 5 8 3" xfId="33568"/>
    <cellStyle name="Output 3 2 5 8 4" xfId="33569"/>
    <cellStyle name="Output 3 2 5 9" xfId="33570"/>
    <cellStyle name="Output 3 2 5 9 2" xfId="33571"/>
    <cellStyle name="Output 3 2 5 9 3" xfId="33572"/>
    <cellStyle name="Output 3 2 5 9 4" xfId="33573"/>
    <cellStyle name="Output 3 2 6" xfId="33574"/>
    <cellStyle name="Output 3 2 6 2" xfId="33575"/>
    <cellStyle name="Output 3 2 6 2 2" xfId="33576"/>
    <cellStyle name="Output 3 2 6 2 3" xfId="33577"/>
    <cellStyle name="Output 3 2 6 2 4" xfId="33578"/>
    <cellStyle name="Output 3 2 6 3" xfId="33579"/>
    <cellStyle name="Output 3 2 6 3 2" xfId="33580"/>
    <cellStyle name="Output 3 2 6 3 3" xfId="33581"/>
    <cellStyle name="Output 3 2 6 3 4" xfId="33582"/>
    <cellStyle name="Output 3 2 6 4" xfId="33583"/>
    <cellStyle name="Output 3 2 6 4 2" xfId="33584"/>
    <cellStyle name="Output 3 2 6 4 3" xfId="33585"/>
    <cellStyle name="Output 3 2 6 4 4" xfId="33586"/>
    <cellStyle name="Output 3 2 6 5" xfId="33587"/>
    <cellStyle name="Output 3 2 6 6" xfId="33588"/>
    <cellStyle name="Output 3 2 6 7" xfId="33589"/>
    <cellStyle name="Output 3 2 7" xfId="33590"/>
    <cellStyle name="Output 3 2 7 2" xfId="33591"/>
    <cellStyle name="Output 3 2 7 2 2" xfId="33592"/>
    <cellStyle name="Output 3 2 7 2 3" xfId="33593"/>
    <cellStyle name="Output 3 2 7 2 4" xfId="33594"/>
    <cellStyle name="Output 3 2 7 3" xfId="33595"/>
    <cellStyle name="Output 3 2 7 3 2" xfId="33596"/>
    <cellStyle name="Output 3 2 7 3 3" xfId="33597"/>
    <cellStyle name="Output 3 2 7 3 4" xfId="33598"/>
    <cellStyle name="Output 3 2 7 4" xfId="33599"/>
    <cellStyle name="Output 3 2 7 4 2" xfId="33600"/>
    <cellStyle name="Output 3 2 7 4 3" xfId="33601"/>
    <cellStyle name="Output 3 2 7 4 4" xfId="33602"/>
    <cellStyle name="Output 3 2 7 5" xfId="33603"/>
    <cellStyle name="Output 3 2 7 6" xfId="33604"/>
    <cellStyle name="Output 3 2 7 7" xfId="33605"/>
    <cellStyle name="Output 3 2 8" xfId="33606"/>
    <cellStyle name="Output 3 2 8 2" xfId="33607"/>
    <cellStyle name="Output 3 2 8 2 2" xfId="33608"/>
    <cellStyle name="Output 3 2 8 2 3" xfId="33609"/>
    <cellStyle name="Output 3 2 8 2 4" xfId="33610"/>
    <cellStyle name="Output 3 2 8 3" xfId="33611"/>
    <cellStyle name="Output 3 2 8 3 2" xfId="33612"/>
    <cellStyle name="Output 3 2 8 3 3" xfId="33613"/>
    <cellStyle name="Output 3 2 8 3 4" xfId="33614"/>
    <cellStyle name="Output 3 2 8 4" xfId="33615"/>
    <cellStyle name="Output 3 2 8 4 2" xfId="33616"/>
    <cellStyle name="Output 3 2 8 4 3" xfId="33617"/>
    <cellStyle name="Output 3 2 8 4 4" xfId="33618"/>
    <cellStyle name="Output 3 2 8 5" xfId="33619"/>
    <cellStyle name="Output 3 2 8 6" xfId="33620"/>
    <cellStyle name="Output 3 2 8 7" xfId="33621"/>
    <cellStyle name="Output 3 2 9" xfId="33622"/>
    <cellStyle name="Output 3 2 9 2" xfId="33623"/>
    <cellStyle name="Output 3 2 9 2 2" xfId="33624"/>
    <cellStyle name="Output 3 2 9 2 3" xfId="33625"/>
    <cellStyle name="Output 3 2 9 2 4" xfId="33626"/>
    <cellStyle name="Output 3 2 9 3" xfId="33627"/>
    <cellStyle name="Output 3 2 9 3 2" xfId="33628"/>
    <cellStyle name="Output 3 2 9 3 3" xfId="33629"/>
    <cellStyle name="Output 3 2 9 3 4" xfId="33630"/>
    <cellStyle name="Output 3 2 9 4" xfId="33631"/>
    <cellStyle name="Output 3 2 9 4 2" xfId="33632"/>
    <cellStyle name="Output 3 2 9 4 3" xfId="33633"/>
    <cellStyle name="Output 3 2 9 4 4" xfId="33634"/>
    <cellStyle name="Output 3 2 9 5" xfId="33635"/>
    <cellStyle name="Output 3 2 9 6" xfId="33636"/>
    <cellStyle name="Output 3 2 9 7" xfId="33637"/>
    <cellStyle name="Output 3 3" xfId="642"/>
    <cellStyle name="Output 3 3 10" xfId="33638"/>
    <cellStyle name="Output 3 3 11" xfId="33639"/>
    <cellStyle name="Output 3 3 12" xfId="33640"/>
    <cellStyle name="Output 3 3 2" xfId="902"/>
    <cellStyle name="Output 3 3 2 2" xfId="33641"/>
    <cellStyle name="Output 3 3 2 2 2" xfId="33642"/>
    <cellStyle name="Output 3 3 2 2 3" xfId="33643"/>
    <cellStyle name="Output 3 3 2 2 4" xfId="33644"/>
    <cellStyle name="Output 3 3 2 3" xfId="33645"/>
    <cellStyle name="Output 3 3 2 3 2" xfId="33646"/>
    <cellStyle name="Output 3 3 2 3 3" xfId="33647"/>
    <cellStyle name="Output 3 3 2 3 4" xfId="33648"/>
    <cellStyle name="Output 3 3 2 4" xfId="33649"/>
    <cellStyle name="Output 3 3 2 4 2" xfId="33650"/>
    <cellStyle name="Output 3 3 2 4 3" xfId="33651"/>
    <cellStyle name="Output 3 3 2 4 4" xfId="33652"/>
    <cellStyle name="Output 3 3 2 5" xfId="33653"/>
    <cellStyle name="Output 3 3 2 6" xfId="33654"/>
    <cellStyle name="Output 3 3 2 7" xfId="33655"/>
    <cellStyle name="Output 3 3 3" xfId="798"/>
    <cellStyle name="Output 3 3 3 2" xfId="33656"/>
    <cellStyle name="Output 3 3 3 2 2" xfId="33657"/>
    <cellStyle name="Output 3 3 3 2 3" xfId="33658"/>
    <cellStyle name="Output 3 3 3 2 4" xfId="33659"/>
    <cellStyle name="Output 3 3 3 3" xfId="33660"/>
    <cellStyle name="Output 3 3 3 3 2" xfId="33661"/>
    <cellStyle name="Output 3 3 3 3 3" xfId="33662"/>
    <cellStyle name="Output 3 3 3 3 4" xfId="33663"/>
    <cellStyle name="Output 3 3 3 4" xfId="33664"/>
    <cellStyle name="Output 3 3 3 4 2" xfId="33665"/>
    <cellStyle name="Output 3 3 3 4 3" xfId="33666"/>
    <cellStyle name="Output 3 3 3 4 4" xfId="33667"/>
    <cellStyle name="Output 3 3 3 5" xfId="33668"/>
    <cellStyle name="Output 3 3 3 6" xfId="33669"/>
    <cellStyle name="Output 3 3 3 7" xfId="33670"/>
    <cellStyle name="Output 3 3 4" xfId="971"/>
    <cellStyle name="Output 3 3 4 2" xfId="33671"/>
    <cellStyle name="Output 3 3 4 2 2" xfId="33672"/>
    <cellStyle name="Output 3 3 4 2 3" xfId="33673"/>
    <cellStyle name="Output 3 3 4 2 4" xfId="33674"/>
    <cellStyle name="Output 3 3 4 3" xfId="33675"/>
    <cellStyle name="Output 3 3 4 3 2" xfId="33676"/>
    <cellStyle name="Output 3 3 4 3 3" xfId="33677"/>
    <cellStyle name="Output 3 3 4 3 4" xfId="33678"/>
    <cellStyle name="Output 3 3 4 4" xfId="33679"/>
    <cellStyle name="Output 3 3 4 4 2" xfId="33680"/>
    <cellStyle name="Output 3 3 4 4 3" xfId="33681"/>
    <cellStyle name="Output 3 3 4 4 4" xfId="33682"/>
    <cellStyle name="Output 3 3 4 5" xfId="33683"/>
    <cellStyle name="Output 3 3 4 6" xfId="33684"/>
    <cellStyle name="Output 3 3 4 7" xfId="33685"/>
    <cellStyle name="Output 3 3 5" xfId="33686"/>
    <cellStyle name="Output 3 3 5 2" xfId="33687"/>
    <cellStyle name="Output 3 3 5 2 2" xfId="33688"/>
    <cellStyle name="Output 3 3 5 2 3" xfId="33689"/>
    <cellStyle name="Output 3 3 5 2 4" xfId="33690"/>
    <cellStyle name="Output 3 3 5 3" xfId="33691"/>
    <cellStyle name="Output 3 3 5 3 2" xfId="33692"/>
    <cellStyle name="Output 3 3 5 3 3" xfId="33693"/>
    <cellStyle name="Output 3 3 5 3 4" xfId="33694"/>
    <cellStyle name="Output 3 3 5 4" xfId="33695"/>
    <cellStyle name="Output 3 3 5 4 2" xfId="33696"/>
    <cellStyle name="Output 3 3 5 4 3" xfId="33697"/>
    <cellStyle name="Output 3 3 5 4 4" xfId="33698"/>
    <cellStyle name="Output 3 3 5 5" xfId="33699"/>
    <cellStyle name="Output 3 3 5 6" xfId="33700"/>
    <cellStyle name="Output 3 3 5 7" xfId="33701"/>
    <cellStyle name="Output 3 3 6" xfId="33702"/>
    <cellStyle name="Output 3 3 6 2" xfId="33703"/>
    <cellStyle name="Output 3 3 6 2 2" xfId="33704"/>
    <cellStyle name="Output 3 3 6 2 3" xfId="33705"/>
    <cellStyle name="Output 3 3 6 2 4" xfId="33706"/>
    <cellStyle name="Output 3 3 6 3" xfId="33707"/>
    <cellStyle name="Output 3 3 6 3 2" xfId="33708"/>
    <cellStyle name="Output 3 3 6 3 3" xfId="33709"/>
    <cellStyle name="Output 3 3 6 3 4" xfId="33710"/>
    <cellStyle name="Output 3 3 6 4" xfId="33711"/>
    <cellStyle name="Output 3 3 6 4 2" xfId="33712"/>
    <cellStyle name="Output 3 3 6 4 3" xfId="33713"/>
    <cellStyle name="Output 3 3 6 4 4" xfId="33714"/>
    <cellStyle name="Output 3 3 6 5" xfId="33715"/>
    <cellStyle name="Output 3 3 6 6" xfId="33716"/>
    <cellStyle name="Output 3 3 6 7" xfId="33717"/>
    <cellStyle name="Output 3 3 7" xfId="33718"/>
    <cellStyle name="Output 3 3 7 2" xfId="33719"/>
    <cellStyle name="Output 3 3 7 3" xfId="33720"/>
    <cellStyle name="Output 3 3 7 4" xfId="33721"/>
    <cellStyle name="Output 3 3 8" xfId="33722"/>
    <cellStyle name="Output 3 3 8 2" xfId="33723"/>
    <cellStyle name="Output 3 3 8 3" xfId="33724"/>
    <cellStyle name="Output 3 3 8 4" xfId="33725"/>
    <cellStyle name="Output 3 3 9" xfId="33726"/>
    <cellStyle name="Output 3 3 9 2" xfId="33727"/>
    <cellStyle name="Output 3 3 9 3" xfId="33728"/>
    <cellStyle name="Output 3 3 9 4" xfId="33729"/>
    <cellStyle name="Output 3 4" xfId="1088"/>
    <cellStyle name="Output 3 5" xfId="3192"/>
    <cellStyle name="Output 3 6" xfId="3213"/>
    <cellStyle name="Output 3 7" xfId="1039"/>
    <cellStyle name="Output 3 8" xfId="3164"/>
    <cellStyle name="Output 4" xfId="314"/>
    <cellStyle name="Output 4 2" xfId="643"/>
    <cellStyle name="Output 4 2 10" xfId="33730"/>
    <cellStyle name="Output 4 2 10 2" xfId="33731"/>
    <cellStyle name="Output 4 2 10 2 2" xfId="33732"/>
    <cellStyle name="Output 4 2 10 2 3" xfId="33733"/>
    <cellStyle name="Output 4 2 10 2 4" xfId="33734"/>
    <cellStyle name="Output 4 2 10 3" xfId="33735"/>
    <cellStyle name="Output 4 2 10 3 2" xfId="33736"/>
    <cellStyle name="Output 4 2 10 3 3" xfId="33737"/>
    <cellStyle name="Output 4 2 10 3 4" xfId="33738"/>
    <cellStyle name="Output 4 2 10 4" xfId="33739"/>
    <cellStyle name="Output 4 2 10 4 2" xfId="33740"/>
    <cellStyle name="Output 4 2 10 4 3" xfId="33741"/>
    <cellStyle name="Output 4 2 10 4 4" xfId="33742"/>
    <cellStyle name="Output 4 2 10 5" xfId="33743"/>
    <cellStyle name="Output 4 2 10 6" xfId="33744"/>
    <cellStyle name="Output 4 2 10 7" xfId="33745"/>
    <cellStyle name="Output 4 2 11" xfId="33746"/>
    <cellStyle name="Output 4 2 11 2" xfId="33747"/>
    <cellStyle name="Output 4 2 11 2 2" xfId="33748"/>
    <cellStyle name="Output 4 2 11 2 3" xfId="33749"/>
    <cellStyle name="Output 4 2 11 2 4" xfId="33750"/>
    <cellStyle name="Output 4 2 11 3" xfId="33751"/>
    <cellStyle name="Output 4 2 11 3 2" xfId="33752"/>
    <cellStyle name="Output 4 2 11 3 3" xfId="33753"/>
    <cellStyle name="Output 4 2 11 3 4" xfId="33754"/>
    <cellStyle name="Output 4 2 11 4" xfId="33755"/>
    <cellStyle name="Output 4 2 11 4 2" xfId="33756"/>
    <cellStyle name="Output 4 2 11 4 3" xfId="33757"/>
    <cellStyle name="Output 4 2 11 4 4" xfId="33758"/>
    <cellStyle name="Output 4 2 11 5" xfId="33759"/>
    <cellStyle name="Output 4 2 11 6" xfId="33760"/>
    <cellStyle name="Output 4 2 11 7" xfId="33761"/>
    <cellStyle name="Output 4 2 12" xfId="33762"/>
    <cellStyle name="Output 4 2 12 2" xfId="33763"/>
    <cellStyle name="Output 4 2 12 2 2" xfId="33764"/>
    <cellStyle name="Output 4 2 12 2 3" xfId="33765"/>
    <cellStyle name="Output 4 2 12 2 4" xfId="33766"/>
    <cellStyle name="Output 4 2 12 3" xfId="33767"/>
    <cellStyle name="Output 4 2 12 3 2" xfId="33768"/>
    <cellStyle name="Output 4 2 12 3 3" xfId="33769"/>
    <cellStyle name="Output 4 2 12 3 4" xfId="33770"/>
    <cellStyle name="Output 4 2 12 4" xfId="33771"/>
    <cellStyle name="Output 4 2 12 4 2" xfId="33772"/>
    <cellStyle name="Output 4 2 12 4 3" xfId="33773"/>
    <cellStyle name="Output 4 2 12 4 4" xfId="33774"/>
    <cellStyle name="Output 4 2 12 5" xfId="33775"/>
    <cellStyle name="Output 4 2 12 6" xfId="33776"/>
    <cellStyle name="Output 4 2 12 7" xfId="33777"/>
    <cellStyle name="Output 4 2 13" xfId="33778"/>
    <cellStyle name="Output 4 2 13 2" xfId="33779"/>
    <cellStyle name="Output 4 2 13 2 2" xfId="33780"/>
    <cellStyle name="Output 4 2 13 2 3" xfId="33781"/>
    <cellStyle name="Output 4 2 13 2 4" xfId="33782"/>
    <cellStyle name="Output 4 2 13 3" xfId="33783"/>
    <cellStyle name="Output 4 2 13 3 2" xfId="33784"/>
    <cellStyle name="Output 4 2 13 3 3" xfId="33785"/>
    <cellStyle name="Output 4 2 13 3 4" xfId="33786"/>
    <cellStyle name="Output 4 2 13 4" xfId="33787"/>
    <cellStyle name="Output 4 2 13 4 2" xfId="33788"/>
    <cellStyle name="Output 4 2 13 4 3" xfId="33789"/>
    <cellStyle name="Output 4 2 13 4 4" xfId="33790"/>
    <cellStyle name="Output 4 2 13 5" xfId="33791"/>
    <cellStyle name="Output 4 2 13 6" xfId="33792"/>
    <cellStyle name="Output 4 2 13 7" xfId="33793"/>
    <cellStyle name="Output 4 2 14" xfId="33794"/>
    <cellStyle name="Output 4 2 14 2" xfId="33795"/>
    <cellStyle name="Output 4 2 14 3" xfId="33796"/>
    <cellStyle name="Output 4 2 14 4" xfId="33797"/>
    <cellStyle name="Output 4 2 15" xfId="33798"/>
    <cellStyle name="Output 4 2 15 2" xfId="33799"/>
    <cellStyle name="Output 4 2 15 3" xfId="33800"/>
    <cellStyle name="Output 4 2 15 4" xfId="33801"/>
    <cellStyle name="Output 4 2 16" xfId="33802"/>
    <cellStyle name="Output 4 2 16 2" xfId="33803"/>
    <cellStyle name="Output 4 2 16 3" xfId="33804"/>
    <cellStyle name="Output 4 2 16 4" xfId="33805"/>
    <cellStyle name="Output 4 2 17" xfId="33806"/>
    <cellStyle name="Output 4 2 18" xfId="33807"/>
    <cellStyle name="Output 4 2 19" xfId="33808"/>
    <cellStyle name="Output 4 2 2" xfId="903"/>
    <cellStyle name="Output 4 2 2 10" xfId="33809"/>
    <cellStyle name="Output 4 2 2 11" xfId="33810"/>
    <cellStyle name="Output 4 2 2 12" xfId="33811"/>
    <cellStyle name="Output 4 2 2 2" xfId="33812"/>
    <cellStyle name="Output 4 2 2 2 2" xfId="33813"/>
    <cellStyle name="Output 4 2 2 2 2 2" xfId="33814"/>
    <cellStyle name="Output 4 2 2 2 2 3" xfId="33815"/>
    <cellStyle name="Output 4 2 2 2 2 4" xfId="33816"/>
    <cellStyle name="Output 4 2 2 2 3" xfId="33817"/>
    <cellStyle name="Output 4 2 2 2 3 2" xfId="33818"/>
    <cellStyle name="Output 4 2 2 2 3 3" xfId="33819"/>
    <cellStyle name="Output 4 2 2 2 3 4" xfId="33820"/>
    <cellStyle name="Output 4 2 2 2 4" xfId="33821"/>
    <cellStyle name="Output 4 2 2 2 4 2" xfId="33822"/>
    <cellStyle name="Output 4 2 2 2 4 3" xfId="33823"/>
    <cellStyle name="Output 4 2 2 2 4 4" xfId="33824"/>
    <cellStyle name="Output 4 2 2 2 5" xfId="33825"/>
    <cellStyle name="Output 4 2 2 2 6" xfId="33826"/>
    <cellStyle name="Output 4 2 2 2 7" xfId="33827"/>
    <cellStyle name="Output 4 2 2 3" xfId="33828"/>
    <cellStyle name="Output 4 2 2 3 2" xfId="33829"/>
    <cellStyle name="Output 4 2 2 3 2 2" xfId="33830"/>
    <cellStyle name="Output 4 2 2 3 2 3" xfId="33831"/>
    <cellStyle name="Output 4 2 2 3 2 4" xfId="33832"/>
    <cellStyle name="Output 4 2 2 3 3" xfId="33833"/>
    <cellStyle name="Output 4 2 2 3 3 2" xfId="33834"/>
    <cellStyle name="Output 4 2 2 3 3 3" xfId="33835"/>
    <cellStyle name="Output 4 2 2 3 3 4" xfId="33836"/>
    <cellStyle name="Output 4 2 2 3 4" xfId="33837"/>
    <cellStyle name="Output 4 2 2 3 4 2" xfId="33838"/>
    <cellStyle name="Output 4 2 2 3 4 3" xfId="33839"/>
    <cellStyle name="Output 4 2 2 3 4 4" xfId="33840"/>
    <cellStyle name="Output 4 2 2 3 5" xfId="33841"/>
    <cellStyle name="Output 4 2 2 3 6" xfId="33842"/>
    <cellStyle name="Output 4 2 2 3 7" xfId="33843"/>
    <cellStyle name="Output 4 2 2 4" xfId="33844"/>
    <cellStyle name="Output 4 2 2 4 2" xfId="33845"/>
    <cellStyle name="Output 4 2 2 4 2 2" xfId="33846"/>
    <cellStyle name="Output 4 2 2 4 2 3" xfId="33847"/>
    <cellStyle name="Output 4 2 2 4 2 4" xfId="33848"/>
    <cellStyle name="Output 4 2 2 4 3" xfId="33849"/>
    <cellStyle name="Output 4 2 2 4 3 2" xfId="33850"/>
    <cellStyle name="Output 4 2 2 4 3 3" xfId="33851"/>
    <cellStyle name="Output 4 2 2 4 3 4" xfId="33852"/>
    <cellStyle name="Output 4 2 2 4 4" xfId="33853"/>
    <cellStyle name="Output 4 2 2 4 4 2" xfId="33854"/>
    <cellStyle name="Output 4 2 2 4 4 3" xfId="33855"/>
    <cellStyle name="Output 4 2 2 4 4 4" xfId="33856"/>
    <cellStyle name="Output 4 2 2 4 5" xfId="33857"/>
    <cellStyle name="Output 4 2 2 4 6" xfId="33858"/>
    <cellStyle name="Output 4 2 2 4 7" xfId="33859"/>
    <cellStyle name="Output 4 2 2 5" xfId="33860"/>
    <cellStyle name="Output 4 2 2 5 2" xfId="33861"/>
    <cellStyle name="Output 4 2 2 5 2 2" xfId="33862"/>
    <cellStyle name="Output 4 2 2 5 2 3" xfId="33863"/>
    <cellStyle name="Output 4 2 2 5 2 4" xfId="33864"/>
    <cellStyle name="Output 4 2 2 5 3" xfId="33865"/>
    <cellStyle name="Output 4 2 2 5 3 2" xfId="33866"/>
    <cellStyle name="Output 4 2 2 5 3 3" xfId="33867"/>
    <cellStyle name="Output 4 2 2 5 3 4" xfId="33868"/>
    <cellStyle name="Output 4 2 2 5 4" xfId="33869"/>
    <cellStyle name="Output 4 2 2 5 4 2" xfId="33870"/>
    <cellStyle name="Output 4 2 2 5 4 3" xfId="33871"/>
    <cellStyle name="Output 4 2 2 5 4 4" xfId="33872"/>
    <cellStyle name="Output 4 2 2 5 5" xfId="33873"/>
    <cellStyle name="Output 4 2 2 5 6" xfId="33874"/>
    <cellStyle name="Output 4 2 2 5 7" xfId="33875"/>
    <cellStyle name="Output 4 2 2 6" xfId="33876"/>
    <cellStyle name="Output 4 2 2 6 2" xfId="33877"/>
    <cellStyle name="Output 4 2 2 6 2 2" xfId="33878"/>
    <cellStyle name="Output 4 2 2 6 2 3" xfId="33879"/>
    <cellStyle name="Output 4 2 2 6 2 4" xfId="33880"/>
    <cellStyle name="Output 4 2 2 6 3" xfId="33881"/>
    <cellStyle name="Output 4 2 2 6 3 2" xfId="33882"/>
    <cellStyle name="Output 4 2 2 6 3 3" xfId="33883"/>
    <cellStyle name="Output 4 2 2 6 3 4" xfId="33884"/>
    <cellStyle name="Output 4 2 2 6 4" xfId="33885"/>
    <cellStyle name="Output 4 2 2 6 4 2" xfId="33886"/>
    <cellStyle name="Output 4 2 2 6 4 3" xfId="33887"/>
    <cellStyle name="Output 4 2 2 6 4 4" xfId="33888"/>
    <cellStyle name="Output 4 2 2 6 5" xfId="33889"/>
    <cellStyle name="Output 4 2 2 6 6" xfId="33890"/>
    <cellStyle name="Output 4 2 2 6 7" xfId="33891"/>
    <cellStyle name="Output 4 2 2 7" xfId="33892"/>
    <cellStyle name="Output 4 2 2 7 2" xfId="33893"/>
    <cellStyle name="Output 4 2 2 7 3" xfId="33894"/>
    <cellStyle name="Output 4 2 2 7 4" xfId="33895"/>
    <cellStyle name="Output 4 2 2 8" xfId="33896"/>
    <cellStyle name="Output 4 2 2 8 2" xfId="33897"/>
    <cellStyle name="Output 4 2 2 8 3" xfId="33898"/>
    <cellStyle name="Output 4 2 2 8 4" xfId="33899"/>
    <cellStyle name="Output 4 2 2 9" xfId="33900"/>
    <cellStyle name="Output 4 2 2 9 2" xfId="33901"/>
    <cellStyle name="Output 4 2 2 9 3" xfId="33902"/>
    <cellStyle name="Output 4 2 2 9 4" xfId="33903"/>
    <cellStyle name="Output 4 2 3" xfId="746"/>
    <cellStyle name="Output 4 2 3 10" xfId="33904"/>
    <cellStyle name="Output 4 2 3 11" xfId="33905"/>
    <cellStyle name="Output 4 2 3 12" xfId="33906"/>
    <cellStyle name="Output 4 2 3 2" xfId="33907"/>
    <cellStyle name="Output 4 2 3 2 2" xfId="33908"/>
    <cellStyle name="Output 4 2 3 2 2 2" xfId="33909"/>
    <cellStyle name="Output 4 2 3 2 2 3" xfId="33910"/>
    <cellStyle name="Output 4 2 3 2 2 4" xfId="33911"/>
    <cellStyle name="Output 4 2 3 2 3" xfId="33912"/>
    <cellStyle name="Output 4 2 3 2 3 2" xfId="33913"/>
    <cellStyle name="Output 4 2 3 2 3 3" xfId="33914"/>
    <cellStyle name="Output 4 2 3 2 3 4" xfId="33915"/>
    <cellStyle name="Output 4 2 3 2 4" xfId="33916"/>
    <cellStyle name="Output 4 2 3 2 4 2" xfId="33917"/>
    <cellStyle name="Output 4 2 3 2 4 3" xfId="33918"/>
    <cellStyle name="Output 4 2 3 2 4 4" xfId="33919"/>
    <cellStyle name="Output 4 2 3 2 5" xfId="33920"/>
    <cellStyle name="Output 4 2 3 2 6" xfId="33921"/>
    <cellStyle name="Output 4 2 3 2 7" xfId="33922"/>
    <cellStyle name="Output 4 2 3 3" xfId="33923"/>
    <cellStyle name="Output 4 2 3 3 2" xfId="33924"/>
    <cellStyle name="Output 4 2 3 3 2 2" xfId="33925"/>
    <cellStyle name="Output 4 2 3 3 2 3" xfId="33926"/>
    <cellStyle name="Output 4 2 3 3 2 4" xfId="33927"/>
    <cellStyle name="Output 4 2 3 3 3" xfId="33928"/>
    <cellStyle name="Output 4 2 3 3 3 2" xfId="33929"/>
    <cellStyle name="Output 4 2 3 3 3 3" xfId="33930"/>
    <cellStyle name="Output 4 2 3 3 3 4" xfId="33931"/>
    <cellStyle name="Output 4 2 3 3 4" xfId="33932"/>
    <cellStyle name="Output 4 2 3 3 4 2" xfId="33933"/>
    <cellStyle name="Output 4 2 3 3 4 3" xfId="33934"/>
    <cellStyle name="Output 4 2 3 3 4 4" xfId="33935"/>
    <cellStyle name="Output 4 2 3 3 5" xfId="33936"/>
    <cellStyle name="Output 4 2 3 3 6" xfId="33937"/>
    <cellStyle name="Output 4 2 3 3 7" xfId="33938"/>
    <cellStyle name="Output 4 2 3 4" xfId="33939"/>
    <cellStyle name="Output 4 2 3 4 2" xfId="33940"/>
    <cellStyle name="Output 4 2 3 4 2 2" xfId="33941"/>
    <cellStyle name="Output 4 2 3 4 2 3" xfId="33942"/>
    <cellStyle name="Output 4 2 3 4 2 4" xfId="33943"/>
    <cellStyle name="Output 4 2 3 4 3" xfId="33944"/>
    <cellStyle name="Output 4 2 3 4 3 2" xfId="33945"/>
    <cellStyle name="Output 4 2 3 4 3 3" xfId="33946"/>
    <cellStyle name="Output 4 2 3 4 3 4" xfId="33947"/>
    <cellStyle name="Output 4 2 3 4 4" xfId="33948"/>
    <cellStyle name="Output 4 2 3 4 4 2" xfId="33949"/>
    <cellStyle name="Output 4 2 3 4 4 3" xfId="33950"/>
    <cellStyle name="Output 4 2 3 4 4 4" xfId="33951"/>
    <cellStyle name="Output 4 2 3 4 5" xfId="33952"/>
    <cellStyle name="Output 4 2 3 4 6" xfId="33953"/>
    <cellStyle name="Output 4 2 3 4 7" xfId="33954"/>
    <cellStyle name="Output 4 2 3 5" xfId="33955"/>
    <cellStyle name="Output 4 2 3 5 2" xfId="33956"/>
    <cellStyle name="Output 4 2 3 5 2 2" xfId="33957"/>
    <cellStyle name="Output 4 2 3 5 2 3" xfId="33958"/>
    <cellStyle name="Output 4 2 3 5 2 4" xfId="33959"/>
    <cellStyle name="Output 4 2 3 5 3" xfId="33960"/>
    <cellStyle name="Output 4 2 3 5 3 2" xfId="33961"/>
    <cellStyle name="Output 4 2 3 5 3 3" xfId="33962"/>
    <cellStyle name="Output 4 2 3 5 3 4" xfId="33963"/>
    <cellStyle name="Output 4 2 3 5 4" xfId="33964"/>
    <cellStyle name="Output 4 2 3 5 4 2" xfId="33965"/>
    <cellStyle name="Output 4 2 3 5 4 3" xfId="33966"/>
    <cellStyle name="Output 4 2 3 5 4 4" xfId="33967"/>
    <cellStyle name="Output 4 2 3 5 5" xfId="33968"/>
    <cellStyle name="Output 4 2 3 5 6" xfId="33969"/>
    <cellStyle name="Output 4 2 3 5 7" xfId="33970"/>
    <cellStyle name="Output 4 2 3 6" xfId="33971"/>
    <cellStyle name="Output 4 2 3 6 2" xfId="33972"/>
    <cellStyle name="Output 4 2 3 6 2 2" xfId="33973"/>
    <cellStyle name="Output 4 2 3 6 2 3" xfId="33974"/>
    <cellStyle name="Output 4 2 3 6 2 4" xfId="33975"/>
    <cellStyle name="Output 4 2 3 6 3" xfId="33976"/>
    <cellStyle name="Output 4 2 3 6 3 2" xfId="33977"/>
    <cellStyle name="Output 4 2 3 6 3 3" xfId="33978"/>
    <cellStyle name="Output 4 2 3 6 3 4" xfId="33979"/>
    <cellStyle name="Output 4 2 3 6 4" xfId="33980"/>
    <cellStyle name="Output 4 2 3 6 4 2" xfId="33981"/>
    <cellStyle name="Output 4 2 3 6 4 3" xfId="33982"/>
    <cellStyle name="Output 4 2 3 6 4 4" xfId="33983"/>
    <cellStyle name="Output 4 2 3 6 5" xfId="33984"/>
    <cellStyle name="Output 4 2 3 6 6" xfId="33985"/>
    <cellStyle name="Output 4 2 3 6 7" xfId="33986"/>
    <cellStyle name="Output 4 2 3 7" xfId="33987"/>
    <cellStyle name="Output 4 2 3 7 2" xfId="33988"/>
    <cellStyle name="Output 4 2 3 7 3" xfId="33989"/>
    <cellStyle name="Output 4 2 3 7 4" xfId="33990"/>
    <cellStyle name="Output 4 2 3 8" xfId="33991"/>
    <cellStyle name="Output 4 2 3 8 2" xfId="33992"/>
    <cellStyle name="Output 4 2 3 8 3" xfId="33993"/>
    <cellStyle name="Output 4 2 3 8 4" xfId="33994"/>
    <cellStyle name="Output 4 2 3 9" xfId="33995"/>
    <cellStyle name="Output 4 2 3 9 2" xfId="33996"/>
    <cellStyle name="Output 4 2 3 9 3" xfId="33997"/>
    <cellStyle name="Output 4 2 3 9 4" xfId="33998"/>
    <cellStyle name="Output 4 2 4" xfId="972"/>
    <cellStyle name="Output 4 2 4 10" xfId="33999"/>
    <cellStyle name="Output 4 2 4 11" xfId="34000"/>
    <cellStyle name="Output 4 2 4 12" xfId="34001"/>
    <cellStyle name="Output 4 2 4 2" xfId="34002"/>
    <cellStyle name="Output 4 2 4 2 2" xfId="34003"/>
    <cellStyle name="Output 4 2 4 2 2 2" xfId="34004"/>
    <cellStyle name="Output 4 2 4 2 2 3" xfId="34005"/>
    <cellStyle name="Output 4 2 4 2 2 4" xfId="34006"/>
    <cellStyle name="Output 4 2 4 2 3" xfId="34007"/>
    <cellStyle name="Output 4 2 4 2 3 2" xfId="34008"/>
    <cellStyle name="Output 4 2 4 2 3 3" xfId="34009"/>
    <cellStyle name="Output 4 2 4 2 3 4" xfId="34010"/>
    <cellStyle name="Output 4 2 4 2 4" xfId="34011"/>
    <cellStyle name="Output 4 2 4 2 4 2" xfId="34012"/>
    <cellStyle name="Output 4 2 4 2 4 3" xfId="34013"/>
    <cellStyle name="Output 4 2 4 2 4 4" xfId="34014"/>
    <cellStyle name="Output 4 2 4 2 5" xfId="34015"/>
    <cellStyle name="Output 4 2 4 2 6" xfId="34016"/>
    <cellStyle name="Output 4 2 4 2 7" xfId="34017"/>
    <cellStyle name="Output 4 2 4 3" xfId="34018"/>
    <cellStyle name="Output 4 2 4 3 2" xfId="34019"/>
    <cellStyle name="Output 4 2 4 3 2 2" xfId="34020"/>
    <cellStyle name="Output 4 2 4 3 2 3" xfId="34021"/>
    <cellStyle name="Output 4 2 4 3 2 4" xfId="34022"/>
    <cellStyle name="Output 4 2 4 3 3" xfId="34023"/>
    <cellStyle name="Output 4 2 4 3 3 2" xfId="34024"/>
    <cellStyle name="Output 4 2 4 3 3 3" xfId="34025"/>
    <cellStyle name="Output 4 2 4 3 3 4" xfId="34026"/>
    <cellStyle name="Output 4 2 4 3 4" xfId="34027"/>
    <cellStyle name="Output 4 2 4 3 4 2" xfId="34028"/>
    <cellStyle name="Output 4 2 4 3 4 3" xfId="34029"/>
    <cellStyle name="Output 4 2 4 3 4 4" xfId="34030"/>
    <cellStyle name="Output 4 2 4 3 5" xfId="34031"/>
    <cellStyle name="Output 4 2 4 3 6" xfId="34032"/>
    <cellStyle name="Output 4 2 4 3 7" xfId="34033"/>
    <cellStyle name="Output 4 2 4 4" xfId="34034"/>
    <cellStyle name="Output 4 2 4 4 2" xfId="34035"/>
    <cellStyle name="Output 4 2 4 4 2 2" xfId="34036"/>
    <cellStyle name="Output 4 2 4 4 2 3" xfId="34037"/>
    <cellStyle name="Output 4 2 4 4 2 4" xfId="34038"/>
    <cellStyle name="Output 4 2 4 4 3" xfId="34039"/>
    <cellStyle name="Output 4 2 4 4 3 2" xfId="34040"/>
    <cellStyle name="Output 4 2 4 4 3 3" xfId="34041"/>
    <cellStyle name="Output 4 2 4 4 3 4" xfId="34042"/>
    <cellStyle name="Output 4 2 4 4 4" xfId="34043"/>
    <cellStyle name="Output 4 2 4 4 4 2" xfId="34044"/>
    <cellStyle name="Output 4 2 4 4 4 3" xfId="34045"/>
    <cellStyle name="Output 4 2 4 4 4 4" xfId="34046"/>
    <cellStyle name="Output 4 2 4 4 5" xfId="34047"/>
    <cellStyle name="Output 4 2 4 4 6" xfId="34048"/>
    <cellStyle name="Output 4 2 4 4 7" xfId="34049"/>
    <cellStyle name="Output 4 2 4 5" xfId="34050"/>
    <cellStyle name="Output 4 2 4 5 2" xfId="34051"/>
    <cellStyle name="Output 4 2 4 5 2 2" xfId="34052"/>
    <cellStyle name="Output 4 2 4 5 2 3" xfId="34053"/>
    <cellStyle name="Output 4 2 4 5 2 4" xfId="34054"/>
    <cellStyle name="Output 4 2 4 5 3" xfId="34055"/>
    <cellStyle name="Output 4 2 4 5 3 2" xfId="34056"/>
    <cellStyle name="Output 4 2 4 5 3 3" xfId="34057"/>
    <cellStyle name="Output 4 2 4 5 3 4" xfId="34058"/>
    <cellStyle name="Output 4 2 4 5 4" xfId="34059"/>
    <cellStyle name="Output 4 2 4 5 4 2" xfId="34060"/>
    <cellStyle name="Output 4 2 4 5 4 3" xfId="34061"/>
    <cellStyle name="Output 4 2 4 5 4 4" xfId="34062"/>
    <cellStyle name="Output 4 2 4 5 5" xfId="34063"/>
    <cellStyle name="Output 4 2 4 5 6" xfId="34064"/>
    <cellStyle name="Output 4 2 4 5 7" xfId="34065"/>
    <cellStyle name="Output 4 2 4 6" xfId="34066"/>
    <cellStyle name="Output 4 2 4 6 2" xfId="34067"/>
    <cellStyle name="Output 4 2 4 6 2 2" xfId="34068"/>
    <cellStyle name="Output 4 2 4 6 2 3" xfId="34069"/>
    <cellStyle name="Output 4 2 4 6 2 4" xfId="34070"/>
    <cellStyle name="Output 4 2 4 6 3" xfId="34071"/>
    <cellStyle name="Output 4 2 4 6 3 2" xfId="34072"/>
    <cellStyle name="Output 4 2 4 6 3 3" xfId="34073"/>
    <cellStyle name="Output 4 2 4 6 3 4" xfId="34074"/>
    <cellStyle name="Output 4 2 4 6 4" xfId="34075"/>
    <cellStyle name="Output 4 2 4 6 4 2" xfId="34076"/>
    <cellStyle name="Output 4 2 4 6 4 3" xfId="34077"/>
    <cellStyle name="Output 4 2 4 6 4 4" xfId="34078"/>
    <cellStyle name="Output 4 2 4 6 5" xfId="34079"/>
    <cellStyle name="Output 4 2 4 6 6" xfId="34080"/>
    <cellStyle name="Output 4 2 4 6 7" xfId="34081"/>
    <cellStyle name="Output 4 2 4 7" xfId="34082"/>
    <cellStyle name="Output 4 2 4 7 2" xfId="34083"/>
    <cellStyle name="Output 4 2 4 7 3" xfId="34084"/>
    <cellStyle name="Output 4 2 4 7 4" xfId="34085"/>
    <cellStyle name="Output 4 2 4 8" xfId="34086"/>
    <cellStyle name="Output 4 2 4 8 2" xfId="34087"/>
    <cellStyle name="Output 4 2 4 8 3" xfId="34088"/>
    <cellStyle name="Output 4 2 4 8 4" xfId="34089"/>
    <cellStyle name="Output 4 2 4 9" xfId="34090"/>
    <cellStyle name="Output 4 2 4 9 2" xfId="34091"/>
    <cellStyle name="Output 4 2 4 9 3" xfId="34092"/>
    <cellStyle name="Output 4 2 4 9 4" xfId="34093"/>
    <cellStyle name="Output 4 2 5" xfId="34094"/>
    <cellStyle name="Output 4 2 5 10" xfId="34095"/>
    <cellStyle name="Output 4 2 5 11" xfId="34096"/>
    <cellStyle name="Output 4 2 5 12" xfId="34097"/>
    <cellStyle name="Output 4 2 5 2" xfId="34098"/>
    <cellStyle name="Output 4 2 5 2 2" xfId="34099"/>
    <cellStyle name="Output 4 2 5 2 2 2" xfId="34100"/>
    <cellStyle name="Output 4 2 5 2 2 3" xfId="34101"/>
    <cellStyle name="Output 4 2 5 2 2 4" xfId="34102"/>
    <cellStyle name="Output 4 2 5 2 3" xfId="34103"/>
    <cellStyle name="Output 4 2 5 2 3 2" xfId="34104"/>
    <cellStyle name="Output 4 2 5 2 3 3" xfId="34105"/>
    <cellStyle name="Output 4 2 5 2 3 4" xfId="34106"/>
    <cellStyle name="Output 4 2 5 2 4" xfId="34107"/>
    <cellStyle name="Output 4 2 5 2 4 2" xfId="34108"/>
    <cellStyle name="Output 4 2 5 2 4 3" xfId="34109"/>
    <cellStyle name="Output 4 2 5 2 4 4" xfId="34110"/>
    <cellStyle name="Output 4 2 5 2 5" xfId="34111"/>
    <cellStyle name="Output 4 2 5 2 6" xfId="34112"/>
    <cellStyle name="Output 4 2 5 2 7" xfId="34113"/>
    <cellStyle name="Output 4 2 5 3" xfId="34114"/>
    <cellStyle name="Output 4 2 5 3 2" xfId="34115"/>
    <cellStyle name="Output 4 2 5 3 2 2" xfId="34116"/>
    <cellStyle name="Output 4 2 5 3 2 3" xfId="34117"/>
    <cellStyle name="Output 4 2 5 3 2 4" xfId="34118"/>
    <cellStyle name="Output 4 2 5 3 3" xfId="34119"/>
    <cellStyle name="Output 4 2 5 3 3 2" xfId="34120"/>
    <cellStyle name="Output 4 2 5 3 3 3" xfId="34121"/>
    <cellStyle name="Output 4 2 5 3 3 4" xfId="34122"/>
    <cellStyle name="Output 4 2 5 3 4" xfId="34123"/>
    <cellStyle name="Output 4 2 5 3 4 2" xfId="34124"/>
    <cellStyle name="Output 4 2 5 3 4 3" xfId="34125"/>
    <cellStyle name="Output 4 2 5 3 4 4" xfId="34126"/>
    <cellStyle name="Output 4 2 5 3 5" xfId="34127"/>
    <cellStyle name="Output 4 2 5 3 6" xfId="34128"/>
    <cellStyle name="Output 4 2 5 3 7" xfId="34129"/>
    <cellStyle name="Output 4 2 5 4" xfId="34130"/>
    <cellStyle name="Output 4 2 5 4 2" xfId="34131"/>
    <cellStyle name="Output 4 2 5 4 2 2" xfId="34132"/>
    <cellStyle name="Output 4 2 5 4 2 3" xfId="34133"/>
    <cellStyle name="Output 4 2 5 4 2 4" xfId="34134"/>
    <cellStyle name="Output 4 2 5 4 3" xfId="34135"/>
    <cellStyle name="Output 4 2 5 4 3 2" xfId="34136"/>
    <cellStyle name="Output 4 2 5 4 3 3" xfId="34137"/>
    <cellStyle name="Output 4 2 5 4 3 4" xfId="34138"/>
    <cellStyle name="Output 4 2 5 4 4" xfId="34139"/>
    <cellStyle name="Output 4 2 5 4 4 2" xfId="34140"/>
    <cellStyle name="Output 4 2 5 4 4 3" xfId="34141"/>
    <cellStyle name="Output 4 2 5 4 4 4" xfId="34142"/>
    <cellStyle name="Output 4 2 5 4 5" xfId="34143"/>
    <cellStyle name="Output 4 2 5 4 6" xfId="34144"/>
    <cellStyle name="Output 4 2 5 4 7" xfId="34145"/>
    <cellStyle name="Output 4 2 5 5" xfId="34146"/>
    <cellStyle name="Output 4 2 5 5 2" xfId="34147"/>
    <cellStyle name="Output 4 2 5 5 2 2" xfId="34148"/>
    <cellStyle name="Output 4 2 5 5 2 3" xfId="34149"/>
    <cellStyle name="Output 4 2 5 5 2 4" xfId="34150"/>
    <cellStyle name="Output 4 2 5 5 3" xfId="34151"/>
    <cellStyle name="Output 4 2 5 5 3 2" xfId="34152"/>
    <cellStyle name="Output 4 2 5 5 3 3" xfId="34153"/>
    <cellStyle name="Output 4 2 5 5 3 4" xfId="34154"/>
    <cellStyle name="Output 4 2 5 5 4" xfId="34155"/>
    <cellStyle name="Output 4 2 5 5 4 2" xfId="34156"/>
    <cellStyle name="Output 4 2 5 5 4 3" xfId="34157"/>
    <cellStyle name="Output 4 2 5 5 4 4" xfId="34158"/>
    <cellStyle name="Output 4 2 5 5 5" xfId="34159"/>
    <cellStyle name="Output 4 2 5 5 6" xfId="34160"/>
    <cellStyle name="Output 4 2 5 5 7" xfId="34161"/>
    <cellStyle name="Output 4 2 5 6" xfId="34162"/>
    <cellStyle name="Output 4 2 5 6 2" xfId="34163"/>
    <cellStyle name="Output 4 2 5 6 2 2" xfId="34164"/>
    <cellStyle name="Output 4 2 5 6 2 3" xfId="34165"/>
    <cellStyle name="Output 4 2 5 6 2 4" xfId="34166"/>
    <cellStyle name="Output 4 2 5 6 3" xfId="34167"/>
    <cellStyle name="Output 4 2 5 6 3 2" xfId="34168"/>
    <cellStyle name="Output 4 2 5 6 3 3" xfId="34169"/>
    <cellStyle name="Output 4 2 5 6 3 4" xfId="34170"/>
    <cellStyle name="Output 4 2 5 6 4" xfId="34171"/>
    <cellStyle name="Output 4 2 5 6 4 2" xfId="34172"/>
    <cellStyle name="Output 4 2 5 6 4 3" xfId="34173"/>
    <cellStyle name="Output 4 2 5 6 4 4" xfId="34174"/>
    <cellStyle name="Output 4 2 5 6 5" xfId="34175"/>
    <cellStyle name="Output 4 2 5 6 6" xfId="34176"/>
    <cellStyle name="Output 4 2 5 6 7" xfId="34177"/>
    <cellStyle name="Output 4 2 5 7" xfId="34178"/>
    <cellStyle name="Output 4 2 5 7 2" xfId="34179"/>
    <cellStyle name="Output 4 2 5 7 3" xfId="34180"/>
    <cellStyle name="Output 4 2 5 7 4" xfId="34181"/>
    <cellStyle name="Output 4 2 5 8" xfId="34182"/>
    <cellStyle name="Output 4 2 5 8 2" xfId="34183"/>
    <cellStyle name="Output 4 2 5 8 3" xfId="34184"/>
    <cellStyle name="Output 4 2 5 8 4" xfId="34185"/>
    <cellStyle name="Output 4 2 5 9" xfId="34186"/>
    <cellStyle name="Output 4 2 5 9 2" xfId="34187"/>
    <cellStyle name="Output 4 2 5 9 3" xfId="34188"/>
    <cellStyle name="Output 4 2 5 9 4" xfId="34189"/>
    <cellStyle name="Output 4 2 6" xfId="34190"/>
    <cellStyle name="Output 4 2 6 2" xfId="34191"/>
    <cellStyle name="Output 4 2 6 2 2" xfId="34192"/>
    <cellStyle name="Output 4 2 6 2 3" xfId="34193"/>
    <cellStyle name="Output 4 2 6 2 4" xfId="34194"/>
    <cellStyle name="Output 4 2 6 3" xfId="34195"/>
    <cellStyle name="Output 4 2 6 3 2" xfId="34196"/>
    <cellStyle name="Output 4 2 6 3 3" xfId="34197"/>
    <cellStyle name="Output 4 2 6 3 4" xfId="34198"/>
    <cellStyle name="Output 4 2 6 4" xfId="34199"/>
    <cellStyle name="Output 4 2 6 4 2" xfId="34200"/>
    <cellStyle name="Output 4 2 6 4 3" xfId="34201"/>
    <cellStyle name="Output 4 2 6 4 4" xfId="34202"/>
    <cellStyle name="Output 4 2 6 5" xfId="34203"/>
    <cellStyle name="Output 4 2 6 6" xfId="34204"/>
    <cellStyle name="Output 4 2 6 7" xfId="34205"/>
    <cellStyle name="Output 4 2 7" xfId="34206"/>
    <cellStyle name="Output 4 2 7 2" xfId="34207"/>
    <cellStyle name="Output 4 2 7 2 2" xfId="34208"/>
    <cellStyle name="Output 4 2 7 2 3" xfId="34209"/>
    <cellStyle name="Output 4 2 7 2 4" xfId="34210"/>
    <cellStyle name="Output 4 2 7 3" xfId="34211"/>
    <cellStyle name="Output 4 2 7 3 2" xfId="34212"/>
    <cellStyle name="Output 4 2 7 3 3" xfId="34213"/>
    <cellStyle name="Output 4 2 7 3 4" xfId="34214"/>
    <cellStyle name="Output 4 2 7 4" xfId="34215"/>
    <cellStyle name="Output 4 2 7 4 2" xfId="34216"/>
    <cellStyle name="Output 4 2 7 4 3" xfId="34217"/>
    <cellStyle name="Output 4 2 7 4 4" xfId="34218"/>
    <cellStyle name="Output 4 2 7 5" xfId="34219"/>
    <cellStyle name="Output 4 2 7 6" xfId="34220"/>
    <cellStyle name="Output 4 2 7 7" xfId="34221"/>
    <cellStyle name="Output 4 2 8" xfId="34222"/>
    <cellStyle name="Output 4 2 8 2" xfId="34223"/>
    <cellStyle name="Output 4 2 8 2 2" xfId="34224"/>
    <cellStyle name="Output 4 2 8 2 3" xfId="34225"/>
    <cellStyle name="Output 4 2 8 2 4" xfId="34226"/>
    <cellStyle name="Output 4 2 8 3" xfId="34227"/>
    <cellStyle name="Output 4 2 8 3 2" xfId="34228"/>
    <cellStyle name="Output 4 2 8 3 3" xfId="34229"/>
    <cellStyle name="Output 4 2 8 3 4" xfId="34230"/>
    <cellStyle name="Output 4 2 8 4" xfId="34231"/>
    <cellStyle name="Output 4 2 8 4 2" xfId="34232"/>
    <cellStyle name="Output 4 2 8 4 3" xfId="34233"/>
    <cellStyle name="Output 4 2 8 4 4" xfId="34234"/>
    <cellStyle name="Output 4 2 8 5" xfId="34235"/>
    <cellStyle name="Output 4 2 8 6" xfId="34236"/>
    <cellStyle name="Output 4 2 8 7" xfId="34237"/>
    <cellStyle name="Output 4 2 9" xfId="34238"/>
    <cellStyle name="Output 4 2 9 2" xfId="34239"/>
    <cellStyle name="Output 4 2 9 2 2" xfId="34240"/>
    <cellStyle name="Output 4 2 9 2 3" xfId="34241"/>
    <cellStyle name="Output 4 2 9 2 4" xfId="34242"/>
    <cellStyle name="Output 4 2 9 3" xfId="34243"/>
    <cellStyle name="Output 4 2 9 3 2" xfId="34244"/>
    <cellStyle name="Output 4 2 9 3 3" xfId="34245"/>
    <cellStyle name="Output 4 2 9 3 4" xfId="34246"/>
    <cellStyle name="Output 4 2 9 4" xfId="34247"/>
    <cellStyle name="Output 4 2 9 4 2" xfId="34248"/>
    <cellStyle name="Output 4 2 9 4 3" xfId="34249"/>
    <cellStyle name="Output 4 2 9 4 4" xfId="34250"/>
    <cellStyle name="Output 4 2 9 5" xfId="34251"/>
    <cellStyle name="Output 4 2 9 6" xfId="34252"/>
    <cellStyle name="Output 4 2 9 7" xfId="34253"/>
    <cellStyle name="Output 4 3" xfId="1169"/>
    <cellStyle name="Output 4 3 10" xfId="34254"/>
    <cellStyle name="Output 4 3 11" xfId="34255"/>
    <cellStyle name="Output 4 3 12" xfId="34256"/>
    <cellStyle name="Output 4 3 2" xfId="34257"/>
    <cellStyle name="Output 4 3 2 2" xfId="34258"/>
    <cellStyle name="Output 4 3 2 2 2" xfId="34259"/>
    <cellStyle name="Output 4 3 2 2 3" xfId="34260"/>
    <cellStyle name="Output 4 3 2 2 4" xfId="34261"/>
    <cellStyle name="Output 4 3 2 3" xfId="34262"/>
    <cellStyle name="Output 4 3 2 3 2" xfId="34263"/>
    <cellStyle name="Output 4 3 2 3 3" xfId="34264"/>
    <cellStyle name="Output 4 3 2 3 4" xfId="34265"/>
    <cellStyle name="Output 4 3 2 4" xfId="34266"/>
    <cellStyle name="Output 4 3 2 4 2" xfId="34267"/>
    <cellStyle name="Output 4 3 2 4 3" xfId="34268"/>
    <cellStyle name="Output 4 3 2 4 4" xfId="34269"/>
    <cellStyle name="Output 4 3 2 5" xfId="34270"/>
    <cellStyle name="Output 4 3 2 6" xfId="34271"/>
    <cellStyle name="Output 4 3 2 7" xfId="34272"/>
    <cellStyle name="Output 4 3 3" xfId="34273"/>
    <cellStyle name="Output 4 3 3 2" xfId="34274"/>
    <cellStyle name="Output 4 3 3 2 2" xfId="34275"/>
    <cellStyle name="Output 4 3 3 2 3" xfId="34276"/>
    <cellStyle name="Output 4 3 3 2 4" xfId="34277"/>
    <cellStyle name="Output 4 3 3 3" xfId="34278"/>
    <cellStyle name="Output 4 3 3 3 2" xfId="34279"/>
    <cellStyle name="Output 4 3 3 3 3" xfId="34280"/>
    <cellStyle name="Output 4 3 3 3 4" xfId="34281"/>
    <cellStyle name="Output 4 3 3 4" xfId="34282"/>
    <cellStyle name="Output 4 3 3 4 2" xfId="34283"/>
    <cellStyle name="Output 4 3 3 4 3" xfId="34284"/>
    <cellStyle name="Output 4 3 3 4 4" xfId="34285"/>
    <cellStyle name="Output 4 3 3 5" xfId="34286"/>
    <cellStyle name="Output 4 3 3 6" xfId="34287"/>
    <cellStyle name="Output 4 3 3 7" xfId="34288"/>
    <cellStyle name="Output 4 3 4" xfId="34289"/>
    <cellStyle name="Output 4 3 4 2" xfId="34290"/>
    <cellStyle name="Output 4 3 4 2 2" xfId="34291"/>
    <cellStyle name="Output 4 3 4 2 3" xfId="34292"/>
    <cellStyle name="Output 4 3 4 2 4" xfId="34293"/>
    <cellStyle name="Output 4 3 4 3" xfId="34294"/>
    <cellStyle name="Output 4 3 4 3 2" xfId="34295"/>
    <cellStyle name="Output 4 3 4 3 3" xfId="34296"/>
    <cellStyle name="Output 4 3 4 3 4" xfId="34297"/>
    <cellStyle name="Output 4 3 4 4" xfId="34298"/>
    <cellStyle name="Output 4 3 4 4 2" xfId="34299"/>
    <cellStyle name="Output 4 3 4 4 3" xfId="34300"/>
    <cellStyle name="Output 4 3 4 4 4" xfId="34301"/>
    <cellStyle name="Output 4 3 4 5" xfId="34302"/>
    <cellStyle name="Output 4 3 4 6" xfId="34303"/>
    <cellStyle name="Output 4 3 4 7" xfId="34304"/>
    <cellStyle name="Output 4 3 5" xfId="34305"/>
    <cellStyle name="Output 4 3 5 2" xfId="34306"/>
    <cellStyle name="Output 4 3 5 2 2" xfId="34307"/>
    <cellStyle name="Output 4 3 5 2 3" xfId="34308"/>
    <cellStyle name="Output 4 3 5 2 4" xfId="34309"/>
    <cellStyle name="Output 4 3 5 3" xfId="34310"/>
    <cellStyle name="Output 4 3 5 3 2" xfId="34311"/>
    <cellStyle name="Output 4 3 5 3 3" xfId="34312"/>
    <cellStyle name="Output 4 3 5 3 4" xfId="34313"/>
    <cellStyle name="Output 4 3 5 4" xfId="34314"/>
    <cellStyle name="Output 4 3 5 4 2" xfId="34315"/>
    <cellStyle name="Output 4 3 5 4 3" xfId="34316"/>
    <cellStyle name="Output 4 3 5 4 4" xfId="34317"/>
    <cellStyle name="Output 4 3 5 5" xfId="34318"/>
    <cellStyle name="Output 4 3 5 6" xfId="34319"/>
    <cellStyle name="Output 4 3 5 7" xfId="34320"/>
    <cellStyle name="Output 4 3 6" xfId="34321"/>
    <cellStyle name="Output 4 3 6 2" xfId="34322"/>
    <cellStyle name="Output 4 3 6 2 2" xfId="34323"/>
    <cellStyle name="Output 4 3 6 2 3" xfId="34324"/>
    <cellStyle name="Output 4 3 6 2 4" xfId="34325"/>
    <cellStyle name="Output 4 3 6 3" xfId="34326"/>
    <cellStyle name="Output 4 3 6 3 2" xfId="34327"/>
    <cellStyle name="Output 4 3 6 3 3" xfId="34328"/>
    <cellStyle name="Output 4 3 6 3 4" xfId="34329"/>
    <cellStyle name="Output 4 3 6 4" xfId="34330"/>
    <cellStyle name="Output 4 3 6 4 2" xfId="34331"/>
    <cellStyle name="Output 4 3 6 4 3" xfId="34332"/>
    <cellStyle name="Output 4 3 6 4 4" xfId="34333"/>
    <cellStyle name="Output 4 3 6 5" xfId="34334"/>
    <cellStyle name="Output 4 3 6 6" xfId="34335"/>
    <cellStyle name="Output 4 3 6 7" xfId="34336"/>
    <cellStyle name="Output 4 3 7" xfId="34337"/>
    <cellStyle name="Output 4 3 7 2" xfId="34338"/>
    <cellStyle name="Output 4 3 7 3" xfId="34339"/>
    <cellStyle name="Output 4 3 7 4" xfId="34340"/>
    <cellStyle name="Output 4 3 8" xfId="34341"/>
    <cellStyle name="Output 4 3 8 2" xfId="34342"/>
    <cellStyle name="Output 4 3 8 3" xfId="34343"/>
    <cellStyle name="Output 4 3 8 4" xfId="34344"/>
    <cellStyle name="Output 4 3 9" xfId="34345"/>
    <cellStyle name="Output 4 3 9 2" xfId="34346"/>
    <cellStyle name="Output 4 3 9 3" xfId="34347"/>
    <cellStyle name="Output 4 3 9 4" xfId="34348"/>
    <cellStyle name="Output 4 4" xfId="3239"/>
    <cellStyle name="Output 4 5" xfId="3276"/>
    <cellStyle name="Output 4 6" xfId="3299"/>
    <cellStyle name="Output 4 7" xfId="3312"/>
    <cellStyle name="Output 5" xfId="315"/>
    <cellStyle name="Output 5 2" xfId="644"/>
    <cellStyle name="Output 5 2 10" xfId="34349"/>
    <cellStyle name="Output 5 2 10 2" xfId="34350"/>
    <cellStyle name="Output 5 2 10 2 2" xfId="34351"/>
    <cellStyle name="Output 5 2 10 2 3" xfId="34352"/>
    <cellStyle name="Output 5 2 10 2 4" xfId="34353"/>
    <cellStyle name="Output 5 2 10 3" xfId="34354"/>
    <cellStyle name="Output 5 2 10 3 2" xfId="34355"/>
    <cellStyle name="Output 5 2 10 3 3" xfId="34356"/>
    <cellStyle name="Output 5 2 10 3 4" xfId="34357"/>
    <cellStyle name="Output 5 2 10 4" xfId="34358"/>
    <cellStyle name="Output 5 2 10 4 2" xfId="34359"/>
    <cellStyle name="Output 5 2 10 4 3" xfId="34360"/>
    <cellStyle name="Output 5 2 10 4 4" xfId="34361"/>
    <cellStyle name="Output 5 2 10 5" xfId="34362"/>
    <cellStyle name="Output 5 2 10 6" xfId="34363"/>
    <cellStyle name="Output 5 2 10 7" xfId="34364"/>
    <cellStyle name="Output 5 2 11" xfId="34365"/>
    <cellStyle name="Output 5 2 11 2" xfId="34366"/>
    <cellStyle name="Output 5 2 11 2 2" xfId="34367"/>
    <cellStyle name="Output 5 2 11 2 3" xfId="34368"/>
    <cellStyle name="Output 5 2 11 2 4" xfId="34369"/>
    <cellStyle name="Output 5 2 11 3" xfId="34370"/>
    <cellStyle name="Output 5 2 11 3 2" xfId="34371"/>
    <cellStyle name="Output 5 2 11 3 3" xfId="34372"/>
    <cellStyle name="Output 5 2 11 3 4" xfId="34373"/>
    <cellStyle name="Output 5 2 11 4" xfId="34374"/>
    <cellStyle name="Output 5 2 11 4 2" xfId="34375"/>
    <cellStyle name="Output 5 2 11 4 3" xfId="34376"/>
    <cellStyle name="Output 5 2 11 4 4" xfId="34377"/>
    <cellStyle name="Output 5 2 11 5" xfId="34378"/>
    <cellStyle name="Output 5 2 11 6" xfId="34379"/>
    <cellStyle name="Output 5 2 11 7" xfId="34380"/>
    <cellStyle name="Output 5 2 12" xfId="34381"/>
    <cellStyle name="Output 5 2 12 2" xfId="34382"/>
    <cellStyle name="Output 5 2 12 2 2" xfId="34383"/>
    <cellStyle name="Output 5 2 12 2 3" xfId="34384"/>
    <cellStyle name="Output 5 2 12 2 4" xfId="34385"/>
    <cellStyle name="Output 5 2 12 3" xfId="34386"/>
    <cellStyle name="Output 5 2 12 3 2" xfId="34387"/>
    <cellStyle name="Output 5 2 12 3 3" xfId="34388"/>
    <cellStyle name="Output 5 2 12 3 4" xfId="34389"/>
    <cellStyle name="Output 5 2 12 4" xfId="34390"/>
    <cellStyle name="Output 5 2 12 4 2" xfId="34391"/>
    <cellStyle name="Output 5 2 12 4 3" xfId="34392"/>
    <cellStyle name="Output 5 2 12 4 4" xfId="34393"/>
    <cellStyle name="Output 5 2 12 5" xfId="34394"/>
    <cellStyle name="Output 5 2 12 6" xfId="34395"/>
    <cellStyle name="Output 5 2 12 7" xfId="34396"/>
    <cellStyle name="Output 5 2 13" xfId="34397"/>
    <cellStyle name="Output 5 2 13 2" xfId="34398"/>
    <cellStyle name="Output 5 2 13 2 2" xfId="34399"/>
    <cellStyle name="Output 5 2 13 2 3" xfId="34400"/>
    <cellStyle name="Output 5 2 13 2 4" xfId="34401"/>
    <cellStyle name="Output 5 2 13 3" xfId="34402"/>
    <cellStyle name="Output 5 2 13 3 2" xfId="34403"/>
    <cellStyle name="Output 5 2 13 3 3" xfId="34404"/>
    <cellStyle name="Output 5 2 13 3 4" xfId="34405"/>
    <cellStyle name="Output 5 2 13 4" xfId="34406"/>
    <cellStyle name="Output 5 2 13 4 2" xfId="34407"/>
    <cellStyle name="Output 5 2 13 4 3" xfId="34408"/>
    <cellStyle name="Output 5 2 13 4 4" xfId="34409"/>
    <cellStyle name="Output 5 2 13 5" xfId="34410"/>
    <cellStyle name="Output 5 2 13 6" xfId="34411"/>
    <cellStyle name="Output 5 2 13 7" xfId="34412"/>
    <cellStyle name="Output 5 2 14" xfId="34413"/>
    <cellStyle name="Output 5 2 14 2" xfId="34414"/>
    <cellStyle name="Output 5 2 14 3" xfId="34415"/>
    <cellStyle name="Output 5 2 14 4" xfId="34416"/>
    <cellStyle name="Output 5 2 15" xfId="34417"/>
    <cellStyle name="Output 5 2 15 2" xfId="34418"/>
    <cellStyle name="Output 5 2 15 3" xfId="34419"/>
    <cellStyle name="Output 5 2 15 4" xfId="34420"/>
    <cellStyle name="Output 5 2 16" xfId="34421"/>
    <cellStyle name="Output 5 2 16 2" xfId="34422"/>
    <cellStyle name="Output 5 2 16 3" xfId="34423"/>
    <cellStyle name="Output 5 2 16 4" xfId="34424"/>
    <cellStyle name="Output 5 2 17" xfId="34425"/>
    <cellStyle name="Output 5 2 18" xfId="34426"/>
    <cellStyle name="Output 5 2 19" xfId="34427"/>
    <cellStyle name="Output 5 2 2" xfId="904"/>
    <cellStyle name="Output 5 2 2 10" xfId="34428"/>
    <cellStyle name="Output 5 2 2 11" xfId="34429"/>
    <cellStyle name="Output 5 2 2 12" xfId="34430"/>
    <cellStyle name="Output 5 2 2 2" xfId="34431"/>
    <cellStyle name="Output 5 2 2 2 2" xfId="34432"/>
    <cellStyle name="Output 5 2 2 2 2 2" xfId="34433"/>
    <cellStyle name="Output 5 2 2 2 2 3" xfId="34434"/>
    <cellStyle name="Output 5 2 2 2 2 4" xfId="34435"/>
    <cellStyle name="Output 5 2 2 2 3" xfId="34436"/>
    <cellStyle name="Output 5 2 2 2 3 2" xfId="34437"/>
    <cellStyle name="Output 5 2 2 2 3 3" xfId="34438"/>
    <cellStyle name="Output 5 2 2 2 3 4" xfId="34439"/>
    <cellStyle name="Output 5 2 2 2 4" xfId="34440"/>
    <cellStyle name="Output 5 2 2 2 4 2" xfId="34441"/>
    <cellStyle name="Output 5 2 2 2 4 3" xfId="34442"/>
    <cellStyle name="Output 5 2 2 2 4 4" xfId="34443"/>
    <cellStyle name="Output 5 2 2 2 5" xfId="34444"/>
    <cellStyle name="Output 5 2 2 2 6" xfId="34445"/>
    <cellStyle name="Output 5 2 2 2 7" xfId="34446"/>
    <cellStyle name="Output 5 2 2 3" xfId="34447"/>
    <cellStyle name="Output 5 2 2 3 2" xfId="34448"/>
    <cellStyle name="Output 5 2 2 3 2 2" xfId="34449"/>
    <cellStyle name="Output 5 2 2 3 2 3" xfId="34450"/>
    <cellStyle name="Output 5 2 2 3 2 4" xfId="34451"/>
    <cellStyle name="Output 5 2 2 3 3" xfId="34452"/>
    <cellStyle name="Output 5 2 2 3 3 2" xfId="34453"/>
    <cellStyle name="Output 5 2 2 3 3 3" xfId="34454"/>
    <cellStyle name="Output 5 2 2 3 3 4" xfId="34455"/>
    <cellStyle name="Output 5 2 2 3 4" xfId="34456"/>
    <cellStyle name="Output 5 2 2 3 4 2" xfId="34457"/>
    <cellStyle name="Output 5 2 2 3 4 3" xfId="34458"/>
    <cellStyle name="Output 5 2 2 3 4 4" xfId="34459"/>
    <cellStyle name="Output 5 2 2 3 5" xfId="34460"/>
    <cellStyle name="Output 5 2 2 3 6" xfId="34461"/>
    <cellStyle name="Output 5 2 2 3 7" xfId="34462"/>
    <cellStyle name="Output 5 2 2 4" xfId="34463"/>
    <cellStyle name="Output 5 2 2 4 2" xfId="34464"/>
    <cellStyle name="Output 5 2 2 4 2 2" xfId="34465"/>
    <cellStyle name="Output 5 2 2 4 2 3" xfId="34466"/>
    <cellStyle name="Output 5 2 2 4 2 4" xfId="34467"/>
    <cellStyle name="Output 5 2 2 4 3" xfId="34468"/>
    <cellStyle name="Output 5 2 2 4 3 2" xfId="34469"/>
    <cellStyle name="Output 5 2 2 4 3 3" xfId="34470"/>
    <cellStyle name="Output 5 2 2 4 3 4" xfId="34471"/>
    <cellStyle name="Output 5 2 2 4 4" xfId="34472"/>
    <cellStyle name="Output 5 2 2 4 4 2" xfId="34473"/>
    <cellStyle name="Output 5 2 2 4 4 3" xfId="34474"/>
    <cellStyle name="Output 5 2 2 4 4 4" xfId="34475"/>
    <cellStyle name="Output 5 2 2 4 5" xfId="34476"/>
    <cellStyle name="Output 5 2 2 4 6" xfId="34477"/>
    <cellStyle name="Output 5 2 2 4 7" xfId="34478"/>
    <cellStyle name="Output 5 2 2 5" xfId="34479"/>
    <cellStyle name="Output 5 2 2 5 2" xfId="34480"/>
    <cellStyle name="Output 5 2 2 5 2 2" xfId="34481"/>
    <cellStyle name="Output 5 2 2 5 2 3" xfId="34482"/>
    <cellStyle name="Output 5 2 2 5 2 4" xfId="34483"/>
    <cellStyle name="Output 5 2 2 5 3" xfId="34484"/>
    <cellStyle name="Output 5 2 2 5 3 2" xfId="34485"/>
    <cellStyle name="Output 5 2 2 5 3 3" xfId="34486"/>
    <cellStyle name="Output 5 2 2 5 3 4" xfId="34487"/>
    <cellStyle name="Output 5 2 2 5 4" xfId="34488"/>
    <cellStyle name="Output 5 2 2 5 4 2" xfId="34489"/>
    <cellStyle name="Output 5 2 2 5 4 3" xfId="34490"/>
    <cellStyle name="Output 5 2 2 5 4 4" xfId="34491"/>
    <cellStyle name="Output 5 2 2 5 5" xfId="34492"/>
    <cellStyle name="Output 5 2 2 5 6" xfId="34493"/>
    <cellStyle name="Output 5 2 2 5 7" xfId="34494"/>
    <cellStyle name="Output 5 2 2 6" xfId="34495"/>
    <cellStyle name="Output 5 2 2 6 2" xfId="34496"/>
    <cellStyle name="Output 5 2 2 6 2 2" xfId="34497"/>
    <cellStyle name="Output 5 2 2 6 2 3" xfId="34498"/>
    <cellStyle name="Output 5 2 2 6 2 4" xfId="34499"/>
    <cellStyle name="Output 5 2 2 6 3" xfId="34500"/>
    <cellStyle name="Output 5 2 2 6 3 2" xfId="34501"/>
    <cellStyle name="Output 5 2 2 6 3 3" xfId="34502"/>
    <cellStyle name="Output 5 2 2 6 3 4" xfId="34503"/>
    <cellStyle name="Output 5 2 2 6 4" xfId="34504"/>
    <cellStyle name="Output 5 2 2 6 4 2" xfId="34505"/>
    <cellStyle name="Output 5 2 2 6 4 3" xfId="34506"/>
    <cellStyle name="Output 5 2 2 6 4 4" xfId="34507"/>
    <cellStyle name="Output 5 2 2 6 5" xfId="34508"/>
    <cellStyle name="Output 5 2 2 6 6" xfId="34509"/>
    <cellStyle name="Output 5 2 2 6 7" xfId="34510"/>
    <cellStyle name="Output 5 2 2 7" xfId="34511"/>
    <cellStyle name="Output 5 2 2 7 2" xfId="34512"/>
    <cellStyle name="Output 5 2 2 7 3" xfId="34513"/>
    <cellStyle name="Output 5 2 2 7 4" xfId="34514"/>
    <cellStyle name="Output 5 2 2 8" xfId="34515"/>
    <cellStyle name="Output 5 2 2 8 2" xfId="34516"/>
    <cellStyle name="Output 5 2 2 8 3" xfId="34517"/>
    <cellStyle name="Output 5 2 2 8 4" xfId="34518"/>
    <cellStyle name="Output 5 2 2 9" xfId="34519"/>
    <cellStyle name="Output 5 2 2 9 2" xfId="34520"/>
    <cellStyle name="Output 5 2 2 9 3" xfId="34521"/>
    <cellStyle name="Output 5 2 2 9 4" xfId="34522"/>
    <cellStyle name="Output 5 2 3" xfId="790"/>
    <cellStyle name="Output 5 2 3 10" xfId="34523"/>
    <cellStyle name="Output 5 2 3 11" xfId="34524"/>
    <cellStyle name="Output 5 2 3 12" xfId="34525"/>
    <cellStyle name="Output 5 2 3 2" xfId="34526"/>
    <cellStyle name="Output 5 2 3 2 2" xfId="34527"/>
    <cellStyle name="Output 5 2 3 2 2 2" xfId="34528"/>
    <cellStyle name="Output 5 2 3 2 2 3" xfId="34529"/>
    <cellStyle name="Output 5 2 3 2 2 4" xfId="34530"/>
    <cellStyle name="Output 5 2 3 2 3" xfId="34531"/>
    <cellStyle name="Output 5 2 3 2 3 2" xfId="34532"/>
    <cellStyle name="Output 5 2 3 2 3 3" xfId="34533"/>
    <cellStyle name="Output 5 2 3 2 3 4" xfId="34534"/>
    <cellStyle name="Output 5 2 3 2 4" xfId="34535"/>
    <cellStyle name="Output 5 2 3 2 4 2" xfId="34536"/>
    <cellStyle name="Output 5 2 3 2 4 3" xfId="34537"/>
    <cellStyle name="Output 5 2 3 2 4 4" xfId="34538"/>
    <cellStyle name="Output 5 2 3 2 5" xfId="34539"/>
    <cellStyle name="Output 5 2 3 2 6" xfId="34540"/>
    <cellStyle name="Output 5 2 3 2 7" xfId="34541"/>
    <cellStyle name="Output 5 2 3 3" xfId="34542"/>
    <cellStyle name="Output 5 2 3 3 2" xfId="34543"/>
    <cellStyle name="Output 5 2 3 3 2 2" xfId="34544"/>
    <cellStyle name="Output 5 2 3 3 2 3" xfId="34545"/>
    <cellStyle name="Output 5 2 3 3 2 4" xfId="34546"/>
    <cellStyle name="Output 5 2 3 3 3" xfId="34547"/>
    <cellStyle name="Output 5 2 3 3 3 2" xfId="34548"/>
    <cellStyle name="Output 5 2 3 3 3 3" xfId="34549"/>
    <cellStyle name="Output 5 2 3 3 3 4" xfId="34550"/>
    <cellStyle name="Output 5 2 3 3 4" xfId="34551"/>
    <cellStyle name="Output 5 2 3 3 4 2" xfId="34552"/>
    <cellStyle name="Output 5 2 3 3 4 3" xfId="34553"/>
    <cellStyle name="Output 5 2 3 3 4 4" xfId="34554"/>
    <cellStyle name="Output 5 2 3 3 5" xfId="34555"/>
    <cellStyle name="Output 5 2 3 3 6" xfId="34556"/>
    <cellStyle name="Output 5 2 3 3 7" xfId="34557"/>
    <cellStyle name="Output 5 2 3 4" xfId="34558"/>
    <cellStyle name="Output 5 2 3 4 2" xfId="34559"/>
    <cellStyle name="Output 5 2 3 4 2 2" xfId="34560"/>
    <cellStyle name="Output 5 2 3 4 2 3" xfId="34561"/>
    <cellStyle name="Output 5 2 3 4 2 4" xfId="34562"/>
    <cellStyle name="Output 5 2 3 4 3" xfId="34563"/>
    <cellStyle name="Output 5 2 3 4 3 2" xfId="34564"/>
    <cellStyle name="Output 5 2 3 4 3 3" xfId="34565"/>
    <cellStyle name="Output 5 2 3 4 3 4" xfId="34566"/>
    <cellStyle name="Output 5 2 3 4 4" xfId="34567"/>
    <cellStyle name="Output 5 2 3 4 4 2" xfId="34568"/>
    <cellStyle name="Output 5 2 3 4 4 3" xfId="34569"/>
    <cellStyle name="Output 5 2 3 4 4 4" xfId="34570"/>
    <cellStyle name="Output 5 2 3 4 5" xfId="34571"/>
    <cellStyle name="Output 5 2 3 4 6" xfId="34572"/>
    <cellStyle name="Output 5 2 3 4 7" xfId="34573"/>
    <cellStyle name="Output 5 2 3 5" xfId="34574"/>
    <cellStyle name="Output 5 2 3 5 2" xfId="34575"/>
    <cellStyle name="Output 5 2 3 5 2 2" xfId="34576"/>
    <cellStyle name="Output 5 2 3 5 2 3" xfId="34577"/>
    <cellStyle name="Output 5 2 3 5 2 4" xfId="34578"/>
    <cellStyle name="Output 5 2 3 5 3" xfId="34579"/>
    <cellStyle name="Output 5 2 3 5 3 2" xfId="34580"/>
    <cellStyle name="Output 5 2 3 5 3 3" xfId="34581"/>
    <cellStyle name="Output 5 2 3 5 3 4" xfId="34582"/>
    <cellStyle name="Output 5 2 3 5 4" xfId="34583"/>
    <cellStyle name="Output 5 2 3 5 4 2" xfId="34584"/>
    <cellStyle name="Output 5 2 3 5 4 3" xfId="34585"/>
    <cellStyle name="Output 5 2 3 5 4 4" xfId="34586"/>
    <cellStyle name="Output 5 2 3 5 5" xfId="34587"/>
    <cellStyle name="Output 5 2 3 5 6" xfId="34588"/>
    <cellStyle name="Output 5 2 3 5 7" xfId="34589"/>
    <cellStyle name="Output 5 2 3 6" xfId="34590"/>
    <cellStyle name="Output 5 2 3 6 2" xfId="34591"/>
    <cellStyle name="Output 5 2 3 6 2 2" xfId="34592"/>
    <cellStyle name="Output 5 2 3 6 2 3" xfId="34593"/>
    <cellStyle name="Output 5 2 3 6 2 4" xfId="34594"/>
    <cellStyle name="Output 5 2 3 6 3" xfId="34595"/>
    <cellStyle name="Output 5 2 3 6 3 2" xfId="34596"/>
    <cellStyle name="Output 5 2 3 6 3 3" xfId="34597"/>
    <cellStyle name="Output 5 2 3 6 3 4" xfId="34598"/>
    <cellStyle name="Output 5 2 3 6 4" xfId="34599"/>
    <cellStyle name="Output 5 2 3 6 4 2" xfId="34600"/>
    <cellStyle name="Output 5 2 3 6 4 3" xfId="34601"/>
    <cellStyle name="Output 5 2 3 6 4 4" xfId="34602"/>
    <cellStyle name="Output 5 2 3 6 5" xfId="34603"/>
    <cellStyle name="Output 5 2 3 6 6" xfId="34604"/>
    <cellStyle name="Output 5 2 3 6 7" xfId="34605"/>
    <cellStyle name="Output 5 2 3 7" xfId="34606"/>
    <cellStyle name="Output 5 2 3 7 2" xfId="34607"/>
    <cellStyle name="Output 5 2 3 7 3" xfId="34608"/>
    <cellStyle name="Output 5 2 3 7 4" xfId="34609"/>
    <cellStyle name="Output 5 2 3 8" xfId="34610"/>
    <cellStyle name="Output 5 2 3 8 2" xfId="34611"/>
    <cellStyle name="Output 5 2 3 8 3" xfId="34612"/>
    <cellStyle name="Output 5 2 3 8 4" xfId="34613"/>
    <cellStyle name="Output 5 2 3 9" xfId="34614"/>
    <cellStyle name="Output 5 2 3 9 2" xfId="34615"/>
    <cellStyle name="Output 5 2 3 9 3" xfId="34616"/>
    <cellStyle name="Output 5 2 3 9 4" xfId="34617"/>
    <cellStyle name="Output 5 2 4" xfId="973"/>
    <cellStyle name="Output 5 2 4 10" xfId="34618"/>
    <cellStyle name="Output 5 2 4 11" xfId="34619"/>
    <cellStyle name="Output 5 2 4 12" xfId="34620"/>
    <cellStyle name="Output 5 2 4 2" xfId="34621"/>
    <cellStyle name="Output 5 2 4 2 2" xfId="34622"/>
    <cellStyle name="Output 5 2 4 2 2 2" xfId="34623"/>
    <cellStyle name="Output 5 2 4 2 2 3" xfId="34624"/>
    <cellStyle name="Output 5 2 4 2 2 4" xfId="34625"/>
    <cellStyle name="Output 5 2 4 2 3" xfId="34626"/>
    <cellStyle name="Output 5 2 4 2 3 2" xfId="34627"/>
    <cellStyle name="Output 5 2 4 2 3 3" xfId="34628"/>
    <cellStyle name="Output 5 2 4 2 3 4" xfId="34629"/>
    <cellStyle name="Output 5 2 4 2 4" xfId="34630"/>
    <cellStyle name="Output 5 2 4 2 4 2" xfId="34631"/>
    <cellStyle name="Output 5 2 4 2 4 3" xfId="34632"/>
    <cellStyle name="Output 5 2 4 2 4 4" xfId="34633"/>
    <cellStyle name="Output 5 2 4 2 5" xfId="34634"/>
    <cellStyle name="Output 5 2 4 2 6" xfId="34635"/>
    <cellStyle name="Output 5 2 4 2 7" xfId="34636"/>
    <cellStyle name="Output 5 2 4 3" xfId="34637"/>
    <cellStyle name="Output 5 2 4 3 2" xfId="34638"/>
    <cellStyle name="Output 5 2 4 3 2 2" xfId="34639"/>
    <cellStyle name="Output 5 2 4 3 2 3" xfId="34640"/>
    <cellStyle name="Output 5 2 4 3 2 4" xfId="34641"/>
    <cellStyle name="Output 5 2 4 3 3" xfId="34642"/>
    <cellStyle name="Output 5 2 4 3 3 2" xfId="34643"/>
    <cellStyle name="Output 5 2 4 3 3 3" xfId="34644"/>
    <cellStyle name="Output 5 2 4 3 3 4" xfId="34645"/>
    <cellStyle name="Output 5 2 4 3 4" xfId="34646"/>
    <cellStyle name="Output 5 2 4 3 4 2" xfId="34647"/>
    <cellStyle name="Output 5 2 4 3 4 3" xfId="34648"/>
    <cellStyle name="Output 5 2 4 3 4 4" xfId="34649"/>
    <cellStyle name="Output 5 2 4 3 5" xfId="34650"/>
    <cellStyle name="Output 5 2 4 3 6" xfId="34651"/>
    <cellStyle name="Output 5 2 4 3 7" xfId="34652"/>
    <cellStyle name="Output 5 2 4 4" xfId="34653"/>
    <cellStyle name="Output 5 2 4 4 2" xfId="34654"/>
    <cellStyle name="Output 5 2 4 4 2 2" xfId="34655"/>
    <cellStyle name="Output 5 2 4 4 2 3" xfId="34656"/>
    <cellStyle name="Output 5 2 4 4 2 4" xfId="34657"/>
    <cellStyle name="Output 5 2 4 4 3" xfId="34658"/>
    <cellStyle name="Output 5 2 4 4 3 2" xfId="34659"/>
    <cellStyle name="Output 5 2 4 4 3 3" xfId="34660"/>
    <cellStyle name="Output 5 2 4 4 3 4" xfId="34661"/>
    <cellStyle name="Output 5 2 4 4 4" xfId="34662"/>
    <cellStyle name="Output 5 2 4 4 4 2" xfId="34663"/>
    <cellStyle name="Output 5 2 4 4 4 3" xfId="34664"/>
    <cellStyle name="Output 5 2 4 4 4 4" xfId="34665"/>
    <cellStyle name="Output 5 2 4 4 5" xfId="34666"/>
    <cellStyle name="Output 5 2 4 4 6" xfId="34667"/>
    <cellStyle name="Output 5 2 4 4 7" xfId="34668"/>
    <cellStyle name="Output 5 2 4 5" xfId="34669"/>
    <cellStyle name="Output 5 2 4 5 2" xfId="34670"/>
    <cellStyle name="Output 5 2 4 5 2 2" xfId="34671"/>
    <cellStyle name="Output 5 2 4 5 2 3" xfId="34672"/>
    <cellStyle name="Output 5 2 4 5 2 4" xfId="34673"/>
    <cellStyle name="Output 5 2 4 5 3" xfId="34674"/>
    <cellStyle name="Output 5 2 4 5 3 2" xfId="34675"/>
    <cellStyle name="Output 5 2 4 5 3 3" xfId="34676"/>
    <cellStyle name="Output 5 2 4 5 3 4" xfId="34677"/>
    <cellStyle name="Output 5 2 4 5 4" xfId="34678"/>
    <cellStyle name="Output 5 2 4 5 4 2" xfId="34679"/>
    <cellStyle name="Output 5 2 4 5 4 3" xfId="34680"/>
    <cellStyle name="Output 5 2 4 5 4 4" xfId="34681"/>
    <cellStyle name="Output 5 2 4 5 5" xfId="34682"/>
    <cellStyle name="Output 5 2 4 5 6" xfId="34683"/>
    <cellStyle name="Output 5 2 4 5 7" xfId="34684"/>
    <cellStyle name="Output 5 2 4 6" xfId="34685"/>
    <cellStyle name="Output 5 2 4 6 2" xfId="34686"/>
    <cellStyle name="Output 5 2 4 6 2 2" xfId="34687"/>
    <cellStyle name="Output 5 2 4 6 2 3" xfId="34688"/>
    <cellStyle name="Output 5 2 4 6 2 4" xfId="34689"/>
    <cellStyle name="Output 5 2 4 6 3" xfId="34690"/>
    <cellStyle name="Output 5 2 4 6 3 2" xfId="34691"/>
    <cellStyle name="Output 5 2 4 6 3 3" xfId="34692"/>
    <cellStyle name="Output 5 2 4 6 3 4" xfId="34693"/>
    <cellStyle name="Output 5 2 4 6 4" xfId="34694"/>
    <cellStyle name="Output 5 2 4 6 4 2" xfId="34695"/>
    <cellStyle name="Output 5 2 4 6 4 3" xfId="34696"/>
    <cellStyle name="Output 5 2 4 6 4 4" xfId="34697"/>
    <cellStyle name="Output 5 2 4 6 5" xfId="34698"/>
    <cellStyle name="Output 5 2 4 6 6" xfId="34699"/>
    <cellStyle name="Output 5 2 4 6 7" xfId="34700"/>
    <cellStyle name="Output 5 2 4 7" xfId="34701"/>
    <cellStyle name="Output 5 2 4 7 2" xfId="34702"/>
    <cellStyle name="Output 5 2 4 7 3" xfId="34703"/>
    <cellStyle name="Output 5 2 4 7 4" xfId="34704"/>
    <cellStyle name="Output 5 2 4 8" xfId="34705"/>
    <cellStyle name="Output 5 2 4 8 2" xfId="34706"/>
    <cellStyle name="Output 5 2 4 8 3" xfId="34707"/>
    <cellStyle name="Output 5 2 4 8 4" xfId="34708"/>
    <cellStyle name="Output 5 2 4 9" xfId="34709"/>
    <cellStyle name="Output 5 2 4 9 2" xfId="34710"/>
    <cellStyle name="Output 5 2 4 9 3" xfId="34711"/>
    <cellStyle name="Output 5 2 4 9 4" xfId="34712"/>
    <cellStyle name="Output 5 2 5" xfId="34713"/>
    <cellStyle name="Output 5 2 5 10" xfId="34714"/>
    <cellStyle name="Output 5 2 5 11" xfId="34715"/>
    <cellStyle name="Output 5 2 5 12" xfId="34716"/>
    <cellStyle name="Output 5 2 5 2" xfId="34717"/>
    <cellStyle name="Output 5 2 5 2 2" xfId="34718"/>
    <cellStyle name="Output 5 2 5 2 2 2" xfId="34719"/>
    <cellStyle name="Output 5 2 5 2 2 3" xfId="34720"/>
    <cellStyle name="Output 5 2 5 2 2 4" xfId="34721"/>
    <cellStyle name="Output 5 2 5 2 3" xfId="34722"/>
    <cellStyle name="Output 5 2 5 2 3 2" xfId="34723"/>
    <cellStyle name="Output 5 2 5 2 3 3" xfId="34724"/>
    <cellStyle name="Output 5 2 5 2 3 4" xfId="34725"/>
    <cellStyle name="Output 5 2 5 2 4" xfId="34726"/>
    <cellStyle name="Output 5 2 5 2 4 2" xfId="34727"/>
    <cellStyle name="Output 5 2 5 2 4 3" xfId="34728"/>
    <cellStyle name="Output 5 2 5 2 4 4" xfId="34729"/>
    <cellStyle name="Output 5 2 5 2 5" xfId="34730"/>
    <cellStyle name="Output 5 2 5 2 6" xfId="34731"/>
    <cellStyle name="Output 5 2 5 2 7" xfId="34732"/>
    <cellStyle name="Output 5 2 5 3" xfId="34733"/>
    <cellStyle name="Output 5 2 5 3 2" xfId="34734"/>
    <cellStyle name="Output 5 2 5 3 2 2" xfId="34735"/>
    <cellStyle name="Output 5 2 5 3 2 3" xfId="34736"/>
    <cellStyle name="Output 5 2 5 3 2 4" xfId="34737"/>
    <cellStyle name="Output 5 2 5 3 3" xfId="34738"/>
    <cellStyle name="Output 5 2 5 3 3 2" xfId="34739"/>
    <cellStyle name="Output 5 2 5 3 3 3" xfId="34740"/>
    <cellStyle name="Output 5 2 5 3 3 4" xfId="34741"/>
    <cellStyle name="Output 5 2 5 3 4" xfId="34742"/>
    <cellStyle name="Output 5 2 5 3 4 2" xfId="34743"/>
    <cellStyle name="Output 5 2 5 3 4 3" xfId="34744"/>
    <cellStyle name="Output 5 2 5 3 4 4" xfId="34745"/>
    <cellStyle name="Output 5 2 5 3 5" xfId="34746"/>
    <cellStyle name="Output 5 2 5 3 6" xfId="34747"/>
    <cellStyle name="Output 5 2 5 3 7" xfId="34748"/>
    <cellStyle name="Output 5 2 5 4" xfId="34749"/>
    <cellStyle name="Output 5 2 5 4 2" xfId="34750"/>
    <cellStyle name="Output 5 2 5 4 2 2" xfId="34751"/>
    <cellStyle name="Output 5 2 5 4 2 3" xfId="34752"/>
    <cellStyle name="Output 5 2 5 4 2 4" xfId="34753"/>
    <cellStyle name="Output 5 2 5 4 3" xfId="34754"/>
    <cellStyle name="Output 5 2 5 4 3 2" xfId="34755"/>
    <cellStyle name="Output 5 2 5 4 3 3" xfId="34756"/>
    <cellStyle name="Output 5 2 5 4 3 4" xfId="34757"/>
    <cellStyle name="Output 5 2 5 4 4" xfId="34758"/>
    <cellStyle name="Output 5 2 5 4 4 2" xfId="34759"/>
    <cellStyle name="Output 5 2 5 4 4 3" xfId="34760"/>
    <cellStyle name="Output 5 2 5 4 4 4" xfId="34761"/>
    <cellStyle name="Output 5 2 5 4 5" xfId="34762"/>
    <cellStyle name="Output 5 2 5 4 6" xfId="34763"/>
    <cellStyle name="Output 5 2 5 4 7" xfId="34764"/>
    <cellStyle name="Output 5 2 5 5" xfId="34765"/>
    <cellStyle name="Output 5 2 5 5 2" xfId="34766"/>
    <cellStyle name="Output 5 2 5 5 2 2" xfId="34767"/>
    <cellStyle name="Output 5 2 5 5 2 3" xfId="34768"/>
    <cellStyle name="Output 5 2 5 5 2 4" xfId="34769"/>
    <cellStyle name="Output 5 2 5 5 3" xfId="34770"/>
    <cellStyle name="Output 5 2 5 5 3 2" xfId="34771"/>
    <cellStyle name="Output 5 2 5 5 3 3" xfId="34772"/>
    <cellStyle name="Output 5 2 5 5 3 4" xfId="34773"/>
    <cellStyle name="Output 5 2 5 5 4" xfId="34774"/>
    <cellStyle name="Output 5 2 5 5 4 2" xfId="34775"/>
    <cellStyle name="Output 5 2 5 5 4 3" xfId="34776"/>
    <cellStyle name="Output 5 2 5 5 4 4" xfId="34777"/>
    <cellStyle name="Output 5 2 5 5 5" xfId="34778"/>
    <cellStyle name="Output 5 2 5 5 6" xfId="34779"/>
    <cellStyle name="Output 5 2 5 5 7" xfId="34780"/>
    <cellStyle name="Output 5 2 5 6" xfId="34781"/>
    <cellStyle name="Output 5 2 5 6 2" xfId="34782"/>
    <cellStyle name="Output 5 2 5 6 2 2" xfId="34783"/>
    <cellStyle name="Output 5 2 5 6 2 3" xfId="34784"/>
    <cellStyle name="Output 5 2 5 6 2 4" xfId="34785"/>
    <cellStyle name="Output 5 2 5 6 3" xfId="34786"/>
    <cellStyle name="Output 5 2 5 6 3 2" xfId="34787"/>
    <cellStyle name="Output 5 2 5 6 3 3" xfId="34788"/>
    <cellStyle name="Output 5 2 5 6 3 4" xfId="34789"/>
    <cellStyle name="Output 5 2 5 6 4" xfId="34790"/>
    <cellStyle name="Output 5 2 5 6 4 2" xfId="34791"/>
    <cellStyle name="Output 5 2 5 6 4 3" xfId="34792"/>
    <cellStyle name="Output 5 2 5 6 4 4" xfId="34793"/>
    <cellStyle name="Output 5 2 5 6 5" xfId="34794"/>
    <cellStyle name="Output 5 2 5 6 6" xfId="34795"/>
    <cellStyle name="Output 5 2 5 6 7" xfId="34796"/>
    <cellStyle name="Output 5 2 5 7" xfId="34797"/>
    <cellStyle name="Output 5 2 5 7 2" xfId="34798"/>
    <cellStyle name="Output 5 2 5 7 3" xfId="34799"/>
    <cellStyle name="Output 5 2 5 7 4" xfId="34800"/>
    <cellStyle name="Output 5 2 5 8" xfId="34801"/>
    <cellStyle name="Output 5 2 5 8 2" xfId="34802"/>
    <cellStyle name="Output 5 2 5 8 3" xfId="34803"/>
    <cellStyle name="Output 5 2 5 8 4" xfId="34804"/>
    <cellStyle name="Output 5 2 5 9" xfId="34805"/>
    <cellStyle name="Output 5 2 5 9 2" xfId="34806"/>
    <cellStyle name="Output 5 2 5 9 3" xfId="34807"/>
    <cellStyle name="Output 5 2 5 9 4" xfId="34808"/>
    <cellStyle name="Output 5 2 6" xfId="34809"/>
    <cellStyle name="Output 5 2 6 2" xfId="34810"/>
    <cellStyle name="Output 5 2 6 2 2" xfId="34811"/>
    <cellStyle name="Output 5 2 6 2 3" xfId="34812"/>
    <cellStyle name="Output 5 2 6 2 4" xfId="34813"/>
    <cellStyle name="Output 5 2 6 3" xfId="34814"/>
    <cellStyle name="Output 5 2 6 3 2" xfId="34815"/>
    <cellStyle name="Output 5 2 6 3 3" xfId="34816"/>
    <cellStyle name="Output 5 2 6 3 4" xfId="34817"/>
    <cellStyle name="Output 5 2 6 4" xfId="34818"/>
    <cellStyle name="Output 5 2 6 4 2" xfId="34819"/>
    <cellStyle name="Output 5 2 6 4 3" xfId="34820"/>
    <cellStyle name="Output 5 2 6 4 4" xfId="34821"/>
    <cellStyle name="Output 5 2 6 5" xfId="34822"/>
    <cellStyle name="Output 5 2 6 6" xfId="34823"/>
    <cellStyle name="Output 5 2 6 7" xfId="34824"/>
    <cellStyle name="Output 5 2 7" xfId="34825"/>
    <cellStyle name="Output 5 2 7 2" xfId="34826"/>
    <cellStyle name="Output 5 2 7 2 2" xfId="34827"/>
    <cellStyle name="Output 5 2 7 2 3" xfId="34828"/>
    <cellStyle name="Output 5 2 7 2 4" xfId="34829"/>
    <cellStyle name="Output 5 2 7 3" xfId="34830"/>
    <cellStyle name="Output 5 2 7 3 2" xfId="34831"/>
    <cellStyle name="Output 5 2 7 3 3" xfId="34832"/>
    <cellStyle name="Output 5 2 7 3 4" xfId="34833"/>
    <cellStyle name="Output 5 2 7 4" xfId="34834"/>
    <cellStyle name="Output 5 2 7 4 2" xfId="34835"/>
    <cellStyle name="Output 5 2 7 4 3" xfId="34836"/>
    <cellStyle name="Output 5 2 7 4 4" xfId="34837"/>
    <cellStyle name="Output 5 2 7 5" xfId="34838"/>
    <cellStyle name="Output 5 2 7 6" xfId="34839"/>
    <cellStyle name="Output 5 2 7 7" xfId="34840"/>
    <cellStyle name="Output 5 2 8" xfId="34841"/>
    <cellStyle name="Output 5 2 8 2" xfId="34842"/>
    <cellStyle name="Output 5 2 8 2 2" xfId="34843"/>
    <cellStyle name="Output 5 2 8 2 3" xfId="34844"/>
    <cellStyle name="Output 5 2 8 2 4" xfId="34845"/>
    <cellStyle name="Output 5 2 8 3" xfId="34846"/>
    <cellStyle name="Output 5 2 8 3 2" xfId="34847"/>
    <cellStyle name="Output 5 2 8 3 3" xfId="34848"/>
    <cellStyle name="Output 5 2 8 3 4" xfId="34849"/>
    <cellStyle name="Output 5 2 8 4" xfId="34850"/>
    <cellStyle name="Output 5 2 8 4 2" xfId="34851"/>
    <cellStyle name="Output 5 2 8 4 3" xfId="34852"/>
    <cellStyle name="Output 5 2 8 4 4" xfId="34853"/>
    <cellStyle name="Output 5 2 8 5" xfId="34854"/>
    <cellStyle name="Output 5 2 8 6" xfId="34855"/>
    <cellStyle name="Output 5 2 8 7" xfId="34856"/>
    <cellStyle name="Output 5 2 9" xfId="34857"/>
    <cellStyle name="Output 5 2 9 2" xfId="34858"/>
    <cellStyle name="Output 5 2 9 2 2" xfId="34859"/>
    <cellStyle name="Output 5 2 9 2 3" xfId="34860"/>
    <cellStyle name="Output 5 2 9 2 4" xfId="34861"/>
    <cellStyle name="Output 5 2 9 3" xfId="34862"/>
    <cellStyle name="Output 5 2 9 3 2" xfId="34863"/>
    <cellStyle name="Output 5 2 9 3 3" xfId="34864"/>
    <cellStyle name="Output 5 2 9 3 4" xfId="34865"/>
    <cellStyle name="Output 5 2 9 4" xfId="34866"/>
    <cellStyle name="Output 5 2 9 4 2" xfId="34867"/>
    <cellStyle name="Output 5 2 9 4 3" xfId="34868"/>
    <cellStyle name="Output 5 2 9 4 4" xfId="34869"/>
    <cellStyle name="Output 5 2 9 5" xfId="34870"/>
    <cellStyle name="Output 5 2 9 6" xfId="34871"/>
    <cellStyle name="Output 5 2 9 7" xfId="34872"/>
    <cellStyle name="Output 5 3" xfId="1170"/>
    <cellStyle name="Output 5 3 10" xfId="34873"/>
    <cellStyle name="Output 5 3 11" xfId="34874"/>
    <cellStyle name="Output 5 3 12" xfId="34875"/>
    <cellStyle name="Output 5 3 2" xfId="34876"/>
    <cellStyle name="Output 5 3 2 2" xfId="34877"/>
    <cellStyle name="Output 5 3 2 2 2" xfId="34878"/>
    <cellStyle name="Output 5 3 2 2 3" xfId="34879"/>
    <cellStyle name="Output 5 3 2 2 4" xfId="34880"/>
    <cellStyle name="Output 5 3 2 3" xfId="34881"/>
    <cellStyle name="Output 5 3 2 3 2" xfId="34882"/>
    <cellStyle name="Output 5 3 2 3 3" xfId="34883"/>
    <cellStyle name="Output 5 3 2 3 4" xfId="34884"/>
    <cellStyle name="Output 5 3 2 4" xfId="34885"/>
    <cellStyle name="Output 5 3 2 4 2" xfId="34886"/>
    <cellStyle name="Output 5 3 2 4 3" xfId="34887"/>
    <cellStyle name="Output 5 3 2 4 4" xfId="34888"/>
    <cellStyle name="Output 5 3 2 5" xfId="34889"/>
    <cellStyle name="Output 5 3 2 6" xfId="34890"/>
    <cellStyle name="Output 5 3 2 7" xfId="34891"/>
    <cellStyle name="Output 5 3 3" xfId="34892"/>
    <cellStyle name="Output 5 3 3 2" xfId="34893"/>
    <cellStyle name="Output 5 3 3 2 2" xfId="34894"/>
    <cellStyle name="Output 5 3 3 2 3" xfId="34895"/>
    <cellStyle name="Output 5 3 3 2 4" xfId="34896"/>
    <cellStyle name="Output 5 3 3 3" xfId="34897"/>
    <cellStyle name="Output 5 3 3 3 2" xfId="34898"/>
    <cellStyle name="Output 5 3 3 3 3" xfId="34899"/>
    <cellStyle name="Output 5 3 3 3 4" xfId="34900"/>
    <cellStyle name="Output 5 3 3 4" xfId="34901"/>
    <cellStyle name="Output 5 3 3 4 2" xfId="34902"/>
    <cellStyle name="Output 5 3 3 4 3" xfId="34903"/>
    <cellStyle name="Output 5 3 3 4 4" xfId="34904"/>
    <cellStyle name="Output 5 3 3 5" xfId="34905"/>
    <cellStyle name="Output 5 3 3 6" xfId="34906"/>
    <cellStyle name="Output 5 3 3 7" xfId="34907"/>
    <cellStyle name="Output 5 3 4" xfId="34908"/>
    <cellStyle name="Output 5 3 4 2" xfId="34909"/>
    <cellStyle name="Output 5 3 4 2 2" xfId="34910"/>
    <cellStyle name="Output 5 3 4 2 3" xfId="34911"/>
    <cellStyle name="Output 5 3 4 2 4" xfId="34912"/>
    <cellStyle name="Output 5 3 4 3" xfId="34913"/>
    <cellStyle name="Output 5 3 4 3 2" xfId="34914"/>
    <cellStyle name="Output 5 3 4 3 3" xfId="34915"/>
    <cellStyle name="Output 5 3 4 3 4" xfId="34916"/>
    <cellStyle name="Output 5 3 4 4" xfId="34917"/>
    <cellStyle name="Output 5 3 4 4 2" xfId="34918"/>
    <cellStyle name="Output 5 3 4 4 3" xfId="34919"/>
    <cellStyle name="Output 5 3 4 4 4" xfId="34920"/>
    <cellStyle name="Output 5 3 4 5" xfId="34921"/>
    <cellStyle name="Output 5 3 4 6" xfId="34922"/>
    <cellStyle name="Output 5 3 4 7" xfId="34923"/>
    <cellStyle name="Output 5 3 5" xfId="34924"/>
    <cellStyle name="Output 5 3 5 2" xfId="34925"/>
    <cellStyle name="Output 5 3 5 2 2" xfId="34926"/>
    <cellStyle name="Output 5 3 5 2 3" xfId="34927"/>
    <cellStyle name="Output 5 3 5 2 4" xfId="34928"/>
    <cellStyle name="Output 5 3 5 3" xfId="34929"/>
    <cellStyle name="Output 5 3 5 3 2" xfId="34930"/>
    <cellStyle name="Output 5 3 5 3 3" xfId="34931"/>
    <cellStyle name="Output 5 3 5 3 4" xfId="34932"/>
    <cellStyle name="Output 5 3 5 4" xfId="34933"/>
    <cellStyle name="Output 5 3 5 4 2" xfId="34934"/>
    <cellStyle name="Output 5 3 5 4 3" xfId="34935"/>
    <cellStyle name="Output 5 3 5 4 4" xfId="34936"/>
    <cellStyle name="Output 5 3 5 5" xfId="34937"/>
    <cellStyle name="Output 5 3 5 6" xfId="34938"/>
    <cellStyle name="Output 5 3 5 7" xfId="34939"/>
    <cellStyle name="Output 5 3 6" xfId="34940"/>
    <cellStyle name="Output 5 3 6 2" xfId="34941"/>
    <cellStyle name="Output 5 3 6 2 2" xfId="34942"/>
    <cellStyle name="Output 5 3 6 2 3" xfId="34943"/>
    <cellStyle name="Output 5 3 6 2 4" xfId="34944"/>
    <cellStyle name="Output 5 3 6 3" xfId="34945"/>
    <cellStyle name="Output 5 3 6 3 2" xfId="34946"/>
    <cellStyle name="Output 5 3 6 3 3" xfId="34947"/>
    <cellStyle name="Output 5 3 6 3 4" xfId="34948"/>
    <cellStyle name="Output 5 3 6 4" xfId="34949"/>
    <cellStyle name="Output 5 3 6 4 2" xfId="34950"/>
    <cellStyle name="Output 5 3 6 4 3" xfId="34951"/>
    <cellStyle name="Output 5 3 6 4 4" xfId="34952"/>
    <cellStyle name="Output 5 3 6 5" xfId="34953"/>
    <cellStyle name="Output 5 3 6 6" xfId="34954"/>
    <cellStyle name="Output 5 3 6 7" xfId="34955"/>
    <cellStyle name="Output 5 3 7" xfId="34956"/>
    <cellStyle name="Output 5 3 7 2" xfId="34957"/>
    <cellStyle name="Output 5 3 7 3" xfId="34958"/>
    <cellStyle name="Output 5 3 7 4" xfId="34959"/>
    <cellStyle name="Output 5 3 8" xfId="34960"/>
    <cellStyle name="Output 5 3 8 2" xfId="34961"/>
    <cellStyle name="Output 5 3 8 3" xfId="34962"/>
    <cellStyle name="Output 5 3 8 4" xfId="34963"/>
    <cellStyle name="Output 5 3 9" xfId="34964"/>
    <cellStyle name="Output 5 3 9 2" xfId="34965"/>
    <cellStyle name="Output 5 3 9 3" xfId="34966"/>
    <cellStyle name="Output 5 3 9 4" xfId="34967"/>
    <cellStyle name="Output 5 4" xfId="3240"/>
    <cellStyle name="Output 5 5" xfId="3277"/>
    <cellStyle name="Output 5 6" xfId="3300"/>
    <cellStyle name="Output 5 7" xfId="3313"/>
    <cellStyle name="Output 6" xfId="710"/>
    <cellStyle name="Output 6 10" xfId="34968"/>
    <cellStyle name="Output 6 10 2" xfId="34969"/>
    <cellStyle name="Output 6 10 2 2" xfId="34970"/>
    <cellStyle name="Output 6 10 2 3" xfId="34971"/>
    <cellStyle name="Output 6 10 2 4" xfId="34972"/>
    <cellStyle name="Output 6 10 3" xfId="34973"/>
    <cellStyle name="Output 6 10 3 2" xfId="34974"/>
    <cellStyle name="Output 6 10 3 3" xfId="34975"/>
    <cellStyle name="Output 6 10 3 4" xfId="34976"/>
    <cellStyle name="Output 6 10 4" xfId="34977"/>
    <cellStyle name="Output 6 10 4 2" xfId="34978"/>
    <cellStyle name="Output 6 10 4 3" xfId="34979"/>
    <cellStyle name="Output 6 10 4 4" xfId="34980"/>
    <cellStyle name="Output 6 10 5" xfId="34981"/>
    <cellStyle name="Output 6 10 6" xfId="34982"/>
    <cellStyle name="Output 6 10 7" xfId="34983"/>
    <cellStyle name="Output 6 11" xfId="34984"/>
    <cellStyle name="Output 6 11 2" xfId="34985"/>
    <cellStyle name="Output 6 11 2 2" xfId="34986"/>
    <cellStyle name="Output 6 11 2 3" xfId="34987"/>
    <cellStyle name="Output 6 11 2 4" xfId="34988"/>
    <cellStyle name="Output 6 11 3" xfId="34989"/>
    <cellStyle name="Output 6 11 3 2" xfId="34990"/>
    <cellStyle name="Output 6 11 3 3" xfId="34991"/>
    <cellStyle name="Output 6 11 3 4" xfId="34992"/>
    <cellStyle name="Output 6 11 4" xfId="34993"/>
    <cellStyle name="Output 6 11 4 2" xfId="34994"/>
    <cellStyle name="Output 6 11 4 3" xfId="34995"/>
    <cellStyle name="Output 6 11 4 4" xfId="34996"/>
    <cellStyle name="Output 6 11 5" xfId="34997"/>
    <cellStyle name="Output 6 11 6" xfId="34998"/>
    <cellStyle name="Output 6 11 7" xfId="34999"/>
    <cellStyle name="Output 6 12" xfId="35000"/>
    <cellStyle name="Output 6 12 2" xfId="35001"/>
    <cellStyle name="Output 6 12 2 2" xfId="35002"/>
    <cellStyle name="Output 6 12 2 3" xfId="35003"/>
    <cellStyle name="Output 6 12 2 4" xfId="35004"/>
    <cellStyle name="Output 6 12 3" xfId="35005"/>
    <cellStyle name="Output 6 12 3 2" xfId="35006"/>
    <cellStyle name="Output 6 12 3 3" xfId="35007"/>
    <cellStyle name="Output 6 12 3 4" xfId="35008"/>
    <cellStyle name="Output 6 12 4" xfId="35009"/>
    <cellStyle name="Output 6 12 4 2" xfId="35010"/>
    <cellStyle name="Output 6 12 4 3" xfId="35011"/>
    <cellStyle name="Output 6 12 4 4" xfId="35012"/>
    <cellStyle name="Output 6 12 5" xfId="35013"/>
    <cellStyle name="Output 6 12 6" xfId="35014"/>
    <cellStyle name="Output 6 12 7" xfId="35015"/>
    <cellStyle name="Output 6 13" xfId="35016"/>
    <cellStyle name="Output 6 13 2" xfId="35017"/>
    <cellStyle name="Output 6 13 2 2" xfId="35018"/>
    <cellStyle name="Output 6 13 2 3" xfId="35019"/>
    <cellStyle name="Output 6 13 2 4" xfId="35020"/>
    <cellStyle name="Output 6 13 3" xfId="35021"/>
    <cellStyle name="Output 6 13 3 2" xfId="35022"/>
    <cellStyle name="Output 6 13 3 3" xfId="35023"/>
    <cellStyle name="Output 6 13 3 4" xfId="35024"/>
    <cellStyle name="Output 6 13 4" xfId="35025"/>
    <cellStyle name="Output 6 13 4 2" xfId="35026"/>
    <cellStyle name="Output 6 13 4 3" xfId="35027"/>
    <cellStyle name="Output 6 13 4 4" xfId="35028"/>
    <cellStyle name="Output 6 13 5" xfId="35029"/>
    <cellStyle name="Output 6 13 6" xfId="35030"/>
    <cellStyle name="Output 6 13 7" xfId="35031"/>
    <cellStyle name="Output 6 14" xfId="35032"/>
    <cellStyle name="Output 6 14 2" xfId="35033"/>
    <cellStyle name="Output 6 14 3" xfId="35034"/>
    <cellStyle name="Output 6 14 4" xfId="35035"/>
    <cellStyle name="Output 6 15" xfId="35036"/>
    <cellStyle name="Output 6 15 2" xfId="35037"/>
    <cellStyle name="Output 6 15 3" xfId="35038"/>
    <cellStyle name="Output 6 15 4" xfId="35039"/>
    <cellStyle name="Output 6 16" xfId="35040"/>
    <cellStyle name="Output 6 16 2" xfId="35041"/>
    <cellStyle name="Output 6 16 3" xfId="35042"/>
    <cellStyle name="Output 6 16 4" xfId="35043"/>
    <cellStyle name="Output 6 17" xfId="35044"/>
    <cellStyle name="Output 6 18" xfId="35045"/>
    <cellStyle name="Output 6 19" xfId="35046"/>
    <cellStyle name="Output 6 2" xfId="35047"/>
    <cellStyle name="Output 6 2 10" xfId="35048"/>
    <cellStyle name="Output 6 2 11" xfId="35049"/>
    <cellStyle name="Output 6 2 12" xfId="35050"/>
    <cellStyle name="Output 6 2 2" xfId="35051"/>
    <cellStyle name="Output 6 2 2 2" xfId="35052"/>
    <cellStyle name="Output 6 2 2 2 2" xfId="35053"/>
    <cellStyle name="Output 6 2 2 2 3" xfId="35054"/>
    <cellStyle name="Output 6 2 2 2 4" xfId="35055"/>
    <cellStyle name="Output 6 2 2 3" xfId="35056"/>
    <cellStyle name="Output 6 2 2 3 2" xfId="35057"/>
    <cellStyle name="Output 6 2 2 3 3" xfId="35058"/>
    <cellStyle name="Output 6 2 2 3 4" xfId="35059"/>
    <cellStyle name="Output 6 2 2 4" xfId="35060"/>
    <cellStyle name="Output 6 2 2 4 2" xfId="35061"/>
    <cellStyle name="Output 6 2 2 4 3" xfId="35062"/>
    <cellStyle name="Output 6 2 2 4 4" xfId="35063"/>
    <cellStyle name="Output 6 2 2 5" xfId="35064"/>
    <cellStyle name="Output 6 2 2 6" xfId="35065"/>
    <cellStyle name="Output 6 2 2 7" xfId="35066"/>
    <cellStyle name="Output 6 2 3" xfId="35067"/>
    <cellStyle name="Output 6 2 3 2" xfId="35068"/>
    <cellStyle name="Output 6 2 3 2 2" xfId="35069"/>
    <cellStyle name="Output 6 2 3 2 3" xfId="35070"/>
    <cellStyle name="Output 6 2 3 2 4" xfId="35071"/>
    <cellStyle name="Output 6 2 3 3" xfId="35072"/>
    <cellStyle name="Output 6 2 3 3 2" xfId="35073"/>
    <cellStyle name="Output 6 2 3 3 3" xfId="35074"/>
    <cellStyle name="Output 6 2 3 3 4" xfId="35075"/>
    <cellStyle name="Output 6 2 3 4" xfId="35076"/>
    <cellStyle name="Output 6 2 3 4 2" xfId="35077"/>
    <cellStyle name="Output 6 2 3 4 3" xfId="35078"/>
    <cellStyle name="Output 6 2 3 4 4" xfId="35079"/>
    <cellStyle name="Output 6 2 3 5" xfId="35080"/>
    <cellStyle name="Output 6 2 3 6" xfId="35081"/>
    <cellStyle name="Output 6 2 3 7" xfId="35082"/>
    <cellStyle name="Output 6 2 4" xfId="35083"/>
    <cellStyle name="Output 6 2 4 2" xfId="35084"/>
    <cellStyle name="Output 6 2 4 2 2" xfId="35085"/>
    <cellStyle name="Output 6 2 4 2 3" xfId="35086"/>
    <cellStyle name="Output 6 2 4 2 4" xfId="35087"/>
    <cellStyle name="Output 6 2 4 3" xfId="35088"/>
    <cellStyle name="Output 6 2 4 3 2" xfId="35089"/>
    <cellStyle name="Output 6 2 4 3 3" xfId="35090"/>
    <cellStyle name="Output 6 2 4 3 4" xfId="35091"/>
    <cellStyle name="Output 6 2 4 4" xfId="35092"/>
    <cellStyle name="Output 6 2 4 4 2" xfId="35093"/>
    <cellStyle name="Output 6 2 4 4 3" xfId="35094"/>
    <cellStyle name="Output 6 2 4 4 4" xfId="35095"/>
    <cellStyle name="Output 6 2 4 5" xfId="35096"/>
    <cellStyle name="Output 6 2 4 6" xfId="35097"/>
    <cellStyle name="Output 6 2 4 7" xfId="35098"/>
    <cellStyle name="Output 6 2 5" xfId="35099"/>
    <cellStyle name="Output 6 2 5 2" xfId="35100"/>
    <cellStyle name="Output 6 2 5 2 2" xfId="35101"/>
    <cellStyle name="Output 6 2 5 2 3" xfId="35102"/>
    <cellStyle name="Output 6 2 5 2 4" xfId="35103"/>
    <cellStyle name="Output 6 2 5 3" xfId="35104"/>
    <cellStyle name="Output 6 2 5 3 2" xfId="35105"/>
    <cellStyle name="Output 6 2 5 3 3" xfId="35106"/>
    <cellStyle name="Output 6 2 5 3 4" xfId="35107"/>
    <cellStyle name="Output 6 2 5 4" xfId="35108"/>
    <cellStyle name="Output 6 2 5 4 2" xfId="35109"/>
    <cellStyle name="Output 6 2 5 4 3" xfId="35110"/>
    <cellStyle name="Output 6 2 5 4 4" xfId="35111"/>
    <cellStyle name="Output 6 2 5 5" xfId="35112"/>
    <cellStyle name="Output 6 2 5 6" xfId="35113"/>
    <cellStyle name="Output 6 2 5 7" xfId="35114"/>
    <cellStyle name="Output 6 2 6" xfId="35115"/>
    <cellStyle name="Output 6 2 6 2" xfId="35116"/>
    <cellStyle name="Output 6 2 6 2 2" xfId="35117"/>
    <cellStyle name="Output 6 2 6 2 3" xfId="35118"/>
    <cellStyle name="Output 6 2 6 2 4" xfId="35119"/>
    <cellStyle name="Output 6 2 6 3" xfId="35120"/>
    <cellStyle name="Output 6 2 6 3 2" xfId="35121"/>
    <cellStyle name="Output 6 2 6 3 3" xfId="35122"/>
    <cellStyle name="Output 6 2 6 3 4" xfId="35123"/>
    <cellStyle name="Output 6 2 6 4" xfId="35124"/>
    <cellStyle name="Output 6 2 6 4 2" xfId="35125"/>
    <cellStyle name="Output 6 2 6 4 3" xfId="35126"/>
    <cellStyle name="Output 6 2 6 4 4" xfId="35127"/>
    <cellStyle name="Output 6 2 6 5" xfId="35128"/>
    <cellStyle name="Output 6 2 6 6" xfId="35129"/>
    <cellStyle name="Output 6 2 6 7" xfId="35130"/>
    <cellStyle name="Output 6 2 7" xfId="35131"/>
    <cellStyle name="Output 6 2 7 2" xfId="35132"/>
    <cellStyle name="Output 6 2 7 3" xfId="35133"/>
    <cellStyle name="Output 6 2 7 4" xfId="35134"/>
    <cellStyle name="Output 6 2 8" xfId="35135"/>
    <cellStyle name="Output 6 2 8 2" xfId="35136"/>
    <cellStyle name="Output 6 2 8 3" xfId="35137"/>
    <cellStyle name="Output 6 2 8 4" xfId="35138"/>
    <cellStyle name="Output 6 2 9" xfId="35139"/>
    <cellStyle name="Output 6 2 9 2" xfId="35140"/>
    <cellStyle name="Output 6 2 9 3" xfId="35141"/>
    <cellStyle name="Output 6 2 9 4" xfId="35142"/>
    <cellStyle name="Output 6 3" xfId="35143"/>
    <cellStyle name="Output 6 3 10" xfId="35144"/>
    <cellStyle name="Output 6 3 11" xfId="35145"/>
    <cellStyle name="Output 6 3 12" xfId="35146"/>
    <cellStyle name="Output 6 3 2" xfId="35147"/>
    <cellStyle name="Output 6 3 2 2" xfId="35148"/>
    <cellStyle name="Output 6 3 2 2 2" xfId="35149"/>
    <cellStyle name="Output 6 3 2 2 3" xfId="35150"/>
    <cellStyle name="Output 6 3 2 2 4" xfId="35151"/>
    <cellStyle name="Output 6 3 2 3" xfId="35152"/>
    <cellStyle name="Output 6 3 2 3 2" xfId="35153"/>
    <cellStyle name="Output 6 3 2 3 3" xfId="35154"/>
    <cellStyle name="Output 6 3 2 3 4" xfId="35155"/>
    <cellStyle name="Output 6 3 2 4" xfId="35156"/>
    <cellStyle name="Output 6 3 2 4 2" xfId="35157"/>
    <cellStyle name="Output 6 3 2 4 3" xfId="35158"/>
    <cellStyle name="Output 6 3 2 4 4" xfId="35159"/>
    <cellStyle name="Output 6 3 2 5" xfId="35160"/>
    <cellStyle name="Output 6 3 2 6" xfId="35161"/>
    <cellStyle name="Output 6 3 2 7" xfId="35162"/>
    <cellStyle name="Output 6 3 3" xfId="35163"/>
    <cellStyle name="Output 6 3 3 2" xfId="35164"/>
    <cellStyle name="Output 6 3 3 2 2" xfId="35165"/>
    <cellStyle name="Output 6 3 3 2 3" xfId="35166"/>
    <cellStyle name="Output 6 3 3 2 4" xfId="35167"/>
    <cellStyle name="Output 6 3 3 3" xfId="35168"/>
    <cellStyle name="Output 6 3 3 3 2" xfId="35169"/>
    <cellStyle name="Output 6 3 3 3 3" xfId="35170"/>
    <cellStyle name="Output 6 3 3 3 4" xfId="35171"/>
    <cellStyle name="Output 6 3 3 4" xfId="35172"/>
    <cellStyle name="Output 6 3 3 4 2" xfId="35173"/>
    <cellStyle name="Output 6 3 3 4 3" xfId="35174"/>
    <cellStyle name="Output 6 3 3 4 4" xfId="35175"/>
    <cellStyle name="Output 6 3 3 5" xfId="35176"/>
    <cellStyle name="Output 6 3 3 6" xfId="35177"/>
    <cellStyle name="Output 6 3 3 7" xfId="35178"/>
    <cellStyle name="Output 6 3 4" xfId="35179"/>
    <cellStyle name="Output 6 3 4 2" xfId="35180"/>
    <cellStyle name="Output 6 3 4 2 2" xfId="35181"/>
    <cellStyle name="Output 6 3 4 2 3" xfId="35182"/>
    <cellStyle name="Output 6 3 4 2 4" xfId="35183"/>
    <cellStyle name="Output 6 3 4 3" xfId="35184"/>
    <cellStyle name="Output 6 3 4 3 2" xfId="35185"/>
    <cellStyle name="Output 6 3 4 3 3" xfId="35186"/>
    <cellStyle name="Output 6 3 4 3 4" xfId="35187"/>
    <cellStyle name="Output 6 3 4 4" xfId="35188"/>
    <cellStyle name="Output 6 3 4 4 2" xfId="35189"/>
    <cellStyle name="Output 6 3 4 4 3" xfId="35190"/>
    <cellStyle name="Output 6 3 4 4 4" xfId="35191"/>
    <cellStyle name="Output 6 3 4 5" xfId="35192"/>
    <cellStyle name="Output 6 3 4 6" xfId="35193"/>
    <cellStyle name="Output 6 3 4 7" xfId="35194"/>
    <cellStyle name="Output 6 3 5" xfId="35195"/>
    <cellStyle name="Output 6 3 5 2" xfId="35196"/>
    <cellStyle name="Output 6 3 5 2 2" xfId="35197"/>
    <cellStyle name="Output 6 3 5 2 3" xfId="35198"/>
    <cellStyle name="Output 6 3 5 2 4" xfId="35199"/>
    <cellStyle name="Output 6 3 5 3" xfId="35200"/>
    <cellStyle name="Output 6 3 5 3 2" xfId="35201"/>
    <cellStyle name="Output 6 3 5 3 3" xfId="35202"/>
    <cellStyle name="Output 6 3 5 3 4" xfId="35203"/>
    <cellStyle name="Output 6 3 5 4" xfId="35204"/>
    <cellStyle name="Output 6 3 5 4 2" xfId="35205"/>
    <cellStyle name="Output 6 3 5 4 3" xfId="35206"/>
    <cellStyle name="Output 6 3 5 4 4" xfId="35207"/>
    <cellStyle name="Output 6 3 5 5" xfId="35208"/>
    <cellStyle name="Output 6 3 5 6" xfId="35209"/>
    <cellStyle name="Output 6 3 5 7" xfId="35210"/>
    <cellStyle name="Output 6 3 6" xfId="35211"/>
    <cellStyle name="Output 6 3 6 2" xfId="35212"/>
    <cellStyle name="Output 6 3 6 2 2" xfId="35213"/>
    <cellStyle name="Output 6 3 6 2 3" xfId="35214"/>
    <cellStyle name="Output 6 3 6 2 4" xfId="35215"/>
    <cellStyle name="Output 6 3 6 3" xfId="35216"/>
    <cellStyle name="Output 6 3 6 3 2" xfId="35217"/>
    <cellStyle name="Output 6 3 6 3 3" xfId="35218"/>
    <cellStyle name="Output 6 3 6 3 4" xfId="35219"/>
    <cellStyle name="Output 6 3 6 4" xfId="35220"/>
    <cellStyle name="Output 6 3 6 4 2" xfId="35221"/>
    <cellStyle name="Output 6 3 6 4 3" xfId="35222"/>
    <cellStyle name="Output 6 3 6 4 4" xfId="35223"/>
    <cellStyle name="Output 6 3 6 5" xfId="35224"/>
    <cellStyle name="Output 6 3 6 6" xfId="35225"/>
    <cellStyle name="Output 6 3 6 7" xfId="35226"/>
    <cellStyle name="Output 6 3 7" xfId="35227"/>
    <cellStyle name="Output 6 3 7 2" xfId="35228"/>
    <cellStyle name="Output 6 3 7 3" xfId="35229"/>
    <cellStyle name="Output 6 3 7 4" xfId="35230"/>
    <cellStyle name="Output 6 3 8" xfId="35231"/>
    <cellStyle name="Output 6 3 8 2" xfId="35232"/>
    <cellStyle name="Output 6 3 8 3" xfId="35233"/>
    <cellStyle name="Output 6 3 8 4" xfId="35234"/>
    <cellStyle name="Output 6 3 9" xfId="35235"/>
    <cellStyle name="Output 6 3 9 2" xfId="35236"/>
    <cellStyle name="Output 6 3 9 3" xfId="35237"/>
    <cellStyle name="Output 6 3 9 4" xfId="35238"/>
    <cellStyle name="Output 6 4" xfId="35239"/>
    <cellStyle name="Output 6 4 10" xfId="35240"/>
    <cellStyle name="Output 6 4 11" xfId="35241"/>
    <cellStyle name="Output 6 4 12" xfId="35242"/>
    <cellStyle name="Output 6 4 2" xfId="35243"/>
    <cellStyle name="Output 6 4 2 2" xfId="35244"/>
    <cellStyle name="Output 6 4 2 2 2" xfId="35245"/>
    <cellStyle name="Output 6 4 2 2 3" xfId="35246"/>
    <cellStyle name="Output 6 4 2 2 4" xfId="35247"/>
    <cellStyle name="Output 6 4 2 3" xfId="35248"/>
    <cellStyle name="Output 6 4 2 3 2" xfId="35249"/>
    <cellStyle name="Output 6 4 2 3 3" xfId="35250"/>
    <cellStyle name="Output 6 4 2 3 4" xfId="35251"/>
    <cellStyle name="Output 6 4 2 4" xfId="35252"/>
    <cellStyle name="Output 6 4 2 4 2" xfId="35253"/>
    <cellStyle name="Output 6 4 2 4 3" xfId="35254"/>
    <cellStyle name="Output 6 4 2 4 4" xfId="35255"/>
    <cellStyle name="Output 6 4 2 5" xfId="35256"/>
    <cellStyle name="Output 6 4 2 6" xfId="35257"/>
    <cellStyle name="Output 6 4 2 7" xfId="35258"/>
    <cellStyle name="Output 6 4 3" xfId="35259"/>
    <cellStyle name="Output 6 4 3 2" xfId="35260"/>
    <cellStyle name="Output 6 4 3 2 2" xfId="35261"/>
    <cellStyle name="Output 6 4 3 2 3" xfId="35262"/>
    <cellStyle name="Output 6 4 3 2 4" xfId="35263"/>
    <cellStyle name="Output 6 4 3 3" xfId="35264"/>
    <cellStyle name="Output 6 4 3 3 2" xfId="35265"/>
    <cellStyle name="Output 6 4 3 3 3" xfId="35266"/>
    <cellStyle name="Output 6 4 3 3 4" xfId="35267"/>
    <cellStyle name="Output 6 4 3 4" xfId="35268"/>
    <cellStyle name="Output 6 4 3 4 2" xfId="35269"/>
    <cellStyle name="Output 6 4 3 4 3" xfId="35270"/>
    <cellStyle name="Output 6 4 3 4 4" xfId="35271"/>
    <cellStyle name="Output 6 4 3 5" xfId="35272"/>
    <cellStyle name="Output 6 4 3 6" xfId="35273"/>
    <cellStyle name="Output 6 4 3 7" xfId="35274"/>
    <cellStyle name="Output 6 4 4" xfId="35275"/>
    <cellStyle name="Output 6 4 4 2" xfId="35276"/>
    <cellStyle name="Output 6 4 4 2 2" xfId="35277"/>
    <cellStyle name="Output 6 4 4 2 3" xfId="35278"/>
    <cellStyle name="Output 6 4 4 2 4" xfId="35279"/>
    <cellStyle name="Output 6 4 4 3" xfId="35280"/>
    <cellStyle name="Output 6 4 4 3 2" xfId="35281"/>
    <cellStyle name="Output 6 4 4 3 3" xfId="35282"/>
    <cellStyle name="Output 6 4 4 3 4" xfId="35283"/>
    <cellStyle name="Output 6 4 4 4" xfId="35284"/>
    <cellStyle name="Output 6 4 4 4 2" xfId="35285"/>
    <cellStyle name="Output 6 4 4 4 3" xfId="35286"/>
    <cellStyle name="Output 6 4 4 4 4" xfId="35287"/>
    <cellStyle name="Output 6 4 4 5" xfId="35288"/>
    <cellStyle name="Output 6 4 4 6" xfId="35289"/>
    <cellStyle name="Output 6 4 4 7" xfId="35290"/>
    <cellStyle name="Output 6 4 5" xfId="35291"/>
    <cellStyle name="Output 6 4 5 2" xfId="35292"/>
    <cellStyle name="Output 6 4 5 2 2" xfId="35293"/>
    <cellStyle name="Output 6 4 5 2 3" xfId="35294"/>
    <cellStyle name="Output 6 4 5 2 4" xfId="35295"/>
    <cellStyle name="Output 6 4 5 3" xfId="35296"/>
    <cellStyle name="Output 6 4 5 3 2" xfId="35297"/>
    <cellStyle name="Output 6 4 5 3 3" xfId="35298"/>
    <cellStyle name="Output 6 4 5 3 4" xfId="35299"/>
    <cellStyle name="Output 6 4 5 4" xfId="35300"/>
    <cellStyle name="Output 6 4 5 4 2" xfId="35301"/>
    <cellStyle name="Output 6 4 5 4 3" xfId="35302"/>
    <cellStyle name="Output 6 4 5 4 4" xfId="35303"/>
    <cellStyle name="Output 6 4 5 5" xfId="35304"/>
    <cellStyle name="Output 6 4 5 6" xfId="35305"/>
    <cellStyle name="Output 6 4 5 7" xfId="35306"/>
    <cellStyle name="Output 6 4 6" xfId="35307"/>
    <cellStyle name="Output 6 4 6 2" xfId="35308"/>
    <cellStyle name="Output 6 4 6 2 2" xfId="35309"/>
    <cellStyle name="Output 6 4 6 2 3" xfId="35310"/>
    <cellStyle name="Output 6 4 6 2 4" xfId="35311"/>
    <cellStyle name="Output 6 4 6 3" xfId="35312"/>
    <cellStyle name="Output 6 4 6 3 2" xfId="35313"/>
    <cellStyle name="Output 6 4 6 3 3" xfId="35314"/>
    <cellStyle name="Output 6 4 6 3 4" xfId="35315"/>
    <cellStyle name="Output 6 4 6 4" xfId="35316"/>
    <cellStyle name="Output 6 4 6 4 2" xfId="35317"/>
    <cellStyle name="Output 6 4 6 4 3" xfId="35318"/>
    <cellStyle name="Output 6 4 6 4 4" xfId="35319"/>
    <cellStyle name="Output 6 4 6 5" xfId="35320"/>
    <cellStyle name="Output 6 4 6 6" xfId="35321"/>
    <cellStyle name="Output 6 4 6 7" xfId="35322"/>
    <cellStyle name="Output 6 4 7" xfId="35323"/>
    <cellStyle name="Output 6 4 7 2" xfId="35324"/>
    <cellStyle name="Output 6 4 7 3" xfId="35325"/>
    <cellStyle name="Output 6 4 7 4" xfId="35326"/>
    <cellStyle name="Output 6 4 8" xfId="35327"/>
    <cellStyle name="Output 6 4 8 2" xfId="35328"/>
    <cellStyle name="Output 6 4 8 3" xfId="35329"/>
    <cellStyle name="Output 6 4 8 4" xfId="35330"/>
    <cellStyle name="Output 6 4 9" xfId="35331"/>
    <cellStyle name="Output 6 4 9 2" xfId="35332"/>
    <cellStyle name="Output 6 4 9 3" xfId="35333"/>
    <cellStyle name="Output 6 4 9 4" xfId="35334"/>
    <cellStyle name="Output 6 5" xfId="35335"/>
    <cellStyle name="Output 6 5 10" xfId="35336"/>
    <cellStyle name="Output 6 5 11" xfId="35337"/>
    <cellStyle name="Output 6 5 12" xfId="35338"/>
    <cellStyle name="Output 6 5 2" xfId="35339"/>
    <cellStyle name="Output 6 5 2 2" xfId="35340"/>
    <cellStyle name="Output 6 5 2 2 2" xfId="35341"/>
    <cellStyle name="Output 6 5 2 2 3" xfId="35342"/>
    <cellStyle name="Output 6 5 2 2 4" xfId="35343"/>
    <cellStyle name="Output 6 5 2 3" xfId="35344"/>
    <cellStyle name="Output 6 5 2 3 2" xfId="35345"/>
    <cellStyle name="Output 6 5 2 3 3" xfId="35346"/>
    <cellStyle name="Output 6 5 2 3 4" xfId="35347"/>
    <cellStyle name="Output 6 5 2 4" xfId="35348"/>
    <cellStyle name="Output 6 5 2 4 2" xfId="35349"/>
    <cellStyle name="Output 6 5 2 4 3" xfId="35350"/>
    <cellStyle name="Output 6 5 2 4 4" xfId="35351"/>
    <cellStyle name="Output 6 5 2 5" xfId="35352"/>
    <cellStyle name="Output 6 5 2 6" xfId="35353"/>
    <cellStyle name="Output 6 5 2 7" xfId="35354"/>
    <cellStyle name="Output 6 5 3" xfId="35355"/>
    <cellStyle name="Output 6 5 3 2" xfId="35356"/>
    <cellStyle name="Output 6 5 3 2 2" xfId="35357"/>
    <cellStyle name="Output 6 5 3 2 3" xfId="35358"/>
    <cellStyle name="Output 6 5 3 2 4" xfId="35359"/>
    <cellStyle name="Output 6 5 3 3" xfId="35360"/>
    <cellStyle name="Output 6 5 3 3 2" xfId="35361"/>
    <cellStyle name="Output 6 5 3 3 3" xfId="35362"/>
    <cellStyle name="Output 6 5 3 3 4" xfId="35363"/>
    <cellStyle name="Output 6 5 3 4" xfId="35364"/>
    <cellStyle name="Output 6 5 3 4 2" xfId="35365"/>
    <cellStyle name="Output 6 5 3 4 3" xfId="35366"/>
    <cellStyle name="Output 6 5 3 4 4" xfId="35367"/>
    <cellStyle name="Output 6 5 3 5" xfId="35368"/>
    <cellStyle name="Output 6 5 3 6" xfId="35369"/>
    <cellStyle name="Output 6 5 3 7" xfId="35370"/>
    <cellStyle name="Output 6 5 4" xfId="35371"/>
    <cellStyle name="Output 6 5 4 2" xfId="35372"/>
    <cellStyle name="Output 6 5 4 2 2" xfId="35373"/>
    <cellStyle name="Output 6 5 4 2 3" xfId="35374"/>
    <cellStyle name="Output 6 5 4 2 4" xfId="35375"/>
    <cellStyle name="Output 6 5 4 3" xfId="35376"/>
    <cellStyle name="Output 6 5 4 3 2" xfId="35377"/>
    <cellStyle name="Output 6 5 4 3 3" xfId="35378"/>
    <cellStyle name="Output 6 5 4 3 4" xfId="35379"/>
    <cellStyle name="Output 6 5 4 4" xfId="35380"/>
    <cellStyle name="Output 6 5 4 4 2" xfId="35381"/>
    <cellStyle name="Output 6 5 4 4 3" xfId="35382"/>
    <cellStyle name="Output 6 5 4 4 4" xfId="35383"/>
    <cellStyle name="Output 6 5 4 5" xfId="35384"/>
    <cellStyle name="Output 6 5 4 6" xfId="35385"/>
    <cellStyle name="Output 6 5 4 7" xfId="35386"/>
    <cellStyle name="Output 6 5 5" xfId="35387"/>
    <cellStyle name="Output 6 5 5 2" xfId="35388"/>
    <cellStyle name="Output 6 5 5 2 2" xfId="35389"/>
    <cellStyle name="Output 6 5 5 2 3" xfId="35390"/>
    <cellStyle name="Output 6 5 5 2 4" xfId="35391"/>
    <cellStyle name="Output 6 5 5 3" xfId="35392"/>
    <cellStyle name="Output 6 5 5 3 2" xfId="35393"/>
    <cellStyle name="Output 6 5 5 3 3" xfId="35394"/>
    <cellStyle name="Output 6 5 5 3 4" xfId="35395"/>
    <cellStyle name="Output 6 5 5 4" xfId="35396"/>
    <cellStyle name="Output 6 5 5 4 2" xfId="35397"/>
    <cellStyle name="Output 6 5 5 4 3" xfId="35398"/>
    <cellStyle name="Output 6 5 5 4 4" xfId="35399"/>
    <cellStyle name="Output 6 5 5 5" xfId="35400"/>
    <cellStyle name="Output 6 5 5 6" xfId="35401"/>
    <cellStyle name="Output 6 5 5 7" xfId="35402"/>
    <cellStyle name="Output 6 5 6" xfId="35403"/>
    <cellStyle name="Output 6 5 6 2" xfId="35404"/>
    <cellStyle name="Output 6 5 6 2 2" xfId="35405"/>
    <cellStyle name="Output 6 5 6 2 3" xfId="35406"/>
    <cellStyle name="Output 6 5 6 2 4" xfId="35407"/>
    <cellStyle name="Output 6 5 6 3" xfId="35408"/>
    <cellStyle name="Output 6 5 6 3 2" xfId="35409"/>
    <cellStyle name="Output 6 5 6 3 3" xfId="35410"/>
    <cellStyle name="Output 6 5 6 3 4" xfId="35411"/>
    <cellStyle name="Output 6 5 6 4" xfId="35412"/>
    <cellStyle name="Output 6 5 6 4 2" xfId="35413"/>
    <cellStyle name="Output 6 5 6 4 3" xfId="35414"/>
    <cellStyle name="Output 6 5 6 4 4" xfId="35415"/>
    <cellStyle name="Output 6 5 6 5" xfId="35416"/>
    <cellStyle name="Output 6 5 6 6" xfId="35417"/>
    <cellStyle name="Output 6 5 6 7" xfId="35418"/>
    <cellStyle name="Output 6 5 7" xfId="35419"/>
    <cellStyle name="Output 6 5 7 2" xfId="35420"/>
    <cellStyle name="Output 6 5 7 3" xfId="35421"/>
    <cellStyle name="Output 6 5 7 4" xfId="35422"/>
    <cellStyle name="Output 6 5 8" xfId="35423"/>
    <cellStyle name="Output 6 5 8 2" xfId="35424"/>
    <cellStyle name="Output 6 5 8 3" xfId="35425"/>
    <cellStyle name="Output 6 5 8 4" xfId="35426"/>
    <cellStyle name="Output 6 5 9" xfId="35427"/>
    <cellStyle name="Output 6 5 9 2" xfId="35428"/>
    <cellStyle name="Output 6 5 9 3" xfId="35429"/>
    <cellStyle name="Output 6 5 9 4" xfId="35430"/>
    <cellStyle name="Output 6 6" xfId="35431"/>
    <cellStyle name="Output 6 6 2" xfId="35432"/>
    <cellStyle name="Output 6 6 2 2" xfId="35433"/>
    <cellStyle name="Output 6 6 2 3" xfId="35434"/>
    <cellStyle name="Output 6 6 2 4" xfId="35435"/>
    <cellStyle name="Output 6 6 3" xfId="35436"/>
    <cellStyle name="Output 6 6 3 2" xfId="35437"/>
    <cellStyle name="Output 6 6 3 3" xfId="35438"/>
    <cellStyle name="Output 6 6 3 4" xfId="35439"/>
    <cellStyle name="Output 6 6 4" xfId="35440"/>
    <cellStyle name="Output 6 6 4 2" xfId="35441"/>
    <cellStyle name="Output 6 6 4 3" xfId="35442"/>
    <cellStyle name="Output 6 6 4 4" xfId="35443"/>
    <cellStyle name="Output 6 6 5" xfId="35444"/>
    <cellStyle name="Output 6 6 6" xfId="35445"/>
    <cellStyle name="Output 6 6 7" xfId="35446"/>
    <cellStyle name="Output 6 7" xfId="35447"/>
    <cellStyle name="Output 6 7 2" xfId="35448"/>
    <cellStyle name="Output 6 7 2 2" xfId="35449"/>
    <cellStyle name="Output 6 7 2 3" xfId="35450"/>
    <cellStyle name="Output 6 7 2 4" xfId="35451"/>
    <cellStyle name="Output 6 7 3" xfId="35452"/>
    <cellStyle name="Output 6 7 3 2" xfId="35453"/>
    <cellStyle name="Output 6 7 3 3" xfId="35454"/>
    <cellStyle name="Output 6 7 3 4" xfId="35455"/>
    <cellStyle name="Output 6 7 4" xfId="35456"/>
    <cellStyle name="Output 6 7 4 2" xfId="35457"/>
    <cellStyle name="Output 6 7 4 3" xfId="35458"/>
    <cellStyle name="Output 6 7 4 4" xfId="35459"/>
    <cellStyle name="Output 6 7 5" xfId="35460"/>
    <cellStyle name="Output 6 7 6" xfId="35461"/>
    <cellStyle name="Output 6 7 7" xfId="35462"/>
    <cellStyle name="Output 6 8" xfId="35463"/>
    <cellStyle name="Output 6 8 2" xfId="35464"/>
    <cellStyle name="Output 6 8 2 2" xfId="35465"/>
    <cellStyle name="Output 6 8 2 3" xfId="35466"/>
    <cellStyle name="Output 6 8 2 4" xfId="35467"/>
    <cellStyle name="Output 6 8 3" xfId="35468"/>
    <cellStyle name="Output 6 8 3 2" xfId="35469"/>
    <cellStyle name="Output 6 8 3 3" xfId="35470"/>
    <cellStyle name="Output 6 8 3 4" xfId="35471"/>
    <cellStyle name="Output 6 8 4" xfId="35472"/>
    <cellStyle name="Output 6 8 4 2" xfId="35473"/>
    <cellStyle name="Output 6 8 4 3" xfId="35474"/>
    <cellStyle name="Output 6 8 4 4" xfId="35475"/>
    <cellStyle name="Output 6 8 5" xfId="35476"/>
    <cellStyle name="Output 6 8 6" xfId="35477"/>
    <cellStyle name="Output 6 8 7" xfId="35478"/>
    <cellStyle name="Output 6 9" xfId="35479"/>
    <cellStyle name="Output 6 9 2" xfId="35480"/>
    <cellStyle name="Output 6 9 2 2" xfId="35481"/>
    <cellStyle name="Output 6 9 2 3" xfId="35482"/>
    <cellStyle name="Output 6 9 2 4" xfId="35483"/>
    <cellStyle name="Output 6 9 3" xfId="35484"/>
    <cellStyle name="Output 6 9 3 2" xfId="35485"/>
    <cellStyle name="Output 6 9 3 3" xfId="35486"/>
    <cellStyle name="Output 6 9 3 4" xfId="35487"/>
    <cellStyle name="Output 6 9 4" xfId="35488"/>
    <cellStyle name="Output 6 9 4 2" xfId="35489"/>
    <cellStyle name="Output 6 9 4 3" xfId="35490"/>
    <cellStyle name="Output 6 9 4 4" xfId="35491"/>
    <cellStyle name="Output 6 9 5" xfId="35492"/>
    <cellStyle name="Output 6 9 6" xfId="35493"/>
    <cellStyle name="Output 6 9 7" xfId="35494"/>
    <cellStyle name="Output 7" xfId="3142"/>
    <cellStyle name="Output 7 10" xfId="35495"/>
    <cellStyle name="Output 7 11" xfId="35496"/>
    <cellStyle name="Output 7 12" xfId="35497"/>
    <cellStyle name="Output 7 2" xfId="35498"/>
    <cellStyle name="Output 7 2 2" xfId="35499"/>
    <cellStyle name="Output 7 2 2 2" xfId="35500"/>
    <cellStyle name="Output 7 2 2 3" xfId="35501"/>
    <cellStyle name="Output 7 2 2 4" xfId="35502"/>
    <cellStyle name="Output 7 2 3" xfId="35503"/>
    <cellStyle name="Output 7 2 3 2" xfId="35504"/>
    <cellStyle name="Output 7 2 3 3" xfId="35505"/>
    <cellStyle name="Output 7 2 3 4" xfId="35506"/>
    <cellStyle name="Output 7 2 4" xfId="35507"/>
    <cellStyle name="Output 7 2 4 2" xfId="35508"/>
    <cellStyle name="Output 7 2 4 3" xfId="35509"/>
    <cellStyle name="Output 7 2 4 4" xfId="35510"/>
    <cellStyle name="Output 7 2 5" xfId="35511"/>
    <cellStyle name="Output 7 2 6" xfId="35512"/>
    <cellStyle name="Output 7 2 7" xfId="35513"/>
    <cellStyle name="Output 7 3" xfId="35514"/>
    <cellStyle name="Output 7 3 2" xfId="35515"/>
    <cellStyle name="Output 7 3 2 2" xfId="35516"/>
    <cellStyle name="Output 7 3 2 3" xfId="35517"/>
    <cellStyle name="Output 7 3 2 4" xfId="35518"/>
    <cellStyle name="Output 7 3 3" xfId="35519"/>
    <cellStyle name="Output 7 3 3 2" xfId="35520"/>
    <cellStyle name="Output 7 3 3 3" xfId="35521"/>
    <cellStyle name="Output 7 3 3 4" xfId="35522"/>
    <cellStyle name="Output 7 3 4" xfId="35523"/>
    <cellStyle name="Output 7 3 4 2" xfId="35524"/>
    <cellStyle name="Output 7 3 4 3" xfId="35525"/>
    <cellStyle name="Output 7 3 4 4" xfId="35526"/>
    <cellStyle name="Output 7 3 5" xfId="35527"/>
    <cellStyle name="Output 7 3 6" xfId="35528"/>
    <cellStyle name="Output 7 3 7" xfId="35529"/>
    <cellStyle name="Output 7 4" xfId="35530"/>
    <cellStyle name="Output 7 4 2" xfId="35531"/>
    <cellStyle name="Output 7 4 2 2" xfId="35532"/>
    <cellStyle name="Output 7 4 2 3" xfId="35533"/>
    <cellStyle name="Output 7 4 2 4" xfId="35534"/>
    <cellStyle name="Output 7 4 3" xfId="35535"/>
    <cellStyle name="Output 7 4 3 2" xfId="35536"/>
    <cellStyle name="Output 7 4 3 3" xfId="35537"/>
    <cellStyle name="Output 7 4 3 4" xfId="35538"/>
    <cellStyle name="Output 7 4 4" xfId="35539"/>
    <cellStyle name="Output 7 4 4 2" xfId="35540"/>
    <cellStyle name="Output 7 4 4 3" xfId="35541"/>
    <cellStyle name="Output 7 4 4 4" xfId="35542"/>
    <cellStyle name="Output 7 4 5" xfId="35543"/>
    <cellStyle name="Output 7 4 6" xfId="35544"/>
    <cellStyle name="Output 7 4 7" xfId="35545"/>
    <cellStyle name="Output 7 5" xfId="35546"/>
    <cellStyle name="Output 7 5 2" xfId="35547"/>
    <cellStyle name="Output 7 5 2 2" xfId="35548"/>
    <cellStyle name="Output 7 5 2 3" xfId="35549"/>
    <cellStyle name="Output 7 5 2 4" xfId="35550"/>
    <cellStyle name="Output 7 5 3" xfId="35551"/>
    <cellStyle name="Output 7 5 3 2" xfId="35552"/>
    <cellStyle name="Output 7 5 3 3" xfId="35553"/>
    <cellStyle name="Output 7 5 3 4" xfId="35554"/>
    <cellStyle name="Output 7 5 4" xfId="35555"/>
    <cellStyle name="Output 7 5 4 2" xfId="35556"/>
    <cellStyle name="Output 7 5 4 3" xfId="35557"/>
    <cellStyle name="Output 7 5 4 4" xfId="35558"/>
    <cellStyle name="Output 7 5 5" xfId="35559"/>
    <cellStyle name="Output 7 5 6" xfId="35560"/>
    <cellStyle name="Output 7 5 7" xfId="35561"/>
    <cellStyle name="Output 7 6" xfId="35562"/>
    <cellStyle name="Output 7 6 2" xfId="35563"/>
    <cellStyle name="Output 7 6 2 2" xfId="35564"/>
    <cellStyle name="Output 7 6 2 3" xfId="35565"/>
    <cellStyle name="Output 7 6 2 4" xfId="35566"/>
    <cellStyle name="Output 7 6 3" xfId="35567"/>
    <cellStyle name="Output 7 6 3 2" xfId="35568"/>
    <cellStyle name="Output 7 6 3 3" xfId="35569"/>
    <cellStyle name="Output 7 6 3 4" xfId="35570"/>
    <cellStyle name="Output 7 6 4" xfId="35571"/>
    <cellStyle name="Output 7 6 4 2" xfId="35572"/>
    <cellStyle name="Output 7 6 4 3" xfId="35573"/>
    <cellStyle name="Output 7 6 4 4" xfId="35574"/>
    <cellStyle name="Output 7 6 5" xfId="35575"/>
    <cellStyle name="Output 7 6 6" xfId="35576"/>
    <cellStyle name="Output 7 6 7" xfId="35577"/>
    <cellStyle name="Output 7 7" xfId="35578"/>
    <cellStyle name="Output 7 7 2" xfId="35579"/>
    <cellStyle name="Output 7 7 3" xfId="35580"/>
    <cellStyle name="Output 7 7 4" xfId="35581"/>
    <cellStyle name="Output 7 8" xfId="35582"/>
    <cellStyle name="Output 7 8 2" xfId="35583"/>
    <cellStyle name="Output 7 8 3" xfId="35584"/>
    <cellStyle name="Output 7 8 4" xfId="35585"/>
    <cellStyle name="Output 7 9" xfId="35586"/>
    <cellStyle name="Output 7 9 2" xfId="35587"/>
    <cellStyle name="Output 7 9 3" xfId="35588"/>
    <cellStyle name="Output 7 9 4" xfId="35589"/>
    <cellStyle name="Output 8" xfId="1146"/>
    <cellStyle name="Output 8 2" xfId="35590"/>
    <cellStyle name="Output 8 2 2" xfId="35591"/>
    <cellStyle name="Output 8 2 3" xfId="35592"/>
    <cellStyle name="Output 8 2 4" xfId="35593"/>
    <cellStyle name="Output 8 3" xfId="35594"/>
    <cellStyle name="Output 8 3 2" xfId="35595"/>
    <cellStyle name="Output 8 3 3" xfId="35596"/>
    <cellStyle name="Output 8 3 4" xfId="35597"/>
    <cellStyle name="Output 8 4" xfId="35598"/>
    <cellStyle name="Output 8 4 2" xfId="35599"/>
    <cellStyle name="Output 8 4 3" xfId="35600"/>
    <cellStyle name="Output 8 4 4" xfId="35601"/>
    <cellStyle name="Output 8 5" xfId="35602"/>
    <cellStyle name="Output 8 6" xfId="35603"/>
    <cellStyle name="Output 8 7" xfId="35604"/>
    <cellStyle name="Output 9" xfId="3281"/>
    <cellStyle name="Percent" xfId="144" builtinId="5"/>
    <cellStyle name="Percent 10" xfId="711"/>
    <cellStyle name="Percent 11" xfId="35605"/>
    <cellStyle name="Percent 11 2" xfId="35606"/>
    <cellStyle name="Percent 12" xfId="35607"/>
    <cellStyle name="Percent 13" xfId="35608"/>
    <cellStyle name="Percent 2" xfId="145"/>
    <cellStyle name="Percent 2 2" xfId="645"/>
    <cellStyle name="Percent 2 2 2" xfId="1007"/>
    <cellStyle name="Percent 2 3" xfId="646"/>
    <cellStyle name="Percent 3" xfId="146"/>
    <cellStyle name="Percent 3 2" xfId="647"/>
    <cellStyle name="Percent 3 2 2" xfId="3114"/>
    <cellStyle name="Percent 3 3" xfId="648"/>
    <cellStyle name="Percent 4" xfId="147"/>
    <cellStyle name="Percent 4 2" xfId="193"/>
    <cellStyle name="Percent 4 3" xfId="194"/>
    <cellStyle name="Percent 4 4" xfId="195"/>
    <cellStyle name="Percent 5" xfId="148"/>
    <cellStyle name="Percent 6" xfId="316"/>
    <cellStyle name="Percent 7" xfId="317"/>
    <cellStyle name="Percent 8" xfId="318"/>
    <cellStyle name="Percent 9" xfId="669"/>
    <cellStyle name="Percent 9 2" xfId="732"/>
    <cellStyle name="Percent 9 3" xfId="35609"/>
    <cellStyle name="Title" xfId="149" builtinId="15" customBuiltin="1"/>
    <cellStyle name="Title 2" xfId="150"/>
    <cellStyle name="Title 3" xfId="319"/>
    <cellStyle name="Title 3 2" xfId="649"/>
    <cellStyle name="Title 3 3" xfId="650"/>
    <cellStyle name="Title 4" xfId="320"/>
    <cellStyle name="Title 5" xfId="712"/>
    <cellStyle name="Title 6" xfId="35610"/>
    <cellStyle name="Total" xfId="151" builtinId="25" customBuiltin="1"/>
    <cellStyle name="Total 10" xfId="1105"/>
    <cellStyle name="Total 11" xfId="3260"/>
    <cellStyle name="Total 2" xfId="152"/>
    <cellStyle name="Total 2 10" xfId="1089"/>
    <cellStyle name="Total 2 10 10" xfId="35611"/>
    <cellStyle name="Total 2 10 11" xfId="35612"/>
    <cellStyle name="Total 2 10 12" xfId="35613"/>
    <cellStyle name="Total 2 10 2" xfId="35614"/>
    <cellStyle name="Total 2 10 2 2" xfId="35615"/>
    <cellStyle name="Total 2 10 2 2 2" xfId="35616"/>
    <cellStyle name="Total 2 10 2 2 3" xfId="35617"/>
    <cellStyle name="Total 2 10 2 2 4" xfId="35618"/>
    <cellStyle name="Total 2 10 2 3" xfId="35619"/>
    <cellStyle name="Total 2 10 2 3 2" xfId="35620"/>
    <cellStyle name="Total 2 10 2 3 3" xfId="35621"/>
    <cellStyle name="Total 2 10 2 3 4" xfId="35622"/>
    <cellStyle name="Total 2 10 2 4" xfId="35623"/>
    <cellStyle name="Total 2 10 2 4 2" xfId="35624"/>
    <cellStyle name="Total 2 10 2 4 3" xfId="35625"/>
    <cellStyle name="Total 2 10 2 4 4" xfId="35626"/>
    <cellStyle name="Total 2 10 2 5" xfId="35627"/>
    <cellStyle name="Total 2 10 2 6" xfId="35628"/>
    <cellStyle name="Total 2 10 2 7" xfId="35629"/>
    <cellStyle name="Total 2 10 3" xfId="35630"/>
    <cellStyle name="Total 2 10 3 2" xfId="35631"/>
    <cellStyle name="Total 2 10 3 2 2" xfId="35632"/>
    <cellStyle name="Total 2 10 3 2 3" xfId="35633"/>
    <cellStyle name="Total 2 10 3 2 4" xfId="35634"/>
    <cellStyle name="Total 2 10 3 3" xfId="35635"/>
    <cellStyle name="Total 2 10 3 3 2" xfId="35636"/>
    <cellStyle name="Total 2 10 3 3 3" xfId="35637"/>
    <cellStyle name="Total 2 10 3 3 4" xfId="35638"/>
    <cellStyle name="Total 2 10 3 4" xfId="35639"/>
    <cellStyle name="Total 2 10 3 4 2" xfId="35640"/>
    <cellStyle name="Total 2 10 3 4 3" xfId="35641"/>
    <cellStyle name="Total 2 10 3 4 4" xfId="35642"/>
    <cellStyle name="Total 2 10 3 5" xfId="35643"/>
    <cellStyle name="Total 2 10 3 6" xfId="35644"/>
    <cellStyle name="Total 2 10 3 7" xfId="35645"/>
    <cellStyle name="Total 2 10 4" xfId="35646"/>
    <cellStyle name="Total 2 10 4 2" xfId="35647"/>
    <cellStyle name="Total 2 10 4 2 2" xfId="35648"/>
    <cellStyle name="Total 2 10 4 2 3" xfId="35649"/>
    <cellStyle name="Total 2 10 4 2 4" xfId="35650"/>
    <cellStyle name="Total 2 10 4 3" xfId="35651"/>
    <cellStyle name="Total 2 10 4 3 2" xfId="35652"/>
    <cellStyle name="Total 2 10 4 3 3" xfId="35653"/>
    <cellStyle name="Total 2 10 4 3 4" xfId="35654"/>
    <cellStyle name="Total 2 10 4 4" xfId="35655"/>
    <cellStyle name="Total 2 10 4 4 2" xfId="35656"/>
    <cellStyle name="Total 2 10 4 4 3" xfId="35657"/>
    <cellStyle name="Total 2 10 4 4 4" xfId="35658"/>
    <cellStyle name="Total 2 10 4 5" xfId="35659"/>
    <cellStyle name="Total 2 10 4 6" xfId="35660"/>
    <cellStyle name="Total 2 10 4 7" xfId="35661"/>
    <cellStyle name="Total 2 10 5" xfId="35662"/>
    <cellStyle name="Total 2 10 5 2" xfId="35663"/>
    <cellStyle name="Total 2 10 5 2 2" xfId="35664"/>
    <cellStyle name="Total 2 10 5 2 3" xfId="35665"/>
    <cellStyle name="Total 2 10 5 2 4" xfId="35666"/>
    <cellStyle name="Total 2 10 5 3" xfId="35667"/>
    <cellStyle name="Total 2 10 5 3 2" xfId="35668"/>
    <cellStyle name="Total 2 10 5 3 3" xfId="35669"/>
    <cellStyle name="Total 2 10 5 3 4" xfId="35670"/>
    <cellStyle name="Total 2 10 5 4" xfId="35671"/>
    <cellStyle name="Total 2 10 5 4 2" xfId="35672"/>
    <cellStyle name="Total 2 10 5 4 3" xfId="35673"/>
    <cellStyle name="Total 2 10 5 4 4" xfId="35674"/>
    <cellStyle name="Total 2 10 5 5" xfId="35675"/>
    <cellStyle name="Total 2 10 5 6" xfId="35676"/>
    <cellStyle name="Total 2 10 5 7" xfId="35677"/>
    <cellStyle name="Total 2 10 6" xfId="35678"/>
    <cellStyle name="Total 2 10 6 2" xfId="35679"/>
    <cellStyle name="Total 2 10 6 2 2" xfId="35680"/>
    <cellStyle name="Total 2 10 6 2 3" xfId="35681"/>
    <cellStyle name="Total 2 10 6 2 4" xfId="35682"/>
    <cellStyle name="Total 2 10 6 3" xfId="35683"/>
    <cellStyle name="Total 2 10 6 3 2" xfId="35684"/>
    <cellStyle name="Total 2 10 6 3 3" xfId="35685"/>
    <cellStyle name="Total 2 10 6 3 4" xfId="35686"/>
    <cellStyle name="Total 2 10 6 4" xfId="35687"/>
    <cellStyle name="Total 2 10 6 4 2" xfId="35688"/>
    <cellStyle name="Total 2 10 6 4 3" xfId="35689"/>
    <cellStyle name="Total 2 10 6 4 4" xfId="35690"/>
    <cellStyle name="Total 2 10 6 5" xfId="35691"/>
    <cellStyle name="Total 2 10 6 6" xfId="35692"/>
    <cellStyle name="Total 2 10 6 7" xfId="35693"/>
    <cellStyle name="Total 2 10 7" xfId="35694"/>
    <cellStyle name="Total 2 10 7 2" xfId="35695"/>
    <cellStyle name="Total 2 10 7 3" xfId="35696"/>
    <cellStyle name="Total 2 10 7 4" xfId="35697"/>
    <cellStyle name="Total 2 10 8" xfId="35698"/>
    <cellStyle name="Total 2 10 8 2" xfId="35699"/>
    <cellStyle name="Total 2 10 8 3" xfId="35700"/>
    <cellStyle name="Total 2 10 8 4" xfId="35701"/>
    <cellStyle name="Total 2 10 9" xfId="35702"/>
    <cellStyle name="Total 2 10 9 2" xfId="35703"/>
    <cellStyle name="Total 2 10 9 3" xfId="35704"/>
    <cellStyle name="Total 2 10 9 4" xfId="35705"/>
    <cellStyle name="Total 2 11" xfId="3185"/>
    <cellStyle name="Total 2 12" xfId="1122"/>
    <cellStyle name="Total 2 13" xfId="3146"/>
    <cellStyle name="Total 2 14" xfId="3175"/>
    <cellStyle name="Total 2 2" xfId="153"/>
    <cellStyle name="Total 2 2 2" xfId="651"/>
    <cellStyle name="Total 2 2 2 10" xfId="35706"/>
    <cellStyle name="Total 2 2 2 10 2" xfId="35707"/>
    <cellStyle name="Total 2 2 2 10 2 2" xfId="35708"/>
    <cellStyle name="Total 2 2 2 10 2 3" xfId="35709"/>
    <cellStyle name="Total 2 2 2 10 2 4" xfId="35710"/>
    <cellStyle name="Total 2 2 2 10 3" xfId="35711"/>
    <cellStyle name="Total 2 2 2 10 3 2" xfId="35712"/>
    <cellStyle name="Total 2 2 2 10 3 3" xfId="35713"/>
    <cellStyle name="Total 2 2 2 10 3 4" xfId="35714"/>
    <cellStyle name="Total 2 2 2 10 4" xfId="35715"/>
    <cellStyle name="Total 2 2 2 10 4 2" xfId="35716"/>
    <cellStyle name="Total 2 2 2 10 4 3" xfId="35717"/>
    <cellStyle name="Total 2 2 2 10 4 4" xfId="35718"/>
    <cellStyle name="Total 2 2 2 10 5" xfId="35719"/>
    <cellStyle name="Total 2 2 2 10 6" xfId="35720"/>
    <cellStyle name="Total 2 2 2 10 7" xfId="35721"/>
    <cellStyle name="Total 2 2 2 11" xfId="35722"/>
    <cellStyle name="Total 2 2 2 11 2" xfId="35723"/>
    <cellStyle name="Total 2 2 2 11 2 2" xfId="35724"/>
    <cellStyle name="Total 2 2 2 11 2 3" xfId="35725"/>
    <cellStyle name="Total 2 2 2 11 2 4" xfId="35726"/>
    <cellStyle name="Total 2 2 2 11 3" xfId="35727"/>
    <cellStyle name="Total 2 2 2 11 3 2" xfId="35728"/>
    <cellStyle name="Total 2 2 2 11 3 3" xfId="35729"/>
    <cellStyle name="Total 2 2 2 11 3 4" xfId="35730"/>
    <cellStyle name="Total 2 2 2 11 4" xfId="35731"/>
    <cellStyle name="Total 2 2 2 11 4 2" xfId="35732"/>
    <cellStyle name="Total 2 2 2 11 4 3" xfId="35733"/>
    <cellStyle name="Total 2 2 2 11 4 4" xfId="35734"/>
    <cellStyle name="Total 2 2 2 11 5" xfId="35735"/>
    <cellStyle name="Total 2 2 2 11 6" xfId="35736"/>
    <cellStyle name="Total 2 2 2 11 7" xfId="35737"/>
    <cellStyle name="Total 2 2 2 12" xfId="35738"/>
    <cellStyle name="Total 2 2 2 12 2" xfId="35739"/>
    <cellStyle name="Total 2 2 2 12 2 2" xfId="35740"/>
    <cellStyle name="Total 2 2 2 12 2 3" xfId="35741"/>
    <cellStyle name="Total 2 2 2 12 2 4" xfId="35742"/>
    <cellStyle name="Total 2 2 2 12 3" xfId="35743"/>
    <cellStyle name="Total 2 2 2 12 3 2" xfId="35744"/>
    <cellStyle name="Total 2 2 2 12 3 3" xfId="35745"/>
    <cellStyle name="Total 2 2 2 12 3 4" xfId="35746"/>
    <cellStyle name="Total 2 2 2 12 4" xfId="35747"/>
    <cellStyle name="Total 2 2 2 12 4 2" xfId="35748"/>
    <cellStyle name="Total 2 2 2 12 4 3" xfId="35749"/>
    <cellStyle name="Total 2 2 2 12 4 4" xfId="35750"/>
    <cellStyle name="Total 2 2 2 12 5" xfId="35751"/>
    <cellStyle name="Total 2 2 2 12 6" xfId="35752"/>
    <cellStyle name="Total 2 2 2 12 7" xfId="35753"/>
    <cellStyle name="Total 2 2 2 13" xfId="35754"/>
    <cellStyle name="Total 2 2 2 13 2" xfId="35755"/>
    <cellStyle name="Total 2 2 2 13 2 2" xfId="35756"/>
    <cellStyle name="Total 2 2 2 13 2 3" xfId="35757"/>
    <cellStyle name="Total 2 2 2 13 2 4" xfId="35758"/>
    <cellStyle name="Total 2 2 2 13 3" xfId="35759"/>
    <cellStyle name="Total 2 2 2 13 3 2" xfId="35760"/>
    <cellStyle name="Total 2 2 2 13 3 3" xfId="35761"/>
    <cellStyle name="Total 2 2 2 13 3 4" xfId="35762"/>
    <cellStyle name="Total 2 2 2 13 4" xfId="35763"/>
    <cellStyle name="Total 2 2 2 13 4 2" xfId="35764"/>
    <cellStyle name="Total 2 2 2 13 4 3" xfId="35765"/>
    <cellStyle name="Total 2 2 2 13 4 4" xfId="35766"/>
    <cellStyle name="Total 2 2 2 13 5" xfId="35767"/>
    <cellStyle name="Total 2 2 2 13 6" xfId="35768"/>
    <cellStyle name="Total 2 2 2 13 7" xfId="35769"/>
    <cellStyle name="Total 2 2 2 14" xfId="35770"/>
    <cellStyle name="Total 2 2 2 14 2" xfId="35771"/>
    <cellStyle name="Total 2 2 2 14 3" xfId="35772"/>
    <cellStyle name="Total 2 2 2 14 4" xfId="35773"/>
    <cellStyle name="Total 2 2 2 15" xfId="35774"/>
    <cellStyle name="Total 2 2 2 15 2" xfId="35775"/>
    <cellStyle name="Total 2 2 2 15 3" xfId="35776"/>
    <cellStyle name="Total 2 2 2 15 4" xfId="35777"/>
    <cellStyle name="Total 2 2 2 16" xfId="35778"/>
    <cellStyle name="Total 2 2 2 16 2" xfId="35779"/>
    <cellStyle name="Total 2 2 2 16 3" xfId="35780"/>
    <cellStyle name="Total 2 2 2 16 4" xfId="35781"/>
    <cellStyle name="Total 2 2 2 17" xfId="35782"/>
    <cellStyle name="Total 2 2 2 18" xfId="35783"/>
    <cellStyle name="Total 2 2 2 19" xfId="35784"/>
    <cellStyle name="Total 2 2 2 2" xfId="905"/>
    <cellStyle name="Total 2 2 2 2 10" xfId="35785"/>
    <cellStyle name="Total 2 2 2 2 11" xfId="35786"/>
    <cellStyle name="Total 2 2 2 2 12" xfId="35787"/>
    <cellStyle name="Total 2 2 2 2 2" xfId="35788"/>
    <cellStyle name="Total 2 2 2 2 2 2" xfId="35789"/>
    <cellStyle name="Total 2 2 2 2 2 2 2" xfId="35790"/>
    <cellStyle name="Total 2 2 2 2 2 2 3" xfId="35791"/>
    <cellStyle name="Total 2 2 2 2 2 2 4" xfId="35792"/>
    <cellStyle name="Total 2 2 2 2 2 3" xfId="35793"/>
    <cellStyle name="Total 2 2 2 2 2 3 2" xfId="35794"/>
    <cellStyle name="Total 2 2 2 2 2 3 3" xfId="35795"/>
    <cellStyle name="Total 2 2 2 2 2 3 4" xfId="35796"/>
    <cellStyle name="Total 2 2 2 2 2 4" xfId="35797"/>
    <cellStyle name="Total 2 2 2 2 2 4 2" xfId="35798"/>
    <cellStyle name="Total 2 2 2 2 2 4 3" xfId="35799"/>
    <cellStyle name="Total 2 2 2 2 2 4 4" xfId="35800"/>
    <cellStyle name="Total 2 2 2 2 2 5" xfId="35801"/>
    <cellStyle name="Total 2 2 2 2 2 6" xfId="35802"/>
    <cellStyle name="Total 2 2 2 2 2 7" xfId="35803"/>
    <cellStyle name="Total 2 2 2 2 3" xfId="35804"/>
    <cellStyle name="Total 2 2 2 2 3 2" xfId="35805"/>
    <cellStyle name="Total 2 2 2 2 3 2 2" xfId="35806"/>
    <cellStyle name="Total 2 2 2 2 3 2 3" xfId="35807"/>
    <cellStyle name="Total 2 2 2 2 3 2 4" xfId="35808"/>
    <cellStyle name="Total 2 2 2 2 3 3" xfId="35809"/>
    <cellStyle name="Total 2 2 2 2 3 3 2" xfId="35810"/>
    <cellStyle name="Total 2 2 2 2 3 3 3" xfId="35811"/>
    <cellStyle name="Total 2 2 2 2 3 3 4" xfId="35812"/>
    <cellStyle name="Total 2 2 2 2 3 4" xfId="35813"/>
    <cellStyle name="Total 2 2 2 2 3 4 2" xfId="35814"/>
    <cellStyle name="Total 2 2 2 2 3 4 3" xfId="35815"/>
    <cellStyle name="Total 2 2 2 2 3 4 4" xfId="35816"/>
    <cellStyle name="Total 2 2 2 2 3 5" xfId="35817"/>
    <cellStyle name="Total 2 2 2 2 3 6" xfId="35818"/>
    <cellStyle name="Total 2 2 2 2 3 7" xfId="35819"/>
    <cellStyle name="Total 2 2 2 2 4" xfId="35820"/>
    <cellStyle name="Total 2 2 2 2 4 2" xfId="35821"/>
    <cellStyle name="Total 2 2 2 2 4 2 2" xfId="35822"/>
    <cellStyle name="Total 2 2 2 2 4 2 3" xfId="35823"/>
    <cellStyle name="Total 2 2 2 2 4 2 4" xfId="35824"/>
    <cellStyle name="Total 2 2 2 2 4 3" xfId="35825"/>
    <cellStyle name="Total 2 2 2 2 4 3 2" xfId="35826"/>
    <cellStyle name="Total 2 2 2 2 4 3 3" xfId="35827"/>
    <cellStyle name="Total 2 2 2 2 4 3 4" xfId="35828"/>
    <cellStyle name="Total 2 2 2 2 4 4" xfId="35829"/>
    <cellStyle name="Total 2 2 2 2 4 4 2" xfId="35830"/>
    <cellStyle name="Total 2 2 2 2 4 4 3" xfId="35831"/>
    <cellStyle name="Total 2 2 2 2 4 4 4" xfId="35832"/>
    <cellStyle name="Total 2 2 2 2 4 5" xfId="35833"/>
    <cellStyle name="Total 2 2 2 2 4 6" xfId="35834"/>
    <cellStyle name="Total 2 2 2 2 4 7" xfId="35835"/>
    <cellStyle name="Total 2 2 2 2 5" xfId="35836"/>
    <cellStyle name="Total 2 2 2 2 5 2" xfId="35837"/>
    <cellStyle name="Total 2 2 2 2 5 2 2" xfId="35838"/>
    <cellStyle name="Total 2 2 2 2 5 2 3" xfId="35839"/>
    <cellStyle name="Total 2 2 2 2 5 2 4" xfId="35840"/>
    <cellStyle name="Total 2 2 2 2 5 3" xfId="35841"/>
    <cellStyle name="Total 2 2 2 2 5 3 2" xfId="35842"/>
    <cellStyle name="Total 2 2 2 2 5 3 3" xfId="35843"/>
    <cellStyle name="Total 2 2 2 2 5 3 4" xfId="35844"/>
    <cellStyle name="Total 2 2 2 2 5 4" xfId="35845"/>
    <cellStyle name="Total 2 2 2 2 5 4 2" xfId="35846"/>
    <cellStyle name="Total 2 2 2 2 5 4 3" xfId="35847"/>
    <cellStyle name="Total 2 2 2 2 5 4 4" xfId="35848"/>
    <cellStyle name="Total 2 2 2 2 5 5" xfId="35849"/>
    <cellStyle name="Total 2 2 2 2 5 6" xfId="35850"/>
    <cellStyle name="Total 2 2 2 2 5 7" xfId="35851"/>
    <cellStyle name="Total 2 2 2 2 6" xfId="35852"/>
    <cellStyle name="Total 2 2 2 2 6 2" xfId="35853"/>
    <cellStyle name="Total 2 2 2 2 6 2 2" xfId="35854"/>
    <cellStyle name="Total 2 2 2 2 6 2 3" xfId="35855"/>
    <cellStyle name="Total 2 2 2 2 6 2 4" xfId="35856"/>
    <cellStyle name="Total 2 2 2 2 6 3" xfId="35857"/>
    <cellStyle name="Total 2 2 2 2 6 3 2" xfId="35858"/>
    <cellStyle name="Total 2 2 2 2 6 3 3" xfId="35859"/>
    <cellStyle name="Total 2 2 2 2 6 3 4" xfId="35860"/>
    <cellStyle name="Total 2 2 2 2 6 4" xfId="35861"/>
    <cellStyle name="Total 2 2 2 2 6 4 2" xfId="35862"/>
    <cellStyle name="Total 2 2 2 2 6 4 3" xfId="35863"/>
    <cellStyle name="Total 2 2 2 2 6 4 4" xfId="35864"/>
    <cellStyle name="Total 2 2 2 2 6 5" xfId="35865"/>
    <cellStyle name="Total 2 2 2 2 6 6" xfId="35866"/>
    <cellStyle name="Total 2 2 2 2 6 7" xfId="35867"/>
    <cellStyle name="Total 2 2 2 2 7" xfId="35868"/>
    <cellStyle name="Total 2 2 2 2 7 2" xfId="35869"/>
    <cellStyle name="Total 2 2 2 2 7 3" xfId="35870"/>
    <cellStyle name="Total 2 2 2 2 7 4" xfId="35871"/>
    <cellStyle name="Total 2 2 2 2 8" xfId="35872"/>
    <cellStyle name="Total 2 2 2 2 8 2" xfId="35873"/>
    <cellStyle name="Total 2 2 2 2 8 3" xfId="35874"/>
    <cellStyle name="Total 2 2 2 2 8 4" xfId="35875"/>
    <cellStyle name="Total 2 2 2 2 9" xfId="35876"/>
    <cellStyle name="Total 2 2 2 2 9 2" xfId="35877"/>
    <cellStyle name="Total 2 2 2 2 9 3" xfId="35878"/>
    <cellStyle name="Total 2 2 2 2 9 4" xfId="35879"/>
    <cellStyle name="Total 2 2 2 3" xfId="832"/>
    <cellStyle name="Total 2 2 2 3 10" xfId="35880"/>
    <cellStyle name="Total 2 2 2 3 11" xfId="35881"/>
    <cellStyle name="Total 2 2 2 3 12" xfId="35882"/>
    <cellStyle name="Total 2 2 2 3 2" xfId="35883"/>
    <cellStyle name="Total 2 2 2 3 2 2" xfId="35884"/>
    <cellStyle name="Total 2 2 2 3 2 2 2" xfId="35885"/>
    <cellStyle name="Total 2 2 2 3 2 2 3" xfId="35886"/>
    <cellStyle name="Total 2 2 2 3 2 2 4" xfId="35887"/>
    <cellStyle name="Total 2 2 2 3 2 3" xfId="35888"/>
    <cellStyle name="Total 2 2 2 3 2 3 2" xfId="35889"/>
    <cellStyle name="Total 2 2 2 3 2 3 3" xfId="35890"/>
    <cellStyle name="Total 2 2 2 3 2 3 4" xfId="35891"/>
    <cellStyle name="Total 2 2 2 3 2 4" xfId="35892"/>
    <cellStyle name="Total 2 2 2 3 2 4 2" xfId="35893"/>
    <cellStyle name="Total 2 2 2 3 2 4 3" xfId="35894"/>
    <cellStyle name="Total 2 2 2 3 2 4 4" xfId="35895"/>
    <cellStyle name="Total 2 2 2 3 2 5" xfId="35896"/>
    <cellStyle name="Total 2 2 2 3 2 6" xfId="35897"/>
    <cellStyle name="Total 2 2 2 3 2 7" xfId="35898"/>
    <cellStyle name="Total 2 2 2 3 3" xfId="35899"/>
    <cellStyle name="Total 2 2 2 3 3 2" xfId="35900"/>
    <cellStyle name="Total 2 2 2 3 3 2 2" xfId="35901"/>
    <cellStyle name="Total 2 2 2 3 3 2 3" xfId="35902"/>
    <cellStyle name="Total 2 2 2 3 3 2 4" xfId="35903"/>
    <cellStyle name="Total 2 2 2 3 3 3" xfId="35904"/>
    <cellStyle name="Total 2 2 2 3 3 3 2" xfId="35905"/>
    <cellStyle name="Total 2 2 2 3 3 3 3" xfId="35906"/>
    <cellStyle name="Total 2 2 2 3 3 3 4" xfId="35907"/>
    <cellStyle name="Total 2 2 2 3 3 4" xfId="35908"/>
    <cellStyle name="Total 2 2 2 3 3 4 2" xfId="35909"/>
    <cellStyle name="Total 2 2 2 3 3 4 3" xfId="35910"/>
    <cellStyle name="Total 2 2 2 3 3 4 4" xfId="35911"/>
    <cellStyle name="Total 2 2 2 3 3 5" xfId="35912"/>
    <cellStyle name="Total 2 2 2 3 3 6" xfId="35913"/>
    <cellStyle name="Total 2 2 2 3 3 7" xfId="35914"/>
    <cellStyle name="Total 2 2 2 3 4" xfId="35915"/>
    <cellStyle name="Total 2 2 2 3 4 2" xfId="35916"/>
    <cellStyle name="Total 2 2 2 3 4 2 2" xfId="35917"/>
    <cellStyle name="Total 2 2 2 3 4 2 3" xfId="35918"/>
    <cellStyle name="Total 2 2 2 3 4 2 4" xfId="35919"/>
    <cellStyle name="Total 2 2 2 3 4 3" xfId="35920"/>
    <cellStyle name="Total 2 2 2 3 4 3 2" xfId="35921"/>
    <cellStyle name="Total 2 2 2 3 4 3 3" xfId="35922"/>
    <cellStyle name="Total 2 2 2 3 4 3 4" xfId="35923"/>
    <cellStyle name="Total 2 2 2 3 4 4" xfId="35924"/>
    <cellStyle name="Total 2 2 2 3 4 4 2" xfId="35925"/>
    <cellStyle name="Total 2 2 2 3 4 4 3" xfId="35926"/>
    <cellStyle name="Total 2 2 2 3 4 4 4" xfId="35927"/>
    <cellStyle name="Total 2 2 2 3 4 5" xfId="35928"/>
    <cellStyle name="Total 2 2 2 3 4 6" xfId="35929"/>
    <cellStyle name="Total 2 2 2 3 4 7" xfId="35930"/>
    <cellStyle name="Total 2 2 2 3 5" xfId="35931"/>
    <cellStyle name="Total 2 2 2 3 5 2" xfId="35932"/>
    <cellStyle name="Total 2 2 2 3 5 2 2" xfId="35933"/>
    <cellStyle name="Total 2 2 2 3 5 2 3" xfId="35934"/>
    <cellStyle name="Total 2 2 2 3 5 2 4" xfId="35935"/>
    <cellStyle name="Total 2 2 2 3 5 3" xfId="35936"/>
    <cellStyle name="Total 2 2 2 3 5 3 2" xfId="35937"/>
    <cellStyle name="Total 2 2 2 3 5 3 3" xfId="35938"/>
    <cellStyle name="Total 2 2 2 3 5 3 4" xfId="35939"/>
    <cellStyle name="Total 2 2 2 3 5 4" xfId="35940"/>
    <cellStyle name="Total 2 2 2 3 5 4 2" xfId="35941"/>
    <cellStyle name="Total 2 2 2 3 5 4 3" xfId="35942"/>
    <cellStyle name="Total 2 2 2 3 5 4 4" xfId="35943"/>
    <cellStyle name="Total 2 2 2 3 5 5" xfId="35944"/>
    <cellStyle name="Total 2 2 2 3 5 6" xfId="35945"/>
    <cellStyle name="Total 2 2 2 3 5 7" xfId="35946"/>
    <cellStyle name="Total 2 2 2 3 6" xfId="35947"/>
    <cellStyle name="Total 2 2 2 3 6 2" xfId="35948"/>
    <cellStyle name="Total 2 2 2 3 6 2 2" xfId="35949"/>
    <cellStyle name="Total 2 2 2 3 6 2 3" xfId="35950"/>
    <cellStyle name="Total 2 2 2 3 6 2 4" xfId="35951"/>
    <cellStyle name="Total 2 2 2 3 6 3" xfId="35952"/>
    <cellStyle name="Total 2 2 2 3 6 3 2" xfId="35953"/>
    <cellStyle name="Total 2 2 2 3 6 3 3" xfId="35954"/>
    <cellStyle name="Total 2 2 2 3 6 3 4" xfId="35955"/>
    <cellStyle name="Total 2 2 2 3 6 4" xfId="35956"/>
    <cellStyle name="Total 2 2 2 3 6 4 2" xfId="35957"/>
    <cellStyle name="Total 2 2 2 3 6 4 3" xfId="35958"/>
    <cellStyle name="Total 2 2 2 3 6 4 4" xfId="35959"/>
    <cellStyle name="Total 2 2 2 3 6 5" xfId="35960"/>
    <cellStyle name="Total 2 2 2 3 6 6" xfId="35961"/>
    <cellStyle name="Total 2 2 2 3 6 7" xfId="35962"/>
    <cellStyle name="Total 2 2 2 3 7" xfId="35963"/>
    <cellStyle name="Total 2 2 2 3 7 2" xfId="35964"/>
    <cellStyle name="Total 2 2 2 3 7 3" xfId="35965"/>
    <cellStyle name="Total 2 2 2 3 7 4" xfId="35966"/>
    <cellStyle name="Total 2 2 2 3 8" xfId="35967"/>
    <cellStyle name="Total 2 2 2 3 8 2" xfId="35968"/>
    <cellStyle name="Total 2 2 2 3 8 3" xfId="35969"/>
    <cellStyle name="Total 2 2 2 3 8 4" xfId="35970"/>
    <cellStyle name="Total 2 2 2 3 9" xfId="35971"/>
    <cellStyle name="Total 2 2 2 3 9 2" xfId="35972"/>
    <cellStyle name="Total 2 2 2 3 9 3" xfId="35973"/>
    <cellStyle name="Total 2 2 2 3 9 4" xfId="35974"/>
    <cellStyle name="Total 2 2 2 4" xfId="975"/>
    <cellStyle name="Total 2 2 2 4 10" xfId="35975"/>
    <cellStyle name="Total 2 2 2 4 11" xfId="35976"/>
    <cellStyle name="Total 2 2 2 4 12" xfId="35977"/>
    <cellStyle name="Total 2 2 2 4 2" xfId="35978"/>
    <cellStyle name="Total 2 2 2 4 2 2" xfId="35979"/>
    <cellStyle name="Total 2 2 2 4 2 2 2" xfId="35980"/>
    <cellStyle name="Total 2 2 2 4 2 2 3" xfId="35981"/>
    <cellStyle name="Total 2 2 2 4 2 2 4" xfId="35982"/>
    <cellStyle name="Total 2 2 2 4 2 3" xfId="35983"/>
    <cellStyle name="Total 2 2 2 4 2 3 2" xfId="35984"/>
    <cellStyle name="Total 2 2 2 4 2 3 3" xfId="35985"/>
    <cellStyle name="Total 2 2 2 4 2 3 4" xfId="35986"/>
    <cellStyle name="Total 2 2 2 4 2 4" xfId="35987"/>
    <cellStyle name="Total 2 2 2 4 2 4 2" xfId="35988"/>
    <cellStyle name="Total 2 2 2 4 2 4 3" xfId="35989"/>
    <cellStyle name="Total 2 2 2 4 2 4 4" xfId="35990"/>
    <cellStyle name="Total 2 2 2 4 2 5" xfId="35991"/>
    <cellStyle name="Total 2 2 2 4 2 6" xfId="35992"/>
    <cellStyle name="Total 2 2 2 4 2 7" xfId="35993"/>
    <cellStyle name="Total 2 2 2 4 3" xfId="35994"/>
    <cellStyle name="Total 2 2 2 4 3 2" xfId="35995"/>
    <cellStyle name="Total 2 2 2 4 3 2 2" xfId="35996"/>
    <cellStyle name="Total 2 2 2 4 3 2 3" xfId="35997"/>
    <cellStyle name="Total 2 2 2 4 3 2 4" xfId="35998"/>
    <cellStyle name="Total 2 2 2 4 3 3" xfId="35999"/>
    <cellStyle name="Total 2 2 2 4 3 3 2" xfId="36000"/>
    <cellStyle name="Total 2 2 2 4 3 3 3" xfId="36001"/>
    <cellStyle name="Total 2 2 2 4 3 3 4" xfId="36002"/>
    <cellStyle name="Total 2 2 2 4 3 4" xfId="36003"/>
    <cellStyle name="Total 2 2 2 4 3 4 2" xfId="36004"/>
    <cellStyle name="Total 2 2 2 4 3 4 3" xfId="36005"/>
    <cellStyle name="Total 2 2 2 4 3 4 4" xfId="36006"/>
    <cellStyle name="Total 2 2 2 4 3 5" xfId="36007"/>
    <cellStyle name="Total 2 2 2 4 3 6" xfId="36008"/>
    <cellStyle name="Total 2 2 2 4 3 7" xfId="36009"/>
    <cellStyle name="Total 2 2 2 4 4" xfId="36010"/>
    <cellStyle name="Total 2 2 2 4 4 2" xfId="36011"/>
    <cellStyle name="Total 2 2 2 4 4 2 2" xfId="36012"/>
    <cellStyle name="Total 2 2 2 4 4 2 3" xfId="36013"/>
    <cellStyle name="Total 2 2 2 4 4 2 4" xfId="36014"/>
    <cellStyle name="Total 2 2 2 4 4 3" xfId="36015"/>
    <cellStyle name="Total 2 2 2 4 4 3 2" xfId="36016"/>
    <cellStyle name="Total 2 2 2 4 4 3 3" xfId="36017"/>
    <cellStyle name="Total 2 2 2 4 4 3 4" xfId="36018"/>
    <cellStyle name="Total 2 2 2 4 4 4" xfId="36019"/>
    <cellStyle name="Total 2 2 2 4 4 4 2" xfId="36020"/>
    <cellStyle name="Total 2 2 2 4 4 4 3" xfId="36021"/>
    <cellStyle name="Total 2 2 2 4 4 4 4" xfId="36022"/>
    <cellStyle name="Total 2 2 2 4 4 5" xfId="36023"/>
    <cellStyle name="Total 2 2 2 4 4 6" xfId="36024"/>
    <cellStyle name="Total 2 2 2 4 4 7" xfId="36025"/>
    <cellStyle name="Total 2 2 2 4 5" xfId="36026"/>
    <cellStyle name="Total 2 2 2 4 5 2" xfId="36027"/>
    <cellStyle name="Total 2 2 2 4 5 2 2" xfId="36028"/>
    <cellStyle name="Total 2 2 2 4 5 2 3" xfId="36029"/>
    <cellStyle name="Total 2 2 2 4 5 2 4" xfId="36030"/>
    <cellStyle name="Total 2 2 2 4 5 3" xfId="36031"/>
    <cellStyle name="Total 2 2 2 4 5 3 2" xfId="36032"/>
    <cellStyle name="Total 2 2 2 4 5 3 3" xfId="36033"/>
    <cellStyle name="Total 2 2 2 4 5 3 4" xfId="36034"/>
    <cellStyle name="Total 2 2 2 4 5 4" xfId="36035"/>
    <cellStyle name="Total 2 2 2 4 5 4 2" xfId="36036"/>
    <cellStyle name="Total 2 2 2 4 5 4 3" xfId="36037"/>
    <cellStyle name="Total 2 2 2 4 5 4 4" xfId="36038"/>
    <cellStyle name="Total 2 2 2 4 5 5" xfId="36039"/>
    <cellStyle name="Total 2 2 2 4 5 6" xfId="36040"/>
    <cellStyle name="Total 2 2 2 4 5 7" xfId="36041"/>
    <cellStyle name="Total 2 2 2 4 6" xfId="36042"/>
    <cellStyle name="Total 2 2 2 4 6 2" xfId="36043"/>
    <cellStyle name="Total 2 2 2 4 6 2 2" xfId="36044"/>
    <cellStyle name="Total 2 2 2 4 6 2 3" xfId="36045"/>
    <cellStyle name="Total 2 2 2 4 6 2 4" xfId="36046"/>
    <cellStyle name="Total 2 2 2 4 6 3" xfId="36047"/>
    <cellStyle name="Total 2 2 2 4 6 3 2" xfId="36048"/>
    <cellStyle name="Total 2 2 2 4 6 3 3" xfId="36049"/>
    <cellStyle name="Total 2 2 2 4 6 3 4" xfId="36050"/>
    <cellStyle name="Total 2 2 2 4 6 4" xfId="36051"/>
    <cellStyle name="Total 2 2 2 4 6 4 2" xfId="36052"/>
    <cellStyle name="Total 2 2 2 4 6 4 3" xfId="36053"/>
    <cellStyle name="Total 2 2 2 4 6 4 4" xfId="36054"/>
    <cellStyle name="Total 2 2 2 4 6 5" xfId="36055"/>
    <cellStyle name="Total 2 2 2 4 6 6" xfId="36056"/>
    <cellStyle name="Total 2 2 2 4 6 7" xfId="36057"/>
    <cellStyle name="Total 2 2 2 4 7" xfId="36058"/>
    <cellStyle name="Total 2 2 2 4 7 2" xfId="36059"/>
    <cellStyle name="Total 2 2 2 4 7 3" xfId="36060"/>
    <cellStyle name="Total 2 2 2 4 7 4" xfId="36061"/>
    <cellStyle name="Total 2 2 2 4 8" xfId="36062"/>
    <cellStyle name="Total 2 2 2 4 8 2" xfId="36063"/>
    <cellStyle name="Total 2 2 2 4 8 3" xfId="36064"/>
    <cellStyle name="Total 2 2 2 4 8 4" xfId="36065"/>
    <cellStyle name="Total 2 2 2 4 9" xfId="36066"/>
    <cellStyle name="Total 2 2 2 4 9 2" xfId="36067"/>
    <cellStyle name="Total 2 2 2 4 9 3" xfId="36068"/>
    <cellStyle name="Total 2 2 2 4 9 4" xfId="36069"/>
    <cellStyle name="Total 2 2 2 5" xfId="36070"/>
    <cellStyle name="Total 2 2 2 5 10" xfId="36071"/>
    <cellStyle name="Total 2 2 2 5 11" xfId="36072"/>
    <cellStyle name="Total 2 2 2 5 12" xfId="36073"/>
    <cellStyle name="Total 2 2 2 5 2" xfId="36074"/>
    <cellStyle name="Total 2 2 2 5 2 2" xfId="36075"/>
    <cellStyle name="Total 2 2 2 5 2 2 2" xfId="36076"/>
    <cellStyle name="Total 2 2 2 5 2 2 3" xfId="36077"/>
    <cellStyle name="Total 2 2 2 5 2 2 4" xfId="36078"/>
    <cellStyle name="Total 2 2 2 5 2 3" xfId="36079"/>
    <cellStyle name="Total 2 2 2 5 2 3 2" xfId="36080"/>
    <cellStyle name="Total 2 2 2 5 2 3 3" xfId="36081"/>
    <cellStyle name="Total 2 2 2 5 2 3 4" xfId="36082"/>
    <cellStyle name="Total 2 2 2 5 2 4" xfId="36083"/>
    <cellStyle name="Total 2 2 2 5 2 4 2" xfId="36084"/>
    <cellStyle name="Total 2 2 2 5 2 4 3" xfId="36085"/>
    <cellStyle name="Total 2 2 2 5 2 4 4" xfId="36086"/>
    <cellStyle name="Total 2 2 2 5 2 5" xfId="36087"/>
    <cellStyle name="Total 2 2 2 5 2 6" xfId="36088"/>
    <cellStyle name="Total 2 2 2 5 2 7" xfId="36089"/>
    <cellStyle name="Total 2 2 2 5 3" xfId="36090"/>
    <cellStyle name="Total 2 2 2 5 3 2" xfId="36091"/>
    <cellStyle name="Total 2 2 2 5 3 2 2" xfId="36092"/>
    <cellStyle name="Total 2 2 2 5 3 2 3" xfId="36093"/>
    <cellStyle name="Total 2 2 2 5 3 2 4" xfId="36094"/>
    <cellStyle name="Total 2 2 2 5 3 3" xfId="36095"/>
    <cellStyle name="Total 2 2 2 5 3 3 2" xfId="36096"/>
    <cellStyle name="Total 2 2 2 5 3 3 3" xfId="36097"/>
    <cellStyle name="Total 2 2 2 5 3 3 4" xfId="36098"/>
    <cellStyle name="Total 2 2 2 5 3 4" xfId="36099"/>
    <cellStyle name="Total 2 2 2 5 3 4 2" xfId="36100"/>
    <cellStyle name="Total 2 2 2 5 3 4 3" xfId="36101"/>
    <cellStyle name="Total 2 2 2 5 3 4 4" xfId="36102"/>
    <cellStyle name="Total 2 2 2 5 3 5" xfId="36103"/>
    <cellStyle name="Total 2 2 2 5 3 6" xfId="36104"/>
    <cellStyle name="Total 2 2 2 5 3 7" xfId="36105"/>
    <cellStyle name="Total 2 2 2 5 4" xfId="36106"/>
    <cellStyle name="Total 2 2 2 5 4 2" xfId="36107"/>
    <cellStyle name="Total 2 2 2 5 4 2 2" xfId="36108"/>
    <cellStyle name="Total 2 2 2 5 4 2 3" xfId="36109"/>
    <cellStyle name="Total 2 2 2 5 4 2 4" xfId="36110"/>
    <cellStyle name="Total 2 2 2 5 4 3" xfId="36111"/>
    <cellStyle name="Total 2 2 2 5 4 3 2" xfId="36112"/>
    <cellStyle name="Total 2 2 2 5 4 3 3" xfId="36113"/>
    <cellStyle name="Total 2 2 2 5 4 3 4" xfId="36114"/>
    <cellStyle name="Total 2 2 2 5 4 4" xfId="36115"/>
    <cellStyle name="Total 2 2 2 5 4 4 2" xfId="36116"/>
    <cellStyle name="Total 2 2 2 5 4 4 3" xfId="36117"/>
    <cellStyle name="Total 2 2 2 5 4 4 4" xfId="36118"/>
    <cellStyle name="Total 2 2 2 5 4 5" xfId="36119"/>
    <cellStyle name="Total 2 2 2 5 4 6" xfId="36120"/>
    <cellStyle name="Total 2 2 2 5 4 7" xfId="36121"/>
    <cellStyle name="Total 2 2 2 5 5" xfId="36122"/>
    <cellStyle name="Total 2 2 2 5 5 2" xfId="36123"/>
    <cellStyle name="Total 2 2 2 5 5 2 2" xfId="36124"/>
    <cellStyle name="Total 2 2 2 5 5 2 3" xfId="36125"/>
    <cellStyle name="Total 2 2 2 5 5 2 4" xfId="36126"/>
    <cellStyle name="Total 2 2 2 5 5 3" xfId="36127"/>
    <cellStyle name="Total 2 2 2 5 5 3 2" xfId="36128"/>
    <cellStyle name="Total 2 2 2 5 5 3 3" xfId="36129"/>
    <cellStyle name="Total 2 2 2 5 5 3 4" xfId="36130"/>
    <cellStyle name="Total 2 2 2 5 5 4" xfId="36131"/>
    <cellStyle name="Total 2 2 2 5 5 4 2" xfId="36132"/>
    <cellStyle name="Total 2 2 2 5 5 4 3" xfId="36133"/>
    <cellStyle name="Total 2 2 2 5 5 4 4" xfId="36134"/>
    <cellStyle name="Total 2 2 2 5 5 5" xfId="36135"/>
    <cellStyle name="Total 2 2 2 5 5 6" xfId="36136"/>
    <cellStyle name="Total 2 2 2 5 5 7" xfId="36137"/>
    <cellStyle name="Total 2 2 2 5 6" xfId="36138"/>
    <cellStyle name="Total 2 2 2 5 6 2" xfId="36139"/>
    <cellStyle name="Total 2 2 2 5 6 2 2" xfId="36140"/>
    <cellStyle name="Total 2 2 2 5 6 2 3" xfId="36141"/>
    <cellStyle name="Total 2 2 2 5 6 2 4" xfId="36142"/>
    <cellStyle name="Total 2 2 2 5 6 3" xfId="36143"/>
    <cellStyle name="Total 2 2 2 5 6 3 2" xfId="36144"/>
    <cellStyle name="Total 2 2 2 5 6 3 3" xfId="36145"/>
    <cellStyle name="Total 2 2 2 5 6 3 4" xfId="36146"/>
    <cellStyle name="Total 2 2 2 5 6 4" xfId="36147"/>
    <cellStyle name="Total 2 2 2 5 6 4 2" xfId="36148"/>
    <cellStyle name="Total 2 2 2 5 6 4 3" xfId="36149"/>
    <cellStyle name="Total 2 2 2 5 6 4 4" xfId="36150"/>
    <cellStyle name="Total 2 2 2 5 6 5" xfId="36151"/>
    <cellStyle name="Total 2 2 2 5 6 6" xfId="36152"/>
    <cellStyle name="Total 2 2 2 5 6 7" xfId="36153"/>
    <cellStyle name="Total 2 2 2 5 7" xfId="36154"/>
    <cellStyle name="Total 2 2 2 5 7 2" xfId="36155"/>
    <cellStyle name="Total 2 2 2 5 7 3" xfId="36156"/>
    <cellStyle name="Total 2 2 2 5 7 4" xfId="36157"/>
    <cellStyle name="Total 2 2 2 5 8" xfId="36158"/>
    <cellStyle name="Total 2 2 2 5 8 2" xfId="36159"/>
    <cellStyle name="Total 2 2 2 5 8 3" xfId="36160"/>
    <cellStyle name="Total 2 2 2 5 8 4" xfId="36161"/>
    <cellStyle name="Total 2 2 2 5 9" xfId="36162"/>
    <cellStyle name="Total 2 2 2 5 9 2" xfId="36163"/>
    <cellStyle name="Total 2 2 2 5 9 3" xfId="36164"/>
    <cellStyle name="Total 2 2 2 5 9 4" xfId="36165"/>
    <cellStyle name="Total 2 2 2 6" xfId="36166"/>
    <cellStyle name="Total 2 2 2 6 2" xfId="36167"/>
    <cellStyle name="Total 2 2 2 6 2 2" xfId="36168"/>
    <cellStyle name="Total 2 2 2 6 2 3" xfId="36169"/>
    <cellStyle name="Total 2 2 2 6 2 4" xfId="36170"/>
    <cellStyle name="Total 2 2 2 6 3" xfId="36171"/>
    <cellStyle name="Total 2 2 2 6 3 2" xfId="36172"/>
    <cellStyle name="Total 2 2 2 6 3 3" xfId="36173"/>
    <cellStyle name="Total 2 2 2 6 3 4" xfId="36174"/>
    <cellStyle name="Total 2 2 2 6 4" xfId="36175"/>
    <cellStyle name="Total 2 2 2 6 4 2" xfId="36176"/>
    <cellStyle name="Total 2 2 2 6 4 3" xfId="36177"/>
    <cellStyle name="Total 2 2 2 6 4 4" xfId="36178"/>
    <cellStyle name="Total 2 2 2 6 5" xfId="36179"/>
    <cellStyle name="Total 2 2 2 6 6" xfId="36180"/>
    <cellStyle name="Total 2 2 2 6 7" xfId="36181"/>
    <cellStyle name="Total 2 2 2 7" xfId="36182"/>
    <cellStyle name="Total 2 2 2 7 2" xfId="36183"/>
    <cellStyle name="Total 2 2 2 7 2 2" xfId="36184"/>
    <cellStyle name="Total 2 2 2 7 2 3" xfId="36185"/>
    <cellStyle name="Total 2 2 2 7 2 4" xfId="36186"/>
    <cellStyle name="Total 2 2 2 7 3" xfId="36187"/>
    <cellStyle name="Total 2 2 2 7 3 2" xfId="36188"/>
    <cellStyle name="Total 2 2 2 7 3 3" xfId="36189"/>
    <cellStyle name="Total 2 2 2 7 3 4" xfId="36190"/>
    <cellStyle name="Total 2 2 2 7 4" xfId="36191"/>
    <cellStyle name="Total 2 2 2 7 4 2" xfId="36192"/>
    <cellStyle name="Total 2 2 2 7 4 3" xfId="36193"/>
    <cellStyle name="Total 2 2 2 7 4 4" xfId="36194"/>
    <cellStyle name="Total 2 2 2 7 5" xfId="36195"/>
    <cellStyle name="Total 2 2 2 7 6" xfId="36196"/>
    <cellStyle name="Total 2 2 2 7 7" xfId="36197"/>
    <cellStyle name="Total 2 2 2 8" xfId="36198"/>
    <cellStyle name="Total 2 2 2 8 2" xfId="36199"/>
    <cellStyle name="Total 2 2 2 8 2 2" xfId="36200"/>
    <cellStyle name="Total 2 2 2 8 2 3" xfId="36201"/>
    <cellStyle name="Total 2 2 2 8 2 4" xfId="36202"/>
    <cellStyle name="Total 2 2 2 8 3" xfId="36203"/>
    <cellStyle name="Total 2 2 2 8 3 2" xfId="36204"/>
    <cellStyle name="Total 2 2 2 8 3 3" xfId="36205"/>
    <cellStyle name="Total 2 2 2 8 3 4" xfId="36206"/>
    <cellStyle name="Total 2 2 2 8 4" xfId="36207"/>
    <cellStyle name="Total 2 2 2 8 4 2" xfId="36208"/>
    <cellStyle name="Total 2 2 2 8 4 3" xfId="36209"/>
    <cellStyle name="Total 2 2 2 8 4 4" xfId="36210"/>
    <cellStyle name="Total 2 2 2 8 5" xfId="36211"/>
    <cellStyle name="Total 2 2 2 8 6" xfId="36212"/>
    <cellStyle name="Total 2 2 2 8 7" xfId="36213"/>
    <cellStyle name="Total 2 2 2 9" xfId="36214"/>
    <cellStyle name="Total 2 2 2 9 2" xfId="36215"/>
    <cellStyle name="Total 2 2 2 9 2 2" xfId="36216"/>
    <cellStyle name="Total 2 2 2 9 2 3" xfId="36217"/>
    <cellStyle name="Total 2 2 2 9 2 4" xfId="36218"/>
    <cellStyle name="Total 2 2 2 9 3" xfId="36219"/>
    <cellStyle name="Total 2 2 2 9 3 2" xfId="36220"/>
    <cellStyle name="Total 2 2 2 9 3 3" xfId="36221"/>
    <cellStyle name="Total 2 2 2 9 3 4" xfId="36222"/>
    <cellStyle name="Total 2 2 2 9 4" xfId="36223"/>
    <cellStyle name="Total 2 2 2 9 4 2" xfId="36224"/>
    <cellStyle name="Total 2 2 2 9 4 3" xfId="36225"/>
    <cellStyle name="Total 2 2 2 9 4 4" xfId="36226"/>
    <cellStyle name="Total 2 2 2 9 5" xfId="36227"/>
    <cellStyle name="Total 2 2 2 9 6" xfId="36228"/>
    <cellStyle name="Total 2 2 2 9 7" xfId="36229"/>
    <cellStyle name="Total 2 2 3" xfId="1090"/>
    <cellStyle name="Total 2 2 3 10" xfId="36230"/>
    <cellStyle name="Total 2 2 3 11" xfId="36231"/>
    <cellStyle name="Total 2 2 3 12" xfId="36232"/>
    <cellStyle name="Total 2 2 3 2" xfId="36233"/>
    <cellStyle name="Total 2 2 3 2 2" xfId="36234"/>
    <cellStyle name="Total 2 2 3 2 2 2" xfId="36235"/>
    <cellStyle name="Total 2 2 3 2 2 3" xfId="36236"/>
    <cellStyle name="Total 2 2 3 2 2 4" xfId="36237"/>
    <cellStyle name="Total 2 2 3 2 3" xfId="36238"/>
    <cellStyle name="Total 2 2 3 2 3 2" xfId="36239"/>
    <cellStyle name="Total 2 2 3 2 3 3" xfId="36240"/>
    <cellStyle name="Total 2 2 3 2 3 4" xfId="36241"/>
    <cellStyle name="Total 2 2 3 2 4" xfId="36242"/>
    <cellStyle name="Total 2 2 3 2 4 2" xfId="36243"/>
    <cellStyle name="Total 2 2 3 2 4 3" xfId="36244"/>
    <cellStyle name="Total 2 2 3 2 4 4" xfId="36245"/>
    <cellStyle name="Total 2 2 3 2 5" xfId="36246"/>
    <cellStyle name="Total 2 2 3 2 6" xfId="36247"/>
    <cellStyle name="Total 2 2 3 2 7" xfId="36248"/>
    <cellStyle name="Total 2 2 3 3" xfId="36249"/>
    <cellStyle name="Total 2 2 3 3 2" xfId="36250"/>
    <cellStyle name="Total 2 2 3 3 2 2" xfId="36251"/>
    <cellStyle name="Total 2 2 3 3 2 3" xfId="36252"/>
    <cellStyle name="Total 2 2 3 3 2 4" xfId="36253"/>
    <cellStyle name="Total 2 2 3 3 3" xfId="36254"/>
    <cellStyle name="Total 2 2 3 3 3 2" xfId="36255"/>
    <cellStyle name="Total 2 2 3 3 3 3" xfId="36256"/>
    <cellStyle name="Total 2 2 3 3 3 4" xfId="36257"/>
    <cellStyle name="Total 2 2 3 3 4" xfId="36258"/>
    <cellStyle name="Total 2 2 3 3 4 2" xfId="36259"/>
    <cellStyle name="Total 2 2 3 3 4 3" xfId="36260"/>
    <cellStyle name="Total 2 2 3 3 4 4" xfId="36261"/>
    <cellStyle name="Total 2 2 3 3 5" xfId="36262"/>
    <cellStyle name="Total 2 2 3 3 6" xfId="36263"/>
    <cellStyle name="Total 2 2 3 3 7" xfId="36264"/>
    <cellStyle name="Total 2 2 3 4" xfId="36265"/>
    <cellStyle name="Total 2 2 3 4 2" xfId="36266"/>
    <cellStyle name="Total 2 2 3 4 2 2" xfId="36267"/>
    <cellStyle name="Total 2 2 3 4 2 3" xfId="36268"/>
    <cellStyle name="Total 2 2 3 4 2 4" xfId="36269"/>
    <cellStyle name="Total 2 2 3 4 3" xfId="36270"/>
    <cellStyle name="Total 2 2 3 4 3 2" xfId="36271"/>
    <cellStyle name="Total 2 2 3 4 3 3" xfId="36272"/>
    <cellStyle name="Total 2 2 3 4 3 4" xfId="36273"/>
    <cellStyle name="Total 2 2 3 4 4" xfId="36274"/>
    <cellStyle name="Total 2 2 3 4 4 2" xfId="36275"/>
    <cellStyle name="Total 2 2 3 4 4 3" xfId="36276"/>
    <cellStyle name="Total 2 2 3 4 4 4" xfId="36277"/>
    <cellStyle name="Total 2 2 3 4 5" xfId="36278"/>
    <cellStyle name="Total 2 2 3 4 6" xfId="36279"/>
    <cellStyle name="Total 2 2 3 4 7" xfId="36280"/>
    <cellStyle name="Total 2 2 3 5" xfId="36281"/>
    <cellStyle name="Total 2 2 3 5 2" xfId="36282"/>
    <cellStyle name="Total 2 2 3 5 2 2" xfId="36283"/>
    <cellStyle name="Total 2 2 3 5 2 3" xfId="36284"/>
    <cellStyle name="Total 2 2 3 5 2 4" xfId="36285"/>
    <cellStyle name="Total 2 2 3 5 3" xfId="36286"/>
    <cellStyle name="Total 2 2 3 5 3 2" xfId="36287"/>
    <cellStyle name="Total 2 2 3 5 3 3" xfId="36288"/>
    <cellStyle name="Total 2 2 3 5 3 4" xfId="36289"/>
    <cellStyle name="Total 2 2 3 5 4" xfId="36290"/>
    <cellStyle name="Total 2 2 3 5 4 2" xfId="36291"/>
    <cellStyle name="Total 2 2 3 5 4 3" xfId="36292"/>
    <cellStyle name="Total 2 2 3 5 4 4" xfId="36293"/>
    <cellStyle name="Total 2 2 3 5 5" xfId="36294"/>
    <cellStyle name="Total 2 2 3 5 6" xfId="36295"/>
    <cellStyle name="Total 2 2 3 5 7" xfId="36296"/>
    <cellStyle name="Total 2 2 3 6" xfId="36297"/>
    <cellStyle name="Total 2 2 3 6 2" xfId="36298"/>
    <cellStyle name="Total 2 2 3 6 2 2" xfId="36299"/>
    <cellStyle name="Total 2 2 3 6 2 3" xfId="36300"/>
    <cellStyle name="Total 2 2 3 6 2 4" xfId="36301"/>
    <cellStyle name="Total 2 2 3 6 3" xfId="36302"/>
    <cellStyle name="Total 2 2 3 6 3 2" xfId="36303"/>
    <cellStyle name="Total 2 2 3 6 3 3" xfId="36304"/>
    <cellStyle name="Total 2 2 3 6 3 4" xfId="36305"/>
    <cellStyle name="Total 2 2 3 6 4" xfId="36306"/>
    <cellStyle name="Total 2 2 3 6 4 2" xfId="36307"/>
    <cellStyle name="Total 2 2 3 6 4 3" xfId="36308"/>
    <cellStyle name="Total 2 2 3 6 4 4" xfId="36309"/>
    <cellStyle name="Total 2 2 3 6 5" xfId="36310"/>
    <cellStyle name="Total 2 2 3 6 6" xfId="36311"/>
    <cellStyle name="Total 2 2 3 6 7" xfId="36312"/>
    <cellStyle name="Total 2 2 3 7" xfId="36313"/>
    <cellStyle name="Total 2 2 3 7 2" xfId="36314"/>
    <cellStyle name="Total 2 2 3 7 3" xfId="36315"/>
    <cellStyle name="Total 2 2 3 7 4" xfId="36316"/>
    <cellStyle name="Total 2 2 3 8" xfId="36317"/>
    <cellStyle name="Total 2 2 3 8 2" xfId="36318"/>
    <cellStyle name="Total 2 2 3 8 3" xfId="36319"/>
    <cellStyle name="Total 2 2 3 8 4" xfId="36320"/>
    <cellStyle name="Total 2 2 3 9" xfId="36321"/>
    <cellStyle name="Total 2 2 3 9 2" xfId="36322"/>
    <cellStyle name="Total 2 2 3 9 3" xfId="36323"/>
    <cellStyle name="Total 2 2 3 9 4" xfId="36324"/>
    <cellStyle name="Total 2 2 4" xfId="3184"/>
    <cellStyle name="Total 2 2 5" xfId="1021"/>
    <cellStyle name="Total 2 2 6" xfId="3145"/>
    <cellStyle name="Total 2 2 7" xfId="3190"/>
    <cellStyle name="Total 2 3" xfId="154"/>
    <cellStyle name="Total 2 3 2" xfId="652"/>
    <cellStyle name="Total 2 3 2 10" xfId="36325"/>
    <cellStyle name="Total 2 3 2 10 2" xfId="36326"/>
    <cellStyle name="Total 2 3 2 10 2 2" xfId="36327"/>
    <cellStyle name="Total 2 3 2 10 2 3" xfId="36328"/>
    <cellStyle name="Total 2 3 2 10 2 4" xfId="36329"/>
    <cellStyle name="Total 2 3 2 10 3" xfId="36330"/>
    <cellStyle name="Total 2 3 2 10 3 2" xfId="36331"/>
    <cellStyle name="Total 2 3 2 10 3 3" xfId="36332"/>
    <cellStyle name="Total 2 3 2 10 3 4" xfId="36333"/>
    <cellStyle name="Total 2 3 2 10 4" xfId="36334"/>
    <cellStyle name="Total 2 3 2 10 4 2" xfId="36335"/>
    <cellStyle name="Total 2 3 2 10 4 3" xfId="36336"/>
    <cellStyle name="Total 2 3 2 10 4 4" xfId="36337"/>
    <cellStyle name="Total 2 3 2 10 5" xfId="36338"/>
    <cellStyle name="Total 2 3 2 10 6" xfId="36339"/>
    <cellStyle name="Total 2 3 2 10 7" xfId="36340"/>
    <cellStyle name="Total 2 3 2 11" xfId="36341"/>
    <cellStyle name="Total 2 3 2 11 2" xfId="36342"/>
    <cellStyle name="Total 2 3 2 11 2 2" xfId="36343"/>
    <cellStyle name="Total 2 3 2 11 2 3" xfId="36344"/>
    <cellStyle name="Total 2 3 2 11 2 4" xfId="36345"/>
    <cellStyle name="Total 2 3 2 11 3" xfId="36346"/>
    <cellStyle name="Total 2 3 2 11 3 2" xfId="36347"/>
    <cellStyle name="Total 2 3 2 11 3 3" xfId="36348"/>
    <cellStyle name="Total 2 3 2 11 3 4" xfId="36349"/>
    <cellStyle name="Total 2 3 2 11 4" xfId="36350"/>
    <cellStyle name="Total 2 3 2 11 4 2" xfId="36351"/>
    <cellStyle name="Total 2 3 2 11 4 3" xfId="36352"/>
    <cellStyle name="Total 2 3 2 11 4 4" xfId="36353"/>
    <cellStyle name="Total 2 3 2 11 5" xfId="36354"/>
    <cellStyle name="Total 2 3 2 11 6" xfId="36355"/>
    <cellStyle name="Total 2 3 2 11 7" xfId="36356"/>
    <cellStyle name="Total 2 3 2 12" xfId="36357"/>
    <cellStyle name="Total 2 3 2 12 2" xfId="36358"/>
    <cellStyle name="Total 2 3 2 12 2 2" xfId="36359"/>
    <cellStyle name="Total 2 3 2 12 2 3" xfId="36360"/>
    <cellStyle name="Total 2 3 2 12 2 4" xfId="36361"/>
    <cellStyle name="Total 2 3 2 12 3" xfId="36362"/>
    <cellStyle name="Total 2 3 2 12 3 2" xfId="36363"/>
    <cellStyle name="Total 2 3 2 12 3 3" xfId="36364"/>
    <cellStyle name="Total 2 3 2 12 3 4" xfId="36365"/>
    <cellStyle name="Total 2 3 2 12 4" xfId="36366"/>
    <cellStyle name="Total 2 3 2 12 4 2" xfId="36367"/>
    <cellStyle name="Total 2 3 2 12 4 3" xfId="36368"/>
    <cellStyle name="Total 2 3 2 12 4 4" xfId="36369"/>
    <cellStyle name="Total 2 3 2 12 5" xfId="36370"/>
    <cellStyle name="Total 2 3 2 12 6" xfId="36371"/>
    <cellStyle name="Total 2 3 2 12 7" xfId="36372"/>
    <cellStyle name="Total 2 3 2 13" xfId="36373"/>
    <cellStyle name="Total 2 3 2 13 2" xfId="36374"/>
    <cellStyle name="Total 2 3 2 13 2 2" xfId="36375"/>
    <cellStyle name="Total 2 3 2 13 2 3" xfId="36376"/>
    <cellStyle name="Total 2 3 2 13 2 4" xfId="36377"/>
    <cellStyle name="Total 2 3 2 13 3" xfId="36378"/>
    <cellStyle name="Total 2 3 2 13 3 2" xfId="36379"/>
    <cellStyle name="Total 2 3 2 13 3 3" xfId="36380"/>
    <cellStyle name="Total 2 3 2 13 3 4" xfId="36381"/>
    <cellStyle name="Total 2 3 2 13 4" xfId="36382"/>
    <cellStyle name="Total 2 3 2 13 4 2" xfId="36383"/>
    <cellStyle name="Total 2 3 2 13 4 3" xfId="36384"/>
    <cellStyle name="Total 2 3 2 13 4 4" xfId="36385"/>
    <cellStyle name="Total 2 3 2 13 5" xfId="36386"/>
    <cellStyle name="Total 2 3 2 13 6" xfId="36387"/>
    <cellStyle name="Total 2 3 2 13 7" xfId="36388"/>
    <cellStyle name="Total 2 3 2 14" xfId="36389"/>
    <cellStyle name="Total 2 3 2 14 2" xfId="36390"/>
    <cellStyle name="Total 2 3 2 14 3" xfId="36391"/>
    <cellStyle name="Total 2 3 2 14 4" xfId="36392"/>
    <cellStyle name="Total 2 3 2 15" xfId="36393"/>
    <cellStyle name="Total 2 3 2 15 2" xfId="36394"/>
    <cellStyle name="Total 2 3 2 15 3" xfId="36395"/>
    <cellStyle name="Total 2 3 2 15 4" xfId="36396"/>
    <cellStyle name="Total 2 3 2 16" xfId="36397"/>
    <cellStyle name="Total 2 3 2 16 2" xfId="36398"/>
    <cellStyle name="Total 2 3 2 16 3" xfId="36399"/>
    <cellStyle name="Total 2 3 2 16 4" xfId="36400"/>
    <cellStyle name="Total 2 3 2 17" xfId="36401"/>
    <cellStyle name="Total 2 3 2 18" xfId="36402"/>
    <cellStyle name="Total 2 3 2 19" xfId="36403"/>
    <cellStyle name="Total 2 3 2 2" xfId="906"/>
    <cellStyle name="Total 2 3 2 2 10" xfId="36404"/>
    <cellStyle name="Total 2 3 2 2 11" xfId="36405"/>
    <cellStyle name="Total 2 3 2 2 12" xfId="36406"/>
    <cellStyle name="Total 2 3 2 2 2" xfId="36407"/>
    <cellStyle name="Total 2 3 2 2 2 2" xfId="36408"/>
    <cellStyle name="Total 2 3 2 2 2 2 2" xfId="36409"/>
    <cellStyle name="Total 2 3 2 2 2 2 3" xfId="36410"/>
    <cellStyle name="Total 2 3 2 2 2 2 4" xfId="36411"/>
    <cellStyle name="Total 2 3 2 2 2 3" xfId="36412"/>
    <cellStyle name="Total 2 3 2 2 2 3 2" xfId="36413"/>
    <cellStyle name="Total 2 3 2 2 2 3 3" xfId="36414"/>
    <cellStyle name="Total 2 3 2 2 2 3 4" xfId="36415"/>
    <cellStyle name="Total 2 3 2 2 2 4" xfId="36416"/>
    <cellStyle name="Total 2 3 2 2 2 4 2" xfId="36417"/>
    <cellStyle name="Total 2 3 2 2 2 4 3" xfId="36418"/>
    <cellStyle name="Total 2 3 2 2 2 4 4" xfId="36419"/>
    <cellStyle name="Total 2 3 2 2 2 5" xfId="36420"/>
    <cellStyle name="Total 2 3 2 2 2 6" xfId="36421"/>
    <cellStyle name="Total 2 3 2 2 2 7" xfId="36422"/>
    <cellStyle name="Total 2 3 2 2 3" xfId="36423"/>
    <cellStyle name="Total 2 3 2 2 3 2" xfId="36424"/>
    <cellStyle name="Total 2 3 2 2 3 2 2" xfId="36425"/>
    <cellStyle name="Total 2 3 2 2 3 2 3" xfId="36426"/>
    <cellStyle name="Total 2 3 2 2 3 2 4" xfId="36427"/>
    <cellStyle name="Total 2 3 2 2 3 3" xfId="36428"/>
    <cellStyle name="Total 2 3 2 2 3 3 2" xfId="36429"/>
    <cellStyle name="Total 2 3 2 2 3 3 3" xfId="36430"/>
    <cellStyle name="Total 2 3 2 2 3 3 4" xfId="36431"/>
    <cellStyle name="Total 2 3 2 2 3 4" xfId="36432"/>
    <cellStyle name="Total 2 3 2 2 3 4 2" xfId="36433"/>
    <cellStyle name="Total 2 3 2 2 3 4 3" xfId="36434"/>
    <cellStyle name="Total 2 3 2 2 3 4 4" xfId="36435"/>
    <cellStyle name="Total 2 3 2 2 3 5" xfId="36436"/>
    <cellStyle name="Total 2 3 2 2 3 6" xfId="36437"/>
    <cellStyle name="Total 2 3 2 2 3 7" xfId="36438"/>
    <cellStyle name="Total 2 3 2 2 4" xfId="36439"/>
    <cellStyle name="Total 2 3 2 2 4 2" xfId="36440"/>
    <cellStyle name="Total 2 3 2 2 4 2 2" xfId="36441"/>
    <cellStyle name="Total 2 3 2 2 4 2 3" xfId="36442"/>
    <cellStyle name="Total 2 3 2 2 4 2 4" xfId="36443"/>
    <cellStyle name="Total 2 3 2 2 4 3" xfId="36444"/>
    <cellStyle name="Total 2 3 2 2 4 3 2" xfId="36445"/>
    <cellStyle name="Total 2 3 2 2 4 3 3" xfId="36446"/>
    <cellStyle name="Total 2 3 2 2 4 3 4" xfId="36447"/>
    <cellStyle name="Total 2 3 2 2 4 4" xfId="36448"/>
    <cellStyle name="Total 2 3 2 2 4 4 2" xfId="36449"/>
    <cellStyle name="Total 2 3 2 2 4 4 3" xfId="36450"/>
    <cellStyle name="Total 2 3 2 2 4 4 4" xfId="36451"/>
    <cellStyle name="Total 2 3 2 2 4 5" xfId="36452"/>
    <cellStyle name="Total 2 3 2 2 4 6" xfId="36453"/>
    <cellStyle name="Total 2 3 2 2 4 7" xfId="36454"/>
    <cellStyle name="Total 2 3 2 2 5" xfId="36455"/>
    <cellStyle name="Total 2 3 2 2 5 2" xfId="36456"/>
    <cellStyle name="Total 2 3 2 2 5 2 2" xfId="36457"/>
    <cellStyle name="Total 2 3 2 2 5 2 3" xfId="36458"/>
    <cellStyle name="Total 2 3 2 2 5 2 4" xfId="36459"/>
    <cellStyle name="Total 2 3 2 2 5 3" xfId="36460"/>
    <cellStyle name="Total 2 3 2 2 5 3 2" xfId="36461"/>
    <cellStyle name="Total 2 3 2 2 5 3 3" xfId="36462"/>
    <cellStyle name="Total 2 3 2 2 5 3 4" xfId="36463"/>
    <cellStyle name="Total 2 3 2 2 5 4" xfId="36464"/>
    <cellStyle name="Total 2 3 2 2 5 4 2" xfId="36465"/>
    <cellStyle name="Total 2 3 2 2 5 4 3" xfId="36466"/>
    <cellStyle name="Total 2 3 2 2 5 4 4" xfId="36467"/>
    <cellStyle name="Total 2 3 2 2 5 5" xfId="36468"/>
    <cellStyle name="Total 2 3 2 2 5 6" xfId="36469"/>
    <cellStyle name="Total 2 3 2 2 5 7" xfId="36470"/>
    <cellStyle name="Total 2 3 2 2 6" xfId="36471"/>
    <cellStyle name="Total 2 3 2 2 6 2" xfId="36472"/>
    <cellStyle name="Total 2 3 2 2 6 2 2" xfId="36473"/>
    <cellStyle name="Total 2 3 2 2 6 2 3" xfId="36474"/>
    <cellStyle name="Total 2 3 2 2 6 2 4" xfId="36475"/>
    <cellStyle name="Total 2 3 2 2 6 3" xfId="36476"/>
    <cellStyle name="Total 2 3 2 2 6 3 2" xfId="36477"/>
    <cellStyle name="Total 2 3 2 2 6 3 3" xfId="36478"/>
    <cellStyle name="Total 2 3 2 2 6 3 4" xfId="36479"/>
    <cellStyle name="Total 2 3 2 2 6 4" xfId="36480"/>
    <cellStyle name="Total 2 3 2 2 6 4 2" xfId="36481"/>
    <cellStyle name="Total 2 3 2 2 6 4 3" xfId="36482"/>
    <cellStyle name="Total 2 3 2 2 6 4 4" xfId="36483"/>
    <cellStyle name="Total 2 3 2 2 6 5" xfId="36484"/>
    <cellStyle name="Total 2 3 2 2 6 6" xfId="36485"/>
    <cellStyle name="Total 2 3 2 2 6 7" xfId="36486"/>
    <cellStyle name="Total 2 3 2 2 7" xfId="36487"/>
    <cellStyle name="Total 2 3 2 2 7 2" xfId="36488"/>
    <cellStyle name="Total 2 3 2 2 7 3" xfId="36489"/>
    <cellStyle name="Total 2 3 2 2 7 4" xfId="36490"/>
    <cellStyle name="Total 2 3 2 2 8" xfId="36491"/>
    <cellStyle name="Total 2 3 2 2 8 2" xfId="36492"/>
    <cellStyle name="Total 2 3 2 2 8 3" xfId="36493"/>
    <cellStyle name="Total 2 3 2 2 8 4" xfId="36494"/>
    <cellStyle name="Total 2 3 2 2 9" xfId="36495"/>
    <cellStyle name="Total 2 3 2 2 9 2" xfId="36496"/>
    <cellStyle name="Total 2 3 2 2 9 3" xfId="36497"/>
    <cellStyle name="Total 2 3 2 2 9 4" xfId="36498"/>
    <cellStyle name="Total 2 3 2 3" xfId="752"/>
    <cellStyle name="Total 2 3 2 3 10" xfId="36499"/>
    <cellStyle name="Total 2 3 2 3 11" xfId="36500"/>
    <cellStyle name="Total 2 3 2 3 12" xfId="36501"/>
    <cellStyle name="Total 2 3 2 3 2" xfId="36502"/>
    <cellStyle name="Total 2 3 2 3 2 2" xfId="36503"/>
    <cellStyle name="Total 2 3 2 3 2 2 2" xfId="36504"/>
    <cellStyle name="Total 2 3 2 3 2 2 3" xfId="36505"/>
    <cellStyle name="Total 2 3 2 3 2 2 4" xfId="36506"/>
    <cellStyle name="Total 2 3 2 3 2 3" xfId="36507"/>
    <cellStyle name="Total 2 3 2 3 2 3 2" xfId="36508"/>
    <cellStyle name="Total 2 3 2 3 2 3 3" xfId="36509"/>
    <cellStyle name="Total 2 3 2 3 2 3 4" xfId="36510"/>
    <cellStyle name="Total 2 3 2 3 2 4" xfId="36511"/>
    <cellStyle name="Total 2 3 2 3 2 4 2" xfId="36512"/>
    <cellStyle name="Total 2 3 2 3 2 4 3" xfId="36513"/>
    <cellStyle name="Total 2 3 2 3 2 4 4" xfId="36514"/>
    <cellStyle name="Total 2 3 2 3 2 5" xfId="36515"/>
    <cellStyle name="Total 2 3 2 3 2 6" xfId="36516"/>
    <cellStyle name="Total 2 3 2 3 2 7" xfId="36517"/>
    <cellStyle name="Total 2 3 2 3 3" xfId="36518"/>
    <cellStyle name="Total 2 3 2 3 3 2" xfId="36519"/>
    <cellStyle name="Total 2 3 2 3 3 2 2" xfId="36520"/>
    <cellStyle name="Total 2 3 2 3 3 2 3" xfId="36521"/>
    <cellStyle name="Total 2 3 2 3 3 2 4" xfId="36522"/>
    <cellStyle name="Total 2 3 2 3 3 3" xfId="36523"/>
    <cellStyle name="Total 2 3 2 3 3 3 2" xfId="36524"/>
    <cellStyle name="Total 2 3 2 3 3 3 3" xfId="36525"/>
    <cellStyle name="Total 2 3 2 3 3 3 4" xfId="36526"/>
    <cellStyle name="Total 2 3 2 3 3 4" xfId="36527"/>
    <cellStyle name="Total 2 3 2 3 3 4 2" xfId="36528"/>
    <cellStyle name="Total 2 3 2 3 3 4 3" xfId="36529"/>
    <cellStyle name="Total 2 3 2 3 3 4 4" xfId="36530"/>
    <cellStyle name="Total 2 3 2 3 3 5" xfId="36531"/>
    <cellStyle name="Total 2 3 2 3 3 6" xfId="36532"/>
    <cellStyle name="Total 2 3 2 3 3 7" xfId="36533"/>
    <cellStyle name="Total 2 3 2 3 4" xfId="36534"/>
    <cellStyle name="Total 2 3 2 3 4 2" xfId="36535"/>
    <cellStyle name="Total 2 3 2 3 4 2 2" xfId="36536"/>
    <cellStyle name="Total 2 3 2 3 4 2 3" xfId="36537"/>
    <cellStyle name="Total 2 3 2 3 4 2 4" xfId="36538"/>
    <cellStyle name="Total 2 3 2 3 4 3" xfId="36539"/>
    <cellStyle name="Total 2 3 2 3 4 3 2" xfId="36540"/>
    <cellStyle name="Total 2 3 2 3 4 3 3" xfId="36541"/>
    <cellStyle name="Total 2 3 2 3 4 3 4" xfId="36542"/>
    <cellStyle name="Total 2 3 2 3 4 4" xfId="36543"/>
    <cellStyle name="Total 2 3 2 3 4 4 2" xfId="36544"/>
    <cellStyle name="Total 2 3 2 3 4 4 3" xfId="36545"/>
    <cellStyle name="Total 2 3 2 3 4 4 4" xfId="36546"/>
    <cellStyle name="Total 2 3 2 3 4 5" xfId="36547"/>
    <cellStyle name="Total 2 3 2 3 4 6" xfId="36548"/>
    <cellStyle name="Total 2 3 2 3 4 7" xfId="36549"/>
    <cellStyle name="Total 2 3 2 3 5" xfId="36550"/>
    <cellStyle name="Total 2 3 2 3 5 2" xfId="36551"/>
    <cellStyle name="Total 2 3 2 3 5 2 2" xfId="36552"/>
    <cellStyle name="Total 2 3 2 3 5 2 3" xfId="36553"/>
    <cellStyle name="Total 2 3 2 3 5 2 4" xfId="36554"/>
    <cellStyle name="Total 2 3 2 3 5 3" xfId="36555"/>
    <cellStyle name="Total 2 3 2 3 5 3 2" xfId="36556"/>
    <cellStyle name="Total 2 3 2 3 5 3 3" xfId="36557"/>
    <cellStyle name="Total 2 3 2 3 5 3 4" xfId="36558"/>
    <cellStyle name="Total 2 3 2 3 5 4" xfId="36559"/>
    <cellStyle name="Total 2 3 2 3 5 4 2" xfId="36560"/>
    <cellStyle name="Total 2 3 2 3 5 4 3" xfId="36561"/>
    <cellStyle name="Total 2 3 2 3 5 4 4" xfId="36562"/>
    <cellStyle name="Total 2 3 2 3 5 5" xfId="36563"/>
    <cellStyle name="Total 2 3 2 3 5 6" xfId="36564"/>
    <cellStyle name="Total 2 3 2 3 5 7" xfId="36565"/>
    <cellStyle name="Total 2 3 2 3 6" xfId="36566"/>
    <cellStyle name="Total 2 3 2 3 6 2" xfId="36567"/>
    <cellStyle name="Total 2 3 2 3 6 2 2" xfId="36568"/>
    <cellStyle name="Total 2 3 2 3 6 2 3" xfId="36569"/>
    <cellStyle name="Total 2 3 2 3 6 2 4" xfId="36570"/>
    <cellStyle name="Total 2 3 2 3 6 3" xfId="36571"/>
    <cellStyle name="Total 2 3 2 3 6 3 2" xfId="36572"/>
    <cellStyle name="Total 2 3 2 3 6 3 3" xfId="36573"/>
    <cellStyle name="Total 2 3 2 3 6 3 4" xfId="36574"/>
    <cellStyle name="Total 2 3 2 3 6 4" xfId="36575"/>
    <cellStyle name="Total 2 3 2 3 6 4 2" xfId="36576"/>
    <cellStyle name="Total 2 3 2 3 6 4 3" xfId="36577"/>
    <cellStyle name="Total 2 3 2 3 6 4 4" xfId="36578"/>
    <cellStyle name="Total 2 3 2 3 6 5" xfId="36579"/>
    <cellStyle name="Total 2 3 2 3 6 6" xfId="36580"/>
    <cellStyle name="Total 2 3 2 3 6 7" xfId="36581"/>
    <cellStyle name="Total 2 3 2 3 7" xfId="36582"/>
    <cellStyle name="Total 2 3 2 3 7 2" xfId="36583"/>
    <cellStyle name="Total 2 3 2 3 7 3" xfId="36584"/>
    <cellStyle name="Total 2 3 2 3 7 4" xfId="36585"/>
    <cellStyle name="Total 2 3 2 3 8" xfId="36586"/>
    <cellStyle name="Total 2 3 2 3 8 2" xfId="36587"/>
    <cellStyle name="Total 2 3 2 3 8 3" xfId="36588"/>
    <cellStyle name="Total 2 3 2 3 8 4" xfId="36589"/>
    <cellStyle name="Total 2 3 2 3 9" xfId="36590"/>
    <cellStyle name="Total 2 3 2 3 9 2" xfId="36591"/>
    <cellStyle name="Total 2 3 2 3 9 3" xfId="36592"/>
    <cellStyle name="Total 2 3 2 3 9 4" xfId="36593"/>
    <cellStyle name="Total 2 3 2 4" xfId="976"/>
    <cellStyle name="Total 2 3 2 4 10" xfId="36594"/>
    <cellStyle name="Total 2 3 2 4 11" xfId="36595"/>
    <cellStyle name="Total 2 3 2 4 12" xfId="36596"/>
    <cellStyle name="Total 2 3 2 4 2" xfId="36597"/>
    <cellStyle name="Total 2 3 2 4 2 2" xfId="36598"/>
    <cellStyle name="Total 2 3 2 4 2 2 2" xfId="36599"/>
    <cellStyle name="Total 2 3 2 4 2 2 3" xfId="36600"/>
    <cellStyle name="Total 2 3 2 4 2 2 4" xfId="36601"/>
    <cellStyle name="Total 2 3 2 4 2 3" xfId="36602"/>
    <cellStyle name="Total 2 3 2 4 2 3 2" xfId="36603"/>
    <cellStyle name="Total 2 3 2 4 2 3 3" xfId="36604"/>
    <cellStyle name="Total 2 3 2 4 2 3 4" xfId="36605"/>
    <cellStyle name="Total 2 3 2 4 2 4" xfId="36606"/>
    <cellStyle name="Total 2 3 2 4 2 4 2" xfId="36607"/>
    <cellStyle name="Total 2 3 2 4 2 4 3" xfId="36608"/>
    <cellStyle name="Total 2 3 2 4 2 4 4" xfId="36609"/>
    <cellStyle name="Total 2 3 2 4 2 5" xfId="36610"/>
    <cellStyle name="Total 2 3 2 4 2 6" xfId="36611"/>
    <cellStyle name="Total 2 3 2 4 2 7" xfId="36612"/>
    <cellStyle name="Total 2 3 2 4 3" xfId="36613"/>
    <cellStyle name="Total 2 3 2 4 3 2" xfId="36614"/>
    <cellStyle name="Total 2 3 2 4 3 2 2" xfId="36615"/>
    <cellStyle name="Total 2 3 2 4 3 2 3" xfId="36616"/>
    <cellStyle name="Total 2 3 2 4 3 2 4" xfId="36617"/>
    <cellStyle name="Total 2 3 2 4 3 3" xfId="36618"/>
    <cellStyle name="Total 2 3 2 4 3 3 2" xfId="36619"/>
    <cellStyle name="Total 2 3 2 4 3 3 3" xfId="36620"/>
    <cellStyle name="Total 2 3 2 4 3 3 4" xfId="36621"/>
    <cellStyle name="Total 2 3 2 4 3 4" xfId="36622"/>
    <cellStyle name="Total 2 3 2 4 3 4 2" xfId="36623"/>
    <cellStyle name="Total 2 3 2 4 3 4 3" xfId="36624"/>
    <cellStyle name="Total 2 3 2 4 3 4 4" xfId="36625"/>
    <cellStyle name="Total 2 3 2 4 3 5" xfId="36626"/>
    <cellStyle name="Total 2 3 2 4 3 6" xfId="36627"/>
    <cellStyle name="Total 2 3 2 4 3 7" xfId="36628"/>
    <cellStyle name="Total 2 3 2 4 4" xfId="36629"/>
    <cellStyle name="Total 2 3 2 4 4 2" xfId="36630"/>
    <cellStyle name="Total 2 3 2 4 4 2 2" xfId="36631"/>
    <cellStyle name="Total 2 3 2 4 4 2 3" xfId="36632"/>
    <cellStyle name="Total 2 3 2 4 4 2 4" xfId="36633"/>
    <cellStyle name="Total 2 3 2 4 4 3" xfId="36634"/>
    <cellStyle name="Total 2 3 2 4 4 3 2" xfId="36635"/>
    <cellStyle name="Total 2 3 2 4 4 3 3" xfId="36636"/>
    <cellStyle name="Total 2 3 2 4 4 3 4" xfId="36637"/>
    <cellStyle name="Total 2 3 2 4 4 4" xfId="36638"/>
    <cellStyle name="Total 2 3 2 4 4 4 2" xfId="36639"/>
    <cellStyle name="Total 2 3 2 4 4 4 3" xfId="36640"/>
    <cellStyle name="Total 2 3 2 4 4 4 4" xfId="36641"/>
    <cellStyle name="Total 2 3 2 4 4 5" xfId="36642"/>
    <cellStyle name="Total 2 3 2 4 4 6" xfId="36643"/>
    <cellStyle name="Total 2 3 2 4 4 7" xfId="36644"/>
    <cellStyle name="Total 2 3 2 4 5" xfId="36645"/>
    <cellStyle name="Total 2 3 2 4 5 2" xfId="36646"/>
    <cellStyle name="Total 2 3 2 4 5 2 2" xfId="36647"/>
    <cellStyle name="Total 2 3 2 4 5 2 3" xfId="36648"/>
    <cellStyle name="Total 2 3 2 4 5 2 4" xfId="36649"/>
    <cellStyle name="Total 2 3 2 4 5 3" xfId="36650"/>
    <cellStyle name="Total 2 3 2 4 5 3 2" xfId="36651"/>
    <cellStyle name="Total 2 3 2 4 5 3 3" xfId="36652"/>
    <cellStyle name="Total 2 3 2 4 5 3 4" xfId="36653"/>
    <cellStyle name="Total 2 3 2 4 5 4" xfId="36654"/>
    <cellStyle name="Total 2 3 2 4 5 4 2" xfId="36655"/>
    <cellStyle name="Total 2 3 2 4 5 4 3" xfId="36656"/>
    <cellStyle name="Total 2 3 2 4 5 4 4" xfId="36657"/>
    <cellStyle name="Total 2 3 2 4 5 5" xfId="36658"/>
    <cellStyle name="Total 2 3 2 4 5 6" xfId="36659"/>
    <cellStyle name="Total 2 3 2 4 5 7" xfId="36660"/>
    <cellStyle name="Total 2 3 2 4 6" xfId="36661"/>
    <cellStyle name="Total 2 3 2 4 6 2" xfId="36662"/>
    <cellStyle name="Total 2 3 2 4 6 2 2" xfId="36663"/>
    <cellStyle name="Total 2 3 2 4 6 2 3" xfId="36664"/>
    <cellStyle name="Total 2 3 2 4 6 2 4" xfId="36665"/>
    <cellStyle name="Total 2 3 2 4 6 3" xfId="36666"/>
    <cellStyle name="Total 2 3 2 4 6 3 2" xfId="36667"/>
    <cellStyle name="Total 2 3 2 4 6 3 3" xfId="36668"/>
    <cellStyle name="Total 2 3 2 4 6 3 4" xfId="36669"/>
    <cellStyle name="Total 2 3 2 4 6 4" xfId="36670"/>
    <cellStyle name="Total 2 3 2 4 6 4 2" xfId="36671"/>
    <cellStyle name="Total 2 3 2 4 6 4 3" xfId="36672"/>
    <cellStyle name="Total 2 3 2 4 6 4 4" xfId="36673"/>
    <cellStyle name="Total 2 3 2 4 6 5" xfId="36674"/>
    <cellStyle name="Total 2 3 2 4 6 6" xfId="36675"/>
    <cellStyle name="Total 2 3 2 4 6 7" xfId="36676"/>
    <cellStyle name="Total 2 3 2 4 7" xfId="36677"/>
    <cellStyle name="Total 2 3 2 4 7 2" xfId="36678"/>
    <cellStyle name="Total 2 3 2 4 7 3" xfId="36679"/>
    <cellStyle name="Total 2 3 2 4 7 4" xfId="36680"/>
    <cellStyle name="Total 2 3 2 4 8" xfId="36681"/>
    <cellStyle name="Total 2 3 2 4 8 2" xfId="36682"/>
    <cellStyle name="Total 2 3 2 4 8 3" xfId="36683"/>
    <cellStyle name="Total 2 3 2 4 8 4" xfId="36684"/>
    <cellStyle name="Total 2 3 2 4 9" xfId="36685"/>
    <cellStyle name="Total 2 3 2 4 9 2" xfId="36686"/>
    <cellStyle name="Total 2 3 2 4 9 3" xfId="36687"/>
    <cellStyle name="Total 2 3 2 4 9 4" xfId="36688"/>
    <cellStyle name="Total 2 3 2 5" xfId="36689"/>
    <cellStyle name="Total 2 3 2 5 10" xfId="36690"/>
    <cellStyle name="Total 2 3 2 5 11" xfId="36691"/>
    <cellStyle name="Total 2 3 2 5 12" xfId="36692"/>
    <cellStyle name="Total 2 3 2 5 2" xfId="36693"/>
    <cellStyle name="Total 2 3 2 5 2 2" xfId="36694"/>
    <cellStyle name="Total 2 3 2 5 2 2 2" xfId="36695"/>
    <cellStyle name="Total 2 3 2 5 2 2 3" xfId="36696"/>
    <cellStyle name="Total 2 3 2 5 2 2 4" xfId="36697"/>
    <cellStyle name="Total 2 3 2 5 2 3" xfId="36698"/>
    <cellStyle name="Total 2 3 2 5 2 3 2" xfId="36699"/>
    <cellStyle name="Total 2 3 2 5 2 3 3" xfId="36700"/>
    <cellStyle name="Total 2 3 2 5 2 3 4" xfId="36701"/>
    <cellStyle name="Total 2 3 2 5 2 4" xfId="36702"/>
    <cellStyle name="Total 2 3 2 5 2 4 2" xfId="36703"/>
    <cellStyle name="Total 2 3 2 5 2 4 3" xfId="36704"/>
    <cellStyle name="Total 2 3 2 5 2 4 4" xfId="36705"/>
    <cellStyle name="Total 2 3 2 5 2 5" xfId="36706"/>
    <cellStyle name="Total 2 3 2 5 2 6" xfId="36707"/>
    <cellStyle name="Total 2 3 2 5 2 7" xfId="36708"/>
    <cellStyle name="Total 2 3 2 5 3" xfId="36709"/>
    <cellStyle name="Total 2 3 2 5 3 2" xfId="36710"/>
    <cellStyle name="Total 2 3 2 5 3 2 2" xfId="36711"/>
    <cellStyle name="Total 2 3 2 5 3 2 3" xfId="36712"/>
    <cellStyle name="Total 2 3 2 5 3 2 4" xfId="36713"/>
    <cellStyle name="Total 2 3 2 5 3 3" xfId="36714"/>
    <cellStyle name="Total 2 3 2 5 3 3 2" xfId="36715"/>
    <cellStyle name="Total 2 3 2 5 3 3 3" xfId="36716"/>
    <cellStyle name="Total 2 3 2 5 3 3 4" xfId="36717"/>
    <cellStyle name="Total 2 3 2 5 3 4" xfId="36718"/>
    <cellStyle name="Total 2 3 2 5 3 4 2" xfId="36719"/>
    <cellStyle name="Total 2 3 2 5 3 4 3" xfId="36720"/>
    <cellStyle name="Total 2 3 2 5 3 4 4" xfId="36721"/>
    <cellStyle name="Total 2 3 2 5 3 5" xfId="36722"/>
    <cellStyle name="Total 2 3 2 5 3 6" xfId="36723"/>
    <cellStyle name="Total 2 3 2 5 3 7" xfId="36724"/>
    <cellStyle name="Total 2 3 2 5 4" xfId="36725"/>
    <cellStyle name="Total 2 3 2 5 4 2" xfId="36726"/>
    <cellStyle name="Total 2 3 2 5 4 2 2" xfId="36727"/>
    <cellStyle name="Total 2 3 2 5 4 2 3" xfId="36728"/>
    <cellStyle name="Total 2 3 2 5 4 2 4" xfId="36729"/>
    <cellStyle name="Total 2 3 2 5 4 3" xfId="36730"/>
    <cellStyle name="Total 2 3 2 5 4 3 2" xfId="36731"/>
    <cellStyle name="Total 2 3 2 5 4 3 3" xfId="36732"/>
    <cellStyle name="Total 2 3 2 5 4 3 4" xfId="36733"/>
    <cellStyle name="Total 2 3 2 5 4 4" xfId="36734"/>
    <cellStyle name="Total 2 3 2 5 4 4 2" xfId="36735"/>
    <cellStyle name="Total 2 3 2 5 4 4 3" xfId="36736"/>
    <cellStyle name="Total 2 3 2 5 4 4 4" xfId="36737"/>
    <cellStyle name="Total 2 3 2 5 4 5" xfId="36738"/>
    <cellStyle name="Total 2 3 2 5 4 6" xfId="36739"/>
    <cellStyle name="Total 2 3 2 5 4 7" xfId="36740"/>
    <cellStyle name="Total 2 3 2 5 5" xfId="36741"/>
    <cellStyle name="Total 2 3 2 5 5 2" xfId="36742"/>
    <cellStyle name="Total 2 3 2 5 5 2 2" xfId="36743"/>
    <cellStyle name="Total 2 3 2 5 5 2 3" xfId="36744"/>
    <cellStyle name="Total 2 3 2 5 5 2 4" xfId="36745"/>
    <cellStyle name="Total 2 3 2 5 5 3" xfId="36746"/>
    <cellStyle name="Total 2 3 2 5 5 3 2" xfId="36747"/>
    <cellStyle name="Total 2 3 2 5 5 3 3" xfId="36748"/>
    <cellStyle name="Total 2 3 2 5 5 3 4" xfId="36749"/>
    <cellStyle name="Total 2 3 2 5 5 4" xfId="36750"/>
    <cellStyle name="Total 2 3 2 5 5 4 2" xfId="36751"/>
    <cellStyle name="Total 2 3 2 5 5 4 3" xfId="36752"/>
    <cellStyle name="Total 2 3 2 5 5 4 4" xfId="36753"/>
    <cellStyle name="Total 2 3 2 5 5 5" xfId="36754"/>
    <cellStyle name="Total 2 3 2 5 5 6" xfId="36755"/>
    <cellStyle name="Total 2 3 2 5 5 7" xfId="36756"/>
    <cellStyle name="Total 2 3 2 5 6" xfId="36757"/>
    <cellStyle name="Total 2 3 2 5 6 2" xfId="36758"/>
    <cellStyle name="Total 2 3 2 5 6 2 2" xfId="36759"/>
    <cellStyle name="Total 2 3 2 5 6 2 3" xfId="36760"/>
    <cellStyle name="Total 2 3 2 5 6 2 4" xfId="36761"/>
    <cellStyle name="Total 2 3 2 5 6 3" xfId="36762"/>
    <cellStyle name="Total 2 3 2 5 6 3 2" xfId="36763"/>
    <cellStyle name="Total 2 3 2 5 6 3 3" xfId="36764"/>
    <cellStyle name="Total 2 3 2 5 6 3 4" xfId="36765"/>
    <cellStyle name="Total 2 3 2 5 6 4" xfId="36766"/>
    <cellStyle name="Total 2 3 2 5 6 4 2" xfId="36767"/>
    <cellStyle name="Total 2 3 2 5 6 4 3" xfId="36768"/>
    <cellStyle name="Total 2 3 2 5 6 4 4" xfId="36769"/>
    <cellStyle name="Total 2 3 2 5 6 5" xfId="36770"/>
    <cellStyle name="Total 2 3 2 5 6 6" xfId="36771"/>
    <cellStyle name="Total 2 3 2 5 6 7" xfId="36772"/>
    <cellStyle name="Total 2 3 2 5 7" xfId="36773"/>
    <cellStyle name="Total 2 3 2 5 7 2" xfId="36774"/>
    <cellStyle name="Total 2 3 2 5 7 3" xfId="36775"/>
    <cellStyle name="Total 2 3 2 5 7 4" xfId="36776"/>
    <cellStyle name="Total 2 3 2 5 8" xfId="36777"/>
    <cellStyle name="Total 2 3 2 5 8 2" xfId="36778"/>
    <cellStyle name="Total 2 3 2 5 8 3" xfId="36779"/>
    <cellStyle name="Total 2 3 2 5 8 4" xfId="36780"/>
    <cellStyle name="Total 2 3 2 5 9" xfId="36781"/>
    <cellStyle name="Total 2 3 2 5 9 2" xfId="36782"/>
    <cellStyle name="Total 2 3 2 5 9 3" xfId="36783"/>
    <cellStyle name="Total 2 3 2 5 9 4" xfId="36784"/>
    <cellStyle name="Total 2 3 2 6" xfId="36785"/>
    <cellStyle name="Total 2 3 2 6 2" xfId="36786"/>
    <cellStyle name="Total 2 3 2 6 2 2" xfId="36787"/>
    <cellStyle name="Total 2 3 2 6 2 3" xfId="36788"/>
    <cellStyle name="Total 2 3 2 6 2 4" xfId="36789"/>
    <cellStyle name="Total 2 3 2 6 3" xfId="36790"/>
    <cellStyle name="Total 2 3 2 6 3 2" xfId="36791"/>
    <cellStyle name="Total 2 3 2 6 3 3" xfId="36792"/>
    <cellStyle name="Total 2 3 2 6 3 4" xfId="36793"/>
    <cellStyle name="Total 2 3 2 6 4" xfId="36794"/>
    <cellStyle name="Total 2 3 2 6 4 2" xfId="36795"/>
    <cellStyle name="Total 2 3 2 6 4 3" xfId="36796"/>
    <cellStyle name="Total 2 3 2 6 4 4" xfId="36797"/>
    <cellStyle name="Total 2 3 2 6 5" xfId="36798"/>
    <cellStyle name="Total 2 3 2 6 6" xfId="36799"/>
    <cellStyle name="Total 2 3 2 6 7" xfId="36800"/>
    <cellStyle name="Total 2 3 2 7" xfId="36801"/>
    <cellStyle name="Total 2 3 2 7 2" xfId="36802"/>
    <cellStyle name="Total 2 3 2 7 2 2" xfId="36803"/>
    <cellStyle name="Total 2 3 2 7 2 3" xfId="36804"/>
    <cellStyle name="Total 2 3 2 7 2 4" xfId="36805"/>
    <cellStyle name="Total 2 3 2 7 3" xfId="36806"/>
    <cellStyle name="Total 2 3 2 7 3 2" xfId="36807"/>
    <cellStyle name="Total 2 3 2 7 3 3" xfId="36808"/>
    <cellStyle name="Total 2 3 2 7 3 4" xfId="36809"/>
    <cellStyle name="Total 2 3 2 7 4" xfId="36810"/>
    <cellStyle name="Total 2 3 2 7 4 2" xfId="36811"/>
    <cellStyle name="Total 2 3 2 7 4 3" xfId="36812"/>
    <cellStyle name="Total 2 3 2 7 4 4" xfId="36813"/>
    <cellStyle name="Total 2 3 2 7 5" xfId="36814"/>
    <cellStyle name="Total 2 3 2 7 6" xfId="36815"/>
    <cellStyle name="Total 2 3 2 7 7" xfId="36816"/>
    <cellStyle name="Total 2 3 2 8" xfId="36817"/>
    <cellStyle name="Total 2 3 2 8 2" xfId="36818"/>
    <cellStyle name="Total 2 3 2 8 2 2" xfId="36819"/>
    <cellStyle name="Total 2 3 2 8 2 3" xfId="36820"/>
    <cellStyle name="Total 2 3 2 8 2 4" xfId="36821"/>
    <cellStyle name="Total 2 3 2 8 3" xfId="36822"/>
    <cellStyle name="Total 2 3 2 8 3 2" xfId="36823"/>
    <cellStyle name="Total 2 3 2 8 3 3" xfId="36824"/>
    <cellStyle name="Total 2 3 2 8 3 4" xfId="36825"/>
    <cellStyle name="Total 2 3 2 8 4" xfId="36826"/>
    <cellStyle name="Total 2 3 2 8 4 2" xfId="36827"/>
    <cellStyle name="Total 2 3 2 8 4 3" xfId="36828"/>
    <cellStyle name="Total 2 3 2 8 4 4" xfId="36829"/>
    <cellStyle name="Total 2 3 2 8 5" xfId="36830"/>
    <cellStyle name="Total 2 3 2 8 6" xfId="36831"/>
    <cellStyle name="Total 2 3 2 8 7" xfId="36832"/>
    <cellStyle name="Total 2 3 2 9" xfId="36833"/>
    <cellStyle name="Total 2 3 2 9 2" xfId="36834"/>
    <cellStyle name="Total 2 3 2 9 2 2" xfId="36835"/>
    <cellStyle name="Total 2 3 2 9 2 3" xfId="36836"/>
    <cellStyle name="Total 2 3 2 9 2 4" xfId="36837"/>
    <cellStyle name="Total 2 3 2 9 3" xfId="36838"/>
    <cellStyle name="Total 2 3 2 9 3 2" xfId="36839"/>
    <cellStyle name="Total 2 3 2 9 3 3" xfId="36840"/>
    <cellStyle name="Total 2 3 2 9 3 4" xfId="36841"/>
    <cellStyle name="Total 2 3 2 9 4" xfId="36842"/>
    <cellStyle name="Total 2 3 2 9 4 2" xfId="36843"/>
    <cellStyle name="Total 2 3 2 9 4 3" xfId="36844"/>
    <cellStyle name="Total 2 3 2 9 4 4" xfId="36845"/>
    <cellStyle name="Total 2 3 2 9 5" xfId="36846"/>
    <cellStyle name="Total 2 3 2 9 6" xfId="36847"/>
    <cellStyle name="Total 2 3 2 9 7" xfId="36848"/>
    <cellStyle name="Total 2 3 3" xfId="1091"/>
    <cellStyle name="Total 2 3 3 10" xfId="36849"/>
    <cellStyle name="Total 2 3 3 11" xfId="36850"/>
    <cellStyle name="Total 2 3 3 12" xfId="36851"/>
    <cellStyle name="Total 2 3 3 2" xfId="36852"/>
    <cellStyle name="Total 2 3 3 2 2" xfId="36853"/>
    <cellStyle name="Total 2 3 3 2 2 2" xfId="36854"/>
    <cellStyle name="Total 2 3 3 2 2 3" xfId="36855"/>
    <cellStyle name="Total 2 3 3 2 2 4" xfId="36856"/>
    <cellStyle name="Total 2 3 3 2 3" xfId="36857"/>
    <cellStyle name="Total 2 3 3 2 3 2" xfId="36858"/>
    <cellStyle name="Total 2 3 3 2 3 3" xfId="36859"/>
    <cellStyle name="Total 2 3 3 2 3 4" xfId="36860"/>
    <cellStyle name="Total 2 3 3 2 4" xfId="36861"/>
    <cellStyle name="Total 2 3 3 2 4 2" xfId="36862"/>
    <cellStyle name="Total 2 3 3 2 4 3" xfId="36863"/>
    <cellStyle name="Total 2 3 3 2 4 4" xfId="36864"/>
    <cellStyle name="Total 2 3 3 2 5" xfId="36865"/>
    <cellStyle name="Total 2 3 3 2 6" xfId="36866"/>
    <cellStyle name="Total 2 3 3 2 7" xfId="36867"/>
    <cellStyle name="Total 2 3 3 3" xfId="36868"/>
    <cellStyle name="Total 2 3 3 3 2" xfId="36869"/>
    <cellStyle name="Total 2 3 3 3 2 2" xfId="36870"/>
    <cellStyle name="Total 2 3 3 3 2 3" xfId="36871"/>
    <cellStyle name="Total 2 3 3 3 2 4" xfId="36872"/>
    <cellStyle name="Total 2 3 3 3 3" xfId="36873"/>
    <cellStyle name="Total 2 3 3 3 3 2" xfId="36874"/>
    <cellStyle name="Total 2 3 3 3 3 3" xfId="36875"/>
    <cellStyle name="Total 2 3 3 3 3 4" xfId="36876"/>
    <cellStyle name="Total 2 3 3 3 4" xfId="36877"/>
    <cellStyle name="Total 2 3 3 3 4 2" xfId="36878"/>
    <cellStyle name="Total 2 3 3 3 4 3" xfId="36879"/>
    <cellStyle name="Total 2 3 3 3 4 4" xfId="36880"/>
    <cellStyle name="Total 2 3 3 3 5" xfId="36881"/>
    <cellStyle name="Total 2 3 3 3 6" xfId="36882"/>
    <cellStyle name="Total 2 3 3 3 7" xfId="36883"/>
    <cellStyle name="Total 2 3 3 4" xfId="36884"/>
    <cellStyle name="Total 2 3 3 4 2" xfId="36885"/>
    <cellStyle name="Total 2 3 3 4 2 2" xfId="36886"/>
    <cellStyle name="Total 2 3 3 4 2 3" xfId="36887"/>
    <cellStyle name="Total 2 3 3 4 2 4" xfId="36888"/>
    <cellStyle name="Total 2 3 3 4 3" xfId="36889"/>
    <cellStyle name="Total 2 3 3 4 3 2" xfId="36890"/>
    <cellStyle name="Total 2 3 3 4 3 3" xfId="36891"/>
    <cellStyle name="Total 2 3 3 4 3 4" xfId="36892"/>
    <cellStyle name="Total 2 3 3 4 4" xfId="36893"/>
    <cellStyle name="Total 2 3 3 4 4 2" xfId="36894"/>
    <cellStyle name="Total 2 3 3 4 4 3" xfId="36895"/>
    <cellStyle name="Total 2 3 3 4 4 4" xfId="36896"/>
    <cellStyle name="Total 2 3 3 4 5" xfId="36897"/>
    <cellStyle name="Total 2 3 3 4 6" xfId="36898"/>
    <cellStyle name="Total 2 3 3 4 7" xfId="36899"/>
    <cellStyle name="Total 2 3 3 5" xfId="36900"/>
    <cellStyle name="Total 2 3 3 5 2" xfId="36901"/>
    <cellStyle name="Total 2 3 3 5 2 2" xfId="36902"/>
    <cellStyle name="Total 2 3 3 5 2 3" xfId="36903"/>
    <cellStyle name="Total 2 3 3 5 2 4" xfId="36904"/>
    <cellStyle name="Total 2 3 3 5 3" xfId="36905"/>
    <cellStyle name="Total 2 3 3 5 3 2" xfId="36906"/>
    <cellStyle name="Total 2 3 3 5 3 3" xfId="36907"/>
    <cellStyle name="Total 2 3 3 5 3 4" xfId="36908"/>
    <cellStyle name="Total 2 3 3 5 4" xfId="36909"/>
    <cellStyle name="Total 2 3 3 5 4 2" xfId="36910"/>
    <cellStyle name="Total 2 3 3 5 4 3" xfId="36911"/>
    <cellStyle name="Total 2 3 3 5 4 4" xfId="36912"/>
    <cellStyle name="Total 2 3 3 5 5" xfId="36913"/>
    <cellStyle name="Total 2 3 3 5 6" xfId="36914"/>
    <cellStyle name="Total 2 3 3 5 7" xfId="36915"/>
    <cellStyle name="Total 2 3 3 6" xfId="36916"/>
    <cellStyle name="Total 2 3 3 6 2" xfId="36917"/>
    <cellStyle name="Total 2 3 3 6 2 2" xfId="36918"/>
    <cellStyle name="Total 2 3 3 6 2 3" xfId="36919"/>
    <cellStyle name="Total 2 3 3 6 2 4" xfId="36920"/>
    <cellStyle name="Total 2 3 3 6 3" xfId="36921"/>
    <cellStyle name="Total 2 3 3 6 3 2" xfId="36922"/>
    <cellStyle name="Total 2 3 3 6 3 3" xfId="36923"/>
    <cellStyle name="Total 2 3 3 6 3 4" xfId="36924"/>
    <cellStyle name="Total 2 3 3 6 4" xfId="36925"/>
    <cellStyle name="Total 2 3 3 6 4 2" xfId="36926"/>
    <cellStyle name="Total 2 3 3 6 4 3" xfId="36927"/>
    <cellStyle name="Total 2 3 3 6 4 4" xfId="36928"/>
    <cellStyle name="Total 2 3 3 6 5" xfId="36929"/>
    <cellStyle name="Total 2 3 3 6 6" xfId="36930"/>
    <cellStyle name="Total 2 3 3 6 7" xfId="36931"/>
    <cellStyle name="Total 2 3 3 7" xfId="36932"/>
    <cellStyle name="Total 2 3 3 7 2" xfId="36933"/>
    <cellStyle name="Total 2 3 3 7 3" xfId="36934"/>
    <cellStyle name="Total 2 3 3 7 4" xfId="36935"/>
    <cellStyle name="Total 2 3 3 8" xfId="36936"/>
    <cellStyle name="Total 2 3 3 8 2" xfId="36937"/>
    <cellStyle name="Total 2 3 3 8 3" xfId="36938"/>
    <cellStyle name="Total 2 3 3 8 4" xfId="36939"/>
    <cellStyle name="Total 2 3 3 9" xfId="36940"/>
    <cellStyle name="Total 2 3 3 9 2" xfId="36941"/>
    <cellStyle name="Total 2 3 3 9 3" xfId="36942"/>
    <cellStyle name="Total 2 3 3 9 4" xfId="36943"/>
    <cellStyle name="Total 2 3 4" xfId="3183"/>
    <cellStyle name="Total 2 3 5" xfId="3128"/>
    <cellStyle name="Total 2 3 6" xfId="3138"/>
    <cellStyle name="Total 2 3 7" xfId="3266"/>
    <cellStyle name="Total 2 4" xfId="155"/>
    <cellStyle name="Total 2 4 2" xfId="653"/>
    <cellStyle name="Total 2 4 2 10" xfId="36944"/>
    <cellStyle name="Total 2 4 2 10 2" xfId="36945"/>
    <cellStyle name="Total 2 4 2 10 2 2" xfId="36946"/>
    <cellStyle name="Total 2 4 2 10 2 3" xfId="36947"/>
    <cellStyle name="Total 2 4 2 10 2 4" xfId="36948"/>
    <cellStyle name="Total 2 4 2 10 3" xfId="36949"/>
    <cellStyle name="Total 2 4 2 10 3 2" xfId="36950"/>
    <cellStyle name="Total 2 4 2 10 3 3" xfId="36951"/>
    <cellStyle name="Total 2 4 2 10 3 4" xfId="36952"/>
    <cellStyle name="Total 2 4 2 10 4" xfId="36953"/>
    <cellStyle name="Total 2 4 2 10 4 2" xfId="36954"/>
    <cellStyle name="Total 2 4 2 10 4 3" xfId="36955"/>
    <cellStyle name="Total 2 4 2 10 4 4" xfId="36956"/>
    <cellStyle name="Total 2 4 2 10 5" xfId="36957"/>
    <cellStyle name="Total 2 4 2 10 6" xfId="36958"/>
    <cellStyle name="Total 2 4 2 10 7" xfId="36959"/>
    <cellStyle name="Total 2 4 2 11" xfId="36960"/>
    <cellStyle name="Total 2 4 2 11 2" xfId="36961"/>
    <cellStyle name="Total 2 4 2 11 2 2" xfId="36962"/>
    <cellStyle name="Total 2 4 2 11 2 3" xfId="36963"/>
    <cellStyle name="Total 2 4 2 11 2 4" xfId="36964"/>
    <cellStyle name="Total 2 4 2 11 3" xfId="36965"/>
    <cellStyle name="Total 2 4 2 11 3 2" xfId="36966"/>
    <cellStyle name="Total 2 4 2 11 3 3" xfId="36967"/>
    <cellStyle name="Total 2 4 2 11 3 4" xfId="36968"/>
    <cellStyle name="Total 2 4 2 11 4" xfId="36969"/>
    <cellStyle name="Total 2 4 2 11 4 2" xfId="36970"/>
    <cellStyle name="Total 2 4 2 11 4 3" xfId="36971"/>
    <cellStyle name="Total 2 4 2 11 4 4" xfId="36972"/>
    <cellStyle name="Total 2 4 2 11 5" xfId="36973"/>
    <cellStyle name="Total 2 4 2 11 6" xfId="36974"/>
    <cellStyle name="Total 2 4 2 11 7" xfId="36975"/>
    <cellStyle name="Total 2 4 2 12" xfId="36976"/>
    <cellStyle name="Total 2 4 2 12 2" xfId="36977"/>
    <cellStyle name="Total 2 4 2 12 2 2" xfId="36978"/>
    <cellStyle name="Total 2 4 2 12 2 3" xfId="36979"/>
    <cellStyle name="Total 2 4 2 12 2 4" xfId="36980"/>
    <cellStyle name="Total 2 4 2 12 3" xfId="36981"/>
    <cellStyle name="Total 2 4 2 12 3 2" xfId="36982"/>
    <cellStyle name="Total 2 4 2 12 3 3" xfId="36983"/>
    <cellStyle name="Total 2 4 2 12 3 4" xfId="36984"/>
    <cellStyle name="Total 2 4 2 12 4" xfId="36985"/>
    <cellStyle name="Total 2 4 2 12 4 2" xfId="36986"/>
    <cellStyle name="Total 2 4 2 12 4 3" xfId="36987"/>
    <cellStyle name="Total 2 4 2 12 4 4" xfId="36988"/>
    <cellStyle name="Total 2 4 2 12 5" xfId="36989"/>
    <cellStyle name="Total 2 4 2 12 6" xfId="36990"/>
    <cellStyle name="Total 2 4 2 12 7" xfId="36991"/>
    <cellStyle name="Total 2 4 2 13" xfId="36992"/>
    <cellStyle name="Total 2 4 2 13 2" xfId="36993"/>
    <cellStyle name="Total 2 4 2 13 2 2" xfId="36994"/>
    <cellStyle name="Total 2 4 2 13 2 3" xfId="36995"/>
    <cellStyle name="Total 2 4 2 13 2 4" xfId="36996"/>
    <cellStyle name="Total 2 4 2 13 3" xfId="36997"/>
    <cellStyle name="Total 2 4 2 13 3 2" xfId="36998"/>
    <cellStyle name="Total 2 4 2 13 3 3" xfId="36999"/>
    <cellStyle name="Total 2 4 2 13 3 4" xfId="37000"/>
    <cellStyle name="Total 2 4 2 13 4" xfId="37001"/>
    <cellStyle name="Total 2 4 2 13 4 2" xfId="37002"/>
    <cellStyle name="Total 2 4 2 13 4 3" xfId="37003"/>
    <cellStyle name="Total 2 4 2 13 4 4" xfId="37004"/>
    <cellStyle name="Total 2 4 2 13 5" xfId="37005"/>
    <cellStyle name="Total 2 4 2 13 6" xfId="37006"/>
    <cellStyle name="Total 2 4 2 13 7" xfId="37007"/>
    <cellStyle name="Total 2 4 2 14" xfId="37008"/>
    <cellStyle name="Total 2 4 2 14 2" xfId="37009"/>
    <cellStyle name="Total 2 4 2 14 3" xfId="37010"/>
    <cellStyle name="Total 2 4 2 14 4" xfId="37011"/>
    <cellStyle name="Total 2 4 2 15" xfId="37012"/>
    <cellStyle name="Total 2 4 2 15 2" xfId="37013"/>
    <cellStyle name="Total 2 4 2 15 3" xfId="37014"/>
    <cellStyle name="Total 2 4 2 15 4" xfId="37015"/>
    <cellStyle name="Total 2 4 2 16" xfId="37016"/>
    <cellStyle name="Total 2 4 2 16 2" xfId="37017"/>
    <cellStyle name="Total 2 4 2 16 3" xfId="37018"/>
    <cellStyle name="Total 2 4 2 16 4" xfId="37019"/>
    <cellStyle name="Total 2 4 2 17" xfId="37020"/>
    <cellStyle name="Total 2 4 2 18" xfId="37021"/>
    <cellStyle name="Total 2 4 2 19" xfId="37022"/>
    <cellStyle name="Total 2 4 2 2" xfId="907"/>
    <cellStyle name="Total 2 4 2 2 10" xfId="37023"/>
    <cellStyle name="Total 2 4 2 2 11" xfId="37024"/>
    <cellStyle name="Total 2 4 2 2 12" xfId="37025"/>
    <cellStyle name="Total 2 4 2 2 2" xfId="37026"/>
    <cellStyle name="Total 2 4 2 2 2 2" xfId="37027"/>
    <cellStyle name="Total 2 4 2 2 2 2 2" xfId="37028"/>
    <cellStyle name="Total 2 4 2 2 2 2 3" xfId="37029"/>
    <cellStyle name="Total 2 4 2 2 2 2 4" xfId="37030"/>
    <cellStyle name="Total 2 4 2 2 2 3" xfId="37031"/>
    <cellStyle name="Total 2 4 2 2 2 3 2" xfId="37032"/>
    <cellStyle name="Total 2 4 2 2 2 3 3" xfId="37033"/>
    <cellStyle name="Total 2 4 2 2 2 3 4" xfId="37034"/>
    <cellStyle name="Total 2 4 2 2 2 4" xfId="37035"/>
    <cellStyle name="Total 2 4 2 2 2 4 2" xfId="37036"/>
    <cellStyle name="Total 2 4 2 2 2 4 3" xfId="37037"/>
    <cellStyle name="Total 2 4 2 2 2 4 4" xfId="37038"/>
    <cellStyle name="Total 2 4 2 2 2 5" xfId="37039"/>
    <cellStyle name="Total 2 4 2 2 2 6" xfId="37040"/>
    <cellStyle name="Total 2 4 2 2 2 7" xfId="37041"/>
    <cellStyle name="Total 2 4 2 2 3" xfId="37042"/>
    <cellStyle name="Total 2 4 2 2 3 2" xfId="37043"/>
    <cellStyle name="Total 2 4 2 2 3 2 2" xfId="37044"/>
    <cellStyle name="Total 2 4 2 2 3 2 3" xfId="37045"/>
    <cellStyle name="Total 2 4 2 2 3 2 4" xfId="37046"/>
    <cellStyle name="Total 2 4 2 2 3 3" xfId="37047"/>
    <cellStyle name="Total 2 4 2 2 3 3 2" xfId="37048"/>
    <cellStyle name="Total 2 4 2 2 3 3 3" xfId="37049"/>
    <cellStyle name="Total 2 4 2 2 3 3 4" xfId="37050"/>
    <cellStyle name="Total 2 4 2 2 3 4" xfId="37051"/>
    <cellStyle name="Total 2 4 2 2 3 4 2" xfId="37052"/>
    <cellStyle name="Total 2 4 2 2 3 4 3" xfId="37053"/>
    <cellStyle name="Total 2 4 2 2 3 4 4" xfId="37054"/>
    <cellStyle name="Total 2 4 2 2 3 5" xfId="37055"/>
    <cellStyle name="Total 2 4 2 2 3 6" xfId="37056"/>
    <cellStyle name="Total 2 4 2 2 3 7" xfId="37057"/>
    <cellStyle name="Total 2 4 2 2 4" xfId="37058"/>
    <cellStyle name="Total 2 4 2 2 4 2" xfId="37059"/>
    <cellStyle name="Total 2 4 2 2 4 2 2" xfId="37060"/>
    <cellStyle name="Total 2 4 2 2 4 2 3" xfId="37061"/>
    <cellStyle name="Total 2 4 2 2 4 2 4" xfId="37062"/>
    <cellStyle name="Total 2 4 2 2 4 3" xfId="37063"/>
    <cellStyle name="Total 2 4 2 2 4 3 2" xfId="37064"/>
    <cellStyle name="Total 2 4 2 2 4 3 3" xfId="37065"/>
    <cellStyle name="Total 2 4 2 2 4 3 4" xfId="37066"/>
    <cellStyle name="Total 2 4 2 2 4 4" xfId="37067"/>
    <cellStyle name="Total 2 4 2 2 4 4 2" xfId="37068"/>
    <cellStyle name="Total 2 4 2 2 4 4 3" xfId="37069"/>
    <cellStyle name="Total 2 4 2 2 4 4 4" xfId="37070"/>
    <cellStyle name="Total 2 4 2 2 4 5" xfId="37071"/>
    <cellStyle name="Total 2 4 2 2 4 6" xfId="37072"/>
    <cellStyle name="Total 2 4 2 2 4 7" xfId="37073"/>
    <cellStyle name="Total 2 4 2 2 5" xfId="37074"/>
    <cellStyle name="Total 2 4 2 2 5 2" xfId="37075"/>
    <cellStyle name="Total 2 4 2 2 5 2 2" xfId="37076"/>
    <cellStyle name="Total 2 4 2 2 5 2 3" xfId="37077"/>
    <cellStyle name="Total 2 4 2 2 5 2 4" xfId="37078"/>
    <cellStyle name="Total 2 4 2 2 5 3" xfId="37079"/>
    <cellStyle name="Total 2 4 2 2 5 3 2" xfId="37080"/>
    <cellStyle name="Total 2 4 2 2 5 3 3" xfId="37081"/>
    <cellStyle name="Total 2 4 2 2 5 3 4" xfId="37082"/>
    <cellStyle name="Total 2 4 2 2 5 4" xfId="37083"/>
    <cellStyle name="Total 2 4 2 2 5 4 2" xfId="37084"/>
    <cellStyle name="Total 2 4 2 2 5 4 3" xfId="37085"/>
    <cellStyle name="Total 2 4 2 2 5 4 4" xfId="37086"/>
    <cellStyle name="Total 2 4 2 2 5 5" xfId="37087"/>
    <cellStyle name="Total 2 4 2 2 5 6" xfId="37088"/>
    <cellStyle name="Total 2 4 2 2 5 7" xfId="37089"/>
    <cellStyle name="Total 2 4 2 2 6" xfId="37090"/>
    <cellStyle name="Total 2 4 2 2 6 2" xfId="37091"/>
    <cellStyle name="Total 2 4 2 2 6 2 2" xfId="37092"/>
    <cellStyle name="Total 2 4 2 2 6 2 3" xfId="37093"/>
    <cellStyle name="Total 2 4 2 2 6 2 4" xfId="37094"/>
    <cellStyle name="Total 2 4 2 2 6 3" xfId="37095"/>
    <cellStyle name="Total 2 4 2 2 6 3 2" xfId="37096"/>
    <cellStyle name="Total 2 4 2 2 6 3 3" xfId="37097"/>
    <cellStyle name="Total 2 4 2 2 6 3 4" xfId="37098"/>
    <cellStyle name="Total 2 4 2 2 6 4" xfId="37099"/>
    <cellStyle name="Total 2 4 2 2 6 4 2" xfId="37100"/>
    <cellStyle name="Total 2 4 2 2 6 4 3" xfId="37101"/>
    <cellStyle name="Total 2 4 2 2 6 4 4" xfId="37102"/>
    <cellStyle name="Total 2 4 2 2 6 5" xfId="37103"/>
    <cellStyle name="Total 2 4 2 2 6 6" xfId="37104"/>
    <cellStyle name="Total 2 4 2 2 6 7" xfId="37105"/>
    <cellStyle name="Total 2 4 2 2 7" xfId="37106"/>
    <cellStyle name="Total 2 4 2 2 7 2" xfId="37107"/>
    <cellStyle name="Total 2 4 2 2 7 3" xfId="37108"/>
    <cellStyle name="Total 2 4 2 2 7 4" xfId="37109"/>
    <cellStyle name="Total 2 4 2 2 8" xfId="37110"/>
    <cellStyle name="Total 2 4 2 2 8 2" xfId="37111"/>
    <cellStyle name="Total 2 4 2 2 8 3" xfId="37112"/>
    <cellStyle name="Total 2 4 2 2 8 4" xfId="37113"/>
    <cellStyle name="Total 2 4 2 2 9" xfId="37114"/>
    <cellStyle name="Total 2 4 2 2 9 2" xfId="37115"/>
    <cellStyle name="Total 2 4 2 2 9 3" xfId="37116"/>
    <cellStyle name="Total 2 4 2 2 9 4" xfId="37117"/>
    <cellStyle name="Total 2 4 2 3" xfId="803"/>
    <cellStyle name="Total 2 4 2 3 10" xfId="37118"/>
    <cellStyle name="Total 2 4 2 3 11" xfId="37119"/>
    <cellStyle name="Total 2 4 2 3 12" xfId="37120"/>
    <cellStyle name="Total 2 4 2 3 2" xfId="37121"/>
    <cellStyle name="Total 2 4 2 3 2 2" xfId="37122"/>
    <cellStyle name="Total 2 4 2 3 2 2 2" xfId="37123"/>
    <cellStyle name="Total 2 4 2 3 2 2 3" xfId="37124"/>
    <cellStyle name="Total 2 4 2 3 2 2 4" xfId="37125"/>
    <cellStyle name="Total 2 4 2 3 2 3" xfId="37126"/>
    <cellStyle name="Total 2 4 2 3 2 3 2" xfId="37127"/>
    <cellStyle name="Total 2 4 2 3 2 3 3" xfId="37128"/>
    <cellStyle name="Total 2 4 2 3 2 3 4" xfId="37129"/>
    <cellStyle name="Total 2 4 2 3 2 4" xfId="37130"/>
    <cellStyle name="Total 2 4 2 3 2 4 2" xfId="37131"/>
    <cellStyle name="Total 2 4 2 3 2 4 3" xfId="37132"/>
    <cellStyle name="Total 2 4 2 3 2 4 4" xfId="37133"/>
    <cellStyle name="Total 2 4 2 3 2 5" xfId="37134"/>
    <cellStyle name="Total 2 4 2 3 2 6" xfId="37135"/>
    <cellStyle name="Total 2 4 2 3 2 7" xfId="37136"/>
    <cellStyle name="Total 2 4 2 3 3" xfId="37137"/>
    <cellStyle name="Total 2 4 2 3 3 2" xfId="37138"/>
    <cellStyle name="Total 2 4 2 3 3 2 2" xfId="37139"/>
    <cellStyle name="Total 2 4 2 3 3 2 3" xfId="37140"/>
    <cellStyle name="Total 2 4 2 3 3 2 4" xfId="37141"/>
    <cellStyle name="Total 2 4 2 3 3 3" xfId="37142"/>
    <cellStyle name="Total 2 4 2 3 3 3 2" xfId="37143"/>
    <cellStyle name="Total 2 4 2 3 3 3 3" xfId="37144"/>
    <cellStyle name="Total 2 4 2 3 3 3 4" xfId="37145"/>
    <cellStyle name="Total 2 4 2 3 3 4" xfId="37146"/>
    <cellStyle name="Total 2 4 2 3 3 4 2" xfId="37147"/>
    <cellStyle name="Total 2 4 2 3 3 4 3" xfId="37148"/>
    <cellStyle name="Total 2 4 2 3 3 4 4" xfId="37149"/>
    <cellStyle name="Total 2 4 2 3 3 5" xfId="37150"/>
    <cellStyle name="Total 2 4 2 3 3 6" xfId="37151"/>
    <cellStyle name="Total 2 4 2 3 3 7" xfId="37152"/>
    <cellStyle name="Total 2 4 2 3 4" xfId="37153"/>
    <cellStyle name="Total 2 4 2 3 4 2" xfId="37154"/>
    <cellStyle name="Total 2 4 2 3 4 2 2" xfId="37155"/>
    <cellStyle name="Total 2 4 2 3 4 2 3" xfId="37156"/>
    <cellStyle name="Total 2 4 2 3 4 2 4" xfId="37157"/>
    <cellStyle name="Total 2 4 2 3 4 3" xfId="37158"/>
    <cellStyle name="Total 2 4 2 3 4 3 2" xfId="37159"/>
    <cellStyle name="Total 2 4 2 3 4 3 3" xfId="37160"/>
    <cellStyle name="Total 2 4 2 3 4 3 4" xfId="37161"/>
    <cellStyle name="Total 2 4 2 3 4 4" xfId="37162"/>
    <cellStyle name="Total 2 4 2 3 4 4 2" xfId="37163"/>
    <cellStyle name="Total 2 4 2 3 4 4 3" xfId="37164"/>
    <cellStyle name="Total 2 4 2 3 4 4 4" xfId="37165"/>
    <cellStyle name="Total 2 4 2 3 4 5" xfId="37166"/>
    <cellStyle name="Total 2 4 2 3 4 6" xfId="37167"/>
    <cellStyle name="Total 2 4 2 3 4 7" xfId="37168"/>
    <cellStyle name="Total 2 4 2 3 5" xfId="37169"/>
    <cellStyle name="Total 2 4 2 3 5 2" xfId="37170"/>
    <cellStyle name="Total 2 4 2 3 5 2 2" xfId="37171"/>
    <cellStyle name="Total 2 4 2 3 5 2 3" xfId="37172"/>
    <cellStyle name="Total 2 4 2 3 5 2 4" xfId="37173"/>
    <cellStyle name="Total 2 4 2 3 5 3" xfId="37174"/>
    <cellStyle name="Total 2 4 2 3 5 3 2" xfId="37175"/>
    <cellStyle name="Total 2 4 2 3 5 3 3" xfId="37176"/>
    <cellStyle name="Total 2 4 2 3 5 3 4" xfId="37177"/>
    <cellStyle name="Total 2 4 2 3 5 4" xfId="37178"/>
    <cellStyle name="Total 2 4 2 3 5 4 2" xfId="37179"/>
    <cellStyle name="Total 2 4 2 3 5 4 3" xfId="37180"/>
    <cellStyle name="Total 2 4 2 3 5 4 4" xfId="37181"/>
    <cellStyle name="Total 2 4 2 3 5 5" xfId="37182"/>
    <cellStyle name="Total 2 4 2 3 5 6" xfId="37183"/>
    <cellStyle name="Total 2 4 2 3 5 7" xfId="37184"/>
    <cellStyle name="Total 2 4 2 3 6" xfId="37185"/>
    <cellStyle name="Total 2 4 2 3 6 2" xfId="37186"/>
    <cellStyle name="Total 2 4 2 3 6 2 2" xfId="37187"/>
    <cellStyle name="Total 2 4 2 3 6 2 3" xfId="37188"/>
    <cellStyle name="Total 2 4 2 3 6 2 4" xfId="37189"/>
    <cellStyle name="Total 2 4 2 3 6 3" xfId="37190"/>
    <cellStyle name="Total 2 4 2 3 6 3 2" xfId="37191"/>
    <cellStyle name="Total 2 4 2 3 6 3 3" xfId="37192"/>
    <cellStyle name="Total 2 4 2 3 6 3 4" xfId="37193"/>
    <cellStyle name="Total 2 4 2 3 6 4" xfId="37194"/>
    <cellStyle name="Total 2 4 2 3 6 4 2" xfId="37195"/>
    <cellStyle name="Total 2 4 2 3 6 4 3" xfId="37196"/>
    <cellStyle name="Total 2 4 2 3 6 4 4" xfId="37197"/>
    <cellStyle name="Total 2 4 2 3 6 5" xfId="37198"/>
    <cellStyle name="Total 2 4 2 3 6 6" xfId="37199"/>
    <cellStyle name="Total 2 4 2 3 6 7" xfId="37200"/>
    <cellStyle name="Total 2 4 2 3 7" xfId="37201"/>
    <cellStyle name="Total 2 4 2 3 7 2" xfId="37202"/>
    <cellStyle name="Total 2 4 2 3 7 3" xfId="37203"/>
    <cellStyle name="Total 2 4 2 3 7 4" xfId="37204"/>
    <cellStyle name="Total 2 4 2 3 8" xfId="37205"/>
    <cellStyle name="Total 2 4 2 3 8 2" xfId="37206"/>
    <cellStyle name="Total 2 4 2 3 8 3" xfId="37207"/>
    <cellStyle name="Total 2 4 2 3 8 4" xfId="37208"/>
    <cellStyle name="Total 2 4 2 3 9" xfId="37209"/>
    <cellStyle name="Total 2 4 2 3 9 2" xfId="37210"/>
    <cellStyle name="Total 2 4 2 3 9 3" xfId="37211"/>
    <cellStyle name="Total 2 4 2 3 9 4" xfId="37212"/>
    <cellStyle name="Total 2 4 2 4" xfId="977"/>
    <cellStyle name="Total 2 4 2 4 10" xfId="37213"/>
    <cellStyle name="Total 2 4 2 4 11" xfId="37214"/>
    <cellStyle name="Total 2 4 2 4 12" xfId="37215"/>
    <cellStyle name="Total 2 4 2 4 2" xfId="37216"/>
    <cellStyle name="Total 2 4 2 4 2 2" xfId="37217"/>
    <cellStyle name="Total 2 4 2 4 2 2 2" xfId="37218"/>
    <cellStyle name="Total 2 4 2 4 2 2 3" xfId="37219"/>
    <cellStyle name="Total 2 4 2 4 2 2 4" xfId="37220"/>
    <cellStyle name="Total 2 4 2 4 2 3" xfId="37221"/>
    <cellStyle name="Total 2 4 2 4 2 3 2" xfId="37222"/>
    <cellStyle name="Total 2 4 2 4 2 3 3" xfId="37223"/>
    <cellStyle name="Total 2 4 2 4 2 3 4" xfId="37224"/>
    <cellStyle name="Total 2 4 2 4 2 4" xfId="37225"/>
    <cellStyle name="Total 2 4 2 4 2 4 2" xfId="37226"/>
    <cellStyle name="Total 2 4 2 4 2 4 3" xfId="37227"/>
    <cellStyle name="Total 2 4 2 4 2 4 4" xfId="37228"/>
    <cellStyle name="Total 2 4 2 4 2 5" xfId="37229"/>
    <cellStyle name="Total 2 4 2 4 2 6" xfId="37230"/>
    <cellStyle name="Total 2 4 2 4 2 7" xfId="37231"/>
    <cellStyle name="Total 2 4 2 4 3" xfId="37232"/>
    <cellStyle name="Total 2 4 2 4 3 2" xfId="37233"/>
    <cellStyle name="Total 2 4 2 4 3 2 2" xfId="37234"/>
    <cellStyle name="Total 2 4 2 4 3 2 3" xfId="37235"/>
    <cellStyle name="Total 2 4 2 4 3 2 4" xfId="37236"/>
    <cellStyle name="Total 2 4 2 4 3 3" xfId="37237"/>
    <cellStyle name="Total 2 4 2 4 3 3 2" xfId="37238"/>
    <cellStyle name="Total 2 4 2 4 3 3 3" xfId="37239"/>
    <cellStyle name="Total 2 4 2 4 3 3 4" xfId="37240"/>
    <cellStyle name="Total 2 4 2 4 3 4" xfId="37241"/>
    <cellStyle name="Total 2 4 2 4 3 4 2" xfId="37242"/>
    <cellStyle name="Total 2 4 2 4 3 4 3" xfId="37243"/>
    <cellStyle name="Total 2 4 2 4 3 4 4" xfId="37244"/>
    <cellStyle name="Total 2 4 2 4 3 5" xfId="37245"/>
    <cellStyle name="Total 2 4 2 4 3 6" xfId="37246"/>
    <cellStyle name="Total 2 4 2 4 3 7" xfId="37247"/>
    <cellStyle name="Total 2 4 2 4 4" xfId="37248"/>
    <cellStyle name="Total 2 4 2 4 4 2" xfId="37249"/>
    <cellStyle name="Total 2 4 2 4 4 2 2" xfId="37250"/>
    <cellStyle name="Total 2 4 2 4 4 2 3" xfId="37251"/>
    <cellStyle name="Total 2 4 2 4 4 2 4" xfId="37252"/>
    <cellStyle name="Total 2 4 2 4 4 3" xfId="37253"/>
    <cellStyle name="Total 2 4 2 4 4 3 2" xfId="37254"/>
    <cellStyle name="Total 2 4 2 4 4 3 3" xfId="37255"/>
    <cellStyle name="Total 2 4 2 4 4 3 4" xfId="37256"/>
    <cellStyle name="Total 2 4 2 4 4 4" xfId="37257"/>
    <cellStyle name="Total 2 4 2 4 4 4 2" xfId="37258"/>
    <cellStyle name="Total 2 4 2 4 4 4 3" xfId="37259"/>
    <cellStyle name="Total 2 4 2 4 4 4 4" xfId="37260"/>
    <cellStyle name="Total 2 4 2 4 4 5" xfId="37261"/>
    <cellStyle name="Total 2 4 2 4 4 6" xfId="37262"/>
    <cellStyle name="Total 2 4 2 4 4 7" xfId="37263"/>
    <cellStyle name="Total 2 4 2 4 5" xfId="37264"/>
    <cellStyle name="Total 2 4 2 4 5 2" xfId="37265"/>
    <cellStyle name="Total 2 4 2 4 5 2 2" xfId="37266"/>
    <cellStyle name="Total 2 4 2 4 5 2 3" xfId="37267"/>
    <cellStyle name="Total 2 4 2 4 5 2 4" xfId="37268"/>
    <cellStyle name="Total 2 4 2 4 5 3" xfId="37269"/>
    <cellStyle name="Total 2 4 2 4 5 3 2" xfId="37270"/>
    <cellStyle name="Total 2 4 2 4 5 3 3" xfId="37271"/>
    <cellStyle name="Total 2 4 2 4 5 3 4" xfId="37272"/>
    <cellStyle name="Total 2 4 2 4 5 4" xfId="37273"/>
    <cellStyle name="Total 2 4 2 4 5 4 2" xfId="37274"/>
    <cellStyle name="Total 2 4 2 4 5 4 3" xfId="37275"/>
    <cellStyle name="Total 2 4 2 4 5 4 4" xfId="37276"/>
    <cellStyle name="Total 2 4 2 4 5 5" xfId="37277"/>
    <cellStyle name="Total 2 4 2 4 5 6" xfId="37278"/>
    <cellStyle name="Total 2 4 2 4 5 7" xfId="37279"/>
    <cellStyle name="Total 2 4 2 4 6" xfId="37280"/>
    <cellStyle name="Total 2 4 2 4 6 2" xfId="37281"/>
    <cellStyle name="Total 2 4 2 4 6 2 2" xfId="37282"/>
    <cellStyle name="Total 2 4 2 4 6 2 3" xfId="37283"/>
    <cellStyle name="Total 2 4 2 4 6 2 4" xfId="37284"/>
    <cellStyle name="Total 2 4 2 4 6 3" xfId="37285"/>
    <cellStyle name="Total 2 4 2 4 6 3 2" xfId="37286"/>
    <cellStyle name="Total 2 4 2 4 6 3 3" xfId="37287"/>
    <cellStyle name="Total 2 4 2 4 6 3 4" xfId="37288"/>
    <cellStyle name="Total 2 4 2 4 6 4" xfId="37289"/>
    <cellStyle name="Total 2 4 2 4 6 4 2" xfId="37290"/>
    <cellStyle name="Total 2 4 2 4 6 4 3" xfId="37291"/>
    <cellStyle name="Total 2 4 2 4 6 4 4" xfId="37292"/>
    <cellStyle name="Total 2 4 2 4 6 5" xfId="37293"/>
    <cellStyle name="Total 2 4 2 4 6 6" xfId="37294"/>
    <cellStyle name="Total 2 4 2 4 6 7" xfId="37295"/>
    <cellStyle name="Total 2 4 2 4 7" xfId="37296"/>
    <cellStyle name="Total 2 4 2 4 7 2" xfId="37297"/>
    <cellStyle name="Total 2 4 2 4 7 3" xfId="37298"/>
    <cellStyle name="Total 2 4 2 4 7 4" xfId="37299"/>
    <cellStyle name="Total 2 4 2 4 8" xfId="37300"/>
    <cellStyle name="Total 2 4 2 4 8 2" xfId="37301"/>
    <cellStyle name="Total 2 4 2 4 8 3" xfId="37302"/>
    <cellStyle name="Total 2 4 2 4 8 4" xfId="37303"/>
    <cellStyle name="Total 2 4 2 4 9" xfId="37304"/>
    <cellStyle name="Total 2 4 2 4 9 2" xfId="37305"/>
    <cellStyle name="Total 2 4 2 4 9 3" xfId="37306"/>
    <cellStyle name="Total 2 4 2 4 9 4" xfId="37307"/>
    <cellStyle name="Total 2 4 2 5" xfId="37308"/>
    <cellStyle name="Total 2 4 2 5 10" xfId="37309"/>
    <cellStyle name="Total 2 4 2 5 11" xfId="37310"/>
    <cellStyle name="Total 2 4 2 5 12" xfId="37311"/>
    <cellStyle name="Total 2 4 2 5 2" xfId="37312"/>
    <cellStyle name="Total 2 4 2 5 2 2" xfId="37313"/>
    <cellStyle name="Total 2 4 2 5 2 2 2" xfId="37314"/>
    <cellStyle name="Total 2 4 2 5 2 2 3" xfId="37315"/>
    <cellStyle name="Total 2 4 2 5 2 2 4" xfId="37316"/>
    <cellStyle name="Total 2 4 2 5 2 3" xfId="37317"/>
    <cellStyle name="Total 2 4 2 5 2 3 2" xfId="37318"/>
    <cellStyle name="Total 2 4 2 5 2 3 3" xfId="37319"/>
    <cellStyle name="Total 2 4 2 5 2 3 4" xfId="37320"/>
    <cellStyle name="Total 2 4 2 5 2 4" xfId="37321"/>
    <cellStyle name="Total 2 4 2 5 2 4 2" xfId="37322"/>
    <cellStyle name="Total 2 4 2 5 2 4 3" xfId="37323"/>
    <cellStyle name="Total 2 4 2 5 2 4 4" xfId="37324"/>
    <cellStyle name="Total 2 4 2 5 2 5" xfId="37325"/>
    <cellStyle name="Total 2 4 2 5 2 6" xfId="37326"/>
    <cellStyle name="Total 2 4 2 5 2 7" xfId="37327"/>
    <cellStyle name="Total 2 4 2 5 3" xfId="37328"/>
    <cellStyle name="Total 2 4 2 5 3 2" xfId="37329"/>
    <cellStyle name="Total 2 4 2 5 3 2 2" xfId="37330"/>
    <cellStyle name="Total 2 4 2 5 3 2 3" xfId="37331"/>
    <cellStyle name="Total 2 4 2 5 3 2 4" xfId="37332"/>
    <cellStyle name="Total 2 4 2 5 3 3" xfId="37333"/>
    <cellStyle name="Total 2 4 2 5 3 3 2" xfId="37334"/>
    <cellStyle name="Total 2 4 2 5 3 3 3" xfId="37335"/>
    <cellStyle name="Total 2 4 2 5 3 3 4" xfId="37336"/>
    <cellStyle name="Total 2 4 2 5 3 4" xfId="37337"/>
    <cellStyle name="Total 2 4 2 5 3 4 2" xfId="37338"/>
    <cellStyle name="Total 2 4 2 5 3 4 3" xfId="37339"/>
    <cellStyle name="Total 2 4 2 5 3 4 4" xfId="37340"/>
    <cellStyle name="Total 2 4 2 5 3 5" xfId="37341"/>
    <cellStyle name="Total 2 4 2 5 3 6" xfId="37342"/>
    <cellStyle name="Total 2 4 2 5 3 7" xfId="37343"/>
    <cellStyle name="Total 2 4 2 5 4" xfId="37344"/>
    <cellStyle name="Total 2 4 2 5 4 2" xfId="37345"/>
    <cellStyle name="Total 2 4 2 5 4 2 2" xfId="37346"/>
    <cellStyle name="Total 2 4 2 5 4 2 3" xfId="37347"/>
    <cellStyle name="Total 2 4 2 5 4 2 4" xfId="37348"/>
    <cellStyle name="Total 2 4 2 5 4 3" xfId="37349"/>
    <cellStyle name="Total 2 4 2 5 4 3 2" xfId="37350"/>
    <cellStyle name="Total 2 4 2 5 4 3 3" xfId="37351"/>
    <cellStyle name="Total 2 4 2 5 4 3 4" xfId="37352"/>
    <cellStyle name="Total 2 4 2 5 4 4" xfId="37353"/>
    <cellStyle name="Total 2 4 2 5 4 4 2" xfId="37354"/>
    <cellStyle name="Total 2 4 2 5 4 4 3" xfId="37355"/>
    <cellStyle name="Total 2 4 2 5 4 4 4" xfId="37356"/>
    <cellStyle name="Total 2 4 2 5 4 5" xfId="37357"/>
    <cellStyle name="Total 2 4 2 5 4 6" xfId="37358"/>
    <cellStyle name="Total 2 4 2 5 4 7" xfId="37359"/>
    <cellStyle name="Total 2 4 2 5 5" xfId="37360"/>
    <cellStyle name="Total 2 4 2 5 5 2" xfId="37361"/>
    <cellStyle name="Total 2 4 2 5 5 2 2" xfId="37362"/>
    <cellStyle name="Total 2 4 2 5 5 2 3" xfId="37363"/>
    <cellStyle name="Total 2 4 2 5 5 2 4" xfId="37364"/>
    <cellStyle name="Total 2 4 2 5 5 3" xfId="37365"/>
    <cellStyle name="Total 2 4 2 5 5 3 2" xfId="37366"/>
    <cellStyle name="Total 2 4 2 5 5 3 3" xfId="37367"/>
    <cellStyle name="Total 2 4 2 5 5 3 4" xfId="37368"/>
    <cellStyle name="Total 2 4 2 5 5 4" xfId="37369"/>
    <cellStyle name="Total 2 4 2 5 5 4 2" xfId="37370"/>
    <cellStyle name="Total 2 4 2 5 5 4 3" xfId="37371"/>
    <cellStyle name="Total 2 4 2 5 5 4 4" xfId="37372"/>
    <cellStyle name="Total 2 4 2 5 5 5" xfId="37373"/>
    <cellStyle name="Total 2 4 2 5 5 6" xfId="37374"/>
    <cellStyle name="Total 2 4 2 5 5 7" xfId="37375"/>
    <cellStyle name="Total 2 4 2 5 6" xfId="37376"/>
    <cellStyle name="Total 2 4 2 5 6 2" xfId="37377"/>
    <cellStyle name="Total 2 4 2 5 6 2 2" xfId="37378"/>
    <cellStyle name="Total 2 4 2 5 6 2 3" xfId="37379"/>
    <cellStyle name="Total 2 4 2 5 6 2 4" xfId="37380"/>
    <cellStyle name="Total 2 4 2 5 6 3" xfId="37381"/>
    <cellStyle name="Total 2 4 2 5 6 3 2" xfId="37382"/>
    <cellStyle name="Total 2 4 2 5 6 3 3" xfId="37383"/>
    <cellStyle name="Total 2 4 2 5 6 3 4" xfId="37384"/>
    <cellStyle name="Total 2 4 2 5 6 4" xfId="37385"/>
    <cellStyle name="Total 2 4 2 5 6 4 2" xfId="37386"/>
    <cellStyle name="Total 2 4 2 5 6 4 3" xfId="37387"/>
    <cellStyle name="Total 2 4 2 5 6 4 4" xfId="37388"/>
    <cellStyle name="Total 2 4 2 5 6 5" xfId="37389"/>
    <cellStyle name="Total 2 4 2 5 6 6" xfId="37390"/>
    <cellStyle name="Total 2 4 2 5 6 7" xfId="37391"/>
    <cellStyle name="Total 2 4 2 5 7" xfId="37392"/>
    <cellStyle name="Total 2 4 2 5 7 2" xfId="37393"/>
    <cellStyle name="Total 2 4 2 5 7 3" xfId="37394"/>
    <cellStyle name="Total 2 4 2 5 7 4" xfId="37395"/>
    <cellStyle name="Total 2 4 2 5 8" xfId="37396"/>
    <cellStyle name="Total 2 4 2 5 8 2" xfId="37397"/>
    <cellStyle name="Total 2 4 2 5 8 3" xfId="37398"/>
    <cellStyle name="Total 2 4 2 5 8 4" xfId="37399"/>
    <cellStyle name="Total 2 4 2 5 9" xfId="37400"/>
    <cellStyle name="Total 2 4 2 5 9 2" xfId="37401"/>
    <cellStyle name="Total 2 4 2 5 9 3" xfId="37402"/>
    <cellStyle name="Total 2 4 2 5 9 4" xfId="37403"/>
    <cellStyle name="Total 2 4 2 6" xfId="37404"/>
    <cellStyle name="Total 2 4 2 6 2" xfId="37405"/>
    <cellStyle name="Total 2 4 2 6 2 2" xfId="37406"/>
    <cellStyle name="Total 2 4 2 6 2 3" xfId="37407"/>
    <cellStyle name="Total 2 4 2 6 2 4" xfId="37408"/>
    <cellStyle name="Total 2 4 2 6 3" xfId="37409"/>
    <cellStyle name="Total 2 4 2 6 3 2" xfId="37410"/>
    <cellStyle name="Total 2 4 2 6 3 3" xfId="37411"/>
    <cellStyle name="Total 2 4 2 6 3 4" xfId="37412"/>
    <cellStyle name="Total 2 4 2 6 4" xfId="37413"/>
    <cellStyle name="Total 2 4 2 6 4 2" xfId="37414"/>
    <cellStyle name="Total 2 4 2 6 4 3" xfId="37415"/>
    <cellStyle name="Total 2 4 2 6 4 4" xfId="37416"/>
    <cellStyle name="Total 2 4 2 6 5" xfId="37417"/>
    <cellStyle name="Total 2 4 2 6 6" xfId="37418"/>
    <cellStyle name="Total 2 4 2 6 7" xfId="37419"/>
    <cellStyle name="Total 2 4 2 7" xfId="37420"/>
    <cellStyle name="Total 2 4 2 7 2" xfId="37421"/>
    <cellStyle name="Total 2 4 2 7 2 2" xfId="37422"/>
    <cellStyle name="Total 2 4 2 7 2 3" xfId="37423"/>
    <cellStyle name="Total 2 4 2 7 2 4" xfId="37424"/>
    <cellStyle name="Total 2 4 2 7 3" xfId="37425"/>
    <cellStyle name="Total 2 4 2 7 3 2" xfId="37426"/>
    <cellStyle name="Total 2 4 2 7 3 3" xfId="37427"/>
    <cellStyle name="Total 2 4 2 7 3 4" xfId="37428"/>
    <cellStyle name="Total 2 4 2 7 4" xfId="37429"/>
    <cellStyle name="Total 2 4 2 7 4 2" xfId="37430"/>
    <cellStyle name="Total 2 4 2 7 4 3" xfId="37431"/>
    <cellStyle name="Total 2 4 2 7 4 4" xfId="37432"/>
    <cellStyle name="Total 2 4 2 7 5" xfId="37433"/>
    <cellStyle name="Total 2 4 2 7 6" xfId="37434"/>
    <cellStyle name="Total 2 4 2 7 7" xfId="37435"/>
    <cellStyle name="Total 2 4 2 8" xfId="37436"/>
    <cellStyle name="Total 2 4 2 8 2" xfId="37437"/>
    <cellStyle name="Total 2 4 2 8 2 2" xfId="37438"/>
    <cellStyle name="Total 2 4 2 8 2 3" xfId="37439"/>
    <cellStyle name="Total 2 4 2 8 2 4" xfId="37440"/>
    <cellStyle name="Total 2 4 2 8 3" xfId="37441"/>
    <cellStyle name="Total 2 4 2 8 3 2" xfId="37442"/>
    <cellStyle name="Total 2 4 2 8 3 3" xfId="37443"/>
    <cellStyle name="Total 2 4 2 8 3 4" xfId="37444"/>
    <cellStyle name="Total 2 4 2 8 4" xfId="37445"/>
    <cellStyle name="Total 2 4 2 8 4 2" xfId="37446"/>
    <cellStyle name="Total 2 4 2 8 4 3" xfId="37447"/>
    <cellStyle name="Total 2 4 2 8 4 4" xfId="37448"/>
    <cellStyle name="Total 2 4 2 8 5" xfId="37449"/>
    <cellStyle name="Total 2 4 2 8 6" xfId="37450"/>
    <cellStyle name="Total 2 4 2 8 7" xfId="37451"/>
    <cellStyle name="Total 2 4 2 9" xfId="37452"/>
    <cellStyle name="Total 2 4 2 9 2" xfId="37453"/>
    <cellStyle name="Total 2 4 2 9 2 2" xfId="37454"/>
    <cellStyle name="Total 2 4 2 9 2 3" xfId="37455"/>
    <cellStyle name="Total 2 4 2 9 2 4" xfId="37456"/>
    <cellStyle name="Total 2 4 2 9 3" xfId="37457"/>
    <cellStyle name="Total 2 4 2 9 3 2" xfId="37458"/>
    <cellStyle name="Total 2 4 2 9 3 3" xfId="37459"/>
    <cellStyle name="Total 2 4 2 9 3 4" xfId="37460"/>
    <cellStyle name="Total 2 4 2 9 4" xfId="37461"/>
    <cellStyle name="Total 2 4 2 9 4 2" xfId="37462"/>
    <cellStyle name="Total 2 4 2 9 4 3" xfId="37463"/>
    <cellStyle name="Total 2 4 2 9 4 4" xfId="37464"/>
    <cellStyle name="Total 2 4 2 9 5" xfId="37465"/>
    <cellStyle name="Total 2 4 2 9 6" xfId="37466"/>
    <cellStyle name="Total 2 4 2 9 7" xfId="37467"/>
    <cellStyle name="Total 2 4 3" xfId="1092"/>
    <cellStyle name="Total 2 4 3 10" xfId="37468"/>
    <cellStyle name="Total 2 4 3 11" xfId="37469"/>
    <cellStyle name="Total 2 4 3 12" xfId="37470"/>
    <cellStyle name="Total 2 4 3 2" xfId="37471"/>
    <cellStyle name="Total 2 4 3 2 2" xfId="37472"/>
    <cellStyle name="Total 2 4 3 2 2 2" xfId="37473"/>
    <cellStyle name="Total 2 4 3 2 2 3" xfId="37474"/>
    <cellStyle name="Total 2 4 3 2 2 4" xfId="37475"/>
    <cellStyle name="Total 2 4 3 2 3" xfId="37476"/>
    <cellStyle name="Total 2 4 3 2 3 2" xfId="37477"/>
    <cellStyle name="Total 2 4 3 2 3 3" xfId="37478"/>
    <cellStyle name="Total 2 4 3 2 3 4" xfId="37479"/>
    <cellStyle name="Total 2 4 3 2 4" xfId="37480"/>
    <cellStyle name="Total 2 4 3 2 4 2" xfId="37481"/>
    <cellStyle name="Total 2 4 3 2 4 3" xfId="37482"/>
    <cellStyle name="Total 2 4 3 2 4 4" xfId="37483"/>
    <cellStyle name="Total 2 4 3 2 5" xfId="37484"/>
    <cellStyle name="Total 2 4 3 2 6" xfId="37485"/>
    <cellStyle name="Total 2 4 3 2 7" xfId="37486"/>
    <cellStyle name="Total 2 4 3 3" xfId="37487"/>
    <cellStyle name="Total 2 4 3 3 2" xfId="37488"/>
    <cellStyle name="Total 2 4 3 3 2 2" xfId="37489"/>
    <cellStyle name="Total 2 4 3 3 2 3" xfId="37490"/>
    <cellStyle name="Total 2 4 3 3 2 4" xfId="37491"/>
    <cellStyle name="Total 2 4 3 3 3" xfId="37492"/>
    <cellStyle name="Total 2 4 3 3 3 2" xfId="37493"/>
    <cellStyle name="Total 2 4 3 3 3 3" xfId="37494"/>
    <cellStyle name="Total 2 4 3 3 3 4" xfId="37495"/>
    <cellStyle name="Total 2 4 3 3 4" xfId="37496"/>
    <cellStyle name="Total 2 4 3 3 4 2" xfId="37497"/>
    <cellStyle name="Total 2 4 3 3 4 3" xfId="37498"/>
    <cellStyle name="Total 2 4 3 3 4 4" xfId="37499"/>
    <cellStyle name="Total 2 4 3 3 5" xfId="37500"/>
    <cellStyle name="Total 2 4 3 3 6" xfId="37501"/>
    <cellStyle name="Total 2 4 3 3 7" xfId="37502"/>
    <cellStyle name="Total 2 4 3 4" xfId="37503"/>
    <cellStyle name="Total 2 4 3 4 2" xfId="37504"/>
    <cellStyle name="Total 2 4 3 4 2 2" xfId="37505"/>
    <cellStyle name="Total 2 4 3 4 2 3" xfId="37506"/>
    <cellStyle name="Total 2 4 3 4 2 4" xfId="37507"/>
    <cellStyle name="Total 2 4 3 4 3" xfId="37508"/>
    <cellStyle name="Total 2 4 3 4 3 2" xfId="37509"/>
    <cellStyle name="Total 2 4 3 4 3 3" xfId="37510"/>
    <cellStyle name="Total 2 4 3 4 3 4" xfId="37511"/>
    <cellStyle name="Total 2 4 3 4 4" xfId="37512"/>
    <cellStyle name="Total 2 4 3 4 4 2" xfId="37513"/>
    <cellStyle name="Total 2 4 3 4 4 3" xfId="37514"/>
    <cellStyle name="Total 2 4 3 4 4 4" xfId="37515"/>
    <cellStyle name="Total 2 4 3 4 5" xfId="37516"/>
    <cellStyle name="Total 2 4 3 4 6" xfId="37517"/>
    <cellStyle name="Total 2 4 3 4 7" xfId="37518"/>
    <cellStyle name="Total 2 4 3 5" xfId="37519"/>
    <cellStyle name="Total 2 4 3 5 2" xfId="37520"/>
    <cellStyle name="Total 2 4 3 5 2 2" xfId="37521"/>
    <cellStyle name="Total 2 4 3 5 2 3" xfId="37522"/>
    <cellStyle name="Total 2 4 3 5 2 4" xfId="37523"/>
    <cellStyle name="Total 2 4 3 5 3" xfId="37524"/>
    <cellStyle name="Total 2 4 3 5 3 2" xfId="37525"/>
    <cellStyle name="Total 2 4 3 5 3 3" xfId="37526"/>
    <cellStyle name="Total 2 4 3 5 3 4" xfId="37527"/>
    <cellStyle name="Total 2 4 3 5 4" xfId="37528"/>
    <cellStyle name="Total 2 4 3 5 4 2" xfId="37529"/>
    <cellStyle name="Total 2 4 3 5 4 3" xfId="37530"/>
    <cellStyle name="Total 2 4 3 5 4 4" xfId="37531"/>
    <cellStyle name="Total 2 4 3 5 5" xfId="37532"/>
    <cellStyle name="Total 2 4 3 5 6" xfId="37533"/>
    <cellStyle name="Total 2 4 3 5 7" xfId="37534"/>
    <cellStyle name="Total 2 4 3 6" xfId="37535"/>
    <cellStyle name="Total 2 4 3 6 2" xfId="37536"/>
    <cellStyle name="Total 2 4 3 6 2 2" xfId="37537"/>
    <cellStyle name="Total 2 4 3 6 2 3" xfId="37538"/>
    <cellStyle name="Total 2 4 3 6 2 4" xfId="37539"/>
    <cellStyle name="Total 2 4 3 6 3" xfId="37540"/>
    <cellStyle name="Total 2 4 3 6 3 2" xfId="37541"/>
    <cellStyle name="Total 2 4 3 6 3 3" xfId="37542"/>
    <cellStyle name="Total 2 4 3 6 3 4" xfId="37543"/>
    <cellStyle name="Total 2 4 3 6 4" xfId="37544"/>
    <cellStyle name="Total 2 4 3 6 4 2" xfId="37545"/>
    <cellStyle name="Total 2 4 3 6 4 3" xfId="37546"/>
    <cellStyle name="Total 2 4 3 6 4 4" xfId="37547"/>
    <cellStyle name="Total 2 4 3 6 5" xfId="37548"/>
    <cellStyle name="Total 2 4 3 6 6" xfId="37549"/>
    <cellStyle name="Total 2 4 3 6 7" xfId="37550"/>
    <cellStyle name="Total 2 4 3 7" xfId="37551"/>
    <cellStyle name="Total 2 4 3 7 2" xfId="37552"/>
    <cellStyle name="Total 2 4 3 7 3" xfId="37553"/>
    <cellStyle name="Total 2 4 3 7 4" xfId="37554"/>
    <cellStyle name="Total 2 4 3 8" xfId="37555"/>
    <cellStyle name="Total 2 4 3 8 2" xfId="37556"/>
    <cellStyle name="Total 2 4 3 8 3" xfId="37557"/>
    <cellStyle name="Total 2 4 3 8 4" xfId="37558"/>
    <cellStyle name="Total 2 4 3 9" xfId="37559"/>
    <cellStyle name="Total 2 4 3 9 2" xfId="37560"/>
    <cellStyle name="Total 2 4 3 9 3" xfId="37561"/>
    <cellStyle name="Total 2 4 3 9 4" xfId="37562"/>
    <cellStyle name="Total 2 4 4" xfId="1035"/>
    <cellStyle name="Total 2 4 5" xfId="3140"/>
    <cellStyle name="Total 2 4 6" xfId="1118"/>
    <cellStyle name="Total 2 4 7" xfId="3177"/>
    <cellStyle name="Total 2 5" xfId="156"/>
    <cellStyle name="Total 2 5 2" xfId="654"/>
    <cellStyle name="Total 2 5 2 10" xfId="37563"/>
    <cellStyle name="Total 2 5 2 10 2" xfId="37564"/>
    <cellStyle name="Total 2 5 2 10 2 2" xfId="37565"/>
    <cellStyle name="Total 2 5 2 10 2 3" xfId="37566"/>
    <cellStyle name="Total 2 5 2 10 2 4" xfId="37567"/>
    <cellStyle name="Total 2 5 2 10 3" xfId="37568"/>
    <cellStyle name="Total 2 5 2 10 3 2" xfId="37569"/>
    <cellStyle name="Total 2 5 2 10 3 3" xfId="37570"/>
    <cellStyle name="Total 2 5 2 10 3 4" xfId="37571"/>
    <cellStyle name="Total 2 5 2 10 4" xfId="37572"/>
    <cellStyle name="Total 2 5 2 10 4 2" xfId="37573"/>
    <cellStyle name="Total 2 5 2 10 4 3" xfId="37574"/>
    <cellStyle name="Total 2 5 2 10 4 4" xfId="37575"/>
    <cellStyle name="Total 2 5 2 10 5" xfId="37576"/>
    <cellStyle name="Total 2 5 2 10 6" xfId="37577"/>
    <cellStyle name="Total 2 5 2 10 7" xfId="37578"/>
    <cellStyle name="Total 2 5 2 11" xfId="37579"/>
    <cellStyle name="Total 2 5 2 11 2" xfId="37580"/>
    <cellStyle name="Total 2 5 2 11 2 2" xfId="37581"/>
    <cellStyle name="Total 2 5 2 11 2 3" xfId="37582"/>
    <cellStyle name="Total 2 5 2 11 2 4" xfId="37583"/>
    <cellStyle name="Total 2 5 2 11 3" xfId="37584"/>
    <cellStyle name="Total 2 5 2 11 3 2" xfId="37585"/>
    <cellStyle name="Total 2 5 2 11 3 3" xfId="37586"/>
    <cellStyle name="Total 2 5 2 11 3 4" xfId="37587"/>
    <cellStyle name="Total 2 5 2 11 4" xfId="37588"/>
    <cellStyle name="Total 2 5 2 11 4 2" xfId="37589"/>
    <cellStyle name="Total 2 5 2 11 4 3" xfId="37590"/>
    <cellStyle name="Total 2 5 2 11 4 4" xfId="37591"/>
    <cellStyle name="Total 2 5 2 11 5" xfId="37592"/>
    <cellStyle name="Total 2 5 2 11 6" xfId="37593"/>
    <cellStyle name="Total 2 5 2 11 7" xfId="37594"/>
    <cellStyle name="Total 2 5 2 12" xfId="37595"/>
    <cellStyle name="Total 2 5 2 12 2" xfId="37596"/>
    <cellStyle name="Total 2 5 2 12 2 2" xfId="37597"/>
    <cellStyle name="Total 2 5 2 12 2 3" xfId="37598"/>
    <cellStyle name="Total 2 5 2 12 2 4" xfId="37599"/>
    <cellStyle name="Total 2 5 2 12 3" xfId="37600"/>
    <cellStyle name="Total 2 5 2 12 3 2" xfId="37601"/>
    <cellStyle name="Total 2 5 2 12 3 3" xfId="37602"/>
    <cellStyle name="Total 2 5 2 12 3 4" xfId="37603"/>
    <cellStyle name="Total 2 5 2 12 4" xfId="37604"/>
    <cellStyle name="Total 2 5 2 12 4 2" xfId="37605"/>
    <cellStyle name="Total 2 5 2 12 4 3" xfId="37606"/>
    <cellStyle name="Total 2 5 2 12 4 4" xfId="37607"/>
    <cellStyle name="Total 2 5 2 12 5" xfId="37608"/>
    <cellStyle name="Total 2 5 2 12 6" xfId="37609"/>
    <cellStyle name="Total 2 5 2 12 7" xfId="37610"/>
    <cellStyle name="Total 2 5 2 13" xfId="37611"/>
    <cellStyle name="Total 2 5 2 13 2" xfId="37612"/>
    <cellStyle name="Total 2 5 2 13 2 2" xfId="37613"/>
    <cellStyle name="Total 2 5 2 13 2 3" xfId="37614"/>
    <cellStyle name="Total 2 5 2 13 2 4" xfId="37615"/>
    <cellStyle name="Total 2 5 2 13 3" xfId="37616"/>
    <cellStyle name="Total 2 5 2 13 3 2" xfId="37617"/>
    <cellStyle name="Total 2 5 2 13 3 3" xfId="37618"/>
    <cellStyle name="Total 2 5 2 13 3 4" xfId="37619"/>
    <cellStyle name="Total 2 5 2 13 4" xfId="37620"/>
    <cellStyle name="Total 2 5 2 13 4 2" xfId="37621"/>
    <cellStyle name="Total 2 5 2 13 4 3" xfId="37622"/>
    <cellStyle name="Total 2 5 2 13 4 4" xfId="37623"/>
    <cellStyle name="Total 2 5 2 13 5" xfId="37624"/>
    <cellStyle name="Total 2 5 2 13 6" xfId="37625"/>
    <cellStyle name="Total 2 5 2 13 7" xfId="37626"/>
    <cellStyle name="Total 2 5 2 14" xfId="37627"/>
    <cellStyle name="Total 2 5 2 14 2" xfId="37628"/>
    <cellStyle name="Total 2 5 2 14 3" xfId="37629"/>
    <cellStyle name="Total 2 5 2 14 4" xfId="37630"/>
    <cellStyle name="Total 2 5 2 15" xfId="37631"/>
    <cellStyle name="Total 2 5 2 15 2" xfId="37632"/>
    <cellStyle name="Total 2 5 2 15 3" xfId="37633"/>
    <cellStyle name="Total 2 5 2 15 4" xfId="37634"/>
    <cellStyle name="Total 2 5 2 16" xfId="37635"/>
    <cellStyle name="Total 2 5 2 16 2" xfId="37636"/>
    <cellStyle name="Total 2 5 2 16 3" xfId="37637"/>
    <cellStyle name="Total 2 5 2 16 4" xfId="37638"/>
    <cellStyle name="Total 2 5 2 17" xfId="37639"/>
    <cellStyle name="Total 2 5 2 18" xfId="37640"/>
    <cellStyle name="Total 2 5 2 19" xfId="37641"/>
    <cellStyle name="Total 2 5 2 2" xfId="908"/>
    <cellStyle name="Total 2 5 2 2 10" xfId="37642"/>
    <cellStyle name="Total 2 5 2 2 11" xfId="37643"/>
    <cellStyle name="Total 2 5 2 2 12" xfId="37644"/>
    <cellStyle name="Total 2 5 2 2 2" xfId="37645"/>
    <cellStyle name="Total 2 5 2 2 2 2" xfId="37646"/>
    <cellStyle name="Total 2 5 2 2 2 2 2" xfId="37647"/>
    <cellStyle name="Total 2 5 2 2 2 2 3" xfId="37648"/>
    <cellStyle name="Total 2 5 2 2 2 2 4" xfId="37649"/>
    <cellStyle name="Total 2 5 2 2 2 3" xfId="37650"/>
    <cellStyle name="Total 2 5 2 2 2 3 2" xfId="37651"/>
    <cellStyle name="Total 2 5 2 2 2 3 3" xfId="37652"/>
    <cellStyle name="Total 2 5 2 2 2 3 4" xfId="37653"/>
    <cellStyle name="Total 2 5 2 2 2 4" xfId="37654"/>
    <cellStyle name="Total 2 5 2 2 2 4 2" xfId="37655"/>
    <cellStyle name="Total 2 5 2 2 2 4 3" xfId="37656"/>
    <cellStyle name="Total 2 5 2 2 2 4 4" xfId="37657"/>
    <cellStyle name="Total 2 5 2 2 2 5" xfId="37658"/>
    <cellStyle name="Total 2 5 2 2 2 6" xfId="37659"/>
    <cellStyle name="Total 2 5 2 2 2 7" xfId="37660"/>
    <cellStyle name="Total 2 5 2 2 3" xfId="37661"/>
    <cellStyle name="Total 2 5 2 2 3 2" xfId="37662"/>
    <cellStyle name="Total 2 5 2 2 3 2 2" xfId="37663"/>
    <cellStyle name="Total 2 5 2 2 3 2 3" xfId="37664"/>
    <cellStyle name="Total 2 5 2 2 3 2 4" xfId="37665"/>
    <cellStyle name="Total 2 5 2 2 3 3" xfId="37666"/>
    <cellStyle name="Total 2 5 2 2 3 3 2" xfId="37667"/>
    <cellStyle name="Total 2 5 2 2 3 3 3" xfId="37668"/>
    <cellStyle name="Total 2 5 2 2 3 3 4" xfId="37669"/>
    <cellStyle name="Total 2 5 2 2 3 4" xfId="37670"/>
    <cellStyle name="Total 2 5 2 2 3 4 2" xfId="37671"/>
    <cellStyle name="Total 2 5 2 2 3 4 3" xfId="37672"/>
    <cellStyle name="Total 2 5 2 2 3 4 4" xfId="37673"/>
    <cellStyle name="Total 2 5 2 2 3 5" xfId="37674"/>
    <cellStyle name="Total 2 5 2 2 3 6" xfId="37675"/>
    <cellStyle name="Total 2 5 2 2 3 7" xfId="37676"/>
    <cellStyle name="Total 2 5 2 2 4" xfId="37677"/>
    <cellStyle name="Total 2 5 2 2 4 2" xfId="37678"/>
    <cellStyle name="Total 2 5 2 2 4 2 2" xfId="37679"/>
    <cellStyle name="Total 2 5 2 2 4 2 3" xfId="37680"/>
    <cellStyle name="Total 2 5 2 2 4 2 4" xfId="37681"/>
    <cellStyle name="Total 2 5 2 2 4 3" xfId="37682"/>
    <cellStyle name="Total 2 5 2 2 4 3 2" xfId="37683"/>
    <cellStyle name="Total 2 5 2 2 4 3 3" xfId="37684"/>
    <cellStyle name="Total 2 5 2 2 4 3 4" xfId="37685"/>
    <cellStyle name="Total 2 5 2 2 4 4" xfId="37686"/>
    <cellStyle name="Total 2 5 2 2 4 4 2" xfId="37687"/>
    <cellStyle name="Total 2 5 2 2 4 4 3" xfId="37688"/>
    <cellStyle name="Total 2 5 2 2 4 4 4" xfId="37689"/>
    <cellStyle name="Total 2 5 2 2 4 5" xfId="37690"/>
    <cellStyle name="Total 2 5 2 2 4 6" xfId="37691"/>
    <cellStyle name="Total 2 5 2 2 4 7" xfId="37692"/>
    <cellStyle name="Total 2 5 2 2 5" xfId="37693"/>
    <cellStyle name="Total 2 5 2 2 5 2" xfId="37694"/>
    <cellStyle name="Total 2 5 2 2 5 2 2" xfId="37695"/>
    <cellStyle name="Total 2 5 2 2 5 2 3" xfId="37696"/>
    <cellStyle name="Total 2 5 2 2 5 2 4" xfId="37697"/>
    <cellStyle name="Total 2 5 2 2 5 3" xfId="37698"/>
    <cellStyle name="Total 2 5 2 2 5 3 2" xfId="37699"/>
    <cellStyle name="Total 2 5 2 2 5 3 3" xfId="37700"/>
    <cellStyle name="Total 2 5 2 2 5 3 4" xfId="37701"/>
    <cellStyle name="Total 2 5 2 2 5 4" xfId="37702"/>
    <cellStyle name="Total 2 5 2 2 5 4 2" xfId="37703"/>
    <cellStyle name="Total 2 5 2 2 5 4 3" xfId="37704"/>
    <cellStyle name="Total 2 5 2 2 5 4 4" xfId="37705"/>
    <cellStyle name="Total 2 5 2 2 5 5" xfId="37706"/>
    <cellStyle name="Total 2 5 2 2 5 6" xfId="37707"/>
    <cellStyle name="Total 2 5 2 2 5 7" xfId="37708"/>
    <cellStyle name="Total 2 5 2 2 6" xfId="37709"/>
    <cellStyle name="Total 2 5 2 2 6 2" xfId="37710"/>
    <cellStyle name="Total 2 5 2 2 6 2 2" xfId="37711"/>
    <cellStyle name="Total 2 5 2 2 6 2 3" xfId="37712"/>
    <cellStyle name="Total 2 5 2 2 6 2 4" xfId="37713"/>
    <cellStyle name="Total 2 5 2 2 6 3" xfId="37714"/>
    <cellStyle name="Total 2 5 2 2 6 3 2" xfId="37715"/>
    <cellStyle name="Total 2 5 2 2 6 3 3" xfId="37716"/>
    <cellStyle name="Total 2 5 2 2 6 3 4" xfId="37717"/>
    <cellStyle name="Total 2 5 2 2 6 4" xfId="37718"/>
    <cellStyle name="Total 2 5 2 2 6 4 2" xfId="37719"/>
    <cellStyle name="Total 2 5 2 2 6 4 3" xfId="37720"/>
    <cellStyle name="Total 2 5 2 2 6 4 4" xfId="37721"/>
    <cellStyle name="Total 2 5 2 2 6 5" xfId="37722"/>
    <cellStyle name="Total 2 5 2 2 6 6" xfId="37723"/>
    <cellStyle name="Total 2 5 2 2 6 7" xfId="37724"/>
    <cellStyle name="Total 2 5 2 2 7" xfId="37725"/>
    <cellStyle name="Total 2 5 2 2 7 2" xfId="37726"/>
    <cellStyle name="Total 2 5 2 2 7 3" xfId="37727"/>
    <cellStyle name="Total 2 5 2 2 7 4" xfId="37728"/>
    <cellStyle name="Total 2 5 2 2 8" xfId="37729"/>
    <cellStyle name="Total 2 5 2 2 8 2" xfId="37730"/>
    <cellStyle name="Total 2 5 2 2 8 3" xfId="37731"/>
    <cellStyle name="Total 2 5 2 2 8 4" xfId="37732"/>
    <cellStyle name="Total 2 5 2 2 9" xfId="37733"/>
    <cellStyle name="Total 2 5 2 2 9 2" xfId="37734"/>
    <cellStyle name="Total 2 5 2 2 9 3" xfId="37735"/>
    <cellStyle name="Total 2 5 2 2 9 4" xfId="37736"/>
    <cellStyle name="Total 2 5 2 3" xfId="847"/>
    <cellStyle name="Total 2 5 2 3 10" xfId="37737"/>
    <cellStyle name="Total 2 5 2 3 11" xfId="37738"/>
    <cellStyle name="Total 2 5 2 3 12" xfId="37739"/>
    <cellStyle name="Total 2 5 2 3 2" xfId="37740"/>
    <cellStyle name="Total 2 5 2 3 2 2" xfId="37741"/>
    <cellStyle name="Total 2 5 2 3 2 2 2" xfId="37742"/>
    <cellStyle name="Total 2 5 2 3 2 2 3" xfId="37743"/>
    <cellStyle name="Total 2 5 2 3 2 2 4" xfId="37744"/>
    <cellStyle name="Total 2 5 2 3 2 3" xfId="37745"/>
    <cellStyle name="Total 2 5 2 3 2 3 2" xfId="37746"/>
    <cellStyle name="Total 2 5 2 3 2 3 3" xfId="37747"/>
    <cellStyle name="Total 2 5 2 3 2 3 4" xfId="37748"/>
    <cellStyle name="Total 2 5 2 3 2 4" xfId="37749"/>
    <cellStyle name="Total 2 5 2 3 2 4 2" xfId="37750"/>
    <cellStyle name="Total 2 5 2 3 2 4 3" xfId="37751"/>
    <cellStyle name="Total 2 5 2 3 2 4 4" xfId="37752"/>
    <cellStyle name="Total 2 5 2 3 2 5" xfId="37753"/>
    <cellStyle name="Total 2 5 2 3 2 6" xfId="37754"/>
    <cellStyle name="Total 2 5 2 3 2 7" xfId="37755"/>
    <cellStyle name="Total 2 5 2 3 3" xfId="37756"/>
    <cellStyle name="Total 2 5 2 3 3 2" xfId="37757"/>
    <cellStyle name="Total 2 5 2 3 3 2 2" xfId="37758"/>
    <cellStyle name="Total 2 5 2 3 3 2 3" xfId="37759"/>
    <cellStyle name="Total 2 5 2 3 3 2 4" xfId="37760"/>
    <cellStyle name="Total 2 5 2 3 3 3" xfId="37761"/>
    <cellStyle name="Total 2 5 2 3 3 3 2" xfId="37762"/>
    <cellStyle name="Total 2 5 2 3 3 3 3" xfId="37763"/>
    <cellStyle name="Total 2 5 2 3 3 3 4" xfId="37764"/>
    <cellStyle name="Total 2 5 2 3 3 4" xfId="37765"/>
    <cellStyle name="Total 2 5 2 3 3 4 2" xfId="37766"/>
    <cellStyle name="Total 2 5 2 3 3 4 3" xfId="37767"/>
    <cellStyle name="Total 2 5 2 3 3 4 4" xfId="37768"/>
    <cellStyle name="Total 2 5 2 3 3 5" xfId="37769"/>
    <cellStyle name="Total 2 5 2 3 3 6" xfId="37770"/>
    <cellStyle name="Total 2 5 2 3 3 7" xfId="37771"/>
    <cellStyle name="Total 2 5 2 3 4" xfId="37772"/>
    <cellStyle name="Total 2 5 2 3 4 2" xfId="37773"/>
    <cellStyle name="Total 2 5 2 3 4 2 2" xfId="37774"/>
    <cellStyle name="Total 2 5 2 3 4 2 3" xfId="37775"/>
    <cellStyle name="Total 2 5 2 3 4 2 4" xfId="37776"/>
    <cellStyle name="Total 2 5 2 3 4 3" xfId="37777"/>
    <cellStyle name="Total 2 5 2 3 4 3 2" xfId="37778"/>
    <cellStyle name="Total 2 5 2 3 4 3 3" xfId="37779"/>
    <cellStyle name="Total 2 5 2 3 4 3 4" xfId="37780"/>
    <cellStyle name="Total 2 5 2 3 4 4" xfId="37781"/>
    <cellStyle name="Total 2 5 2 3 4 4 2" xfId="37782"/>
    <cellStyle name="Total 2 5 2 3 4 4 3" xfId="37783"/>
    <cellStyle name="Total 2 5 2 3 4 4 4" xfId="37784"/>
    <cellStyle name="Total 2 5 2 3 4 5" xfId="37785"/>
    <cellStyle name="Total 2 5 2 3 4 6" xfId="37786"/>
    <cellStyle name="Total 2 5 2 3 4 7" xfId="37787"/>
    <cellStyle name="Total 2 5 2 3 5" xfId="37788"/>
    <cellStyle name="Total 2 5 2 3 5 2" xfId="37789"/>
    <cellStyle name="Total 2 5 2 3 5 2 2" xfId="37790"/>
    <cellStyle name="Total 2 5 2 3 5 2 3" xfId="37791"/>
    <cellStyle name="Total 2 5 2 3 5 2 4" xfId="37792"/>
    <cellStyle name="Total 2 5 2 3 5 3" xfId="37793"/>
    <cellStyle name="Total 2 5 2 3 5 3 2" xfId="37794"/>
    <cellStyle name="Total 2 5 2 3 5 3 3" xfId="37795"/>
    <cellStyle name="Total 2 5 2 3 5 3 4" xfId="37796"/>
    <cellStyle name="Total 2 5 2 3 5 4" xfId="37797"/>
    <cellStyle name="Total 2 5 2 3 5 4 2" xfId="37798"/>
    <cellStyle name="Total 2 5 2 3 5 4 3" xfId="37799"/>
    <cellStyle name="Total 2 5 2 3 5 4 4" xfId="37800"/>
    <cellStyle name="Total 2 5 2 3 5 5" xfId="37801"/>
    <cellStyle name="Total 2 5 2 3 5 6" xfId="37802"/>
    <cellStyle name="Total 2 5 2 3 5 7" xfId="37803"/>
    <cellStyle name="Total 2 5 2 3 6" xfId="37804"/>
    <cellStyle name="Total 2 5 2 3 6 2" xfId="37805"/>
    <cellStyle name="Total 2 5 2 3 6 2 2" xfId="37806"/>
    <cellStyle name="Total 2 5 2 3 6 2 3" xfId="37807"/>
    <cellStyle name="Total 2 5 2 3 6 2 4" xfId="37808"/>
    <cellStyle name="Total 2 5 2 3 6 3" xfId="37809"/>
    <cellStyle name="Total 2 5 2 3 6 3 2" xfId="37810"/>
    <cellStyle name="Total 2 5 2 3 6 3 3" xfId="37811"/>
    <cellStyle name="Total 2 5 2 3 6 3 4" xfId="37812"/>
    <cellStyle name="Total 2 5 2 3 6 4" xfId="37813"/>
    <cellStyle name="Total 2 5 2 3 6 4 2" xfId="37814"/>
    <cellStyle name="Total 2 5 2 3 6 4 3" xfId="37815"/>
    <cellStyle name="Total 2 5 2 3 6 4 4" xfId="37816"/>
    <cellStyle name="Total 2 5 2 3 6 5" xfId="37817"/>
    <cellStyle name="Total 2 5 2 3 6 6" xfId="37818"/>
    <cellStyle name="Total 2 5 2 3 6 7" xfId="37819"/>
    <cellStyle name="Total 2 5 2 3 7" xfId="37820"/>
    <cellStyle name="Total 2 5 2 3 7 2" xfId="37821"/>
    <cellStyle name="Total 2 5 2 3 7 3" xfId="37822"/>
    <cellStyle name="Total 2 5 2 3 7 4" xfId="37823"/>
    <cellStyle name="Total 2 5 2 3 8" xfId="37824"/>
    <cellStyle name="Total 2 5 2 3 8 2" xfId="37825"/>
    <cellStyle name="Total 2 5 2 3 8 3" xfId="37826"/>
    <cellStyle name="Total 2 5 2 3 8 4" xfId="37827"/>
    <cellStyle name="Total 2 5 2 3 9" xfId="37828"/>
    <cellStyle name="Total 2 5 2 3 9 2" xfId="37829"/>
    <cellStyle name="Total 2 5 2 3 9 3" xfId="37830"/>
    <cellStyle name="Total 2 5 2 3 9 4" xfId="37831"/>
    <cellStyle name="Total 2 5 2 4" xfId="978"/>
    <cellStyle name="Total 2 5 2 4 10" xfId="37832"/>
    <cellStyle name="Total 2 5 2 4 11" xfId="37833"/>
    <cellStyle name="Total 2 5 2 4 12" xfId="37834"/>
    <cellStyle name="Total 2 5 2 4 2" xfId="37835"/>
    <cellStyle name="Total 2 5 2 4 2 2" xfId="37836"/>
    <cellStyle name="Total 2 5 2 4 2 2 2" xfId="37837"/>
    <cellStyle name="Total 2 5 2 4 2 2 3" xfId="37838"/>
    <cellStyle name="Total 2 5 2 4 2 2 4" xfId="37839"/>
    <cellStyle name="Total 2 5 2 4 2 3" xfId="37840"/>
    <cellStyle name="Total 2 5 2 4 2 3 2" xfId="37841"/>
    <cellStyle name="Total 2 5 2 4 2 3 3" xfId="37842"/>
    <cellStyle name="Total 2 5 2 4 2 3 4" xfId="37843"/>
    <cellStyle name="Total 2 5 2 4 2 4" xfId="37844"/>
    <cellStyle name="Total 2 5 2 4 2 4 2" xfId="37845"/>
    <cellStyle name="Total 2 5 2 4 2 4 3" xfId="37846"/>
    <cellStyle name="Total 2 5 2 4 2 4 4" xfId="37847"/>
    <cellStyle name="Total 2 5 2 4 2 5" xfId="37848"/>
    <cellStyle name="Total 2 5 2 4 2 6" xfId="37849"/>
    <cellStyle name="Total 2 5 2 4 2 7" xfId="37850"/>
    <cellStyle name="Total 2 5 2 4 3" xfId="37851"/>
    <cellStyle name="Total 2 5 2 4 3 2" xfId="37852"/>
    <cellStyle name="Total 2 5 2 4 3 2 2" xfId="37853"/>
    <cellStyle name="Total 2 5 2 4 3 2 3" xfId="37854"/>
    <cellStyle name="Total 2 5 2 4 3 2 4" xfId="37855"/>
    <cellStyle name="Total 2 5 2 4 3 3" xfId="37856"/>
    <cellStyle name="Total 2 5 2 4 3 3 2" xfId="37857"/>
    <cellStyle name="Total 2 5 2 4 3 3 3" xfId="37858"/>
    <cellStyle name="Total 2 5 2 4 3 3 4" xfId="37859"/>
    <cellStyle name="Total 2 5 2 4 3 4" xfId="37860"/>
    <cellStyle name="Total 2 5 2 4 3 4 2" xfId="37861"/>
    <cellStyle name="Total 2 5 2 4 3 4 3" xfId="37862"/>
    <cellStyle name="Total 2 5 2 4 3 4 4" xfId="37863"/>
    <cellStyle name="Total 2 5 2 4 3 5" xfId="37864"/>
    <cellStyle name="Total 2 5 2 4 3 6" xfId="37865"/>
    <cellStyle name="Total 2 5 2 4 3 7" xfId="37866"/>
    <cellStyle name="Total 2 5 2 4 4" xfId="37867"/>
    <cellStyle name="Total 2 5 2 4 4 2" xfId="37868"/>
    <cellStyle name="Total 2 5 2 4 4 2 2" xfId="37869"/>
    <cellStyle name="Total 2 5 2 4 4 2 3" xfId="37870"/>
    <cellStyle name="Total 2 5 2 4 4 2 4" xfId="37871"/>
    <cellStyle name="Total 2 5 2 4 4 3" xfId="37872"/>
    <cellStyle name="Total 2 5 2 4 4 3 2" xfId="37873"/>
    <cellStyle name="Total 2 5 2 4 4 3 3" xfId="37874"/>
    <cellStyle name="Total 2 5 2 4 4 3 4" xfId="37875"/>
    <cellStyle name="Total 2 5 2 4 4 4" xfId="37876"/>
    <cellStyle name="Total 2 5 2 4 4 4 2" xfId="37877"/>
    <cellStyle name="Total 2 5 2 4 4 4 3" xfId="37878"/>
    <cellStyle name="Total 2 5 2 4 4 4 4" xfId="37879"/>
    <cellStyle name="Total 2 5 2 4 4 5" xfId="37880"/>
    <cellStyle name="Total 2 5 2 4 4 6" xfId="37881"/>
    <cellStyle name="Total 2 5 2 4 4 7" xfId="37882"/>
    <cellStyle name="Total 2 5 2 4 5" xfId="37883"/>
    <cellStyle name="Total 2 5 2 4 5 2" xfId="37884"/>
    <cellStyle name="Total 2 5 2 4 5 2 2" xfId="37885"/>
    <cellStyle name="Total 2 5 2 4 5 2 3" xfId="37886"/>
    <cellStyle name="Total 2 5 2 4 5 2 4" xfId="37887"/>
    <cellStyle name="Total 2 5 2 4 5 3" xfId="37888"/>
    <cellStyle name="Total 2 5 2 4 5 3 2" xfId="37889"/>
    <cellStyle name="Total 2 5 2 4 5 3 3" xfId="37890"/>
    <cellStyle name="Total 2 5 2 4 5 3 4" xfId="37891"/>
    <cellStyle name="Total 2 5 2 4 5 4" xfId="37892"/>
    <cellStyle name="Total 2 5 2 4 5 4 2" xfId="37893"/>
    <cellStyle name="Total 2 5 2 4 5 4 3" xfId="37894"/>
    <cellStyle name="Total 2 5 2 4 5 4 4" xfId="37895"/>
    <cellStyle name="Total 2 5 2 4 5 5" xfId="37896"/>
    <cellStyle name="Total 2 5 2 4 5 6" xfId="37897"/>
    <cellStyle name="Total 2 5 2 4 5 7" xfId="37898"/>
    <cellStyle name="Total 2 5 2 4 6" xfId="37899"/>
    <cellStyle name="Total 2 5 2 4 6 2" xfId="37900"/>
    <cellStyle name="Total 2 5 2 4 6 2 2" xfId="37901"/>
    <cellStyle name="Total 2 5 2 4 6 2 3" xfId="37902"/>
    <cellStyle name="Total 2 5 2 4 6 2 4" xfId="37903"/>
    <cellStyle name="Total 2 5 2 4 6 3" xfId="37904"/>
    <cellStyle name="Total 2 5 2 4 6 3 2" xfId="37905"/>
    <cellStyle name="Total 2 5 2 4 6 3 3" xfId="37906"/>
    <cellStyle name="Total 2 5 2 4 6 3 4" xfId="37907"/>
    <cellStyle name="Total 2 5 2 4 6 4" xfId="37908"/>
    <cellStyle name="Total 2 5 2 4 6 4 2" xfId="37909"/>
    <cellStyle name="Total 2 5 2 4 6 4 3" xfId="37910"/>
    <cellStyle name="Total 2 5 2 4 6 4 4" xfId="37911"/>
    <cellStyle name="Total 2 5 2 4 6 5" xfId="37912"/>
    <cellStyle name="Total 2 5 2 4 6 6" xfId="37913"/>
    <cellStyle name="Total 2 5 2 4 6 7" xfId="37914"/>
    <cellStyle name="Total 2 5 2 4 7" xfId="37915"/>
    <cellStyle name="Total 2 5 2 4 7 2" xfId="37916"/>
    <cellStyle name="Total 2 5 2 4 7 3" xfId="37917"/>
    <cellStyle name="Total 2 5 2 4 7 4" xfId="37918"/>
    <cellStyle name="Total 2 5 2 4 8" xfId="37919"/>
    <cellStyle name="Total 2 5 2 4 8 2" xfId="37920"/>
    <cellStyle name="Total 2 5 2 4 8 3" xfId="37921"/>
    <cellStyle name="Total 2 5 2 4 8 4" xfId="37922"/>
    <cellStyle name="Total 2 5 2 4 9" xfId="37923"/>
    <cellStyle name="Total 2 5 2 4 9 2" xfId="37924"/>
    <cellStyle name="Total 2 5 2 4 9 3" xfId="37925"/>
    <cellStyle name="Total 2 5 2 4 9 4" xfId="37926"/>
    <cellStyle name="Total 2 5 2 5" xfId="37927"/>
    <cellStyle name="Total 2 5 2 5 10" xfId="37928"/>
    <cellStyle name="Total 2 5 2 5 11" xfId="37929"/>
    <cellStyle name="Total 2 5 2 5 12" xfId="37930"/>
    <cellStyle name="Total 2 5 2 5 2" xfId="37931"/>
    <cellStyle name="Total 2 5 2 5 2 2" xfId="37932"/>
    <cellStyle name="Total 2 5 2 5 2 2 2" xfId="37933"/>
    <cellStyle name="Total 2 5 2 5 2 2 3" xfId="37934"/>
    <cellStyle name="Total 2 5 2 5 2 2 4" xfId="37935"/>
    <cellStyle name="Total 2 5 2 5 2 3" xfId="37936"/>
    <cellStyle name="Total 2 5 2 5 2 3 2" xfId="37937"/>
    <cellStyle name="Total 2 5 2 5 2 3 3" xfId="37938"/>
    <cellStyle name="Total 2 5 2 5 2 3 4" xfId="37939"/>
    <cellStyle name="Total 2 5 2 5 2 4" xfId="37940"/>
    <cellStyle name="Total 2 5 2 5 2 4 2" xfId="37941"/>
    <cellStyle name="Total 2 5 2 5 2 4 3" xfId="37942"/>
    <cellStyle name="Total 2 5 2 5 2 4 4" xfId="37943"/>
    <cellStyle name="Total 2 5 2 5 2 5" xfId="37944"/>
    <cellStyle name="Total 2 5 2 5 2 6" xfId="37945"/>
    <cellStyle name="Total 2 5 2 5 2 7" xfId="37946"/>
    <cellStyle name="Total 2 5 2 5 3" xfId="37947"/>
    <cellStyle name="Total 2 5 2 5 3 2" xfId="37948"/>
    <cellStyle name="Total 2 5 2 5 3 2 2" xfId="37949"/>
    <cellStyle name="Total 2 5 2 5 3 2 3" xfId="37950"/>
    <cellStyle name="Total 2 5 2 5 3 2 4" xfId="37951"/>
    <cellStyle name="Total 2 5 2 5 3 3" xfId="37952"/>
    <cellStyle name="Total 2 5 2 5 3 3 2" xfId="37953"/>
    <cellStyle name="Total 2 5 2 5 3 3 3" xfId="37954"/>
    <cellStyle name="Total 2 5 2 5 3 3 4" xfId="37955"/>
    <cellStyle name="Total 2 5 2 5 3 4" xfId="37956"/>
    <cellStyle name="Total 2 5 2 5 3 4 2" xfId="37957"/>
    <cellStyle name="Total 2 5 2 5 3 4 3" xfId="37958"/>
    <cellStyle name="Total 2 5 2 5 3 4 4" xfId="37959"/>
    <cellStyle name="Total 2 5 2 5 3 5" xfId="37960"/>
    <cellStyle name="Total 2 5 2 5 3 6" xfId="37961"/>
    <cellStyle name="Total 2 5 2 5 3 7" xfId="37962"/>
    <cellStyle name="Total 2 5 2 5 4" xfId="37963"/>
    <cellStyle name="Total 2 5 2 5 4 2" xfId="37964"/>
    <cellStyle name="Total 2 5 2 5 4 2 2" xfId="37965"/>
    <cellStyle name="Total 2 5 2 5 4 2 3" xfId="37966"/>
    <cellStyle name="Total 2 5 2 5 4 2 4" xfId="37967"/>
    <cellStyle name="Total 2 5 2 5 4 3" xfId="37968"/>
    <cellStyle name="Total 2 5 2 5 4 3 2" xfId="37969"/>
    <cellStyle name="Total 2 5 2 5 4 3 3" xfId="37970"/>
    <cellStyle name="Total 2 5 2 5 4 3 4" xfId="37971"/>
    <cellStyle name="Total 2 5 2 5 4 4" xfId="37972"/>
    <cellStyle name="Total 2 5 2 5 4 4 2" xfId="37973"/>
    <cellStyle name="Total 2 5 2 5 4 4 3" xfId="37974"/>
    <cellStyle name="Total 2 5 2 5 4 4 4" xfId="37975"/>
    <cellStyle name="Total 2 5 2 5 4 5" xfId="37976"/>
    <cellStyle name="Total 2 5 2 5 4 6" xfId="37977"/>
    <cellStyle name="Total 2 5 2 5 4 7" xfId="37978"/>
    <cellStyle name="Total 2 5 2 5 5" xfId="37979"/>
    <cellStyle name="Total 2 5 2 5 5 2" xfId="37980"/>
    <cellStyle name="Total 2 5 2 5 5 2 2" xfId="37981"/>
    <cellStyle name="Total 2 5 2 5 5 2 3" xfId="37982"/>
    <cellStyle name="Total 2 5 2 5 5 2 4" xfId="37983"/>
    <cellStyle name="Total 2 5 2 5 5 3" xfId="37984"/>
    <cellStyle name="Total 2 5 2 5 5 3 2" xfId="37985"/>
    <cellStyle name="Total 2 5 2 5 5 3 3" xfId="37986"/>
    <cellStyle name="Total 2 5 2 5 5 3 4" xfId="37987"/>
    <cellStyle name="Total 2 5 2 5 5 4" xfId="37988"/>
    <cellStyle name="Total 2 5 2 5 5 4 2" xfId="37989"/>
    <cellStyle name="Total 2 5 2 5 5 4 3" xfId="37990"/>
    <cellStyle name="Total 2 5 2 5 5 4 4" xfId="37991"/>
    <cellStyle name="Total 2 5 2 5 5 5" xfId="37992"/>
    <cellStyle name="Total 2 5 2 5 5 6" xfId="37993"/>
    <cellStyle name="Total 2 5 2 5 5 7" xfId="37994"/>
    <cellStyle name="Total 2 5 2 5 6" xfId="37995"/>
    <cellStyle name="Total 2 5 2 5 6 2" xfId="37996"/>
    <cellStyle name="Total 2 5 2 5 6 2 2" xfId="37997"/>
    <cellStyle name="Total 2 5 2 5 6 2 3" xfId="37998"/>
    <cellStyle name="Total 2 5 2 5 6 2 4" xfId="37999"/>
    <cellStyle name="Total 2 5 2 5 6 3" xfId="38000"/>
    <cellStyle name="Total 2 5 2 5 6 3 2" xfId="38001"/>
    <cellStyle name="Total 2 5 2 5 6 3 3" xfId="38002"/>
    <cellStyle name="Total 2 5 2 5 6 3 4" xfId="38003"/>
    <cellStyle name="Total 2 5 2 5 6 4" xfId="38004"/>
    <cellStyle name="Total 2 5 2 5 6 4 2" xfId="38005"/>
    <cellStyle name="Total 2 5 2 5 6 4 3" xfId="38006"/>
    <cellStyle name="Total 2 5 2 5 6 4 4" xfId="38007"/>
    <cellStyle name="Total 2 5 2 5 6 5" xfId="38008"/>
    <cellStyle name="Total 2 5 2 5 6 6" xfId="38009"/>
    <cellStyle name="Total 2 5 2 5 6 7" xfId="38010"/>
    <cellStyle name="Total 2 5 2 5 7" xfId="38011"/>
    <cellStyle name="Total 2 5 2 5 7 2" xfId="38012"/>
    <cellStyle name="Total 2 5 2 5 7 3" xfId="38013"/>
    <cellStyle name="Total 2 5 2 5 7 4" xfId="38014"/>
    <cellStyle name="Total 2 5 2 5 8" xfId="38015"/>
    <cellStyle name="Total 2 5 2 5 8 2" xfId="38016"/>
    <cellStyle name="Total 2 5 2 5 8 3" xfId="38017"/>
    <cellStyle name="Total 2 5 2 5 8 4" xfId="38018"/>
    <cellStyle name="Total 2 5 2 5 9" xfId="38019"/>
    <cellStyle name="Total 2 5 2 5 9 2" xfId="38020"/>
    <cellStyle name="Total 2 5 2 5 9 3" xfId="38021"/>
    <cellStyle name="Total 2 5 2 5 9 4" xfId="38022"/>
    <cellStyle name="Total 2 5 2 6" xfId="38023"/>
    <cellStyle name="Total 2 5 2 6 2" xfId="38024"/>
    <cellStyle name="Total 2 5 2 6 2 2" xfId="38025"/>
    <cellStyle name="Total 2 5 2 6 2 3" xfId="38026"/>
    <cellStyle name="Total 2 5 2 6 2 4" xfId="38027"/>
    <cellStyle name="Total 2 5 2 6 3" xfId="38028"/>
    <cellStyle name="Total 2 5 2 6 3 2" xfId="38029"/>
    <cellStyle name="Total 2 5 2 6 3 3" xfId="38030"/>
    <cellStyle name="Total 2 5 2 6 3 4" xfId="38031"/>
    <cellStyle name="Total 2 5 2 6 4" xfId="38032"/>
    <cellStyle name="Total 2 5 2 6 4 2" xfId="38033"/>
    <cellStyle name="Total 2 5 2 6 4 3" xfId="38034"/>
    <cellStyle name="Total 2 5 2 6 4 4" xfId="38035"/>
    <cellStyle name="Total 2 5 2 6 5" xfId="38036"/>
    <cellStyle name="Total 2 5 2 6 6" xfId="38037"/>
    <cellStyle name="Total 2 5 2 6 7" xfId="38038"/>
    <cellStyle name="Total 2 5 2 7" xfId="38039"/>
    <cellStyle name="Total 2 5 2 7 2" xfId="38040"/>
    <cellStyle name="Total 2 5 2 7 2 2" xfId="38041"/>
    <cellStyle name="Total 2 5 2 7 2 3" xfId="38042"/>
    <cellStyle name="Total 2 5 2 7 2 4" xfId="38043"/>
    <cellStyle name="Total 2 5 2 7 3" xfId="38044"/>
    <cellStyle name="Total 2 5 2 7 3 2" xfId="38045"/>
    <cellStyle name="Total 2 5 2 7 3 3" xfId="38046"/>
    <cellStyle name="Total 2 5 2 7 3 4" xfId="38047"/>
    <cellStyle name="Total 2 5 2 7 4" xfId="38048"/>
    <cellStyle name="Total 2 5 2 7 4 2" xfId="38049"/>
    <cellStyle name="Total 2 5 2 7 4 3" xfId="38050"/>
    <cellStyle name="Total 2 5 2 7 4 4" xfId="38051"/>
    <cellStyle name="Total 2 5 2 7 5" xfId="38052"/>
    <cellStyle name="Total 2 5 2 7 6" xfId="38053"/>
    <cellStyle name="Total 2 5 2 7 7" xfId="38054"/>
    <cellStyle name="Total 2 5 2 8" xfId="38055"/>
    <cellStyle name="Total 2 5 2 8 2" xfId="38056"/>
    <cellStyle name="Total 2 5 2 8 2 2" xfId="38057"/>
    <cellStyle name="Total 2 5 2 8 2 3" xfId="38058"/>
    <cellStyle name="Total 2 5 2 8 2 4" xfId="38059"/>
    <cellStyle name="Total 2 5 2 8 3" xfId="38060"/>
    <cellStyle name="Total 2 5 2 8 3 2" xfId="38061"/>
    <cellStyle name="Total 2 5 2 8 3 3" xfId="38062"/>
    <cellStyle name="Total 2 5 2 8 3 4" xfId="38063"/>
    <cellStyle name="Total 2 5 2 8 4" xfId="38064"/>
    <cellStyle name="Total 2 5 2 8 4 2" xfId="38065"/>
    <cellStyle name="Total 2 5 2 8 4 3" xfId="38066"/>
    <cellStyle name="Total 2 5 2 8 4 4" xfId="38067"/>
    <cellStyle name="Total 2 5 2 8 5" xfId="38068"/>
    <cellStyle name="Total 2 5 2 8 6" xfId="38069"/>
    <cellStyle name="Total 2 5 2 8 7" xfId="38070"/>
    <cellStyle name="Total 2 5 2 9" xfId="38071"/>
    <cellStyle name="Total 2 5 2 9 2" xfId="38072"/>
    <cellStyle name="Total 2 5 2 9 2 2" xfId="38073"/>
    <cellStyle name="Total 2 5 2 9 2 3" xfId="38074"/>
    <cellStyle name="Total 2 5 2 9 2 4" xfId="38075"/>
    <cellStyle name="Total 2 5 2 9 3" xfId="38076"/>
    <cellStyle name="Total 2 5 2 9 3 2" xfId="38077"/>
    <cellStyle name="Total 2 5 2 9 3 3" xfId="38078"/>
    <cellStyle name="Total 2 5 2 9 3 4" xfId="38079"/>
    <cellStyle name="Total 2 5 2 9 4" xfId="38080"/>
    <cellStyle name="Total 2 5 2 9 4 2" xfId="38081"/>
    <cellStyle name="Total 2 5 2 9 4 3" xfId="38082"/>
    <cellStyle name="Total 2 5 2 9 4 4" xfId="38083"/>
    <cellStyle name="Total 2 5 2 9 5" xfId="38084"/>
    <cellStyle name="Total 2 5 2 9 6" xfId="38085"/>
    <cellStyle name="Total 2 5 2 9 7" xfId="38086"/>
    <cellStyle name="Total 2 5 3" xfId="1093"/>
    <cellStyle name="Total 2 5 3 10" xfId="38087"/>
    <cellStyle name="Total 2 5 3 11" xfId="38088"/>
    <cellStyle name="Total 2 5 3 12" xfId="38089"/>
    <cellStyle name="Total 2 5 3 2" xfId="38090"/>
    <cellStyle name="Total 2 5 3 2 2" xfId="38091"/>
    <cellStyle name="Total 2 5 3 2 2 2" xfId="38092"/>
    <cellStyle name="Total 2 5 3 2 2 3" xfId="38093"/>
    <cellStyle name="Total 2 5 3 2 2 4" xfId="38094"/>
    <cellStyle name="Total 2 5 3 2 3" xfId="38095"/>
    <cellStyle name="Total 2 5 3 2 3 2" xfId="38096"/>
    <cellStyle name="Total 2 5 3 2 3 3" xfId="38097"/>
    <cellStyle name="Total 2 5 3 2 3 4" xfId="38098"/>
    <cellStyle name="Total 2 5 3 2 4" xfId="38099"/>
    <cellStyle name="Total 2 5 3 2 4 2" xfId="38100"/>
    <cellStyle name="Total 2 5 3 2 4 3" xfId="38101"/>
    <cellStyle name="Total 2 5 3 2 4 4" xfId="38102"/>
    <cellStyle name="Total 2 5 3 2 5" xfId="38103"/>
    <cellStyle name="Total 2 5 3 2 6" xfId="38104"/>
    <cellStyle name="Total 2 5 3 2 7" xfId="38105"/>
    <cellStyle name="Total 2 5 3 3" xfId="38106"/>
    <cellStyle name="Total 2 5 3 3 2" xfId="38107"/>
    <cellStyle name="Total 2 5 3 3 2 2" xfId="38108"/>
    <cellStyle name="Total 2 5 3 3 2 3" xfId="38109"/>
    <cellStyle name="Total 2 5 3 3 2 4" xfId="38110"/>
    <cellStyle name="Total 2 5 3 3 3" xfId="38111"/>
    <cellStyle name="Total 2 5 3 3 3 2" xfId="38112"/>
    <cellStyle name="Total 2 5 3 3 3 3" xfId="38113"/>
    <cellStyle name="Total 2 5 3 3 3 4" xfId="38114"/>
    <cellStyle name="Total 2 5 3 3 4" xfId="38115"/>
    <cellStyle name="Total 2 5 3 3 4 2" xfId="38116"/>
    <cellStyle name="Total 2 5 3 3 4 3" xfId="38117"/>
    <cellStyle name="Total 2 5 3 3 4 4" xfId="38118"/>
    <cellStyle name="Total 2 5 3 3 5" xfId="38119"/>
    <cellStyle name="Total 2 5 3 3 6" xfId="38120"/>
    <cellStyle name="Total 2 5 3 3 7" xfId="38121"/>
    <cellStyle name="Total 2 5 3 4" xfId="38122"/>
    <cellStyle name="Total 2 5 3 4 2" xfId="38123"/>
    <cellStyle name="Total 2 5 3 4 2 2" xfId="38124"/>
    <cellStyle name="Total 2 5 3 4 2 3" xfId="38125"/>
    <cellStyle name="Total 2 5 3 4 2 4" xfId="38126"/>
    <cellStyle name="Total 2 5 3 4 3" xfId="38127"/>
    <cellStyle name="Total 2 5 3 4 3 2" xfId="38128"/>
    <cellStyle name="Total 2 5 3 4 3 3" xfId="38129"/>
    <cellStyle name="Total 2 5 3 4 3 4" xfId="38130"/>
    <cellStyle name="Total 2 5 3 4 4" xfId="38131"/>
    <cellStyle name="Total 2 5 3 4 4 2" xfId="38132"/>
    <cellStyle name="Total 2 5 3 4 4 3" xfId="38133"/>
    <cellStyle name="Total 2 5 3 4 4 4" xfId="38134"/>
    <cellStyle name="Total 2 5 3 4 5" xfId="38135"/>
    <cellStyle name="Total 2 5 3 4 6" xfId="38136"/>
    <cellStyle name="Total 2 5 3 4 7" xfId="38137"/>
    <cellStyle name="Total 2 5 3 5" xfId="38138"/>
    <cellStyle name="Total 2 5 3 5 2" xfId="38139"/>
    <cellStyle name="Total 2 5 3 5 2 2" xfId="38140"/>
    <cellStyle name="Total 2 5 3 5 2 3" xfId="38141"/>
    <cellStyle name="Total 2 5 3 5 2 4" xfId="38142"/>
    <cellStyle name="Total 2 5 3 5 3" xfId="38143"/>
    <cellStyle name="Total 2 5 3 5 3 2" xfId="38144"/>
    <cellStyle name="Total 2 5 3 5 3 3" xfId="38145"/>
    <cellStyle name="Total 2 5 3 5 3 4" xfId="38146"/>
    <cellStyle name="Total 2 5 3 5 4" xfId="38147"/>
    <cellStyle name="Total 2 5 3 5 4 2" xfId="38148"/>
    <cellStyle name="Total 2 5 3 5 4 3" xfId="38149"/>
    <cellStyle name="Total 2 5 3 5 4 4" xfId="38150"/>
    <cellStyle name="Total 2 5 3 5 5" xfId="38151"/>
    <cellStyle name="Total 2 5 3 5 6" xfId="38152"/>
    <cellStyle name="Total 2 5 3 5 7" xfId="38153"/>
    <cellStyle name="Total 2 5 3 6" xfId="38154"/>
    <cellStyle name="Total 2 5 3 6 2" xfId="38155"/>
    <cellStyle name="Total 2 5 3 6 2 2" xfId="38156"/>
    <cellStyle name="Total 2 5 3 6 2 3" xfId="38157"/>
    <cellStyle name="Total 2 5 3 6 2 4" xfId="38158"/>
    <cellStyle name="Total 2 5 3 6 3" xfId="38159"/>
    <cellStyle name="Total 2 5 3 6 3 2" xfId="38160"/>
    <cellStyle name="Total 2 5 3 6 3 3" xfId="38161"/>
    <cellStyle name="Total 2 5 3 6 3 4" xfId="38162"/>
    <cellStyle name="Total 2 5 3 6 4" xfId="38163"/>
    <cellStyle name="Total 2 5 3 6 4 2" xfId="38164"/>
    <cellStyle name="Total 2 5 3 6 4 3" xfId="38165"/>
    <cellStyle name="Total 2 5 3 6 4 4" xfId="38166"/>
    <cellStyle name="Total 2 5 3 6 5" xfId="38167"/>
    <cellStyle name="Total 2 5 3 6 6" xfId="38168"/>
    <cellStyle name="Total 2 5 3 6 7" xfId="38169"/>
    <cellStyle name="Total 2 5 3 7" xfId="38170"/>
    <cellStyle name="Total 2 5 3 7 2" xfId="38171"/>
    <cellStyle name="Total 2 5 3 7 3" xfId="38172"/>
    <cellStyle name="Total 2 5 3 7 4" xfId="38173"/>
    <cellStyle name="Total 2 5 3 8" xfId="38174"/>
    <cellStyle name="Total 2 5 3 8 2" xfId="38175"/>
    <cellStyle name="Total 2 5 3 8 3" xfId="38176"/>
    <cellStyle name="Total 2 5 3 8 4" xfId="38177"/>
    <cellStyle name="Total 2 5 3 9" xfId="38178"/>
    <cellStyle name="Total 2 5 3 9 2" xfId="38179"/>
    <cellStyle name="Total 2 5 3 9 3" xfId="38180"/>
    <cellStyle name="Total 2 5 3 9 4" xfId="38181"/>
    <cellStyle name="Total 2 5 4" xfId="3182"/>
    <cellStyle name="Total 2 5 5" xfId="3215"/>
    <cellStyle name="Total 2 5 6" xfId="1103"/>
    <cellStyle name="Total 2 5 7" xfId="3191"/>
    <cellStyle name="Total 2 6" xfId="157"/>
    <cellStyle name="Total 2 6 2" xfId="655"/>
    <cellStyle name="Total 2 6 2 10" xfId="38182"/>
    <cellStyle name="Total 2 6 2 10 2" xfId="38183"/>
    <cellStyle name="Total 2 6 2 10 2 2" xfId="38184"/>
    <cellStyle name="Total 2 6 2 10 2 3" xfId="38185"/>
    <cellStyle name="Total 2 6 2 10 2 4" xfId="38186"/>
    <cellStyle name="Total 2 6 2 10 3" xfId="38187"/>
    <cellStyle name="Total 2 6 2 10 3 2" xfId="38188"/>
    <cellStyle name="Total 2 6 2 10 3 3" xfId="38189"/>
    <cellStyle name="Total 2 6 2 10 3 4" xfId="38190"/>
    <cellStyle name="Total 2 6 2 10 4" xfId="38191"/>
    <cellStyle name="Total 2 6 2 10 4 2" xfId="38192"/>
    <cellStyle name="Total 2 6 2 10 4 3" xfId="38193"/>
    <cellStyle name="Total 2 6 2 10 4 4" xfId="38194"/>
    <cellStyle name="Total 2 6 2 10 5" xfId="38195"/>
    <cellStyle name="Total 2 6 2 10 6" xfId="38196"/>
    <cellStyle name="Total 2 6 2 10 7" xfId="38197"/>
    <cellStyle name="Total 2 6 2 11" xfId="38198"/>
    <cellStyle name="Total 2 6 2 11 2" xfId="38199"/>
    <cellStyle name="Total 2 6 2 11 2 2" xfId="38200"/>
    <cellStyle name="Total 2 6 2 11 2 3" xfId="38201"/>
    <cellStyle name="Total 2 6 2 11 2 4" xfId="38202"/>
    <cellStyle name="Total 2 6 2 11 3" xfId="38203"/>
    <cellStyle name="Total 2 6 2 11 3 2" xfId="38204"/>
    <cellStyle name="Total 2 6 2 11 3 3" xfId="38205"/>
    <cellStyle name="Total 2 6 2 11 3 4" xfId="38206"/>
    <cellStyle name="Total 2 6 2 11 4" xfId="38207"/>
    <cellStyle name="Total 2 6 2 11 4 2" xfId="38208"/>
    <cellStyle name="Total 2 6 2 11 4 3" xfId="38209"/>
    <cellStyle name="Total 2 6 2 11 4 4" xfId="38210"/>
    <cellStyle name="Total 2 6 2 11 5" xfId="38211"/>
    <cellStyle name="Total 2 6 2 11 6" xfId="38212"/>
    <cellStyle name="Total 2 6 2 11 7" xfId="38213"/>
    <cellStyle name="Total 2 6 2 12" xfId="38214"/>
    <cellStyle name="Total 2 6 2 12 2" xfId="38215"/>
    <cellStyle name="Total 2 6 2 12 2 2" xfId="38216"/>
    <cellStyle name="Total 2 6 2 12 2 3" xfId="38217"/>
    <cellStyle name="Total 2 6 2 12 2 4" xfId="38218"/>
    <cellStyle name="Total 2 6 2 12 3" xfId="38219"/>
    <cellStyle name="Total 2 6 2 12 3 2" xfId="38220"/>
    <cellStyle name="Total 2 6 2 12 3 3" xfId="38221"/>
    <cellStyle name="Total 2 6 2 12 3 4" xfId="38222"/>
    <cellStyle name="Total 2 6 2 12 4" xfId="38223"/>
    <cellStyle name="Total 2 6 2 12 4 2" xfId="38224"/>
    <cellStyle name="Total 2 6 2 12 4 3" xfId="38225"/>
    <cellStyle name="Total 2 6 2 12 4 4" xfId="38226"/>
    <cellStyle name="Total 2 6 2 12 5" xfId="38227"/>
    <cellStyle name="Total 2 6 2 12 6" xfId="38228"/>
    <cellStyle name="Total 2 6 2 12 7" xfId="38229"/>
    <cellStyle name="Total 2 6 2 13" xfId="38230"/>
    <cellStyle name="Total 2 6 2 13 2" xfId="38231"/>
    <cellStyle name="Total 2 6 2 13 2 2" xfId="38232"/>
    <cellStyle name="Total 2 6 2 13 2 3" xfId="38233"/>
    <cellStyle name="Total 2 6 2 13 2 4" xfId="38234"/>
    <cellStyle name="Total 2 6 2 13 3" xfId="38235"/>
    <cellStyle name="Total 2 6 2 13 3 2" xfId="38236"/>
    <cellStyle name="Total 2 6 2 13 3 3" xfId="38237"/>
    <cellStyle name="Total 2 6 2 13 3 4" xfId="38238"/>
    <cellStyle name="Total 2 6 2 13 4" xfId="38239"/>
    <cellStyle name="Total 2 6 2 13 4 2" xfId="38240"/>
    <cellStyle name="Total 2 6 2 13 4 3" xfId="38241"/>
    <cellStyle name="Total 2 6 2 13 4 4" xfId="38242"/>
    <cellStyle name="Total 2 6 2 13 5" xfId="38243"/>
    <cellStyle name="Total 2 6 2 13 6" xfId="38244"/>
    <cellStyle name="Total 2 6 2 13 7" xfId="38245"/>
    <cellStyle name="Total 2 6 2 14" xfId="38246"/>
    <cellStyle name="Total 2 6 2 14 2" xfId="38247"/>
    <cellStyle name="Total 2 6 2 14 3" xfId="38248"/>
    <cellStyle name="Total 2 6 2 14 4" xfId="38249"/>
    <cellStyle name="Total 2 6 2 15" xfId="38250"/>
    <cellStyle name="Total 2 6 2 15 2" xfId="38251"/>
    <cellStyle name="Total 2 6 2 15 3" xfId="38252"/>
    <cellStyle name="Total 2 6 2 15 4" xfId="38253"/>
    <cellStyle name="Total 2 6 2 16" xfId="38254"/>
    <cellStyle name="Total 2 6 2 16 2" xfId="38255"/>
    <cellStyle name="Total 2 6 2 16 3" xfId="38256"/>
    <cellStyle name="Total 2 6 2 16 4" xfId="38257"/>
    <cellStyle name="Total 2 6 2 17" xfId="38258"/>
    <cellStyle name="Total 2 6 2 18" xfId="38259"/>
    <cellStyle name="Total 2 6 2 19" xfId="38260"/>
    <cellStyle name="Total 2 6 2 2" xfId="909"/>
    <cellStyle name="Total 2 6 2 2 10" xfId="38261"/>
    <cellStyle name="Total 2 6 2 2 11" xfId="38262"/>
    <cellStyle name="Total 2 6 2 2 12" xfId="38263"/>
    <cellStyle name="Total 2 6 2 2 2" xfId="38264"/>
    <cellStyle name="Total 2 6 2 2 2 2" xfId="38265"/>
    <cellStyle name="Total 2 6 2 2 2 2 2" xfId="38266"/>
    <cellStyle name="Total 2 6 2 2 2 2 3" xfId="38267"/>
    <cellStyle name="Total 2 6 2 2 2 2 4" xfId="38268"/>
    <cellStyle name="Total 2 6 2 2 2 3" xfId="38269"/>
    <cellStyle name="Total 2 6 2 2 2 3 2" xfId="38270"/>
    <cellStyle name="Total 2 6 2 2 2 3 3" xfId="38271"/>
    <cellStyle name="Total 2 6 2 2 2 3 4" xfId="38272"/>
    <cellStyle name="Total 2 6 2 2 2 4" xfId="38273"/>
    <cellStyle name="Total 2 6 2 2 2 4 2" xfId="38274"/>
    <cellStyle name="Total 2 6 2 2 2 4 3" xfId="38275"/>
    <cellStyle name="Total 2 6 2 2 2 4 4" xfId="38276"/>
    <cellStyle name="Total 2 6 2 2 2 5" xfId="38277"/>
    <cellStyle name="Total 2 6 2 2 2 6" xfId="38278"/>
    <cellStyle name="Total 2 6 2 2 2 7" xfId="38279"/>
    <cellStyle name="Total 2 6 2 2 3" xfId="38280"/>
    <cellStyle name="Total 2 6 2 2 3 2" xfId="38281"/>
    <cellStyle name="Total 2 6 2 2 3 2 2" xfId="38282"/>
    <cellStyle name="Total 2 6 2 2 3 2 3" xfId="38283"/>
    <cellStyle name="Total 2 6 2 2 3 2 4" xfId="38284"/>
    <cellStyle name="Total 2 6 2 2 3 3" xfId="38285"/>
    <cellStyle name="Total 2 6 2 2 3 3 2" xfId="38286"/>
    <cellStyle name="Total 2 6 2 2 3 3 3" xfId="38287"/>
    <cellStyle name="Total 2 6 2 2 3 3 4" xfId="38288"/>
    <cellStyle name="Total 2 6 2 2 3 4" xfId="38289"/>
    <cellStyle name="Total 2 6 2 2 3 4 2" xfId="38290"/>
    <cellStyle name="Total 2 6 2 2 3 4 3" xfId="38291"/>
    <cellStyle name="Total 2 6 2 2 3 4 4" xfId="38292"/>
    <cellStyle name="Total 2 6 2 2 3 5" xfId="38293"/>
    <cellStyle name="Total 2 6 2 2 3 6" xfId="38294"/>
    <cellStyle name="Total 2 6 2 2 3 7" xfId="38295"/>
    <cellStyle name="Total 2 6 2 2 4" xfId="38296"/>
    <cellStyle name="Total 2 6 2 2 4 2" xfId="38297"/>
    <cellStyle name="Total 2 6 2 2 4 2 2" xfId="38298"/>
    <cellStyle name="Total 2 6 2 2 4 2 3" xfId="38299"/>
    <cellStyle name="Total 2 6 2 2 4 2 4" xfId="38300"/>
    <cellStyle name="Total 2 6 2 2 4 3" xfId="38301"/>
    <cellStyle name="Total 2 6 2 2 4 3 2" xfId="38302"/>
    <cellStyle name="Total 2 6 2 2 4 3 3" xfId="38303"/>
    <cellStyle name="Total 2 6 2 2 4 3 4" xfId="38304"/>
    <cellStyle name="Total 2 6 2 2 4 4" xfId="38305"/>
    <cellStyle name="Total 2 6 2 2 4 4 2" xfId="38306"/>
    <cellStyle name="Total 2 6 2 2 4 4 3" xfId="38307"/>
    <cellStyle name="Total 2 6 2 2 4 4 4" xfId="38308"/>
    <cellStyle name="Total 2 6 2 2 4 5" xfId="38309"/>
    <cellStyle name="Total 2 6 2 2 4 6" xfId="38310"/>
    <cellStyle name="Total 2 6 2 2 4 7" xfId="38311"/>
    <cellStyle name="Total 2 6 2 2 5" xfId="38312"/>
    <cellStyle name="Total 2 6 2 2 5 2" xfId="38313"/>
    <cellStyle name="Total 2 6 2 2 5 2 2" xfId="38314"/>
    <cellStyle name="Total 2 6 2 2 5 2 3" xfId="38315"/>
    <cellStyle name="Total 2 6 2 2 5 2 4" xfId="38316"/>
    <cellStyle name="Total 2 6 2 2 5 3" xfId="38317"/>
    <cellStyle name="Total 2 6 2 2 5 3 2" xfId="38318"/>
    <cellStyle name="Total 2 6 2 2 5 3 3" xfId="38319"/>
    <cellStyle name="Total 2 6 2 2 5 3 4" xfId="38320"/>
    <cellStyle name="Total 2 6 2 2 5 4" xfId="38321"/>
    <cellStyle name="Total 2 6 2 2 5 4 2" xfId="38322"/>
    <cellStyle name="Total 2 6 2 2 5 4 3" xfId="38323"/>
    <cellStyle name="Total 2 6 2 2 5 4 4" xfId="38324"/>
    <cellStyle name="Total 2 6 2 2 5 5" xfId="38325"/>
    <cellStyle name="Total 2 6 2 2 5 6" xfId="38326"/>
    <cellStyle name="Total 2 6 2 2 5 7" xfId="38327"/>
    <cellStyle name="Total 2 6 2 2 6" xfId="38328"/>
    <cellStyle name="Total 2 6 2 2 6 2" xfId="38329"/>
    <cellStyle name="Total 2 6 2 2 6 2 2" xfId="38330"/>
    <cellStyle name="Total 2 6 2 2 6 2 3" xfId="38331"/>
    <cellStyle name="Total 2 6 2 2 6 2 4" xfId="38332"/>
    <cellStyle name="Total 2 6 2 2 6 3" xfId="38333"/>
    <cellStyle name="Total 2 6 2 2 6 3 2" xfId="38334"/>
    <cellStyle name="Total 2 6 2 2 6 3 3" xfId="38335"/>
    <cellStyle name="Total 2 6 2 2 6 3 4" xfId="38336"/>
    <cellStyle name="Total 2 6 2 2 6 4" xfId="38337"/>
    <cellStyle name="Total 2 6 2 2 6 4 2" xfId="38338"/>
    <cellStyle name="Total 2 6 2 2 6 4 3" xfId="38339"/>
    <cellStyle name="Total 2 6 2 2 6 4 4" xfId="38340"/>
    <cellStyle name="Total 2 6 2 2 6 5" xfId="38341"/>
    <cellStyle name="Total 2 6 2 2 6 6" xfId="38342"/>
    <cellStyle name="Total 2 6 2 2 6 7" xfId="38343"/>
    <cellStyle name="Total 2 6 2 2 7" xfId="38344"/>
    <cellStyle name="Total 2 6 2 2 7 2" xfId="38345"/>
    <cellStyle name="Total 2 6 2 2 7 3" xfId="38346"/>
    <cellStyle name="Total 2 6 2 2 7 4" xfId="38347"/>
    <cellStyle name="Total 2 6 2 2 8" xfId="38348"/>
    <cellStyle name="Total 2 6 2 2 8 2" xfId="38349"/>
    <cellStyle name="Total 2 6 2 2 8 3" xfId="38350"/>
    <cellStyle name="Total 2 6 2 2 8 4" xfId="38351"/>
    <cellStyle name="Total 2 6 2 2 9" xfId="38352"/>
    <cellStyle name="Total 2 6 2 2 9 2" xfId="38353"/>
    <cellStyle name="Total 2 6 2 2 9 3" xfId="38354"/>
    <cellStyle name="Total 2 6 2 2 9 4" xfId="38355"/>
    <cellStyle name="Total 2 6 2 3" xfId="834"/>
    <cellStyle name="Total 2 6 2 3 10" xfId="38356"/>
    <cellStyle name="Total 2 6 2 3 11" xfId="38357"/>
    <cellStyle name="Total 2 6 2 3 12" xfId="38358"/>
    <cellStyle name="Total 2 6 2 3 2" xfId="38359"/>
    <cellStyle name="Total 2 6 2 3 2 2" xfId="38360"/>
    <cellStyle name="Total 2 6 2 3 2 2 2" xfId="38361"/>
    <cellStyle name="Total 2 6 2 3 2 2 3" xfId="38362"/>
    <cellStyle name="Total 2 6 2 3 2 2 4" xfId="38363"/>
    <cellStyle name="Total 2 6 2 3 2 3" xfId="38364"/>
    <cellStyle name="Total 2 6 2 3 2 3 2" xfId="38365"/>
    <cellStyle name="Total 2 6 2 3 2 3 3" xfId="38366"/>
    <cellStyle name="Total 2 6 2 3 2 3 4" xfId="38367"/>
    <cellStyle name="Total 2 6 2 3 2 4" xfId="38368"/>
    <cellStyle name="Total 2 6 2 3 2 4 2" xfId="38369"/>
    <cellStyle name="Total 2 6 2 3 2 4 3" xfId="38370"/>
    <cellStyle name="Total 2 6 2 3 2 4 4" xfId="38371"/>
    <cellStyle name="Total 2 6 2 3 2 5" xfId="38372"/>
    <cellStyle name="Total 2 6 2 3 2 6" xfId="38373"/>
    <cellStyle name="Total 2 6 2 3 2 7" xfId="38374"/>
    <cellStyle name="Total 2 6 2 3 3" xfId="38375"/>
    <cellStyle name="Total 2 6 2 3 3 2" xfId="38376"/>
    <cellStyle name="Total 2 6 2 3 3 2 2" xfId="38377"/>
    <cellStyle name="Total 2 6 2 3 3 2 3" xfId="38378"/>
    <cellStyle name="Total 2 6 2 3 3 2 4" xfId="38379"/>
    <cellStyle name="Total 2 6 2 3 3 3" xfId="38380"/>
    <cellStyle name="Total 2 6 2 3 3 3 2" xfId="38381"/>
    <cellStyle name="Total 2 6 2 3 3 3 3" xfId="38382"/>
    <cellStyle name="Total 2 6 2 3 3 3 4" xfId="38383"/>
    <cellStyle name="Total 2 6 2 3 3 4" xfId="38384"/>
    <cellStyle name="Total 2 6 2 3 3 4 2" xfId="38385"/>
    <cellStyle name="Total 2 6 2 3 3 4 3" xfId="38386"/>
    <cellStyle name="Total 2 6 2 3 3 4 4" xfId="38387"/>
    <cellStyle name="Total 2 6 2 3 3 5" xfId="38388"/>
    <cellStyle name="Total 2 6 2 3 3 6" xfId="38389"/>
    <cellStyle name="Total 2 6 2 3 3 7" xfId="38390"/>
    <cellStyle name="Total 2 6 2 3 4" xfId="38391"/>
    <cellStyle name="Total 2 6 2 3 4 2" xfId="38392"/>
    <cellStyle name="Total 2 6 2 3 4 2 2" xfId="38393"/>
    <cellStyle name="Total 2 6 2 3 4 2 3" xfId="38394"/>
    <cellStyle name="Total 2 6 2 3 4 2 4" xfId="38395"/>
    <cellStyle name="Total 2 6 2 3 4 3" xfId="38396"/>
    <cellStyle name="Total 2 6 2 3 4 3 2" xfId="38397"/>
    <cellStyle name="Total 2 6 2 3 4 3 3" xfId="38398"/>
    <cellStyle name="Total 2 6 2 3 4 3 4" xfId="38399"/>
    <cellStyle name="Total 2 6 2 3 4 4" xfId="38400"/>
    <cellStyle name="Total 2 6 2 3 4 4 2" xfId="38401"/>
    <cellStyle name="Total 2 6 2 3 4 4 3" xfId="38402"/>
    <cellStyle name="Total 2 6 2 3 4 4 4" xfId="38403"/>
    <cellStyle name="Total 2 6 2 3 4 5" xfId="38404"/>
    <cellStyle name="Total 2 6 2 3 4 6" xfId="38405"/>
    <cellStyle name="Total 2 6 2 3 4 7" xfId="38406"/>
    <cellStyle name="Total 2 6 2 3 5" xfId="38407"/>
    <cellStyle name="Total 2 6 2 3 5 2" xfId="38408"/>
    <cellStyle name="Total 2 6 2 3 5 2 2" xfId="38409"/>
    <cellStyle name="Total 2 6 2 3 5 2 3" xfId="38410"/>
    <cellStyle name="Total 2 6 2 3 5 2 4" xfId="38411"/>
    <cellStyle name="Total 2 6 2 3 5 3" xfId="38412"/>
    <cellStyle name="Total 2 6 2 3 5 3 2" xfId="38413"/>
    <cellStyle name="Total 2 6 2 3 5 3 3" xfId="38414"/>
    <cellStyle name="Total 2 6 2 3 5 3 4" xfId="38415"/>
    <cellStyle name="Total 2 6 2 3 5 4" xfId="38416"/>
    <cellStyle name="Total 2 6 2 3 5 4 2" xfId="38417"/>
    <cellStyle name="Total 2 6 2 3 5 4 3" xfId="38418"/>
    <cellStyle name="Total 2 6 2 3 5 4 4" xfId="38419"/>
    <cellStyle name="Total 2 6 2 3 5 5" xfId="38420"/>
    <cellStyle name="Total 2 6 2 3 5 6" xfId="38421"/>
    <cellStyle name="Total 2 6 2 3 5 7" xfId="38422"/>
    <cellStyle name="Total 2 6 2 3 6" xfId="38423"/>
    <cellStyle name="Total 2 6 2 3 6 2" xfId="38424"/>
    <cellStyle name="Total 2 6 2 3 6 2 2" xfId="38425"/>
    <cellStyle name="Total 2 6 2 3 6 2 3" xfId="38426"/>
    <cellStyle name="Total 2 6 2 3 6 2 4" xfId="38427"/>
    <cellStyle name="Total 2 6 2 3 6 3" xfId="38428"/>
    <cellStyle name="Total 2 6 2 3 6 3 2" xfId="38429"/>
    <cellStyle name="Total 2 6 2 3 6 3 3" xfId="38430"/>
    <cellStyle name="Total 2 6 2 3 6 3 4" xfId="38431"/>
    <cellStyle name="Total 2 6 2 3 6 4" xfId="38432"/>
    <cellStyle name="Total 2 6 2 3 6 4 2" xfId="38433"/>
    <cellStyle name="Total 2 6 2 3 6 4 3" xfId="38434"/>
    <cellStyle name="Total 2 6 2 3 6 4 4" xfId="38435"/>
    <cellStyle name="Total 2 6 2 3 6 5" xfId="38436"/>
    <cellStyle name="Total 2 6 2 3 6 6" xfId="38437"/>
    <cellStyle name="Total 2 6 2 3 6 7" xfId="38438"/>
    <cellStyle name="Total 2 6 2 3 7" xfId="38439"/>
    <cellStyle name="Total 2 6 2 3 7 2" xfId="38440"/>
    <cellStyle name="Total 2 6 2 3 7 3" xfId="38441"/>
    <cellStyle name="Total 2 6 2 3 7 4" xfId="38442"/>
    <cellStyle name="Total 2 6 2 3 8" xfId="38443"/>
    <cellStyle name="Total 2 6 2 3 8 2" xfId="38444"/>
    <cellStyle name="Total 2 6 2 3 8 3" xfId="38445"/>
    <cellStyle name="Total 2 6 2 3 8 4" xfId="38446"/>
    <cellStyle name="Total 2 6 2 3 9" xfId="38447"/>
    <cellStyle name="Total 2 6 2 3 9 2" xfId="38448"/>
    <cellStyle name="Total 2 6 2 3 9 3" xfId="38449"/>
    <cellStyle name="Total 2 6 2 3 9 4" xfId="38450"/>
    <cellStyle name="Total 2 6 2 4" xfId="979"/>
    <cellStyle name="Total 2 6 2 4 10" xfId="38451"/>
    <cellStyle name="Total 2 6 2 4 11" xfId="38452"/>
    <cellStyle name="Total 2 6 2 4 12" xfId="38453"/>
    <cellStyle name="Total 2 6 2 4 2" xfId="38454"/>
    <cellStyle name="Total 2 6 2 4 2 2" xfId="38455"/>
    <cellStyle name="Total 2 6 2 4 2 2 2" xfId="38456"/>
    <cellStyle name="Total 2 6 2 4 2 2 3" xfId="38457"/>
    <cellStyle name="Total 2 6 2 4 2 2 4" xfId="38458"/>
    <cellStyle name="Total 2 6 2 4 2 3" xfId="38459"/>
    <cellStyle name="Total 2 6 2 4 2 3 2" xfId="38460"/>
    <cellStyle name="Total 2 6 2 4 2 3 3" xfId="38461"/>
    <cellStyle name="Total 2 6 2 4 2 3 4" xfId="38462"/>
    <cellStyle name="Total 2 6 2 4 2 4" xfId="38463"/>
    <cellStyle name="Total 2 6 2 4 2 4 2" xfId="38464"/>
    <cellStyle name="Total 2 6 2 4 2 4 3" xfId="38465"/>
    <cellStyle name="Total 2 6 2 4 2 4 4" xfId="38466"/>
    <cellStyle name="Total 2 6 2 4 2 5" xfId="38467"/>
    <cellStyle name="Total 2 6 2 4 2 6" xfId="38468"/>
    <cellStyle name="Total 2 6 2 4 2 7" xfId="38469"/>
    <cellStyle name="Total 2 6 2 4 3" xfId="38470"/>
    <cellStyle name="Total 2 6 2 4 3 2" xfId="38471"/>
    <cellStyle name="Total 2 6 2 4 3 2 2" xfId="38472"/>
    <cellStyle name="Total 2 6 2 4 3 2 3" xfId="38473"/>
    <cellStyle name="Total 2 6 2 4 3 2 4" xfId="38474"/>
    <cellStyle name="Total 2 6 2 4 3 3" xfId="38475"/>
    <cellStyle name="Total 2 6 2 4 3 3 2" xfId="38476"/>
    <cellStyle name="Total 2 6 2 4 3 3 3" xfId="38477"/>
    <cellStyle name="Total 2 6 2 4 3 3 4" xfId="38478"/>
    <cellStyle name="Total 2 6 2 4 3 4" xfId="38479"/>
    <cellStyle name="Total 2 6 2 4 3 4 2" xfId="38480"/>
    <cellStyle name="Total 2 6 2 4 3 4 3" xfId="38481"/>
    <cellStyle name="Total 2 6 2 4 3 4 4" xfId="38482"/>
    <cellStyle name="Total 2 6 2 4 3 5" xfId="38483"/>
    <cellStyle name="Total 2 6 2 4 3 6" xfId="38484"/>
    <cellStyle name="Total 2 6 2 4 3 7" xfId="38485"/>
    <cellStyle name="Total 2 6 2 4 4" xfId="38486"/>
    <cellStyle name="Total 2 6 2 4 4 2" xfId="38487"/>
    <cellStyle name="Total 2 6 2 4 4 2 2" xfId="38488"/>
    <cellStyle name="Total 2 6 2 4 4 2 3" xfId="38489"/>
    <cellStyle name="Total 2 6 2 4 4 2 4" xfId="38490"/>
    <cellStyle name="Total 2 6 2 4 4 3" xfId="38491"/>
    <cellStyle name="Total 2 6 2 4 4 3 2" xfId="38492"/>
    <cellStyle name="Total 2 6 2 4 4 3 3" xfId="38493"/>
    <cellStyle name="Total 2 6 2 4 4 3 4" xfId="38494"/>
    <cellStyle name="Total 2 6 2 4 4 4" xfId="38495"/>
    <cellStyle name="Total 2 6 2 4 4 4 2" xfId="38496"/>
    <cellStyle name="Total 2 6 2 4 4 4 3" xfId="38497"/>
    <cellStyle name="Total 2 6 2 4 4 4 4" xfId="38498"/>
    <cellStyle name="Total 2 6 2 4 4 5" xfId="38499"/>
    <cellStyle name="Total 2 6 2 4 4 6" xfId="38500"/>
    <cellStyle name="Total 2 6 2 4 4 7" xfId="38501"/>
    <cellStyle name="Total 2 6 2 4 5" xfId="38502"/>
    <cellStyle name="Total 2 6 2 4 5 2" xfId="38503"/>
    <cellStyle name="Total 2 6 2 4 5 2 2" xfId="38504"/>
    <cellStyle name="Total 2 6 2 4 5 2 3" xfId="38505"/>
    <cellStyle name="Total 2 6 2 4 5 2 4" xfId="38506"/>
    <cellStyle name="Total 2 6 2 4 5 3" xfId="38507"/>
    <cellStyle name="Total 2 6 2 4 5 3 2" xfId="38508"/>
    <cellStyle name="Total 2 6 2 4 5 3 3" xfId="38509"/>
    <cellStyle name="Total 2 6 2 4 5 3 4" xfId="38510"/>
    <cellStyle name="Total 2 6 2 4 5 4" xfId="38511"/>
    <cellStyle name="Total 2 6 2 4 5 4 2" xfId="38512"/>
    <cellStyle name="Total 2 6 2 4 5 4 3" xfId="38513"/>
    <cellStyle name="Total 2 6 2 4 5 4 4" xfId="38514"/>
    <cellStyle name="Total 2 6 2 4 5 5" xfId="38515"/>
    <cellStyle name="Total 2 6 2 4 5 6" xfId="38516"/>
    <cellStyle name="Total 2 6 2 4 5 7" xfId="38517"/>
    <cellStyle name="Total 2 6 2 4 6" xfId="38518"/>
    <cellStyle name="Total 2 6 2 4 6 2" xfId="38519"/>
    <cellStyle name="Total 2 6 2 4 6 2 2" xfId="38520"/>
    <cellStyle name="Total 2 6 2 4 6 2 3" xfId="38521"/>
    <cellStyle name="Total 2 6 2 4 6 2 4" xfId="38522"/>
    <cellStyle name="Total 2 6 2 4 6 3" xfId="38523"/>
    <cellStyle name="Total 2 6 2 4 6 3 2" xfId="38524"/>
    <cellStyle name="Total 2 6 2 4 6 3 3" xfId="38525"/>
    <cellStyle name="Total 2 6 2 4 6 3 4" xfId="38526"/>
    <cellStyle name="Total 2 6 2 4 6 4" xfId="38527"/>
    <cellStyle name="Total 2 6 2 4 6 4 2" xfId="38528"/>
    <cellStyle name="Total 2 6 2 4 6 4 3" xfId="38529"/>
    <cellStyle name="Total 2 6 2 4 6 4 4" xfId="38530"/>
    <cellStyle name="Total 2 6 2 4 6 5" xfId="38531"/>
    <cellStyle name="Total 2 6 2 4 6 6" xfId="38532"/>
    <cellStyle name="Total 2 6 2 4 6 7" xfId="38533"/>
    <cellStyle name="Total 2 6 2 4 7" xfId="38534"/>
    <cellStyle name="Total 2 6 2 4 7 2" xfId="38535"/>
    <cellStyle name="Total 2 6 2 4 7 3" xfId="38536"/>
    <cellStyle name="Total 2 6 2 4 7 4" xfId="38537"/>
    <cellStyle name="Total 2 6 2 4 8" xfId="38538"/>
    <cellStyle name="Total 2 6 2 4 8 2" xfId="38539"/>
    <cellStyle name="Total 2 6 2 4 8 3" xfId="38540"/>
    <cellStyle name="Total 2 6 2 4 8 4" xfId="38541"/>
    <cellStyle name="Total 2 6 2 4 9" xfId="38542"/>
    <cellStyle name="Total 2 6 2 4 9 2" xfId="38543"/>
    <cellStyle name="Total 2 6 2 4 9 3" xfId="38544"/>
    <cellStyle name="Total 2 6 2 4 9 4" xfId="38545"/>
    <cellStyle name="Total 2 6 2 5" xfId="38546"/>
    <cellStyle name="Total 2 6 2 5 10" xfId="38547"/>
    <cellStyle name="Total 2 6 2 5 11" xfId="38548"/>
    <cellStyle name="Total 2 6 2 5 12" xfId="38549"/>
    <cellStyle name="Total 2 6 2 5 2" xfId="38550"/>
    <cellStyle name="Total 2 6 2 5 2 2" xfId="38551"/>
    <cellStyle name="Total 2 6 2 5 2 2 2" xfId="38552"/>
    <cellStyle name="Total 2 6 2 5 2 2 3" xfId="38553"/>
    <cellStyle name="Total 2 6 2 5 2 2 4" xfId="38554"/>
    <cellStyle name="Total 2 6 2 5 2 3" xfId="38555"/>
    <cellStyle name="Total 2 6 2 5 2 3 2" xfId="38556"/>
    <cellStyle name="Total 2 6 2 5 2 3 3" xfId="38557"/>
    <cellStyle name="Total 2 6 2 5 2 3 4" xfId="38558"/>
    <cellStyle name="Total 2 6 2 5 2 4" xfId="38559"/>
    <cellStyle name="Total 2 6 2 5 2 4 2" xfId="38560"/>
    <cellStyle name="Total 2 6 2 5 2 4 3" xfId="38561"/>
    <cellStyle name="Total 2 6 2 5 2 4 4" xfId="38562"/>
    <cellStyle name="Total 2 6 2 5 2 5" xfId="38563"/>
    <cellStyle name="Total 2 6 2 5 2 6" xfId="38564"/>
    <cellStyle name="Total 2 6 2 5 2 7" xfId="38565"/>
    <cellStyle name="Total 2 6 2 5 3" xfId="38566"/>
    <cellStyle name="Total 2 6 2 5 3 2" xfId="38567"/>
    <cellStyle name="Total 2 6 2 5 3 2 2" xfId="38568"/>
    <cellStyle name="Total 2 6 2 5 3 2 3" xfId="38569"/>
    <cellStyle name="Total 2 6 2 5 3 2 4" xfId="38570"/>
    <cellStyle name="Total 2 6 2 5 3 3" xfId="38571"/>
    <cellStyle name="Total 2 6 2 5 3 3 2" xfId="38572"/>
    <cellStyle name="Total 2 6 2 5 3 3 3" xfId="38573"/>
    <cellStyle name="Total 2 6 2 5 3 3 4" xfId="38574"/>
    <cellStyle name="Total 2 6 2 5 3 4" xfId="38575"/>
    <cellStyle name="Total 2 6 2 5 3 4 2" xfId="38576"/>
    <cellStyle name="Total 2 6 2 5 3 4 3" xfId="38577"/>
    <cellStyle name="Total 2 6 2 5 3 4 4" xfId="38578"/>
    <cellStyle name="Total 2 6 2 5 3 5" xfId="38579"/>
    <cellStyle name="Total 2 6 2 5 3 6" xfId="38580"/>
    <cellStyle name="Total 2 6 2 5 3 7" xfId="38581"/>
    <cellStyle name="Total 2 6 2 5 4" xfId="38582"/>
    <cellStyle name="Total 2 6 2 5 4 2" xfId="38583"/>
    <cellStyle name="Total 2 6 2 5 4 2 2" xfId="38584"/>
    <cellStyle name="Total 2 6 2 5 4 2 3" xfId="38585"/>
    <cellStyle name="Total 2 6 2 5 4 2 4" xfId="38586"/>
    <cellStyle name="Total 2 6 2 5 4 3" xfId="38587"/>
    <cellStyle name="Total 2 6 2 5 4 3 2" xfId="38588"/>
    <cellStyle name="Total 2 6 2 5 4 3 3" xfId="38589"/>
    <cellStyle name="Total 2 6 2 5 4 3 4" xfId="38590"/>
    <cellStyle name="Total 2 6 2 5 4 4" xfId="38591"/>
    <cellStyle name="Total 2 6 2 5 4 4 2" xfId="38592"/>
    <cellStyle name="Total 2 6 2 5 4 4 3" xfId="38593"/>
    <cellStyle name="Total 2 6 2 5 4 4 4" xfId="38594"/>
    <cellStyle name="Total 2 6 2 5 4 5" xfId="38595"/>
    <cellStyle name="Total 2 6 2 5 4 6" xfId="38596"/>
    <cellStyle name="Total 2 6 2 5 4 7" xfId="38597"/>
    <cellStyle name="Total 2 6 2 5 5" xfId="38598"/>
    <cellStyle name="Total 2 6 2 5 5 2" xfId="38599"/>
    <cellStyle name="Total 2 6 2 5 5 2 2" xfId="38600"/>
    <cellStyle name="Total 2 6 2 5 5 2 3" xfId="38601"/>
    <cellStyle name="Total 2 6 2 5 5 2 4" xfId="38602"/>
    <cellStyle name="Total 2 6 2 5 5 3" xfId="38603"/>
    <cellStyle name="Total 2 6 2 5 5 3 2" xfId="38604"/>
    <cellStyle name="Total 2 6 2 5 5 3 3" xfId="38605"/>
    <cellStyle name="Total 2 6 2 5 5 3 4" xfId="38606"/>
    <cellStyle name="Total 2 6 2 5 5 4" xfId="38607"/>
    <cellStyle name="Total 2 6 2 5 5 4 2" xfId="38608"/>
    <cellStyle name="Total 2 6 2 5 5 4 3" xfId="38609"/>
    <cellStyle name="Total 2 6 2 5 5 4 4" xfId="38610"/>
    <cellStyle name="Total 2 6 2 5 5 5" xfId="38611"/>
    <cellStyle name="Total 2 6 2 5 5 6" xfId="38612"/>
    <cellStyle name="Total 2 6 2 5 5 7" xfId="38613"/>
    <cellStyle name="Total 2 6 2 5 6" xfId="38614"/>
    <cellStyle name="Total 2 6 2 5 6 2" xfId="38615"/>
    <cellStyle name="Total 2 6 2 5 6 2 2" xfId="38616"/>
    <cellStyle name="Total 2 6 2 5 6 2 3" xfId="38617"/>
    <cellStyle name="Total 2 6 2 5 6 2 4" xfId="38618"/>
    <cellStyle name="Total 2 6 2 5 6 3" xfId="38619"/>
    <cellStyle name="Total 2 6 2 5 6 3 2" xfId="38620"/>
    <cellStyle name="Total 2 6 2 5 6 3 3" xfId="38621"/>
    <cellStyle name="Total 2 6 2 5 6 3 4" xfId="38622"/>
    <cellStyle name="Total 2 6 2 5 6 4" xfId="38623"/>
    <cellStyle name="Total 2 6 2 5 6 4 2" xfId="38624"/>
    <cellStyle name="Total 2 6 2 5 6 4 3" xfId="38625"/>
    <cellStyle name="Total 2 6 2 5 6 4 4" xfId="38626"/>
    <cellStyle name="Total 2 6 2 5 6 5" xfId="38627"/>
    <cellStyle name="Total 2 6 2 5 6 6" xfId="38628"/>
    <cellStyle name="Total 2 6 2 5 6 7" xfId="38629"/>
    <cellStyle name="Total 2 6 2 5 7" xfId="38630"/>
    <cellStyle name="Total 2 6 2 5 7 2" xfId="38631"/>
    <cellStyle name="Total 2 6 2 5 7 3" xfId="38632"/>
    <cellStyle name="Total 2 6 2 5 7 4" xfId="38633"/>
    <cellStyle name="Total 2 6 2 5 8" xfId="38634"/>
    <cellStyle name="Total 2 6 2 5 8 2" xfId="38635"/>
    <cellStyle name="Total 2 6 2 5 8 3" xfId="38636"/>
    <cellStyle name="Total 2 6 2 5 8 4" xfId="38637"/>
    <cellStyle name="Total 2 6 2 5 9" xfId="38638"/>
    <cellStyle name="Total 2 6 2 5 9 2" xfId="38639"/>
    <cellStyle name="Total 2 6 2 5 9 3" xfId="38640"/>
    <cellStyle name="Total 2 6 2 5 9 4" xfId="38641"/>
    <cellStyle name="Total 2 6 2 6" xfId="38642"/>
    <cellStyle name="Total 2 6 2 6 2" xfId="38643"/>
    <cellStyle name="Total 2 6 2 6 2 2" xfId="38644"/>
    <cellStyle name="Total 2 6 2 6 2 3" xfId="38645"/>
    <cellStyle name="Total 2 6 2 6 2 4" xfId="38646"/>
    <cellStyle name="Total 2 6 2 6 3" xfId="38647"/>
    <cellStyle name="Total 2 6 2 6 3 2" xfId="38648"/>
    <cellStyle name="Total 2 6 2 6 3 3" xfId="38649"/>
    <cellStyle name="Total 2 6 2 6 3 4" xfId="38650"/>
    <cellStyle name="Total 2 6 2 6 4" xfId="38651"/>
    <cellStyle name="Total 2 6 2 6 4 2" xfId="38652"/>
    <cellStyle name="Total 2 6 2 6 4 3" xfId="38653"/>
    <cellStyle name="Total 2 6 2 6 4 4" xfId="38654"/>
    <cellStyle name="Total 2 6 2 6 5" xfId="38655"/>
    <cellStyle name="Total 2 6 2 6 6" xfId="38656"/>
    <cellStyle name="Total 2 6 2 6 7" xfId="38657"/>
    <cellStyle name="Total 2 6 2 7" xfId="38658"/>
    <cellStyle name="Total 2 6 2 7 2" xfId="38659"/>
    <cellStyle name="Total 2 6 2 7 2 2" xfId="38660"/>
    <cellStyle name="Total 2 6 2 7 2 3" xfId="38661"/>
    <cellStyle name="Total 2 6 2 7 2 4" xfId="38662"/>
    <cellStyle name="Total 2 6 2 7 3" xfId="38663"/>
    <cellStyle name="Total 2 6 2 7 3 2" xfId="38664"/>
    <cellStyle name="Total 2 6 2 7 3 3" xfId="38665"/>
    <cellStyle name="Total 2 6 2 7 3 4" xfId="38666"/>
    <cellStyle name="Total 2 6 2 7 4" xfId="38667"/>
    <cellStyle name="Total 2 6 2 7 4 2" xfId="38668"/>
    <cellStyle name="Total 2 6 2 7 4 3" xfId="38669"/>
    <cellStyle name="Total 2 6 2 7 4 4" xfId="38670"/>
    <cellStyle name="Total 2 6 2 7 5" xfId="38671"/>
    <cellStyle name="Total 2 6 2 7 6" xfId="38672"/>
    <cellStyle name="Total 2 6 2 7 7" xfId="38673"/>
    <cellStyle name="Total 2 6 2 8" xfId="38674"/>
    <cellStyle name="Total 2 6 2 8 2" xfId="38675"/>
    <cellStyle name="Total 2 6 2 8 2 2" xfId="38676"/>
    <cellStyle name="Total 2 6 2 8 2 3" xfId="38677"/>
    <cellStyle name="Total 2 6 2 8 2 4" xfId="38678"/>
    <cellStyle name="Total 2 6 2 8 3" xfId="38679"/>
    <cellStyle name="Total 2 6 2 8 3 2" xfId="38680"/>
    <cellStyle name="Total 2 6 2 8 3 3" xfId="38681"/>
    <cellStyle name="Total 2 6 2 8 3 4" xfId="38682"/>
    <cellStyle name="Total 2 6 2 8 4" xfId="38683"/>
    <cellStyle name="Total 2 6 2 8 4 2" xfId="38684"/>
    <cellStyle name="Total 2 6 2 8 4 3" xfId="38685"/>
    <cellStyle name="Total 2 6 2 8 4 4" xfId="38686"/>
    <cellStyle name="Total 2 6 2 8 5" xfId="38687"/>
    <cellStyle name="Total 2 6 2 8 6" xfId="38688"/>
    <cellStyle name="Total 2 6 2 8 7" xfId="38689"/>
    <cellStyle name="Total 2 6 2 9" xfId="38690"/>
    <cellStyle name="Total 2 6 2 9 2" xfId="38691"/>
    <cellStyle name="Total 2 6 2 9 2 2" xfId="38692"/>
    <cellStyle name="Total 2 6 2 9 2 3" xfId="38693"/>
    <cellStyle name="Total 2 6 2 9 2 4" xfId="38694"/>
    <cellStyle name="Total 2 6 2 9 3" xfId="38695"/>
    <cellStyle name="Total 2 6 2 9 3 2" xfId="38696"/>
    <cellStyle name="Total 2 6 2 9 3 3" xfId="38697"/>
    <cellStyle name="Total 2 6 2 9 3 4" xfId="38698"/>
    <cellStyle name="Total 2 6 2 9 4" xfId="38699"/>
    <cellStyle name="Total 2 6 2 9 4 2" xfId="38700"/>
    <cellStyle name="Total 2 6 2 9 4 3" xfId="38701"/>
    <cellStyle name="Total 2 6 2 9 4 4" xfId="38702"/>
    <cellStyle name="Total 2 6 2 9 5" xfId="38703"/>
    <cellStyle name="Total 2 6 2 9 6" xfId="38704"/>
    <cellStyle name="Total 2 6 2 9 7" xfId="38705"/>
    <cellStyle name="Total 2 6 3" xfId="1094"/>
    <cellStyle name="Total 2 6 3 10" xfId="38706"/>
    <cellStyle name="Total 2 6 3 11" xfId="38707"/>
    <cellStyle name="Total 2 6 3 12" xfId="38708"/>
    <cellStyle name="Total 2 6 3 2" xfId="38709"/>
    <cellStyle name="Total 2 6 3 2 2" xfId="38710"/>
    <cellStyle name="Total 2 6 3 2 2 2" xfId="38711"/>
    <cellStyle name="Total 2 6 3 2 2 3" xfId="38712"/>
    <cellStyle name="Total 2 6 3 2 2 4" xfId="38713"/>
    <cellStyle name="Total 2 6 3 2 3" xfId="38714"/>
    <cellStyle name="Total 2 6 3 2 3 2" xfId="38715"/>
    <cellStyle name="Total 2 6 3 2 3 3" xfId="38716"/>
    <cellStyle name="Total 2 6 3 2 3 4" xfId="38717"/>
    <cellStyle name="Total 2 6 3 2 4" xfId="38718"/>
    <cellStyle name="Total 2 6 3 2 4 2" xfId="38719"/>
    <cellStyle name="Total 2 6 3 2 4 3" xfId="38720"/>
    <cellStyle name="Total 2 6 3 2 4 4" xfId="38721"/>
    <cellStyle name="Total 2 6 3 2 5" xfId="38722"/>
    <cellStyle name="Total 2 6 3 2 6" xfId="38723"/>
    <cellStyle name="Total 2 6 3 2 7" xfId="38724"/>
    <cellStyle name="Total 2 6 3 3" xfId="38725"/>
    <cellStyle name="Total 2 6 3 3 2" xfId="38726"/>
    <cellStyle name="Total 2 6 3 3 2 2" xfId="38727"/>
    <cellStyle name="Total 2 6 3 3 2 3" xfId="38728"/>
    <cellStyle name="Total 2 6 3 3 2 4" xfId="38729"/>
    <cellStyle name="Total 2 6 3 3 3" xfId="38730"/>
    <cellStyle name="Total 2 6 3 3 3 2" xfId="38731"/>
    <cellStyle name="Total 2 6 3 3 3 3" xfId="38732"/>
    <cellStyle name="Total 2 6 3 3 3 4" xfId="38733"/>
    <cellStyle name="Total 2 6 3 3 4" xfId="38734"/>
    <cellStyle name="Total 2 6 3 3 4 2" xfId="38735"/>
    <cellStyle name="Total 2 6 3 3 4 3" xfId="38736"/>
    <cellStyle name="Total 2 6 3 3 4 4" xfId="38737"/>
    <cellStyle name="Total 2 6 3 3 5" xfId="38738"/>
    <cellStyle name="Total 2 6 3 3 6" xfId="38739"/>
    <cellStyle name="Total 2 6 3 3 7" xfId="38740"/>
    <cellStyle name="Total 2 6 3 4" xfId="38741"/>
    <cellStyle name="Total 2 6 3 4 2" xfId="38742"/>
    <cellStyle name="Total 2 6 3 4 2 2" xfId="38743"/>
    <cellStyle name="Total 2 6 3 4 2 3" xfId="38744"/>
    <cellStyle name="Total 2 6 3 4 2 4" xfId="38745"/>
    <cellStyle name="Total 2 6 3 4 3" xfId="38746"/>
    <cellStyle name="Total 2 6 3 4 3 2" xfId="38747"/>
    <cellStyle name="Total 2 6 3 4 3 3" xfId="38748"/>
    <cellStyle name="Total 2 6 3 4 3 4" xfId="38749"/>
    <cellStyle name="Total 2 6 3 4 4" xfId="38750"/>
    <cellStyle name="Total 2 6 3 4 4 2" xfId="38751"/>
    <cellStyle name="Total 2 6 3 4 4 3" xfId="38752"/>
    <cellStyle name="Total 2 6 3 4 4 4" xfId="38753"/>
    <cellStyle name="Total 2 6 3 4 5" xfId="38754"/>
    <cellStyle name="Total 2 6 3 4 6" xfId="38755"/>
    <cellStyle name="Total 2 6 3 4 7" xfId="38756"/>
    <cellStyle name="Total 2 6 3 5" xfId="38757"/>
    <cellStyle name="Total 2 6 3 5 2" xfId="38758"/>
    <cellStyle name="Total 2 6 3 5 2 2" xfId="38759"/>
    <cellStyle name="Total 2 6 3 5 2 3" xfId="38760"/>
    <cellStyle name="Total 2 6 3 5 2 4" xfId="38761"/>
    <cellStyle name="Total 2 6 3 5 3" xfId="38762"/>
    <cellStyle name="Total 2 6 3 5 3 2" xfId="38763"/>
    <cellStyle name="Total 2 6 3 5 3 3" xfId="38764"/>
    <cellStyle name="Total 2 6 3 5 3 4" xfId="38765"/>
    <cellStyle name="Total 2 6 3 5 4" xfId="38766"/>
    <cellStyle name="Total 2 6 3 5 4 2" xfId="38767"/>
    <cellStyle name="Total 2 6 3 5 4 3" xfId="38768"/>
    <cellStyle name="Total 2 6 3 5 4 4" xfId="38769"/>
    <cellStyle name="Total 2 6 3 5 5" xfId="38770"/>
    <cellStyle name="Total 2 6 3 5 6" xfId="38771"/>
    <cellStyle name="Total 2 6 3 5 7" xfId="38772"/>
    <cellStyle name="Total 2 6 3 6" xfId="38773"/>
    <cellStyle name="Total 2 6 3 6 2" xfId="38774"/>
    <cellStyle name="Total 2 6 3 6 2 2" xfId="38775"/>
    <cellStyle name="Total 2 6 3 6 2 3" xfId="38776"/>
    <cellStyle name="Total 2 6 3 6 2 4" xfId="38777"/>
    <cellStyle name="Total 2 6 3 6 3" xfId="38778"/>
    <cellStyle name="Total 2 6 3 6 3 2" xfId="38779"/>
    <cellStyle name="Total 2 6 3 6 3 3" xfId="38780"/>
    <cellStyle name="Total 2 6 3 6 3 4" xfId="38781"/>
    <cellStyle name="Total 2 6 3 6 4" xfId="38782"/>
    <cellStyle name="Total 2 6 3 6 4 2" xfId="38783"/>
    <cellStyle name="Total 2 6 3 6 4 3" xfId="38784"/>
    <cellStyle name="Total 2 6 3 6 4 4" xfId="38785"/>
    <cellStyle name="Total 2 6 3 6 5" xfId="38786"/>
    <cellStyle name="Total 2 6 3 6 6" xfId="38787"/>
    <cellStyle name="Total 2 6 3 6 7" xfId="38788"/>
    <cellStyle name="Total 2 6 3 7" xfId="38789"/>
    <cellStyle name="Total 2 6 3 7 2" xfId="38790"/>
    <cellStyle name="Total 2 6 3 7 3" xfId="38791"/>
    <cellStyle name="Total 2 6 3 7 4" xfId="38792"/>
    <cellStyle name="Total 2 6 3 8" xfId="38793"/>
    <cellStyle name="Total 2 6 3 8 2" xfId="38794"/>
    <cellStyle name="Total 2 6 3 8 3" xfId="38795"/>
    <cellStyle name="Total 2 6 3 8 4" xfId="38796"/>
    <cellStyle name="Total 2 6 3 9" xfId="38797"/>
    <cellStyle name="Total 2 6 3 9 2" xfId="38798"/>
    <cellStyle name="Total 2 6 3 9 3" xfId="38799"/>
    <cellStyle name="Total 2 6 3 9 4" xfId="38800"/>
    <cellStyle name="Total 2 6 4" xfId="3181"/>
    <cellStyle name="Total 2 6 5" xfId="3159"/>
    <cellStyle name="Total 2 6 6" xfId="3122"/>
    <cellStyle name="Total 2 6 7" xfId="3267"/>
    <cellStyle name="Total 2 7" xfId="158"/>
    <cellStyle name="Total 2 7 2" xfId="656"/>
    <cellStyle name="Total 2 7 2 10" xfId="38801"/>
    <cellStyle name="Total 2 7 2 10 2" xfId="38802"/>
    <cellStyle name="Total 2 7 2 10 2 2" xfId="38803"/>
    <cellStyle name="Total 2 7 2 10 2 3" xfId="38804"/>
    <cellStyle name="Total 2 7 2 10 2 4" xfId="38805"/>
    <cellStyle name="Total 2 7 2 10 3" xfId="38806"/>
    <cellStyle name="Total 2 7 2 10 3 2" xfId="38807"/>
    <cellStyle name="Total 2 7 2 10 3 3" xfId="38808"/>
    <cellStyle name="Total 2 7 2 10 3 4" xfId="38809"/>
    <cellStyle name="Total 2 7 2 10 4" xfId="38810"/>
    <cellStyle name="Total 2 7 2 10 4 2" xfId="38811"/>
    <cellStyle name="Total 2 7 2 10 4 3" xfId="38812"/>
    <cellStyle name="Total 2 7 2 10 4 4" xfId="38813"/>
    <cellStyle name="Total 2 7 2 10 5" xfId="38814"/>
    <cellStyle name="Total 2 7 2 10 6" xfId="38815"/>
    <cellStyle name="Total 2 7 2 10 7" xfId="38816"/>
    <cellStyle name="Total 2 7 2 11" xfId="38817"/>
    <cellStyle name="Total 2 7 2 11 2" xfId="38818"/>
    <cellStyle name="Total 2 7 2 11 2 2" xfId="38819"/>
    <cellStyle name="Total 2 7 2 11 2 3" xfId="38820"/>
    <cellStyle name="Total 2 7 2 11 2 4" xfId="38821"/>
    <cellStyle name="Total 2 7 2 11 3" xfId="38822"/>
    <cellStyle name="Total 2 7 2 11 3 2" xfId="38823"/>
    <cellStyle name="Total 2 7 2 11 3 3" xfId="38824"/>
    <cellStyle name="Total 2 7 2 11 3 4" xfId="38825"/>
    <cellStyle name="Total 2 7 2 11 4" xfId="38826"/>
    <cellStyle name="Total 2 7 2 11 4 2" xfId="38827"/>
    <cellStyle name="Total 2 7 2 11 4 3" xfId="38828"/>
    <cellStyle name="Total 2 7 2 11 4 4" xfId="38829"/>
    <cellStyle name="Total 2 7 2 11 5" xfId="38830"/>
    <cellStyle name="Total 2 7 2 11 6" xfId="38831"/>
    <cellStyle name="Total 2 7 2 11 7" xfId="38832"/>
    <cellStyle name="Total 2 7 2 12" xfId="38833"/>
    <cellStyle name="Total 2 7 2 12 2" xfId="38834"/>
    <cellStyle name="Total 2 7 2 12 2 2" xfId="38835"/>
    <cellStyle name="Total 2 7 2 12 2 3" xfId="38836"/>
    <cellStyle name="Total 2 7 2 12 2 4" xfId="38837"/>
    <cellStyle name="Total 2 7 2 12 3" xfId="38838"/>
    <cellStyle name="Total 2 7 2 12 3 2" xfId="38839"/>
    <cellStyle name="Total 2 7 2 12 3 3" xfId="38840"/>
    <cellStyle name="Total 2 7 2 12 3 4" xfId="38841"/>
    <cellStyle name="Total 2 7 2 12 4" xfId="38842"/>
    <cellStyle name="Total 2 7 2 12 4 2" xfId="38843"/>
    <cellStyle name="Total 2 7 2 12 4 3" xfId="38844"/>
    <cellStyle name="Total 2 7 2 12 4 4" xfId="38845"/>
    <cellStyle name="Total 2 7 2 12 5" xfId="38846"/>
    <cellStyle name="Total 2 7 2 12 6" xfId="38847"/>
    <cellStyle name="Total 2 7 2 12 7" xfId="38848"/>
    <cellStyle name="Total 2 7 2 13" xfId="38849"/>
    <cellStyle name="Total 2 7 2 13 2" xfId="38850"/>
    <cellStyle name="Total 2 7 2 13 2 2" xfId="38851"/>
    <cellStyle name="Total 2 7 2 13 2 3" xfId="38852"/>
    <cellStyle name="Total 2 7 2 13 2 4" xfId="38853"/>
    <cellStyle name="Total 2 7 2 13 3" xfId="38854"/>
    <cellStyle name="Total 2 7 2 13 3 2" xfId="38855"/>
    <cellStyle name="Total 2 7 2 13 3 3" xfId="38856"/>
    <cellStyle name="Total 2 7 2 13 3 4" xfId="38857"/>
    <cellStyle name="Total 2 7 2 13 4" xfId="38858"/>
    <cellStyle name="Total 2 7 2 13 4 2" xfId="38859"/>
    <cellStyle name="Total 2 7 2 13 4 3" xfId="38860"/>
    <cellStyle name="Total 2 7 2 13 4 4" xfId="38861"/>
    <cellStyle name="Total 2 7 2 13 5" xfId="38862"/>
    <cellStyle name="Total 2 7 2 13 6" xfId="38863"/>
    <cellStyle name="Total 2 7 2 13 7" xfId="38864"/>
    <cellStyle name="Total 2 7 2 14" xfId="38865"/>
    <cellStyle name="Total 2 7 2 14 2" xfId="38866"/>
    <cellStyle name="Total 2 7 2 14 3" xfId="38867"/>
    <cellStyle name="Total 2 7 2 14 4" xfId="38868"/>
    <cellStyle name="Total 2 7 2 15" xfId="38869"/>
    <cellStyle name="Total 2 7 2 15 2" xfId="38870"/>
    <cellStyle name="Total 2 7 2 15 3" xfId="38871"/>
    <cellStyle name="Total 2 7 2 15 4" xfId="38872"/>
    <cellStyle name="Total 2 7 2 16" xfId="38873"/>
    <cellStyle name="Total 2 7 2 16 2" xfId="38874"/>
    <cellStyle name="Total 2 7 2 16 3" xfId="38875"/>
    <cellStyle name="Total 2 7 2 16 4" xfId="38876"/>
    <cellStyle name="Total 2 7 2 17" xfId="38877"/>
    <cellStyle name="Total 2 7 2 18" xfId="38878"/>
    <cellStyle name="Total 2 7 2 19" xfId="38879"/>
    <cellStyle name="Total 2 7 2 2" xfId="910"/>
    <cellStyle name="Total 2 7 2 2 10" xfId="38880"/>
    <cellStyle name="Total 2 7 2 2 11" xfId="38881"/>
    <cellStyle name="Total 2 7 2 2 12" xfId="38882"/>
    <cellStyle name="Total 2 7 2 2 2" xfId="38883"/>
    <cellStyle name="Total 2 7 2 2 2 2" xfId="38884"/>
    <cellStyle name="Total 2 7 2 2 2 2 2" xfId="38885"/>
    <cellStyle name="Total 2 7 2 2 2 2 3" xfId="38886"/>
    <cellStyle name="Total 2 7 2 2 2 2 4" xfId="38887"/>
    <cellStyle name="Total 2 7 2 2 2 3" xfId="38888"/>
    <cellStyle name="Total 2 7 2 2 2 3 2" xfId="38889"/>
    <cellStyle name="Total 2 7 2 2 2 3 3" xfId="38890"/>
    <cellStyle name="Total 2 7 2 2 2 3 4" xfId="38891"/>
    <cellStyle name="Total 2 7 2 2 2 4" xfId="38892"/>
    <cellStyle name="Total 2 7 2 2 2 4 2" xfId="38893"/>
    <cellStyle name="Total 2 7 2 2 2 4 3" xfId="38894"/>
    <cellStyle name="Total 2 7 2 2 2 4 4" xfId="38895"/>
    <cellStyle name="Total 2 7 2 2 2 5" xfId="38896"/>
    <cellStyle name="Total 2 7 2 2 2 6" xfId="38897"/>
    <cellStyle name="Total 2 7 2 2 2 7" xfId="38898"/>
    <cellStyle name="Total 2 7 2 2 3" xfId="38899"/>
    <cellStyle name="Total 2 7 2 2 3 2" xfId="38900"/>
    <cellStyle name="Total 2 7 2 2 3 2 2" xfId="38901"/>
    <cellStyle name="Total 2 7 2 2 3 2 3" xfId="38902"/>
    <cellStyle name="Total 2 7 2 2 3 2 4" xfId="38903"/>
    <cellStyle name="Total 2 7 2 2 3 3" xfId="38904"/>
    <cellStyle name="Total 2 7 2 2 3 3 2" xfId="38905"/>
    <cellStyle name="Total 2 7 2 2 3 3 3" xfId="38906"/>
    <cellStyle name="Total 2 7 2 2 3 3 4" xfId="38907"/>
    <cellStyle name="Total 2 7 2 2 3 4" xfId="38908"/>
    <cellStyle name="Total 2 7 2 2 3 4 2" xfId="38909"/>
    <cellStyle name="Total 2 7 2 2 3 4 3" xfId="38910"/>
    <cellStyle name="Total 2 7 2 2 3 4 4" xfId="38911"/>
    <cellStyle name="Total 2 7 2 2 3 5" xfId="38912"/>
    <cellStyle name="Total 2 7 2 2 3 6" xfId="38913"/>
    <cellStyle name="Total 2 7 2 2 3 7" xfId="38914"/>
    <cellStyle name="Total 2 7 2 2 4" xfId="38915"/>
    <cellStyle name="Total 2 7 2 2 4 2" xfId="38916"/>
    <cellStyle name="Total 2 7 2 2 4 2 2" xfId="38917"/>
    <cellStyle name="Total 2 7 2 2 4 2 3" xfId="38918"/>
    <cellStyle name="Total 2 7 2 2 4 2 4" xfId="38919"/>
    <cellStyle name="Total 2 7 2 2 4 3" xfId="38920"/>
    <cellStyle name="Total 2 7 2 2 4 3 2" xfId="38921"/>
    <cellStyle name="Total 2 7 2 2 4 3 3" xfId="38922"/>
    <cellStyle name="Total 2 7 2 2 4 3 4" xfId="38923"/>
    <cellStyle name="Total 2 7 2 2 4 4" xfId="38924"/>
    <cellStyle name="Total 2 7 2 2 4 4 2" xfId="38925"/>
    <cellStyle name="Total 2 7 2 2 4 4 3" xfId="38926"/>
    <cellStyle name="Total 2 7 2 2 4 4 4" xfId="38927"/>
    <cellStyle name="Total 2 7 2 2 4 5" xfId="38928"/>
    <cellStyle name="Total 2 7 2 2 4 6" xfId="38929"/>
    <cellStyle name="Total 2 7 2 2 4 7" xfId="38930"/>
    <cellStyle name="Total 2 7 2 2 5" xfId="38931"/>
    <cellStyle name="Total 2 7 2 2 5 2" xfId="38932"/>
    <cellStyle name="Total 2 7 2 2 5 2 2" xfId="38933"/>
    <cellStyle name="Total 2 7 2 2 5 2 3" xfId="38934"/>
    <cellStyle name="Total 2 7 2 2 5 2 4" xfId="38935"/>
    <cellStyle name="Total 2 7 2 2 5 3" xfId="38936"/>
    <cellStyle name="Total 2 7 2 2 5 3 2" xfId="38937"/>
    <cellStyle name="Total 2 7 2 2 5 3 3" xfId="38938"/>
    <cellStyle name="Total 2 7 2 2 5 3 4" xfId="38939"/>
    <cellStyle name="Total 2 7 2 2 5 4" xfId="38940"/>
    <cellStyle name="Total 2 7 2 2 5 4 2" xfId="38941"/>
    <cellStyle name="Total 2 7 2 2 5 4 3" xfId="38942"/>
    <cellStyle name="Total 2 7 2 2 5 4 4" xfId="38943"/>
    <cellStyle name="Total 2 7 2 2 5 5" xfId="38944"/>
    <cellStyle name="Total 2 7 2 2 5 6" xfId="38945"/>
    <cellStyle name="Total 2 7 2 2 5 7" xfId="38946"/>
    <cellStyle name="Total 2 7 2 2 6" xfId="38947"/>
    <cellStyle name="Total 2 7 2 2 6 2" xfId="38948"/>
    <cellStyle name="Total 2 7 2 2 6 2 2" xfId="38949"/>
    <cellStyle name="Total 2 7 2 2 6 2 3" xfId="38950"/>
    <cellStyle name="Total 2 7 2 2 6 2 4" xfId="38951"/>
    <cellStyle name="Total 2 7 2 2 6 3" xfId="38952"/>
    <cellStyle name="Total 2 7 2 2 6 3 2" xfId="38953"/>
    <cellStyle name="Total 2 7 2 2 6 3 3" xfId="38954"/>
    <cellStyle name="Total 2 7 2 2 6 3 4" xfId="38955"/>
    <cellStyle name="Total 2 7 2 2 6 4" xfId="38956"/>
    <cellStyle name="Total 2 7 2 2 6 4 2" xfId="38957"/>
    <cellStyle name="Total 2 7 2 2 6 4 3" xfId="38958"/>
    <cellStyle name="Total 2 7 2 2 6 4 4" xfId="38959"/>
    <cellStyle name="Total 2 7 2 2 6 5" xfId="38960"/>
    <cellStyle name="Total 2 7 2 2 6 6" xfId="38961"/>
    <cellStyle name="Total 2 7 2 2 6 7" xfId="38962"/>
    <cellStyle name="Total 2 7 2 2 7" xfId="38963"/>
    <cellStyle name="Total 2 7 2 2 7 2" xfId="38964"/>
    <cellStyle name="Total 2 7 2 2 7 3" xfId="38965"/>
    <cellStyle name="Total 2 7 2 2 7 4" xfId="38966"/>
    <cellStyle name="Total 2 7 2 2 8" xfId="38967"/>
    <cellStyle name="Total 2 7 2 2 8 2" xfId="38968"/>
    <cellStyle name="Total 2 7 2 2 8 3" xfId="38969"/>
    <cellStyle name="Total 2 7 2 2 8 4" xfId="38970"/>
    <cellStyle name="Total 2 7 2 2 9" xfId="38971"/>
    <cellStyle name="Total 2 7 2 2 9 2" xfId="38972"/>
    <cellStyle name="Total 2 7 2 2 9 3" xfId="38973"/>
    <cellStyle name="Total 2 7 2 2 9 4" xfId="38974"/>
    <cellStyle name="Total 2 7 2 3" xfId="835"/>
    <cellStyle name="Total 2 7 2 3 10" xfId="38975"/>
    <cellStyle name="Total 2 7 2 3 11" xfId="38976"/>
    <cellStyle name="Total 2 7 2 3 12" xfId="38977"/>
    <cellStyle name="Total 2 7 2 3 2" xfId="38978"/>
    <cellStyle name="Total 2 7 2 3 2 2" xfId="38979"/>
    <cellStyle name="Total 2 7 2 3 2 2 2" xfId="38980"/>
    <cellStyle name="Total 2 7 2 3 2 2 3" xfId="38981"/>
    <cellStyle name="Total 2 7 2 3 2 2 4" xfId="38982"/>
    <cellStyle name="Total 2 7 2 3 2 3" xfId="38983"/>
    <cellStyle name="Total 2 7 2 3 2 3 2" xfId="38984"/>
    <cellStyle name="Total 2 7 2 3 2 3 3" xfId="38985"/>
    <cellStyle name="Total 2 7 2 3 2 3 4" xfId="38986"/>
    <cellStyle name="Total 2 7 2 3 2 4" xfId="38987"/>
    <cellStyle name="Total 2 7 2 3 2 4 2" xfId="38988"/>
    <cellStyle name="Total 2 7 2 3 2 4 3" xfId="38989"/>
    <cellStyle name="Total 2 7 2 3 2 4 4" xfId="38990"/>
    <cellStyle name="Total 2 7 2 3 2 5" xfId="38991"/>
    <cellStyle name="Total 2 7 2 3 2 6" xfId="38992"/>
    <cellStyle name="Total 2 7 2 3 2 7" xfId="38993"/>
    <cellStyle name="Total 2 7 2 3 3" xfId="38994"/>
    <cellStyle name="Total 2 7 2 3 3 2" xfId="38995"/>
    <cellStyle name="Total 2 7 2 3 3 2 2" xfId="38996"/>
    <cellStyle name="Total 2 7 2 3 3 2 3" xfId="38997"/>
    <cellStyle name="Total 2 7 2 3 3 2 4" xfId="38998"/>
    <cellStyle name="Total 2 7 2 3 3 3" xfId="38999"/>
    <cellStyle name="Total 2 7 2 3 3 3 2" xfId="39000"/>
    <cellStyle name="Total 2 7 2 3 3 3 3" xfId="39001"/>
    <cellStyle name="Total 2 7 2 3 3 3 4" xfId="39002"/>
    <cellStyle name="Total 2 7 2 3 3 4" xfId="39003"/>
    <cellStyle name="Total 2 7 2 3 3 4 2" xfId="39004"/>
    <cellStyle name="Total 2 7 2 3 3 4 3" xfId="39005"/>
    <cellStyle name="Total 2 7 2 3 3 4 4" xfId="39006"/>
    <cellStyle name="Total 2 7 2 3 3 5" xfId="39007"/>
    <cellStyle name="Total 2 7 2 3 3 6" xfId="39008"/>
    <cellStyle name="Total 2 7 2 3 3 7" xfId="39009"/>
    <cellStyle name="Total 2 7 2 3 4" xfId="39010"/>
    <cellStyle name="Total 2 7 2 3 4 2" xfId="39011"/>
    <cellStyle name="Total 2 7 2 3 4 2 2" xfId="39012"/>
    <cellStyle name="Total 2 7 2 3 4 2 3" xfId="39013"/>
    <cellStyle name="Total 2 7 2 3 4 2 4" xfId="39014"/>
    <cellStyle name="Total 2 7 2 3 4 3" xfId="39015"/>
    <cellStyle name="Total 2 7 2 3 4 3 2" xfId="39016"/>
    <cellStyle name="Total 2 7 2 3 4 3 3" xfId="39017"/>
    <cellStyle name="Total 2 7 2 3 4 3 4" xfId="39018"/>
    <cellStyle name="Total 2 7 2 3 4 4" xfId="39019"/>
    <cellStyle name="Total 2 7 2 3 4 4 2" xfId="39020"/>
    <cellStyle name="Total 2 7 2 3 4 4 3" xfId="39021"/>
    <cellStyle name="Total 2 7 2 3 4 4 4" xfId="39022"/>
    <cellStyle name="Total 2 7 2 3 4 5" xfId="39023"/>
    <cellStyle name="Total 2 7 2 3 4 6" xfId="39024"/>
    <cellStyle name="Total 2 7 2 3 4 7" xfId="39025"/>
    <cellStyle name="Total 2 7 2 3 5" xfId="39026"/>
    <cellStyle name="Total 2 7 2 3 5 2" xfId="39027"/>
    <cellStyle name="Total 2 7 2 3 5 2 2" xfId="39028"/>
    <cellStyle name="Total 2 7 2 3 5 2 3" xfId="39029"/>
    <cellStyle name="Total 2 7 2 3 5 2 4" xfId="39030"/>
    <cellStyle name="Total 2 7 2 3 5 3" xfId="39031"/>
    <cellStyle name="Total 2 7 2 3 5 3 2" xfId="39032"/>
    <cellStyle name="Total 2 7 2 3 5 3 3" xfId="39033"/>
    <cellStyle name="Total 2 7 2 3 5 3 4" xfId="39034"/>
    <cellStyle name="Total 2 7 2 3 5 4" xfId="39035"/>
    <cellStyle name="Total 2 7 2 3 5 4 2" xfId="39036"/>
    <cellStyle name="Total 2 7 2 3 5 4 3" xfId="39037"/>
    <cellStyle name="Total 2 7 2 3 5 4 4" xfId="39038"/>
    <cellStyle name="Total 2 7 2 3 5 5" xfId="39039"/>
    <cellStyle name="Total 2 7 2 3 5 6" xfId="39040"/>
    <cellStyle name="Total 2 7 2 3 5 7" xfId="39041"/>
    <cellStyle name="Total 2 7 2 3 6" xfId="39042"/>
    <cellStyle name="Total 2 7 2 3 6 2" xfId="39043"/>
    <cellStyle name="Total 2 7 2 3 6 2 2" xfId="39044"/>
    <cellStyle name="Total 2 7 2 3 6 2 3" xfId="39045"/>
    <cellStyle name="Total 2 7 2 3 6 2 4" xfId="39046"/>
    <cellStyle name="Total 2 7 2 3 6 3" xfId="39047"/>
    <cellStyle name="Total 2 7 2 3 6 3 2" xfId="39048"/>
    <cellStyle name="Total 2 7 2 3 6 3 3" xfId="39049"/>
    <cellStyle name="Total 2 7 2 3 6 3 4" xfId="39050"/>
    <cellStyle name="Total 2 7 2 3 6 4" xfId="39051"/>
    <cellStyle name="Total 2 7 2 3 6 4 2" xfId="39052"/>
    <cellStyle name="Total 2 7 2 3 6 4 3" xfId="39053"/>
    <cellStyle name="Total 2 7 2 3 6 4 4" xfId="39054"/>
    <cellStyle name="Total 2 7 2 3 6 5" xfId="39055"/>
    <cellStyle name="Total 2 7 2 3 6 6" xfId="39056"/>
    <cellStyle name="Total 2 7 2 3 6 7" xfId="39057"/>
    <cellStyle name="Total 2 7 2 3 7" xfId="39058"/>
    <cellStyle name="Total 2 7 2 3 7 2" xfId="39059"/>
    <cellStyle name="Total 2 7 2 3 7 3" xfId="39060"/>
    <cellStyle name="Total 2 7 2 3 7 4" xfId="39061"/>
    <cellStyle name="Total 2 7 2 3 8" xfId="39062"/>
    <cellStyle name="Total 2 7 2 3 8 2" xfId="39063"/>
    <cellStyle name="Total 2 7 2 3 8 3" xfId="39064"/>
    <cellStyle name="Total 2 7 2 3 8 4" xfId="39065"/>
    <cellStyle name="Total 2 7 2 3 9" xfId="39066"/>
    <cellStyle name="Total 2 7 2 3 9 2" xfId="39067"/>
    <cellStyle name="Total 2 7 2 3 9 3" xfId="39068"/>
    <cellStyle name="Total 2 7 2 3 9 4" xfId="39069"/>
    <cellStyle name="Total 2 7 2 4" xfId="980"/>
    <cellStyle name="Total 2 7 2 4 10" xfId="39070"/>
    <cellStyle name="Total 2 7 2 4 11" xfId="39071"/>
    <cellStyle name="Total 2 7 2 4 12" xfId="39072"/>
    <cellStyle name="Total 2 7 2 4 2" xfId="39073"/>
    <cellStyle name="Total 2 7 2 4 2 2" xfId="39074"/>
    <cellStyle name="Total 2 7 2 4 2 2 2" xfId="39075"/>
    <cellStyle name="Total 2 7 2 4 2 2 3" xfId="39076"/>
    <cellStyle name="Total 2 7 2 4 2 2 4" xfId="39077"/>
    <cellStyle name="Total 2 7 2 4 2 3" xfId="39078"/>
    <cellStyle name="Total 2 7 2 4 2 3 2" xfId="39079"/>
    <cellStyle name="Total 2 7 2 4 2 3 3" xfId="39080"/>
    <cellStyle name="Total 2 7 2 4 2 3 4" xfId="39081"/>
    <cellStyle name="Total 2 7 2 4 2 4" xfId="39082"/>
    <cellStyle name="Total 2 7 2 4 2 4 2" xfId="39083"/>
    <cellStyle name="Total 2 7 2 4 2 4 3" xfId="39084"/>
    <cellStyle name="Total 2 7 2 4 2 4 4" xfId="39085"/>
    <cellStyle name="Total 2 7 2 4 2 5" xfId="39086"/>
    <cellStyle name="Total 2 7 2 4 2 6" xfId="39087"/>
    <cellStyle name="Total 2 7 2 4 2 7" xfId="39088"/>
    <cellStyle name="Total 2 7 2 4 3" xfId="39089"/>
    <cellStyle name="Total 2 7 2 4 3 2" xfId="39090"/>
    <cellStyle name="Total 2 7 2 4 3 2 2" xfId="39091"/>
    <cellStyle name="Total 2 7 2 4 3 2 3" xfId="39092"/>
    <cellStyle name="Total 2 7 2 4 3 2 4" xfId="39093"/>
    <cellStyle name="Total 2 7 2 4 3 3" xfId="39094"/>
    <cellStyle name="Total 2 7 2 4 3 3 2" xfId="39095"/>
    <cellStyle name="Total 2 7 2 4 3 3 3" xfId="39096"/>
    <cellStyle name="Total 2 7 2 4 3 3 4" xfId="39097"/>
    <cellStyle name="Total 2 7 2 4 3 4" xfId="39098"/>
    <cellStyle name="Total 2 7 2 4 3 4 2" xfId="39099"/>
    <cellStyle name="Total 2 7 2 4 3 4 3" xfId="39100"/>
    <cellStyle name="Total 2 7 2 4 3 4 4" xfId="39101"/>
    <cellStyle name="Total 2 7 2 4 3 5" xfId="39102"/>
    <cellStyle name="Total 2 7 2 4 3 6" xfId="39103"/>
    <cellStyle name="Total 2 7 2 4 3 7" xfId="39104"/>
    <cellStyle name="Total 2 7 2 4 4" xfId="39105"/>
    <cellStyle name="Total 2 7 2 4 4 2" xfId="39106"/>
    <cellStyle name="Total 2 7 2 4 4 2 2" xfId="39107"/>
    <cellStyle name="Total 2 7 2 4 4 2 3" xfId="39108"/>
    <cellStyle name="Total 2 7 2 4 4 2 4" xfId="39109"/>
    <cellStyle name="Total 2 7 2 4 4 3" xfId="39110"/>
    <cellStyle name="Total 2 7 2 4 4 3 2" xfId="39111"/>
    <cellStyle name="Total 2 7 2 4 4 3 3" xfId="39112"/>
    <cellStyle name="Total 2 7 2 4 4 3 4" xfId="39113"/>
    <cellStyle name="Total 2 7 2 4 4 4" xfId="39114"/>
    <cellStyle name="Total 2 7 2 4 4 4 2" xfId="39115"/>
    <cellStyle name="Total 2 7 2 4 4 4 3" xfId="39116"/>
    <cellStyle name="Total 2 7 2 4 4 4 4" xfId="39117"/>
    <cellStyle name="Total 2 7 2 4 4 5" xfId="39118"/>
    <cellStyle name="Total 2 7 2 4 4 6" xfId="39119"/>
    <cellStyle name="Total 2 7 2 4 4 7" xfId="39120"/>
    <cellStyle name="Total 2 7 2 4 5" xfId="39121"/>
    <cellStyle name="Total 2 7 2 4 5 2" xfId="39122"/>
    <cellStyle name="Total 2 7 2 4 5 2 2" xfId="39123"/>
    <cellStyle name="Total 2 7 2 4 5 2 3" xfId="39124"/>
    <cellStyle name="Total 2 7 2 4 5 2 4" xfId="39125"/>
    <cellStyle name="Total 2 7 2 4 5 3" xfId="39126"/>
    <cellStyle name="Total 2 7 2 4 5 3 2" xfId="39127"/>
    <cellStyle name="Total 2 7 2 4 5 3 3" xfId="39128"/>
    <cellStyle name="Total 2 7 2 4 5 3 4" xfId="39129"/>
    <cellStyle name="Total 2 7 2 4 5 4" xfId="39130"/>
    <cellStyle name="Total 2 7 2 4 5 4 2" xfId="39131"/>
    <cellStyle name="Total 2 7 2 4 5 4 3" xfId="39132"/>
    <cellStyle name="Total 2 7 2 4 5 4 4" xfId="39133"/>
    <cellStyle name="Total 2 7 2 4 5 5" xfId="39134"/>
    <cellStyle name="Total 2 7 2 4 5 6" xfId="39135"/>
    <cellStyle name="Total 2 7 2 4 5 7" xfId="39136"/>
    <cellStyle name="Total 2 7 2 4 6" xfId="39137"/>
    <cellStyle name="Total 2 7 2 4 6 2" xfId="39138"/>
    <cellStyle name="Total 2 7 2 4 6 2 2" xfId="39139"/>
    <cellStyle name="Total 2 7 2 4 6 2 3" xfId="39140"/>
    <cellStyle name="Total 2 7 2 4 6 2 4" xfId="39141"/>
    <cellStyle name="Total 2 7 2 4 6 3" xfId="39142"/>
    <cellStyle name="Total 2 7 2 4 6 3 2" xfId="39143"/>
    <cellStyle name="Total 2 7 2 4 6 3 3" xfId="39144"/>
    <cellStyle name="Total 2 7 2 4 6 3 4" xfId="39145"/>
    <cellStyle name="Total 2 7 2 4 6 4" xfId="39146"/>
    <cellStyle name="Total 2 7 2 4 6 4 2" xfId="39147"/>
    <cellStyle name="Total 2 7 2 4 6 4 3" xfId="39148"/>
    <cellStyle name="Total 2 7 2 4 6 4 4" xfId="39149"/>
    <cellStyle name="Total 2 7 2 4 6 5" xfId="39150"/>
    <cellStyle name="Total 2 7 2 4 6 6" xfId="39151"/>
    <cellStyle name="Total 2 7 2 4 6 7" xfId="39152"/>
    <cellStyle name="Total 2 7 2 4 7" xfId="39153"/>
    <cellStyle name="Total 2 7 2 4 7 2" xfId="39154"/>
    <cellStyle name="Total 2 7 2 4 7 3" xfId="39155"/>
    <cellStyle name="Total 2 7 2 4 7 4" xfId="39156"/>
    <cellStyle name="Total 2 7 2 4 8" xfId="39157"/>
    <cellStyle name="Total 2 7 2 4 8 2" xfId="39158"/>
    <cellStyle name="Total 2 7 2 4 8 3" xfId="39159"/>
    <cellStyle name="Total 2 7 2 4 8 4" xfId="39160"/>
    <cellStyle name="Total 2 7 2 4 9" xfId="39161"/>
    <cellStyle name="Total 2 7 2 4 9 2" xfId="39162"/>
    <cellStyle name="Total 2 7 2 4 9 3" xfId="39163"/>
    <cellStyle name="Total 2 7 2 4 9 4" xfId="39164"/>
    <cellStyle name="Total 2 7 2 5" xfId="39165"/>
    <cellStyle name="Total 2 7 2 5 10" xfId="39166"/>
    <cellStyle name="Total 2 7 2 5 11" xfId="39167"/>
    <cellStyle name="Total 2 7 2 5 12" xfId="39168"/>
    <cellStyle name="Total 2 7 2 5 2" xfId="39169"/>
    <cellStyle name="Total 2 7 2 5 2 2" xfId="39170"/>
    <cellStyle name="Total 2 7 2 5 2 2 2" xfId="39171"/>
    <cellStyle name="Total 2 7 2 5 2 2 3" xfId="39172"/>
    <cellStyle name="Total 2 7 2 5 2 2 4" xfId="39173"/>
    <cellStyle name="Total 2 7 2 5 2 3" xfId="39174"/>
    <cellStyle name="Total 2 7 2 5 2 3 2" xfId="39175"/>
    <cellStyle name="Total 2 7 2 5 2 3 3" xfId="39176"/>
    <cellStyle name="Total 2 7 2 5 2 3 4" xfId="39177"/>
    <cellStyle name="Total 2 7 2 5 2 4" xfId="39178"/>
    <cellStyle name="Total 2 7 2 5 2 4 2" xfId="39179"/>
    <cellStyle name="Total 2 7 2 5 2 4 3" xfId="39180"/>
    <cellStyle name="Total 2 7 2 5 2 4 4" xfId="39181"/>
    <cellStyle name="Total 2 7 2 5 2 5" xfId="39182"/>
    <cellStyle name="Total 2 7 2 5 2 6" xfId="39183"/>
    <cellStyle name="Total 2 7 2 5 2 7" xfId="39184"/>
    <cellStyle name="Total 2 7 2 5 3" xfId="39185"/>
    <cellStyle name="Total 2 7 2 5 3 2" xfId="39186"/>
    <cellStyle name="Total 2 7 2 5 3 2 2" xfId="39187"/>
    <cellStyle name="Total 2 7 2 5 3 2 3" xfId="39188"/>
    <cellStyle name="Total 2 7 2 5 3 2 4" xfId="39189"/>
    <cellStyle name="Total 2 7 2 5 3 3" xfId="39190"/>
    <cellStyle name="Total 2 7 2 5 3 3 2" xfId="39191"/>
    <cellStyle name="Total 2 7 2 5 3 3 3" xfId="39192"/>
    <cellStyle name="Total 2 7 2 5 3 3 4" xfId="39193"/>
    <cellStyle name="Total 2 7 2 5 3 4" xfId="39194"/>
    <cellStyle name="Total 2 7 2 5 3 4 2" xfId="39195"/>
    <cellStyle name="Total 2 7 2 5 3 4 3" xfId="39196"/>
    <cellStyle name="Total 2 7 2 5 3 4 4" xfId="39197"/>
    <cellStyle name="Total 2 7 2 5 3 5" xfId="39198"/>
    <cellStyle name="Total 2 7 2 5 3 6" xfId="39199"/>
    <cellStyle name="Total 2 7 2 5 3 7" xfId="39200"/>
    <cellStyle name="Total 2 7 2 5 4" xfId="39201"/>
    <cellStyle name="Total 2 7 2 5 4 2" xfId="39202"/>
    <cellStyle name="Total 2 7 2 5 4 2 2" xfId="39203"/>
    <cellStyle name="Total 2 7 2 5 4 2 3" xfId="39204"/>
    <cellStyle name="Total 2 7 2 5 4 2 4" xfId="39205"/>
    <cellStyle name="Total 2 7 2 5 4 3" xfId="39206"/>
    <cellStyle name="Total 2 7 2 5 4 3 2" xfId="39207"/>
    <cellStyle name="Total 2 7 2 5 4 3 3" xfId="39208"/>
    <cellStyle name="Total 2 7 2 5 4 3 4" xfId="39209"/>
    <cellStyle name="Total 2 7 2 5 4 4" xfId="39210"/>
    <cellStyle name="Total 2 7 2 5 4 4 2" xfId="39211"/>
    <cellStyle name="Total 2 7 2 5 4 4 3" xfId="39212"/>
    <cellStyle name="Total 2 7 2 5 4 4 4" xfId="39213"/>
    <cellStyle name="Total 2 7 2 5 4 5" xfId="39214"/>
    <cellStyle name="Total 2 7 2 5 4 6" xfId="39215"/>
    <cellStyle name="Total 2 7 2 5 4 7" xfId="39216"/>
    <cellStyle name="Total 2 7 2 5 5" xfId="39217"/>
    <cellStyle name="Total 2 7 2 5 5 2" xfId="39218"/>
    <cellStyle name="Total 2 7 2 5 5 2 2" xfId="39219"/>
    <cellStyle name="Total 2 7 2 5 5 2 3" xfId="39220"/>
    <cellStyle name="Total 2 7 2 5 5 2 4" xfId="39221"/>
    <cellStyle name="Total 2 7 2 5 5 3" xfId="39222"/>
    <cellStyle name="Total 2 7 2 5 5 3 2" xfId="39223"/>
    <cellStyle name="Total 2 7 2 5 5 3 3" xfId="39224"/>
    <cellStyle name="Total 2 7 2 5 5 3 4" xfId="39225"/>
    <cellStyle name="Total 2 7 2 5 5 4" xfId="39226"/>
    <cellStyle name="Total 2 7 2 5 5 4 2" xfId="39227"/>
    <cellStyle name="Total 2 7 2 5 5 4 3" xfId="39228"/>
    <cellStyle name="Total 2 7 2 5 5 4 4" xfId="39229"/>
    <cellStyle name="Total 2 7 2 5 5 5" xfId="39230"/>
    <cellStyle name="Total 2 7 2 5 5 6" xfId="39231"/>
    <cellStyle name="Total 2 7 2 5 5 7" xfId="39232"/>
    <cellStyle name="Total 2 7 2 5 6" xfId="39233"/>
    <cellStyle name="Total 2 7 2 5 6 2" xfId="39234"/>
    <cellStyle name="Total 2 7 2 5 6 2 2" xfId="39235"/>
    <cellStyle name="Total 2 7 2 5 6 2 3" xfId="39236"/>
    <cellStyle name="Total 2 7 2 5 6 2 4" xfId="39237"/>
    <cellStyle name="Total 2 7 2 5 6 3" xfId="39238"/>
    <cellStyle name="Total 2 7 2 5 6 3 2" xfId="39239"/>
    <cellStyle name="Total 2 7 2 5 6 3 3" xfId="39240"/>
    <cellStyle name="Total 2 7 2 5 6 3 4" xfId="39241"/>
    <cellStyle name="Total 2 7 2 5 6 4" xfId="39242"/>
    <cellStyle name="Total 2 7 2 5 6 4 2" xfId="39243"/>
    <cellStyle name="Total 2 7 2 5 6 4 3" xfId="39244"/>
    <cellStyle name="Total 2 7 2 5 6 4 4" xfId="39245"/>
    <cellStyle name="Total 2 7 2 5 6 5" xfId="39246"/>
    <cellStyle name="Total 2 7 2 5 6 6" xfId="39247"/>
    <cellStyle name="Total 2 7 2 5 6 7" xfId="39248"/>
    <cellStyle name="Total 2 7 2 5 7" xfId="39249"/>
    <cellStyle name="Total 2 7 2 5 7 2" xfId="39250"/>
    <cellStyle name="Total 2 7 2 5 7 3" xfId="39251"/>
    <cellStyle name="Total 2 7 2 5 7 4" xfId="39252"/>
    <cellStyle name="Total 2 7 2 5 8" xfId="39253"/>
    <cellStyle name="Total 2 7 2 5 8 2" xfId="39254"/>
    <cellStyle name="Total 2 7 2 5 8 3" xfId="39255"/>
    <cellStyle name="Total 2 7 2 5 8 4" xfId="39256"/>
    <cellStyle name="Total 2 7 2 5 9" xfId="39257"/>
    <cellStyle name="Total 2 7 2 5 9 2" xfId="39258"/>
    <cellStyle name="Total 2 7 2 5 9 3" xfId="39259"/>
    <cellStyle name="Total 2 7 2 5 9 4" xfId="39260"/>
    <cellStyle name="Total 2 7 2 6" xfId="39261"/>
    <cellStyle name="Total 2 7 2 6 2" xfId="39262"/>
    <cellStyle name="Total 2 7 2 6 2 2" xfId="39263"/>
    <cellStyle name="Total 2 7 2 6 2 3" xfId="39264"/>
    <cellStyle name="Total 2 7 2 6 2 4" xfId="39265"/>
    <cellStyle name="Total 2 7 2 6 3" xfId="39266"/>
    <cellStyle name="Total 2 7 2 6 3 2" xfId="39267"/>
    <cellStyle name="Total 2 7 2 6 3 3" xfId="39268"/>
    <cellStyle name="Total 2 7 2 6 3 4" xfId="39269"/>
    <cellStyle name="Total 2 7 2 6 4" xfId="39270"/>
    <cellStyle name="Total 2 7 2 6 4 2" xfId="39271"/>
    <cellStyle name="Total 2 7 2 6 4 3" xfId="39272"/>
    <cellStyle name="Total 2 7 2 6 4 4" xfId="39273"/>
    <cellStyle name="Total 2 7 2 6 5" xfId="39274"/>
    <cellStyle name="Total 2 7 2 6 6" xfId="39275"/>
    <cellStyle name="Total 2 7 2 6 7" xfId="39276"/>
    <cellStyle name="Total 2 7 2 7" xfId="39277"/>
    <cellStyle name="Total 2 7 2 7 2" xfId="39278"/>
    <cellStyle name="Total 2 7 2 7 2 2" xfId="39279"/>
    <cellStyle name="Total 2 7 2 7 2 3" xfId="39280"/>
    <cellStyle name="Total 2 7 2 7 2 4" xfId="39281"/>
    <cellStyle name="Total 2 7 2 7 3" xfId="39282"/>
    <cellStyle name="Total 2 7 2 7 3 2" xfId="39283"/>
    <cellStyle name="Total 2 7 2 7 3 3" xfId="39284"/>
    <cellStyle name="Total 2 7 2 7 3 4" xfId="39285"/>
    <cellStyle name="Total 2 7 2 7 4" xfId="39286"/>
    <cellStyle name="Total 2 7 2 7 4 2" xfId="39287"/>
    <cellStyle name="Total 2 7 2 7 4 3" xfId="39288"/>
    <cellStyle name="Total 2 7 2 7 4 4" xfId="39289"/>
    <cellStyle name="Total 2 7 2 7 5" xfId="39290"/>
    <cellStyle name="Total 2 7 2 7 6" xfId="39291"/>
    <cellStyle name="Total 2 7 2 7 7" xfId="39292"/>
    <cellStyle name="Total 2 7 2 8" xfId="39293"/>
    <cellStyle name="Total 2 7 2 8 2" xfId="39294"/>
    <cellStyle name="Total 2 7 2 8 2 2" xfId="39295"/>
    <cellStyle name="Total 2 7 2 8 2 3" xfId="39296"/>
    <cellStyle name="Total 2 7 2 8 2 4" xfId="39297"/>
    <cellStyle name="Total 2 7 2 8 3" xfId="39298"/>
    <cellStyle name="Total 2 7 2 8 3 2" xfId="39299"/>
    <cellStyle name="Total 2 7 2 8 3 3" xfId="39300"/>
    <cellStyle name="Total 2 7 2 8 3 4" xfId="39301"/>
    <cellStyle name="Total 2 7 2 8 4" xfId="39302"/>
    <cellStyle name="Total 2 7 2 8 4 2" xfId="39303"/>
    <cellStyle name="Total 2 7 2 8 4 3" xfId="39304"/>
    <cellStyle name="Total 2 7 2 8 4 4" xfId="39305"/>
    <cellStyle name="Total 2 7 2 8 5" xfId="39306"/>
    <cellStyle name="Total 2 7 2 8 6" xfId="39307"/>
    <cellStyle name="Total 2 7 2 8 7" xfId="39308"/>
    <cellStyle name="Total 2 7 2 9" xfId="39309"/>
    <cellStyle name="Total 2 7 2 9 2" xfId="39310"/>
    <cellStyle name="Total 2 7 2 9 2 2" xfId="39311"/>
    <cellStyle name="Total 2 7 2 9 2 3" xfId="39312"/>
    <cellStyle name="Total 2 7 2 9 2 4" xfId="39313"/>
    <cellStyle name="Total 2 7 2 9 3" xfId="39314"/>
    <cellStyle name="Total 2 7 2 9 3 2" xfId="39315"/>
    <cellStyle name="Total 2 7 2 9 3 3" xfId="39316"/>
    <cellStyle name="Total 2 7 2 9 3 4" xfId="39317"/>
    <cellStyle name="Total 2 7 2 9 4" xfId="39318"/>
    <cellStyle name="Total 2 7 2 9 4 2" xfId="39319"/>
    <cellStyle name="Total 2 7 2 9 4 3" xfId="39320"/>
    <cellStyle name="Total 2 7 2 9 4 4" xfId="39321"/>
    <cellStyle name="Total 2 7 2 9 5" xfId="39322"/>
    <cellStyle name="Total 2 7 2 9 6" xfId="39323"/>
    <cellStyle name="Total 2 7 2 9 7" xfId="39324"/>
    <cellStyle name="Total 2 7 3" xfId="1095"/>
    <cellStyle name="Total 2 7 3 10" xfId="39325"/>
    <cellStyle name="Total 2 7 3 11" xfId="39326"/>
    <cellStyle name="Total 2 7 3 12" xfId="39327"/>
    <cellStyle name="Total 2 7 3 2" xfId="39328"/>
    <cellStyle name="Total 2 7 3 2 2" xfId="39329"/>
    <cellStyle name="Total 2 7 3 2 2 2" xfId="39330"/>
    <cellStyle name="Total 2 7 3 2 2 3" xfId="39331"/>
    <cellStyle name="Total 2 7 3 2 2 4" xfId="39332"/>
    <cellStyle name="Total 2 7 3 2 3" xfId="39333"/>
    <cellStyle name="Total 2 7 3 2 3 2" xfId="39334"/>
    <cellStyle name="Total 2 7 3 2 3 3" xfId="39335"/>
    <cellStyle name="Total 2 7 3 2 3 4" xfId="39336"/>
    <cellStyle name="Total 2 7 3 2 4" xfId="39337"/>
    <cellStyle name="Total 2 7 3 2 4 2" xfId="39338"/>
    <cellStyle name="Total 2 7 3 2 4 3" xfId="39339"/>
    <cellStyle name="Total 2 7 3 2 4 4" xfId="39340"/>
    <cellStyle name="Total 2 7 3 2 5" xfId="39341"/>
    <cellStyle name="Total 2 7 3 2 6" xfId="39342"/>
    <cellStyle name="Total 2 7 3 2 7" xfId="39343"/>
    <cellStyle name="Total 2 7 3 3" xfId="39344"/>
    <cellStyle name="Total 2 7 3 3 2" xfId="39345"/>
    <cellStyle name="Total 2 7 3 3 2 2" xfId="39346"/>
    <cellStyle name="Total 2 7 3 3 2 3" xfId="39347"/>
    <cellStyle name="Total 2 7 3 3 2 4" xfId="39348"/>
    <cellStyle name="Total 2 7 3 3 3" xfId="39349"/>
    <cellStyle name="Total 2 7 3 3 3 2" xfId="39350"/>
    <cellStyle name="Total 2 7 3 3 3 3" xfId="39351"/>
    <cellStyle name="Total 2 7 3 3 3 4" xfId="39352"/>
    <cellStyle name="Total 2 7 3 3 4" xfId="39353"/>
    <cellStyle name="Total 2 7 3 3 4 2" xfId="39354"/>
    <cellStyle name="Total 2 7 3 3 4 3" xfId="39355"/>
    <cellStyle name="Total 2 7 3 3 4 4" xfId="39356"/>
    <cellStyle name="Total 2 7 3 3 5" xfId="39357"/>
    <cellStyle name="Total 2 7 3 3 6" xfId="39358"/>
    <cellStyle name="Total 2 7 3 3 7" xfId="39359"/>
    <cellStyle name="Total 2 7 3 4" xfId="39360"/>
    <cellStyle name="Total 2 7 3 4 2" xfId="39361"/>
    <cellStyle name="Total 2 7 3 4 2 2" xfId="39362"/>
    <cellStyle name="Total 2 7 3 4 2 3" xfId="39363"/>
    <cellStyle name="Total 2 7 3 4 2 4" xfId="39364"/>
    <cellStyle name="Total 2 7 3 4 3" xfId="39365"/>
    <cellStyle name="Total 2 7 3 4 3 2" xfId="39366"/>
    <cellStyle name="Total 2 7 3 4 3 3" xfId="39367"/>
    <cellStyle name="Total 2 7 3 4 3 4" xfId="39368"/>
    <cellStyle name="Total 2 7 3 4 4" xfId="39369"/>
    <cellStyle name="Total 2 7 3 4 4 2" xfId="39370"/>
    <cellStyle name="Total 2 7 3 4 4 3" xfId="39371"/>
    <cellStyle name="Total 2 7 3 4 4 4" xfId="39372"/>
    <cellStyle name="Total 2 7 3 4 5" xfId="39373"/>
    <cellStyle name="Total 2 7 3 4 6" xfId="39374"/>
    <cellStyle name="Total 2 7 3 4 7" xfId="39375"/>
    <cellStyle name="Total 2 7 3 5" xfId="39376"/>
    <cellStyle name="Total 2 7 3 5 2" xfId="39377"/>
    <cellStyle name="Total 2 7 3 5 2 2" xfId="39378"/>
    <cellStyle name="Total 2 7 3 5 2 3" xfId="39379"/>
    <cellStyle name="Total 2 7 3 5 2 4" xfId="39380"/>
    <cellStyle name="Total 2 7 3 5 3" xfId="39381"/>
    <cellStyle name="Total 2 7 3 5 3 2" xfId="39382"/>
    <cellStyle name="Total 2 7 3 5 3 3" xfId="39383"/>
    <cellStyle name="Total 2 7 3 5 3 4" xfId="39384"/>
    <cellStyle name="Total 2 7 3 5 4" xfId="39385"/>
    <cellStyle name="Total 2 7 3 5 4 2" xfId="39386"/>
    <cellStyle name="Total 2 7 3 5 4 3" xfId="39387"/>
    <cellStyle name="Total 2 7 3 5 4 4" xfId="39388"/>
    <cellStyle name="Total 2 7 3 5 5" xfId="39389"/>
    <cellStyle name="Total 2 7 3 5 6" xfId="39390"/>
    <cellStyle name="Total 2 7 3 5 7" xfId="39391"/>
    <cellStyle name="Total 2 7 3 6" xfId="39392"/>
    <cellStyle name="Total 2 7 3 6 2" xfId="39393"/>
    <cellStyle name="Total 2 7 3 6 2 2" xfId="39394"/>
    <cellStyle name="Total 2 7 3 6 2 3" xfId="39395"/>
    <cellStyle name="Total 2 7 3 6 2 4" xfId="39396"/>
    <cellStyle name="Total 2 7 3 6 3" xfId="39397"/>
    <cellStyle name="Total 2 7 3 6 3 2" xfId="39398"/>
    <cellStyle name="Total 2 7 3 6 3 3" xfId="39399"/>
    <cellStyle name="Total 2 7 3 6 3 4" xfId="39400"/>
    <cellStyle name="Total 2 7 3 6 4" xfId="39401"/>
    <cellStyle name="Total 2 7 3 6 4 2" xfId="39402"/>
    <cellStyle name="Total 2 7 3 6 4 3" xfId="39403"/>
    <cellStyle name="Total 2 7 3 6 4 4" xfId="39404"/>
    <cellStyle name="Total 2 7 3 6 5" xfId="39405"/>
    <cellStyle name="Total 2 7 3 6 6" xfId="39406"/>
    <cellStyle name="Total 2 7 3 6 7" xfId="39407"/>
    <cellStyle name="Total 2 7 3 7" xfId="39408"/>
    <cellStyle name="Total 2 7 3 7 2" xfId="39409"/>
    <cellStyle name="Total 2 7 3 7 3" xfId="39410"/>
    <cellStyle name="Total 2 7 3 7 4" xfId="39411"/>
    <cellStyle name="Total 2 7 3 8" xfId="39412"/>
    <cellStyle name="Total 2 7 3 8 2" xfId="39413"/>
    <cellStyle name="Total 2 7 3 8 3" xfId="39414"/>
    <cellStyle name="Total 2 7 3 8 4" xfId="39415"/>
    <cellStyle name="Total 2 7 3 9" xfId="39416"/>
    <cellStyle name="Total 2 7 3 9 2" xfId="39417"/>
    <cellStyle name="Total 2 7 3 9 3" xfId="39418"/>
    <cellStyle name="Total 2 7 3 9 4" xfId="39419"/>
    <cellStyle name="Total 2 7 4" xfId="3180"/>
    <cellStyle name="Total 2 7 5" xfId="3216"/>
    <cellStyle name="Total 2 7 6" xfId="1134"/>
    <cellStyle name="Total 2 7 7" xfId="3268"/>
    <cellStyle name="Total 2 8" xfId="159"/>
    <cellStyle name="Total 2 8 2" xfId="657"/>
    <cellStyle name="Total 2 8 2 10" xfId="39420"/>
    <cellStyle name="Total 2 8 2 10 2" xfId="39421"/>
    <cellStyle name="Total 2 8 2 10 2 2" xfId="39422"/>
    <cellStyle name="Total 2 8 2 10 2 3" xfId="39423"/>
    <cellStyle name="Total 2 8 2 10 2 4" xfId="39424"/>
    <cellStyle name="Total 2 8 2 10 3" xfId="39425"/>
    <cellStyle name="Total 2 8 2 10 3 2" xfId="39426"/>
    <cellStyle name="Total 2 8 2 10 3 3" xfId="39427"/>
    <cellStyle name="Total 2 8 2 10 3 4" xfId="39428"/>
    <cellStyle name="Total 2 8 2 10 4" xfId="39429"/>
    <cellStyle name="Total 2 8 2 10 4 2" xfId="39430"/>
    <cellStyle name="Total 2 8 2 10 4 3" xfId="39431"/>
    <cellStyle name="Total 2 8 2 10 4 4" xfId="39432"/>
    <cellStyle name="Total 2 8 2 10 5" xfId="39433"/>
    <cellStyle name="Total 2 8 2 10 6" xfId="39434"/>
    <cellStyle name="Total 2 8 2 10 7" xfId="39435"/>
    <cellStyle name="Total 2 8 2 11" xfId="39436"/>
    <cellStyle name="Total 2 8 2 11 2" xfId="39437"/>
    <cellStyle name="Total 2 8 2 11 2 2" xfId="39438"/>
    <cellStyle name="Total 2 8 2 11 2 3" xfId="39439"/>
    <cellStyle name="Total 2 8 2 11 2 4" xfId="39440"/>
    <cellStyle name="Total 2 8 2 11 3" xfId="39441"/>
    <cellStyle name="Total 2 8 2 11 3 2" xfId="39442"/>
    <cellStyle name="Total 2 8 2 11 3 3" xfId="39443"/>
    <cellStyle name="Total 2 8 2 11 3 4" xfId="39444"/>
    <cellStyle name="Total 2 8 2 11 4" xfId="39445"/>
    <cellStyle name="Total 2 8 2 11 4 2" xfId="39446"/>
    <cellStyle name="Total 2 8 2 11 4 3" xfId="39447"/>
    <cellStyle name="Total 2 8 2 11 4 4" xfId="39448"/>
    <cellStyle name="Total 2 8 2 11 5" xfId="39449"/>
    <cellStyle name="Total 2 8 2 11 6" xfId="39450"/>
    <cellStyle name="Total 2 8 2 11 7" xfId="39451"/>
    <cellStyle name="Total 2 8 2 12" xfId="39452"/>
    <cellStyle name="Total 2 8 2 12 2" xfId="39453"/>
    <cellStyle name="Total 2 8 2 12 2 2" xfId="39454"/>
    <cellStyle name="Total 2 8 2 12 2 3" xfId="39455"/>
    <cellStyle name="Total 2 8 2 12 2 4" xfId="39456"/>
    <cellStyle name="Total 2 8 2 12 3" xfId="39457"/>
    <cellStyle name="Total 2 8 2 12 3 2" xfId="39458"/>
    <cellStyle name="Total 2 8 2 12 3 3" xfId="39459"/>
    <cellStyle name="Total 2 8 2 12 3 4" xfId="39460"/>
    <cellStyle name="Total 2 8 2 12 4" xfId="39461"/>
    <cellStyle name="Total 2 8 2 12 4 2" xfId="39462"/>
    <cellStyle name="Total 2 8 2 12 4 3" xfId="39463"/>
    <cellStyle name="Total 2 8 2 12 4 4" xfId="39464"/>
    <cellStyle name="Total 2 8 2 12 5" xfId="39465"/>
    <cellStyle name="Total 2 8 2 12 6" xfId="39466"/>
    <cellStyle name="Total 2 8 2 12 7" xfId="39467"/>
    <cellStyle name="Total 2 8 2 13" xfId="39468"/>
    <cellStyle name="Total 2 8 2 13 2" xfId="39469"/>
    <cellStyle name="Total 2 8 2 13 2 2" xfId="39470"/>
    <cellStyle name="Total 2 8 2 13 2 3" xfId="39471"/>
    <cellStyle name="Total 2 8 2 13 2 4" xfId="39472"/>
    <cellStyle name="Total 2 8 2 13 3" xfId="39473"/>
    <cellStyle name="Total 2 8 2 13 3 2" xfId="39474"/>
    <cellStyle name="Total 2 8 2 13 3 3" xfId="39475"/>
    <cellStyle name="Total 2 8 2 13 3 4" xfId="39476"/>
    <cellStyle name="Total 2 8 2 13 4" xfId="39477"/>
    <cellStyle name="Total 2 8 2 13 4 2" xfId="39478"/>
    <cellStyle name="Total 2 8 2 13 4 3" xfId="39479"/>
    <cellStyle name="Total 2 8 2 13 4 4" xfId="39480"/>
    <cellStyle name="Total 2 8 2 13 5" xfId="39481"/>
    <cellStyle name="Total 2 8 2 13 6" xfId="39482"/>
    <cellStyle name="Total 2 8 2 13 7" xfId="39483"/>
    <cellStyle name="Total 2 8 2 14" xfId="39484"/>
    <cellStyle name="Total 2 8 2 14 2" xfId="39485"/>
    <cellStyle name="Total 2 8 2 14 3" xfId="39486"/>
    <cellStyle name="Total 2 8 2 14 4" xfId="39487"/>
    <cellStyle name="Total 2 8 2 15" xfId="39488"/>
    <cellStyle name="Total 2 8 2 15 2" xfId="39489"/>
    <cellStyle name="Total 2 8 2 15 3" xfId="39490"/>
    <cellStyle name="Total 2 8 2 15 4" xfId="39491"/>
    <cellStyle name="Total 2 8 2 16" xfId="39492"/>
    <cellStyle name="Total 2 8 2 16 2" xfId="39493"/>
    <cellStyle name="Total 2 8 2 16 3" xfId="39494"/>
    <cellStyle name="Total 2 8 2 16 4" xfId="39495"/>
    <cellStyle name="Total 2 8 2 17" xfId="39496"/>
    <cellStyle name="Total 2 8 2 18" xfId="39497"/>
    <cellStyle name="Total 2 8 2 19" xfId="39498"/>
    <cellStyle name="Total 2 8 2 2" xfId="911"/>
    <cellStyle name="Total 2 8 2 2 10" xfId="39499"/>
    <cellStyle name="Total 2 8 2 2 11" xfId="39500"/>
    <cellStyle name="Total 2 8 2 2 12" xfId="39501"/>
    <cellStyle name="Total 2 8 2 2 2" xfId="39502"/>
    <cellStyle name="Total 2 8 2 2 2 2" xfId="39503"/>
    <cellStyle name="Total 2 8 2 2 2 2 2" xfId="39504"/>
    <cellStyle name="Total 2 8 2 2 2 2 3" xfId="39505"/>
    <cellStyle name="Total 2 8 2 2 2 2 4" xfId="39506"/>
    <cellStyle name="Total 2 8 2 2 2 3" xfId="39507"/>
    <cellStyle name="Total 2 8 2 2 2 3 2" xfId="39508"/>
    <cellStyle name="Total 2 8 2 2 2 3 3" xfId="39509"/>
    <cellStyle name="Total 2 8 2 2 2 3 4" xfId="39510"/>
    <cellStyle name="Total 2 8 2 2 2 4" xfId="39511"/>
    <cellStyle name="Total 2 8 2 2 2 4 2" xfId="39512"/>
    <cellStyle name="Total 2 8 2 2 2 4 3" xfId="39513"/>
    <cellStyle name="Total 2 8 2 2 2 4 4" xfId="39514"/>
    <cellStyle name="Total 2 8 2 2 2 5" xfId="39515"/>
    <cellStyle name="Total 2 8 2 2 2 6" xfId="39516"/>
    <cellStyle name="Total 2 8 2 2 2 7" xfId="39517"/>
    <cellStyle name="Total 2 8 2 2 3" xfId="39518"/>
    <cellStyle name="Total 2 8 2 2 3 2" xfId="39519"/>
    <cellStyle name="Total 2 8 2 2 3 2 2" xfId="39520"/>
    <cellStyle name="Total 2 8 2 2 3 2 3" xfId="39521"/>
    <cellStyle name="Total 2 8 2 2 3 2 4" xfId="39522"/>
    <cellStyle name="Total 2 8 2 2 3 3" xfId="39523"/>
    <cellStyle name="Total 2 8 2 2 3 3 2" xfId="39524"/>
    <cellStyle name="Total 2 8 2 2 3 3 3" xfId="39525"/>
    <cellStyle name="Total 2 8 2 2 3 3 4" xfId="39526"/>
    <cellStyle name="Total 2 8 2 2 3 4" xfId="39527"/>
    <cellStyle name="Total 2 8 2 2 3 4 2" xfId="39528"/>
    <cellStyle name="Total 2 8 2 2 3 4 3" xfId="39529"/>
    <cellStyle name="Total 2 8 2 2 3 4 4" xfId="39530"/>
    <cellStyle name="Total 2 8 2 2 3 5" xfId="39531"/>
    <cellStyle name="Total 2 8 2 2 3 6" xfId="39532"/>
    <cellStyle name="Total 2 8 2 2 3 7" xfId="39533"/>
    <cellStyle name="Total 2 8 2 2 4" xfId="39534"/>
    <cellStyle name="Total 2 8 2 2 4 2" xfId="39535"/>
    <cellStyle name="Total 2 8 2 2 4 2 2" xfId="39536"/>
    <cellStyle name="Total 2 8 2 2 4 2 3" xfId="39537"/>
    <cellStyle name="Total 2 8 2 2 4 2 4" xfId="39538"/>
    <cellStyle name="Total 2 8 2 2 4 3" xfId="39539"/>
    <cellStyle name="Total 2 8 2 2 4 3 2" xfId="39540"/>
    <cellStyle name="Total 2 8 2 2 4 3 3" xfId="39541"/>
    <cellStyle name="Total 2 8 2 2 4 3 4" xfId="39542"/>
    <cellStyle name="Total 2 8 2 2 4 4" xfId="39543"/>
    <cellStyle name="Total 2 8 2 2 4 4 2" xfId="39544"/>
    <cellStyle name="Total 2 8 2 2 4 4 3" xfId="39545"/>
    <cellStyle name="Total 2 8 2 2 4 4 4" xfId="39546"/>
    <cellStyle name="Total 2 8 2 2 4 5" xfId="39547"/>
    <cellStyle name="Total 2 8 2 2 4 6" xfId="39548"/>
    <cellStyle name="Total 2 8 2 2 4 7" xfId="39549"/>
    <cellStyle name="Total 2 8 2 2 5" xfId="39550"/>
    <cellStyle name="Total 2 8 2 2 5 2" xfId="39551"/>
    <cellStyle name="Total 2 8 2 2 5 2 2" xfId="39552"/>
    <cellStyle name="Total 2 8 2 2 5 2 3" xfId="39553"/>
    <cellStyle name="Total 2 8 2 2 5 2 4" xfId="39554"/>
    <cellStyle name="Total 2 8 2 2 5 3" xfId="39555"/>
    <cellStyle name="Total 2 8 2 2 5 3 2" xfId="39556"/>
    <cellStyle name="Total 2 8 2 2 5 3 3" xfId="39557"/>
    <cellStyle name="Total 2 8 2 2 5 3 4" xfId="39558"/>
    <cellStyle name="Total 2 8 2 2 5 4" xfId="39559"/>
    <cellStyle name="Total 2 8 2 2 5 4 2" xfId="39560"/>
    <cellStyle name="Total 2 8 2 2 5 4 3" xfId="39561"/>
    <cellStyle name="Total 2 8 2 2 5 4 4" xfId="39562"/>
    <cellStyle name="Total 2 8 2 2 5 5" xfId="39563"/>
    <cellStyle name="Total 2 8 2 2 5 6" xfId="39564"/>
    <cellStyle name="Total 2 8 2 2 5 7" xfId="39565"/>
    <cellStyle name="Total 2 8 2 2 6" xfId="39566"/>
    <cellStyle name="Total 2 8 2 2 6 2" xfId="39567"/>
    <cellStyle name="Total 2 8 2 2 6 2 2" xfId="39568"/>
    <cellStyle name="Total 2 8 2 2 6 2 3" xfId="39569"/>
    <cellStyle name="Total 2 8 2 2 6 2 4" xfId="39570"/>
    <cellStyle name="Total 2 8 2 2 6 3" xfId="39571"/>
    <cellStyle name="Total 2 8 2 2 6 3 2" xfId="39572"/>
    <cellStyle name="Total 2 8 2 2 6 3 3" xfId="39573"/>
    <cellStyle name="Total 2 8 2 2 6 3 4" xfId="39574"/>
    <cellStyle name="Total 2 8 2 2 6 4" xfId="39575"/>
    <cellStyle name="Total 2 8 2 2 6 4 2" xfId="39576"/>
    <cellStyle name="Total 2 8 2 2 6 4 3" xfId="39577"/>
    <cellStyle name="Total 2 8 2 2 6 4 4" xfId="39578"/>
    <cellStyle name="Total 2 8 2 2 6 5" xfId="39579"/>
    <cellStyle name="Total 2 8 2 2 6 6" xfId="39580"/>
    <cellStyle name="Total 2 8 2 2 6 7" xfId="39581"/>
    <cellStyle name="Total 2 8 2 2 7" xfId="39582"/>
    <cellStyle name="Total 2 8 2 2 7 2" xfId="39583"/>
    <cellStyle name="Total 2 8 2 2 7 3" xfId="39584"/>
    <cellStyle name="Total 2 8 2 2 7 4" xfId="39585"/>
    <cellStyle name="Total 2 8 2 2 8" xfId="39586"/>
    <cellStyle name="Total 2 8 2 2 8 2" xfId="39587"/>
    <cellStyle name="Total 2 8 2 2 8 3" xfId="39588"/>
    <cellStyle name="Total 2 8 2 2 8 4" xfId="39589"/>
    <cellStyle name="Total 2 8 2 2 9" xfId="39590"/>
    <cellStyle name="Total 2 8 2 2 9 2" xfId="39591"/>
    <cellStyle name="Total 2 8 2 2 9 3" xfId="39592"/>
    <cellStyle name="Total 2 8 2 2 9 4" xfId="39593"/>
    <cellStyle name="Total 2 8 2 3" xfId="762"/>
    <cellStyle name="Total 2 8 2 3 10" xfId="39594"/>
    <cellStyle name="Total 2 8 2 3 11" xfId="39595"/>
    <cellStyle name="Total 2 8 2 3 12" xfId="39596"/>
    <cellStyle name="Total 2 8 2 3 2" xfId="39597"/>
    <cellStyle name="Total 2 8 2 3 2 2" xfId="39598"/>
    <cellStyle name="Total 2 8 2 3 2 2 2" xfId="39599"/>
    <cellStyle name="Total 2 8 2 3 2 2 3" xfId="39600"/>
    <cellStyle name="Total 2 8 2 3 2 2 4" xfId="39601"/>
    <cellStyle name="Total 2 8 2 3 2 3" xfId="39602"/>
    <cellStyle name="Total 2 8 2 3 2 3 2" xfId="39603"/>
    <cellStyle name="Total 2 8 2 3 2 3 3" xfId="39604"/>
    <cellStyle name="Total 2 8 2 3 2 3 4" xfId="39605"/>
    <cellStyle name="Total 2 8 2 3 2 4" xfId="39606"/>
    <cellStyle name="Total 2 8 2 3 2 4 2" xfId="39607"/>
    <cellStyle name="Total 2 8 2 3 2 4 3" xfId="39608"/>
    <cellStyle name="Total 2 8 2 3 2 4 4" xfId="39609"/>
    <cellStyle name="Total 2 8 2 3 2 5" xfId="39610"/>
    <cellStyle name="Total 2 8 2 3 2 6" xfId="39611"/>
    <cellStyle name="Total 2 8 2 3 2 7" xfId="39612"/>
    <cellStyle name="Total 2 8 2 3 3" xfId="39613"/>
    <cellStyle name="Total 2 8 2 3 3 2" xfId="39614"/>
    <cellStyle name="Total 2 8 2 3 3 2 2" xfId="39615"/>
    <cellStyle name="Total 2 8 2 3 3 2 3" xfId="39616"/>
    <cellStyle name="Total 2 8 2 3 3 2 4" xfId="39617"/>
    <cellStyle name="Total 2 8 2 3 3 3" xfId="39618"/>
    <cellStyle name="Total 2 8 2 3 3 3 2" xfId="39619"/>
    <cellStyle name="Total 2 8 2 3 3 3 3" xfId="39620"/>
    <cellStyle name="Total 2 8 2 3 3 3 4" xfId="39621"/>
    <cellStyle name="Total 2 8 2 3 3 4" xfId="39622"/>
    <cellStyle name="Total 2 8 2 3 3 4 2" xfId="39623"/>
    <cellStyle name="Total 2 8 2 3 3 4 3" xfId="39624"/>
    <cellStyle name="Total 2 8 2 3 3 4 4" xfId="39625"/>
    <cellStyle name="Total 2 8 2 3 3 5" xfId="39626"/>
    <cellStyle name="Total 2 8 2 3 3 6" xfId="39627"/>
    <cellStyle name="Total 2 8 2 3 3 7" xfId="39628"/>
    <cellStyle name="Total 2 8 2 3 4" xfId="39629"/>
    <cellStyle name="Total 2 8 2 3 4 2" xfId="39630"/>
    <cellStyle name="Total 2 8 2 3 4 2 2" xfId="39631"/>
    <cellStyle name="Total 2 8 2 3 4 2 3" xfId="39632"/>
    <cellStyle name="Total 2 8 2 3 4 2 4" xfId="39633"/>
    <cellStyle name="Total 2 8 2 3 4 3" xfId="39634"/>
    <cellStyle name="Total 2 8 2 3 4 3 2" xfId="39635"/>
    <cellStyle name="Total 2 8 2 3 4 3 3" xfId="39636"/>
    <cellStyle name="Total 2 8 2 3 4 3 4" xfId="39637"/>
    <cellStyle name="Total 2 8 2 3 4 4" xfId="39638"/>
    <cellStyle name="Total 2 8 2 3 4 4 2" xfId="39639"/>
    <cellStyle name="Total 2 8 2 3 4 4 3" xfId="39640"/>
    <cellStyle name="Total 2 8 2 3 4 4 4" xfId="39641"/>
    <cellStyle name="Total 2 8 2 3 4 5" xfId="39642"/>
    <cellStyle name="Total 2 8 2 3 4 6" xfId="39643"/>
    <cellStyle name="Total 2 8 2 3 4 7" xfId="39644"/>
    <cellStyle name="Total 2 8 2 3 5" xfId="39645"/>
    <cellStyle name="Total 2 8 2 3 5 2" xfId="39646"/>
    <cellStyle name="Total 2 8 2 3 5 2 2" xfId="39647"/>
    <cellStyle name="Total 2 8 2 3 5 2 3" xfId="39648"/>
    <cellStyle name="Total 2 8 2 3 5 2 4" xfId="39649"/>
    <cellStyle name="Total 2 8 2 3 5 3" xfId="39650"/>
    <cellStyle name="Total 2 8 2 3 5 3 2" xfId="39651"/>
    <cellStyle name="Total 2 8 2 3 5 3 3" xfId="39652"/>
    <cellStyle name="Total 2 8 2 3 5 3 4" xfId="39653"/>
    <cellStyle name="Total 2 8 2 3 5 4" xfId="39654"/>
    <cellStyle name="Total 2 8 2 3 5 4 2" xfId="39655"/>
    <cellStyle name="Total 2 8 2 3 5 4 3" xfId="39656"/>
    <cellStyle name="Total 2 8 2 3 5 4 4" xfId="39657"/>
    <cellStyle name="Total 2 8 2 3 5 5" xfId="39658"/>
    <cellStyle name="Total 2 8 2 3 5 6" xfId="39659"/>
    <cellStyle name="Total 2 8 2 3 5 7" xfId="39660"/>
    <cellStyle name="Total 2 8 2 3 6" xfId="39661"/>
    <cellStyle name="Total 2 8 2 3 6 2" xfId="39662"/>
    <cellStyle name="Total 2 8 2 3 6 2 2" xfId="39663"/>
    <cellStyle name="Total 2 8 2 3 6 2 3" xfId="39664"/>
    <cellStyle name="Total 2 8 2 3 6 2 4" xfId="39665"/>
    <cellStyle name="Total 2 8 2 3 6 3" xfId="39666"/>
    <cellStyle name="Total 2 8 2 3 6 3 2" xfId="39667"/>
    <cellStyle name="Total 2 8 2 3 6 3 3" xfId="39668"/>
    <cellStyle name="Total 2 8 2 3 6 3 4" xfId="39669"/>
    <cellStyle name="Total 2 8 2 3 6 4" xfId="39670"/>
    <cellStyle name="Total 2 8 2 3 6 4 2" xfId="39671"/>
    <cellStyle name="Total 2 8 2 3 6 4 3" xfId="39672"/>
    <cellStyle name="Total 2 8 2 3 6 4 4" xfId="39673"/>
    <cellStyle name="Total 2 8 2 3 6 5" xfId="39674"/>
    <cellStyle name="Total 2 8 2 3 6 6" xfId="39675"/>
    <cellStyle name="Total 2 8 2 3 6 7" xfId="39676"/>
    <cellStyle name="Total 2 8 2 3 7" xfId="39677"/>
    <cellStyle name="Total 2 8 2 3 7 2" xfId="39678"/>
    <cellStyle name="Total 2 8 2 3 7 3" xfId="39679"/>
    <cellStyle name="Total 2 8 2 3 7 4" xfId="39680"/>
    <cellStyle name="Total 2 8 2 3 8" xfId="39681"/>
    <cellStyle name="Total 2 8 2 3 8 2" xfId="39682"/>
    <cellStyle name="Total 2 8 2 3 8 3" xfId="39683"/>
    <cellStyle name="Total 2 8 2 3 8 4" xfId="39684"/>
    <cellStyle name="Total 2 8 2 3 9" xfId="39685"/>
    <cellStyle name="Total 2 8 2 3 9 2" xfId="39686"/>
    <cellStyle name="Total 2 8 2 3 9 3" xfId="39687"/>
    <cellStyle name="Total 2 8 2 3 9 4" xfId="39688"/>
    <cellStyle name="Total 2 8 2 4" xfId="981"/>
    <cellStyle name="Total 2 8 2 4 10" xfId="39689"/>
    <cellStyle name="Total 2 8 2 4 11" xfId="39690"/>
    <cellStyle name="Total 2 8 2 4 12" xfId="39691"/>
    <cellStyle name="Total 2 8 2 4 2" xfId="39692"/>
    <cellStyle name="Total 2 8 2 4 2 2" xfId="39693"/>
    <cellStyle name="Total 2 8 2 4 2 2 2" xfId="39694"/>
    <cellStyle name="Total 2 8 2 4 2 2 3" xfId="39695"/>
    <cellStyle name="Total 2 8 2 4 2 2 4" xfId="39696"/>
    <cellStyle name="Total 2 8 2 4 2 3" xfId="39697"/>
    <cellStyle name="Total 2 8 2 4 2 3 2" xfId="39698"/>
    <cellStyle name="Total 2 8 2 4 2 3 3" xfId="39699"/>
    <cellStyle name="Total 2 8 2 4 2 3 4" xfId="39700"/>
    <cellStyle name="Total 2 8 2 4 2 4" xfId="39701"/>
    <cellStyle name="Total 2 8 2 4 2 4 2" xfId="39702"/>
    <cellStyle name="Total 2 8 2 4 2 4 3" xfId="39703"/>
    <cellStyle name="Total 2 8 2 4 2 4 4" xfId="39704"/>
    <cellStyle name="Total 2 8 2 4 2 5" xfId="39705"/>
    <cellStyle name="Total 2 8 2 4 2 6" xfId="39706"/>
    <cellStyle name="Total 2 8 2 4 2 7" xfId="39707"/>
    <cellStyle name="Total 2 8 2 4 3" xfId="39708"/>
    <cellStyle name="Total 2 8 2 4 3 2" xfId="39709"/>
    <cellStyle name="Total 2 8 2 4 3 2 2" xfId="39710"/>
    <cellStyle name="Total 2 8 2 4 3 2 3" xfId="39711"/>
    <cellStyle name="Total 2 8 2 4 3 2 4" xfId="39712"/>
    <cellStyle name="Total 2 8 2 4 3 3" xfId="39713"/>
    <cellStyle name="Total 2 8 2 4 3 3 2" xfId="39714"/>
    <cellStyle name="Total 2 8 2 4 3 3 3" xfId="39715"/>
    <cellStyle name="Total 2 8 2 4 3 3 4" xfId="39716"/>
    <cellStyle name="Total 2 8 2 4 3 4" xfId="39717"/>
    <cellStyle name="Total 2 8 2 4 3 4 2" xfId="39718"/>
    <cellStyle name="Total 2 8 2 4 3 4 3" xfId="39719"/>
    <cellStyle name="Total 2 8 2 4 3 4 4" xfId="39720"/>
    <cellStyle name="Total 2 8 2 4 3 5" xfId="39721"/>
    <cellStyle name="Total 2 8 2 4 3 6" xfId="39722"/>
    <cellStyle name="Total 2 8 2 4 3 7" xfId="39723"/>
    <cellStyle name="Total 2 8 2 4 4" xfId="39724"/>
    <cellStyle name="Total 2 8 2 4 4 2" xfId="39725"/>
    <cellStyle name="Total 2 8 2 4 4 2 2" xfId="39726"/>
    <cellStyle name="Total 2 8 2 4 4 2 3" xfId="39727"/>
    <cellStyle name="Total 2 8 2 4 4 2 4" xfId="39728"/>
    <cellStyle name="Total 2 8 2 4 4 3" xfId="39729"/>
    <cellStyle name="Total 2 8 2 4 4 3 2" xfId="39730"/>
    <cellStyle name="Total 2 8 2 4 4 3 3" xfId="39731"/>
    <cellStyle name="Total 2 8 2 4 4 3 4" xfId="39732"/>
    <cellStyle name="Total 2 8 2 4 4 4" xfId="39733"/>
    <cellStyle name="Total 2 8 2 4 4 4 2" xfId="39734"/>
    <cellStyle name="Total 2 8 2 4 4 4 3" xfId="39735"/>
    <cellStyle name="Total 2 8 2 4 4 4 4" xfId="39736"/>
    <cellStyle name="Total 2 8 2 4 4 5" xfId="39737"/>
    <cellStyle name="Total 2 8 2 4 4 6" xfId="39738"/>
    <cellStyle name="Total 2 8 2 4 4 7" xfId="39739"/>
    <cellStyle name="Total 2 8 2 4 5" xfId="39740"/>
    <cellStyle name="Total 2 8 2 4 5 2" xfId="39741"/>
    <cellStyle name="Total 2 8 2 4 5 2 2" xfId="39742"/>
    <cellStyle name="Total 2 8 2 4 5 2 3" xfId="39743"/>
    <cellStyle name="Total 2 8 2 4 5 2 4" xfId="39744"/>
    <cellStyle name="Total 2 8 2 4 5 3" xfId="39745"/>
    <cellStyle name="Total 2 8 2 4 5 3 2" xfId="39746"/>
    <cellStyle name="Total 2 8 2 4 5 3 3" xfId="39747"/>
    <cellStyle name="Total 2 8 2 4 5 3 4" xfId="39748"/>
    <cellStyle name="Total 2 8 2 4 5 4" xfId="39749"/>
    <cellStyle name="Total 2 8 2 4 5 4 2" xfId="39750"/>
    <cellStyle name="Total 2 8 2 4 5 4 3" xfId="39751"/>
    <cellStyle name="Total 2 8 2 4 5 4 4" xfId="39752"/>
    <cellStyle name="Total 2 8 2 4 5 5" xfId="39753"/>
    <cellStyle name="Total 2 8 2 4 5 6" xfId="39754"/>
    <cellStyle name="Total 2 8 2 4 5 7" xfId="39755"/>
    <cellStyle name="Total 2 8 2 4 6" xfId="39756"/>
    <cellStyle name="Total 2 8 2 4 6 2" xfId="39757"/>
    <cellStyle name="Total 2 8 2 4 6 2 2" xfId="39758"/>
    <cellStyle name="Total 2 8 2 4 6 2 3" xfId="39759"/>
    <cellStyle name="Total 2 8 2 4 6 2 4" xfId="39760"/>
    <cellStyle name="Total 2 8 2 4 6 3" xfId="39761"/>
    <cellStyle name="Total 2 8 2 4 6 3 2" xfId="39762"/>
    <cellStyle name="Total 2 8 2 4 6 3 3" xfId="39763"/>
    <cellStyle name="Total 2 8 2 4 6 3 4" xfId="39764"/>
    <cellStyle name="Total 2 8 2 4 6 4" xfId="39765"/>
    <cellStyle name="Total 2 8 2 4 6 4 2" xfId="39766"/>
    <cellStyle name="Total 2 8 2 4 6 4 3" xfId="39767"/>
    <cellStyle name="Total 2 8 2 4 6 4 4" xfId="39768"/>
    <cellStyle name="Total 2 8 2 4 6 5" xfId="39769"/>
    <cellStyle name="Total 2 8 2 4 6 6" xfId="39770"/>
    <cellStyle name="Total 2 8 2 4 6 7" xfId="39771"/>
    <cellStyle name="Total 2 8 2 4 7" xfId="39772"/>
    <cellStyle name="Total 2 8 2 4 7 2" xfId="39773"/>
    <cellStyle name="Total 2 8 2 4 7 3" xfId="39774"/>
    <cellStyle name="Total 2 8 2 4 7 4" xfId="39775"/>
    <cellStyle name="Total 2 8 2 4 8" xfId="39776"/>
    <cellStyle name="Total 2 8 2 4 8 2" xfId="39777"/>
    <cellStyle name="Total 2 8 2 4 8 3" xfId="39778"/>
    <cellStyle name="Total 2 8 2 4 8 4" xfId="39779"/>
    <cellStyle name="Total 2 8 2 4 9" xfId="39780"/>
    <cellStyle name="Total 2 8 2 4 9 2" xfId="39781"/>
    <cellStyle name="Total 2 8 2 4 9 3" xfId="39782"/>
    <cellStyle name="Total 2 8 2 4 9 4" xfId="39783"/>
    <cellStyle name="Total 2 8 2 5" xfId="39784"/>
    <cellStyle name="Total 2 8 2 5 10" xfId="39785"/>
    <cellStyle name="Total 2 8 2 5 11" xfId="39786"/>
    <cellStyle name="Total 2 8 2 5 12" xfId="39787"/>
    <cellStyle name="Total 2 8 2 5 2" xfId="39788"/>
    <cellStyle name="Total 2 8 2 5 2 2" xfId="39789"/>
    <cellStyle name="Total 2 8 2 5 2 2 2" xfId="39790"/>
    <cellStyle name="Total 2 8 2 5 2 2 3" xfId="39791"/>
    <cellStyle name="Total 2 8 2 5 2 2 4" xfId="39792"/>
    <cellStyle name="Total 2 8 2 5 2 3" xfId="39793"/>
    <cellStyle name="Total 2 8 2 5 2 3 2" xfId="39794"/>
    <cellStyle name="Total 2 8 2 5 2 3 3" xfId="39795"/>
    <cellStyle name="Total 2 8 2 5 2 3 4" xfId="39796"/>
    <cellStyle name="Total 2 8 2 5 2 4" xfId="39797"/>
    <cellStyle name="Total 2 8 2 5 2 4 2" xfId="39798"/>
    <cellStyle name="Total 2 8 2 5 2 4 3" xfId="39799"/>
    <cellStyle name="Total 2 8 2 5 2 4 4" xfId="39800"/>
    <cellStyle name="Total 2 8 2 5 2 5" xfId="39801"/>
    <cellStyle name="Total 2 8 2 5 2 6" xfId="39802"/>
    <cellStyle name="Total 2 8 2 5 2 7" xfId="39803"/>
    <cellStyle name="Total 2 8 2 5 3" xfId="39804"/>
    <cellStyle name="Total 2 8 2 5 3 2" xfId="39805"/>
    <cellStyle name="Total 2 8 2 5 3 2 2" xfId="39806"/>
    <cellStyle name="Total 2 8 2 5 3 2 3" xfId="39807"/>
    <cellStyle name="Total 2 8 2 5 3 2 4" xfId="39808"/>
    <cellStyle name="Total 2 8 2 5 3 3" xfId="39809"/>
    <cellStyle name="Total 2 8 2 5 3 3 2" xfId="39810"/>
    <cellStyle name="Total 2 8 2 5 3 3 3" xfId="39811"/>
    <cellStyle name="Total 2 8 2 5 3 3 4" xfId="39812"/>
    <cellStyle name="Total 2 8 2 5 3 4" xfId="39813"/>
    <cellStyle name="Total 2 8 2 5 3 4 2" xfId="39814"/>
    <cellStyle name="Total 2 8 2 5 3 4 3" xfId="39815"/>
    <cellStyle name="Total 2 8 2 5 3 4 4" xfId="39816"/>
    <cellStyle name="Total 2 8 2 5 3 5" xfId="39817"/>
    <cellStyle name="Total 2 8 2 5 3 6" xfId="39818"/>
    <cellStyle name="Total 2 8 2 5 3 7" xfId="39819"/>
    <cellStyle name="Total 2 8 2 5 4" xfId="39820"/>
    <cellStyle name="Total 2 8 2 5 4 2" xfId="39821"/>
    <cellStyle name="Total 2 8 2 5 4 2 2" xfId="39822"/>
    <cellStyle name="Total 2 8 2 5 4 2 3" xfId="39823"/>
    <cellStyle name="Total 2 8 2 5 4 2 4" xfId="39824"/>
    <cellStyle name="Total 2 8 2 5 4 3" xfId="39825"/>
    <cellStyle name="Total 2 8 2 5 4 3 2" xfId="39826"/>
    <cellStyle name="Total 2 8 2 5 4 3 3" xfId="39827"/>
    <cellStyle name="Total 2 8 2 5 4 3 4" xfId="39828"/>
    <cellStyle name="Total 2 8 2 5 4 4" xfId="39829"/>
    <cellStyle name="Total 2 8 2 5 4 4 2" xfId="39830"/>
    <cellStyle name="Total 2 8 2 5 4 4 3" xfId="39831"/>
    <cellStyle name="Total 2 8 2 5 4 4 4" xfId="39832"/>
    <cellStyle name="Total 2 8 2 5 4 5" xfId="39833"/>
    <cellStyle name="Total 2 8 2 5 4 6" xfId="39834"/>
    <cellStyle name="Total 2 8 2 5 4 7" xfId="39835"/>
    <cellStyle name="Total 2 8 2 5 5" xfId="39836"/>
    <cellStyle name="Total 2 8 2 5 5 2" xfId="39837"/>
    <cellStyle name="Total 2 8 2 5 5 2 2" xfId="39838"/>
    <cellStyle name="Total 2 8 2 5 5 2 3" xfId="39839"/>
    <cellStyle name="Total 2 8 2 5 5 2 4" xfId="39840"/>
    <cellStyle name="Total 2 8 2 5 5 3" xfId="39841"/>
    <cellStyle name="Total 2 8 2 5 5 3 2" xfId="39842"/>
    <cellStyle name="Total 2 8 2 5 5 3 3" xfId="39843"/>
    <cellStyle name="Total 2 8 2 5 5 3 4" xfId="39844"/>
    <cellStyle name="Total 2 8 2 5 5 4" xfId="39845"/>
    <cellStyle name="Total 2 8 2 5 5 4 2" xfId="39846"/>
    <cellStyle name="Total 2 8 2 5 5 4 3" xfId="39847"/>
    <cellStyle name="Total 2 8 2 5 5 4 4" xfId="39848"/>
    <cellStyle name="Total 2 8 2 5 5 5" xfId="39849"/>
    <cellStyle name="Total 2 8 2 5 5 6" xfId="39850"/>
    <cellStyle name="Total 2 8 2 5 5 7" xfId="39851"/>
    <cellStyle name="Total 2 8 2 5 6" xfId="39852"/>
    <cellStyle name="Total 2 8 2 5 6 2" xfId="39853"/>
    <cellStyle name="Total 2 8 2 5 6 2 2" xfId="39854"/>
    <cellStyle name="Total 2 8 2 5 6 2 3" xfId="39855"/>
    <cellStyle name="Total 2 8 2 5 6 2 4" xfId="39856"/>
    <cellStyle name="Total 2 8 2 5 6 3" xfId="39857"/>
    <cellStyle name="Total 2 8 2 5 6 3 2" xfId="39858"/>
    <cellStyle name="Total 2 8 2 5 6 3 3" xfId="39859"/>
    <cellStyle name="Total 2 8 2 5 6 3 4" xfId="39860"/>
    <cellStyle name="Total 2 8 2 5 6 4" xfId="39861"/>
    <cellStyle name="Total 2 8 2 5 6 4 2" xfId="39862"/>
    <cellStyle name="Total 2 8 2 5 6 4 3" xfId="39863"/>
    <cellStyle name="Total 2 8 2 5 6 4 4" xfId="39864"/>
    <cellStyle name="Total 2 8 2 5 6 5" xfId="39865"/>
    <cellStyle name="Total 2 8 2 5 6 6" xfId="39866"/>
    <cellStyle name="Total 2 8 2 5 6 7" xfId="39867"/>
    <cellStyle name="Total 2 8 2 5 7" xfId="39868"/>
    <cellStyle name="Total 2 8 2 5 7 2" xfId="39869"/>
    <cellStyle name="Total 2 8 2 5 7 3" xfId="39870"/>
    <cellStyle name="Total 2 8 2 5 7 4" xfId="39871"/>
    <cellStyle name="Total 2 8 2 5 8" xfId="39872"/>
    <cellStyle name="Total 2 8 2 5 8 2" xfId="39873"/>
    <cellStyle name="Total 2 8 2 5 8 3" xfId="39874"/>
    <cellStyle name="Total 2 8 2 5 8 4" xfId="39875"/>
    <cellStyle name="Total 2 8 2 5 9" xfId="39876"/>
    <cellStyle name="Total 2 8 2 5 9 2" xfId="39877"/>
    <cellStyle name="Total 2 8 2 5 9 3" xfId="39878"/>
    <cellStyle name="Total 2 8 2 5 9 4" xfId="39879"/>
    <cellStyle name="Total 2 8 2 6" xfId="39880"/>
    <cellStyle name="Total 2 8 2 6 2" xfId="39881"/>
    <cellStyle name="Total 2 8 2 6 2 2" xfId="39882"/>
    <cellStyle name="Total 2 8 2 6 2 3" xfId="39883"/>
    <cellStyle name="Total 2 8 2 6 2 4" xfId="39884"/>
    <cellStyle name="Total 2 8 2 6 3" xfId="39885"/>
    <cellStyle name="Total 2 8 2 6 3 2" xfId="39886"/>
    <cellStyle name="Total 2 8 2 6 3 3" xfId="39887"/>
    <cellStyle name="Total 2 8 2 6 3 4" xfId="39888"/>
    <cellStyle name="Total 2 8 2 6 4" xfId="39889"/>
    <cellStyle name="Total 2 8 2 6 4 2" xfId="39890"/>
    <cellStyle name="Total 2 8 2 6 4 3" xfId="39891"/>
    <cellStyle name="Total 2 8 2 6 4 4" xfId="39892"/>
    <cellStyle name="Total 2 8 2 6 5" xfId="39893"/>
    <cellStyle name="Total 2 8 2 6 6" xfId="39894"/>
    <cellStyle name="Total 2 8 2 6 7" xfId="39895"/>
    <cellStyle name="Total 2 8 2 7" xfId="39896"/>
    <cellStyle name="Total 2 8 2 7 2" xfId="39897"/>
    <cellStyle name="Total 2 8 2 7 2 2" xfId="39898"/>
    <cellStyle name="Total 2 8 2 7 2 3" xfId="39899"/>
    <cellStyle name="Total 2 8 2 7 2 4" xfId="39900"/>
    <cellStyle name="Total 2 8 2 7 3" xfId="39901"/>
    <cellStyle name="Total 2 8 2 7 3 2" xfId="39902"/>
    <cellStyle name="Total 2 8 2 7 3 3" xfId="39903"/>
    <cellStyle name="Total 2 8 2 7 3 4" xfId="39904"/>
    <cellStyle name="Total 2 8 2 7 4" xfId="39905"/>
    <cellStyle name="Total 2 8 2 7 4 2" xfId="39906"/>
    <cellStyle name="Total 2 8 2 7 4 3" xfId="39907"/>
    <cellStyle name="Total 2 8 2 7 4 4" xfId="39908"/>
    <cellStyle name="Total 2 8 2 7 5" xfId="39909"/>
    <cellStyle name="Total 2 8 2 7 6" xfId="39910"/>
    <cellStyle name="Total 2 8 2 7 7" xfId="39911"/>
    <cellStyle name="Total 2 8 2 8" xfId="39912"/>
    <cellStyle name="Total 2 8 2 8 2" xfId="39913"/>
    <cellStyle name="Total 2 8 2 8 2 2" xfId="39914"/>
    <cellStyle name="Total 2 8 2 8 2 3" xfId="39915"/>
    <cellStyle name="Total 2 8 2 8 2 4" xfId="39916"/>
    <cellStyle name="Total 2 8 2 8 3" xfId="39917"/>
    <cellStyle name="Total 2 8 2 8 3 2" xfId="39918"/>
    <cellStyle name="Total 2 8 2 8 3 3" xfId="39919"/>
    <cellStyle name="Total 2 8 2 8 3 4" xfId="39920"/>
    <cellStyle name="Total 2 8 2 8 4" xfId="39921"/>
    <cellStyle name="Total 2 8 2 8 4 2" xfId="39922"/>
    <cellStyle name="Total 2 8 2 8 4 3" xfId="39923"/>
    <cellStyle name="Total 2 8 2 8 4 4" xfId="39924"/>
    <cellStyle name="Total 2 8 2 8 5" xfId="39925"/>
    <cellStyle name="Total 2 8 2 8 6" xfId="39926"/>
    <cellStyle name="Total 2 8 2 8 7" xfId="39927"/>
    <cellStyle name="Total 2 8 2 9" xfId="39928"/>
    <cellStyle name="Total 2 8 2 9 2" xfId="39929"/>
    <cellStyle name="Total 2 8 2 9 2 2" xfId="39930"/>
    <cellStyle name="Total 2 8 2 9 2 3" xfId="39931"/>
    <cellStyle name="Total 2 8 2 9 2 4" xfId="39932"/>
    <cellStyle name="Total 2 8 2 9 3" xfId="39933"/>
    <cellStyle name="Total 2 8 2 9 3 2" xfId="39934"/>
    <cellStyle name="Total 2 8 2 9 3 3" xfId="39935"/>
    <cellStyle name="Total 2 8 2 9 3 4" xfId="39936"/>
    <cellStyle name="Total 2 8 2 9 4" xfId="39937"/>
    <cellStyle name="Total 2 8 2 9 4 2" xfId="39938"/>
    <cellStyle name="Total 2 8 2 9 4 3" xfId="39939"/>
    <cellStyle name="Total 2 8 2 9 4 4" xfId="39940"/>
    <cellStyle name="Total 2 8 2 9 5" xfId="39941"/>
    <cellStyle name="Total 2 8 2 9 6" xfId="39942"/>
    <cellStyle name="Total 2 8 2 9 7" xfId="39943"/>
    <cellStyle name="Total 2 8 3" xfId="1096"/>
    <cellStyle name="Total 2 8 3 10" xfId="39944"/>
    <cellStyle name="Total 2 8 3 11" xfId="39945"/>
    <cellStyle name="Total 2 8 3 12" xfId="39946"/>
    <cellStyle name="Total 2 8 3 2" xfId="39947"/>
    <cellStyle name="Total 2 8 3 2 2" xfId="39948"/>
    <cellStyle name="Total 2 8 3 2 2 2" xfId="39949"/>
    <cellStyle name="Total 2 8 3 2 2 3" xfId="39950"/>
    <cellStyle name="Total 2 8 3 2 2 4" xfId="39951"/>
    <cellStyle name="Total 2 8 3 2 3" xfId="39952"/>
    <cellStyle name="Total 2 8 3 2 3 2" xfId="39953"/>
    <cellStyle name="Total 2 8 3 2 3 3" xfId="39954"/>
    <cellStyle name="Total 2 8 3 2 3 4" xfId="39955"/>
    <cellStyle name="Total 2 8 3 2 4" xfId="39956"/>
    <cellStyle name="Total 2 8 3 2 4 2" xfId="39957"/>
    <cellStyle name="Total 2 8 3 2 4 3" xfId="39958"/>
    <cellStyle name="Total 2 8 3 2 4 4" xfId="39959"/>
    <cellStyle name="Total 2 8 3 2 5" xfId="39960"/>
    <cellStyle name="Total 2 8 3 2 6" xfId="39961"/>
    <cellStyle name="Total 2 8 3 2 7" xfId="39962"/>
    <cellStyle name="Total 2 8 3 3" xfId="39963"/>
    <cellStyle name="Total 2 8 3 3 2" xfId="39964"/>
    <cellStyle name="Total 2 8 3 3 2 2" xfId="39965"/>
    <cellStyle name="Total 2 8 3 3 2 3" xfId="39966"/>
    <cellStyle name="Total 2 8 3 3 2 4" xfId="39967"/>
    <cellStyle name="Total 2 8 3 3 3" xfId="39968"/>
    <cellStyle name="Total 2 8 3 3 3 2" xfId="39969"/>
    <cellStyle name="Total 2 8 3 3 3 3" xfId="39970"/>
    <cellStyle name="Total 2 8 3 3 3 4" xfId="39971"/>
    <cellStyle name="Total 2 8 3 3 4" xfId="39972"/>
    <cellStyle name="Total 2 8 3 3 4 2" xfId="39973"/>
    <cellStyle name="Total 2 8 3 3 4 3" xfId="39974"/>
    <cellStyle name="Total 2 8 3 3 4 4" xfId="39975"/>
    <cellStyle name="Total 2 8 3 3 5" xfId="39976"/>
    <cellStyle name="Total 2 8 3 3 6" xfId="39977"/>
    <cellStyle name="Total 2 8 3 3 7" xfId="39978"/>
    <cellStyle name="Total 2 8 3 4" xfId="39979"/>
    <cellStyle name="Total 2 8 3 4 2" xfId="39980"/>
    <cellStyle name="Total 2 8 3 4 2 2" xfId="39981"/>
    <cellStyle name="Total 2 8 3 4 2 3" xfId="39982"/>
    <cellStyle name="Total 2 8 3 4 2 4" xfId="39983"/>
    <cellStyle name="Total 2 8 3 4 3" xfId="39984"/>
    <cellStyle name="Total 2 8 3 4 3 2" xfId="39985"/>
    <cellStyle name="Total 2 8 3 4 3 3" xfId="39986"/>
    <cellStyle name="Total 2 8 3 4 3 4" xfId="39987"/>
    <cellStyle name="Total 2 8 3 4 4" xfId="39988"/>
    <cellStyle name="Total 2 8 3 4 4 2" xfId="39989"/>
    <cellStyle name="Total 2 8 3 4 4 3" xfId="39990"/>
    <cellStyle name="Total 2 8 3 4 4 4" xfId="39991"/>
    <cellStyle name="Total 2 8 3 4 5" xfId="39992"/>
    <cellStyle name="Total 2 8 3 4 6" xfId="39993"/>
    <cellStyle name="Total 2 8 3 4 7" xfId="39994"/>
    <cellStyle name="Total 2 8 3 5" xfId="39995"/>
    <cellStyle name="Total 2 8 3 5 2" xfId="39996"/>
    <cellStyle name="Total 2 8 3 5 2 2" xfId="39997"/>
    <cellStyle name="Total 2 8 3 5 2 3" xfId="39998"/>
    <cellStyle name="Total 2 8 3 5 2 4" xfId="39999"/>
    <cellStyle name="Total 2 8 3 5 3" xfId="40000"/>
    <cellStyle name="Total 2 8 3 5 3 2" xfId="40001"/>
    <cellStyle name="Total 2 8 3 5 3 3" xfId="40002"/>
    <cellStyle name="Total 2 8 3 5 3 4" xfId="40003"/>
    <cellStyle name="Total 2 8 3 5 4" xfId="40004"/>
    <cellStyle name="Total 2 8 3 5 4 2" xfId="40005"/>
    <cellStyle name="Total 2 8 3 5 4 3" xfId="40006"/>
    <cellStyle name="Total 2 8 3 5 4 4" xfId="40007"/>
    <cellStyle name="Total 2 8 3 5 5" xfId="40008"/>
    <cellStyle name="Total 2 8 3 5 6" xfId="40009"/>
    <cellStyle name="Total 2 8 3 5 7" xfId="40010"/>
    <cellStyle name="Total 2 8 3 6" xfId="40011"/>
    <cellStyle name="Total 2 8 3 6 2" xfId="40012"/>
    <cellStyle name="Total 2 8 3 6 2 2" xfId="40013"/>
    <cellStyle name="Total 2 8 3 6 2 3" xfId="40014"/>
    <cellStyle name="Total 2 8 3 6 2 4" xfId="40015"/>
    <cellStyle name="Total 2 8 3 6 3" xfId="40016"/>
    <cellStyle name="Total 2 8 3 6 3 2" xfId="40017"/>
    <cellStyle name="Total 2 8 3 6 3 3" xfId="40018"/>
    <cellStyle name="Total 2 8 3 6 3 4" xfId="40019"/>
    <cellStyle name="Total 2 8 3 6 4" xfId="40020"/>
    <cellStyle name="Total 2 8 3 6 4 2" xfId="40021"/>
    <cellStyle name="Total 2 8 3 6 4 3" xfId="40022"/>
    <cellStyle name="Total 2 8 3 6 4 4" xfId="40023"/>
    <cellStyle name="Total 2 8 3 6 5" xfId="40024"/>
    <cellStyle name="Total 2 8 3 6 6" xfId="40025"/>
    <cellStyle name="Total 2 8 3 6 7" xfId="40026"/>
    <cellStyle name="Total 2 8 3 7" xfId="40027"/>
    <cellStyle name="Total 2 8 3 7 2" xfId="40028"/>
    <cellStyle name="Total 2 8 3 7 3" xfId="40029"/>
    <cellStyle name="Total 2 8 3 7 4" xfId="40030"/>
    <cellStyle name="Total 2 8 3 8" xfId="40031"/>
    <cellStyle name="Total 2 8 3 8 2" xfId="40032"/>
    <cellStyle name="Total 2 8 3 8 3" xfId="40033"/>
    <cellStyle name="Total 2 8 3 8 4" xfId="40034"/>
    <cellStyle name="Total 2 8 3 9" xfId="40035"/>
    <cellStyle name="Total 2 8 3 9 2" xfId="40036"/>
    <cellStyle name="Total 2 8 3 9 3" xfId="40037"/>
    <cellStyle name="Total 2 8 3 9 4" xfId="40038"/>
    <cellStyle name="Total 2 8 4" xfId="3179"/>
    <cellStyle name="Total 2 8 5" xfId="1020"/>
    <cellStyle name="Total 2 8 6" xfId="3203"/>
    <cellStyle name="Total 2 8 7" xfId="3221"/>
    <cellStyle name="Total 2 9" xfId="658"/>
    <cellStyle name="Total 2 9 10" xfId="40039"/>
    <cellStyle name="Total 2 9 10 2" xfId="40040"/>
    <cellStyle name="Total 2 9 10 2 2" xfId="40041"/>
    <cellStyle name="Total 2 9 10 2 3" xfId="40042"/>
    <cellStyle name="Total 2 9 10 2 4" xfId="40043"/>
    <cellStyle name="Total 2 9 10 3" xfId="40044"/>
    <cellStyle name="Total 2 9 10 3 2" xfId="40045"/>
    <cellStyle name="Total 2 9 10 3 3" xfId="40046"/>
    <cellStyle name="Total 2 9 10 3 4" xfId="40047"/>
    <cellStyle name="Total 2 9 10 4" xfId="40048"/>
    <cellStyle name="Total 2 9 10 4 2" xfId="40049"/>
    <cellStyle name="Total 2 9 10 4 3" xfId="40050"/>
    <cellStyle name="Total 2 9 10 4 4" xfId="40051"/>
    <cellStyle name="Total 2 9 10 5" xfId="40052"/>
    <cellStyle name="Total 2 9 10 6" xfId="40053"/>
    <cellStyle name="Total 2 9 10 7" xfId="40054"/>
    <cellStyle name="Total 2 9 11" xfId="40055"/>
    <cellStyle name="Total 2 9 11 2" xfId="40056"/>
    <cellStyle name="Total 2 9 11 2 2" xfId="40057"/>
    <cellStyle name="Total 2 9 11 2 3" xfId="40058"/>
    <cellStyle name="Total 2 9 11 2 4" xfId="40059"/>
    <cellStyle name="Total 2 9 11 3" xfId="40060"/>
    <cellStyle name="Total 2 9 11 3 2" xfId="40061"/>
    <cellStyle name="Total 2 9 11 3 3" xfId="40062"/>
    <cellStyle name="Total 2 9 11 3 4" xfId="40063"/>
    <cellStyle name="Total 2 9 11 4" xfId="40064"/>
    <cellStyle name="Total 2 9 11 4 2" xfId="40065"/>
    <cellStyle name="Total 2 9 11 4 3" xfId="40066"/>
    <cellStyle name="Total 2 9 11 4 4" xfId="40067"/>
    <cellStyle name="Total 2 9 11 5" xfId="40068"/>
    <cellStyle name="Total 2 9 11 6" xfId="40069"/>
    <cellStyle name="Total 2 9 11 7" xfId="40070"/>
    <cellStyle name="Total 2 9 12" xfId="40071"/>
    <cellStyle name="Total 2 9 12 2" xfId="40072"/>
    <cellStyle name="Total 2 9 12 2 2" xfId="40073"/>
    <cellStyle name="Total 2 9 12 2 3" xfId="40074"/>
    <cellStyle name="Total 2 9 12 2 4" xfId="40075"/>
    <cellStyle name="Total 2 9 12 3" xfId="40076"/>
    <cellStyle name="Total 2 9 12 3 2" xfId="40077"/>
    <cellStyle name="Total 2 9 12 3 3" xfId="40078"/>
    <cellStyle name="Total 2 9 12 3 4" xfId="40079"/>
    <cellStyle name="Total 2 9 12 4" xfId="40080"/>
    <cellStyle name="Total 2 9 12 4 2" xfId="40081"/>
    <cellStyle name="Total 2 9 12 4 3" xfId="40082"/>
    <cellStyle name="Total 2 9 12 4 4" xfId="40083"/>
    <cellStyle name="Total 2 9 12 5" xfId="40084"/>
    <cellStyle name="Total 2 9 12 6" xfId="40085"/>
    <cellStyle name="Total 2 9 12 7" xfId="40086"/>
    <cellStyle name="Total 2 9 13" xfId="40087"/>
    <cellStyle name="Total 2 9 13 2" xfId="40088"/>
    <cellStyle name="Total 2 9 13 2 2" xfId="40089"/>
    <cellStyle name="Total 2 9 13 2 3" xfId="40090"/>
    <cellStyle name="Total 2 9 13 2 4" xfId="40091"/>
    <cellStyle name="Total 2 9 13 3" xfId="40092"/>
    <cellStyle name="Total 2 9 13 3 2" xfId="40093"/>
    <cellStyle name="Total 2 9 13 3 3" xfId="40094"/>
    <cellStyle name="Total 2 9 13 3 4" xfId="40095"/>
    <cellStyle name="Total 2 9 13 4" xfId="40096"/>
    <cellStyle name="Total 2 9 13 4 2" xfId="40097"/>
    <cellStyle name="Total 2 9 13 4 3" xfId="40098"/>
    <cellStyle name="Total 2 9 13 4 4" xfId="40099"/>
    <cellStyle name="Total 2 9 13 5" xfId="40100"/>
    <cellStyle name="Total 2 9 13 6" xfId="40101"/>
    <cellStyle name="Total 2 9 13 7" xfId="40102"/>
    <cellStyle name="Total 2 9 14" xfId="40103"/>
    <cellStyle name="Total 2 9 14 2" xfId="40104"/>
    <cellStyle name="Total 2 9 14 3" xfId="40105"/>
    <cellStyle name="Total 2 9 14 4" xfId="40106"/>
    <cellStyle name="Total 2 9 15" xfId="40107"/>
    <cellStyle name="Total 2 9 15 2" xfId="40108"/>
    <cellStyle name="Total 2 9 15 3" xfId="40109"/>
    <cellStyle name="Total 2 9 15 4" xfId="40110"/>
    <cellStyle name="Total 2 9 16" xfId="40111"/>
    <cellStyle name="Total 2 9 16 2" xfId="40112"/>
    <cellStyle name="Total 2 9 16 3" xfId="40113"/>
    <cellStyle name="Total 2 9 16 4" xfId="40114"/>
    <cellStyle name="Total 2 9 17" xfId="40115"/>
    <cellStyle name="Total 2 9 18" xfId="40116"/>
    <cellStyle name="Total 2 9 19" xfId="40117"/>
    <cellStyle name="Total 2 9 2" xfId="912"/>
    <cellStyle name="Total 2 9 2 10" xfId="40118"/>
    <cellStyle name="Total 2 9 2 11" xfId="40119"/>
    <cellStyle name="Total 2 9 2 12" xfId="40120"/>
    <cellStyle name="Total 2 9 2 2" xfId="40121"/>
    <cellStyle name="Total 2 9 2 2 2" xfId="40122"/>
    <cellStyle name="Total 2 9 2 2 2 2" xfId="40123"/>
    <cellStyle name="Total 2 9 2 2 2 3" xfId="40124"/>
    <cellStyle name="Total 2 9 2 2 2 4" xfId="40125"/>
    <cellStyle name="Total 2 9 2 2 3" xfId="40126"/>
    <cellStyle name="Total 2 9 2 2 3 2" xfId="40127"/>
    <cellStyle name="Total 2 9 2 2 3 3" xfId="40128"/>
    <cellStyle name="Total 2 9 2 2 3 4" xfId="40129"/>
    <cellStyle name="Total 2 9 2 2 4" xfId="40130"/>
    <cellStyle name="Total 2 9 2 2 4 2" xfId="40131"/>
    <cellStyle name="Total 2 9 2 2 4 3" xfId="40132"/>
    <cellStyle name="Total 2 9 2 2 4 4" xfId="40133"/>
    <cellStyle name="Total 2 9 2 2 5" xfId="40134"/>
    <cellStyle name="Total 2 9 2 2 6" xfId="40135"/>
    <cellStyle name="Total 2 9 2 2 7" xfId="40136"/>
    <cellStyle name="Total 2 9 2 3" xfId="40137"/>
    <cellStyle name="Total 2 9 2 3 2" xfId="40138"/>
    <cellStyle name="Total 2 9 2 3 2 2" xfId="40139"/>
    <cellStyle name="Total 2 9 2 3 2 3" xfId="40140"/>
    <cellStyle name="Total 2 9 2 3 2 4" xfId="40141"/>
    <cellStyle name="Total 2 9 2 3 3" xfId="40142"/>
    <cellStyle name="Total 2 9 2 3 3 2" xfId="40143"/>
    <cellStyle name="Total 2 9 2 3 3 3" xfId="40144"/>
    <cellStyle name="Total 2 9 2 3 3 4" xfId="40145"/>
    <cellStyle name="Total 2 9 2 3 4" xfId="40146"/>
    <cellStyle name="Total 2 9 2 3 4 2" xfId="40147"/>
    <cellStyle name="Total 2 9 2 3 4 3" xfId="40148"/>
    <cellStyle name="Total 2 9 2 3 4 4" xfId="40149"/>
    <cellStyle name="Total 2 9 2 3 5" xfId="40150"/>
    <cellStyle name="Total 2 9 2 3 6" xfId="40151"/>
    <cellStyle name="Total 2 9 2 3 7" xfId="40152"/>
    <cellStyle name="Total 2 9 2 4" xfId="40153"/>
    <cellStyle name="Total 2 9 2 4 2" xfId="40154"/>
    <cellStyle name="Total 2 9 2 4 2 2" xfId="40155"/>
    <cellStyle name="Total 2 9 2 4 2 3" xfId="40156"/>
    <cellStyle name="Total 2 9 2 4 2 4" xfId="40157"/>
    <cellStyle name="Total 2 9 2 4 3" xfId="40158"/>
    <cellStyle name="Total 2 9 2 4 3 2" xfId="40159"/>
    <cellStyle name="Total 2 9 2 4 3 3" xfId="40160"/>
    <cellStyle name="Total 2 9 2 4 3 4" xfId="40161"/>
    <cellStyle name="Total 2 9 2 4 4" xfId="40162"/>
    <cellStyle name="Total 2 9 2 4 4 2" xfId="40163"/>
    <cellStyle name="Total 2 9 2 4 4 3" xfId="40164"/>
    <cellStyle name="Total 2 9 2 4 4 4" xfId="40165"/>
    <cellStyle name="Total 2 9 2 4 5" xfId="40166"/>
    <cellStyle name="Total 2 9 2 4 6" xfId="40167"/>
    <cellStyle name="Total 2 9 2 4 7" xfId="40168"/>
    <cellStyle name="Total 2 9 2 5" xfId="40169"/>
    <cellStyle name="Total 2 9 2 5 2" xfId="40170"/>
    <cellStyle name="Total 2 9 2 5 2 2" xfId="40171"/>
    <cellStyle name="Total 2 9 2 5 2 3" xfId="40172"/>
    <cellStyle name="Total 2 9 2 5 2 4" xfId="40173"/>
    <cellStyle name="Total 2 9 2 5 3" xfId="40174"/>
    <cellStyle name="Total 2 9 2 5 3 2" xfId="40175"/>
    <cellStyle name="Total 2 9 2 5 3 3" xfId="40176"/>
    <cellStyle name="Total 2 9 2 5 3 4" xfId="40177"/>
    <cellStyle name="Total 2 9 2 5 4" xfId="40178"/>
    <cellStyle name="Total 2 9 2 5 4 2" xfId="40179"/>
    <cellStyle name="Total 2 9 2 5 4 3" xfId="40180"/>
    <cellStyle name="Total 2 9 2 5 4 4" xfId="40181"/>
    <cellStyle name="Total 2 9 2 5 5" xfId="40182"/>
    <cellStyle name="Total 2 9 2 5 6" xfId="40183"/>
    <cellStyle name="Total 2 9 2 5 7" xfId="40184"/>
    <cellStyle name="Total 2 9 2 6" xfId="40185"/>
    <cellStyle name="Total 2 9 2 6 2" xfId="40186"/>
    <cellStyle name="Total 2 9 2 6 2 2" xfId="40187"/>
    <cellStyle name="Total 2 9 2 6 2 3" xfId="40188"/>
    <cellStyle name="Total 2 9 2 6 2 4" xfId="40189"/>
    <cellStyle name="Total 2 9 2 6 3" xfId="40190"/>
    <cellStyle name="Total 2 9 2 6 3 2" xfId="40191"/>
    <cellStyle name="Total 2 9 2 6 3 3" xfId="40192"/>
    <cellStyle name="Total 2 9 2 6 3 4" xfId="40193"/>
    <cellStyle name="Total 2 9 2 6 4" xfId="40194"/>
    <cellStyle name="Total 2 9 2 6 4 2" xfId="40195"/>
    <cellStyle name="Total 2 9 2 6 4 3" xfId="40196"/>
    <cellStyle name="Total 2 9 2 6 4 4" xfId="40197"/>
    <cellStyle name="Total 2 9 2 6 5" xfId="40198"/>
    <cellStyle name="Total 2 9 2 6 6" xfId="40199"/>
    <cellStyle name="Total 2 9 2 6 7" xfId="40200"/>
    <cellStyle name="Total 2 9 2 7" xfId="40201"/>
    <cellStyle name="Total 2 9 2 7 2" xfId="40202"/>
    <cellStyle name="Total 2 9 2 7 3" xfId="40203"/>
    <cellStyle name="Total 2 9 2 7 4" xfId="40204"/>
    <cellStyle name="Total 2 9 2 8" xfId="40205"/>
    <cellStyle name="Total 2 9 2 8 2" xfId="40206"/>
    <cellStyle name="Total 2 9 2 8 3" xfId="40207"/>
    <cellStyle name="Total 2 9 2 8 4" xfId="40208"/>
    <cellStyle name="Total 2 9 2 9" xfId="40209"/>
    <cellStyle name="Total 2 9 2 9 2" xfId="40210"/>
    <cellStyle name="Total 2 9 2 9 3" xfId="40211"/>
    <cellStyle name="Total 2 9 2 9 4" xfId="40212"/>
    <cellStyle name="Total 2 9 3" xfId="781"/>
    <cellStyle name="Total 2 9 3 10" xfId="40213"/>
    <cellStyle name="Total 2 9 3 11" xfId="40214"/>
    <cellStyle name="Total 2 9 3 12" xfId="40215"/>
    <cellStyle name="Total 2 9 3 2" xfId="40216"/>
    <cellStyle name="Total 2 9 3 2 2" xfId="40217"/>
    <cellStyle name="Total 2 9 3 2 2 2" xfId="40218"/>
    <cellStyle name="Total 2 9 3 2 2 3" xfId="40219"/>
    <cellStyle name="Total 2 9 3 2 2 4" xfId="40220"/>
    <cellStyle name="Total 2 9 3 2 3" xfId="40221"/>
    <cellStyle name="Total 2 9 3 2 3 2" xfId="40222"/>
    <cellStyle name="Total 2 9 3 2 3 3" xfId="40223"/>
    <cellStyle name="Total 2 9 3 2 3 4" xfId="40224"/>
    <cellStyle name="Total 2 9 3 2 4" xfId="40225"/>
    <cellStyle name="Total 2 9 3 2 4 2" xfId="40226"/>
    <cellStyle name="Total 2 9 3 2 4 3" xfId="40227"/>
    <cellStyle name="Total 2 9 3 2 4 4" xfId="40228"/>
    <cellStyle name="Total 2 9 3 2 5" xfId="40229"/>
    <cellStyle name="Total 2 9 3 2 6" xfId="40230"/>
    <cellStyle name="Total 2 9 3 2 7" xfId="40231"/>
    <cellStyle name="Total 2 9 3 3" xfId="40232"/>
    <cellStyle name="Total 2 9 3 3 2" xfId="40233"/>
    <cellStyle name="Total 2 9 3 3 2 2" xfId="40234"/>
    <cellStyle name="Total 2 9 3 3 2 3" xfId="40235"/>
    <cellStyle name="Total 2 9 3 3 2 4" xfId="40236"/>
    <cellStyle name="Total 2 9 3 3 3" xfId="40237"/>
    <cellStyle name="Total 2 9 3 3 3 2" xfId="40238"/>
    <cellStyle name="Total 2 9 3 3 3 3" xfId="40239"/>
    <cellStyle name="Total 2 9 3 3 3 4" xfId="40240"/>
    <cellStyle name="Total 2 9 3 3 4" xfId="40241"/>
    <cellStyle name="Total 2 9 3 3 4 2" xfId="40242"/>
    <cellStyle name="Total 2 9 3 3 4 3" xfId="40243"/>
    <cellStyle name="Total 2 9 3 3 4 4" xfId="40244"/>
    <cellStyle name="Total 2 9 3 3 5" xfId="40245"/>
    <cellStyle name="Total 2 9 3 3 6" xfId="40246"/>
    <cellStyle name="Total 2 9 3 3 7" xfId="40247"/>
    <cellStyle name="Total 2 9 3 4" xfId="40248"/>
    <cellStyle name="Total 2 9 3 4 2" xfId="40249"/>
    <cellStyle name="Total 2 9 3 4 2 2" xfId="40250"/>
    <cellStyle name="Total 2 9 3 4 2 3" xfId="40251"/>
    <cellStyle name="Total 2 9 3 4 2 4" xfId="40252"/>
    <cellStyle name="Total 2 9 3 4 3" xfId="40253"/>
    <cellStyle name="Total 2 9 3 4 3 2" xfId="40254"/>
    <cellStyle name="Total 2 9 3 4 3 3" xfId="40255"/>
    <cellStyle name="Total 2 9 3 4 3 4" xfId="40256"/>
    <cellStyle name="Total 2 9 3 4 4" xfId="40257"/>
    <cellStyle name="Total 2 9 3 4 4 2" xfId="40258"/>
    <cellStyle name="Total 2 9 3 4 4 3" xfId="40259"/>
    <cellStyle name="Total 2 9 3 4 4 4" xfId="40260"/>
    <cellStyle name="Total 2 9 3 4 5" xfId="40261"/>
    <cellStyle name="Total 2 9 3 4 6" xfId="40262"/>
    <cellStyle name="Total 2 9 3 4 7" xfId="40263"/>
    <cellStyle name="Total 2 9 3 5" xfId="40264"/>
    <cellStyle name="Total 2 9 3 5 2" xfId="40265"/>
    <cellStyle name="Total 2 9 3 5 2 2" xfId="40266"/>
    <cellStyle name="Total 2 9 3 5 2 3" xfId="40267"/>
    <cellStyle name="Total 2 9 3 5 2 4" xfId="40268"/>
    <cellStyle name="Total 2 9 3 5 3" xfId="40269"/>
    <cellStyle name="Total 2 9 3 5 3 2" xfId="40270"/>
    <cellStyle name="Total 2 9 3 5 3 3" xfId="40271"/>
    <cellStyle name="Total 2 9 3 5 3 4" xfId="40272"/>
    <cellStyle name="Total 2 9 3 5 4" xfId="40273"/>
    <cellStyle name="Total 2 9 3 5 4 2" xfId="40274"/>
    <cellStyle name="Total 2 9 3 5 4 3" xfId="40275"/>
    <cellStyle name="Total 2 9 3 5 4 4" xfId="40276"/>
    <cellStyle name="Total 2 9 3 5 5" xfId="40277"/>
    <cellStyle name="Total 2 9 3 5 6" xfId="40278"/>
    <cellStyle name="Total 2 9 3 5 7" xfId="40279"/>
    <cellStyle name="Total 2 9 3 6" xfId="40280"/>
    <cellStyle name="Total 2 9 3 6 2" xfId="40281"/>
    <cellStyle name="Total 2 9 3 6 2 2" xfId="40282"/>
    <cellStyle name="Total 2 9 3 6 2 3" xfId="40283"/>
    <cellStyle name="Total 2 9 3 6 2 4" xfId="40284"/>
    <cellStyle name="Total 2 9 3 6 3" xfId="40285"/>
    <cellStyle name="Total 2 9 3 6 3 2" xfId="40286"/>
    <cellStyle name="Total 2 9 3 6 3 3" xfId="40287"/>
    <cellStyle name="Total 2 9 3 6 3 4" xfId="40288"/>
    <cellStyle name="Total 2 9 3 6 4" xfId="40289"/>
    <cellStyle name="Total 2 9 3 6 4 2" xfId="40290"/>
    <cellStyle name="Total 2 9 3 6 4 3" xfId="40291"/>
    <cellStyle name="Total 2 9 3 6 4 4" xfId="40292"/>
    <cellStyle name="Total 2 9 3 6 5" xfId="40293"/>
    <cellStyle name="Total 2 9 3 6 6" xfId="40294"/>
    <cellStyle name="Total 2 9 3 6 7" xfId="40295"/>
    <cellStyle name="Total 2 9 3 7" xfId="40296"/>
    <cellStyle name="Total 2 9 3 7 2" xfId="40297"/>
    <cellStyle name="Total 2 9 3 7 3" xfId="40298"/>
    <cellStyle name="Total 2 9 3 7 4" xfId="40299"/>
    <cellStyle name="Total 2 9 3 8" xfId="40300"/>
    <cellStyle name="Total 2 9 3 8 2" xfId="40301"/>
    <cellStyle name="Total 2 9 3 8 3" xfId="40302"/>
    <cellStyle name="Total 2 9 3 8 4" xfId="40303"/>
    <cellStyle name="Total 2 9 3 9" xfId="40304"/>
    <cellStyle name="Total 2 9 3 9 2" xfId="40305"/>
    <cellStyle name="Total 2 9 3 9 3" xfId="40306"/>
    <cellStyle name="Total 2 9 3 9 4" xfId="40307"/>
    <cellStyle name="Total 2 9 4" xfId="982"/>
    <cellStyle name="Total 2 9 4 10" xfId="40308"/>
    <cellStyle name="Total 2 9 4 11" xfId="40309"/>
    <cellStyle name="Total 2 9 4 12" xfId="40310"/>
    <cellStyle name="Total 2 9 4 2" xfId="40311"/>
    <cellStyle name="Total 2 9 4 2 2" xfId="40312"/>
    <cellStyle name="Total 2 9 4 2 2 2" xfId="40313"/>
    <cellStyle name="Total 2 9 4 2 2 3" xfId="40314"/>
    <cellStyle name="Total 2 9 4 2 2 4" xfId="40315"/>
    <cellStyle name="Total 2 9 4 2 3" xfId="40316"/>
    <cellStyle name="Total 2 9 4 2 3 2" xfId="40317"/>
    <cellStyle name="Total 2 9 4 2 3 3" xfId="40318"/>
    <cellStyle name="Total 2 9 4 2 3 4" xfId="40319"/>
    <cellStyle name="Total 2 9 4 2 4" xfId="40320"/>
    <cellStyle name="Total 2 9 4 2 4 2" xfId="40321"/>
    <cellStyle name="Total 2 9 4 2 4 3" xfId="40322"/>
    <cellStyle name="Total 2 9 4 2 4 4" xfId="40323"/>
    <cellStyle name="Total 2 9 4 2 5" xfId="40324"/>
    <cellStyle name="Total 2 9 4 2 6" xfId="40325"/>
    <cellStyle name="Total 2 9 4 2 7" xfId="40326"/>
    <cellStyle name="Total 2 9 4 3" xfId="40327"/>
    <cellStyle name="Total 2 9 4 3 2" xfId="40328"/>
    <cellStyle name="Total 2 9 4 3 2 2" xfId="40329"/>
    <cellStyle name="Total 2 9 4 3 2 3" xfId="40330"/>
    <cellStyle name="Total 2 9 4 3 2 4" xfId="40331"/>
    <cellStyle name="Total 2 9 4 3 3" xfId="40332"/>
    <cellStyle name="Total 2 9 4 3 3 2" xfId="40333"/>
    <cellStyle name="Total 2 9 4 3 3 3" xfId="40334"/>
    <cellStyle name="Total 2 9 4 3 3 4" xfId="40335"/>
    <cellStyle name="Total 2 9 4 3 4" xfId="40336"/>
    <cellStyle name="Total 2 9 4 3 4 2" xfId="40337"/>
    <cellStyle name="Total 2 9 4 3 4 3" xfId="40338"/>
    <cellStyle name="Total 2 9 4 3 4 4" xfId="40339"/>
    <cellStyle name="Total 2 9 4 3 5" xfId="40340"/>
    <cellStyle name="Total 2 9 4 3 6" xfId="40341"/>
    <cellStyle name="Total 2 9 4 3 7" xfId="40342"/>
    <cellStyle name="Total 2 9 4 4" xfId="40343"/>
    <cellStyle name="Total 2 9 4 4 2" xfId="40344"/>
    <cellStyle name="Total 2 9 4 4 2 2" xfId="40345"/>
    <cellStyle name="Total 2 9 4 4 2 3" xfId="40346"/>
    <cellStyle name="Total 2 9 4 4 2 4" xfId="40347"/>
    <cellStyle name="Total 2 9 4 4 3" xfId="40348"/>
    <cellStyle name="Total 2 9 4 4 3 2" xfId="40349"/>
    <cellStyle name="Total 2 9 4 4 3 3" xfId="40350"/>
    <cellStyle name="Total 2 9 4 4 3 4" xfId="40351"/>
    <cellStyle name="Total 2 9 4 4 4" xfId="40352"/>
    <cellStyle name="Total 2 9 4 4 4 2" xfId="40353"/>
    <cellStyle name="Total 2 9 4 4 4 3" xfId="40354"/>
    <cellStyle name="Total 2 9 4 4 4 4" xfId="40355"/>
    <cellStyle name="Total 2 9 4 4 5" xfId="40356"/>
    <cellStyle name="Total 2 9 4 4 6" xfId="40357"/>
    <cellStyle name="Total 2 9 4 4 7" xfId="40358"/>
    <cellStyle name="Total 2 9 4 5" xfId="40359"/>
    <cellStyle name="Total 2 9 4 5 2" xfId="40360"/>
    <cellStyle name="Total 2 9 4 5 2 2" xfId="40361"/>
    <cellStyle name="Total 2 9 4 5 2 3" xfId="40362"/>
    <cellStyle name="Total 2 9 4 5 2 4" xfId="40363"/>
    <cellStyle name="Total 2 9 4 5 3" xfId="40364"/>
    <cellStyle name="Total 2 9 4 5 3 2" xfId="40365"/>
    <cellStyle name="Total 2 9 4 5 3 3" xfId="40366"/>
    <cellStyle name="Total 2 9 4 5 3 4" xfId="40367"/>
    <cellStyle name="Total 2 9 4 5 4" xfId="40368"/>
    <cellStyle name="Total 2 9 4 5 4 2" xfId="40369"/>
    <cellStyle name="Total 2 9 4 5 4 3" xfId="40370"/>
    <cellStyle name="Total 2 9 4 5 4 4" xfId="40371"/>
    <cellStyle name="Total 2 9 4 5 5" xfId="40372"/>
    <cellStyle name="Total 2 9 4 5 6" xfId="40373"/>
    <cellStyle name="Total 2 9 4 5 7" xfId="40374"/>
    <cellStyle name="Total 2 9 4 6" xfId="40375"/>
    <cellStyle name="Total 2 9 4 6 2" xfId="40376"/>
    <cellStyle name="Total 2 9 4 6 2 2" xfId="40377"/>
    <cellStyle name="Total 2 9 4 6 2 3" xfId="40378"/>
    <cellStyle name="Total 2 9 4 6 2 4" xfId="40379"/>
    <cellStyle name="Total 2 9 4 6 3" xfId="40380"/>
    <cellStyle name="Total 2 9 4 6 3 2" xfId="40381"/>
    <cellStyle name="Total 2 9 4 6 3 3" xfId="40382"/>
    <cellStyle name="Total 2 9 4 6 3 4" xfId="40383"/>
    <cellStyle name="Total 2 9 4 6 4" xfId="40384"/>
    <cellStyle name="Total 2 9 4 6 4 2" xfId="40385"/>
    <cellStyle name="Total 2 9 4 6 4 3" xfId="40386"/>
    <cellStyle name="Total 2 9 4 6 4 4" xfId="40387"/>
    <cellStyle name="Total 2 9 4 6 5" xfId="40388"/>
    <cellStyle name="Total 2 9 4 6 6" xfId="40389"/>
    <cellStyle name="Total 2 9 4 6 7" xfId="40390"/>
    <cellStyle name="Total 2 9 4 7" xfId="40391"/>
    <cellStyle name="Total 2 9 4 7 2" xfId="40392"/>
    <cellStyle name="Total 2 9 4 7 3" xfId="40393"/>
    <cellStyle name="Total 2 9 4 7 4" xfId="40394"/>
    <cellStyle name="Total 2 9 4 8" xfId="40395"/>
    <cellStyle name="Total 2 9 4 8 2" xfId="40396"/>
    <cellStyle name="Total 2 9 4 8 3" xfId="40397"/>
    <cellStyle name="Total 2 9 4 8 4" xfId="40398"/>
    <cellStyle name="Total 2 9 4 9" xfId="40399"/>
    <cellStyle name="Total 2 9 4 9 2" xfId="40400"/>
    <cellStyle name="Total 2 9 4 9 3" xfId="40401"/>
    <cellStyle name="Total 2 9 4 9 4" xfId="40402"/>
    <cellStyle name="Total 2 9 5" xfId="40403"/>
    <cellStyle name="Total 2 9 5 10" xfId="40404"/>
    <cellStyle name="Total 2 9 5 11" xfId="40405"/>
    <cellStyle name="Total 2 9 5 12" xfId="40406"/>
    <cellStyle name="Total 2 9 5 2" xfId="40407"/>
    <cellStyle name="Total 2 9 5 2 2" xfId="40408"/>
    <cellStyle name="Total 2 9 5 2 2 2" xfId="40409"/>
    <cellStyle name="Total 2 9 5 2 2 3" xfId="40410"/>
    <cellStyle name="Total 2 9 5 2 2 4" xfId="40411"/>
    <cellStyle name="Total 2 9 5 2 3" xfId="40412"/>
    <cellStyle name="Total 2 9 5 2 3 2" xfId="40413"/>
    <cellStyle name="Total 2 9 5 2 3 3" xfId="40414"/>
    <cellStyle name="Total 2 9 5 2 3 4" xfId="40415"/>
    <cellStyle name="Total 2 9 5 2 4" xfId="40416"/>
    <cellStyle name="Total 2 9 5 2 4 2" xfId="40417"/>
    <cellStyle name="Total 2 9 5 2 4 3" xfId="40418"/>
    <cellStyle name="Total 2 9 5 2 4 4" xfId="40419"/>
    <cellStyle name="Total 2 9 5 2 5" xfId="40420"/>
    <cellStyle name="Total 2 9 5 2 6" xfId="40421"/>
    <cellStyle name="Total 2 9 5 2 7" xfId="40422"/>
    <cellStyle name="Total 2 9 5 3" xfId="40423"/>
    <cellStyle name="Total 2 9 5 3 2" xfId="40424"/>
    <cellStyle name="Total 2 9 5 3 2 2" xfId="40425"/>
    <cellStyle name="Total 2 9 5 3 2 3" xfId="40426"/>
    <cellStyle name="Total 2 9 5 3 2 4" xfId="40427"/>
    <cellStyle name="Total 2 9 5 3 3" xfId="40428"/>
    <cellStyle name="Total 2 9 5 3 3 2" xfId="40429"/>
    <cellStyle name="Total 2 9 5 3 3 3" xfId="40430"/>
    <cellStyle name="Total 2 9 5 3 3 4" xfId="40431"/>
    <cellStyle name="Total 2 9 5 3 4" xfId="40432"/>
    <cellStyle name="Total 2 9 5 3 4 2" xfId="40433"/>
    <cellStyle name="Total 2 9 5 3 4 3" xfId="40434"/>
    <cellStyle name="Total 2 9 5 3 4 4" xfId="40435"/>
    <cellStyle name="Total 2 9 5 3 5" xfId="40436"/>
    <cellStyle name="Total 2 9 5 3 6" xfId="40437"/>
    <cellStyle name="Total 2 9 5 3 7" xfId="40438"/>
    <cellStyle name="Total 2 9 5 4" xfId="40439"/>
    <cellStyle name="Total 2 9 5 4 2" xfId="40440"/>
    <cellStyle name="Total 2 9 5 4 2 2" xfId="40441"/>
    <cellStyle name="Total 2 9 5 4 2 3" xfId="40442"/>
    <cellStyle name="Total 2 9 5 4 2 4" xfId="40443"/>
    <cellStyle name="Total 2 9 5 4 3" xfId="40444"/>
    <cellStyle name="Total 2 9 5 4 3 2" xfId="40445"/>
    <cellStyle name="Total 2 9 5 4 3 3" xfId="40446"/>
    <cellStyle name="Total 2 9 5 4 3 4" xfId="40447"/>
    <cellStyle name="Total 2 9 5 4 4" xfId="40448"/>
    <cellStyle name="Total 2 9 5 4 4 2" xfId="40449"/>
    <cellStyle name="Total 2 9 5 4 4 3" xfId="40450"/>
    <cellStyle name="Total 2 9 5 4 4 4" xfId="40451"/>
    <cellStyle name="Total 2 9 5 4 5" xfId="40452"/>
    <cellStyle name="Total 2 9 5 4 6" xfId="40453"/>
    <cellStyle name="Total 2 9 5 4 7" xfId="40454"/>
    <cellStyle name="Total 2 9 5 5" xfId="40455"/>
    <cellStyle name="Total 2 9 5 5 2" xfId="40456"/>
    <cellStyle name="Total 2 9 5 5 2 2" xfId="40457"/>
    <cellStyle name="Total 2 9 5 5 2 3" xfId="40458"/>
    <cellStyle name="Total 2 9 5 5 2 4" xfId="40459"/>
    <cellStyle name="Total 2 9 5 5 3" xfId="40460"/>
    <cellStyle name="Total 2 9 5 5 3 2" xfId="40461"/>
    <cellStyle name="Total 2 9 5 5 3 3" xfId="40462"/>
    <cellStyle name="Total 2 9 5 5 3 4" xfId="40463"/>
    <cellStyle name="Total 2 9 5 5 4" xfId="40464"/>
    <cellStyle name="Total 2 9 5 5 4 2" xfId="40465"/>
    <cellStyle name="Total 2 9 5 5 4 3" xfId="40466"/>
    <cellStyle name="Total 2 9 5 5 4 4" xfId="40467"/>
    <cellStyle name="Total 2 9 5 5 5" xfId="40468"/>
    <cellStyle name="Total 2 9 5 5 6" xfId="40469"/>
    <cellStyle name="Total 2 9 5 5 7" xfId="40470"/>
    <cellStyle name="Total 2 9 5 6" xfId="40471"/>
    <cellStyle name="Total 2 9 5 6 2" xfId="40472"/>
    <cellStyle name="Total 2 9 5 6 2 2" xfId="40473"/>
    <cellStyle name="Total 2 9 5 6 2 3" xfId="40474"/>
    <cellStyle name="Total 2 9 5 6 2 4" xfId="40475"/>
    <cellStyle name="Total 2 9 5 6 3" xfId="40476"/>
    <cellStyle name="Total 2 9 5 6 3 2" xfId="40477"/>
    <cellStyle name="Total 2 9 5 6 3 3" xfId="40478"/>
    <cellStyle name="Total 2 9 5 6 3 4" xfId="40479"/>
    <cellStyle name="Total 2 9 5 6 4" xfId="40480"/>
    <cellStyle name="Total 2 9 5 6 4 2" xfId="40481"/>
    <cellStyle name="Total 2 9 5 6 4 3" xfId="40482"/>
    <cellStyle name="Total 2 9 5 6 4 4" xfId="40483"/>
    <cellStyle name="Total 2 9 5 6 5" xfId="40484"/>
    <cellStyle name="Total 2 9 5 6 6" xfId="40485"/>
    <cellStyle name="Total 2 9 5 6 7" xfId="40486"/>
    <cellStyle name="Total 2 9 5 7" xfId="40487"/>
    <cellStyle name="Total 2 9 5 7 2" xfId="40488"/>
    <cellStyle name="Total 2 9 5 7 3" xfId="40489"/>
    <cellStyle name="Total 2 9 5 7 4" xfId="40490"/>
    <cellStyle name="Total 2 9 5 8" xfId="40491"/>
    <cellStyle name="Total 2 9 5 8 2" xfId="40492"/>
    <cellStyle name="Total 2 9 5 8 3" xfId="40493"/>
    <cellStyle name="Total 2 9 5 8 4" xfId="40494"/>
    <cellStyle name="Total 2 9 5 9" xfId="40495"/>
    <cellStyle name="Total 2 9 5 9 2" xfId="40496"/>
    <cellStyle name="Total 2 9 5 9 3" xfId="40497"/>
    <cellStyle name="Total 2 9 5 9 4" xfId="40498"/>
    <cellStyle name="Total 2 9 6" xfId="40499"/>
    <cellStyle name="Total 2 9 6 2" xfId="40500"/>
    <cellStyle name="Total 2 9 6 2 2" xfId="40501"/>
    <cellStyle name="Total 2 9 6 2 3" xfId="40502"/>
    <cellStyle name="Total 2 9 6 2 4" xfId="40503"/>
    <cellStyle name="Total 2 9 6 3" xfId="40504"/>
    <cellStyle name="Total 2 9 6 3 2" xfId="40505"/>
    <cellStyle name="Total 2 9 6 3 3" xfId="40506"/>
    <cellStyle name="Total 2 9 6 3 4" xfId="40507"/>
    <cellStyle name="Total 2 9 6 4" xfId="40508"/>
    <cellStyle name="Total 2 9 6 4 2" xfId="40509"/>
    <cellStyle name="Total 2 9 6 4 3" xfId="40510"/>
    <cellStyle name="Total 2 9 6 4 4" xfId="40511"/>
    <cellStyle name="Total 2 9 6 5" xfId="40512"/>
    <cellStyle name="Total 2 9 6 6" xfId="40513"/>
    <cellStyle name="Total 2 9 6 7" xfId="40514"/>
    <cellStyle name="Total 2 9 7" xfId="40515"/>
    <cellStyle name="Total 2 9 7 2" xfId="40516"/>
    <cellStyle name="Total 2 9 7 2 2" xfId="40517"/>
    <cellStyle name="Total 2 9 7 2 3" xfId="40518"/>
    <cellStyle name="Total 2 9 7 2 4" xfId="40519"/>
    <cellStyle name="Total 2 9 7 3" xfId="40520"/>
    <cellStyle name="Total 2 9 7 3 2" xfId="40521"/>
    <cellStyle name="Total 2 9 7 3 3" xfId="40522"/>
    <cellStyle name="Total 2 9 7 3 4" xfId="40523"/>
    <cellStyle name="Total 2 9 7 4" xfId="40524"/>
    <cellStyle name="Total 2 9 7 4 2" xfId="40525"/>
    <cellStyle name="Total 2 9 7 4 3" xfId="40526"/>
    <cellStyle name="Total 2 9 7 4 4" xfId="40527"/>
    <cellStyle name="Total 2 9 7 5" xfId="40528"/>
    <cellStyle name="Total 2 9 7 6" xfId="40529"/>
    <cellStyle name="Total 2 9 7 7" xfId="40530"/>
    <cellStyle name="Total 2 9 8" xfId="40531"/>
    <cellStyle name="Total 2 9 8 2" xfId="40532"/>
    <cellStyle name="Total 2 9 8 2 2" xfId="40533"/>
    <cellStyle name="Total 2 9 8 2 3" xfId="40534"/>
    <cellStyle name="Total 2 9 8 2 4" xfId="40535"/>
    <cellStyle name="Total 2 9 8 3" xfId="40536"/>
    <cellStyle name="Total 2 9 8 3 2" xfId="40537"/>
    <cellStyle name="Total 2 9 8 3 3" xfId="40538"/>
    <cellStyle name="Total 2 9 8 3 4" xfId="40539"/>
    <cellStyle name="Total 2 9 8 4" xfId="40540"/>
    <cellStyle name="Total 2 9 8 4 2" xfId="40541"/>
    <cellStyle name="Total 2 9 8 4 3" xfId="40542"/>
    <cellStyle name="Total 2 9 8 4 4" xfId="40543"/>
    <cellStyle name="Total 2 9 8 5" xfId="40544"/>
    <cellStyle name="Total 2 9 8 6" xfId="40545"/>
    <cellStyle name="Total 2 9 8 7" xfId="40546"/>
    <cellStyle name="Total 2 9 9" xfId="40547"/>
    <cellStyle name="Total 2 9 9 2" xfId="40548"/>
    <cellStyle name="Total 2 9 9 2 2" xfId="40549"/>
    <cellStyle name="Total 2 9 9 2 3" xfId="40550"/>
    <cellStyle name="Total 2 9 9 2 4" xfId="40551"/>
    <cellStyle name="Total 2 9 9 3" xfId="40552"/>
    <cellStyle name="Total 2 9 9 3 2" xfId="40553"/>
    <cellStyle name="Total 2 9 9 3 3" xfId="40554"/>
    <cellStyle name="Total 2 9 9 3 4" xfId="40555"/>
    <cellStyle name="Total 2 9 9 4" xfId="40556"/>
    <cellStyle name="Total 2 9 9 4 2" xfId="40557"/>
    <cellStyle name="Total 2 9 9 4 3" xfId="40558"/>
    <cellStyle name="Total 2 9 9 4 4" xfId="40559"/>
    <cellStyle name="Total 2 9 9 5" xfId="40560"/>
    <cellStyle name="Total 2 9 9 6" xfId="40561"/>
    <cellStyle name="Total 2 9 9 7" xfId="40562"/>
    <cellStyle name="Total 2_2014 - Res" xfId="3115"/>
    <cellStyle name="Total 3" xfId="160"/>
    <cellStyle name="Total 3 2" xfId="659"/>
    <cellStyle name="Total 3 2 10" xfId="40563"/>
    <cellStyle name="Total 3 2 10 2" xfId="40564"/>
    <cellStyle name="Total 3 2 10 2 2" xfId="40565"/>
    <cellStyle name="Total 3 2 10 2 3" xfId="40566"/>
    <cellStyle name="Total 3 2 10 2 4" xfId="40567"/>
    <cellStyle name="Total 3 2 10 3" xfId="40568"/>
    <cellStyle name="Total 3 2 10 3 2" xfId="40569"/>
    <cellStyle name="Total 3 2 10 3 3" xfId="40570"/>
    <cellStyle name="Total 3 2 10 3 4" xfId="40571"/>
    <cellStyle name="Total 3 2 10 4" xfId="40572"/>
    <cellStyle name="Total 3 2 10 4 2" xfId="40573"/>
    <cellStyle name="Total 3 2 10 4 3" xfId="40574"/>
    <cellStyle name="Total 3 2 10 4 4" xfId="40575"/>
    <cellStyle name="Total 3 2 10 5" xfId="40576"/>
    <cellStyle name="Total 3 2 10 6" xfId="40577"/>
    <cellStyle name="Total 3 2 10 7" xfId="40578"/>
    <cellStyle name="Total 3 2 11" xfId="40579"/>
    <cellStyle name="Total 3 2 11 2" xfId="40580"/>
    <cellStyle name="Total 3 2 11 2 2" xfId="40581"/>
    <cellStyle name="Total 3 2 11 2 3" xfId="40582"/>
    <cellStyle name="Total 3 2 11 2 4" xfId="40583"/>
    <cellStyle name="Total 3 2 11 3" xfId="40584"/>
    <cellStyle name="Total 3 2 11 3 2" xfId="40585"/>
    <cellStyle name="Total 3 2 11 3 3" xfId="40586"/>
    <cellStyle name="Total 3 2 11 3 4" xfId="40587"/>
    <cellStyle name="Total 3 2 11 4" xfId="40588"/>
    <cellStyle name="Total 3 2 11 4 2" xfId="40589"/>
    <cellStyle name="Total 3 2 11 4 3" xfId="40590"/>
    <cellStyle name="Total 3 2 11 4 4" xfId="40591"/>
    <cellStyle name="Total 3 2 11 5" xfId="40592"/>
    <cellStyle name="Total 3 2 11 6" xfId="40593"/>
    <cellStyle name="Total 3 2 11 7" xfId="40594"/>
    <cellStyle name="Total 3 2 12" xfId="40595"/>
    <cellStyle name="Total 3 2 12 2" xfId="40596"/>
    <cellStyle name="Total 3 2 12 2 2" xfId="40597"/>
    <cellStyle name="Total 3 2 12 2 3" xfId="40598"/>
    <cellStyle name="Total 3 2 12 2 4" xfId="40599"/>
    <cellStyle name="Total 3 2 12 3" xfId="40600"/>
    <cellStyle name="Total 3 2 12 3 2" xfId="40601"/>
    <cellStyle name="Total 3 2 12 3 3" xfId="40602"/>
    <cellStyle name="Total 3 2 12 3 4" xfId="40603"/>
    <cellStyle name="Total 3 2 12 4" xfId="40604"/>
    <cellStyle name="Total 3 2 12 4 2" xfId="40605"/>
    <cellStyle name="Total 3 2 12 4 3" xfId="40606"/>
    <cellStyle name="Total 3 2 12 4 4" xfId="40607"/>
    <cellStyle name="Total 3 2 12 5" xfId="40608"/>
    <cellStyle name="Total 3 2 12 6" xfId="40609"/>
    <cellStyle name="Total 3 2 12 7" xfId="40610"/>
    <cellStyle name="Total 3 2 13" xfId="40611"/>
    <cellStyle name="Total 3 2 13 2" xfId="40612"/>
    <cellStyle name="Total 3 2 13 2 2" xfId="40613"/>
    <cellStyle name="Total 3 2 13 2 3" xfId="40614"/>
    <cellStyle name="Total 3 2 13 2 4" xfId="40615"/>
    <cellStyle name="Total 3 2 13 3" xfId="40616"/>
    <cellStyle name="Total 3 2 13 3 2" xfId="40617"/>
    <cellStyle name="Total 3 2 13 3 3" xfId="40618"/>
    <cellStyle name="Total 3 2 13 3 4" xfId="40619"/>
    <cellStyle name="Total 3 2 13 4" xfId="40620"/>
    <cellStyle name="Total 3 2 13 4 2" xfId="40621"/>
    <cellStyle name="Total 3 2 13 4 3" xfId="40622"/>
    <cellStyle name="Total 3 2 13 4 4" xfId="40623"/>
    <cellStyle name="Total 3 2 13 5" xfId="40624"/>
    <cellStyle name="Total 3 2 13 6" xfId="40625"/>
    <cellStyle name="Total 3 2 13 7" xfId="40626"/>
    <cellStyle name="Total 3 2 14" xfId="40627"/>
    <cellStyle name="Total 3 2 14 2" xfId="40628"/>
    <cellStyle name="Total 3 2 14 3" xfId="40629"/>
    <cellStyle name="Total 3 2 14 4" xfId="40630"/>
    <cellStyle name="Total 3 2 15" xfId="40631"/>
    <cellStyle name="Total 3 2 15 2" xfId="40632"/>
    <cellStyle name="Total 3 2 15 3" xfId="40633"/>
    <cellStyle name="Total 3 2 15 4" xfId="40634"/>
    <cellStyle name="Total 3 2 16" xfId="40635"/>
    <cellStyle name="Total 3 2 16 2" xfId="40636"/>
    <cellStyle name="Total 3 2 16 3" xfId="40637"/>
    <cellStyle name="Total 3 2 16 4" xfId="40638"/>
    <cellStyle name="Total 3 2 17" xfId="40639"/>
    <cellStyle name="Total 3 2 18" xfId="40640"/>
    <cellStyle name="Total 3 2 19" xfId="40641"/>
    <cellStyle name="Total 3 2 2" xfId="660"/>
    <cellStyle name="Total 3 2 2 10" xfId="40642"/>
    <cellStyle name="Total 3 2 2 11" xfId="40643"/>
    <cellStyle name="Total 3 2 2 12" xfId="40644"/>
    <cellStyle name="Total 3 2 2 2" xfId="914"/>
    <cellStyle name="Total 3 2 2 2 2" xfId="40645"/>
    <cellStyle name="Total 3 2 2 2 2 2" xfId="40646"/>
    <cellStyle name="Total 3 2 2 2 2 3" xfId="40647"/>
    <cellStyle name="Total 3 2 2 2 2 4" xfId="40648"/>
    <cellStyle name="Total 3 2 2 2 3" xfId="40649"/>
    <cellStyle name="Total 3 2 2 2 3 2" xfId="40650"/>
    <cellStyle name="Total 3 2 2 2 3 3" xfId="40651"/>
    <cellStyle name="Total 3 2 2 2 3 4" xfId="40652"/>
    <cellStyle name="Total 3 2 2 2 4" xfId="40653"/>
    <cellStyle name="Total 3 2 2 2 4 2" xfId="40654"/>
    <cellStyle name="Total 3 2 2 2 4 3" xfId="40655"/>
    <cellStyle name="Total 3 2 2 2 4 4" xfId="40656"/>
    <cellStyle name="Total 3 2 2 2 5" xfId="40657"/>
    <cellStyle name="Total 3 2 2 2 6" xfId="40658"/>
    <cellStyle name="Total 3 2 2 2 7" xfId="40659"/>
    <cellStyle name="Total 3 2 2 3" xfId="780"/>
    <cellStyle name="Total 3 2 2 3 2" xfId="40660"/>
    <cellStyle name="Total 3 2 2 3 2 2" xfId="40661"/>
    <cellStyle name="Total 3 2 2 3 2 3" xfId="40662"/>
    <cellStyle name="Total 3 2 2 3 2 4" xfId="40663"/>
    <cellStyle name="Total 3 2 2 3 3" xfId="40664"/>
    <cellStyle name="Total 3 2 2 3 3 2" xfId="40665"/>
    <cellStyle name="Total 3 2 2 3 3 3" xfId="40666"/>
    <cellStyle name="Total 3 2 2 3 3 4" xfId="40667"/>
    <cellStyle name="Total 3 2 2 3 4" xfId="40668"/>
    <cellStyle name="Total 3 2 2 3 4 2" xfId="40669"/>
    <cellStyle name="Total 3 2 2 3 4 3" xfId="40670"/>
    <cellStyle name="Total 3 2 2 3 4 4" xfId="40671"/>
    <cellStyle name="Total 3 2 2 3 5" xfId="40672"/>
    <cellStyle name="Total 3 2 2 3 6" xfId="40673"/>
    <cellStyle name="Total 3 2 2 3 7" xfId="40674"/>
    <cellStyle name="Total 3 2 2 4" xfId="984"/>
    <cellStyle name="Total 3 2 2 4 2" xfId="40675"/>
    <cellStyle name="Total 3 2 2 4 2 2" xfId="40676"/>
    <cellStyle name="Total 3 2 2 4 2 3" xfId="40677"/>
    <cellStyle name="Total 3 2 2 4 2 4" xfId="40678"/>
    <cellStyle name="Total 3 2 2 4 3" xfId="40679"/>
    <cellStyle name="Total 3 2 2 4 3 2" xfId="40680"/>
    <cellStyle name="Total 3 2 2 4 3 3" xfId="40681"/>
    <cellStyle name="Total 3 2 2 4 3 4" xfId="40682"/>
    <cellStyle name="Total 3 2 2 4 4" xfId="40683"/>
    <cellStyle name="Total 3 2 2 4 4 2" xfId="40684"/>
    <cellStyle name="Total 3 2 2 4 4 3" xfId="40685"/>
    <cellStyle name="Total 3 2 2 4 4 4" xfId="40686"/>
    <cellStyle name="Total 3 2 2 4 5" xfId="40687"/>
    <cellStyle name="Total 3 2 2 4 6" xfId="40688"/>
    <cellStyle name="Total 3 2 2 4 7" xfId="40689"/>
    <cellStyle name="Total 3 2 2 5" xfId="40690"/>
    <cellStyle name="Total 3 2 2 5 2" xfId="40691"/>
    <cellStyle name="Total 3 2 2 5 2 2" xfId="40692"/>
    <cellStyle name="Total 3 2 2 5 2 3" xfId="40693"/>
    <cellStyle name="Total 3 2 2 5 2 4" xfId="40694"/>
    <cellStyle name="Total 3 2 2 5 3" xfId="40695"/>
    <cellStyle name="Total 3 2 2 5 3 2" xfId="40696"/>
    <cellStyle name="Total 3 2 2 5 3 3" xfId="40697"/>
    <cellStyle name="Total 3 2 2 5 3 4" xfId="40698"/>
    <cellStyle name="Total 3 2 2 5 4" xfId="40699"/>
    <cellStyle name="Total 3 2 2 5 4 2" xfId="40700"/>
    <cellStyle name="Total 3 2 2 5 4 3" xfId="40701"/>
    <cellStyle name="Total 3 2 2 5 4 4" xfId="40702"/>
    <cellStyle name="Total 3 2 2 5 5" xfId="40703"/>
    <cellStyle name="Total 3 2 2 5 6" xfId="40704"/>
    <cellStyle name="Total 3 2 2 5 7" xfId="40705"/>
    <cellStyle name="Total 3 2 2 6" xfId="40706"/>
    <cellStyle name="Total 3 2 2 6 2" xfId="40707"/>
    <cellStyle name="Total 3 2 2 6 2 2" xfId="40708"/>
    <cellStyle name="Total 3 2 2 6 2 3" xfId="40709"/>
    <cellStyle name="Total 3 2 2 6 2 4" xfId="40710"/>
    <cellStyle name="Total 3 2 2 6 3" xfId="40711"/>
    <cellStyle name="Total 3 2 2 6 3 2" xfId="40712"/>
    <cellStyle name="Total 3 2 2 6 3 3" xfId="40713"/>
    <cellStyle name="Total 3 2 2 6 3 4" xfId="40714"/>
    <cellStyle name="Total 3 2 2 6 4" xfId="40715"/>
    <cellStyle name="Total 3 2 2 6 4 2" xfId="40716"/>
    <cellStyle name="Total 3 2 2 6 4 3" xfId="40717"/>
    <cellStyle name="Total 3 2 2 6 4 4" xfId="40718"/>
    <cellStyle name="Total 3 2 2 6 5" xfId="40719"/>
    <cellStyle name="Total 3 2 2 6 6" xfId="40720"/>
    <cellStyle name="Total 3 2 2 6 7" xfId="40721"/>
    <cellStyle name="Total 3 2 2 7" xfId="40722"/>
    <cellStyle name="Total 3 2 2 7 2" xfId="40723"/>
    <cellStyle name="Total 3 2 2 7 3" xfId="40724"/>
    <cellStyle name="Total 3 2 2 7 4" xfId="40725"/>
    <cellStyle name="Total 3 2 2 8" xfId="40726"/>
    <cellStyle name="Total 3 2 2 8 2" xfId="40727"/>
    <cellStyle name="Total 3 2 2 8 3" xfId="40728"/>
    <cellStyle name="Total 3 2 2 8 4" xfId="40729"/>
    <cellStyle name="Total 3 2 2 9" xfId="40730"/>
    <cellStyle name="Total 3 2 2 9 2" xfId="40731"/>
    <cellStyle name="Total 3 2 2 9 3" xfId="40732"/>
    <cellStyle name="Total 3 2 2 9 4" xfId="40733"/>
    <cellStyle name="Total 3 2 3" xfId="913"/>
    <cellStyle name="Total 3 2 3 10" xfId="40734"/>
    <cellStyle name="Total 3 2 3 11" xfId="40735"/>
    <cellStyle name="Total 3 2 3 12" xfId="40736"/>
    <cellStyle name="Total 3 2 3 2" xfId="40737"/>
    <cellStyle name="Total 3 2 3 2 2" xfId="40738"/>
    <cellStyle name="Total 3 2 3 2 2 2" xfId="40739"/>
    <cellStyle name="Total 3 2 3 2 2 3" xfId="40740"/>
    <cellStyle name="Total 3 2 3 2 2 4" xfId="40741"/>
    <cellStyle name="Total 3 2 3 2 3" xfId="40742"/>
    <cellStyle name="Total 3 2 3 2 3 2" xfId="40743"/>
    <cellStyle name="Total 3 2 3 2 3 3" xfId="40744"/>
    <cellStyle name="Total 3 2 3 2 3 4" xfId="40745"/>
    <cellStyle name="Total 3 2 3 2 4" xfId="40746"/>
    <cellStyle name="Total 3 2 3 2 4 2" xfId="40747"/>
    <cellStyle name="Total 3 2 3 2 4 3" xfId="40748"/>
    <cellStyle name="Total 3 2 3 2 4 4" xfId="40749"/>
    <cellStyle name="Total 3 2 3 2 5" xfId="40750"/>
    <cellStyle name="Total 3 2 3 2 6" xfId="40751"/>
    <cellStyle name="Total 3 2 3 2 7" xfId="40752"/>
    <cellStyle name="Total 3 2 3 3" xfId="40753"/>
    <cellStyle name="Total 3 2 3 3 2" xfId="40754"/>
    <cellStyle name="Total 3 2 3 3 2 2" xfId="40755"/>
    <cellStyle name="Total 3 2 3 3 2 3" xfId="40756"/>
    <cellStyle name="Total 3 2 3 3 2 4" xfId="40757"/>
    <cellStyle name="Total 3 2 3 3 3" xfId="40758"/>
    <cellStyle name="Total 3 2 3 3 3 2" xfId="40759"/>
    <cellStyle name="Total 3 2 3 3 3 3" xfId="40760"/>
    <cellStyle name="Total 3 2 3 3 3 4" xfId="40761"/>
    <cellStyle name="Total 3 2 3 3 4" xfId="40762"/>
    <cellStyle name="Total 3 2 3 3 4 2" xfId="40763"/>
    <cellStyle name="Total 3 2 3 3 4 3" xfId="40764"/>
    <cellStyle name="Total 3 2 3 3 4 4" xfId="40765"/>
    <cellStyle name="Total 3 2 3 3 5" xfId="40766"/>
    <cellStyle name="Total 3 2 3 3 6" xfId="40767"/>
    <cellStyle name="Total 3 2 3 3 7" xfId="40768"/>
    <cellStyle name="Total 3 2 3 4" xfId="40769"/>
    <cellStyle name="Total 3 2 3 4 2" xfId="40770"/>
    <cellStyle name="Total 3 2 3 4 2 2" xfId="40771"/>
    <cellStyle name="Total 3 2 3 4 2 3" xfId="40772"/>
    <cellStyle name="Total 3 2 3 4 2 4" xfId="40773"/>
    <cellStyle name="Total 3 2 3 4 3" xfId="40774"/>
    <cellStyle name="Total 3 2 3 4 3 2" xfId="40775"/>
    <cellStyle name="Total 3 2 3 4 3 3" xfId="40776"/>
    <cellStyle name="Total 3 2 3 4 3 4" xfId="40777"/>
    <cellStyle name="Total 3 2 3 4 4" xfId="40778"/>
    <cellStyle name="Total 3 2 3 4 4 2" xfId="40779"/>
    <cellStyle name="Total 3 2 3 4 4 3" xfId="40780"/>
    <cellStyle name="Total 3 2 3 4 4 4" xfId="40781"/>
    <cellStyle name="Total 3 2 3 4 5" xfId="40782"/>
    <cellStyle name="Total 3 2 3 4 6" xfId="40783"/>
    <cellStyle name="Total 3 2 3 4 7" xfId="40784"/>
    <cellStyle name="Total 3 2 3 5" xfId="40785"/>
    <cellStyle name="Total 3 2 3 5 2" xfId="40786"/>
    <cellStyle name="Total 3 2 3 5 2 2" xfId="40787"/>
    <cellStyle name="Total 3 2 3 5 2 3" xfId="40788"/>
    <cellStyle name="Total 3 2 3 5 2 4" xfId="40789"/>
    <cellStyle name="Total 3 2 3 5 3" xfId="40790"/>
    <cellStyle name="Total 3 2 3 5 3 2" xfId="40791"/>
    <cellStyle name="Total 3 2 3 5 3 3" xfId="40792"/>
    <cellStyle name="Total 3 2 3 5 3 4" xfId="40793"/>
    <cellStyle name="Total 3 2 3 5 4" xfId="40794"/>
    <cellStyle name="Total 3 2 3 5 4 2" xfId="40795"/>
    <cellStyle name="Total 3 2 3 5 4 3" xfId="40796"/>
    <cellStyle name="Total 3 2 3 5 4 4" xfId="40797"/>
    <cellStyle name="Total 3 2 3 5 5" xfId="40798"/>
    <cellStyle name="Total 3 2 3 5 6" xfId="40799"/>
    <cellStyle name="Total 3 2 3 5 7" xfId="40800"/>
    <cellStyle name="Total 3 2 3 6" xfId="40801"/>
    <cellStyle name="Total 3 2 3 6 2" xfId="40802"/>
    <cellStyle name="Total 3 2 3 6 2 2" xfId="40803"/>
    <cellStyle name="Total 3 2 3 6 2 3" xfId="40804"/>
    <cellStyle name="Total 3 2 3 6 2 4" xfId="40805"/>
    <cellStyle name="Total 3 2 3 6 3" xfId="40806"/>
    <cellStyle name="Total 3 2 3 6 3 2" xfId="40807"/>
    <cellStyle name="Total 3 2 3 6 3 3" xfId="40808"/>
    <cellStyle name="Total 3 2 3 6 3 4" xfId="40809"/>
    <cellStyle name="Total 3 2 3 6 4" xfId="40810"/>
    <cellStyle name="Total 3 2 3 6 4 2" xfId="40811"/>
    <cellStyle name="Total 3 2 3 6 4 3" xfId="40812"/>
    <cellStyle name="Total 3 2 3 6 4 4" xfId="40813"/>
    <cellStyle name="Total 3 2 3 6 5" xfId="40814"/>
    <cellStyle name="Total 3 2 3 6 6" xfId="40815"/>
    <cellStyle name="Total 3 2 3 6 7" xfId="40816"/>
    <cellStyle name="Total 3 2 3 7" xfId="40817"/>
    <cellStyle name="Total 3 2 3 7 2" xfId="40818"/>
    <cellStyle name="Total 3 2 3 7 3" xfId="40819"/>
    <cellStyle name="Total 3 2 3 7 4" xfId="40820"/>
    <cellStyle name="Total 3 2 3 8" xfId="40821"/>
    <cellStyle name="Total 3 2 3 8 2" xfId="40822"/>
    <cellStyle name="Total 3 2 3 8 3" xfId="40823"/>
    <cellStyle name="Total 3 2 3 8 4" xfId="40824"/>
    <cellStyle name="Total 3 2 3 9" xfId="40825"/>
    <cellStyle name="Total 3 2 3 9 2" xfId="40826"/>
    <cellStyle name="Total 3 2 3 9 3" xfId="40827"/>
    <cellStyle name="Total 3 2 3 9 4" xfId="40828"/>
    <cellStyle name="Total 3 2 4" xfId="758"/>
    <cellStyle name="Total 3 2 4 10" xfId="40829"/>
    <cellStyle name="Total 3 2 4 11" xfId="40830"/>
    <cellStyle name="Total 3 2 4 12" xfId="40831"/>
    <cellStyle name="Total 3 2 4 2" xfId="40832"/>
    <cellStyle name="Total 3 2 4 2 2" xfId="40833"/>
    <cellStyle name="Total 3 2 4 2 2 2" xfId="40834"/>
    <cellStyle name="Total 3 2 4 2 2 3" xfId="40835"/>
    <cellStyle name="Total 3 2 4 2 2 4" xfId="40836"/>
    <cellStyle name="Total 3 2 4 2 3" xfId="40837"/>
    <cellStyle name="Total 3 2 4 2 3 2" xfId="40838"/>
    <cellStyle name="Total 3 2 4 2 3 3" xfId="40839"/>
    <cellStyle name="Total 3 2 4 2 3 4" xfId="40840"/>
    <cellStyle name="Total 3 2 4 2 4" xfId="40841"/>
    <cellStyle name="Total 3 2 4 2 4 2" xfId="40842"/>
    <cellStyle name="Total 3 2 4 2 4 3" xfId="40843"/>
    <cellStyle name="Total 3 2 4 2 4 4" xfId="40844"/>
    <cellStyle name="Total 3 2 4 2 5" xfId="40845"/>
    <cellStyle name="Total 3 2 4 2 6" xfId="40846"/>
    <cellStyle name="Total 3 2 4 2 7" xfId="40847"/>
    <cellStyle name="Total 3 2 4 3" xfId="40848"/>
    <cellStyle name="Total 3 2 4 3 2" xfId="40849"/>
    <cellStyle name="Total 3 2 4 3 2 2" xfId="40850"/>
    <cellStyle name="Total 3 2 4 3 2 3" xfId="40851"/>
    <cellStyle name="Total 3 2 4 3 2 4" xfId="40852"/>
    <cellStyle name="Total 3 2 4 3 3" xfId="40853"/>
    <cellStyle name="Total 3 2 4 3 3 2" xfId="40854"/>
    <cellStyle name="Total 3 2 4 3 3 3" xfId="40855"/>
    <cellStyle name="Total 3 2 4 3 3 4" xfId="40856"/>
    <cellStyle name="Total 3 2 4 3 4" xfId="40857"/>
    <cellStyle name="Total 3 2 4 3 4 2" xfId="40858"/>
    <cellStyle name="Total 3 2 4 3 4 3" xfId="40859"/>
    <cellStyle name="Total 3 2 4 3 4 4" xfId="40860"/>
    <cellStyle name="Total 3 2 4 3 5" xfId="40861"/>
    <cellStyle name="Total 3 2 4 3 6" xfId="40862"/>
    <cellStyle name="Total 3 2 4 3 7" xfId="40863"/>
    <cellStyle name="Total 3 2 4 4" xfId="40864"/>
    <cellStyle name="Total 3 2 4 4 2" xfId="40865"/>
    <cellStyle name="Total 3 2 4 4 2 2" xfId="40866"/>
    <cellStyle name="Total 3 2 4 4 2 3" xfId="40867"/>
    <cellStyle name="Total 3 2 4 4 2 4" xfId="40868"/>
    <cellStyle name="Total 3 2 4 4 3" xfId="40869"/>
    <cellStyle name="Total 3 2 4 4 3 2" xfId="40870"/>
    <cellStyle name="Total 3 2 4 4 3 3" xfId="40871"/>
    <cellStyle name="Total 3 2 4 4 3 4" xfId="40872"/>
    <cellStyle name="Total 3 2 4 4 4" xfId="40873"/>
    <cellStyle name="Total 3 2 4 4 4 2" xfId="40874"/>
    <cellStyle name="Total 3 2 4 4 4 3" xfId="40875"/>
    <cellStyle name="Total 3 2 4 4 4 4" xfId="40876"/>
    <cellStyle name="Total 3 2 4 4 5" xfId="40877"/>
    <cellStyle name="Total 3 2 4 4 6" xfId="40878"/>
    <cellStyle name="Total 3 2 4 4 7" xfId="40879"/>
    <cellStyle name="Total 3 2 4 5" xfId="40880"/>
    <cellStyle name="Total 3 2 4 5 2" xfId="40881"/>
    <cellStyle name="Total 3 2 4 5 2 2" xfId="40882"/>
    <cellStyle name="Total 3 2 4 5 2 3" xfId="40883"/>
    <cellStyle name="Total 3 2 4 5 2 4" xfId="40884"/>
    <cellStyle name="Total 3 2 4 5 3" xfId="40885"/>
    <cellStyle name="Total 3 2 4 5 3 2" xfId="40886"/>
    <cellStyle name="Total 3 2 4 5 3 3" xfId="40887"/>
    <cellStyle name="Total 3 2 4 5 3 4" xfId="40888"/>
    <cellStyle name="Total 3 2 4 5 4" xfId="40889"/>
    <cellStyle name="Total 3 2 4 5 4 2" xfId="40890"/>
    <cellStyle name="Total 3 2 4 5 4 3" xfId="40891"/>
    <cellStyle name="Total 3 2 4 5 4 4" xfId="40892"/>
    <cellStyle name="Total 3 2 4 5 5" xfId="40893"/>
    <cellStyle name="Total 3 2 4 5 6" xfId="40894"/>
    <cellStyle name="Total 3 2 4 5 7" xfId="40895"/>
    <cellStyle name="Total 3 2 4 6" xfId="40896"/>
    <cellStyle name="Total 3 2 4 6 2" xfId="40897"/>
    <cellStyle name="Total 3 2 4 6 2 2" xfId="40898"/>
    <cellStyle name="Total 3 2 4 6 2 3" xfId="40899"/>
    <cellStyle name="Total 3 2 4 6 2 4" xfId="40900"/>
    <cellStyle name="Total 3 2 4 6 3" xfId="40901"/>
    <cellStyle name="Total 3 2 4 6 3 2" xfId="40902"/>
    <cellStyle name="Total 3 2 4 6 3 3" xfId="40903"/>
    <cellStyle name="Total 3 2 4 6 3 4" xfId="40904"/>
    <cellStyle name="Total 3 2 4 6 4" xfId="40905"/>
    <cellStyle name="Total 3 2 4 6 4 2" xfId="40906"/>
    <cellStyle name="Total 3 2 4 6 4 3" xfId="40907"/>
    <cellStyle name="Total 3 2 4 6 4 4" xfId="40908"/>
    <cellStyle name="Total 3 2 4 6 5" xfId="40909"/>
    <cellStyle name="Total 3 2 4 6 6" xfId="40910"/>
    <cellStyle name="Total 3 2 4 6 7" xfId="40911"/>
    <cellStyle name="Total 3 2 4 7" xfId="40912"/>
    <cellStyle name="Total 3 2 4 7 2" xfId="40913"/>
    <cellStyle name="Total 3 2 4 7 3" xfId="40914"/>
    <cellStyle name="Total 3 2 4 7 4" xfId="40915"/>
    <cellStyle name="Total 3 2 4 8" xfId="40916"/>
    <cellStyle name="Total 3 2 4 8 2" xfId="40917"/>
    <cellStyle name="Total 3 2 4 8 3" xfId="40918"/>
    <cellStyle name="Total 3 2 4 8 4" xfId="40919"/>
    <cellStyle name="Total 3 2 4 9" xfId="40920"/>
    <cellStyle name="Total 3 2 4 9 2" xfId="40921"/>
    <cellStyle name="Total 3 2 4 9 3" xfId="40922"/>
    <cellStyle name="Total 3 2 4 9 4" xfId="40923"/>
    <cellStyle name="Total 3 2 5" xfId="983"/>
    <cellStyle name="Total 3 2 5 10" xfId="40924"/>
    <cellStyle name="Total 3 2 5 11" xfId="40925"/>
    <cellStyle name="Total 3 2 5 12" xfId="40926"/>
    <cellStyle name="Total 3 2 5 2" xfId="40927"/>
    <cellStyle name="Total 3 2 5 2 2" xfId="40928"/>
    <cellStyle name="Total 3 2 5 2 2 2" xfId="40929"/>
    <cellStyle name="Total 3 2 5 2 2 3" xfId="40930"/>
    <cellStyle name="Total 3 2 5 2 2 4" xfId="40931"/>
    <cellStyle name="Total 3 2 5 2 3" xfId="40932"/>
    <cellStyle name="Total 3 2 5 2 3 2" xfId="40933"/>
    <cellStyle name="Total 3 2 5 2 3 3" xfId="40934"/>
    <cellStyle name="Total 3 2 5 2 3 4" xfId="40935"/>
    <cellStyle name="Total 3 2 5 2 4" xfId="40936"/>
    <cellStyle name="Total 3 2 5 2 4 2" xfId="40937"/>
    <cellStyle name="Total 3 2 5 2 4 3" xfId="40938"/>
    <cellStyle name="Total 3 2 5 2 4 4" xfId="40939"/>
    <cellStyle name="Total 3 2 5 2 5" xfId="40940"/>
    <cellStyle name="Total 3 2 5 2 6" xfId="40941"/>
    <cellStyle name="Total 3 2 5 2 7" xfId="40942"/>
    <cellStyle name="Total 3 2 5 3" xfId="40943"/>
    <cellStyle name="Total 3 2 5 3 2" xfId="40944"/>
    <cellStyle name="Total 3 2 5 3 2 2" xfId="40945"/>
    <cellStyle name="Total 3 2 5 3 2 3" xfId="40946"/>
    <cellStyle name="Total 3 2 5 3 2 4" xfId="40947"/>
    <cellStyle name="Total 3 2 5 3 3" xfId="40948"/>
    <cellStyle name="Total 3 2 5 3 3 2" xfId="40949"/>
    <cellStyle name="Total 3 2 5 3 3 3" xfId="40950"/>
    <cellStyle name="Total 3 2 5 3 3 4" xfId="40951"/>
    <cellStyle name="Total 3 2 5 3 4" xfId="40952"/>
    <cellStyle name="Total 3 2 5 3 4 2" xfId="40953"/>
    <cellStyle name="Total 3 2 5 3 4 3" xfId="40954"/>
    <cellStyle name="Total 3 2 5 3 4 4" xfId="40955"/>
    <cellStyle name="Total 3 2 5 3 5" xfId="40956"/>
    <cellStyle name="Total 3 2 5 3 6" xfId="40957"/>
    <cellStyle name="Total 3 2 5 3 7" xfId="40958"/>
    <cellStyle name="Total 3 2 5 4" xfId="40959"/>
    <cellStyle name="Total 3 2 5 4 2" xfId="40960"/>
    <cellStyle name="Total 3 2 5 4 2 2" xfId="40961"/>
    <cellStyle name="Total 3 2 5 4 2 3" xfId="40962"/>
    <cellStyle name="Total 3 2 5 4 2 4" xfId="40963"/>
    <cellStyle name="Total 3 2 5 4 3" xfId="40964"/>
    <cellStyle name="Total 3 2 5 4 3 2" xfId="40965"/>
    <cellStyle name="Total 3 2 5 4 3 3" xfId="40966"/>
    <cellStyle name="Total 3 2 5 4 3 4" xfId="40967"/>
    <cellStyle name="Total 3 2 5 4 4" xfId="40968"/>
    <cellStyle name="Total 3 2 5 4 4 2" xfId="40969"/>
    <cellStyle name="Total 3 2 5 4 4 3" xfId="40970"/>
    <cellStyle name="Total 3 2 5 4 4 4" xfId="40971"/>
    <cellStyle name="Total 3 2 5 4 5" xfId="40972"/>
    <cellStyle name="Total 3 2 5 4 6" xfId="40973"/>
    <cellStyle name="Total 3 2 5 4 7" xfId="40974"/>
    <cellStyle name="Total 3 2 5 5" xfId="40975"/>
    <cellStyle name="Total 3 2 5 5 2" xfId="40976"/>
    <cellStyle name="Total 3 2 5 5 2 2" xfId="40977"/>
    <cellStyle name="Total 3 2 5 5 2 3" xfId="40978"/>
    <cellStyle name="Total 3 2 5 5 2 4" xfId="40979"/>
    <cellStyle name="Total 3 2 5 5 3" xfId="40980"/>
    <cellStyle name="Total 3 2 5 5 3 2" xfId="40981"/>
    <cellStyle name="Total 3 2 5 5 3 3" xfId="40982"/>
    <cellStyle name="Total 3 2 5 5 3 4" xfId="40983"/>
    <cellStyle name="Total 3 2 5 5 4" xfId="40984"/>
    <cellStyle name="Total 3 2 5 5 4 2" xfId="40985"/>
    <cellStyle name="Total 3 2 5 5 4 3" xfId="40986"/>
    <cellStyle name="Total 3 2 5 5 4 4" xfId="40987"/>
    <cellStyle name="Total 3 2 5 5 5" xfId="40988"/>
    <cellStyle name="Total 3 2 5 5 6" xfId="40989"/>
    <cellStyle name="Total 3 2 5 5 7" xfId="40990"/>
    <cellStyle name="Total 3 2 5 6" xfId="40991"/>
    <cellStyle name="Total 3 2 5 6 2" xfId="40992"/>
    <cellStyle name="Total 3 2 5 6 2 2" xfId="40993"/>
    <cellStyle name="Total 3 2 5 6 2 3" xfId="40994"/>
    <cellStyle name="Total 3 2 5 6 2 4" xfId="40995"/>
    <cellStyle name="Total 3 2 5 6 3" xfId="40996"/>
    <cellStyle name="Total 3 2 5 6 3 2" xfId="40997"/>
    <cellStyle name="Total 3 2 5 6 3 3" xfId="40998"/>
    <cellStyle name="Total 3 2 5 6 3 4" xfId="40999"/>
    <cellStyle name="Total 3 2 5 6 4" xfId="41000"/>
    <cellStyle name="Total 3 2 5 6 4 2" xfId="41001"/>
    <cellStyle name="Total 3 2 5 6 4 3" xfId="41002"/>
    <cellStyle name="Total 3 2 5 6 4 4" xfId="41003"/>
    <cellStyle name="Total 3 2 5 6 5" xfId="41004"/>
    <cellStyle name="Total 3 2 5 6 6" xfId="41005"/>
    <cellStyle name="Total 3 2 5 6 7" xfId="41006"/>
    <cellStyle name="Total 3 2 5 7" xfId="41007"/>
    <cellStyle name="Total 3 2 5 7 2" xfId="41008"/>
    <cellStyle name="Total 3 2 5 7 3" xfId="41009"/>
    <cellStyle name="Total 3 2 5 7 4" xfId="41010"/>
    <cellStyle name="Total 3 2 5 8" xfId="41011"/>
    <cellStyle name="Total 3 2 5 8 2" xfId="41012"/>
    <cellStyle name="Total 3 2 5 8 3" xfId="41013"/>
    <cellStyle name="Total 3 2 5 8 4" xfId="41014"/>
    <cellStyle name="Total 3 2 5 9" xfId="41015"/>
    <cellStyle name="Total 3 2 5 9 2" xfId="41016"/>
    <cellStyle name="Total 3 2 5 9 3" xfId="41017"/>
    <cellStyle name="Total 3 2 5 9 4" xfId="41018"/>
    <cellStyle name="Total 3 2 6" xfId="41019"/>
    <cellStyle name="Total 3 2 6 2" xfId="41020"/>
    <cellStyle name="Total 3 2 6 2 2" xfId="41021"/>
    <cellStyle name="Total 3 2 6 2 3" xfId="41022"/>
    <cellStyle name="Total 3 2 6 2 4" xfId="41023"/>
    <cellStyle name="Total 3 2 6 3" xfId="41024"/>
    <cellStyle name="Total 3 2 6 3 2" xfId="41025"/>
    <cellStyle name="Total 3 2 6 3 3" xfId="41026"/>
    <cellStyle name="Total 3 2 6 3 4" xfId="41027"/>
    <cellStyle name="Total 3 2 6 4" xfId="41028"/>
    <cellStyle name="Total 3 2 6 4 2" xfId="41029"/>
    <cellStyle name="Total 3 2 6 4 3" xfId="41030"/>
    <cellStyle name="Total 3 2 6 4 4" xfId="41031"/>
    <cellStyle name="Total 3 2 6 5" xfId="41032"/>
    <cellStyle name="Total 3 2 6 6" xfId="41033"/>
    <cellStyle name="Total 3 2 6 7" xfId="41034"/>
    <cellStyle name="Total 3 2 7" xfId="41035"/>
    <cellStyle name="Total 3 2 7 2" xfId="41036"/>
    <cellStyle name="Total 3 2 7 2 2" xfId="41037"/>
    <cellStyle name="Total 3 2 7 2 3" xfId="41038"/>
    <cellStyle name="Total 3 2 7 2 4" xfId="41039"/>
    <cellStyle name="Total 3 2 7 3" xfId="41040"/>
    <cellStyle name="Total 3 2 7 3 2" xfId="41041"/>
    <cellStyle name="Total 3 2 7 3 3" xfId="41042"/>
    <cellStyle name="Total 3 2 7 3 4" xfId="41043"/>
    <cellStyle name="Total 3 2 7 4" xfId="41044"/>
    <cellStyle name="Total 3 2 7 4 2" xfId="41045"/>
    <cellStyle name="Total 3 2 7 4 3" xfId="41046"/>
    <cellStyle name="Total 3 2 7 4 4" xfId="41047"/>
    <cellStyle name="Total 3 2 7 5" xfId="41048"/>
    <cellStyle name="Total 3 2 7 6" xfId="41049"/>
    <cellStyle name="Total 3 2 7 7" xfId="41050"/>
    <cellStyle name="Total 3 2 8" xfId="41051"/>
    <cellStyle name="Total 3 2 8 2" xfId="41052"/>
    <cellStyle name="Total 3 2 8 2 2" xfId="41053"/>
    <cellStyle name="Total 3 2 8 2 3" xfId="41054"/>
    <cellStyle name="Total 3 2 8 2 4" xfId="41055"/>
    <cellStyle name="Total 3 2 8 3" xfId="41056"/>
    <cellStyle name="Total 3 2 8 3 2" xfId="41057"/>
    <cellStyle name="Total 3 2 8 3 3" xfId="41058"/>
    <cellStyle name="Total 3 2 8 3 4" xfId="41059"/>
    <cellStyle name="Total 3 2 8 4" xfId="41060"/>
    <cellStyle name="Total 3 2 8 4 2" xfId="41061"/>
    <cellStyle name="Total 3 2 8 4 3" xfId="41062"/>
    <cellStyle name="Total 3 2 8 4 4" xfId="41063"/>
    <cellStyle name="Total 3 2 8 5" xfId="41064"/>
    <cellStyle name="Total 3 2 8 6" xfId="41065"/>
    <cellStyle name="Total 3 2 8 7" xfId="41066"/>
    <cellStyle name="Total 3 2 9" xfId="41067"/>
    <cellStyle name="Total 3 2 9 2" xfId="41068"/>
    <cellStyle name="Total 3 2 9 2 2" xfId="41069"/>
    <cellStyle name="Total 3 2 9 2 3" xfId="41070"/>
    <cellStyle name="Total 3 2 9 2 4" xfId="41071"/>
    <cellStyle name="Total 3 2 9 3" xfId="41072"/>
    <cellStyle name="Total 3 2 9 3 2" xfId="41073"/>
    <cellStyle name="Total 3 2 9 3 3" xfId="41074"/>
    <cellStyle name="Total 3 2 9 3 4" xfId="41075"/>
    <cellStyle name="Total 3 2 9 4" xfId="41076"/>
    <cellStyle name="Total 3 2 9 4 2" xfId="41077"/>
    <cellStyle name="Total 3 2 9 4 3" xfId="41078"/>
    <cellStyle name="Total 3 2 9 4 4" xfId="41079"/>
    <cellStyle name="Total 3 2 9 5" xfId="41080"/>
    <cellStyle name="Total 3 2 9 6" xfId="41081"/>
    <cellStyle name="Total 3 2 9 7" xfId="41082"/>
    <cellStyle name="Total 3 3" xfId="661"/>
    <cellStyle name="Total 3 3 10" xfId="41083"/>
    <cellStyle name="Total 3 3 11" xfId="41084"/>
    <cellStyle name="Total 3 3 12" xfId="41085"/>
    <cellStyle name="Total 3 3 2" xfId="915"/>
    <cellStyle name="Total 3 3 2 2" xfId="41086"/>
    <cellStyle name="Total 3 3 2 2 2" xfId="41087"/>
    <cellStyle name="Total 3 3 2 2 3" xfId="41088"/>
    <cellStyle name="Total 3 3 2 2 4" xfId="41089"/>
    <cellStyle name="Total 3 3 2 3" xfId="41090"/>
    <cellStyle name="Total 3 3 2 3 2" xfId="41091"/>
    <cellStyle name="Total 3 3 2 3 3" xfId="41092"/>
    <cellStyle name="Total 3 3 2 3 4" xfId="41093"/>
    <cellStyle name="Total 3 3 2 4" xfId="41094"/>
    <cellStyle name="Total 3 3 2 4 2" xfId="41095"/>
    <cellStyle name="Total 3 3 2 4 3" xfId="41096"/>
    <cellStyle name="Total 3 3 2 4 4" xfId="41097"/>
    <cellStyle name="Total 3 3 2 5" xfId="41098"/>
    <cellStyle name="Total 3 3 2 6" xfId="41099"/>
    <cellStyle name="Total 3 3 2 7" xfId="41100"/>
    <cellStyle name="Total 3 3 3" xfId="810"/>
    <cellStyle name="Total 3 3 3 2" xfId="41101"/>
    <cellStyle name="Total 3 3 3 2 2" xfId="41102"/>
    <cellStyle name="Total 3 3 3 2 3" xfId="41103"/>
    <cellStyle name="Total 3 3 3 2 4" xfId="41104"/>
    <cellStyle name="Total 3 3 3 3" xfId="41105"/>
    <cellStyle name="Total 3 3 3 3 2" xfId="41106"/>
    <cellStyle name="Total 3 3 3 3 3" xfId="41107"/>
    <cellStyle name="Total 3 3 3 3 4" xfId="41108"/>
    <cellStyle name="Total 3 3 3 4" xfId="41109"/>
    <cellStyle name="Total 3 3 3 4 2" xfId="41110"/>
    <cellStyle name="Total 3 3 3 4 3" xfId="41111"/>
    <cellStyle name="Total 3 3 3 4 4" xfId="41112"/>
    <cellStyle name="Total 3 3 3 5" xfId="41113"/>
    <cellStyle name="Total 3 3 3 6" xfId="41114"/>
    <cellStyle name="Total 3 3 3 7" xfId="41115"/>
    <cellStyle name="Total 3 3 4" xfId="985"/>
    <cellStyle name="Total 3 3 4 2" xfId="41116"/>
    <cellStyle name="Total 3 3 4 2 2" xfId="41117"/>
    <cellStyle name="Total 3 3 4 2 3" xfId="41118"/>
    <cellStyle name="Total 3 3 4 2 4" xfId="41119"/>
    <cellStyle name="Total 3 3 4 3" xfId="41120"/>
    <cellStyle name="Total 3 3 4 3 2" xfId="41121"/>
    <cellStyle name="Total 3 3 4 3 3" xfId="41122"/>
    <cellStyle name="Total 3 3 4 3 4" xfId="41123"/>
    <cellStyle name="Total 3 3 4 4" xfId="41124"/>
    <cellStyle name="Total 3 3 4 4 2" xfId="41125"/>
    <cellStyle name="Total 3 3 4 4 3" xfId="41126"/>
    <cellStyle name="Total 3 3 4 4 4" xfId="41127"/>
    <cellStyle name="Total 3 3 4 5" xfId="41128"/>
    <cellStyle name="Total 3 3 4 6" xfId="41129"/>
    <cellStyle name="Total 3 3 4 7" xfId="41130"/>
    <cellStyle name="Total 3 3 5" xfId="41131"/>
    <cellStyle name="Total 3 3 5 2" xfId="41132"/>
    <cellStyle name="Total 3 3 5 2 2" xfId="41133"/>
    <cellStyle name="Total 3 3 5 2 3" xfId="41134"/>
    <cellStyle name="Total 3 3 5 2 4" xfId="41135"/>
    <cellStyle name="Total 3 3 5 3" xfId="41136"/>
    <cellStyle name="Total 3 3 5 3 2" xfId="41137"/>
    <cellStyle name="Total 3 3 5 3 3" xfId="41138"/>
    <cellStyle name="Total 3 3 5 3 4" xfId="41139"/>
    <cellStyle name="Total 3 3 5 4" xfId="41140"/>
    <cellStyle name="Total 3 3 5 4 2" xfId="41141"/>
    <cellStyle name="Total 3 3 5 4 3" xfId="41142"/>
    <cellStyle name="Total 3 3 5 4 4" xfId="41143"/>
    <cellStyle name="Total 3 3 5 5" xfId="41144"/>
    <cellStyle name="Total 3 3 5 6" xfId="41145"/>
    <cellStyle name="Total 3 3 5 7" xfId="41146"/>
    <cellStyle name="Total 3 3 6" xfId="41147"/>
    <cellStyle name="Total 3 3 6 2" xfId="41148"/>
    <cellStyle name="Total 3 3 6 2 2" xfId="41149"/>
    <cellStyle name="Total 3 3 6 2 3" xfId="41150"/>
    <cellStyle name="Total 3 3 6 2 4" xfId="41151"/>
    <cellStyle name="Total 3 3 6 3" xfId="41152"/>
    <cellStyle name="Total 3 3 6 3 2" xfId="41153"/>
    <cellStyle name="Total 3 3 6 3 3" xfId="41154"/>
    <cellStyle name="Total 3 3 6 3 4" xfId="41155"/>
    <cellStyle name="Total 3 3 6 4" xfId="41156"/>
    <cellStyle name="Total 3 3 6 4 2" xfId="41157"/>
    <cellStyle name="Total 3 3 6 4 3" xfId="41158"/>
    <cellStyle name="Total 3 3 6 4 4" xfId="41159"/>
    <cellStyle name="Total 3 3 6 5" xfId="41160"/>
    <cellStyle name="Total 3 3 6 6" xfId="41161"/>
    <cellStyle name="Total 3 3 6 7" xfId="41162"/>
    <cellStyle name="Total 3 3 7" xfId="41163"/>
    <cellStyle name="Total 3 3 7 2" xfId="41164"/>
    <cellStyle name="Total 3 3 7 3" xfId="41165"/>
    <cellStyle name="Total 3 3 7 4" xfId="41166"/>
    <cellStyle name="Total 3 3 8" xfId="41167"/>
    <cellStyle name="Total 3 3 8 2" xfId="41168"/>
    <cellStyle name="Total 3 3 8 3" xfId="41169"/>
    <cellStyle name="Total 3 3 8 4" xfId="41170"/>
    <cellStyle name="Total 3 3 9" xfId="41171"/>
    <cellStyle name="Total 3 3 9 2" xfId="41172"/>
    <cellStyle name="Total 3 3 9 3" xfId="41173"/>
    <cellStyle name="Total 3 3 9 4" xfId="41174"/>
    <cellStyle name="Total 3 4" xfId="1097"/>
    <cellStyle name="Total 3 5" xfId="3178"/>
    <cellStyle name="Total 3 6" xfId="1143"/>
    <cellStyle name="Total 3 7" xfId="3166"/>
    <cellStyle name="Total 3 8" xfId="3280"/>
    <cellStyle name="Total 4" xfId="321"/>
    <cellStyle name="Total 4 2" xfId="662"/>
    <cellStyle name="Total 4 2 10" xfId="41175"/>
    <cellStyle name="Total 4 2 10 2" xfId="41176"/>
    <cellStyle name="Total 4 2 10 2 2" xfId="41177"/>
    <cellStyle name="Total 4 2 10 2 3" xfId="41178"/>
    <cellStyle name="Total 4 2 10 2 4" xfId="41179"/>
    <cellStyle name="Total 4 2 10 3" xfId="41180"/>
    <cellStyle name="Total 4 2 10 3 2" xfId="41181"/>
    <cellStyle name="Total 4 2 10 3 3" xfId="41182"/>
    <cellStyle name="Total 4 2 10 3 4" xfId="41183"/>
    <cellStyle name="Total 4 2 10 4" xfId="41184"/>
    <cellStyle name="Total 4 2 10 4 2" xfId="41185"/>
    <cellStyle name="Total 4 2 10 4 3" xfId="41186"/>
    <cellStyle name="Total 4 2 10 4 4" xfId="41187"/>
    <cellStyle name="Total 4 2 10 5" xfId="41188"/>
    <cellStyle name="Total 4 2 10 6" xfId="41189"/>
    <cellStyle name="Total 4 2 10 7" xfId="41190"/>
    <cellStyle name="Total 4 2 11" xfId="41191"/>
    <cellStyle name="Total 4 2 11 2" xfId="41192"/>
    <cellStyle name="Total 4 2 11 2 2" xfId="41193"/>
    <cellStyle name="Total 4 2 11 2 3" xfId="41194"/>
    <cellStyle name="Total 4 2 11 2 4" xfId="41195"/>
    <cellStyle name="Total 4 2 11 3" xfId="41196"/>
    <cellStyle name="Total 4 2 11 3 2" xfId="41197"/>
    <cellStyle name="Total 4 2 11 3 3" xfId="41198"/>
    <cellStyle name="Total 4 2 11 3 4" xfId="41199"/>
    <cellStyle name="Total 4 2 11 4" xfId="41200"/>
    <cellStyle name="Total 4 2 11 4 2" xfId="41201"/>
    <cellStyle name="Total 4 2 11 4 3" xfId="41202"/>
    <cellStyle name="Total 4 2 11 4 4" xfId="41203"/>
    <cellStyle name="Total 4 2 11 5" xfId="41204"/>
    <cellStyle name="Total 4 2 11 6" xfId="41205"/>
    <cellStyle name="Total 4 2 11 7" xfId="41206"/>
    <cellStyle name="Total 4 2 12" xfId="41207"/>
    <cellStyle name="Total 4 2 12 2" xfId="41208"/>
    <cellStyle name="Total 4 2 12 2 2" xfId="41209"/>
    <cellStyle name="Total 4 2 12 2 3" xfId="41210"/>
    <cellStyle name="Total 4 2 12 2 4" xfId="41211"/>
    <cellStyle name="Total 4 2 12 3" xfId="41212"/>
    <cellStyle name="Total 4 2 12 3 2" xfId="41213"/>
    <cellStyle name="Total 4 2 12 3 3" xfId="41214"/>
    <cellStyle name="Total 4 2 12 3 4" xfId="41215"/>
    <cellStyle name="Total 4 2 12 4" xfId="41216"/>
    <cellStyle name="Total 4 2 12 4 2" xfId="41217"/>
    <cellStyle name="Total 4 2 12 4 3" xfId="41218"/>
    <cellStyle name="Total 4 2 12 4 4" xfId="41219"/>
    <cellStyle name="Total 4 2 12 5" xfId="41220"/>
    <cellStyle name="Total 4 2 12 6" xfId="41221"/>
    <cellStyle name="Total 4 2 12 7" xfId="41222"/>
    <cellStyle name="Total 4 2 13" xfId="41223"/>
    <cellStyle name="Total 4 2 13 2" xfId="41224"/>
    <cellStyle name="Total 4 2 13 2 2" xfId="41225"/>
    <cellStyle name="Total 4 2 13 2 3" xfId="41226"/>
    <cellStyle name="Total 4 2 13 2 4" xfId="41227"/>
    <cellStyle name="Total 4 2 13 3" xfId="41228"/>
    <cellStyle name="Total 4 2 13 3 2" xfId="41229"/>
    <cellStyle name="Total 4 2 13 3 3" xfId="41230"/>
    <cellStyle name="Total 4 2 13 3 4" xfId="41231"/>
    <cellStyle name="Total 4 2 13 4" xfId="41232"/>
    <cellStyle name="Total 4 2 13 4 2" xfId="41233"/>
    <cellStyle name="Total 4 2 13 4 3" xfId="41234"/>
    <cellStyle name="Total 4 2 13 4 4" xfId="41235"/>
    <cellStyle name="Total 4 2 13 5" xfId="41236"/>
    <cellStyle name="Total 4 2 13 6" xfId="41237"/>
    <cellStyle name="Total 4 2 13 7" xfId="41238"/>
    <cellStyle name="Total 4 2 14" xfId="41239"/>
    <cellStyle name="Total 4 2 14 2" xfId="41240"/>
    <cellStyle name="Total 4 2 14 3" xfId="41241"/>
    <cellStyle name="Total 4 2 14 4" xfId="41242"/>
    <cellStyle name="Total 4 2 15" xfId="41243"/>
    <cellStyle name="Total 4 2 15 2" xfId="41244"/>
    <cellStyle name="Total 4 2 15 3" xfId="41245"/>
    <cellStyle name="Total 4 2 15 4" xfId="41246"/>
    <cellStyle name="Total 4 2 16" xfId="41247"/>
    <cellStyle name="Total 4 2 16 2" xfId="41248"/>
    <cellStyle name="Total 4 2 16 3" xfId="41249"/>
    <cellStyle name="Total 4 2 16 4" xfId="41250"/>
    <cellStyle name="Total 4 2 17" xfId="41251"/>
    <cellStyle name="Total 4 2 18" xfId="41252"/>
    <cellStyle name="Total 4 2 19" xfId="41253"/>
    <cellStyle name="Total 4 2 2" xfId="916"/>
    <cellStyle name="Total 4 2 2 10" xfId="41254"/>
    <cellStyle name="Total 4 2 2 11" xfId="41255"/>
    <cellStyle name="Total 4 2 2 12" xfId="41256"/>
    <cellStyle name="Total 4 2 2 2" xfId="41257"/>
    <cellStyle name="Total 4 2 2 2 2" xfId="41258"/>
    <cellStyle name="Total 4 2 2 2 2 2" xfId="41259"/>
    <cellStyle name="Total 4 2 2 2 2 3" xfId="41260"/>
    <cellStyle name="Total 4 2 2 2 2 4" xfId="41261"/>
    <cellStyle name="Total 4 2 2 2 3" xfId="41262"/>
    <cellStyle name="Total 4 2 2 2 3 2" xfId="41263"/>
    <cellStyle name="Total 4 2 2 2 3 3" xfId="41264"/>
    <cellStyle name="Total 4 2 2 2 3 4" xfId="41265"/>
    <cellStyle name="Total 4 2 2 2 4" xfId="41266"/>
    <cellStyle name="Total 4 2 2 2 4 2" xfId="41267"/>
    <cellStyle name="Total 4 2 2 2 4 3" xfId="41268"/>
    <cellStyle name="Total 4 2 2 2 4 4" xfId="41269"/>
    <cellStyle name="Total 4 2 2 2 5" xfId="41270"/>
    <cellStyle name="Total 4 2 2 2 6" xfId="41271"/>
    <cellStyle name="Total 4 2 2 2 7" xfId="41272"/>
    <cellStyle name="Total 4 2 2 3" xfId="41273"/>
    <cellStyle name="Total 4 2 2 3 2" xfId="41274"/>
    <cellStyle name="Total 4 2 2 3 2 2" xfId="41275"/>
    <cellStyle name="Total 4 2 2 3 2 3" xfId="41276"/>
    <cellStyle name="Total 4 2 2 3 2 4" xfId="41277"/>
    <cellStyle name="Total 4 2 2 3 3" xfId="41278"/>
    <cellStyle name="Total 4 2 2 3 3 2" xfId="41279"/>
    <cellStyle name="Total 4 2 2 3 3 3" xfId="41280"/>
    <cellStyle name="Total 4 2 2 3 3 4" xfId="41281"/>
    <cellStyle name="Total 4 2 2 3 4" xfId="41282"/>
    <cellStyle name="Total 4 2 2 3 4 2" xfId="41283"/>
    <cellStyle name="Total 4 2 2 3 4 3" xfId="41284"/>
    <cellStyle name="Total 4 2 2 3 4 4" xfId="41285"/>
    <cellStyle name="Total 4 2 2 3 5" xfId="41286"/>
    <cellStyle name="Total 4 2 2 3 6" xfId="41287"/>
    <cellStyle name="Total 4 2 2 3 7" xfId="41288"/>
    <cellStyle name="Total 4 2 2 4" xfId="41289"/>
    <cellStyle name="Total 4 2 2 4 2" xfId="41290"/>
    <cellStyle name="Total 4 2 2 4 2 2" xfId="41291"/>
    <cellStyle name="Total 4 2 2 4 2 3" xfId="41292"/>
    <cellStyle name="Total 4 2 2 4 2 4" xfId="41293"/>
    <cellStyle name="Total 4 2 2 4 3" xfId="41294"/>
    <cellStyle name="Total 4 2 2 4 3 2" xfId="41295"/>
    <cellStyle name="Total 4 2 2 4 3 3" xfId="41296"/>
    <cellStyle name="Total 4 2 2 4 3 4" xfId="41297"/>
    <cellStyle name="Total 4 2 2 4 4" xfId="41298"/>
    <cellStyle name="Total 4 2 2 4 4 2" xfId="41299"/>
    <cellStyle name="Total 4 2 2 4 4 3" xfId="41300"/>
    <cellStyle name="Total 4 2 2 4 4 4" xfId="41301"/>
    <cellStyle name="Total 4 2 2 4 5" xfId="41302"/>
    <cellStyle name="Total 4 2 2 4 6" xfId="41303"/>
    <cellStyle name="Total 4 2 2 4 7" xfId="41304"/>
    <cellStyle name="Total 4 2 2 5" xfId="41305"/>
    <cellStyle name="Total 4 2 2 5 2" xfId="41306"/>
    <cellStyle name="Total 4 2 2 5 2 2" xfId="41307"/>
    <cellStyle name="Total 4 2 2 5 2 3" xfId="41308"/>
    <cellStyle name="Total 4 2 2 5 2 4" xfId="41309"/>
    <cellStyle name="Total 4 2 2 5 3" xfId="41310"/>
    <cellStyle name="Total 4 2 2 5 3 2" xfId="41311"/>
    <cellStyle name="Total 4 2 2 5 3 3" xfId="41312"/>
    <cellStyle name="Total 4 2 2 5 3 4" xfId="41313"/>
    <cellStyle name="Total 4 2 2 5 4" xfId="41314"/>
    <cellStyle name="Total 4 2 2 5 4 2" xfId="41315"/>
    <cellStyle name="Total 4 2 2 5 4 3" xfId="41316"/>
    <cellStyle name="Total 4 2 2 5 4 4" xfId="41317"/>
    <cellStyle name="Total 4 2 2 5 5" xfId="41318"/>
    <cellStyle name="Total 4 2 2 5 6" xfId="41319"/>
    <cellStyle name="Total 4 2 2 5 7" xfId="41320"/>
    <cellStyle name="Total 4 2 2 6" xfId="41321"/>
    <cellStyle name="Total 4 2 2 6 2" xfId="41322"/>
    <cellStyle name="Total 4 2 2 6 2 2" xfId="41323"/>
    <cellStyle name="Total 4 2 2 6 2 3" xfId="41324"/>
    <cellStyle name="Total 4 2 2 6 2 4" xfId="41325"/>
    <cellStyle name="Total 4 2 2 6 3" xfId="41326"/>
    <cellStyle name="Total 4 2 2 6 3 2" xfId="41327"/>
    <cellStyle name="Total 4 2 2 6 3 3" xfId="41328"/>
    <cellStyle name="Total 4 2 2 6 3 4" xfId="41329"/>
    <cellStyle name="Total 4 2 2 6 4" xfId="41330"/>
    <cellStyle name="Total 4 2 2 6 4 2" xfId="41331"/>
    <cellStyle name="Total 4 2 2 6 4 3" xfId="41332"/>
    <cellStyle name="Total 4 2 2 6 4 4" xfId="41333"/>
    <cellStyle name="Total 4 2 2 6 5" xfId="41334"/>
    <cellStyle name="Total 4 2 2 6 6" xfId="41335"/>
    <cellStyle name="Total 4 2 2 6 7" xfId="41336"/>
    <cellStyle name="Total 4 2 2 7" xfId="41337"/>
    <cellStyle name="Total 4 2 2 7 2" xfId="41338"/>
    <cellStyle name="Total 4 2 2 7 3" xfId="41339"/>
    <cellStyle name="Total 4 2 2 7 4" xfId="41340"/>
    <cellStyle name="Total 4 2 2 8" xfId="41341"/>
    <cellStyle name="Total 4 2 2 8 2" xfId="41342"/>
    <cellStyle name="Total 4 2 2 8 3" xfId="41343"/>
    <cellStyle name="Total 4 2 2 8 4" xfId="41344"/>
    <cellStyle name="Total 4 2 2 9" xfId="41345"/>
    <cellStyle name="Total 4 2 2 9 2" xfId="41346"/>
    <cellStyle name="Total 4 2 2 9 3" xfId="41347"/>
    <cellStyle name="Total 4 2 2 9 4" xfId="41348"/>
    <cellStyle name="Total 4 2 3" xfId="936"/>
    <cellStyle name="Total 4 2 3 10" xfId="41349"/>
    <cellStyle name="Total 4 2 3 11" xfId="41350"/>
    <cellStyle name="Total 4 2 3 12" xfId="41351"/>
    <cellStyle name="Total 4 2 3 2" xfId="41352"/>
    <cellStyle name="Total 4 2 3 2 2" xfId="41353"/>
    <cellStyle name="Total 4 2 3 2 2 2" xfId="41354"/>
    <cellStyle name="Total 4 2 3 2 2 3" xfId="41355"/>
    <cellStyle name="Total 4 2 3 2 2 4" xfId="41356"/>
    <cellStyle name="Total 4 2 3 2 3" xfId="41357"/>
    <cellStyle name="Total 4 2 3 2 3 2" xfId="41358"/>
    <cellStyle name="Total 4 2 3 2 3 3" xfId="41359"/>
    <cellStyle name="Total 4 2 3 2 3 4" xfId="41360"/>
    <cellStyle name="Total 4 2 3 2 4" xfId="41361"/>
    <cellStyle name="Total 4 2 3 2 4 2" xfId="41362"/>
    <cellStyle name="Total 4 2 3 2 4 3" xfId="41363"/>
    <cellStyle name="Total 4 2 3 2 4 4" xfId="41364"/>
    <cellStyle name="Total 4 2 3 2 5" xfId="41365"/>
    <cellStyle name="Total 4 2 3 2 6" xfId="41366"/>
    <cellStyle name="Total 4 2 3 2 7" xfId="41367"/>
    <cellStyle name="Total 4 2 3 3" xfId="41368"/>
    <cellStyle name="Total 4 2 3 3 2" xfId="41369"/>
    <cellStyle name="Total 4 2 3 3 2 2" xfId="41370"/>
    <cellStyle name="Total 4 2 3 3 2 3" xfId="41371"/>
    <cellStyle name="Total 4 2 3 3 2 4" xfId="41372"/>
    <cellStyle name="Total 4 2 3 3 3" xfId="41373"/>
    <cellStyle name="Total 4 2 3 3 3 2" xfId="41374"/>
    <cellStyle name="Total 4 2 3 3 3 3" xfId="41375"/>
    <cellStyle name="Total 4 2 3 3 3 4" xfId="41376"/>
    <cellStyle name="Total 4 2 3 3 4" xfId="41377"/>
    <cellStyle name="Total 4 2 3 3 4 2" xfId="41378"/>
    <cellStyle name="Total 4 2 3 3 4 3" xfId="41379"/>
    <cellStyle name="Total 4 2 3 3 4 4" xfId="41380"/>
    <cellStyle name="Total 4 2 3 3 5" xfId="41381"/>
    <cellStyle name="Total 4 2 3 3 6" xfId="41382"/>
    <cellStyle name="Total 4 2 3 3 7" xfId="41383"/>
    <cellStyle name="Total 4 2 3 4" xfId="41384"/>
    <cellStyle name="Total 4 2 3 4 2" xfId="41385"/>
    <cellStyle name="Total 4 2 3 4 2 2" xfId="41386"/>
    <cellStyle name="Total 4 2 3 4 2 3" xfId="41387"/>
    <cellStyle name="Total 4 2 3 4 2 4" xfId="41388"/>
    <cellStyle name="Total 4 2 3 4 3" xfId="41389"/>
    <cellStyle name="Total 4 2 3 4 3 2" xfId="41390"/>
    <cellStyle name="Total 4 2 3 4 3 3" xfId="41391"/>
    <cellStyle name="Total 4 2 3 4 3 4" xfId="41392"/>
    <cellStyle name="Total 4 2 3 4 4" xfId="41393"/>
    <cellStyle name="Total 4 2 3 4 4 2" xfId="41394"/>
    <cellStyle name="Total 4 2 3 4 4 3" xfId="41395"/>
    <cellStyle name="Total 4 2 3 4 4 4" xfId="41396"/>
    <cellStyle name="Total 4 2 3 4 5" xfId="41397"/>
    <cellStyle name="Total 4 2 3 4 6" xfId="41398"/>
    <cellStyle name="Total 4 2 3 4 7" xfId="41399"/>
    <cellStyle name="Total 4 2 3 5" xfId="41400"/>
    <cellStyle name="Total 4 2 3 5 2" xfId="41401"/>
    <cellStyle name="Total 4 2 3 5 2 2" xfId="41402"/>
    <cellStyle name="Total 4 2 3 5 2 3" xfId="41403"/>
    <cellStyle name="Total 4 2 3 5 2 4" xfId="41404"/>
    <cellStyle name="Total 4 2 3 5 3" xfId="41405"/>
    <cellStyle name="Total 4 2 3 5 3 2" xfId="41406"/>
    <cellStyle name="Total 4 2 3 5 3 3" xfId="41407"/>
    <cellStyle name="Total 4 2 3 5 3 4" xfId="41408"/>
    <cellStyle name="Total 4 2 3 5 4" xfId="41409"/>
    <cellStyle name="Total 4 2 3 5 4 2" xfId="41410"/>
    <cellStyle name="Total 4 2 3 5 4 3" xfId="41411"/>
    <cellStyle name="Total 4 2 3 5 4 4" xfId="41412"/>
    <cellStyle name="Total 4 2 3 5 5" xfId="41413"/>
    <cellStyle name="Total 4 2 3 5 6" xfId="41414"/>
    <cellStyle name="Total 4 2 3 5 7" xfId="41415"/>
    <cellStyle name="Total 4 2 3 6" xfId="41416"/>
    <cellStyle name="Total 4 2 3 6 2" xfId="41417"/>
    <cellStyle name="Total 4 2 3 6 2 2" xfId="41418"/>
    <cellStyle name="Total 4 2 3 6 2 3" xfId="41419"/>
    <cellStyle name="Total 4 2 3 6 2 4" xfId="41420"/>
    <cellStyle name="Total 4 2 3 6 3" xfId="41421"/>
    <cellStyle name="Total 4 2 3 6 3 2" xfId="41422"/>
    <cellStyle name="Total 4 2 3 6 3 3" xfId="41423"/>
    <cellStyle name="Total 4 2 3 6 3 4" xfId="41424"/>
    <cellStyle name="Total 4 2 3 6 4" xfId="41425"/>
    <cellStyle name="Total 4 2 3 6 4 2" xfId="41426"/>
    <cellStyle name="Total 4 2 3 6 4 3" xfId="41427"/>
    <cellStyle name="Total 4 2 3 6 4 4" xfId="41428"/>
    <cellStyle name="Total 4 2 3 6 5" xfId="41429"/>
    <cellStyle name="Total 4 2 3 6 6" xfId="41430"/>
    <cellStyle name="Total 4 2 3 6 7" xfId="41431"/>
    <cellStyle name="Total 4 2 3 7" xfId="41432"/>
    <cellStyle name="Total 4 2 3 7 2" xfId="41433"/>
    <cellStyle name="Total 4 2 3 7 3" xfId="41434"/>
    <cellStyle name="Total 4 2 3 7 4" xfId="41435"/>
    <cellStyle name="Total 4 2 3 8" xfId="41436"/>
    <cellStyle name="Total 4 2 3 8 2" xfId="41437"/>
    <cellStyle name="Total 4 2 3 8 3" xfId="41438"/>
    <cellStyle name="Total 4 2 3 8 4" xfId="41439"/>
    <cellStyle name="Total 4 2 3 9" xfId="41440"/>
    <cellStyle name="Total 4 2 3 9 2" xfId="41441"/>
    <cellStyle name="Total 4 2 3 9 3" xfId="41442"/>
    <cellStyle name="Total 4 2 3 9 4" xfId="41443"/>
    <cellStyle name="Total 4 2 4" xfId="986"/>
    <cellStyle name="Total 4 2 4 10" xfId="41444"/>
    <cellStyle name="Total 4 2 4 11" xfId="41445"/>
    <cellStyle name="Total 4 2 4 12" xfId="41446"/>
    <cellStyle name="Total 4 2 4 2" xfId="41447"/>
    <cellStyle name="Total 4 2 4 2 2" xfId="41448"/>
    <cellStyle name="Total 4 2 4 2 2 2" xfId="41449"/>
    <cellStyle name="Total 4 2 4 2 2 3" xfId="41450"/>
    <cellStyle name="Total 4 2 4 2 2 4" xfId="41451"/>
    <cellStyle name="Total 4 2 4 2 3" xfId="41452"/>
    <cellStyle name="Total 4 2 4 2 3 2" xfId="41453"/>
    <cellStyle name="Total 4 2 4 2 3 3" xfId="41454"/>
    <cellStyle name="Total 4 2 4 2 3 4" xfId="41455"/>
    <cellStyle name="Total 4 2 4 2 4" xfId="41456"/>
    <cellStyle name="Total 4 2 4 2 4 2" xfId="41457"/>
    <cellStyle name="Total 4 2 4 2 4 3" xfId="41458"/>
    <cellStyle name="Total 4 2 4 2 4 4" xfId="41459"/>
    <cellStyle name="Total 4 2 4 2 5" xfId="41460"/>
    <cellStyle name="Total 4 2 4 2 6" xfId="41461"/>
    <cellStyle name="Total 4 2 4 2 7" xfId="41462"/>
    <cellStyle name="Total 4 2 4 3" xfId="41463"/>
    <cellStyle name="Total 4 2 4 3 2" xfId="41464"/>
    <cellStyle name="Total 4 2 4 3 2 2" xfId="41465"/>
    <cellStyle name="Total 4 2 4 3 2 3" xfId="41466"/>
    <cellStyle name="Total 4 2 4 3 2 4" xfId="41467"/>
    <cellStyle name="Total 4 2 4 3 3" xfId="41468"/>
    <cellStyle name="Total 4 2 4 3 3 2" xfId="41469"/>
    <cellStyle name="Total 4 2 4 3 3 3" xfId="41470"/>
    <cellStyle name="Total 4 2 4 3 3 4" xfId="41471"/>
    <cellStyle name="Total 4 2 4 3 4" xfId="41472"/>
    <cellStyle name="Total 4 2 4 3 4 2" xfId="41473"/>
    <cellStyle name="Total 4 2 4 3 4 3" xfId="41474"/>
    <cellStyle name="Total 4 2 4 3 4 4" xfId="41475"/>
    <cellStyle name="Total 4 2 4 3 5" xfId="41476"/>
    <cellStyle name="Total 4 2 4 3 6" xfId="41477"/>
    <cellStyle name="Total 4 2 4 3 7" xfId="41478"/>
    <cellStyle name="Total 4 2 4 4" xfId="41479"/>
    <cellStyle name="Total 4 2 4 4 2" xfId="41480"/>
    <cellStyle name="Total 4 2 4 4 2 2" xfId="41481"/>
    <cellStyle name="Total 4 2 4 4 2 3" xfId="41482"/>
    <cellStyle name="Total 4 2 4 4 2 4" xfId="41483"/>
    <cellStyle name="Total 4 2 4 4 3" xfId="41484"/>
    <cellStyle name="Total 4 2 4 4 3 2" xfId="41485"/>
    <cellStyle name="Total 4 2 4 4 3 3" xfId="41486"/>
    <cellStyle name="Total 4 2 4 4 3 4" xfId="41487"/>
    <cellStyle name="Total 4 2 4 4 4" xfId="41488"/>
    <cellStyle name="Total 4 2 4 4 4 2" xfId="41489"/>
    <cellStyle name="Total 4 2 4 4 4 3" xfId="41490"/>
    <cellStyle name="Total 4 2 4 4 4 4" xfId="41491"/>
    <cellStyle name="Total 4 2 4 4 5" xfId="41492"/>
    <cellStyle name="Total 4 2 4 4 6" xfId="41493"/>
    <cellStyle name="Total 4 2 4 4 7" xfId="41494"/>
    <cellStyle name="Total 4 2 4 5" xfId="41495"/>
    <cellStyle name="Total 4 2 4 5 2" xfId="41496"/>
    <cellStyle name="Total 4 2 4 5 2 2" xfId="41497"/>
    <cellStyle name="Total 4 2 4 5 2 3" xfId="41498"/>
    <cellStyle name="Total 4 2 4 5 2 4" xfId="41499"/>
    <cellStyle name="Total 4 2 4 5 3" xfId="41500"/>
    <cellStyle name="Total 4 2 4 5 3 2" xfId="41501"/>
    <cellStyle name="Total 4 2 4 5 3 3" xfId="41502"/>
    <cellStyle name="Total 4 2 4 5 3 4" xfId="41503"/>
    <cellStyle name="Total 4 2 4 5 4" xfId="41504"/>
    <cellStyle name="Total 4 2 4 5 4 2" xfId="41505"/>
    <cellStyle name="Total 4 2 4 5 4 3" xfId="41506"/>
    <cellStyle name="Total 4 2 4 5 4 4" xfId="41507"/>
    <cellStyle name="Total 4 2 4 5 5" xfId="41508"/>
    <cellStyle name="Total 4 2 4 5 6" xfId="41509"/>
    <cellStyle name="Total 4 2 4 5 7" xfId="41510"/>
    <cellStyle name="Total 4 2 4 6" xfId="41511"/>
    <cellStyle name="Total 4 2 4 6 2" xfId="41512"/>
    <cellStyle name="Total 4 2 4 6 2 2" xfId="41513"/>
    <cellStyle name="Total 4 2 4 6 2 3" xfId="41514"/>
    <cellStyle name="Total 4 2 4 6 2 4" xfId="41515"/>
    <cellStyle name="Total 4 2 4 6 3" xfId="41516"/>
    <cellStyle name="Total 4 2 4 6 3 2" xfId="41517"/>
    <cellStyle name="Total 4 2 4 6 3 3" xfId="41518"/>
    <cellStyle name="Total 4 2 4 6 3 4" xfId="41519"/>
    <cellStyle name="Total 4 2 4 6 4" xfId="41520"/>
    <cellStyle name="Total 4 2 4 6 4 2" xfId="41521"/>
    <cellStyle name="Total 4 2 4 6 4 3" xfId="41522"/>
    <cellStyle name="Total 4 2 4 6 4 4" xfId="41523"/>
    <cellStyle name="Total 4 2 4 6 5" xfId="41524"/>
    <cellStyle name="Total 4 2 4 6 6" xfId="41525"/>
    <cellStyle name="Total 4 2 4 6 7" xfId="41526"/>
    <cellStyle name="Total 4 2 4 7" xfId="41527"/>
    <cellStyle name="Total 4 2 4 7 2" xfId="41528"/>
    <cellStyle name="Total 4 2 4 7 3" xfId="41529"/>
    <cellStyle name="Total 4 2 4 7 4" xfId="41530"/>
    <cellStyle name="Total 4 2 4 8" xfId="41531"/>
    <cellStyle name="Total 4 2 4 8 2" xfId="41532"/>
    <cellStyle name="Total 4 2 4 8 3" xfId="41533"/>
    <cellStyle name="Total 4 2 4 8 4" xfId="41534"/>
    <cellStyle name="Total 4 2 4 9" xfId="41535"/>
    <cellStyle name="Total 4 2 4 9 2" xfId="41536"/>
    <cellStyle name="Total 4 2 4 9 3" xfId="41537"/>
    <cellStyle name="Total 4 2 4 9 4" xfId="41538"/>
    <cellStyle name="Total 4 2 5" xfId="41539"/>
    <cellStyle name="Total 4 2 5 10" xfId="41540"/>
    <cellStyle name="Total 4 2 5 11" xfId="41541"/>
    <cellStyle name="Total 4 2 5 12" xfId="41542"/>
    <cellStyle name="Total 4 2 5 2" xfId="41543"/>
    <cellStyle name="Total 4 2 5 2 2" xfId="41544"/>
    <cellStyle name="Total 4 2 5 2 2 2" xfId="41545"/>
    <cellStyle name="Total 4 2 5 2 2 3" xfId="41546"/>
    <cellStyle name="Total 4 2 5 2 2 4" xfId="41547"/>
    <cellStyle name="Total 4 2 5 2 3" xfId="41548"/>
    <cellStyle name="Total 4 2 5 2 3 2" xfId="41549"/>
    <cellStyle name="Total 4 2 5 2 3 3" xfId="41550"/>
    <cellStyle name="Total 4 2 5 2 3 4" xfId="41551"/>
    <cellStyle name="Total 4 2 5 2 4" xfId="41552"/>
    <cellStyle name="Total 4 2 5 2 4 2" xfId="41553"/>
    <cellStyle name="Total 4 2 5 2 4 3" xfId="41554"/>
    <cellStyle name="Total 4 2 5 2 4 4" xfId="41555"/>
    <cellStyle name="Total 4 2 5 2 5" xfId="41556"/>
    <cellStyle name="Total 4 2 5 2 6" xfId="41557"/>
    <cellStyle name="Total 4 2 5 2 7" xfId="41558"/>
    <cellStyle name="Total 4 2 5 3" xfId="41559"/>
    <cellStyle name="Total 4 2 5 3 2" xfId="41560"/>
    <cellStyle name="Total 4 2 5 3 2 2" xfId="41561"/>
    <cellStyle name="Total 4 2 5 3 2 3" xfId="41562"/>
    <cellStyle name="Total 4 2 5 3 2 4" xfId="41563"/>
    <cellStyle name="Total 4 2 5 3 3" xfId="41564"/>
    <cellStyle name="Total 4 2 5 3 3 2" xfId="41565"/>
    <cellStyle name="Total 4 2 5 3 3 3" xfId="41566"/>
    <cellStyle name="Total 4 2 5 3 3 4" xfId="41567"/>
    <cellStyle name="Total 4 2 5 3 4" xfId="41568"/>
    <cellStyle name="Total 4 2 5 3 4 2" xfId="41569"/>
    <cellStyle name="Total 4 2 5 3 4 3" xfId="41570"/>
    <cellStyle name="Total 4 2 5 3 4 4" xfId="41571"/>
    <cellStyle name="Total 4 2 5 3 5" xfId="41572"/>
    <cellStyle name="Total 4 2 5 3 6" xfId="41573"/>
    <cellStyle name="Total 4 2 5 3 7" xfId="41574"/>
    <cellStyle name="Total 4 2 5 4" xfId="41575"/>
    <cellStyle name="Total 4 2 5 4 2" xfId="41576"/>
    <cellStyle name="Total 4 2 5 4 2 2" xfId="41577"/>
    <cellStyle name="Total 4 2 5 4 2 3" xfId="41578"/>
    <cellStyle name="Total 4 2 5 4 2 4" xfId="41579"/>
    <cellStyle name="Total 4 2 5 4 3" xfId="41580"/>
    <cellStyle name="Total 4 2 5 4 3 2" xfId="41581"/>
    <cellStyle name="Total 4 2 5 4 3 3" xfId="41582"/>
    <cellStyle name="Total 4 2 5 4 3 4" xfId="41583"/>
    <cellStyle name="Total 4 2 5 4 4" xfId="41584"/>
    <cellStyle name="Total 4 2 5 4 4 2" xfId="41585"/>
    <cellStyle name="Total 4 2 5 4 4 3" xfId="41586"/>
    <cellStyle name="Total 4 2 5 4 4 4" xfId="41587"/>
    <cellStyle name="Total 4 2 5 4 5" xfId="41588"/>
    <cellStyle name="Total 4 2 5 4 6" xfId="41589"/>
    <cellStyle name="Total 4 2 5 4 7" xfId="41590"/>
    <cellStyle name="Total 4 2 5 5" xfId="41591"/>
    <cellStyle name="Total 4 2 5 5 2" xfId="41592"/>
    <cellStyle name="Total 4 2 5 5 2 2" xfId="41593"/>
    <cellStyle name="Total 4 2 5 5 2 3" xfId="41594"/>
    <cellStyle name="Total 4 2 5 5 2 4" xfId="41595"/>
    <cellStyle name="Total 4 2 5 5 3" xfId="41596"/>
    <cellStyle name="Total 4 2 5 5 3 2" xfId="41597"/>
    <cellStyle name="Total 4 2 5 5 3 3" xfId="41598"/>
    <cellStyle name="Total 4 2 5 5 3 4" xfId="41599"/>
    <cellStyle name="Total 4 2 5 5 4" xfId="41600"/>
    <cellStyle name="Total 4 2 5 5 4 2" xfId="41601"/>
    <cellStyle name="Total 4 2 5 5 4 3" xfId="41602"/>
    <cellStyle name="Total 4 2 5 5 4 4" xfId="41603"/>
    <cellStyle name="Total 4 2 5 5 5" xfId="41604"/>
    <cellStyle name="Total 4 2 5 5 6" xfId="41605"/>
    <cellStyle name="Total 4 2 5 5 7" xfId="41606"/>
    <cellStyle name="Total 4 2 5 6" xfId="41607"/>
    <cellStyle name="Total 4 2 5 6 2" xfId="41608"/>
    <cellStyle name="Total 4 2 5 6 2 2" xfId="41609"/>
    <cellStyle name="Total 4 2 5 6 2 3" xfId="41610"/>
    <cellStyle name="Total 4 2 5 6 2 4" xfId="41611"/>
    <cellStyle name="Total 4 2 5 6 3" xfId="41612"/>
    <cellStyle name="Total 4 2 5 6 3 2" xfId="41613"/>
    <cellStyle name="Total 4 2 5 6 3 3" xfId="41614"/>
    <cellStyle name="Total 4 2 5 6 3 4" xfId="41615"/>
    <cellStyle name="Total 4 2 5 6 4" xfId="41616"/>
    <cellStyle name="Total 4 2 5 6 4 2" xfId="41617"/>
    <cellStyle name="Total 4 2 5 6 4 3" xfId="41618"/>
    <cellStyle name="Total 4 2 5 6 4 4" xfId="41619"/>
    <cellStyle name="Total 4 2 5 6 5" xfId="41620"/>
    <cellStyle name="Total 4 2 5 6 6" xfId="41621"/>
    <cellStyle name="Total 4 2 5 6 7" xfId="41622"/>
    <cellStyle name="Total 4 2 5 7" xfId="41623"/>
    <cellStyle name="Total 4 2 5 7 2" xfId="41624"/>
    <cellStyle name="Total 4 2 5 7 3" xfId="41625"/>
    <cellStyle name="Total 4 2 5 7 4" xfId="41626"/>
    <cellStyle name="Total 4 2 5 8" xfId="41627"/>
    <cellStyle name="Total 4 2 5 8 2" xfId="41628"/>
    <cellStyle name="Total 4 2 5 8 3" xfId="41629"/>
    <cellStyle name="Total 4 2 5 8 4" xfId="41630"/>
    <cellStyle name="Total 4 2 5 9" xfId="41631"/>
    <cellStyle name="Total 4 2 5 9 2" xfId="41632"/>
    <cellStyle name="Total 4 2 5 9 3" xfId="41633"/>
    <cellStyle name="Total 4 2 5 9 4" xfId="41634"/>
    <cellStyle name="Total 4 2 6" xfId="41635"/>
    <cellStyle name="Total 4 2 6 2" xfId="41636"/>
    <cellStyle name="Total 4 2 6 2 2" xfId="41637"/>
    <cellStyle name="Total 4 2 6 2 3" xfId="41638"/>
    <cellStyle name="Total 4 2 6 2 4" xfId="41639"/>
    <cellStyle name="Total 4 2 6 3" xfId="41640"/>
    <cellStyle name="Total 4 2 6 3 2" xfId="41641"/>
    <cellStyle name="Total 4 2 6 3 3" xfId="41642"/>
    <cellStyle name="Total 4 2 6 3 4" xfId="41643"/>
    <cellStyle name="Total 4 2 6 4" xfId="41644"/>
    <cellStyle name="Total 4 2 6 4 2" xfId="41645"/>
    <cellStyle name="Total 4 2 6 4 3" xfId="41646"/>
    <cellStyle name="Total 4 2 6 4 4" xfId="41647"/>
    <cellStyle name="Total 4 2 6 5" xfId="41648"/>
    <cellStyle name="Total 4 2 6 6" xfId="41649"/>
    <cellStyle name="Total 4 2 6 7" xfId="41650"/>
    <cellStyle name="Total 4 2 7" xfId="41651"/>
    <cellStyle name="Total 4 2 7 2" xfId="41652"/>
    <cellStyle name="Total 4 2 7 2 2" xfId="41653"/>
    <cellStyle name="Total 4 2 7 2 3" xfId="41654"/>
    <cellStyle name="Total 4 2 7 2 4" xfId="41655"/>
    <cellStyle name="Total 4 2 7 3" xfId="41656"/>
    <cellStyle name="Total 4 2 7 3 2" xfId="41657"/>
    <cellStyle name="Total 4 2 7 3 3" xfId="41658"/>
    <cellStyle name="Total 4 2 7 3 4" xfId="41659"/>
    <cellStyle name="Total 4 2 7 4" xfId="41660"/>
    <cellStyle name="Total 4 2 7 4 2" xfId="41661"/>
    <cellStyle name="Total 4 2 7 4 3" xfId="41662"/>
    <cellStyle name="Total 4 2 7 4 4" xfId="41663"/>
    <cellStyle name="Total 4 2 7 5" xfId="41664"/>
    <cellStyle name="Total 4 2 7 6" xfId="41665"/>
    <cellStyle name="Total 4 2 7 7" xfId="41666"/>
    <cellStyle name="Total 4 2 8" xfId="41667"/>
    <cellStyle name="Total 4 2 8 2" xfId="41668"/>
    <cellStyle name="Total 4 2 8 2 2" xfId="41669"/>
    <cellStyle name="Total 4 2 8 2 3" xfId="41670"/>
    <cellStyle name="Total 4 2 8 2 4" xfId="41671"/>
    <cellStyle name="Total 4 2 8 3" xfId="41672"/>
    <cellStyle name="Total 4 2 8 3 2" xfId="41673"/>
    <cellStyle name="Total 4 2 8 3 3" xfId="41674"/>
    <cellStyle name="Total 4 2 8 3 4" xfId="41675"/>
    <cellStyle name="Total 4 2 8 4" xfId="41676"/>
    <cellStyle name="Total 4 2 8 4 2" xfId="41677"/>
    <cellStyle name="Total 4 2 8 4 3" xfId="41678"/>
    <cellStyle name="Total 4 2 8 4 4" xfId="41679"/>
    <cellStyle name="Total 4 2 8 5" xfId="41680"/>
    <cellStyle name="Total 4 2 8 6" xfId="41681"/>
    <cellStyle name="Total 4 2 8 7" xfId="41682"/>
    <cellStyle name="Total 4 2 9" xfId="41683"/>
    <cellStyle name="Total 4 2 9 2" xfId="41684"/>
    <cellStyle name="Total 4 2 9 2 2" xfId="41685"/>
    <cellStyle name="Total 4 2 9 2 3" xfId="41686"/>
    <cellStyle name="Total 4 2 9 2 4" xfId="41687"/>
    <cellStyle name="Total 4 2 9 3" xfId="41688"/>
    <cellStyle name="Total 4 2 9 3 2" xfId="41689"/>
    <cellStyle name="Total 4 2 9 3 3" xfId="41690"/>
    <cellStyle name="Total 4 2 9 3 4" xfId="41691"/>
    <cellStyle name="Total 4 2 9 4" xfId="41692"/>
    <cellStyle name="Total 4 2 9 4 2" xfId="41693"/>
    <cellStyle name="Total 4 2 9 4 3" xfId="41694"/>
    <cellStyle name="Total 4 2 9 4 4" xfId="41695"/>
    <cellStyle name="Total 4 2 9 5" xfId="41696"/>
    <cellStyle name="Total 4 2 9 6" xfId="41697"/>
    <cellStyle name="Total 4 2 9 7" xfId="41698"/>
    <cellStyle name="Total 4 3" xfId="1171"/>
    <cellStyle name="Total 4 3 10" xfId="41699"/>
    <cellStyle name="Total 4 3 11" xfId="41700"/>
    <cellStyle name="Total 4 3 12" xfId="41701"/>
    <cellStyle name="Total 4 3 2" xfId="41702"/>
    <cellStyle name="Total 4 3 2 2" xfId="41703"/>
    <cellStyle name="Total 4 3 2 2 2" xfId="41704"/>
    <cellStyle name="Total 4 3 2 2 3" xfId="41705"/>
    <cellStyle name="Total 4 3 2 2 4" xfId="41706"/>
    <cellStyle name="Total 4 3 2 3" xfId="41707"/>
    <cellStyle name="Total 4 3 2 3 2" xfId="41708"/>
    <cellStyle name="Total 4 3 2 3 3" xfId="41709"/>
    <cellStyle name="Total 4 3 2 3 4" xfId="41710"/>
    <cellStyle name="Total 4 3 2 4" xfId="41711"/>
    <cellStyle name="Total 4 3 2 4 2" xfId="41712"/>
    <cellStyle name="Total 4 3 2 4 3" xfId="41713"/>
    <cellStyle name="Total 4 3 2 4 4" xfId="41714"/>
    <cellStyle name="Total 4 3 2 5" xfId="41715"/>
    <cellStyle name="Total 4 3 2 6" xfId="41716"/>
    <cellStyle name="Total 4 3 2 7" xfId="41717"/>
    <cellStyle name="Total 4 3 3" xfId="41718"/>
    <cellStyle name="Total 4 3 3 2" xfId="41719"/>
    <cellStyle name="Total 4 3 3 2 2" xfId="41720"/>
    <cellStyle name="Total 4 3 3 2 3" xfId="41721"/>
    <cellStyle name="Total 4 3 3 2 4" xfId="41722"/>
    <cellStyle name="Total 4 3 3 3" xfId="41723"/>
    <cellStyle name="Total 4 3 3 3 2" xfId="41724"/>
    <cellStyle name="Total 4 3 3 3 3" xfId="41725"/>
    <cellStyle name="Total 4 3 3 3 4" xfId="41726"/>
    <cellStyle name="Total 4 3 3 4" xfId="41727"/>
    <cellStyle name="Total 4 3 3 4 2" xfId="41728"/>
    <cellStyle name="Total 4 3 3 4 3" xfId="41729"/>
    <cellStyle name="Total 4 3 3 4 4" xfId="41730"/>
    <cellStyle name="Total 4 3 3 5" xfId="41731"/>
    <cellStyle name="Total 4 3 3 6" xfId="41732"/>
    <cellStyle name="Total 4 3 3 7" xfId="41733"/>
    <cellStyle name="Total 4 3 4" xfId="41734"/>
    <cellStyle name="Total 4 3 4 2" xfId="41735"/>
    <cellStyle name="Total 4 3 4 2 2" xfId="41736"/>
    <cellStyle name="Total 4 3 4 2 3" xfId="41737"/>
    <cellStyle name="Total 4 3 4 2 4" xfId="41738"/>
    <cellStyle name="Total 4 3 4 3" xfId="41739"/>
    <cellStyle name="Total 4 3 4 3 2" xfId="41740"/>
    <cellStyle name="Total 4 3 4 3 3" xfId="41741"/>
    <cellStyle name="Total 4 3 4 3 4" xfId="41742"/>
    <cellStyle name="Total 4 3 4 4" xfId="41743"/>
    <cellStyle name="Total 4 3 4 4 2" xfId="41744"/>
    <cellStyle name="Total 4 3 4 4 3" xfId="41745"/>
    <cellStyle name="Total 4 3 4 4 4" xfId="41746"/>
    <cellStyle name="Total 4 3 4 5" xfId="41747"/>
    <cellStyle name="Total 4 3 4 6" xfId="41748"/>
    <cellStyle name="Total 4 3 4 7" xfId="41749"/>
    <cellStyle name="Total 4 3 5" xfId="41750"/>
    <cellStyle name="Total 4 3 5 2" xfId="41751"/>
    <cellStyle name="Total 4 3 5 2 2" xfId="41752"/>
    <cellStyle name="Total 4 3 5 2 3" xfId="41753"/>
    <cellStyle name="Total 4 3 5 2 4" xfId="41754"/>
    <cellStyle name="Total 4 3 5 3" xfId="41755"/>
    <cellStyle name="Total 4 3 5 3 2" xfId="41756"/>
    <cellStyle name="Total 4 3 5 3 3" xfId="41757"/>
    <cellStyle name="Total 4 3 5 3 4" xfId="41758"/>
    <cellStyle name="Total 4 3 5 4" xfId="41759"/>
    <cellStyle name="Total 4 3 5 4 2" xfId="41760"/>
    <cellStyle name="Total 4 3 5 4 3" xfId="41761"/>
    <cellStyle name="Total 4 3 5 4 4" xfId="41762"/>
    <cellStyle name="Total 4 3 5 5" xfId="41763"/>
    <cellStyle name="Total 4 3 5 6" xfId="41764"/>
    <cellStyle name="Total 4 3 5 7" xfId="41765"/>
    <cellStyle name="Total 4 3 6" xfId="41766"/>
    <cellStyle name="Total 4 3 6 2" xfId="41767"/>
    <cellStyle name="Total 4 3 6 2 2" xfId="41768"/>
    <cellStyle name="Total 4 3 6 2 3" xfId="41769"/>
    <cellStyle name="Total 4 3 6 2 4" xfId="41770"/>
    <cellStyle name="Total 4 3 6 3" xfId="41771"/>
    <cellStyle name="Total 4 3 6 3 2" xfId="41772"/>
    <cellStyle name="Total 4 3 6 3 3" xfId="41773"/>
    <cellStyle name="Total 4 3 6 3 4" xfId="41774"/>
    <cellStyle name="Total 4 3 6 4" xfId="41775"/>
    <cellStyle name="Total 4 3 6 4 2" xfId="41776"/>
    <cellStyle name="Total 4 3 6 4 3" xfId="41777"/>
    <cellStyle name="Total 4 3 6 4 4" xfId="41778"/>
    <cellStyle name="Total 4 3 6 5" xfId="41779"/>
    <cellStyle name="Total 4 3 6 6" xfId="41780"/>
    <cellStyle name="Total 4 3 6 7" xfId="41781"/>
    <cellStyle name="Total 4 3 7" xfId="41782"/>
    <cellStyle name="Total 4 3 7 2" xfId="41783"/>
    <cellStyle name="Total 4 3 7 3" xfId="41784"/>
    <cellStyle name="Total 4 3 7 4" xfId="41785"/>
    <cellStyle name="Total 4 3 8" xfId="41786"/>
    <cellStyle name="Total 4 3 8 2" xfId="41787"/>
    <cellStyle name="Total 4 3 8 3" xfId="41788"/>
    <cellStyle name="Total 4 3 8 4" xfId="41789"/>
    <cellStyle name="Total 4 3 9" xfId="41790"/>
    <cellStyle name="Total 4 3 9 2" xfId="41791"/>
    <cellStyle name="Total 4 3 9 3" xfId="41792"/>
    <cellStyle name="Total 4 3 9 4" xfId="41793"/>
    <cellStyle name="Total 4 4" xfId="3245"/>
    <cellStyle name="Total 4 5" xfId="3301"/>
    <cellStyle name="Total 4 6" xfId="3314"/>
    <cellStyle name="Total 5" xfId="322"/>
    <cellStyle name="Total 5 2" xfId="663"/>
    <cellStyle name="Total 5 2 10" xfId="41794"/>
    <cellStyle name="Total 5 2 10 2" xfId="41795"/>
    <cellStyle name="Total 5 2 10 2 2" xfId="41796"/>
    <cellStyle name="Total 5 2 10 2 3" xfId="41797"/>
    <cellStyle name="Total 5 2 10 2 4" xfId="41798"/>
    <cellStyle name="Total 5 2 10 3" xfId="41799"/>
    <cellStyle name="Total 5 2 10 3 2" xfId="41800"/>
    <cellStyle name="Total 5 2 10 3 3" xfId="41801"/>
    <cellStyle name="Total 5 2 10 3 4" xfId="41802"/>
    <cellStyle name="Total 5 2 10 4" xfId="41803"/>
    <cellStyle name="Total 5 2 10 4 2" xfId="41804"/>
    <cellStyle name="Total 5 2 10 4 3" xfId="41805"/>
    <cellStyle name="Total 5 2 10 4 4" xfId="41806"/>
    <cellStyle name="Total 5 2 10 5" xfId="41807"/>
    <cellStyle name="Total 5 2 10 6" xfId="41808"/>
    <cellStyle name="Total 5 2 10 7" xfId="41809"/>
    <cellStyle name="Total 5 2 11" xfId="41810"/>
    <cellStyle name="Total 5 2 11 2" xfId="41811"/>
    <cellStyle name="Total 5 2 11 2 2" xfId="41812"/>
    <cellStyle name="Total 5 2 11 2 3" xfId="41813"/>
    <cellStyle name="Total 5 2 11 2 4" xfId="41814"/>
    <cellStyle name="Total 5 2 11 3" xfId="41815"/>
    <cellStyle name="Total 5 2 11 3 2" xfId="41816"/>
    <cellStyle name="Total 5 2 11 3 3" xfId="41817"/>
    <cellStyle name="Total 5 2 11 3 4" xfId="41818"/>
    <cellStyle name="Total 5 2 11 4" xfId="41819"/>
    <cellStyle name="Total 5 2 11 4 2" xfId="41820"/>
    <cellStyle name="Total 5 2 11 4 3" xfId="41821"/>
    <cellStyle name="Total 5 2 11 4 4" xfId="41822"/>
    <cellStyle name="Total 5 2 11 5" xfId="41823"/>
    <cellStyle name="Total 5 2 11 6" xfId="41824"/>
    <cellStyle name="Total 5 2 11 7" xfId="41825"/>
    <cellStyle name="Total 5 2 12" xfId="41826"/>
    <cellStyle name="Total 5 2 12 2" xfId="41827"/>
    <cellStyle name="Total 5 2 12 2 2" xfId="41828"/>
    <cellStyle name="Total 5 2 12 2 3" xfId="41829"/>
    <cellStyle name="Total 5 2 12 2 4" xfId="41830"/>
    <cellStyle name="Total 5 2 12 3" xfId="41831"/>
    <cellStyle name="Total 5 2 12 3 2" xfId="41832"/>
    <cellStyle name="Total 5 2 12 3 3" xfId="41833"/>
    <cellStyle name="Total 5 2 12 3 4" xfId="41834"/>
    <cellStyle name="Total 5 2 12 4" xfId="41835"/>
    <cellStyle name="Total 5 2 12 4 2" xfId="41836"/>
    <cellStyle name="Total 5 2 12 4 3" xfId="41837"/>
    <cellStyle name="Total 5 2 12 4 4" xfId="41838"/>
    <cellStyle name="Total 5 2 12 5" xfId="41839"/>
    <cellStyle name="Total 5 2 12 6" xfId="41840"/>
    <cellStyle name="Total 5 2 12 7" xfId="41841"/>
    <cellStyle name="Total 5 2 13" xfId="41842"/>
    <cellStyle name="Total 5 2 13 2" xfId="41843"/>
    <cellStyle name="Total 5 2 13 2 2" xfId="41844"/>
    <cellStyle name="Total 5 2 13 2 3" xfId="41845"/>
    <cellStyle name="Total 5 2 13 2 4" xfId="41846"/>
    <cellStyle name="Total 5 2 13 3" xfId="41847"/>
    <cellStyle name="Total 5 2 13 3 2" xfId="41848"/>
    <cellStyle name="Total 5 2 13 3 3" xfId="41849"/>
    <cellStyle name="Total 5 2 13 3 4" xfId="41850"/>
    <cellStyle name="Total 5 2 13 4" xfId="41851"/>
    <cellStyle name="Total 5 2 13 4 2" xfId="41852"/>
    <cellStyle name="Total 5 2 13 4 3" xfId="41853"/>
    <cellStyle name="Total 5 2 13 4 4" xfId="41854"/>
    <cellStyle name="Total 5 2 13 5" xfId="41855"/>
    <cellStyle name="Total 5 2 13 6" xfId="41856"/>
    <cellStyle name="Total 5 2 13 7" xfId="41857"/>
    <cellStyle name="Total 5 2 14" xfId="41858"/>
    <cellStyle name="Total 5 2 14 2" xfId="41859"/>
    <cellStyle name="Total 5 2 14 3" xfId="41860"/>
    <cellStyle name="Total 5 2 14 4" xfId="41861"/>
    <cellStyle name="Total 5 2 15" xfId="41862"/>
    <cellStyle name="Total 5 2 15 2" xfId="41863"/>
    <cellStyle name="Total 5 2 15 3" xfId="41864"/>
    <cellStyle name="Total 5 2 15 4" xfId="41865"/>
    <cellStyle name="Total 5 2 16" xfId="41866"/>
    <cellStyle name="Total 5 2 16 2" xfId="41867"/>
    <cellStyle name="Total 5 2 16 3" xfId="41868"/>
    <cellStyle name="Total 5 2 16 4" xfId="41869"/>
    <cellStyle name="Total 5 2 17" xfId="41870"/>
    <cellStyle name="Total 5 2 18" xfId="41871"/>
    <cellStyle name="Total 5 2 19" xfId="41872"/>
    <cellStyle name="Total 5 2 2" xfId="917"/>
    <cellStyle name="Total 5 2 2 10" xfId="41873"/>
    <cellStyle name="Total 5 2 2 11" xfId="41874"/>
    <cellStyle name="Total 5 2 2 12" xfId="41875"/>
    <cellStyle name="Total 5 2 2 2" xfId="41876"/>
    <cellStyle name="Total 5 2 2 2 2" xfId="41877"/>
    <cellStyle name="Total 5 2 2 2 2 2" xfId="41878"/>
    <cellStyle name="Total 5 2 2 2 2 3" xfId="41879"/>
    <cellStyle name="Total 5 2 2 2 2 4" xfId="41880"/>
    <cellStyle name="Total 5 2 2 2 3" xfId="41881"/>
    <cellStyle name="Total 5 2 2 2 3 2" xfId="41882"/>
    <cellStyle name="Total 5 2 2 2 3 3" xfId="41883"/>
    <cellStyle name="Total 5 2 2 2 3 4" xfId="41884"/>
    <cellStyle name="Total 5 2 2 2 4" xfId="41885"/>
    <cellStyle name="Total 5 2 2 2 4 2" xfId="41886"/>
    <cellStyle name="Total 5 2 2 2 4 3" xfId="41887"/>
    <cellStyle name="Total 5 2 2 2 4 4" xfId="41888"/>
    <cellStyle name="Total 5 2 2 2 5" xfId="41889"/>
    <cellStyle name="Total 5 2 2 2 6" xfId="41890"/>
    <cellStyle name="Total 5 2 2 2 7" xfId="41891"/>
    <cellStyle name="Total 5 2 2 3" xfId="41892"/>
    <cellStyle name="Total 5 2 2 3 2" xfId="41893"/>
    <cellStyle name="Total 5 2 2 3 2 2" xfId="41894"/>
    <cellStyle name="Total 5 2 2 3 2 3" xfId="41895"/>
    <cellStyle name="Total 5 2 2 3 2 4" xfId="41896"/>
    <cellStyle name="Total 5 2 2 3 3" xfId="41897"/>
    <cellStyle name="Total 5 2 2 3 3 2" xfId="41898"/>
    <cellStyle name="Total 5 2 2 3 3 3" xfId="41899"/>
    <cellStyle name="Total 5 2 2 3 3 4" xfId="41900"/>
    <cellStyle name="Total 5 2 2 3 4" xfId="41901"/>
    <cellStyle name="Total 5 2 2 3 4 2" xfId="41902"/>
    <cellStyle name="Total 5 2 2 3 4 3" xfId="41903"/>
    <cellStyle name="Total 5 2 2 3 4 4" xfId="41904"/>
    <cellStyle name="Total 5 2 2 3 5" xfId="41905"/>
    <cellStyle name="Total 5 2 2 3 6" xfId="41906"/>
    <cellStyle name="Total 5 2 2 3 7" xfId="41907"/>
    <cellStyle name="Total 5 2 2 4" xfId="41908"/>
    <cellStyle name="Total 5 2 2 4 2" xfId="41909"/>
    <cellStyle name="Total 5 2 2 4 2 2" xfId="41910"/>
    <cellStyle name="Total 5 2 2 4 2 3" xfId="41911"/>
    <cellStyle name="Total 5 2 2 4 2 4" xfId="41912"/>
    <cellStyle name="Total 5 2 2 4 3" xfId="41913"/>
    <cellStyle name="Total 5 2 2 4 3 2" xfId="41914"/>
    <cellStyle name="Total 5 2 2 4 3 3" xfId="41915"/>
    <cellStyle name="Total 5 2 2 4 3 4" xfId="41916"/>
    <cellStyle name="Total 5 2 2 4 4" xfId="41917"/>
    <cellStyle name="Total 5 2 2 4 4 2" xfId="41918"/>
    <cellStyle name="Total 5 2 2 4 4 3" xfId="41919"/>
    <cellStyle name="Total 5 2 2 4 4 4" xfId="41920"/>
    <cellStyle name="Total 5 2 2 4 5" xfId="41921"/>
    <cellStyle name="Total 5 2 2 4 6" xfId="41922"/>
    <cellStyle name="Total 5 2 2 4 7" xfId="41923"/>
    <cellStyle name="Total 5 2 2 5" xfId="41924"/>
    <cellStyle name="Total 5 2 2 5 2" xfId="41925"/>
    <cellStyle name="Total 5 2 2 5 2 2" xfId="41926"/>
    <cellStyle name="Total 5 2 2 5 2 3" xfId="41927"/>
    <cellStyle name="Total 5 2 2 5 2 4" xfId="41928"/>
    <cellStyle name="Total 5 2 2 5 3" xfId="41929"/>
    <cellStyle name="Total 5 2 2 5 3 2" xfId="41930"/>
    <cellStyle name="Total 5 2 2 5 3 3" xfId="41931"/>
    <cellStyle name="Total 5 2 2 5 3 4" xfId="41932"/>
    <cellStyle name="Total 5 2 2 5 4" xfId="41933"/>
    <cellStyle name="Total 5 2 2 5 4 2" xfId="41934"/>
    <cellStyle name="Total 5 2 2 5 4 3" xfId="41935"/>
    <cellStyle name="Total 5 2 2 5 4 4" xfId="41936"/>
    <cellStyle name="Total 5 2 2 5 5" xfId="41937"/>
    <cellStyle name="Total 5 2 2 5 6" xfId="41938"/>
    <cellStyle name="Total 5 2 2 5 7" xfId="41939"/>
    <cellStyle name="Total 5 2 2 6" xfId="41940"/>
    <cellStyle name="Total 5 2 2 6 2" xfId="41941"/>
    <cellStyle name="Total 5 2 2 6 2 2" xfId="41942"/>
    <cellStyle name="Total 5 2 2 6 2 3" xfId="41943"/>
    <cellStyle name="Total 5 2 2 6 2 4" xfId="41944"/>
    <cellStyle name="Total 5 2 2 6 3" xfId="41945"/>
    <cellStyle name="Total 5 2 2 6 3 2" xfId="41946"/>
    <cellStyle name="Total 5 2 2 6 3 3" xfId="41947"/>
    <cellStyle name="Total 5 2 2 6 3 4" xfId="41948"/>
    <cellStyle name="Total 5 2 2 6 4" xfId="41949"/>
    <cellStyle name="Total 5 2 2 6 4 2" xfId="41950"/>
    <cellStyle name="Total 5 2 2 6 4 3" xfId="41951"/>
    <cellStyle name="Total 5 2 2 6 4 4" xfId="41952"/>
    <cellStyle name="Total 5 2 2 6 5" xfId="41953"/>
    <cellStyle name="Total 5 2 2 6 6" xfId="41954"/>
    <cellStyle name="Total 5 2 2 6 7" xfId="41955"/>
    <cellStyle name="Total 5 2 2 7" xfId="41956"/>
    <cellStyle name="Total 5 2 2 7 2" xfId="41957"/>
    <cellStyle name="Total 5 2 2 7 3" xfId="41958"/>
    <cellStyle name="Total 5 2 2 7 4" xfId="41959"/>
    <cellStyle name="Total 5 2 2 8" xfId="41960"/>
    <cellStyle name="Total 5 2 2 8 2" xfId="41961"/>
    <cellStyle name="Total 5 2 2 8 3" xfId="41962"/>
    <cellStyle name="Total 5 2 2 8 4" xfId="41963"/>
    <cellStyle name="Total 5 2 2 9" xfId="41964"/>
    <cellStyle name="Total 5 2 2 9 2" xfId="41965"/>
    <cellStyle name="Total 5 2 2 9 3" xfId="41966"/>
    <cellStyle name="Total 5 2 2 9 4" xfId="41967"/>
    <cellStyle name="Total 5 2 3" xfId="937"/>
    <cellStyle name="Total 5 2 3 10" xfId="41968"/>
    <cellStyle name="Total 5 2 3 11" xfId="41969"/>
    <cellStyle name="Total 5 2 3 12" xfId="41970"/>
    <cellStyle name="Total 5 2 3 2" xfId="41971"/>
    <cellStyle name="Total 5 2 3 2 2" xfId="41972"/>
    <cellStyle name="Total 5 2 3 2 2 2" xfId="41973"/>
    <cellStyle name="Total 5 2 3 2 2 3" xfId="41974"/>
    <cellStyle name="Total 5 2 3 2 2 4" xfId="41975"/>
    <cellStyle name="Total 5 2 3 2 3" xfId="41976"/>
    <cellStyle name="Total 5 2 3 2 3 2" xfId="41977"/>
    <cellStyle name="Total 5 2 3 2 3 3" xfId="41978"/>
    <cellStyle name="Total 5 2 3 2 3 4" xfId="41979"/>
    <cellStyle name="Total 5 2 3 2 4" xfId="41980"/>
    <cellStyle name="Total 5 2 3 2 4 2" xfId="41981"/>
    <cellStyle name="Total 5 2 3 2 4 3" xfId="41982"/>
    <cellStyle name="Total 5 2 3 2 4 4" xfId="41983"/>
    <cellStyle name="Total 5 2 3 2 5" xfId="41984"/>
    <cellStyle name="Total 5 2 3 2 6" xfId="41985"/>
    <cellStyle name="Total 5 2 3 2 7" xfId="41986"/>
    <cellStyle name="Total 5 2 3 3" xfId="41987"/>
    <cellStyle name="Total 5 2 3 3 2" xfId="41988"/>
    <cellStyle name="Total 5 2 3 3 2 2" xfId="41989"/>
    <cellStyle name="Total 5 2 3 3 2 3" xfId="41990"/>
    <cellStyle name="Total 5 2 3 3 2 4" xfId="41991"/>
    <cellStyle name="Total 5 2 3 3 3" xfId="41992"/>
    <cellStyle name="Total 5 2 3 3 3 2" xfId="41993"/>
    <cellStyle name="Total 5 2 3 3 3 3" xfId="41994"/>
    <cellStyle name="Total 5 2 3 3 3 4" xfId="41995"/>
    <cellStyle name="Total 5 2 3 3 4" xfId="41996"/>
    <cellStyle name="Total 5 2 3 3 4 2" xfId="41997"/>
    <cellStyle name="Total 5 2 3 3 4 3" xfId="41998"/>
    <cellStyle name="Total 5 2 3 3 4 4" xfId="41999"/>
    <cellStyle name="Total 5 2 3 3 5" xfId="42000"/>
    <cellStyle name="Total 5 2 3 3 6" xfId="42001"/>
    <cellStyle name="Total 5 2 3 3 7" xfId="42002"/>
    <cellStyle name="Total 5 2 3 4" xfId="42003"/>
    <cellStyle name="Total 5 2 3 4 2" xfId="42004"/>
    <cellStyle name="Total 5 2 3 4 2 2" xfId="42005"/>
    <cellStyle name="Total 5 2 3 4 2 3" xfId="42006"/>
    <cellStyle name="Total 5 2 3 4 2 4" xfId="42007"/>
    <cellStyle name="Total 5 2 3 4 3" xfId="42008"/>
    <cellStyle name="Total 5 2 3 4 3 2" xfId="42009"/>
    <cellStyle name="Total 5 2 3 4 3 3" xfId="42010"/>
    <cellStyle name="Total 5 2 3 4 3 4" xfId="42011"/>
    <cellStyle name="Total 5 2 3 4 4" xfId="42012"/>
    <cellStyle name="Total 5 2 3 4 4 2" xfId="42013"/>
    <cellStyle name="Total 5 2 3 4 4 3" xfId="42014"/>
    <cellStyle name="Total 5 2 3 4 4 4" xfId="42015"/>
    <cellStyle name="Total 5 2 3 4 5" xfId="42016"/>
    <cellStyle name="Total 5 2 3 4 6" xfId="42017"/>
    <cellStyle name="Total 5 2 3 4 7" xfId="42018"/>
    <cellStyle name="Total 5 2 3 5" xfId="42019"/>
    <cellStyle name="Total 5 2 3 5 2" xfId="42020"/>
    <cellStyle name="Total 5 2 3 5 2 2" xfId="42021"/>
    <cellStyle name="Total 5 2 3 5 2 3" xfId="42022"/>
    <cellStyle name="Total 5 2 3 5 2 4" xfId="42023"/>
    <cellStyle name="Total 5 2 3 5 3" xfId="42024"/>
    <cellStyle name="Total 5 2 3 5 3 2" xfId="42025"/>
    <cellStyle name="Total 5 2 3 5 3 3" xfId="42026"/>
    <cellStyle name="Total 5 2 3 5 3 4" xfId="42027"/>
    <cellStyle name="Total 5 2 3 5 4" xfId="42028"/>
    <cellStyle name="Total 5 2 3 5 4 2" xfId="42029"/>
    <cellStyle name="Total 5 2 3 5 4 3" xfId="42030"/>
    <cellStyle name="Total 5 2 3 5 4 4" xfId="42031"/>
    <cellStyle name="Total 5 2 3 5 5" xfId="42032"/>
    <cellStyle name="Total 5 2 3 5 6" xfId="42033"/>
    <cellStyle name="Total 5 2 3 5 7" xfId="42034"/>
    <cellStyle name="Total 5 2 3 6" xfId="42035"/>
    <cellStyle name="Total 5 2 3 6 2" xfId="42036"/>
    <cellStyle name="Total 5 2 3 6 2 2" xfId="42037"/>
    <cellStyle name="Total 5 2 3 6 2 3" xfId="42038"/>
    <cellStyle name="Total 5 2 3 6 2 4" xfId="42039"/>
    <cellStyle name="Total 5 2 3 6 3" xfId="42040"/>
    <cellStyle name="Total 5 2 3 6 3 2" xfId="42041"/>
    <cellStyle name="Total 5 2 3 6 3 3" xfId="42042"/>
    <cellStyle name="Total 5 2 3 6 3 4" xfId="42043"/>
    <cellStyle name="Total 5 2 3 6 4" xfId="42044"/>
    <cellStyle name="Total 5 2 3 6 4 2" xfId="42045"/>
    <cellStyle name="Total 5 2 3 6 4 3" xfId="42046"/>
    <cellStyle name="Total 5 2 3 6 4 4" xfId="42047"/>
    <cellStyle name="Total 5 2 3 6 5" xfId="42048"/>
    <cellStyle name="Total 5 2 3 6 6" xfId="42049"/>
    <cellStyle name="Total 5 2 3 6 7" xfId="42050"/>
    <cellStyle name="Total 5 2 3 7" xfId="42051"/>
    <cellStyle name="Total 5 2 3 7 2" xfId="42052"/>
    <cellStyle name="Total 5 2 3 7 3" xfId="42053"/>
    <cellStyle name="Total 5 2 3 7 4" xfId="42054"/>
    <cellStyle name="Total 5 2 3 8" xfId="42055"/>
    <cellStyle name="Total 5 2 3 8 2" xfId="42056"/>
    <cellStyle name="Total 5 2 3 8 3" xfId="42057"/>
    <cellStyle name="Total 5 2 3 8 4" xfId="42058"/>
    <cellStyle name="Total 5 2 3 9" xfId="42059"/>
    <cellStyle name="Total 5 2 3 9 2" xfId="42060"/>
    <cellStyle name="Total 5 2 3 9 3" xfId="42061"/>
    <cellStyle name="Total 5 2 3 9 4" xfId="42062"/>
    <cellStyle name="Total 5 2 4" xfId="987"/>
    <cellStyle name="Total 5 2 4 10" xfId="42063"/>
    <cellStyle name="Total 5 2 4 11" xfId="42064"/>
    <cellStyle name="Total 5 2 4 12" xfId="42065"/>
    <cellStyle name="Total 5 2 4 2" xfId="42066"/>
    <cellStyle name="Total 5 2 4 2 2" xfId="42067"/>
    <cellStyle name="Total 5 2 4 2 2 2" xfId="42068"/>
    <cellStyle name="Total 5 2 4 2 2 3" xfId="42069"/>
    <cellStyle name="Total 5 2 4 2 2 4" xfId="42070"/>
    <cellStyle name="Total 5 2 4 2 3" xfId="42071"/>
    <cellStyle name="Total 5 2 4 2 3 2" xfId="42072"/>
    <cellStyle name="Total 5 2 4 2 3 3" xfId="42073"/>
    <cellStyle name="Total 5 2 4 2 3 4" xfId="42074"/>
    <cellStyle name="Total 5 2 4 2 4" xfId="42075"/>
    <cellStyle name="Total 5 2 4 2 4 2" xfId="42076"/>
    <cellStyle name="Total 5 2 4 2 4 3" xfId="42077"/>
    <cellStyle name="Total 5 2 4 2 4 4" xfId="42078"/>
    <cellStyle name="Total 5 2 4 2 5" xfId="42079"/>
    <cellStyle name="Total 5 2 4 2 6" xfId="42080"/>
    <cellStyle name="Total 5 2 4 2 7" xfId="42081"/>
    <cellStyle name="Total 5 2 4 3" xfId="42082"/>
    <cellStyle name="Total 5 2 4 3 2" xfId="42083"/>
    <cellStyle name="Total 5 2 4 3 2 2" xfId="42084"/>
    <cellStyle name="Total 5 2 4 3 2 3" xfId="42085"/>
    <cellStyle name="Total 5 2 4 3 2 4" xfId="42086"/>
    <cellStyle name="Total 5 2 4 3 3" xfId="42087"/>
    <cellStyle name="Total 5 2 4 3 3 2" xfId="42088"/>
    <cellStyle name="Total 5 2 4 3 3 3" xfId="42089"/>
    <cellStyle name="Total 5 2 4 3 3 4" xfId="42090"/>
    <cellStyle name="Total 5 2 4 3 4" xfId="42091"/>
    <cellStyle name="Total 5 2 4 3 4 2" xfId="42092"/>
    <cellStyle name="Total 5 2 4 3 4 3" xfId="42093"/>
    <cellStyle name="Total 5 2 4 3 4 4" xfId="42094"/>
    <cellStyle name="Total 5 2 4 3 5" xfId="42095"/>
    <cellStyle name="Total 5 2 4 3 6" xfId="42096"/>
    <cellStyle name="Total 5 2 4 3 7" xfId="42097"/>
    <cellStyle name="Total 5 2 4 4" xfId="42098"/>
    <cellStyle name="Total 5 2 4 4 2" xfId="42099"/>
    <cellStyle name="Total 5 2 4 4 2 2" xfId="42100"/>
    <cellStyle name="Total 5 2 4 4 2 3" xfId="42101"/>
    <cellStyle name="Total 5 2 4 4 2 4" xfId="42102"/>
    <cellStyle name="Total 5 2 4 4 3" xfId="42103"/>
    <cellStyle name="Total 5 2 4 4 3 2" xfId="42104"/>
    <cellStyle name="Total 5 2 4 4 3 3" xfId="42105"/>
    <cellStyle name="Total 5 2 4 4 3 4" xfId="42106"/>
    <cellStyle name="Total 5 2 4 4 4" xfId="42107"/>
    <cellStyle name="Total 5 2 4 4 4 2" xfId="42108"/>
    <cellStyle name="Total 5 2 4 4 4 3" xfId="42109"/>
    <cellStyle name="Total 5 2 4 4 4 4" xfId="42110"/>
    <cellStyle name="Total 5 2 4 4 5" xfId="42111"/>
    <cellStyle name="Total 5 2 4 4 6" xfId="42112"/>
    <cellStyle name="Total 5 2 4 4 7" xfId="42113"/>
    <cellStyle name="Total 5 2 4 5" xfId="42114"/>
    <cellStyle name="Total 5 2 4 5 2" xfId="42115"/>
    <cellStyle name="Total 5 2 4 5 2 2" xfId="42116"/>
    <cellStyle name="Total 5 2 4 5 2 3" xfId="42117"/>
    <cellStyle name="Total 5 2 4 5 2 4" xfId="42118"/>
    <cellStyle name="Total 5 2 4 5 3" xfId="42119"/>
    <cellStyle name="Total 5 2 4 5 3 2" xfId="42120"/>
    <cellStyle name="Total 5 2 4 5 3 3" xfId="42121"/>
    <cellStyle name="Total 5 2 4 5 3 4" xfId="42122"/>
    <cellStyle name="Total 5 2 4 5 4" xfId="42123"/>
    <cellStyle name="Total 5 2 4 5 4 2" xfId="42124"/>
    <cellStyle name="Total 5 2 4 5 4 3" xfId="42125"/>
    <cellStyle name="Total 5 2 4 5 4 4" xfId="42126"/>
    <cellStyle name="Total 5 2 4 5 5" xfId="42127"/>
    <cellStyle name="Total 5 2 4 5 6" xfId="42128"/>
    <cellStyle name="Total 5 2 4 5 7" xfId="42129"/>
    <cellStyle name="Total 5 2 4 6" xfId="42130"/>
    <cellStyle name="Total 5 2 4 6 2" xfId="42131"/>
    <cellStyle name="Total 5 2 4 6 2 2" xfId="42132"/>
    <cellStyle name="Total 5 2 4 6 2 3" xfId="42133"/>
    <cellStyle name="Total 5 2 4 6 2 4" xfId="42134"/>
    <cellStyle name="Total 5 2 4 6 3" xfId="42135"/>
    <cellStyle name="Total 5 2 4 6 3 2" xfId="42136"/>
    <cellStyle name="Total 5 2 4 6 3 3" xfId="42137"/>
    <cellStyle name="Total 5 2 4 6 3 4" xfId="42138"/>
    <cellStyle name="Total 5 2 4 6 4" xfId="42139"/>
    <cellStyle name="Total 5 2 4 6 4 2" xfId="42140"/>
    <cellStyle name="Total 5 2 4 6 4 3" xfId="42141"/>
    <cellStyle name="Total 5 2 4 6 4 4" xfId="42142"/>
    <cellStyle name="Total 5 2 4 6 5" xfId="42143"/>
    <cellStyle name="Total 5 2 4 6 6" xfId="42144"/>
    <cellStyle name="Total 5 2 4 6 7" xfId="42145"/>
    <cellStyle name="Total 5 2 4 7" xfId="42146"/>
    <cellStyle name="Total 5 2 4 7 2" xfId="42147"/>
    <cellStyle name="Total 5 2 4 7 3" xfId="42148"/>
    <cellStyle name="Total 5 2 4 7 4" xfId="42149"/>
    <cellStyle name="Total 5 2 4 8" xfId="42150"/>
    <cellStyle name="Total 5 2 4 8 2" xfId="42151"/>
    <cellStyle name="Total 5 2 4 8 3" xfId="42152"/>
    <cellStyle name="Total 5 2 4 8 4" xfId="42153"/>
    <cellStyle name="Total 5 2 4 9" xfId="42154"/>
    <cellStyle name="Total 5 2 4 9 2" xfId="42155"/>
    <cellStyle name="Total 5 2 4 9 3" xfId="42156"/>
    <cellStyle name="Total 5 2 4 9 4" xfId="42157"/>
    <cellStyle name="Total 5 2 5" xfId="42158"/>
    <cellStyle name="Total 5 2 5 10" xfId="42159"/>
    <cellStyle name="Total 5 2 5 11" xfId="42160"/>
    <cellStyle name="Total 5 2 5 12" xfId="42161"/>
    <cellStyle name="Total 5 2 5 2" xfId="42162"/>
    <cellStyle name="Total 5 2 5 2 2" xfId="42163"/>
    <cellStyle name="Total 5 2 5 2 2 2" xfId="42164"/>
    <cellStyle name="Total 5 2 5 2 2 3" xfId="42165"/>
    <cellStyle name="Total 5 2 5 2 2 4" xfId="42166"/>
    <cellStyle name="Total 5 2 5 2 3" xfId="42167"/>
    <cellStyle name="Total 5 2 5 2 3 2" xfId="42168"/>
    <cellStyle name="Total 5 2 5 2 3 3" xfId="42169"/>
    <cellStyle name="Total 5 2 5 2 3 4" xfId="42170"/>
    <cellStyle name="Total 5 2 5 2 4" xfId="42171"/>
    <cellStyle name="Total 5 2 5 2 4 2" xfId="42172"/>
    <cellStyle name="Total 5 2 5 2 4 3" xfId="42173"/>
    <cellStyle name="Total 5 2 5 2 4 4" xfId="42174"/>
    <cellStyle name="Total 5 2 5 2 5" xfId="42175"/>
    <cellStyle name="Total 5 2 5 2 6" xfId="42176"/>
    <cellStyle name="Total 5 2 5 2 7" xfId="42177"/>
    <cellStyle name="Total 5 2 5 3" xfId="42178"/>
    <cellStyle name="Total 5 2 5 3 2" xfId="42179"/>
    <cellStyle name="Total 5 2 5 3 2 2" xfId="42180"/>
    <cellStyle name="Total 5 2 5 3 2 3" xfId="42181"/>
    <cellStyle name="Total 5 2 5 3 2 4" xfId="42182"/>
    <cellStyle name="Total 5 2 5 3 3" xfId="42183"/>
    <cellStyle name="Total 5 2 5 3 3 2" xfId="42184"/>
    <cellStyle name="Total 5 2 5 3 3 3" xfId="42185"/>
    <cellStyle name="Total 5 2 5 3 3 4" xfId="42186"/>
    <cellStyle name="Total 5 2 5 3 4" xfId="42187"/>
    <cellStyle name="Total 5 2 5 3 4 2" xfId="42188"/>
    <cellStyle name="Total 5 2 5 3 4 3" xfId="42189"/>
    <cellStyle name="Total 5 2 5 3 4 4" xfId="42190"/>
    <cellStyle name="Total 5 2 5 3 5" xfId="42191"/>
    <cellStyle name="Total 5 2 5 3 6" xfId="42192"/>
    <cellStyle name="Total 5 2 5 3 7" xfId="42193"/>
    <cellStyle name="Total 5 2 5 4" xfId="42194"/>
    <cellStyle name="Total 5 2 5 4 2" xfId="42195"/>
    <cellStyle name="Total 5 2 5 4 2 2" xfId="42196"/>
    <cellStyle name="Total 5 2 5 4 2 3" xfId="42197"/>
    <cellStyle name="Total 5 2 5 4 2 4" xfId="42198"/>
    <cellStyle name="Total 5 2 5 4 3" xfId="42199"/>
    <cellStyle name="Total 5 2 5 4 3 2" xfId="42200"/>
    <cellStyle name="Total 5 2 5 4 3 3" xfId="42201"/>
    <cellStyle name="Total 5 2 5 4 3 4" xfId="42202"/>
    <cellStyle name="Total 5 2 5 4 4" xfId="42203"/>
    <cellStyle name="Total 5 2 5 4 4 2" xfId="42204"/>
    <cellStyle name="Total 5 2 5 4 4 3" xfId="42205"/>
    <cellStyle name="Total 5 2 5 4 4 4" xfId="42206"/>
    <cellStyle name="Total 5 2 5 4 5" xfId="42207"/>
    <cellStyle name="Total 5 2 5 4 6" xfId="42208"/>
    <cellStyle name="Total 5 2 5 4 7" xfId="42209"/>
    <cellStyle name="Total 5 2 5 5" xfId="42210"/>
    <cellStyle name="Total 5 2 5 5 2" xfId="42211"/>
    <cellStyle name="Total 5 2 5 5 2 2" xfId="42212"/>
    <cellStyle name="Total 5 2 5 5 2 3" xfId="42213"/>
    <cellStyle name="Total 5 2 5 5 2 4" xfId="42214"/>
    <cellStyle name="Total 5 2 5 5 3" xfId="42215"/>
    <cellStyle name="Total 5 2 5 5 3 2" xfId="42216"/>
    <cellStyle name="Total 5 2 5 5 3 3" xfId="42217"/>
    <cellStyle name="Total 5 2 5 5 3 4" xfId="42218"/>
    <cellStyle name="Total 5 2 5 5 4" xfId="42219"/>
    <cellStyle name="Total 5 2 5 5 4 2" xfId="42220"/>
    <cellStyle name="Total 5 2 5 5 4 3" xfId="42221"/>
    <cellStyle name="Total 5 2 5 5 4 4" xfId="42222"/>
    <cellStyle name="Total 5 2 5 5 5" xfId="42223"/>
    <cellStyle name="Total 5 2 5 5 6" xfId="42224"/>
    <cellStyle name="Total 5 2 5 5 7" xfId="42225"/>
    <cellStyle name="Total 5 2 5 6" xfId="42226"/>
    <cellStyle name="Total 5 2 5 6 2" xfId="42227"/>
    <cellStyle name="Total 5 2 5 6 2 2" xfId="42228"/>
    <cellStyle name="Total 5 2 5 6 2 3" xfId="42229"/>
    <cellStyle name="Total 5 2 5 6 2 4" xfId="42230"/>
    <cellStyle name="Total 5 2 5 6 3" xfId="42231"/>
    <cellStyle name="Total 5 2 5 6 3 2" xfId="42232"/>
    <cellStyle name="Total 5 2 5 6 3 3" xfId="42233"/>
    <cellStyle name="Total 5 2 5 6 3 4" xfId="42234"/>
    <cellStyle name="Total 5 2 5 6 4" xfId="42235"/>
    <cellStyle name="Total 5 2 5 6 4 2" xfId="42236"/>
    <cellStyle name="Total 5 2 5 6 4 3" xfId="42237"/>
    <cellStyle name="Total 5 2 5 6 4 4" xfId="42238"/>
    <cellStyle name="Total 5 2 5 6 5" xfId="42239"/>
    <cellStyle name="Total 5 2 5 6 6" xfId="42240"/>
    <cellStyle name="Total 5 2 5 6 7" xfId="42241"/>
    <cellStyle name="Total 5 2 5 7" xfId="42242"/>
    <cellStyle name="Total 5 2 5 7 2" xfId="42243"/>
    <cellStyle name="Total 5 2 5 7 3" xfId="42244"/>
    <cellStyle name="Total 5 2 5 7 4" xfId="42245"/>
    <cellStyle name="Total 5 2 5 8" xfId="42246"/>
    <cellStyle name="Total 5 2 5 8 2" xfId="42247"/>
    <cellStyle name="Total 5 2 5 8 3" xfId="42248"/>
    <cellStyle name="Total 5 2 5 8 4" xfId="42249"/>
    <cellStyle name="Total 5 2 5 9" xfId="42250"/>
    <cellStyle name="Total 5 2 5 9 2" xfId="42251"/>
    <cellStyle name="Total 5 2 5 9 3" xfId="42252"/>
    <cellStyle name="Total 5 2 5 9 4" xfId="42253"/>
    <cellStyle name="Total 5 2 6" xfId="42254"/>
    <cellStyle name="Total 5 2 6 2" xfId="42255"/>
    <cellStyle name="Total 5 2 6 2 2" xfId="42256"/>
    <cellStyle name="Total 5 2 6 2 3" xfId="42257"/>
    <cellStyle name="Total 5 2 6 2 4" xfId="42258"/>
    <cellStyle name="Total 5 2 6 3" xfId="42259"/>
    <cellStyle name="Total 5 2 6 3 2" xfId="42260"/>
    <cellStyle name="Total 5 2 6 3 3" xfId="42261"/>
    <cellStyle name="Total 5 2 6 3 4" xfId="42262"/>
    <cellStyle name="Total 5 2 6 4" xfId="42263"/>
    <cellStyle name="Total 5 2 6 4 2" xfId="42264"/>
    <cellStyle name="Total 5 2 6 4 3" xfId="42265"/>
    <cellStyle name="Total 5 2 6 4 4" xfId="42266"/>
    <cellStyle name="Total 5 2 6 5" xfId="42267"/>
    <cellStyle name="Total 5 2 6 6" xfId="42268"/>
    <cellStyle name="Total 5 2 6 7" xfId="42269"/>
    <cellStyle name="Total 5 2 7" xfId="42270"/>
    <cellStyle name="Total 5 2 7 2" xfId="42271"/>
    <cellStyle name="Total 5 2 7 2 2" xfId="42272"/>
    <cellStyle name="Total 5 2 7 2 3" xfId="42273"/>
    <cellStyle name="Total 5 2 7 2 4" xfId="42274"/>
    <cellStyle name="Total 5 2 7 3" xfId="42275"/>
    <cellStyle name="Total 5 2 7 3 2" xfId="42276"/>
    <cellStyle name="Total 5 2 7 3 3" xfId="42277"/>
    <cellStyle name="Total 5 2 7 3 4" xfId="42278"/>
    <cellStyle name="Total 5 2 7 4" xfId="42279"/>
    <cellStyle name="Total 5 2 7 4 2" xfId="42280"/>
    <cellStyle name="Total 5 2 7 4 3" xfId="42281"/>
    <cellStyle name="Total 5 2 7 4 4" xfId="42282"/>
    <cellStyle name="Total 5 2 7 5" xfId="42283"/>
    <cellStyle name="Total 5 2 7 6" xfId="42284"/>
    <cellStyle name="Total 5 2 7 7" xfId="42285"/>
    <cellStyle name="Total 5 2 8" xfId="42286"/>
    <cellStyle name="Total 5 2 8 2" xfId="42287"/>
    <cellStyle name="Total 5 2 8 2 2" xfId="42288"/>
    <cellStyle name="Total 5 2 8 2 3" xfId="42289"/>
    <cellStyle name="Total 5 2 8 2 4" xfId="42290"/>
    <cellStyle name="Total 5 2 8 3" xfId="42291"/>
    <cellStyle name="Total 5 2 8 3 2" xfId="42292"/>
    <cellStyle name="Total 5 2 8 3 3" xfId="42293"/>
    <cellStyle name="Total 5 2 8 3 4" xfId="42294"/>
    <cellStyle name="Total 5 2 8 4" xfId="42295"/>
    <cellStyle name="Total 5 2 8 4 2" xfId="42296"/>
    <cellStyle name="Total 5 2 8 4 3" xfId="42297"/>
    <cellStyle name="Total 5 2 8 4 4" xfId="42298"/>
    <cellStyle name="Total 5 2 8 5" xfId="42299"/>
    <cellStyle name="Total 5 2 8 6" xfId="42300"/>
    <cellStyle name="Total 5 2 8 7" xfId="42301"/>
    <cellStyle name="Total 5 2 9" xfId="42302"/>
    <cellStyle name="Total 5 2 9 2" xfId="42303"/>
    <cellStyle name="Total 5 2 9 2 2" xfId="42304"/>
    <cellStyle name="Total 5 2 9 2 3" xfId="42305"/>
    <cellStyle name="Total 5 2 9 2 4" xfId="42306"/>
    <cellStyle name="Total 5 2 9 3" xfId="42307"/>
    <cellStyle name="Total 5 2 9 3 2" xfId="42308"/>
    <cellStyle name="Total 5 2 9 3 3" xfId="42309"/>
    <cellStyle name="Total 5 2 9 3 4" xfId="42310"/>
    <cellStyle name="Total 5 2 9 4" xfId="42311"/>
    <cellStyle name="Total 5 2 9 4 2" xfId="42312"/>
    <cellStyle name="Total 5 2 9 4 3" xfId="42313"/>
    <cellStyle name="Total 5 2 9 4 4" xfId="42314"/>
    <cellStyle name="Total 5 2 9 5" xfId="42315"/>
    <cellStyle name="Total 5 2 9 6" xfId="42316"/>
    <cellStyle name="Total 5 2 9 7" xfId="42317"/>
    <cellStyle name="Total 5 3" xfId="1172"/>
    <cellStyle name="Total 5 3 10" xfId="42318"/>
    <cellStyle name="Total 5 3 11" xfId="42319"/>
    <cellStyle name="Total 5 3 12" xfId="42320"/>
    <cellStyle name="Total 5 3 2" xfId="42321"/>
    <cellStyle name="Total 5 3 2 2" xfId="42322"/>
    <cellStyle name="Total 5 3 2 2 2" xfId="42323"/>
    <cellStyle name="Total 5 3 2 2 3" xfId="42324"/>
    <cellStyle name="Total 5 3 2 2 4" xfId="42325"/>
    <cellStyle name="Total 5 3 2 3" xfId="42326"/>
    <cellStyle name="Total 5 3 2 3 2" xfId="42327"/>
    <cellStyle name="Total 5 3 2 3 3" xfId="42328"/>
    <cellStyle name="Total 5 3 2 3 4" xfId="42329"/>
    <cellStyle name="Total 5 3 2 4" xfId="42330"/>
    <cellStyle name="Total 5 3 2 4 2" xfId="42331"/>
    <cellStyle name="Total 5 3 2 4 3" xfId="42332"/>
    <cellStyle name="Total 5 3 2 4 4" xfId="42333"/>
    <cellStyle name="Total 5 3 2 5" xfId="42334"/>
    <cellStyle name="Total 5 3 2 6" xfId="42335"/>
    <cellStyle name="Total 5 3 2 7" xfId="42336"/>
    <cellStyle name="Total 5 3 3" xfId="42337"/>
    <cellStyle name="Total 5 3 3 2" xfId="42338"/>
    <cellStyle name="Total 5 3 3 2 2" xfId="42339"/>
    <cellStyle name="Total 5 3 3 2 3" xfId="42340"/>
    <cellStyle name="Total 5 3 3 2 4" xfId="42341"/>
    <cellStyle name="Total 5 3 3 3" xfId="42342"/>
    <cellStyle name="Total 5 3 3 3 2" xfId="42343"/>
    <cellStyle name="Total 5 3 3 3 3" xfId="42344"/>
    <cellStyle name="Total 5 3 3 3 4" xfId="42345"/>
    <cellStyle name="Total 5 3 3 4" xfId="42346"/>
    <cellStyle name="Total 5 3 3 4 2" xfId="42347"/>
    <cellStyle name="Total 5 3 3 4 3" xfId="42348"/>
    <cellStyle name="Total 5 3 3 4 4" xfId="42349"/>
    <cellStyle name="Total 5 3 3 5" xfId="42350"/>
    <cellStyle name="Total 5 3 3 6" xfId="42351"/>
    <cellStyle name="Total 5 3 3 7" xfId="42352"/>
    <cellStyle name="Total 5 3 4" xfId="42353"/>
    <cellStyle name="Total 5 3 4 2" xfId="42354"/>
    <cellStyle name="Total 5 3 4 2 2" xfId="42355"/>
    <cellStyle name="Total 5 3 4 2 3" xfId="42356"/>
    <cellStyle name="Total 5 3 4 2 4" xfId="42357"/>
    <cellStyle name="Total 5 3 4 3" xfId="42358"/>
    <cellStyle name="Total 5 3 4 3 2" xfId="42359"/>
    <cellStyle name="Total 5 3 4 3 3" xfId="42360"/>
    <cellStyle name="Total 5 3 4 3 4" xfId="42361"/>
    <cellStyle name="Total 5 3 4 4" xfId="42362"/>
    <cellStyle name="Total 5 3 4 4 2" xfId="42363"/>
    <cellStyle name="Total 5 3 4 4 3" xfId="42364"/>
    <cellStyle name="Total 5 3 4 4 4" xfId="42365"/>
    <cellStyle name="Total 5 3 4 5" xfId="42366"/>
    <cellStyle name="Total 5 3 4 6" xfId="42367"/>
    <cellStyle name="Total 5 3 4 7" xfId="42368"/>
    <cellStyle name="Total 5 3 5" xfId="42369"/>
    <cellStyle name="Total 5 3 5 2" xfId="42370"/>
    <cellStyle name="Total 5 3 5 2 2" xfId="42371"/>
    <cellStyle name="Total 5 3 5 2 3" xfId="42372"/>
    <cellStyle name="Total 5 3 5 2 4" xfId="42373"/>
    <cellStyle name="Total 5 3 5 3" xfId="42374"/>
    <cellStyle name="Total 5 3 5 3 2" xfId="42375"/>
    <cellStyle name="Total 5 3 5 3 3" xfId="42376"/>
    <cellStyle name="Total 5 3 5 3 4" xfId="42377"/>
    <cellStyle name="Total 5 3 5 4" xfId="42378"/>
    <cellStyle name="Total 5 3 5 4 2" xfId="42379"/>
    <cellStyle name="Total 5 3 5 4 3" xfId="42380"/>
    <cellStyle name="Total 5 3 5 4 4" xfId="42381"/>
    <cellStyle name="Total 5 3 5 5" xfId="42382"/>
    <cellStyle name="Total 5 3 5 6" xfId="42383"/>
    <cellStyle name="Total 5 3 5 7" xfId="42384"/>
    <cellStyle name="Total 5 3 6" xfId="42385"/>
    <cellStyle name="Total 5 3 6 2" xfId="42386"/>
    <cellStyle name="Total 5 3 6 2 2" xfId="42387"/>
    <cellStyle name="Total 5 3 6 2 3" xfId="42388"/>
    <cellStyle name="Total 5 3 6 2 4" xfId="42389"/>
    <cellStyle name="Total 5 3 6 3" xfId="42390"/>
    <cellStyle name="Total 5 3 6 3 2" xfId="42391"/>
    <cellStyle name="Total 5 3 6 3 3" xfId="42392"/>
    <cellStyle name="Total 5 3 6 3 4" xfId="42393"/>
    <cellStyle name="Total 5 3 6 4" xfId="42394"/>
    <cellStyle name="Total 5 3 6 4 2" xfId="42395"/>
    <cellStyle name="Total 5 3 6 4 3" xfId="42396"/>
    <cellStyle name="Total 5 3 6 4 4" xfId="42397"/>
    <cellStyle name="Total 5 3 6 5" xfId="42398"/>
    <cellStyle name="Total 5 3 6 6" xfId="42399"/>
    <cellStyle name="Total 5 3 6 7" xfId="42400"/>
    <cellStyle name="Total 5 3 7" xfId="42401"/>
    <cellStyle name="Total 5 3 7 2" xfId="42402"/>
    <cellStyle name="Total 5 3 7 3" xfId="42403"/>
    <cellStyle name="Total 5 3 7 4" xfId="42404"/>
    <cellStyle name="Total 5 3 8" xfId="42405"/>
    <cellStyle name="Total 5 3 8 2" xfId="42406"/>
    <cellStyle name="Total 5 3 8 3" xfId="42407"/>
    <cellStyle name="Total 5 3 8 4" xfId="42408"/>
    <cellStyle name="Total 5 3 9" xfId="42409"/>
    <cellStyle name="Total 5 3 9 2" xfId="42410"/>
    <cellStyle name="Total 5 3 9 3" xfId="42411"/>
    <cellStyle name="Total 5 3 9 4" xfId="42412"/>
    <cellStyle name="Total 5 4" xfId="3246"/>
    <cellStyle name="Total 5 5" xfId="3302"/>
    <cellStyle name="Total 5 6" xfId="3315"/>
    <cellStyle name="Total 6" xfId="323"/>
    <cellStyle name="Total 6 2" xfId="664"/>
    <cellStyle name="Total 6 2 10" xfId="42413"/>
    <cellStyle name="Total 6 2 10 2" xfId="42414"/>
    <cellStyle name="Total 6 2 10 2 2" xfId="42415"/>
    <cellStyle name="Total 6 2 10 2 3" xfId="42416"/>
    <cellStyle name="Total 6 2 10 2 4" xfId="42417"/>
    <cellStyle name="Total 6 2 10 3" xfId="42418"/>
    <cellStyle name="Total 6 2 10 3 2" xfId="42419"/>
    <cellStyle name="Total 6 2 10 3 3" xfId="42420"/>
    <cellStyle name="Total 6 2 10 3 4" xfId="42421"/>
    <cellStyle name="Total 6 2 10 4" xfId="42422"/>
    <cellStyle name="Total 6 2 10 4 2" xfId="42423"/>
    <cellStyle name="Total 6 2 10 4 3" xfId="42424"/>
    <cellStyle name="Total 6 2 10 4 4" xfId="42425"/>
    <cellStyle name="Total 6 2 10 5" xfId="42426"/>
    <cellStyle name="Total 6 2 10 6" xfId="42427"/>
    <cellStyle name="Total 6 2 10 7" xfId="42428"/>
    <cellStyle name="Total 6 2 11" xfId="42429"/>
    <cellStyle name="Total 6 2 11 2" xfId="42430"/>
    <cellStyle name="Total 6 2 11 2 2" xfId="42431"/>
    <cellStyle name="Total 6 2 11 2 3" xfId="42432"/>
    <cellStyle name="Total 6 2 11 2 4" xfId="42433"/>
    <cellStyle name="Total 6 2 11 3" xfId="42434"/>
    <cellStyle name="Total 6 2 11 3 2" xfId="42435"/>
    <cellStyle name="Total 6 2 11 3 3" xfId="42436"/>
    <cellStyle name="Total 6 2 11 3 4" xfId="42437"/>
    <cellStyle name="Total 6 2 11 4" xfId="42438"/>
    <cellStyle name="Total 6 2 11 4 2" xfId="42439"/>
    <cellStyle name="Total 6 2 11 4 3" xfId="42440"/>
    <cellStyle name="Total 6 2 11 4 4" xfId="42441"/>
    <cellStyle name="Total 6 2 11 5" xfId="42442"/>
    <cellStyle name="Total 6 2 11 6" xfId="42443"/>
    <cellStyle name="Total 6 2 11 7" xfId="42444"/>
    <cellStyle name="Total 6 2 12" xfId="42445"/>
    <cellStyle name="Total 6 2 12 2" xfId="42446"/>
    <cellStyle name="Total 6 2 12 2 2" xfId="42447"/>
    <cellStyle name="Total 6 2 12 2 3" xfId="42448"/>
    <cellStyle name="Total 6 2 12 2 4" xfId="42449"/>
    <cellStyle name="Total 6 2 12 3" xfId="42450"/>
    <cellStyle name="Total 6 2 12 3 2" xfId="42451"/>
    <cellStyle name="Total 6 2 12 3 3" xfId="42452"/>
    <cellStyle name="Total 6 2 12 3 4" xfId="42453"/>
    <cellStyle name="Total 6 2 12 4" xfId="42454"/>
    <cellStyle name="Total 6 2 12 4 2" xfId="42455"/>
    <cellStyle name="Total 6 2 12 4 3" xfId="42456"/>
    <cellStyle name="Total 6 2 12 4 4" xfId="42457"/>
    <cellStyle name="Total 6 2 12 5" xfId="42458"/>
    <cellStyle name="Total 6 2 12 6" xfId="42459"/>
    <cellStyle name="Total 6 2 12 7" xfId="42460"/>
    <cellStyle name="Total 6 2 13" xfId="42461"/>
    <cellStyle name="Total 6 2 13 2" xfId="42462"/>
    <cellStyle name="Total 6 2 13 2 2" xfId="42463"/>
    <cellStyle name="Total 6 2 13 2 3" xfId="42464"/>
    <cellStyle name="Total 6 2 13 2 4" xfId="42465"/>
    <cellStyle name="Total 6 2 13 3" xfId="42466"/>
    <cellStyle name="Total 6 2 13 3 2" xfId="42467"/>
    <cellStyle name="Total 6 2 13 3 3" xfId="42468"/>
    <cellStyle name="Total 6 2 13 3 4" xfId="42469"/>
    <cellStyle name="Total 6 2 13 4" xfId="42470"/>
    <cellStyle name="Total 6 2 13 4 2" xfId="42471"/>
    <cellStyle name="Total 6 2 13 4 3" xfId="42472"/>
    <cellStyle name="Total 6 2 13 4 4" xfId="42473"/>
    <cellStyle name="Total 6 2 13 5" xfId="42474"/>
    <cellStyle name="Total 6 2 13 6" xfId="42475"/>
    <cellStyle name="Total 6 2 13 7" xfId="42476"/>
    <cellStyle name="Total 6 2 14" xfId="42477"/>
    <cellStyle name="Total 6 2 14 2" xfId="42478"/>
    <cellStyle name="Total 6 2 14 3" xfId="42479"/>
    <cellStyle name="Total 6 2 14 4" xfId="42480"/>
    <cellStyle name="Total 6 2 15" xfId="42481"/>
    <cellStyle name="Total 6 2 15 2" xfId="42482"/>
    <cellStyle name="Total 6 2 15 3" xfId="42483"/>
    <cellStyle name="Total 6 2 15 4" xfId="42484"/>
    <cellStyle name="Total 6 2 16" xfId="42485"/>
    <cellStyle name="Total 6 2 16 2" xfId="42486"/>
    <cellStyle name="Total 6 2 16 3" xfId="42487"/>
    <cellStyle name="Total 6 2 16 4" xfId="42488"/>
    <cellStyle name="Total 6 2 17" xfId="42489"/>
    <cellStyle name="Total 6 2 18" xfId="42490"/>
    <cellStyle name="Total 6 2 19" xfId="42491"/>
    <cellStyle name="Total 6 2 2" xfId="918"/>
    <cellStyle name="Total 6 2 2 10" xfId="42492"/>
    <cellStyle name="Total 6 2 2 11" xfId="42493"/>
    <cellStyle name="Total 6 2 2 12" xfId="42494"/>
    <cellStyle name="Total 6 2 2 2" xfId="42495"/>
    <cellStyle name="Total 6 2 2 2 2" xfId="42496"/>
    <cellStyle name="Total 6 2 2 2 2 2" xfId="42497"/>
    <cellStyle name="Total 6 2 2 2 2 3" xfId="42498"/>
    <cellStyle name="Total 6 2 2 2 2 4" xfId="42499"/>
    <cellStyle name="Total 6 2 2 2 3" xfId="42500"/>
    <cellStyle name="Total 6 2 2 2 3 2" xfId="42501"/>
    <cellStyle name="Total 6 2 2 2 3 3" xfId="42502"/>
    <cellStyle name="Total 6 2 2 2 3 4" xfId="42503"/>
    <cellStyle name="Total 6 2 2 2 4" xfId="42504"/>
    <cellStyle name="Total 6 2 2 2 4 2" xfId="42505"/>
    <cellStyle name="Total 6 2 2 2 4 3" xfId="42506"/>
    <cellStyle name="Total 6 2 2 2 4 4" xfId="42507"/>
    <cellStyle name="Total 6 2 2 2 5" xfId="42508"/>
    <cellStyle name="Total 6 2 2 2 6" xfId="42509"/>
    <cellStyle name="Total 6 2 2 2 7" xfId="42510"/>
    <cellStyle name="Total 6 2 2 3" xfId="42511"/>
    <cellStyle name="Total 6 2 2 3 2" xfId="42512"/>
    <cellStyle name="Total 6 2 2 3 2 2" xfId="42513"/>
    <cellStyle name="Total 6 2 2 3 2 3" xfId="42514"/>
    <cellStyle name="Total 6 2 2 3 2 4" xfId="42515"/>
    <cellStyle name="Total 6 2 2 3 3" xfId="42516"/>
    <cellStyle name="Total 6 2 2 3 3 2" xfId="42517"/>
    <cellStyle name="Total 6 2 2 3 3 3" xfId="42518"/>
    <cellStyle name="Total 6 2 2 3 3 4" xfId="42519"/>
    <cellStyle name="Total 6 2 2 3 4" xfId="42520"/>
    <cellStyle name="Total 6 2 2 3 4 2" xfId="42521"/>
    <cellStyle name="Total 6 2 2 3 4 3" xfId="42522"/>
    <cellStyle name="Total 6 2 2 3 4 4" xfId="42523"/>
    <cellStyle name="Total 6 2 2 3 5" xfId="42524"/>
    <cellStyle name="Total 6 2 2 3 6" xfId="42525"/>
    <cellStyle name="Total 6 2 2 3 7" xfId="42526"/>
    <cellStyle name="Total 6 2 2 4" xfId="42527"/>
    <cellStyle name="Total 6 2 2 4 2" xfId="42528"/>
    <cellStyle name="Total 6 2 2 4 2 2" xfId="42529"/>
    <cellStyle name="Total 6 2 2 4 2 3" xfId="42530"/>
    <cellStyle name="Total 6 2 2 4 2 4" xfId="42531"/>
    <cellStyle name="Total 6 2 2 4 3" xfId="42532"/>
    <cellStyle name="Total 6 2 2 4 3 2" xfId="42533"/>
    <cellStyle name="Total 6 2 2 4 3 3" xfId="42534"/>
    <cellStyle name="Total 6 2 2 4 3 4" xfId="42535"/>
    <cellStyle name="Total 6 2 2 4 4" xfId="42536"/>
    <cellStyle name="Total 6 2 2 4 4 2" xfId="42537"/>
    <cellStyle name="Total 6 2 2 4 4 3" xfId="42538"/>
    <cellStyle name="Total 6 2 2 4 4 4" xfId="42539"/>
    <cellStyle name="Total 6 2 2 4 5" xfId="42540"/>
    <cellStyle name="Total 6 2 2 4 6" xfId="42541"/>
    <cellStyle name="Total 6 2 2 4 7" xfId="42542"/>
    <cellStyle name="Total 6 2 2 5" xfId="42543"/>
    <cellStyle name="Total 6 2 2 5 2" xfId="42544"/>
    <cellStyle name="Total 6 2 2 5 2 2" xfId="42545"/>
    <cellStyle name="Total 6 2 2 5 2 3" xfId="42546"/>
    <cellStyle name="Total 6 2 2 5 2 4" xfId="42547"/>
    <cellStyle name="Total 6 2 2 5 3" xfId="42548"/>
    <cellStyle name="Total 6 2 2 5 3 2" xfId="42549"/>
    <cellStyle name="Total 6 2 2 5 3 3" xfId="42550"/>
    <cellStyle name="Total 6 2 2 5 3 4" xfId="42551"/>
    <cellStyle name="Total 6 2 2 5 4" xfId="42552"/>
    <cellStyle name="Total 6 2 2 5 4 2" xfId="42553"/>
    <cellStyle name="Total 6 2 2 5 4 3" xfId="42554"/>
    <cellStyle name="Total 6 2 2 5 4 4" xfId="42555"/>
    <cellStyle name="Total 6 2 2 5 5" xfId="42556"/>
    <cellStyle name="Total 6 2 2 5 6" xfId="42557"/>
    <cellStyle name="Total 6 2 2 5 7" xfId="42558"/>
    <cellStyle name="Total 6 2 2 6" xfId="42559"/>
    <cellStyle name="Total 6 2 2 6 2" xfId="42560"/>
    <cellStyle name="Total 6 2 2 6 2 2" xfId="42561"/>
    <cellStyle name="Total 6 2 2 6 2 3" xfId="42562"/>
    <cellStyle name="Total 6 2 2 6 2 4" xfId="42563"/>
    <cellStyle name="Total 6 2 2 6 3" xfId="42564"/>
    <cellStyle name="Total 6 2 2 6 3 2" xfId="42565"/>
    <cellStyle name="Total 6 2 2 6 3 3" xfId="42566"/>
    <cellStyle name="Total 6 2 2 6 3 4" xfId="42567"/>
    <cellStyle name="Total 6 2 2 6 4" xfId="42568"/>
    <cellStyle name="Total 6 2 2 6 4 2" xfId="42569"/>
    <cellStyle name="Total 6 2 2 6 4 3" xfId="42570"/>
    <cellStyle name="Total 6 2 2 6 4 4" xfId="42571"/>
    <cellStyle name="Total 6 2 2 6 5" xfId="42572"/>
    <cellStyle name="Total 6 2 2 6 6" xfId="42573"/>
    <cellStyle name="Total 6 2 2 6 7" xfId="42574"/>
    <cellStyle name="Total 6 2 2 7" xfId="42575"/>
    <cellStyle name="Total 6 2 2 7 2" xfId="42576"/>
    <cellStyle name="Total 6 2 2 7 3" xfId="42577"/>
    <cellStyle name="Total 6 2 2 7 4" xfId="42578"/>
    <cellStyle name="Total 6 2 2 8" xfId="42579"/>
    <cellStyle name="Total 6 2 2 8 2" xfId="42580"/>
    <cellStyle name="Total 6 2 2 8 3" xfId="42581"/>
    <cellStyle name="Total 6 2 2 8 4" xfId="42582"/>
    <cellStyle name="Total 6 2 2 9" xfId="42583"/>
    <cellStyle name="Total 6 2 2 9 2" xfId="42584"/>
    <cellStyle name="Total 6 2 2 9 3" xfId="42585"/>
    <cellStyle name="Total 6 2 2 9 4" xfId="42586"/>
    <cellStyle name="Total 6 2 3" xfId="938"/>
    <cellStyle name="Total 6 2 3 10" xfId="42587"/>
    <cellStyle name="Total 6 2 3 11" xfId="42588"/>
    <cellStyle name="Total 6 2 3 12" xfId="42589"/>
    <cellStyle name="Total 6 2 3 2" xfId="42590"/>
    <cellStyle name="Total 6 2 3 2 2" xfId="42591"/>
    <cellStyle name="Total 6 2 3 2 2 2" xfId="42592"/>
    <cellStyle name="Total 6 2 3 2 2 3" xfId="42593"/>
    <cellStyle name="Total 6 2 3 2 2 4" xfId="42594"/>
    <cellStyle name="Total 6 2 3 2 3" xfId="42595"/>
    <cellStyle name="Total 6 2 3 2 3 2" xfId="42596"/>
    <cellStyle name="Total 6 2 3 2 3 3" xfId="42597"/>
    <cellStyle name="Total 6 2 3 2 3 4" xfId="42598"/>
    <cellStyle name="Total 6 2 3 2 4" xfId="42599"/>
    <cellStyle name="Total 6 2 3 2 4 2" xfId="42600"/>
    <cellStyle name="Total 6 2 3 2 4 3" xfId="42601"/>
    <cellStyle name="Total 6 2 3 2 4 4" xfId="42602"/>
    <cellStyle name="Total 6 2 3 2 5" xfId="42603"/>
    <cellStyle name="Total 6 2 3 2 6" xfId="42604"/>
    <cellStyle name="Total 6 2 3 2 7" xfId="42605"/>
    <cellStyle name="Total 6 2 3 3" xfId="42606"/>
    <cellStyle name="Total 6 2 3 3 2" xfId="42607"/>
    <cellStyle name="Total 6 2 3 3 2 2" xfId="42608"/>
    <cellStyle name="Total 6 2 3 3 2 3" xfId="42609"/>
    <cellStyle name="Total 6 2 3 3 2 4" xfId="42610"/>
    <cellStyle name="Total 6 2 3 3 3" xfId="42611"/>
    <cellStyle name="Total 6 2 3 3 3 2" xfId="42612"/>
    <cellStyle name="Total 6 2 3 3 3 3" xfId="42613"/>
    <cellStyle name="Total 6 2 3 3 3 4" xfId="42614"/>
    <cellStyle name="Total 6 2 3 3 4" xfId="42615"/>
    <cellStyle name="Total 6 2 3 3 4 2" xfId="42616"/>
    <cellStyle name="Total 6 2 3 3 4 3" xfId="42617"/>
    <cellStyle name="Total 6 2 3 3 4 4" xfId="42618"/>
    <cellStyle name="Total 6 2 3 3 5" xfId="42619"/>
    <cellStyle name="Total 6 2 3 3 6" xfId="42620"/>
    <cellStyle name="Total 6 2 3 3 7" xfId="42621"/>
    <cellStyle name="Total 6 2 3 4" xfId="42622"/>
    <cellStyle name="Total 6 2 3 4 2" xfId="42623"/>
    <cellStyle name="Total 6 2 3 4 2 2" xfId="42624"/>
    <cellStyle name="Total 6 2 3 4 2 3" xfId="42625"/>
    <cellStyle name="Total 6 2 3 4 2 4" xfId="42626"/>
    <cellStyle name="Total 6 2 3 4 3" xfId="42627"/>
    <cellStyle name="Total 6 2 3 4 3 2" xfId="42628"/>
    <cellStyle name="Total 6 2 3 4 3 3" xfId="42629"/>
    <cellStyle name="Total 6 2 3 4 3 4" xfId="42630"/>
    <cellStyle name="Total 6 2 3 4 4" xfId="42631"/>
    <cellStyle name="Total 6 2 3 4 4 2" xfId="42632"/>
    <cellStyle name="Total 6 2 3 4 4 3" xfId="42633"/>
    <cellStyle name="Total 6 2 3 4 4 4" xfId="42634"/>
    <cellStyle name="Total 6 2 3 4 5" xfId="42635"/>
    <cellStyle name="Total 6 2 3 4 6" xfId="42636"/>
    <cellStyle name="Total 6 2 3 4 7" xfId="42637"/>
    <cellStyle name="Total 6 2 3 5" xfId="42638"/>
    <cellStyle name="Total 6 2 3 5 2" xfId="42639"/>
    <cellStyle name="Total 6 2 3 5 2 2" xfId="42640"/>
    <cellStyle name="Total 6 2 3 5 2 3" xfId="42641"/>
    <cellStyle name="Total 6 2 3 5 2 4" xfId="42642"/>
    <cellStyle name="Total 6 2 3 5 3" xfId="42643"/>
    <cellStyle name="Total 6 2 3 5 3 2" xfId="42644"/>
    <cellStyle name="Total 6 2 3 5 3 3" xfId="42645"/>
    <cellStyle name="Total 6 2 3 5 3 4" xfId="42646"/>
    <cellStyle name="Total 6 2 3 5 4" xfId="42647"/>
    <cellStyle name="Total 6 2 3 5 4 2" xfId="42648"/>
    <cellStyle name="Total 6 2 3 5 4 3" xfId="42649"/>
    <cellStyle name="Total 6 2 3 5 4 4" xfId="42650"/>
    <cellStyle name="Total 6 2 3 5 5" xfId="42651"/>
    <cellStyle name="Total 6 2 3 5 6" xfId="42652"/>
    <cellStyle name="Total 6 2 3 5 7" xfId="42653"/>
    <cellStyle name="Total 6 2 3 6" xfId="42654"/>
    <cellStyle name="Total 6 2 3 6 2" xfId="42655"/>
    <cellStyle name="Total 6 2 3 6 2 2" xfId="42656"/>
    <cellStyle name="Total 6 2 3 6 2 3" xfId="42657"/>
    <cellStyle name="Total 6 2 3 6 2 4" xfId="42658"/>
    <cellStyle name="Total 6 2 3 6 3" xfId="42659"/>
    <cellStyle name="Total 6 2 3 6 3 2" xfId="42660"/>
    <cellStyle name="Total 6 2 3 6 3 3" xfId="42661"/>
    <cellStyle name="Total 6 2 3 6 3 4" xfId="42662"/>
    <cellStyle name="Total 6 2 3 6 4" xfId="42663"/>
    <cellStyle name="Total 6 2 3 6 4 2" xfId="42664"/>
    <cellStyle name="Total 6 2 3 6 4 3" xfId="42665"/>
    <cellStyle name="Total 6 2 3 6 4 4" xfId="42666"/>
    <cellStyle name="Total 6 2 3 6 5" xfId="42667"/>
    <cellStyle name="Total 6 2 3 6 6" xfId="42668"/>
    <cellStyle name="Total 6 2 3 6 7" xfId="42669"/>
    <cellStyle name="Total 6 2 3 7" xfId="42670"/>
    <cellStyle name="Total 6 2 3 7 2" xfId="42671"/>
    <cellStyle name="Total 6 2 3 7 3" xfId="42672"/>
    <cellStyle name="Total 6 2 3 7 4" xfId="42673"/>
    <cellStyle name="Total 6 2 3 8" xfId="42674"/>
    <cellStyle name="Total 6 2 3 8 2" xfId="42675"/>
    <cellStyle name="Total 6 2 3 8 3" xfId="42676"/>
    <cellStyle name="Total 6 2 3 8 4" xfId="42677"/>
    <cellStyle name="Total 6 2 3 9" xfId="42678"/>
    <cellStyle name="Total 6 2 3 9 2" xfId="42679"/>
    <cellStyle name="Total 6 2 3 9 3" xfId="42680"/>
    <cellStyle name="Total 6 2 3 9 4" xfId="42681"/>
    <cellStyle name="Total 6 2 4" xfId="988"/>
    <cellStyle name="Total 6 2 4 10" xfId="42682"/>
    <cellStyle name="Total 6 2 4 11" xfId="42683"/>
    <cellStyle name="Total 6 2 4 12" xfId="42684"/>
    <cellStyle name="Total 6 2 4 2" xfId="42685"/>
    <cellStyle name="Total 6 2 4 2 2" xfId="42686"/>
    <cellStyle name="Total 6 2 4 2 2 2" xfId="42687"/>
    <cellStyle name="Total 6 2 4 2 2 3" xfId="42688"/>
    <cellStyle name="Total 6 2 4 2 2 4" xfId="42689"/>
    <cellStyle name="Total 6 2 4 2 3" xfId="42690"/>
    <cellStyle name="Total 6 2 4 2 3 2" xfId="42691"/>
    <cellStyle name="Total 6 2 4 2 3 3" xfId="42692"/>
    <cellStyle name="Total 6 2 4 2 3 4" xfId="42693"/>
    <cellStyle name="Total 6 2 4 2 4" xfId="42694"/>
    <cellStyle name="Total 6 2 4 2 4 2" xfId="42695"/>
    <cellStyle name="Total 6 2 4 2 4 3" xfId="42696"/>
    <cellStyle name="Total 6 2 4 2 4 4" xfId="42697"/>
    <cellStyle name="Total 6 2 4 2 5" xfId="42698"/>
    <cellStyle name="Total 6 2 4 2 6" xfId="42699"/>
    <cellStyle name="Total 6 2 4 2 7" xfId="42700"/>
    <cellStyle name="Total 6 2 4 3" xfId="42701"/>
    <cellStyle name="Total 6 2 4 3 2" xfId="42702"/>
    <cellStyle name="Total 6 2 4 3 2 2" xfId="42703"/>
    <cellStyle name="Total 6 2 4 3 2 3" xfId="42704"/>
    <cellStyle name="Total 6 2 4 3 2 4" xfId="42705"/>
    <cellStyle name="Total 6 2 4 3 3" xfId="42706"/>
    <cellStyle name="Total 6 2 4 3 3 2" xfId="42707"/>
    <cellStyle name="Total 6 2 4 3 3 3" xfId="42708"/>
    <cellStyle name="Total 6 2 4 3 3 4" xfId="42709"/>
    <cellStyle name="Total 6 2 4 3 4" xfId="42710"/>
    <cellStyle name="Total 6 2 4 3 4 2" xfId="42711"/>
    <cellStyle name="Total 6 2 4 3 4 3" xfId="42712"/>
    <cellStyle name="Total 6 2 4 3 4 4" xfId="42713"/>
    <cellStyle name="Total 6 2 4 3 5" xfId="42714"/>
    <cellStyle name="Total 6 2 4 3 6" xfId="42715"/>
    <cellStyle name="Total 6 2 4 3 7" xfId="42716"/>
    <cellStyle name="Total 6 2 4 4" xfId="42717"/>
    <cellStyle name="Total 6 2 4 4 2" xfId="42718"/>
    <cellStyle name="Total 6 2 4 4 2 2" xfId="42719"/>
    <cellStyle name="Total 6 2 4 4 2 3" xfId="42720"/>
    <cellStyle name="Total 6 2 4 4 2 4" xfId="42721"/>
    <cellStyle name="Total 6 2 4 4 3" xfId="42722"/>
    <cellStyle name="Total 6 2 4 4 3 2" xfId="42723"/>
    <cellStyle name="Total 6 2 4 4 3 3" xfId="42724"/>
    <cellStyle name="Total 6 2 4 4 3 4" xfId="42725"/>
    <cellStyle name="Total 6 2 4 4 4" xfId="42726"/>
    <cellStyle name="Total 6 2 4 4 4 2" xfId="42727"/>
    <cellStyle name="Total 6 2 4 4 4 3" xfId="42728"/>
    <cellStyle name="Total 6 2 4 4 4 4" xfId="42729"/>
    <cellStyle name="Total 6 2 4 4 5" xfId="42730"/>
    <cellStyle name="Total 6 2 4 4 6" xfId="42731"/>
    <cellStyle name="Total 6 2 4 4 7" xfId="42732"/>
    <cellStyle name="Total 6 2 4 5" xfId="42733"/>
    <cellStyle name="Total 6 2 4 5 2" xfId="42734"/>
    <cellStyle name="Total 6 2 4 5 2 2" xfId="42735"/>
    <cellStyle name="Total 6 2 4 5 2 3" xfId="42736"/>
    <cellStyle name="Total 6 2 4 5 2 4" xfId="42737"/>
    <cellStyle name="Total 6 2 4 5 3" xfId="42738"/>
    <cellStyle name="Total 6 2 4 5 3 2" xfId="42739"/>
    <cellStyle name="Total 6 2 4 5 3 3" xfId="42740"/>
    <cellStyle name="Total 6 2 4 5 3 4" xfId="42741"/>
    <cellStyle name="Total 6 2 4 5 4" xfId="42742"/>
    <cellStyle name="Total 6 2 4 5 4 2" xfId="42743"/>
    <cellStyle name="Total 6 2 4 5 4 3" xfId="42744"/>
    <cellStyle name="Total 6 2 4 5 4 4" xfId="42745"/>
    <cellStyle name="Total 6 2 4 5 5" xfId="42746"/>
    <cellStyle name="Total 6 2 4 5 6" xfId="42747"/>
    <cellStyle name="Total 6 2 4 5 7" xfId="42748"/>
    <cellStyle name="Total 6 2 4 6" xfId="42749"/>
    <cellStyle name="Total 6 2 4 6 2" xfId="42750"/>
    <cellStyle name="Total 6 2 4 6 2 2" xfId="42751"/>
    <cellStyle name="Total 6 2 4 6 2 3" xfId="42752"/>
    <cellStyle name="Total 6 2 4 6 2 4" xfId="42753"/>
    <cellStyle name="Total 6 2 4 6 3" xfId="42754"/>
    <cellStyle name="Total 6 2 4 6 3 2" xfId="42755"/>
    <cellStyle name="Total 6 2 4 6 3 3" xfId="42756"/>
    <cellStyle name="Total 6 2 4 6 3 4" xfId="42757"/>
    <cellStyle name="Total 6 2 4 6 4" xfId="42758"/>
    <cellStyle name="Total 6 2 4 6 4 2" xfId="42759"/>
    <cellStyle name="Total 6 2 4 6 4 3" xfId="42760"/>
    <cellStyle name="Total 6 2 4 6 4 4" xfId="42761"/>
    <cellStyle name="Total 6 2 4 6 5" xfId="42762"/>
    <cellStyle name="Total 6 2 4 6 6" xfId="42763"/>
    <cellStyle name="Total 6 2 4 6 7" xfId="42764"/>
    <cellStyle name="Total 6 2 4 7" xfId="42765"/>
    <cellStyle name="Total 6 2 4 7 2" xfId="42766"/>
    <cellStyle name="Total 6 2 4 7 3" xfId="42767"/>
    <cellStyle name="Total 6 2 4 7 4" xfId="42768"/>
    <cellStyle name="Total 6 2 4 8" xfId="42769"/>
    <cellStyle name="Total 6 2 4 8 2" xfId="42770"/>
    <cellStyle name="Total 6 2 4 8 3" xfId="42771"/>
    <cellStyle name="Total 6 2 4 8 4" xfId="42772"/>
    <cellStyle name="Total 6 2 4 9" xfId="42773"/>
    <cellStyle name="Total 6 2 4 9 2" xfId="42774"/>
    <cellStyle name="Total 6 2 4 9 3" xfId="42775"/>
    <cellStyle name="Total 6 2 4 9 4" xfId="42776"/>
    <cellStyle name="Total 6 2 5" xfId="42777"/>
    <cellStyle name="Total 6 2 5 10" xfId="42778"/>
    <cellStyle name="Total 6 2 5 11" xfId="42779"/>
    <cellStyle name="Total 6 2 5 12" xfId="42780"/>
    <cellStyle name="Total 6 2 5 2" xfId="42781"/>
    <cellStyle name="Total 6 2 5 2 2" xfId="42782"/>
    <cellStyle name="Total 6 2 5 2 2 2" xfId="42783"/>
    <cellStyle name="Total 6 2 5 2 2 3" xfId="42784"/>
    <cellStyle name="Total 6 2 5 2 2 4" xfId="42785"/>
    <cellStyle name="Total 6 2 5 2 3" xfId="42786"/>
    <cellStyle name="Total 6 2 5 2 3 2" xfId="42787"/>
    <cellStyle name="Total 6 2 5 2 3 3" xfId="42788"/>
    <cellStyle name="Total 6 2 5 2 3 4" xfId="42789"/>
    <cellStyle name="Total 6 2 5 2 4" xfId="42790"/>
    <cellStyle name="Total 6 2 5 2 4 2" xfId="42791"/>
    <cellStyle name="Total 6 2 5 2 4 3" xfId="42792"/>
    <cellStyle name="Total 6 2 5 2 4 4" xfId="42793"/>
    <cellStyle name="Total 6 2 5 2 5" xfId="42794"/>
    <cellStyle name="Total 6 2 5 2 6" xfId="42795"/>
    <cellStyle name="Total 6 2 5 2 7" xfId="42796"/>
    <cellStyle name="Total 6 2 5 3" xfId="42797"/>
    <cellStyle name="Total 6 2 5 3 2" xfId="42798"/>
    <cellStyle name="Total 6 2 5 3 2 2" xfId="42799"/>
    <cellStyle name="Total 6 2 5 3 2 3" xfId="42800"/>
    <cellStyle name="Total 6 2 5 3 2 4" xfId="42801"/>
    <cellStyle name="Total 6 2 5 3 3" xfId="42802"/>
    <cellStyle name="Total 6 2 5 3 3 2" xfId="42803"/>
    <cellStyle name="Total 6 2 5 3 3 3" xfId="42804"/>
    <cellStyle name="Total 6 2 5 3 3 4" xfId="42805"/>
    <cellStyle name="Total 6 2 5 3 4" xfId="42806"/>
    <cellStyle name="Total 6 2 5 3 4 2" xfId="42807"/>
    <cellStyle name="Total 6 2 5 3 4 3" xfId="42808"/>
    <cellStyle name="Total 6 2 5 3 4 4" xfId="42809"/>
    <cellStyle name="Total 6 2 5 3 5" xfId="42810"/>
    <cellStyle name="Total 6 2 5 3 6" xfId="42811"/>
    <cellStyle name="Total 6 2 5 3 7" xfId="42812"/>
    <cellStyle name="Total 6 2 5 4" xfId="42813"/>
    <cellStyle name="Total 6 2 5 4 2" xfId="42814"/>
    <cellStyle name="Total 6 2 5 4 2 2" xfId="42815"/>
    <cellStyle name="Total 6 2 5 4 2 3" xfId="42816"/>
    <cellStyle name="Total 6 2 5 4 2 4" xfId="42817"/>
    <cellStyle name="Total 6 2 5 4 3" xfId="42818"/>
    <cellStyle name="Total 6 2 5 4 3 2" xfId="42819"/>
    <cellStyle name="Total 6 2 5 4 3 3" xfId="42820"/>
    <cellStyle name="Total 6 2 5 4 3 4" xfId="42821"/>
    <cellStyle name="Total 6 2 5 4 4" xfId="42822"/>
    <cellStyle name="Total 6 2 5 4 4 2" xfId="42823"/>
    <cellStyle name="Total 6 2 5 4 4 3" xfId="42824"/>
    <cellStyle name="Total 6 2 5 4 4 4" xfId="42825"/>
    <cellStyle name="Total 6 2 5 4 5" xfId="42826"/>
    <cellStyle name="Total 6 2 5 4 6" xfId="42827"/>
    <cellStyle name="Total 6 2 5 4 7" xfId="42828"/>
    <cellStyle name="Total 6 2 5 5" xfId="42829"/>
    <cellStyle name="Total 6 2 5 5 2" xfId="42830"/>
    <cellStyle name="Total 6 2 5 5 2 2" xfId="42831"/>
    <cellStyle name="Total 6 2 5 5 2 3" xfId="42832"/>
    <cellStyle name="Total 6 2 5 5 2 4" xfId="42833"/>
    <cellStyle name="Total 6 2 5 5 3" xfId="42834"/>
    <cellStyle name="Total 6 2 5 5 3 2" xfId="42835"/>
    <cellStyle name="Total 6 2 5 5 3 3" xfId="42836"/>
    <cellStyle name="Total 6 2 5 5 3 4" xfId="42837"/>
    <cellStyle name="Total 6 2 5 5 4" xfId="42838"/>
    <cellStyle name="Total 6 2 5 5 4 2" xfId="42839"/>
    <cellStyle name="Total 6 2 5 5 4 3" xfId="42840"/>
    <cellStyle name="Total 6 2 5 5 4 4" xfId="42841"/>
    <cellStyle name="Total 6 2 5 5 5" xfId="42842"/>
    <cellStyle name="Total 6 2 5 5 6" xfId="42843"/>
    <cellStyle name="Total 6 2 5 5 7" xfId="42844"/>
    <cellStyle name="Total 6 2 5 6" xfId="42845"/>
    <cellStyle name="Total 6 2 5 6 2" xfId="42846"/>
    <cellStyle name="Total 6 2 5 6 2 2" xfId="42847"/>
    <cellStyle name="Total 6 2 5 6 2 3" xfId="42848"/>
    <cellStyle name="Total 6 2 5 6 2 4" xfId="42849"/>
    <cellStyle name="Total 6 2 5 6 3" xfId="42850"/>
    <cellStyle name="Total 6 2 5 6 3 2" xfId="42851"/>
    <cellStyle name="Total 6 2 5 6 3 3" xfId="42852"/>
    <cellStyle name="Total 6 2 5 6 3 4" xfId="42853"/>
    <cellStyle name="Total 6 2 5 6 4" xfId="42854"/>
    <cellStyle name="Total 6 2 5 6 4 2" xfId="42855"/>
    <cellStyle name="Total 6 2 5 6 4 3" xfId="42856"/>
    <cellStyle name="Total 6 2 5 6 4 4" xfId="42857"/>
    <cellStyle name="Total 6 2 5 6 5" xfId="42858"/>
    <cellStyle name="Total 6 2 5 6 6" xfId="42859"/>
    <cellStyle name="Total 6 2 5 6 7" xfId="42860"/>
    <cellStyle name="Total 6 2 5 7" xfId="42861"/>
    <cellStyle name="Total 6 2 5 7 2" xfId="42862"/>
    <cellStyle name="Total 6 2 5 7 3" xfId="42863"/>
    <cellStyle name="Total 6 2 5 7 4" xfId="42864"/>
    <cellStyle name="Total 6 2 5 8" xfId="42865"/>
    <cellStyle name="Total 6 2 5 8 2" xfId="42866"/>
    <cellStyle name="Total 6 2 5 8 3" xfId="42867"/>
    <cellStyle name="Total 6 2 5 8 4" xfId="42868"/>
    <cellStyle name="Total 6 2 5 9" xfId="42869"/>
    <cellStyle name="Total 6 2 5 9 2" xfId="42870"/>
    <cellStyle name="Total 6 2 5 9 3" xfId="42871"/>
    <cellStyle name="Total 6 2 5 9 4" xfId="42872"/>
    <cellStyle name="Total 6 2 6" xfId="42873"/>
    <cellStyle name="Total 6 2 6 2" xfId="42874"/>
    <cellStyle name="Total 6 2 6 2 2" xfId="42875"/>
    <cellStyle name="Total 6 2 6 2 3" xfId="42876"/>
    <cellStyle name="Total 6 2 6 2 4" xfId="42877"/>
    <cellStyle name="Total 6 2 6 3" xfId="42878"/>
    <cellStyle name="Total 6 2 6 3 2" xfId="42879"/>
    <cellStyle name="Total 6 2 6 3 3" xfId="42880"/>
    <cellStyle name="Total 6 2 6 3 4" xfId="42881"/>
    <cellStyle name="Total 6 2 6 4" xfId="42882"/>
    <cellStyle name="Total 6 2 6 4 2" xfId="42883"/>
    <cellStyle name="Total 6 2 6 4 3" xfId="42884"/>
    <cellStyle name="Total 6 2 6 4 4" xfId="42885"/>
    <cellStyle name="Total 6 2 6 5" xfId="42886"/>
    <cellStyle name="Total 6 2 6 6" xfId="42887"/>
    <cellStyle name="Total 6 2 6 7" xfId="42888"/>
    <cellStyle name="Total 6 2 7" xfId="42889"/>
    <cellStyle name="Total 6 2 7 2" xfId="42890"/>
    <cellStyle name="Total 6 2 7 2 2" xfId="42891"/>
    <cellStyle name="Total 6 2 7 2 3" xfId="42892"/>
    <cellStyle name="Total 6 2 7 2 4" xfId="42893"/>
    <cellStyle name="Total 6 2 7 3" xfId="42894"/>
    <cellStyle name="Total 6 2 7 3 2" xfId="42895"/>
    <cellStyle name="Total 6 2 7 3 3" xfId="42896"/>
    <cellStyle name="Total 6 2 7 3 4" xfId="42897"/>
    <cellStyle name="Total 6 2 7 4" xfId="42898"/>
    <cellStyle name="Total 6 2 7 4 2" xfId="42899"/>
    <cellStyle name="Total 6 2 7 4 3" xfId="42900"/>
    <cellStyle name="Total 6 2 7 4 4" xfId="42901"/>
    <cellStyle name="Total 6 2 7 5" xfId="42902"/>
    <cellStyle name="Total 6 2 7 6" xfId="42903"/>
    <cellStyle name="Total 6 2 7 7" xfId="42904"/>
    <cellStyle name="Total 6 2 8" xfId="42905"/>
    <cellStyle name="Total 6 2 8 2" xfId="42906"/>
    <cellStyle name="Total 6 2 8 2 2" xfId="42907"/>
    <cellStyle name="Total 6 2 8 2 3" xfId="42908"/>
    <cellStyle name="Total 6 2 8 2 4" xfId="42909"/>
    <cellStyle name="Total 6 2 8 3" xfId="42910"/>
    <cellStyle name="Total 6 2 8 3 2" xfId="42911"/>
    <cellStyle name="Total 6 2 8 3 3" xfId="42912"/>
    <cellStyle name="Total 6 2 8 3 4" xfId="42913"/>
    <cellStyle name="Total 6 2 8 4" xfId="42914"/>
    <cellStyle name="Total 6 2 8 4 2" xfId="42915"/>
    <cellStyle name="Total 6 2 8 4 3" xfId="42916"/>
    <cellStyle name="Total 6 2 8 4 4" xfId="42917"/>
    <cellStyle name="Total 6 2 8 5" xfId="42918"/>
    <cellStyle name="Total 6 2 8 6" xfId="42919"/>
    <cellStyle name="Total 6 2 8 7" xfId="42920"/>
    <cellStyle name="Total 6 2 9" xfId="42921"/>
    <cellStyle name="Total 6 2 9 2" xfId="42922"/>
    <cellStyle name="Total 6 2 9 2 2" xfId="42923"/>
    <cellStyle name="Total 6 2 9 2 3" xfId="42924"/>
    <cellStyle name="Total 6 2 9 2 4" xfId="42925"/>
    <cellStyle name="Total 6 2 9 3" xfId="42926"/>
    <cellStyle name="Total 6 2 9 3 2" xfId="42927"/>
    <cellStyle name="Total 6 2 9 3 3" xfId="42928"/>
    <cellStyle name="Total 6 2 9 3 4" xfId="42929"/>
    <cellStyle name="Total 6 2 9 4" xfId="42930"/>
    <cellStyle name="Total 6 2 9 4 2" xfId="42931"/>
    <cellStyle name="Total 6 2 9 4 3" xfId="42932"/>
    <cellStyle name="Total 6 2 9 4 4" xfId="42933"/>
    <cellStyle name="Total 6 2 9 5" xfId="42934"/>
    <cellStyle name="Total 6 2 9 6" xfId="42935"/>
    <cellStyle name="Total 6 2 9 7" xfId="42936"/>
    <cellStyle name="Total 6 3" xfId="1173"/>
    <cellStyle name="Total 6 3 10" xfId="42937"/>
    <cellStyle name="Total 6 3 11" xfId="42938"/>
    <cellStyle name="Total 6 3 12" xfId="42939"/>
    <cellStyle name="Total 6 3 2" xfId="42940"/>
    <cellStyle name="Total 6 3 2 2" xfId="42941"/>
    <cellStyle name="Total 6 3 2 2 2" xfId="42942"/>
    <cellStyle name="Total 6 3 2 2 3" xfId="42943"/>
    <cellStyle name="Total 6 3 2 2 4" xfId="42944"/>
    <cellStyle name="Total 6 3 2 3" xfId="42945"/>
    <cellStyle name="Total 6 3 2 3 2" xfId="42946"/>
    <cellStyle name="Total 6 3 2 3 3" xfId="42947"/>
    <cellStyle name="Total 6 3 2 3 4" xfId="42948"/>
    <cellStyle name="Total 6 3 2 4" xfId="42949"/>
    <cellStyle name="Total 6 3 2 4 2" xfId="42950"/>
    <cellStyle name="Total 6 3 2 4 3" xfId="42951"/>
    <cellStyle name="Total 6 3 2 4 4" xfId="42952"/>
    <cellStyle name="Total 6 3 2 5" xfId="42953"/>
    <cellStyle name="Total 6 3 2 6" xfId="42954"/>
    <cellStyle name="Total 6 3 2 7" xfId="42955"/>
    <cellStyle name="Total 6 3 3" xfId="42956"/>
    <cellStyle name="Total 6 3 3 2" xfId="42957"/>
    <cellStyle name="Total 6 3 3 2 2" xfId="42958"/>
    <cellStyle name="Total 6 3 3 2 3" xfId="42959"/>
    <cellStyle name="Total 6 3 3 2 4" xfId="42960"/>
    <cellStyle name="Total 6 3 3 3" xfId="42961"/>
    <cellStyle name="Total 6 3 3 3 2" xfId="42962"/>
    <cellStyle name="Total 6 3 3 3 3" xfId="42963"/>
    <cellStyle name="Total 6 3 3 3 4" xfId="42964"/>
    <cellStyle name="Total 6 3 3 4" xfId="42965"/>
    <cellStyle name="Total 6 3 3 4 2" xfId="42966"/>
    <cellStyle name="Total 6 3 3 4 3" xfId="42967"/>
    <cellStyle name="Total 6 3 3 4 4" xfId="42968"/>
    <cellStyle name="Total 6 3 3 5" xfId="42969"/>
    <cellStyle name="Total 6 3 3 6" xfId="42970"/>
    <cellStyle name="Total 6 3 3 7" xfId="42971"/>
    <cellStyle name="Total 6 3 4" xfId="42972"/>
    <cellStyle name="Total 6 3 4 2" xfId="42973"/>
    <cellStyle name="Total 6 3 4 2 2" xfId="42974"/>
    <cellStyle name="Total 6 3 4 2 3" xfId="42975"/>
    <cellStyle name="Total 6 3 4 2 4" xfId="42976"/>
    <cellStyle name="Total 6 3 4 3" xfId="42977"/>
    <cellStyle name="Total 6 3 4 3 2" xfId="42978"/>
    <cellStyle name="Total 6 3 4 3 3" xfId="42979"/>
    <cellStyle name="Total 6 3 4 3 4" xfId="42980"/>
    <cellStyle name="Total 6 3 4 4" xfId="42981"/>
    <cellStyle name="Total 6 3 4 4 2" xfId="42982"/>
    <cellStyle name="Total 6 3 4 4 3" xfId="42983"/>
    <cellStyle name="Total 6 3 4 4 4" xfId="42984"/>
    <cellStyle name="Total 6 3 4 5" xfId="42985"/>
    <cellStyle name="Total 6 3 4 6" xfId="42986"/>
    <cellStyle name="Total 6 3 4 7" xfId="42987"/>
    <cellStyle name="Total 6 3 5" xfId="42988"/>
    <cellStyle name="Total 6 3 5 2" xfId="42989"/>
    <cellStyle name="Total 6 3 5 2 2" xfId="42990"/>
    <cellStyle name="Total 6 3 5 2 3" xfId="42991"/>
    <cellStyle name="Total 6 3 5 2 4" xfId="42992"/>
    <cellStyle name="Total 6 3 5 3" xfId="42993"/>
    <cellStyle name="Total 6 3 5 3 2" xfId="42994"/>
    <cellStyle name="Total 6 3 5 3 3" xfId="42995"/>
    <cellStyle name="Total 6 3 5 3 4" xfId="42996"/>
    <cellStyle name="Total 6 3 5 4" xfId="42997"/>
    <cellStyle name="Total 6 3 5 4 2" xfId="42998"/>
    <cellStyle name="Total 6 3 5 4 3" xfId="42999"/>
    <cellStyle name="Total 6 3 5 4 4" xfId="43000"/>
    <cellStyle name="Total 6 3 5 5" xfId="43001"/>
    <cellStyle name="Total 6 3 5 6" xfId="43002"/>
    <cellStyle name="Total 6 3 5 7" xfId="43003"/>
    <cellStyle name="Total 6 3 6" xfId="43004"/>
    <cellStyle name="Total 6 3 6 2" xfId="43005"/>
    <cellStyle name="Total 6 3 6 2 2" xfId="43006"/>
    <cellStyle name="Total 6 3 6 2 3" xfId="43007"/>
    <cellStyle name="Total 6 3 6 2 4" xfId="43008"/>
    <cellStyle name="Total 6 3 6 3" xfId="43009"/>
    <cellStyle name="Total 6 3 6 3 2" xfId="43010"/>
    <cellStyle name="Total 6 3 6 3 3" xfId="43011"/>
    <cellStyle name="Total 6 3 6 3 4" xfId="43012"/>
    <cellStyle name="Total 6 3 6 4" xfId="43013"/>
    <cellStyle name="Total 6 3 6 4 2" xfId="43014"/>
    <cellStyle name="Total 6 3 6 4 3" xfId="43015"/>
    <cellStyle name="Total 6 3 6 4 4" xfId="43016"/>
    <cellStyle name="Total 6 3 6 5" xfId="43017"/>
    <cellStyle name="Total 6 3 6 6" xfId="43018"/>
    <cellStyle name="Total 6 3 6 7" xfId="43019"/>
    <cellStyle name="Total 6 3 7" xfId="43020"/>
    <cellStyle name="Total 6 3 7 2" xfId="43021"/>
    <cellStyle name="Total 6 3 7 3" xfId="43022"/>
    <cellStyle name="Total 6 3 7 4" xfId="43023"/>
    <cellStyle name="Total 6 3 8" xfId="43024"/>
    <cellStyle name="Total 6 3 8 2" xfId="43025"/>
    <cellStyle name="Total 6 3 8 3" xfId="43026"/>
    <cellStyle name="Total 6 3 8 4" xfId="43027"/>
    <cellStyle name="Total 6 3 9" xfId="43028"/>
    <cellStyle name="Total 6 3 9 2" xfId="43029"/>
    <cellStyle name="Total 6 3 9 3" xfId="43030"/>
    <cellStyle name="Total 6 3 9 4" xfId="43031"/>
    <cellStyle name="Total 6 4" xfId="3247"/>
    <cellStyle name="Total 6 5" xfId="3279"/>
    <cellStyle name="Total 6 6" xfId="3303"/>
    <cellStyle name="Total 6 7" xfId="3316"/>
    <cellStyle name="Total 7" xfId="713"/>
    <cellStyle name="Total 7 10" xfId="43032"/>
    <cellStyle name="Total 7 10 2" xfId="43033"/>
    <cellStyle name="Total 7 10 2 2" xfId="43034"/>
    <cellStyle name="Total 7 10 2 3" xfId="43035"/>
    <cellStyle name="Total 7 10 2 4" xfId="43036"/>
    <cellStyle name="Total 7 10 3" xfId="43037"/>
    <cellStyle name="Total 7 10 3 2" xfId="43038"/>
    <cellStyle name="Total 7 10 3 3" xfId="43039"/>
    <cellStyle name="Total 7 10 3 4" xfId="43040"/>
    <cellStyle name="Total 7 10 4" xfId="43041"/>
    <cellStyle name="Total 7 10 4 2" xfId="43042"/>
    <cellStyle name="Total 7 10 4 3" xfId="43043"/>
    <cellStyle name="Total 7 10 4 4" xfId="43044"/>
    <cellStyle name="Total 7 10 5" xfId="43045"/>
    <cellStyle name="Total 7 10 6" xfId="43046"/>
    <cellStyle name="Total 7 10 7" xfId="43047"/>
    <cellStyle name="Total 7 11" xfId="43048"/>
    <cellStyle name="Total 7 11 2" xfId="43049"/>
    <cellStyle name="Total 7 11 2 2" xfId="43050"/>
    <cellStyle name="Total 7 11 2 3" xfId="43051"/>
    <cellStyle name="Total 7 11 2 4" xfId="43052"/>
    <cellStyle name="Total 7 11 3" xfId="43053"/>
    <cellStyle name="Total 7 11 3 2" xfId="43054"/>
    <cellStyle name="Total 7 11 3 3" xfId="43055"/>
    <cellStyle name="Total 7 11 3 4" xfId="43056"/>
    <cellStyle name="Total 7 11 4" xfId="43057"/>
    <cellStyle name="Total 7 11 4 2" xfId="43058"/>
    <cellStyle name="Total 7 11 4 3" xfId="43059"/>
    <cellStyle name="Total 7 11 4 4" xfId="43060"/>
    <cellStyle name="Total 7 11 5" xfId="43061"/>
    <cellStyle name="Total 7 11 6" xfId="43062"/>
    <cellStyle name="Total 7 11 7" xfId="43063"/>
    <cellStyle name="Total 7 12" xfId="43064"/>
    <cellStyle name="Total 7 12 2" xfId="43065"/>
    <cellStyle name="Total 7 12 2 2" xfId="43066"/>
    <cellStyle name="Total 7 12 2 3" xfId="43067"/>
    <cellStyle name="Total 7 12 2 4" xfId="43068"/>
    <cellStyle name="Total 7 12 3" xfId="43069"/>
    <cellStyle name="Total 7 12 3 2" xfId="43070"/>
    <cellStyle name="Total 7 12 3 3" xfId="43071"/>
    <cellStyle name="Total 7 12 3 4" xfId="43072"/>
    <cellStyle name="Total 7 12 4" xfId="43073"/>
    <cellStyle name="Total 7 12 4 2" xfId="43074"/>
    <cellStyle name="Total 7 12 4 3" xfId="43075"/>
    <cellStyle name="Total 7 12 4 4" xfId="43076"/>
    <cellStyle name="Total 7 12 5" xfId="43077"/>
    <cellStyle name="Total 7 12 6" xfId="43078"/>
    <cellStyle name="Total 7 12 7" xfId="43079"/>
    <cellStyle name="Total 7 13" xfId="43080"/>
    <cellStyle name="Total 7 13 2" xfId="43081"/>
    <cellStyle name="Total 7 13 2 2" xfId="43082"/>
    <cellStyle name="Total 7 13 2 3" xfId="43083"/>
    <cellStyle name="Total 7 13 2 4" xfId="43084"/>
    <cellStyle name="Total 7 13 3" xfId="43085"/>
    <cellStyle name="Total 7 13 3 2" xfId="43086"/>
    <cellStyle name="Total 7 13 3 3" xfId="43087"/>
    <cellStyle name="Total 7 13 3 4" xfId="43088"/>
    <cellStyle name="Total 7 13 4" xfId="43089"/>
    <cellStyle name="Total 7 13 4 2" xfId="43090"/>
    <cellStyle name="Total 7 13 4 3" xfId="43091"/>
    <cellStyle name="Total 7 13 4 4" xfId="43092"/>
    <cellStyle name="Total 7 13 5" xfId="43093"/>
    <cellStyle name="Total 7 13 6" xfId="43094"/>
    <cellStyle name="Total 7 13 7" xfId="43095"/>
    <cellStyle name="Total 7 14" xfId="43096"/>
    <cellStyle name="Total 7 14 2" xfId="43097"/>
    <cellStyle name="Total 7 14 3" xfId="43098"/>
    <cellStyle name="Total 7 14 4" xfId="43099"/>
    <cellStyle name="Total 7 15" xfId="43100"/>
    <cellStyle name="Total 7 15 2" xfId="43101"/>
    <cellStyle name="Total 7 15 3" xfId="43102"/>
    <cellStyle name="Total 7 15 4" xfId="43103"/>
    <cellStyle name="Total 7 16" xfId="43104"/>
    <cellStyle name="Total 7 16 2" xfId="43105"/>
    <cellStyle name="Total 7 16 3" xfId="43106"/>
    <cellStyle name="Total 7 16 4" xfId="43107"/>
    <cellStyle name="Total 7 17" xfId="43108"/>
    <cellStyle name="Total 7 18" xfId="43109"/>
    <cellStyle name="Total 7 19" xfId="43110"/>
    <cellStyle name="Total 7 2" xfId="43111"/>
    <cellStyle name="Total 7 2 10" xfId="43112"/>
    <cellStyle name="Total 7 2 11" xfId="43113"/>
    <cellStyle name="Total 7 2 12" xfId="43114"/>
    <cellStyle name="Total 7 2 2" xfId="43115"/>
    <cellStyle name="Total 7 2 2 2" xfId="43116"/>
    <cellStyle name="Total 7 2 2 2 2" xfId="43117"/>
    <cellStyle name="Total 7 2 2 2 3" xfId="43118"/>
    <cellStyle name="Total 7 2 2 2 4" xfId="43119"/>
    <cellStyle name="Total 7 2 2 3" xfId="43120"/>
    <cellStyle name="Total 7 2 2 3 2" xfId="43121"/>
    <cellStyle name="Total 7 2 2 3 3" xfId="43122"/>
    <cellStyle name="Total 7 2 2 3 4" xfId="43123"/>
    <cellStyle name="Total 7 2 2 4" xfId="43124"/>
    <cellStyle name="Total 7 2 2 4 2" xfId="43125"/>
    <cellStyle name="Total 7 2 2 4 3" xfId="43126"/>
    <cellStyle name="Total 7 2 2 4 4" xfId="43127"/>
    <cellStyle name="Total 7 2 2 5" xfId="43128"/>
    <cellStyle name="Total 7 2 2 6" xfId="43129"/>
    <cellStyle name="Total 7 2 2 7" xfId="43130"/>
    <cellStyle name="Total 7 2 3" xfId="43131"/>
    <cellStyle name="Total 7 2 3 2" xfId="43132"/>
    <cellStyle name="Total 7 2 3 2 2" xfId="43133"/>
    <cellStyle name="Total 7 2 3 2 3" xfId="43134"/>
    <cellStyle name="Total 7 2 3 2 4" xfId="43135"/>
    <cellStyle name="Total 7 2 3 3" xfId="43136"/>
    <cellStyle name="Total 7 2 3 3 2" xfId="43137"/>
    <cellStyle name="Total 7 2 3 3 3" xfId="43138"/>
    <cellStyle name="Total 7 2 3 3 4" xfId="43139"/>
    <cellStyle name="Total 7 2 3 4" xfId="43140"/>
    <cellStyle name="Total 7 2 3 4 2" xfId="43141"/>
    <cellStyle name="Total 7 2 3 4 3" xfId="43142"/>
    <cellStyle name="Total 7 2 3 4 4" xfId="43143"/>
    <cellStyle name="Total 7 2 3 5" xfId="43144"/>
    <cellStyle name="Total 7 2 3 6" xfId="43145"/>
    <cellStyle name="Total 7 2 3 7" xfId="43146"/>
    <cellStyle name="Total 7 2 4" xfId="43147"/>
    <cellStyle name="Total 7 2 4 2" xfId="43148"/>
    <cellStyle name="Total 7 2 4 2 2" xfId="43149"/>
    <cellStyle name="Total 7 2 4 2 3" xfId="43150"/>
    <cellStyle name="Total 7 2 4 2 4" xfId="43151"/>
    <cellStyle name="Total 7 2 4 3" xfId="43152"/>
    <cellStyle name="Total 7 2 4 3 2" xfId="43153"/>
    <cellStyle name="Total 7 2 4 3 3" xfId="43154"/>
    <cellStyle name="Total 7 2 4 3 4" xfId="43155"/>
    <cellStyle name="Total 7 2 4 4" xfId="43156"/>
    <cellStyle name="Total 7 2 4 4 2" xfId="43157"/>
    <cellStyle name="Total 7 2 4 4 3" xfId="43158"/>
    <cellStyle name="Total 7 2 4 4 4" xfId="43159"/>
    <cellStyle name="Total 7 2 4 5" xfId="43160"/>
    <cellStyle name="Total 7 2 4 6" xfId="43161"/>
    <cellStyle name="Total 7 2 4 7" xfId="43162"/>
    <cellStyle name="Total 7 2 5" xfId="43163"/>
    <cellStyle name="Total 7 2 5 2" xfId="43164"/>
    <cellStyle name="Total 7 2 5 2 2" xfId="43165"/>
    <cellStyle name="Total 7 2 5 2 3" xfId="43166"/>
    <cellStyle name="Total 7 2 5 2 4" xfId="43167"/>
    <cellStyle name="Total 7 2 5 3" xfId="43168"/>
    <cellStyle name="Total 7 2 5 3 2" xfId="43169"/>
    <cellStyle name="Total 7 2 5 3 3" xfId="43170"/>
    <cellStyle name="Total 7 2 5 3 4" xfId="43171"/>
    <cellStyle name="Total 7 2 5 4" xfId="43172"/>
    <cellStyle name="Total 7 2 5 4 2" xfId="43173"/>
    <cellStyle name="Total 7 2 5 4 3" xfId="43174"/>
    <cellStyle name="Total 7 2 5 4 4" xfId="43175"/>
    <cellStyle name="Total 7 2 5 5" xfId="43176"/>
    <cellStyle name="Total 7 2 5 6" xfId="43177"/>
    <cellStyle name="Total 7 2 5 7" xfId="43178"/>
    <cellStyle name="Total 7 2 6" xfId="43179"/>
    <cellStyle name="Total 7 2 6 2" xfId="43180"/>
    <cellStyle name="Total 7 2 6 2 2" xfId="43181"/>
    <cellStyle name="Total 7 2 6 2 3" xfId="43182"/>
    <cellStyle name="Total 7 2 6 2 4" xfId="43183"/>
    <cellStyle name="Total 7 2 6 3" xfId="43184"/>
    <cellStyle name="Total 7 2 6 3 2" xfId="43185"/>
    <cellStyle name="Total 7 2 6 3 3" xfId="43186"/>
    <cellStyle name="Total 7 2 6 3 4" xfId="43187"/>
    <cellStyle name="Total 7 2 6 4" xfId="43188"/>
    <cellStyle name="Total 7 2 6 4 2" xfId="43189"/>
    <cellStyle name="Total 7 2 6 4 3" xfId="43190"/>
    <cellStyle name="Total 7 2 6 4 4" xfId="43191"/>
    <cellStyle name="Total 7 2 6 5" xfId="43192"/>
    <cellStyle name="Total 7 2 6 6" xfId="43193"/>
    <cellStyle name="Total 7 2 6 7" xfId="43194"/>
    <cellStyle name="Total 7 2 7" xfId="43195"/>
    <cellStyle name="Total 7 2 7 2" xfId="43196"/>
    <cellStyle name="Total 7 2 7 3" xfId="43197"/>
    <cellStyle name="Total 7 2 7 4" xfId="43198"/>
    <cellStyle name="Total 7 2 8" xfId="43199"/>
    <cellStyle name="Total 7 2 8 2" xfId="43200"/>
    <cellStyle name="Total 7 2 8 3" xfId="43201"/>
    <cellStyle name="Total 7 2 8 4" xfId="43202"/>
    <cellStyle name="Total 7 2 9" xfId="43203"/>
    <cellStyle name="Total 7 2 9 2" xfId="43204"/>
    <cellStyle name="Total 7 2 9 3" xfId="43205"/>
    <cellStyle name="Total 7 2 9 4" xfId="43206"/>
    <cellStyle name="Total 7 3" xfId="43207"/>
    <cellStyle name="Total 7 3 10" xfId="43208"/>
    <cellStyle name="Total 7 3 11" xfId="43209"/>
    <cellStyle name="Total 7 3 12" xfId="43210"/>
    <cellStyle name="Total 7 3 2" xfId="43211"/>
    <cellStyle name="Total 7 3 2 2" xfId="43212"/>
    <cellStyle name="Total 7 3 2 2 2" xfId="43213"/>
    <cellStyle name="Total 7 3 2 2 3" xfId="43214"/>
    <cellStyle name="Total 7 3 2 2 4" xfId="43215"/>
    <cellStyle name="Total 7 3 2 3" xfId="43216"/>
    <cellStyle name="Total 7 3 2 3 2" xfId="43217"/>
    <cellStyle name="Total 7 3 2 3 3" xfId="43218"/>
    <cellStyle name="Total 7 3 2 3 4" xfId="43219"/>
    <cellStyle name="Total 7 3 2 4" xfId="43220"/>
    <cellStyle name="Total 7 3 2 4 2" xfId="43221"/>
    <cellStyle name="Total 7 3 2 4 3" xfId="43222"/>
    <cellStyle name="Total 7 3 2 4 4" xfId="43223"/>
    <cellStyle name="Total 7 3 2 5" xfId="43224"/>
    <cellStyle name="Total 7 3 2 6" xfId="43225"/>
    <cellStyle name="Total 7 3 2 7" xfId="43226"/>
    <cellStyle name="Total 7 3 3" xfId="43227"/>
    <cellStyle name="Total 7 3 3 2" xfId="43228"/>
    <cellStyle name="Total 7 3 3 2 2" xfId="43229"/>
    <cellStyle name="Total 7 3 3 2 3" xfId="43230"/>
    <cellStyle name="Total 7 3 3 2 4" xfId="43231"/>
    <cellStyle name="Total 7 3 3 3" xfId="43232"/>
    <cellStyle name="Total 7 3 3 3 2" xfId="43233"/>
    <cellStyle name="Total 7 3 3 3 3" xfId="43234"/>
    <cellStyle name="Total 7 3 3 3 4" xfId="43235"/>
    <cellStyle name="Total 7 3 3 4" xfId="43236"/>
    <cellStyle name="Total 7 3 3 4 2" xfId="43237"/>
    <cellStyle name="Total 7 3 3 4 3" xfId="43238"/>
    <cellStyle name="Total 7 3 3 4 4" xfId="43239"/>
    <cellStyle name="Total 7 3 3 5" xfId="43240"/>
    <cellStyle name="Total 7 3 3 6" xfId="43241"/>
    <cellStyle name="Total 7 3 3 7" xfId="43242"/>
    <cellStyle name="Total 7 3 4" xfId="43243"/>
    <cellStyle name="Total 7 3 4 2" xfId="43244"/>
    <cellStyle name="Total 7 3 4 2 2" xfId="43245"/>
    <cellStyle name="Total 7 3 4 2 3" xfId="43246"/>
    <cellStyle name="Total 7 3 4 2 4" xfId="43247"/>
    <cellStyle name="Total 7 3 4 3" xfId="43248"/>
    <cellStyle name="Total 7 3 4 3 2" xfId="43249"/>
    <cellStyle name="Total 7 3 4 3 3" xfId="43250"/>
    <cellStyle name="Total 7 3 4 3 4" xfId="43251"/>
    <cellStyle name="Total 7 3 4 4" xfId="43252"/>
    <cellStyle name="Total 7 3 4 4 2" xfId="43253"/>
    <cellStyle name="Total 7 3 4 4 3" xfId="43254"/>
    <cellStyle name="Total 7 3 4 4 4" xfId="43255"/>
    <cellStyle name="Total 7 3 4 5" xfId="43256"/>
    <cellStyle name="Total 7 3 4 6" xfId="43257"/>
    <cellStyle name="Total 7 3 4 7" xfId="43258"/>
    <cellStyle name="Total 7 3 5" xfId="43259"/>
    <cellStyle name="Total 7 3 5 2" xfId="43260"/>
    <cellStyle name="Total 7 3 5 2 2" xfId="43261"/>
    <cellStyle name="Total 7 3 5 2 3" xfId="43262"/>
    <cellStyle name="Total 7 3 5 2 4" xfId="43263"/>
    <cellStyle name="Total 7 3 5 3" xfId="43264"/>
    <cellStyle name="Total 7 3 5 3 2" xfId="43265"/>
    <cellStyle name="Total 7 3 5 3 3" xfId="43266"/>
    <cellStyle name="Total 7 3 5 3 4" xfId="43267"/>
    <cellStyle name="Total 7 3 5 4" xfId="43268"/>
    <cellStyle name="Total 7 3 5 4 2" xfId="43269"/>
    <cellStyle name="Total 7 3 5 4 3" xfId="43270"/>
    <cellStyle name="Total 7 3 5 4 4" xfId="43271"/>
    <cellStyle name="Total 7 3 5 5" xfId="43272"/>
    <cellStyle name="Total 7 3 5 6" xfId="43273"/>
    <cellStyle name="Total 7 3 5 7" xfId="43274"/>
    <cellStyle name="Total 7 3 6" xfId="43275"/>
    <cellStyle name="Total 7 3 6 2" xfId="43276"/>
    <cellStyle name="Total 7 3 6 2 2" xfId="43277"/>
    <cellStyle name="Total 7 3 6 2 3" xfId="43278"/>
    <cellStyle name="Total 7 3 6 2 4" xfId="43279"/>
    <cellStyle name="Total 7 3 6 3" xfId="43280"/>
    <cellStyle name="Total 7 3 6 3 2" xfId="43281"/>
    <cellStyle name="Total 7 3 6 3 3" xfId="43282"/>
    <cellStyle name="Total 7 3 6 3 4" xfId="43283"/>
    <cellStyle name="Total 7 3 6 4" xfId="43284"/>
    <cellStyle name="Total 7 3 6 4 2" xfId="43285"/>
    <cellStyle name="Total 7 3 6 4 3" xfId="43286"/>
    <cellStyle name="Total 7 3 6 4 4" xfId="43287"/>
    <cellStyle name="Total 7 3 6 5" xfId="43288"/>
    <cellStyle name="Total 7 3 6 6" xfId="43289"/>
    <cellStyle name="Total 7 3 6 7" xfId="43290"/>
    <cellStyle name="Total 7 3 7" xfId="43291"/>
    <cellStyle name="Total 7 3 7 2" xfId="43292"/>
    <cellStyle name="Total 7 3 7 3" xfId="43293"/>
    <cellStyle name="Total 7 3 7 4" xfId="43294"/>
    <cellStyle name="Total 7 3 8" xfId="43295"/>
    <cellStyle name="Total 7 3 8 2" xfId="43296"/>
    <cellStyle name="Total 7 3 8 3" xfId="43297"/>
    <cellStyle name="Total 7 3 8 4" xfId="43298"/>
    <cellStyle name="Total 7 3 9" xfId="43299"/>
    <cellStyle name="Total 7 3 9 2" xfId="43300"/>
    <cellStyle name="Total 7 3 9 3" xfId="43301"/>
    <cellStyle name="Total 7 3 9 4" xfId="43302"/>
    <cellStyle name="Total 7 4" xfId="43303"/>
    <cellStyle name="Total 7 4 10" xfId="43304"/>
    <cellStyle name="Total 7 4 11" xfId="43305"/>
    <cellStyle name="Total 7 4 12" xfId="43306"/>
    <cellStyle name="Total 7 4 2" xfId="43307"/>
    <cellStyle name="Total 7 4 2 2" xfId="43308"/>
    <cellStyle name="Total 7 4 2 2 2" xfId="43309"/>
    <cellStyle name="Total 7 4 2 2 3" xfId="43310"/>
    <cellStyle name="Total 7 4 2 2 4" xfId="43311"/>
    <cellStyle name="Total 7 4 2 3" xfId="43312"/>
    <cellStyle name="Total 7 4 2 3 2" xfId="43313"/>
    <cellStyle name="Total 7 4 2 3 3" xfId="43314"/>
    <cellStyle name="Total 7 4 2 3 4" xfId="43315"/>
    <cellStyle name="Total 7 4 2 4" xfId="43316"/>
    <cellStyle name="Total 7 4 2 4 2" xfId="43317"/>
    <cellStyle name="Total 7 4 2 4 3" xfId="43318"/>
    <cellStyle name="Total 7 4 2 4 4" xfId="43319"/>
    <cellStyle name="Total 7 4 2 5" xfId="43320"/>
    <cellStyle name="Total 7 4 2 6" xfId="43321"/>
    <cellStyle name="Total 7 4 2 7" xfId="43322"/>
    <cellStyle name="Total 7 4 3" xfId="43323"/>
    <cellStyle name="Total 7 4 3 2" xfId="43324"/>
    <cellStyle name="Total 7 4 3 2 2" xfId="43325"/>
    <cellStyle name="Total 7 4 3 2 3" xfId="43326"/>
    <cellStyle name="Total 7 4 3 2 4" xfId="43327"/>
    <cellStyle name="Total 7 4 3 3" xfId="43328"/>
    <cellStyle name="Total 7 4 3 3 2" xfId="43329"/>
    <cellStyle name="Total 7 4 3 3 3" xfId="43330"/>
    <cellStyle name="Total 7 4 3 3 4" xfId="43331"/>
    <cellStyle name="Total 7 4 3 4" xfId="43332"/>
    <cellStyle name="Total 7 4 3 4 2" xfId="43333"/>
    <cellStyle name="Total 7 4 3 4 3" xfId="43334"/>
    <cellStyle name="Total 7 4 3 4 4" xfId="43335"/>
    <cellStyle name="Total 7 4 3 5" xfId="43336"/>
    <cellStyle name="Total 7 4 3 6" xfId="43337"/>
    <cellStyle name="Total 7 4 3 7" xfId="43338"/>
    <cellStyle name="Total 7 4 4" xfId="43339"/>
    <cellStyle name="Total 7 4 4 2" xfId="43340"/>
    <cellStyle name="Total 7 4 4 2 2" xfId="43341"/>
    <cellStyle name="Total 7 4 4 2 3" xfId="43342"/>
    <cellStyle name="Total 7 4 4 2 4" xfId="43343"/>
    <cellStyle name="Total 7 4 4 3" xfId="43344"/>
    <cellStyle name="Total 7 4 4 3 2" xfId="43345"/>
    <cellStyle name="Total 7 4 4 3 3" xfId="43346"/>
    <cellStyle name="Total 7 4 4 3 4" xfId="43347"/>
    <cellStyle name="Total 7 4 4 4" xfId="43348"/>
    <cellStyle name="Total 7 4 4 4 2" xfId="43349"/>
    <cellStyle name="Total 7 4 4 4 3" xfId="43350"/>
    <cellStyle name="Total 7 4 4 4 4" xfId="43351"/>
    <cellStyle name="Total 7 4 4 5" xfId="43352"/>
    <cellStyle name="Total 7 4 4 6" xfId="43353"/>
    <cellStyle name="Total 7 4 4 7" xfId="43354"/>
    <cellStyle name="Total 7 4 5" xfId="43355"/>
    <cellStyle name="Total 7 4 5 2" xfId="43356"/>
    <cellStyle name="Total 7 4 5 2 2" xfId="43357"/>
    <cellStyle name="Total 7 4 5 2 3" xfId="43358"/>
    <cellStyle name="Total 7 4 5 2 4" xfId="43359"/>
    <cellStyle name="Total 7 4 5 3" xfId="43360"/>
    <cellStyle name="Total 7 4 5 3 2" xfId="43361"/>
    <cellStyle name="Total 7 4 5 3 3" xfId="43362"/>
    <cellStyle name="Total 7 4 5 3 4" xfId="43363"/>
    <cellStyle name="Total 7 4 5 4" xfId="43364"/>
    <cellStyle name="Total 7 4 5 4 2" xfId="43365"/>
    <cellStyle name="Total 7 4 5 4 3" xfId="43366"/>
    <cellStyle name="Total 7 4 5 4 4" xfId="43367"/>
    <cellStyle name="Total 7 4 5 5" xfId="43368"/>
    <cellStyle name="Total 7 4 5 6" xfId="43369"/>
    <cellStyle name="Total 7 4 5 7" xfId="43370"/>
    <cellStyle name="Total 7 4 6" xfId="43371"/>
    <cellStyle name="Total 7 4 6 2" xfId="43372"/>
    <cellStyle name="Total 7 4 6 2 2" xfId="43373"/>
    <cellStyle name="Total 7 4 6 2 3" xfId="43374"/>
    <cellStyle name="Total 7 4 6 2 4" xfId="43375"/>
    <cellStyle name="Total 7 4 6 3" xfId="43376"/>
    <cellStyle name="Total 7 4 6 3 2" xfId="43377"/>
    <cellStyle name="Total 7 4 6 3 3" xfId="43378"/>
    <cellStyle name="Total 7 4 6 3 4" xfId="43379"/>
    <cellStyle name="Total 7 4 6 4" xfId="43380"/>
    <cellStyle name="Total 7 4 6 4 2" xfId="43381"/>
    <cellStyle name="Total 7 4 6 4 3" xfId="43382"/>
    <cellStyle name="Total 7 4 6 4 4" xfId="43383"/>
    <cellStyle name="Total 7 4 6 5" xfId="43384"/>
    <cellStyle name="Total 7 4 6 6" xfId="43385"/>
    <cellStyle name="Total 7 4 6 7" xfId="43386"/>
    <cellStyle name="Total 7 4 7" xfId="43387"/>
    <cellStyle name="Total 7 4 7 2" xfId="43388"/>
    <cellStyle name="Total 7 4 7 3" xfId="43389"/>
    <cellStyle name="Total 7 4 7 4" xfId="43390"/>
    <cellStyle name="Total 7 4 8" xfId="43391"/>
    <cellStyle name="Total 7 4 8 2" xfId="43392"/>
    <cellStyle name="Total 7 4 8 3" xfId="43393"/>
    <cellStyle name="Total 7 4 8 4" xfId="43394"/>
    <cellStyle name="Total 7 4 9" xfId="43395"/>
    <cellStyle name="Total 7 4 9 2" xfId="43396"/>
    <cellStyle name="Total 7 4 9 3" xfId="43397"/>
    <cellStyle name="Total 7 4 9 4" xfId="43398"/>
    <cellStyle name="Total 7 5" xfId="43399"/>
    <cellStyle name="Total 7 5 10" xfId="43400"/>
    <cellStyle name="Total 7 5 11" xfId="43401"/>
    <cellStyle name="Total 7 5 12" xfId="43402"/>
    <cellStyle name="Total 7 5 2" xfId="43403"/>
    <cellStyle name="Total 7 5 2 2" xfId="43404"/>
    <cellStyle name="Total 7 5 2 2 2" xfId="43405"/>
    <cellStyle name="Total 7 5 2 2 3" xfId="43406"/>
    <cellStyle name="Total 7 5 2 2 4" xfId="43407"/>
    <cellStyle name="Total 7 5 2 3" xfId="43408"/>
    <cellStyle name="Total 7 5 2 3 2" xfId="43409"/>
    <cellStyle name="Total 7 5 2 3 3" xfId="43410"/>
    <cellStyle name="Total 7 5 2 3 4" xfId="43411"/>
    <cellStyle name="Total 7 5 2 4" xfId="43412"/>
    <cellStyle name="Total 7 5 2 4 2" xfId="43413"/>
    <cellStyle name="Total 7 5 2 4 3" xfId="43414"/>
    <cellStyle name="Total 7 5 2 4 4" xfId="43415"/>
    <cellStyle name="Total 7 5 2 5" xfId="43416"/>
    <cellStyle name="Total 7 5 2 6" xfId="43417"/>
    <cellStyle name="Total 7 5 2 7" xfId="43418"/>
    <cellStyle name="Total 7 5 3" xfId="43419"/>
    <cellStyle name="Total 7 5 3 2" xfId="43420"/>
    <cellStyle name="Total 7 5 3 2 2" xfId="43421"/>
    <cellStyle name="Total 7 5 3 2 3" xfId="43422"/>
    <cellStyle name="Total 7 5 3 2 4" xfId="43423"/>
    <cellStyle name="Total 7 5 3 3" xfId="43424"/>
    <cellStyle name="Total 7 5 3 3 2" xfId="43425"/>
    <cellStyle name="Total 7 5 3 3 3" xfId="43426"/>
    <cellStyle name="Total 7 5 3 3 4" xfId="43427"/>
    <cellStyle name="Total 7 5 3 4" xfId="43428"/>
    <cellStyle name="Total 7 5 3 4 2" xfId="43429"/>
    <cellStyle name="Total 7 5 3 4 3" xfId="43430"/>
    <cellStyle name="Total 7 5 3 4 4" xfId="43431"/>
    <cellStyle name="Total 7 5 3 5" xfId="43432"/>
    <cellStyle name="Total 7 5 3 6" xfId="43433"/>
    <cellStyle name="Total 7 5 3 7" xfId="43434"/>
    <cellStyle name="Total 7 5 4" xfId="43435"/>
    <cellStyle name="Total 7 5 4 2" xfId="43436"/>
    <cellStyle name="Total 7 5 4 2 2" xfId="43437"/>
    <cellStyle name="Total 7 5 4 2 3" xfId="43438"/>
    <cellStyle name="Total 7 5 4 2 4" xfId="43439"/>
    <cellStyle name="Total 7 5 4 3" xfId="43440"/>
    <cellStyle name="Total 7 5 4 3 2" xfId="43441"/>
    <cellStyle name="Total 7 5 4 3 3" xfId="43442"/>
    <cellStyle name="Total 7 5 4 3 4" xfId="43443"/>
    <cellStyle name="Total 7 5 4 4" xfId="43444"/>
    <cellStyle name="Total 7 5 4 4 2" xfId="43445"/>
    <cellStyle name="Total 7 5 4 4 3" xfId="43446"/>
    <cellStyle name="Total 7 5 4 4 4" xfId="43447"/>
    <cellStyle name="Total 7 5 4 5" xfId="43448"/>
    <cellStyle name="Total 7 5 4 6" xfId="43449"/>
    <cellStyle name="Total 7 5 4 7" xfId="43450"/>
    <cellStyle name="Total 7 5 5" xfId="43451"/>
    <cellStyle name="Total 7 5 5 2" xfId="43452"/>
    <cellStyle name="Total 7 5 5 2 2" xfId="43453"/>
    <cellStyle name="Total 7 5 5 2 3" xfId="43454"/>
    <cellStyle name="Total 7 5 5 2 4" xfId="43455"/>
    <cellStyle name="Total 7 5 5 3" xfId="43456"/>
    <cellStyle name="Total 7 5 5 3 2" xfId="43457"/>
    <cellStyle name="Total 7 5 5 3 3" xfId="43458"/>
    <cellStyle name="Total 7 5 5 3 4" xfId="43459"/>
    <cellStyle name="Total 7 5 5 4" xfId="43460"/>
    <cellStyle name="Total 7 5 5 4 2" xfId="43461"/>
    <cellStyle name="Total 7 5 5 4 3" xfId="43462"/>
    <cellStyle name="Total 7 5 5 4 4" xfId="43463"/>
    <cellStyle name="Total 7 5 5 5" xfId="43464"/>
    <cellStyle name="Total 7 5 5 6" xfId="43465"/>
    <cellStyle name="Total 7 5 5 7" xfId="43466"/>
    <cellStyle name="Total 7 5 6" xfId="43467"/>
    <cellStyle name="Total 7 5 6 2" xfId="43468"/>
    <cellStyle name="Total 7 5 6 2 2" xfId="43469"/>
    <cellStyle name="Total 7 5 6 2 3" xfId="43470"/>
    <cellStyle name="Total 7 5 6 2 4" xfId="43471"/>
    <cellStyle name="Total 7 5 6 3" xfId="43472"/>
    <cellStyle name="Total 7 5 6 3 2" xfId="43473"/>
    <cellStyle name="Total 7 5 6 3 3" xfId="43474"/>
    <cellStyle name="Total 7 5 6 3 4" xfId="43475"/>
    <cellStyle name="Total 7 5 6 4" xfId="43476"/>
    <cellStyle name="Total 7 5 6 4 2" xfId="43477"/>
    <cellStyle name="Total 7 5 6 4 3" xfId="43478"/>
    <cellStyle name="Total 7 5 6 4 4" xfId="43479"/>
    <cellStyle name="Total 7 5 6 5" xfId="43480"/>
    <cellStyle name="Total 7 5 6 6" xfId="43481"/>
    <cellStyle name="Total 7 5 6 7" xfId="43482"/>
    <cellStyle name="Total 7 5 7" xfId="43483"/>
    <cellStyle name="Total 7 5 7 2" xfId="43484"/>
    <cellStyle name="Total 7 5 7 3" xfId="43485"/>
    <cellStyle name="Total 7 5 7 4" xfId="43486"/>
    <cellStyle name="Total 7 5 8" xfId="43487"/>
    <cellStyle name="Total 7 5 8 2" xfId="43488"/>
    <cellStyle name="Total 7 5 8 3" xfId="43489"/>
    <cellStyle name="Total 7 5 8 4" xfId="43490"/>
    <cellStyle name="Total 7 5 9" xfId="43491"/>
    <cellStyle name="Total 7 5 9 2" xfId="43492"/>
    <cellStyle name="Total 7 5 9 3" xfId="43493"/>
    <cellStyle name="Total 7 5 9 4" xfId="43494"/>
    <cellStyle name="Total 7 6" xfId="43495"/>
    <cellStyle name="Total 7 6 2" xfId="43496"/>
    <cellStyle name="Total 7 6 2 2" xfId="43497"/>
    <cellStyle name="Total 7 6 2 3" xfId="43498"/>
    <cellStyle name="Total 7 6 2 4" xfId="43499"/>
    <cellStyle name="Total 7 6 3" xfId="43500"/>
    <cellStyle name="Total 7 6 3 2" xfId="43501"/>
    <cellStyle name="Total 7 6 3 3" xfId="43502"/>
    <cellStyle name="Total 7 6 3 4" xfId="43503"/>
    <cellStyle name="Total 7 6 4" xfId="43504"/>
    <cellStyle name="Total 7 6 4 2" xfId="43505"/>
    <cellStyle name="Total 7 6 4 3" xfId="43506"/>
    <cellStyle name="Total 7 6 4 4" xfId="43507"/>
    <cellStyle name="Total 7 6 5" xfId="43508"/>
    <cellStyle name="Total 7 6 6" xfId="43509"/>
    <cellStyle name="Total 7 6 7" xfId="43510"/>
    <cellStyle name="Total 7 7" xfId="43511"/>
    <cellStyle name="Total 7 7 2" xfId="43512"/>
    <cellStyle name="Total 7 7 2 2" xfId="43513"/>
    <cellStyle name="Total 7 7 2 3" xfId="43514"/>
    <cellStyle name="Total 7 7 2 4" xfId="43515"/>
    <cellStyle name="Total 7 7 3" xfId="43516"/>
    <cellStyle name="Total 7 7 3 2" xfId="43517"/>
    <cellStyle name="Total 7 7 3 3" xfId="43518"/>
    <cellStyle name="Total 7 7 3 4" xfId="43519"/>
    <cellStyle name="Total 7 7 4" xfId="43520"/>
    <cellStyle name="Total 7 7 4 2" xfId="43521"/>
    <cellStyle name="Total 7 7 4 3" xfId="43522"/>
    <cellStyle name="Total 7 7 4 4" xfId="43523"/>
    <cellStyle name="Total 7 7 5" xfId="43524"/>
    <cellStyle name="Total 7 7 6" xfId="43525"/>
    <cellStyle name="Total 7 7 7" xfId="43526"/>
    <cellStyle name="Total 7 8" xfId="43527"/>
    <cellStyle name="Total 7 8 2" xfId="43528"/>
    <cellStyle name="Total 7 8 2 2" xfId="43529"/>
    <cellStyle name="Total 7 8 2 3" xfId="43530"/>
    <cellStyle name="Total 7 8 2 4" xfId="43531"/>
    <cellStyle name="Total 7 8 3" xfId="43532"/>
    <cellStyle name="Total 7 8 3 2" xfId="43533"/>
    <cellStyle name="Total 7 8 3 3" xfId="43534"/>
    <cellStyle name="Total 7 8 3 4" xfId="43535"/>
    <cellStyle name="Total 7 8 4" xfId="43536"/>
    <cellStyle name="Total 7 8 4 2" xfId="43537"/>
    <cellStyle name="Total 7 8 4 3" xfId="43538"/>
    <cellStyle name="Total 7 8 4 4" xfId="43539"/>
    <cellStyle name="Total 7 8 5" xfId="43540"/>
    <cellStyle name="Total 7 8 6" xfId="43541"/>
    <cellStyle name="Total 7 8 7" xfId="43542"/>
    <cellStyle name="Total 7 9" xfId="43543"/>
    <cellStyle name="Total 7 9 2" xfId="43544"/>
    <cellStyle name="Total 7 9 2 2" xfId="43545"/>
    <cellStyle name="Total 7 9 2 3" xfId="43546"/>
    <cellStyle name="Total 7 9 2 4" xfId="43547"/>
    <cellStyle name="Total 7 9 3" xfId="43548"/>
    <cellStyle name="Total 7 9 3 2" xfId="43549"/>
    <cellStyle name="Total 7 9 3 3" xfId="43550"/>
    <cellStyle name="Total 7 9 3 4" xfId="43551"/>
    <cellStyle name="Total 7 9 4" xfId="43552"/>
    <cellStyle name="Total 7 9 4 2" xfId="43553"/>
    <cellStyle name="Total 7 9 4 3" xfId="43554"/>
    <cellStyle name="Total 7 9 4 4" xfId="43555"/>
    <cellStyle name="Total 7 9 5" xfId="43556"/>
    <cellStyle name="Total 7 9 6" xfId="43557"/>
    <cellStyle name="Total 7 9 7" xfId="43558"/>
    <cellStyle name="Total 8" xfId="3186"/>
    <cellStyle name="Total 8 10" xfId="43559"/>
    <cellStyle name="Total 8 11" xfId="43560"/>
    <cellStyle name="Total 8 12" xfId="43561"/>
    <cellStyle name="Total 8 2" xfId="43562"/>
    <cellStyle name="Total 8 2 2" xfId="43563"/>
    <cellStyle name="Total 8 2 2 2" xfId="43564"/>
    <cellStyle name="Total 8 2 2 3" xfId="43565"/>
    <cellStyle name="Total 8 2 2 4" xfId="43566"/>
    <cellStyle name="Total 8 2 3" xfId="43567"/>
    <cellStyle name="Total 8 2 3 2" xfId="43568"/>
    <cellStyle name="Total 8 2 3 3" xfId="43569"/>
    <cellStyle name="Total 8 2 3 4" xfId="43570"/>
    <cellStyle name="Total 8 2 4" xfId="43571"/>
    <cellStyle name="Total 8 2 4 2" xfId="43572"/>
    <cellStyle name="Total 8 2 4 3" xfId="43573"/>
    <cellStyle name="Total 8 2 4 4" xfId="43574"/>
    <cellStyle name="Total 8 2 5" xfId="43575"/>
    <cellStyle name="Total 8 2 6" xfId="43576"/>
    <cellStyle name="Total 8 2 7" xfId="43577"/>
    <cellStyle name="Total 8 3" xfId="43578"/>
    <cellStyle name="Total 8 3 2" xfId="43579"/>
    <cellStyle name="Total 8 3 2 2" xfId="43580"/>
    <cellStyle name="Total 8 3 2 3" xfId="43581"/>
    <cellStyle name="Total 8 3 2 4" xfId="43582"/>
    <cellStyle name="Total 8 3 3" xfId="43583"/>
    <cellStyle name="Total 8 3 3 2" xfId="43584"/>
    <cellStyle name="Total 8 3 3 3" xfId="43585"/>
    <cellStyle name="Total 8 3 3 4" xfId="43586"/>
    <cellStyle name="Total 8 3 4" xfId="43587"/>
    <cellStyle name="Total 8 3 4 2" xfId="43588"/>
    <cellStyle name="Total 8 3 4 3" xfId="43589"/>
    <cellStyle name="Total 8 3 4 4" xfId="43590"/>
    <cellStyle name="Total 8 3 5" xfId="43591"/>
    <cellStyle name="Total 8 3 6" xfId="43592"/>
    <cellStyle name="Total 8 3 7" xfId="43593"/>
    <cellStyle name="Total 8 4" xfId="43594"/>
    <cellStyle name="Total 8 4 2" xfId="43595"/>
    <cellStyle name="Total 8 4 2 2" xfId="43596"/>
    <cellStyle name="Total 8 4 2 3" xfId="43597"/>
    <cellStyle name="Total 8 4 2 4" xfId="43598"/>
    <cellStyle name="Total 8 4 3" xfId="43599"/>
    <cellStyle name="Total 8 4 3 2" xfId="43600"/>
    <cellStyle name="Total 8 4 3 3" xfId="43601"/>
    <cellStyle name="Total 8 4 3 4" xfId="43602"/>
    <cellStyle name="Total 8 4 4" xfId="43603"/>
    <cellStyle name="Total 8 4 4 2" xfId="43604"/>
    <cellStyle name="Total 8 4 4 3" xfId="43605"/>
    <cellStyle name="Total 8 4 4 4" xfId="43606"/>
    <cellStyle name="Total 8 4 5" xfId="43607"/>
    <cellStyle name="Total 8 4 6" xfId="43608"/>
    <cellStyle name="Total 8 4 7" xfId="43609"/>
    <cellStyle name="Total 8 5" xfId="43610"/>
    <cellStyle name="Total 8 5 2" xfId="43611"/>
    <cellStyle name="Total 8 5 2 2" xfId="43612"/>
    <cellStyle name="Total 8 5 2 3" xfId="43613"/>
    <cellStyle name="Total 8 5 2 4" xfId="43614"/>
    <cellStyle name="Total 8 5 3" xfId="43615"/>
    <cellStyle name="Total 8 5 3 2" xfId="43616"/>
    <cellStyle name="Total 8 5 3 3" xfId="43617"/>
    <cellStyle name="Total 8 5 3 4" xfId="43618"/>
    <cellStyle name="Total 8 5 4" xfId="43619"/>
    <cellStyle name="Total 8 5 4 2" xfId="43620"/>
    <cellStyle name="Total 8 5 4 3" xfId="43621"/>
    <cellStyle name="Total 8 5 4 4" xfId="43622"/>
    <cellStyle name="Total 8 5 5" xfId="43623"/>
    <cellStyle name="Total 8 5 6" xfId="43624"/>
    <cellStyle name="Total 8 5 7" xfId="43625"/>
    <cellStyle name="Total 8 6" xfId="43626"/>
    <cellStyle name="Total 8 6 2" xfId="43627"/>
    <cellStyle name="Total 8 6 2 2" xfId="43628"/>
    <cellStyle name="Total 8 6 2 3" xfId="43629"/>
    <cellStyle name="Total 8 6 2 4" xfId="43630"/>
    <cellStyle name="Total 8 6 3" xfId="43631"/>
    <cellStyle name="Total 8 6 3 2" xfId="43632"/>
    <cellStyle name="Total 8 6 3 3" xfId="43633"/>
    <cellStyle name="Total 8 6 3 4" xfId="43634"/>
    <cellStyle name="Total 8 6 4" xfId="43635"/>
    <cellStyle name="Total 8 6 4 2" xfId="43636"/>
    <cellStyle name="Total 8 6 4 3" xfId="43637"/>
    <cellStyle name="Total 8 6 4 4" xfId="43638"/>
    <cellStyle name="Total 8 6 5" xfId="43639"/>
    <cellStyle name="Total 8 6 6" xfId="43640"/>
    <cellStyle name="Total 8 6 7" xfId="43641"/>
    <cellStyle name="Total 8 7" xfId="43642"/>
    <cellStyle name="Total 8 7 2" xfId="43643"/>
    <cellStyle name="Total 8 7 3" xfId="43644"/>
    <cellStyle name="Total 8 7 4" xfId="43645"/>
    <cellStyle name="Total 8 8" xfId="43646"/>
    <cellStyle name="Total 8 8 2" xfId="43647"/>
    <cellStyle name="Total 8 8 3" xfId="43648"/>
    <cellStyle name="Total 8 8 4" xfId="43649"/>
    <cellStyle name="Total 8 9" xfId="43650"/>
    <cellStyle name="Total 8 9 2" xfId="43651"/>
    <cellStyle name="Total 8 9 3" xfId="43652"/>
    <cellStyle name="Total 8 9 4" xfId="43653"/>
    <cellStyle name="Total 9" xfId="1144"/>
    <cellStyle name="Total 9 2" xfId="43654"/>
    <cellStyle name="Total 9 2 2" xfId="43655"/>
    <cellStyle name="Total 9 2 3" xfId="43656"/>
    <cellStyle name="Total 9 2 4" xfId="43657"/>
    <cellStyle name="Total 9 3" xfId="43658"/>
    <cellStyle name="Total 9 3 2" xfId="43659"/>
    <cellStyle name="Total 9 3 3" xfId="43660"/>
    <cellStyle name="Total 9 3 4" xfId="43661"/>
    <cellStyle name="Total 9 4" xfId="43662"/>
    <cellStyle name="Total 9 4 2" xfId="43663"/>
    <cellStyle name="Total 9 4 3" xfId="43664"/>
    <cellStyle name="Total 9 4 4" xfId="43665"/>
    <cellStyle name="Total 9 5" xfId="43666"/>
    <cellStyle name="Total 9 6" xfId="43667"/>
    <cellStyle name="Total 9 7" xfId="43668"/>
    <cellStyle name="Warning Text" xfId="161" builtinId="11" customBuiltin="1"/>
    <cellStyle name="Warning Text 2" xfId="162"/>
    <cellStyle name="Warning Text 3" xfId="324"/>
    <cellStyle name="Warning Text 3 2" xfId="665"/>
    <cellStyle name="Warning Text 3 3" xfId="666"/>
    <cellStyle name="Warning Text 4" xfId="714"/>
    <cellStyle name="Warning Text 5" xfId="43669"/>
    <cellStyle name="Year" xfId="163"/>
  </cellStyles>
  <dxfs count="411">
    <dxf>
      <numFmt numFmtId="0" formatCode="General"/>
      <alignment wrapText="1" readingOrder="0"/>
    </dxf>
    <dxf>
      <numFmt numFmtId="170" formatCode="_(&quot;$&quot;* #,##0_);_(&quot;$&quot;* \(#,##0\);_(&quot;$&quot;* &quot;-&quot;??_);_(@_)"/>
    </dxf>
    <dxf>
      <numFmt numFmtId="171" formatCode="_(* #,##0_);_(* \(#,##0\);_(* &quot;-&quot;??_);_(@_)"/>
    </dxf>
    <dxf>
      <alignment wrapText="1" readingOrder="0"/>
    </dxf>
    <dxf>
      <numFmt numFmtId="167" formatCode="&quot;$&quot;#,##0"/>
    </dxf>
    <dxf>
      <numFmt numFmtId="171" formatCode="_(* #,##0_);_(* \(#,##0\);_(* &quot;-&quot;??_);_(@_)"/>
    </dxf>
    <dxf>
      <numFmt numFmtId="171" formatCode="_(* #,##0_);_(* \(#,##0\);_(* &quot;-&quot;??_);_(@_)"/>
    </dxf>
    <dxf>
      <numFmt numFmtId="167" formatCode="&quot;$&quot;#,##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5" formatCode="&quot;$&quot;#,##0.00"/>
    </dxf>
    <dxf>
      <numFmt numFmtId="3" formatCode="#,##0"/>
    </dxf>
    <dxf>
      <alignment wrapText="1" readingOrder="0"/>
    </dxf>
    <dxf>
      <alignment wrapText="1" readingOrder="0"/>
    </dxf>
    <dxf>
      <numFmt numFmtId="0" formatCode="General"/>
      <alignment wrapText="1" readingOrder="0"/>
    </dxf>
    <dxf>
      <numFmt numFmtId="170" formatCode="_(&quot;$&quot;* #,##0_);_(&quot;$&quot;* \(#,##0\);_(&quot;$&quot;* &quot;-&quot;??_);_(@_)"/>
    </dxf>
    <dxf>
      <numFmt numFmtId="171" formatCode="_(* #,##0_);_(* \(#,##0\);_(* &quot;-&quot;??_);_(@_)"/>
    </dxf>
    <dxf>
      <alignment wrapText="1" readingOrder="0"/>
    </dxf>
    <dxf>
      <numFmt numFmtId="167" formatCode="&quot;$&quot;#,##0"/>
    </dxf>
    <dxf>
      <numFmt numFmtId="171" formatCode="_(* #,##0_);_(* \(#,##0\);_(* &quot;-&quot;??_);_(@_)"/>
    </dxf>
    <dxf>
      <numFmt numFmtId="171" formatCode="_(* #,##0_);_(* \(#,##0\);_(* &quot;-&quot;??_);_(@_)"/>
    </dxf>
    <dxf>
      <numFmt numFmtId="167" formatCode="&quot;$&quot;#,##0"/>
    </dxf>
    <dxf>
      <numFmt numFmtId="165" formatCode="&quot;$&quot;#,##0.00"/>
    </dxf>
    <dxf>
      <numFmt numFmtId="165" formatCode="&quot;$&quot;#,##0.00"/>
    </dxf>
    <dxf>
      <numFmt numFmtId="165" formatCode="&quot;$&quot;#,##0.00"/>
    </dxf>
    <dxf>
      <numFmt numFmtId="165" formatCode="&quot;$&quot;#,##0.00"/>
    </dxf>
    <dxf>
      <numFmt numFmtId="165" formatCode="&quot;$&quot;#,##0.00"/>
    </dxf>
    <dxf>
      <numFmt numFmtId="165" formatCode="&quot;$&quot;#,##0.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5" formatCode="&quot;$&quot;#,##0.00"/>
    </dxf>
    <dxf>
      <numFmt numFmtId="3" formatCode="#,##0"/>
    </dxf>
    <dxf>
      <alignment wrapText="1" readingOrder="0"/>
    </dxf>
    <dxf>
      <alignment wrapText="1" readingOrder="0"/>
    </dxf>
    <dxf>
      <numFmt numFmtId="3" formatCode="#,##0"/>
    </dxf>
    <dxf>
      <alignment horizontal="right" readingOrder="0"/>
    </dxf>
    <dxf>
      <alignment horizontal="general" indent="0" readingOrder="0"/>
    </dxf>
    <dxf>
      <numFmt numFmtId="1" formatCode="0"/>
    </dxf>
    <dxf>
      <numFmt numFmtId="2" formatCode="0.00"/>
    </dxf>
    <dxf>
      <alignment horizontal="center" readingOrder="0"/>
    </dxf>
    <dxf>
      <alignment horizontal="center" indent="0" readingOrder="0"/>
    </dxf>
    <dxf>
      <numFmt numFmtId="35" formatCode="_(* #,##0.00_);_(* \(#,##0.00\);_(* &quot;-&quot;??_);_(@_)"/>
    </dxf>
    <dxf>
      <numFmt numFmtId="171" formatCode="_(* #,##0_);_(* \(#,##0\);_(* &quot;-&quot;??_);_(@_)"/>
    </dxf>
    <dxf>
      <font>
        <b/>
      </font>
      <numFmt numFmtId="0" formatCode="General"/>
      <fill>
        <patternFill patternType="solid">
          <fgColor indexed="64"/>
          <bgColor theme="0" tint="-0.249977111117893"/>
        </patternFill>
      </fill>
      <alignment horizontal="left" readingOrder="0"/>
    </dxf>
    <dxf>
      <alignment horizontal="center" readingOrder="0"/>
    </dxf>
    <dxf>
      <numFmt numFmtId="35" formatCode="_(* #,##0.00_);_(* \(#,##0.00\);_(* &quot;-&quot;??_);_(@_)"/>
    </dxf>
    <dxf>
      <font>
        <name val="Calibri"/>
        <scheme val="minor"/>
      </font>
    </dxf>
    <dxf>
      <font>
        <b/>
      </font>
      <fill>
        <patternFill patternType="solid">
          <fgColor indexed="64"/>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0" tint="-0.249977111117893"/>
        </patternFill>
      </fill>
    </dxf>
    <dxf>
      <fill>
        <patternFill>
          <bgColor rgb="FFCCCCFF"/>
        </patternFill>
      </fill>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top/>
        <bottom/>
      </border>
    </dxf>
    <dxf>
      <border>
        <left/>
        <top/>
        <bottom/>
      </border>
    </dxf>
    <dxf>
      <border>
        <left/>
        <top/>
        <bottom/>
      </border>
    </dxf>
    <dxf>
      <border>
        <lef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numFmt numFmtId="171"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fill>
        <patternFill patternType="solid">
          <fgColor indexed="64"/>
          <bgColor theme="0" tint="-0.249977111117893"/>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numFmt numFmtId="2" formatCode="0.00"/>
      <fill>
        <patternFill>
          <bgColor indexed="64"/>
        </patternFill>
      </fill>
    </dxf>
    <dxf>
      <numFmt numFmtId="35" formatCode="_(* #,##0.00_);_(* \(#,##0.00\);_(* &quot;-&quot;??_);_(@_)"/>
      <fill>
        <patternFill>
          <bgColor indexed="64"/>
        </patternFill>
      </fill>
      <alignment vertical="center" readingOrder="0"/>
    </dxf>
    <dxf>
      <numFmt numFmtId="35" formatCode="_(* #,##0.00_);_(* \(#,##0.00\);_(* &quot;-&quot;??_);_(@_)"/>
      <fill>
        <patternFill>
          <bgColor indexed="64"/>
        </patternFill>
      </fill>
      <alignment vertical="center" readingOrder="0"/>
    </dxf>
    <dxf>
      <numFmt numFmtId="35" formatCode="_(* #,##0.00_);_(* \(#,##0.00\);_(* &quot;-&quot;??_);_(@_)"/>
      <fill>
        <patternFill>
          <bgColor indexed="64"/>
        </patternFill>
      </fill>
      <alignment vertical="center" readingOrder="0"/>
    </dxf>
    <dxf>
      <numFmt numFmtId="35" formatCode="_(* #,##0.00_);_(* \(#,##0.00\);_(* &quot;-&quot;??_);_(@_)"/>
      <fill>
        <patternFill>
          <bgColor indexed="64"/>
        </patternFill>
      </fill>
      <alignment vertical="center" readingOrder="0"/>
    </dxf>
    <dxf>
      <numFmt numFmtId="35" formatCode="_(* #,##0.00_);_(* \(#,##0.00\);_(* &quot;-&quot;??_);_(@_)"/>
      <fill>
        <patternFill>
          <bgColor indexed="64"/>
        </patternFill>
      </fill>
      <alignment vertical="center" readingOrder="0"/>
    </dxf>
    <dxf>
      <numFmt numFmtId="35" formatCode="_(* #,##0.00_);_(* \(#,##0.00\);_(* &quot;-&quot;??_);_(@_)"/>
      <fill>
        <patternFill>
          <bgColor indexed="64"/>
        </patternFill>
      </fill>
      <alignment vertical="center" readingOrder="0"/>
    </dxf>
    <dxf>
      <fill>
        <patternFill>
          <bgColor rgb="FFCCCCFF"/>
        </patternFill>
      </fill>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fill>
        <patternFill>
          <bgColor indexed="64"/>
        </patternFill>
      </fill>
      <alignment horizontal="left" indent="1" readingOrder="0"/>
    </dxf>
    <dxf>
      <numFmt numFmtId="171" formatCode="_(* #,##0_);_(* \(#,##0\);_(* &quot;-&quot;??_);_(@_)"/>
    </dxf>
    <dxf>
      <numFmt numFmtId="0" formatCode="General"/>
      <fill>
        <patternFill>
          <bgColor indexed="64"/>
        </patternFill>
      </fill>
      <alignment horizontal="left" indent="1" readingOrder="0"/>
    </dxf>
    <dxf>
      <alignment horizontal="center" indent="0" readingOrder="0"/>
    </dxf>
    <dxf>
      <numFmt numFmtId="35" formatCode="_(* #,##0.00_);_(* \(#,##0.00\);_(* &quot;-&quot;??_);_(@_)"/>
    </dxf>
    <dxf>
      <numFmt numFmtId="0" formatCode="General"/>
      <fill>
        <patternFill>
          <bgColor indexed="64"/>
        </patternFill>
      </fill>
      <alignment horizontal="left" indent="1" readingOrder="0"/>
    </dxf>
    <dxf>
      <font>
        <b/>
      </font>
      <numFmt numFmtId="2" formatCode="0.00"/>
      <fill>
        <patternFill>
          <bgColor indexed="64"/>
        </patternFill>
      </fill>
    </dxf>
    <dxf>
      <alignment vertical="center" readingOrder="0"/>
    </dxf>
    <dxf>
      <numFmt numFmtId="3" formatCode="#,##0"/>
    </dxf>
    <dxf>
      <alignment horizontal="right" readingOrder="0"/>
    </dxf>
    <dxf>
      <alignment horizontal="general" indent="0" readingOrder="0"/>
    </dxf>
    <dxf>
      <numFmt numFmtId="1" formatCode="0"/>
    </dxf>
    <dxf>
      <numFmt numFmtId="2" formatCode="0.00"/>
    </dxf>
    <dxf>
      <alignment horizontal="center" readingOrder="0"/>
    </dxf>
    <dxf>
      <alignment horizontal="center" indent="0" readingOrder="0"/>
    </dxf>
    <dxf>
      <numFmt numFmtId="35" formatCode="_(* #,##0.00_);_(* \(#,##0.00\);_(* &quot;-&quot;??_);_(@_)"/>
    </dxf>
    <dxf>
      <numFmt numFmtId="171" formatCode="_(* #,##0_);_(* \(#,##0\);_(* &quot;-&quot;??_);_(@_)"/>
    </dxf>
    <dxf>
      <font>
        <b/>
      </font>
      <numFmt numFmtId="0" formatCode="General"/>
      <fill>
        <patternFill patternType="solid">
          <fgColor indexed="64"/>
          <bgColor theme="0" tint="-0.249977111117893"/>
        </patternFill>
      </fill>
      <alignment horizontal="left" readingOrder="0"/>
    </dxf>
    <dxf>
      <alignment horizontal="center" readingOrder="0"/>
    </dxf>
    <dxf>
      <numFmt numFmtId="35" formatCode="_(* #,##0.00_);_(* \(#,##0.00\);_(* &quot;-&quot;??_);_(@_)"/>
    </dxf>
    <dxf>
      <font>
        <name val="Calibri"/>
        <scheme val="minor"/>
      </font>
    </dxf>
    <dxf>
      <font>
        <b/>
      </font>
      <fill>
        <patternFill patternType="solid">
          <fgColor indexed="64"/>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0" tint="-0.249977111117893"/>
        </patternFill>
      </fill>
    </dxf>
    <dxf>
      <fill>
        <patternFill>
          <bgColor rgb="FFCCCCFF"/>
        </patternFill>
      </fill>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top/>
        <bottom/>
      </border>
    </dxf>
    <dxf>
      <border>
        <left/>
        <top/>
        <bottom/>
      </border>
    </dxf>
    <dxf>
      <border>
        <left/>
        <top/>
        <bottom/>
      </border>
    </dxf>
    <dxf>
      <border>
        <lef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numFmt numFmtId="171" formatCode="_(* #,##0_);_(* \(#,##0\);_(* &quot;-&quot;??_);_(@_)"/>
    </dxf>
    <dxf>
      <font>
        <b/>
      </font>
      <fill>
        <patternFill patternType="solid">
          <fgColor indexed="64"/>
          <bgColor theme="0" tint="-0.249977111117893"/>
        </patternFill>
      </fill>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numFmt numFmtId="171" formatCode="_(* #,##0_);_(* \(#,##0\);_(* &quot;-&quot;??_);_(@_)"/>
    </dxf>
    <dxf>
      <numFmt numFmtId="0" formatCode="General"/>
      <fill>
        <patternFill patternType="solid">
          <fgColor indexed="64"/>
          <bgColor rgb="FFCCCCFF"/>
        </patternFill>
      </fill>
      <alignment horizontal="left" inden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Calibri"/>
        <scheme val="minor"/>
      </font>
    </dxf>
    <dxf>
      <alignment wrapText="1" readingOrder="0"/>
    </dxf>
    <dxf>
      <font>
        <b/>
      </font>
      <fill>
        <patternFill patternType="solid">
          <fgColor indexed="64"/>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0" tint="-0.249977111117893"/>
        </patternFill>
      </fill>
    </dxf>
    <dxf>
      <fill>
        <patternFill>
          <bgColor rgb="FFCCCCFF"/>
        </patternFill>
      </fill>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top/>
        <bottom/>
      </border>
    </dxf>
    <dxf>
      <border>
        <left/>
        <top/>
        <bottom/>
      </border>
    </dxf>
    <dxf>
      <border>
        <left/>
        <top/>
        <bottom/>
      </border>
    </dxf>
    <dxf>
      <border>
        <lef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numFmt numFmtId="171" formatCode="_(* #,##0_);_(* \(#,##0\);_(* &quot;-&quot;??_);_(@_)"/>
    </dxf>
    <dxf>
      <font>
        <b/>
      </font>
      <fill>
        <patternFill patternType="solid">
          <fgColor indexed="64"/>
          <bgColor theme="0" tint="-0.249977111117893"/>
        </patternFill>
      </fill>
    </dxf>
    <dxf>
      <fill>
        <patternFill>
          <bgColor indexed="64"/>
        </patternFill>
      </fill>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patternType="solid">
          <fgColor indexed="64"/>
          <bgColor rgb="FFCCCCFF"/>
        </patternFill>
      </fill>
      <alignment horizontal="left" indent="1" readingOrder="0"/>
    </dxf>
    <dxf>
      <fill>
        <patternFill>
          <bgColor indexed="64"/>
        </patternFill>
      </fill>
      <alignment horizontal="left" indent="1" readingOrder="0"/>
    </dxf>
    <dxf>
      <numFmt numFmtId="171" formatCode="_(* #,##0_);_(* \(#,##0\);_(* &quot;-&quot;??_);_(@_)"/>
    </dxf>
    <dxf>
      <numFmt numFmtId="0" formatCode="General"/>
      <fill>
        <patternFill>
          <bgColor indexed="64"/>
        </patternFill>
      </fill>
      <alignment horizontal="left" indent="1" readingOrder="0"/>
    </dxf>
    <dxf>
      <fill>
        <patternFill patternType="solid">
          <bgColor theme="7" tint="0.399975585192419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font>
        <name val="Calibri"/>
        <scheme val="minor"/>
      </font>
    </dxf>
    <dxf>
      <font>
        <b/>
      </font>
      <fill>
        <patternFill patternType="solid">
          <fgColor indexed="64"/>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0" tint="-0.249977111117893"/>
        </patternFill>
      </fill>
    </dxf>
    <dxf>
      <fill>
        <patternFill>
          <bgColor rgb="FFCCCCFF"/>
        </patternFill>
      </fill>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top/>
        <bottom/>
      </border>
    </dxf>
    <dxf>
      <border>
        <left/>
        <top/>
        <bottom/>
      </border>
    </dxf>
    <dxf>
      <border>
        <left/>
        <top/>
        <bottom/>
      </border>
    </dxf>
    <dxf>
      <border>
        <lef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numFmt numFmtId="171" formatCode="_(* #,##0_);_(* \(#,##0\);_(* &quot;-&quot;??_);_(@_)"/>
    </dxf>
    <dxf>
      <alignment wrapText="1" readingOrder="0"/>
    </dxf>
    <dxf>
      <font>
        <name val="Calibri"/>
        <scheme val="minor"/>
      </font>
    </dxf>
    <dxf>
      <font>
        <b/>
      </font>
      <fill>
        <patternFill patternType="solid">
          <fgColor indexed="64"/>
          <bgColor theme="0"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0" tint="-0.249977111117893"/>
        </patternFill>
      </fill>
    </dxf>
    <dxf>
      <fill>
        <patternFill>
          <bgColor rgb="FFCCCCFF"/>
        </patternFill>
      </fill>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ill>
        <patternFill patternType="solid">
          <bgColor theme="0" tint="-0.249977111117893"/>
        </patternFill>
      </fill>
    </dxf>
    <dxf>
      <fill>
        <patternFill patternType="solid">
          <bgColor theme="0" tint="-0.249977111117893"/>
        </patternFill>
      </fill>
    </dxf>
    <dxf>
      <border>
        <left/>
        <top/>
        <bottom/>
      </border>
    </dxf>
    <dxf>
      <border>
        <left/>
        <top/>
        <bottom/>
      </border>
    </dxf>
    <dxf>
      <border>
        <left/>
        <top/>
        <bottom/>
      </border>
    </dxf>
    <dxf>
      <border>
        <left/>
        <top/>
        <bottom/>
      </border>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numFmt numFmtId="171" formatCode="_(* #,##0_);_(* \(#,##0\);_(* &quot;-&quot;??_);_(@_)"/>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ont>
        <b/>
        <i val="0"/>
        <condense val="0"/>
        <extend val="0"/>
        <color indexed="10"/>
      </font>
    </dxf>
  </dxfs>
  <tableStyles count="0" defaultTableStyle="TableStyleMedium2" defaultPivotStyle="PivotStyleLight16"/>
  <colors>
    <mruColors>
      <color rgb="FFCCCCFF"/>
      <color rgb="FF66FF66"/>
      <color rgb="FFFF0066"/>
      <color rgb="FFFF99FF"/>
      <color rgb="FF00CC00"/>
      <color rgb="FF00FF00"/>
      <color rgb="FFFFCC00"/>
      <color rgb="FF6600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M&amp;V%20Forum/REED/2017-2018%20Funding/Measure%20Cost%20Research/README%20Files/READ%20ME%20Copy%20of%20Appendix%202%20National%20Grid%202017%20Electric%20BCR%20Model_7-1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DATA/_EE%20Preapproval%20Filings/2016-2018/BC%20Models/Gas%202016-2018%20Model%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I Lookups"/>
      <sheetName val="Demand Lookups"/>
      <sheetName val="Avoided Costs"/>
      <sheetName val="Inputs Yr 1"/>
      <sheetName val="Calculations Yr 1"/>
      <sheetName val="READ ME"/>
      <sheetName val="Lookups-Assumptions"/>
      <sheetName val="Inputs Yr 2"/>
      <sheetName val="Calculations Yr 2"/>
      <sheetName val="Inputs Yr 3"/>
      <sheetName val="Calculations Yr 3"/>
      <sheetName val="Cost Table"/>
      <sheetName val="Master Data"/>
      <sheetName val="Savings"/>
      <sheetName val="Benefits"/>
      <sheetName val="Cost-Effectiveness"/>
      <sheetName val="Measure Summary"/>
    </sheetNames>
    <sheetDataSet>
      <sheetData sheetId="0"/>
      <sheetData sheetId="1"/>
      <sheetData sheetId="2">
        <row r="11">
          <cell r="D11">
            <v>2.5399999999999999E-2</v>
          </cell>
          <cell r="E11">
            <v>2.5399999999999999E-2</v>
          </cell>
          <cell r="F11">
            <v>2.5399999999999999E-2</v>
          </cell>
        </row>
        <row r="12">
          <cell r="D12">
            <v>2.09080047789727E-2</v>
          </cell>
          <cell r="E12">
            <v>2.09080047789727E-2</v>
          </cell>
          <cell r="F12">
            <v>2.09080047789727E-2</v>
          </cell>
        </row>
        <row r="13">
          <cell r="D13">
            <v>4.4000000000000003E-3</v>
          </cell>
          <cell r="E13">
            <v>4.4000000000000003E-3</v>
          </cell>
          <cell r="F13">
            <v>4.4000000000000003E-3</v>
          </cell>
        </row>
        <row r="14">
          <cell r="D14">
            <v>0.5</v>
          </cell>
        </row>
        <row r="17">
          <cell r="D17">
            <v>10.52</v>
          </cell>
          <cell r="E17">
            <v>10.52</v>
          </cell>
          <cell r="F17">
            <v>10.52</v>
          </cell>
          <cell r="K17">
            <v>2015</v>
          </cell>
        </row>
        <row r="18">
          <cell r="E18">
            <v>82.57</v>
          </cell>
          <cell r="F18">
            <v>82.57</v>
          </cell>
        </row>
        <row r="19">
          <cell r="E19">
            <v>1.0394E-2</v>
          </cell>
          <cell r="F19">
            <v>1.0394E-2</v>
          </cell>
          <cell r="K19">
            <v>2014</v>
          </cell>
        </row>
        <row r="20">
          <cell r="E20">
            <v>4.3540000000000002E-3</v>
          </cell>
          <cell r="F20">
            <v>4.3540000000000002E-3</v>
          </cell>
        </row>
        <row r="21">
          <cell r="E21">
            <v>6.0400000000000002E-3</v>
          </cell>
          <cell r="F21">
            <v>6.0400000000000002E-3</v>
          </cell>
        </row>
        <row r="22">
          <cell r="D22" t="str">
            <v>Yes</v>
          </cell>
        </row>
        <row r="23">
          <cell r="D23" t="str">
            <v>Yes</v>
          </cell>
        </row>
        <row r="24">
          <cell r="D24" t="str">
            <v>Yes</v>
          </cell>
        </row>
        <row r="25">
          <cell r="D25" t="str">
            <v>Yes</v>
          </cell>
        </row>
        <row r="26">
          <cell r="D26" t="str">
            <v>Yes</v>
          </cell>
        </row>
        <row r="27">
          <cell r="D27" t="str">
            <v>Yes</v>
          </cell>
        </row>
        <row r="33">
          <cell r="A33">
            <v>1</v>
          </cell>
          <cell r="B33">
            <v>2016</v>
          </cell>
          <cell r="C33">
            <v>8.2413385249353238E-2</v>
          </cell>
          <cell r="D33">
            <v>8.2232671937550239E-2</v>
          </cell>
          <cell r="E33">
            <v>7.6813636173545294E-2</v>
          </cell>
          <cell r="F33">
            <v>7.6645201804024454E-2</v>
          </cell>
          <cell r="G33">
            <v>6.1249567205840641E-2</v>
          </cell>
          <cell r="H33">
            <v>6.1115261205634749E-2</v>
          </cell>
          <cell r="I33">
            <v>4.2255764134437185E-2</v>
          </cell>
          <cell r="J33">
            <v>4.216310710965418E-2</v>
          </cell>
          <cell r="K33">
            <v>40.315178509011808</v>
          </cell>
          <cell r="L33">
            <v>40.226776735413388</v>
          </cell>
          <cell r="M33">
            <v>0</v>
          </cell>
          <cell r="N33">
            <v>0</v>
          </cell>
          <cell r="O33">
            <v>10.739952210274792</v>
          </cell>
          <cell r="P33">
            <v>10.71640200266407</v>
          </cell>
          <cell r="Q33">
            <v>84.296373954599773</v>
          </cell>
          <cell r="R33">
            <v>84.111531688210292</v>
          </cell>
          <cell r="S33">
            <v>16.506833293137937</v>
          </cell>
          <cell r="T33">
            <v>16.470637661775903</v>
          </cell>
          <cell r="U33">
            <v>15.008347960214042</v>
          </cell>
          <cell r="V33">
            <v>14.975438157317633</v>
          </cell>
          <cell r="W33">
            <v>14.640911264056047</v>
          </cell>
          <cell r="X33">
            <v>14.608807164044427</v>
          </cell>
          <cell r="Y33">
            <v>6.903756685933601</v>
          </cell>
          <cell r="Z33">
            <v>6.8886183594248376</v>
          </cell>
          <cell r="AA33">
            <v>6.6655688963599617</v>
          </cell>
          <cell r="AB33">
            <v>6.6509528600611532</v>
          </cell>
          <cell r="AC33">
            <v>7.0910857727999401</v>
          </cell>
          <cell r="AD33">
            <v>7.075536677341665</v>
          </cell>
          <cell r="AE33">
            <v>5.3890182670400266</v>
          </cell>
          <cell r="AF33">
            <v>5.3772014082196167</v>
          </cell>
          <cell r="AG33">
            <v>5.578552642334687</v>
          </cell>
          <cell r="AH33">
            <v>5.5663201788821368</v>
          </cell>
          <cell r="AI33">
            <v>6.4436527685114759</v>
          </cell>
          <cell r="AJ33">
            <v>6.4295233424675988</v>
          </cell>
          <cell r="AK33">
            <v>6.1368443785712241</v>
          </cell>
          <cell r="AL33">
            <v>6.1233877116922244</v>
          </cell>
          <cell r="AM33">
            <v>15.613098319780079</v>
          </cell>
          <cell r="AN33">
            <v>15.578862440543514</v>
          </cell>
          <cell r="AQ33">
            <v>1.0833179284981212E-2</v>
          </cell>
          <cell r="AR33">
            <v>1.0809424652162511E-2</v>
          </cell>
          <cell r="AS33">
            <v>4.5379702334816434E-3</v>
          </cell>
          <cell r="AT33">
            <v>4.52801952429436E-3</v>
          </cell>
          <cell r="AU33">
            <v>6.2952090514995698E-3</v>
          </cell>
          <cell r="AV33">
            <v>6.2814051278681513E-3</v>
          </cell>
          <cell r="AW33">
            <v>1</v>
          </cell>
          <cell r="AX33">
            <v>0.99780723348208267</v>
          </cell>
          <cell r="AY33">
            <v>0</v>
          </cell>
          <cell r="AZ33">
            <v>0</v>
          </cell>
          <cell r="BA33">
            <v>1.0021975853094038</v>
          </cell>
          <cell r="BB33">
            <v>2.0881231539587514E-2</v>
          </cell>
          <cell r="BC33">
            <v>2.0835443874214626E-2</v>
          </cell>
          <cell r="BD33">
            <v>1.0409254568596695E-2</v>
          </cell>
          <cell r="BE33">
            <v>1.0386429503702199E-2</v>
          </cell>
          <cell r="BF33">
            <v>3.4901762022140327E-2</v>
          </cell>
          <cell r="BG33">
            <v>3.4825230606961861E-2</v>
          </cell>
          <cell r="BH33">
            <v>1.0287406109537246E-2</v>
          </cell>
          <cell r="BI33">
            <v>1.0264848229864036E-2</v>
          </cell>
          <cell r="BJ33">
            <v>4.8238954761051382E-2</v>
          </cell>
          <cell r="BK33">
            <v>4.8133177996192024E-2</v>
          </cell>
          <cell r="BL33">
            <v>4.7670880710872165E-2</v>
          </cell>
          <cell r="BM33">
            <v>4.7566349599769742E-2</v>
          </cell>
          <cell r="BN33">
            <v>5.1410701541218642E-2</v>
          </cell>
          <cell r="BO33">
            <v>5.1297969876216418E-2</v>
          </cell>
          <cell r="BP33">
            <v>4.9233084348865003E-2</v>
          </cell>
          <cell r="BQ33">
            <v>4.9125127689931013E-2</v>
          </cell>
          <cell r="BR33">
            <v>0.14005407115292715</v>
          </cell>
          <cell r="BS33">
            <v>0.13974696527500499</v>
          </cell>
          <cell r="BT33">
            <v>6.2452894150795046</v>
          </cell>
          <cell r="BU33">
            <v>6.2315949535554154</v>
          </cell>
          <cell r="BV33">
            <v>5.994749790802441</v>
          </cell>
          <cell r="BW33">
            <v>5.9816047041778777</v>
          </cell>
          <cell r="BX33">
            <v>5.9136245695975571</v>
          </cell>
          <cell r="BY33">
            <v>5.9006573716418105</v>
          </cell>
          <cell r="BZ33">
            <v>5.979599340660827</v>
          </cell>
          <cell r="CA33">
            <v>5.9664874754360655</v>
          </cell>
          <cell r="CB33">
            <v>6.1522574259218183</v>
          </cell>
          <cell r="CC33">
            <v>6.1387669618286491</v>
          </cell>
          <cell r="CD33">
            <v>5.9925608028222603</v>
          </cell>
          <cell r="CE33">
            <v>5.9794205161372478</v>
          </cell>
          <cell r="CF33">
            <v>6.0623482271167672</v>
          </cell>
          <cell r="CG33">
            <v>6.0490549129043911</v>
          </cell>
          <cell r="CH33">
            <v>4.3436421590543589E-2</v>
          </cell>
          <cell r="CI33">
            <v>4.3341175659621707E-2</v>
          </cell>
          <cell r="CJ33">
            <v>2.73778227894559E-2</v>
          </cell>
          <cell r="CK33">
            <v>2.7317789616309707E-2</v>
          </cell>
        </row>
        <row r="34">
          <cell r="A34">
            <v>2</v>
          </cell>
          <cell r="B34">
            <v>2017</v>
          </cell>
          <cell r="C34">
            <v>7.9097762408961964E-2</v>
          </cell>
          <cell r="D34">
            <v>0.16081124569691843</v>
          </cell>
          <cell r="E34">
            <v>7.3692917649473888E-2</v>
          </cell>
          <cell r="F34">
            <v>0.14985440758562987</v>
          </cell>
          <cell r="G34">
            <v>6.2787313372677789E-2</v>
          </cell>
          <cell r="H34">
            <v>0.1234904458473753</v>
          </cell>
          <cell r="I34">
            <v>4.8449832564356768E-2</v>
          </cell>
          <cell r="J34">
            <v>9.0294920524340516E-2</v>
          </cell>
          <cell r="K34">
            <v>76.946791779832353</v>
          </cell>
          <cell r="L34">
            <v>116.66849859040779</v>
          </cell>
          <cell r="M34">
            <v>0</v>
          </cell>
          <cell r="N34">
            <v>0</v>
          </cell>
          <cell r="O34">
            <v>10.739952210274792</v>
          </cell>
          <cell r="P34">
            <v>21.385858397192216</v>
          </cell>
          <cell r="Q34">
            <v>84.296373954599773</v>
          </cell>
          <cell r="R34">
            <v>167.85459390267692</v>
          </cell>
          <cell r="S34">
            <v>17.874131225549988</v>
          </cell>
          <cell r="T34">
            <v>34.227445137942503</v>
          </cell>
          <cell r="U34">
            <v>16.323655872251557</v>
          </cell>
          <cell r="V34">
            <v>31.191947422754591</v>
          </cell>
          <cell r="W34">
            <v>15.966718868427982</v>
          </cell>
          <cell r="X34">
            <v>30.470722319253802</v>
          </cell>
          <cell r="Y34">
            <v>7.7990875047374191</v>
          </cell>
          <cell r="Z34">
            <v>14.636513547384538</v>
          </cell>
          <cell r="AA34">
            <v>7.5393442635508769</v>
          </cell>
          <cell r="AB34">
            <v>14.140809731708616</v>
          </cell>
          <cell r="AC34">
            <v>8.0187497690231115</v>
          </cell>
          <cell r="AD34">
            <v>15.041652291652737</v>
          </cell>
          <cell r="AE34">
            <v>6.1011277471341669</v>
          </cell>
          <cell r="AF34">
            <v>11.438282051876243</v>
          </cell>
          <cell r="AG34">
            <v>6.3445507514610844</v>
          </cell>
          <cell r="AH34">
            <v>11.869226026156186</v>
          </cell>
          <cell r="AI34">
            <v>7.3174281357023885</v>
          </cell>
          <cell r="AJ34">
            <v>13.698920718303077</v>
          </cell>
          <cell r="AK34">
            <v>6.9675088425363301</v>
          </cell>
          <cell r="AL34">
            <v>13.045162624508954</v>
          </cell>
          <cell r="AM34">
            <v>17.502742559653726</v>
          </cell>
          <cell r="AN34">
            <v>32.966719003463851</v>
          </cell>
          <cell r="AQ34">
            <v>1.0833179284981212E-2</v>
          </cell>
          <cell r="AR34">
            <v>2.1571496189560471E-2</v>
          </cell>
          <cell r="AS34">
            <v>4.5379702334816434E-3</v>
          </cell>
          <cell r="AT34">
            <v>9.0362030411147102E-3</v>
          </cell>
          <cell r="AU34">
            <v>6.2952090514995698E-3</v>
          </cell>
          <cell r="AV34">
            <v>1.253529314844576E-2</v>
          </cell>
          <cell r="AW34">
            <v>1</v>
          </cell>
          <cell r="AX34">
            <v>1.9912433480600227</v>
          </cell>
          <cell r="AY34">
            <v>0</v>
          </cell>
          <cell r="AZ34">
            <v>0</v>
          </cell>
          <cell r="BA34">
            <v>1.0021975853094038</v>
          </cell>
          <cell r="BB34">
            <v>1.9976113191799115E-2</v>
          </cell>
          <cell r="BC34">
            <v>4.0680436147844667E-2</v>
          </cell>
          <cell r="BD34">
            <v>9.9519717748153252E-3</v>
          </cell>
          <cell r="BE34">
            <v>2.0273077676064059E-2</v>
          </cell>
          <cell r="BF34">
            <v>3.6015044890042661E-2</v>
          </cell>
          <cell r="BG34">
            <v>7.0603876868875926E-2</v>
          </cell>
          <cell r="BH34">
            <v>1.2179905030132514E-2</v>
          </cell>
          <cell r="BI34">
            <v>2.2364805758927186E-2</v>
          </cell>
          <cell r="BJ34">
            <v>4.7921661657706102E-2</v>
          </cell>
          <cell r="BK34">
            <v>9.5740287357542211E-2</v>
          </cell>
          <cell r="BL34">
            <v>4.7357324130824378E-2</v>
          </cell>
          <cell r="BM34">
            <v>9.4612825681104004E-2</v>
          </cell>
          <cell r="BN34">
            <v>5.1072546182795706E-2</v>
          </cell>
          <cell r="BO34">
            <v>0.10203528171765537</v>
          </cell>
          <cell r="BP34">
            <v>4.8909252329749117E-2</v>
          </cell>
          <cell r="BQ34">
            <v>9.7713345291309039E-2</v>
          </cell>
          <cell r="BR34">
            <v>0.14005407115292715</v>
          </cell>
          <cell r="BS34">
            <v>0.2788817375519913</v>
          </cell>
          <cell r="BT34">
            <v>3.6754948499476221</v>
          </cell>
          <cell r="BU34">
            <v>9.8829642764386083</v>
          </cell>
          <cell r="BV34">
            <v>3.4893981858672181</v>
          </cell>
          <cell r="BW34">
            <v>9.448098880161119</v>
          </cell>
          <cell r="BX34">
            <v>3.4291397214323931</v>
          </cell>
          <cell r="BY34">
            <v>9.3072886128464845</v>
          </cell>
          <cell r="BZ34">
            <v>3.4781446835966427</v>
          </cell>
          <cell r="CA34">
            <v>9.4218020158482325</v>
          </cell>
          <cell r="CB34">
            <v>3.6063922363991003</v>
          </cell>
          <cell r="CC34">
            <v>9.721487252801019</v>
          </cell>
          <cell r="CD34">
            <v>3.4877722420190178</v>
          </cell>
          <cell r="CE34">
            <v>9.4442994207814106</v>
          </cell>
          <cell r="CF34">
            <v>3.5396091795631142</v>
          </cell>
          <cell r="CG34">
            <v>9.5654305033739799</v>
          </cell>
          <cell r="CH34" t="str">
            <v>q</v>
          </cell>
          <cell r="CI34">
            <v>4.3341175659621707E-2</v>
          </cell>
          <cell r="CJ34">
            <v>1.6237763349609184E-2</v>
          </cell>
          <cell r="CK34">
            <v>4.3448970147781533E-2</v>
          </cell>
        </row>
        <row r="35">
          <cell r="A35">
            <v>3</v>
          </cell>
          <cell r="B35">
            <v>2018</v>
          </cell>
          <cell r="C35">
            <v>6.8203788354501804E-2</v>
          </cell>
          <cell r="D35">
            <v>0.22827053134247038</v>
          </cell>
          <cell r="E35">
            <v>6.2809334936540534E-2</v>
          </cell>
          <cell r="F35">
            <v>0.2119781248880804</v>
          </cell>
          <cell r="G35">
            <v>6.1461283979914801E-2</v>
          </cell>
          <cell r="H35">
            <v>0.18428082732286108</v>
          </cell>
          <cell r="I35">
            <v>5.1667746056584397E-2</v>
          </cell>
          <cell r="J35">
            <v>0.14139866892283998</v>
          </cell>
          <cell r="K35">
            <v>81.432439257452444</v>
          </cell>
          <cell r="L35">
            <v>197.21203309511472</v>
          </cell>
          <cell r="M35">
            <v>0</v>
          </cell>
          <cell r="N35">
            <v>0</v>
          </cell>
          <cell r="O35">
            <v>10.739952210274792</v>
          </cell>
          <cell r="P35">
            <v>32.008574839374766</v>
          </cell>
          <cell r="Q35">
            <v>84.296373954599773</v>
          </cell>
          <cell r="R35">
            <v>251.23080080676559</v>
          </cell>
          <cell r="S35">
            <v>18.996538908099915</v>
          </cell>
          <cell r="T35">
            <v>53.016620569335821</v>
          </cell>
          <cell r="U35">
            <v>17.370951906115693</v>
          </cell>
          <cell r="V35">
            <v>48.373280525235508</v>
          </cell>
          <cell r="W35">
            <v>16.995090763941715</v>
          </cell>
          <cell r="X35">
            <v>47.280297125535846</v>
          </cell>
          <cell r="Y35">
            <v>8.2522714598618876</v>
          </cell>
          <cell r="Z35">
            <v>22.798704403146804</v>
          </cell>
          <cell r="AA35">
            <v>8.0006115130301829</v>
          </cell>
          <cell r="AB35">
            <v>22.054087724293478</v>
          </cell>
          <cell r="AC35">
            <v>8.4719337241475827</v>
          </cell>
          <cell r="AD35">
            <v>23.421107610130424</v>
          </cell>
          <cell r="AE35">
            <v>6.5866448796779906</v>
          </cell>
          <cell r="AF35">
            <v>17.953028066782643</v>
          </cell>
          <cell r="AG35">
            <v>6.8192901581984566</v>
          </cell>
          <cell r="AH35">
            <v>18.614077797303398</v>
          </cell>
          <cell r="AI35">
            <v>7.7813898166333111</v>
          </cell>
          <cell r="AJ35">
            <v>21.395370006885859</v>
          </cell>
          <cell r="AK35">
            <v>7.4314705234672518</v>
          </cell>
          <cell r="AL35">
            <v>20.395512288421536</v>
          </cell>
          <cell r="AM35">
            <v>18.767344352261652</v>
          </cell>
          <cell r="AN35">
            <v>51.529201733707836</v>
          </cell>
          <cell r="AQ35">
            <v>1.0833179284981212E-2</v>
          </cell>
          <cell r="AR35">
            <v>3.2286422053158598E-2</v>
          </cell>
          <cell r="AS35">
            <v>4.5379702334816434E-3</v>
          </cell>
          <cell r="AT35">
            <v>1.3524637446551141E-2</v>
          </cell>
          <cell r="AU35">
            <v>6.2952090514995698E-3</v>
          </cell>
          <cell r="AV35">
            <v>1.8761784606607462E-2</v>
          </cell>
          <cell r="AW35">
            <v>1</v>
          </cell>
          <cell r="AX35">
            <v>2.980327492402854</v>
          </cell>
          <cell r="AY35">
            <v>0</v>
          </cell>
          <cell r="AZ35">
            <v>0</v>
          </cell>
          <cell r="BA35">
            <v>1.0021975853094038</v>
          </cell>
          <cell r="BB35">
            <v>1.0570526319385093E-2</v>
          </cell>
          <cell r="BC35">
            <v>5.1135576127707048E-2</v>
          </cell>
          <cell r="BD35">
            <v>5.1960964936720441E-3</v>
          </cell>
          <cell r="BE35">
            <v>2.5412454330430462E-2</v>
          </cell>
          <cell r="BF35">
            <v>0</v>
          </cell>
          <cell r="BG35">
            <v>7.0603876868875926E-2</v>
          </cell>
          <cell r="BH35">
            <v>0</v>
          </cell>
          <cell r="BI35">
            <v>2.2364805758927186E-2</v>
          </cell>
          <cell r="BJ35">
            <v>4.7609570080645175E-2</v>
          </cell>
          <cell r="BK35">
            <v>0.14283015824328718</v>
          </cell>
          <cell r="BL35">
            <v>4.7048907822580657E-2</v>
          </cell>
          <cell r="BM35">
            <v>0.14114815441706596</v>
          </cell>
          <cell r="BN35">
            <v>5.0739934354838721E-2</v>
          </cell>
          <cell r="BO35">
            <v>0.15222134627302245</v>
          </cell>
          <cell r="BP35">
            <v>4.8590729032258077E-2</v>
          </cell>
          <cell r="BQ35">
            <v>0.14577366493917437</v>
          </cell>
          <cell r="BR35">
            <v>0.14005407115292715</v>
          </cell>
          <cell r="BS35">
            <v>0.41740699868001424</v>
          </cell>
          <cell r="BT35">
            <v>1.7281153612835123</v>
          </cell>
          <cell r="BU35">
            <v>11.592215779879414</v>
          </cell>
          <cell r="BV35">
            <v>1.591007568372369</v>
          </cell>
          <cell r="BW35">
            <v>11.021739239567673</v>
          </cell>
          <cell r="BX35">
            <v>1.5466117964024648</v>
          </cell>
          <cell r="BY35">
            <v>10.837017818121746</v>
          </cell>
          <cell r="BZ35">
            <v>1.5827164855286029</v>
          </cell>
          <cell r="CA35">
            <v>10.987241796674583</v>
          </cell>
          <cell r="CB35">
            <v>1.6772036113343785</v>
          </cell>
          <cell r="CC35">
            <v>11.380382751606389</v>
          </cell>
          <cell r="CD35">
            <v>1.5898096448441541</v>
          </cell>
          <cell r="CE35">
            <v>11.016754933020071</v>
          </cell>
          <cell r="CF35">
            <v>1.6280008082003818</v>
          </cell>
          <cell r="CG35">
            <v>11.175660289742293</v>
          </cell>
          <cell r="CH35">
            <v>1.1884754304209048E-2</v>
          </cell>
          <cell r="CI35">
            <v>5.5147919798308589E-2</v>
          </cell>
          <cell r="CJ35">
            <v>7.7958732662502701E-3</v>
          </cell>
          <cell r="CK35">
            <v>5.1159744786735836E-2</v>
          </cell>
        </row>
        <row r="36">
          <cell r="A36">
            <v>4</v>
          </cell>
          <cell r="B36">
            <v>2019</v>
          </cell>
          <cell r="C36">
            <v>6.7215437788459523E-2</v>
          </cell>
          <cell r="D36">
            <v>0.29446101697730442</v>
          </cell>
          <cell r="E36">
            <v>6.1886928523998463E-2</v>
          </cell>
          <cell r="F36">
            <v>0.27292135442329046</v>
          </cell>
          <cell r="G36">
            <v>6.1010033821265588E-2</v>
          </cell>
          <cell r="H36">
            <v>0.24436053371317734</v>
          </cell>
          <cell r="I36">
            <v>5.1044219374162578E-2</v>
          </cell>
          <cell r="J36">
            <v>0.1916645271898067</v>
          </cell>
          <cell r="K36">
            <v>73.796436723031036</v>
          </cell>
          <cell r="L36">
            <v>269.88316558391307</v>
          </cell>
          <cell r="M36">
            <v>0</v>
          </cell>
          <cell r="N36">
            <v>0</v>
          </cell>
          <cell r="O36">
            <v>10.739952210274792</v>
          </cell>
          <cell r="P36">
            <v>42.584756084080603</v>
          </cell>
          <cell r="Q36">
            <v>84.296373954599773</v>
          </cell>
          <cell r="R36">
            <v>334.24175949263639</v>
          </cell>
          <cell r="S36">
            <v>19.391180469891133</v>
          </cell>
          <cell r="T36">
            <v>72.112109560633797</v>
          </cell>
          <cell r="U36">
            <v>17.763479858726662</v>
          </cell>
          <cell r="V36">
            <v>65.865889323144472</v>
          </cell>
          <cell r="W36">
            <v>17.378039716913687</v>
          </cell>
          <cell r="X36">
            <v>64.39334326627592</v>
          </cell>
          <cell r="Y36">
            <v>8.1768251615124985</v>
          </cell>
          <cell r="Z36">
            <v>30.850843111147128</v>
          </cell>
          <cell r="AA36">
            <v>7.9332485090356313</v>
          </cell>
          <cell r="AB36">
            <v>29.866364022002113</v>
          </cell>
          <cell r="AC36">
            <v>8.3641542483788349</v>
          </cell>
          <cell r="AD36">
            <v>31.657718868502826</v>
          </cell>
          <cell r="AE36">
            <v>6.6405312910060204</v>
          </cell>
          <cell r="AF36">
            <v>24.492299482499977</v>
          </cell>
          <cell r="AG36">
            <v>6.8300656663006798</v>
          </cell>
          <cell r="AH36">
            <v>25.339993423904712</v>
          </cell>
          <cell r="AI36">
            <v>7.7167212440903725</v>
          </cell>
          <cell r="AJ36">
            <v>28.994420812185815</v>
          </cell>
          <cell r="AK36">
            <v>7.3991351283436675</v>
          </cell>
          <cell r="AL36">
            <v>27.681819772785119</v>
          </cell>
          <cell r="AM36">
            <v>18.962797353121864</v>
          </cell>
          <cell r="AN36">
            <v>70.202839920046998</v>
          </cell>
          <cell r="AQ36">
            <v>1.0833179284981212E-2</v>
          </cell>
          <cell r="AR36">
            <v>4.2954408775179836E-2</v>
          </cell>
          <cell r="AS36">
            <v>4.5379702334816434E-3</v>
          </cell>
          <cell r="AT36">
            <v>1.7993409256025879E-2</v>
          </cell>
          <cell r="AU36">
            <v>6.2952090514995698E-3</v>
          </cell>
          <cell r="AV36">
            <v>2.4960999519153954E-2</v>
          </cell>
          <cell r="AW36">
            <v>1</v>
          </cell>
          <cell r="AX36">
            <v>3.9650787312945619</v>
          </cell>
          <cell r="AY36">
            <v>0</v>
          </cell>
          <cell r="AZ36">
            <v>0</v>
          </cell>
          <cell r="BA36">
            <v>1.0021975853094038</v>
          </cell>
          <cell r="BB36">
            <v>0</v>
          </cell>
          <cell r="BC36">
            <v>5.1135576127707048E-2</v>
          </cell>
          <cell r="BD36">
            <v>0</v>
          </cell>
          <cell r="BE36">
            <v>2.5412454330430462E-2</v>
          </cell>
          <cell r="BF36">
            <v>0</v>
          </cell>
          <cell r="BG36">
            <v>7.0603876868875926E-2</v>
          </cell>
          <cell r="BH36">
            <v>0</v>
          </cell>
          <cell r="BI36">
            <v>2.2364805758927186E-2</v>
          </cell>
          <cell r="BJ36">
            <v>4.716744034647552E-2</v>
          </cell>
          <cell r="BK36">
            <v>0.18927835355982969</v>
          </cell>
          <cell r="BL36">
            <v>4.6611984719235375E-2</v>
          </cell>
          <cell r="BM36">
            <v>0.18704936411653433</v>
          </cell>
          <cell r="BN36">
            <v>5.0268734265232991E-2</v>
          </cell>
          <cell r="BO36">
            <v>0.2017235446182287</v>
          </cell>
          <cell r="BP36">
            <v>4.813948769414577E-2</v>
          </cell>
          <cell r="BQ36">
            <v>0.19317908508559659</v>
          </cell>
          <cell r="BR36">
            <v>0.14005407115292715</v>
          </cell>
          <cell r="BS36">
            <v>0.55532541875968666</v>
          </cell>
          <cell r="BT36">
            <v>1.1175178059558881</v>
          </cell>
          <cell r="BU36">
            <v>12.692692823778019</v>
          </cell>
          <cell r="BV36">
            <v>0.99599722787894174</v>
          </cell>
          <cell r="BW36">
            <v>12.002548743654168</v>
          </cell>
          <cell r="BX36">
            <v>0.95664862661124106</v>
          </cell>
          <cell r="BY36">
            <v>11.779078738361218</v>
          </cell>
          <cell r="BZ36">
            <v>0.98864872376647828</v>
          </cell>
          <cell r="CA36">
            <v>11.960814852232328</v>
          </cell>
          <cell r="CB36">
            <v>1.0723940011497146</v>
          </cell>
          <cell r="CC36">
            <v>12.436424072818605</v>
          </cell>
          <cell r="CD36">
            <v>0.99493549129526715</v>
          </cell>
          <cell r="CE36">
            <v>11.996518890690416</v>
          </cell>
          <cell r="CF36">
            <v>1.0287848601016607</v>
          </cell>
          <cell r="CG36">
            <v>12.188757455280435</v>
          </cell>
          <cell r="CH36">
            <v>7.6222704024674556E-3</v>
          </cell>
          <cell r="CI36">
            <v>6.2686986597282793E-2</v>
          </cell>
          <cell r="CJ36">
            <v>5.1489328639050197E-3</v>
          </cell>
          <cell r="CK36">
            <v>5.6230162803436533E-2</v>
          </cell>
        </row>
        <row r="37">
          <cell r="A37">
            <v>5</v>
          </cell>
          <cell r="B37">
            <v>2020</v>
          </cell>
          <cell r="C37">
            <v>6.5590284021440737E-2</v>
          </cell>
          <cell r="D37">
            <v>0.35876817891415502</v>
          </cell>
          <cell r="E37">
            <v>5.9786238501483083E-2</v>
          </cell>
          <cell r="F37">
            <v>0.33153801355611662</v>
          </cell>
          <cell r="G37">
            <v>6.1098781995139011E-2</v>
          </cell>
          <cell r="H37">
            <v>0.30426405946435969</v>
          </cell>
          <cell r="I37">
            <v>4.905949237618619E-2</v>
          </cell>
          <cell r="J37">
            <v>0.23976428415600309</v>
          </cell>
          <cell r="K37">
            <v>172.38279451625763</v>
          </cell>
          <cell r="L37">
            <v>438.8936897411208</v>
          </cell>
          <cell r="M37">
            <v>0</v>
          </cell>
          <cell r="N37">
            <v>0</v>
          </cell>
          <cell r="O37">
            <v>10.739952210274792</v>
          </cell>
          <cell r="P37">
            <v>53.114605989203902</v>
          </cell>
          <cell r="Q37">
            <v>84.296373954599773</v>
          </cell>
          <cell r="R37">
            <v>416.88907001222105</v>
          </cell>
          <cell r="S37">
            <v>19.766373299284499</v>
          </cell>
          <cell r="T37">
            <v>91.49179951968037</v>
          </cell>
          <cell r="U37">
            <v>18.121230004592423</v>
          </cell>
          <cell r="V37">
            <v>83.632619408034941</v>
          </cell>
          <cell r="W37">
            <v>17.723508529049258</v>
          </cell>
          <cell r="X37">
            <v>81.770132375683531</v>
          </cell>
          <cell r="Y37">
            <v>7.7849957110078769</v>
          </cell>
          <cell r="Z37">
            <v>38.483543401053176</v>
          </cell>
          <cell r="AA37">
            <v>7.5468079214342376</v>
          </cell>
          <cell r="AB37">
            <v>37.265536115102591</v>
          </cell>
          <cell r="AC37">
            <v>7.9723247978742169</v>
          </cell>
          <cell r="AD37">
            <v>39.47408358530263</v>
          </cell>
          <cell r="AE37">
            <v>6.2702572921143025</v>
          </cell>
          <cell r="AF37">
            <v>30.639893704502487</v>
          </cell>
          <cell r="AG37">
            <v>6.4597916674089619</v>
          </cell>
          <cell r="AH37">
            <v>31.673414219865794</v>
          </cell>
          <cell r="AI37">
            <v>7.3248917935857518</v>
          </cell>
          <cell r="AJ37">
            <v>36.176018052808352</v>
          </cell>
          <cell r="AK37">
            <v>7.0180834036454991</v>
          </cell>
          <cell r="AL37">
            <v>34.562610619445053</v>
          </cell>
          <cell r="AM37">
            <v>19.094081929922496</v>
          </cell>
          <cell r="AN37">
            <v>88.923390334215625</v>
          </cell>
          <cell r="AQ37">
            <v>1.0833179284981212E-2</v>
          </cell>
          <cell r="AR37">
            <v>5.3575661983086283E-2</v>
          </cell>
          <cell r="AS37">
            <v>4.5379702334816434E-3</v>
          </cell>
          <cell r="AT37">
            <v>2.2442604605960908E-2</v>
          </cell>
          <cell r="AU37">
            <v>6.2952090514995698E-3</v>
          </cell>
          <cell r="AV37">
            <v>3.1133057377125375E-2</v>
          </cell>
          <cell r="AW37">
            <v>1</v>
          </cell>
          <cell r="AX37">
            <v>4.9455160460015595</v>
          </cell>
          <cell r="AY37">
            <v>0</v>
          </cell>
          <cell r="AZ37">
            <v>0</v>
          </cell>
          <cell r="BA37">
            <v>1.0021975853094038</v>
          </cell>
          <cell r="BB37">
            <v>0</v>
          </cell>
          <cell r="BC37">
            <v>5.1135576127707048E-2</v>
          </cell>
          <cell r="BD37">
            <v>0</v>
          </cell>
          <cell r="BE37">
            <v>2.5412454330430462E-2</v>
          </cell>
          <cell r="BF37">
            <v>0</v>
          </cell>
          <cell r="BG37">
            <v>7.0603876868875926E-2</v>
          </cell>
          <cell r="BH37">
            <v>0</v>
          </cell>
          <cell r="BI37">
            <v>2.2364805758927186E-2</v>
          </cell>
          <cell r="BJ37">
            <v>4.6730512138590218E-2</v>
          </cell>
          <cell r="BK37">
            <v>0.23509469139587183</v>
          </cell>
          <cell r="BL37">
            <v>4.6180201887694151E-2</v>
          </cell>
          <cell r="BM37">
            <v>0.23232615724793221</v>
          </cell>
          <cell r="BN37">
            <v>4.9803077706093199E-2</v>
          </cell>
          <cell r="BO37">
            <v>0.25055234038853463</v>
          </cell>
          <cell r="BP37">
            <v>4.7693555077658316E-2</v>
          </cell>
          <cell r="BQ37">
            <v>0.23993962615476616</v>
          </cell>
          <cell r="BR37">
            <v>0.14005407115292715</v>
          </cell>
          <cell r="BS37">
            <v>0.69263965619464529</v>
          </cell>
          <cell r="BT37">
            <v>1.0995233394413428</v>
          </cell>
          <cell r="BU37">
            <v>13.77070653415756</v>
          </cell>
          <cell r="BV37">
            <v>0.97869894994594731</v>
          </cell>
          <cell r="BW37">
            <v>12.96210171404573</v>
          </cell>
          <cell r="BX37">
            <v>0.93957577590494412</v>
          </cell>
          <cell r="BY37">
            <v>12.700273889053204</v>
          </cell>
          <cell r="BZ37">
            <v>0.97139254524360452</v>
          </cell>
          <cell r="CA37">
            <v>12.913204350817365</v>
          </cell>
          <cell r="CB37">
            <v>1.0546580478693828</v>
          </cell>
          <cell r="CC37">
            <v>13.470450177205787</v>
          </cell>
          <cell r="CD37">
            <v>0.97764329602660704</v>
          </cell>
          <cell r="CE37">
            <v>12.955036858588041</v>
          </cell>
          <cell r="CF37">
            <v>1.0112987425819</v>
          </cell>
          <cell r="CG37">
            <v>13.180272478823996</v>
          </cell>
          <cell r="CH37">
            <v>7.49891905611446E-3</v>
          </cell>
          <cell r="CI37">
            <v>7.0071556428140155E-2</v>
          </cell>
          <cell r="CJ37">
            <v>5.0709268515644664E-3</v>
          </cell>
          <cell r="CK37">
            <v>6.1201888708860001E-2</v>
          </cell>
        </row>
        <row r="38">
          <cell r="A38">
            <v>6</v>
          </cell>
          <cell r="B38">
            <v>2021</v>
          </cell>
          <cell r="C38">
            <v>7.0025258340496915E-2</v>
          </cell>
          <cell r="D38">
            <v>0.4271227948530445</v>
          </cell>
          <cell r="E38">
            <v>6.4479092244046646E-2</v>
          </cell>
          <cell r="F38">
            <v>0.39447878222845623</v>
          </cell>
          <cell r="G38">
            <v>6.6425218459499225E-2</v>
          </cell>
          <cell r="H38">
            <v>0.36910452423462758</v>
          </cell>
          <cell r="I38">
            <v>5.4468488114059535E-2</v>
          </cell>
          <cell r="J38">
            <v>0.29293327880225811</v>
          </cell>
          <cell r="K38">
            <v>175.99712039482176</v>
          </cell>
          <cell r="L38">
            <v>610.69192163684272</v>
          </cell>
          <cell r="M38">
            <v>0</v>
          </cell>
          <cell r="N38">
            <v>0</v>
          </cell>
          <cell r="O38">
            <v>10.739952210274792</v>
          </cell>
          <cell r="P38">
            <v>63.598327519593489</v>
          </cell>
          <cell r="Q38">
            <v>84.296373954599773</v>
          </cell>
          <cell r="R38">
            <v>499.17432540806396</v>
          </cell>
          <cell r="S38">
            <v>20.149083118471328</v>
          </cell>
          <cell r="T38">
            <v>111.16017162888201</v>
          </cell>
          <cell r="U38">
            <v>18.498588460960736</v>
          </cell>
          <cell r="V38">
            <v>101.68987388487105</v>
          </cell>
          <cell r="W38">
            <v>18.092260969615371</v>
          </cell>
          <cell r="X38">
            <v>99.430753405181648</v>
          </cell>
          <cell r="Y38">
            <v>8.1080552347872334</v>
          </cell>
          <cell r="Z38">
            <v>46.398158994333556</v>
          </cell>
          <cell r="AA38">
            <v>7.8671730137619802</v>
          </cell>
          <cell r="AB38">
            <v>44.945016385859418</v>
          </cell>
          <cell r="AC38">
            <v>8.2953843216535716</v>
          </cell>
          <cell r="AD38">
            <v>47.571559022164983</v>
          </cell>
          <cell r="AE38">
            <v>6.5825390900872049</v>
          </cell>
          <cell r="AF38">
            <v>37.065388476942694</v>
          </cell>
          <cell r="AG38">
            <v>6.7720734653818671</v>
          </cell>
          <cell r="AH38">
            <v>38.283921511181511</v>
          </cell>
          <cell r="AI38">
            <v>7.6479513173651066</v>
          </cell>
          <cell r="AJ38">
            <v>43.641506755125441</v>
          </cell>
          <cell r="AK38">
            <v>7.3303652016184024</v>
          </cell>
          <cell r="AL38">
            <v>41.718090083897835</v>
          </cell>
          <cell r="AM38">
            <v>19.312535744643817</v>
          </cell>
          <cell r="AN38">
            <v>107.775173175376</v>
          </cell>
          <cell r="AQ38">
            <v>1.0833179284981212E-2</v>
          </cell>
          <cell r="AR38">
            <v>6.4150386403542717E-2</v>
          </cell>
          <cell r="AS38">
            <v>4.5379702334816434E-3</v>
          </cell>
          <cell r="AT38">
            <v>2.6872309255438237E-2</v>
          </cell>
          <cell r="AU38">
            <v>6.2952090514995698E-3</v>
          </cell>
          <cell r="AV38">
            <v>3.7278077148104494E-2</v>
          </cell>
          <cell r="AW38">
            <v>1</v>
          </cell>
          <cell r="AX38">
            <v>5.9216583346385541</v>
          </cell>
          <cell r="AY38">
            <v>0</v>
          </cell>
          <cell r="AZ38">
            <v>0</v>
          </cell>
          <cell r="BA38">
            <v>1.0021975853094038</v>
          </cell>
          <cell r="BB38">
            <v>0</v>
          </cell>
          <cell r="BC38">
            <v>5.1135576127707048E-2</v>
          </cell>
          <cell r="BD38">
            <v>0</v>
          </cell>
          <cell r="BE38">
            <v>2.5412454330430462E-2</v>
          </cell>
          <cell r="BF38">
            <v>0</v>
          </cell>
          <cell r="BG38">
            <v>7.0603876868875926E-2</v>
          </cell>
          <cell r="BH38">
            <v>0</v>
          </cell>
          <cell r="BI38">
            <v>2.2364805758927186E-2</v>
          </cell>
          <cell r="BJ38">
            <v>4.5492548882915186E-2</v>
          </cell>
          <cell r="BK38">
            <v>0.27950189217837096</v>
          </cell>
          <cell r="BL38">
            <v>4.4956817198327371E-2</v>
          </cell>
          <cell r="BM38">
            <v>0.27621040767774246</v>
          </cell>
          <cell r="BN38">
            <v>4.8483717455197146E-2</v>
          </cell>
          <cell r="BO38">
            <v>0.2978793473068802</v>
          </cell>
          <cell r="BP38">
            <v>4.6430079330943862E-2</v>
          </cell>
          <cell r="BQ38">
            <v>0.28526199005447089</v>
          </cell>
          <cell r="BR38">
            <v>0.14005407115292715</v>
          </cell>
          <cell r="BS38">
            <v>0.82935235774279192</v>
          </cell>
          <cell r="BT38">
            <v>0.21756818493921748</v>
          </cell>
          <cell r="BU38">
            <v>13.983084040138724</v>
          </cell>
          <cell r="BV38">
            <v>0.11895758079736654</v>
          </cell>
          <cell r="BW38">
            <v>13.07822123921599</v>
          </cell>
          <cell r="BX38">
            <v>8.7027273975686992E-2</v>
          </cell>
          <cell r="BY38">
            <v>12.785224891445669</v>
          </cell>
          <cell r="BZ38">
            <v>0.11299447198455247</v>
          </cell>
          <cell r="CA38">
            <v>13.023503033303694</v>
          </cell>
          <cell r="CB38">
            <v>0.18095145941394719</v>
          </cell>
          <cell r="CC38">
            <v>13.647084548930323</v>
          </cell>
          <cell r="CD38">
            <v>0.11809601078500725</v>
          </cell>
          <cell r="CE38">
            <v>13.070315368834619</v>
          </cell>
          <cell r="CF38">
            <v>0.145563841835854</v>
          </cell>
          <cell r="CG38">
            <v>13.322363500536438</v>
          </cell>
          <cell r="CH38">
            <v>1.3392561296755785E-3</v>
          </cell>
          <cell r="CI38">
            <v>7.1384613111624168E-2</v>
          </cell>
          <cell r="CJ38">
            <v>1.2476512567977532E-3</v>
          </cell>
          <cell r="CK38">
            <v>6.2419773862091382E-2</v>
          </cell>
        </row>
        <row r="39">
          <cell r="A39">
            <v>7</v>
          </cell>
          <cell r="B39">
            <v>2022</v>
          </cell>
          <cell r="C39">
            <v>7.3806040235143519E-2</v>
          </cell>
          <cell r="D39">
            <v>0.49885238170127932</v>
          </cell>
          <cell r="E39">
            <v>6.7799558971944895E-2</v>
          </cell>
          <cell r="F39">
            <v>0.46037087368948082</v>
          </cell>
          <cell r="G39">
            <v>6.9590979487970758E-2</v>
          </cell>
          <cell r="H39">
            <v>0.43673763652642167</v>
          </cell>
          <cell r="I39">
            <v>5.7103199490813258E-2</v>
          </cell>
          <cell r="J39">
            <v>0.34842994132660826</v>
          </cell>
          <cell r="K39">
            <v>177.65179933155642</v>
          </cell>
          <cell r="L39">
            <v>783.34567908406063</v>
          </cell>
          <cell r="M39">
            <v>0</v>
          </cell>
          <cell r="N39">
            <v>0</v>
          </cell>
          <cell r="O39">
            <v>10.739952210274792</v>
          </cell>
          <cell r="P39">
            <v>74.036122750965035</v>
          </cell>
          <cell r="Q39">
            <v>84.296373954599773</v>
          </cell>
          <cell r="R39">
            <v>581.09911174402873</v>
          </cell>
          <cell r="S39">
            <v>20.547288832686831</v>
          </cell>
          <cell r="T39">
            <v>131.12938463806591</v>
          </cell>
          <cell r="U39">
            <v>18.917331016189795</v>
          </cell>
          <cell r="V39">
            <v>120.07498618380286</v>
          </cell>
          <cell r="W39">
            <v>18.522543798135587</v>
          </cell>
          <cell r="X39">
            <v>117.43218539890033</v>
          </cell>
          <cell r="Y39">
            <v>8.19021389254398</v>
          </cell>
          <cell r="Z39">
            <v>54.357950047195345</v>
          </cell>
          <cell r="AA39">
            <v>7.9412483771638893</v>
          </cell>
          <cell r="AB39">
            <v>52.662846299757838</v>
          </cell>
          <cell r="AC39">
            <v>8.3667652536038677</v>
          </cell>
          <cell r="AD39">
            <v>55.702934353846956</v>
          </cell>
          <cell r="AE39">
            <v>6.6646977478439533</v>
          </cell>
          <cell r="AF39">
            <v>43.542582137490498</v>
          </cell>
          <cell r="AG39">
            <v>6.8542321231386136</v>
          </cell>
          <cell r="AH39">
            <v>44.945317201673078</v>
          </cell>
          <cell r="AI39">
            <v>7.7193322493154026</v>
          </cell>
          <cell r="AJ39">
            <v>51.143663912230274</v>
          </cell>
          <cell r="AK39">
            <v>7.4125238593751508</v>
          </cell>
          <cell r="AL39">
            <v>48.922070574406376</v>
          </cell>
          <cell r="AM39">
            <v>19.485167386596778</v>
          </cell>
          <cell r="AN39">
            <v>126.71214638050095</v>
          </cell>
          <cell r="AQ39">
            <v>1.0833179284981212E-2</v>
          </cell>
          <cell r="AR39">
            <v>7.4678785866362757E-2</v>
          </cell>
          <cell r="AS39">
            <v>4.5379702334816434E-3</v>
          </cell>
          <cell r="AT39">
            <v>3.1282608587852936E-2</v>
          </cell>
          <cell r="AU39">
            <v>6.2952090514995698E-3</v>
          </cell>
          <cell r="AV39">
            <v>4.3396177278509827E-2</v>
          </cell>
          <cell r="AW39">
            <v>1</v>
          </cell>
          <cell r="AX39">
            <v>6.8935244125328135</v>
          </cell>
          <cell r="AY39">
            <v>0</v>
          </cell>
          <cell r="AZ39">
            <v>0</v>
          </cell>
          <cell r="BA39">
            <v>1.0021975853094038</v>
          </cell>
          <cell r="BB39">
            <v>0</v>
          </cell>
          <cell r="BC39">
            <v>5.1135576127707048E-2</v>
          </cell>
          <cell r="BD39">
            <v>0</v>
          </cell>
          <cell r="BE39">
            <v>2.5412454330430462E-2</v>
          </cell>
          <cell r="BF39">
            <v>0</v>
          </cell>
          <cell r="BG39">
            <v>7.0603876868875926E-2</v>
          </cell>
          <cell r="BH39">
            <v>0</v>
          </cell>
          <cell r="BI39">
            <v>2.2364805758927186E-2</v>
          </cell>
          <cell r="BJ39">
            <v>4.4254585627240148E-2</v>
          </cell>
          <cell r="BK39">
            <v>0.32251142274075256</v>
          </cell>
          <cell r="BL39">
            <v>4.3733432508960578E-2</v>
          </cell>
          <cell r="BM39">
            <v>0.31871344720307926</v>
          </cell>
          <cell r="BN39">
            <v>4.7164357204301087E-2</v>
          </cell>
          <cell r="BO39">
            <v>0.34371678615942819</v>
          </cell>
          <cell r="BP39">
            <v>4.5166603584229401E-2</v>
          </cell>
          <cell r="BQ39">
            <v>0.32915787993168072</v>
          </cell>
          <cell r="BR39">
            <v>0.14005407115292715</v>
          </cell>
          <cell r="BS39">
            <v>0.96546615856731099</v>
          </cell>
          <cell r="BT39">
            <v>0.2173802429218937</v>
          </cell>
          <cell r="BU39">
            <v>14.194348524238926</v>
          </cell>
          <cell r="BV39">
            <v>0.11885482161997461</v>
          </cell>
          <cell r="BW39">
            <v>13.193732208542617</v>
          </cell>
          <cell r="BX39">
            <v>8.6952097168757486E-2</v>
          </cell>
          <cell r="BY39">
            <v>12.86973068508575</v>
          </cell>
          <cell r="BZ39">
            <v>0.11289686392197135</v>
          </cell>
          <cell r="CA39">
            <v>13.133223665650103</v>
          </cell>
          <cell r="CB39">
            <v>0.18079514803813901</v>
          </cell>
          <cell r="CC39">
            <v>13.822793220356461</v>
          </cell>
          <cell r="CD39">
            <v>0.11799399585800389</v>
          </cell>
          <cell r="CE39">
            <v>13.184989730804208</v>
          </cell>
          <cell r="CF39">
            <v>0.14543809936072294</v>
          </cell>
          <cell r="CG39">
            <v>13.463709855738541</v>
          </cell>
          <cell r="CH39">
            <v>1.3387129772455125E-3</v>
          </cell>
          <cell r="CI39">
            <v>7.2691387461060644E-2</v>
          </cell>
          <cell r="CJ39">
            <v>1.2468365281526547E-3</v>
          </cell>
          <cell r="CK39">
            <v>6.3631531988482398E-2</v>
          </cell>
        </row>
        <row r="40">
          <cell r="A40">
            <v>8</v>
          </cell>
          <cell r="B40">
            <v>2023</v>
          </cell>
          <cell r="C40">
            <v>7.5579442762519183E-2</v>
          </cell>
          <cell r="D40">
            <v>0.57198370050558356</v>
          </cell>
          <cell r="E40">
            <v>7.0063765649367837E-2</v>
          </cell>
          <cell r="F40">
            <v>0.52816517588397871</v>
          </cell>
          <cell r="G40">
            <v>7.4129051173645238E-2</v>
          </cell>
          <cell r="H40">
            <v>0.5084655439558855</v>
          </cell>
          <cell r="I40">
            <v>6.0261718117225589E-2</v>
          </cell>
          <cell r="J40">
            <v>0.40673969803086701</v>
          </cell>
          <cell r="K40">
            <v>174.89100292179705</v>
          </cell>
          <cell r="L40">
            <v>952.57171758326456</v>
          </cell>
          <cell r="M40">
            <v>0</v>
          </cell>
          <cell r="N40">
            <v>0</v>
          </cell>
          <cell r="O40">
            <v>10.739952210274792</v>
          </cell>
          <cell r="P40">
            <v>84.428192873796121</v>
          </cell>
          <cell r="Q40">
            <v>84.296373954599773</v>
          </cell>
          <cell r="R40">
            <v>662.66500813586936</v>
          </cell>
          <cell r="S40">
            <v>20.90926154556945</v>
          </cell>
          <cell r="T40">
            <v>151.36136593033777</v>
          </cell>
          <cell r="U40">
            <v>19.241596316181905</v>
          </cell>
          <cell r="V40">
            <v>138.69332025810829</v>
          </cell>
          <cell r="W40">
            <v>18.823129316851041</v>
          </cell>
          <cell r="X40">
            <v>135.64560720581437</v>
          </cell>
          <cell r="Y40">
            <v>8.2699885130800972</v>
          </cell>
          <cell r="Z40">
            <v>62.36006205479962</v>
          </cell>
          <cell r="AA40">
            <v>8.031800723506457</v>
          </cell>
          <cell r="AB40">
            <v>60.434485753742813</v>
          </cell>
          <cell r="AC40">
            <v>8.4573175999464372</v>
          </cell>
          <cell r="AD40">
            <v>63.886307596943368</v>
          </cell>
          <cell r="AE40">
            <v>6.755250094186521</v>
          </cell>
          <cell r="AF40">
            <v>50.079020224141132</v>
          </cell>
          <cell r="AG40">
            <v>6.9447844694811831</v>
          </cell>
          <cell r="AH40">
            <v>51.665150379864684</v>
          </cell>
          <cell r="AI40">
            <v>7.8098845956579712</v>
          </cell>
          <cell r="AJ40">
            <v>58.70057541241836</v>
          </cell>
          <cell r="AK40">
            <v>7.5030762057177185</v>
          </cell>
          <cell r="AL40">
            <v>56.182111637919554</v>
          </cell>
          <cell r="AM40">
            <v>19.613538838137547</v>
          </cell>
          <cell r="AN40">
            <v>145.69037523777641</v>
          </cell>
          <cell r="AQ40">
            <v>1.0833179284981212E-2</v>
          </cell>
          <cell r="AR40">
            <v>8.5161063308437659E-2</v>
          </cell>
          <cell r="AS40">
            <v>4.5379702334816434E-3</v>
          </cell>
          <cell r="AT40">
            <v>3.5673587612558934E-2</v>
          </cell>
          <cell r="AU40">
            <v>6.2952090514995698E-3</v>
          </cell>
          <cell r="AV40">
            <v>4.9487475695878733E-2</v>
          </cell>
          <cell r="AW40">
            <v>1</v>
          </cell>
          <cell r="AX40">
            <v>7.8611330125868353</v>
          </cell>
          <cell r="AY40">
            <v>0</v>
          </cell>
          <cell r="AZ40">
            <v>0</v>
          </cell>
          <cell r="BA40">
            <v>1.0021975853094038</v>
          </cell>
          <cell r="BB40">
            <v>0</v>
          </cell>
          <cell r="BC40">
            <v>5.1135576127707048E-2</v>
          </cell>
          <cell r="BD40">
            <v>0</v>
          </cell>
          <cell r="BE40">
            <v>2.5412454330430462E-2</v>
          </cell>
          <cell r="BF40">
            <v>0</v>
          </cell>
          <cell r="BG40">
            <v>7.0603876868875926E-2</v>
          </cell>
          <cell r="BH40">
            <v>0</v>
          </cell>
          <cell r="BI40">
            <v>2.2364805758927186E-2</v>
          </cell>
          <cell r="BJ40">
            <v>4.3016622371565123E-2</v>
          </cell>
          <cell r="BK40">
            <v>0.36413467649275527</v>
          </cell>
          <cell r="BL40">
            <v>4.2510047819593798E-2</v>
          </cell>
          <cell r="BM40">
            <v>0.35984653506202602</v>
          </cell>
          <cell r="BN40">
            <v>4.5844996953405021E-2</v>
          </cell>
          <cell r="BO40">
            <v>0.38807679948099333</v>
          </cell>
          <cell r="BP40">
            <v>4.3903127837514939E-2</v>
          </cell>
          <cell r="BQ40">
            <v>0.37163892399653137</v>
          </cell>
          <cell r="BR40">
            <v>0.14005407115292715</v>
          </cell>
          <cell r="BS40">
            <v>1.1009836822874615</v>
          </cell>
          <cell r="BT40">
            <v>0.21736578584363803</v>
          </cell>
          <cell r="BU40">
            <v>14.40467352797873</v>
          </cell>
          <cell r="BV40">
            <v>0.11884691706786753</v>
          </cell>
          <cell r="BW40">
            <v>13.308729507587394</v>
          </cell>
          <cell r="BX40">
            <v>8.6946314337455213E-2</v>
          </cell>
          <cell r="BY40">
            <v>12.953860686581672</v>
          </cell>
          <cell r="BZ40">
            <v>0.1128893556094651</v>
          </cell>
          <cell r="CA40">
            <v>13.242456376992379</v>
          </cell>
          <cell r="CB40">
            <v>0.18078312408615377</v>
          </cell>
          <cell r="CC40">
            <v>13.997720525966855</v>
          </cell>
          <cell r="CD40">
            <v>0.11798614855592672</v>
          </cell>
          <cell r="CE40">
            <v>13.299154142834173</v>
          </cell>
          <cell r="CF40">
            <v>0.14542842686263593</v>
          </cell>
          <cell r="CG40">
            <v>13.604427652263155</v>
          </cell>
          <cell r="CH40">
            <v>1.3386711962893535E-3</v>
          </cell>
          <cell r="CI40">
            <v>7.3992396586188391E-2</v>
          </cell>
          <cell r="CJ40">
            <v>1.2467738567184163E-3</v>
          </cell>
          <cell r="CK40">
            <v>6.4837921094565654E-2</v>
          </cell>
        </row>
        <row r="41">
          <cell r="A41">
            <v>9</v>
          </cell>
          <cell r="B41">
            <v>2024</v>
          </cell>
          <cell r="C41">
            <v>7.8418787623439054E-2</v>
          </cell>
          <cell r="D41">
            <v>0.64752999014143553</v>
          </cell>
          <cell r="E41">
            <v>7.294897055261039E-2</v>
          </cell>
          <cell r="F41">
            <v>0.59844200908966716</v>
          </cell>
          <cell r="G41">
            <v>7.4792631692447903E-2</v>
          </cell>
          <cell r="H41">
            <v>0.58051850457544507</v>
          </cell>
          <cell r="I41">
            <v>6.3204448617642989E-2</v>
          </cell>
          <cell r="J41">
            <v>0.46762895335155991</v>
          </cell>
          <cell r="K41">
            <v>178.50130770938495</v>
          </cell>
          <cell r="L41">
            <v>1124.5344818808453</v>
          </cell>
          <cell r="M41">
            <v>0</v>
          </cell>
          <cell r="N41">
            <v>0</v>
          </cell>
          <cell r="O41">
            <v>10.739952210274792</v>
          </cell>
          <cell r="P41">
            <v>94.774738197204215</v>
          </cell>
          <cell r="Q41">
            <v>84.296373954599773</v>
          </cell>
          <cell r="R41">
            <v>743.87358678166856</v>
          </cell>
          <cell r="S41">
            <v>21.27109343057348</v>
          </cell>
          <cell r="T41">
            <v>171.85329438112981</v>
          </cell>
          <cell r="U41">
            <v>19.547653183068427</v>
          </cell>
          <cell r="V41">
            <v>157.52493846879165</v>
          </cell>
          <cell r="W41">
            <v>19.094084505060845</v>
          </cell>
          <cell r="X41">
            <v>154.04027106210182</v>
          </cell>
          <cell r="Y41">
            <v>8.4839906051734122</v>
          </cell>
          <cell r="Z41">
            <v>70.53328215868585</v>
          </cell>
          <cell r="AA41">
            <v>8.2404139526965459</v>
          </cell>
          <cell r="AB41">
            <v>68.373051473211476</v>
          </cell>
          <cell r="AC41">
            <v>8.6713196920397504</v>
          </cell>
          <cell r="AD41">
            <v>72.239994880730166</v>
          </cell>
          <cell r="AE41">
            <v>6.9476967346669332</v>
          </cell>
          <cell r="AF41">
            <v>56.772221250655434</v>
          </cell>
          <cell r="AG41">
            <v>7.1372311099615926</v>
          </cell>
          <cell r="AH41">
            <v>58.540943094492278</v>
          </cell>
          <cell r="AI41">
            <v>8.0131089619448321</v>
          </cell>
          <cell r="AJ41">
            <v>66.420162374532836</v>
          </cell>
          <cell r="AK41">
            <v>7.6955228461981298</v>
          </cell>
          <cell r="AL41">
            <v>63.595745735782479</v>
          </cell>
          <cell r="AM41">
            <v>19.769979297706993</v>
          </cell>
          <cell r="AN41">
            <v>164.73617570706284</v>
          </cell>
          <cell r="AQ41">
            <v>1.0833179284981212E-2</v>
          </cell>
          <cell r="AR41">
            <v>9.5597420777648046E-2</v>
          </cell>
          <cell r="AS41">
            <v>4.5379702334816434E-3</v>
          </cell>
          <cell r="AT41">
            <v>4.0045330966507552E-2</v>
          </cell>
          <cell r="AU41">
            <v>6.2952090514995698E-3</v>
          </cell>
          <cell r="AV41">
            <v>5.5552089811140487E-2</v>
          </cell>
          <cell r="AW41">
            <v>1</v>
          </cell>
          <cell r="AX41">
            <v>8.824502785639428</v>
          </cell>
          <cell r="AY41">
            <v>0</v>
          </cell>
          <cell r="AZ41">
            <v>0</v>
          </cell>
          <cell r="BA41">
            <v>1.0021975853094038</v>
          </cell>
          <cell r="BB41">
            <v>0</v>
          </cell>
          <cell r="BC41">
            <v>5.1135576127707048E-2</v>
          </cell>
          <cell r="BD41">
            <v>0</v>
          </cell>
          <cell r="BE41">
            <v>2.5412454330430462E-2</v>
          </cell>
          <cell r="BF41">
            <v>0</v>
          </cell>
          <cell r="BG41">
            <v>7.0603876868875926E-2</v>
          </cell>
          <cell r="BH41">
            <v>0</v>
          </cell>
          <cell r="BI41">
            <v>2.2364805758927186E-2</v>
          </cell>
          <cell r="BJ41">
            <v>4.1783860642174445E-2</v>
          </cell>
          <cell r="BK41">
            <v>0.40438798483686794</v>
          </cell>
          <cell r="BL41">
            <v>4.129180340203107E-2</v>
          </cell>
          <cell r="BM41">
            <v>0.39962581033437283</v>
          </cell>
          <cell r="BN41">
            <v>4.4531180232974921E-2</v>
          </cell>
          <cell r="BO41">
            <v>0.43097679247579845</v>
          </cell>
          <cell r="BP41">
            <v>4.2644960812425338E-2</v>
          </cell>
          <cell r="BQ41">
            <v>0.41272179021623417</v>
          </cell>
          <cell r="BR41">
            <v>0.14005407115292715</v>
          </cell>
          <cell r="BS41">
            <v>1.2359075410291482</v>
          </cell>
          <cell r="BT41">
            <v>0.21699676567935164</v>
          </cell>
          <cell r="BU41">
            <v>14.613721652884394</v>
          </cell>
          <cell r="BV41">
            <v>0.11864515160284232</v>
          </cell>
          <cell r="BW41">
            <v>13.423028660360814</v>
          </cell>
          <cell r="BX41">
            <v>8.6798706271740661E-2</v>
          </cell>
          <cell r="BY41">
            <v>13.037479936543937</v>
          </cell>
          <cell r="BZ41">
            <v>0.11269770424910265</v>
          </cell>
          <cell r="CA41">
            <v>13.351025938758385</v>
          </cell>
          <cell r="CB41">
            <v>0.18047621001551678</v>
          </cell>
          <cell r="CC41">
            <v>14.171585851450894</v>
          </cell>
          <cell r="CD41">
            <v>0.11778584441075207</v>
          </cell>
          <cell r="CE41">
            <v>13.412625465032969</v>
          </cell>
          <cell r="CF41">
            <v>0.14518153418003424</v>
          </cell>
          <cell r="CG41">
            <v>13.744291153897601</v>
          </cell>
          <cell r="CH41">
            <v>1.3376047280145658E-3</v>
          </cell>
          <cell r="CI41">
            <v>7.5286674424488206E-2</v>
          </cell>
          <cell r="CJ41">
            <v>1.2451741543062348E-3</v>
          </cell>
          <cell r="CK41">
            <v>6.6037484237010599E-2</v>
          </cell>
        </row>
        <row r="42">
          <cell r="A42">
            <v>10</v>
          </cell>
          <cell r="B42">
            <v>2025</v>
          </cell>
          <cell r="C42">
            <v>8.3037007234541965E-2</v>
          </cell>
          <cell r="D42">
            <v>0.7271748953729239</v>
          </cell>
          <cell r="E42">
            <v>7.529172405358639E-2</v>
          </cell>
          <cell r="F42">
            <v>0.67065802971316568</v>
          </cell>
          <cell r="G42">
            <v>8.0820093089687378E-2</v>
          </cell>
          <cell r="H42">
            <v>0.65803705767968779</v>
          </cell>
          <cell r="I42">
            <v>6.545747406430355E-2</v>
          </cell>
          <cell r="J42">
            <v>0.53041245786562208</v>
          </cell>
          <cell r="K42">
            <v>182.21764231692606</v>
          </cell>
          <cell r="L42">
            <v>1299.3084451674197</v>
          </cell>
          <cell r="M42">
            <v>0</v>
          </cell>
          <cell r="N42">
            <v>0</v>
          </cell>
          <cell r="O42">
            <v>10.739952210274792</v>
          </cell>
          <cell r="P42">
            <v>105.07595815280767</v>
          </cell>
          <cell r="Q42">
            <v>84.296373954599773</v>
          </cell>
          <cell r="R42">
            <v>824.72641299214172</v>
          </cell>
          <cell r="S42">
            <v>21.605438127870073</v>
          </cell>
          <cell r="T42">
            <v>192.57613988685264</v>
          </cell>
          <cell r="U42">
            <v>19.870558262794173</v>
          </cell>
          <cell r="V42">
            <v>176.58377479302135</v>
          </cell>
          <cell r="W42">
            <v>19.4052163258531</v>
          </cell>
          <cell r="X42">
            <v>172.6527748931189</v>
          </cell>
          <cell r="Y42">
            <v>8.5821359477321124</v>
          </cell>
          <cell r="Z42">
            <v>78.764833692211511</v>
          </cell>
          <cell r="AA42">
            <v>8.3439481581584722</v>
          </cell>
          <cell r="AB42">
            <v>76.376145303844396</v>
          </cell>
          <cell r="AC42">
            <v>8.7694650345984506</v>
          </cell>
          <cell r="AD42">
            <v>80.651223017103874</v>
          </cell>
          <cell r="AE42">
            <v>7.0673975288385371</v>
          </cell>
          <cell r="AF42">
            <v>63.550912164066055</v>
          </cell>
          <cell r="AG42">
            <v>7.2569319041331966</v>
          </cell>
          <cell r="AH42">
            <v>65.501425812077812</v>
          </cell>
          <cell r="AI42">
            <v>8.1220320303099864</v>
          </cell>
          <cell r="AJ42">
            <v>74.210405458727976</v>
          </cell>
          <cell r="AK42">
            <v>7.8152236403697319</v>
          </cell>
          <cell r="AL42">
            <v>71.091713701511495</v>
          </cell>
          <cell r="AM42">
            <v>19.957883119544359</v>
          </cell>
          <cell r="AN42">
            <v>183.87876962530817</v>
          </cell>
          <cell r="AQ42">
            <v>1.0833179284981212E-2</v>
          </cell>
          <cell r="AR42">
            <v>0.10598805943675835</v>
          </cell>
          <cell r="AS42">
            <v>4.5379702334816434E-3</v>
          </cell>
          <cell r="AT42">
            <v>4.4397922915878942E-2</v>
          </cell>
          <cell r="AU42">
            <v>6.2952090514995698E-3</v>
          </cell>
          <cell r="AV42">
            <v>6.1590136520879392E-2</v>
          </cell>
          <cell r="AW42">
            <v>1</v>
          </cell>
          <cell r="AX42">
            <v>9.7836523008252012</v>
          </cell>
          <cell r="AY42">
            <v>0</v>
          </cell>
          <cell r="AZ42">
            <v>0</v>
          </cell>
          <cell r="BA42">
            <v>1.0021975853094038</v>
          </cell>
          <cell r="BB42">
            <v>0</v>
          </cell>
          <cell r="BC42">
            <v>5.1135576127707048E-2</v>
          </cell>
          <cell r="BD42">
            <v>0</v>
          </cell>
          <cell r="BE42">
            <v>2.5412454330430462E-2</v>
          </cell>
          <cell r="BF42">
            <v>0</v>
          </cell>
          <cell r="BG42">
            <v>7.0603876868875926E-2</v>
          </cell>
          <cell r="BH42">
            <v>0</v>
          </cell>
          <cell r="BI42">
            <v>2.2364805758927186E-2</v>
          </cell>
          <cell r="BJ42">
            <v>4.0545897386499413E-2</v>
          </cell>
          <cell r="BK42">
            <v>0.44327756265790091</v>
          </cell>
          <cell r="BL42">
            <v>4.006841871266429E-2</v>
          </cell>
          <cell r="BM42">
            <v>0.43805741471688536</v>
          </cell>
          <cell r="BN42">
            <v>4.3211819982078861E-2</v>
          </cell>
          <cell r="BO42">
            <v>0.47242338866190431</v>
          </cell>
          <cell r="BP42">
            <v>4.1381485065710877E-2</v>
          </cell>
          <cell r="BQ42">
            <v>0.45241282155467805</v>
          </cell>
          <cell r="BR42">
            <v>0.14005407115292715</v>
          </cell>
          <cell r="BS42">
            <v>1.3702403354752719</v>
          </cell>
          <cell r="BT42">
            <v>0.21662929761392419</v>
          </cell>
          <cell r="BU42">
            <v>14.821501538665823</v>
          </cell>
          <cell r="BV42">
            <v>0.11844423476338919</v>
          </cell>
          <cell r="BW42">
            <v>13.536634390710669</v>
          </cell>
          <cell r="BX42">
            <v>8.6651719045569675E-2</v>
          </cell>
          <cell r="BY42">
            <v>13.12059189085651</v>
          </cell>
          <cell r="BZ42">
            <v>0.11250685897438677</v>
          </cell>
          <cell r="CA42">
            <v>13.458936837998742</v>
          </cell>
          <cell r="CB42">
            <v>0.18017058682550074</v>
          </cell>
          <cell r="CC42">
            <v>14.344396382455312</v>
          </cell>
          <cell r="CD42">
            <v>0.11758638274483806</v>
          </cell>
          <cell r="CE42">
            <v>13.525408387035128</v>
          </cell>
          <cell r="CF42">
            <v>0.14493567992808765</v>
          </cell>
          <cell r="CG42">
            <v>13.883306141033746</v>
          </cell>
          <cell r="CH42">
            <v>1.3365427453054808E-3</v>
          </cell>
          <cell r="CI42">
            <v>7.6574259305708228E-2</v>
          </cell>
          <cell r="CJ42">
            <v>1.2435811802426068E-3</v>
          </cell>
          <cell r="CK42">
            <v>6.7230264523134464E-2</v>
          </cell>
        </row>
        <row r="43">
          <cell r="A43">
            <v>11</v>
          </cell>
          <cell r="B43">
            <v>2026</v>
          </cell>
          <cell r="C43">
            <v>8.4464262367603807E-2</v>
          </cell>
          <cell r="D43">
            <v>0.80783385226301874</v>
          </cell>
          <cell r="E43">
            <v>7.7725010092089708E-2</v>
          </cell>
          <cell r="F43">
            <v>0.74488135283904888</v>
          </cell>
          <cell r="G43">
            <v>8.5434725081587157E-2</v>
          </cell>
          <cell r="H43">
            <v>0.73962275575021175</v>
          </cell>
          <cell r="I43">
            <v>6.8203668206913259E-2</v>
          </cell>
          <cell r="J43">
            <v>0.5955433970278603</v>
          </cell>
          <cell r="K43">
            <v>182.96133251116859</v>
          </cell>
          <cell r="L43">
            <v>1474.0269570907874</v>
          </cell>
          <cell r="M43">
            <v>0</v>
          </cell>
          <cell r="N43">
            <v>0</v>
          </cell>
          <cell r="O43">
            <v>10.739952210274792</v>
          </cell>
          <cell r="P43">
            <v>115.33205129856977</v>
          </cell>
          <cell r="Q43">
            <v>84.296373954599773</v>
          </cell>
          <cell r="R43">
            <v>905.22504522080851</v>
          </cell>
          <cell r="S43">
            <v>21.854578739700273</v>
          </cell>
          <cell r="T43">
            <v>213.44612057459941</v>
          </cell>
          <cell r="U43">
            <v>20.142304308180872</v>
          </cell>
          <cell r="V43">
            <v>195.81862287338373</v>
          </cell>
          <cell r="W43">
            <v>19.693713404795492</v>
          </cell>
          <cell r="X43">
            <v>191.45924210181781</v>
          </cell>
          <cell r="Y43">
            <v>8.6988906391864216</v>
          </cell>
          <cell r="Z43">
            <v>87.071819693037611</v>
          </cell>
          <cell r="AA43">
            <v>8.4580084181611692</v>
          </cell>
          <cell r="AB43">
            <v>84.453101370865994</v>
          </cell>
          <cell r="AC43">
            <v>8.886219726052758</v>
          </cell>
          <cell r="AD43">
            <v>89.137098507025982</v>
          </cell>
          <cell r="AE43">
            <v>7.1733744944863931</v>
          </cell>
          <cell r="AF43">
            <v>70.401109962386059</v>
          </cell>
          <cell r="AG43">
            <v>7.3629088697810525</v>
          </cell>
          <cell r="AH43">
            <v>72.53261903470576</v>
          </cell>
          <cell r="AI43">
            <v>8.2387867217642956</v>
          </cell>
          <cell r="AJ43">
            <v>82.078016261096778</v>
          </cell>
          <cell r="AK43">
            <v>7.9212006060175906</v>
          </cell>
          <cell r="AL43">
            <v>78.656046358770595</v>
          </cell>
          <cell r="AM43">
            <v>20.113670137757172</v>
          </cell>
          <cell r="AN43">
            <v>203.08627356919143</v>
          </cell>
          <cell r="AQ43">
            <v>1.0833179284981212E-2</v>
          </cell>
          <cell r="AR43">
            <v>0.11633317956729429</v>
          </cell>
          <cell r="AS43">
            <v>4.5379702334816434E-3</v>
          </cell>
          <cell r="AT43">
            <v>4.8731447357706292E-2</v>
          </cell>
          <cell r="AU43">
            <v>6.2952090514995698E-3</v>
          </cell>
          <cell r="AV43">
            <v>6.7601732209587984E-2</v>
          </cell>
          <cell r="AW43">
            <v>1</v>
          </cell>
          <cell r="AX43">
            <v>10.738600045932502</v>
          </cell>
          <cell r="AY43">
            <v>0</v>
          </cell>
          <cell r="AZ43">
            <v>0</v>
          </cell>
          <cell r="BA43">
            <v>1.0021975853094038</v>
          </cell>
          <cell r="BB43">
            <v>0</v>
          </cell>
          <cell r="BC43">
            <v>5.1135576127707048E-2</v>
          </cell>
          <cell r="BD43">
            <v>0</v>
          </cell>
          <cell r="BE43">
            <v>2.5412454330430462E-2</v>
          </cell>
          <cell r="BF43">
            <v>0</v>
          </cell>
          <cell r="BG43">
            <v>7.0603876868875926E-2</v>
          </cell>
          <cell r="BH43">
            <v>0</v>
          </cell>
          <cell r="BI43">
            <v>2.2364805758927186E-2</v>
          </cell>
          <cell r="BJ43">
            <v>3.9307934130824368E-2</v>
          </cell>
          <cell r="BK43">
            <v>0.48081458572095803</v>
          </cell>
          <cell r="BL43">
            <v>3.8845034023297496E-2</v>
          </cell>
          <cell r="BM43">
            <v>0.47515239236604978</v>
          </cell>
          <cell r="BN43">
            <v>4.1892459731182802E-2</v>
          </cell>
          <cell r="BO43">
            <v>0.5124284986191957</v>
          </cell>
          <cell r="BP43">
            <v>4.0118009318996416E-2</v>
          </cell>
          <cell r="BQ43">
            <v>0.49072342409204744</v>
          </cell>
          <cell r="BR43">
            <v>0.14005407115292715</v>
          </cell>
          <cell r="BS43">
            <v>1.5039846549158575</v>
          </cell>
          <cell r="BT43">
            <v>0.21626337612081561</v>
          </cell>
          <cell r="BU43">
            <v>15.028021762041687</v>
          </cell>
          <cell r="BV43">
            <v>0.11824416352781715</v>
          </cell>
          <cell r="BW43">
            <v>13.649551388043655</v>
          </cell>
          <cell r="BX43">
            <v>8.6505350448326246E-2</v>
          </cell>
          <cell r="BY43">
            <v>13.203199980206854</v>
          </cell>
          <cell r="BZ43">
            <v>0.11231681691509783</v>
          </cell>
          <cell r="CA43">
            <v>13.566193529049444</v>
          </cell>
          <cell r="CB43">
            <v>0.17986624991968236</v>
          </cell>
          <cell r="CC43">
            <v>14.516159252237019</v>
          </cell>
          <cell r="CD43">
            <v>0.11738776055837871</v>
          </cell>
          <cell r="CE43">
            <v>13.637507564283547</v>
          </cell>
          <cell r="CF43">
            <v>0.1446908604092684</v>
          </cell>
          <cell r="CG43">
            <v>14.02147835191921</v>
          </cell>
          <cell r="CH43">
            <v>1.3354852321903967E-3</v>
          </cell>
          <cell r="CI43">
            <v>7.7855189318701418E-2</v>
          </cell>
          <cell r="CJ43">
            <v>1.2419949105699813E-3</v>
          </cell>
          <cell r="CK43">
            <v>6.8416304762418001E-2</v>
          </cell>
        </row>
        <row r="44">
          <cell r="A44">
            <v>12</v>
          </cell>
          <cell r="B44">
            <v>2027</v>
          </cell>
          <cell r="C44">
            <v>8.5803156248414711E-2</v>
          </cell>
          <cell r="D44">
            <v>0.88941243707237072</v>
          </cell>
          <cell r="E44">
            <v>7.9728621010986447E-2</v>
          </cell>
          <cell r="F44">
            <v>0.82068448590849952</v>
          </cell>
          <cell r="G44">
            <v>8.2897572611307077E-2</v>
          </cell>
          <cell r="H44">
            <v>0.81843881512898153</v>
          </cell>
          <cell r="I44">
            <v>7.0072725337772326E-2</v>
          </cell>
          <cell r="J44">
            <v>0.66216604841657889</v>
          </cell>
          <cell r="K44">
            <v>181.26220993732784</v>
          </cell>
          <cell r="L44">
            <v>1646.3646100704941</v>
          </cell>
          <cell r="M44">
            <v>0</v>
          </cell>
          <cell r="N44">
            <v>0</v>
          </cell>
          <cell r="O44">
            <v>10.739952210274792</v>
          </cell>
          <cell r="P44">
            <v>125.54321532262601</v>
          </cell>
          <cell r="Q44">
            <v>84.296373954599773</v>
          </cell>
          <cell r="R44">
            <v>985.37103509403335</v>
          </cell>
          <cell r="S44">
            <v>22.208146844788985</v>
          </cell>
          <cell r="T44">
            <v>234.56083558101423</v>
          </cell>
          <cell r="U44">
            <v>20.491180237585148</v>
          </cell>
          <cell r="V44">
            <v>215.30090718488239</v>
          </cell>
          <cell r="W44">
            <v>20.040195614345361</v>
          </cell>
          <cell r="X44">
            <v>210.51274629678826</v>
          </cell>
          <cell r="Y44">
            <v>8.7804619407287987</v>
          </cell>
          <cell r="Z44">
            <v>95.419970162272421</v>
          </cell>
          <cell r="AA44">
            <v>8.5395797197035463</v>
          </cell>
          <cell r="AB44">
            <v>92.572229604134563</v>
          </cell>
          <cell r="AC44">
            <v>8.9677910275951369</v>
          </cell>
          <cell r="AD44">
            <v>97.66335479973354</v>
          </cell>
          <cell r="AE44">
            <v>7.2549457960287711</v>
          </cell>
          <cell r="AF44">
            <v>77.298854017337661</v>
          </cell>
          <cell r="AG44">
            <v>7.4444801713234305</v>
          </cell>
          <cell r="AH44">
            <v>79.610565622819394</v>
          </cell>
          <cell r="AI44">
            <v>8.3203580233066727</v>
          </cell>
          <cell r="AJ44">
            <v>89.988716313707442</v>
          </cell>
          <cell r="AK44">
            <v>8.0027719075599677</v>
          </cell>
          <cell r="AL44">
            <v>86.264796844366415</v>
          </cell>
          <cell r="AM44">
            <v>20.269796752340056</v>
          </cell>
          <cell r="AN44">
            <v>222.35807434819426</v>
          </cell>
          <cell r="AQ44">
            <v>1.0833179284981212E-2</v>
          </cell>
          <cell r="AR44">
            <v>0.12663298057340336</v>
          </cell>
          <cell r="AS44">
            <v>4.5379702334816434E-3</v>
          </cell>
          <cell r="AT44">
            <v>5.3045987821492988E-2</v>
          </cell>
          <cell r="AU44">
            <v>6.2952090514995698E-3</v>
          </cell>
          <cell r="AV44">
            <v>7.3586992751910357E-2</v>
          </cell>
          <cell r="AW44">
            <v>1</v>
          </cell>
          <cell r="AX44">
            <v>11.689364427759765</v>
          </cell>
          <cell r="AY44">
            <v>0</v>
          </cell>
          <cell r="AZ44">
            <v>0</v>
          </cell>
          <cell r="BA44">
            <v>1.0021975853094038</v>
          </cell>
          <cell r="BB44">
            <v>0</v>
          </cell>
          <cell r="BC44">
            <v>5.1135576127707048E-2</v>
          </cell>
          <cell r="BD44">
            <v>0</v>
          </cell>
          <cell r="BE44">
            <v>2.5412454330430462E-2</v>
          </cell>
          <cell r="BF44">
            <v>0</v>
          </cell>
          <cell r="BG44">
            <v>7.0603876868875926E-2</v>
          </cell>
          <cell r="BH44">
            <v>0</v>
          </cell>
          <cell r="BI44">
            <v>2.2364805758927186E-2</v>
          </cell>
          <cell r="BJ44">
            <v>3.8075172401433696E-2</v>
          </cell>
          <cell r="BK44">
            <v>0.51701510347217361</v>
          </cell>
          <cell r="BL44">
            <v>3.7626789605734783E-2</v>
          </cell>
          <cell r="BM44">
            <v>0.51092660372569065</v>
          </cell>
          <cell r="BN44">
            <v>4.0578643010752695E-2</v>
          </cell>
          <cell r="BO44">
            <v>0.55100922705670308</v>
          </cell>
          <cell r="BP44">
            <v>3.8859842293906814E-2</v>
          </cell>
          <cell r="BQ44">
            <v>0.52766997802851856</v>
          </cell>
          <cell r="BR44">
            <v>0.14005407115292715</v>
          </cell>
          <cell r="BS44">
            <v>1.6371430772979614</v>
          </cell>
          <cell r="BT44">
            <v>0.21589899569661389</v>
          </cell>
          <cell r="BU44">
            <v>15.233290837222308</v>
          </cell>
          <cell r="BV44">
            <v>0.11804493488708064</v>
          </cell>
          <cell r="BW44">
            <v>13.76178430758941</v>
          </cell>
          <cell r="BX44">
            <v>8.6359598278645561E-2</v>
          </cell>
          <cell r="BY44">
            <v>13.285307610279103</v>
          </cell>
          <cell r="BZ44">
            <v>0.11212757521302784</v>
          </cell>
          <cell r="CA44">
            <v>13.672800433782649</v>
          </cell>
          <cell r="CB44">
            <v>0.17956319472087379</v>
          </cell>
          <cell r="CC44">
            <v>14.686881542064738</v>
          </cell>
          <cell r="CD44">
            <v>0.11718997486412204</v>
          </cell>
          <cell r="CE44">
            <v>13.748927618291587</v>
          </cell>
          <cell r="CF44">
            <v>0.14444707194152256</v>
          </cell>
          <cell r="CG44">
            <v>14.158813482980451</v>
          </cell>
          <cell r="CH44">
            <v>1.3344321727644538E-3</v>
          </cell>
          <cell r="CI44">
            <v>7.9129502313081482E-2</v>
          </cell>
          <cell r="CJ44">
            <v>1.2404153214310666E-3</v>
          </cell>
          <cell r="CK44">
            <v>6.9595647468707472E-2</v>
          </cell>
        </row>
        <row r="45">
          <cell r="A45">
            <v>13</v>
          </cell>
          <cell r="B45">
            <v>2028</v>
          </cell>
          <cell r="C45">
            <v>8.8772024963853266E-2</v>
          </cell>
          <cell r="D45">
            <v>0.97344397773178148</v>
          </cell>
          <cell r="E45">
            <v>8.3393930277933404E-2</v>
          </cell>
          <cell r="F45">
            <v>0.89962512566242736</v>
          </cell>
          <cell r="G45">
            <v>8.9147313470360368E-2</v>
          </cell>
          <cell r="H45">
            <v>0.90282560364272935</v>
          </cell>
          <cell r="I45">
            <v>7.4098382871404356E-2</v>
          </cell>
          <cell r="J45">
            <v>0.73230752908676067</v>
          </cell>
          <cell r="K45">
            <v>185.61567582824037</v>
          </cell>
          <cell r="L45">
            <v>1822.0682871775095</v>
          </cell>
          <cell r="M45">
            <v>0</v>
          </cell>
          <cell r="N45">
            <v>0</v>
          </cell>
          <cell r="O45">
            <v>10.739952210274792</v>
          </cell>
          <cell r="P45">
            <v>135.70964704709459</v>
          </cell>
          <cell r="Q45">
            <v>84.296373954599773</v>
          </cell>
          <cell r="R45">
            <v>1065.1659274409317</v>
          </cell>
          <cell r="S45">
            <v>22.430722490333782</v>
          </cell>
          <cell r="T45">
            <v>255.79374279174806</v>
          </cell>
          <cell r="U45">
            <v>20.687203808630922</v>
          </cell>
          <cell r="V45">
            <v>234.8834007540257</v>
          </cell>
          <cell r="W45">
            <v>20.216999559833479</v>
          </cell>
          <cell r="X45">
            <v>229.65014483213983</v>
          </cell>
          <cell r="Y45">
            <v>8.8973567975826988</v>
          </cell>
          <cell r="Z45">
            <v>103.84220227652003</v>
          </cell>
          <cell r="AA45">
            <v>8.6483912822026081</v>
          </cell>
          <cell r="AB45">
            <v>100.75879112466785</v>
          </cell>
          <cell r="AC45">
            <v>9.0739081586425865</v>
          </cell>
          <cell r="AD45">
            <v>106.25271031666819</v>
          </cell>
          <cell r="AE45">
            <v>7.3718406528826721</v>
          </cell>
          <cell r="AF45">
            <v>84.277033548666878</v>
          </cell>
          <cell r="AG45">
            <v>7.5613750281773342</v>
          </cell>
          <cell r="AH45">
            <v>86.768158269602651</v>
          </cell>
          <cell r="AI45">
            <v>8.4264751543541223</v>
          </cell>
          <cell r="AJ45">
            <v>97.965212173038665</v>
          </cell>
          <cell r="AK45">
            <v>8.1196667644138696</v>
          </cell>
          <cell r="AL45">
            <v>93.950868082828507</v>
          </cell>
          <cell r="AM45">
            <v>20.396091998585124</v>
          </cell>
          <cell r="AN45">
            <v>241.66500166871074</v>
          </cell>
          <cell r="AQ45">
            <v>1.0833179284981212E-2</v>
          </cell>
          <cell r="AR45">
            <v>0.13688766098569832</v>
          </cell>
          <cell r="AS45">
            <v>4.5379702334816434E-3</v>
          </cell>
          <cell r="AT45">
            <v>5.734162747082263E-2</v>
          </cell>
          <cell r="AU45">
            <v>6.2952090514995698E-3</v>
          </cell>
          <cell r="AV45">
            <v>7.9546033514875686E-2</v>
          </cell>
          <cell r="AW45">
            <v>1</v>
          </cell>
          <cell r="AX45">
            <v>12.6359637724703</v>
          </cell>
          <cell r="AY45">
            <v>0</v>
          </cell>
          <cell r="AZ45">
            <v>0</v>
          </cell>
          <cell r="BA45">
            <v>1.0021975853094038</v>
          </cell>
          <cell r="BB45">
            <v>0</v>
          </cell>
          <cell r="BC45">
            <v>5.1135576127707048E-2</v>
          </cell>
          <cell r="BD45">
            <v>0</v>
          </cell>
          <cell r="BE45">
            <v>2.5412454330430462E-2</v>
          </cell>
          <cell r="BF45">
            <v>0</v>
          </cell>
          <cell r="BG45">
            <v>7.0603876868875926E-2</v>
          </cell>
          <cell r="BH45">
            <v>0</v>
          </cell>
          <cell r="BI45">
            <v>2.2364805758927186E-2</v>
          </cell>
          <cell r="BJ45">
            <v>3.6837209145758665E-2</v>
          </cell>
          <cell r="BK45">
            <v>0.55188518151051358</v>
          </cell>
          <cell r="BL45">
            <v>3.6403404916367982E-2</v>
          </cell>
          <cell r="BM45">
            <v>0.54538604296475679</v>
          </cell>
          <cell r="BN45">
            <v>3.9259282759856635E-2</v>
          </cell>
          <cell r="BO45">
            <v>0.58817203839098897</v>
          </cell>
          <cell r="BP45">
            <v>3.7596366547192353E-2</v>
          </cell>
          <cell r="BQ45">
            <v>0.56325867396558793</v>
          </cell>
          <cell r="BR45">
            <v>0.14005407115292715</v>
          </cell>
          <cell r="BS45">
            <v>1.7697181692753647</v>
          </cell>
          <cell r="BT45">
            <v>0.21553615086093786</v>
          </cell>
          <cell r="BU45">
            <v>15.437317216388701</v>
          </cell>
          <cell r="BV45">
            <v>0.1178465458447264</v>
          </cell>
          <cell r="BW45">
            <v>13.873337770662427</v>
          </cell>
          <cell r="BX45">
            <v>8.621446034437516E-2</v>
          </cell>
          <cell r="BY45">
            <v>13.366918161945659</v>
          </cell>
          <cell r="BZ45">
            <v>0.1119391310219298</v>
          </cell>
          <cell r="CA45">
            <v>13.778761941855475</v>
          </cell>
          <cell r="CB45">
            <v>0.17926141667104206</v>
          </cell>
          <cell r="CC45">
            <v>14.856570281617426</v>
          </cell>
          <cell r="CD45">
            <v>0.11699302268731708</v>
          </cell>
          <cell r="CE45">
            <v>13.859673136903107</v>
          </cell>
          <cell r="CF45">
            <v>0.1442043108582049</v>
          </cell>
          <cell r="CG45">
            <v>14.295317189143262</v>
          </cell>
          <cell r="CH45">
            <v>1.3333835511893499E-3</v>
          </cell>
          <cell r="CI45">
            <v>8.039723590086667E-2</v>
          </cell>
          <cell r="CJ45">
            <v>1.2388423890684112E-3</v>
          </cell>
          <cell r="CK45">
            <v>7.0768334862399265E-2</v>
          </cell>
        </row>
        <row r="46">
          <cell r="A46">
            <v>14</v>
          </cell>
          <cell r="B46">
            <v>2029</v>
          </cell>
          <cell r="C46">
            <v>9.2961476450210634E-2</v>
          </cell>
          <cell r="D46">
            <v>1.0610557585871114</v>
          </cell>
          <cell r="E46">
            <v>8.7680345636829055E-2</v>
          </cell>
          <cell r="F46">
            <v>0.98225969129744894</v>
          </cell>
          <cell r="G46">
            <v>9.2419425307861985E-2</v>
          </cell>
          <cell r="H46">
            <v>0.98992652701483863</v>
          </cell>
          <cell r="I46">
            <v>7.6899252713424168E-2</v>
          </cell>
          <cell r="J46">
            <v>0.80478142616686554</v>
          </cell>
          <cell r="K46">
            <v>192.83649703978327</v>
          </cell>
          <cell r="L46">
            <v>2003.8075362158747</v>
          </cell>
          <cell r="M46">
            <v>0</v>
          </cell>
          <cell r="N46">
            <v>0</v>
          </cell>
          <cell r="O46">
            <v>10.739952210274792</v>
          </cell>
          <cell r="P46">
            <v>145.83154243187016</v>
          </cell>
          <cell r="Q46">
            <v>84.296373954599773</v>
          </cell>
          <cell r="R46">
            <v>1144.6112603231481</v>
          </cell>
          <cell r="S46">
            <v>22.715993097962816</v>
          </cell>
          <cell r="T46">
            <v>277.20248849164915</v>
          </cell>
          <cell r="U46">
            <v>20.983812380244391</v>
          </cell>
          <cell r="V46">
            <v>254.65964831343248</v>
          </cell>
          <cell r="W46">
            <v>20.525870972464851</v>
          </cell>
          <cell r="X46">
            <v>248.99480434244271</v>
          </cell>
          <cell r="Y46">
            <v>9.0952435075497231</v>
          </cell>
          <cell r="Z46">
            <v>112.41403774468941</v>
          </cell>
          <cell r="AA46">
            <v>8.8462779921696324</v>
          </cell>
          <cell r="AB46">
            <v>109.09598840713998</v>
          </cell>
          <cell r="AC46">
            <v>9.2717948686096108</v>
          </cell>
          <cell r="AD46">
            <v>114.99093706588798</v>
          </cell>
          <cell r="AE46">
            <v>7.5697273628496973</v>
          </cell>
          <cell r="AF46">
            <v>91.411142430895993</v>
          </cell>
          <cell r="AG46">
            <v>7.7592617381443585</v>
          </cell>
          <cell r="AH46">
            <v>94.080894307799568</v>
          </cell>
          <cell r="AI46">
            <v>8.6243618643211484</v>
          </cell>
          <cell r="AJ46">
            <v>106.09326403416266</v>
          </cell>
          <cell r="AK46">
            <v>8.3175534743808939</v>
          </cell>
          <cell r="AL46">
            <v>101.78976759342567</v>
          </cell>
          <cell r="AM46">
            <v>20.536036282822582</v>
          </cell>
          <cell r="AN46">
            <v>261.01924150171715</v>
          </cell>
          <cell r="AQ46">
            <v>1.0833179284981212E-2</v>
          </cell>
          <cell r="AR46">
            <v>0.14709741846508398</v>
          </cell>
          <cell r="AS46">
            <v>4.5379702334816434E-3</v>
          </cell>
          <cell r="AT46">
            <v>6.1618449104962052E-2</v>
          </cell>
          <cell r="AU46">
            <v>6.2952090514995698E-3</v>
          </cell>
          <cell r="AV46">
            <v>8.547896936012192E-2</v>
          </cell>
          <cell r="AW46">
            <v>1</v>
          </cell>
          <cell r="AX46">
            <v>13.578416325945543</v>
          </cell>
          <cell r="AY46">
            <v>0</v>
          </cell>
          <cell r="AZ46">
            <v>0</v>
          </cell>
          <cell r="BA46">
            <v>1.0021975853094038</v>
          </cell>
          <cell r="BB46">
            <v>0</v>
          </cell>
          <cell r="BC46">
            <v>5.1135576127707048E-2</v>
          </cell>
          <cell r="BD46">
            <v>0</v>
          </cell>
          <cell r="BE46">
            <v>2.5412454330430462E-2</v>
          </cell>
          <cell r="BF46">
            <v>0</v>
          </cell>
          <cell r="BG46">
            <v>7.0603876868875926E-2</v>
          </cell>
          <cell r="BH46">
            <v>0</v>
          </cell>
          <cell r="BI46">
            <v>2.2364805758927186E-2</v>
          </cell>
          <cell r="BJ46">
            <v>3.559924589008364E-2</v>
          </cell>
          <cell r="BK46">
            <v>0.58543578170141608</v>
          </cell>
          <cell r="BL46">
            <v>3.5180020227001202E-2</v>
          </cell>
          <cell r="BM46">
            <v>0.57854154285900483</v>
          </cell>
          <cell r="BN46">
            <v>3.7939922508960576E-2</v>
          </cell>
          <cell r="BO46">
            <v>0.62392861523821175</v>
          </cell>
          <cell r="BP46">
            <v>3.6332890800477899E-2</v>
          </cell>
          <cell r="BQ46">
            <v>0.59750069967563557</v>
          </cell>
          <cell r="BR46">
            <v>0.14005407115292715</v>
          </cell>
          <cell r="BS46">
            <v>1.9017124862580446</v>
          </cell>
          <cell r="BT46">
            <v>0.21517483615634</v>
          </cell>
          <cell r="BU46">
            <v>15.640109290167858</v>
          </cell>
          <cell r="BV46">
            <v>0.11764899341684046</v>
          </cell>
          <cell r="BW46">
            <v>13.984216364921918</v>
          </cell>
          <cell r="BX46">
            <v>8.606993446253601E-2</v>
          </cell>
          <cell r="BY46">
            <v>13.448034991457325</v>
          </cell>
          <cell r="BZ46">
            <v>0.1117514815074675</v>
          </cell>
          <cell r="CA46">
            <v>13.884082410956829</v>
          </cell>
          <cell r="CB46">
            <v>0.17896091123122798</v>
          </cell>
          <cell r="CC46">
            <v>15.025232449379557</v>
          </cell>
          <cell r="CD46">
            <v>0.11679690106566136</v>
          </cell>
          <cell r="CE46">
            <v>13.969748674550434</v>
          </cell>
          <cell r="CF46">
            <v>0.14396257350801397</v>
          </cell>
          <cell r="CG46">
            <v>14.430995084150759</v>
          </cell>
          <cell r="CH46">
            <v>1.3323393516930624E-3</v>
          </cell>
          <cell r="CI46">
            <v>8.165842745811136E-2</v>
          </cell>
          <cell r="CJ46">
            <v>1.2372760898239795E-3</v>
          </cell>
          <cell r="CK46">
            <v>7.1934408872607741E-2</v>
          </cell>
        </row>
        <row r="47">
          <cell r="A47">
            <v>15</v>
          </cell>
          <cell r="B47">
            <v>2030</v>
          </cell>
          <cell r="C47">
            <v>0.10056523250457726</v>
          </cell>
          <cell r="D47">
            <v>1.1554185225902678</v>
          </cell>
          <cell r="E47">
            <v>9.1127205310010229E-2</v>
          </cell>
          <cell r="F47">
            <v>1.0677665285490241</v>
          </cell>
          <cell r="G47">
            <v>0.11008869250182855</v>
          </cell>
          <cell r="H47">
            <v>1.0932253814125881</v>
          </cell>
          <cell r="I47">
            <v>8.2301137660325763E-2</v>
          </cell>
          <cell r="J47">
            <v>0.88200655295090724</v>
          </cell>
          <cell r="K47">
            <v>194.96026798435474</v>
          </cell>
          <cell r="L47">
            <v>2186.7434207121646</v>
          </cell>
          <cell r="M47">
            <v>0</v>
          </cell>
          <cell r="N47">
            <v>0</v>
          </cell>
          <cell r="O47">
            <v>10.739952210274792</v>
          </cell>
          <cell r="P47">
            <v>155.90909657840098</v>
          </cell>
          <cell r="Q47">
            <v>84.296373954599773</v>
          </cell>
          <cell r="R47">
            <v>1223.7085650645029</v>
          </cell>
          <cell r="S47">
            <v>22.940963622174284</v>
          </cell>
          <cell r="T47">
            <v>298.72854359409916</v>
          </cell>
          <cell r="U47">
            <v>21.214440064953592</v>
          </cell>
          <cell r="V47">
            <v>274.56566504955651</v>
          </cell>
          <cell r="W47">
            <v>20.758245083814632</v>
          </cell>
          <cell r="X47">
            <v>268.47276241184341</v>
          </cell>
          <cell r="Y47">
            <v>9.3795255505604764</v>
          </cell>
          <cell r="Z47">
            <v>121.21507100386107</v>
          </cell>
          <cell r="AA47">
            <v>9.1305600351803839</v>
          </cell>
          <cell r="AB47">
            <v>117.66341136593606</v>
          </cell>
          <cell r="AC47">
            <v>9.5560769116203641</v>
          </cell>
          <cell r="AD47">
            <v>123.95763269169686</v>
          </cell>
          <cell r="AE47">
            <v>7.8540094058604488</v>
          </cell>
          <cell r="AF47">
            <v>98.780747388653623</v>
          </cell>
          <cell r="AG47">
            <v>8.04354378115511</v>
          </cell>
          <cell r="AH47">
            <v>101.62834390511095</v>
          </cell>
          <cell r="AI47">
            <v>8.9086439073318999</v>
          </cell>
          <cell r="AJ47">
            <v>114.45245778014696</v>
          </cell>
          <cell r="AK47">
            <v>8.6018355173916454</v>
          </cell>
          <cell r="AL47">
            <v>109.8610756857592</v>
          </cell>
          <cell r="AM47">
            <v>20.672625644626795</v>
          </cell>
          <cell r="AN47">
            <v>280.41686080260956</v>
          </cell>
          <cell r="AQ47">
            <v>1.0833179284981212E-2</v>
          </cell>
          <cell r="AR47">
            <v>0.15726244980656709</v>
          </cell>
          <cell r="AS47">
            <v>4.5379702334816434E-3</v>
          </cell>
          <cell r="AT47">
            <v>6.5876535160457286E-2</v>
          </cell>
          <cell r="AU47">
            <v>6.2952090514995698E-3</v>
          </cell>
          <cell r="AV47">
            <v>9.1385914646109831E-2</v>
          </cell>
          <cell r="AW47">
            <v>1</v>
          </cell>
          <cell r="AX47">
            <v>14.516740254136748</v>
          </cell>
          <cell r="AY47">
            <v>0</v>
          </cell>
          <cell r="AZ47">
            <v>0</v>
          </cell>
          <cell r="BA47">
            <v>1.0021975853094038</v>
          </cell>
          <cell r="BB47">
            <v>0</v>
          </cell>
          <cell r="BC47">
            <v>5.1135576127707048E-2</v>
          </cell>
          <cell r="BD47">
            <v>0</v>
          </cell>
          <cell r="BE47">
            <v>2.5412454330430462E-2</v>
          </cell>
          <cell r="BF47">
            <v>0</v>
          </cell>
          <cell r="BG47">
            <v>7.0603876868875926E-2</v>
          </cell>
          <cell r="BH47">
            <v>0</v>
          </cell>
          <cell r="BI47">
            <v>2.2364805758927186E-2</v>
          </cell>
          <cell r="BJ47">
            <v>3.4361282634408609E-2</v>
          </cell>
          <cell r="BK47">
            <v>0.61767779540062251</v>
          </cell>
          <cell r="BL47">
            <v>3.3956635537634415E-2</v>
          </cell>
          <cell r="BM47">
            <v>0.61040386650483502</v>
          </cell>
          <cell r="BN47">
            <v>3.6620562258064523E-2</v>
          </cell>
          <cell r="BO47">
            <v>0.65829056506876937</v>
          </cell>
          <cell r="BP47">
            <v>3.5069415053763452E-2</v>
          </cell>
          <cell r="BQ47">
            <v>0.63040717096825061</v>
          </cell>
          <cell r="BR47">
            <v>0.14005407115292715</v>
          </cell>
          <cell r="BS47">
            <v>2.0331285724614294</v>
          </cell>
          <cell r="BT47">
            <v>0.21481504614821031</v>
          </cell>
          <cell r="BU47">
            <v>15.841675388104225</v>
          </cell>
          <cell r="BV47">
            <v>0.11745227463199547</v>
          </cell>
          <cell r="BW47">
            <v>14.094424644629607</v>
          </cell>
          <cell r="BX47">
            <v>8.5926018459284131E-2</v>
          </cell>
          <cell r="BY47">
            <v>13.528661430631871</v>
          </cell>
          <cell r="BZ47">
            <v>0.11156462384716534</v>
          </cell>
          <cell r="CA47">
            <v>13.988766167052274</v>
          </cell>
          <cell r="CB47">
            <v>0.17866167388146653</v>
          </cell>
          <cell r="CC47">
            <v>15.192874973033229</v>
          </cell>
          <cell r="CD47">
            <v>0.11660160704924855</v>
          </cell>
          <cell r="CE47">
            <v>14.079158752510292</v>
          </cell>
          <cell r="CF47">
            <v>0.14372185625492781</v>
          </cell>
          <cell r="CG47">
            <v>14.565852740878814</v>
          </cell>
          <cell r="CH47">
            <v>1.3312995585695675E-3</v>
          </cell>
          <cell r="CI47">
            <v>8.291311412652573E-2</v>
          </cell>
          <cell r="CJ47">
            <v>1.2357164001387372E-3</v>
          </cell>
          <cell r="CK47">
            <v>7.3093911139316223E-2</v>
          </cell>
        </row>
        <row r="48">
          <cell r="A48">
            <v>16</v>
          </cell>
          <cell r="B48">
            <v>2031</v>
          </cell>
          <cell r="C48">
            <v>0.10382288401116622</v>
          </cell>
          <cell r="D48">
            <v>1.2524112509469953</v>
          </cell>
          <cell r="E48">
            <v>9.4316695232469411E-2</v>
          </cell>
          <cell r="F48">
            <v>1.1558784480676851</v>
          </cell>
          <cell r="G48">
            <v>0.11468593722603625</v>
          </cell>
          <cell r="H48">
            <v>1.2003665195310904</v>
          </cell>
          <cell r="I48">
            <v>8.5383388236799765E-2</v>
          </cell>
          <cell r="J48">
            <v>0.96177285746367958</v>
          </cell>
          <cell r="K48">
            <v>186.64227093630012</v>
          </cell>
          <cell r="L48">
            <v>2361.1071292261781</v>
          </cell>
          <cell r="M48">
            <v>0</v>
          </cell>
          <cell r="N48">
            <v>0</v>
          </cell>
          <cell r="O48">
            <v>10.739952210274792</v>
          </cell>
          <cell r="P48">
            <v>165.9425037334496</v>
          </cell>
          <cell r="Q48">
            <v>84.296373954599773</v>
          </cell>
          <cell r="R48">
            <v>1302.4593662805069</v>
          </cell>
          <cell r="S48">
            <v>23.240597700499141</v>
          </cell>
          <cell r="T48">
            <v>320.44022114073778</v>
          </cell>
          <cell r="U48">
            <v>21.507058726283361</v>
          </cell>
          <cell r="V48">
            <v>294.65784727564682</v>
          </cell>
          <cell r="W48">
            <v>21.045570091576881</v>
          </cell>
          <cell r="X48">
            <v>288.13381577639109</v>
          </cell>
          <cell r="Y48">
            <v>9.5171581897261994</v>
          </cell>
          <cell r="Z48">
            <v>130.10612761258363</v>
          </cell>
          <cell r="AA48">
            <v>9.2675574709924842</v>
          </cell>
          <cell r="AB48">
            <v>126.32128764124408</v>
          </cell>
          <cell r="AC48">
            <v>9.6922352990141327</v>
          </cell>
          <cell r="AD48">
            <v>133.01224868007236</v>
          </cell>
          <cell r="AE48">
            <v>7.9939460706047658</v>
          </cell>
          <cell r="AF48">
            <v>106.24879884098188</v>
          </cell>
          <cell r="AG48">
            <v>8.1831404833710408</v>
          </cell>
          <cell r="AH48">
            <v>109.27314331102211</v>
          </cell>
          <cell r="AI48">
            <v>9.0456181036127816</v>
          </cell>
          <cell r="AJ48">
            <v>122.90299532684091</v>
          </cell>
          <cell r="AK48">
            <v>8.7405283541701166</v>
          </cell>
          <cell r="AL48">
            <v>118.02659430359222</v>
          </cell>
          <cell r="AM48">
            <v>20.813795065073762</v>
          </cell>
          <cell r="AN48">
            <v>299.86138683409769</v>
          </cell>
          <cell r="AQ48">
            <v>1.0833179284981212E-2</v>
          </cell>
          <cell r="AR48">
            <v>0.1673829509430497</v>
          </cell>
          <cell r="AS48">
            <v>4.5379702334816434E-3</v>
          </cell>
          <cell r="AT48">
            <v>7.0115967712722577E-2</v>
          </cell>
          <cell r="AU48">
            <v>6.2952090514995698E-3</v>
          </cell>
          <cell r="AV48">
            <v>9.7266983230327161E-2</v>
          </cell>
          <cell r="AW48">
            <v>1</v>
          </cell>
          <cell r="AX48">
            <v>15.450953643415124</v>
          </cell>
          <cell r="AY48">
            <v>0</v>
          </cell>
          <cell r="AZ48">
            <v>0</v>
          </cell>
          <cell r="BA48">
            <v>1.0021975853094038</v>
          </cell>
          <cell r="BB48">
            <v>0</v>
          </cell>
          <cell r="BC48">
            <v>5.1135576127707048E-2</v>
          </cell>
          <cell r="BD48">
            <v>0</v>
          </cell>
          <cell r="BE48">
            <v>2.5412454330430462E-2</v>
          </cell>
          <cell r="BF48">
            <v>0</v>
          </cell>
          <cell r="BG48">
            <v>7.0603876868875926E-2</v>
          </cell>
          <cell r="BH48">
            <v>0</v>
          </cell>
          <cell r="BI48">
            <v>2.2364805758927186E-2</v>
          </cell>
          <cell r="BJ48">
            <v>3.4361282634408609E-2</v>
          </cell>
          <cell r="BK48">
            <v>0.64977856571046566</v>
          </cell>
          <cell r="BL48">
            <v>3.3956635537634415E-2</v>
          </cell>
          <cell r="BM48">
            <v>0.64212661007893912</v>
          </cell>
          <cell r="BN48">
            <v>3.6620562258064523E-2</v>
          </cell>
          <cell r="BO48">
            <v>0.69250198465315571</v>
          </cell>
          <cell r="BP48">
            <v>3.5069415053763452E-2</v>
          </cell>
          <cell r="BQ48">
            <v>0.66316948806563714</v>
          </cell>
          <cell r="BR48">
            <v>0.14005407115292715</v>
          </cell>
          <cell r="BS48">
            <v>2.1639689609554411</v>
          </cell>
          <cell r="BT48">
            <v>0.21481504614821031</v>
          </cell>
          <cell r="BU48">
            <v>16.042358480434334</v>
          </cell>
          <cell r="BV48">
            <v>0.11745227463199547</v>
          </cell>
          <cell r="BW48">
            <v>14.204150132192019</v>
          </cell>
          <cell r="BX48">
            <v>8.5926018459284131E-2</v>
          </cell>
          <cell r="BY48">
            <v>13.608934667563915</v>
          </cell>
          <cell r="BZ48">
            <v>0.11156462384716534</v>
          </cell>
          <cell r="CA48">
            <v>14.092991332420102</v>
          </cell>
          <cell r="CB48">
            <v>0.17866167388146653</v>
          </cell>
          <cell r="CC48">
            <v>15.359783100924183</v>
          </cell>
          <cell r="CD48">
            <v>0.11660160704924855</v>
          </cell>
          <cell r="CE48">
            <v>14.188089535027077</v>
          </cell>
          <cell r="CF48">
            <v>0.14372185625492781</v>
          </cell>
          <cell r="CG48">
            <v>14.70011962332411</v>
          </cell>
          <cell r="CH48">
            <v>1.3312995585695675E-3</v>
          </cell>
          <cell r="CI48">
            <v>8.4162304357921935E-2</v>
          </cell>
          <cell r="CJ48">
            <v>1.2357164001387372E-3</v>
          </cell>
          <cell r="CK48">
            <v>7.4248333945676717E-2</v>
          </cell>
        </row>
        <row r="49">
          <cell r="A49">
            <v>17</v>
          </cell>
          <cell r="B49">
            <v>2032</v>
          </cell>
          <cell r="C49">
            <v>0.10719992225192312</v>
          </cell>
          <cell r="D49">
            <v>1.3521201345564615</v>
          </cell>
          <cell r="E49">
            <v>9.763425227951647E-2</v>
          </cell>
          <cell r="F49">
            <v>1.2466901025198032</v>
          </cell>
          <cell r="G49">
            <v>0.11949803544134786</v>
          </cell>
          <cell r="H49">
            <v>1.3115141347260022</v>
          </cell>
          <cell r="I49">
            <v>8.8600218713879561E-2</v>
          </cell>
          <cell r="J49">
            <v>1.0441817688689952</v>
          </cell>
          <cell r="K49">
            <v>186.64227093630012</v>
          </cell>
          <cell r="L49">
            <v>2534.7069983161969</v>
          </cell>
          <cell r="M49">
            <v>0</v>
          </cell>
          <cell r="N49">
            <v>0</v>
          </cell>
          <cell r="O49">
            <v>10.739952210274792</v>
          </cell>
          <cell r="P49">
            <v>175.93195729283693</v>
          </cell>
          <cell r="Q49">
            <v>84.296373954599773</v>
          </cell>
          <cell r="R49">
            <v>1380.8651819077513</v>
          </cell>
          <cell r="S49">
            <v>23.544145327634425</v>
          </cell>
          <cell r="T49">
            <v>342.33912178210772</v>
          </cell>
          <cell r="U49">
            <v>21.803714950981714</v>
          </cell>
          <cell r="V49">
            <v>314.9379373226563</v>
          </cell>
          <cell r="W49">
            <v>21.33687461281032</v>
          </cell>
          <cell r="X49">
            <v>307.97968788774244</v>
          </cell>
          <cell r="Y49">
            <v>9.6568104132793842</v>
          </cell>
          <cell r="Z49">
            <v>139.08812839494971</v>
          </cell>
          <cell r="AA49">
            <v>9.4066104540379172</v>
          </cell>
          <cell r="AB49">
            <v>135.07057222297263</v>
          </cell>
          <cell r="AC49">
            <v>9.8303337196065801</v>
          </cell>
          <cell r="AD49">
            <v>142.15564710891667</v>
          </cell>
          <cell r="AE49">
            <v>8.1363760186045315</v>
          </cell>
          <cell r="AF49">
            <v>113.81661188039233</v>
          </cell>
          <cell r="AG49">
            <v>8.325159903707215</v>
          </cell>
          <cell r="AH49">
            <v>117.01654817952745</v>
          </cell>
          <cell r="AI49">
            <v>9.1846983365297614</v>
          </cell>
          <cell r="AJ49">
            <v>131.44587481954201</v>
          </cell>
          <cell r="AK49">
            <v>8.8814574233125718</v>
          </cell>
          <cell r="AL49">
            <v>126.28742309806101</v>
          </cell>
          <cell r="AM49">
            <v>20.955928504586907</v>
          </cell>
          <cell r="AN49">
            <v>319.35293302460497</v>
          </cell>
          <cell r="AQ49">
            <v>1.0833179284981212E-2</v>
          </cell>
          <cell r="AR49">
            <v>0.17745911694910566</v>
          </cell>
          <cell r="AS49">
            <v>4.5379702334816434E-3</v>
          </cell>
          <cell r="AT49">
            <v>7.4336828477622297E-2</v>
          </cell>
          <cell r="AU49">
            <v>6.2952090514995698E-3</v>
          </cell>
          <cell r="AV49">
            <v>0.10312228847148341</v>
          </cell>
          <cell r="AW49">
            <v>1</v>
          </cell>
          <cell r="AX49">
            <v>16.38107450092048</v>
          </cell>
          <cell r="AY49">
            <v>0</v>
          </cell>
          <cell r="AZ49">
            <v>0</v>
          </cell>
          <cell r="BA49">
            <v>1.0021975853094038</v>
          </cell>
          <cell r="BB49">
            <v>0</v>
          </cell>
          <cell r="BC49">
            <v>5.1135576127707048E-2</v>
          </cell>
          <cell r="BD49">
            <v>0</v>
          </cell>
          <cell r="BE49">
            <v>2.5412454330430462E-2</v>
          </cell>
          <cell r="BF49">
            <v>0</v>
          </cell>
          <cell r="BG49">
            <v>7.0603876868875926E-2</v>
          </cell>
          <cell r="BH49">
            <v>0</v>
          </cell>
          <cell r="BI49">
            <v>2.2364805758927186E-2</v>
          </cell>
          <cell r="BJ49">
            <v>3.4361282634408609E-2</v>
          </cell>
          <cell r="BK49">
            <v>0.6817387113793657</v>
          </cell>
          <cell r="BL49">
            <v>3.3956635537634415E-2</v>
          </cell>
          <cell r="BM49">
            <v>0.67371038504320035</v>
          </cell>
          <cell r="BN49">
            <v>3.6620562258064523E-2</v>
          </cell>
          <cell r="BO49">
            <v>0.72656353342295488</v>
          </cell>
          <cell r="BP49">
            <v>3.5069415053763452E-2</v>
          </cell>
          <cell r="BQ49">
            <v>0.69578828246765478</v>
          </cell>
          <cell r="BR49">
            <v>0.14005407115292715</v>
          </cell>
          <cell r="BS49">
            <v>2.2942361737133168</v>
          </cell>
          <cell r="BT49">
            <v>0.21481504614821031</v>
          </cell>
          <cell r="BU49">
            <v>16.242162435362758</v>
          </cell>
          <cell r="BV49">
            <v>0.11745227463199547</v>
          </cell>
          <cell r="BW49">
            <v>14.313394942588683</v>
          </cell>
          <cell r="BX49">
            <v>8.5926018459284131E-2</v>
          </cell>
          <cell r="BY49">
            <v>13.688856249535284</v>
          </cell>
          <cell r="BZ49">
            <v>0.11156462384716534</v>
          </cell>
          <cell r="CA49">
            <v>14.19675991602009</v>
          </cell>
          <cell r="CB49">
            <v>0.17866167388146653</v>
          </cell>
          <cell r="CC49">
            <v>15.525960050238153</v>
          </cell>
          <cell r="CD49">
            <v>0.11660160704924855</v>
          </cell>
          <cell r="CE49">
            <v>14.296543121762225</v>
          </cell>
          <cell r="CF49">
            <v>0.14372185625492781</v>
          </cell>
          <cell r="CG49">
            <v>14.833798319506204</v>
          </cell>
          <cell r="CH49">
            <v>1.3312995585695675E-3</v>
          </cell>
          <cell r="CI49">
            <v>8.5406022230678016E-2</v>
          </cell>
          <cell r="CJ49">
            <v>1.2357164001387372E-3</v>
          </cell>
          <cell r="CK49">
            <v>7.5397699543407179E-2</v>
          </cell>
        </row>
        <row r="50">
          <cell r="A50">
            <v>18</v>
          </cell>
          <cell r="B50">
            <v>2033</v>
          </cell>
          <cell r="C50">
            <v>0.11070072694596812</v>
          </cell>
          <cell r="D50">
            <v>1.4546341280585025</v>
          </cell>
          <cell r="E50">
            <v>0.10108502417170813</v>
          </cell>
          <cell r="F50">
            <v>1.3402995104882807</v>
          </cell>
          <cell r="G50">
            <v>0.12453503608499204</v>
          </cell>
          <cell r="H50">
            <v>1.4268393383827456</v>
          </cell>
          <cell r="I50">
            <v>9.1957511844841688E-2</v>
          </cell>
          <cell r="J50">
            <v>1.1293386782389505</v>
          </cell>
          <cell r="K50">
            <v>186.64227093630012</v>
          </cell>
          <cell r="L50">
            <v>2707.5463741525346</v>
          </cell>
          <cell r="M50">
            <v>0</v>
          </cell>
          <cell r="N50">
            <v>0</v>
          </cell>
          <cell r="O50">
            <v>10.739952210274792</v>
          </cell>
          <cell r="P50">
            <v>185.87764980516997</v>
          </cell>
          <cell r="Q50">
            <v>84.296373954599773</v>
          </cell>
          <cell r="R50">
            <v>1458.9275232331638</v>
          </cell>
          <cell r="S50">
            <v>23.851657618808343</v>
          </cell>
          <cell r="T50">
            <v>364.42685997140495</v>
          </cell>
          <cell r="U50">
            <v>22.104464469109754</v>
          </cell>
          <cell r="V50">
            <v>335.40769384068193</v>
          </cell>
          <cell r="W50">
            <v>21.632213800395409</v>
          </cell>
          <cell r="X50">
            <v>328.01211844306192</v>
          </cell>
          <cell r="Y50">
            <v>9.7985118560589992</v>
          </cell>
          <cell r="Z50">
            <v>148.16200359390825</v>
          </cell>
          <cell r="AA50">
            <v>9.5477498263131277</v>
          </cell>
          <cell r="AB50">
            <v>143.91223018364266</v>
          </cell>
          <cell r="AC50">
            <v>9.9703998156816969</v>
          </cell>
          <cell r="AD50">
            <v>151.38869850898942</v>
          </cell>
          <cell r="AE50">
            <v>8.2813436732523069</v>
          </cell>
          <cell r="AF50">
            <v>121.48551916699326</v>
          </cell>
          <cell r="AG50">
            <v>8.4696440887377733</v>
          </cell>
          <cell r="AH50">
            <v>124.85983036051306</v>
          </cell>
          <cell r="AI50">
            <v>9.3259169872935566</v>
          </cell>
          <cell r="AJ50">
            <v>140.08210531062647</v>
          </cell>
          <cell r="AK50">
            <v>9.0246587810083696</v>
          </cell>
          <cell r="AL50">
            <v>134.644674555732</v>
          </cell>
          <cell r="AM50">
            <v>21.099032546268695</v>
          </cell>
          <cell r="AN50">
            <v>338.89161307684395</v>
          </cell>
          <cell r="AQ50">
            <v>1.0833179284981212E-2</v>
          </cell>
          <cell r="AR50">
            <v>0.18749114204474085</v>
          </cell>
          <cell r="AS50">
            <v>4.5379702334816434E-3</v>
          </cell>
          <cell r="AT50">
            <v>7.8539198813046149E-2</v>
          </cell>
          <cell r="AU50">
            <v>6.2952090514995698E-3</v>
          </cell>
          <cell r="AV50">
            <v>0.10895194323169474</v>
          </cell>
          <cell r="AW50">
            <v>1</v>
          </cell>
          <cell r="AX50">
            <v>17.307120754908286</v>
          </cell>
          <cell r="AY50">
            <v>0</v>
          </cell>
          <cell r="AZ50">
            <v>0</v>
          </cell>
          <cell r="BA50">
            <v>1.0021975853094038</v>
          </cell>
          <cell r="BB50">
            <v>0</v>
          </cell>
          <cell r="BC50">
            <v>5.1135576127707048E-2</v>
          </cell>
          <cell r="BD50">
            <v>0</v>
          </cell>
          <cell r="BE50">
            <v>2.5412454330430462E-2</v>
          </cell>
          <cell r="BF50">
            <v>0</v>
          </cell>
          <cell r="BG50">
            <v>7.0603876868875926E-2</v>
          </cell>
          <cell r="BH50">
            <v>0</v>
          </cell>
          <cell r="BI50">
            <v>2.2364805758927186E-2</v>
          </cell>
          <cell r="BJ50">
            <v>3.4361282634408609E-2</v>
          </cell>
          <cell r="BK50">
            <v>0.71355884844517603</v>
          </cell>
          <cell r="BL50">
            <v>3.3956635537634415E-2</v>
          </cell>
          <cell r="BM50">
            <v>0.705155800180856</v>
          </cell>
          <cell r="BN50">
            <v>3.6620562258064523E-2</v>
          </cell>
          <cell r="BO50">
            <v>0.76047586792096289</v>
          </cell>
          <cell r="BP50">
            <v>3.5069415053763452E-2</v>
          </cell>
          <cell r="BQ50">
            <v>0.72826418290773598</v>
          </cell>
          <cell r="BR50">
            <v>0.14005407115292715</v>
          </cell>
          <cell r="BS50">
            <v>2.4239327216602269</v>
          </cell>
          <cell r="BT50">
            <v>0.21481504614821031</v>
          </cell>
          <cell r="BU50">
            <v>16.44109110414853</v>
          </cell>
          <cell r="BV50">
            <v>0.11745227463199547</v>
          </cell>
          <cell r="BW50">
            <v>14.422161181533989</v>
          </cell>
          <cell r="BX50">
            <v>8.5926018459284131E-2</v>
          </cell>
          <cell r="BY50">
            <v>13.768427717049592</v>
          </cell>
          <cell r="BZ50">
            <v>0.11156462384716534</v>
          </cell>
          <cell r="CA50">
            <v>14.300073918011316</v>
          </cell>
          <cell r="CB50">
            <v>0.17866167388146653</v>
          </cell>
          <cell r="CC50">
            <v>15.691409024067276</v>
          </cell>
          <cell r="CD50">
            <v>0.11660160704924855</v>
          </cell>
          <cell r="CE50">
            <v>14.404521603179141</v>
          </cell>
          <cell r="CF50">
            <v>0.14372185625492781</v>
          </cell>
          <cell r="CG50">
            <v>14.966891406107253</v>
          </cell>
          <cell r="CH50">
            <v>1.3312995585695675E-3</v>
          </cell>
          <cell r="CI50">
            <v>8.6644291717691238E-2</v>
          </cell>
          <cell r="CJ50">
            <v>1.2357164001387372E-3</v>
          </cell>
          <cell r="CK50">
            <v>7.6542030086746954E-2</v>
          </cell>
        </row>
        <row r="51">
          <cell r="A51">
            <v>19</v>
          </cell>
          <cell r="B51">
            <v>2034</v>
          </cell>
          <cell r="C51">
            <v>0.11432983850565727</v>
          </cell>
          <cell r="D51">
            <v>1.5600450387187923</v>
          </cell>
          <cell r="E51">
            <v>0.10467436557267468</v>
          </cell>
          <cell r="F51">
            <v>1.4368081764850207</v>
          </cell>
          <cell r="G51">
            <v>0.12980745813357417</v>
          </cell>
          <cell r="H51">
            <v>1.5465204518278626</v>
          </cell>
          <cell r="I51">
            <v>9.5461407563541878E-2</v>
          </cell>
          <cell r="J51">
            <v>1.2173530936856067</v>
          </cell>
          <cell r="K51">
            <v>186.64227093630012</v>
          </cell>
          <cell r="L51">
            <v>2879.6285882468583</v>
          </cell>
          <cell r="M51">
            <v>0</v>
          </cell>
          <cell r="N51">
            <v>0</v>
          </cell>
          <cell r="O51">
            <v>10.739952210274792</v>
          </cell>
          <cell r="P51">
            <v>195.77977297555333</v>
          </cell>
          <cell r="Q51">
            <v>84.296373954599773</v>
          </cell>
          <cell r="R51">
            <v>1536.6478949231405</v>
          </cell>
          <cell r="S51">
            <v>24.163186356869886</v>
          </cell>
          <cell r="T51">
            <v>386.70506408350042</v>
          </cell>
          <cell r="U51">
            <v>22.409363780246249</v>
          </cell>
          <cell r="V51">
            <v>356.06889195193952</v>
          </cell>
          <cell r="W51">
            <v>21.931643572097073</v>
          </cell>
          <cell r="X51">
            <v>348.23286353837881</v>
          </cell>
          <cell r="Y51">
            <v>9.9422925877576773</v>
          </cell>
          <cell r="Z51">
            <v>157.32869296760774</v>
          </cell>
          <cell r="AA51">
            <v>9.6910068925763664</v>
          </cell>
          <cell r="AB51">
            <v>152.8472367848378</v>
          </cell>
          <cell r="AC51">
            <v>10.112461623380579</v>
          </cell>
          <cell r="AD51">
            <v>160.71228194679014</v>
          </cell>
          <cell r="AE51">
            <v>8.4288942494423065</v>
          </cell>
          <cell r="AF51">
            <v>129.25687116316553</v>
          </cell>
          <cell r="AG51">
            <v>8.6166358147603859</v>
          </cell>
          <cell r="AH51">
            <v>132.80427810865726</v>
          </cell>
          <cell r="AI51">
            <v>9.4693069349897971</v>
          </cell>
          <cell r="AJ51">
            <v>148.81270687873487</v>
          </cell>
          <cell r="AK51">
            <v>9.1701690648036287</v>
          </cell>
          <cell r="AL51">
            <v>143.09947414842043</v>
          </cell>
          <cell r="AM51">
            <v>21.24311381817634</v>
          </cell>
          <cell r="AN51">
            <v>358.47754096847956</v>
          </cell>
          <cell r="AQ51">
            <v>1.0833179284981212E-2</v>
          </cell>
          <cell r="AR51">
            <v>0.19747921959913667</v>
          </cell>
          <cell r="AS51">
            <v>4.5379702334816434E-3</v>
          </cell>
          <cell r="AT51">
            <v>8.2723159720477307E-2</v>
          </cell>
          <cell r="AU51">
            <v>6.2952090514995698E-3</v>
          </cell>
          <cell r="AV51">
            <v>0.1147560598786594</v>
          </cell>
          <cell r="AW51">
            <v>1</v>
          </cell>
          <cell r="AX51">
            <v>18.229110255095271</v>
          </cell>
          <cell r="AY51">
            <v>0</v>
          </cell>
          <cell r="AZ51">
            <v>0</v>
          </cell>
          <cell r="BA51">
            <v>1.0021975853094038</v>
          </cell>
          <cell r="BB51">
            <v>0</v>
          </cell>
          <cell r="BC51">
            <v>5.1135576127707048E-2</v>
          </cell>
          <cell r="BD51">
            <v>0</v>
          </cell>
          <cell r="BE51">
            <v>2.5412454330430462E-2</v>
          </cell>
          <cell r="BF51">
            <v>0</v>
          </cell>
          <cell r="BG51">
            <v>7.0603876868875926E-2</v>
          </cell>
          <cell r="BH51">
            <v>0</v>
          </cell>
          <cell r="BI51">
            <v>2.2364805758927186E-2</v>
          </cell>
          <cell r="BJ51">
            <v>3.4361282634408609E-2</v>
          </cell>
          <cell r="BK51">
            <v>0.74523959024705821</v>
          </cell>
          <cell r="BL51">
            <v>3.3956635537634415E-2</v>
          </cell>
          <cell r="BM51">
            <v>0.73646346160823128</v>
          </cell>
          <cell r="BN51">
            <v>3.6620562258064523E-2</v>
          </cell>
          <cell r="BO51">
            <v>0.7942396418138421</v>
          </cell>
          <cell r="BP51">
            <v>3.5069415053763452E-2</v>
          </cell>
          <cell r="BQ51">
            <v>0.76059781536500526</v>
          </cell>
          <cell r="BR51">
            <v>0.14005407115292715</v>
          </cell>
          <cell r="BS51">
            <v>2.5530611047216669</v>
          </cell>
          <cell r="BT51">
            <v>0.21481504614821031</v>
          </cell>
          <cell r="BU51">
            <v>16.639148321179363</v>
          </cell>
          <cell r="BV51">
            <v>0.11745227463199547</v>
          </cell>
          <cell r="BW51">
            <v>14.530450945517769</v>
          </cell>
          <cell r="BX51">
            <v>8.5926018459284131E-2</v>
          </cell>
          <cell r="BY51">
            <v>13.847650603861926</v>
          </cell>
          <cell r="BZ51">
            <v>0.11156462384716534</v>
          </cell>
          <cell r="CA51">
            <v>14.402935329790713</v>
          </cell>
          <cell r="CB51">
            <v>0.17866167388146653</v>
          </cell>
          <cell r="CC51">
            <v>15.856133211471821</v>
          </cell>
          <cell r="CD51">
            <v>0.11660160704924855</v>
          </cell>
          <cell r="CE51">
            <v>14.512027060583478</v>
          </cell>
          <cell r="CF51">
            <v>0.14372185625492781</v>
          </cell>
          <cell r="CG51">
            <v>15.099401448521681</v>
          </cell>
          <cell r="CH51">
            <v>1.3312995585695675E-3</v>
          </cell>
          <cell r="CI51">
            <v>8.7877136686840218E-2</v>
          </cell>
          <cell r="CJ51">
            <v>1.2357164001387372E-3</v>
          </cell>
          <cell r="CK51">
            <v>7.7681347632883729E-2</v>
          </cell>
        </row>
        <row r="52">
          <cell r="A52">
            <v>20</v>
          </cell>
          <cell r="B52">
            <v>2035</v>
          </cell>
          <cell r="C52">
            <v>0.11809196393258206</v>
          </cell>
          <cell r="D52">
            <v>1.6684476181715011</v>
          </cell>
          <cell r="E52">
            <v>0.10840784640856355</v>
          </cell>
          <cell r="F52">
            <v>1.536321215241073</v>
          </cell>
          <cell r="G52">
            <v>0.13532631258938532</v>
          </cell>
          <cell r="H52">
            <v>1.6707433105558944</v>
          </cell>
          <cell r="I52">
            <v>9.9118314227937376E-2</v>
          </cell>
          <cell r="J52">
            <v>1.3083388015653286</v>
          </cell>
          <cell r="K52">
            <v>186.64227093630012</v>
          </cell>
          <cell r="L52">
            <v>3050.9569575163955</v>
          </cell>
          <cell r="M52">
            <v>0</v>
          </cell>
          <cell r="N52">
            <v>0</v>
          </cell>
          <cell r="O52">
            <v>10.739952210274792</v>
          </cell>
          <cell r="P52">
            <v>205.63851766928428</v>
          </cell>
          <cell r="Q52">
            <v>84.296373954599773</v>
          </cell>
          <cell r="R52">
            <v>1614.0277950525478</v>
          </cell>
          <cell r="S52">
            <v>24.478784001008702</v>
          </cell>
          <cell r="T52">
            <v>409.17537653498914</v>
          </cell>
          <cell r="U52">
            <v>22.718470164117178</v>
          </cell>
          <cell r="V52">
            <v>376.92332340517265</v>
          </cell>
          <cell r="W52">
            <v>22.235220621179749</v>
          </cell>
          <cell r="X52">
            <v>368.64369582339361</v>
          </cell>
          <cell r="Y52">
            <v>10.088183119302645</v>
          </cell>
          <cell r="Z52">
            <v>166.58914588672425</v>
          </cell>
          <cell r="AA52">
            <v>9.8364134272910917</v>
          </cell>
          <cell r="AB52">
            <v>161.87657758477872</v>
          </cell>
          <cell r="AC52">
            <v>10.256547578313249</v>
          </cell>
          <cell r="AD52">
            <v>170.12728510825278</v>
          </cell>
          <cell r="AE52">
            <v>8.5790737676727531</v>
          </cell>
          <cell r="AF52">
            <v>137.13203637137329</v>
          </cell>
          <cell r="AG52">
            <v>8.7661786004606821</v>
          </cell>
          <cell r="AH52">
            <v>140.85119629502586</v>
          </cell>
          <cell r="AI52">
            <v>9.6149015642340672</v>
          </cell>
          <cell r="AJ52">
            <v>157.63871074925979</v>
          </cell>
          <cell r="AK52">
            <v>9.3180255029747983</v>
          </cell>
          <cell r="AL52">
            <v>151.65296048475787</v>
          </cell>
          <cell r="AM52">
            <v>21.388178993628806</v>
          </cell>
          <cell r="AN52">
            <v>378.11083095279417</v>
          </cell>
          <cell r="AQ52">
            <v>1.0833179284981212E-2</v>
          </cell>
          <cell r="AR52">
            <v>0.20742354213437744</v>
          </cell>
          <cell r="AS52">
            <v>4.5379702334816434E-3</v>
          </cell>
          <cell r="AT52">
            <v>8.6888791846553723E-2</v>
          </cell>
          <cell r="AU52">
            <v>6.2952090514995698E-3</v>
          </cell>
          <cell r="AV52">
            <v>0.12053475028782377</v>
          </cell>
          <cell r="AW52">
            <v>1</v>
          </cell>
          <cell r="AX52">
            <v>19.147060773003457</v>
          </cell>
          <cell r="AY52">
            <v>0</v>
          </cell>
          <cell r="AZ52">
            <v>0</v>
          </cell>
          <cell r="BA52">
            <v>1.0021975853094038</v>
          </cell>
          <cell r="BB52">
            <v>0</v>
          </cell>
          <cell r="BC52">
            <v>5.1135576127707048E-2</v>
          </cell>
          <cell r="BD52">
            <v>0</v>
          </cell>
          <cell r="BE52">
            <v>2.5412454330430462E-2</v>
          </cell>
          <cell r="BF52">
            <v>0</v>
          </cell>
          <cell r="BG52">
            <v>7.0603876868875926E-2</v>
          </cell>
          <cell r="BH52">
            <v>0</v>
          </cell>
          <cell r="BI52">
            <v>2.2364805758927186E-2</v>
          </cell>
          <cell r="BJ52">
            <v>3.4361282634408609E-2</v>
          </cell>
          <cell r="BK52">
            <v>0.77678154743730332</v>
          </cell>
          <cell r="BL52">
            <v>3.3956635537634415E-2</v>
          </cell>
          <cell r="BM52">
            <v>0.76763397278642242</v>
          </cell>
          <cell r="BN52">
            <v>3.6620562258064523E-2</v>
          </cell>
          <cell r="BO52">
            <v>0.82785550590472157</v>
          </cell>
          <cell r="BP52">
            <v>3.5069415053763452E-2</v>
          </cell>
          <cell r="BQ52">
            <v>0.79278980307634461</v>
          </cell>
          <cell r="BR52">
            <v>0.14005407115292715</v>
          </cell>
          <cell r="BS52">
            <v>2.6816238118716469</v>
          </cell>
          <cell r="BT52">
            <v>0.21481504614821031</v>
          </cell>
          <cell r="BU52">
            <v>16.836337904045585</v>
          </cell>
          <cell r="BV52">
            <v>0.11745227463199547</v>
          </cell>
          <cell r="BW52">
            <v>14.638266321845704</v>
          </cell>
          <cell r="BX52">
            <v>8.5926018459284131E-2</v>
          </cell>
          <cell r="BY52">
            <v>13.926526437008414</v>
          </cell>
          <cell r="BZ52">
            <v>0.11156462384716534</v>
          </cell>
          <cell r="CA52">
            <v>14.505346134031452</v>
          </cell>
          <cell r="CB52">
            <v>0.17866167388146653</v>
          </cell>
          <cell r="CC52">
            <v>16.020135787541658</v>
          </cell>
          <cell r="CD52">
            <v>0.11660160704924855</v>
          </cell>
          <cell r="CE52">
            <v>14.619061566163262</v>
          </cell>
          <cell r="CF52">
            <v>0.14372185625492781</v>
          </cell>
          <cell r="CG52">
            <v>15.231331000905616</v>
          </cell>
          <cell r="CH52">
            <v>1.3312995585695675E-3</v>
          </cell>
          <cell r="CI52">
            <v>8.9104580901444921E-2</v>
          </cell>
          <cell r="CJ52">
            <v>1.2357164001387372E-3</v>
          </cell>
          <cell r="CK52">
            <v>7.8815674142378708E-2</v>
          </cell>
        </row>
        <row r="53">
          <cell r="A53">
            <v>21</v>
          </cell>
          <cell r="B53">
            <v>2036</v>
          </cell>
          <cell r="C53">
            <v>0.12199198292990004</v>
          </cell>
          <cell r="D53">
            <v>1.7799396571113146</v>
          </cell>
          <cell r="E53">
            <v>0.11229126052193854</v>
          </cell>
          <cell r="F53">
            <v>1.6389474804269324</v>
          </cell>
          <cell r="G53">
            <v>0.1411031254951321</v>
          </cell>
          <cell r="H53">
            <v>1.799701581291379</v>
          </cell>
          <cell r="I53">
            <v>0.10293492035515879</v>
          </cell>
          <cell r="J53">
            <v>1.4024140339935007</v>
          </cell>
          <cell r="K53">
            <v>186.64227093630012</v>
          </cell>
          <cell r="L53">
            <v>3221.5347843478744</v>
          </cell>
          <cell r="M53">
            <v>0</v>
          </cell>
          <cell r="N53">
            <v>0</v>
          </cell>
          <cell r="O53">
            <v>10.739952210274792</v>
          </cell>
          <cell r="P53">
            <v>215.45407391553172</v>
          </cell>
          <cell r="Q53">
            <v>84.296373954599773</v>
          </cell>
          <cell r="R53">
            <v>1691.0687151335985</v>
          </cell>
          <cell r="S53">
            <v>24.798503695588838</v>
          </cell>
          <cell r="T53">
            <v>431.83945390527373</v>
          </cell>
          <cell r="U53">
            <v>23.031841691372044</v>
          </cell>
          <cell r="V53">
            <v>397.97279673151115</v>
          </cell>
          <cell r="W53">
            <v>22.543002427169778</v>
          </cell>
          <cell r="X53">
            <v>389.24640465774854</v>
          </cell>
          <cell r="Y53">
            <v>10.236214409330289</v>
          </cell>
          <cell r="Z53">
            <v>175.94432143278561</v>
          </cell>
          <cell r="AA53">
            <v>9.9840016816735577</v>
          </cell>
          <cell r="AB53">
            <v>171.00124854703327</v>
          </cell>
          <cell r="AC53">
            <v>10.40268652125043</v>
          </cell>
          <cell r="AD53">
            <v>179.63460438326112</v>
          </cell>
          <cell r="AE53">
            <v>8.731929068399511</v>
          </cell>
          <cell r="AF53">
            <v>145.11240157515155</v>
          </cell>
          <cell r="AG53">
            <v>8.9183167197964917</v>
          </cell>
          <cell r="AH53">
            <v>149.00190662139627</v>
          </cell>
          <cell r="AI53">
            <v>9.7627347729446381</v>
          </cell>
          <cell r="AJ53">
            <v>166.56115941615028</v>
          </cell>
          <cell r="AK53">
            <v>9.4682659240533908</v>
          </cell>
          <cell r="AL53">
            <v>160.30628546352852</v>
          </cell>
          <cell r="AM53">
            <v>21.534234791515875</v>
          </cell>
          <cell r="AN53">
            <v>397.79159755935393</v>
          </cell>
          <cell r="AQ53">
            <v>1.0833179284981212E-2</v>
          </cell>
          <cell r="AR53">
            <v>0.21732430132916117</v>
          </cell>
          <cell r="AS53">
            <v>4.5379702334816434E-3</v>
          </cell>
          <cell r="AT53">
            <v>9.1036175484622645E-2</v>
          </cell>
          <cell r="AU53">
            <v>6.2952090514995698E-3</v>
          </cell>
          <cell r="AV53">
            <v>0.12628812584453858</v>
          </cell>
          <cell r="AW53">
            <v>1</v>
          </cell>
          <cell r="AX53">
            <v>20.060990002302731</v>
          </cell>
          <cell r="AY53">
            <v>0</v>
          </cell>
          <cell r="AZ53">
            <v>0</v>
          </cell>
          <cell r="BA53">
            <v>1.0021975853094038</v>
          </cell>
          <cell r="BB53">
            <v>0</v>
          </cell>
          <cell r="BC53">
            <v>5.1135576127707048E-2</v>
          </cell>
          <cell r="BD53">
            <v>0</v>
          </cell>
          <cell r="BE53">
            <v>2.5412454330430462E-2</v>
          </cell>
          <cell r="BF53">
            <v>0</v>
          </cell>
          <cell r="BG53">
            <v>7.0603876868875926E-2</v>
          </cell>
          <cell r="BH53">
            <v>0</v>
          </cell>
          <cell r="BI53">
            <v>2.2364805758927186E-2</v>
          </cell>
          <cell r="BJ53">
            <v>3.4361282634408609E-2</v>
          </cell>
          <cell r="BK53">
            <v>0.80818532799310283</v>
          </cell>
          <cell r="BL53">
            <v>3.3956635537634415E-2</v>
          </cell>
          <cell r="BM53">
            <v>0.79866793453292895</v>
          </cell>
          <cell r="BN53">
            <v>3.6620562258064523E-2</v>
          </cell>
          <cell r="BO53">
            <v>0.86132410814574045</v>
          </cell>
          <cell r="BP53">
            <v>3.5069415053763452E-2</v>
          </cell>
          <cell r="BQ53">
            <v>0.82484076654840699</v>
          </cell>
          <cell r="BR53">
            <v>0.14005407115292715</v>
          </cell>
          <cell r="BS53">
            <v>2.8096233211806672</v>
          </cell>
          <cell r="BT53">
            <v>0.21481504614821031</v>
          </cell>
          <cell r="BU53">
            <v>17.03266365361371</v>
          </cell>
          <cell r="BV53">
            <v>0.11745227463199547</v>
          </cell>
          <cell r="BW53">
            <v>14.74560938867957</v>
          </cell>
          <cell r="BX53">
            <v>8.5926018459284131E-2</v>
          </cell>
          <cell r="BY53">
            <v>14.005056736835662</v>
          </cell>
          <cell r="BZ53">
            <v>0.11156462384716534</v>
          </cell>
          <cell r="CA53">
            <v>14.607308304721155</v>
          </cell>
          <cell r="CB53">
            <v>0.17866167388146653</v>
          </cell>
          <cell r="CC53">
            <v>16.183419913457463</v>
          </cell>
          <cell r="CD53">
            <v>0.11660160704924855</v>
          </cell>
          <cell r="CE53">
            <v>14.725627183028838</v>
          </cell>
          <cell r="CF53">
            <v>0.14372185625492781</v>
          </cell>
          <cell r="CG53">
            <v>15.362682606226143</v>
          </cell>
          <cell r="CH53">
            <v>1.3312995585695675E-3</v>
          </cell>
          <cell r="CI53">
            <v>9.0326648020724792E-2</v>
          </cell>
          <cell r="CJ53">
            <v>1.2357164001387372E-3</v>
          </cell>
          <cell r="CK53">
            <v>7.9945031479589992E-2</v>
          </cell>
        </row>
        <row r="54">
          <cell r="A54">
            <v>22</v>
          </cell>
          <cell r="B54">
            <v>2037</v>
          </cell>
          <cell r="C54">
            <v>0.1260349542389336</v>
          </cell>
          <cell r="D54">
            <v>1.8946220830296319</v>
          </cell>
          <cell r="E54">
            <v>0.1163306346735805</v>
          </cell>
          <cell r="F54">
            <v>1.7447996979609033</v>
          </cell>
          <cell r="G54">
            <v>0.1471499620251919</v>
          </cell>
          <cell r="H54">
            <v>1.933597092427481</v>
          </cell>
          <cell r="I54">
            <v>0.1069182068696212</v>
          </cell>
          <cell r="J54">
            <v>1.4997016429166519</v>
          </cell>
          <cell r="K54">
            <v>186.64227093630012</v>
          </cell>
          <cell r="L54">
            <v>3391.3653566611747</v>
          </cell>
          <cell r="M54">
            <v>0</v>
          </cell>
          <cell r="N54">
            <v>0</v>
          </cell>
          <cell r="O54">
            <v>10.739952210274792</v>
          </cell>
          <cell r="P54">
            <v>225.22663091099915</v>
          </cell>
          <cell r="Q54">
            <v>84.296373954599773</v>
          </cell>
          <cell r="R54">
            <v>1767.7721401446008</v>
          </cell>
          <cell r="S54">
            <v>25.122399279097859</v>
          </cell>
          <cell r="T54">
            <v>454.6989670586932</v>
          </cell>
          <cell r="U54">
            <v>23.349537234509231</v>
          </cell>
          <cell r="V54">
            <v>419.21913740179161</v>
          </cell>
          <cell r="W54">
            <v>22.855047266767318</v>
          </cell>
          <cell r="X54">
            <v>410.04279626877513</v>
          </cell>
          <cell r="Y54">
            <v>10.386417870755707</v>
          </cell>
          <cell r="Z54">
            <v>185.39518849750078</v>
          </cell>
          <cell r="AA54">
            <v>10.133804390846146</v>
          </cell>
          <cell r="AB54">
            <v>180.22225615037419</v>
          </cell>
          <cell r="AC54">
            <v>10.550907703896414</v>
          </cell>
          <cell r="AD54">
            <v>189.23514495099289</v>
          </cell>
          <cell r="AE54">
            <v>8.8875078266454608</v>
          </cell>
          <cell r="AF54">
            <v>153.19937208331299</v>
          </cell>
          <cell r="AG54">
            <v>9.073095215105683</v>
          </cell>
          <cell r="AH54">
            <v>157.25774783734653</v>
          </cell>
          <cell r="AI54">
            <v>9.9128409802347228</v>
          </cell>
          <cell r="AJ54">
            <v>175.58110676504731</v>
          </cell>
          <cell r="AK54">
            <v>9.6209287665042655</v>
          </cell>
          <cell r="AL54">
            <v>169.06061442879579</v>
          </cell>
          <cell r="AM54">
            <v>21.68128797660934</v>
          </cell>
          <cell r="AN54">
            <v>417.51995559467667</v>
          </cell>
          <cell r="AQ54">
            <v>1.0833179284981212E-2</v>
          </cell>
          <cell r="AR54">
            <v>0.22718168802249422</v>
          </cell>
          <cell r="AS54">
            <v>4.5379702334816434E-3</v>
          </cell>
          <cell r="AT54">
            <v>9.5165390576288228E-2</v>
          </cell>
          <cell r="AU54">
            <v>6.2952090514995698E-3</v>
          </cell>
          <cell r="AV54">
            <v>0.13201629744620608</v>
          </cell>
          <cell r="AW54">
            <v>1</v>
          </cell>
          <cell r="AX54">
            <v>20.970915559151866</v>
          </cell>
          <cell r="AY54">
            <v>0</v>
          </cell>
          <cell r="AZ54">
            <v>0</v>
          </cell>
          <cell r="BA54">
            <v>1.0021975853094038</v>
          </cell>
          <cell r="BB54">
            <v>0</v>
          </cell>
          <cell r="BC54">
            <v>5.1135576127707048E-2</v>
          </cell>
          <cell r="BD54">
            <v>0</v>
          </cell>
          <cell r="BE54">
            <v>2.5412454330430462E-2</v>
          </cell>
          <cell r="BF54">
            <v>0</v>
          </cell>
          <cell r="BG54">
            <v>7.0603876868875926E-2</v>
          </cell>
          <cell r="BH54">
            <v>0</v>
          </cell>
          <cell r="BI54">
            <v>2.2364805758927186E-2</v>
          </cell>
          <cell r="BJ54">
            <v>3.4361282634408609E-2</v>
          </cell>
          <cell r="BK54">
            <v>0.8394515372282676</v>
          </cell>
          <cell r="BL54">
            <v>3.3956635537634415E-2</v>
          </cell>
          <cell r="BM54">
            <v>0.829565945033234</v>
          </cell>
          <cell r="BN54">
            <v>3.6620562258064523E-2</v>
          </cell>
          <cell r="BO54">
            <v>0.89464609365053838</v>
          </cell>
          <cell r="BP54">
            <v>3.5069415053763452E-2</v>
          </cell>
          <cell r="BQ54">
            <v>0.85675132356957628</v>
          </cell>
          <cell r="BR54">
            <v>0.14005407115292715</v>
          </cell>
          <cell r="BS54">
            <v>2.9370620998634824</v>
          </cell>
          <cell r="BT54">
            <v>0.21481504614821031</v>
          </cell>
          <cell r="BU54">
            <v>17.228129354099693</v>
          </cell>
          <cell r="BV54">
            <v>0.11745227463199547</v>
          </cell>
          <cell r="BW54">
            <v>14.852482215077286</v>
          </cell>
          <cell r="BX54">
            <v>8.5926018459284131E-2</v>
          </cell>
          <cell r="BY54">
            <v>14.083243017030057</v>
          </cell>
          <cell r="BZ54">
            <v>0.11156462384716534</v>
          </cell>
          <cell r="CA54">
            <v>14.70882380719995</v>
          </cell>
          <cell r="CB54">
            <v>0.17866167388146653</v>
          </cell>
          <cell r="CC54">
            <v>16.345988736551657</v>
          </cell>
          <cell r="CD54">
            <v>0.11660160704924855</v>
          </cell>
          <cell r="CE54">
            <v>14.831725965252629</v>
          </cell>
          <cell r="CF54">
            <v>0.14372185625492781</v>
          </cell>
          <cell r="CG54">
            <v>15.4934587963103</v>
          </cell>
          <cell r="CH54">
            <v>1.3312995585695675E-3</v>
          </cell>
          <cell r="CI54">
            <v>9.1543361600254738E-2</v>
          </cell>
          <cell r="CJ54">
            <v>1.2357164001387372E-3</v>
          </cell>
          <cell r="CK54">
            <v>8.1069441413093829E-2</v>
          </cell>
        </row>
        <row r="55">
          <cell r="A55">
            <v>23</v>
          </cell>
          <cell r="B55">
            <v>2038</v>
          </cell>
          <cell r="C55">
            <v>0.13022612220826574</v>
          </cell>
          <cell r="D55">
            <v>2.0125990610928137</v>
          </cell>
          <cell r="E55">
            <v>0.12053223790617558</v>
          </cell>
          <cell r="F55">
            <v>1.8539946040690767</v>
          </cell>
          <cell r="G55">
            <v>0.15347945170374908</v>
          </cell>
          <cell r="H55">
            <v>2.0726401784056114</v>
          </cell>
          <cell r="I55">
            <v>0.11107545988660424</v>
          </cell>
          <cell r="J55">
            <v>1.6003292809986831</v>
          </cell>
          <cell r="K55">
            <v>186.64227093630012</v>
          </cell>
          <cell r="L55">
            <v>3560.4519479727046</v>
          </cell>
          <cell r="M55">
            <v>0</v>
          </cell>
          <cell r="N55">
            <v>0</v>
          </cell>
          <cell r="O55">
            <v>10.739952210274792</v>
          </cell>
          <cell r="P55">
            <v>234.95637702357121</v>
          </cell>
          <cell r="Q55">
            <v>84.296373954599773</v>
          </cell>
          <cell r="R55">
            <v>1844.1395485585815</v>
          </cell>
          <cell r="S55">
            <v>25.45052529321287</v>
          </cell>
          <cell r="T55">
            <v>477.75560126770336</v>
          </cell>
          <cell r="U55">
            <v>23.671616478952242</v>
          </cell>
          <cell r="V55">
            <v>440.66418798535369</v>
          </cell>
          <cell r="W55">
            <v>23.171414224909796</v>
          </cell>
          <cell r="X55">
            <v>431.03469391073355</v>
          </cell>
          <cell r="Y55">
            <v>10.538825377438677</v>
          </cell>
          <cell r="Z55">
            <v>194.94272588310582</v>
          </cell>
          <cell r="AA55">
            <v>10.285854781098017</v>
          </cell>
          <cell r="AB55">
            <v>189.5406174997967</v>
          </cell>
          <cell r="AC55">
            <v>10.701240794744196</v>
          </cell>
          <cell r="AD55">
            <v>198.92982086610075</v>
          </cell>
          <cell r="AE55">
            <v>9.0458585668701623</v>
          </cell>
          <cell r="AF55">
            <v>161.3943719774168</v>
          </cell>
          <cell r="AG55">
            <v>9.2305599104414995</v>
          </cell>
          <cell r="AH55">
            <v>165.62007596014402</v>
          </cell>
          <cell r="AI55">
            <v>10.065255134426064</v>
          </cell>
          <cell r="AJ55">
            <v>184.69961819776461</v>
          </cell>
          <cell r="AK55">
            <v>9.7760530885599728</v>
          </cell>
          <cell r="AL55">
            <v>177.91712632683905</v>
          </cell>
          <cell r="AM55">
            <v>21.829345359876342</v>
          </cell>
          <cell r="AN55">
            <v>437.29602014290208</v>
          </cell>
          <cell r="AQ55">
            <v>1.0833179284981212E-2</v>
          </cell>
          <cell r="AR55">
            <v>0.23699589221736983</v>
          </cell>
          <cell r="AS55">
            <v>4.5379702334816434E-3</v>
          </cell>
          <cell r="AT55">
            <v>9.9276516712952498E-2</v>
          </cell>
          <cell r="AU55">
            <v>6.2952090514995698E-3</v>
          </cell>
          <cell r="AV55">
            <v>0.1377193755044174</v>
          </cell>
          <cell r="AW55">
            <v>1</v>
          </cell>
          <cell r="AX55">
            <v>21.876854982538106</v>
          </cell>
          <cell r="AY55">
            <v>0</v>
          </cell>
          <cell r="AZ55">
            <v>0</v>
          </cell>
          <cell r="BA55">
            <v>1.0021975853094038</v>
          </cell>
          <cell r="BB55">
            <v>0</v>
          </cell>
          <cell r="BC55">
            <v>5.1135576127707048E-2</v>
          </cell>
          <cell r="BD55">
            <v>0</v>
          </cell>
          <cell r="BE55">
            <v>2.5412454330430462E-2</v>
          </cell>
          <cell r="BF55">
            <v>0</v>
          </cell>
          <cell r="BG55">
            <v>7.0603876868875926E-2</v>
          </cell>
          <cell r="BH55">
            <v>0</v>
          </cell>
          <cell r="BI55">
            <v>2.2364805758927186E-2</v>
          </cell>
          <cell r="BJ55">
            <v>3.4361282634408609E-2</v>
          </cell>
          <cell r="BK55">
            <v>0.87058077780489529</v>
          </cell>
          <cell r="BL55">
            <v>3.3956635537634415E-2</v>
          </cell>
          <cell r="BM55">
            <v>0.86032859985233512</v>
          </cell>
          <cell r="BN55">
            <v>3.6620562258064523E-2</v>
          </cell>
          <cell r="BO55">
            <v>0.92782210470668913</v>
          </cell>
          <cell r="BP55">
            <v>3.5069415053763452E-2</v>
          </cell>
          <cell r="BQ55">
            <v>0.88852208922187526</v>
          </cell>
          <cell r="BR55">
            <v>0.14005407115292715</v>
          </cell>
          <cell r="BS55">
            <v>3.0639426043266607</v>
          </cell>
          <cell r="BT55">
            <v>0.21481504614821031</v>
          </cell>
          <cell r="BU55">
            <v>17.422738773141894</v>
          </cell>
          <cell r="BV55">
            <v>0.11745227463199547</v>
          </cell>
          <cell r="BW55">
            <v>14.958886861032799</v>
          </cell>
          <cell r="BX55">
            <v>8.5926018459284131E-2</v>
          </cell>
          <cell r="BY55">
            <v>14.161086784646933</v>
          </cell>
          <cell r="BZ55">
            <v>0.11156462384716534</v>
          </cell>
          <cell r="CA55">
            <v>14.809894598198353</v>
          </cell>
          <cell r="CB55">
            <v>0.17866167388146653</v>
          </cell>
          <cell r="CC55">
            <v>16.507845390369056</v>
          </cell>
          <cell r="CD55">
            <v>0.11660160704924855</v>
          </cell>
          <cell r="CE55">
            <v>14.937359957908734</v>
          </cell>
          <cell r="CF55">
            <v>0.14372185625492781</v>
          </cell>
          <cell r="CG55">
            <v>15.623662091893889</v>
          </cell>
          <cell r="CH55">
            <v>1.3312995585695675E-3</v>
          </cell>
          <cell r="CI55">
            <v>9.2754745092419155E-2</v>
          </cell>
          <cell r="CJ55">
            <v>1.2357164001387372E-3</v>
          </cell>
          <cell r="CK55">
            <v>8.2188925616104441E-2</v>
          </cell>
        </row>
        <row r="56">
          <cell r="A56">
            <v>24</v>
          </cell>
          <cell r="B56">
            <v>2039</v>
          </cell>
          <cell r="C56">
            <v>0.13457092360386344</v>
          </cell>
          <cell r="D56">
            <v>2.1339780982635004</v>
          </cell>
          <cell r="E56">
            <v>0.1249025912844397</v>
          </cell>
          <cell r="F56">
            <v>1.9666530882662814</v>
          </cell>
          <cell r="G56">
            <v>0.16010481480252231</v>
          </cell>
          <cell r="H56">
            <v>2.2170500386242065</v>
          </cell>
          <cell r="I56">
            <v>0.11541428405471073</v>
          </cell>
          <cell r="J56">
            <v>1.7044295895879504</v>
          </cell>
          <cell r="K56">
            <v>186.64227093630012</v>
          </cell>
          <cell r="L56">
            <v>3728.7978174584969</v>
          </cell>
          <cell r="M56">
            <v>0</v>
          </cell>
          <cell r="N56">
            <v>0</v>
          </cell>
          <cell r="O56">
            <v>10.739952210274792</v>
          </cell>
          <cell r="P56">
            <v>244.64349979594488</v>
          </cell>
          <cell r="Q56">
            <v>84.296373954599773</v>
          </cell>
          <cell r="R56">
            <v>1920.1724123717845</v>
          </cell>
          <cell r="S56">
            <v>25.782936991984947</v>
          </cell>
          <cell r="T56">
            <v>501.01105633712046</v>
          </cell>
          <cell r="U56">
            <v>23.99813993427906</v>
          </cell>
          <cell r="V56">
            <v>462.30980831032684</v>
          </cell>
          <cell r="W56">
            <v>23.492163205988962</v>
          </cell>
          <cell r="X56">
            <v>452.22393802555729</v>
          </cell>
          <cell r="Y56">
            <v>10.693469270947437</v>
          </cell>
          <cell r="Z56">
            <v>204.58792240373563</v>
          </cell>
          <cell r="AA56">
            <v>10.440186577254726</v>
          </cell>
          <cell r="AB56">
            <v>198.95736043870838</v>
          </cell>
          <cell r="AC56">
            <v>10.853715885014028</v>
          </cell>
          <cell r="AD56">
            <v>208.71955514573796</v>
          </cell>
          <cell r="AE56">
            <v>9.2070306781044682</v>
          </cell>
          <cell r="AF56">
            <v>169.69884436254364</v>
          </cell>
          <cell r="AG56">
            <v>9.3907574251393271</v>
          </cell>
          <cell r="AH56">
            <v>174.09026449747057</v>
          </cell>
          <cell r="AI56">
            <v>10.220012721185745</v>
          </cell>
          <cell r="AJ56">
            <v>193.91777075813002</v>
          </cell>
          <cell r="AK56">
            <v>9.9336785782136587</v>
          </cell>
          <cell r="AL56">
            <v>186.87701386492259</v>
          </cell>
          <cell r="AM56">
            <v>21.978413798794815</v>
          </cell>
          <cell r="AN56">
            <v>457.11990656646265</v>
          </cell>
          <cell r="AQ56">
            <v>1.0833179284981212E-2</v>
          </cell>
          <cell r="AR56">
            <v>0.24676710308443037</v>
          </cell>
          <cell r="AS56">
            <v>4.5379702334816434E-3</v>
          </cell>
          <cell r="AT56">
            <v>0.10336963313734941</v>
          </cell>
          <cell r="AU56">
            <v>6.2952090514995698E-3</v>
          </cell>
          <cell r="AV56">
            <v>0.143397469947081</v>
          </cell>
          <cell r="AW56">
            <v>1</v>
          </cell>
          <cell r="AX56">
            <v>22.778825734615204</v>
          </cell>
          <cell r="AY56">
            <v>0</v>
          </cell>
          <cell r="AZ56">
            <v>0</v>
          </cell>
          <cell r="BA56">
            <v>1.0021975853094038</v>
          </cell>
          <cell r="BB56">
            <v>0</v>
          </cell>
          <cell r="BC56">
            <v>5.1135576127707048E-2</v>
          </cell>
          <cell r="BD56">
            <v>0</v>
          </cell>
          <cell r="BE56">
            <v>2.5412454330430462E-2</v>
          </cell>
          <cell r="BF56">
            <v>0</v>
          </cell>
          <cell r="BG56">
            <v>7.0603876868875926E-2</v>
          </cell>
          <cell r="BH56">
            <v>0</v>
          </cell>
          <cell r="BI56">
            <v>2.2364805758927186E-2</v>
          </cell>
          <cell r="BJ56">
            <v>3.4361282634408609E-2</v>
          </cell>
          <cell r="BK56">
            <v>0.90157364974498644</v>
          </cell>
          <cell r="BL56">
            <v>3.3956635537634415E-2</v>
          </cell>
          <cell r="BM56">
            <v>0.89095649194622317</v>
          </cell>
          <cell r="BN56">
            <v>3.6620562258064523E-2</v>
          </cell>
          <cell r="BO56">
            <v>0.96085278078808178</v>
          </cell>
          <cell r="BP56">
            <v>3.5069415053763452E-2</v>
          </cell>
          <cell r="BQ56">
            <v>0.92015367589282215</v>
          </cell>
          <cell r="BR56">
            <v>0.14005407115292715</v>
          </cell>
          <cell r="BS56">
            <v>3.1902672802159255</v>
          </cell>
          <cell r="BT56">
            <v>0.21481504614821031</v>
          </cell>
          <cell r="BU56">
            <v>17.616495661873667</v>
          </cell>
          <cell r="BV56">
            <v>0.11745227463199547</v>
          </cell>
          <cell r="BW56">
            <v>15.064825377515785</v>
          </cell>
          <cell r="BX56">
            <v>8.5926018459284131E-2</v>
          </cell>
          <cell r="BY56">
            <v>14.238589540139646</v>
          </cell>
          <cell r="BZ56">
            <v>0.11156462384716534</v>
          </cell>
          <cell r="CA56">
            <v>14.910522625874981</v>
          </cell>
          <cell r="CB56">
            <v>0.17866167388146653</v>
          </cell>
          <cell r="CC56">
            <v>16.668992994727272</v>
          </cell>
          <cell r="CD56">
            <v>0.11660160704924855</v>
          </cell>
          <cell r="CE56">
            <v>15.042531197112345</v>
          </cell>
          <cell r="CF56">
            <v>0.14372185625492781</v>
          </cell>
          <cell r="CG56">
            <v>15.753295002670063</v>
          </cell>
          <cell r="CH56">
            <v>1.3312995585695675E-3</v>
          </cell>
          <cell r="CI56">
            <v>9.3960821846864023E-2</v>
          </cell>
          <cell r="CJ56">
            <v>1.2357164001387372E-3</v>
          </cell>
          <cell r="CK56">
            <v>8.3303505666891584E-2</v>
          </cell>
        </row>
        <row r="57">
          <cell r="A57">
            <v>25</v>
          </cell>
          <cell r="B57">
            <v>2040</v>
          </cell>
          <cell r="C57">
            <v>0.13907499466907197</v>
          </cell>
          <cell r="D57">
            <v>2.2588701507692561</v>
          </cell>
          <cell r="E57">
            <v>0.12944847802681242</v>
          </cell>
          <cell r="F57">
            <v>2.0829003414334255</v>
          </cell>
          <cell r="G57">
            <v>0.16703988997325889</v>
          </cell>
          <cell r="H57">
            <v>2.3670551114896545</v>
          </cell>
          <cell r="I57">
            <v>0.11994261648163711</v>
          </cell>
          <cell r="J57">
            <v>1.8121403940423881</v>
          </cell>
          <cell r="K57">
            <v>186.64227093630012</v>
          </cell>
          <cell r="L57">
            <v>3896.4062100170313</v>
          </cell>
          <cell r="M57">
            <v>0</v>
          </cell>
          <cell r="N57">
            <v>0</v>
          </cell>
          <cell r="O57">
            <v>10.739952210274792</v>
          </cell>
          <cell r="P57">
            <v>254.288185949244</v>
          </cell>
          <cell r="Q57">
            <v>84.296373954599773</v>
          </cell>
          <cell r="R57">
            <v>1995.8721971320417</v>
          </cell>
          <cell r="S57">
            <v>26.119690351143497</v>
          </cell>
          <cell r="T57">
            <v>524.46704672943611</v>
          </cell>
          <cell r="U57">
            <v>24.329168945606646</v>
          </cell>
          <cell r="V57">
            <v>484.15787562542005</v>
          </cell>
          <cell r="W57">
            <v>23.817354945223819</v>
          </cell>
          <cell r="X57">
            <v>473.61238640511795</v>
          </cell>
          <cell r="Y57">
            <v>10.850382367421716</v>
          </cell>
          <cell r="Z57">
            <v>214.33177698783305</v>
          </cell>
          <cell r="AA57">
            <v>10.596834010158393</v>
          </cell>
          <cell r="AB57">
            <v>208.47352366230328</v>
          </cell>
          <cell r="AC57">
            <v>11.008363494676585</v>
          </cell>
          <cell r="AD57">
            <v>218.60527985743801</v>
          </cell>
          <cell r="AE57">
            <v>9.3710744293547741</v>
          </cell>
          <cell r="AF57">
            <v>178.11425162142015</v>
          </cell>
          <cell r="AG57">
            <v>9.5537351876189067</v>
          </cell>
          <cell r="AH57">
            <v>182.66970467302022</v>
          </cell>
          <cell r="AI57">
            <v>10.377149771788103</v>
          </cell>
          <cell r="AJ57">
            <v>203.23665325920172</v>
          </cell>
          <cell r="AK57">
            <v>10.093845563373094</v>
          </cell>
          <cell r="AL57">
            <v>195.94148367191752</v>
          </cell>
          <cell r="AM57">
            <v>22.128500197671094</v>
          </cell>
          <cell r="AN57">
            <v>476.99173050675699</v>
          </cell>
          <cell r="AQ57">
            <v>1.0833179284981212E-2</v>
          </cell>
          <cell r="AR57">
            <v>0.25649550896561368</v>
          </cell>
          <cell r="AS57">
            <v>4.5379702334816434E-3</v>
          </cell>
          <cell r="AT57">
            <v>0.10744481874507235</v>
          </cell>
          <cell r="AU57">
            <v>6.2952090514995698E-3</v>
          </cell>
          <cell r="AV57">
            <v>0.1490506902205414</v>
          </cell>
          <cell r="AW57">
            <v>1</v>
          </cell>
          <cell r="AX57">
            <v>23.676845201040031</v>
          </cell>
          <cell r="AY57">
            <v>0</v>
          </cell>
          <cell r="AZ57">
            <v>0</v>
          </cell>
          <cell r="BA57">
            <v>1.0021975853094038</v>
          </cell>
          <cell r="BB57">
            <v>0</v>
          </cell>
          <cell r="BC57">
            <v>5.1135576127707048E-2</v>
          </cell>
          <cell r="BD57">
            <v>0</v>
          </cell>
          <cell r="BE57">
            <v>2.5412454330430462E-2</v>
          </cell>
          <cell r="BF57">
            <v>0</v>
          </cell>
          <cell r="BG57">
            <v>7.0603876868875926E-2</v>
          </cell>
          <cell r="BH57">
            <v>0</v>
          </cell>
          <cell r="BI57">
            <v>2.2364805758927186E-2</v>
          </cell>
          <cell r="BJ57">
            <v>3.4361282634408609E-2</v>
          </cell>
          <cell r="BK57">
            <v>0.93243075044201085</v>
          </cell>
          <cell r="BL57">
            <v>3.3956635537634415E-2</v>
          </cell>
          <cell r="BM57">
            <v>0.92145021167331198</v>
          </cell>
          <cell r="BN57">
            <v>3.6620562258064523E-2</v>
          </cell>
          <cell r="BO57">
            <v>0.99373875856724614</v>
          </cell>
          <cell r="BP57">
            <v>3.5069415053763452E-2</v>
          </cell>
          <cell r="BQ57">
            <v>0.95164669328723372</v>
          </cell>
          <cell r="BR57">
            <v>0.14005407115292715</v>
          </cell>
          <cell r="BS57">
            <v>3.3160385624633024</v>
          </cell>
          <cell r="BT57">
            <v>0.21481504614821031</v>
          </cell>
          <cell r="BU57">
            <v>17.80940375499571</v>
          </cell>
          <cell r="BV57">
            <v>0.11745227463199547</v>
          </cell>
          <cell r="BW57">
            <v>15.17029980651119</v>
          </cell>
          <cell r="BX57">
            <v>8.5926018459284131E-2</v>
          </cell>
          <cell r="BY57">
            <v>14.315752777388465</v>
          </cell>
          <cell r="BZ57">
            <v>0.11156462384716534</v>
          </cell>
          <cell r="CA57">
            <v>15.010709829854099</v>
          </cell>
          <cell r="CB57">
            <v>0.17866167388146653</v>
          </cell>
          <cell r="CC57">
            <v>16.829434655776872</v>
          </cell>
          <cell r="CD57">
            <v>0.11660160704924855</v>
          </cell>
          <cell r="CE57">
            <v>15.147241710058989</v>
          </cell>
          <cell r="CF57">
            <v>0.14372185625492781</v>
          </cell>
          <cell r="CG57">
            <v>15.882360027337699</v>
          </cell>
          <cell r="CH57">
            <v>1.3312995585695675E-3</v>
          </cell>
          <cell r="CI57">
            <v>9.5161615110946923E-2</v>
          </cell>
          <cell r="CJ57">
            <v>1.2357164001387372E-3</v>
          </cell>
          <cell r="CK57">
            <v>8.4413203049196583E-2</v>
          </cell>
        </row>
        <row r="62">
          <cell r="A62">
            <v>1</v>
          </cell>
          <cell r="B62">
            <v>2017</v>
          </cell>
          <cell r="C62">
            <v>7.9097762408961964E-2</v>
          </cell>
          <cell r="D62">
            <v>7.8924319483909419E-2</v>
          </cell>
          <cell r="E62">
            <v>7.3692917649473888E-2</v>
          </cell>
          <cell r="F62">
            <v>7.3531326287044493E-2</v>
          </cell>
          <cell r="G62">
            <v>6.2787313372677789E-2</v>
          </cell>
          <cell r="H62">
            <v>6.2649635454164201E-2</v>
          </cell>
          <cell r="I62">
            <v>4.8449832564356768E-2</v>
          </cell>
          <cell r="J62">
            <v>4.8343593393710943E-2</v>
          </cell>
          <cell r="K62">
            <v>76.946791779832353</v>
          </cell>
          <cell r="L62">
            <v>76.778065431156378</v>
          </cell>
          <cell r="M62">
            <v>0</v>
          </cell>
          <cell r="N62">
            <v>0</v>
          </cell>
          <cell r="O62">
            <v>10.739952210274792</v>
          </cell>
          <cell r="P62">
            <v>10.71640200266407</v>
          </cell>
          <cell r="Q62">
            <v>84.296373954599773</v>
          </cell>
          <cell r="R62">
            <v>84.111531688210292</v>
          </cell>
          <cell r="S62">
            <v>17.874131225549988</v>
          </cell>
          <cell r="T62">
            <v>17.834937429061743</v>
          </cell>
          <cell r="U62">
            <v>16.323655872251557</v>
          </cell>
          <cell r="V62">
            <v>16.287861906204881</v>
          </cell>
          <cell r="W62">
            <v>15.966718868427982</v>
          </cell>
          <cell r="X62">
            <v>15.931707581892296</v>
          </cell>
          <cell r="Y62">
            <v>7.7990875047374191</v>
          </cell>
          <cell r="Z62">
            <v>7.7819859267867235</v>
          </cell>
          <cell r="AA62">
            <v>7.5393442635508769</v>
          </cell>
          <cell r="AB62">
            <v>7.5228122418827112</v>
          </cell>
          <cell r="AC62">
            <v>8.0187497690231115</v>
          </cell>
          <cell r="AD62">
            <v>8.0011665230140405</v>
          </cell>
          <cell r="AE62">
            <v>6.1011277471341669</v>
          </cell>
          <cell r="AF62">
            <v>6.0877493984887154</v>
          </cell>
          <cell r="AG62">
            <v>6.3445507514610844</v>
          </cell>
          <cell r="AH62">
            <v>6.3306386330020539</v>
          </cell>
          <cell r="AI62">
            <v>7.3174281357023885</v>
          </cell>
          <cell r="AJ62">
            <v>7.3013827242891542</v>
          </cell>
          <cell r="AK62">
            <v>6.9675088425363301</v>
          </cell>
          <cell r="AL62">
            <v>6.9522307224331232</v>
          </cell>
          <cell r="AM62">
            <v>17.502742559653726</v>
          </cell>
          <cell r="AN62">
            <v>17.464363131797189</v>
          </cell>
          <cell r="AQ62">
            <v>1.0833179284981212E-2</v>
          </cell>
          <cell r="AR62">
            <v>1.0809424652162511E-2</v>
          </cell>
          <cell r="AS62">
            <v>4.5379702334816434E-3</v>
          </cell>
          <cell r="AT62">
            <v>4.52801952429436E-3</v>
          </cell>
          <cell r="AU62">
            <v>6.2952090514995698E-3</v>
          </cell>
          <cell r="AV62">
            <v>6.2814051278681513E-3</v>
          </cell>
          <cell r="AW62">
            <v>1</v>
          </cell>
          <cell r="AX62">
            <v>0.99780723348208267</v>
          </cell>
          <cell r="AY62">
            <v>0</v>
          </cell>
          <cell r="AZ62">
            <v>0</v>
          </cell>
          <cell r="BA62">
            <v>1.0021975853094038</v>
          </cell>
          <cell r="BB62">
            <v>1.9976113191799115E-2</v>
          </cell>
          <cell r="BC62">
            <v>1.9932310239634012E-2</v>
          </cell>
          <cell r="BD62">
            <v>9.9519717748153252E-3</v>
          </cell>
          <cell r="BE62">
            <v>9.9301494243202535E-3</v>
          </cell>
          <cell r="BF62">
            <v>3.6015044890042661E-2</v>
          </cell>
          <cell r="BG62">
            <v>3.5936072305466485E-2</v>
          </cell>
          <cell r="BH62">
            <v>1.2179905030132514E-2</v>
          </cell>
          <cell r="BI62">
            <v>1.2153197342191028E-2</v>
          </cell>
          <cell r="BJ62">
            <v>4.7921661657706102E-2</v>
          </cell>
          <cell r="BK62">
            <v>4.7816580642540123E-2</v>
          </cell>
          <cell r="BL62">
            <v>4.7357324130824378E-2</v>
          </cell>
          <cell r="BM62">
            <v>4.7253480576092147E-2</v>
          </cell>
          <cell r="BN62">
            <v>5.1072546182795706E-2</v>
          </cell>
          <cell r="BO62">
            <v>5.0960556013541283E-2</v>
          </cell>
          <cell r="BP62">
            <v>4.8909252329749117E-2</v>
          </cell>
          <cell r="BQ62">
            <v>4.8802005758824075E-2</v>
          </cell>
          <cell r="BR62">
            <v>0.14005407115292715</v>
          </cell>
          <cell r="BS62">
            <v>0.13974696527500499</v>
          </cell>
          <cell r="BT62">
            <v>3.6754948499476221</v>
          </cell>
          <cell r="BU62">
            <v>3.6674353479038797</v>
          </cell>
          <cell r="BV62">
            <v>3.4893981858672181</v>
          </cell>
          <cell r="BW62">
            <v>3.481746750357567</v>
          </cell>
          <cell r="BX62">
            <v>3.4291397214323931</v>
          </cell>
          <cell r="BY62">
            <v>3.4216204186659755</v>
          </cell>
          <cell r="BZ62">
            <v>3.4781446835966427</v>
          </cell>
          <cell r="CA62">
            <v>3.4705179243899802</v>
          </cell>
          <cell r="CB62">
            <v>3.6063922363991003</v>
          </cell>
          <cell r="CC62">
            <v>3.5984842602526474</v>
          </cell>
          <cell r="CD62">
            <v>3.4877722420190178</v>
          </cell>
          <cell r="CE62">
            <v>3.4801243718245969</v>
          </cell>
          <cell r="CF62">
            <v>3.5396091795631142</v>
          </cell>
          <cell r="CG62">
            <v>3.5318476430676555</v>
          </cell>
          <cell r="CH62">
            <v>2.548601856255028E-2</v>
          </cell>
          <cell r="CI62">
            <v>2.5430133674371302E-2</v>
          </cell>
          <cell r="CJ62">
            <v>1.6237763349609184E-2</v>
          </cell>
          <cell r="CK62">
            <v>1.6202157725810296E-2</v>
          </cell>
        </row>
        <row r="63">
          <cell r="A63">
            <v>2</v>
          </cell>
          <cell r="B63">
            <v>2018</v>
          </cell>
          <cell r="C63">
            <v>6.8203788354501804E-2</v>
          </cell>
          <cell r="D63">
            <v>0.14668042598630182</v>
          </cell>
          <cell r="E63">
            <v>6.2809334936540534E-2</v>
          </cell>
          <cell r="F63">
            <v>0.13592838794562578</v>
          </cell>
          <cell r="G63">
            <v>6.1461283979914801E-2</v>
          </cell>
          <cell r="H63">
            <v>0.12370749460814214</v>
          </cell>
          <cell r="I63">
            <v>5.1667746056584397E-2</v>
          </cell>
          <cell r="J63">
            <v>9.9672198285163813E-2</v>
          </cell>
          <cell r="K63">
            <v>81.432439257452444</v>
          </cell>
          <cell r="L63">
            <v>157.67599148768403</v>
          </cell>
          <cell r="M63">
            <v>0</v>
          </cell>
          <cell r="N63">
            <v>0</v>
          </cell>
          <cell r="O63">
            <v>10.739952210274792</v>
          </cell>
          <cell r="P63">
            <v>21.385858397192216</v>
          </cell>
          <cell r="Q63">
            <v>84.296373954599773</v>
          </cell>
          <cell r="R63">
            <v>167.85459390267692</v>
          </cell>
          <cell r="S63">
            <v>18.996538908099915</v>
          </cell>
          <cell r="T63">
            <v>36.706785232353177</v>
          </cell>
          <cell r="U63">
            <v>17.370951906115693</v>
          </cell>
          <cell r="V63">
            <v>33.544792874336707</v>
          </cell>
          <cell r="W63">
            <v>16.995090763941715</v>
          </cell>
          <cell r="X63">
            <v>32.815244517321986</v>
          </cell>
          <cell r="Y63">
            <v>8.2522714598618876</v>
          </cell>
          <cell r="Z63">
            <v>15.980090422314342</v>
          </cell>
          <cell r="AA63">
            <v>8.0006115130301829</v>
          </cell>
          <cell r="AB63">
            <v>15.470908657634949</v>
          </cell>
          <cell r="AC63">
            <v>8.4719337241475827</v>
          </cell>
          <cell r="AD63">
            <v>16.417491444893034</v>
          </cell>
          <cell r="AE63">
            <v>6.5866448796779906</v>
          </cell>
          <cell r="AF63">
            <v>12.631160295860699</v>
          </cell>
          <cell r="AG63">
            <v>6.8192901581984566</v>
          </cell>
          <cell r="AH63">
            <v>13.105167751942313</v>
          </cell>
          <cell r="AI63">
            <v>7.7813898166333111</v>
          </cell>
          <cell r="AJ63">
            <v>15.0316963897417</v>
          </cell>
          <cell r="AK63">
            <v>7.4314705234672518</v>
          </cell>
          <cell r="AL63">
            <v>14.334921924866919</v>
          </cell>
          <cell r="AM63">
            <v>18.767344352261652</v>
          </cell>
          <cell r="AN63">
            <v>36.10852078605425</v>
          </cell>
          <cell r="AQ63">
            <v>1.0833179284981212E-2</v>
          </cell>
          <cell r="AR63">
            <v>2.1571496189560471E-2</v>
          </cell>
          <cell r="AS63">
            <v>4.5379702334816434E-3</v>
          </cell>
          <cell r="AT63">
            <v>9.0362030411147102E-3</v>
          </cell>
          <cell r="AU63">
            <v>6.2952090514995698E-3</v>
          </cell>
          <cell r="AV63">
            <v>1.253529314844576E-2</v>
          </cell>
          <cell r="AW63">
            <v>1</v>
          </cell>
          <cell r="AX63">
            <v>1.9912433480600227</v>
          </cell>
          <cell r="AY63">
            <v>0</v>
          </cell>
          <cell r="AZ63">
            <v>0</v>
          </cell>
          <cell r="BA63">
            <v>1.0021975853094038</v>
          </cell>
          <cell r="BB63">
            <v>1.0570526319385093E-2</v>
          </cell>
          <cell r="BC63">
            <v>3.0433452835407791E-2</v>
          </cell>
          <cell r="BD63">
            <v>5.1960964936720441E-3</v>
          </cell>
          <cell r="BE63">
            <v>1.5092139335965865E-2</v>
          </cell>
          <cell r="BF63">
            <v>0</v>
          </cell>
          <cell r="BG63">
            <v>3.5936072305466485E-2</v>
          </cell>
          <cell r="BH63">
            <v>0</v>
          </cell>
          <cell r="BI63">
            <v>1.2153197342191028E-2</v>
          </cell>
          <cell r="BJ63">
            <v>4.7609570080645175E-2</v>
          </cell>
          <cell r="BK63">
            <v>9.5113646960182402E-2</v>
          </cell>
          <cell r="BL63">
            <v>4.7048907822580657E-2</v>
          </cell>
          <cell r="BM63">
            <v>9.3993564758492312E-2</v>
          </cell>
          <cell r="BN63">
            <v>5.0739934354838721E-2</v>
          </cell>
          <cell r="BO63">
            <v>0.10136743925295198</v>
          </cell>
          <cell r="BP63">
            <v>4.8590729032258077E-2</v>
          </cell>
          <cell r="BQ63">
            <v>9.7073790813140035E-2</v>
          </cell>
          <cell r="BR63">
            <v>0.14005407115292715</v>
          </cell>
          <cell r="BS63">
            <v>0.2788817375519913</v>
          </cell>
          <cell r="BT63">
            <v>1.7281153612835123</v>
          </cell>
          <cell r="BU63">
            <v>5.384207557959825</v>
          </cell>
          <cell r="BV63">
            <v>1.591007568372369</v>
          </cell>
          <cell r="BW63">
            <v>5.0623111273455086</v>
          </cell>
          <cell r="BX63">
            <v>1.5466117964024648</v>
          </cell>
          <cell r="BY63">
            <v>4.9580804324444481</v>
          </cell>
          <cell r="BZ63">
            <v>1.5827164855286029</v>
          </cell>
          <cell r="CA63">
            <v>5.0428456402519677</v>
          </cell>
          <cell r="CB63">
            <v>1.6772036113343785</v>
          </cell>
          <cell r="CC63">
            <v>5.264678899252762</v>
          </cell>
          <cell r="CD63">
            <v>1.5898096448441541</v>
          </cell>
          <cell r="CE63">
            <v>5.0594986883171078</v>
          </cell>
          <cell r="CF63">
            <v>1.6280008082003818</v>
          </cell>
          <cell r="CG63">
            <v>5.1491624404959877</v>
          </cell>
          <cell r="CH63">
            <v>1.1884754304209048E-2</v>
          </cell>
          <cell r="CI63">
            <v>3.7236877813058185E-2</v>
          </cell>
          <cell r="CJ63">
            <v>7.7958732662502701E-3</v>
          </cell>
          <cell r="CK63">
            <v>2.3946859773175996E-2</v>
          </cell>
        </row>
        <row r="64">
          <cell r="A64">
            <v>3</v>
          </cell>
          <cell r="B64">
            <v>2019</v>
          </cell>
          <cell r="C64">
            <v>6.7215437788459523E-2</v>
          </cell>
          <cell r="D64">
            <v>0.21316214975792913</v>
          </cell>
          <cell r="E64">
            <v>6.1886928523998463E-2</v>
          </cell>
          <cell r="F64">
            <v>0.19713976769079078</v>
          </cell>
          <cell r="G64">
            <v>6.1010033821265588E-2</v>
          </cell>
          <cell r="H64">
            <v>0.18405155170657581</v>
          </cell>
          <cell r="I64">
            <v>5.1044219374162578E-2</v>
          </cell>
          <cell r="J64">
            <v>0.1501592263285052</v>
          </cell>
          <cell r="K64">
            <v>73.796436723031036</v>
          </cell>
          <cell r="L64">
            <v>230.6668769594331</v>
          </cell>
          <cell r="M64">
            <v>0</v>
          </cell>
          <cell r="N64">
            <v>0</v>
          </cell>
          <cell r="O64">
            <v>10.739952210274792</v>
          </cell>
          <cell r="P64">
            <v>32.008574839374766</v>
          </cell>
          <cell r="Q64">
            <v>84.296373954599773</v>
          </cell>
          <cell r="R64">
            <v>251.23080080676559</v>
          </cell>
          <cell r="S64">
            <v>19.391180469891133</v>
          </cell>
          <cell r="T64">
            <v>55.886294375212877</v>
          </cell>
          <cell r="U64">
            <v>17.763479858726662</v>
          </cell>
          <cell r="V64">
            <v>51.114369150956492</v>
          </cell>
          <cell r="W64">
            <v>17.378039716913687</v>
          </cell>
          <cell r="X64">
            <v>50.003588061081295</v>
          </cell>
          <cell r="Y64">
            <v>8.1768251615124985</v>
          </cell>
          <cell r="Z64">
            <v>24.067658540629864</v>
          </cell>
          <cell r="AA64">
            <v>7.9332485090356313</v>
          </cell>
          <cell r="AB64">
            <v>23.317558971053497</v>
          </cell>
          <cell r="AC64">
            <v>8.3641542483788349</v>
          </cell>
          <cell r="AD64">
            <v>24.69034379280227</v>
          </cell>
          <cell r="AE64">
            <v>6.6405312910060204</v>
          </cell>
          <cell r="AF64">
            <v>19.199204505807185</v>
          </cell>
          <cell r="AG64">
            <v>6.8300656663006798</v>
          </cell>
          <cell r="AH64">
            <v>19.86067740730067</v>
          </cell>
          <cell r="AI64">
            <v>7.7167212440903725</v>
          </cell>
          <cell r="AJ64">
            <v>22.664183018584978</v>
          </cell>
          <cell r="AK64">
            <v>7.3991351283436675</v>
          </cell>
          <cell r="AL64">
            <v>21.653289162161702</v>
          </cell>
          <cell r="AM64">
            <v>18.962797353121864</v>
          </cell>
          <cell r="AN64">
            <v>54.864322980413291</v>
          </cell>
          <cell r="AQ64">
            <v>1.0833179284981212E-2</v>
          </cell>
          <cell r="AR64">
            <v>3.2286422053158598E-2</v>
          </cell>
          <cell r="AS64">
            <v>4.5379702334816434E-3</v>
          </cell>
          <cell r="AT64">
            <v>1.3524637446551141E-2</v>
          </cell>
          <cell r="AU64">
            <v>6.2952090514995698E-3</v>
          </cell>
          <cell r="AV64">
            <v>1.8761784606607462E-2</v>
          </cell>
          <cell r="AW64">
            <v>1</v>
          </cell>
          <cell r="AX64">
            <v>2.980327492402854</v>
          </cell>
          <cell r="AY64">
            <v>0</v>
          </cell>
          <cell r="AZ64">
            <v>0</v>
          </cell>
          <cell r="BA64">
            <v>1.0021975853094038</v>
          </cell>
          <cell r="BB64">
            <v>0</v>
          </cell>
          <cell r="BC64">
            <v>3.0433452835407791E-2</v>
          </cell>
          <cell r="BD64">
            <v>0</v>
          </cell>
          <cell r="BE64">
            <v>1.5092139335965865E-2</v>
          </cell>
          <cell r="BF64">
            <v>0</v>
          </cell>
          <cell r="BG64">
            <v>3.5936072305466485E-2</v>
          </cell>
          <cell r="BH64">
            <v>0</v>
          </cell>
          <cell r="BI64">
            <v>1.2153197342191028E-2</v>
          </cell>
          <cell r="BJ64">
            <v>4.716744034647552E-2</v>
          </cell>
          <cell r="BK64">
            <v>0.14176621433611766</v>
          </cell>
          <cell r="BL64">
            <v>4.6611984719235375E-2</v>
          </cell>
          <cell r="BM64">
            <v>0.14009673978063839</v>
          </cell>
          <cell r="BN64">
            <v>5.0268734265232991E-2</v>
          </cell>
          <cell r="BO64">
            <v>0.15108744727087714</v>
          </cell>
          <cell r="BP64">
            <v>4.813948769414577E-2</v>
          </cell>
          <cell r="BQ64">
            <v>0.14468779480820648</v>
          </cell>
          <cell r="BR64">
            <v>0.14005407115292715</v>
          </cell>
          <cell r="BS64">
            <v>0.41740699868001424</v>
          </cell>
          <cell r="BT64">
            <v>1.1175178059558881</v>
          </cell>
          <cell r="BU64">
            <v>6.4895267008515827</v>
          </cell>
          <cell r="BV64">
            <v>0.99599722787894174</v>
          </cell>
          <cell r="BW64">
            <v>6.0474361932499843</v>
          </cell>
          <cell r="BX64">
            <v>0.95664862661124106</v>
          </cell>
          <cell r="BY64">
            <v>5.9042864207329719</v>
          </cell>
          <cell r="BZ64">
            <v>0.98864872376647828</v>
          </cell>
          <cell r="CA64">
            <v>6.0207024172541672</v>
          </cell>
          <cell r="CB64">
            <v>1.0723940011497146</v>
          </cell>
          <cell r="CC64">
            <v>6.3253668022783129</v>
          </cell>
          <cell r="CD64">
            <v>0.99493549129526715</v>
          </cell>
          <cell r="CE64">
            <v>6.0435736074012025</v>
          </cell>
          <cell r="CF64">
            <v>1.0287848601016607</v>
          </cell>
          <cell r="CG64">
            <v>6.1667172335624985</v>
          </cell>
          <cell r="CH64">
            <v>7.6222704024674556E-3</v>
          </cell>
          <cell r="CI64">
            <v>4.4775944612032402E-2</v>
          </cell>
          <cell r="CJ64">
            <v>5.1489328639050197E-3</v>
          </cell>
          <cell r="CK64">
            <v>2.9039587629150179E-2</v>
          </cell>
        </row>
        <row r="65">
          <cell r="A65">
            <v>4</v>
          </cell>
          <cell r="B65">
            <v>2020</v>
          </cell>
          <cell r="C65">
            <v>6.5590284021440737E-2</v>
          </cell>
          <cell r="D65">
            <v>0.2777522632073019</v>
          </cell>
          <cell r="E65">
            <v>5.9786238501483083E-2</v>
          </cell>
          <cell r="F65">
            <v>0.25601434012380142</v>
          </cell>
          <cell r="G65">
            <v>6.1098781995139011E-2</v>
          </cell>
          <cell r="H65">
            <v>0.24421865297106332</v>
          </cell>
          <cell r="I65">
            <v>4.905949237618619E-2</v>
          </cell>
          <cell r="J65">
            <v>0.19847062222535283</v>
          </cell>
          <cell r="K65">
            <v>172.38279451625763</v>
          </cell>
          <cell r="L65">
            <v>400.42104742293253</v>
          </cell>
          <cell r="M65">
            <v>0</v>
          </cell>
          <cell r="N65">
            <v>0</v>
          </cell>
          <cell r="O65">
            <v>10.739952210274792</v>
          </cell>
          <cell r="P65">
            <v>42.584756084080603</v>
          </cell>
          <cell r="Q65">
            <v>84.296373954599773</v>
          </cell>
          <cell r="R65">
            <v>334.24175949263639</v>
          </cell>
          <cell r="S65">
            <v>19.766373299284499</v>
          </cell>
          <cell r="T65">
            <v>75.351254970079268</v>
          </cell>
          <cell r="U65">
            <v>18.121230004592423</v>
          </cell>
          <cell r="V65">
            <v>68.959272848220451</v>
          </cell>
          <cell r="W65">
            <v>17.723508529049258</v>
          </cell>
          <cell r="X65">
            <v>67.456835042570304</v>
          </cell>
          <cell r="Y65">
            <v>7.7849957110078769</v>
          </cell>
          <cell r="Z65">
            <v>31.733942711811505</v>
          </cell>
          <cell r="AA65">
            <v>7.5468079214342376</v>
          </cell>
          <cell r="AB65">
            <v>30.749287421363622</v>
          </cell>
          <cell r="AC65">
            <v>7.9723247978742169</v>
          </cell>
          <cell r="AD65">
            <v>32.541100514355996</v>
          </cell>
          <cell r="AE65">
            <v>6.2702572921143025</v>
          </cell>
          <cell r="AF65">
            <v>25.37384814238651</v>
          </cell>
          <cell r="AG65">
            <v>6.4597916674089619</v>
          </cell>
          <cell r="AH65">
            <v>26.22196525476398</v>
          </cell>
          <cell r="AI65">
            <v>7.3248917935857518</v>
          </cell>
          <cell r="AJ65">
            <v>29.877379287066248</v>
          </cell>
          <cell r="AK65">
            <v>7.0180834036454991</v>
          </cell>
          <cell r="AL65">
            <v>28.564355488546937</v>
          </cell>
          <cell r="AM65">
            <v>19.094081929922496</v>
          </cell>
          <cell r="AN65">
            <v>73.667243816404252</v>
          </cell>
          <cell r="AQ65">
            <v>1.0833179284981212E-2</v>
          </cell>
          <cell r="AR65">
            <v>4.2954408775179836E-2</v>
          </cell>
          <cell r="AS65">
            <v>4.5379702334816434E-3</v>
          </cell>
          <cell r="AT65">
            <v>1.7993409256025879E-2</v>
          </cell>
          <cell r="AU65">
            <v>6.2952090514995698E-3</v>
          </cell>
          <cell r="AV65">
            <v>2.4960999519153954E-2</v>
          </cell>
          <cell r="AW65">
            <v>1</v>
          </cell>
          <cell r="AX65">
            <v>3.9650787312945619</v>
          </cell>
          <cell r="AY65">
            <v>0</v>
          </cell>
          <cell r="AZ65">
            <v>0</v>
          </cell>
          <cell r="BA65">
            <v>1.0021975853094038</v>
          </cell>
          <cell r="BB65">
            <v>0</v>
          </cell>
          <cell r="BC65">
            <v>3.0433452835407791E-2</v>
          </cell>
          <cell r="BD65">
            <v>0</v>
          </cell>
          <cell r="BE65">
            <v>1.5092139335965865E-2</v>
          </cell>
          <cell r="BF65">
            <v>0</v>
          </cell>
          <cell r="BG65">
            <v>3.5936072305466485E-2</v>
          </cell>
          <cell r="BH65">
            <v>0</v>
          </cell>
          <cell r="BI65">
            <v>1.2153197342191028E-2</v>
          </cell>
          <cell r="BJ65">
            <v>4.6730512138590218E-2</v>
          </cell>
          <cell r="BK65">
            <v>0.18778414405863841</v>
          </cell>
          <cell r="BL65">
            <v>4.6180201887694151E-2</v>
          </cell>
          <cell r="BM65">
            <v>0.1855727508018144</v>
          </cell>
          <cell r="BN65">
            <v>4.9803077706093199E-2</v>
          </cell>
          <cell r="BO65">
            <v>0.20013108974257243</v>
          </cell>
          <cell r="BP65">
            <v>4.7693555077658316E-2</v>
          </cell>
          <cell r="BQ65">
            <v>0.19165408225808042</v>
          </cell>
          <cell r="BR65">
            <v>0.14005407115292715</v>
          </cell>
          <cell r="BS65">
            <v>0.55532541875968666</v>
          </cell>
          <cell r="BT65">
            <v>1.0995233394413428</v>
          </cell>
          <cell r="BU65">
            <v>7.5722836715567929</v>
          </cell>
          <cell r="BV65">
            <v>0.97869894994594731</v>
          </cell>
          <cell r="BW65">
            <v>7.0112111967112689</v>
          </cell>
          <cell r="BX65">
            <v>0.93957577590494412</v>
          </cell>
          <cell r="BY65">
            <v>6.8295348300880043</v>
          </cell>
          <cell r="BZ65">
            <v>0.97139254524360452</v>
          </cell>
          <cell r="CA65">
            <v>6.9772824296329752</v>
          </cell>
          <cell r="CB65">
            <v>1.0546580478693828</v>
          </cell>
          <cell r="CC65">
            <v>7.3639426215247976</v>
          </cell>
          <cell r="CD65">
            <v>0.97764329602660704</v>
          </cell>
          <cell r="CE65">
            <v>7.0063090543575761</v>
          </cell>
          <cell r="CF65">
            <v>1.0112987425819</v>
          </cell>
          <cell r="CG65">
            <v>7.1625949232096513</v>
          </cell>
          <cell r="CH65">
            <v>7.49891905611446E-3</v>
          </cell>
          <cell r="CI65">
            <v>5.2160514442889751E-2</v>
          </cell>
          <cell r="CJ65">
            <v>5.0709268515644664E-3</v>
          </cell>
          <cell r="CK65">
            <v>3.4033189128557517E-2</v>
          </cell>
        </row>
        <row r="66">
          <cell r="A66">
            <v>5</v>
          </cell>
          <cell r="B66">
            <v>2021</v>
          </cell>
          <cell r="C66">
            <v>7.0025258340496915E-2</v>
          </cell>
          <cell r="D66">
            <v>0.34640763945632247</v>
          </cell>
          <cell r="E66">
            <v>6.4479092244046646E-2</v>
          </cell>
          <cell r="F66">
            <v>0.31923204817829925</v>
          </cell>
          <cell r="G66">
            <v>6.6425218459499225E-2</v>
          </cell>
          <cell r="H66">
            <v>0.30934441578632044</v>
          </cell>
          <cell r="I66">
            <v>5.4468488114059535E-2</v>
          </cell>
          <cell r="J66">
            <v>0.25187356044805143</v>
          </cell>
          <cell r="K66">
            <v>175.99712039482176</v>
          </cell>
          <cell r="L66">
            <v>572.97519153899555</v>
          </cell>
          <cell r="M66">
            <v>0</v>
          </cell>
          <cell r="N66">
            <v>0</v>
          </cell>
          <cell r="O66">
            <v>10.739952210274792</v>
          </cell>
          <cell r="P66">
            <v>53.114605989203902</v>
          </cell>
          <cell r="Q66">
            <v>84.296373954599773</v>
          </cell>
          <cell r="R66">
            <v>416.88907001222105</v>
          </cell>
          <cell r="S66">
            <v>20.149083118471328</v>
          </cell>
          <cell r="T66">
            <v>95.10616791656139</v>
          </cell>
          <cell r="U66">
            <v>18.498588460960736</v>
          </cell>
          <cell r="V66">
            <v>87.095979244754659</v>
          </cell>
          <cell r="W66">
            <v>18.092260969615371</v>
          </cell>
          <cell r="X66">
            <v>85.195162804598198</v>
          </cell>
          <cell r="Y66">
            <v>8.1080552347872334</v>
          </cell>
          <cell r="Z66">
            <v>39.683382613702307</v>
          </cell>
          <cell r="AA66">
            <v>7.8671730137619802</v>
          </cell>
          <cell r="AB66">
            <v>38.46255740531177</v>
          </cell>
          <cell r="AC66">
            <v>8.2953843216535716</v>
          </cell>
          <cell r="AD66">
            <v>40.674204843140544</v>
          </cell>
          <cell r="AE66">
            <v>6.5825390900872049</v>
          </cell>
          <cell r="AF66">
            <v>31.827615091825447</v>
          </cell>
          <cell r="AG66">
            <v>6.7720734653818671</v>
          </cell>
          <cell r="AH66">
            <v>32.861558778161488</v>
          </cell>
          <cell r="AI66">
            <v>7.6479513173651066</v>
          </cell>
          <cell r="AJ66">
            <v>37.375716139673536</v>
          </cell>
          <cell r="AK66">
            <v>7.3303652016184024</v>
          </cell>
          <cell r="AL66">
            <v>35.751319062643297</v>
          </cell>
          <cell r="AM66">
            <v>19.312535744643817</v>
          </cell>
          <cell r="AN66">
            <v>92.601974502065744</v>
          </cell>
          <cell r="AQ66">
            <v>1.0833179284981212E-2</v>
          </cell>
          <cell r="AR66">
            <v>5.3575661983086283E-2</v>
          </cell>
          <cell r="AS66">
            <v>4.5379702334816434E-3</v>
          </cell>
          <cell r="AT66">
            <v>2.2442604605960908E-2</v>
          </cell>
          <cell r="AU66">
            <v>6.2952090514995698E-3</v>
          </cell>
          <cell r="AV66">
            <v>3.1133057377125375E-2</v>
          </cell>
          <cell r="AW66">
            <v>1</v>
          </cell>
          <cell r="AX66">
            <v>4.9455160460015595</v>
          </cell>
          <cell r="AY66">
            <v>0</v>
          </cell>
          <cell r="AZ66">
            <v>0</v>
          </cell>
          <cell r="BA66">
            <v>1.0021975853094038</v>
          </cell>
          <cell r="BB66">
            <v>0</v>
          </cell>
          <cell r="BC66">
            <v>3.0433452835407791E-2</v>
          </cell>
          <cell r="BD66">
            <v>0</v>
          </cell>
          <cell r="BE66">
            <v>1.5092139335965865E-2</v>
          </cell>
          <cell r="BF66">
            <v>0</v>
          </cell>
          <cell r="BG66">
            <v>3.5936072305466485E-2</v>
          </cell>
          <cell r="BH66">
            <v>0</v>
          </cell>
          <cell r="BI66">
            <v>1.2153197342191028E-2</v>
          </cell>
          <cell r="BJ66">
            <v>4.5492548882915186E-2</v>
          </cell>
          <cell r="BK66">
            <v>0.23238673652458056</v>
          </cell>
          <cell r="BL66">
            <v>4.4956817198327371E-2</v>
          </cell>
          <cell r="BM66">
            <v>0.22965009193351582</v>
          </cell>
          <cell r="BN66">
            <v>4.8483717455197146E-2</v>
          </cell>
          <cell r="BO66">
            <v>0.24766633549135866</v>
          </cell>
          <cell r="BP66">
            <v>4.6430079330943862E-2</v>
          </cell>
          <cell r="BQ66">
            <v>0.23717586455894385</v>
          </cell>
          <cell r="BR66">
            <v>0.14005407115292715</v>
          </cell>
          <cell r="BS66">
            <v>0.69263965619464529</v>
          </cell>
          <cell r="BT66">
            <v>0.21756818493921748</v>
          </cell>
          <cell r="BU66">
            <v>7.7855956385642742</v>
          </cell>
          <cell r="BV66">
            <v>0.11895758079736654</v>
          </cell>
          <cell r="BW66">
            <v>7.1278416477922804</v>
          </cell>
          <cell r="BX66">
            <v>8.7027273975686992E-2</v>
          </cell>
          <cell r="BY66">
            <v>6.9148596168909959</v>
          </cell>
          <cell r="BZ66">
            <v>0.11299447198455247</v>
          </cell>
          <cell r="CA66">
            <v>7.0880664263222446</v>
          </cell>
          <cell r="CB66">
            <v>0.18095145941394719</v>
          </cell>
          <cell r="CC66">
            <v>7.5413541844849208</v>
          </cell>
          <cell r="CD66">
            <v>0.11809601078500725</v>
          </cell>
          <cell r="CE66">
            <v>7.1220947900492382</v>
          </cell>
          <cell r="CF66">
            <v>0.145563841835854</v>
          </cell>
          <cell r="CG66">
            <v>7.3053111454176296</v>
          </cell>
          <cell r="CH66">
            <v>1.3392561296755785E-3</v>
          </cell>
          <cell r="CI66">
            <v>5.3473571126373763E-2</v>
          </cell>
          <cell r="CJ66">
            <v>1.2476512567977532E-3</v>
          </cell>
          <cell r="CK66">
            <v>3.5256432976463116E-2</v>
          </cell>
        </row>
        <row r="67">
          <cell r="A67">
            <v>6</v>
          </cell>
          <cell r="B67">
            <v>2022</v>
          </cell>
          <cell r="C67">
            <v>7.3806040235143519E-2</v>
          </cell>
          <cell r="D67">
            <v>0.41845283648668957</v>
          </cell>
          <cell r="E67">
            <v>6.7799558971944895E-2</v>
          </cell>
          <cell r="F67">
            <v>0.38541406484175245</v>
          </cell>
          <cell r="G67">
            <v>6.9590979487970758E-2</v>
          </cell>
          <cell r="H67">
            <v>0.37727511377219836</v>
          </cell>
          <cell r="I67">
            <v>5.7103199490813258E-2</v>
          </cell>
          <cell r="J67">
            <v>0.30761440828750869</v>
          </cell>
          <cell r="K67">
            <v>177.65179933155642</v>
          </cell>
          <cell r="L67">
            <v>746.38862551898114</v>
          </cell>
          <cell r="M67">
            <v>0</v>
          </cell>
          <cell r="N67">
            <v>0</v>
          </cell>
          <cell r="O67">
            <v>10.739952210274792</v>
          </cell>
          <cell r="P67">
            <v>63.598327519593489</v>
          </cell>
          <cell r="Q67">
            <v>84.296373954599773</v>
          </cell>
          <cell r="R67">
            <v>499.17432540806396</v>
          </cell>
          <cell r="S67">
            <v>20.547288832686831</v>
          </cell>
          <cell r="T67">
            <v>115.16324546298569</v>
          </cell>
          <cell r="U67">
            <v>18.917331016189795</v>
          </cell>
          <cell r="V67">
            <v>105.56198603780177</v>
          </cell>
          <cell r="W67">
            <v>18.522543798135587</v>
          </cell>
          <cell r="X67">
            <v>103.27580109908924</v>
          </cell>
          <cell r="Y67">
            <v>8.19021389254398</v>
          </cell>
          <cell r="Z67">
            <v>47.678196747196701</v>
          </cell>
          <cell r="AA67">
            <v>7.9412483771638893</v>
          </cell>
          <cell r="AB67">
            <v>46.214345770831351</v>
          </cell>
          <cell r="AC67">
            <v>8.3667652536038677</v>
          </cell>
          <cell r="AD67">
            <v>48.841358226281912</v>
          </cell>
          <cell r="AE67">
            <v>6.6646977478439533</v>
          </cell>
          <cell r="AF67">
            <v>38.333308404479666</v>
          </cell>
          <cell r="AG67">
            <v>6.8542321231386136</v>
          </cell>
          <cell r="AH67">
            <v>39.552264609691221</v>
          </cell>
          <cell r="AI67">
            <v>7.7193322493154026</v>
          </cell>
          <cell r="AJ67">
            <v>44.910882788269625</v>
          </cell>
          <cell r="AK67">
            <v>7.4125238593751508</v>
          </cell>
          <cell r="AL67">
            <v>42.986997067310085</v>
          </cell>
          <cell r="AM67">
            <v>19.485167386596778</v>
          </cell>
          <cell r="AN67">
            <v>111.62227038929325</v>
          </cell>
          <cell r="AQ67">
            <v>1.0833179284981212E-2</v>
          </cell>
          <cell r="AR67">
            <v>6.4150386403542717E-2</v>
          </cell>
          <cell r="AS67">
            <v>4.5379702334816434E-3</v>
          </cell>
          <cell r="AT67">
            <v>2.6872309255438237E-2</v>
          </cell>
          <cell r="AU67">
            <v>6.2952090514995698E-3</v>
          </cell>
          <cell r="AV67">
            <v>3.7278077148104494E-2</v>
          </cell>
          <cell r="AW67">
            <v>1</v>
          </cell>
          <cell r="AX67">
            <v>5.9216583346385541</v>
          </cell>
          <cell r="AY67">
            <v>0</v>
          </cell>
          <cell r="AZ67">
            <v>0</v>
          </cell>
          <cell r="BA67">
            <v>1.0021975853094038</v>
          </cell>
          <cell r="BB67">
            <v>0</v>
          </cell>
          <cell r="BC67">
            <v>3.0433452835407791E-2</v>
          </cell>
          <cell r="BD67">
            <v>0</v>
          </cell>
          <cell r="BE67">
            <v>1.5092139335965865E-2</v>
          </cell>
          <cell r="BF67">
            <v>0</v>
          </cell>
          <cell r="BG67">
            <v>3.5936072305466485E-2</v>
          </cell>
          <cell r="BH67">
            <v>0</v>
          </cell>
          <cell r="BI67">
            <v>1.2153197342191028E-2</v>
          </cell>
          <cell r="BJ67">
            <v>4.4254585627240148E-2</v>
          </cell>
          <cell r="BK67">
            <v>0.27558550902143658</v>
          </cell>
          <cell r="BL67">
            <v>4.3733432508960578E-2</v>
          </cell>
          <cell r="BM67">
            <v>0.27234014483276414</v>
          </cell>
          <cell r="BN67">
            <v>4.7164357204301087E-2</v>
          </cell>
          <cell r="BO67">
            <v>0.29370545907485784</v>
          </cell>
          <cell r="BP67">
            <v>4.5166603584229401E-2</v>
          </cell>
          <cell r="BQ67">
            <v>0.28126489635161339</v>
          </cell>
          <cell r="BR67">
            <v>0.14005407115292715</v>
          </cell>
          <cell r="BS67">
            <v>0.82935235774279192</v>
          </cell>
          <cell r="BT67">
            <v>0.2173802429218937</v>
          </cell>
          <cell r="BU67">
            <v>7.9977896863945173</v>
          </cell>
          <cell r="BV67">
            <v>0.11885482161997461</v>
          </cell>
          <cell r="BW67">
            <v>7.2438608653839438</v>
          </cell>
          <cell r="BX67">
            <v>8.6952097168757486E-2</v>
          </cell>
          <cell r="BY67">
            <v>6.9997372360230932</v>
          </cell>
          <cell r="BZ67">
            <v>0.11289686392197135</v>
          </cell>
          <cell r="CA67">
            <v>7.1982698294509779</v>
          </cell>
          <cell r="CB67">
            <v>0.18079514803813901</v>
          </cell>
          <cell r="CC67">
            <v>7.7178359740653342</v>
          </cell>
          <cell r="CD67">
            <v>0.11799399585800389</v>
          </cell>
          <cell r="CE67">
            <v>7.237273719211494</v>
          </cell>
          <cell r="CF67">
            <v>0.14543809936072294</v>
          </cell>
          <cell r="CG67">
            <v>7.4472794245826215</v>
          </cell>
          <cell r="CH67">
            <v>1.3387129772455125E-3</v>
          </cell>
          <cell r="CI67">
            <v>5.478034547581024E-2</v>
          </cell>
          <cell r="CJ67">
            <v>1.2468365281526547E-3</v>
          </cell>
          <cell r="CK67">
            <v>3.6473522838610252E-2</v>
          </cell>
        </row>
        <row r="68">
          <cell r="A68">
            <v>7</v>
          </cell>
          <cell r="B68">
            <v>2023</v>
          </cell>
          <cell r="C68">
            <v>7.5579442762519183E-2</v>
          </cell>
          <cell r="D68">
            <v>0.49190593309373276</v>
          </cell>
          <cell r="E68">
            <v>7.0063765649367837E-2</v>
          </cell>
          <cell r="F68">
            <v>0.45350666196590611</v>
          </cell>
          <cell r="G68">
            <v>7.4129051173645238E-2</v>
          </cell>
          <cell r="H68">
            <v>0.44931862399435185</v>
          </cell>
          <cell r="I68">
            <v>6.0261718117225589E-2</v>
          </cell>
          <cell r="J68">
            <v>0.36618072792126627</v>
          </cell>
          <cell r="K68">
            <v>174.89100292179705</v>
          </cell>
          <cell r="L68">
            <v>916.35925858758173</v>
          </cell>
          <cell r="M68">
            <v>0</v>
          </cell>
          <cell r="N68">
            <v>0</v>
          </cell>
          <cell r="O68">
            <v>10.739952210274792</v>
          </cell>
          <cell r="P68">
            <v>74.036122750965035</v>
          </cell>
          <cell r="Q68">
            <v>84.296373954599773</v>
          </cell>
          <cell r="R68">
            <v>581.09911174402873</v>
          </cell>
          <cell r="S68">
            <v>20.90926154556945</v>
          </cell>
          <cell r="T68">
            <v>135.48424747294354</v>
          </cell>
          <cell r="U68">
            <v>19.241596316181905</v>
          </cell>
          <cell r="V68">
            <v>124.2622407820341</v>
          </cell>
          <cell r="W68">
            <v>18.823129316851041</v>
          </cell>
          <cell r="X68">
            <v>121.56936196195372</v>
          </cell>
          <cell r="Y68">
            <v>8.2699885130800972</v>
          </cell>
          <cell r="Z68">
            <v>55.71551804763444</v>
          </cell>
          <cell r="AA68">
            <v>8.031800723506457</v>
          </cell>
          <cell r="AB68">
            <v>54.020180438413846</v>
          </cell>
          <cell r="AC68">
            <v>8.4573175999464372</v>
          </cell>
          <cell r="AD68">
            <v>57.060738311647953</v>
          </cell>
          <cell r="AE68">
            <v>6.755250094186521</v>
          </cell>
          <cell r="AF68">
            <v>44.898506818711546</v>
          </cell>
          <cell r="AG68">
            <v>6.9447844694811831</v>
          </cell>
          <cell r="AH68">
            <v>46.301665053866863</v>
          </cell>
          <cell r="AI68">
            <v>7.8098845956579712</v>
          </cell>
          <cell r="AJ68">
            <v>52.501044699058539</v>
          </cell>
          <cell r="AK68">
            <v>7.5030762057177185</v>
          </cell>
          <cell r="AL68">
            <v>50.278982311502709</v>
          </cell>
          <cell r="AM68">
            <v>19.613538838137547</v>
          </cell>
          <cell r="AN68">
            <v>130.6840034535407</v>
          </cell>
          <cell r="AQ68">
            <v>1.0833179284981212E-2</v>
          </cell>
          <cell r="AR68">
            <v>7.4678785866362757E-2</v>
          </cell>
          <cell r="AS68">
            <v>4.5379702334816434E-3</v>
          </cell>
          <cell r="AT68">
            <v>3.1282608587852936E-2</v>
          </cell>
          <cell r="AU68">
            <v>6.2952090514995698E-3</v>
          </cell>
          <cell r="AV68">
            <v>4.3396177278509827E-2</v>
          </cell>
          <cell r="AW68">
            <v>1</v>
          </cell>
          <cell r="AX68">
            <v>6.8935244125328135</v>
          </cell>
          <cell r="AY68">
            <v>0</v>
          </cell>
          <cell r="AZ68">
            <v>0</v>
          </cell>
          <cell r="BA68">
            <v>1.0021975853094038</v>
          </cell>
          <cell r="BB68">
            <v>0</v>
          </cell>
          <cell r="BC68">
            <v>3.0433452835407791E-2</v>
          </cell>
          <cell r="BD68">
            <v>0</v>
          </cell>
          <cell r="BE68">
            <v>1.5092139335965865E-2</v>
          </cell>
          <cell r="BF68">
            <v>0</v>
          </cell>
          <cell r="BG68">
            <v>3.5936072305466485E-2</v>
          </cell>
          <cell r="BH68">
            <v>0</v>
          </cell>
          <cell r="BI68">
            <v>1.2153197342191028E-2</v>
          </cell>
          <cell r="BJ68">
            <v>4.3016622371565123E-2</v>
          </cell>
          <cell r="BK68">
            <v>0.31739190508994808</v>
          </cell>
          <cell r="BL68">
            <v>4.2510047819593798E-2</v>
          </cell>
          <cell r="BM68">
            <v>0.31365421827829021</v>
          </cell>
          <cell r="BN68">
            <v>4.5844996953405021E-2</v>
          </cell>
          <cell r="BO68">
            <v>0.33826065645503789</v>
          </cell>
          <cell r="BP68">
            <v>4.3903127837514939E-2</v>
          </cell>
          <cell r="BQ68">
            <v>0.32393285701034941</v>
          </cell>
          <cell r="BR68">
            <v>0.14005407115292715</v>
          </cell>
          <cell r="BS68">
            <v>0.96546615856731099</v>
          </cell>
          <cell r="BT68">
            <v>0.21736578584363803</v>
          </cell>
          <cell r="BU68">
            <v>8.2090401201507799</v>
          </cell>
          <cell r="BV68">
            <v>0.11884691706786753</v>
          </cell>
          <cell r="BW68">
            <v>7.3593641525445177</v>
          </cell>
          <cell r="BX68">
            <v>8.6946314337455213E-2</v>
          </cell>
          <cell r="BY68">
            <v>7.0842374095255964</v>
          </cell>
          <cell r="BZ68">
            <v>0.1128893556094651</v>
          </cell>
          <cell r="CA68">
            <v>7.3079831647231588</v>
          </cell>
          <cell r="CB68">
            <v>0.18078312408615377</v>
          </cell>
          <cell r="CC68">
            <v>7.8935329598204156</v>
          </cell>
          <cell r="CD68">
            <v>0.11798614855592672</v>
          </cell>
          <cell r="CE68">
            <v>7.3519404546543914</v>
          </cell>
          <cell r="CF68">
            <v>0.14542842686263593</v>
          </cell>
          <cell r="CG68">
            <v>7.5886163794119428</v>
          </cell>
          <cell r="CH68">
            <v>1.3386711962893535E-3</v>
          </cell>
          <cell r="CI68">
            <v>5.6081354600937994E-2</v>
          </cell>
          <cell r="CJ68">
            <v>1.2467738567184163E-3</v>
          </cell>
          <cell r="CK68">
            <v>3.7685220056760282E-2</v>
          </cell>
        </row>
        <row r="69">
          <cell r="A69">
            <v>8</v>
          </cell>
          <cell r="B69">
            <v>2024</v>
          </cell>
          <cell r="C69">
            <v>7.8418787623439054E-2</v>
          </cell>
          <cell r="D69">
            <v>0.56778462640398242</v>
          </cell>
          <cell r="E69">
            <v>7.294897055261039E-2</v>
          </cell>
          <cell r="F69">
            <v>0.52409271323769946</v>
          </cell>
          <cell r="G69">
            <v>7.4792631692447903E-2</v>
          </cell>
          <cell r="H69">
            <v>0.52168861764063745</v>
          </cell>
          <cell r="I69">
            <v>6.3204448617642989E-2</v>
          </cell>
          <cell r="J69">
            <v>0.42733789596537014</v>
          </cell>
          <cell r="K69">
            <v>178.50130770938495</v>
          </cell>
          <cell r="L69">
            <v>1089.0786590480718</v>
          </cell>
          <cell r="M69">
            <v>0</v>
          </cell>
          <cell r="N69">
            <v>0</v>
          </cell>
          <cell r="O69">
            <v>10.739952210274792</v>
          </cell>
          <cell r="P69">
            <v>84.428192873796121</v>
          </cell>
          <cell r="Q69">
            <v>84.296373954599773</v>
          </cell>
          <cell r="R69">
            <v>662.66500813586936</v>
          </cell>
          <cell r="S69">
            <v>21.27109343057348</v>
          </cell>
          <cell r="T69">
            <v>156.06634040891905</v>
          </cell>
          <cell r="U69">
            <v>19.547653183068427</v>
          </cell>
          <cell r="V69">
            <v>143.17671811284453</v>
          </cell>
          <cell r="W69">
            <v>19.094084505060845</v>
          </cell>
          <cell r="X69">
            <v>140.04496233920884</v>
          </cell>
          <cell r="Y69">
            <v>8.4839906051734122</v>
          </cell>
          <cell r="Z69">
            <v>63.924700319977767</v>
          </cell>
          <cell r="AA69">
            <v>8.2404139526965459</v>
          </cell>
          <cell r="AB69">
            <v>61.993675847048188</v>
          </cell>
          <cell r="AC69">
            <v>8.6713196920397504</v>
          </cell>
          <cell r="AD69">
            <v>65.451181819483409</v>
          </cell>
          <cell r="AE69">
            <v>6.9476967346669332</v>
          </cell>
          <cell r="AF69">
            <v>51.621157929742523</v>
          </cell>
          <cell r="AG69">
            <v>7.1372311099615926</v>
          </cell>
          <cell r="AH69">
            <v>53.20771125643882</v>
          </cell>
          <cell r="AI69">
            <v>8.0131089619448321</v>
          </cell>
          <cell r="AJ69">
            <v>60.254597843806323</v>
          </cell>
          <cell r="AK69">
            <v>7.6955228461981298</v>
          </cell>
          <cell r="AL69">
            <v>57.725236399396231</v>
          </cell>
          <cell r="AM69">
            <v>19.769979297706993</v>
          </cell>
          <cell r="AN69">
            <v>149.81360544489198</v>
          </cell>
          <cell r="AQ69">
            <v>1.0833179284981212E-2</v>
          </cell>
          <cell r="AR69">
            <v>8.5161063308437659E-2</v>
          </cell>
          <cell r="AS69">
            <v>4.5379702334816434E-3</v>
          </cell>
          <cell r="AT69">
            <v>3.5673587612558934E-2</v>
          </cell>
          <cell r="AU69">
            <v>6.2952090514995698E-3</v>
          </cell>
          <cell r="AV69">
            <v>4.9487475695878733E-2</v>
          </cell>
          <cell r="AW69">
            <v>1</v>
          </cell>
          <cell r="AX69">
            <v>7.8611330125868353</v>
          </cell>
          <cell r="AY69">
            <v>0</v>
          </cell>
          <cell r="AZ69">
            <v>0</v>
          </cell>
          <cell r="BA69">
            <v>1.0021975853094038</v>
          </cell>
          <cell r="BB69">
            <v>0</v>
          </cell>
          <cell r="BC69">
            <v>3.0433452835407791E-2</v>
          </cell>
          <cell r="BD69">
            <v>0</v>
          </cell>
          <cell r="BE69">
            <v>1.5092139335965865E-2</v>
          </cell>
          <cell r="BF69">
            <v>0</v>
          </cell>
          <cell r="BG69">
            <v>3.5936072305466485E-2</v>
          </cell>
          <cell r="BH69">
            <v>0</v>
          </cell>
          <cell r="BI69">
            <v>1.2153197342191028E-2</v>
          </cell>
          <cell r="BJ69">
            <v>4.1783860642174445E-2</v>
          </cell>
          <cell r="BK69">
            <v>0.35782232799077485</v>
          </cell>
          <cell r="BL69">
            <v>4.129180340203107E-2</v>
          </cell>
          <cell r="BM69">
            <v>0.35360852236183543</v>
          </cell>
          <cell r="BN69">
            <v>4.4531180232974921E-2</v>
          </cell>
          <cell r="BO69">
            <v>0.38134940941902012</v>
          </cell>
          <cell r="BP69">
            <v>4.2644960812425338E-2</v>
          </cell>
          <cell r="BQ69">
            <v>0.36519648784141895</v>
          </cell>
          <cell r="BR69">
            <v>0.14005407115292715</v>
          </cell>
          <cell r="BS69">
            <v>1.1009836822874615</v>
          </cell>
          <cell r="BT69">
            <v>0.21699676567935164</v>
          </cell>
          <cell r="BU69">
            <v>8.4190080568060264</v>
          </cell>
          <cell r="BV69">
            <v>0.11864515160284232</v>
          </cell>
          <cell r="BW69">
            <v>7.4741662215901403</v>
          </cell>
          <cell r="BX69">
            <v>8.6798706271740661E-2</v>
          </cell>
          <cell r="BY69">
            <v>7.1682245841876959</v>
          </cell>
          <cell r="BZ69">
            <v>0.11269770424910265</v>
          </cell>
          <cell r="CA69">
            <v>7.4170304325609342</v>
          </cell>
          <cell r="CB69">
            <v>0.18047621001551678</v>
          </cell>
          <cell r="CC69">
            <v>8.0681632927365854</v>
          </cell>
          <cell r="CD69">
            <v>0.11778584441075207</v>
          </cell>
          <cell r="CE69">
            <v>7.4659110506708606</v>
          </cell>
          <cell r="CF69">
            <v>0.14518153418003424</v>
          </cell>
          <cell r="CG69">
            <v>7.7290952804535804</v>
          </cell>
          <cell r="CH69">
            <v>1.3376047280145658E-3</v>
          </cell>
          <cell r="CI69">
            <v>5.7375632439237809E-2</v>
          </cell>
          <cell r="CJ69">
            <v>1.2451741543062348E-3</v>
          </cell>
          <cell r="CK69">
            <v>3.8890061277031991E-2</v>
          </cell>
        </row>
        <row r="70">
          <cell r="A70">
            <v>9</v>
          </cell>
          <cell r="B70">
            <v>2025</v>
          </cell>
          <cell r="C70">
            <v>8.3037007234541965E-2</v>
          </cell>
          <cell r="D70">
            <v>0.64777996921848946</v>
          </cell>
          <cell r="E70">
            <v>7.529172405358639E-2</v>
          </cell>
          <cell r="F70">
            <v>0.59662648435194132</v>
          </cell>
          <cell r="G70">
            <v>8.0820093089687378E-2</v>
          </cell>
          <cell r="H70">
            <v>0.59954825237853893</v>
          </cell>
          <cell r="I70">
            <v>6.545747406430355E-2</v>
          </cell>
          <cell r="J70">
            <v>0.49039764789929413</v>
          </cell>
          <cell r="K70">
            <v>182.21764231692606</v>
          </cell>
          <cell r="L70">
            <v>1264.6216277731071</v>
          </cell>
          <cell r="M70">
            <v>0</v>
          </cell>
          <cell r="N70">
            <v>0</v>
          </cell>
          <cell r="O70">
            <v>10.739952210274792</v>
          </cell>
          <cell r="P70">
            <v>94.774738197204215</v>
          </cell>
          <cell r="Q70">
            <v>84.296373954599773</v>
          </cell>
          <cell r="R70">
            <v>743.87358678166856</v>
          </cell>
          <cell r="S70">
            <v>21.605438127870073</v>
          </cell>
          <cell r="T70">
            <v>176.88036643486703</v>
          </cell>
          <cell r="U70">
            <v>19.870558262794173</v>
          </cell>
          <cell r="V70">
            <v>162.31941331690084</v>
          </cell>
          <cell r="W70">
            <v>19.4052163258531</v>
          </cell>
          <cell r="X70">
            <v>158.73936118708235</v>
          </cell>
          <cell r="Y70">
            <v>8.5821359477321124</v>
          </cell>
          <cell r="Z70">
            <v>72.192470680250935</v>
          </cell>
          <cell r="AA70">
            <v>8.3439481581584722</v>
          </cell>
          <cell r="AB70">
            <v>70.031983290535891</v>
          </cell>
          <cell r="AC70">
            <v>8.7694650345984506</v>
          </cell>
          <cell r="AD70">
            <v>73.899419359657159</v>
          </cell>
          <cell r="AE70">
            <v>7.0673975288385371</v>
          </cell>
          <cell r="AF70">
            <v>58.429675083172143</v>
          </cell>
          <cell r="AG70">
            <v>7.2569319041331966</v>
          </cell>
          <cell r="AH70">
            <v>60.198820097981724</v>
          </cell>
          <cell r="AI70">
            <v>8.1220320303099864</v>
          </cell>
          <cell r="AJ70">
            <v>68.079117997571927</v>
          </cell>
          <cell r="AK70">
            <v>7.8152236403697319</v>
          </cell>
          <cell r="AL70">
            <v>65.254186624174466</v>
          </cell>
          <cell r="AM70">
            <v>19.957883119544359</v>
          </cell>
          <cell r="AN70">
            <v>169.04042677637759</v>
          </cell>
          <cell r="AQ70">
            <v>1.0833179284981212E-2</v>
          </cell>
          <cell r="AR70">
            <v>9.5597420777648046E-2</v>
          </cell>
          <cell r="AS70">
            <v>4.5379702334816434E-3</v>
          </cell>
          <cell r="AT70">
            <v>4.0045330966507552E-2</v>
          </cell>
          <cell r="AU70">
            <v>6.2952090514995698E-3</v>
          </cell>
          <cell r="AV70">
            <v>5.5552089811140487E-2</v>
          </cell>
          <cell r="AW70">
            <v>1</v>
          </cell>
          <cell r="AX70">
            <v>8.824502785639428</v>
          </cell>
          <cell r="AY70">
            <v>0</v>
          </cell>
          <cell r="AZ70">
            <v>0</v>
          </cell>
          <cell r="BA70">
            <v>1.0021975853094038</v>
          </cell>
          <cell r="BB70">
            <v>0</v>
          </cell>
          <cell r="BC70">
            <v>3.0433452835407791E-2</v>
          </cell>
          <cell r="BD70">
            <v>0</v>
          </cell>
          <cell r="BE70">
            <v>1.5092139335965865E-2</v>
          </cell>
          <cell r="BF70">
            <v>0</v>
          </cell>
          <cell r="BG70">
            <v>3.5936072305466485E-2</v>
          </cell>
          <cell r="BH70">
            <v>0</v>
          </cell>
          <cell r="BI70">
            <v>1.2153197342191028E-2</v>
          </cell>
          <cell r="BJ70">
            <v>4.0545897386499413E-2</v>
          </cell>
          <cell r="BK70">
            <v>0.39688301995422043</v>
          </cell>
          <cell r="BL70">
            <v>4.006841871266429E-2</v>
          </cell>
          <cell r="BM70">
            <v>0.39220922580363105</v>
          </cell>
          <cell r="BN70">
            <v>4.3211819982078861E-2</v>
          </cell>
          <cell r="BO70">
            <v>0.42297837062834487</v>
          </cell>
          <cell r="BP70">
            <v>4.1381485065710877E-2</v>
          </cell>
          <cell r="BQ70">
            <v>0.40506215971775206</v>
          </cell>
          <cell r="BR70">
            <v>0.14005407115292715</v>
          </cell>
          <cell r="BS70">
            <v>1.2359075410291482</v>
          </cell>
          <cell r="BT70">
            <v>0.21662929761392419</v>
          </cell>
          <cell r="BU70">
            <v>8.6277021740848951</v>
          </cell>
          <cell r="BV70">
            <v>0.11844423476338919</v>
          </cell>
          <cell r="BW70">
            <v>7.5882718171535348</v>
          </cell>
          <cell r="BX70">
            <v>8.6651719045569675E-2</v>
          </cell>
          <cell r="BY70">
            <v>7.2517022310992436</v>
          </cell>
          <cell r="BZ70">
            <v>0.11250685897438677</v>
          </cell>
          <cell r="CA70">
            <v>7.52541613975795</v>
          </cell>
          <cell r="CB70">
            <v>0.18017058682550074</v>
          </cell>
          <cell r="CC70">
            <v>8.2417341900774197</v>
          </cell>
          <cell r="CD70">
            <v>0.11758638274483806</v>
          </cell>
          <cell r="CE70">
            <v>7.5791902175298302</v>
          </cell>
          <cell r="CF70">
            <v>0.14493567992808765</v>
          </cell>
          <cell r="CG70">
            <v>7.8687219335331262</v>
          </cell>
          <cell r="CH70">
            <v>1.3365427453054808E-3</v>
          </cell>
          <cell r="CI70">
            <v>5.8663217320457831E-2</v>
          </cell>
          <cell r="CJ70">
            <v>1.2435811802426068E-3</v>
          </cell>
          <cell r="CK70">
            <v>4.0088089796414789E-2</v>
          </cell>
        </row>
        <row r="71">
          <cell r="A71">
            <v>10</v>
          </cell>
          <cell r="B71">
            <v>2026</v>
          </cell>
          <cell r="C71">
            <v>8.4464262367603807E-2</v>
          </cell>
          <cell r="D71">
            <v>0.7287938255189006</v>
          </cell>
          <cell r="E71">
            <v>7.7725010092089708E-2</v>
          </cell>
          <cell r="F71">
            <v>0.67117639009957863</v>
          </cell>
          <cell r="G71">
            <v>8.5434725081587157E-2</v>
          </cell>
          <cell r="H71">
            <v>0.681492927520573</v>
          </cell>
          <cell r="I71">
            <v>6.8203668206913259E-2</v>
          </cell>
          <cell r="J71">
            <v>0.55581516319384627</v>
          </cell>
          <cell r="K71">
            <v>182.96133251116859</v>
          </cell>
          <cell r="L71">
            <v>1440.1089011489378</v>
          </cell>
          <cell r="M71">
            <v>0</v>
          </cell>
          <cell r="N71">
            <v>0</v>
          </cell>
          <cell r="O71">
            <v>10.739952210274792</v>
          </cell>
          <cell r="P71">
            <v>105.07595815280767</v>
          </cell>
          <cell r="Q71">
            <v>84.296373954599773</v>
          </cell>
          <cell r="R71">
            <v>824.72641299214172</v>
          </cell>
          <cell r="S71">
            <v>21.854578739700273</v>
          </cell>
          <cell r="T71">
            <v>197.84217503763989</v>
          </cell>
          <cell r="U71">
            <v>20.142304308180872</v>
          </cell>
          <cell r="V71">
            <v>181.63889472881678</v>
          </cell>
          <cell r="W71">
            <v>19.693713404795492</v>
          </cell>
          <cell r="X71">
            <v>177.62857685149953</v>
          </cell>
          <cell r="Y71">
            <v>8.6988906391864216</v>
          </cell>
          <cell r="Z71">
            <v>80.536007419480654</v>
          </cell>
          <cell r="AA71">
            <v>8.4580084181611692</v>
          </cell>
          <cell r="AB71">
            <v>78.144477964252388</v>
          </cell>
          <cell r="AC71">
            <v>8.886219726052758</v>
          </cell>
          <cell r="AD71">
            <v>82.422632701734912</v>
          </cell>
          <cell r="AE71">
            <v>7.1733744944863931</v>
          </cell>
          <cell r="AF71">
            <v>65.31001375180476</v>
          </cell>
          <cell r="AG71">
            <v>7.3629088697810525</v>
          </cell>
          <cell r="AH71">
            <v>67.260950570789248</v>
          </cell>
          <cell r="AI71">
            <v>8.2387867217642956</v>
          </cell>
          <cell r="AJ71">
            <v>75.98134628747114</v>
          </cell>
          <cell r="AK71">
            <v>7.9212006060175906</v>
          </cell>
          <cell r="AL71">
            <v>72.851802345125478</v>
          </cell>
          <cell r="AM71">
            <v>20.113670137757172</v>
          </cell>
          <cell r="AN71">
            <v>188.33244373761394</v>
          </cell>
          <cell r="AQ71">
            <v>1.0833179284981212E-2</v>
          </cell>
          <cell r="AR71">
            <v>0.10598805943675835</v>
          </cell>
          <cell r="AS71">
            <v>4.5379702334816434E-3</v>
          </cell>
          <cell r="AT71">
            <v>4.4397922915878942E-2</v>
          </cell>
          <cell r="AU71">
            <v>6.2952090514995698E-3</v>
          </cell>
          <cell r="AV71">
            <v>6.1590136520879392E-2</v>
          </cell>
          <cell r="AW71">
            <v>1</v>
          </cell>
          <cell r="AX71">
            <v>9.7836523008252012</v>
          </cell>
          <cell r="AY71">
            <v>0</v>
          </cell>
          <cell r="AZ71">
            <v>0</v>
          </cell>
          <cell r="BA71">
            <v>1.0021975853094038</v>
          </cell>
          <cell r="BB71">
            <v>0</v>
          </cell>
          <cell r="BC71">
            <v>3.0433452835407791E-2</v>
          </cell>
          <cell r="BD71">
            <v>0</v>
          </cell>
          <cell r="BE71">
            <v>1.5092139335965865E-2</v>
          </cell>
          <cell r="BF71">
            <v>0</v>
          </cell>
          <cell r="BG71">
            <v>3.5936072305466485E-2</v>
          </cell>
          <cell r="BH71">
            <v>0</v>
          </cell>
          <cell r="BI71">
            <v>1.2153197342191028E-2</v>
          </cell>
          <cell r="BJ71">
            <v>3.9307934130824368E-2</v>
          </cell>
          <cell r="BK71">
            <v>0.43458520591875494</v>
          </cell>
          <cell r="BL71">
            <v>3.8845034023297496E-2</v>
          </cell>
          <cell r="BM71">
            <v>0.42946742135445176</v>
          </cell>
          <cell r="BN71">
            <v>4.1892459731182802E-2</v>
          </cell>
          <cell r="BO71">
            <v>0.46315950306944842</v>
          </cell>
          <cell r="BP71">
            <v>4.0118009318996416E-2</v>
          </cell>
          <cell r="BQ71">
            <v>0.44354132890628578</v>
          </cell>
          <cell r="BR71">
            <v>0.14005407115292715</v>
          </cell>
          <cell r="BS71">
            <v>1.3702403354752719</v>
          </cell>
          <cell r="BT71">
            <v>0.21626337612081561</v>
          </cell>
          <cell r="BU71">
            <v>8.8351310864436137</v>
          </cell>
          <cell r="BV71">
            <v>0.11824416352781715</v>
          </cell>
          <cell r="BW71">
            <v>7.7016856492747872</v>
          </cell>
          <cell r="BX71">
            <v>8.6505350448326246E-2</v>
          </cell>
          <cell r="BY71">
            <v>7.3346737960427317</v>
          </cell>
          <cell r="BZ71">
            <v>0.11231681691509783</v>
          </cell>
          <cell r="CA71">
            <v>7.6331447602492748</v>
          </cell>
          <cell r="CB71">
            <v>0.17986624991968236</v>
          </cell>
          <cell r="CC71">
            <v>8.4142528164861652</v>
          </cell>
          <cell r="CD71">
            <v>0.11738776055837871</v>
          </cell>
          <cell r="CE71">
            <v>7.6917826311581425</v>
          </cell>
          <cell r="CF71">
            <v>0.1446908604092684</v>
          </cell>
          <cell r="CG71">
            <v>8.0075021021464874</v>
          </cell>
          <cell r="CH71">
            <v>1.3354852321903967E-3</v>
          </cell>
          <cell r="CI71">
            <v>5.9944147333451013E-2</v>
          </cell>
          <cell r="CJ71">
            <v>1.2419949105699813E-3</v>
          </cell>
          <cell r="CK71">
            <v>4.1279348612751177E-2</v>
          </cell>
        </row>
        <row r="72">
          <cell r="A72">
            <v>11</v>
          </cell>
          <cell r="B72">
            <v>2027</v>
          </cell>
          <cell r="C72">
            <v>8.5803156248414711E-2</v>
          </cell>
          <cell r="D72">
            <v>0.81073135610141367</v>
          </cell>
          <cell r="E72">
            <v>7.9728621010986447E-2</v>
          </cell>
          <cell r="F72">
            <v>0.74731305695453476</v>
          </cell>
          <cell r="G72">
            <v>8.2897572611307077E-2</v>
          </cell>
          <cell r="H72">
            <v>0.76065577756060943</v>
          </cell>
          <cell r="I72">
            <v>7.0072725337772326E-2</v>
          </cell>
          <cell r="J72">
            <v>0.62273095424867531</v>
          </cell>
          <cell r="K72">
            <v>181.26220993732784</v>
          </cell>
          <cell r="L72">
            <v>1613.2048398017553</v>
          </cell>
          <cell r="M72">
            <v>0</v>
          </cell>
          <cell r="N72">
            <v>0</v>
          </cell>
          <cell r="O72">
            <v>10.739952210274792</v>
          </cell>
          <cell r="P72">
            <v>115.33205129856977</v>
          </cell>
          <cell r="Q72">
            <v>84.296373954599773</v>
          </cell>
          <cell r="R72">
            <v>905.22504522080851</v>
          </cell>
          <cell r="S72">
            <v>22.208146844788985</v>
          </cell>
          <cell r="T72">
            <v>219.04979479008293</v>
          </cell>
          <cell r="U72">
            <v>20.491180237585148</v>
          </cell>
          <cell r="V72">
            <v>201.20690109128603</v>
          </cell>
          <cell r="W72">
            <v>20.040195614345361</v>
          </cell>
          <cell r="X72">
            <v>196.76591646492784</v>
          </cell>
          <cell r="Y72">
            <v>8.7804619407287987</v>
          </cell>
          <cell r="Z72">
            <v>88.920889750780105</v>
          </cell>
          <cell r="AA72">
            <v>8.5395797197035463</v>
          </cell>
          <cell r="AB72">
            <v>86.299330361747323</v>
          </cell>
          <cell r="AC72">
            <v>8.9677910275951369</v>
          </cell>
          <cell r="AD72">
            <v>90.9864045221304</v>
          </cell>
          <cell r="AE72">
            <v>7.2549457960287711</v>
          </cell>
          <cell r="AF72">
            <v>72.23810788059815</v>
          </cell>
          <cell r="AG72">
            <v>7.4444801713234305</v>
          </cell>
          <cell r="AH72">
            <v>74.370040123890576</v>
          </cell>
          <cell r="AI72">
            <v>8.3203580233066727</v>
          </cell>
          <cell r="AJ72">
            <v>83.926853420313293</v>
          </cell>
          <cell r="AK72">
            <v>8.0027719075599677</v>
          </cell>
          <cell r="AL72">
            <v>80.494031332857929</v>
          </cell>
          <cell r="AM72">
            <v>20.269796752340056</v>
          </cell>
          <cell r="AN72">
            <v>207.68904044004438</v>
          </cell>
          <cell r="AQ72">
            <v>1.0833179284981212E-2</v>
          </cell>
          <cell r="AR72">
            <v>0.11633317956729429</v>
          </cell>
          <cell r="AS72">
            <v>4.5379702334816434E-3</v>
          </cell>
          <cell r="AT72">
            <v>4.8731447357706292E-2</v>
          </cell>
          <cell r="AU72">
            <v>6.2952090514995698E-3</v>
          </cell>
          <cell r="AV72">
            <v>6.7601732209587984E-2</v>
          </cell>
          <cell r="AW72">
            <v>1</v>
          </cell>
          <cell r="AX72">
            <v>10.738600045932502</v>
          </cell>
          <cell r="AY72">
            <v>0</v>
          </cell>
          <cell r="AZ72">
            <v>0</v>
          </cell>
          <cell r="BA72">
            <v>1.0021975853094038</v>
          </cell>
          <cell r="BB72">
            <v>0</v>
          </cell>
          <cell r="BC72">
            <v>3.0433452835407791E-2</v>
          </cell>
          <cell r="BD72">
            <v>0</v>
          </cell>
          <cell r="BE72">
            <v>1.5092139335965865E-2</v>
          </cell>
          <cell r="BF72">
            <v>0</v>
          </cell>
          <cell r="BG72">
            <v>3.5936072305466485E-2</v>
          </cell>
          <cell r="BH72">
            <v>0</v>
          </cell>
          <cell r="BI72">
            <v>1.2153197342191028E-2</v>
          </cell>
          <cell r="BJ72">
            <v>3.8075172401433696E-2</v>
          </cell>
          <cell r="BK72">
            <v>0.47094500594807581</v>
          </cell>
          <cell r="BL72">
            <v>3.7626789605734783E-2</v>
          </cell>
          <cell r="BM72">
            <v>0.46539903924407505</v>
          </cell>
          <cell r="BN72">
            <v>4.0578643010752695E-2</v>
          </cell>
          <cell r="BO72">
            <v>0.50190998671208076</v>
          </cell>
          <cell r="BP72">
            <v>3.8859842293906814E-2</v>
          </cell>
          <cell r="BQ72">
            <v>0.48065044768007742</v>
          </cell>
          <cell r="BR72">
            <v>0.14005407115292715</v>
          </cell>
          <cell r="BS72">
            <v>1.5039846549158575</v>
          </cell>
          <cell r="BT72">
            <v>0.21589899569661389</v>
          </cell>
          <cell r="BU72">
            <v>9.0413033455550256</v>
          </cell>
          <cell r="BV72">
            <v>0.11804493488708064</v>
          </cell>
          <cell r="BW72">
            <v>7.8144123936665437</v>
          </cell>
          <cell r="BX72">
            <v>8.6359598278645561E-2</v>
          </cell>
          <cell r="BY72">
            <v>7.4171426996872967</v>
          </cell>
          <cell r="BZ72">
            <v>0.11212757521302784</v>
          </cell>
          <cell r="CA72">
            <v>7.7402207353633043</v>
          </cell>
          <cell r="CB72">
            <v>0.17956319472087379</v>
          </cell>
          <cell r="CC72">
            <v>8.5857262843891267</v>
          </cell>
          <cell r="CD72">
            <v>0.11718997486412204</v>
          </cell>
          <cell r="CE72">
            <v>7.8036929334038181</v>
          </cell>
          <cell r="CF72">
            <v>0.14444707194152256</v>
          </cell>
          <cell r="CG72">
            <v>8.1454415077843958</v>
          </cell>
          <cell r="CH72">
            <v>1.3344321727644538E-3</v>
          </cell>
          <cell r="CI72">
            <v>6.121846032783107E-2</v>
          </cell>
          <cell r="CJ72">
            <v>1.2404153214310666E-3</v>
          </cell>
          <cell r="CK72">
            <v>4.2463880426948319E-2</v>
          </cell>
        </row>
        <row r="73">
          <cell r="A73">
            <v>12</v>
          </cell>
          <cell r="B73">
            <v>2028</v>
          </cell>
          <cell r="C73">
            <v>8.8772024963853266E-2</v>
          </cell>
          <cell r="D73">
            <v>0.89513263553972588</v>
          </cell>
          <cell r="E73">
            <v>8.3393930277933404E-2</v>
          </cell>
          <cell r="F73">
            <v>0.82660103552337982</v>
          </cell>
          <cell r="G73">
            <v>8.9147313470360368E-2</v>
          </cell>
          <cell r="H73">
            <v>0.84541386794381779</v>
          </cell>
          <cell r="I73">
            <v>7.4098382871404356E-2</v>
          </cell>
          <cell r="J73">
            <v>0.69318105743380587</v>
          </cell>
          <cell r="K73">
            <v>185.61567582824037</v>
          </cell>
          <cell r="L73">
            <v>1789.6816130880416</v>
          </cell>
          <cell r="M73">
            <v>0</v>
          </cell>
          <cell r="N73">
            <v>0</v>
          </cell>
          <cell r="O73">
            <v>10.739952210274792</v>
          </cell>
          <cell r="P73">
            <v>125.54321532262601</v>
          </cell>
          <cell r="Q73">
            <v>84.296373954599773</v>
          </cell>
          <cell r="R73">
            <v>985.37103509403335</v>
          </cell>
          <cell r="S73">
            <v>22.430722490333782</v>
          </cell>
          <cell r="T73">
            <v>240.376126792544</v>
          </cell>
          <cell r="U73">
            <v>20.687203808630922</v>
          </cell>
          <cell r="V73">
            <v>220.87555763213359</v>
          </cell>
          <cell r="W73">
            <v>20.216999559833479</v>
          </cell>
          <cell r="X73">
            <v>215.98751955383497</v>
          </cell>
          <cell r="Y73">
            <v>8.8973567975826988</v>
          </cell>
          <cell r="Z73">
            <v>97.380179686330408</v>
          </cell>
          <cell r="AA73">
            <v>8.6483912822026081</v>
          </cell>
          <cell r="AB73">
            <v>94.521912752970948</v>
          </cell>
          <cell r="AC73">
            <v>9.0739081586425865</v>
          </cell>
          <cell r="AD73">
            <v>99.613553203339549</v>
          </cell>
          <cell r="AE73">
            <v>7.3718406528826721</v>
          </cell>
          <cell r="AF73">
            <v>79.246991401865216</v>
          </cell>
          <cell r="AG73">
            <v>7.5613750281773342</v>
          </cell>
          <cell r="AH73">
            <v>81.559126178319687</v>
          </cell>
          <cell r="AI73">
            <v>8.4264751543541223</v>
          </cell>
          <cell r="AJ73">
            <v>91.938445861425564</v>
          </cell>
          <cell r="AK73">
            <v>8.1196667644138696</v>
          </cell>
          <cell r="AL73">
            <v>88.213921284769242</v>
          </cell>
          <cell r="AM73">
            <v>20.396091998585124</v>
          </cell>
          <cell r="AN73">
            <v>227.08091824077113</v>
          </cell>
          <cell r="AQ73">
            <v>1.0833179284981212E-2</v>
          </cell>
          <cell r="AR73">
            <v>0.12663298057340336</v>
          </cell>
          <cell r="AS73">
            <v>4.5379702334816434E-3</v>
          </cell>
          <cell r="AT73">
            <v>5.3045987821492988E-2</v>
          </cell>
          <cell r="AU73">
            <v>6.2952090514995698E-3</v>
          </cell>
          <cell r="AV73">
            <v>7.3586992751910357E-2</v>
          </cell>
          <cell r="AW73">
            <v>1</v>
          </cell>
          <cell r="AX73">
            <v>11.689364427759765</v>
          </cell>
          <cell r="AY73">
            <v>0</v>
          </cell>
          <cell r="AZ73">
            <v>0</v>
          </cell>
          <cell r="BA73">
            <v>1.0021975853094038</v>
          </cell>
          <cell r="BB73">
            <v>0</v>
          </cell>
          <cell r="BC73">
            <v>3.0433452835407791E-2</v>
          </cell>
          <cell r="BD73">
            <v>0</v>
          </cell>
          <cell r="BE73">
            <v>1.5092139335965865E-2</v>
          </cell>
          <cell r="BF73">
            <v>0</v>
          </cell>
          <cell r="BG73">
            <v>3.5936072305466485E-2</v>
          </cell>
          <cell r="BH73">
            <v>0</v>
          </cell>
          <cell r="BI73">
            <v>1.2153197342191028E-2</v>
          </cell>
          <cell r="BJ73">
            <v>3.6837209145758665E-2</v>
          </cell>
          <cell r="BK73">
            <v>0.50596851232978468</v>
          </cell>
          <cell r="BL73">
            <v>3.6403404916367982E-2</v>
          </cell>
          <cell r="BM73">
            <v>0.50001010001579316</v>
          </cell>
          <cell r="BN73">
            <v>3.9259282759856635E-2</v>
          </cell>
          <cell r="BO73">
            <v>0.53923631441623765</v>
          </cell>
          <cell r="BP73">
            <v>3.7596366547192353E-2</v>
          </cell>
          <cell r="BQ73">
            <v>0.51639573387926996</v>
          </cell>
          <cell r="BR73">
            <v>0.14005407115292715</v>
          </cell>
          <cell r="BS73">
            <v>1.6371430772979614</v>
          </cell>
          <cell r="BT73">
            <v>0.21553615086093786</v>
          </cell>
          <cell r="BU73">
            <v>9.2462274407897524</v>
          </cell>
          <cell r="BV73">
            <v>0.1178465458447264</v>
          </cell>
          <cell r="BW73">
            <v>7.9264566919770827</v>
          </cell>
          <cell r="BX73">
            <v>8.621446034437516E-2</v>
          </cell>
          <cell r="BY73">
            <v>7.4991123377811864</v>
          </cell>
          <cell r="BZ73">
            <v>0.1119391310219298</v>
          </cell>
          <cell r="CA73">
            <v>7.8466484740716504</v>
          </cell>
          <cell r="CB73">
            <v>0.17926141667104206</v>
          </cell>
          <cell r="CC73">
            <v>8.7561616543958483</v>
          </cell>
          <cell r="CD73">
            <v>0.11699302268731708</v>
          </cell>
          <cell r="CE73">
            <v>7.9149257322972284</v>
          </cell>
          <cell r="CF73">
            <v>0.1442043108582049</v>
          </cell>
          <cell r="CG73">
            <v>8.2825458302543229</v>
          </cell>
          <cell r="CH73">
            <v>1.3333835511893499E-3</v>
          </cell>
          <cell r="CI73">
            <v>6.2486193915616245E-2</v>
          </cell>
          <cell r="CJ73">
            <v>1.2388423890684112E-3</v>
          </cell>
          <cell r="CK73">
            <v>4.3641727645172358E-2</v>
          </cell>
        </row>
        <row r="74">
          <cell r="A74">
            <v>13</v>
          </cell>
          <cell r="B74">
            <v>2029</v>
          </cell>
          <cell r="C74">
            <v>9.2961476450210634E-2</v>
          </cell>
          <cell r="D74">
            <v>0.98312990823081925</v>
          </cell>
          <cell r="E74">
            <v>8.7680345636829055E-2</v>
          </cell>
          <cell r="F74">
            <v>0.90959919324719551</v>
          </cell>
          <cell r="G74">
            <v>9.2419425307861985E-2</v>
          </cell>
          <cell r="H74">
            <v>0.93289803537876415</v>
          </cell>
          <cell r="I74">
            <v>7.6899252713424168E-2</v>
          </cell>
          <cell r="J74">
            <v>0.76597383966106314</v>
          </cell>
          <cell r="K74">
            <v>192.83649703978327</v>
          </cell>
          <cell r="L74">
            <v>1972.2205148221753</v>
          </cell>
          <cell r="M74">
            <v>0</v>
          </cell>
          <cell r="N74">
            <v>0</v>
          </cell>
          <cell r="O74">
            <v>10.739952210274792</v>
          </cell>
          <cell r="P74">
            <v>135.70964704709459</v>
          </cell>
          <cell r="Q74">
            <v>84.296373954599773</v>
          </cell>
          <cell r="R74">
            <v>1065.1659274409317</v>
          </cell>
          <cell r="S74">
            <v>22.715993097962816</v>
          </cell>
          <cell r="T74">
            <v>261.87907097352462</v>
          </cell>
          <cell r="U74">
            <v>20.983812380244391</v>
          </cell>
          <cell r="V74">
            <v>240.73882068080175</v>
          </cell>
          <cell r="W74">
            <v>20.525870972464851</v>
          </cell>
          <cell r="X74">
            <v>235.41729556598318</v>
          </cell>
          <cell r="Y74">
            <v>9.0952435075497231</v>
          </cell>
          <cell r="Z74">
            <v>105.98973123055973</v>
          </cell>
          <cell r="AA74">
            <v>8.8462779921696324</v>
          </cell>
          <cell r="AB74">
            <v>102.89579370348596</v>
          </cell>
          <cell r="AC74">
            <v>9.2717948686096108</v>
          </cell>
          <cell r="AD74">
            <v>108.39022815025592</v>
          </cell>
          <cell r="AE74">
            <v>7.5697273628496973</v>
          </cell>
          <cell r="AF74">
            <v>86.412490363176147</v>
          </cell>
          <cell r="AG74">
            <v>7.7592617381443585</v>
          </cell>
          <cell r="AH74">
            <v>88.904038255084686</v>
          </cell>
          <cell r="AI74">
            <v>8.6243618643211484</v>
          </cell>
          <cell r="AJ74">
            <v>100.10226115073849</v>
          </cell>
          <cell r="AK74">
            <v>8.3175534743808939</v>
          </cell>
          <cell r="AL74">
            <v>96.087311953213018</v>
          </cell>
          <cell r="AM74">
            <v>20.536036282822582</v>
          </cell>
          <cell r="AN74">
            <v>246.52031672904275</v>
          </cell>
          <cell r="AQ74">
            <v>1.0833179284981212E-2</v>
          </cell>
          <cell r="AR74">
            <v>0.13688766098569832</v>
          </cell>
          <cell r="AS74">
            <v>4.5379702334816434E-3</v>
          </cell>
          <cell r="AT74">
            <v>5.734162747082263E-2</v>
          </cell>
          <cell r="AU74">
            <v>6.2952090514995698E-3</v>
          </cell>
          <cell r="AV74">
            <v>7.9546033514875686E-2</v>
          </cell>
          <cell r="AW74">
            <v>1</v>
          </cell>
          <cell r="AX74">
            <v>12.6359637724703</v>
          </cell>
          <cell r="AY74">
            <v>0</v>
          </cell>
          <cell r="AZ74">
            <v>0</v>
          </cell>
          <cell r="BA74">
            <v>1.0021975853094038</v>
          </cell>
          <cell r="BB74">
            <v>0</v>
          </cell>
          <cell r="BC74">
            <v>3.0433452835407791E-2</v>
          </cell>
          <cell r="BD74">
            <v>0</v>
          </cell>
          <cell r="BE74">
            <v>1.5092139335965865E-2</v>
          </cell>
          <cell r="BF74">
            <v>0</v>
          </cell>
          <cell r="BG74">
            <v>3.5936072305466485E-2</v>
          </cell>
          <cell r="BH74">
            <v>0</v>
          </cell>
          <cell r="BI74">
            <v>1.2153197342191028E-2</v>
          </cell>
          <cell r="BJ74">
            <v>3.559924589008364E-2</v>
          </cell>
          <cell r="BK74">
            <v>0.53966673516152708</v>
          </cell>
          <cell r="BL74">
            <v>3.5180020227001202E-2</v>
          </cell>
          <cell r="BM74">
            <v>0.53331148410957585</v>
          </cell>
          <cell r="BN74">
            <v>3.7939922508960576E-2</v>
          </cell>
          <cell r="BO74">
            <v>0.57515022020158824</v>
          </cell>
          <cell r="BP74">
            <v>3.6332890800477899E-2</v>
          </cell>
          <cell r="BQ74">
            <v>0.55078842450244181</v>
          </cell>
          <cell r="BR74">
            <v>0.14005407115292715</v>
          </cell>
          <cell r="BS74">
            <v>1.7697181692753647</v>
          </cell>
          <cell r="BT74">
            <v>0.21517483615634</v>
          </cell>
          <cell r="BU74">
            <v>9.4499117996935418</v>
          </cell>
          <cell r="BV74">
            <v>0.11764899341684046</v>
          </cell>
          <cell r="BW74">
            <v>8.0378231520513186</v>
          </cell>
          <cell r="BX74">
            <v>8.606993446253601E-2</v>
          </cell>
          <cell r="BY74">
            <v>7.5805860813427017</v>
          </cell>
          <cell r="BZ74">
            <v>0.1117514815074675</v>
          </cell>
          <cell r="CA74">
            <v>7.9524323532370502</v>
          </cell>
          <cell r="CB74">
            <v>0.17896091123122798</v>
          </cell>
          <cell r="CC74">
            <v>8.9255659356961292</v>
          </cell>
          <cell r="CD74">
            <v>0.11679690106566136</v>
          </cell>
          <cell r="CE74">
            <v>8.025485602310205</v>
          </cell>
          <cell r="CF74">
            <v>0.14396257350801397</v>
          </cell>
          <cell r="CG74">
            <v>8.4188207079998492</v>
          </cell>
          <cell r="CH74">
            <v>1.3323393516930624E-3</v>
          </cell>
          <cell r="CI74">
            <v>6.3747385472860962E-2</v>
          </cell>
          <cell r="CJ74">
            <v>1.2372760898239795E-3</v>
          </cell>
          <cell r="CK74">
            <v>4.4812932381025752E-2</v>
          </cell>
        </row>
        <row r="75">
          <cell r="A75">
            <v>14</v>
          </cell>
          <cell r="B75">
            <v>2030</v>
          </cell>
          <cell r="C75">
            <v>0.10056523250457726</v>
          </cell>
          <cell r="D75">
            <v>1.0779078683955896</v>
          </cell>
          <cell r="E75">
            <v>9.1127205310010229E-2</v>
          </cell>
          <cell r="F75">
            <v>0.99548226058267741</v>
          </cell>
          <cell r="G75">
            <v>0.11008869250182855</v>
          </cell>
          <cell r="H75">
            <v>1.0366514047358635</v>
          </cell>
          <cell r="I75">
            <v>8.2301137660325763E-2</v>
          </cell>
          <cell r="J75">
            <v>0.84353875700295466</v>
          </cell>
          <cell r="K75">
            <v>194.96026798435474</v>
          </cell>
          <cell r="L75">
            <v>2155.9613172102486</v>
          </cell>
          <cell r="M75">
            <v>0</v>
          </cell>
          <cell r="N75">
            <v>0</v>
          </cell>
          <cell r="O75">
            <v>10.739952210274792</v>
          </cell>
          <cell r="P75">
            <v>145.83154243187016</v>
          </cell>
          <cell r="Q75">
            <v>84.296373954599773</v>
          </cell>
          <cell r="R75">
            <v>1144.6112603231481</v>
          </cell>
          <cell r="S75">
            <v>22.940963622174284</v>
          </cell>
          <cell r="T75">
            <v>283.4998407184255</v>
          </cell>
          <cell r="U75">
            <v>21.214440064953592</v>
          </cell>
          <cell r="V75">
            <v>260.7324238905648</v>
          </cell>
          <cell r="W75">
            <v>20.758245083814632</v>
          </cell>
          <cell r="X75">
            <v>254.9809566508892</v>
          </cell>
          <cell r="Y75">
            <v>9.3795255505604764</v>
          </cell>
          <cell r="Z75">
            <v>114.82948903607175</v>
          </cell>
          <cell r="AA75">
            <v>9.1305600351803839</v>
          </cell>
          <cell r="AB75">
            <v>111.50091332330074</v>
          </cell>
          <cell r="AC75">
            <v>9.5560769116203641</v>
          </cell>
          <cell r="AD75">
            <v>117.39637723681835</v>
          </cell>
          <cell r="AE75">
            <v>7.8540094058604488</v>
          </cell>
          <cell r="AF75">
            <v>93.814521582747915</v>
          </cell>
          <cell r="AG75">
            <v>8.04354378115511</v>
          </cell>
          <cell r="AH75">
            <v>96.484696630624228</v>
          </cell>
          <cell r="AI75">
            <v>8.9086439073318999</v>
          </cell>
          <cell r="AJ75">
            <v>108.49823534920512</v>
          </cell>
          <cell r="AK75">
            <v>8.6018355173916454</v>
          </cell>
          <cell r="AL75">
            <v>104.19413380115283</v>
          </cell>
          <cell r="AM75">
            <v>20.672625644626795</v>
          </cell>
          <cell r="AN75">
            <v>266.00328555485908</v>
          </cell>
          <cell r="AQ75">
            <v>1.0833179284981212E-2</v>
          </cell>
          <cell r="AR75">
            <v>0.14709741846508398</v>
          </cell>
          <cell r="AS75">
            <v>4.5379702334816434E-3</v>
          </cell>
          <cell r="AT75">
            <v>6.1618449104962052E-2</v>
          </cell>
          <cell r="AU75">
            <v>6.2952090514995698E-3</v>
          </cell>
          <cell r="AV75">
            <v>8.547896936012192E-2</v>
          </cell>
          <cell r="AW75">
            <v>1</v>
          </cell>
          <cell r="AX75">
            <v>13.578416325945543</v>
          </cell>
          <cell r="AY75">
            <v>0</v>
          </cell>
          <cell r="AZ75">
            <v>0</v>
          </cell>
          <cell r="BA75">
            <v>1.0021975853094038</v>
          </cell>
          <cell r="BB75">
            <v>0</v>
          </cell>
          <cell r="BC75">
            <v>3.0433452835407791E-2</v>
          </cell>
          <cell r="BD75">
            <v>0</v>
          </cell>
          <cell r="BE75">
            <v>1.5092139335965865E-2</v>
          </cell>
          <cell r="BF75">
            <v>0</v>
          </cell>
          <cell r="BG75">
            <v>3.5936072305466485E-2</v>
          </cell>
          <cell r="BH75">
            <v>0</v>
          </cell>
          <cell r="BI75">
            <v>1.2153197342191028E-2</v>
          </cell>
          <cell r="BJ75">
            <v>3.4361282634408609E-2</v>
          </cell>
          <cell r="BK75">
            <v>0.57205061372101007</v>
          </cell>
          <cell r="BL75">
            <v>3.3956635537634415E-2</v>
          </cell>
          <cell r="BM75">
            <v>0.5653140019794477</v>
          </cell>
          <cell r="BN75">
            <v>3.6620562258064523E-2</v>
          </cell>
          <cell r="BO75">
            <v>0.60966336261140031</v>
          </cell>
          <cell r="BP75">
            <v>3.5069415053763452E-2</v>
          </cell>
          <cell r="BQ75">
            <v>0.58383968426874422</v>
          </cell>
          <cell r="BR75">
            <v>0.14005407115292715</v>
          </cell>
          <cell r="BS75">
            <v>1.9017124862580446</v>
          </cell>
          <cell r="BT75">
            <v>0.21481504614821031</v>
          </cell>
          <cell r="BU75">
            <v>9.6523647884608241</v>
          </cell>
          <cell r="BV75">
            <v>0.11745227463199547</v>
          </cell>
          <cell r="BW75">
            <v>8.1485163481897196</v>
          </cell>
          <cell r="BX75">
            <v>8.5926018459284131E-2</v>
          </cell>
          <cell r="BY75">
            <v>7.661567276849615</v>
          </cell>
          <cell r="BZ75">
            <v>0.11156462384716534</v>
          </cell>
          <cell r="CA75">
            <v>8.0575767178593178</v>
          </cell>
          <cell r="CB75">
            <v>0.17866167388146653</v>
          </cell>
          <cell r="CC75">
            <v>9.0939460864538795</v>
          </cell>
          <cell r="CD75">
            <v>0.11660160704924855</v>
          </cell>
          <cell r="CE75">
            <v>8.1353770846130864</v>
          </cell>
          <cell r="CF75">
            <v>0.14372185625492781</v>
          </cell>
          <cell r="CG75">
            <v>8.5542717384175084</v>
          </cell>
          <cell r="CH75">
            <v>1.3312995585695675E-3</v>
          </cell>
          <cell r="CI75">
            <v>6.5002072141275305E-2</v>
          </cell>
          <cell r="CJ75">
            <v>1.2357164001387372E-3</v>
          </cell>
          <cell r="CK75">
            <v>4.5977536457707739E-2</v>
          </cell>
        </row>
        <row r="76">
          <cell r="A76">
            <v>15</v>
          </cell>
          <cell r="B76">
            <v>2031</v>
          </cell>
          <cell r="C76">
            <v>0.10382288401116622</v>
          </cell>
          <cell r="D76">
            <v>1.1753273647570868</v>
          </cell>
          <cell r="E76">
            <v>9.4316695232469411E-2</v>
          </cell>
          <cell r="F76">
            <v>1.0839818725472208</v>
          </cell>
          <cell r="G76">
            <v>0.11468593722603625</v>
          </cell>
          <cell r="H76">
            <v>1.1442639638620877</v>
          </cell>
          <cell r="I76">
            <v>8.5383388236799765E-2</v>
          </cell>
          <cell r="J76">
            <v>0.92365603325558321</v>
          </cell>
          <cell r="K76">
            <v>186.64227093630012</v>
          </cell>
          <cell r="L76">
            <v>2331.0922260417242</v>
          </cell>
          <cell r="M76">
            <v>0</v>
          </cell>
          <cell r="N76">
            <v>0</v>
          </cell>
          <cell r="O76">
            <v>10.739952210274792</v>
          </cell>
          <cell r="P76">
            <v>155.90909657840098</v>
          </cell>
          <cell r="Q76">
            <v>84.296373954599773</v>
          </cell>
          <cell r="R76">
            <v>1223.7085650645029</v>
          </cell>
          <cell r="S76">
            <v>23.240597700499141</v>
          </cell>
          <cell r="T76">
            <v>305.30704964626932</v>
          </cell>
          <cell r="U76">
            <v>21.507058726283361</v>
          </cell>
          <cell r="V76">
            <v>280.91301171844987</v>
          </cell>
          <cell r="W76">
            <v>21.045570091576881</v>
          </cell>
          <cell r="X76">
            <v>274.72851865024091</v>
          </cell>
          <cell r="Y76">
            <v>9.5171581897261994</v>
          </cell>
          <cell r="Z76">
            <v>123.75966629387271</v>
          </cell>
          <cell r="AA76">
            <v>9.2675574709924842</v>
          </cell>
          <cell r="AB76">
            <v>120.19688425422014</v>
          </cell>
          <cell r="AC76">
            <v>9.6922352990141327</v>
          </cell>
          <cell r="AD76">
            <v>126.49083353554272</v>
          </cell>
          <cell r="AE76">
            <v>7.9939460706047658</v>
          </cell>
          <cell r="AF76">
            <v>101.31543246146641</v>
          </cell>
          <cell r="AG76">
            <v>8.1831404833710408</v>
          </cell>
          <cell r="AH76">
            <v>104.16313315392141</v>
          </cell>
          <cell r="AI76">
            <v>9.0456181036127816</v>
          </cell>
          <cell r="AJ76">
            <v>116.98595526110452</v>
          </cell>
          <cell r="AK76">
            <v>8.7405283541701166</v>
          </cell>
          <cell r="AL76">
            <v>112.39558070090432</v>
          </cell>
          <cell r="AM76">
            <v>20.813795065073762</v>
          </cell>
          <cell r="AN76">
            <v>285.53336750088579</v>
          </cell>
          <cell r="AQ76">
            <v>1.0833179284981212E-2</v>
          </cell>
          <cell r="AR76">
            <v>0.15726244980656709</v>
          </cell>
          <cell r="AS76">
            <v>4.5379702334816434E-3</v>
          </cell>
          <cell r="AT76">
            <v>6.5876535160457286E-2</v>
          </cell>
          <cell r="AU76">
            <v>6.2952090514995698E-3</v>
          </cell>
          <cell r="AV76">
            <v>9.1385914646109831E-2</v>
          </cell>
          <cell r="AW76">
            <v>1</v>
          </cell>
          <cell r="AX76">
            <v>14.516740254136748</v>
          </cell>
          <cell r="AY76">
            <v>0</v>
          </cell>
          <cell r="AZ76">
            <v>0</v>
          </cell>
          <cell r="BA76">
            <v>1.0021975853094038</v>
          </cell>
          <cell r="BB76">
            <v>0</v>
          </cell>
          <cell r="BC76">
            <v>3.0433452835407791E-2</v>
          </cell>
          <cell r="BD76">
            <v>0</v>
          </cell>
          <cell r="BE76">
            <v>1.5092139335965865E-2</v>
          </cell>
          <cell r="BF76">
            <v>0</v>
          </cell>
          <cell r="BG76">
            <v>3.5936072305466485E-2</v>
          </cell>
          <cell r="BH76">
            <v>0</v>
          </cell>
          <cell r="BI76">
            <v>1.2153197342191028E-2</v>
          </cell>
          <cell r="BJ76">
            <v>3.4361282634408609E-2</v>
          </cell>
          <cell r="BK76">
            <v>0.60429262742021661</v>
          </cell>
          <cell r="BL76">
            <v>3.3956635537634415E-2</v>
          </cell>
          <cell r="BM76">
            <v>0.59717632562527778</v>
          </cell>
          <cell r="BN76">
            <v>3.6620562258064523E-2</v>
          </cell>
          <cell r="BO76">
            <v>0.64402531244195793</v>
          </cell>
          <cell r="BP76">
            <v>3.5069415053763452E-2</v>
          </cell>
          <cell r="BQ76">
            <v>0.61674615556135937</v>
          </cell>
          <cell r="BR76">
            <v>0.14005407115292715</v>
          </cell>
          <cell r="BS76">
            <v>2.0331285724614294</v>
          </cell>
          <cell r="BT76">
            <v>0.21481504614821031</v>
          </cell>
          <cell r="BU76">
            <v>9.8539308863971886</v>
          </cell>
          <cell r="BV76">
            <v>0.11745227463199547</v>
          </cell>
          <cell r="BW76">
            <v>8.2587246278974042</v>
          </cell>
          <cell r="BX76">
            <v>8.5926018459284131E-2</v>
          </cell>
          <cell r="BY76">
            <v>7.7421937160241603</v>
          </cell>
          <cell r="BZ76">
            <v>0.11156462384716534</v>
          </cell>
          <cell r="CA76">
            <v>8.1622604739547633</v>
          </cell>
          <cell r="CB76">
            <v>0.17866167388146653</v>
          </cell>
          <cell r="CC76">
            <v>9.2615886101075517</v>
          </cell>
          <cell r="CD76">
            <v>0.11660160704924855</v>
          </cell>
          <cell r="CE76">
            <v>8.2447871625729423</v>
          </cell>
          <cell r="CF76">
            <v>0.14372185625492781</v>
          </cell>
          <cell r="CG76">
            <v>8.6891293951455637</v>
          </cell>
          <cell r="CH76">
            <v>1.3312995585695675E-3</v>
          </cell>
          <cell r="CI76">
            <v>6.6251262372671496E-2</v>
          </cell>
          <cell r="CJ76">
            <v>1.2357164001387372E-3</v>
          </cell>
          <cell r="CK76">
            <v>4.7137038724416207E-2</v>
          </cell>
        </row>
        <row r="77">
          <cell r="A77">
            <v>16</v>
          </cell>
          <cell r="B77">
            <v>2032</v>
          </cell>
          <cell r="C77">
            <v>0.10719992225192312</v>
          </cell>
          <cell r="D77">
            <v>1.2754749674544346</v>
          </cell>
          <cell r="E77">
            <v>9.763425227951647E-2</v>
          </cell>
          <cell r="F77">
            <v>1.175193098278928</v>
          </cell>
          <cell r="G77">
            <v>0.11949803544134786</v>
          </cell>
          <cell r="H77">
            <v>1.255900628563857</v>
          </cell>
          <cell r="I77">
            <v>8.8600218713879561E-2</v>
          </cell>
          <cell r="J77">
            <v>1.0064275438710821</v>
          </cell>
          <cell r="K77">
            <v>186.64227093630012</v>
          </cell>
          <cell r="L77">
            <v>2505.4559345557386</v>
          </cell>
          <cell r="M77">
            <v>0</v>
          </cell>
          <cell r="N77">
            <v>0</v>
          </cell>
          <cell r="O77">
            <v>10.739952210274792</v>
          </cell>
          <cell r="P77">
            <v>165.9425037334496</v>
          </cell>
          <cell r="Q77">
            <v>84.296373954599773</v>
          </cell>
          <cell r="R77">
            <v>1302.4593662805069</v>
          </cell>
          <cell r="S77">
            <v>23.544145327634425</v>
          </cell>
          <cell r="T77">
            <v>327.30230545046135</v>
          </cell>
          <cell r="U77">
            <v>21.803714950981714</v>
          </cell>
          <cell r="V77">
            <v>301.2823341616662</v>
          </cell>
          <cell r="W77">
            <v>21.33687461281032</v>
          </cell>
          <cell r="X77">
            <v>294.66171259888222</v>
          </cell>
          <cell r="Y77">
            <v>9.6568104132793842</v>
          </cell>
          <cell r="Z77">
            <v>132.78118787968117</v>
          </cell>
          <cell r="AA77">
            <v>9.4066104540379172</v>
          </cell>
          <cell r="AB77">
            <v>128.98466568810835</v>
          </cell>
          <cell r="AC77">
            <v>9.8303337196065801</v>
          </cell>
          <cell r="AD77">
            <v>135.6744629174739</v>
          </cell>
          <cell r="AE77">
            <v>8.1363760186045315</v>
          </cell>
          <cell r="AF77">
            <v>108.91654387825027</v>
          </cell>
          <cell r="AG77">
            <v>8.325159903707215</v>
          </cell>
          <cell r="AH77">
            <v>111.94060900384818</v>
          </cell>
          <cell r="AI77">
            <v>9.1846983365297614</v>
          </cell>
          <cell r="AJ77">
            <v>125.56642342357348</v>
          </cell>
          <cell r="AK77">
            <v>8.8814574233125718</v>
          </cell>
          <cell r="AL77">
            <v>120.69275714206879</v>
          </cell>
          <cell r="AM77">
            <v>20.955928504586907</v>
          </cell>
          <cell r="AN77">
            <v>305.11067649463132</v>
          </cell>
          <cell r="AQ77">
            <v>1.0833179284981212E-2</v>
          </cell>
          <cell r="AR77">
            <v>0.1673829509430497</v>
          </cell>
          <cell r="AS77">
            <v>4.5379702334816434E-3</v>
          </cell>
          <cell r="AT77">
            <v>7.0115967712722577E-2</v>
          </cell>
          <cell r="AU77">
            <v>6.2952090514995698E-3</v>
          </cell>
          <cell r="AV77">
            <v>9.7266983230327161E-2</v>
          </cell>
          <cell r="AW77">
            <v>1</v>
          </cell>
          <cell r="AX77">
            <v>15.450953643415124</v>
          </cell>
          <cell r="AY77">
            <v>0</v>
          </cell>
          <cell r="AZ77">
            <v>0</v>
          </cell>
          <cell r="BA77">
            <v>1.0021975853094038</v>
          </cell>
          <cell r="BB77">
            <v>0</v>
          </cell>
          <cell r="BC77">
            <v>3.0433452835407791E-2</v>
          </cell>
          <cell r="BD77">
            <v>0</v>
          </cell>
          <cell r="BE77">
            <v>1.5092139335965865E-2</v>
          </cell>
          <cell r="BF77">
            <v>0</v>
          </cell>
          <cell r="BG77">
            <v>3.5936072305466485E-2</v>
          </cell>
          <cell r="BH77">
            <v>0</v>
          </cell>
          <cell r="BI77">
            <v>1.2153197342191028E-2</v>
          </cell>
          <cell r="BJ77">
            <v>3.4361282634408609E-2</v>
          </cell>
          <cell r="BK77">
            <v>0.63639339773005965</v>
          </cell>
          <cell r="BL77">
            <v>3.3956635537634415E-2</v>
          </cell>
          <cell r="BM77">
            <v>0.62889906919938188</v>
          </cell>
          <cell r="BN77">
            <v>3.6620562258064523E-2</v>
          </cell>
          <cell r="BO77">
            <v>0.67823673202634427</v>
          </cell>
          <cell r="BP77">
            <v>3.5069415053763452E-2</v>
          </cell>
          <cell r="BQ77">
            <v>0.64950847265874578</v>
          </cell>
          <cell r="BR77">
            <v>0.14005407115292715</v>
          </cell>
          <cell r="BS77">
            <v>2.1639689609554411</v>
          </cell>
          <cell r="BT77">
            <v>0.21481504614821031</v>
          </cell>
          <cell r="BU77">
            <v>10.0546139787273</v>
          </cell>
          <cell r="BV77">
            <v>0.11745227463199547</v>
          </cell>
          <cell r="BW77">
            <v>8.368450115459817</v>
          </cell>
          <cell r="BX77">
            <v>8.5926018459284131E-2</v>
          </cell>
          <cell r="BY77">
            <v>7.8224669529562041</v>
          </cell>
          <cell r="BZ77">
            <v>0.11156462384716534</v>
          </cell>
          <cell r="CA77">
            <v>8.2664856393225907</v>
          </cell>
          <cell r="CB77">
            <v>0.17866167388146653</v>
          </cell>
          <cell r="CC77">
            <v>9.4284967379985058</v>
          </cell>
          <cell r="CD77">
            <v>0.11660160704924855</v>
          </cell>
          <cell r="CE77">
            <v>8.3537179450897288</v>
          </cell>
          <cell r="CF77">
            <v>0.14372185625492781</v>
          </cell>
          <cell r="CG77">
            <v>8.8233962775908612</v>
          </cell>
          <cell r="CH77">
            <v>1.3312995585695675E-3</v>
          </cell>
          <cell r="CI77">
            <v>6.7494980245427591E-2</v>
          </cell>
          <cell r="CJ77">
            <v>1.2357164001387372E-3</v>
          </cell>
          <cell r="CK77">
            <v>4.8291461530776694E-2</v>
          </cell>
        </row>
        <row r="78">
          <cell r="A78">
            <v>17</v>
          </cell>
          <cell r="B78">
            <v>2033</v>
          </cell>
          <cell r="C78">
            <v>0.11070072694596812</v>
          </cell>
          <cell r="D78">
            <v>1.3784400225278843</v>
          </cell>
          <cell r="E78">
            <v>0.10108502417170813</v>
          </cell>
          <cell r="F78">
            <v>1.2692143876424666</v>
          </cell>
          <cell r="G78">
            <v>0.12453503608499204</v>
          </cell>
          <cell r="H78">
            <v>1.3717332631166901</v>
          </cell>
          <cell r="I78">
            <v>9.1957511844841688E-2</v>
          </cell>
          <cell r="J78">
            <v>1.0919591436422649</v>
          </cell>
          <cell r="K78">
            <v>186.64227093630012</v>
          </cell>
          <cell r="L78">
            <v>2679.0558036457569</v>
          </cell>
          <cell r="M78">
            <v>0</v>
          </cell>
          <cell r="N78">
            <v>0</v>
          </cell>
          <cell r="O78">
            <v>10.739952210274792</v>
          </cell>
          <cell r="P78">
            <v>175.93195729283693</v>
          </cell>
          <cell r="Q78">
            <v>84.296373954599773</v>
          </cell>
          <cell r="R78">
            <v>1380.8651819077513</v>
          </cell>
          <cell r="S78">
            <v>23.851657618808343</v>
          </cell>
          <cell r="T78">
            <v>349.48722968779146</v>
          </cell>
          <cell r="U78">
            <v>22.104464469109754</v>
          </cell>
          <cell r="V78">
            <v>321.84215760837122</v>
          </cell>
          <cell r="W78">
            <v>21.632213800395409</v>
          </cell>
          <cell r="X78">
            <v>314.78228584864524</v>
          </cell>
          <cell r="Y78">
            <v>9.7985118560589992</v>
          </cell>
          <cell r="Z78">
            <v>141.89498812951516</v>
          </cell>
          <cell r="AA78">
            <v>9.5477498263131277</v>
          </cell>
          <cell r="AB78">
            <v>137.86522694380528</v>
          </cell>
          <cell r="AC78">
            <v>9.9703998156816969</v>
          </cell>
          <cell r="AD78">
            <v>144.94813974370697</v>
          </cell>
          <cell r="AE78">
            <v>8.2813436732523069</v>
          </cell>
          <cell r="AF78">
            <v>116.61919435691223</v>
          </cell>
          <cell r="AG78">
            <v>8.4696440887377733</v>
          </cell>
          <cell r="AH78">
            <v>119.81840162643012</v>
          </cell>
          <cell r="AI78">
            <v>9.3259169872935566</v>
          </cell>
          <cell r="AJ78">
            <v>134.24065332881869</v>
          </cell>
          <cell r="AK78">
            <v>9.0246587810083696</v>
          </cell>
          <cell r="AL78">
            <v>129.08678050615353</v>
          </cell>
          <cell r="AM78">
            <v>21.099032546268695</v>
          </cell>
          <cell r="AN78">
            <v>324.73532673910012</v>
          </cell>
          <cell r="AQ78">
            <v>1.0833179284981212E-2</v>
          </cell>
          <cell r="AR78">
            <v>0.17745911694910566</v>
          </cell>
          <cell r="AS78">
            <v>4.5379702334816434E-3</v>
          </cell>
          <cell r="AT78">
            <v>7.4336828477622297E-2</v>
          </cell>
          <cell r="AU78">
            <v>6.2952090514995698E-3</v>
          </cell>
          <cell r="AV78">
            <v>0.10312228847148341</v>
          </cell>
          <cell r="AW78">
            <v>1</v>
          </cell>
          <cell r="AX78">
            <v>16.38107450092048</v>
          </cell>
          <cell r="AY78">
            <v>0</v>
          </cell>
          <cell r="AZ78">
            <v>0</v>
          </cell>
          <cell r="BA78">
            <v>1.0021975853094038</v>
          </cell>
          <cell r="BB78">
            <v>0</v>
          </cell>
          <cell r="BC78">
            <v>3.0433452835407791E-2</v>
          </cell>
          <cell r="BD78">
            <v>0</v>
          </cell>
          <cell r="BE78">
            <v>1.5092139335965865E-2</v>
          </cell>
          <cell r="BF78">
            <v>0</v>
          </cell>
          <cell r="BG78">
            <v>3.5936072305466485E-2</v>
          </cell>
          <cell r="BH78">
            <v>0</v>
          </cell>
          <cell r="BI78">
            <v>1.2153197342191028E-2</v>
          </cell>
          <cell r="BJ78">
            <v>3.4361282634408609E-2</v>
          </cell>
          <cell r="BK78">
            <v>0.66835354339895958</v>
          </cell>
          <cell r="BL78">
            <v>3.3956635537634415E-2</v>
          </cell>
          <cell r="BM78">
            <v>0.66048284416364333</v>
          </cell>
          <cell r="BN78">
            <v>3.6620562258064523E-2</v>
          </cell>
          <cell r="BO78">
            <v>0.71229828079614343</v>
          </cell>
          <cell r="BP78">
            <v>3.5069415053763452E-2</v>
          </cell>
          <cell r="BQ78">
            <v>0.68212726706076343</v>
          </cell>
          <cell r="BR78">
            <v>0.14005407115292715</v>
          </cell>
          <cell r="BS78">
            <v>2.2942361737133168</v>
          </cell>
          <cell r="BT78">
            <v>0.21481504614821031</v>
          </cell>
          <cell r="BU78">
            <v>10.254417933655725</v>
          </cell>
          <cell r="BV78">
            <v>0.11745227463199547</v>
          </cell>
          <cell r="BW78">
            <v>8.4776949258564827</v>
          </cell>
          <cell r="BX78">
            <v>8.5926018459284131E-2</v>
          </cell>
          <cell r="BY78">
            <v>7.9023885349275744</v>
          </cell>
          <cell r="BZ78">
            <v>0.11156462384716534</v>
          </cell>
          <cell r="CA78">
            <v>8.3702542229225774</v>
          </cell>
          <cell r="CB78">
            <v>0.17866167388146653</v>
          </cell>
          <cell r="CC78">
            <v>9.5946736873124774</v>
          </cell>
          <cell r="CD78">
            <v>0.11660160704924855</v>
          </cell>
          <cell r="CE78">
            <v>8.4621715318248771</v>
          </cell>
          <cell r="CF78">
            <v>0.14372185625492781</v>
          </cell>
          <cell r="CG78">
            <v>8.9570749737729543</v>
          </cell>
          <cell r="CH78">
            <v>1.3312995585695675E-3</v>
          </cell>
          <cell r="CI78">
            <v>6.8733249732440826E-2</v>
          </cell>
          <cell r="CJ78">
            <v>1.2357164001387372E-3</v>
          </cell>
          <cell r="CK78">
            <v>4.9440827128507163E-2</v>
          </cell>
        </row>
        <row r="79">
          <cell r="A79">
            <v>18</v>
          </cell>
          <cell r="B79">
            <v>2034</v>
          </cell>
          <cell r="C79">
            <v>0.11432983850565727</v>
          </cell>
          <cell r="D79">
            <v>1.4843147411950797</v>
          </cell>
          <cell r="E79">
            <v>0.10467436557267468</v>
          </cell>
          <cell r="F79">
            <v>1.3661476917695925</v>
          </cell>
          <cell r="G79">
            <v>0.12980745813357417</v>
          </cell>
          <cell r="H79">
            <v>1.4919409734609657</v>
          </cell>
          <cell r="I79">
            <v>9.5461407563541878E-2</v>
          </cell>
          <cell r="J79">
            <v>1.1803608225168865</v>
          </cell>
          <cell r="K79">
            <v>186.64227093630012</v>
          </cell>
          <cell r="L79">
            <v>2851.895179482095</v>
          </cell>
          <cell r="M79">
            <v>0</v>
          </cell>
          <cell r="N79">
            <v>0</v>
          </cell>
          <cell r="O79">
            <v>10.739952210274792</v>
          </cell>
          <cell r="P79">
            <v>185.87764980516997</v>
          </cell>
          <cell r="Q79">
            <v>84.296373954599773</v>
          </cell>
          <cell r="R79">
            <v>1458.9275232331638</v>
          </cell>
          <cell r="S79">
            <v>24.163186356869886</v>
          </cell>
          <cell r="T79">
            <v>371.86345789798014</v>
          </cell>
          <cell r="U79">
            <v>22.409363780246249</v>
          </cell>
          <cell r="V79">
            <v>342.59426499131837</v>
          </cell>
          <cell r="W79">
            <v>21.931643572097073</v>
          </cell>
          <cell r="X79">
            <v>335.09200222238155</v>
          </cell>
          <cell r="Y79">
            <v>9.9422925877576773</v>
          </cell>
          <cell r="Z79">
            <v>151.10201093645892</v>
          </cell>
          <cell r="AA79">
            <v>9.6910068925763664</v>
          </cell>
          <cell r="AB79">
            <v>146.83954757404567</v>
          </cell>
          <cell r="AC79">
            <v>10.112461623380579</v>
          </cell>
          <cell r="AD79">
            <v>154.31274694863404</v>
          </cell>
          <cell r="AE79">
            <v>8.4288942494423065</v>
          </cell>
          <cell r="AF79">
            <v>124.42474030186766</v>
          </cell>
          <cell r="AG79">
            <v>8.6166358147603859</v>
          </cell>
          <cell r="AH79">
            <v>127.79780494466615</v>
          </cell>
          <cell r="AI79">
            <v>9.4693069349897971</v>
          </cell>
          <cell r="AJ79">
            <v>143.00966954382679</v>
          </cell>
          <cell r="AK79">
            <v>9.1701690648036287</v>
          </cell>
          <cell r="AL79">
            <v>137.57878121704982</v>
          </cell>
          <cell r="AM79">
            <v>21.24311381817634</v>
          </cell>
          <cell r="AN79">
            <v>344.407432713459</v>
          </cell>
          <cell r="AQ79">
            <v>1.0833179284981212E-2</v>
          </cell>
          <cell r="AR79">
            <v>0.18749114204474085</v>
          </cell>
          <cell r="AS79">
            <v>4.5379702334816434E-3</v>
          </cell>
          <cell r="AT79">
            <v>7.8539198813046149E-2</v>
          </cell>
          <cell r="AU79">
            <v>6.2952090514995698E-3</v>
          </cell>
          <cell r="AV79">
            <v>0.10895194323169474</v>
          </cell>
          <cell r="AW79">
            <v>1</v>
          </cell>
          <cell r="AX79">
            <v>17.307120754908286</v>
          </cell>
          <cell r="AY79">
            <v>0</v>
          </cell>
          <cell r="AZ79">
            <v>0</v>
          </cell>
          <cell r="BA79">
            <v>1.0021975853094038</v>
          </cell>
          <cell r="BB79">
            <v>0</v>
          </cell>
          <cell r="BC79">
            <v>3.0433452835407791E-2</v>
          </cell>
          <cell r="BD79">
            <v>0</v>
          </cell>
          <cell r="BE79">
            <v>1.5092139335965865E-2</v>
          </cell>
          <cell r="BF79">
            <v>0</v>
          </cell>
          <cell r="BG79">
            <v>3.5936072305466485E-2</v>
          </cell>
          <cell r="BH79">
            <v>0</v>
          </cell>
          <cell r="BI79">
            <v>1.2153197342191028E-2</v>
          </cell>
          <cell r="BJ79">
            <v>3.4361282634408609E-2</v>
          </cell>
          <cell r="BK79">
            <v>0.70017368046477013</v>
          </cell>
          <cell r="BL79">
            <v>3.3956635537634415E-2</v>
          </cell>
          <cell r="BM79">
            <v>0.69192825930129886</v>
          </cell>
          <cell r="BN79">
            <v>3.6620562258064523E-2</v>
          </cell>
          <cell r="BO79">
            <v>0.74621061529415145</v>
          </cell>
          <cell r="BP79">
            <v>3.5069415053763452E-2</v>
          </cell>
          <cell r="BQ79">
            <v>0.71460316750084474</v>
          </cell>
          <cell r="BR79">
            <v>0.14005407115292715</v>
          </cell>
          <cell r="BS79">
            <v>2.4239327216602269</v>
          </cell>
          <cell r="BT79">
            <v>0.21481504614821031</v>
          </cell>
          <cell r="BU79">
            <v>10.453346602441494</v>
          </cell>
          <cell r="BV79">
            <v>0.11745227463199547</v>
          </cell>
          <cell r="BW79">
            <v>8.5864611648017899</v>
          </cell>
          <cell r="BX79">
            <v>8.5926018459284131E-2</v>
          </cell>
          <cell r="BY79">
            <v>7.9819600024418804</v>
          </cell>
          <cell r="BZ79">
            <v>0.11156462384716534</v>
          </cell>
          <cell r="CA79">
            <v>8.4735682249138033</v>
          </cell>
          <cell r="CB79">
            <v>0.17866167388146653</v>
          </cell>
          <cell r="CC79">
            <v>9.760122661141601</v>
          </cell>
          <cell r="CD79">
            <v>0.11660160704924855</v>
          </cell>
          <cell r="CE79">
            <v>8.5701500132417934</v>
          </cell>
          <cell r="CF79">
            <v>0.14372185625492781</v>
          </cell>
          <cell r="CG79">
            <v>9.0901680603740047</v>
          </cell>
          <cell r="CH79">
            <v>1.3312995585695675E-3</v>
          </cell>
          <cell r="CI79">
            <v>6.9966094701589779E-2</v>
          </cell>
          <cell r="CJ79">
            <v>1.2357164001387372E-3</v>
          </cell>
          <cell r="CK79">
            <v>5.0585157671846938E-2</v>
          </cell>
        </row>
        <row r="80">
          <cell r="A80">
            <v>19</v>
          </cell>
          <cell r="B80">
            <v>2035</v>
          </cell>
          <cell r="C80">
            <v>0.11809196393258206</v>
          </cell>
          <cell r="D80">
            <v>1.5931942919973803</v>
          </cell>
          <cell r="E80">
            <v>0.10840784640856355</v>
          </cell>
          <cell r="F80">
            <v>1.4660985878961712</v>
          </cell>
          <cell r="G80">
            <v>0.13532631258938532</v>
          </cell>
          <cell r="H80">
            <v>1.6167104127674008</v>
          </cell>
          <cell r="I80">
            <v>9.9118314227937376E-2</v>
          </cell>
          <cell r="J80">
            <v>1.2717468675112789</v>
          </cell>
          <cell r="K80">
            <v>186.64227093630012</v>
          </cell>
          <cell r="L80">
            <v>3023.9773935764188</v>
          </cell>
          <cell r="M80">
            <v>0</v>
          </cell>
          <cell r="N80">
            <v>0</v>
          </cell>
          <cell r="O80">
            <v>10.739952210274792</v>
          </cell>
          <cell r="P80">
            <v>195.77977297555333</v>
          </cell>
          <cell r="Q80">
            <v>84.296373954599773</v>
          </cell>
          <cell r="R80">
            <v>1536.6478949231405</v>
          </cell>
          <cell r="S80">
            <v>24.478784001008702</v>
          </cell>
          <cell r="T80">
            <v>394.4326397242553</v>
          </cell>
          <cell r="U80">
            <v>22.718470164117178</v>
          </cell>
          <cell r="V80">
            <v>363.54045594294564</v>
          </cell>
          <cell r="W80">
            <v>22.235220621179749</v>
          </cell>
          <cell r="X80">
            <v>355.59264216945041</v>
          </cell>
          <cell r="Y80">
            <v>10.088183119302645</v>
          </cell>
          <cell r="Z80">
            <v>160.40320984841955</v>
          </cell>
          <cell r="AA80">
            <v>9.8364134272910917</v>
          </cell>
          <cell r="AB80">
            <v>155.90861747350635</v>
          </cell>
          <cell r="AC80">
            <v>10.256547578313249</v>
          </cell>
          <cell r="AD80">
            <v>163.76917612400712</v>
          </cell>
          <cell r="AE80">
            <v>8.5790737676727531</v>
          </cell>
          <cell r="AF80">
            <v>132.33455623699155</v>
          </cell>
          <cell r="AG80">
            <v>8.7661786004606821</v>
          </cell>
          <cell r="AH80">
            <v>135.88012957105474</v>
          </cell>
          <cell r="AI80">
            <v>9.6149015642340672</v>
          </cell>
          <cell r="AJ80">
            <v>151.874507831382</v>
          </cell>
          <cell r="AK80">
            <v>9.3180255029747983</v>
          </cell>
          <cell r="AL80">
            <v>146.16990289326711</v>
          </cell>
          <cell r="AM80">
            <v>21.388178993628806</v>
          </cell>
          <cell r="AN80">
            <v>364.12710917370458</v>
          </cell>
          <cell r="AQ80">
            <v>1.0833179284981212E-2</v>
          </cell>
          <cell r="AR80">
            <v>0.19747921959913667</v>
          </cell>
          <cell r="AS80">
            <v>4.5379702334816434E-3</v>
          </cell>
          <cell r="AT80">
            <v>8.2723159720477307E-2</v>
          </cell>
          <cell r="AU80">
            <v>6.2952090514995698E-3</v>
          </cell>
          <cell r="AV80">
            <v>0.1147560598786594</v>
          </cell>
          <cell r="AW80">
            <v>1</v>
          </cell>
          <cell r="AX80">
            <v>18.229110255095271</v>
          </cell>
          <cell r="AY80">
            <v>0</v>
          </cell>
          <cell r="AZ80">
            <v>0</v>
          </cell>
          <cell r="BA80">
            <v>1.0021975853094038</v>
          </cell>
          <cell r="BB80">
            <v>0</v>
          </cell>
          <cell r="BC80">
            <v>3.0433452835407791E-2</v>
          </cell>
          <cell r="BD80">
            <v>0</v>
          </cell>
          <cell r="BE80">
            <v>1.5092139335965865E-2</v>
          </cell>
          <cell r="BF80">
            <v>0</v>
          </cell>
          <cell r="BG80">
            <v>3.5936072305466485E-2</v>
          </cell>
          <cell r="BH80">
            <v>0</v>
          </cell>
          <cell r="BI80">
            <v>1.2153197342191028E-2</v>
          </cell>
          <cell r="BJ80">
            <v>3.4361282634408609E-2</v>
          </cell>
          <cell r="BK80">
            <v>0.7318544222666522</v>
          </cell>
          <cell r="BL80">
            <v>3.3956635537634415E-2</v>
          </cell>
          <cell r="BM80">
            <v>0.72323592072867404</v>
          </cell>
          <cell r="BN80">
            <v>3.6620562258064523E-2</v>
          </cell>
          <cell r="BO80">
            <v>0.77997438918703066</v>
          </cell>
          <cell r="BP80">
            <v>3.5069415053763452E-2</v>
          </cell>
          <cell r="BQ80">
            <v>0.74693679995811402</v>
          </cell>
          <cell r="BR80">
            <v>0.14005407115292715</v>
          </cell>
          <cell r="BS80">
            <v>2.5530611047216669</v>
          </cell>
          <cell r="BT80">
            <v>0.21481504614821031</v>
          </cell>
          <cell r="BU80">
            <v>10.651403819472325</v>
          </cell>
          <cell r="BV80">
            <v>0.11745227463199547</v>
          </cell>
          <cell r="BW80">
            <v>8.6947509287855667</v>
          </cell>
          <cell r="BX80">
            <v>8.5926018459284131E-2</v>
          </cell>
          <cell r="BY80">
            <v>8.0611828892542139</v>
          </cell>
          <cell r="BZ80">
            <v>0.11156462384716534</v>
          </cell>
          <cell r="CA80">
            <v>8.5764296366932022</v>
          </cell>
          <cell r="CB80">
            <v>0.17866167388146653</v>
          </cell>
          <cell r="CC80">
            <v>9.9248468485461441</v>
          </cell>
          <cell r="CD80">
            <v>0.11660160704924855</v>
          </cell>
          <cell r="CE80">
            <v>8.677655470646128</v>
          </cell>
          <cell r="CF80">
            <v>0.14372185625492781</v>
          </cell>
          <cell r="CG80">
            <v>9.2226781027884321</v>
          </cell>
          <cell r="CH80">
            <v>1.3312995585695675E-3</v>
          </cell>
          <cell r="CI80">
            <v>7.1193538916194496E-2</v>
          </cell>
          <cell r="CJ80">
            <v>1.2357164001387372E-3</v>
          </cell>
          <cell r="CK80">
            <v>5.172447521798372E-2</v>
          </cell>
        </row>
        <row r="81">
          <cell r="A81">
            <v>20</v>
          </cell>
          <cell r="B81">
            <v>2036</v>
          </cell>
          <cell r="C81">
            <v>0.12199198292990004</v>
          </cell>
          <cell r="D81">
            <v>1.7051768959085289</v>
          </cell>
          <cell r="E81">
            <v>0.11229126052193854</v>
          </cell>
          <cell r="F81">
            <v>1.5691764086488484</v>
          </cell>
          <cell r="G81">
            <v>0.1411031254951321</v>
          </cell>
          <cell r="H81">
            <v>1.7462360998941215</v>
          </cell>
          <cell r="I81">
            <v>0.10293492035515879</v>
          </cell>
          <cell r="J81">
            <v>1.3662360309621353</v>
          </cell>
          <cell r="K81">
            <v>186.64227093630012</v>
          </cell>
          <cell r="L81">
            <v>3195.3057628459555</v>
          </cell>
          <cell r="M81">
            <v>0</v>
          </cell>
          <cell r="N81">
            <v>0</v>
          </cell>
          <cell r="O81">
            <v>10.739952210274792</v>
          </cell>
          <cell r="P81">
            <v>205.63851766928428</v>
          </cell>
          <cell r="Q81">
            <v>84.296373954599773</v>
          </cell>
          <cell r="R81">
            <v>1614.0277950525478</v>
          </cell>
          <cell r="S81">
            <v>24.798503695588838</v>
          </cell>
          <cell r="T81">
            <v>417.19643903496922</v>
          </cell>
          <cell r="U81">
            <v>23.031841691372044</v>
          </cell>
          <cell r="V81">
            <v>384.68254695192013</v>
          </cell>
          <cell r="W81">
            <v>22.543002427169778</v>
          </cell>
          <cell r="X81">
            <v>376.28600292267652</v>
          </cell>
          <cell r="Y81">
            <v>10.236214409330289</v>
          </cell>
          <cell r="Z81">
            <v>169.79954816688354</v>
          </cell>
          <cell r="AA81">
            <v>9.9840016816735577</v>
          </cell>
          <cell r="AB81">
            <v>165.0734369879948</v>
          </cell>
          <cell r="AC81">
            <v>10.40268652125043</v>
          </cell>
          <cell r="AD81">
            <v>173.31832760382548</v>
          </cell>
          <cell r="AE81">
            <v>8.731929068399511</v>
          </cell>
          <cell r="AF81">
            <v>140.35003504766644</v>
          </cell>
          <cell r="AG81">
            <v>8.9183167197964917</v>
          </cell>
          <cell r="AH81">
            <v>144.06670302286119</v>
          </cell>
          <cell r="AI81">
            <v>9.7627347729446381</v>
          </cell>
          <cell r="AJ81">
            <v>160.83621527240686</v>
          </cell>
          <cell r="AK81">
            <v>9.4682659240533908</v>
          </cell>
          <cell r="AL81">
            <v>154.86130250194441</v>
          </cell>
          <cell r="AM81">
            <v>21.534234791515875</v>
          </cell>
          <cell r="AN81">
            <v>383.89447115333309</v>
          </cell>
          <cell r="AQ81">
            <v>1.0833179284981212E-2</v>
          </cell>
          <cell r="AR81">
            <v>0.20742354213437744</v>
          </cell>
          <cell r="AS81">
            <v>4.5379702334816434E-3</v>
          </cell>
          <cell r="AT81">
            <v>8.6888791846553723E-2</v>
          </cell>
          <cell r="AU81">
            <v>6.2952090514995698E-3</v>
          </cell>
          <cell r="AV81">
            <v>0.12053475028782377</v>
          </cell>
          <cell r="AW81">
            <v>1</v>
          </cell>
          <cell r="AX81">
            <v>19.147060773003457</v>
          </cell>
          <cell r="AY81">
            <v>0</v>
          </cell>
          <cell r="AZ81">
            <v>0</v>
          </cell>
          <cell r="BA81">
            <v>1.0021975853094038</v>
          </cell>
          <cell r="BB81">
            <v>0</v>
          </cell>
          <cell r="BC81">
            <v>3.0433452835407791E-2</v>
          </cell>
          <cell r="BD81">
            <v>0</v>
          </cell>
          <cell r="BE81">
            <v>1.5092139335965865E-2</v>
          </cell>
          <cell r="BF81">
            <v>0</v>
          </cell>
          <cell r="BG81">
            <v>3.5936072305466485E-2</v>
          </cell>
          <cell r="BH81">
            <v>0</v>
          </cell>
          <cell r="BI81">
            <v>1.2153197342191028E-2</v>
          </cell>
          <cell r="BJ81">
            <v>3.4361282634408609E-2</v>
          </cell>
          <cell r="BK81">
            <v>0.7633963794568972</v>
          </cell>
          <cell r="BL81">
            <v>3.3956635537634415E-2</v>
          </cell>
          <cell r="BM81">
            <v>0.75440643190686529</v>
          </cell>
          <cell r="BN81">
            <v>3.6620562258064523E-2</v>
          </cell>
          <cell r="BO81">
            <v>0.81359025327791012</v>
          </cell>
          <cell r="BP81">
            <v>3.5069415053763452E-2</v>
          </cell>
          <cell r="BQ81">
            <v>0.77912878766945337</v>
          </cell>
          <cell r="BR81">
            <v>0.14005407115292715</v>
          </cell>
          <cell r="BS81">
            <v>2.6816238118716469</v>
          </cell>
          <cell r="BT81">
            <v>0.21481504614821031</v>
          </cell>
          <cell r="BU81">
            <v>10.848593402338546</v>
          </cell>
          <cell r="BV81">
            <v>0.11745227463199547</v>
          </cell>
          <cell r="BW81">
            <v>8.8025663051135012</v>
          </cell>
          <cell r="BX81">
            <v>8.5926018459284131E-2</v>
          </cell>
          <cell r="BY81">
            <v>8.1400587224007026</v>
          </cell>
          <cell r="BZ81">
            <v>0.11156462384716534</v>
          </cell>
          <cell r="CA81">
            <v>8.6788404409339392</v>
          </cell>
          <cell r="CB81">
            <v>0.17866167388146653</v>
          </cell>
          <cell r="CC81">
            <v>10.088849424615979</v>
          </cell>
          <cell r="CD81">
            <v>0.11660160704924855</v>
          </cell>
          <cell r="CE81">
            <v>8.7846899762259127</v>
          </cell>
          <cell r="CF81">
            <v>0.14372185625492781</v>
          </cell>
          <cell r="CG81">
            <v>9.3546076551723676</v>
          </cell>
          <cell r="CH81">
            <v>1.3312995585695675E-3</v>
          </cell>
          <cell r="CI81">
            <v>7.2415606035474381E-2</v>
          </cell>
          <cell r="CJ81">
            <v>1.2357164001387372E-3</v>
          </cell>
          <cell r="CK81">
            <v>5.285880172747872E-2</v>
          </cell>
        </row>
        <row r="82">
          <cell r="A82">
            <v>21</v>
          </cell>
          <cell r="B82">
            <v>2037</v>
          </cell>
          <cell r="C82">
            <v>0.1260349542389336</v>
          </cell>
          <cell r="D82">
            <v>1.8203639245008867</v>
          </cell>
          <cell r="E82">
            <v>0.1163306346735805</v>
          </cell>
          <cell r="F82">
            <v>1.675494375939969</v>
          </cell>
          <cell r="G82">
            <v>0.1471499620251919</v>
          </cell>
          <cell r="H82">
            <v>1.8807207512792223</v>
          </cell>
          <cell r="I82">
            <v>0.1069182068696212</v>
          </cell>
          <cell r="J82">
            <v>1.4639517053645483</v>
          </cell>
          <cell r="K82">
            <v>186.64227093630012</v>
          </cell>
          <cell r="L82">
            <v>3365.8835896774344</v>
          </cell>
          <cell r="M82">
            <v>0</v>
          </cell>
          <cell r="N82">
            <v>0</v>
          </cell>
          <cell r="O82">
            <v>10.739952210274792</v>
          </cell>
          <cell r="P82">
            <v>215.45407391553172</v>
          </cell>
          <cell r="Q82">
            <v>84.296373954599773</v>
          </cell>
          <cell r="R82">
            <v>1691.0687151335985</v>
          </cell>
          <cell r="S82">
            <v>25.122399279097859</v>
          </cell>
          <cell r="T82">
            <v>440.15653404626374</v>
          </cell>
          <cell r="U82">
            <v>23.349537234509231</v>
          </cell>
          <cell r="V82">
            <v>406.02237152114981</v>
          </cell>
          <cell r="W82">
            <v>22.855047266767318</v>
          </cell>
          <cell r="X82">
            <v>397.17389865679161</v>
          </cell>
          <cell r="Y82">
            <v>10.386417870755707</v>
          </cell>
          <cell r="Z82">
            <v>179.29199904668351</v>
          </cell>
          <cell r="AA82">
            <v>10.133804390846146</v>
          </cell>
          <cell r="AB82">
            <v>174.3350170247904</v>
          </cell>
          <cell r="AC82">
            <v>10.550907703896414</v>
          </cell>
          <cell r="AD82">
            <v>182.96111055005525</v>
          </cell>
          <cell r="AE82">
            <v>8.8875078266454608</v>
          </cell>
          <cell r="AF82">
            <v>148.47258822606378</v>
          </cell>
          <cell r="AG82">
            <v>9.073095215105683</v>
          </cell>
          <cell r="AH82">
            <v>152.35886994016164</v>
          </cell>
          <cell r="AI82">
            <v>9.9128409802347228</v>
          </cell>
          <cell r="AJ82">
            <v>169.89585038963904</v>
          </cell>
          <cell r="AK82">
            <v>9.6209287665042655</v>
          </cell>
          <cell r="AL82">
            <v>163.65415051465885</v>
          </cell>
          <cell r="AM82">
            <v>21.68128797660934</v>
          </cell>
          <cell r="AN82">
            <v>403.70963396401129</v>
          </cell>
          <cell r="AQ82">
            <v>1.0833179284981212E-2</v>
          </cell>
          <cell r="AR82">
            <v>0.21732430132916117</v>
          </cell>
          <cell r="AS82">
            <v>4.5379702334816434E-3</v>
          </cell>
          <cell r="AT82">
            <v>9.1036175484622645E-2</v>
          </cell>
          <cell r="AU82">
            <v>6.2952090514995698E-3</v>
          </cell>
          <cell r="AV82">
            <v>0.12628812584453858</v>
          </cell>
          <cell r="AW82">
            <v>1</v>
          </cell>
          <cell r="AX82">
            <v>20.060990002302731</v>
          </cell>
          <cell r="AY82">
            <v>0</v>
          </cell>
          <cell r="AZ82">
            <v>0</v>
          </cell>
          <cell r="BA82">
            <v>1.0021975853094038</v>
          </cell>
          <cell r="BB82">
            <v>0</v>
          </cell>
          <cell r="BC82">
            <v>3.0433452835407791E-2</v>
          </cell>
          <cell r="BD82">
            <v>0</v>
          </cell>
          <cell r="BE82">
            <v>1.5092139335965865E-2</v>
          </cell>
          <cell r="BF82">
            <v>0</v>
          </cell>
          <cell r="BG82">
            <v>3.5936072305466485E-2</v>
          </cell>
          <cell r="BH82">
            <v>0</v>
          </cell>
          <cell r="BI82">
            <v>1.2153197342191028E-2</v>
          </cell>
          <cell r="BJ82">
            <v>3.4361282634408609E-2</v>
          </cell>
          <cell r="BK82">
            <v>0.79480016001269682</v>
          </cell>
          <cell r="BL82">
            <v>3.3956635537634415E-2</v>
          </cell>
          <cell r="BM82">
            <v>0.78544039365337182</v>
          </cell>
          <cell r="BN82">
            <v>3.6620562258064523E-2</v>
          </cell>
          <cell r="BO82">
            <v>0.84705885551892901</v>
          </cell>
          <cell r="BP82">
            <v>3.5069415053763452E-2</v>
          </cell>
          <cell r="BQ82">
            <v>0.81117975114151575</v>
          </cell>
          <cell r="BR82">
            <v>0.14005407115292715</v>
          </cell>
          <cell r="BS82">
            <v>2.8096233211806672</v>
          </cell>
          <cell r="BT82">
            <v>0.21481504614821031</v>
          </cell>
          <cell r="BU82">
            <v>11.044919151906667</v>
          </cell>
          <cell r="BV82">
            <v>0.11745227463199547</v>
          </cell>
          <cell r="BW82">
            <v>8.9099093719473696</v>
          </cell>
          <cell r="BX82">
            <v>8.5926018459284131E-2</v>
          </cell>
          <cell r="BY82">
            <v>8.218589022227949</v>
          </cell>
          <cell r="BZ82">
            <v>0.11156462384716534</v>
          </cell>
          <cell r="CA82">
            <v>8.7808026116236437</v>
          </cell>
          <cell r="CB82">
            <v>0.17866167388146653</v>
          </cell>
          <cell r="CC82">
            <v>10.252133550531786</v>
          </cell>
          <cell r="CD82">
            <v>0.11660160704924855</v>
          </cell>
          <cell r="CE82">
            <v>8.8912555930914898</v>
          </cell>
          <cell r="CF82">
            <v>0.14372185625492781</v>
          </cell>
          <cell r="CG82">
            <v>9.4859592604928942</v>
          </cell>
          <cell r="CH82">
            <v>1.3312995585695675E-3</v>
          </cell>
          <cell r="CI82">
            <v>7.3632319615004313E-2</v>
          </cell>
          <cell r="CJ82">
            <v>1.2357164001387372E-3</v>
          </cell>
          <cell r="CK82">
            <v>5.398815906468999E-2</v>
          </cell>
        </row>
        <row r="83">
          <cell r="A83">
            <v>22</v>
          </cell>
          <cell r="B83">
            <v>2038</v>
          </cell>
          <cell r="C83">
            <v>0.13022612220826574</v>
          </cell>
          <cell r="D83">
            <v>1.9388600012675465</v>
          </cell>
          <cell r="E83">
            <v>0.12053223790617558</v>
          </cell>
          <cell r="F83">
            <v>1.7851697396350183</v>
          </cell>
          <cell r="G83">
            <v>0.15347945170374908</v>
          </cell>
          <cell r="H83">
            <v>2.0203756268356563</v>
          </cell>
          <cell r="I83">
            <v>0.11107545988660424</v>
          </cell>
          <cell r="J83">
            <v>1.5650221050541404</v>
          </cell>
          <cell r="K83">
            <v>186.64227093630012</v>
          </cell>
          <cell r="L83">
            <v>3535.7141619907347</v>
          </cell>
          <cell r="M83">
            <v>0</v>
          </cell>
          <cell r="N83">
            <v>0</v>
          </cell>
          <cell r="O83">
            <v>10.739952210274792</v>
          </cell>
          <cell r="P83">
            <v>225.22663091099915</v>
          </cell>
          <cell r="Q83">
            <v>84.296373954599773</v>
          </cell>
          <cell r="R83">
            <v>1767.7721401446008</v>
          </cell>
          <cell r="S83">
            <v>25.45052529321287</v>
          </cell>
          <cell r="T83">
            <v>463.31461744579343</v>
          </cell>
          <cell r="U83">
            <v>23.671616478952242</v>
          </cell>
          <cell r="V83">
            <v>427.56178032727956</v>
          </cell>
          <cell r="W83">
            <v>23.171414224909796</v>
          </cell>
          <cell r="X83">
            <v>418.2581606483746</v>
          </cell>
          <cell r="Y83">
            <v>10.538825377438677</v>
          </cell>
          <cell r="Z83">
            <v>188.8815455967852</v>
          </cell>
          <cell r="AA83">
            <v>10.285854781098017</v>
          </cell>
          <cell r="AB83">
            <v>183.69437916415038</v>
          </cell>
          <cell r="AC83">
            <v>10.701240794744196</v>
          </cell>
          <cell r="AD83">
            <v>192.69844303918958</v>
          </cell>
          <cell r="AE83">
            <v>9.0458585668701623</v>
          </cell>
          <cell r="AF83">
            <v>156.70364611970166</v>
          </cell>
          <cell r="AG83">
            <v>9.2305599104414995</v>
          </cell>
          <cell r="AH83">
            <v>160.75799230669944</v>
          </cell>
          <cell r="AI83">
            <v>10.065255134426064</v>
          </cell>
          <cell r="AJ83">
            <v>179.05448327266026</v>
          </cell>
          <cell r="AK83">
            <v>9.7760530885599728</v>
          </cell>
          <cell r="AL83">
            <v>172.54963106505352</v>
          </cell>
          <cell r="AM83">
            <v>21.829345359876342</v>
          </cell>
          <cell r="AN83">
            <v>423.57271319624886</v>
          </cell>
          <cell r="AQ83">
            <v>1.0833179284981212E-2</v>
          </cell>
          <cell r="AR83">
            <v>0.22718168802249422</v>
          </cell>
          <cell r="AS83">
            <v>4.5379702334816434E-3</v>
          </cell>
          <cell r="AT83">
            <v>9.5165390576288228E-2</v>
          </cell>
          <cell r="AU83">
            <v>6.2952090514995698E-3</v>
          </cell>
          <cell r="AV83">
            <v>0.13201629744620608</v>
          </cell>
          <cell r="AW83">
            <v>1</v>
          </cell>
          <cell r="AX83">
            <v>20.970915559151866</v>
          </cell>
          <cell r="AY83">
            <v>0</v>
          </cell>
          <cell r="AZ83">
            <v>0</v>
          </cell>
          <cell r="BA83">
            <v>1.0021975853094038</v>
          </cell>
          <cell r="BB83">
            <v>0</v>
          </cell>
          <cell r="BC83">
            <v>3.0433452835407791E-2</v>
          </cell>
          <cell r="BD83">
            <v>0</v>
          </cell>
          <cell r="BE83">
            <v>1.5092139335965865E-2</v>
          </cell>
          <cell r="BF83">
            <v>0</v>
          </cell>
          <cell r="BG83">
            <v>3.5936072305466485E-2</v>
          </cell>
          <cell r="BH83">
            <v>0</v>
          </cell>
          <cell r="BI83">
            <v>1.2153197342191028E-2</v>
          </cell>
          <cell r="BJ83">
            <v>3.4361282634408609E-2</v>
          </cell>
          <cell r="BK83">
            <v>0.8260663692478617</v>
          </cell>
          <cell r="BL83">
            <v>3.3956635537634415E-2</v>
          </cell>
          <cell r="BM83">
            <v>0.81633840415367698</v>
          </cell>
          <cell r="BN83">
            <v>3.6620562258064523E-2</v>
          </cell>
          <cell r="BO83">
            <v>0.88038084102372682</v>
          </cell>
          <cell r="BP83">
            <v>3.5069415053763452E-2</v>
          </cell>
          <cell r="BQ83">
            <v>0.84309030816268493</v>
          </cell>
          <cell r="BR83">
            <v>0.14005407115292715</v>
          </cell>
          <cell r="BS83">
            <v>2.9370620998634824</v>
          </cell>
          <cell r="BT83">
            <v>0.21481504614821031</v>
          </cell>
          <cell r="BU83">
            <v>11.24038485239265</v>
          </cell>
          <cell r="BV83">
            <v>0.11745227463199547</v>
          </cell>
          <cell r="BW83">
            <v>9.0167821983450853</v>
          </cell>
          <cell r="BX83">
            <v>8.5926018459284131E-2</v>
          </cell>
          <cell r="BY83">
            <v>8.2967753024223452</v>
          </cell>
          <cell r="BZ83">
            <v>0.11156462384716534</v>
          </cell>
          <cell r="CA83">
            <v>8.8823181141024392</v>
          </cell>
          <cell r="CB83">
            <v>0.17866167388146653</v>
          </cell>
          <cell r="CC83">
            <v>10.414702373625978</v>
          </cell>
          <cell r="CD83">
            <v>0.11660160704924855</v>
          </cell>
          <cell r="CE83">
            <v>8.9973543753152807</v>
          </cell>
          <cell r="CF83">
            <v>0.14372185625492781</v>
          </cell>
          <cell r="CG83">
            <v>9.6167354505770497</v>
          </cell>
          <cell r="CH83">
            <v>1.3312995585695675E-3</v>
          </cell>
          <cell r="CI83">
            <v>7.4843703107168744E-2</v>
          </cell>
          <cell r="CJ83">
            <v>1.2357164001387372E-3</v>
          </cell>
          <cell r="CK83">
            <v>5.5112568998193841E-2</v>
          </cell>
        </row>
        <row r="84">
          <cell r="A84">
            <v>23</v>
          </cell>
          <cell r="B84">
            <v>2039</v>
          </cell>
          <cell r="C84">
            <v>0.13457092360386344</v>
          </cell>
          <cell r="D84">
            <v>2.0607731062017836</v>
          </cell>
          <cell r="E84">
            <v>0.1249025912844397</v>
          </cell>
          <cell r="F84">
            <v>1.8983239211626906</v>
          </cell>
          <cell r="G84">
            <v>0.16010481480252231</v>
          </cell>
          <cell r="H84">
            <v>2.1654208904392136</v>
          </cell>
          <cell r="I84">
            <v>0.11541428405471073</v>
          </cell>
          <cell r="J84">
            <v>1.6695804550012003</v>
          </cell>
          <cell r="K84">
            <v>186.64227093630012</v>
          </cell>
          <cell r="L84">
            <v>3704.8007533022642</v>
          </cell>
          <cell r="M84">
            <v>0</v>
          </cell>
          <cell r="N84">
            <v>0</v>
          </cell>
          <cell r="O84">
            <v>10.739952210274792</v>
          </cell>
          <cell r="P84">
            <v>234.95637702357121</v>
          </cell>
          <cell r="Q84">
            <v>84.296373954599773</v>
          </cell>
          <cell r="R84">
            <v>1844.1395485585815</v>
          </cell>
          <cell r="S84">
            <v>25.782936991984947</v>
          </cell>
          <cell r="T84">
            <v>486.67239651751601</v>
          </cell>
          <cell r="U84">
            <v>23.99813993427906</v>
          </cell>
          <cell r="V84">
            <v>449.30264138168258</v>
          </cell>
          <cell r="W84">
            <v>23.492163205988962</v>
          </cell>
          <cell r="X84">
            <v>439.54063743730364</v>
          </cell>
          <cell r="Y84">
            <v>10.693469270947437</v>
          </cell>
          <cell r="Z84">
            <v>198.56918098210576</v>
          </cell>
          <cell r="AA84">
            <v>10.440186577254726</v>
          </cell>
          <cell r="AB84">
            <v>193.15255577199326</v>
          </cell>
          <cell r="AC84">
            <v>10.853715885014028</v>
          </cell>
          <cell r="AD84">
            <v>202.53125214965723</v>
          </cell>
          <cell r="AE84">
            <v>9.2070306781044682</v>
          </cell>
          <cell r="AF84">
            <v>165.04465818332301</v>
          </cell>
          <cell r="AG84">
            <v>9.3907574251393271</v>
          </cell>
          <cell r="AH84">
            <v>169.26544967359021</v>
          </cell>
          <cell r="AI84">
            <v>10.220012721185745</v>
          </cell>
          <cell r="AJ84">
            <v>188.3131957042913</v>
          </cell>
          <cell r="AK84">
            <v>9.9336785782136587</v>
          </cell>
          <cell r="AL84">
            <v>181.5489421083046</v>
          </cell>
          <cell r="AM84">
            <v>21.978413798794815</v>
          </cell>
          <cell r="AN84">
            <v>443.48382472007313</v>
          </cell>
          <cell r="AQ84">
            <v>1.0833179284981212E-2</v>
          </cell>
          <cell r="AR84">
            <v>0.23699589221736983</v>
          </cell>
          <cell r="AS84">
            <v>4.5379702334816434E-3</v>
          </cell>
          <cell r="AT84">
            <v>9.9276516712952498E-2</v>
          </cell>
          <cell r="AU84">
            <v>6.2952090514995698E-3</v>
          </cell>
          <cell r="AV84">
            <v>0.1377193755044174</v>
          </cell>
          <cell r="AW84">
            <v>1</v>
          </cell>
          <cell r="AX84">
            <v>21.876854982538106</v>
          </cell>
          <cell r="AY84">
            <v>0</v>
          </cell>
          <cell r="AZ84">
            <v>0</v>
          </cell>
          <cell r="BA84">
            <v>1.0021975853094038</v>
          </cell>
          <cell r="BB84">
            <v>0</v>
          </cell>
          <cell r="BC84">
            <v>3.0433452835407791E-2</v>
          </cell>
          <cell r="BD84">
            <v>0</v>
          </cell>
          <cell r="BE84">
            <v>1.5092139335965865E-2</v>
          </cell>
          <cell r="BF84">
            <v>0</v>
          </cell>
          <cell r="BG84">
            <v>3.5936072305466485E-2</v>
          </cell>
          <cell r="BH84">
            <v>0</v>
          </cell>
          <cell r="BI84">
            <v>1.2153197342191028E-2</v>
          </cell>
          <cell r="BJ84">
            <v>3.4361282634408609E-2</v>
          </cell>
          <cell r="BK84">
            <v>0.85719560982448928</v>
          </cell>
          <cell r="BL84">
            <v>3.3956635537634415E-2</v>
          </cell>
          <cell r="BM84">
            <v>0.8471010589727781</v>
          </cell>
          <cell r="BN84">
            <v>3.6620562258064523E-2</v>
          </cell>
          <cell r="BO84">
            <v>0.91355685207987769</v>
          </cell>
          <cell r="BP84">
            <v>3.5069415053763452E-2</v>
          </cell>
          <cell r="BQ84">
            <v>0.87486107381498401</v>
          </cell>
          <cell r="BR84">
            <v>0.14005407115292715</v>
          </cell>
          <cell r="BS84">
            <v>3.0639426043266607</v>
          </cell>
          <cell r="BT84">
            <v>0.21481504614821031</v>
          </cell>
          <cell r="BU84">
            <v>11.434994271434846</v>
          </cell>
          <cell r="BV84">
            <v>0.11745227463199547</v>
          </cell>
          <cell r="BW84">
            <v>9.1231868443005961</v>
          </cell>
          <cell r="BX84">
            <v>8.5926018459284131E-2</v>
          </cell>
          <cell r="BY84">
            <v>8.3746190700392233</v>
          </cell>
          <cell r="BZ84">
            <v>0.11156462384716534</v>
          </cell>
          <cell r="CA84">
            <v>8.9833889051008438</v>
          </cell>
          <cell r="CB84">
            <v>0.17866167388146653</v>
          </cell>
          <cell r="CC84">
            <v>10.576559027443373</v>
          </cell>
          <cell r="CD84">
            <v>0.11660160704924855</v>
          </cell>
          <cell r="CE84">
            <v>9.1029883679713848</v>
          </cell>
          <cell r="CF84">
            <v>0.14372185625492781</v>
          </cell>
          <cell r="CG84">
            <v>9.7469387461606409</v>
          </cell>
          <cell r="CH84">
            <v>1.3312995585695675E-3</v>
          </cell>
          <cell r="CI84">
            <v>7.6049779861613598E-2</v>
          </cell>
          <cell r="CJ84">
            <v>1.2357164001387372E-3</v>
          </cell>
          <cell r="CK84">
            <v>5.6232053201204439E-2</v>
          </cell>
        </row>
        <row r="85">
          <cell r="A85">
            <v>24</v>
          </cell>
          <cell r="B85">
            <v>2040</v>
          </cell>
          <cell r="C85">
            <v>0.13907499466907197</v>
          </cell>
          <cell r="D85">
            <v>2.186214683738565</v>
          </cell>
          <cell r="E85">
            <v>0.12944847802681242</v>
          </cell>
          <cell r="F85">
            <v>2.0150826622437701</v>
          </cell>
          <cell r="G85">
            <v>0.16703988997325889</v>
          </cell>
          <cell r="H85">
            <v>2.3160859856252696</v>
          </cell>
          <cell r="I85">
            <v>0.11994261648163711</v>
          </cell>
          <cell r="J85">
            <v>1.7777651869952376</v>
          </cell>
          <cell r="K85">
            <v>186.64227093630012</v>
          </cell>
          <cell r="L85">
            <v>3873.1466227880564</v>
          </cell>
          <cell r="M85">
            <v>0</v>
          </cell>
          <cell r="N85">
            <v>0</v>
          </cell>
          <cell r="O85">
            <v>10.739952210274792</v>
          </cell>
          <cell r="P85">
            <v>244.64349979594488</v>
          </cell>
          <cell r="Q85">
            <v>84.296373954599773</v>
          </cell>
          <cell r="R85">
            <v>1920.1724123717845</v>
          </cell>
          <cell r="S85">
            <v>26.119690351143497</v>
          </cell>
          <cell r="T85">
            <v>510.2315932675578</v>
          </cell>
          <cell r="U85">
            <v>24.329168945606646</v>
          </cell>
          <cell r="V85">
            <v>471.24684019296217</v>
          </cell>
          <cell r="W85">
            <v>23.817354945223819</v>
          </cell>
          <cell r="X85">
            <v>461.02319498973435</v>
          </cell>
          <cell r="Y85">
            <v>10.850382367421716</v>
          </cell>
          <cell r="Z85">
            <v>208.35590852637321</v>
          </cell>
          <cell r="AA85">
            <v>10.596834010158393</v>
          </cell>
          <cell r="AB85">
            <v>202.71059011377201</v>
          </cell>
          <cell r="AC85">
            <v>11.008363494676585</v>
          </cell>
          <cell r="AD85">
            <v>212.46047405008878</v>
          </cell>
          <cell r="AE85">
            <v>9.3710744293547741</v>
          </cell>
          <cell r="AF85">
            <v>173.49709323413859</v>
          </cell>
          <cell r="AG85">
            <v>9.5537351876189067</v>
          </cell>
          <cell r="AH85">
            <v>177.88263938591226</v>
          </cell>
          <cell r="AI85">
            <v>10.377149771788103</v>
          </cell>
          <cell r="AJ85">
            <v>197.67308128836768</v>
          </cell>
          <cell r="AK85">
            <v>10.093845563373094</v>
          </cell>
          <cell r="AL85">
            <v>190.65329558245031</v>
          </cell>
          <cell r="AM85">
            <v>22.128500197671094</v>
          </cell>
          <cell r="AN85">
            <v>463.44308468570472</v>
          </cell>
          <cell r="AQ85">
            <v>1.0833179284981212E-2</v>
          </cell>
          <cell r="AR85">
            <v>0.24676710308443037</v>
          </cell>
          <cell r="AS85">
            <v>4.5379702334816434E-3</v>
          </cell>
          <cell r="AT85">
            <v>0.10336963313734941</v>
          </cell>
          <cell r="AU85">
            <v>6.2952090514995698E-3</v>
          </cell>
          <cell r="AV85">
            <v>0.143397469947081</v>
          </cell>
          <cell r="AW85">
            <v>1</v>
          </cell>
          <cell r="AX85">
            <v>22.778825734615204</v>
          </cell>
          <cell r="AY85">
            <v>0</v>
          </cell>
          <cell r="AZ85">
            <v>0</v>
          </cell>
          <cell r="BA85">
            <v>1.0021975853094038</v>
          </cell>
          <cell r="BB85">
            <v>0</v>
          </cell>
          <cell r="BC85">
            <v>3.0433452835407791E-2</v>
          </cell>
          <cell r="BD85">
            <v>0</v>
          </cell>
          <cell r="BE85">
            <v>1.5092139335965865E-2</v>
          </cell>
          <cell r="BF85">
            <v>0</v>
          </cell>
          <cell r="BG85">
            <v>3.5936072305466485E-2</v>
          </cell>
          <cell r="BH85">
            <v>0</v>
          </cell>
          <cell r="BI85">
            <v>1.2153197342191028E-2</v>
          </cell>
          <cell r="BJ85">
            <v>3.4361282634408609E-2</v>
          </cell>
          <cell r="BK85">
            <v>0.88818848176458054</v>
          </cell>
          <cell r="BL85">
            <v>3.3956635537634415E-2</v>
          </cell>
          <cell r="BM85">
            <v>0.87772895106666604</v>
          </cell>
          <cell r="BN85">
            <v>3.6620562258064523E-2</v>
          </cell>
          <cell r="BO85">
            <v>0.94658752816127034</v>
          </cell>
          <cell r="BP85">
            <v>3.5069415053763452E-2</v>
          </cell>
          <cell r="BQ85">
            <v>0.90649266048593102</v>
          </cell>
          <cell r="BR85">
            <v>0.14005407115292715</v>
          </cell>
          <cell r="BS85">
            <v>3.1902672802159255</v>
          </cell>
          <cell r="BT85">
            <v>0.21481504614821031</v>
          </cell>
          <cell r="BU85">
            <v>11.628751160166624</v>
          </cell>
          <cell r="BV85">
            <v>0.11745227463199547</v>
          </cell>
          <cell r="BW85">
            <v>9.2291253607835824</v>
          </cell>
          <cell r="BX85">
            <v>8.5926018459284131E-2</v>
          </cell>
          <cell r="BY85">
            <v>8.4521218255319344</v>
          </cell>
          <cell r="BZ85">
            <v>0.11156462384716534</v>
          </cell>
          <cell r="CA85">
            <v>9.0840169327774696</v>
          </cell>
          <cell r="CB85">
            <v>0.17866167388146653</v>
          </cell>
          <cell r="CC85">
            <v>10.737706631801593</v>
          </cell>
          <cell r="CD85">
            <v>0.11660160704924855</v>
          </cell>
          <cell r="CE85">
            <v>9.2081596071749949</v>
          </cell>
          <cell r="CF85">
            <v>0.14372185625492781</v>
          </cell>
          <cell r="CG85">
            <v>9.8765716569368127</v>
          </cell>
          <cell r="CH85">
            <v>1.3312995585695675E-3</v>
          </cell>
          <cell r="CI85">
            <v>7.7250573125696498E-2</v>
          </cell>
          <cell r="CJ85">
            <v>1.2357164001387372E-3</v>
          </cell>
          <cell r="CK85">
            <v>5.7346633251991581E-2</v>
          </cell>
        </row>
        <row r="86">
          <cell r="A86">
            <v>25</v>
          </cell>
          <cell r="B86">
            <v>2041</v>
          </cell>
          <cell r="C86">
            <v>0.14374417844364859</v>
          </cell>
          <cell r="D86">
            <v>2.3152997541662055</v>
          </cell>
          <cell r="E86">
            <v>0.13417695404446214</v>
          </cell>
          <cell r="F86">
            <v>2.1355761789212862</v>
          </cell>
          <cell r="G86">
            <v>0.17429916317275329</v>
          </cell>
          <cell r="H86">
            <v>2.4726100271359597</v>
          </cell>
          <cell r="I86">
            <v>0.12466874126875763</v>
          </cell>
          <cell r="J86">
            <v>1.8897201435092621</v>
          </cell>
          <cell r="K86">
            <v>186.64227093630012</v>
          </cell>
          <cell r="L86">
            <v>4040.7550153465909</v>
          </cell>
          <cell r="M86">
            <v>0</v>
          </cell>
          <cell r="N86">
            <v>0</v>
          </cell>
          <cell r="O86">
            <v>10.739952210274792</v>
          </cell>
          <cell r="P86">
            <v>254.288185949244</v>
          </cell>
          <cell r="Q86">
            <v>84.296373954599773</v>
          </cell>
          <cell r="R86">
            <v>1995.8721971320417</v>
          </cell>
          <cell r="S86">
            <v>26.460842077522194</v>
          </cell>
          <cell r="T86">
            <v>533.9939445511659</v>
          </cell>
          <cell r="U86">
            <v>24.664765705132794</v>
          </cell>
          <cell r="V86">
            <v>493.39627993097895</v>
          </cell>
          <cell r="W86">
            <v>24.147051020191398</v>
          </cell>
          <cell r="X86">
            <v>482.70771686261975</v>
          </cell>
          <cell r="Y86">
            <v>11.009597964536457</v>
          </cell>
          <cell r="Z86">
            <v>218.24274181603815</v>
          </cell>
          <cell r="AA86">
            <v>10.755831824260106</v>
          </cell>
          <cell r="AB86">
            <v>212.36953646954925</v>
          </cell>
          <cell r="AC86">
            <v>11.165214578561953</v>
          </cell>
          <cell r="AD86">
            <v>222.48705408844768</v>
          </cell>
          <cell r="AE86">
            <v>9.5380409852817589</v>
          </cell>
          <cell r="AF86">
            <v>182.06243971047948</v>
          </cell>
          <cell r="AG86">
            <v>9.7195414494261101</v>
          </cell>
          <cell r="AH86">
            <v>186.61097681221989</v>
          </cell>
          <cell r="AI86">
            <v>10.536702871503671</v>
          </cell>
          <cell r="AJ86">
            <v>207.13524557891239</v>
          </cell>
          <cell r="AK86">
            <v>10.256595022178429</v>
          </cell>
          <cell r="AL86">
            <v>199.86391757160254</v>
          </cell>
          <cell r="AM86">
            <v>22.279611507959721</v>
          </cell>
          <cell r="AN86">
            <v>483.45060952423523</v>
          </cell>
          <cell r="AQ86">
            <v>1.0833179284981212E-2</v>
          </cell>
          <cell r="AR86">
            <v>0.25649550896561368</v>
          </cell>
          <cell r="AS86">
            <v>4.5379702334816434E-3</v>
          </cell>
          <cell r="AT86">
            <v>0.10744481874507235</v>
          </cell>
          <cell r="AU86">
            <v>6.2952090514995698E-3</v>
          </cell>
          <cell r="AV86">
            <v>0.1490506902205414</v>
          </cell>
          <cell r="AW86">
            <v>1</v>
          </cell>
          <cell r="AX86">
            <v>23.676845201040031</v>
          </cell>
          <cell r="AY86">
            <v>0</v>
          </cell>
          <cell r="AZ86">
            <v>0</v>
          </cell>
          <cell r="BA86">
            <v>1.0021975853094038</v>
          </cell>
          <cell r="BB86">
            <v>0</v>
          </cell>
          <cell r="BC86">
            <v>3.0433452835407791E-2</v>
          </cell>
          <cell r="BD86">
            <v>0</v>
          </cell>
          <cell r="BE86">
            <v>1.5092139335965865E-2</v>
          </cell>
          <cell r="BF86">
            <v>0</v>
          </cell>
          <cell r="BG86">
            <v>3.5936072305466485E-2</v>
          </cell>
          <cell r="BH86">
            <v>0</v>
          </cell>
          <cell r="BI86">
            <v>1.2153197342191028E-2</v>
          </cell>
          <cell r="BJ86">
            <v>3.4361282634408609E-2</v>
          </cell>
          <cell r="BK86">
            <v>0.91904558246160484</v>
          </cell>
          <cell r="BL86">
            <v>3.3956635537634415E-2</v>
          </cell>
          <cell r="BM86">
            <v>0.90822267079375485</v>
          </cell>
          <cell r="BN86">
            <v>3.6620562258064523E-2</v>
          </cell>
          <cell r="BO86">
            <v>0.9794735059404347</v>
          </cell>
          <cell r="BP86">
            <v>3.5069415053763452E-2</v>
          </cell>
          <cell r="BQ86">
            <v>0.93798567788034248</v>
          </cell>
          <cell r="BR86">
            <v>0.14005407115292715</v>
          </cell>
          <cell r="BS86">
            <v>3.3160385624633024</v>
          </cell>
          <cell r="BT86">
            <v>0.21481504614821031</v>
          </cell>
          <cell r="BU86">
            <v>11.821659253288665</v>
          </cell>
          <cell r="BV86">
            <v>0.11745227463199547</v>
          </cell>
          <cell r="BW86">
            <v>9.3345997897789879</v>
          </cell>
          <cell r="BX86">
            <v>8.5926018459284131E-2</v>
          </cell>
          <cell r="BY86">
            <v>8.5292850627807528</v>
          </cell>
          <cell r="BZ86">
            <v>0.11156462384716534</v>
          </cell>
          <cell r="CA86">
            <v>9.1842041367565876</v>
          </cell>
          <cell r="CB86">
            <v>0.17866167388146653</v>
          </cell>
          <cell r="CC86">
            <v>10.898148292851193</v>
          </cell>
          <cell r="CD86">
            <v>0.11660160704924855</v>
          </cell>
          <cell r="CE86">
            <v>9.3128701201216391</v>
          </cell>
          <cell r="CF86">
            <v>0.14372185625492781</v>
          </cell>
          <cell r="CG86">
            <v>10.005636681604448</v>
          </cell>
          <cell r="CH86">
            <v>1.3312995585695675E-3</v>
          </cell>
          <cell r="CI86">
            <v>7.8446106044934766E-2</v>
          </cell>
          <cell r="CJ86">
            <v>1.2357164001387372E-3</v>
          </cell>
          <cell r="CK86">
            <v>5.8456330634296581E-2</v>
          </cell>
        </row>
        <row r="87">
          <cell r="A87">
            <v>26</v>
          </cell>
          <cell r="B87">
            <v>2042</v>
          </cell>
          <cell r="C87">
            <v>0.14374417844364859</v>
          </cell>
          <cell r="D87">
            <v>2.3152997541662055</v>
          </cell>
          <cell r="E87">
            <v>0.13417695404446214</v>
          </cell>
          <cell r="F87">
            <v>2.1355761789212862</v>
          </cell>
          <cell r="G87">
            <v>0.17429916317275329</v>
          </cell>
          <cell r="H87">
            <v>2.4726100271359597</v>
          </cell>
          <cell r="I87">
            <v>0.12466874126875763</v>
          </cell>
          <cell r="J87">
            <v>1.8897201435092621</v>
          </cell>
          <cell r="K87">
            <v>186.64227093630012</v>
          </cell>
          <cell r="L87">
            <v>4040.7550153465909</v>
          </cell>
          <cell r="M87">
            <v>0</v>
          </cell>
          <cell r="N87">
            <v>0</v>
          </cell>
          <cell r="O87">
            <v>10.739952210274792</v>
          </cell>
          <cell r="P87">
            <v>254.288185949244</v>
          </cell>
          <cell r="Q87">
            <v>84.296373954599773</v>
          </cell>
          <cell r="R87">
            <v>1995.8721971320417</v>
          </cell>
          <cell r="S87">
            <v>26.460842077522194</v>
          </cell>
          <cell r="T87">
            <v>533.9939445511659</v>
          </cell>
          <cell r="U87">
            <v>24.664765705132794</v>
          </cell>
          <cell r="V87">
            <v>493.39627993097895</v>
          </cell>
          <cell r="W87">
            <v>24.147051020191398</v>
          </cell>
          <cell r="X87">
            <v>482.70771686261975</v>
          </cell>
          <cell r="Y87">
            <v>11.009597964536457</v>
          </cell>
          <cell r="Z87">
            <v>218.24274181603815</v>
          </cell>
          <cell r="AA87">
            <v>10.755831824260106</v>
          </cell>
          <cell r="AB87">
            <v>212.36953646954925</v>
          </cell>
          <cell r="AC87">
            <v>11.165214578561953</v>
          </cell>
          <cell r="AD87">
            <v>222.48705408844768</v>
          </cell>
          <cell r="AE87">
            <v>9.5380409852817589</v>
          </cell>
          <cell r="AF87">
            <v>182.06243971047948</v>
          </cell>
          <cell r="AG87">
            <v>9.7195414494261101</v>
          </cell>
          <cell r="AH87">
            <v>186.61097681221989</v>
          </cell>
          <cell r="AI87">
            <v>10.536702871503671</v>
          </cell>
          <cell r="AJ87">
            <v>207.13524557891239</v>
          </cell>
          <cell r="AK87">
            <v>10.256595022178429</v>
          </cell>
          <cell r="AL87">
            <v>199.86391757160254</v>
          </cell>
          <cell r="AM87">
            <v>22.279611507959721</v>
          </cell>
          <cell r="AN87">
            <v>483.45060952423523</v>
          </cell>
          <cell r="AQ87">
            <v>1.0833179284981212E-2</v>
          </cell>
          <cell r="AR87">
            <v>0.25649550896561368</v>
          </cell>
          <cell r="AS87">
            <v>4.5379702334816434E-3</v>
          </cell>
          <cell r="AT87">
            <v>0.10744481874507235</v>
          </cell>
          <cell r="AU87">
            <v>6.2952090514995698E-3</v>
          </cell>
          <cell r="AV87">
            <v>0.1490506902205414</v>
          </cell>
          <cell r="AW87">
            <v>1</v>
          </cell>
          <cell r="AX87">
            <v>23.676845201040031</v>
          </cell>
          <cell r="AY87">
            <v>0</v>
          </cell>
          <cell r="AZ87">
            <v>0</v>
          </cell>
          <cell r="BA87">
            <v>1.0021975853094038</v>
          </cell>
          <cell r="BB87">
            <v>0</v>
          </cell>
          <cell r="BC87">
            <v>3.0433452835407791E-2</v>
          </cell>
          <cell r="BD87">
            <v>0</v>
          </cell>
          <cell r="BE87">
            <v>1.5092139335965865E-2</v>
          </cell>
          <cell r="BF87">
            <v>0</v>
          </cell>
          <cell r="BG87">
            <v>3.5936072305466485E-2</v>
          </cell>
          <cell r="BH87">
            <v>0</v>
          </cell>
          <cell r="BI87">
            <v>1.2153197342191028E-2</v>
          </cell>
          <cell r="BJ87">
            <v>3.4361282634408609E-2</v>
          </cell>
          <cell r="BK87">
            <v>0.91904558246160484</v>
          </cell>
          <cell r="BL87">
            <v>3.3956635537634415E-2</v>
          </cell>
          <cell r="BM87">
            <v>0.90822267079375485</v>
          </cell>
          <cell r="BN87">
            <v>3.6620562258064523E-2</v>
          </cell>
          <cell r="BO87">
            <v>0.9794735059404347</v>
          </cell>
          <cell r="BP87">
            <v>3.5069415053763452E-2</v>
          </cell>
          <cell r="BQ87">
            <v>0.93798567788034248</v>
          </cell>
          <cell r="BR87">
            <v>0.14005407115292715</v>
          </cell>
          <cell r="BS87">
            <v>3.3160385624633024</v>
          </cell>
          <cell r="BT87">
            <v>0.21481504614821031</v>
          </cell>
          <cell r="BU87">
            <v>11.821659253288665</v>
          </cell>
          <cell r="BV87">
            <v>0.11745227463199547</v>
          </cell>
          <cell r="BW87">
            <v>9.3345997897789879</v>
          </cell>
          <cell r="BX87">
            <v>8.5926018459284131E-2</v>
          </cell>
          <cell r="BY87">
            <v>8.5292850627807528</v>
          </cell>
          <cell r="BZ87">
            <v>0.11156462384716534</v>
          </cell>
          <cell r="CA87">
            <v>9.1842041367565876</v>
          </cell>
          <cell r="CB87">
            <v>0.17866167388146653</v>
          </cell>
          <cell r="CC87">
            <v>10.898148292851193</v>
          </cell>
          <cell r="CD87">
            <v>0.11660160704924855</v>
          </cell>
          <cell r="CE87">
            <v>9.3128701201216391</v>
          </cell>
          <cell r="CF87">
            <v>0.14372185625492781</v>
          </cell>
          <cell r="CG87">
            <v>10.005636681604448</v>
          </cell>
          <cell r="CH87">
            <v>1.3312995585695675E-3</v>
          </cell>
          <cell r="CI87">
            <v>7.8446106044934766E-2</v>
          </cell>
          <cell r="CJ87">
            <v>1.2357164001387372E-3</v>
          </cell>
          <cell r="CK87">
            <v>5.8456330634296581E-2</v>
          </cell>
        </row>
        <row r="88">
          <cell r="A88">
            <v>27</v>
          </cell>
          <cell r="B88">
            <v>2043</v>
          </cell>
          <cell r="C88">
            <v>0.14374417844364859</v>
          </cell>
          <cell r="D88">
            <v>2.3152997541662055</v>
          </cell>
          <cell r="E88">
            <v>0.13417695404446214</v>
          </cell>
          <cell r="F88">
            <v>2.1355761789212862</v>
          </cell>
          <cell r="G88">
            <v>0.17429916317275329</v>
          </cell>
          <cell r="H88">
            <v>2.4726100271359597</v>
          </cell>
          <cell r="I88">
            <v>0.12466874126875763</v>
          </cell>
          <cell r="J88">
            <v>1.8897201435092621</v>
          </cell>
          <cell r="K88">
            <v>186.64227093630012</v>
          </cell>
          <cell r="L88">
            <v>4040.7550153465909</v>
          </cell>
          <cell r="M88">
            <v>0</v>
          </cell>
          <cell r="N88">
            <v>0</v>
          </cell>
          <cell r="O88">
            <v>10.739952210274792</v>
          </cell>
          <cell r="P88">
            <v>254.288185949244</v>
          </cell>
          <cell r="Q88">
            <v>84.296373954599773</v>
          </cell>
          <cell r="R88">
            <v>1995.8721971320417</v>
          </cell>
          <cell r="S88">
            <v>26.460842077522194</v>
          </cell>
          <cell r="T88">
            <v>533.9939445511659</v>
          </cell>
          <cell r="U88">
            <v>24.664765705132794</v>
          </cell>
          <cell r="V88">
            <v>493.39627993097895</v>
          </cell>
          <cell r="W88">
            <v>24.147051020191398</v>
          </cell>
          <cell r="X88">
            <v>482.70771686261975</v>
          </cell>
          <cell r="Y88">
            <v>11.009597964536457</v>
          </cell>
          <cell r="Z88">
            <v>218.24274181603815</v>
          </cell>
          <cell r="AA88">
            <v>10.755831824260106</v>
          </cell>
          <cell r="AB88">
            <v>212.36953646954925</v>
          </cell>
          <cell r="AC88">
            <v>11.165214578561953</v>
          </cell>
          <cell r="AD88">
            <v>222.48705408844768</v>
          </cell>
          <cell r="AE88">
            <v>9.5380409852817589</v>
          </cell>
          <cell r="AF88">
            <v>182.06243971047948</v>
          </cell>
          <cell r="AG88">
            <v>9.7195414494261101</v>
          </cell>
          <cell r="AH88">
            <v>186.61097681221989</v>
          </cell>
          <cell r="AI88">
            <v>10.536702871503671</v>
          </cell>
          <cell r="AJ88">
            <v>207.13524557891239</v>
          </cell>
          <cell r="AK88">
            <v>10.256595022178429</v>
          </cell>
          <cell r="AL88">
            <v>199.86391757160254</v>
          </cell>
          <cell r="AM88">
            <v>22.279611507959721</v>
          </cell>
          <cell r="AN88">
            <v>483.45060952423523</v>
          </cell>
          <cell r="AQ88">
            <v>1.0833179284981212E-2</v>
          </cell>
          <cell r="AR88">
            <v>0.25649550896561368</v>
          </cell>
          <cell r="AS88">
            <v>4.5379702334816434E-3</v>
          </cell>
          <cell r="AT88">
            <v>0.10744481874507235</v>
          </cell>
          <cell r="AU88">
            <v>6.2952090514995698E-3</v>
          </cell>
          <cell r="AV88">
            <v>0.1490506902205414</v>
          </cell>
          <cell r="AW88">
            <v>1</v>
          </cell>
          <cell r="AX88">
            <v>23.676845201040031</v>
          </cell>
          <cell r="AY88">
            <v>0</v>
          </cell>
          <cell r="AZ88">
            <v>0</v>
          </cell>
          <cell r="BA88">
            <v>1.0021975853094038</v>
          </cell>
          <cell r="BB88">
            <v>0</v>
          </cell>
          <cell r="BC88">
            <v>3.0433452835407791E-2</v>
          </cell>
          <cell r="BD88">
            <v>0</v>
          </cell>
          <cell r="BE88">
            <v>1.5092139335965865E-2</v>
          </cell>
          <cell r="BF88">
            <v>0</v>
          </cell>
          <cell r="BG88">
            <v>3.5936072305466485E-2</v>
          </cell>
          <cell r="BH88">
            <v>0</v>
          </cell>
          <cell r="BI88">
            <v>1.2153197342191028E-2</v>
          </cell>
          <cell r="BJ88">
            <v>3.4361282634408609E-2</v>
          </cell>
          <cell r="BK88">
            <v>0.91904558246160484</v>
          </cell>
          <cell r="BL88">
            <v>3.3956635537634415E-2</v>
          </cell>
          <cell r="BM88">
            <v>0.90822267079375485</v>
          </cell>
          <cell r="BN88">
            <v>3.6620562258064523E-2</v>
          </cell>
          <cell r="BO88">
            <v>0.9794735059404347</v>
          </cell>
          <cell r="BP88">
            <v>3.5069415053763452E-2</v>
          </cell>
          <cell r="BQ88">
            <v>0.93798567788034248</v>
          </cell>
          <cell r="BR88">
            <v>0.14005407115292715</v>
          </cell>
          <cell r="BS88">
            <v>3.3160385624633024</v>
          </cell>
          <cell r="BT88">
            <v>0.21481504614821031</v>
          </cell>
          <cell r="BU88">
            <v>11.821659253288665</v>
          </cell>
          <cell r="BV88">
            <v>0.11745227463199547</v>
          </cell>
          <cell r="BW88">
            <v>9.3345997897789879</v>
          </cell>
          <cell r="BX88">
            <v>8.5926018459284131E-2</v>
          </cell>
          <cell r="BY88">
            <v>8.5292850627807528</v>
          </cell>
          <cell r="BZ88">
            <v>0.11156462384716534</v>
          </cell>
          <cell r="CA88">
            <v>9.1842041367565876</v>
          </cell>
          <cell r="CB88">
            <v>0.17866167388146653</v>
          </cell>
          <cell r="CC88">
            <v>10.898148292851193</v>
          </cell>
          <cell r="CD88">
            <v>0.11660160704924855</v>
          </cell>
          <cell r="CE88">
            <v>9.3128701201216391</v>
          </cell>
          <cell r="CF88">
            <v>0.14372185625492781</v>
          </cell>
          <cell r="CG88">
            <v>10.005636681604448</v>
          </cell>
          <cell r="CH88">
            <v>1.3312995585695675E-3</v>
          </cell>
          <cell r="CI88">
            <v>7.8446106044934766E-2</v>
          </cell>
          <cell r="CJ88">
            <v>1.2357164001387372E-3</v>
          </cell>
          <cell r="CK88">
            <v>5.8456330634296581E-2</v>
          </cell>
        </row>
        <row r="89">
          <cell r="A89">
            <v>28</v>
          </cell>
          <cell r="B89">
            <v>2044</v>
          </cell>
          <cell r="C89">
            <v>0.14374417844364859</v>
          </cell>
          <cell r="D89">
            <v>2.3152997541662055</v>
          </cell>
          <cell r="E89">
            <v>0.13417695404446214</v>
          </cell>
          <cell r="F89">
            <v>2.1355761789212862</v>
          </cell>
          <cell r="G89">
            <v>0.17429916317275329</v>
          </cell>
          <cell r="H89">
            <v>2.4726100271359597</v>
          </cell>
          <cell r="I89">
            <v>0.12466874126875763</v>
          </cell>
          <cell r="J89">
            <v>1.8897201435092621</v>
          </cell>
          <cell r="K89">
            <v>186.64227093630012</v>
          </cell>
          <cell r="L89">
            <v>4040.7550153465909</v>
          </cell>
          <cell r="M89">
            <v>0</v>
          </cell>
          <cell r="N89">
            <v>0</v>
          </cell>
          <cell r="O89">
            <v>10.739952210274792</v>
          </cell>
          <cell r="P89">
            <v>254.288185949244</v>
          </cell>
          <cell r="Q89">
            <v>84.296373954599773</v>
          </cell>
          <cell r="R89">
            <v>1995.8721971320417</v>
          </cell>
          <cell r="S89">
            <v>26.460842077522194</v>
          </cell>
          <cell r="T89">
            <v>533.9939445511659</v>
          </cell>
          <cell r="U89">
            <v>24.664765705132794</v>
          </cell>
          <cell r="V89">
            <v>493.39627993097895</v>
          </cell>
          <cell r="W89">
            <v>24.147051020191398</v>
          </cell>
          <cell r="X89">
            <v>482.70771686261975</v>
          </cell>
          <cell r="Y89">
            <v>11.009597964536457</v>
          </cell>
          <cell r="Z89">
            <v>218.24274181603815</v>
          </cell>
          <cell r="AA89">
            <v>10.755831824260106</v>
          </cell>
          <cell r="AB89">
            <v>212.36953646954925</v>
          </cell>
          <cell r="AC89">
            <v>11.165214578561953</v>
          </cell>
          <cell r="AD89">
            <v>222.48705408844768</v>
          </cell>
          <cell r="AE89">
            <v>9.5380409852817589</v>
          </cell>
          <cell r="AF89">
            <v>182.06243971047948</v>
          </cell>
          <cell r="AG89">
            <v>9.7195414494261101</v>
          </cell>
          <cell r="AH89">
            <v>186.61097681221989</v>
          </cell>
          <cell r="AI89">
            <v>10.536702871503671</v>
          </cell>
          <cell r="AJ89">
            <v>207.13524557891239</v>
          </cell>
          <cell r="AK89">
            <v>10.256595022178429</v>
          </cell>
          <cell r="AL89">
            <v>199.86391757160254</v>
          </cell>
          <cell r="AM89">
            <v>22.279611507959721</v>
          </cell>
          <cell r="AN89">
            <v>483.45060952423523</v>
          </cell>
          <cell r="AQ89">
            <v>1.0833179284981212E-2</v>
          </cell>
          <cell r="AR89">
            <v>0.25649550896561368</v>
          </cell>
          <cell r="AS89">
            <v>4.5379702334816434E-3</v>
          </cell>
          <cell r="AT89">
            <v>0.10744481874507235</v>
          </cell>
          <cell r="AU89">
            <v>6.2952090514995698E-3</v>
          </cell>
          <cell r="AV89">
            <v>0.1490506902205414</v>
          </cell>
          <cell r="AW89">
            <v>1</v>
          </cell>
          <cell r="AX89">
            <v>23.676845201040031</v>
          </cell>
          <cell r="AY89">
            <v>0</v>
          </cell>
          <cell r="AZ89">
            <v>0</v>
          </cell>
          <cell r="BA89">
            <v>1.0021975853094038</v>
          </cell>
          <cell r="BB89">
            <v>0</v>
          </cell>
          <cell r="BC89">
            <v>3.0433452835407791E-2</v>
          </cell>
          <cell r="BD89">
            <v>0</v>
          </cell>
          <cell r="BE89">
            <v>1.5092139335965865E-2</v>
          </cell>
          <cell r="BF89">
            <v>0</v>
          </cell>
          <cell r="BG89">
            <v>3.5936072305466485E-2</v>
          </cell>
          <cell r="BH89">
            <v>0</v>
          </cell>
          <cell r="BI89">
            <v>1.2153197342191028E-2</v>
          </cell>
          <cell r="BJ89">
            <v>3.4361282634408609E-2</v>
          </cell>
          <cell r="BK89">
            <v>0.91904558246160484</v>
          </cell>
          <cell r="BL89">
            <v>3.3956635537634415E-2</v>
          </cell>
          <cell r="BM89">
            <v>0.90822267079375485</v>
          </cell>
          <cell r="BN89">
            <v>3.6620562258064523E-2</v>
          </cell>
          <cell r="BO89">
            <v>0.9794735059404347</v>
          </cell>
          <cell r="BP89">
            <v>3.5069415053763452E-2</v>
          </cell>
          <cell r="BQ89">
            <v>0.93798567788034248</v>
          </cell>
          <cell r="BR89">
            <v>0.14005407115292715</v>
          </cell>
          <cell r="BS89">
            <v>3.3160385624633024</v>
          </cell>
          <cell r="BT89">
            <v>0.21481504614821031</v>
          </cell>
          <cell r="BU89">
            <v>11.821659253288665</v>
          </cell>
          <cell r="BV89">
            <v>0.11745227463199547</v>
          </cell>
          <cell r="BW89">
            <v>9.3345997897789879</v>
          </cell>
          <cell r="BX89">
            <v>8.5926018459284131E-2</v>
          </cell>
          <cell r="BY89">
            <v>8.5292850627807528</v>
          </cell>
          <cell r="BZ89">
            <v>0.11156462384716534</v>
          </cell>
          <cell r="CA89">
            <v>9.1842041367565876</v>
          </cell>
          <cell r="CB89">
            <v>0.17866167388146653</v>
          </cell>
          <cell r="CC89">
            <v>10.898148292851193</v>
          </cell>
          <cell r="CD89">
            <v>0.11660160704924855</v>
          </cell>
          <cell r="CE89">
            <v>9.3128701201216391</v>
          </cell>
          <cell r="CF89">
            <v>0.14372185625492781</v>
          </cell>
          <cell r="CG89">
            <v>10.005636681604448</v>
          </cell>
          <cell r="CH89">
            <v>1.3312995585695675E-3</v>
          </cell>
          <cell r="CI89">
            <v>7.8446106044934766E-2</v>
          </cell>
          <cell r="CJ89">
            <v>1.2357164001387372E-3</v>
          </cell>
          <cell r="CK89">
            <v>5.8456330634296581E-2</v>
          </cell>
        </row>
        <row r="90">
          <cell r="A90">
            <v>29</v>
          </cell>
          <cell r="B90">
            <v>2045</v>
          </cell>
          <cell r="C90">
            <v>0.14374417844364859</v>
          </cell>
          <cell r="D90">
            <v>2.3152997541662055</v>
          </cell>
          <cell r="E90">
            <v>0.13417695404446214</v>
          </cell>
          <cell r="F90">
            <v>2.1355761789212862</v>
          </cell>
          <cell r="G90">
            <v>0.17429916317275329</v>
          </cell>
          <cell r="H90">
            <v>2.4726100271359597</v>
          </cell>
          <cell r="I90">
            <v>0.12466874126875763</v>
          </cell>
          <cell r="J90">
            <v>1.8897201435092621</v>
          </cell>
          <cell r="K90">
            <v>186.64227093630012</v>
          </cell>
          <cell r="L90">
            <v>4040.7550153465909</v>
          </cell>
          <cell r="M90">
            <v>0</v>
          </cell>
          <cell r="N90">
            <v>0</v>
          </cell>
          <cell r="O90">
            <v>10.739952210274792</v>
          </cell>
          <cell r="P90">
            <v>254.288185949244</v>
          </cell>
          <cell r="Q90">
            <v>84.296373954599773</v>
          </cell>
          <cell r="R90">
            <v>1995.8721971320417</v>
          </cell>
          <cell r="S90">
            <v>26.460842077522194</v>
          </cell>
          <cell r="T90">
            <v>533.9939445511659</v>
          </cell>
          <cell r="U90">
            <v>24.664765705132794</v>
          </cell>
          <cell r="V90">
            <v>493.39627993097895</v>
          </cell>
          <cell r="W90">
            <v>24.147051020191398</v>
          </cell>
          <cell r="X90">
            <v>482.70771686261975</v>
          </cell>
          <cell r="Y90">
            <v>11.009597964536457</v>
          </cell>
          <cell r="Z90">
            <v>218.24274181603815</v>
          </cell>
          <cell r="AA90">
            <v>10.755831824260106</v>
          </cell>
          <cell r="AB90">
            <v>212.36953646954925</v>
          </cell>
          <cell r="AC90">
            <v>11.165214578561953</v>
          </cell>
          <cell r="AD90">
            <v>222.48705408844768</v>
          </cell>
          <cell r="AE90">
            <v>9.5380409852817589</v>
          </cell>
          <cell r="AF90">
            <v>182.06243971047948</v>
          </cell>
          <cell r="AG90">
            <v>9.7195414494261101</v>
          </cell>
          <cell r="AH90">
            <v>186.61097681221989</v>
          </cell>
          <cell r="AI90">
            <v>10.536702871503671</v>
          </cell>
          <cell r="AJ90">
            <v>207.13524557891239</v>
          </cell>
          <cell r="AK90">
            <v>10.256595022178429</v>
          </cell>
          <cell r="AL90">
            <v>199.86391757160254</v>
          </cell>
          <cell r="AM90">
            <v>22.279611507959721</v>
          </cell>
          <cell r="AN90">
            <v>483.45060952423523</v>
          </cell>
          <cell r="AQ90">
            <v>1.0833179284981212E-2</v>
          </cell>
          <cell r="AR90">
            <v>0.25649550896561368</v>
          </cell>
          <cell r="AS90">
            <v>4.5379702334816434E-3</v>
          </cell>
          <cell r="AT90">
            <v>0.10744481874507235</v>
          </cell>
          <cell r="AU90">
            <v>6.2952090514995698E-3</v>
          </cell>
          <cell r="AV90">
            <v>0.1490506902205414</v>
          </cell>
          <cell r="AW90">
            <v>1</v>
          </cell>
          <cell r="AX90">
            <v>23.676845201040031</v>
          </cell>
          <cell r="AY90">
            <v>0</v>
          </cell>
          <cell r="AZ90">
            <v>0</v>
          </cell>
          <cell r="BA90">
            <v>1.0021975853094038</v>
          </cell>
          <cell r="BB90">
            <v>0</v>
          </cell>
          <cell r="BC90">
            <v>3.0433452835407791E-2</v>
          </cell>
          <cell r="BD90">
            <v>0</v>
          </cell>
          <cell r="BE90">
            <v>1.5092139335965865E-2</v>
          </cell>
          <cell r="BF90">
            <v>0</v>
          </cell>
          <cell r="BG90">
            <v>3.5936072305466485E-2</v>
          </cell>
          <cell r="BH90">
            <v>0</v>
          </cell>
          <cell r="BI90">
            <v>1.2153197342191028E-2</v>
          </cell>
          <cell r="BJ90">
            <v>3.4361282634408609E-2</v>
          </cell>
          <cell r="BK90">
            <v>0.91904558246160484</v>
          </cell>
          <cell r="BL90">
            <v>3.3956635537634415E-2</v>
          </cell>
          <cell r="BM90">
            <v>0.90822267079375485</v>
          </cell>
          <cell r="BN90">
            <v>3.6620562258064523E-2</v>
          </cell>
          <cell r="BO90">
            <v>0.9794735059404347</v>
          </cell>
          <cell r="BP90">
            <v>3.5069415053763452E-2</v>
          </cell>
          <cell r="BQ90">
            <v>0.93798567788034248</v>
          </cell>
          <cell r="BR90">
            <v>0.14005407115292715</v>
          </cell>
          <cell r="BS90">
            <v>3.3160385624633024</v>
          </cell>
          <cell r="BT90">
            <v>0.21481504614821031</v>
          </cell>
          <cell r="BU90">
            <v>11.821659253288665</v>
          </cell>
          <cell r="BV90">
            <v>0.11745227463199547</v>
          </cell>
          <cell r="BW90">
            <v>9.3345997897789879</v>
          </cell>
          <cell r="BX90">
            <v>8.5926018459284131E-2</v>
          </cell>
          <cell r="BY90">
            <v>8.5292850627807528</v>
          </cell>
          <cell r="BZ90">
            <v>0.11156462384716534</v>
          </cell>
          <cell r="CA90">
            <v>9.1842041367565876</v>
          </cell>
          <cell r="CB90">
            <v>0.17866167388146653</v>
          </cell>
          <cell r="CC90">
            <v>10.898148292851193</v>
          </cell>
          <cell r="CD90">
            <v>0.11660160704924855</v>
          </cell>
          <cell r="CE90">
            <v>9.3128701201216391</v>
          </cell>
          <cell r="CF90">
            <v>0.14372185625492781</v>
          </cell>
          <cell r="CG90">
            <v>10.005636681604448</v>
          </cell>
          <cell r="CH90">
            <v>1.3312995585695675E-3</v>
          </cell>
          <cell r="CI90">
            <v>7.8446106044934766E-2</v>
          </cell>
          <cell r="CJ90">
            <v>1.2357164001387372E-3</v>
          </cell>
          <cell r="CK90">
            <v>5.8456330634296581E-2</v>
          </cell>
        </row>
        <row r="91">
          <cell r="A91">
            <v>30</v>
          </cell>
          <cell r="B91">
            <v>2046</v>
          </cell>
          <cell r="C91">
            <v>0.14374417844364859</v>
          </cell>
          <cell r="D91">
            <v>2.3152997541662055</v>
          </cell>
          <cell r="E91">
            <v>0.13417695404446214</v>
          </cell>
          <cell r="F91">
            <v>2.1355761789212862</v>
          </cell>
          <cell r="G91">
            <v>0.17429916317275329</v>
          </cell>
          <cell r="H91">
            <v>2.4726100271359597</v>
          </cell>
          <cell r="I91">
            <v>0.12466874126875763</v>
          </cell>
          <cell r="J91">
            <v>1.8897201435092621</v>
          </cell>
          <cell r="K91">
            <v>186.64227093630012</v>
          </cell>
          <cell r="L91">
            <v>4040.7550153465909</v>
          </cell>
          <cell r="M91">
            <v>0</v>
          </cell>
          <cell r="N91">
            <v>0</v>
          </cell>
          <cell r="O91">
            <v>10.739952210274792</v>
          </cell>
          <cell r="P91">
            <v>254.288185949244</v>
          </cell>
          <cell r="Q91">
            <v>84.296373954599773</v>
          </cell>
          <cell r="R91">
            <v>1995.8721971320417</v>
          </cell>
          <cell r="S91">
            <v>26.460842077522194</v>
          </cell>
          <cell r="T91">
            <v>533.9939445511659</v>
          </cell>
          <cell r="U91">
            <v>24.664765705132794</v>
          </cell>
          <cell r="V91">
            <v>493.39627993097895</v>
          </cell>
          <cell r="W91">
            <v>24.147051020191398</v>
          </cell>
          <cell r="X91">
            <v>482.70771686261975</v>
          </cell>
          <cell r="Y91">
            <v>11.009597964536457</v>
          </cell>
          <cell r="Z91">
            <v>218.24274181603815</v>
          </cell>
          <cell r="AA91">
            <v>10.755831824260106</v>
          </cell>
          <cell r="AB91">
            <v>212.36953646954925</v>
          </cell>
          <cell r="AC91">
            <v>11.165214578561953</v>
          </cell>
          <cell r="AD91">
            <v>222.48705408844768</v>
          </cell>
          <cell r="AE91">
            <v>9.5380409852817589</v>
          </cell>
          <cell r="AF91">
            <v>182.06243971047948</v>
          </cell>
          <cell r="AG91">
            <v>9.7195414494261101</v>
          </cell>
          <cell r="AH91">
            <v>186.61097681221989</v>
          </cell>
          <cell r="AI91">
            <v>10.536702871503671</v>
          </cell>
          <cell r="AJ91">
            <v>207.13524557891239</v>
          </cell>
          <cell r="AK91">
            <v>10.256595022178429</v>
          </cell>
          <cell r="AL91">
            <v>199.86391757160254</v>
          </cell>
          <cell r="AM91">
            <v>22.279611507959721</v>
          </cell>
          <cell r="AN91">
            <v>483.45060952423523</v>
          </cell>
          <cell r="AQ91">
            <v>1.0833179284981212E-2</v>
          </cell>
          <cell r="AR91">
            <v>0.25649550896561368</v>
          </cell>
          <cell r="AS91">
            <v>4.5379702334816434E-3</v>
          </cell>
          <cell r="AT91">
            <v>0.10744481874507235</v>
          </cell>
          <cell r="AU91">
            <v>6.2952090514995698E-3</v>
          </cell>
          <cell r="AV91">
            <v>0.1490506902205414</v>
          </cell>
          <cell r="AW91">
            <v>1</v>
          </cell>
          <cell r="AX91">
            <v>23.676845201040031</v>
          </cell>
          <cell r="AY91">
            <v>0</v>
          </cell>
          <cell r="AZ91">
            <v>0</v>
          </cell>
          <cell r="BA91">
            <v>1.0021975853094038</v>
          </cell>
          <cell r="BB91">
            <v>0</v>
          </cell>
          <cell r="BC91">
            <v>3.0433452835407791E-2</v>
          </cell>
          <cell r="BD91">
            <v>0</v>
          </cell>
          <cell r="BE91">
            <v>1.5092139335965865E-2</v>
          </cell>
          <cell r="BF91">
            <v>0</v>
          </cell>
          <cell r="BG91">
            <v>3.5936072305466485E-2</v>
          </cell>
          <cell r="BH91">
            <v>0</v>
          </cell>
          <cell r="BI91">
            <v>1.2153197342191028E-2</v>
          </cell>
          <cell r="BJ91">
            <v>3.4361282634408609E-2</v>
          </cell>
          <cell r="BK91">
            <v>0.91904558246160484</v>
          </cell>
          <cell r="BL91">
            <v>3.3956635537634415E-2</v>
          </cell>
          <cell r="BM91">
            <v>0.90822267079375485</v>
          </cell>
          <cell r="BN91">
            <v>3.6620562258064523E-2</v>
          </cell>
          <cell r="BO91">
            <v>0.9794735059404347</v>
          </cell>
          <cell r="BP91">
            <v>3.5069415053763452E-2</v>
          </cell>
          <cell r="BQ91">
            <v>0.93798567788034248</v>
          </cell>
          <cell r="BR91">
            <v>0.14005407115292715</v>
          </cell>
          <cell r="BS91">
            <v>3.3160385624633024</v>
          </cell>
          <cell r="BT91">
            <v>0.21481504614821031</v>
          </cell>
          <cell r="BU91">
            <v>11.821659253288665</v>
          </cell>
          <cell r="BV91">
            <v>0.11745227463199547</v>
          </cell>
          <cell r="BW91">
            <v>9.3345997897789879</v>
          </cell>
          <cell r="BX91">
            <v>8.5926018459284131E-2</v>
          </cell>
          <cell r="BY91">
            <v>8.5292850627807528</v>
          </cell>
          <cell r="BZ91">
            <v>0.11156462384716534</v>
          </cell>
          <cell r="CA91">
            <v>9.1842041367565876</v>
          </cell>
          <cell r="CB91">
            <v>0.17866167388146653</v>
          </cell>
          <cell r="CC91">
            <v>10.898148292851193</v>
          </cell>
          <cell r="CD91">
            <v>0.11660160704924855</v>
          </cell>
          <cell r="CE91">
            <v>9.3128701201216391</v>
          </cell>
          <cell r="CF91">
            <v>0.14372185625492781</v>
          </cell>
          <cell r="CG91">
            <v>10.005636681604448</v>
          </cell>
          <cell r="CH91">
            <v>1.3312995585695675E-3</v>
          </cell>
          <cell r="CI91">
            <v>7.8446106044934766E-2</v>
          </cell>
          <cell r="CJ91">
            <v>1.2357164001387372E-3</v>
          </cell>
          <cell r="CK91">
            <v>5.8456330634296581E-2</v>
          </cell>
        </row>
        <row r="96">
          <cell r="A96">
            <v>1</v>
          </cell>
          <cell r="B96">
            <v>2018</v>
          </cell>
          <cell r="C96">
            <v>6.8203788354501804E-2</v>
          </cell>
          <cell r="D96">
            <v>6.8054233371002928E-2</v>
          </cell>
          <cell r="E96">
            <v>6.2809334936540534E-2</v>
          </cell>
          <cell r="F96">
            <v>6.2671608729879036E-2</v>
          </cell>
          <cell r="G96">
            <v>6.1461283979914801E-2</v>
          </cell>
          <cell r="H96">
            <v>6.132651373425544E-2</v>
          </cell>
          <cell r="I96">
            <v>5.1667746056584397E-2</v>
          </cell>
          <cell r="J96">
            <v>5.1554450752975267E-2</v>
          </cell>
          <cell r="K96">
            <v>81.432439257452444</v>
          </cell>
          <cell r="L96">
            <v>81.253876931176364</v>
          </cell>
          <cell r="M96">
            <v>0</v>
          </cell>
          <cell r="N96">
            <v>0</v>
          </cell>
          <cell r="O96">
            <v>10.739952210274792</v>
          </cell>
          <cell r="P96">
            <v>10.71640200266407</v>
          </cell>
          <cell r="Q96">
            <v>84.296373954599773</v>
          </cell>
          <cell r="R96">
            <v>84.111531688210292</v>
          </cell>
          <cell r="S96">
            <v>18.996538908099915</v>
          </cell>
          <cell r="T96">
            <v>18.954883933625919</v>
          </cell>
          <cell r="U96">
            <v>17.370951906115693</v>
          </cell>
          <cell r="V96">
            <v>17.332861464391613</v>
          </cell>
          <cell r="W96">
            <v>16.995090763941715</v>
          </cell>
          <cell r="X96">
            <v>16.957824497945577</v>
          </cell>
          <cell r="Y96">
            <v>8.2522714598618876</v>
          </cell>
          <cell r="Z96">
            <v>8.2341761553079387</v>
          </cell>
          <cell r="AA96">
            <v>8.0006115130301829</v>
          </cell>
          <cell r="AB96">
            <v>7.9830680399815472</v>
          </cell>
          <cell r="AC96">
            <v>8.4719337241475827</v>
          </cell>
          <cell r="AD96">
            <v>8.4533567515352566</v>
          </cell>
          <cell r="AE96">
            <v>6.5866448796779906</v>
          </cell>
          <cell r="AF96">
            <v>6.5722019053204219</v>
          </cell>
          <cell r="AG96">
            <v>6.8192901581984566</v>
          </cell>
          <cell r="AH96">
            <v>6.804337047063596</v>
          </cell>
          <cell r="AI96">
            <v>7.7813898166333111</v>
          </cell>
          <cell r="AJ96">
            <v>7.7643270455805355</v>
          </cell>
          <cell r="AK96">
            <v>7.4314705234672518</v>
          </cell>
          <cell r="AL96">
            <v>7.4151750437245036</v>
          </cell>
          <cell r="AM96">
            <v>18.767344352261652</v>
          </cell>
          <cell r="AN96">
            <v>18.726191947935789</v>
          </cell>
          <cell r="AQ96">
            <v>1.0833179284981212E-2</v>
          </cell>
          <cell r="AR96">
            <v>1.0809424652162511E-2</v>
          </cell>
          <cell r="AS96">
            <v>4.5379702334816434E-3</v>
          </cell>
          <cell r="AT96">
            <v>4.52801952429436E-3</v>
          </cell>
          <cell r="AU96">
            <v>6.2952090514995698E-3</v>
          </cell>
          <cell r="AV96">
            <v>6.2814051278681513E-3</v>
          </cell>
          <cell r="AW96">
            <v>1</v>
          </cell>
          <cell r="AX96">
            <v>0.99780723348208267</v>
          </cell>
          <cell r="AY96">
            <v>0</v>
          </cell>
          <cell r="AZ96">
            <v>0</v>
          </cell>
          <cell r="BA96">
            <v>1.0021975853094038</v>
          </cell>
          <cell r="BB96">
            <v>1.0570526319385093E-2</v>
          </cell>
          <cell r="BC96">
            <v>1.0547347623195183E-2</v>
          </cell>
          <cell r="BD96">
            <v>5.1960964936720441E-3</v>
          </cell>
          <cell r="BE96">
            <v>5.1847026672568524E-3</v>
          </cell>
          <cell r="BF96">
            <v>0</v>
          </cell>
          <cell r="BG96">
            <v>0</v>
          </cell>
          <cell r="BH96">
            <v>0</v>
          </cell>
          <cell r="BI96">
            <v>0</v>
          </cell>
          <cell r="BJ96">
            <v>4.7609570080645175E-2</v>
          </cell>
          <cell r="BK96">
            <v>4.7505173409439896E-2</v>
          </cell>
          <cell r="BL96">
            <v>4.7048907822580657E-2</v>
          </cell>
          <cell r="BM96">
            <v>4.6945740552802727E-2</v>
          </cell>
          <cell r="BN96">
            <v>5.0739934354838721E-2</v>
          </cell>
          <cell r="BO96">
            <v>5.0628673525664109E-2</v>
          </cell>
          <cell r="BP96">
            <v>4.8590729032258077E-2</v>
          </cell>
          <cell r="BQ96">
            <v>4.8484180908554948E-2</v>
          </cell>
          <cell r="BR96">
            <v>0.14005407115292715</v>
          </cell>
          <cell r="BS96">
            <v>0.13974696527500499</v>
          </cell>
          <cell r="BT96">
            <v>1.7281153612835123</v>
          </cell>
          <cell r="BU96">
            <v>1.7243260077801914</v>
          </cell>
          <cell r="BV96">
            <v>1.591007568372369</v>
          </cell>
          <cell r="BW96">
            <v>1.5875188602466892</v>
          </cell>
          <cell r="BX96">
            <v>1.5466117964024648</v>
          </cell>
          <cell r="BY96">
            <v>1.5432204378390975</v>
          </cell>
          <cell r="BZ96">
            <v>1.5827164855286029</v>
          </cell>
          <cell r="CA96">
            <v>1.5792459578117799</v>
          </cell>
          <cell r="CB96">
            <v>1.6772036113343785</v>
          </cell>
          <cell r="CC96">
            <v>1.6735258954117145</v>
          </cell>
          <cell r="CD96">
            <v>1.5898096448441541</v>
          </cell>
          <cell r="CE96">
            <v>1.5863235634850779</v>
          </cell>
          <cell r="CF96">
            <v>1.6280008082003818</v>
          </cell>
          <cell r="CG96">
            <v>1.6244309825370178</v>
          </cell>
          <cell r="CH96">
            <v>1.1884754304209048E-2</v>
          </cell>
          <cell r="CI96">
            <v>1.1858693812897104E-2</v>
          </cell>
          <cell r="CJ96">
            <v>7.7958732662502701E-3</v>
          </cell>
          <cell r="CK96">
            <v>7.7787787363741093E-3</v>
          </cell>
        </row>
        <row r="97">
          <cell r="A97">
            <v>2</v>
          </cell>
          <cell r="B97">
            <v>2019</v>
          </cell>
          <cell r="C97">
            <v>6.7215437788459523E-2</v>
          </cell>
          <cell r="D97">
            <v>0.13482847672722539</v>
          </cell>
          <cell r="E97">
            <v>6.1886928523998463E-2</v>
          </cell>
          <cell r="F97">
            <v>0.12415231854592275</v>
          </cell>
          <cell r="G97">
            <v>6.1010033821265588E-2</v>
          </cell>
          <cell r="H97">
            <v>0.12193608468392221</v>
          </cell>
          <cell r="I97">
            <v>5.1044219374162578E-2</v>
          </cell>
          <cell r="J97">
            <v>0.10226362171970735</v>
          </cell>
          <cell r="K97">
            <v>73.796436723031036</v>
          </cell>
          <cell r="L97">
            <v>154.56592229900113</v>
          </cell>
          <cell r="M97">
            <v>0</v>
          </cell>
          <cell r="N97">
            <v>0</v>
          </cell>
          <cell r="O97">
            <v>10.739952210274792</v>
          </cell>
          <cell r="P97">
            <v>21.385858397192216</v>
          </cell>
          <cell r="Q97">
            <v>84.296373954599773</v>
          </cell>
          <cell r="R97">
            <v>167.85459390267692</v>
          </cell>
          <cell r="S97">
            <v>19.391180469891133</v>
          </cell>
          <cell r="T97">
            <v>38.21878291671419</v>
          </cell>
          <cell r="U97">
            <v>17.763479858726662</v>
          </cell>
          <cell r="V97">
            <v>34.979743876628525</v>
          </cell>
          <cell r="W97">
            <v>17.378039716913687</v>
          </cell>
          <cell r="X97">
            <v>34.221796753297433</v>
          </cell>
          <cell r="Y97">
            <v>8.1768251615124985</v>
          </cell>
          <cell r="Z97">
            <v>16.35732957334405</v>
          </cell>
          <cell r="AA97">
            <v>7.9332485090356313</v>
          </cell>
          <cell r="AB97">
            <v>15.86424361477914</v>
          </cell>
          <cell r="AC97">
            <v>8.3641542483788349</v>
          </cell>
          <cell r="AD97">
            <v>16.7626096497753</v>
          </cell>
          <cell r="AE97">
            <v>6.6405312910060204</v>
          </cell>
          <cell r="AF97">
            <v>13.169145509790672</v>
          </cell>
          <cell r="AG97">
            <v>6.8300656663006798</v>
          </cell>
          <cell r="AH97">
            <v>13.589570944905532</v>
          </cell>
          <cell r="AI97">
            <v>7.7167212440903725</v>
          </cell>
          <cell r="AJ97">
            <v>15.43039661559072</v>
          </cell>
          <cell r="AK97">
            <v>7.3991351283436675</v>
          </cell>
          <cell r="AL97">
            <v>14.76574309686338</v>
          </cell>
          <cell r="AM97">
            <v>18.962797353121864</v>
          </cell>
          <cell r="AN97">
            <v>37.564519671950016</v>
          </cell>
          <cell r="AQ97">
            <v>1.0833179284981212E-2</v>
          </cell>
          <cell r="AR97">
            <v>2.1571496189560471E-2</v>
          </cell>
          <cell r="AS97">
            <v>4.5379702334816434E-3</v>
          </cell>
          <cell r="AT97">
            <v>9.0362030411147102E-3</v>
          </cell>
          <cell r="AU97">
            <v>6.2952090514995698E-3</v>
          </cell>
          <cell r="AV97">
            <v>1.253529314844576E-2</v>
          </cell>
          <cell r="AW97">
            <v>1</v>
          </cell>
          <cell r="AX97">
            <v>1.9912433480600227</v>
          </cell>
          <cell r="AY97">
            <v>0</v>
          </cell>
          <cell r="AZ97">
            <v>0</v>
          </cell>
          <cell r="BA97">
            <v>1.0021975853094038</v>
          </cell>
          <cell r="BB97">
            <v>0</v>
          </cell>
          <cell r="BC97">
            <v>1.0547347623195183E-2</v>
          </cell>
          <cell r="BD97">
            <v>0</v>
          </cell>
          <cell r="BE97">
            <v>5.1847026672568524E-3</v>
          </cell>
          <cell r="BF97">
            <v>0</v>
          </cell>
          <cell r="BG97">
            <v>0</v>
          </cell>
          <cell r="BH97">
            <v>0</v>
          </cell>
          <cell r="BI97">
            <v>0</v>
          </cell>
          <cell r="BJ97">
            <v>4.716744034647552E-2</v>
          </cell>
          <cell r="BK97">
            <v>9.4363012081829303E-2</v>
          </cell>
          <cell r="BL97">
            <v>4.6611984719235375E-2</v>
          </cell>
          <cell r="BM97">
            <v>9.3251769545046229E-2</v>
          </cell>
          <cell r="BN97">
            <v>5.0268734265232991E-2</v>
          </cell>
          <cell r="BO97">
            <v>0.10056744957886812</v>
          </cell>
          <cell r="BP97">
            <v>4.813948769414577E-2</v>
          </cell>
          <cell r="BQ97">
            <v>9.6307686521199684E-2</v>
          </cell>
          <cell r="BR97">
            <v>0.14005407115292715</v>
          </cell>
          <cell r="BS97">
            <v>0.2788817375519913</v>
          </cell>
          <cell r="BT97">
            <v>1.1175178059558881</v>
          </cell>
          <cell r="BU97">
            <v>2.8345085549006726</v>
          </cell>
          <cell r="BV97">
            <v>0.99599722787894174</v>
          </cell>
          <cell r="BW97">
            <v>2.5769784764411439</v>
          </cell>
          <cell r="BX97">
            <v>0.95664862661124106</v>
          </cell>
          <cell r="BY97">
            <v>2.4935897324760914</v>
          </cell>
          <cell r="BZ97">
            <v>0.98864872376647828</v>
          </cell>
          <cell r="CA97">
            <v>2.5614053046327889</v>
          </cell>
          <cell r="CB97">
            <v>1.0723940011497146</v>
          </cell>
          <cell r="CC97">
            <v>2.7388808252105776</v>
          </cell>
          <cell r="CD97">
            <v>0.99493549129526715</v>
          </cell>
          <cell r="CE97">
            <v>2.5747284122131417</v>
          </cell>
          <cell r="CF97">
            <v>1.0287848601016607</v>
          </cell>
          <cell r="CG97">
            <v>2.646463016693021</v>
          </cell>
          <cell r="CH97">
            <v>7.6222704024674556E-3</v>
          </cell>
          <cell r="CI97">
            <v>1.9430932505786806E-2</v>
          </cell>
          <cell r="CJ97">
            <v>5.1489328639050197E-3</v>
          </cell>
          <cell r="CK97">
            <v>1.2893914594914577E-2</v>
          </cell>
        </row>
        <row r="98">
          <cell r="A98">
            <v>3</v>
          </cell>
          <cell r="B98">
            <v>2020</v>
          </cell>
          <cell r="C98">
            <v>6.5590284021440737E-2</v>
          </cell>
          <cell r="D98">
            <v>0.1997027866757754</v>
          </cell>
          <cell r="E98">
            <v>5.9786238501483083E-2</v>
          </cell>
          <cell r="F98">
            <v>0.18328593909763857</v>
          </cell>
          <cell r="G98">
            <v>6.1098781995139011E-2</v>
          </cell>
          <cell r="H98">
            <v>0.18236792119397346</v>
          </cell>
          <cell r="I98">
            <v>4.905949237618619E-2</v>
          </cell>
          <cell r="J98">
            <v>0.15078758775850112</v>
          </cell>
          <cell r="K98">
            <v>172.38279451625763</v>
          </cell>
          <cell r="L98">
            <v>325.06701111254</v>
          </cell>
          <cell r="M98">
            <v>0</v>
          </cell>
          <cell r="N98">
            <v>0</v>
          </cell>
          <cell r="O98">
            <v>10.739952210274792</v>
          </cell>
          <cell r="P98">
            <v>32.008574839374766</v>
          </cell>
          <cell r="Q98">
            <v>84.296373954599773</v>
          </cell>
          <cell r="R98">
            <v>251.23080080676559</v>
          </cell>
          <cell r="S98">
            <v>19.766373299284499</v>
          </cell>
          <cell r="T98">
            <v>57.769389338197982</v>
          </cell>
          <cell r="U98">
            <v>18.121230004592423</v>
          </cell>
          <cell r="V98">
            <v>52.903165150160461</v>
          </cell>
          <cell r="W98">
            <v>17.723508529049258</v>
          </cell>
          <cell r="X98">
            <v>51.751838021504994</v>
          </cell>
          <cell r="Y98">
            <v>7.7849957110078769</v>
          </cell>
          <cell r="Z98">
            <v>24.057345394878887</v>
          </cell>
          <cell r="AA98">
            <v>7.5468079214342376</v>
          </cell>
          <cell r="AB98">
            <v>23.328671670270623</v>
          </cell>
          <cell r="AC98">
            <v>7.9723247978742169</v>
          </cell>
          <cell r="AD98">
            <v>24.647909700903853</v>
          </cell>
          <cell r="AE98">
            <v>6.2702572921143025</v>
          </cell>
          <cell r="AF98">
            <v>19.370957578370945</v>
          </cell>
          <cell r="AG98">
            <v>6.4597916674089619</v>
          </cell>
          <cell r="AH98">
            <v>19.97884845889768</v>
          </cell>
          <cell r="AI98">
            <v>7.3248917935857518</v>
          </cell>
          <cell r="AJ98">
            <v>22.675330947653311</v>
          </cell>
          <cell r="AK98">
            <v>7.0180834036454991</v>
          </cell>
          <cell r="AL98">
            <v>21.707218115084711</v>
          </cell>
          <cell r="AM98">
            <v>19.094081929922496</v>
          </cell>
          <cell r="AN98">
            <v>56.45017335961932</v>
          </cell>
          <cell r="AQ98">
            <v>1.0833179284981212E-2</v>
          </cell>
          <cell r="AR98">
            <v>3.2286422053158598E-2</v>
          </cell>
          <cell r="AS98">
            <v>4.5379702334816434E-3</v>
          </cell>
          <cell r="AT98">
            <v>1.3524637446551141E-2</v>
          </cell>
          <cell r="AU98">
            <v>6.2952090514995698E-3</v>
          </cell>
          <cell r="AV98">
            <v>1.8761784606607462E-2</v>
          </cell>
          <cell r="AW98">
            <v>1</v>
          </cell>
          <cell r="AX98">
            <v>2.980327492402854</v>
          </cell>
          <cell r="AY98">
            <v>0</v>
          </cell>
          <cell r="AZ98">
            <v>0</v>
          </cell>
          <cell r="BA98">
            <v>1.0021975853094038</v>
          </cell>
          <cell r="BB98">
            <v>0</v>
          </cell>
          <cell r="BC98">
            <v>1.0547347623195183E-2</v>
          </cell>
          <cell r="BD98">
            <v>0</v>
          </cell>
          <cell r="BE98">
            <v>5.1847026672568524E-3</v>
          </cell>
          <cell r="BF98">
            <v>0</v>
          </cell>
          <cell r="BG98">
            <v>0</v>
          </cell>
          <cell r="BH98">
            <v>0</v>
          </cell>
          <cell r="BI98">
            <v>0</v>
          </cell>
          <cell r="BJ98">
            <v>4.6730512138590218E-2</v>
          </cell>
          <cell r="BK98">
            <v>0.14058342069512911</v>
          </cell>
          <cell r="BL98">
            <v>4.6180201887694151E-2</v>
          </cell>
          <cell r="BM98">
            <v>0.1389278750147154</v>
          </cell>
          <cell r="BN98">
            <v>4.9803077706093199E-2</v>
          </cell>
          <cell r="BO98">
            <v>0.14982688407743885</v>
          </cell>
          <cell r="BP98">
            <v>4.7693555077658316E-2</v>
          </cell>
          <cell r="BQ98">
            <v>0.14348062563585307</v>
          </cell>
          <cell r="BR98">
            <v>0.14005407115292715</v>
          </cell>
          <cell r="BS98">
            <v>0.41740699868001424</v>
          </cell>
          <cell r="BT98">
            <v>1.0995233394413428</v>
          </cell>
          <cell r="BU98">
            <v>3.9220296562769859</v>
          </cell>
          <cell r="BV98">
            <v>0.97869894994594731</v>
          </cell>
          <cell r="BW98">
            <v>3.5449940899176586</v>
          </cell>
          <cell r="BX98">
            <v>0.93957577590494412</v>
          </cell>
          <cell r="BY98">
            <v>3.4229092348322854</v>
          </cell>
          <cell r="BZ98">
            <v>0.97139254524360452</v>
          </cell>
          <cell r="CA98">
            <v>3.5221942690660648</v>
          </cell>
          <cell r="CB98">
            <v>1.0546580478693828</v>
          </cell>
          <cell r="CC98">
            <v>3.7820263780617474</v>
          </cell>
          <cell r="CD98">
            <v>0.97764329602660704</v>
          </cell>
          <cell r="CE98">
            <v>3.5416998951361238</v>
          </cell>
          <cell r="CF98">
            <v>1.0112987425819</v>
          </cell>
          <cell r="CG98">
            <v>3.6467225681746207</v>
          </cell>
          <cell r="CH98">
            <v>7.49891905611446E-3</v>
          </cell>
          <cell r="CI98">
            <v>2.6847994443899927E-2</v>
          </cell>
          <cell r="CJ98">
            <v>5.0709268515644664E-3</v>
          </cell>
          <cell r="CK98">
            <v>1.7909487940919303E-2</v>
          </cell>
        </row>
        <row r="99">
          <cell r="A99">
            <v>4</v>
          </cell>
          <cell r="B99">
            <v>2021</v>
          </cell>
          <cell r="C99">
            <v>7.0025258340496915E-2</v>
          </cell>
          <cell r="D99">
            <v>0.26866024658029164</v>
          </cell>
          <cell r="E99">
            <v>6.4479092244046646E-2</v>
          </cell>
          <cell r="F99">
            <v>0.24678180506757622</v>
          </cell>
          <cell r="G99">
            <v>6.6425218459499225E-2</v>
          </cell>
          <cell r="H99">
            <v>0.24778023736561769</v>
          </cell>
          <cell r="I99">
            <v>5.4468488114059535E-2</v>
          </cell>
          <cell r="J99">
            <v>0.20442549890937953</v>
          </cell>
          <cell r="K99">
            <v>175.99712039482176</v>
          </cell>
          <cell r="L99">
            <v>498.38039346271381</v>
          </cell>
          <cell r="M99">
            <v>0</v>
          </cell>
          <cell r="N99">
            <v>0</v>
          </cell>
          <cell r="O99">
            <v>10.739952210274792</v>
          </cell>
          <cell r="P99">
            <v>42.584756084080603</v>
          </cell>
          <cell r="Q99">
            <v>84.296373954599773</v>
          </cell>
          <cell r="R99">
            <v>334.24175949263639</v>
          </cell>
          <cell r="S99">
            <v>20.149083118471328</v>
          </cell>
          <cell r="T99">
            <v>77.611223901644635</v>
          </cell>
          <cell r="U99">
            <v>18.498588460960736</v>
          </cell>
          <cell r="V99">
            <v>71.119673054839396</v>
          </cell>
          <cell r="W99">
            <v>18.092260969615371</v>
          </cell>
          <cell r="X99">
            <v>69.568214425685824</v>
          </cell>
          <cell r="Y99">
            <v>8.1080552347872334</v>
          </cell>
          <cell r="Z99">
            <v>32.041762832338009</v>
          </cell>
          <cell r="AA99">
            <v>7.8671730137619802</v>
          </cell>
          <cell r="AB99">
            <v>31.075880042148146</v>
          </cell>
          <cell r="AC99">
            <v>8.2953843216535716</v>
          </cell>
          <cell r="AD99">
            <v>32.816799688735067</v>
          </cell>
          <cell r="AE99">
            <v>6.5825390900872049</v>
          </cell>
          <cell r="AF99">
            <v>25.853121102387416</v>
          </cell>
          <cell r="AG99">
            <v>6.7720734653818671</v>
          </cell>
          <cell r="AH99">
            <v>26.647656193798134</v>
          </cell>
          <cell r="AI99">
            <v>7.6479513173651066</v>
          </cell>
          <cell r="AJ99">
            <v>30.206660482412069</v>
          </cell>
          <cell r="AK99">
            <v>7.3303652016184024</v>
          </cell>
          <cell r="AL99">
            <v>28.925804328907102</v>
          </cell>
          <cell r="AM99">
            <v>19.312535744643817</v>
          </cell>
          <cell r="AN99">
            <v>75.46821686029773</v>
          </cell>
          <cell r="AQ99">
            <v>1.0833179284981212E-2</v>
          </cell>
          <cell r="AR99">
            <v>4.2954408775179836E-2</v>
          </cell>
          <cell r="AS99">
            <v>4.5379702334816434E-3</v>
          </cell>
          <cell r="AT99">
            <v>1.7993409256025879E-2</v>
          </cell>
          <cell r="AU99">
            <v>6.2952090514995698E-3</v>
          </cell>
          <cell r="AV99">
            <v>2.4960999519153954E-2</v>
          </cell>
          <cell r="AW99">
            <v>1</v>
          </cell>
          <cell r="AX99">
            <v>3.9650787312945619</v>
          </cell>
          <cell r="AY99">
            <v>0</v>
          </cell>
          <cell r="AZ99">
            <v>0</v>
          </cell>
          <cell r="BA99">
            <v>1.0021975853094038</v>
          </cell>
          <cell r="BB99">
            <v>0</v>
          </cell>
          <cell r="BC99">
            <v>1.0547347623195183E-2</v>
          </cell>
          <cell r="BD99">
            <v>0</v>
          </cell>
          <cell r="BE99">
            <v>5.1847026672568524E-3</v>
          </cell>
          <cell r="BF99">
            <v>0</v>
          </cell>
          <cell r="BG99">
            <v>0</v>
          </cell>
          <cell r="BH99">
            <v>0</v>
          </cell>
          <cell r="BI99">
            <v>0</v>
          </cell>
          <cell r="BJ99">
            <v>4.5492548882915186E-2</v>
          </cell>
          <cell r="BK99">
            <v>0.18538226456792142</v>
          </cell>
          <cell r="BL99">
            <v>4.4956817198327371E-2</v>
          </cell>
          <cell r="BM99">
            <v>0.18319915644739632</v>
          </cell>
          <cell r="BN99">
            <v>4.8483717455197146E-2</v>
          </cell>
          <cell r="BO99">
            <v>0.19757128490751977</v>
          </cell>
          <cell r="BP99">
            <v>4.6430079330943862E-2</v>
          </cell>
          <cell r="BQ99">
            <v>0.18920270377884033</v>
          </cell>
          <cell r="BR99">
            <v>0.14005407115292715</v>
          </cell>
          <cell r="BS99">
            <v>0.55532541875968666</v>
          </cell>
          <cell r="BT99">
            <v>0.21756818493921748</v>
          </cell>
          <cell r="BU99">
            <v>4.1362801959393005</v>
          </cell>
          <cell r="BV99">
            <v>0.11895758079736654</v>
          </cell>
          <cell r="BW99">
            <v>3.6621377149834258</v>
          </cell>
          <cell r="BX99">
            <v>8.7027273975686992E-2</v>
          </cell>
          <cell r="BY99">
            <v>3.508609450697211</v>
          </cell>
          <cell r="BZ99">
            <v>0.11299447198455247</v>
          </cell>
          <cell r="CA99">
            <v>3.6334657153407672</v>
          </cell>
          <cell r="CB99">
            <v>0.18095145941394719</v>
          </cell>
          <cell r="CC99">
            <v>3.9602185518988939</v>
          </cell>
          <cell r="CD99">
            <v>0.11809601078500725</v>
          </cell>
          <cell r="CE99">
            <v>3.657995088064828</v>
          </cell>
          <cell r="CF99">
            <v>0.145563841835854</v>
          </cell>
          <cell r="CG99">
            <v>3.7900667417603149</v>
          </cell>
          <cell r="CH99">
            <v>1.3392561296755785E-3</v>
          </cell>
          <cell r="CI99">
            <v>2.8166828576791269E-2</v>
          </cell>
          <cell r="CJ99">
            <v>1.2476512567977532E-3</v>
          </cell>
          <cell r="CK99">
            <v>1.9138114061755689E-2</v>
          </cell>
        </row>
        <row r="100">
          <cell r="A100">
            <v>5</v>
          </cell>
          <cell r="B100">
            <v>2022</v>
          </cell>
          <cell r="C100">
            <v>7.3806040235143519E-2</v>
          </cell>
          <cell r="D100">
            <v>0.34102244247759234</v>
          </cell>
          <cell r="E100">
            <v>6.7799558971944895E-2</v>
          </cell>
          <cell r="F100">
            <v>0.31325502260434862</v>
          </cell>
          <cell r="G100">
            <v>6.9590979487970758E-2</v>
          </cell>
          <cell r="H100">
            <v>0.31600983042263342</v>
          </cell>
          <cell r="I100">
            <v>5.7103199490813258E-2</v>
          </cell>
          <cell r="J100">
            <v>0.26041160647933043</v>
          </cell>
          <cell r="K100">
            <v>177.65179933155642</v>
          </cell>
          <cell r="L100">
            <v>672.55684655221125</v>
          </cell>
          <cell r="M100">
            <v>0</v>
          </cell>
          <cell r="N100">
            <v>0</v>
          </cell>
          <cell r="O100">
            <v>10.739952210274792</v>
          </cell>
          <cell r="P100">
            <v>53.114605989203902</v>
          </cell>
          <cell r="Q100">
            <v>84.296373954599773</v>
          </cell>
          <cell r="R100">
            <v>416.88907001222105</v>
          </cell>
          <cell r="S100">
            <v>20.547288832686831</v>
          </cell>
          <cell r="T100">
            <v>97.756552589273184</v>
          </cell>
          <cell r="U100">
            <v>18.917331016189795</v>
          </cell>
          <cell r="V100">
            <v>89.666930277775904</v>
          </cell>
          <cell r="W100">
            <v>18.522543798135587</v>
          </cell>
          <cell r="X100">
            <v>87.728407528672619</v>
          </cell>
          <cell r="Y100">
            <v>8.19021389254398</v>
          </cell>
          <cell r="Z100">
            <v>40.071754148019778</v>
          </cell>
          <cell r="AA100">
            <v>7.9412483771638893</v>
          </cell>
          <cell r="AB100">
            <v>38.861776276476007</v>
          </cell>
          <cell r="AC100">
            <v>8.3667652536038677</v>
          </cell>
          <cell r="AD100">
            <v>41.019888546762246</v>
          </cell>
          <cell r="AE100">
            <v>6.6646977478439533</v>
          </cell>
          <cell r="AF100">
            <v>32.387439465617312</v>
          </cell>
          <cell r="AG100">
            <v>6.8542321231386136</v>
          </cell>
          <cell r="AH100">
            <v>33.367801130986599</v>
          </cell>
          <cell r="AI100">
            <v>7.7193322493154026</v>
          </cell>
          <cell r="AJ100">
            <v>37.774981864261989</v>
          </cell>
          <cell r="AK100">
            <v>7.4125238593751508</v>
          </cell>
          <cell r="AL100">
            <v>36.193319316794422</v>
          </cell>
          <cell r="AM100">
            <v>19.485167386596778</v>
          </cell>
          <cell r="AN100">
            <v>94.572202049429038</v>
          </cell>
          <cell r="AQ100">
            <v>1.0833179284981212E-2</v>
          </cell>
          <cell r="AR100">
            <v>5.3575661983086283E-2</v>
          </cell>
          <cell r="AS100">
            <v>4.5379702334816434E-3</v>
          </cell>
          <cell r="AT100">
            <v>2.2442604605960908E-2</v>
          </cell>
          <cell r="AU100">
            <v>6.2952090514995698E-3</v>
          </cell>
          <cell r="AV100">
            <v>3.1133057377125375E-2</v>
          </cell>
          <cell r="AW100">
            <v>1</v>
          </cell>
          <cell r="AX100">
            <v>4.9455160460015595</v>
          </cell>
          <cell r="AY100">
            <v>0</v>
          </cell>
          <cell r="AZ100">
            <v>0</v>
          </cell>
          <cell r="BA100">
            <v>1.0021975853094038</v>
          </cell>
          <cell r="BB100">
            <v>0</v>
          </cell>
          <cell r="BC100">
            <v>1.0547347623195183E-2</v>
          </cell>
          <cell r="BD100">
            <v>0</v>
          </cell>
          <cell r="BE100">
            <v>5.1847026672568524E-3</v>
          </cell>
          <cell r="BF100">
            <v>0</v>
          </cell>
          <cell r="BG100">
            <v>0</v>
          </cell>
          <cell r="BH100">
            <v>0</v>
          </cell>
          <cell r="BI100">
            <v>0</v>
          </cell>
          <cell r="BJ100">
            <v>4.4254585627240148E-2</v>
          </cell>
          <cell r="BK100">
            <v>0.2287711116637636</v>
          </cell>
          <cell r="BL100">
            <v>4.3733432508960578E-2</v>
          </cell>
          <cell r="BM100">
            <v>0.22607704557940136</v>
          </cell>
          <cell r="BN100">
            <v>4.7164357204301087E-2</v>
          </cell>
          <cell r="BO100">
            <v>0.24381298063478635</v>
          </cell>
          <cell r="BP100">
            <v>4.5166603584229401E-2</v>
          </cell>
          <cell r="BQ100">
            <v>0.23348572731139763</v>
          </cell>
          <cell r="BR100">
            <v>0.14005407115292715</v>
          </cell>
          <cell r="BS100">
            <v>0.69263965619464529</v>
          </cell>
          <cell r="BT100">
            <v>0.2173802429218937</v>
          </cell>
          <cell r="BU100">
            <v>4.3494078975799972</v>
          </cell>
          <cell r="BV100">
            <v>0.11885482161997461</v>
          </cell>
          <cell r="BW100">
            <v>3.778667417132493</v>
          </cell>
          <cell r="BX100">
            <v>8.6952097168757486E-2</v>
          </cell>
          <cell r="BY100">
            <v>3.593860531353489</v>
          </cell>
          <cell r="BZ100">
            <v>0.11289686392197135</v>
          </cell>
          <cell r="CA100">
            <v>3.744154013443266</v>
          </cell>
          <cell r="CB100">
            <v>0.18079514803813901</v>
          </cell>
          <cell r="CC100">
            <v>4.1374768613534609</v>
          </cell>
          <cell r="CD100">
            <v>0.11799399585800389</v>
          </cell>
          <cell r="CE100">
            <v>3.773680804515398</v>
          </cell>
          <cell r="CF100">
            <v>0.14543809936072294</v>
          </cell>
          <cell r="CG100">
            <v>3.9326596813536314</v>
          </cell>
          <cell r="CH100">
            <v>1.3387129772455125E-3</v>
          </cell>
          <cell r="CI100">
            <v>2.9479352733365268E-2</v>
          </cell>
          <cell r="CJ100">
            <v>1.2468365281526547E-3</v>
          </cell>
          <cell r="CK100">
            <v>2.0360559119296271E-2</v>
          </cell>
        </row>
        <row r="101">
          <cell r="A101">
            <v>6</v>
          </cell>
          <cell r="B101">
            <v>2023</v>
          </cell>
          <cell r="C101">
            <v>7.5579442762519183E-2</v>
          </cell>
          <cell r="D101">
            <v>0.41479873270970657</v>
          </cell>
          <cell r="E101">
            <v>7.0063765649367837E-2</v>
          </cell>
          <cell r="F101">
            <v>0.38164722715584848</v>
          </cell>
          <cell r="G101">
            <v>7.4129051173645238E-2</v>
          </cell>
          <cell r="H101">
            <v>0.3883703320897644</v>
          </cell>
          <cell r="I101">
            <v>6.0261718117225589E-2</v>
          </cell>
          <cell r="J101">
            <v>0.31923561791947647</v>
          </cell>
          <cell r="K101">
            <v>174.89100292179705</v>
          </cell>
          <cell r="L101">
            <v>843.27535040631358</v>
          </cell>
          <cell r="M101">
            <v>0</v>
          </cell>
          <cell r="N101">
            <v>0</v>
          </cell>
          <cell r="O101">
            <v>10.739952210274792</v>
          </cell>
          <cell r="P101">
            <v>63.598327519593489</v>
          </cell>
          <cell r="Q101">
            <v>84.296373954599773</v>
          </cell>
          <cell r="R101">
            <v>499.17432540806396</v>
          </cell>
          <cell r="S101">
            <v>20.90926154556945</v>
          </cell>
          <cell r="T101">
            <v>118.16696700807485</v>
          </cell>
          <cell r="U101">
            <v>19.241596316181905</v>
          </cell>
          <cell r="V101">
            <v>108.44946614288288</v>
          </cell>
          <cell r="W101">
            <v>18.823129316851041</v>
          </cell>
          <cell r="X101">
            <v>106.10246005933371</v>
          </cell>
          <cell r="Y101">
            <v>8.2699885130800972</v>
          </cell>
          <cell r="Z101">
            <v>48.144439662179444</v>
          </cell>
          <cell r="AA101">
            <v>8.031800723506457</v>
          </cell>
          <cell r="AB101">
            <v>46.701956616595865</v>
          </cell>
          <cell r="AC101">
            <v>8.4573175999464372</v>
          </cell>
          <cell r="AD101">
            <v>49.275433904503892</v>
          </cell>
          <cell r="AE101">
            <v>6.755250094186521</v>
          </cell>
          <cell r="AF101">
            <v>38.981524752871813</v>
          </cell>
          <cell r="AG101">
            <v>6.9447844694811831</v>
          </cell>
          <cell r="AH101">
            <v>40.14689893711661</v>
          </cell>
          <cell r="AI101">
            <v>7.8098845956579712</v>
          </cell>
          <cell r="AJ101">
            <v>45.398540487458376</v>
          </cell>
          <cell r="AK101">
            <v>7.5030762057177185</v>
          </cell>
          <cell r="AL101">
            <v>43.517389296061495</v>
          </cell>
          <cell r="AM101">
            <v>19.613538838137547</v>
          </cell>
          <cell r="AN101">
            <v>113.7178067391592</v>
          </cell>
          <cell r="AQ101">
            <v>1.0833179284981212E-2</v>
          </cell>
          <cell r="AR101">
            <v>6.4150386403542717E-2</v>
          </cell>
          <cell r="AS101">
            <v>4.5379702334816434E-3</v>
          </cell>
          <cell r="AT101">
            <v>2.6872309255438237E-2</v>
          </cell>
          <cell r="AU101">
            <v>6.2952090514995698E-3</v>
          </cell>
          <cell r="AV101">
            <v>3.7278077148104494E-2</v>
          </cell>
          <cell r="AW101">
            <v>1</v>
          </cell>
          <cell r="AX101">
            <v>5.9216583346385541</v>
          </cell>
          <cell r="AY101">
            <v>0</v>
          </cell>
          <cell r="AZ101">
            <v>0</v>
          </cell>
          <cell r="BA101">
            <v>1.0021975853094038</v>
          </cell>
          <cell r="BB101">
            <v>0</v>
          </cell>
          <cell r="BC101">
            <v>1.0547347623195183E-2</v>
          </cell>
          <cell r="BD101">
            <v>0</v>
          </cell>
          <cell r="BE101">
            <v>5.1847026672568524E-3</v>
          </cell>
          <cell r="BF101">
            <v>0</v>
          </cell>
          <cell r="BG101">
            <v>0</v>
          </cell>
          <cell r="BH101">
            <v>0</v>
          </cell>
          <cell r="BI101">
            <v>0</v>
          </cell>
          <cell r="BJ101">
            <v>4.3016622371565123E-2</v>
          </cell>
          <cell r="BK101">
            <v>0.27076145587497658</v>
          </cell>
          <cell r="BL101">
            <v>4.2510047819593798E-2</v>
          </cell>
          <cell r="BM101">
            <v>0.26757290094808767</v>
          </cell>
          <cell r="BN101">
            <v>4.5844996953405021E-2</v>
          </cell>
          <cell r="BO101">
            <v>0.28856422088343919</v>
          </cell>
          <cell r="BP101">
            <v>4.3903127837514939E-2</v>
          </cell>
          <cell r="BQ101">
            <v>0.27634142699703201</v>
          </cell>
          <cell r="BR101">
            <v>0.14005407115292715</v>
          </cell>
          <cell r="BS101">
            <v>0.82935235774279192</v>
          </cell>
          <cell r="BT101">
            <v>0.21736578584363803</v>
          </cell>
          <cell r="BU101">
            <v>4.5615878332447846</v>
          </cell>
          <cell r="BV101">
            <v>0.11884691706786753</v>
          </cell>
          <cell r="BW101">
            <v>3.894678918756572</v>
          </cell>
          <cell r="BX101">
            <v>8.6946314337455213E-2</v>
          </cell>
          <cell r="BY101">
            <v>3.6787325056194042</v>
          </cell>
          <cell r="BZ101">
            <v>0.1128893556094651</v>
          </cell>
          <cell r="CA101">
            <v>3.8543500873906447</v>
          </cell>
          <cell r="CB101">
            <v>0.18078312408615377</v>
          </cell>
          <cell r="CC101">
            <v>4.3139469138458644</v>
          </cell>
          <cell r="CD101">
            <v>0.11798614855592672</v>
          </cell>
          <cell r="CE101">
            <v>3.8888520735942449</v>
          </cell>
          <cell r="CF101">
            <v>0.14542842686263593</v>
          </cell>
          <cell r="CG101">
            <v>4.0746185187842032</v>
          </cell>
          <cell r="CH101">
            <v>1.3386711962893535E-3</v>
          </cell>
          <cell r="CI101">
            <v>3.0786086298643583E-2</v>
          </cell>
          <cell r="CJ101">
            <v>1.2467738567184163E-3</v>
          </cell>
          <cell r="CK101">
            <v>2.1577587805206161E-2</v>
          </cell>
        </row>
        <row r="102">
          <cell r="A102">
            <v>7</v>
          </cell>
          <cell r="B102">
            <v>2024</v>
          </cell>
          <cell r="C102">
            <v>7.8418787623439054E-2</v>
          </cell>
          <cell r="D102">
            <v>0.4910112922705212</v>
          </cell>
          <cell r="E102">
            <v>7.294897055261039E-2</v>
          </cell>
          <cell r="F102">
            <v>0.45254385705323785</v>
          </cell>
          <cell r="G102">
            <v>7.4792631692447903E-2</v>
          </cell>
          <cell r="H102">
            <v>0.46105875370809368</v>
          </cell>
          <cell r="I102">
            <v>6.3204448617642989E-2</v>
          </cell>
          <cell r="J102">
            <v>0.38066187750297442</v>
          </cell>
          <cell r="K102">
            <v>178.50130770938495</v>
          </cell>
          <cell r="L102">
            <v>1016.7547162288299</v>
          </cell>
          <cell r="M102">
            <v>0</v>
          </cell>
          <cell r="N102">
            <v>0</v>
          </cell>
          <cell r="O102">
            <v>10.739952210274792</v>
          </cell>
          <cell r="P102">
            <v>74.036122750965035</v>
          </cell>
          <cell r="Q102">
            <v>84.296373954599773</v>
          </cell>
          <cell r="R102">
            <v>581.09911174402873</v>
          </cell>
          <cell r="S102">
            <v>21.27109343057348</v>
          </cell>
          <cell r="T102">
            <v>138.83962115296868</v>
          </cell>
          <cell r="U102">
            <v>19.547653183068427</v>
          </cell>
          <cell r="V102">
            <v>127.44716717394886</v>
          </cell>
          <cell r="W102">
            <v>19.094084505060845</v>
          </cell>
          <cell r="X102">
            <v>124.65935307824876</v>
          </cell>
          <cell r="Y102">
            <v>8.4839906051734122</v>
          </cell>
          <cell r="Z102">
            <v>56.389742336521067</v>
          </cell>
          <cell r="AA102">
            <v>8.2404139526965459</v>
          </cell>
          <cell r="AB102">
            <v>54.710535405028196</v>
          </cell>
          <cell r="AC102">
            <v>8.6713196920397504</v>
          </cell>
          <cell r="AD102">
            <v>57.702795363773824</v>
          </cell>
          <cell r="AE102">
            <v>6.9476967346669332</v>
          </cell>
          <cell r="AF102">
            <v>45.733755528791328</v>
          </cell>
          <cell r="AG102">
            <v>7.1372311099615926</v>
          </cell>
          <cell r="AH102">
            <v>47.083331742979887</v>
          </cell>
          <cell r="AI102">
            <v>8.0131089619448321</v>
          </cell>
          <cell r="AJ102">
            <v>53.186209266043036</v>
          </cell>
          <cell r="AK102">
            <v>7.6955228461981298</v>
          </cell>
          <cell r="AL102">
            <v>50.996406901941739</v>
          </cell>
          <cell r="AM102">
            <v>19.769979297706993</v>
          </cell>
          <cell r="AN102">
            <v>132.93157897927239</v>
          </cell>
          <cell r="AQ102">
            <v>1.0833179284981212E-2</v>
          </cell>
          <cell r="AR102">
            <v>7.4678785866362757E-2</v>
          </cell>
          <cell r="AS102">
            <v>4.5379702334816434E-3</v>
          </cell>
          <cell r="AT102">
            <v>3.1282608587852936E-2</v>
          </cell>
          <cell r="AU102">
            <v>6.2952090514995698E-3</v>
          </cell>
          <cell r="AV102">
            <v>4.3396177278509827E-2</v>
          </cell>
          <cell r="AW102">
            <v>1</v>
          </cell>
          <cell r="AX102">
            <v>6.8935244125328135</v>
          </cell>
          <cell r="AY102">
            <v>0</v>
          </cell>
          <cell r="AZ102">
            <v>0</v>
          </cell>
          <cell r="BA102">
            <v>1.0021975853094038</v>
          </cell>
          <cell r="BB102">
            <v>0</v>
          </cell>
          <cell r="BC102">
            <v>1.0547347623195183E-2</v>
          </cell>
          <cell r="BD102">
            <v>0</v>
          </cell>
          <cell r="BE102">
            <v>5.1847026672568524E-3</v>
          </cell>
          <cell r="BF102">
            <v>0</v>
          </cell>
          <cell r="BG102">
            <v>0</v>
          </cell>
          <cell r="BH102">
            <v>0</v>
          </cell>
          <cell r="BI102">
            <v>0</v>
          </cell>
          <cell r="BJ102">
            <v>4.1783860642174445E-2</v>
          </cell>
          <cell r="BK102">
            <v>0.31136977263656695</v>
          </cell>
          <cell r="BL102">
            <v>4.129180340203107E-2</v>
          </cell>
          <cell r="BM102">
            <v>0.30770300396960049</v>
          </cell>
          <cell r="BN102">
            <v>4.4531180232974921E-2</v>
          </cell>
          <cell r="BO102">
            <v>0.33184256436046289</v>
          </cell>
          <cell r="BP102">
            <v>4.2644960812425338E-2</v>
          </cell>
          <cell r="BQ102">
            <v>0.31778661780375822</v>
          </cell>
          <cell r="BR102">
            <v>0.14005407115292715</v>
          </cell>
          <cell r="BS102">
            <v>0.96546615856731099</v>
          </cell>
          <cell r="BT102">
            <v>0.21699676567935164</v>
          </cell>
          <cell r="BU102">
            <v>4.7724796288213156</v>
          </cell>
          <cell r="BV102">
            <v>0.11864515160284232</v>
          </cell>
          <cell r="BW102">
            <v>4.0099861169059974</v>
          </cell>
          <cell r="BX102">
            <v>8.6798706271740661E-2</v>
          </cell>
          <cell r="BY102">
            <v>3.7630892238500167</v>
          </cell>
          <cell r="BZ102">
            <v>0.11269770424910265</v>
          </cell>
          <cell r="CA102">
            <v>3.9638771632069076</v>
          </cell>
          <cell r="CB102">
            <v>0.18047621001551678</v>
          </cell>
          <cell r="CC102">
            <v>4.4893456202268656</v>
          </cell>
          <cell r="CD102">
            <v>0.11778584441075207</v>
          </cell>
          <cell r="CE102">
            <v>4.0033241402331852</v>
          </cell>
          <cell r="CF102">
            <v>0.14518153418003424</v>
          </cell>
          <cell r="CG102">
            <v>4.2157155269904241</v>
          </cell>
          <cell r="CH102">
            <v>1.3376047280145658E-3</v>
          </cell>
          <cell r="CI102">
            <v>3.2086058959431916E-2</v>
          </cell>
          <cell r="CJ102">
            <v>1.2451741543062348E-3</v>
          </cell>
          <cell r="CK102">
            <v>2.2787730326847062E-2</v>
          </cell>
        </row>
        <row r="103">
          <cell r="A103">
            <v>8</v>
          </cell>
          <cell r="B103">
            <v>2025</v>
          </cell>
          <cell r="C103">
            <v>8.3037007234541965E-2</v>
          </cell>
          <cell r="D103">
            <v>0.57135861459341208</v>
          </cell>
          <cell r="E103">
            <v>7.529172405358639E-2</v>
          </cell>
          <cell r="F103">
            <v>0.52539677676038232</v>
          </cell>
          <cell r="G103">
            <v>8.0820093089687378E-2</v>
          </cell>
          <cell r="H103">
            <v>0.53926097083884184</v>
          </cell>
          <cell r="I103">
            <v>6.545747406430355E-2</v>
          </cell>
          <cell r="J103">
            <v>0.44399909234540769</v>
          </cell>
          <cell r="K103">
            <v>182.21764231692606</v>
          </cell>
          <cell r="L103">
            <v>1193.0700740162554</v>
          </cell>
          <cell r="M103">
            <v>0</v>
          </cell>
          <cell r="N103">
            <v>0</v>
          </cell>
          <cell r="O103">
            <v>10.739952210274792</v>
          </cell>
          <cell r="P103">
            <v>84.428192873796121</v>
          </cell>
          <cell r="Q103">
            <v>84.296373954599773</v>
          </cell>
          <cell r="R103">
            <v>662.66500813586936</v>
          </cell>
          <cell r="S103">
            <v>21.605438127870073</v>
          </cell>
          <cell r="T103">
            <v>159.74522889343083</v>
          </cell>
          <cell r="U103">
            <v>19.870558262794173</v>
          </cell>
          <cell r="V103">
            <v>146.674090236903</v>
          </cell>
          <cell r="W103">
            <v>19.4052163258531</v>
          </cell>
          <cell r="X103">
            <v>143.43600728105292</v>
          </cell>
          <cell r="Y103">
            <v>8.5821359477321124</v>
          </cell>
          <cell r="Z103">
            <v>64.69389088637945</v>
          </cell>
          <cell r="AA103">
            <v>8.3439481581584722</v>
          </cell>
          <cell r="AB103">
            <v>62.784211401267257</v>
          </cell>
          <cell r="AC103">
            <v>8.7694650345984506</v>
          </cell>
          <cell r="AD103">
            <v>66.188205149124329</v>
          </cell>
          <cell r="AE103">
            <v>7.0673975288385371</v>
          </cell>
          <cell r="AF103">
            <v>52.57223015769604</v>
          </cell>
          <cell r="AG103">
            <v>7.2569319041331966</v>
          </cell>
          <cell r="AH103">
            <v>54.10520146342558</v>
          </cell>
          <cell r="AI103">
            <v>8.1220320303099864</v>
          </cell>
          <cell r="AJ103">
            <v>61.045157308485223</v>
          </cell>
          <cell r="AK103">
            <v>7.8152236403697319</v>
          </cell>
          <cell r="AL103">
            <v>58.558484507708989</v>
          </cell>
          <cell r="AM103">
            <v>19.957883119544359</v>
          </cell>
          <cell r="AN103">
            <v>152.24299832461651</v>
          </cell>
          <cell r="AQ103">
            <v>1.0833179284981212E-2</v>
          </cell>
          <cell r="AR103">
            <v>8.5161063308437659E-2</v>
          </cell>
          <cell r="AS103">
            <v>4.5379702334816434E-3</v>
          </cell>
          <cell r="AT103">
            <v>3.5673587612558934E-2</v>
          </cell>
          <cell r="AU103">
            <v>6.2952090514995698E-3</v>
          </cell>
          <cell r="AV103">
            <v>4.9487475695878733E-2</v>
          </cell>
          <cell r="AW103">
            <v>1</v>
          </cell>
          <cell r="AX103">
            <v>7.8611330125868353</v>
          </cell>
          <cell r="AY103">
            <v>0</v>
          </cell>
          <cell r="AZ103">
            <v>0</v>
          </cell>
          <cell r="BA103">
            <v>1.0021975853094038</v>
          </cell>
          <cell r="BB103">
            <v>0</v>
          </cell>
          <cell r="BC103">
            <v>1.0547347623195183E-2</v>
          </cell>
          <cell r="BD103">
            <v>0</v>
          </cell>
          <cell r="BE103">
            <v>5.1847026672568524E-3</v>
          </cell>
          <cell r="BF103">
            <v>0</v>
          </cell>
          <cell r="BG103">
            <v>0</v>
          </cell>
          <cell r="BH103">
            <v>0</v>
          </cell>
          <cell r="BI103">
            <v>0</v>
          </cell>
          <cell r="BJ103">
            <v>4.0545897386499413E-2</v>
          </cell>
          <cell r="BK103">
            <v>0.35060233164465177</v>
          </cell>
          <cell r="BL103">
            <v>4.006841871266429E-2</v>
          </cell>
          <cell r="BM103">
            <v>0.34647355050653994</v>
          </cell>
          <cell r="BN103">
            <v>4.3211819982078861E-2</v>
          </cell>
          <cell r="BO103">
            <v>0.37365469299910858</v>
          </cell>
          <cell r="BP103">
            <v>4.1381485065710877E-2</v>
          </cell>
          <cell r="BQ103">
            <v>0.35782769863634711</v>
          </cell>
          <cell r="BR103">
            <v>0.14005407115292715</v>
          </cell>
          <cell r="BS103">
            <v>1.1009836822874615</v>
          </cell>
          <cell r="BT103">
            <v>0.21662929761392419</v>
          </cell>
          <cell r="BU103">
            <v>4.9820920002162117</v>
          </cell>
          <cell r="BV103">
            <v>0.11844423476338919</v>
          </cell>
          <cell r="BW103">
            <v>4.1245937770898697</v>
          </cell>
          <cell r="BX103">
            <v>8.6651719045569675E-2</v>
          </cell>
          <cell r="BY103">
            <v>3.8469341724079751</v>
          </cell>
          <cell r="BZ103">
            <v>0.11250685897438677</v>
          </cell>
          <cell r="CA103">
            <v>4.0727397675155892</v>
          </cell>
          <cell r="CB103">
            <v>0.18017058682550074</v>
          </cell>
          <cell r="CC103">
            <v>4.6636802295160011</v>
          </cell>
          <cell r="CD103">
            <v>0.11758638274483806</v>
          </cell>
          <cell r="CE103">
            <v>4.117101735426334</v>
          </cell>
          <cell r="CF103">
            <v>0.14493567992808765</v>
          </cell>
          <cell r="CG103">
            <v>4.355956537343519</v>
          </cell>
          <cell r="CH103">
            <v>1.3365427453054808E-3</v>
          </cell>
          <cell r="CI103">
            <v>3.3379309214129307E-2</v>
          </cell>
          <cell r="CJ103">
            <v>1.2435811802426068E-3</v>
          </cell>
          <cell r="CK103">
            <v>2.3991030171715139E-2</v>
          </cell>
        </row>
        <row r="104">
          <cell r="A104">
            <v>9</v>
          </cell>
          <cell r="B104">
            <v>2026</v>
          </cell>
          <cell r="C104">
            <v>8.4464262367603807E-2</v>
          </cell>
          <cell r="D104">
            <v>0.65272893186154501</v>
          </cell>
          <cell r="E104">
            <v>7.7725010092089708E-2</v>
          </cell>
          <cell r="F104">
            <v>0.60027470209330924</v>
          </cell>
          <cell r="G104">
            <v>8.5434725081587157E-2</v>
          </cell>
          <cell r="H104">
            <v>0.62156620255150108</v>
          </cell>
          <cell r="I104">
            <v>6.8203668206913259E-2</v>
          </cell>
          <cell r="J104">
            <v>0.50970444470725595</v>
          </cell>
          <cell r="K104">
            <v>182.96133251116859</v>
          </cell>
          <cell r="L104">
            <v>1369.3294913949394</v>
          </cell>
          <cell r="M104">
            <v>0</v>
          </cell>
          <cell r="N104">
            <v>0</v>
          </cell>
          <cell r="O104">
            <v>10.739952210274792</v>
          </cell>
          <cell r="P104">
            <v>94.774738197204215</v>
          </cell>
          <cell r="Q104">
            <v>84.296373954599773</v>
          </cell>
          <cell r="R104">
            <v>743.87358678166856</v>
          </cell>
          <cell r="S104">
            <v>21.854578739700273</v>
          </cell>
          <cell r="T104">
            <v>180.79926945405586</v>
          </cell>
          <cell r="U104">
            <v>20.142304308180872</v>
          </cell>
          <cell r="V104">
            <v>166.07857736703141</v>
          </cell>
          <cell r="W104">
            <v>19.693713404795492</v>
          </cell>
          <cell r="X104">
            <v>162.40833549439353</v>
          </cell>
          <cell r="Y104">
            <v>8.6988906391864216</v>
          </cell>
          <cell r="Z104">
            <v>73.074139187261778</v>
          </cell>
          <cell r="AA104">
            <v>8.4580084181611692</v>
          </cell>
          <cell r="AB104">
            <v>70.932401051548084</v>
          </cell>
          <cell r="AC104">
            <v>8.886219726052758</v>
          </cell>
          <cell r="AD104">
            <v>74.748920629907246</v>
          </cell>
          <cell r="AE104">
            <v>7.1733744944863931</v>
          </cell>
          <cell r="AF104">
            <v>59.482842316470645</v>
          </cell>
          <cell r="AG104">
            <v>7.3629088697810525</v>
          </cell>
          <cell r="AH104">
            <v>61.198405310313454</v>
          </cell>
          <cell r="AI104">
            <v>8.2387867217642956</v>
          </cell>
          <cell r="AJ104">
            <v>68.982155402859988</v>
          </cell>
          <cell r="AK104">
            <v>7.9212006060175906</v>
          </cell>
          <cell r="AL104">
            <v>66.189529737832203</v>
          </cell>
          <cell r="AM104">
            <v>20.113670137757172</v>
          </cell>
          <cell r="AN104">
            <v>171.61990016048233</v>
          </cell>
          <cell r="AQ104">
            <v>1.0833179284981212E-2</v>
          </cell>
          <cell r="AR104">
            <v>9.5597420777648046E-2</v>
          </cell>
          <cell r="AS104">
            <v>4.5379702334816434E-3</v>
          </cell>
          <cell r="AT104">
            <v>4.0045330966507552E-2</v>
          </cell>
          <cell r="AU104">
            <v>6.2952090514995698E-3</v>
          </cell>
          <cell r="AV104">
            <v>5.5552089811140487E-2</v>
          </cell>
          <cell r="AW104">
            <v>1</v>
          </cell>
          <cell r="AX104">
            <v>8.824502785639428</v>
          </cell>
          <cell r="AY104">
            <v>0</v>
          </cell>
          <cell r="AZ104">
            <v>0</v>
          </cell>
          <cell r="BA104">
            <v>1.0021975853094038</v>
          </cell>
          <cell r="BB104">
            <v>0</v>
          </cell>
          <cell r="BC104">
            <v>1.0547347623195183E-2</v>
          </cell>
          <cell r="BD104">
            <v>0</v>
          </cell>
          <cell r="BE104">
            <v>5.1847026672568524E-3</v>
          </cell>
          <cell r="BF104">
            <v>0</v>
          </cell>
          <cell r="BG104">
            <v>0</v>
          </cell>
          <cell r="BH104">
            <v>0</v>
          </cell>
          <cell r="BI104">
            <v>0</v>
          </cell>
          <cell r="BJ104">
            <v>3.9307934130824368E-2</v>
          </cell>
          <cell r="BK104">
            <v>0.3884704072274302</v>
          </cell>
          <cell r="BL104">
            <v>3.8845034023297496E-2</v>
          </cell>
          <cell r="BM104">
            <v>0.38389568211778424</v>
          </cell>
          <cell r="BN104">
            <v>4.1892459731182802E-2</v>
          </cell>
          <cell r="BO104">
            <v>0.414012622422953</v>
          </cell>
          <cell r="BP104">
            <v>4.0118009318996416E-2</v>
          </cell>
          <cell r="BQ104">
            <v>0.39647617616931047</v>
          </cell>
          <cell r="BR104">
            <v>0.14005407115292715</v>
          </cell>
          <cell r="BS104">
            <v>1.2359075410291482</v>
          </cell>
          <cell r="BT104">
            <v>0.21626337612081561</v>
          </cell>
          <cell r="BU104">
            <v>5.1904335997893085</v>
          </cell>
          <cell r="BV104">
            <v>0.11824416352781715</v>
          </cell>
          <cell r="BW104">
            <v>4.2385066300724565</v>
          </cell>
          <cell r="BX104">
            <v>8.6505350448326246E-2</v>
          </cell>
          <cell r="BY104">
            <v>3.9302708122372141</v>
          </cell>
          <cell r="BZ104">
            <v>0.11231681691509783</v>
          </cell>
          <cell r="CA104">
            <v>4.1809423939370758</v>
          </cell>
          <cell r="CB104">
            <v>0.17986624991968236</v>
          </cell>
          <cell r="CC104">
            <v>4.8369579378809462</v>
          </cell>
          <cell r="CD104">
            <v>0.11738776055837871</v>
          </cell>
          <cell r="CE104">
            <v>4.2301895556746123</v>
          </cell>
          <cell r="CF104">
            <v>0.1446908604092684</v>
          </cell>
          <cell r="CG104">
            <v>4.495347338698779</v>
          </cell>
          <cell r="CH104">
            <v>1.3354852321903967E-3</v>
          </cell>
          <cell r="CI104">
            <v>3.4665875319179661E-2</v>
          </cell>
          <cell r="CJ104">
            <v>1.2419949105699813E-3</v>
          </cell>
          <cell r="CK104">
            <v>2.5187530526843416E-2</v>
          </cell>
        </row>
        <row r="105">
          <cell r="A105">
            <v>10</v>
          </cell>
          <cell r="B105">
            <v>2027</v>
          </cell>
          <cell r="C105">
            <v>8.5803156248414711E-2</v>
          </cell>
          <cell r="D105">
            <v>0.73502698757862117</v>
          </cell>
          <cell r="E105">
            <v>7.9728621010986447E-2</v>
          </cell>
          <cell r="F105">
            <v>0.67674637028242723</v>
          </cell>
          <cell r="G105">
            <v>8.2897572611307077E-2</v>
          </cell>
          <cell r="H105">
            <v>0.7010773691317137</v>
          </cell>
          <cell r="I105">
            <v>7.0072725337772326E-2</v>
          </cell>
          <cell r="J105">
            <v>0.57691466524272605</v>
          </cell>
          <cell r="K105">
            <v>181.26220993732784</v>
          </cell>
          <cell r="L105">
            <v>1543.1870521778296</v>
          </cell>
          <cell r="M105">
            <v>0</v>
          </cell>
          <cell r="N105">
            <v>0</v>
          </cell>
          <cell r="O105">
            <v>10.739952210274792</v>
          </cell>
          <cell r="P105">
            <v>105.07595815280767</v>
          </cell>
          <cell r="Q105">
            <v>84.296373954599773</v>
          </cell>
          <cell r="R105">
            <v>824.72641299214172</v>
          </cell>
          <cell r="S105">
            <v>22.208146844788985</v>
          </cell>
          <cell r="T105">
            <v>202.1002027334097</v>
          </cell>
          <cell r="U105">
            <v>20.491180237585148</v>
          </cell>
          <cell r="V105">
            <v>185.73268295749554</v>
          </cell>
          <cell r="W105">
            <v>20.040195614345361</v>
          </cell>
          <cell r="X105">
            <v>181.62987940212093</v>
          </cell>
          <cell r="Y105">
            <v>8.7804619407287987</v>
          </cell>
          <cell r="Z105">
            <v>81.495915000818954</v>
          </cell>
          <cell r="AA105">
            <v>8.5395797197035463</v>
          </cell>
          <cell r="AB105">
            <v>79.123134799592009</v>
          </cell>
          <cell r="AC105">
            <v>8.9677910275951369</v>
          </cell>
          <cell r="AD105">
            <v>83.350373046312455</v>
          </cell>
          <cell r="AE105">
            <v>7.2549457960287711</v>
          </cell>
          <cell r="AF105">
            <v>66.441420059430712</v>
          </cell>
          <cell r="AG105">
            <v>7.4444801713234305</v>
          </cell>
          <cell r="AH105">
            <v>68.338774857448414</v>
          </cell>
          <cell r="AI105">
            <v>8.3203580233066727</v>
          </cell>
          <cell r="AJ105">
            <v>76.962622767086643</v>
          </cell>
          <cell r="AK105">
            <v>8.0027719075599677</v>
          </cell>
          <cell r="AL105">
            <v>73.865384533110685</v>
          </cell>
          <cell r="AM105">
            <v>20.269796752340056</v>
          </cell>
          <cell r="AN105">
            <v>191.06166588840341</v>
          </cell>
          <cell r="AQ105">
            <v>1.0833179284981212E-2</v>
          </cell>
          <cell r="AR105">
            <v>0.10598805943675835</v>
          </cell>
          <cell r="AS105">
            <v>4.5379702334816434E-3</v>
          </cell>
          <cell r="AT105">
            <v>4.4397922915878942E-2</v>
          </cell>
          <cell r="AU105">
            <v>6.2952090514995698E-3</v>
          </cell>
          <cell r="AV105">
            <v>6.1590136520879392E-2</v>
          </cell>
          <cell r="AW105">
            <v>1</v>
          </cell>
          <cell r="AX105">
            <v>9.7836523008252012</v>
          </cell>
          <cell r="AY105">
            <v>0</v>
          </cell>
          <cell r="AZ105">
            <v>0</v>
          </cell>
          <cell r="BA105">
            <v>1.0021975853094038</v>
          </cell>
          <cell r="BB105">
            <v>0</v>
          </cell>
          <cell r="BC105">
            <v>1.0547347623195183E-2</v>
          </cell>
          <cell r="BD105">
            <v>0</v>
          </cell>
          <cell r="BE105">
            <v>5.1847026672568524E-3</v>
          </cell>
          <cell r="BF105">
            <v>0</v>
          </cell>
          <cell r="BG105">
            <v>0</v>
          </cell>
          <cell r="BH105">
            <v>0</v>
          </cell>
          <cell r="BI105">
            <v>0</v>
          </cell>
          <cell r="BJ105">
            <v>3.8075172401433696E-2</v>
          </cell>
          <cell r="BK105">
            <v>0.42499019037688007</v>
          </cell>
          <cell r="BL105">
            <v>3.7626789605734783E-2</v>
          </cell>
          <cell r="BM105">
            <v>0.41998539912612193</v>
          </cell>
          <cell r="BN105">
            <v>4.0578643010752695E-2</v>
          </cell>
          <cell r="BO105">
            <v>0.45293360819361306</v>
          </cell>
          <cell r="BP105">
            <v>3.8859842293906814E-2</v>
          </cell>
          <cell r="BQ105">
            <v>0.4337485750657068</v>
          </cell>
          <cell r="BR105">
            <v>0.14005407115292715</v>
          </cell>
          <cell r="BS105">
            <v>1.3702403354752719</v>
          </cell>
          <cell r="BT105">
            <v>0.21589899569661389</v>
          </cell>
          <cell r="BU105">
            <v>5.3975130168408114</v>
          </cell>
          <cell r="BV105">
            <v>0.11804493488708064</v>
          </cell>
          <cell r="BW105">
            <v>4.3517293721395367</v>
          </cell>
          <cell r="BX105">
            <v>8.6359598278645561E-2</v>
          </cell>
          <cell r="BY105">
            <v>4.0131025790578159</v>
          </cell>
          <cell r="BZ105">
            <v>0.11212757521302784</v>
          </cell>
          <cell r="CA105">
            <v>4.2884895033416086</v>
          </cell>
          <cell r="CB105">
            <v>0.17956319472087379</v>
          </cell>
          <cell r="CC105">
            <v>5.0091858890426808</v>
          </cell>
          <cell r="CD105">
            <v>0.11718997486412204</v>
          </cell>
          <cell r="CE105">
            <v>4.3425922632501672</v>
          </cell>
          <cell r="CF105">
            <v>0.14444707194152256</v>
          </cell>
          <cell r="CG105">
            <v>4.6338936777214954</v>
          </cell>
          <cell r="CH105">
            <v>1.3344321727644538E-3</v>
          </cell>
          <cell r="CI105">
            <v>3.5945795290734994E-2</v>
          </cell>
          <cell r="CJ105">
            <v>1.2404153214310666E-3</v>
          </cell>
          <cell r="CK105">
            <v>2.637727428102303E-2</v>
          </cell>
        </row>
        <row r="106">
          <cell r="A106">
            <v>11</v>
          </cell>
          <cell r="B106">
            <v>2028</v>
          </cell>
          <cell r="C106">
            <v>8.8772024963853266E-2</v>
          </cell>
          <cell r="D106">
            <v>0.81979963264646183</v>
          </cell>
          <cell r="E106">
            <v>8.3393930277933404E-2</v>
          </cell>
          <cell r="F106">
            <v>0.75638321595697533</v>
          </cell>
          <cell r="G106">
            <v>8.9147313470360368E-2</v>
          </cell>
          <cell r="H106">
            <v>0.7862083951126082</v>
          </cell>
          <cell r="I106">
            <v>7.4098382871404356E-2</v>
          </cell>
          <cell r="J106">
            <v>0.64767474888187127</v>
          </cell>
          <cell r="K106">
            <v>185.61567582824037</v>
          </cell>
          <cell r="L106">
            <v>1720.4403232665754</v>
          </cell>
          <cell r="M106">
            <v>0</v>
          </cell>
          <cell r="N106">
            <v>0</v>
          </cell>
          <cell r="O106">
            <v>10.739952210274792</v>
          </cell>
          <cell r="P106">
            <v>115.33205129856977</v>
          </cell>
          <cell r="Q106">
            <v>84.296373954599773</v>
          </cell>
          <cell r="R106">
            <v>905.22504522080851</v>
          </cell>
          <cell r="S106">
            <v>22.430722490333782</v>
          </cell>
          <cell r="T106">
            <v>223.52037059668154</v>
          </cell>
          <cell r="U106">
            <v>20.687203808630922</v>
          </cell>
          <cell r="V106">
            <v>205.48788158712281</v>
          </cell>
          <cell r="W106">
            <v>20.216999559833479</v>
          </cell>
          <cell r="X106">
            <v>200.93605754461922</v>
          </cell>
          <cell r="Y106">
            <v>8.8973567975826988</v>
          </cell>
          <cell r="Z106">
            <v>89.992425812085685</v>
          </cell>
          <cell r="AA106">
            <v>8.6483912822026081</v>
          </cell>
          <cell r="AB106">
            <v>87.381896553337029</v>
          </cell>
          <cell r="AC106">
            <v>9.0739081586425865</v>
          </cell>
          <cell r="AD106">
            <v>92.01548118171894</v>
          </cell>
          <cell r="AE106">
            <v>7.3718406528826721</v>
          </cell>
          <cell r="AF106">
            <v>73.481142668191339</v>
          </cell>
          <cell r="AG106">
            <v>7.5613750281773342</v>
          </cell>
          <cell r="AH106">
            <v>75.559492890517035</v>
          </cell>
          <cell r="AI106">
            <v>8.4264751543541223</v>
          </cell>
          <cell r="AJ106">
            <v>85.009466214939806</v>
          </cell>
          <cell r="AK106">
            <v>8.1196667644138696</v>
          </cell>
          <cell r="AL106">
            <v>81.619242000810402</v>
          </cell>
          <cell r="AM106">
            <v>20.396091998585124</v>
          </cell>
          <cell r="AN106">
            <v>210.53886795145334</v>
          </cell>
          <cell r="AQ106">
            <v>1.0833179284981212E-2</v>
          </cell>
          <cell r="AR106">
            <v>0.11633317956729429</v>
          </cell>
          <cell r="AS106">
            <v>4.5379702334816434E-3</v>
          </cell>
          <cell r="AT106">
            <v>4.8731447357706292E-2</v>
          </cell>
          <cell r="AU106">
            <v>6.2952090514995698E-3</v>
          </cell>
          <cell r="AV106">
            <v>6.7601732209587984E-2</v>
          </cell>
          <cell r="AW106">
            <v>1</v>
          </cell>
          <cell r="AX106">
            <v>10.738600045932502</v>
          </cell>
          <cell r="AY106">
            <v>0</v>
          </cell>
          <cell r="AZ106">
            <v>0</v>
          </cell>
          <cell r="BA106">
            <v>1.0021975853094038</v>
          </cell>
          <cell r="BB106">
            <v>0</v>
          </cell>
          <cell r="BC106">
            <v>1.0547347623195183E-2</v>
          </cell>
          <cell r="BD106">
            <v>0</v>
          </cell>
          <cell r="BE106">
            <v>5.1847026672568524E-3</v>
          </cell>
          <cell r="BF106">
            <v>0</v>
          </cell>
          <cell r="BG106">
            <v>0</v>
          </cell>
          <cell r="BH106">
            <v>0</v>
          </cell>
          <cell r="BI106">
            <v>0</v>
          </cell>
          <cell r="BJ106">
            <v>3.6837209145758665E-2</v>
          </cell>
          <cell r="BK106">
            <v>0.46016780018666836</v>
          </cell>
          <cell r="BL106">
            <v>3.6403404916367982E-2</v>
          </cell>
          <cell r="BM106">
            <v>0.45474874856523556</v>
          </cell>
          <cell r="BN106">
            <v>3.9259282759856635E-2</v>
          </cell>
          <cell r="BO106">
            <v>0.49042417173966807</v>
          </cell>
          <cell r="BP106">
            <v>3.7596366547192353E-2</v>
          </cell>
          <cell r="BQ106">
            <v>0.46965114052417573</v>
          </cell>
          <cell r="BR106">
            <v>0.14005407115292715</v>
          </cell>
          <cell r="BS106">
            <v>1.5039846549158575</v>
          </cell>
          <cell r="BT106">
            <v>0.21553615086093786</v>
          </cell>
          <cell r="BU106">
            <v>5.6033387780945709</v>
          </cell>
          <cell r="BV106">
            <v>0.1178465458447264</v>
          </cell>
          <cell r="BW106">
            <v>4.4642666653626426</v>
          </cell>
          <cell r="BX106">
            <v>8.621446034437516E-2</v>
          </cell>
          <cell r="BY106">
            <v>4.0954328835593197</v>
          </cell>
          <cell r="BZ106">
            <v>0.1119391310219298</v>
          </cell>
          <cell r="CA106">
            <v>4.3953855241002708</v>
          </cell>
          <cell r="CB106">
            <v>0.17926141667104206</v>
          </cell>
          <cell r="CC106">
            <v>5.1803711746774326</v>
          </cell>
          <cell r="CD106">
            <v>0.11699302268731708</v>
          </cell>
          <cell r="CE106">
            <v>4.4543144864587081</v>
          </cell>
          <cell r="CF106">
            <v>0.1442043108582049</v>
          </cell>
          <cell r="CG106">
            <v>4.7716012592102901</v>
          </cell>
          <cell r="CH106">
            <v>1.3333835511893499E-3</v>
          </cell>
          <cell r="CI106">
            <v>3.7219106906306428E-2</v>
          </cell>
          <cell r="CJ106">
            <v>1.2388423890684112E-3</v>
          </cell>
          <cell r="CK106">
            <v>2.7560304027007251E-2</v>
          </cell>
        </row>
        <row r="107">
          <cell r="A107">
            <v>12</v>
          </cell>
          <cell r="B107">
            <v>2029</v>
          </cell>
          <cell r="C107">
            <v>9.2961476450210634E-2</v>
          </cell>
          <cell r="D107">
            <v>0.90818409333739591</v>
          </cell>
          <cell r="E107">
            <v>8.7680345636829055E-2</v>
          </cell>
          <cell r="F107">
            <v>0.83974656557477567</v>
          </cell>
          <cell r="G107">
            <v>9.2419425307861985E-2</v>
          </cell>
          <cell r="H107">
            <v>0.87407749288426817</v>
          </cell>
          <cell r="I107">
            <v>7.6899252713424168E-2</v>
          </cell>
          <cell r="J107">
            <v>0.72078781935092828</v>
          </cell>
          <cell r="K107">
            <v>192.83649703978327</v>
          </cell>
          <cell r="L107">
            <v>1903.7823961683396</v>
          </cell>
          <cell r="M107">
            <v>0</v>
          </cell>
          <cell r="N107">
            <v>0</v>
          </cell>
          <cell r="O107">
            <v>10.739952210274792</v>
          </cell>
          <cell r="P107">
            <v>125.54321532262601</v>
          </cell>
          <cell r="Q107">
            <v>84.296373954599773</v>
          </cell>
          <cell r="R107">
            <v>985.37103509403335</v>
          </cell>
          <cell r="S107">
            <v>22.715993097962816</v>
          </cell>
          <cell r="T107">
            <v>245.11792773205855</v>
          </cell>
          <cell r="U107">
            <v>20.983812380244391</v>
          </cell>
          <cell r="V107">
            <v>225.43854299320512</v>
          </cell>
          <cell r="W107">
            <v>20.525870972464851</v>
          </cell>
          <cell r="X107">
            <v>220.45132457122091</v>
          </cell>
          <cell r="Y107">
            <v>9.0952435075497231</v>
          </cell>
          <cell r="Z107">
            <v>98.639859383109595</v>
          </cell>
          <cell r="AA107">
            <v>8.8462779921696324</v>
          </cell>
          <cell r="AB107">
            <v>95.792622580034291</v>
          </cell>
          <cell r="AC107">
            <v>9.2717948686096108</v>
          </cell>
          <cell r="AD107">
            <v>100.83077349840174</v>
          </cell>
          <cell r="AE107">
            <v>7.5697273628496973</v>
          </cell>
          <cell r="AF107">
            <v>80.678169824932041</v>
          </cell>
          <cell r="AG107">
            <v>7.7592617381443585</v>
          </cell>
          <cell r="AH107">
            <v>82.936722580419783</v>
          </cell>
          <cell r="AI107">
            <v>8.6243618643211484</v>
          </cell>
          <cell r="AJ107">
            <v>93.209202291525713</v>
          </cell>
          <cell r="AK107">
            <v>8.3175534743808939</v>
          </cell>
          <cell r="AL107">
            <v>89.527275588195351</v>
          </cell>
          <cell r="AM107">
            <v>20.536036282822582</v>
          </cell>
          <cell r="AN107">
            <v>230.06379979307343</v>
          </cell>
          <cell r="AQ107">
            <v>1.0833179284981212E-2</v>
          </cell>
          <cell r="AR107">
            <v>0.12663298057340336</v>
          </cell>
          <cell r="AS107">
            <v>4.5379702334816434E-3</v>
          </cell>
          <cell r="AT107">
            <v>5.3045987821492988E-2</v>
          </cell>
          <cell r="AU107">
            <v>6.2952090514995698E-3</v>
          </cell>
          <cell r="AV107">
            <v>7.3586992751910357E-2</v>
          </cell>
          <cell r="AW107">
            <v>1</v>
          </cell>
          <cell r="AX107">
            <v>11.689364427759765</v>
          </cell>
          <cell r="AY107">
            <v>0</v>
          </cell>
          <cell r="AZ107">
            <v>0</v>
          </cell>
          <cell r="BA107">
            <v>1.0021975853094038</v>
          </cell>
          <cell r="BB107">
            <v>0</v>
          </cell>
          <cell r="BC107">
            <v>1.0547347623195183E-2</v>
          </cell>
          <cell r="BD107">
            <v>0</v>
          </cell>
          <cell r="BE107">
            <v>5.1847026672568524E-3</v>
          </cell>
          <cell r="BF107">
            <v>0</v>
          </cell>
          <cell r="BG107">
            <v>0</v>
          </cell>
          <cell r="BH107">
            <v>0</v>
          </cell>
          <cell r="BI107">
            <v>0</v>
          </cell>
          <cell r="BJ107">
            <v>3.559924589008364E-2</v>
          </cell>
          <cell r="BK107">
            <v>0.49401429519887041</v>
          </cell>
          <cell r="BL107">
            <v>3.5180020227001202E-2</v>
          </cell>
          <cell r="BM107">
            <v>0.48819665874903095</v>
          </cell>
          <cell r="BN107">
            <v>3.7939922508960576E-2</v>
          </cell>
          <cell r="BO107">
            <v>0.52649609871047431</v>
          </cell>
          <cell r="BP107">
            <v>3.6332890800477899E-2</v>
          </cell>
          <cell r="BQ107">
            <v>0.50419515898608958</v>
          </cell>
          <cell r="BR107">
            <v>0.14005407115292715</v>
          </cell>
          <cell r="BS107">
            <v>1.6371430772979614</v>
          </cell>
          <cell r="BT107">
            <v>0.21517483615634</v>
          </cell>
          <cell r="BU107">
            <v>5.8079193481775357</v>
          </cell>
          <cell r="BV107">
            <v>0.11764899341684046</v>
          </cell>
          <cell r="BW107">
            <v>4.5761231378612042</v>
          </cell>
          <cell r="BX107">
            <v>8.606993446253601E-2</v>
          </cell>
          <cell r="BY107">
            <v>4.1772651115925052</v>
          </cell>
          <cell r="BZ107">
            <v>0.1117514815074675</v>
          </cell>
          <cell r="CA107">
            <v>4.501634852334</v>
          </cell>
          <cell r="CB107">
            <v>0.17896091123122798</v>
          </cell>
          <cell r="CC107">
            <v>5.3505208348154349</v>
          </cell>
          <cell r="CD107">
            <v>0.11679690106566136</v>
          </cell>
          <cell r="CE107">
            <v>4.565360819899742</v>
          </cell>
          <cell r="CF107">
            <v>0.14396257350801397</v>
          </cell>
          <cell r="CG107">
            <v>4.9084757464178992</v>
          </cell>
          <cell r="CH107">
            <v>1.3323393516930624E-3</v>
          </cell>
          <cell r="CI107">
            <v>3.8485847706403023E-2</v>
          </cell>
          <cell r="CJ107">
            <v>1.2372760898239795E-3</v>
          </cell>
          <cell r="CK107">
            <v>2.87366620636984E-2</v>
          </cell>
        </row>
        <row r="108">
          <cell r="A108">
            <v>13</v>
          </cell>
          <cell r="B108">
            <v>2030</v>
          </cell>
          <cell r="C108">
            <v>0.10056523250457726</v>
          </cell>
          <cell r="D108">
            <v>1.0033790765268915</v>
          </cell>
          <cell r="E108">
            <v>9.1127205310010229E-2</v>
          </cell>
          <cell r="F108">
            <v>0.92600751840653384</v>
          </cell>
          <cell r="G108">
            <v>0.11008869250182855</v>
          </cell>
          <cell r="H108">
            <v>0.97828737706653879</v>
          </cell>
          <cell r="I108">
            <v>8.2301137660325763E-2</v>
          </cell>
          <cell r="J108">
            <v>0.79869402232912423</v>
          </cell>
          <cell r="K108">
            <v>194.96026798435474</v>
          </cell>
          <cell r="L108">
            <v>2088.3316580869205</v>
          </cell>
          <cell r="M108">
            <v>0</v>
          </cell>
          <cell r="N108">
            <v>0</v>
          </cell>
          <cell r="O108">
            <v>10.739952210274792</v>
          </cell>
          <cell r="P108">
            <v>135.70964704709459</v>
          </cell>
          <cell r="Q108">
            <v>84.296373954599773</v>
          </cell>
          <cell r="R108">
            <v>1065.1659274409317</v>
          </cell>
          <cell r="S108">
            <v>22.940963622174284</v>
          </cell>
          <cell r="T108">
            <v>266.83382886383691</v>
          </cell>
          <cell r="U108">
            <v>21.214440064953592</v>
          </cell>
          <cell r="V108">
            <v>245.52011805709111</v>
          </cell>
          <cell r="W108">
            <v>20.758245083814632</v>
          </cell>
          <cell r="X108">
            <v>240.10106576490054</v>
          </cell>
          <cell r="Y108">
            <v>9.3795255505604764</v>
          </cell>
          <cell r="Z108">
            <v>107.51851212296589</v>
          </cell>
          <cell r="AA108">
            <v>9.1305600351803839</v>
          </cell>
          <cell r="AB108">
            <v>104.43560472617627</v>
          </cell>
          <cell r="AC108">
            <v>9.5560769116203641</v>
          </cell>
          <cell r="AD108">
            <v>109.87654964094504</v>
          </cell>
          <cell r="AE108">
            <v>7.8540094058604488</v>
          </cell>
          <cell r="AF108">
            <v>88.112769981869931</v>
          </cell>
          <cell r="AG108">
            <v>8.04354378115511</v>
          </cell>
          <cell r="AH108">
            <v>90.550735852811698</v>
          </cell>
          <cell r="AI108">
            <v>8.9086439073318999</v>
          </cell>
          <cell r="AJ108">
            <v>101.64211877646559</v>
          </cell>
          <cell r="AK108">
            <v>8.6018355173916454</v>
          </cell>
          <cell r="AL108">
            <v>97.669767452266072</v>
          </cell>
          <cell r="AM108">
            <v>20.672625644626795</v>
          </cell>
          <cell r="AN108">
            <v>249.63249368172336</v>
          </cell>
          <cell r="AQ108">
            <v>1.0833179284981212E-2</v>
          </cell>
          <cell r="AR108">
            <v>0.13688766098569832</v>
          </cell>
          <cell r="AS108">
            <v>4.5379702334816434E-3</v>
          </cell>
          <cell r="AT108">
            <v>5.734162747082263E-2</v>
          </cell>
          <cell r="AU108">
            <v>6.2952090514995698E-3</v>
          </cell>
          <cell r="AV108">
            <v>7.9546033514875686E-2</v>
          </cell>
          <cell r="AW108">
            <v>1</v>
          </cell>
          <cell r="AX108">
            <v>12.6359637724703</v>
          </cell>
          <cell r="AY108">
            <v>0</v>
          </cell>
          <cell r="AZ108">
            <v>0</v>
          </cell>
          <cell r="BA108">
            <v>1.0021975853094038</v>
          </cell>
          <cell r="BB108">
            <v>0</v>
          </cell>
          <cell r="BC108">
            <v>1.0547347623195183E-2</v>
          </cell>
          <cell r="BD108">
            <v>0</v>
          </cell>
          <cell r="BE108">
            <v>5.1847026672568524E-3</v>
          </cell>
          <cell r="BF108">
            <v>0</v>
          </cell>
          <cell r="BG108">
            <v>0</v>
          </cell>
          <cell r="BH108">
            <v>0</v>
          </cell>
          <cell r="BI108">
            <v>0</v>
          </cell>
          <cell r="BJ108">
            <v>3.4361282634408609E-2</v>
          </cell>
          <cell r="BK108">
            <v>0.52654066282401502</v>
          </cell>
          <cell r="BL108">
            <v>3.3956635537634415E-2</v>
          </cell>
          <cell r="BM108">
            <v>0.5203399876975302</v>
          </cell>
          <cell r="BN108">
            <v>3.6620562258064523E-2</v>
          </cell>
          <cell r="BO108">
            <v>0.56116109894688948</v>
          </cell>
          <cell r="BP108">
            <v>3.5069415053763452E-2</v>
          </cell>
          <cell r="BQ108">
            <v>0.5373918442953638</v>
          </cell>
          <cell r="BR108">
            <v>0.14005407115292715</v>
          </cell>
          <cell r="BS108">
            <v>1.7697181692753647</v>
          </cell>
          <cell r="BT108">
            <v>0.21481504614821031</v>
          </cell>
          <cell r="BU108">
            <v>6.0112631300953954</v>
          </cell>
          <cell r="BV108">
            <v>0.11745227463199547</v>
          </cell>
          <cell r="BW108">
            <v>4.6873033840626128</v>
          </cell>
          <cell r="BX108">
            <v>8.5926018459284131E-2</v>
          </cell>
          <cell r="BY108">
            <v>4.2586026243596491</v>
          </cell>
          <cell r="BZ108">
            <v>0.11156462384716534</v>
          </cell>
          <cell r="CA108">
            <v>4.6072418521606044</v>
          </cell>
          <cell r="CB108">
            <v>0.17866167388146653</v>
          </cell>
          <cell r="CC108">
            <v>5.5196418582365192</v>
          </cell>
          <cell r="CD108">
            <v>0.11660160704924855</v>
          </cell>
          <cell r="CE108">
            <v>4.6757358247247556</v>
          </cell>
          <cell r="CF108">
            <v>0.14372185625492781</v>
          </cell>
          <cell r="CG108">
            <v>5.0445227613693957</v>
          </cell>
          <cell r="CH108">
            <v>1.3312995585695675E-3</v>
          </cell>
          <cell r="CI108">
            <v>3.9746054996158402E-2</v>
          </cell>
          <cell r="CJ108">
            <v>1.2357164001387372E-3</v>
          </cell>
          <cell r="CK108">
            <v>2.990639039831779E-2</v>
          </cell>
        </row>
        <row r="109">
          <cell r="A109">
            <v>14</v>
          </cell>
          <cell r="B109">
            <v>2031</v>
          </cell>
          <cell r="C109">
            <v>0.10382288401116622</v>
          </cell>
          <cell r="D109">
            <v>1.101227218672379</v>
          </cell>
          <cell r="E109">
            <v>9.4316695232469411E-2</v>
          </cell>
          <cell r="F109">
            <v>1.014896528663721</v>
          </cell>
          <cell r="G109">
            <v>0.11468593722603625</v>
          </cell>
          <cell r="H109">
            <v>1.0863734314529183</v>
          </cell>
          <cell r="I109">
            <v>8.5383388236799765E-2</v>
          </cell>
          <cell r="J109">
            <v>0.87916381459726434</v>
          </cell>
          <cell r="K109">
            <v>186.64227093630012</v>
          </cell>
          <cell r="L109">
            <v>2264.233142917255</v>
          </cell>
          <cell r="M109">
            <v>0</v>
          </cell>
          <cell r="N109">
            <v>0</v>
          </cell>
          <cell r="O109">
            <v>10.739952210274792</v>
          </cell>
          <cell r="P109">
            <v>145.83154243187016</v>
          </cell>
          <cell r="Q109">
            <v>84.296373954599773</v>
          </cell>
          <cell r="R109">
            <v>1144.6112603231481</v>
          </cell>
          <cell r="S109">
            <v>23.240597700499141</v>
          </cell>
          <cell r="T109">
            <v>288.73698951096327</v>
          </cell>
          <cell r="U109">
            <v>21.507058726283361</v>
          </cell>
          <cell r="V109">
            <v>265.78950047141888</v>
          </cell>
          <cell r="W109">
            <v>21.045570091576881</v>
          </cell>
          <cell r="X109">
            <v>259.93551703704941</v>
          </cell>
          <cell r="Y109">
            <v>9.5171581897261994</v>
          </cell>
          <cell r="Z109">
            <v>116.48798216070118</v>
          </cell>
          <cell r="AA109">
            <v>9.2675574709924842</v>
          </cell>
          <cell r="AB109">
            <v>113.1698379291917</v>
          </cell>
          <cell r="AC109">
            <v>9.6922352990141327</v>
          </cell>
          <cell r="AD109">
            <v>119.01102154738382</v>
          </cell>
          <cell r="AE109">
            <v>7.9939460706047658</v>
          </cell>
          <cell r="AF109">
            <v>95.646684868454784</v>
          </cell>
          <cell r="AG109">
            <v>8.1831404833710408</v>
          </cell>
          <cell r="AH109">
            <v>98.262957496811396</v>
          </cell>
          <cell r="AI109">
            <v>9.0456181036127816</v>
          </cell>
          <cell r="AJ109">
            <v>110.16718465597735</v>
          </cell>
          <cell r="AK109">
            <v>8.7405283541701166</v>
          </cell>
          <cell r="AL109">
            <v>105.90730071837646</v>
          </cell>
          <cell r="AM109">
            <v>20.813795065073762</v>
          </cell>
          <cell r="AN109">
            <v>269.24850798831261</v>
          </cell>
          <cell r="AQ109">
            <v>1.0833179284981212E-2</v>
          </cell>
          <cell r="AR109">
            <v>0.14709741846508398</v>
          </cell>
          <cell r="AS109">
            <v>4.5379702334816434E-3</v>
          </cell>
          <cell r="AT109">
            <v>6.1618449104962052E-2</v>
          </cell>
          <cell r="AU109">
            <v>6.2952090514995698E-3</v>
          </cell>
          <cell r="AV109">
            <v>8.547896936012192E-2</v>
          </cell>
          <cell r="AW109">
            <v>1</v>
          </cell>
          <cell r="AX109">
            <v>13.578416325945543</v>
          </cell>
          <cell r="AY109">
            <v>0</v>
          </cell>
          <cell r="AZ109">
            <v>0</v>
          </cell>
          <cell r="BA109">
            <v>1.0021975853094038</v>
          </cell>
          <cell r="BB109">
            <v>0</v>
          </cell>
          <cell r="BC109">
            <v>1.0547347623195183E-2</v>
          </cell>
          <cell r="BD109">
            <v>0</v>
          </cell>
          <cell r="BE109">
            <v>5.1847026672568524E-3</v>
          </cell>
          <cell r="BF109">
            <v>0</v>
          </cell>
          <cell r="BG109">
            <v>0</v>
          </cell>
          <cell r="BH109">
            <v>0</v>
          </cell>
          <cell r="BI109">
            <v>0</v>
          </cell>
          <cell r="BJ109">
            <v>3.4361282634408609E-2</v>
          </cell>
          <cell r="BK109">
            <v>0.55892454138349801</v>
          </cell>
          <cell r="BL109">
            <v>3.3956635537634415E-2</v>
          </cell>
          <cell r="BM109">
            <v>0.55234250556740194</v>
          </cell>
          <cell r="BN109">
            <v>3.6620562258064523E-2</v>
          </cell>
          <cell r="BO109">
            <v>0.59567424135670155</v>
          </cell>
          <cell r="BP109">
            <v>3.5069415053763452E-2</v>
          </cell>
          <cell r="BQ109">
            <v>0.57044310406166632</v>
          </cell>
          <cell r="BR109">
            <v>0.14005407115292715</v>
          </cell>
          <cell r="BS109">
            <v>1.9017124862580446</v>
          </cell>
          <cell r="BT109">
            <v>0.21481504614821031</v>
          </cell>
          <cell r="BU109">
            <v>6.2137161188626777</v>
          </cell>
          <cell r="BV109">
            <v>0.11745227463199547</v>
          </cell>
          <cell r="BW109">
            <v>4.7979965802010121</v>
          </cell>
          <cell r="BX109">
            <v>8.5926018459284131E-2</v>
          </cell>
          <cell r="BY109">
            <v>4.3395838198665615</v>
          </cell>
          <cell r="BZ109">
            <v>0.11156462384716534</v>
          </cell>
          <cell r="CA109">
            <v>4.7123862167828694</v>
          </cell>
          <cell r="CB109">
            <v>0.17866167388146653</v>
          </cell>
          <cell r="CC109">
            <v>5.6880220089942677</v>
          </cell>
          <cell r="CD109">
            <v>0.11660160704924855</v>
          </cell>
          <cell r="CE109">
            <v>4.7856273070276378</v>
          </cell>
          <cell r="CF109">
            <v>0.14372185625492781</v>
          </cell>
          <cell r="CG109">
            <v>5.179973791787055</v>
          </cell>
          <cell r="CH109">
            <v>1.3312995585695675E-3</v>
          </cell>
          <cell r="CI109">
            <v>4.1000741664572758E-2</v>
          </cell>
          <cell r="CJ109">
            <v>1.2357164001387372E-3</v>
          </cell>
          <cell r="CK109">
            <v>3.107099447499978E-2</v>
          </cell>
        </row>
        <row r="110">
          <cell r="A110">
            <v>15</v>
          </cell>
          <cell r="B110">
            <v>2032</v>
          </cell>
          <cell r="C110">
            <v>0.10719992225192312</v>
          </cell>
          <cell r="D110">
            <v>1.2018154708215951</v>
          </cell>
          <cell r="E110">
            <v>9.763425227951647E-2</v>
          </cell>
          <cell r="F110">
            <v>1.106509083788648</v>
          </cell>
          <cell r="G110">
            <v>0.11949803544134786</v>
          </cell>
          <cell r="H110">
            <v>1.1985012974793754</v>
          </cell>
          <cell r="I110">
            <v>8.8600218713879561E-2</v>
          </cell>
          <cell r="J110">
            <v>0.9622995198594716</v>
          </cell>
          <cell r="K110">
            <v>186.64227093630012</v>
          </cell>
          <cell r="L110">
            <v>2439.3640517487306</v>
          </cell>
          <cell r="M110">
            <v>0</v>
          </cell>
          <cell r="N110">
            <v>0</v>
          </cell>
          <cell r="O110">
            <v>10.739952210274792</v>
          </cell>
          <cell r="P110">
            <v>155.90909657840098</v>
          </cell>
          <cell r="Q110">
            <v>84.296373954599773</v>
          </cell>
          <cell r="R110">
            <v>1223.7085650645029</v>
          </cell>
          <cell r="S110">
            <v>23.544145327634425</v>
          </cell>
          <cell r="T110">
            <v>310.82902444069379</v>
          </cell>
          <cell r="U110">
            <v>21.803714950981714</v>
          </cell>
          <cell r="V110">
            <v>286.24844793338531</v>
          </cell>
          <cell r="W110">
            <v>21.33687461281032</v>
          </cell>
          <cell r="X110">
            <v>279.95641703906472</v>
          </cell>
          <cell r="Y110">
            <v>9.6568104132793842</v>
          </cell>
          <cell r="Z110">
            <v>125.54919844148719</v>
          </cell>
          <cell r="AA110">
            <v>9.4066104540379172</v>
          </cell>
          <cell r="AB110">
            <v>121.996285601389</v>
          </cell>
          <cell r="AC110">
            <v>9.8303337196065801</v>
          </cell>
          <cell r="AD110">
            <v>128.23505889859553</v>
          </cell>
          <cell r="AE110">
            <v>8.1363760186045315</v>
          </cell>
          <cell r="AF110">
            <v>103.28124117547249</v>
          </cell>
          <cell r="AG110">
            <v>8.325159903707215</v>
          </cell>
          <cell r="AH110">
            <v>106.07465424047784</v>
          </cell>
          <cell r="AI110">
            <v>9.1846983365297614</v>
          </cell>
          <cell r="AJ110">
            <v>118.78540687836117</v>
          </cell>
          <cell r="AK110">
            <v>8.8814574233125718</v>
          </cell>
          <cell r="AL110">
            <v>114.24098473588204</v>
          </cell>
          <cell r="AM110">
            <v>20.955928504586907</v>
          </cell>
          <cell r="AN110">
            <v>288.91195714163058</v>
          </cell>
          <cell r="AQ110">
            <v>1.0833179284981212E-2</v>
          </cell>
          <cell r="AR110">
            <v>0.15726244980656709</v>
          </cell>
          <cell r="AS110">
            <v>4.5379702334816434E-3</v>
          </cell>
          <cell r="AT110">
            <v>6.5876535160457286E-2</v>
          </cell>
          <cell r="AU110">
            <v>6.2952090514995698E-3</v>
          </cell>
          <cell r="AV110">
            <v>9.1385914646109831E-2</v>
          </cell>
          <cell r="AW110">
            <v>1</v>
          </cell>
          <cell r="AX110">
            <v>14.516740254136748</v>
          </cell>
          <cell r="AY110">
            <v>0</v>
          </cell>
          <cell r="AZ110">
            <v>0</v>
          </cell>
          <cell r="BA110">
            <v>1.0021975853094038</v>
          </cell>
          <cell r="BB110">
            <v>0</v>
          </cell>
          <cell r="BC110">
            <v>1.0547347623195183E-2</v>
          </cell>
          <cell r="BD110">
            <v>0</v>
          </cell>
          <cell r="BE110">
            <v>5.1847026672568524E-3</v>
          </cell>
          <cell r="BF110">
            <v>0</v>
          </cell>
          <cell r="BG110">
            <v>0</v>
          </cell>
          <cell r="BH110">
            <v>0</v>
          </cell>
          <cell r="BI110">
            <v>0</v>
          </cell>
          <cell r="BJ110">
            <v>3.4361282634408609E-2</v>
          </cell>
          <cell r="BK110">
            <v>0.59116655508270455</v>
          </cell>
          <cell r="BL110">
            <v>3.3956635537634415E-2</v>
          </cell>
          <cell r="BM110">
            <v>0.58420482921323214</v>
          </cell>
          <cell r="BN110">
            <v>3.6620562258064523E-2</v>
          </cell>
          <cell r="BO110">
            <v>0.63003619118725918</v>
          </cell>
          <cell r="BP110">
            <v>3.5069415053763452E-2</v>
          </cell>
          <cell r="BQ110">
            <v>0.60334957535428135</v>
          </cell>
          <cell r="BR110">
            <v>0.14005407115292715</v>
          </cell>
          <cell r="BS110">
            <v>2.0331285724614294</v>
          </cell>
          <cell r="BT110">
            <v>0.21481504614821031</v>
          </cell>
          <cell r="BU110">
            <v>6.4152822167990404</v>
          </cell>
          <cell r="BV110">
            <v>0.11745227463199547</v>
          </cell>
          <cell r="BW110">
            <v>4.9082048599086985</v>
          </cell>
          <cell r="BX110">
            <v>8.5926018459284131E-2</v>
          </cell>
          <cell r="BY110">
            <v>4.4202102590411076</v>
          </cell>
          <cell r="BZ110">
            <v>0.11156462384716534</v>
          </cell>
          <cell r="CA110">
            <v>4.8170699728783166</v>
          </cell>
          <cell r="CB110">
            <v>0.17866167388146653</v>
          </cell>
          <cell r="CC110">
            <v>5.8556645326479408</v>
          </cell>
          <cell r="CD110">
            <v>0.11660160704924855</v>
          </cell>
          <cell r="CE110">
            <v>4.8950373849874955</v>
          </cell>
          <cell r="CF110">
            <v>0.14372185625492781</v>
          </cell>
          <cell r="CG110">
            <v>5.3148314485151102</v>
          </cell>
          <cell r="CH110">
            <v>1.3312995585695675E-3</v>
          </cell>
          <cell r="CI110">
            <v>4.224993189596897E-2</v>
          </cell>
          <cell r="CJ110">
            <v>1.2357164001387372E-3</v>
          </cell>
          <cell r="CK110">
            <v>3.2230496741708255E-2</v>
          </cell>
        </row>
        <row r="111">
          <cell r="A111">
            <v>16</v>
          </cell>
          <cell r="B111">
            <v>2033</v>
          </cell>
          <cell r="C111">
            <v>0.11070072694596812</v>
          </cell>
          <cell r="D111">
            <v>1.3052335721373682</v>
          </cell>
          <cell r="E111">
            <v>0.10108502417170813</v>
          </cell>
          <cell r="F111">
            <v>1.2009440668253859</v>
          </cell>
          <cell r="G111">
            <v>0.12453503608499204</v>
          </cell>
          <cell r="H111">
            <v>1.3148435956242408</v>
          </cell>
          <cell r="I111">
            <v>9.1957511844841688E-2</v>
          </cell>
          <cell r="J111">
            <v>1.0482074586696477</v>
          </cell>
          <cell r="K111">
            <v>186.64227093630012</v>
          </cell>
          <cell r="L111">
            <v>2613.7277602627451</v>
          </cell>
          <cell r="M111">
            <v>0</v>
          </cell>
          <cell r="N111">
            <v>0</v>
          </cell>
          <cell r="O111">
            <v>10.739952210274792</v>
          </cell>
          <cell r="P111">
            <v>165.9425037334496</v>
          </cell>
          <cell r="Q111">
            <v>84.296373954599773</v>
          </cell>
          <cell r="R111">
            <v>1302.4593662805069</v>
          </cell>
          <cell r="S111">
            <v>23.851657618808343</v>
          </cell>
          <cell r="T111">
            <v>333.11156234466819</v>
          </cell>
          <cell r="U111">
            <v>22.104464469109754</v>
          </cell>
          <cell r="V111">
            <v>306.89873460325578</v>
          </cell>
          <cell r="W111">
            <v>21.632213800395409</v>
          </cell>
          <cell r="X111">
            <v>300.16552081112661</v>
          </cell>
          <cell r="Y111">
            <v>9.7985118560589992</v>
          </cell>
          <cell r="Z111">
            <v>134.70309941242044</v>
          </cell>
          <cell r="AA111">
            <v>9.5477498263131277</v>
          </cell>
          <cell r="AB111">
            <v>130.91592132661106</v>
          </cell>
          <cell r="AC111">
            <v>9.9703998156816969</v>
          </cell>
          <cell r="AD111">
            <v>137.54953990286401</v>
          </cell>
          <cell r="AE111">
            <v>8.2813436732523069</v>
          </cell>
          <cell r="AF111">
            <v>111.01778331624058</v>
          </cell>
          <cell r="AG111">
            <v>8.4696440887377733</v>
          </cell>
          <cell r="AH111">
            <v>113.98710915059914</v>
          </cell>
          <cell r="AI111">
            <v>9.3259169872935566</v>
          </cell>
          <cell r="AJ111">
            <v>127.49780339518948</v>
          </cell>
          <cell r="AK111">
            <v>9.0246587810083696</v>
          </cell>
          <cell r="AL111">
            <v>122.67194180276873</v>
          </cell>
          <cell r="AM111">
            <v>21.099032546268695</v>
          </cell>
          <cell r="AN111">
            <v>308.62295584717504</v>
          </cell>
          <cell r="AQ111">
            <v>1.0833179284981212E-2</v>
          </cell>
          <cell r="AR111">
            <v>0.1673829509430497</v>
          </cell>
          <cell r="AS111">
            <v>4.5379702334816434E-3</v>
          </cell>
          <cell r="AT111">
            <v>7.0115967712722577E-2</v>
          </cell>
          <cell r="AU111">
            <v>6.2952090514995698E-3</v>
          </cell>
          <cell r="AV111">
            <v>9.7266983230327161E-2</v>
          </cell>
          <cell r="AW111">
            <v>1</v>
          </cell>
          <cell r="AX111">
            <v>15.450953643415124</v>
          </cell>
          <cell r="AY111">
            <v>0</v>
          </cell>
          <cell r="AZ111">
            <v>0</v>
          </cell>
          <cell r="BA111">
            <v>1.0021975853094038</v>
          </cell>
          <cell r="BB111">
            <v>0</v>
          </cell>
          <cell r="BC111">
            <v>1.0547347623195183E-2</v>
          </cell>
          <cell r="BD111">
            <v>0</v>
          </cell>
          <cell r="BE111">
            <v>5.1847026672568524E-3</v>
          </cell>
          <cell r="BF111">
            <v>0</v>
          </cell>
          <cell r="BG111">
            <v>0</v>
          </cell>
          <cell r="BH111">
            <v>0</v>
          </cell>
          <cell r="BI111">
            <v>0</v>
          </cell>
          <cell r="BJ111">
            <v>3.4361282634408609E-2</v>
          </cell>
          <cell r="BK111">
            <v>0.6232673253925477</v>
          </cell>
          <cell r="BL111">
            <v>3.3956635537634415E-2</v>
          </cell>
          <cell r="BM111">
            <v>0.61592757278733623</v>
          </cell>
          <cell r="BN111">
            <v>3.6620562258064523E-2</v>
          </cell>
          <cell r="BO111">
            <v>0.66424761077164551</v>
          </cell>
          <cell r="BP111">
            <v>3.5069415053763452E-2</v>
          </cell>
          <cell r="BQ111">
            <v>0.63611189245166777</v>
          </cell>
          <cell r="BR111">
            <v>0.14005407115292715</v>
          </cell>
          <cell r="BS111">
            <v>2.1639689609554411</v>
          </cell>
          <cell r="BT111">
            <v>0.21481504614821031</v>
          </cell>
          <cell r="BU111">
            <v>6.6159653091291526</v>
          </cell>
          <cell r="BV111">
            <v>0.11745227463199547</v>
          </cell>
          <cell r="BW111">
            <v>5.0179303474711103</v>
          </cell>
          <cell r="BX111">
            <v>8.5926018459284131E-2</v>
          </cell>
          <cell r="BY111">
            <v>4.5004834959731514</v>
          </cell>
          <cell r="BZ111">
            <v>0.11156462384716534</v>
          </cell>
          <cell r="CA111">
            <v>4.9212951382461441</v>
          </cell>
          <cell r="CB111">
            <v>0.17866167388146653</v>
          </cell>
          <cell r="CC111">
            <v>6.022572660538895</v>
          </cell>
          <cell r="CD111">
            <v>0.11660160704924855</v>
          </cell>
          <cell r="CE111">
            <v>5.0039681675042784</v>
          </cell>
          <cell r="CF111">
            <v>0.14372185625492781</v>
          </cell>
          <cell r="CG111">
            <v>5.449098330960406</v>
          </cell>
          <cell r="CH111">
            <v>1.3312995585695675E-3</v>
          </cell>
          <cell r="CI111">
            <v>4.3493649768725051E-2</v>
          </cell>
          <cell r="CJ111">
            <v>1.2357164001387372E-3</v>
          </cell>
          <cell r="CK111">
            <v>3.3384919548068742E-2</v>
          </cell>
        </row>
        <row r="112">
          <cell r="A112">
            <v>17</v>
          </cell>
          <cell r="B112">
            <v>2034</v>
          </cell>
          <cell r="C112">
            <v>0.11432983850565727</v>
          </cell>
          <cell r="D112">
            <v>1.4115741395666987</v>
          </cell>
          <cell r="E112">
            <v>0.10467436557267468</v>
          </cell>
          <cell r="F112">
            <v>1.2983038774906712</v>
          </cell>
          <cell r="G112">
            <v>0.12980745813357417</v>
          </cell>
          <cell r="H112">
            <v>1.4355802198940313</v>
          </cell>
          <cell r="I112">
            <v>9.5461407563541878E-2</v>
          </cell>
          <cell r="J112">
            <v>1.1369981049313174</v>
          </cell>
          <cell r="K112">
            <v>186.64227093630012</v>
          </cell>
          <cell r="L112">
            <v>2787.3276293527633</v>
          </cell>
          <cell r="M112">
            <v>0</v>
          </cell>
          <cell r="N112">
            <v>0</v>
          </cell>
          <cell r="O112">
            <v>10.739952210274792</v>
          </cell>
          <cell r="P112">
            <v>175.93195729283693</v>
          </cell>
          <cell r="Q112">
            <v>84.296373954599773</v>
          </cell>
          <cell r="R112">
            <v>1380.8651819077513</v>
          </cell>
          <cell r="S112">
            <v>24.163186356869886</v>
          </cell>
          <cell r="T112">
            <v>355.58624595898169</v>
          </cell>
          <cell r="U112">
            <v>22.409363780246249</v>
          </cell>
          <cell r="V112">
            <v>327.7421512586879</v>
          </cell>
          <cell r="W112">
            <v>21.931643572097073</v>
          </cell>
          <cell r="X112">
            <v>320.56459993690731</v>
          </cell>
          <cell r="Y112">
            <v>9.9422925877576773</v>
          </cell>
          <cell r="Z112">
            <v>143.95063311971475</v>
          </cell>
          <cell r="AA112">
            <v>9.6910068925763664</v>
          </cell>
          <cell r="AB112">
            <v>139.92972896762447</v>
          </cell>
          <cell r="AC112">
            <v>10.112461623380579</v>
          </cell>
          <cell r="AD112">
            <v>146.95535137949275</v>
          </cell>
          <cell r="AE112">
            <v>8.4288942494423065</v>
          </cell>
          <cell r="AF112">
            <v>118.85767366335381</v>
          </cell>
          <cell r="AG112">
            <v>8.6166358147603859</v>
          </cell>
          <cell r="AH112">
            <v>122.00162184343543</v>
          </cell>
          <cell r="AI112">
            <v>9.4693069349897971</v>
          </cell>
          <cell r="AJ112">
            <v>136.30540328154359</v>
          </cell>
          <cell r="AK112">
            <v>9.1701690648036287</v>
          </cell>
          <cell r="AL112">
            <v>131.20130731679299</v>
          </cell>
          <cell r="AM112">
            <v>21.24311381817634</v>
          </cell>
          <cell r="AN112">
            <v>328.38161908782109</v>
          </cell>
          <cell r="AQ112">
            <v>1.0833179284981212E-2</v>
          </cell>
          <cell r="AR112">
            <v>0.17745911694910566</v>
          </cell>
          <cell r="AS112">
            <v>4.5379702334816434E-3</v>
          </cell>
          <cell r="AT112">
            <v>7.4336828477622297E-2</v>
          </cell>
          <cell r="AU112">
            <v>6.2952090514995698E-3</v>
          </cell>
          <cell r="AV112">
            <v>0.10312228847148341</v>
          </cell>
          <cell r="AW112">
            <v>1</v>
          </cell>
          <cell r="AX112">
            <v>16.38107450092048</v>
          </cell>
          <cell r="AY112">
            <v>0</v>
          </cell>
          <cell r="AZ112">
            <v>0</v>
          </cell>
          <cell r="BA112">
            <v>1.0021975853094038</v>
          </cell>
          <cell r="BB112">
            <v>0</v>
          </cell>
          <cell r="BC112">
            <v>1.0547347623195183E-2</v>
          </cell>
          <cell r="BD112">
            <v>0</v>
          </cell>
          <cell r="BE112">
            <v>5.1847026672568524E-3</v>
          </cell>
          <cell r="BF112">
            <v>0</v>
          </cell>
          <cell r="BG112">
            <v>0</v>
          </cell>
          <cell r="BH112">
            <v>0</v>
          </cell>
          <cell r="BI112">
            <v>0</v>
          </cell>
          <cell r="BJ112">
            <v>3.4361282634408609E-2</v>
          </cell>
          <cell r="BK112">
            <v>0.65522747106144763</v>
          </cell>
          <cell r="BL112">
            <v>3.3956635537634415E-2</v>
          </cell>
          <cell r="BM112">
            <v>0.64751134775159747</v>
          </cell>
          <cell r="BN112">
            <v>3.6620562258064523E-2</v>
          </cell>
          <cell r="BO112">
            <v>0.69830915954144468</v>
          </cell>
          <cell r="BP112">
            <v>3.5069415053763452E-2</v>
          </cell>
          <cell r="BQ112">
            <v>0.66873068685368542</v>
          </cell>
          <cell r="BR112">
            <v>0.14005407115292715</v>
          </cell>
          <cell r="BS112">
            <v>2.2942361737133168</v>
          </cell>
          <cell r="BT112">
            <v>0.21481504614821031</v>
          </cell>
          <cell r="BU112">
            <v>6.815769264057578</v>
          </cell>
          <cell r="BV112">
            <v>0.11745227463199547</v>
          </cell>
          <cell r="BW112">
            <v>5.1271751578677751</v>
          </cell>
          <cell r="BX112">
            <v>8.5926018459284131E-2</v>
          </cell>
          <cell r="BY112">
            <v>4.5804050779445209</v>
          </cell>
          <cell r="BZ112">
            <v>0.11156462384716534</v>
          </cell>
          <cell r="CA112">
            <v>5.0250637218461316</v>
          </cell>
          <cell r="CB112">
            <v>0.17866167388146653</v>
          </cell>
          <cell r="CC112">
            <v>6.1887496098528665</v>
          </cell>
          <cell r="CD112">
            <v>0.11660160704924855</v>
          </cell>
          <cell r="CE112">
            <v>5.1124217542394286</v>
          </cell>
          <cell r="CF112">
            <v>0.14372185625492781</v>
          </cell>
          <cell r="CG112">
            <v>5.5827770271425008</v>
          </cell>
          <cell r="CH112">
            <v>1.3312995585695675E-3</v>
          </cell>
          <cell r="CI112">
            <v>4.473191925573828E-2</v>
          </cell>
          <cell r="CJ112">
            <v>1.2357164001387372E-3</v>
          </cell>
          <cell r="CK112">
            <v>3.4534285145799211E-2</v>
          </cell>
        </row>
        <row r="113">
          <cell r="A113">
            <v>18</v>
          </cell>
          <cell r="B113">
            <v>2035</v>
          </cell>
          <cell r="C113">
            <v>0.11809196393258206</v>
          </cell>
          <cell r="D113">
            <v>1.5209327603925298</v>
          </cell>
          <cell r="E113">
            <v>0.10840784640856355</v>
          </cell>
          <cell r="F113">
            <v>1.398694557560207</v>
          </cell>
          <cell r="G113">
            <v>0.13532631258938532</v>
          </cell>
          <cell r="H113">
            <v>1.5608986447334146</v>
          </cell>
          <cell r="I113">
            <v>9.9118314227937376E-2</v>
          </cell>
          <cell r="J113">
            <v>1.2287862485236853</v>
          </cell>
          <cell r="K113">
            <v>186.64227093630012</v>
          </cell>
          <cell r="L113">
            <v>2960.1670051891015</v>
          </cell>
          <cell r="M113">
            <v>0</v>
          </cell>
          <cell r="N113">
            <v>0</v>
          </cell>
          <cell r="O113">
            <v>10.739952210274792</v>
          </cell>
          <cell r="P113">
            <v>185.87764980516997</v>
          </cell>
          <cell r="Q113">
            <v>84.296373954599773</v>
          </cell>
          <cell r="R113">
            <v>1458.9275232331638</v>
          </cell>
          <cell r="S113">
            <v>24.478784001008702</v>
          </cell>
          <cell r="T113">
            <v>378.25473218529248</v>
          </cell>
          <cell r="U113">
            <v>22.718470164117178</v>
          </cell>
          <cell r="V113">
            <v>348.78050545050235</v>
          </cell>
          <cell r="W113">
            <v>22.235220621179749</v>
          </cell>
          <cell r="X113">
            <v>341.15544269974328</v>
          </cell>
          <cell r="Y113">
            <v>10.088183119302645</v>
          </cell>
          <cell r="Z113">
            <v>153.29275730688803</v>
          </cell>
          <cell r="AA113">
            <v>9.8364134272910917</v>
          </cell>
          <cell r="AB113">
            <v>149.03870277464273</v>
          </cell>
          <cell r="AC113">
            <v>10.256547578313249</v>
          </cell>
          <cell r="AD113">
            <v>156.45338884323746</v>
          </cell>
          <cell r="AE113">
            <v>8.5790737676727531</v>
          </cell>
          <cell r="AF113">
            <v>126.80229278859224</v>
          </cell>
          <cell r="AG113">
            <v>8.7661786004606821</v>
          </cell>
          <cell r="AH113">
            <v>130.11950869818011</v>
          </cell>
          <cell r="AI113">
            <v>9.6149015642340672</v>
          </cell>
          <cell r="AJ113">
            <v>145.20924685756407</v>
          </cell>
          <cell r="AK113">
            <v>9.3180255029747983</v>
          </cell>
          <cell r="AL113">
            <v>139.83022992838565</v>
          </cell>
          <cell r="AM113">
            <v>21.388178993628806</v>
          </cell>
          <cell r="AN113">
            <v>348.18806212449181</v>
          </cell>
          <cell r="AQ113">
            <v>1.0833179284981212E-2</v>
          </cell>
          <cell r="AR113">
            <v>0.18749114204474085</v>
          </cell>
          <cell r="AS113">
            <v>4.5379702334816434E-3</v>
          </cell>
          <cell r="AT113">
            <v>7.8539198813046149E-2</v>
          </cell>
          <cell r="AU113">
            <v>6.2952090514995698E-3</v>
          </cell>
          <cell r="AV113">
            <v>0.10895194323169474</v>
          </cell>
          <cell r="AW113">
            <v>1</v>
          </cell>
          <cell r="AX113">
            <v>17.307120754908286</v>
          </cell>
          <cell r="AY113">
            <v>0</v>
          </cell>
          <cell r="AZ113">
            <v>0</v>
          </cell>
          <cell r="BA113">
            <v>1.0021975853094038</v>
          </cell>
          <cell r="BB113">
            <v>0</v>
          </cell>
          <cell r="BC113">
            <v>1.0547347623195183E-2</v>
          </cell>
          <cell r="BD113">
            <v>0</v>
          </cell>
          <cell r="BE113">
            <v>5.1847026672568524E-3</v>
          </cell>
          <cell r="BF113">
            <v>0</v>
          </cell>
          <cell r="BG113">
            <v>0</v>
          </cell>
          <cell r="BH113">
            <v>0</v>
          </cell>
          <cell r="BI113">
            <v>0</v>
          </cell>
          <cell r="BJ113">
            <v>3.4361282634408609E-2</v>
          </cell>
          <cell r="BK113">
            <v>0.68704760812725807</v>
          </cell>
          <cell r="BL113">
            <v>3.3956635537634415E-2</v>
          </cell>
          <cell r="BM113">
            <v>0.67895676288925311</v>
          </cell>
          <cell r="BN113">
            <v>3.6620562258064523E-2</v>
          </cell>
          <cell r="BO113">
            <v>0.73222149403945269</v>
          </cell>
          <cell r="BP113">
            <v>3.5069415053763452E-2</v>
          </cell>
          <cell r="BQ113">
            <v>0.70120658729376673</v>
          </cell>
          <cell r="BR113">
            <v>0.14005407115292715</v>
          </cell>
          <cell r="BS113">
            <v>2.4239327216602269</v>
          </cell>
          <cell r="BT113">
            <v>0.21481504614821031</v>
          </cell>
          <cell r="BU113">
            <v>7.0146979328433465</v>
          </cell>
          <cell r="BV113">
            <v>0.11745227463199547</v>
          </cell>
          <cell r="BW113">
            <v>5.2359413968130815</v>
          </cell>
          <cell r="BX113">
            <v>8.5926018459284131E-2</v>
          </cell>
          <cell r="BY113">
            <v>4.6599765454588287</v>
          </cell>
          <cell r="BZ113">
            <v>0.11156462384716534</v>
          </cell>
          <cell r="CA113">
            <v>5.1283777238373576</v>
          </cell>
          <cell r="CB113">
            <v>0.17866167388146653</v>
          </cell>
          <cell r="CC113">
            <v>6.3541985836819901</v>
          </cell>
          <cell r="CD113">
            <v>0.11660160704924855</v>
          </cell>
          <cell r="CE113">
            <v>5.220400235656343</v>
          </cell>
          <cell r="CF113">
            <v>0.14372185625492781</v>
          </cell>
          <cell r="CG113">
            <v>5.7158701137435513</v>
          </cell>
          <cell r="CH113">
            <v>1.3312995585695675E-3</v>
          </cell>
          <cell r="CI113">
            <v>4.5964764224887253E-2</v>
          </cell>
          <cell r="CJ113">
            <v>1.2357164001387372E-3</v>
          </cell>
          <cell r="CK113">
            <v>3.5678615689138993E-2</v>
          </cell>
        </row>
        <row r="114">
          <cell r="A114">
            <v>19</v>
          </cell>
          <cell r="B114">
            <v>2036</v>
          </cell>
          <cell r="C114">
            <v>0.12199198292990004</v>
          </cell>
          <cell r="D114">
            <v>1.6334080877608874</v>
          </cell>
          <cell r="E114">
            <v>0.11229126052193854</v>
          </cell>
          <cell r="F114">
            <v>1.5022259207241957</v>
          </cell>
          <cell r="G114">
            <v>0.1411031254951321</v>
          </cell>
          <cell r="H114">
            <v>1.6909942448834929</v>
          </cell>
          <cell r="I114">
            <v>0.10293492035515879</v>
          </cell>
          <cell r="J114">
            <v>1.3236911642937252</v>
          </cell>
          <cell r="K114">
            <v>186.64227093630012</v>
          </cell>
          <cell r="L114">
            <v>3132.2492192834247</v>
          </cell>
          <cell r="M114">
            <v>0</v>
          </cell>
          <cell r="N114">
            <v>0</v>
          </cell>
          <cell r="O114">
            <v>10.739952210274792</v>
          </cell>
          <cell r="P114">
            <v>195.77977297555333</v>
          </cell>
          <cell r="Q114">
            <v>84.296373954599773</v>
          </cell>
          <cell r="R114">
            <v>1536.6478949231405</v>
          </cell>
          <cell r="S114">
            <v>24.798503695588838</v>
          </cell>
          <cell r="T114">
            <v>401.1186922129736</v>
          </cell>
          <cell r="U114">
            <v>23.031841691372044</v>
          </cell>
          <cell r="V114">
            <v>370.01562165991629</v>
          </cell>
          <cell r="W114">
            <v>22.543002427169778</v>
          </cell>
          <cell r="X114">
            <v>361.93985424028352</v>
          </cell>
          <cell r="Y114">
            <v>10.236214409330289</v>
          </cell>
          <cell r="Z114">
            <v>162.73043951395329</v>
          </cell>
          <cell r="AA114">
            <v>9.9840016816735577</v>
          </cell>
          <cell r="AB114">
            <v>158.24384749499498</v>
          </cell>
          <cell r="AC114">
            <v>10.40268652125043</v>
          </cell>
          <cell r="AD114">
            <v>166.04455658956704</v>
          </cell>
          <cell r="AE114">
            <v>8.731929068399511</v>
          </cell>
          <cell r="AF114">
            <v>134.85303970603411</v>
          </cell>
          <cell r="AG114">
            <v>8.9183167197964917</v>
          </cell>
          <cell r="AH114">
            <v>138.34210307317448</v>
          </cell>
          <cell r="AI114">
            <v>9.7627347729446381</v>
          </cell>
          <cell r="AJ114">
            <v>154.21038581132939</v>
          </cell>
          <cell r="AK114">
            <v>9.4682659240533908</v>
          </cell>
          <cell r="AL114">
            <v>148.55987169534109</v>
          </cell>
          <cell r="AM114">
            <v>21.534234791515875</v>
          </cell>
          <cell r="AN114">
            <v>368.04240049683074</v>
          </cell>
          <cell r="AQ114">
            <v>1.0833179284981212E-2</v>
          </cell>
          <cell r="AR114">
            <v>0.19747921959913667</v>
          </cell>
          <cell r="AS114">
            <v>4.5379702334816434E-3</v>
          </cell>
          <cell r="AT114">
            <v>8.2723159720477307E-2</v>
          </cell>
          <cell r="AU114">
            <v>6.2952090514995698E-3</v>
          </cell>
          <cell r="AV114">
            <v>0.1147560598786594</v>
          </cell>
          <cell r="AW114">
            <v>1</v>
          </cell>
          <cell r="AX114">
            <v>18.229110255095271</v>
          </cell>
          <cell r="AY114">
            <v>0</v>
          </cell>
          <cell r="AZ114">
            <v>0</v>
          </cell>
          <cell r="BA114">
            <v>1.0021975853094038</v>
          </cell>
          <cell r="BB114">
            <v>0</v>
          </cell>
          <cell r="BC114">
            <v>1.0547347623195183E-2</v>
          </cell>
          <cell r="BD114">
            <v>0</v>
          </cell>
          <cell r="BE114">
            <v>5.1847026672568524E-3</v>
          </cell>
          <cell r="BF114">
            <v>0</v>
          </cell>
          <cell r="BG114">
            <v>0</v>
          </cell>
          <cell r="BH114">
            <v>0</v>
          </cell>
          <cell r="BI114">
            <v>0</v>
          </cell>
          <cell r="BJ114">
            <v>3.4361282634408609E-2</v>
          </cell>
          <cell r="BK114">
            <v>0.71872834992914025</v>
          </cell>
          <cell r="BL114">
            <v>3.3956635537634415E-2</v>
          </cell>
          <cell r="BM114">
            <v>0.7102644243166284</v>
          </cell>
          <cell r="BN114">
            <v>3.6620562258064523E-2</v>
          </cell>
          <cell r="BO114">
            <v>0.7659852679323319</v>
          </cell>
          <cell r="BP114">
            <v>3.5069415053763452E-2</v>
          </cell>
          <cell r="BQ114">
            <v>0.733540219751036</v>
          </cell>
          <cell r="BR114">
            <v>0.14005407115292715</v>
          </cell>
          <cell r="BS114">
            <v>2.5530611047216669</v>
          </cell>
          <cell r="BT114">
            <v>0.21481504614821031</v>
          </cell>
          <cell r="BU114">
            <v>7.2127551498741784</v>
          </cell>
          <cell r="BV114">
            <v>0.11745227463199547</v>
          </cell>
          <cell r="BW114">
            <v>5.3442311607968609</v>
          </cell>
          <cell r="BX114">
            <v>8.5926018459284131E-2</v>
          </cell>
          <cell r="BY114">
            <v>4.7391994322711621</v>
          </cell>
          <cell r="BZ114">
            <v>0.11156462384716534</v>
          </cell>
          <cell r="CA114">
            <v>5.2312391356167547</v>
          </cell>
          <cell r="CB114">
            <v>0.17866167388146653</v>
          </cell>
          <cell r="CC114">
            <v>6.5189227710865341</v>
          </cell>
          <cell r="CD114">
            <v>0.11660160704924855</v>
          </cell>
          <cell r="CE114">
            <v>5.3279056930606794</v>
          </cell>
          <cell r="CF114">
            <v>0.14372185625492781</v>
          </cell>
          <cell r="CG114">
            <v>5.8483801561579778</v>
          </cell>
          <cell r="CH114">
            <v>1.3312995585695675E-3</v>
          </cell>
          <cell r="CI114">
            <v>4.7192208439491963E-2</v>
          </cell>
          <cell r="CJ114">
            <v>1.2357164001387372E-3</v>
          </cell>
          <cell r="CK114">
            <v>3.6817933235275768E-2</v>
          </cell>
        </row>
        <row r="115">
          <cell r="A115">
            <v>20</v>
          </cell>
          <cell r="B115">
            <v>2037</v>
          </cell>
          <cell r="C115">
            <v>0.1260349542389336</v>
          </cell>
          <cell r="D115">
            <v>1.7491019392790517</v>
          </cell>
          <cell r="E115">
            <v>0.1163306346735805</v>
          </cell>
          <cell r="F115">
            <v>1.6090116870713973</v>
          </cell>
          <cell r="G115">
            <v>0.1471499620251919</v>
          </cell>
          <cell r="H115">
            <v>1.8260706287346882</v>
          </cell>
          <cell r="I115">
            <v>0.1069182068696212</v>
          </cell>
          <cell r="J115">
            <v>1.421836787663509</v>
          </cell>
          <cell r="K115">
            <v>186.64227093630012</v>
          </cell>
          <cell r="L115">
            <v>3303.577588552962</v>
          </cell>
          <cell r="M115">
            <v>0</v>
          </cell>
          <cell r="N115">
            <v>0</v>
          </cell>
          <cell r="O115">
            <v>10.739952210274792</v>
          </cell>
          <cell r="P115">
            <v>205.63851766928428</v>
          </cell>
          <cell r="Q115">
            <v>84.296373954599773</v>
          </cell>
          <cell r="R115">
            <v>1614.0277950525478</v>
          </cell>
          <cell r="S115">
            <v>25.122399279097859</v>
          </cell>
          <cell r="T115">
            <v>424.17981164231776</v>
          </cell>
          <cell r="U115">
            <v>23.349537234509231</v>
          </cell>
          <cell r="V115">
            <v>391.44934145725057</v>
          </cell>
          <cell r="W115">
            <v>22.855047266767318</v>
          </cell>
          <cell r="X115">
            <v>382.91965671562872</v>
          </cell>
          <cell r="Y115">
            <v>10.386417870755707</v>
          </cell>
          <cell r="Z115">
            <v>172.26465717762434</v>
          </cell>
          <cell r="AA115">
            <v>10.133804390846146</v>
          </cell>
          <cell r="AB115">
            <v>167.54617848395247</v>
          </cell>
          <cell r="AC115">
            <v>10.550907703896414</v>
          </cell>
          <cell r="AD115">
            <v>175.72976778076026</v>
          </cell>
          <cell r="AE115">
            <v>8.8875078266454608</v>
          </cell>
          <cell r="AF115">
            <v>143.01133211841639</v>
          </cell>
          <cell r="AG115">
            <v>9.073095215105683</v>
          </cell>
          <cell r="AH115">
            <v>146.67075552491107</v>
          </cell>
          <cell r="AI115">
            <v>9.9128409802347228</v>
          </cell>
          <cell r="AJ115">
            <v>163.30988332307737</v>
          </cell>
          <cell r="AK115">
            <v>9.6209287665042655</v>
          </cell>
          <cell r="AL115">
            <v>157.39140823931146</v>
          </cell>
          <cell r="AM115">
            <v>21.68128797660934</v>
          </cell>
          <cell r="AN115">
            <v>387.94475002387588</v>
          </cell>
          <cell r="AQ115">
            <v>1.0833179284981212E-2</v>
          </cell>
          <cell r="AR115">
            <v>0.20742354213437744</v>
          </cell>
          <cell r="AS115">
            <v>4.5379702334816434E-3</v>
          </cell>
          <cell r="AT115">
            <v>8.6888791846553723E-2</v>
          </cell>
          <cell r="AU115">
            <v>6.2952090514995698E-3</v>
          </cell>
          <cell r="AV115">
            <v>0.12053475028782377</v>
          </cell>
          <cell r="AW115">
            <v>1</v>
          </cell>
          <cell r="AX115">
            <v>19.147060773003457</v>
          </cell>
          <cell r="AY115">
            <v>0</v>
          </cell>
          <cell r="AZ115">
            <v>0</v>
          </cell>
          <cell r="BA115">
            <v>1.0021975853094038</v>
          </cell>
          <cell r="BB115">
            <v>0</v>
          </cell>
          <cell r="BC115">
            <v>1.0547347623195183E-2</v>
          </cell>
          <cell r="BD115">
            <v>0</v>
          </cell>
          <cell r="BE115">
            <v>5.1847026672568524E-3</v>
          </cell>
          <cell r="BF115">
            <v>0</v>
          </cell>
          <cell r="BG115">
            <v>0</v>
          </cell>
          <cell r="BH115">
            <v>0</v>
          </cell>
          <cell r="BI115">
            <v>0</v>
          </cell>
          <cell r="BJ115">
            <v>3.4361282634408609E-2</v>
          </cell>
          <cell r="BK115">
            <v>0.75027030711938525</v>
          </cell>
          <cell r="BL115">
            <v>3.3956635537634415E-2</v>
          </cell>
          <cell r="BM115">
            <v>0.74143493549481954</v>
          </cell>
          <cell r="BN115">
            <v>3.6620562258064523E-2</v>
          </cell>
          <cell r="BO115">
            <v>0.79960113202321137</v>
          </cell>
          <cell r="BP115">
            <v>3.5069415053763452E-2</v>
          </cell>
          <cell r="BQ115">
            <v>0.76573220746237547</v>
          </cell>
          <cell r="BR115">
            <v>0.14005407115292715</v>
          </cell>
          <cell r="BS115">
            <v>2.6816238118716469</v>
          </cell>
          <cell r="BT115">
            <v>0.21481504614821031</v>
          </cell>
          <cell r="BU115">
            <v>7.4099447327404002</v>
          </cell>
          <cell r="BV115">
            <v>0.11745227463199547</v>
          </cell>
          <cell r="BW115">
            <v>5.4520465371247946</v>
          </cell>
          <cell r="BX115">
            <v>8.5926018459284131E-2</v>
          </cell>
          <cell r="BY115">
            <v>4.8180752654176509</v>
          </cell>
          <cell r="BZ115">
            <v>0.11156462384716534</v>
          </cell>
          <cell r="CA115">
            <v>5.3336499398574926</v>
          </cell>
          <cell r="CB115">
            <v>0.17866167388146653</v>
          </cell>
          <cell r="CC115">
            <v>6.6829253471563703</v>
          </cell>
          <cell r="CD115">
            <v>0.11660160704924855</v>
          </cell>
          <cell r="CE115">
            <v>5.4349401986404633</v>
          </cell>
          <cell r="CF115">
            <v>0.14372185625492781</v>
          </cell>
          <cell r="CG115">
            <v>5.9803097085419159</v>
          </cell>
          <cell r="CH115">
            <v>1.3312995585695675E-3</v>
          </cell>
          <cell r="CI115">
            <v>4.8414275558771841E-2</v>
          </cell>
          <cell r="CJ115">
            <v>1.2357164001387372E-3</v>
          </cell>
          <cell r="CK115">
            <v>3.7952259744770768E-2</v>
          </cell>
        </row>
        <row r="116">
          <cell r="A116">
            <v>21</v>
          </cell>
          <cell r="B116">
            <v>2038</v>
          </cell>
          <cell r="C116">
            <v>0.13022612220826574</v>
          </cell>
          <cell r="D116">
            <v>1.868119398783485</v>
          </cell>
          <cell r="E116">
            <v>0.12053223790617558</v>
          </cell>
          <cell r="F116">
            <v>1.719169622366705</v>
          </cell>
          <cell r="G116">
            <v>0.15347945170374908</v>
          </cell>
          <cell r="H116">
            <v>1.9663399857435706</v>
          </cell>
          <cell r="I116">
            <v>0.11107545988660424</v>
          </cell>
          <cell r="J116">
            <v>1.5233518971117355</v>
          </cell>
          <cell r="K116">
            <v>186.64227093630012</v>
          </cell>
          <cell r="L116">
            <v>3474.1554153844409</v>
          </cell>
          <cell r="M116">
            <v>0</v>
          </cell>
          <cell r="N116">
            <v>0</v>
          </cell>
          <cell r="O116">
            <v>10.739952210274792</v>
          </cell>
          <cell r="P116">
            <v>215.45407391553172</v>
          </cell>
          <cell r="Q116">
            <v>84.296373954599773</v>
          </cell>
          <cell r="R116">
            <v>1691.0687151335985</v>
          </cell>
          <cell r="S116">
            <v>25.45052529321287</v>
          </cell>
          <cell r="T116">
            <v>447.43979060880542</v>
          </cell>
          <cell r="U116">
            <v>23.671616478952242</v>
          </cell>
          <cell r="V116">
            <v>413.08352366212733</v>
          </cell>
          <cell r="W116">
            <v>23.171414224909796</v>
          </cell>
          <cell r="X116">
            <v>404.09668945997475</v>
          </cell>
          <cell r="Y116">
            <v>10.538825377438677</v>
          </cell>
          <cell r="Z116">
            <v>181.89639773254649</v>
          </cell>
          <cell r="AA116">
            <v>10.285854781098017</v>
          </cell>
          <cell r="AB116">
            <v>176.94672181672561</v>
          </cell>
          <cell r="AC116">
            <v>10.701240794744196</v>
          </cell>
          <cell r="AD116">
            <v>185.50994453284676</v>
          </cell>
          <cell r="AE116">
            <v>9.0458585668701623</v>
          </cell>
          <cell r="AF116">
            <v>151.27860666678629</v>
          </cell>
          <cell r="AG116">
            <v>9.2305599104414995</v>
          </cell>
          <cell r="AH116">
            <v>155.10683402986163</v>
          </cell>
          <cell r="AI116">
            <v>10.065255134426064</v>
          </cell>
          <cell r="AJ116">
            <v>172.50881419078391</v>
          </cell>
          <cell r="AK116">
            <v>9.7760530885599728</v>
          </cell>
          <cell r="AL116">
            <v>166.32602890412787</v>
          </cell>
          <cell r="AM116">
            <v>21.829345359876342</v>
          </cell>
          <cell r="AN116">
            <v>407.89522680473533</v>
          </cell>
          <cell r="AQ116">
            <v>1.0833179284981212E-2</v>
          </cell>
          <cell r="AR116">
            <v>0.21732430132916117</v>
          </cell>
          <cell r="AS116">
            <v>4.5379702334816434E-3</v>
          </cell>
          <cell r="AT116">
            <v>9.1036175484622645E-2</v>
          </cell>
          <cell r="AU116">
            <v>6.2952090514995698E-3</v>
          </cell>
          <cell r="AV116">
            <v>0.12628812584453858</v>
          </cell>
          <cell r="AW116">
            <v>1</v>
          </cell>
          <cell r="AX116">
            <v>20.060990002302731</v>
          </cell>
          <cell r="AY116">
            <v>0</v>
          </cell>
          <cell r="AZ116">
            <v>0</v>
          </cell>
          <cell r="BA116">
            <v>1.0021975853094038</v>
          </cell>
          <cell r="BB116">
            <v>0</v>
          </cell>
          <cell r="BC116">
            <v>1.0547347623195183E-2</v>
          </cell>
          <cell r="BD116">
            <v>0</v>
          </cell>
          <cell r="BE116">
            <v>5.1847026672568524E-3</v>
          </cell>
          <cell r="BF116">
            <v>0</v>
          </cell>
          <cell r="BG116">
            <v>0</v>
          </cell>
          <cell r="BH116">
            <v>0</v>
          </cell>
          <cell r="BI116">
            <v>0</v>
          </cell>
          <cell r="BJ116">
            <v>3.4361282634408609E-2</v>
          </cell>
          <cell r="BK116">
            <v>0.78167408767518487</v>
          </cell>
          <cell r="BL116">
            <v>3.3956635537634415E-2</v>
          </cell>
          <cell r="BM116">
            <v>0.77246889724132617</v>
          </cell>
          <cell r="BN116">
            <v>3.6620562258064523E-2</v>
          </cell>
          <cell r="BO116">
            <v>0.83306973426423025</v>
          </cell>
          <cell r="BP116">
            <v>3.5069415053763452E-2</v>
          </cell>
          <cell r="BQ116">
            <v>0.79778317093443774</v>
          </cell>
          <cell r="BR116">
            <v>0.14005407115292715</v>
          </cell>
          <cell r="BS116">
            <v>2.8096233211806672</v>
          </cell>
          <cell r="BT116">
            <v>0.21481504614821031</v>
          </cell>
          <cell r="BU116">
            <v>7.6062704823085223</v>
          </cell>
          <cell r="BV116">
            <v>0.11745227463199547</v>
          </cell>
          <cell r="BW116">
            <v>5.5593896039586612</v>
          </cell>
          <cell r="BX116">
            <v>8.5926018459284131E-2</v>
          </cell>
          <cell r="BY116">
            <v>4.896605565244899</v>
          </cell>
          <cell r="BZ116">
            <v>0.11156462384716534</v>
          </cell>
          <cell r="CA116">
            <v>5.4356121105471962</v>
          </cell>
          <cell r="CB116">
            <v>0.17866167388146653</v>
          </cell>
          <cell r="CC116">
            <v>6.8462094730721779</v>
          </cell>
          <cell r="CD116">
            <v>0.11660160704924855</v>
          </cell>
          <cell r="CE116">
            <v>5.5415058155060404</v>
          </cell>
          <cell r="CF116">
            <v>0.14372185625492781</v>
          </cell>
          <cell r="CG116">
            <v>6.1116613138624425</v>
          </cell>
          <cell r="CH116">
            <v>1.3312995585695675E-3</v>
          </cell>
          <cell r="CI116">
            <v>4.9630989138301787E-2</v>
          </cell>
          <cell r="CJ116">
            <v>1.2357164001387372E-3</v>
          </cell>
          <cell r="CK116">
            <v>3.9081617081982038E-2</v>
          </cell>
        </row>
        <row r="117">
          <cell r="A117">
            <v>22</v>
          </cell>
          <cell r="B117">
            <v>2039</v>
          </cell>
          <cell r="C117">
            <v>0.13457092360386344</v>
          </cell>
          <cell r="D117">
            <v>1.9905689213794331</v>
          </cell>
          <cell r="E117">
            <v>0.1249025912844397</v>
          </cell>
          <cell r="F117">
            <v>1.8328216822930989</v>
          </cell>
          <cell r="G117">
            <v>0.16010481480252231</v>
          </cell>
          <cell r="H117">
            <v>2.1120234485069838</v>
          </cell>
          <cell r="I117">
            <v>0.11541428405471073</v>
          </cell>
          <cell r="J117">
            <v>1.6283703037985624</v>
          </cell>
          <cell r="K117">
            <v>186.64227093630012</v>
          </cell>
          <cell r="L117">
            <v>3643.9859876977407</v>
          </cell>
          <cell r="M117">
            <v>0</v>
          </cell>
          <cell r="N117">
            <v>0</v>
          </cell>
          <cell r="O117">
            <v>10.739952210274792</v>
          </cell>
          <cell r="P117">
            <v>225.22663091099915</v>
          </cell>
          <cell r="Q117">
            <v>84.296373954599773</v>
          </cell>
          <cell r="R117">
            <v>1767.7721401446008</v>
          </cell>
          <cell r="S117">
            <v>25.782936991984947</v>
          </cell>
          <cell r="T117">
            <v>470.90034390844352</v>
          </cell>
          <cell r="U117">
            <v>23.99813993427906</v>
          </cell>
          <cell r="V117">
            <v>434.9200445051697</v>
          </cell>
          <cell r="W117">
            <v>23.492163205988962</v>
          </cell>
          <cell r="X117">
            <v>425.47280914677503</v>
          </cell>
          <cell r="Y117">
            <v>10.693469270947437</v>
          </cell>
          <cell r="Z117">
            <v>191.62665871356248</v>
          </cell>
          <cell r="AA117">
            <v>10.440186577254726</v>
          </cell>
          <cell r="AB117">
            <v>186.44651440164301</v>
          </cell>
          <cell r="AC117">
            <v>10.853715885014028</v>
          </cell>
          <cell r="AD117">
            <v>195.38601800340047</v>
          </cell>
          <cell r="AE117">
            <v>9.2070306781044682</v>
          </cell>
          <cell r="AF117">
            <v>159.6563191834876</v>
          </cell>
          <cell r="AG117">
            <v>9.3907574251393271</v>
          </cell>
          <cell r="AH117">
            <v>163.6517242091667</v>
          </cell>
          <cell r="AI117">
            <v>10.220012721185745</v>
          </cell>
          <cell r="AJ117">
            <v>181.80826495711412</v>
          </cell>
          <cell r="AK117">
            <v>9.9336785782136587</v>
          </cell>
          <cell r="AL117">
            <v>175.36493691596928</v>
          </cell>
          <cell r="AM117">
            <v>21.978413798794815</v>
          </cell>
          <cell r="AN117">
            <v>427.89394721926448</v>
          </cell>
          <cell r="AQ117">
            <v>1.0833179284981212E-2</v>
          </cell>
          <cell r="AR117">
            <v>0.22718168802249422</v>
          </cell>
          <cell r="AS117">
            <v>4.5379702334816434E-3</v>
          </cell>
          <cell r="AT117">
            <v>9.5165390576288228E-2</v>
          </cell>
          <cell r="AU117">
            <v>6.2952090514995698E-3</v>
          </cell>
          <cell r="AV117">
            <v>0.13201629744620608</v>
          </cell>
          <cell r="AW117">
            <v>1</v>
          </cell>
          <cell r="AX117">
            <v>20.970915559151866</v>
          </cell>
          <cell r="AY117">
            <v>0</v>
          </cell>
          <cell r="AZ117">
            <v>0</v>
          </cell>
          <cell r="BA117">
            <v>1.0021975853094038</v>
          </cell>
          <cell r="BB117">
            <v>0</v>
          </cell>
          <cell r="BC117">
            <v>1.0547347623195183E-2</v>
          </cell>
          <cell r="BD117">
            <v>0</v>
          </cell>
          <cell r="BE117">
            <v>5.1847026672568524E-3</v>
          </cell>
          <cell r="BF117">
            <v>0</v>
          </cell>
          <cell r="BG117">
            <v>0</v>
          </cell>
          <cell r="BH117">
            <v>0</v>
          </cell>
          <cell r="BI117">
            <v>0</v>
          </cell>
          <cell r="BJ117">
            <v>3.4361282634408609E-2</v>
          </cell>
          <cell r="BK117">
            <v>0.81294029691034964</v>
          </cell>
          <cell r="BL117">
            <v>3.3956635537634415E-2</v>
          </cell>
          <cell r="BM117">
            <v>0.80336690774163111</v>
          </cell>
          <cell r="BN117">
            <v>3.6620562258064523E-2</v>
          </cell>
          <cell r="BO117">
            <v>0.86639171976902818</v>
          </cell>
          <cell r="BP117">
            <v>3.5069415053763452E-2</v>
          </cell>
          <cell r="BQ117">
            <v>0.82969372795560692</v>
          </cell>
          <cell r="BR117">
            <v>0.14005407115292715</v>
          </cell>
          <cell r="BS117">
            <v>2.9370620998634824</v>
          </cell>
          <cell r="BT117">
            <v>0.21481504614821031</v>
          </cell>
          <cell r="BU117">
            <v>7.8017361827945049</v>
          </cell>
          <cell r="BV117">
            <v>0.11745227463199547</v>
          </cell>
          <cell r="BW117">
            <v>5.6662624303563769</v>
          </cell>
          <cell r="BX117">
            <v>8.5926018459284131E-2</v>
          </cell>
          <cell r="BY117">
            <v>4.9747918454392934</v>
          </cell>
          <cell r="BZ117">
            <v>0.11156462384716534</v>
          </cell>
          <cell r="CA117">
            <v>5.5371276130259925</v>
          </cell>
          <cell r="CB117">
            <v>0.17866167388146653</v>
          </cell>
          <cell r="CC117">
            <v>7.0087782961663692</v>
          </cell>
          <cell r="CD117">
            <v>0.11660160704924855</v>
          </cell>
          <cell r="CE117">
            <v>5.6476045977298321</v>
          </cell>
          <cell r="CF117">
            <v>0.14372185625492781</v>
          </cell>
          <cell r="CG117">
            <v>6.2424375039465998</v>
          </cell>
          <cell r="CH117">
            <v>1.3312995585695675E-3</v>
          </cell>
          <cell r="CI117">
            <v>5.0842372630466218E-2</v>
          </cell>
          <cell r="CJ117">
            <v>1.2357164001387372E-3</v>
          </cell>
          <cell r="CK117">
            <v>4.0206027015485889E-2</v>
          </cell>
        </row>
        <row r="118">
          <cell r="A118">
            <v>23</v>
          </cell>
          <cell r="B118">
            <v>2040</v>
          </cell>
          <cell r="C118">
            <v>0.13907499466907197</v>
          </cell>
          <cell r="D118">
            <v>2.1165624418573756</v>
          </cell>
          <cell r="E118">
            <v>0.12944847802681242</v>
          </cell>
          <cell r="F118">
            <v>1.9500941618349354</v>
          </cell>
          <cell r="G118">
            <v>0.16703988997325889</v>
          </cell>
          <cell r="H118">
            <v>2.2633514701118584</v>
          </cell>
          <cell r="I118">
            <v>0.11994261648163711</v>
          </cell>
          <cell r="J118">
            <v>1.7370310486133733</v>
          </cell>
          <cell r="K118">
            <v>186.64227093630012</v>
          </cell>
          <cell r="L118">
            <v>3813.0725790092706</v>
          </cell>
          <cell r="M118">
            <v>0</v>
          </cell>
          <cell r="N118">
            <v>0</v>
          </cell>
          <cell r="O118">
            <v>10.739952210274792</v>
          </cell>
          <cell r="P118">
            <v>234.95637702357121</v>
          </cell>
          <cell r="Q118">
            <v>84.296373954599773</v>
          </cell>
          <cell r="R118">
            <v>1844.1395485585815</v>
          </cell>
          <cell r="S118">
            <v>26.119690351143497</v>
          </cell>
          <cell r="T118">
            <v>494.56320112418558</v>
          </cell>
          <cell r="U118">
            <v>24.329168945606646</v>
          </cell>
          <cell r="V118">
            <v>456.96079779121897</v>
          </cell>
          <cell r="W118">
            <v>23.817354945223819</v>
          </cell>
          <cell r="X118">
            <v>447.04988995243644</v>
          </cell>
          <cell r="Y118">
            <v>10.850382367421716</v>
          </cell>
          <cell r="Z118">
            <v>201.45644785902471</v>
          </cell>
          <cell r="AA118">
            <v>10.596834010158393</v>
          </cell>
          <cell r="AB118">
            <v>196.04660409452558</v>
          </cell>
          <cell r="AC118">
            <v>11.008363494676585</v>
          </cell>
          <cell r="AD118">
            <v>205.35892848019387</v>
          </cell>
          <cell r="AE118">
            <v>9.3710744293547741</v>
          </cell>
          <cell r="AF118">
            <v>168.14594494852676</v>
          </cell>
          <cell r="AG118">
            <v>9.5537351876189067</v>
          </cell>
          <cell r="AH118">
            <v>172.30682955622297</v>
          </cell>
          <cell r="AI118">
            <v>10.377149771788103</v>
          </cell>
          <cell r="AJ118">
            <v>191.20933403776044</v>
          </cell>
          <cell r="AK118">
            <v>10.093845563373094</v>
          </cell>
          <cell r="AL118">
            <v>184.50934954540122</v>
          </cell>
          <cell r="AM118">
            <v>22.128500197671094</v>
          </cell>
          <cell r="AN118">
            <v>447.94102792874486</v>
          </cell>
          <cell r="AQ118">
            <v>1.0833179284981212E-2</v>
          </cell>
          <cell r="AR118">
            <v>0.23699589221736983</v>
          </cell>
          <cell r="AS118">
            <v>4.5379702334816434E-3</v>
          </cell>
          <cell r="AT118">
            <v>9.9276516712952498E-2</v>
          </cell>
          <cell r="AU118">
            <v>6.2952090514995698E-3</v>
          </cell>
          <cell r="AV118">
            <v>0.1377193755044174</v>
          </cell>
          <cell r="AW118">
            <v>1</v>
          </cell>
          <cell r="AX118">
            <v>21.876854982538106</v>
          </cell>
          <cell r="AY118">
            <v>0</v>
          </cell>
          <cell r="AZ118">
            <v>0</v>
          </cell>
          <cell r="BA118">
            <v>1.0021975853094038</v>
          </cell>
          <cell r="BB118">
            <v>0</v>
          </cell>
          <cell r="BC118">
            <v>1.0547347623195183E-2</v>
          </cell>
          <cell r="BD118">
            <v>0</v>
          </cell>
          <cell r="BE118">
            <v>5.1847026672568524E-3</v>
          </cell>
          <cell r="BF118">
            <v>0</v>
          </cell>
          <cell r="BG118">
            <v>0</v>
          </cell>
          <cell r="BH118">
            <v>0</v>
          </cell>
          <cell r="BI118">
            <v>0</v>
          </cell>
          <cell r="BJ118">
            <v>3.4361282634408609E-2</v>
          </cell>
          <cell r="BK118">
            <v>0.84406953748697733</v>
          </cell>
          <cell r="BL118">
            <v>3.3956635537634415E-2</v>
          </cell>
          <cell r="BM118">
            <v>0.83412956256073234</v>
          </cell>
          <cell r="BN118">
            <v>3.6620562258064523E-2</v>
          </cell>
          <cell r="BO118">
            <v>0.89956773082517894</v>
          </cell>
          <cell r="BP118">
            <v>3.5069415053763452E-2</v>
          </cell>
          <cell r="BQ118">
            <v>0.861464493607906</v>
          </cell>
          <cell r="BR118">
            <v>0.14005407115292715</v>
          </cell>
          <cell r="BS118">
            <v>3.0639426043266607</v>
          </cell>
          <cell r="BT118">
            <v>0.21481504614821031</v>
          </cell>
          <cell r="BU118">
            <v>7.996345601836703</v>
          </cell>
          <cell r="BV118">
            <v>0.11745227463199547</v>
          </cell>
          <cell r="BW118">
            <v>5.7726670763118895</v>
          </cell>
          <cell r="BX118">
            <v>8.5926018459284131E-2</v>
          </cell>
          <cell r="BY118">
            <v>5.0526356130561716</v>
          </cell>
          <cell r="BZ118">
            <v>0.11156462384716534</v>
          </cell>
          <cell r="CA118">
            <v>5.6381984040243962</v>
          </cell>
          <cell r="CB118">
            <v>0.17866167388146653</v>
          </cell>
          <cell r="CC118">
            <v>7.1706349499837652</v>
          </cell>
          <cell r="CD118">
            <v>0.11660160704924855</v>
          </cell>
          <cell r="CE118">
            <v>5.7532385903859371</v>
          </cell>
          <cell r="CF118">
            <v>0.14372185625492781</v>
          </cell>
          <cell r="CG118">
            <v>6.3726407995301875</v>
          </cell>
          <cell r="CH118">
            <v>1.3312995585695675E-3</v>
          </cell>
          <cell r="CI118">
            <v>5.2048449384911079E-2</v>
          </cell>
          <cell r="CJ118">
            <v>1.2357164001387372E-3</v>
          </cell>
          <cell r="CK118">
            <v>4.1325511218496487E-2</v>
          </cell>
        </row>
        <row r="119">
          <cell r="A119">
            <v>24</v>
          </cell>
          <cell r="B119">
            <v>2041</v>
          </cell>
          <cell r="C119">
            <v>0.14374417844364859</v>
          </cell>
          <cell r="D119">
            <v>2.2462154865948984</v>
          </cell>
          <cell r="E119">
            <v>0.13417695404446214</v>
          </cell>
          <cell r="F119">
            <v>2.0711178499858329</v>
          </cell>
          <cell r="G119">
            <v>0.17429916317275329</v>
          </cell>
          <cell r="H119">
            <v>2.4205642174051949</v>
          </cell>
          <cell r="I119">
            <v>0.12466874126875763</v>
          </cell>
          <cell r="J119">
            <v>1.8494786069360596</v>
          </cell>
          <cell r="K119">
            <v>186.64227093630012</v>
          </cell>
          <cell r="L119">
            <v>3981.4184484950629</v>
          </cell>
          <cell r="M119">
            <v>0</v>
          </cell>
          <cell r="N119">
            <v>0</v>
          </cell>
          <cell r="O119">
            <v>10.739952210274792</v>
          </cell>
          <cell r="P119">
            <v>244.64349979594488</v>
          </cell>
          <cell r="Q119">
            <v>84.296373954599773</v>
          </cell>
          <cell r="R119">
            <v>1920.1724123717845</v>
          </cell>
          <cell r="S119">
            <v>26.460842077522194</v>
          </cell>
          <cell r="T119">
            <v>518.43010675344158</v>
          </cell>
          <cell r="U119">
            <v>24.664765705132794</v>
          </cell>
          <cell r="V119">
            <v>479.20769506408294</v>
          </cell>
          <cell r="W119">
            <v>24.147051020191398</v>
          </cell>
          <cell r="X119">
            <v>468.82982372156255</v>
          </cell>
          <cell r="Y119">
            <v>11.009597964536457</v>
          </cell>
          <cell r="Z119">
            <v>211.38678321516412</v>
          </cell>
          <cell r="AA119">
            <v>10.755831824260106</v>
          </cell>
          <cell r="AB119">
            <v>205.74804981426826</v>
          </cell>
          <cell r="AC119">
            <v>11.165214578561953</v>
          </cell>
          <cell r="AD119">
            <v>215.42962547072156</v>
          </cell>
          <cell r="AE119">
            <v>9.5380409852817589</v>
          </cell>
          <cell r="AF119">
            <v>176.74897894936353</v>
          </cell>
          <cell r="AG119">
            <v>9.7195414494261101</v>
          </cell>
          <cell r="AH119">
            <v>181.07357166720638</v>
          </cell>
          <cell r="AI119">
            <v>10.536702871503671</v>
          </cell>
          <cell r="AJ119">
            <v>200.71313185118353</v>
          </cell>
          <cell r="AK119">
            <v>10.256595022178429</v>
          </cell>
          <cell r="AL119">
            <v>193.76049827130572</v>
          </cell>
          <cell r="AM119">
            <v>22.279611507959721</v>
          </cell>
          <cell r="AN119">
            <v>468.03658587656486</v>
          </cell>
          <cell r="AQ119">
            <v>1.0833179284981212E-2</v>
          </cell>
          <cell r="AR119">
            <v>0.24676710308443037</v>
          </cell>
          <cell r="AS119">
            <v>4.5379702334816434E-3</v>
          </cell>
          <cell r="AT119">
            <v>0.10336963313734941</v>
          </cell>
          <cell r="AU119">
            <v>6.2952090514995698E-3</v>
          </cell>
          <cell r="AV119">
            <v>0.143397469947081</v>
          </cell>
          <cell r="AW119">
            <v>1</v>
          </cell>
          <cell r="AX119">
            <v>22.778825734615204</v>
          </cell>
          <cell r="AY119">
            <v>0</v>
          </cell>
          <cell r="AZ119">
            <v>0</v>
          </cell>
          <cell r="BA119">
            <v>1.0021975853094038</v>
          </cell>
          <cell r="BB119">
            <v>0</v>
          </cell>
          <cell r="BC119">
            <v>1.0547347623195183E-2</v>
          </cell>
          <cell r="BD119">
            <v>0</v>
          </cell>
          <cell r="BE119">
            <v>5.1847026672568524E-3</v>
          </cell>
          <cell r="BF119">
            <v>0</v>
          </cell>
          <cell r="BG119">
            <v>0</v>
          </cell>
          <cell r="BH119">
            <v>0</v>
          </cell>
          <cell r="BI119">
            <v>0</v>
          </cell>
          <cell r="BJ119">
            <v>3.4361282634408609E-2</v>
          </cell>
          <cell r="BK119">
            <v>0.87506240942706848</v>
          </cell>
          <cell r="BL119">
            <v>3.3956635537634415E-2</v>
          </cell>
          <cell r="BM119">
            <v>0.86475745465462028</v>
          </cell>
          <cell r="BN119">
            <v>3.6620562258064523E-2</v>
          </cell>
          <cell r="BO119">
            <v>0.93259840690657159</v>
          </cell>
          <cell r="BP119">
            <v>3.5069415053763452E-2</v>
          </cell>
          <cell r="BQ119">
            <v>0.8930960802788529</v>
          </cell>
          <cell r="BR119">
            <v>0.14005407115292715</v>
          </cell>
          <cell r="BS119">
            <v>3.1902672802159255</v>
          </cell>
          <cell r="BT119">
            <v>0.21481504614821031</v>
          </cell>
          <cell r="BU119">
            <v>8.1901024905684796</v>
          </cell>
          <cell r="BV119">
            <v>0.11745227463199547</v>
          </cell>
          <cell r="BW119">
            <v>5.8786055927948766</v>
          </cell>
          <cell r="BX119">
            <v>8.5926018459284131E-2</v>
          </cell>
          <cell r="BY119">
            <v>5.1301383685488826</v>
          </cell>
          <cell r="BZ119">
            <v>0.11156462384716534</v>
          </cell>
          <cell r="CA119">
            <v>5.738826431701022</v>
          </cell>
          <cell r="CB119">
            <v>0.17866167388146653</v>
          </cell>
          <cell r="CC119">
            <v>7.3317825543419843</v>
          </cell>
          <cell r="CD119">
            <v>0.11660160704924855</v>
          </cell>
          <cell r="CE119">
            <v>5.8584098295895464</v>
          </cell>
          <cell r="CF119">
            <v>0.14372185625492781</v>
          </cell>
          <cell r="CG119">
            <v>6.5022737103063619</v>
          </cell>
          <cell r="CH119">
            <v>1.3312995585695675E-3</v>
          </cell>
          <cell r="CI119">
            <v>5.3249242648993979E-2</v>
          </cell>
          <cell r="CJ119">
            <v>1.2357164001387372E-3</v>
          </cell>
          <cell r="CK119">
            <v>4.2440091269283629E-2</v>
          </cell>
        </row>
        <row r="120">
          <cell r="A120">
            <v>25</v>
          </cell>
          <cell r="B120">
            <v>2042</v>
          </cell>
          <cell r="C120">
            <v>0.14858453235133964</v>
          </cell>
          <cell r="D120">
            <v>2.3796472890560314</v>
          </cell>
          <cell r="E120">
            <v>0.13909535890397703</v>
          </cell>
          <cell r="F120">
            <v>2.1960281899709524</v>
          </cell>
          <cell r="G120">
            <v>0.18189779794084818</v>
          </cell>
          <cell r="H120">
            <v>2.5839119808558868</v>
          </cell>
          <cell r="I120">
            <v>0.12960130468113801</v>
          </cell>
          <cell r="J120">
            <v>1.9658631014137768</v>
          </cell>
          <cell r="K120">
            <v>186.64227093630012</v>
          </cell>
          <cell r="L120">
            <v>4149.0268410535973</v>
          </cell>
          <cell r="M120">
            <v>0</v>
          </cell>
          <cell r="N120">
            <v>0</v>
          </cell>
          <cell r="O120">
            <v>10.739952210274792</v>
          </cell>
          <cell r="P120">
            <v>254.288185949244</v>
          </cell>
          <cell r="Q120">
            <v>84.296373954599773</v>
          </cell>
          <cell r="R120">
            <v>1995.8721971320417</v>
          </cell>
          <cell r="S120">
            <v>26.806449618607974</v>
          </cell>
          <cell r="T120">
            <v>542.50282033668805</v>
          </cell>
          <cell r="U120">
            <v>25.004993263837438</v>
          </cell>
          <cell r="V120">
            <v>501.66266577283068</v>
          </cell>
          <cell r="W120">
            <v>24.481313862517737</v>
          </cell>
          <cell r="X120">
            <v>490.81452013375946</v>
          </cell>
          <cell r="Y120">
            <v>11.171149848567755</v>
          </cell>
          <cell r="Z120">
            <v>221.41869324152674</v>
          </cell>
          <cell r="AA120">
            <v>10.91721528532627</v>
          </cell>
          <cell r="AB120">
            <v>215.55192165964195</v>
          </cell>
          <cell r="AC120">
            <v>11.324300532555663</v>
          </cell>
          <cell r="AD120">
            <v>225.5990677926016</v>
          </cell>
          <cell r="AE120">
            <v>9.7079824221584445</v>
          </cell>
          <cell r="AF120">
            <v>185.46693614417185</v>
          </cell>
          <cell r="AG120">
            <v>9.888225299518373</v>
          </cell>
          <cell r="AH120">
            <v>189.95339047456835</v>
          </cell>
          <cell r="AI120">
            <v>10.698709168117105</v>
          </cell>
          <cell r="AJ120">
            <v>210.32078094977049</v>
          </cell>
          <cell r="AK120">
            <v>10.421968593486293</v>
          </cell>
          <cell r="AL120">
            <v>203.11962894672459</v>
          </cell>
          <cell r="AM120">
            <v>22.431754728585389</v>
          </cell>
          <cell r="AN120">
            <v>488.18073828890175</v>
          </cell>
          <cell r="AQ120">
            <v>1.0833179284981212E-2</v>
          </cell>
          <cell r="AR120">
            <v>0.25649550896561368</v>
          </cell>
          <cell r="AS120">
            <v>4.5379702334816434E-3</v>
          </cell>
          <cell r="AT120">
            <v>0.10744481874507235</v>
          </cell>
          <cell r="AU120">
            <v>6.2952090514995698E-3</v>
          </cell>
          <cell r="AV120">
            <v>0.1490506902205414</v>
          </cell>
          <cell r="AW120">
            <v>1</v>
          </cell>
          <cell r="AX120">
            <v>23.676845201040031</v>
          </cell>
          <cell r="AY120">
            <v>0</v>
          </cell>
          <cell r="AZ120">
            <v>0</v>
          </cell>
          <cell r="BA120">
            <v>1.0021975853094038</v>
          </cell>
          <cell r="BB120">
            <v>0</v>
          </cell>
          <cell r="BC120">
            <v>1.0547347623195183E-2</v>
          </cell>
          <cell r="BD120">
            <v>0</v>
          </cell>
          <cell r="BE120">
            <v>5.1847026672568524E-3</v>
          </cell>
          <cell r="BF120">
            <v>0</v>
          </cell>
          <cell r="BG120">
            <v>0</v>
          </cell>
          <cell r="BH120">
            <v>0</v>
          </cell>
          <cell r="BI120">
            <v>0</v>
          </cell>
          <cell r="BJ120">
            <v>3.4361282634408609E-2</v>
          </cell>
          <cell r="BK120">
            <v>0.90591951012409277</v>
          </cell>
          <cell r="BL120">
            <v>3.3956635537634415E-2</v>
          </cell>
          <cell r="BM120">
            <v>0.89525117438170909</v>
          </cell>
          <cell r="BN120">
            <v>3.6620562258064523E-2</v>
          </cell>
          <cell r="BO120">
            <v>0.96548438468573583</v>
          </cell>
          <cell r="BP120">
            <v>3.5069415053763452E-2</v>
          </cell>
          <cell r="BQ120">
            <v>0.92458909767326436</v>
          </cell>
          <cell r="BR120">
            <v>0.14005407115292715</v>
          </cell>
          <cell r="BS120">
            <v>3.3160385624633024</v>
          </cell>
          <cell r="BT120">
            <v>0.21481504614821031</v>
          </cell>
          <cell r="BU120">
            <v>8.3830105836905204</v>
          </cell>
          <cell r="BV120">
            <v>0.11745227463199547</v>
          </cell>
          <cell r="BW120">
            <v>5.984080021790283</v>
          </cell>
          <cell r="BX120">
            <v>8.5926018459284131E-2</v>
          </cell>
          <cell r="BY120">
            <v>5.2073016057976993</v>
          </cell>
          <cell r="BZ120">
            <v>0.11156462384716534</v>
          </cell>
          <cell r="CA120">
            <v>5.8390136356801392</v>
          </cell>
          <cell r="CB120">
            <v>0.17866167388146653</v>
          </cell>
          <cell r="CC120">
            <v>7.4922242153915857</v>
          </cell>
          <cell r="CD120">
            <v>0.11660160704924855</v>
          </cell>
          <cell r="CE120">
            <v>5.9631203425361887</v>
          </cell>
          <cell r="CF120">
            <v>0.14372185625492781</v>
          </cell>
          <cell r="CG120">
            <v>6.6313387349739985</v>
          </cell>
          <cell r="CH120">
            <v>1.3312995585695675E-3</v>
          </cell>
          <cell r="CI120">
            <v>5.4444775568232233E-2</v>
          </cell>
          <cell r="CJ120">
            <v>1.2357164001387372E-3</v>
          </cell>
          <cell r="CK120">
            <v>4.3549788651588629E-2</v>
          </cell>
        </row>
        <row r="141">
          <cell r="C141">
            <v>2015</v>
          </cell>
        </row>
      </sheetData>
      <sheetData sheetId="3"/>
      <sheetData sheetId="4"/>
      <sheetData sheetId="5"/>
      <sheetData sheetId="6">
        <row r="5">
          <cell r="D5" t="str">
            <v>National Grid</v>
          </cell>
        </row>
        <row r="8">
          <cell r="D8">
            <v>2016</v>
          </cell>
        </row>
        <row r="9">
          <cell r="D9">
            <v>2017</v>
          </cell>
        </row>
        <row r="10">
          <cell r="D10">
            <v>2018</v>
          </cell>
        </row>
        <row r="13">
          <cell r="E13">
            <v>2.5399999999999999E-2</v>
          </cell>
        </row>
        <row r="36">
          <cell r="D36" t="str">
            <v>NG - Res All</v>
          </cell>
        </row>
        <row r="37">
          <cell r="D37" t="str">
            <v>NG - Res Hot Water</v>
          </cell>
        </row>
        <row r="38">
          <cell r="D38" t="str">
            <v>NG - Res Gas Heating</v>
          </cell>
        </row>
        <row r="39">
          <cell r="D39" t="str">
            <v>NG - Res Gas Non-Heating</v>
          </cell>
        </row>
        <row r="40">
          <cell r="D40" t="str">
            <v>NG - C&amp;I Gas Non-Heating</v>
          </cell>
        </row>
        <row r="41">
          <cell r="D41" t="str">
            <v>NG - C&amp;I Gas Heat</v>
          </cell>
        </row>
        <row r="42">
          <cell r="D42" t="str">
            <v>NG - C&amp;I Gas All</v>
          </cell>
        </row>
        <row r="43">
          <cell r="D43" t="str">
            <v>Fuel Oil - Residential Distillate</v>
          </cell>
        </row>
        <row r="44">
          <cell r="D44" t="str">
            <v>Fuel Oil - Com Fuel Oil</v>
          </cell>
        </row>
        <row r="45">
          <cell r="D45" t="str">
            <v>Fuel Oil - Industrial Oil</v>
          </cell>
        </row>
        <row r="46">
          <cell r="D46" t="str">
            <v>Propane</v>
          </cell>
        </row>
        <row r="47">
          <cell r="D47" t="str">
            <v>Res Water</v>
          </cell>
        </row>
        <row r="48">
          <cell r="D48" t="str">
            <v>C&amp;I Water</v>
          </cell>
        </row>
        <row r="49">
          <cell r="D49" t="str">
            <v>C&amp;I Sewer</v>
          </cell>
        </row>
        <row r="52">
          <cell r="D52" t="str">
            <v>Behavior</v>
          </cell>
        </row>
        <row r="53">
          <cell r="D53" t="str">
            <v>Custom Measures</v>
          </cell>
        </row>
        <row r="54">
          <cell r="D54" t="str">
            <v>Energy Star Homes</v>
          </cell>
        </row>
        <row r="55">
          <cell r="D55" t="str">
            <v>Envelope</v>
          </cell>
        </row>
        <row r="56">
          <cell r="D56" t="str">
            <v>Home Energy Services</v>
          </cell>
        </row>
        <row r="57">
          <cell r="D57" t="str">
            <v>Hot Water</v>
          </cell>
        </row>
        <row r="58">
          <cell r="D58" t="str">
            <v xml:space="preserve">HVAC </v>
          </cell>
        </row>
        <row r="59">
          <cell r="D59" t="str">
            <v>Lighting</v>
          </cell>
        </row>
        <row r="60">
          <cell r="D60" t="str">
            <v>Process</v>
          </cell>
        </row>
        <row r="61">
          <cell r="D61" t="str">
            <v>Refrigeration</v>
          </cell>
        </row>
        <row r="62">
          <cell r="D62" t="str">
            <v>Food Service</v>
          </cell>
        </row>
        <row r="63">
          <cell r="D63" t="str">
            <v>Compressed Air</v>
          </cell>
        </row>
        <row r="64">
          <cell r="D64" t="str">
            <v>Motors/Drives</v>
          </cell>
        </row>
        <row r="82">
          <cell r="D82" t="str">
            <v>A1a - Residential New Construction</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racker"/>
      <sheetName val="Lookups-Assumptions"/>
      <sheetName val="TRL Lookups"/>
      <sheetName val="Demand Lookups"/>
      <sheetName val="Avoided Costs"/>
      <sheetName val="Inputs Yr 1"/>
      <sheetName val="Calculations Yr 1"/>
      <sheetName val="Inputs Yr 2"/>
      <sheetName val="Calculations Yr 2"/>
      <sheetName val="Inputs Yr 3"/>
      <sheetName val="Calculations Yr 3"/>
      <sheetName val="Calculations Total"/>
      <sheetName val="Cost Table"/>
      <sheetName val="Master Data"/>
      <sheetName val="Savings Summary"/>
      <sheetName val="Master Benefit Summary"/>
      <sheetName val="CE Summary Table"/>
    </sheetNames>
    <sheetDataSet>
      <sheetData sheetId="0" refreshError="1"/>
      <sheetData sheetId="1">
        <row r="7">
          <cell r="D7">
            <v>2016</v>
          </cell>
        </row>
      </sheetData>
      <sheetData sheetId="2" refreshError="1"/>
      <sheetData sheetId="3"/>
      <sheetData sheetId="4">
        <row r="11">
          <cell r="D11">
            <v>2.7799999999999998E-2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DSDATA/_EE%20Annual%20Report/2016/Annual%20Report/Gas/2016%20BC%20Model/Copy%20of%20Copy%20of%20NG-Gas_2016%20Evaluated%20Gas%20BCR%20Screening%20Model_4-12-17_no%20link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abitha Vigliotti" refreshedDate="42853.612569444442" createdVersion="4" refreshedVersion="4" minRefreshableVersion="3" recordCount="389">
  <cacheSource type="worksheet">
    <worksheetSource ref="A4:CX393" sheet="Calculations Yr 2" r:id="rId2"/>
  </cacheSource>
  <cacheFields count="106">
    <cacheField name="Sector" numFmtId="0">
      <sharedItems count="5">
        <s v="A - Residential"/>
        <e v="#REF!"/>
        <s v="B - Low Income"/>
        <s v="C - Commercial &amp; Industrial"/>
        <s v=""/>
      </sharedItems>
    </cacheField>
    <cacheField name="Program" numFmtId="0">
      <sharedItems count="7">
        <s v="A1 - Residential Whole House"/>
        <e v="#REF!"/>
        <s v="A2 - Residential Products"/>
        <s v="B1 - Low-Income Whole House"/>
        <s v="C1 - C&amp;I New Construction"/>
        <s v="C2 - C&amp;I Retrofit"/>
        <s v=""/>
      </sharedItems>
    </cacheField>
    <cacheField name="Core Initiative" numFmtId="0">
      <sharedItems count="14">
        <s v="A1a - Residential New Construction"/>
        <e v="#REF!"/>
        <s v="A1b - Residential Multi-Family Retrofit"/>
        <s v="A1c - Residential Home Energy Services - Measures"/>
        <s v="A1e - Residential Behavior/Feedback Program"/>
        <s v="A2a - Residential Heating &amp; Cooling Equipment "/>
        <s v="B1a - Low-Income Single Family Retrofit"/>
        <s v="B1b - Low-Income Multi-Family Retrofit"/>
        <s v="C1a - C&amp;I New Buildings &amp; Major Renovations"/>
        <s v="C1b - C&amp;I Initial Purchase &amp; End of Useful Life "/>
        <s v="C2a - C&amp;I Existing Building Retrofit"/>
        <s v="C2b - C&amp;I Small Business"/>
        <s v="C2c - C&amp;I Multifamily Retrofit "/>
        <s v=""/>
      </sharedItems>
    </cacheField>
    <cacheField name="Measure" numFmtId="0">
      <sharedItems containsMixedTypes="1" containsNumber="1" containsInteger="1" minValue="0" maxValue="0" count="152">
        <s v="Low Rise NC Heating"/>
        <s v="Low Rise NC Cooling"/>
        <s v="Low Rise NC Water Heating"/>
        <s v="CFL Bulb"/>
        <s v="LED Bulb"/>
        <s v="High Rise NC Heating "/>
        <s v="High Rise NC Cooling"/>
        <s v="High Rise NC Water Heating"/>
        <s v="High Rise NC Lighting"/>
        <s v="Codes and Standards"/>
        <e v="#REF!"/>
        <s v="Air Sealing, Gas"/>
        <s v="Insulation, Gas"/>
        <s v="Insulation, Gas (with central AC)"/>
        <s v="Heating System Replacement, Boiler"/>
        <s v="Heating System Replacement, Furnace"/>
        <s v="Duct Seal, Gas"/>
        <s v="Duct Insulation"/>
        <s v="Pipe Wrap (Water Heating), Gas"/>
        <s v="Pipe Wrap (Heating), Gas"/>
        <s v="Faucet Aerator, Gas"/>
        <s v="Low Flow Showerhead, Gas"/>
        <s v="Low Flow Showerhead with TSV, Gas"/>
        <s v="Thermostatic Shut Off Valve, Gas"/>
        <s v="Demand Circulator, Gas"/>
        <s v="Programmable Thermostat, Gas"/>
        <s v="Programmable Thermostat, Gas (with cooling)"/>
        <s v="Wi-Fi Thermostat"/>
        <s v="Wi-Fi Thermostat (also controls elec cooling)"/>
        <s v="Water Heating "/>
        <s v="Rebate Cost Adjustment* (pre-wx, etc.)"/>
        <s v="Custom/Future"/>
        <s v="Duct Insulation, Gas"/>
        <s v="Wi-Fi Thermostat (also Control elec cooling)"/>
        <s v="Early Retirement Boiler, Forced Hot Water (EE)"/>
        <s v="Early Retirement Boiler, Forced Hot Water (Retire)"/>
        <s v="Early Retirement Boiler, Steam (EE)"/>
        <s v="Early Retirement Boiler, Steam (Retire)"/>
        <s v="Early Retirement Furnace, (EE)"/>
        <s v="Early Retirement Furnace, (Retire)"/>
        <s v="Smart Strip"/>
        <s v="Deep Energy Retrofit"/>
        <s v="Early Retirement Clothes Washer, Gas DHW &amp; Elec Dryer (EE)"/>
        <s v="Early Retirement Clothes Washer, Gas DHW &amp; Elec Dryer (Retire)"/>
        <s v="Early Retirement Clothes Washer, Elec DHW &amp; Gas Dryer (EE)"/>
        <s v="Early Retirement Clothes Washer, Elec DHW &amp; Gas Dryer (Retire)"/>
        <s v="Early Retirement Clothes Washer, Gas DHW &amp; Gas Dryer (EE)"/>
        <s v="Early Retirement Clothes Washer, Gas DHW &amp; Gas Dryer (Retire)"/>
        <s v="Home Energy Report"/>
        <s v="Forced Hot Water Boiler, Gas 90%"/>
        <s v="Forced Hot Water Boiler, Gas 95%"/>
        <s v="Furnace, Gas 95%"/>
        <s v="Furnace, Gas 95% Muni"/>
        <s v="Furnace, Gas 97%"/>
        <s v="Furnace, Gas 97% Muni"/>
        <s v="Combo Condensing Boiler/Water Heater 90%"/>
        <s v="Combo Condensing Boiler/Water Heater 95%"/>
        <s v="Boiler Reset Control, Gas"/>
        <s v="Heat Recovery Ventilator"/>
        <s v="Condensing Water Heater, Gas 0.95"/>
        <s v="Stand Alone Water Heater, Gas 0.67"/>
        <s v="On Demand Water Heater, Gas 0.82"/>
        <s v="On Demand Water Heater, Gas 0.94"/>
        <s v="Indirect Water Heater, Gas"/>
        <s v="Wi-Fi Thermostat (Control gas heat only)"/>
        <s v="Wi-Fi Thermostat (Control elec cooling &amp; gas heat )"/>
        <s v="Low-Flow Showerhead with TSV"/>
        <s v="Thermostatic Shut-off Valve"/>
        <s v="Low-Flow Showerhead"/>
        <s v="Participant/TLC Kit"/>
        <s v="Weatherization, Gas"/>
        <s v="Boiler Retrofit, Gas"/>
        <s v="Furnace Retrofit, Gas"/>
        <s v="Low-Flow Showerhead, Gas"/>
        <s v="Wi-Fi Thermostat (controls gas heat only)"/>
        <s v="Wi-Fi Thermostat (controls elec cooling &amp; gas heat )"/>
        <s v="Repairs"/>
        <s v="Participant"/>
        <s v="Commercial Boiler Retrofit, Gas"/>
        <s v="Duct Seal"/>
        <s v="On Demand Water Heater, Gas"/>
        <s v="Custom"/>
        <s v="Comprehensive Design - Custom 13"/>
        <s v="Building Shell - Custom 15"/>
        <s v="Food Services - Custom 15"/>
        <s v="Heat Recovery - Custom  15"/>
        <s v="Heating - Custom 10"/>
        <s v="Hot Water - Custom 15"/>
        <s v="Hot Water - Multifamily High Rise"/>
        <s v="HVAC - Custom"/>
        <s v="HVAC - Multifamily High Rise"/>
        <s v="Other - Custom "/>
        <s v="Other - Codes and Standards"/>
        <s v="Process - Custom 10"/>
        <s v="Furnace w/ECM 95%"/>
        <s v="Furnace w/ECM 95% - Muni"/>
        <s v="Furnace w/ECM 97%"/>
        <s v="Furnace w/ECM 97% - Muni"/>
        <s v="Condensing Boiler &lt;= 300 mbh (.95 TE)"/>
        <s v="Condensing Boiler &lt;= 300 mbh (.90 TE)"/>
        <s v="Condensing Boiler 301-499 mbh  (.90 TE)"/>
        <s v="Condensing Boiler 500-999 mbh  (.90 TE)"/>
        <s v="Condensing Boiler 1000-1700 mbh  (.90 TE)"/>
        <s v="Condensing Boiler 1701+ mbh  (.90 TE)"/>
        <s v="Condensing Unit Heater &lt;= 300 mbh"/>
        <s v="Infrared Heaters"/>
        <s v="Combination Oven"/>
        <s v="Convection Oven"/>
        <s v="Conveyer Oven"/>
        <s v="Rack Oven "/>
        <s v="Griddle"/>
        <s v="Fryer"/>
        <s v="Steamer"/>
        <s v="Controls - Custom"/>
        <s v="Food Services - Custom 12"/>
        <s v="Hot Water - Custom 13"/>
        <s v="Other - Custom  25"/>
        <s v="Tankless Water Heater 0.82 - Upstream"/>
        <s v="Tankless Water Heater 0.90 - Upstream"/>
        <s v="Indirect Water Heater - Upstream"/>
        <s v="Stand Alone Water Heater 0.67 - Upstream"/>
        <s v="Condensing Water Heater 0.90 - Upstream"/>
        <s v="Building Shell - Custom 5"/>
        <s v="Food Services - Custom"/>
        <s v="Heat Recovery - Custom 10"/>
        <s v="Heating - Custom 2"/>
        <s v="Hot Water - Custom 10"/>
        <s v="Other - Custom 2"/>
        <s v="Steam Trap - Custom 6"/>
        <s v="Ventilation - Custom"/>
        <s v="Pre-Rinse Spray Valve"/>
        <s v="Hot Water Pipe Insulation, &lt;=1.5&quot;"/>
        <s v="Hot Water Pipe Insulation, 2&quot;"/>
        <s v="Steam Pipe Insulation, &lt;=1.5&quot;"/>
        <s v="Steam Pipe Insulation, 3&quot;"/>
        <s v="Building Shell - Custom 10"/>
        <s v="Heat Recovery - Custom"/>
        <s v="Heating - Custom"/>
        <s v="Hot Water - Custom"/>
        <s v="Other - Custom"/>
        <s v="Process - Custom"/>
        <s v="Steam Trap - Custom"/>
        <s v="Building Shell - Custom"/>
        <s v="Pipe Wrap (Water Heating)"/>
        <s v="Pipe Wrap (Heating)"/>
        <s v="Wi-Fi Thermostat (controls elec cooling and gas heat)"/>
        <s v="Insulation"/>
        <s v="Insulation (with central AC)"/>
        <s v="Thermostatic Shut-off Valve, Gas"/>
        <s v="Programmable Thermostat (also controls elec cooling)"/>
        <s v=""/>
        <n v="0" u="1"/>
      </sharedItems>
    </cacheField>
    <cacheField name="BCR Measure ID" numFmtId="0">
      <sharedItems containsMixedTypes="1" containsNumber="1" containsInteger="1" minValue="0" maxValue="0" count="262">
        <s v="G16A1a01"/>
        <s v="G16A1a02"/>
        <s v="G16A1a03"/>
        <s v="G16A1a04"/>
        <s v="G16A1a05"/>
        <s v="G16A1a06"/>
        <s v="G16A1a07"/>
        <s v="G16A1a08"/>
        <s v="G16A1a09"/>
        <s v="G16A1a10"/>
        <n v="0"/>
        <s v="G16A1b01"/>
        <s v="G16A1b02"/>
        <s v="G16A1b03"/>
        <s v="G16A1b04"/>
        <s v="G16A1b05"/>
        <s v="G16A1b06"/>
        <s v="G16A1b07"/>
        <s v="G16A1b08"/>
        <s v="G16A1b09"/>
        <s v="G16A1b10"/>
        <s v="G16A1b11"/>
        <s v="G16A1b12"/>
        <s v="G16A1b13"/>
        <s v="G16A1b14"/>
        <s v="G16A1b15"/>
        <s v="G16A1b16"/>
        <s v="G16A1b17"/>
        <s v="G16A1b18"/>
        <s v="G16A1b19"/>
        <s v="G16A1b20"/>
        <s v="G16A1b21"/>
        <s v="G16A1c01"/>
        <s v="G16A1c02"/>
        <s v="G16A1c03"/>
        <s v="G16A1c04"/>
        <s v="G16A1c05"/>
        <s v="G16A1c06"/>
        <s v="G16A1c07"/>
        <s v="G16A1c08"/>
        <s v="G16A1c09"/>
        <s v="G16A1c10"/>
        <s v="G16A1c11"/>
        <s v="G16A1c12"/>
        <s v="G16A1c13"/>
        <s v="G16A1c14"/>
        <s v="G16A1c15"/>
        <s v="G16A1c16"/>
        <s v="G16A1c17"/>
        <s v="G16A1c18"/>
        <s v="G16A1c19"/>
        <s v="G16A1c27"/>
        <s v="G16A1c29"/>
        <s v="G16A1c30"/>
        <s v="G16A1c31"/>
        <s v="G16A1c32"/>
        <s v="G16A1c33"/>
        <s v="G16A1c34"/>
        <s v="G16A1c35"/>
        <s v="G16A1e1"/>
        <s v="G16A2a01"/>
        <s v="G16A2a02"/>
        <s v="G16A2a03"/>
        <s v="G16A2a04"/>
        <s v="G16A2a05"/>
        <s v="G16A2a06"/>
        <s v="G16A2a07"/>
        <s v="G16A2a08"/>
        <s v="G16A2a09"/>
        <s v="G16A2a10"/>
        <s v="G16A2a11"/>
        <s v="G16A2a12"/>
        <s v="G16A2a13"/>
        <s v="G16A2a14"/>
        <s v="G16A2a15"/>
        <s v="G16A2a16"/>
        <s v="G16A2a17"/>
        <s v="G16A2a18"/>
        <s v="G16B1a01"/>
        <s v="G16B1a02"/>
        <s v="G16B1a03"/>
        <s v="G16B1a04"/>
        <s v="G16B1a05"/>
        <s v="G16B1a06"/>
        <s v="G16B1a07"/>
        <s v="G16B1a08"/>
        <s v="G16B1a09"/>
        <s v="G16B1a10"/>
        <s v="G16B1a11"/>
        <s v="G16B1a12"/>
        <s v="G16B1a13"/>
        <s v="G16B1b01"/>
        <s v="G16B1b02"/>
        <s v="G16B1b03"/>
        <s v="G16B1b04"/>
        <s v="G16B1b05"/>
        <s v="G16B1b06"/>
        <s v="G16B1b07"/>
        <s v="G16B1b08"/>
        <s v="G16B1b09"/>
        <s v="G16B1b10"/>
        <s v="G16B1b11"/>
        <s v="G16B1b12"/>
        <s v="G16B1b13"/>
        <s v="G16B1b14"/>
        <s v="G16B1b15"/>
        <s v="G16B1b16"/>
        <s v="G16B1b17"/>
        <s v="G16B1b18"/>
        <s v="G16B1b19"/>
        <s v="G16B1b20"/>
        <s v="G16C1a01"/>
        <s v="G16C1a02"/>
        <s v="G16C1a03"/>
        <s v="G16C1a04"/>
        <s v="G16C1a05"/>
        <s v="G16C1a06"/>
        <s v="G16C1a07"/>
        <s v="G16C1a08"/>
        <s v="G16C1a09"/>
        <s v="G16C1a10"/>
        <s v="G16C1a11"/>
        <s v="G16C1a12"/>
        <s v="G16C1a13"/>
        <s v="G16C1a14"/>
        <s v="G16C1a15"/>
        <s v="G16C1a16"/>
        <s v="G16C1a17"/>
        <s v="G16C1a18"/>
        <s v="G16C1a19"/>
        <s v="G16C1a20"/>
        <s v="G16C1a21"/>
        <s v="G16C1a22"/>
        <s v="G16C1a23"/>
        <s v="G16C1a24"/>
        <s v="G16C1a25"/>
        <s v="G16C1a26"/>
        <s v="G16C1a27"/>
        <s v="G16C1a28"/>
        <s v="G16C1a29"/>
        <s v="G16C1a30"/>
        <s v="G16C1a31"/>
        <s v="G16C1a32"/>
        <s v="G16C1a33"/>
        <s v="G16C1a34"/>
        <s v="G16C1a35"/>
        <s v="G16C1a36"/>
        <s v="G16C1a37"/>
        <s v="G16C1a38"/>
        <s v="G16C1a39"/>
        <s v="G16C1b01"/>
        <s v="G16C1b02"/>
        <s v="G16C1b03"/>
        <s v="G16C1b04"/>
        <s v="G16C1b05"/>
        <s v="G16C1b06"/>
        <s v="G16C1b07"/>
        <s v="G16C1b08"/>
        <s v="G16C1b09"/>
        <s v="G16C1b10"/>
        <s v="G16C1b11"/>
        <s v="G16C1b12"/>
        <s v="G16C1b13"/>
        <s v="G16C1b14"/>
        <s v="G16C1b15"/>
        <s v="G16C1b16"/>
        <s v="G16C1b17"/>
        <s v="G16C1b18"/>
        <s v="G16C1b19"/>
        <s v="G16C1b20"/>
        <s v="G16C1b21"/>
        <s v="G16C1b22"/>
        <s v="G16C1b23"/>
        <s v="G16C1b24"/>
        <s v="G16C1b25"/>
        <s v="G16C1b26"/>
        <s v="G16C1b27"/>
        <s v="G16C1b28"/>
        <s v="G16C1b29"/>
        <s v="G16C1b30"/>
        <s v="G16C1b31"/>
        <s v="G16C1b32"/>
        <s v="G16C1b33"/>
        <s v="G16C1b34"/>
        <s v="G16C1b35"/>
        <s v="G16C1b36"/>
        <s v="G16C1b37"/>
        <s v="G16C2a01"/>
        <s v="G16C2a02"/>
        <s v="G16C2a03"/>
        <s v="G16C2a04"/>
        <s v="G16C2a05"/>
        <s v="G16C2a06"/>
        <s v="G16C2a07"/>
        <s v="G16C2a08"/>
        <s v="G16C2a09"/>
        <s v="G16C2a10"/>
        <s v="G16C2a11"/>
        <s v="G16C2a12"/>
        <s v="G16C2a13"/>
        <s v="G16C2a14"/>
        <s v="G16C2a15"/>
        <s v="G16C2a16"/>
        <s v="G16C2a17"/>
        <s v="G16C2a18"/>
        <s v="G16C2a19"/>
        <s v="G16C2a20"/>
        <s v="G16C2a21"/>
        <s v="G16C2a22"/>
        <s v="G16C2a23"/>
        <s v="G16C2a24"/>
        <s v="G16C2a25"/>
        <s v="G16C2a26"/>
        <s v="G16C2a27"/>
        <s v="G16C2a28"/>
        <s v="G16C2a29"/>
        <s v="G16C2a30"/>
        <s v="G16C2b01"/>
        <s v="G16C2b02"/>
        <s v="G16C2b03"/>
        <s v="G16C2b04"/>
        <s v="G16C2b05"/>
        <s v="G16C2b06"/>
        <s v="G16C2b07"/>
        <s v="G16C2b08"/>
        <s v="G16C2b09"/>
        <s v="G16C2b10"/>
        <s v="G16C2b11"/>
        <s v="G16C2b12"/>
        <s v="G16C2b13"/>
        <s v="G16C2b14"/>
        <s v="G16C2b15"/>
        <s v="G16C2b16"/>
        <s v="G16C2b17"/>
        <s v="G16C2b18"/>
        <s v="G16C2b19"/>
        <s v="G16C2b20"/>
        <s v="G16C2b21"/>
        <s v="G16C2b22"/>
        <s v="G16C2b23"/>
        <s v="G16C2b24"/>
        <s v="G16C2b25"/>
        <s v="G16C2b26"/>
        <s v="G16C2b27"/>
        <s v="G16C2b28"/>
        <s v="G16C2c01"/>
        <s v="G16C2c02"/>
        <s v="G16C2c03"/>
        <s v="G16C2c04"/>
        <s v="G16C2c05"/>
        <s v="G16C2c06"/>
        <s v="G16C2c07"/>
        <s v="G16C2c08"/>
        <s v="G16C2c09"/>
        <s v="G16C2c10"/>
        <s v="G16C2c11"/>
        <s v="G16C2c12"/>
        <s v="G16C2c13"/>
        <s v="G16C2c14"/>
        <s v="G16C2c15"/>
        <s v="G16C2c16"/>
        <s v=""/>
      </sharedItems>
    </cacheField>
    <cacheField name="End Use" numFmtId="0">
      <sharedItems containsMixedTypes="1" containsNumber="1" containsInteger="1" minValue="0" maxValue="0"/>
    </cacheField>
    <cacheField name="Quantity" numFmtId="3">
      <sharedItems containsMixedTypes="1" containsNumber="1" minValue="1" maxValue="402686.93323225883"/>
    </cacheField>
    <cacheField name="Measure Life" numFmtId="1">
      <sharedItems containsSemiMixedTypes="0" containsString="0" containsNumber="1" containsInteger="1" minValue="0" maxValue="25"/>
    </cacheField>
    <cacheField name="TRC (Total)" numFmtId="170">
      <sharedItems containsMixedTypes="1" containsNumber="1" minValue="0" maxValue="29235427.199999999"/>
    </cacheField>
    <cacheField name="Incentive (Total)" numFmtId="170">
      <sharedItems containsMixedTypes="1" containsNumber="1" minValue="0" maxValue="15091199.999999998"/>
    </cacheField>
    <cacheField name="Customer Cost (Total)" numFmtId="170">
      <sharedItems containsMixedTypes="1" containsNumber="1" minValue="-283024.08359999978" maxValue="14144227.200000001"/>
    </cacheField>
    <cacheField name="Gross Annual MWh Savings " numFmtId="164">
      <sharedItems containsMixedTypes="1" containsNumber="1" minValue="-5.32" maxValue="1577.0303999999999"/>
    </cacheField>
    <cacheField name="Adjusted Gross Annual MWh Savings " numFmtId="164">
      <sharedItems containsMixedTypes="1" containsNumber="1" minValue="-5.32" maxValue="1577.0303999999999"/>
    </cacheField>
    <cacheField name="Adjusted Gross Lifetime MWh Savings " numFmtId="164">
      <sharedItems containsMixedTypes="1" containsNumber="1" minValue="-106.4" maxValue="39425.759999999995"/>
    </cacheField>
    <cacheField name="Net Annual MWh Savings " numFmtId="164">
      <sharedItems containsMixedTypes="1" containsNumber="1" minValue="-5.32" maxValue="1939.7473919999998"/>
    </cacheField>
    <cacheField name="Net Lifetime MWh Savings" numFmtId="164">
      <sharedItems containsMixedTypes="1" containsNumber="1" minValue="-106.4" maxValue="48493.684799999995"/>
    </cacheField>
    <cacheField name="Winter Peak Energy MWh Net Lifetime" numFmtId="164">
      <sharedItems containsMixedTypes="1" containsNumber="1" minValue="-40.231017918934903" maxValue="12597.212195273121"/>
    </cacheField>
    <cacheField name="Winter Off-Peak Energy MWh Net Lifetime" numFmtId="164">
      <sharedItems containsMixedTypes="1" containsNumber="1" minValue="-65.464390793027007" maxValue="20911.729600283503"/>
    </cacheField>
    <cacheField name="Summer Peak Energy MWh Net Lifetime" numFmtId="164">
      <sharedItems containsMixedTypes="1" containsNumber="1" minValue="-0.1851576681916095" maxValue="8424.3642291094202"/>
    </cacheField>
    <cacheField name="Summer Off-Peak Energy MWh Net Lifetime" numFmtId="164">
      <sharedItems containsMixedTypes="1" containsNumber="1" minValue="-0.51943361984654224" maxValue="6560.3787753339548"/>
    </cacheField>
    <cacheField name="Max Net kW" numFmtId="164">
      <sharedItems containsMixedTypes="1" containsNumber="1" minValue="-2.8398899764539829" maxValue="1382.8821119999998"/>
    </cacheField>
    <cacheField name="Annual Adjusted Gross Winter kW" numFmtId="164">
      <sharedItems containsMixedTypes="1" containsNumber="1" minValue="-2.8398899764539829" maxValue="573.39014399999985"/>
    </cacheField>
    <cacheField name="Annual Net Winter kW" numFmtId="164">
      <sharedItems containsMixedTypes="1" containsNumber="1" minValue="-2.8398899764539829" maxValue="705.26987711999982"/>
    </cacheField>
    <cacheField name="Annual Adjusted Gross  Summer kw" numFmtId="164">
      <sharedItems containsMixedTypes="1" containsNumber="1" minValue="0" maxValue="1124.2943999999998"/>
    </cacheField>
    <cacheField name="Annual Net Summer kw" numFmtId="164">
      <sharedItems containsMixedTypes="1" containsNumber="1" minValue="0" maxValue="1382.8821119999998"/>
    </cacheField>
    <cacheField name="Adj. Gross Annual Gas Savings (MMBTU)" numFmtId="182">
      <sharedItems containsSemiMixedTypes="0" containsString="0" containsNumber="1" minValue="0" maxValue="478306.95510522911"/>
    </cacheField>
    <cacheField name="Adj. Gross Lifetime Gas Savings (MMBTU)" numFmtId="182">
      <sharedItems containsSemiMixedTypes="0" containsString="0" containsNumber="1" minValue="0" maxValue="1968269.76"/>
    </cacheField>
    <cacheField name="Net Annual Gas Savings (MMBTU)" numFmtId="182">
      <sharedItems containsSemiMixedTypes="0" containsString="0" containsNumber="1" minValue="0" maxValue="478306.95510522911"/>
    </cacheField>
    <cacheField name="Net Lifetime Gas Savings (MMBTU)" numFmtId="182">
      <sharedItems containsSemiMixedTypes="0" containsString="0" containsNumber="1" minValue="0" maxValue="2420971.8048"/>
    </cacheField>
    <cacheField name="Adj Gross Annual Oil Savings (MMBTU)" numFmtId="182">
      <sharedItems containsSemiMixedTypes="0" containsString="0" containsNumber="1" containsInteger="1" minValue="0" maxValue="0"/>
    </cacheField>
    <cacheField name="Adj Gross Lifetime Oil Savings (MMBTU)" numFmtId="182">
      <sharedItems containsSemiMixedTypes="0" containsString="0" containsNumber="1" containsInteger="1" minValue="0" maxValue="0"/>
    </cacheField>
    <cacheField name="Net Annual Oil Savings (MMBTU)" numFmtId="182">
      <sharedItems containsSemiMixedTypes="0" containsString="0" containsNumber="1" containsInteger="1" minValue="0" maxValue="0"/>
    </cacheField>
    <cacheField name="Net Lifetime Oil Savings (MMBTU)" numFmtId="182">
      <sharedItems containsSemiMixedTypes="0" containsString="0" containsNumber="1" containsInteger="1" minValue="0" maxValue="0"/>
    </cacheField>
    <cacheField name="Adj Gross Annual Propane Savings (MMBTU)" numFmtId="182">
      <sharedItems containsSemiMixedTypes="0" containsString="0" containsNumber="1" containsInteger="1" minValue="0" maxValue="0"/>
    </cacheField>
    <cacheField name="Adj Gross Lifetime Propane Savings (MMBTU)" numFmtId="182">
      <sharedItems containsSemiMixedTypes="0" containsString="0" containsNumber="1" containsInteger="1" minValue="0" maxValue="0"/>
    </cacheField>
    <cacheField name="Net Annual Propane Savings (MMBTU)" numFmtId="182">
      <sharedItems containsSemiMixedTypes="0" containsString="0" containsNumber="1" containsInteger="1" minValue="0" maxValue="0"/>
    </cacheField>
    <cacheField name="Net Lifetime Propane Savings (MMBTU)" numFmtId="182">
      <sharedItems containsSemiMixedTypes="0" containsString="0" containsNumber="1" containsInteger="1" minValue="0" maxValue="0"/>
    </cacheField>
    <cacheField name="Net Annual Res Water  &amp; Sewer Savings Gallons" numFmtId="182">
      <sharedItems containsSemiMixedTypes="0" containsString="0" containsNumber="1" minValue="0" maxValue="19324784.640000001"/>
    </cacheField>
    <cacheField name="Net Annual C&amp;I Water Savings Gallons" numFmtId="182">
      <sharedItems containsSemiMixedTypes="0" containsString="0" containsNumber="1" containsInteger="1" minValue="0" maxValue="0"/>
    </cacheField>
    <cacheField name="Net Annual C&amp;I Sewer Savings Gallons" numFmtId="182">
      <sharedItems containsSemiMixedTypes="0" containsString="0" containsNumber="1" containsInteger="1" minValue="0" maxValue="0"/>
    </cacheField>
    <cacheField name="Net Lifetime Water Savings Gallons" numFmtId="182">
      <sharedItems containsSemiMixedTypes="0" containsString="0" containsNumber="1" minValue="0" maxValue="135273492.48000002"/>
    </cacheField>
    <cacheField name="Winter Peak Energy Benefits ($)" numFmtId="165">
      <sharedItems containsMixedTypes="1" containsNumber="1" minValue="-3677.0137208277911" maxValue="1250651.9001766341"/>
    </cacheField>
    <cacheField name="Winter Off-Peak Energy Benefits ($)" numFmtId="165">
      <sharedItems containsMixedTypes="1" containsNumber="1" minValue="-5341.7092372273164" maxValue="1857797.4103273975"/>
    </cacheField>
    <cacheField name="Summer Peak Energy Benefits ($)" numFmtId="165">
      <sharedItems containsMixedTypes="1" containsNumber="1" minValue="-17.330434634146567" maxValue="893197.58090526552"/>
    </cacheField>
    <cacheField name="Summer Off-Peak Energy Benefits ($)" numFmtId="165">
      <sharedItems containsMixedTypes="1" containsNumber="1" minValue="-36.902784210626599" maxValue="515726.84470524662"/>
    </cacheField>
    <cacheField name="Total Avoided Electric Benefits ($)" numFmtId="165">
      <sharedItems containsSemiMixedTypes="0" containsString="0" containsNumber="1" minValue="-9072.9561768998792" maxValue="4517373.7361145439"/>
    </cacheField>
    <cacheField name="Winter Peak Energy DRIPE Benefits ($)" numFmtId="165">
      <sharedItems containsMixedTypes="1" containsNumber="1" minValue="-65.62616694870043" maxValue="18972.917676313424"/>
    </cacheField>
    <cacheField name="Winter Off-Peak Energy DRIPE Benefits ($)" numFmtId="165">
      <sharedItems containsMixedTypes="1" containsNumber="1" minValue="-51.375880784409198" maxValue="13129.073854354448"/>
    </cacheField>
    <cacheField name="Summer Peak Energy DRIPE Benefits ($)" numFmtId="165">
      <sharedItems containsMixedTypes="1" containsNumber="1" minValue="-0.35664578926962548" maxValue="12981.429541341264"/>
    </cacheField>
    <cacheField name="Summer Off-Peak Energy DRIPE Benefits ($)" numFmtId="165">
      <sharedItems containsMixedTypes="1" containsNumber="1" minValue="-0.32826452298451048" maxValue="3316.7504404800502"/>
    </cacheField>
    <cacheField name="Energy Electric Cross DRIPE Benefits Summer ($)" numFmtId="165">
      <sharedItems containsMixedTypes="1" containsNumber="1" minValue="-1.8621925596658757" maxValue="35038.12366150818"/>
    </cacheField>
    <cacheField name="Energy Electric Cross DRIPE Benefits Winter ($)" numFmtId="165">
      <sharedItems containsMixedTypes="1" containsNumber="1" minValue="-382.69985385219405" maxValue="105145.84006191125"/>
    </cacheField>
    <cacheField name="Total Energy DRIPE Benefits ($)" numFmtId="44">
      <sharedItems containsSemiMixedTypes="0" containsString="0" containsNumber="1" minValue="-502.24900445722369" maxValue="186050.40887771704"/>
    </cacheField>
    <cacheField name="Total Electric Energy Benefits ($)" numFmtId="44">
      <sharedItems containsSemiMixedTypes="0" containsString="0" containsNumber="1" minValue="-9575.2051813571034" maxValue="4703424.1449922612"/>
    </cacheField>
    <cacheField name="Summer Generation Benefits ($)" numFmtId="165">
      <sharedItems containsMixedTypes="1" containsNumber="1" minValue="0" maxValue="6213731.2666231589"/>
    </cacheField>
    <cacheField name="Winter Generation ($)" numFmtId="165">
      <sharedItems containsMixedTypes="1" containsNumber="1" containsInteger="1" minValue="0" maxValue="0"/>
    </cacheField>
    <cacheField name="Electric Capacity DRIPE ($)" numFmtId="165">
      <sharedItems containsMixedTypes="1" containsNumber="1" containsInteger="1" minValue="0" maxValue="0"/>
    </cacheField>
    <cacheField name="Transmission Benefits ($)" numFmtId="165">
      <sharedItems containsMixedTypes="1" containsNumber="1" minValue="0" maxValue="812822.67675255321"/>
    </cacheField>
    <cacheField name="Distribution Benefits ($)" numFmtId="165">
      <sharedItems containsMixedTypes="1" containsNumber="1" minValue="0" maxValue="3681874.4488979978"/>
    </cacheField>
    <cacheField name="Total Electric Capacity Benefits ($)" numFmtId="165">
      <sharedItems containsSemiMixedTypes="0" containsString="0" containsNumber="1" minValue="0" maxValue="10708428.392273709"/>
    </cacheField>
    <cacheField name="Total Electric Benefits ($)" numFmtId="165">
      <sharedItems containsSemiMixedTypes="0" containsString="0" containsNumber="1" minValue="-9575.2051813571034" maxValue="15411852.537265971"/>
    </cacheField>
    <cacheField name="NG - Res All" numFmtId="165">
      <sharedItems containsMixedTypes="1" containsNumber="1" minValue="0" maxValue="3722177.9933131016"/>
    </cacheField>
    <cacheField name="NG - Res Hot Water" numFmtId="165">
      <sharedItems containsMixedTypes="1" containsNumber="1" minValue="0" maxValue="2678148.7941571586"/>
    </cacheField>
    <cacheField name="NG - Res Gas Heating" numFmtId="165">
      <sharedItems containsMixedTypes="1" containsNumber="1" minValue="0" maxValue="21545395.395245776"/>
    </cacheField>
    <cacheField name="NG - Res Gas Non-Heating" numFmtId="165">
      <sharedItems containsMixedTypes="1" containsNumber="1" minValue="0" maxValue="13373.637084913567"/>
    </cacheField>
    <cacheField name="NG - C&amp;I Gas Non-Heating" numFmtId="165">
      <sharedItems containsMixedTypes="1" containsNumber="1" minValue="0" maxValue="1157685.5505275459"/>
    </cacheField>
    <cacheField name="NG - C&amp;I Gas Heat" numFmtId="165">
      <sharedItems containsMixedTypes="1" containsNumber="1" minValue="0" maxValue="6421192.612946284"/>
    </cacheField>
    <cacheField name="NG - C&amp;I Gas All" numFmtId="165">
      <sharedItems containsMixedTypes="1" containsNumber="1" minValue="0" maxValue="12638951.562555302"/>
    </cacheField>
    <cacheField name="Total Avoided Gas Benefits ($)" numFmtId="44">
      <sharedItems containsSemiMixedTypes="0" containsString="0" containsNumber="1" minValue="0" maxValue="21545395.395245776"/>
    </cacheField>
    <cacheField name="Gas Supply DRIPE" numFmtId="165">
      <sharedItems containsMixedTypes="1" containsNumber="1" minValue="0" maxValue="321121.43453412713"/>
    </cacheField>
    <cacheField name="Res Non-Heating GECD" numFmtId="165">
      <sharedItems containsMixedTypes="1" containsNumber="1" minValue="0" maxValue="1300.7188770044288"/>
    </cacheField>
    <cacheField name="Res Hot Water  GECD" numFmtId="165">
      <sharedItems containsMixedTypes="1" containsNumber="1" minValue="0" maxValue="142812.69455389515"/>
    </cacheField>
    <cacheField name="Res Heating  GECD" numFmtId="165">
      <sharedItems containsMixedTypes="1" containsNumber="1" minValue="0" maxValue="825966.34608375991"/>
    </cacheField>
    <cacheField name="Res All  GECD" numFmtId="165">
      <sharedItems containsMixedTypes="1" containsNumber="1" minValue="0" maxValue="1659972.861053091"/>
    </cacheField>
    <cacheField name="C&amp;I Non-Heating GECD" numFmtId="165">
      <sharedItems containsMixedTypes="1" containsNumber="1" minValue="0" maxValue="102934.76188939274"/>
    </cacheField>
    <cacheField name="C&amp;I Heating  GECD" numFmtId="165">
      <sharedItems containsMixedTypes="1" containsNumber="1" minValue="0" maxValue="360679.34447158285"/>
    </cacheField>
    <cacheField name="C&amp;I All  GECD" numFmtId="165">
      <sharedItems containsMixedTypes="1" containsNumber="1" minValue="0" maxValue="923986.499359129"/>
    </cacheField>
    <cacheField name="Total Gas DRIPE" numFmtId="171">
      <sharedItems containsSemiMixedTypes="0" containsString="0" containsNumber="1" minValue="0" maxValue="1726814.8064989748"/>
    </cacheField>
    <cacheField name="Total Gas Resource Benefits" numFmtId="171">
      <sharedItems containsSemiMixedTypes="0" containsString="0" containsNumber="1" minValue="0" maxValue="22692483.175863661"/>
    </cacheField>
    <cacheField name="Fuel Oil - Residential Distillate" numFmtId="165">
      <sharedItems containsMixedTypes="1" containsNumber="1" containsInteger="1" minValue="0" maxValue="0"/>
    </cacheField>
    <cacheField name="Fuel Oil - Com Fuel Oil" numFmtId="165">
      <sharedItems containsMixedTypes="1" containsNumber="1" containsInteger="1" minValue="0" maxValue="0"/>
    </cacheField>
    <cacheField name="Propane" numFmtId="165">
      <sharedItems containsMixedTypes="1" containsNumber="1" containsInteger="1" minValue="0" maxValue="0"/>
    </cacheField>
    <cacheField name="Res Water" numFmtId="165">
      <sharedItems containsMixedTypes="1" containsNumber="1" minValue="0" maxValue="1443151.4540441362"/>
    </cacheField>
    <cacheField name="C&amp;I Water" numFmtId="165">
      <sharedItems containsMixedTypes="1" containsNumber="1" containsInteger="1" minValue="0" maxValue="0"/>
    </cacheField>
    <cacheField name="C&amp;I Sewer" numFmtId="165">
      <sharedItems containsMixedTypes="1" containsNumber="1" containsInteger="1" minValue="0" maxValue="0"/>
    </cacheField>
    <cacheField name="Total Non-Electric Resource Benefits" numFmtId="171">
      <sharedItems containsSemiMixedTypes="0" containsString="0" containsNumber="1" minValue="0" maxValue="22692483.175863661"/>
    </cacheField>
    <cacheField name="Lifetime per Unit (Net)" numFmtId="165">
      <sharedItems containsMixedTypes="1" containsNumber="1" minValue="0" maxValue="13167715.538329056"/>
    </cacheField>
    <cacheField name="One time per Unit (Net)" numFmtId="165">
      <sharedItems containsMixedTypes="1" containsNumber="1" minValue="0" maxValue="3516426.0196385961"/>
    </cacheField>
    <cacheField name="Lifetime per kWh (Net)" numFmtId="165">
      <sharedItems containsMixedTypes="1" containsNumber="1" containsInteger="1" minValue="0" maxValue="0"/>
    </cacheField>
    <cacheField name="One time per KWh (Total Net)" numFmtId="165">
      <sharedItems containsMixedTypes="1" containsNumber="1" containsInteger="1" minValue="0" maxValue="0"/>
    </cacheField>
    <cacheField name="Lifetime per Therm (Net)" numFmtId="165">
      <sharedItems containsMixedTypes="1" containsNumber="1" minValue="-64720.985523444557" maxValue="3805850.538555759"/>
    </cacheField>
    <cacheField name="One time per Therm (Net)" numFmtId="165">
      <sharedItems containsSemiMixedTypes="0" containsString="0" containsNumber="1" minValue="0" maxValue="24679.332012922496"/>
    </cacheField>
    <cacheField name="Total Lifetime Non-Resource  Benefits " numFmtId="165">
      <sharedItems containsSemiMixedTypes="0" containsString="0" containsNumber="1" minValue="-64720.985523444557" maxValue="14478788.480756287"/>
    </cacheField>
    <cacheField name="Total Benefits" numFmtId="44">
      <sharedItems containsSemiMixedTypes="0" containsString="0" containsNumber="1" minValue="0" maxValue="52016986.808810748"/>
    </cacheField>
    <cacheField name="Winter Peak Energy" numFmtId="9">
      <sharedItems containsMixedTypes="1" containsNumber="1" minValue="1.0720000000000001" maxValue="1.0720000000000001"/>
    </cacheField>
    <cacheField name="Winter Off-Peak Energy" numFmtId="9">
      <sharedItems containsMixedTypes="1" containsNumber="1" minValue="1.04" maxValue="1.04"/>
    </cacheField>
    <cacheField name="Summer Peak Energy" numFmtId="9">
      <sharedItems containsMixedTypes="1" containsNumber="1" minValue="1.0720000000000001" maxValue="1.0720000000000001"/>
    </cacheField>
    <cacheField name="Summer Off-Peak Energy" numFmtId="9">
      <sharedItems containsMixedTypes="1" containsNumber="1" minValue="1.04" maxValue="1.04"/>
    </cacheField>
    <cacheField name="Summer Generation" numFmtId="9">
      <sharedItems containsMixedTypes="1" containsNumber="1" minValue="1.1120000000000001" maxValue="1.1120000000000001"/>
    </cacheField>
    <cacheField name="Winter Generation" numFmtId="9">
      <sharedItems containsMixedTypes="1" containsNumber="1" minValue="1.095" maxValue="1.095"/>
    </cacheField>
    <cacheField name="Transmission " numFmtId="9">
      <sharedItems containsMixedTypes="1" containsNumber="1" minValue="1.1120000000000001" maxValue="1.1120000000000001"/>
    </cacheField>
    <cacheField name="Distribution" numFmtId="9">
      <sharedItems containsMixedTypes="1" containsNumber="1" minValue="1.1120000000000001" maxValue="1.1120000000000001"/>
    </cacheField>
    <cacheField name="Total Oil Benefits" numFmtId="0" formula="'Fuel Oil - Residential Distillate'+'Fuel Oil - Com Fuel Oil'" databaseField="0"/>
    <cacheField name="Total Water Benefits" numFmtId="0" formula="'Res Water'+'C&amp;I Water'+'C&amp;I Sewer'" databaseField="0"/>
    <cacheField name="Annual Water Savings (Gallons)" numFmtId="0" formula="'Net Annual Res Water  &amp; Sewer Savings Gallons'+'Net Annual C&amp;I Water Savings Gallons'" databaseField="0"/>
    <cacheField name="Total Benefits ($)" numFmtId="0" formula="'Total Electric Benefits ($)'+'Total Gas Resource Benefits'+'Total Oil Benefits'+Propane+'Total Water Benefits'+'Total Lifetime Non-Resource  Benefits '"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elanie Coen" refreshedDate="43258.483843287038" createdVersion="4" refreshedVersion="4" minRefreshableVersion="3" recordCount="389">
  <cacheSource type="worksheet">
    <worksheetSource ref="A4:CX393" sheet="Calculations Yr 2"/>
  </cacheSource>
  <cacheFields count="106">
    <cacheField name="Sector" numFmtId="0">
      <sharedItems count="5">
        <s v="A - Residential"/>
        <s v="B - Low Income"/>
        <s v="C - Commercial &amp; Industrial"/>
        <s v=""/>
        <e v="#REF!" u="1"/>
      </sharedItems>
    </cacheField>
    <cacheField name="Program" numFmtId="0">
      <sharedItems count="7">
        <s v="A1 - Residential Whole House"/>
        <s v="A2 - Residential Products"/>
        <s v="B1 - Low-Income Whole House"/>
        <s v="C1 - C&amp;I New Construction"/>
        <s v="C2 - C&amp;I Retrofit"/>
        <s v=""/>
        <e v="#REF!" u="1"/>
      </sharedItems>
    </cacheField>
    <cacheField name="Core Initiative" numFmtId="0">
      <sharedItems count="14">
        <s v="A1a - Residential New Construction"/>
        <s v="A1b - Residential Multi-Family Retrofit"/>
        <s v="A1c - Residential Home Energy Services - Measures"/>
        <s v="A1e - Residential Behavior/Feedback Program"/>
        <s v="A2a - Residential Heating &amp; Cooling Equipment "/>
        <s v="B1a - Low-Income Single Family Retrofit"/>
        <s v="B1b - Low-Income Multi-Family Retrofit"/>
        <s v="C1a - C&amp;I New Buildings &amp; Major Renovations"/>
        <s v="C1b - C&amp;I Initial Purchase &amp; End of Useful Life "/>
        <s v="C2a - C&amp;I Existing Building Retrofit"/>
        <s v="C2b - C&amp;I Small Business"/>
        <s v="C2c - C&amp;I Multifamily Retrofit "/>
        <s v=""/>
        <e v="#REF!" u="1"/>
      </sharedItems>
    </cacheField>
    <cacheField name="Measure" numFmtId="0">
      <sharedItems containsMixedTypes="1" containsNumber="1" containsInteger="1" minValue="0" maxValue="0" count="195">
        <s v="Low Rise NC Heating"/>
        <s v="Low Rise NC Cooling"/>
        <s v="Low Rise NC Water Heating"/>
        <s v="CFL Bulb (Carryover)"/>
        <s v="LED Bulb"/>
        <s v="High Rise NC Heating "/>
        <s v="High Rise NC Cooling"/>
        <s v="High Rise NC Water Heating"/>
        <s v="High Rise NC Lighting"/>
        <s v="Codes and Standards"/>
        <s v="Air Sealing, Gas"/>
        <s v="Insulation, Gas"/>
        <s v="Insulation, Gas (with central AC)"/>
        <s v="Heating System Replacement, Boiler"/>
        <s v="Heating System Replacement, Furnace"/>
        <s v="Boiler Reset Control, Gas"/>
        <s v="Duct Seal, Gas"/>
        <s v="Duct Insulation"/>
        <s v="Pipe Wrap (Water Heating), Gas"/>
        <s v="Pipe Wrap (Heating), Gas"/>
        <s v="Faucet Aerator, Gas"/>
        <s v="Low Flow Showerhead, Gas"/>
        <s v="Low Flow Showerhead with TSV, Gas"/>
        <s v="Thermostatic Shut Off Valve, Gas"/>
        <s v="Demand Circulator, Gas"/>
        <s v="Programmable Thermostat, Gas"/>
        <s v="Programmable Thermostat, Gas (with cooling)"/>
        <s v="Wi-Fi Thermostat"/>
        <s v="Wi-Fi Thermostat (also controls elec cooling)"/>
        <s v="Water Heating "/>
        <s v="Controls - Custom"/>
        <s v="Custom non-Lighting"/>
        <s v="Rebate Cost Adjustment* (pre-wx, etc.)"/>
        <s v="Custom/Future"/>
        <s v="Duct Insulation, Gas"/>
        <s v="Wi-Fi Thermostat (also Control elec cooling)"/>
        <s v="Wifi Thermostat – cooling only"/>
        <s v="LED Bulb (Specialty)"/>
        <s v="LED Bulb (Reflectors)"/>
        <s v="Early Retirement Boiler, Forced Hot Water (EE)"/>
        <s v="Early Retirement Boiler, Forced Hot Water (Retire)"/>
        <s v="Early Retirement Boiler, Steam (EE)"/>
        <s v="Early Retirement Boiler, Steam (Retire)"/>
        <s v="Early Retirement Furnace, (EE)"/>
        <s v="Early Retirement Furnace, (Retire)"/>
        <s v="Smart Strip"/>
        <s v="Deep Energy Retrofit"/>
        <s v="Early Retirement Clothes Washer, Gas DHW &amp; Elec Dryer (EE)"/>
        <s v="Early Retirement Clothes Washer, Gas DHW &amp; Elec Dryer (Retire)"/>
        <s v="Early Retirement Clothes Washer, Elec DHW &amp; Gas Dryer (EE)"/>
        <s v="Early Retirement Clothes Washer, Elec DHW &amp; Gas Dryer (Retire)"/>
        <s v="Early Retirement Clothes Washer, Gas DHW &amp; Gas Dryer (EE)"/>
        <s v="Early Retirement Clothes Washer, Gas DHW &amp; Gas Dryer (Retire)"/>
        <s v="Home Energy Report"/>
        <s v="Forced Hot Water Boiler, Gas 90%"/>
        <s v="Forced Hot Water Boiler, Gas 95%"/>
        <s v="Furnace, Gas 95%"/>
        <s v="Furnace, Gas 95% Muni"/>
        <s v="Furnace, Gas 97%"/>
        <s v="Furnace, Gas 97% Muni"/>
        <s v="Combo Condensing Boiler/Water Heater 90%"/>
        <s v="Combo Condensing Boiler/Water Heater 95%"/>
        <s v="Heat Recovery Ventilator"/>
        <s v="Condensing Water Heater, Gas 0.95"/>
        <s v="Stand Alone Water Heater, Gas 0.67"/>
        <s v="On Demand Water Heater, Gas 0.82"/>
        <s v="On Demand Water Heater, Gas 0.94"/>
        <s v="Indirect Water Heater, Gas"/>
        <s v="Wi-Fi Thermostat (Control gas heat only)"/>
        <s v="Wi-Fi Thermostat (Control elec cooling &amp; gas heat )"/>
        <s v="Low-Flow Showerhead with TSV"/>
        <s v="Thermostatic Shut-off Valve"/>
        <s v="Low-Flow Showerhead"/>
        <s v="Participant/TLC Kit"/>
        <s v="Weatherization, Gas"/>
        <s v="Boiler Retrofit, Gas"/>
        <s v="Furnace Retrofit, Gas"/>
        <s v="Low-Flow Showerhead, Gas"/>
        <s v="Wi-Fi Thermostat (controls gas heat only)"/>
        <s v="Wi-Fi Thermostat (controls elec cooling &amp; gas heat )"/>
        <s v="Repairs"/>
        <s v="Participant"/>
        <s v="Commercial Boiler Retrofit, Gas"/>
        <s v="Duct Seal"/>
        <s v="On Demand Water Heater, Gas"/>
        <s v="Custom - Non Lighting"/>
        <s v="Comprehensive Design - Custom 15"/>
        <s v="Comprehensive Design - Custom 16"/>
        <s v="Comprehensive Design - Custom 17"/>
        <s v="Comprehensive Design - Custom 18"/>
        <s v="Comprehensive Design - Custom 19"/>
        <s v="Comprehensive Design - Custom 20"/>
        <s v="Building Shell - Custom 25"/>
        <s v="Food Services - Custom "/>
        <s v="Food Services - Prescriptive"/>
        <s v="Heat Recovery - Custom  15"/>
        <s v="Heat Recovery - Custom  20"/>
        <s v="Heating - Custom 15"/>
        <s v="Heating - Custom 20"/>
        <s v="Heating - Custom 25"/>
        <s v="Heating - Prescriptive"/>
        <s v="Hot Water - Custom "/>
        <s v="Hot Water - Prescriptive"/>
        <s v="Hot Water - Multifamily High Rise"/>
        <s v="Hot Water - Multifamily Low Rise"/>
        <s v="HVAC - Custom"/>
        <s v="HVAC - Prescriptive"/>
        <s v="HVAC - Multifamily High Rise"/>
        <s v="HVAC - Multifamily Low Rise"/>
        <s v="Other - Custom  10"/>
        <s v="Other - Custom  15"/>
        <s v="Other - Custom  20"/>
        <s v="Other - Codes and Standards"/>
        <s v="Process - Custom 10"/>
        <s v="Process - Custom 20"/>
        <s v="Furnace w/ECM 95%"/>
        <s v="Furnace w/ECM 95% - Muni"/>
        <s v="Furnace w/ECM 97%"/>
        <s v="Furnace w/ECM 97% - Muni"/>
        <s v="Condensing Boiler &lt;= 300 mbh (.95 TE)"/>
        <s v="Condensing Boiler &lt;= 300 mbh (.90 TE)"/>
        <s v="Condensing Boiler 301-499 mbh  (.90 TE)"/>
        <s v="Condensing Boiler 500-999 mbh  (.90 TE)"/>
        <s v="Condensing Boiler 1000-1700 mbh  (.90 TE)"/>
        <s v="Condensing Boiler 1701+ mbh  (.90 TE)"/>
        <s v="Condensing Unit Heater &lt;= 300 mbh"/>
        <s v="Infrared Heaters"/>
        <s v="Combination Oven"/>
        <s v="Convection Oven"/>
        <s v="Conveyer Oven"/>
        <s v="Rack Oven "/>
        <s v="Griddle"/>
        <s v="Fryer"/>
        <s v="Steamer"/>
        <s v="Control - Custom 10"/>
        <s v="Control - Custom 15"/>
        <s v="Process - Custom  10"/>
        <s v="Tankless Water Heater 0.82 - Upstream"/>
        <s v="Tankless Water Heater 0.90 - Upstream"/>
        <s v="Indirect Water Heater - Upstream"/>
        <s v="Stand Alone Water Heater 0.67 - Upstream"/>
        <s v="Condensing Water Heater 0.90 - Upstream"/>
        <s v="Volume Water Heater 0.85 TE - Upstream"/>
        <s v="Volume Water Heater 0.92 TE - Upstream"/>
        <s v="Building Shell - Custom 10"/>
        <s v="Building Shell - Custom 15"/>
        <s v="Building Shell - Custom 18"/>
        <s v="Building Shell - Custom 20"/>
        <s v="Food Services - Custom"/>
        <s v="Heat Recovery - Custom 15"/>
        <s v="Heat Recovery - Custom 18"/>
        <s v="Heating - Custom 2"/>
        <s v="Heating - Custom 5"/>
        <s v="Heating - Custom 10"/>
        <s v="Heating - Custom 13"/>
        <s v="Heating - Custom 18"/>
        <s v="Hot Water - Custom 20"/>
        <s v="Other - Custom 6"/>
        <s v="Other - Custom 10"/>
        <s v="Other - Custom 12"/>
        <s v="Other - Custom 13"/>
        <s v="Other - Custom 15"/>
        <s v="Other - Custom 16"/>
        <s v="Other - Custom 18"/>
        <s v="Other - Custom 25"/>
        <s v="Process - Custom 15"/>
        <s v="Process - Custom 18"/>
        <s v="Steam Trap - Custom "/>
        <s v="Steam Trap - Prescriptive"/>
        <s v="Ventilation - Custom"/>
        <s v="Programmable Thermostat (also controls elec cooling)"/>
        <s v="Pre-Rinse Spray Valve"/>
        <s v="Hot Water Pipe Insulation, &lt;=1.5&quot;"/>
        <s v="Hot Water Pipe Insulation, 2&quot;"/>
        <s v="Steam Pipe Insulation, &lt;=1.5&quot;"/>
        <s v="Steam Pipe Insulation, 3&quot;"/>
        <s v="Ozonated Laundry - Custom"/>
        <s v="Building Operator Certification"/>
        <s v="Building Operator Certification Plus"/>
        <s v="Heat Recovery - Custom"/>
        <s v="Hot Water - Custom  15"/>
        <s v="Other - Prescriptive"/>
        <s v="Process - Custom"/>
        <s v="Steam Trap - Custom 6"/>
        <s v="Building Shell - Custom"/>
        <s v="Heating - Custom"/>
        <s v="Hot Water - Custom"/>
        <s v="Pipe Wrap (Water Heating)"/>
        <s v="Pipe Wrap (Heating)"/>
        <s v="Wi-Fi Thermostat (controls elec cooling and gas heat)"/>
        <s v="Insulation"/>
        <s v="Insulation (with central AC)"/>
        <s v="Thermostatic Shut-off Valve, Gas"/>
        <s v=""/>
        <n v="0" u="1"/>
      </sharedItems>
    </cacheField>
    <cacheField name="BCR Measure ID" numFmtId="0">
      <sharedItems containsMixedTypes="1" containsNumber="1" containsInteger="1" minValue="0" maxValue="0" count="289">
        <s v="G16A1a01"/>
        <s v="G16A1a02"/>
        <s v="G16A1a03"/>
        <s v="G16A1a04"/>
        <s v="G17A1a05"/>
        <s v="G16A1a06"/>
        <s v="G16A1a07"/>
        <s v="G16A1a08"/>
        <s v="G16A1a09"/>
        <s v="G16A1a10"/>
        <s v="G16A1b01"/>
        <s v="G16A1b02"/>
        <s v="G16A1b03"/>
        <s v="G16A1b04"/>
        <s v="G16A1b05"/>
        <s v="G16A1b23"/>
        <s v="G16A1b06"/>
        <s v="G16A1b07"/>
        <s v="G16A1b08"/>
        <s v="G16A1b09"/>
        <s v="G16A1b10"/>
        <s v="G16A1b11"/>
        <s v="G16A1b12"/>
        <s v="G16A1b13"/>
        <s v="G16A1b14"/>
        <s v="G16A1b15"/>
        <s v="G16A1b16"/>
        <s v="G16A1b17"/>
        <s v="G16A1b18"/>
        <s v="G16A1b19"/>
        <s v="G16A1b20"/>
        <s v="G17A1b21"/>
        <s v="G16A1b22"/>
        <n v="0"/>
        <s v="G16A1c01"/>
        <s v="G16A1c02"/>
        <s v="G16A1c03"/>
        <s v="G16A1c04"/>
        <s v="G16A1c05"/>
        <s v="G16A1c06"/>
        <s v="G16A1c07"/>
        <s v="G16A1c08"/>
        <s v="G16A1c09"/>
        <s v="G16A1c10"/>
        <s v="G16A1c11"/>
        <s v="G16A1c38"/>
        <s v="G16A1c12"/>
        <s v="G17A1c13"/>
        <s v="G17A1c36"/>
        <s v="G17A1c37"/>
        <s v="G16A1c14"/>
        <s v="G16A1c15"/>
        <s v="G16A1c16"/>
        <s v="G16A1c17"/>
        <s v="G16A1c18"/>
        <s v="G16A1c19"/>
        <s v="G16A1c27"/>
        <s v="G16A1c29"/>
        <s v="G16A1c30"/>
        <s v="G16A1c31"/>
        <s v="G16A1c32"/>
        <s v="G16A1c33"/>
        <s v="G16A1c34"/>
        <s v="G16A1c35"/>
        <s v="G16A1e1"/>
        <s v="G16A2a01"/>
        <s v="G16A2a02"/>
        <s v="G16A2a03"/>
        <s v="G16A2a04"/>
        <s v="G16A2a05"/>
        <s v="G16A2a06"/>
        <s v="G16A2a07"/>
        <s v="G16A2a08"/>
        <s v="G16A2a09"/>
        <s v="G16A2a10"/>
        <s v="G16A2a11"/>
        <s v="G16A2a12"/>
        <s v="G16A2a13"/>
        <s v="G16A2a14"/>
        <s v="G16A2a15"/>
        <s v="G16A2a16"/>
        <s v="G16A2a17"/>
        <s v="G16A2a18"/>
        <s v="G16A2a19"/>
        <s v="G16A2a20"/>
        <s v="G16A2a21"/>
        <s v="G16B1a01"/>
        <s v="G16B1a02"/>
        <s v="G16B1a03"/>
        <s v="G16B1a04"/>
        <s v="G16B1a05"/>
        <s v="G16B1a06"/>
        <s v="G16B1a07"/>
        <s v="G16B1a08"/>
        <s v="G16B1a09"/>
        <s v="G16B1a10"/>
        <s v="G16B1a11"/>
        <s v="G16B1a12"/>
        <s v="G16B1a13"/>
        <s v="G16B1b01"/>
        <s v="G16B1b02"/>
        <s v="G16B1b03"/>
        <s v="G16B1b04"/>
        <s v="G16B1b05"/>
        <s v="G16B1b06"/>
        <s v="G16B1b07"/>
        <s v="G16B1b08"/>
        <s v="G16B1b09"/>
        <s v="G16B1b10"/>
        <s v="G16B1b11"/>
        <s v="G16B1b12"/>
        <s v="G16B1b13"/>
        <s v="G16B1b14"/>
        <s v="G16B1b22"/>
        <s v="G16B1b15"/>
        <s v="G16B1b16"/>
        <s v="G16B1b17"/>
        <s v="G16B1b18"/>
        <s v="G16B1b19"/>
        <s v="G16B1b20"/>
        <s v="G16B1b21"/>
        <s v="G16C1a01"/>
        <s v="G16C1a02"/>
        <s v="G16C1a03"/>
        <s v="G16C1a04"/>
        <s v="G16C1a05"/>
        <s v="G16C1a06"/>
        <s v="G16C1a07"/>
        <s v="G16C1a08"/>
        <s v="G16C1a09"/>
        <s v="G16C1a10"/>
        <s v="G16C1a11"/>
        <s v="G16C1a12"/>
        <s v="G16C1a13"/>
        <s v="G16C1a14"/>
        <s v="G16C1a15"/>
        <s v="G16C1a16"/>
        <s v="G16C1a17"/>
        <s v="G16C1a18"/>
        <s v="G16C1a19"/>
        <s v="G16C1a20"/>
        <s v="G16C1a21"/>
        <s v="G16C1a22"/>
        <s v="G16C1a23"/>
        <s v="G16C1a24"/>
        <s v="G16C1a25"/>
        <s v="G16C1a26"/>
        <s v="G16C1a27"/>
        <s v="G16C1a28"/>
        <s v="G16C1a29"/>
        <s v="G16C1a30"/>
        <s v="G16C1a31"/>
        <s v="G16C1a32"/>
        <s v="G16C1a33"/>
        <s v="G16C1a34"/>
        <s v="G16C1a35"/>
        <s v="G16C1a36"/>
        <s v="G16C1a37"/>
        <s v="G16C1a38"/>
        <s v="G16C1a39"/>
        <s v="G16C1a40"/>
        <s v="G16C1b01"/>
        <s v="G16C1b02"/>
        <s v="G16C1b03"/>
        <s v="G16C1b04"/>
        <s v="G16C1b05"/>
        <s v="G16C1b06"/>
        <s v="G16C1b07"/>
        <s v="G16C1b08"/>
        <s v="G16C1b09"/>
        <s v="G16C1b10"/>
        <s v="G16C1b11"/>
        <s v="G16C1b12"/>
        <s v="G16C1b13"/>
        <s v="G16C1b14"/>
        <s v="G16C1b15"/>
        <s v="G16C1b16"/>
        <s v="G16C1b17"/>
        <s v="G16C1b18"/>
        <s v="G16C1b19"/>
        <s v="G16C1b20"/>
        <s v="G16C1b21"/>
        <s v="G16C1b22"/>
        <s v="G16C1b23"/>
        <s v="G16C1b24"/>
        <s v="G16C1b25"/>
        <s v="G16C1b26"/>
        <s v="G16C1b27"/>
        <s v="G16C1b28"/>
        <s v="G16C1b29"/>
        <s v="G16C1b30"/>
        <s v="G16C1b38"/>
        <s v="G16C1b39"/>
        <s v="G16C1b31"/>
        <s v="G16C1b32"/>
        <s v="G16C1b33"/>
        <s v="G16C1b34"/>
        <s v="G16C1b35"/>
        <s v="G16C1b36"/>
        <s v="G16C1b37"/>
        <s v="G16C2a01"/>
        <s v="G16C2a02"/>
        <s v="G16C2a03"/>
        <s v="G16C2a04"/>
        <s v="G16C2a05"/>
        <s v="G16C2a06"/>
        <s v="G16C2a07"/>
        <s v="G16C2a08"/>
        <s v="G16C2a09"/>
        <s v="G16C2a10"/>
        <s v="G16C2a11"/>
        <s v="G16C2a13"/>
        <s v="G16C2a14"/>
        <s v="G16C2a15"/>
        <s v="G16C2a16"/>
        <s v="G16C2a17"/>
        <s v="G16C2a18"/>
        <s v="G16C2a36"/>
        <s v="G16C2a19"/>
        <s v="G16C2a20"/>
        <s v="G16C2a21"/>
        <s v="G16C2a22"/>
        <s v="G16C2a23"/>
        <s v="G16C2a24"/>
        <s v="G16C2a25"/>
        <s v="G16C2a26"/>
        <s v="G16C2a27"/>
        <s v="G16C2a28"/>
        <s v="G16C2a29"/>
        <s v="G16C2a30"/>
        <s v="G16C2a35"/>
        <s v="G16C2a31"/>
        <s v="G16C2a32"/>
        <s v="G16C2b01"/>
        <s v="G16C2b02"/>
        <s v="G16C2b03"/>
        <s v="G16C2b04"/>
        <s v="G16C2b05"/>
        <s v="G16C2b06"/>
        <s v="G16C2b07"/>
        <s v="G16C2b08"/>
        <s v="G16C2b09"/>
        <s v="G16C2b10"/>
        <s v="G16C2b11"/>
        <s v="G16C2b12"/>
        <s v="G16C2b13"/>
        <s v="G16C2b14"/>
        <s v="G16C2b15"/>
        <s v="G16C2b16"/>
        <s v="G16C2b17"/>
        <s v="G16C2b18"/>
        <s v="G16C2b19"/>
        <s v="G16C2b20"/>
        <s v="G16C2b21"/>
        <s v="G16C2b22"/>
        <s v="G16C2b23"/>
        <s v="G16C2b24"/>
        <s v="G16C2b25"/>
        <s v="G16C2b26"/>
        <s v="G16C2b27"/>
        <s v="G16C2b28"/>
        <s v="G16C2b29"/>
        <s v="G16C2c01"/>
        <s v="G16C2c02"/>
        <s v="G16C2c03"/>
        <s v="G16C2c04"/>
        <s v="G16C2c05"/>
        <s v="G16C2c06"/>
        <s v="G16C2c07"/>
        <s v="G16C2c08"/>
        <s v="G16C2c09"/>
        <s v="G16C2c10"/>
        <s v="G16C2c11"/>
        <s v="G16C2c12"/>
        <s v="G16C2c13"/>
        <s v="G16C2c14"/>
        <s v="G16C2c15"/>
        <s v="G17C2c16"/>
        <s v="G16C2c17"/>
        <s v="G16C2c18"/>
        <s v="G16C2c19"/>
        <s v="G16C2c20"/>
        <s v="G16C2c21"/>
        <s v="G16C2c22"/>
        <s v="G16C2c23"/>
        <s v="G16C2c24"/>
        <s v="G16C2c25"/>
        <s v="G16C2c26"/>
        <s v=""/>
      </sharedItems>
    </cacheField>
    <cacheField name="End Use" numFmtId="0">
      <sharedItems containsMixedTypes="1" containsNumber="1" containsInteger="1" minValue="0" maxValue="0"/>
    </cacheField>
    <cacheField name="Quantity" numFmtId="3">
      <sharedItems containsMixedTypes="1" containsNumber="1" containsInteger="1" minValue="1" maxValue="437964"/>
    </cacheField>
    <cacheField name="Measure Life" numFmtId="1">
      <sharedItems containsSemiMixedTypes="0" containsString="0" containsNumber="1" containsInteger="1" minValue="0" maxValue="25"/>
    </cacheField>
    <cacheField name="TRC (Total)" numFmtId="170">
      <sharedItems containsMixedTypes="1" containsNumber="1" minValue="0" maxValue="16758449.48639999"/>
    </cacheField>
    <cacheField name="Incentive (Total)" numFmtId="170">
      <sharedItems containsMixedTypes="1" containsNumber="1" minValue="0" maxValue="10784554.159999995"/>
    </cacheField>
    <cacheField name="Customer Cost (Total)" numFmtId="170">
      <sharedItems containsMixedTypes="1" containsNumber="1" minValue="-411298.30799999973" maxValue="10239712.672601847"/>
    </cacheField>
    <cacheField name="Gross Annual MWh Savings " numFmtId="164">
      <sharedItems containsMixedTypes="1" containsNumber="1" minValue="-3.4580000000000002" maxValue="2938.0463999999997"/>
    </cacheField>
    <cacheField name="Adjusted Gross Annual MWh Savings " numFmtId="164">
      <sharedItems containsMixedTypes="1" containsNumber="1" minValue="-3.4580000000000002" maxValue="2938.0463999999997"/>
    </cacheField>
    <cacheField name="Adjusted Gross Lifetime MWh Savings " numFmtId="164">
      <sharedItems containsMixedTypes="1" containsNumber="1" minValue="-69.16" maxValue="33858"/>
    </cacheField>
    <cacheField name="Net Annual MWh Savings " numFmtId="164">
      <sharedItems containsMixedTypes="1" containsNumber="1" minValue="-3.4580000000000002" maxValue="2791.1440799999996"/>
    </cacheField>
    <cacheField name="Net Lifetime MWh Savings" numFmtId="164">
      <sharedItems containsMixedTypes="1" containsNumber="1" minValue="-69.16" maxValue="41645.339999999997"/>
    </cacheField>
    <cacheField name="Winter Peak Energy MWh Net Lifetime" numFmtId="164">
      <sharedItems containsMixedTypes="1" containsNumber="1" minValue="-26.142479999999999" maxValue="10827.788399999999"/>
    </cacheField>
    <cacheField name="Winter Off-Peak Energy MWh Net Lifetime" numFmtId="164">
      <sharedItems containsMixedTypes="1" containsNumber="1" minValue="-42.5334" maxValue="17907.496199999998"/>
    </cacheField>
    <cacheField name="Summer Peak Energy MWh Net Lifetime" numFmtId="164">
      <sharedItems containsMixedTypes="1" containsNumber="1" minValue="-0.13832" maxValue="10874.74211768944"/>
    </cacheField>
    <cacheField name="Summer Off-Peak Energy MWh Net Lifetime" numFmtId="164">
      <sharedItems containsMixedTypes="1" containsNumber="1" minValue="-0.3458" maxValue="8317.55849823278"/>
    </cacheField>
    <cacheField name="Max Net kW" numFmtId="164">
      <sharedItems containsMixedTypes="1" containsNumber="1" minValue="-1.845928484695089" maxValue="2993.1840000000002"/>
    </cacheField>
    <cacheField name="Annual Adjusted Gross Winter kW" numFmtId="164">
      <sharedItems containsMixedTypes="1" containsNumber="1" minValue="-1.845928484695089" maxValue="504.11520000000007"/>
    </cacheField>
    <cacheField name="Annual Net Winter kW" numFmtId="164">
      <sharedItems containsMixedTypes="1" containsNumber="1" minValue="-1.845928484695089" maxValue="605.67069600000002"/>
    </cacheField>
    <cacheField name="Annual Adjusted Gross  Summer kw" numFmtId="164">
      <sharedItems containsMixedTypes="1" containsNumber="1" minValue="0" maxValue="2991.9120000000003"/>
    </cacheField>
    <cacheField name="Annual Net Summer kw" numFmtId="164">
      <sharedItems containsMixedTypes="1" containsNumber="1" minValue="0" maxValue="2991.9120000000003"/>
    </cacheField>
    <cacheField name="Adj. Gross Annual Gas Savings (MMBTU)" numFmtId="182">
      <sharedItems containsSemiMixedTypes="0" containsString="0" containsNumber="1" minValue="-95.803949999999986" maxValue="444648.54"/>
    </cacheField>
    <cacheField name="Adj. Gross Lifetime Gas Savings (MMBTU)" numFmtId="182">
      <sharedItems containsSemiMixedTypes="0" containsString="0" containsNumber="1" minValue="-670.6276499999999" maxValue="1813693.7970121952"/>
    </cacheField>
    <cacheField name="Net Annual Gas Savings (MMBTU)" numFmtId="182">
      <sharedItems containsSemiMixedTypes="0" containsString="0" containsNumber="1" minValue="-76.643159999999995" maxValue="444648.54"/>
    </cacheField>
    <cacheField name="Net Lifetime Gas Savings (MMBTU)" numFmtId="182">
      <sharedItems containsSemiMixedTypes="0" containsString="0" containsNumber="1" minValue="-536.50211999999999" maxValue="2230843.370325"/>
    </cacheField>
    <cacheField name="Adj Gross Annual Oil Savings (MMBTU)" numFmtId="182">
      <sharedItems containsSemiMixedTypes="0" containsString="0" containsNumber="1" containsInteger="1" minValue="0" maxValue="0"/>
    </cacheField>
    <cacheField name="Adj Gross Lifetime Oil Savings (MMBTU)" numFmtId="182">
      <sharedItems containsSemiMixedTypes="0" containsString="0" containsNumber="1" containsInteger="1" minValue="0" maxValue="0"/>
    </cacheField>
    <cacheField name="Net Annual Oil Savings (MMBTU)" numFmtId="182">
      <sharedItems containsSemiMixedTypes="0" containsString="0" containsNumber="1" containsInteger="1" minValue="0" maxValue="0"/>
    </cacheField>
    <cacheField name="Net Lifetime Oil Savings (MMBTU)" numFmtId="182">
      <sharedItems containsSemiMixedTypes="0" containsString="0" containsNumber="1" containsInteger="1" minValue="0" maxValue="0"/>
    </cacheField>
    <cacheField name="Adj Gross Annual Propane Savings (MMBTU)" numFmtId="182">
      <sharedItems containsSemiMixedTypes="0" containsString="0" containsNumber="1" containsInteger="1" minValue="0" maxValue="0"/>
    </cacheField>
    <cacheField name="Adj Gross Lifetime Propane Savings (MMBTU)" numFmtId="182">
      <sharedItems containsSemiMixedTypes="0" containsString="0" containsNumber="1" containsInteger="1" minValue="0" maxValue="0"/>
    </cacheField>
    <cacheField name="Net Annual Propane Savings (MMBTU)" numFmtId="182">
      <sharedItems containsSemiMixedTypes="0" containsString="0" containsNumber="1" containsInteger="1" minValue="0" maxValue="0"/>
    </cacheField>
    <cacheField name="Net Lifetime Propane Savings (MMBTU)" numFmtId="182">
      <sharedItems containsSemiMixedTypes="0" containsString="0" containsNumber="1" containsInteger="1" minValue="0" maxValue="0"/>
    </cacheField>
    <cacheField name="Net Annual Res Water  &amp; Sewer Savings Gallons" numFmtId="182">
      <sharedItems containsSemiMixedTypes="0" containsString="0" containsNumber="1" minValue="0" maxValue="22648633"/>
    </cacheField>
    <cacheField name="Net Annual C&amp;I Water Savings Gallons" numFmtId="182">
      <sharedItems containsSemiMixedTypes="0" containsString="0" containsNumber="1" minValue="0" maxValue="21335900.040000003"/>
    </cacheField>
    <cacheField name="Net Annual C&amp;I Sewer Savings Gallons" numFmtId="182">
      <sharedItems containsSemiMixedTypes="0" containsString="0" containsNumber="1" minValue="0" maxValue="21335900.040000003"/>
    </cacheField>
    <cacheField name="Net Lifetime Water Savings Gallons" numFmtId="182">
      <sharedItems containsSemiMixedTypes="0" containsString="0" containsNumber="1" minValue="0" maxValue="213359000.40000004"/>
    </cacheField>
    <cacheField name="Winter Peak Energy Benefits ($)" numFmtId="165">
      <sharedItems containsMixedTypes="1" containsNumber="1" minValue="-2389.3568353194428" maxValue="1074983.4111909168"/>
    </cacheField>
    <cacheField name="Winter Off-Peak Energy Benefits ($)" numFmtId="165">
      <sharedItems containsMixedTypes="1" containsNumber="1" minValue="-3470.6052087004964" maxValue="1590901.4080478875"/>
    </cacheField>
    <cacheField name="Summer Peak Energy Benefits ($)" numFmtId="165">
      <sharedItems containsMixedTypes="1" containsNumber="1" minValue="-12.946510625282224" maxValue="889300.86394120124"/>
    </cacheField>
    <cacheField name="Summer Off-Peak Energy Benefits ($)" numFmtId="165">
      <sharedItems containsMixedTypes="1" containsNumber="1" minValue="-24.567109814348736" maxValue="532657.70749352779"/>
    </cacheField>
    <cacheField name="Total Avoided Electric Benefits ($)" numFmtId="165">
      <sharedItems containsSemiMixedTypes="0" containsString="0" containsNumber="1" minValue="-5897.47566445957" maxValue="3874851.878385317"/>
    </cacheField>
    <cacheField name="Winter Peak Energy DRIPE Benefits ($)" numFmtId="165">
      <sharedItems containsMixedTypes="1" containsNumber="1" minValue="-42.644477959519712" maxValue="39155.856174780412"/>
    </cacheField>
    <cacheField name="Winter Off-Peak Energy DRIPE Benefits ($)" numFmtId="165">
      <sharedItems containsMixedTypes="1" containsNumber="1" minValue="-33.379839960083274" maxValue="11242.916996841057"/>
    </cacheField>
    <cacheField name="Summer Peak Energy DRIPE Benefits ($)" numFmtId="165">
      <sharedItems containsMixedTypes="1" containsNumber="1" minValue="-0.26642831514125787" maxValue="27928.853094386668"/>
    </cacheField>
    <cacheField name="Summer Off-Peak Energy DRIPE Benefits ($)" numFmtId="165">
      <sharedItems containsMixedTypes="1" containsNumber="1" minValue="-0.21853393332834223" maxValue="7008.555135174046"/>
    </cacheField>
    <cacheField name="Energy Electric Cross DRIPE Benefits Summer ($)" numFmtId="165">
      <sharedItems containsMixedTypes="1" containsNumber="1" minValue="-1.2795001546153499" maxValue="60311.214489557526"/>
    </cacheField>
    <cacheField name="Energy Electric Cross DRIPE Benefits Winter ($)" numFmtId="165">
      <sharedItems containsMixedTypes="1" containsNumber="1" minValue="-248.66027351097571" maxValue="104875.8643981685"/>
    </cacheField>
    <cacheField name="Total Energy DRIPE Benefits ($)" numFmtId="44">
      <sharedItems containsSemiMixedTypes="0" containsString="0" containsNumber="1" minValue="-326.44905383366364" maxValue="216070.50235391018"/>
    </cacheField>
    <cacheField name="Total Electric Energy Benefits ($)" numFmtId="44">
      <sharedItems containsSemiMixedTypes="0" containsString="0" containsNumber="1" minValue="-6223.924718293234" maxValue="4034435.8012925424"/>
    </cacheField>
    <cacheField name="Summer Generation Benefits ($)" numFmtId="165">
      <sharedItems containsMixedTypes="1" containsNumber="1" minValue="0" maxValue="7755558.1582714543"/>
    </cacheField>
    <cacheField name="Winter Generation ($)" numFmtId="165">
      <sharedItems containsMixedTypes="1" containsNumber="1" containsInteger="1" minValue="0" maxValue="0"/>
    </cacheField>
    <cacheField name="Electric Capacity DRIPE ($)" numFmtId="165">
      <sharedItems containsMixedTypes="1" containsNumber="1" containsInteger="1" minValue="0" maxValue="0"/>
    </cacheField>
    <cacheField name="Transmission Benefits ($)" numFmtId="165">
      <sharedItems containsMixedTypes="1" containsNumber="1" minValue="0" maxValue="518710.52222182951"/>
    </cacheField>
    <cacheField name="Distribution Benefits ($)" numFmtId="165">
      <sharedItems containsMixedTypes="1" containsNumber="1" minValue="0" maxValue="4071285.9144350258"/>
    </cacheField>
    <cacheField name="Total Electric Capacity Benefits ($)" numFmtId="165">
      <sharedItems containsSemiMixedTypes="0" containsString="0" containsNumber="1" minValue="0" maxValue="12345554.594928309"/>
    </cacheField>
    <cacheField name="Total Electric Benefits ($)" numFmtId="165">
      <sharedItems containsSemiMixedTypes="0" containsString="0" containsNumber="1" minValue="-6223.924718293234" maxValue="13946218.916297363"/>
    </cacheField>
    <cacheField name="NG - Res All" numFmtId="165">
      <sharedItems containsMixedTypes="1" containsNumber="1" containsInteger="1" minValue="0" maxValue="0"/>
    </cacheField>
    <cacheField name="NG - Res Hot Water" numFmtId="165">
      <sharedItems containsMixedTypes="1" containsNumber="1" minValue="0" maxValue="3346220.6637917124"/>
    </cacheField>
    <cacheField name="NG - Res Gas Heating" numFmtId="165">
      <sharedItems containsMixedTypes="1" containsNumber="1" minValue="-4373.3152961377637" maxValue="19853350.783854131"/>
    </cacheField>
    <cacheField name="NG - Res Gas Non-Heating" numFmtId="165">
      <sharedItems containsMixedTypes="1" containsNumber="1" minValue="0" maxValue="2079511.5687667846"/>
    </cacheField>
    <cacheField name="NG - C&amp;I Gas Non-Heating" numFmtId="165">
      <sharedItems containsMixedTypes="1" containsNumber="1" minValue="0" maxValue="3591774.6297578439"/>
    </cacheField>
    <cacheField name="NG - C&amp;I Gas Heat" numFmtId="165">
      <sharedItems containsMixedTypes="1" containsNumber="1" minValue="0" maxValue="5709795.7645241134"/>
    </cacheField>
    <cacheField name="NG - C&amp;I Gas All" numFmtId="165">
      <sharedItems containsMixedTypes="1" containsNumber="1" minValue="0" maxValue="4871443.9322732501"/>
    </cacheField>
    <cacheField name="Total Avoided Gas Benefits ($)" numFmtId="44">
      <sharedItems containsSemiMixedTypes="0" containsString="0" containsNumber="1" minValue="-4373.3152961377637" maxValue="19853350.783854131"/>
    </cacheField>
    <cacheField name="Gas Supply DRIPE" numFmtId="165">
      <sharedItems containsMixedTypes="1" containsNumber="1" minValue="-73.996377265659788" maxValue="295902.50571253209"/>
    </cacheField>
    <cacheField name="Res Non-Heating GECD" numFmtId="165">
      <sharedItems containsMixedTypes="1" containsNumber="1" minValue="0" maxValue="167376.67088657146"/>
    </cacheField>
    <cacheField name="Res Hot Water  GECD" numFmtId="165">
      <sharedItems containsMixedTypes="1" containsNumber="1" minValue="0" maxValue="186612.87423300062"/>
    </cacheField>
    <cacheField name="Res Heating  GECD" numFmtId="165">
      <sharedItems containsMixedTypes="1" containsNumber="1" minValue="-542.95834125625584" maxValue="1521418.5235940148"/>
    </cacheField>
    <cacheField name="Res All  GECD" numFmtId="165">
      <sharedItems containsMixedTypes="1" containsNumber="1" containsInteger="1" minValue="0" maxValue="0"/>
    </cacheField>
    <cacheField name="C&amp;I Non-Heating GECD" numFmtId="165">
      <sharedItems containsMixedTypes="1" containsNumber="1" minValue="0" maxValue="319360.00765148044"/>
    </cacheField>
    <cacheField name="C&amp;I Heating  GECD" numFmtId="165">
      <sharedItems containsMixedTypes="1" containsNumber="1" minValue="0" maxValue="342171.3119331976"/>
    </cacheField>
    <cacheField name="C&amp;I All  GECD" numFmtId="165">
      <sharedItems containsMixedTypes="1" containsNumber="1" minValue="0" maxValue="294266.19797424314"/>
    </cacheField>
    <cacheField name="Total Gas DRIPE" numFmtId="171">
      <sharedItems containsSemiMixedTypes="0" containsString="0" containsNumber="1" minValue="-616.95471852191565" maxValue="1583556.8076729765"/>
    </cacheField>
    <cacheField name="Total Gas Resource Benefits" numFmtId="171">
      <sharedItems containsSemiMixedTypes="0" containsString="0" containsNumber="1" minValue="-4990.270014659679" maxValue="20910353.251003321"/>
    </cacheField>
    <cacheField name="Fuel Oil - Residential Distillate" numFmtId="165">
      <sharedItems containsMixedTypes="1" containsNumber="1" containsInteger="1" minValue="0" maxValue="0"/>
    </cacheField>
    <cacheField name="Fuel Oil - Com Fuel Oil" numFmtId="165">
      <sharedItems containsMixedTypes="1" containsNumber="1" containsInteger="1" minValue="0" maxValue="0"/>
    </cacheField>
    <cacheField name="Propane" numFmtId="165">
      <sharedItems containsMixedTypes="1" containsNumber="1" containsInteger="1" minValue="0" maxValue="0"/>
    </cacheField>
    <cacheField name="Res Water" numFmtId="165">
      <sharedItems containsMixedTypes="1" containsNumber="1" minValue="0" maxValue="1691372.4139728372"/>
    </cacheField>
    <cacheField name="C&amp;I Water" numFmtId="165">
      <sharedItems containsMixedTypes="1" containsNumber="1" minValue="0" maxValue="947269.6453168185"/>
    </cacheField>
    <cacheField name="C&amp;I Sewer" numFmtId="165">
      <sharedItems containsMixedTypes="1" containsNumber="1" minValue="0" maxValue="1314080.9962594362"/>
    </cacheField>
    <cacheField name="Total Non-Electric Resource Benefits" numFmtId="170">
      <sharedItems containsSemiMixedTypes="0" containsString="0" containsNumber="1" minValue="-4990.270014659679" maxValue="20910353.251003321"/>
    </cacheField>
    <cacheField name="Lifetime per Unit (Net)" numFmtId="165">
      <sharedItems containsMixedTypes="1" containsNumber="1" minValue="0" maxValue="11917210.08541956"/>
    </cacheField>
    <cacheField name="One time per Unit (Net)" numFmtId="165">
      <sharedItems containsMixedTypes="1" containsNumber="1" minValue="0" maxValue="224982.13328900569"/>
    </cacheField>
    <cacheField name="Lifetime per kWh (Net)" numFmtId="165">
      <sharedItems containsMixedTypes="1" containsNumber="1" containsInteger="1" minValue="0" maxValue="0"/>
    </cacheField>
    <cacheField name="One time per KWh (Total Net)" numFmtId="165">
      <sharedItems containsMixedTypes="1" containsNumber="1" containsInteger="1" minValue="0" maxValue="0"/>
    </cacheField>
    <cacheField name="Lifetime per Therm (Net)" numFmtId="165">
      <sharedItems containsMixedTypes="1" containsNumber="1" minValue="-26851.089260605619" maxValue="2552511.2730486868"/>
    </cacheField>
    <cacheField name="One time per Therm (Net)" numFmtId="165">
      <sharedItems containsSemiMixedTypes="0" containsString="0" containsNumber="1" minValue="0" maxValue="23821.515527775351"/>
    </cacheField>
    <cacheField name="Total Lifetime Non-Resource  Benefits " numFmtId="165">
      <sharedItems containsSemiMixedTypes="0" containsString="0" containsNumber="1" minValue="-26851.089260605619" maxValue="12669467.060897589"/>
    </cacheField>
    <cacheField name="Total Benefits" numFmtId="44">
      <sharedItems containsSemiMixedTypes="0" containsString="0" containsNumber="1" minValue="0" maxValue="42180625.518448159"/>
    </cacheField>
    <cacheField name="Winter Peak Energy" numFmtId="9">
      <sharedItems containsSemiMixedTypes="0" containsString="0" containsNumber="1" minValue="1.0720000000000001" maxValue="1.0720000000000001"/>
    </cacheField>
    <cacheField name="Winter Off-Peak Energy" numFmtId="9">
      <sharedItems containsSemiMixedTypes="0" containsString="0" containsNumber="1" minValue="1.04" maxValue="1.04"/>
    </cacheField>
    <cacheField name="Summer Peak Energy" numFmtId="9">
      <sharedItems containsSemiMixedTypes="0" containsString="0" containsNumber="1" minValue="1.0720000000000001" maxValue="1.0720000000000001"/>
    </cacheField>
    <cacheField name="Summer Off-Peak Energy" numFmtId="9">
      <sharedItems containsSemiMixedTypes="0" containsString="0" containsNumber="1" minValue="1.04" maxValue="1.04"/>
    </cacheField>
    <cacheField name="Summer Generation" numFmtId="9">
      <sharedItems containsSemiMixedTypes="0" containsString="0" containsNumber="1" minValue="1.1120000000000001" maxValue="1.1120000000000001"/>
    </cacheField>
    <cacheField name="Winter Generation" numFmtId="9">
      <sharedItems containsSemiMixedTypes="0" containsString="0" containsNumber="1" minValue="1.095" maxValue="1.095"/>
    </cacheField>
    <cacheField name="Transmission " numFmtId="9">
      <sharedItems containsSemiMixedTypes="0" containsString="0" containsNumber="1" minValue="1.1120000000000001" maxValue="1.1120000000000001"/>
    </cacheField>
    <cacheField name="Distribution" numFmtId="9">
      <sharedItems containsSemiMixedTypes="0" containsString="0" containsNumber="1" minValue="1.1120000000000001" maxValue="1.1120000000000001"/>
    </cacheField>
    <cacheField name="Total Oil Benefits" numFmtId="0" formula="'Fuel Oil - Residential Distillate'+'Fuel Oil - Com Fuel Oil'" databaseField="0"/>
    <cacheField name="Total Water Benefits" numFmtId="0" formula="'Res Water'+'C&amp;I Water'+'C&amp;I Sewer'" databaseField="0"/>
    <cacheField name="Annual Water Savings (Gallons)" numFmtId="0" formula="'Net Annual Res Water  &amp; Sewer Savings Gallons'+'Net Annual C&amp;I Water Savings Gallons'" databaseField="0"/>
    <cacheField name="Total Benefits ($)" numFmtId="0" formula="'Total Electric Benefits ($)'+'Total Gas Resource Benefits'+'Total Oil Benefits'+Propane+'Total Water Benefits'+'Total Lifetime Non-Resource  Benefits '"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elanie Coen" refreshedDate="43258.483920370367" createdVersion="4" refreshedVersion="4" minRefreshableVersion="3" recordCount="37">
  <cacheSource type="worksheet">
    <worksheetSource ref="A1:BK38" sheet="Master Data"/>
  </cacheSource>
  <cacheFields count="75">
    <cacheField name="Distribution Company" numFmtId="0">
      <sharedItems/>
    </cacheField>
    <cacheField name="Program Administrator" numFmtId="0">
      <sharedItems containsBlank="1" count="2">
        <s v="National Grid"/>
        <m u="1"/>
      </sharedItems>
    </cacheField>
    <cacheField name="Year" numFmtId="0">
      <sharedItems containsSemiMixedTypes="0" containsString="0" containsNumber="1" containsInteger="1" minValue="2016" maxValue="2018" count="3">
        <n v="2017"/>
        <n v="2018" u="1"/>
        <n v="2016" u="1"/>
      </sharedItems>
    </cacheField>
    <cacheField name="DPU Filing Date" numFmtId="0">
      <sharedItems containsNonDate="0" containsString="0" containsBlank="1"/>
    </cacheField>
    <cacheField name="Docket #" numFmtId="0">
      <sharedItems containsNonDate="0" containsString="0" containsBlank="1"/>
    </cacheField>
    <cacheField name="Reporting Period" numFmtId="0">
      <sharedItems containsBlank="1" count="3">
        <s v="Evaluated"/>
        <m u="1"/>
        <s v="Planned" u="1"/>
      </sharedItems>
    </cacheField>
    <cacheField name="Sector" numFmtId="0">
      <sharedItems containsBlank="1" count="5">
        <s v="Residential"/>
        <s v="Low Income"/>
        <s v="Commercial &amp; Industrial"/>
        <m u="1"/>
        <s v="Low-Income" u="1"/>
      </sharedItems>
    </cacheField>
    <cacheField name="Program" numFmtId="0">
      <sharedItems containsBlank="1" count="9">
        <s v="A1 - Residential Whole House"/>
        <s v="A2 - Residential Products"/>
        <s v="A3 - Residential Hard-to-Measure"/>
        <s v="B1 - Low Income Retrofit"/>
        <s v="B2 - Low-Income Hard-to-Measure"/>
        <s v="C1 - C&amp;I New Construction "/>
        <s v="C2 - C&amp;I Retrofit"/>
        <s v="C3 - C&amp;I Hard-to-Measure"/>
        <m u="1"/>
      </sharedItems>
    </cacheField>
    <cacheField name="Initiative" numFmtId="0">
      <sharedItems containsBlank="1" count="41">
        <s v="A1a - Residential New Construction"/>
        <s v="A1b - Residential Multi-Family Retrofit"/>
        <s v="A1c - Residential Home Energy Services - Measures"/>
        <s v="A1d - Residential Home Energy Services - RCS"/>
        <s v="A1e - Residential Behavior/Feedback Program"/>
        <s v="A2a - Residential Heating &amp; Cooling Equipment "/>
        <s v="A2b - Residential Consumer Products"/>
        <s v="A2c - Residential Lighting"/>
        <s v="A3a - Residential Statewide Marketing"/>
        <s v="A3b - Residential Statewide Database"/>
        <s v="A3c - Residential DOER Assessment"/>
        <s v="A3d - Residential EEAC Consultants"/>
        <s v="A3e - Residential Sponsorships &amp; Subscriptions"/>
        <s v="A3f - Residential HEAT Loan"/>
        <s v="A3g - Residential Workforce Development"/>
        <s v="A3h - Residential R&amp;D and Demonstration"/>
        <s v="A3i - Residential Education"/>
        <s v="B1a - Low-Income Single Family Retrofit"/>
        <s v="B1b - Low-Income Multi-Family Retrofit"/>
        <s v="B2a - Low-Income Statewide Marketing"/>
        <s v="B2b - Low-Income Statewide Database"/>
        <s v="B2c - Low-Income DOER Assessment"/>
        <s v="B2d - Low-Income Energy Affordability Network"/>
        <s v="B2e - Low-Income Sponsorships &amp; Subscriptions"/>
        <s v="C1a - C&amp;I New Buildings &amp; Major Renovations"/>
        <s v="C1b - C&amp;I Initial Purchase &amp; End of Useful Life "/>
        <s v="C2a - C&amp;I Existing Building Retrofit"/>
        <s v="C2b - C&amp;I Small Business"/>
        <s v="C2c - C&amp;I Multifamily Retrofit "/>
        <s v="C2d - C&amp;I Upstream Lighting"/>
        <s v="C3a - C&amp;I Statewide Marketing"/>
        <s v="C3b - C&amp;I Statewide Database"/>
        <s v="C3c - C&amp;I DOER Assessment"/>
        <s v="C3d - C&amp;I EEAC Consultants"/>
        <s v="C3e - C&amp;I Sponsorships &amp; Subscriptions"/>
        <s v="C3f - C&amp;I Workforce Development"/>
        <s v="C3g - C&amp;I R&amp;D and Demonstration"/>
        <m u="1"/>
        <s v="C1b - C&amp;I Initial Purchase and End of Useful Life" u="1"/>
        <s v="C2c - C&amp;I Multi-Family" u="1"/>
        <s v="A2a - Residential HVAC Equipment" u="1"/>
      </sharedItems>
    </cacheField>
    <cacheField name="Program Planning and Administration" numFmtId="170">
      <sharedItems containsString="0" containsBlank="1" containsNumber="1" minValue="0" maxValue="1004457.8902797719"/>
    </cacheField>
    <cacheField name="Marketing and Advertising" numFmtId="170">
      <sharedItems containsString="0" containsBlank="1" containsNumber="1" minValue="0" maxValue="955843.79637589667"/>
    </cacheField>
    <cacheField name="Participant Incentive" numFmtId="170">
      <sharedItems containsString="0" containsBlank="1" containsNumber="1" minValue="0" maxValue="23604622.859999999"/>
    </cacheField>
    <cacheField name="Sales, Technical Assistance &amp; Training" numFmtId="170">
      <sharedItems containsString="0" containsBlank="1" containsNumber="1" minValue="0" maxValue="5632312.9193726853"/>
    </cacheField>
    <cacheField name="Evaluation and Market Research" numFmtId="170">
      <sharedItems containsString="0" containsBlank="1" containsNumber="1" minValue="0" maxValue="745743.88345355354"/>
    </cacheField>
    <cacheField name="Total Program Costs" numFmtId="170">
      <sharedItems containsString="0" containsBlank="1" containsNumber="1" minValue="0" maxValue="29965666.62700627"/>
    </cacheField>
    <cacheField name="Total Program Costs (2016$)" numFmtId="170">
      <sharedItems containsString="0" containsBlank="1" containsNumber="1" minValue="0" maxValue="29223392.458558872"/>
    </cacheField>
    <cacheField name="Performance Incentive" numFmtId="170">
      <sharedItems containsSemiMixedTypes="0" containsString="0" containsNumber="1" minValue="0" maxValue="777332.78729925188"/>
    </cacheField>
    <cacheField name="Performance Incentive (2016$)" numFmtId="170">
      <sharedItems containsSemiMixedTypes="0" containsString="0" containsNumber="1" minValue="0" maxValue="758077.61585649685"/>
    </cacheField>
    <cacheField name="Participant Costs" numFmtId="170">
      <sharedItems containsString="0" containsBlank="1" containsNumber="1" minValue="-380272.4875000004" maxValue="12532671.329389796"/>
    </cacheField>
    <cacheField name="Participant Costs (2016$)" numFmtId="170">
      <sharedItems containsSemiMixedTypes="0" containsString="0" containsNumber="1" minValue="-370852.82572654611" maxValue="12222226.76944587"/>
    </cacheField>
    <cacheField name="Benefit Burden" numFmtId="170">
      <sharedItems containsNonDate="0" containsString="0" containsBlank="1"/>
    </cacheField>
    <cacheField name="Benefit Burden (2016$)" numFmtId="170">
      <sharedItems containsString="0" containsBlank="1" containsNumber="1" containsInteger="1" minValue="0" maxValue="0"/>
    </cacheField>
    <cacheField name="Total Resource Costs" numFmtId="170">
      <sharedItems containsString="0" containsBlank="1" containsNumber="1" minValue="0" maxValue="39936762.496305518"/>
    </cacheField>
    <cacheField name="Total Resource Costs (2016$)" numFmtId="170">
      <sharedItems containsString="0" containsBlank="1" containsNumber="1" minValue="0" maxValue="39936762.496305518"/>
    </cacheField>
    <cacheField name="Participants" numFmtId="171">
      <sharedItems containsString="0" containsBlank="1" containsNumber="1" containsInteger="1" minValue="59" maxValue="427170"/>
    </cacheField>
    <cacheField name="Net Winter Capacity (kW)" numFmtId="43">
      <sharedItems containsString="0" containsBlank="1" containsNumber="1" minValue="-1.845928484695089" maxValue="1565.5233296000001"/>
    </cacheField>
    <cacheField name="Net Summer Capacity (kW)" numFmtId="43">
      <sharedItems containsString="0" containsBlank="1" containsNumber="1" minValue="0" maxValue="2991.9120000000003"/>
    </cacheField>
    <cacheField name="Net Annual Energy (MWh)" numFmtId="43">
      <sharedItems containsString="0" containsBlank="1" containsNumber="1" minValue="0" maxValue="7419.9227319999991"/>
    </cacheField>
    <cacheField name="Adj Gross Annual Energy (MWh)" numFmtId="43">
      <sharedItems containsString="0" containsBlank="1" containsNumber="1" minValue="0" maxValue="7258.7952759999998"/>
    </cacheField>
    <cacheField name="Net Lifetime Energy (MWh)" numFmtId="43">
      <sharedItems containsString="0" containsBlank="1" containsNumber="1" minValue="0" maxValue="81509.780020000006"/>
    </cacheField>
    <cacheField name="Adj Gross Lifetime Energy (MWh)" numFmtId="43">
      <sharedItems containsNonDate="0" containsString="0" containsBlank="1"/>
    </cacheField>
    <cacheField name="Net Annual Natural Gas (MMBTU)" numFmtId="43">
      <sharedItems containsString="0" containsBlank="1" containsNumber="1" minValue="0" maxValue="444648.54"/>
    </cacheField>
    <cacheField name="Adj Gross Annual Natural Gas (MMBTU)" numFmtId="43">
      <sharedItems containsString="0" containsBlank="1" containsNumber="1" minValue="0" maxValue="444648.54"/>
    </cacheField>
    <cacheField name="Net Annual Natural Gas (Therms)" numFmtId="43">
      <sharedItems containsString="0" containsBlank="1" containsNumber="1" minValue="0" maxValue="4446485.3999999994"/>
    </cacheField>
    <cacheField name="Adj Gross Annual Natural Gas (Therms)" numFmtId="43">
      <sharedItems containsString="0" containsBlank="1" containsNumber="1" minValue="0" maxValue="4446485.3999999994"/>
    </cacheField>
    <cacheField name="Net Lifetime Natural Gas, Therms" numFmtId="43">
      <sharedItems containsString="0" containsBlank="1" containsNumber="1" minValue="0" maxValue="39456157.453950003"/>
    </cacheField>
    <cacheField name="Adj Gross Lifetime Natural Gas (Therms)" numFmtId="43">
      <sharedItems containsString="0" containsBlank="1" containsNumber="1" minValue="0" maxValue="40822482"/>
    </cacheField>
    <cacheField name="Net Annual Oil (MMBTU)" numFmtId="43">
      <sharedItems containsString="0" containsBlank="1" containsNumber="1" containsInteger="1" minValue="0" maxValue="0"/>
    </cacheField>
    <cacheField name="Adj Gross Annual Oil (MMBTU)" numFmtId="43">
      <sharedItems containsString="0" containsBlank="1" containsNumber="1" containsInteger="1" minValue="0" maxValue="0"/>
    </cacheField>
    <cacheField name="Net Lifetime Oil, MMBTU" numFmtId="43">
      <sharedItems containsString="0" containsBlank="1" containsNumber="1" containsInteger="1" minValue="0" maxValue="0"/>
    </cacheField>
    <cacheField name="Adj Gross Lifetime Oil (MMBTU)" numFmtId="43">
      <sharedItems containsString="0" containsBlank="1" containsNumber="1" containsInteger="1" minValue="0" maxValue="0"/>
    </cacheField>
    <cacheField name="Net Annual Propane (MMBTU)" numFmtId="43">
      <sharedItems containsString="0" containsBlank="1" containsNumber="1" containsInteger="1" minValue="0" maxValue="0"/>
    </cacheField>
    <cacheField name="Net Lifetime Propane (MMBTU)" numFmtId="43">
      <sharedItems containsString="0" containsBlank="1" containsNumber="1" containsInteger="1" minValue="0" maxValue="0"/>
    </cacheField>
    <cacheField name="Net Annual Water (Gallons)" numFmtId="43">
      <sharedItems containsString="0" containsBlank="1" containsNumber="1" minValue="0" maxValue="71422822.440000013"/>
    </cacheField>
    <cacheField name="Net Lifetime Water (Gallons)" numFmtId="43">
      <sharedItems containsString="0" containsBlank="1" containsNumber="1" minValue="0" maxValue="354153230.64000005"/>
    </cacheField>
    <cacheField name="Electric Energy Benefits" numFmtId="0">
      <sharedItems containsString="0" containsBlank="1" containsNumber="1" minValue="0" maxValue="6645150.4031853592"/>
    </cacheField>
    <cacheField name="Electric DRIPE Energy Benefits" numFmtId="170">
      <sharedItems containsString="0" containsBlank="1" containsNumber="1" minValue="0" maxValue="603346.67404358834"/>
    </cacheField>
    <cacheField name="Total Energy Benefits" numFmtId="170">
      <sharedItems containsString="0" containsBlank="1" containsNumber="1" minValue="0" maxValue="7248497.0772289475"/>
    </cacheField>
    <cacheField name="Summer Capacity Benefits" numFmtId="0">
      <sharedItems containsString="0" containsBlank="1" containsNumber="1" minValue="0" maxValue="7755558.1582714543"/>
    </cacheField>
    <cacheField name="Transmission Capacity Benefits" numFmtId="0">
      <sharedItems containsString="0" containsBlank="1" containsNumber="1" minValue="0" maxValue="518710.52222182951"/>
    </cacheField>
    <cacheField name="Distribution Capacity Benefits" numFmtId="0">
      <sharedItems containsString="0" containsBlank="1" containsNumber="1" minValue="0" maxValue="4071285.9144350258"/>
    </cacheField>
    <cacheField name="DRIPE Capacity Benefits" numFmtId="0">
      <sharedItems containsString="0" containsBlank="1" containsNumber="1" containsInteger="1" minValue="0" maxValue="0"/>
    </cacheField>
    <cacheField name="Total Capacity Benefits" numFmtId="170">
      <sharedItems containsString="0" containsBlank="1" containsNumber="1" minValue="0" maxValue="12345554.594928309"/>
    </cacheField>
    <cacheField name="Natural Gas Benefits" numFmtId="170">
      <sharedItems containsString="0" containsBlank="1" containsNumber="1" minValue="0" maxValue="34292854.668881446"/>
    </cacheField>
    <cacheField name="Natural Gas DRIPE Benefits" numFmtId="170">
      <sharedItems containsString="0" containsBlank="1" containsNumber="1" minValue="0" maxValue="2375428.0023865663"/>
    </cacheField>
    <cacheField name="Total Gas Benefits" numFmtId="170">
      <sharedItems containsString="0" containsBlank="1" containsNumber="1" minValue="0" maxValue="36526504.997204356"/>
    </cacheField>
    <cacheField name="Oil Benefits" numFmtId="0">
      <sharedItems containsString="0" containsBlank="1" containsNumber="1" containsInteger="1" minValue="0" maxValue="0"/>
    </cacheField>
    <cacheField name="Propane Benefits" numFmtId="0">
      <sharedItems containsString="0" containsBlank="1" containsNumber="1" containsInteger="1" minValue="0" maxValue="0"/>
    </cacheField>
    <cacheField name="Water Benefits" numFmtId="170">
      <sharedItems containsString="0" containsBlank="1" containsNumber="1" minValue="0" maxValue="3754150.0405626106"/>
    </cacheField>
    <cacheField name="Total Other Resource Benefits" numFmtId="170">
      <sharedItems containsString="0" containsBlank="1" containsNumber="1" minValue="0" maxValue="3754150.0405626106"/>
    </cacheField>
    <cacheField name="Total Resource Benefits" numFmtId="170">
      <sharedItems containsString="0" containsBlank="1" containsNumber="1" minValue="0" maxValue="55689850.824812099"/>
    </cacheField>
    <cacheField name="Total Non Energy Impacts" numFmtId="0">
      <sharedItems containsString="0" containsBlank="1" containsNumber="1" minValue="-47679.268591360713" maxValue="15868461.661136344"/>
    </cacheField>
    <cacheField name="Total Benefits " numFmtId="170">
      <sharedItems containsString="0" containsBlank="1" containsNumber="1" minValue="0" maxValue="71461949.939296052"/>
    </cacheField>
    <cacheField name="B/C Ratio" numFmtId="0" formula="'Total Benefits '/'Total Resource Costs (2016$)'" databaseField="0"/>
    <cacheField name="Net Benefits" numFmtId="0" formula="'Total Benefits '-'Total Resource Costs (2016$)'" databaseField="0"/>
    <cacheField name="PPA % of Total Costs" numFmtId="0" formula="'Program Planning and Administration'/'Total Program Costs'" databaseField="0"/>
    <cacheField name="PA Budget (2016$)" numFmtId="0" formula="'Total Program Costs (2016$)'+'Performance Incentive (2016$)'" databaseField="0"/>
    <cacheField name="Avg Measure Life" numFmtId="0" formula="ROUND(#NAME?/#NAME?,0)" databaseField="0"/>
    <cacheField name="Summer Cost (TRC Cost 2016/kW)" numFmtId="0" formula="'Total Resource Costs (2016$)'/#NAME?" databaseField="0"/>
    <cacheField name="Energy Cost (TRC Cost 2016/Annual MWh)" numFmtId="0" formula="'Total Resource Costs (2016$)'/#NAME?" databaseField="0"/>
    <cacheField name="TRC cost/sum kW" numFmtId="0" formula="'Total Program Costs (2016$)'/'Net Summer Capacity (kW)'" databaseField="0"/>
    <cacheField name="TRC cost/annual MWH" numFmtId="0" formula="'Total Program Costs (2016$)'/'Net Annual Energy (MWh)'" databaseField="0"/>
    <cacheField name="TRC cost/therms" numFmtId="0" formula="'Total Program Costs (2016$)'/'Net Annual Natural Gas (Therms)'" databaseField="0"/>
    <cacheField name="PA Budget" numFmtId="0" formula="'Total Program Costs (2016$)'+'Performance Incentive (2016$)'" databaseField="0"/>
    <cacheField name="budget/sum kW" numFmtId="0" formula="'Total Program Costs (2016$)'/'Net Summer Capacity (kW)'"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9">
  <r>
    <x v="0"/>
    <x v="0"/>
    <x v="0"/>
    <x v="0"/>
    <x v="0"/>
    <s v="Energy Star Homes"/>
    <n v="1600"/>
    <n v="25"/>
    <n v="8748968.0586561132"/>
    <n v="4000000"/>
    <n v="4748968.0586561132"/>
    <n v="339.53724762213233"/>
    <n v="339.53724762213233"/>
    <n v="8488.4311905533086"/>
    <n v="407.44469714655878"/>
    <n v="10186.117428663969"/>
    <n v="3851.4837668886771"/>
    <n v="6267.180188098886"/>
    <n v="17.725918712568927"/>
    <n v="49.727554963842842"/>
    <n v="217.49964499733855"/>
    <n v="181.24970416444879"/>
    <n v="217.49964499733855"/>
    <n v="0"/>
    <n v="0"/>
    <n v="38096"/>
    <n v="952400"/>
    <n v="45715.199999999997"/>
    <n v="1142880"/>
    <n v="0"/>
    <n v="0"/>
    <n v="0"/>
    <n v="0"/>
    <n v="0"/>
    <n v="0"/>
    <n v="0"/>
    <n v="0"/>
    <n v="0"/>
    <n v="0"/>
    <n v="0"/>
    <n v="0"/>
    <n v="382375.51427181863"/>
    <n v="556776.09389839449"/>
    <n v="1879.3997128806127"/>
    <n v="3909.2003517897338"/>
    <n v="944940.2082348835"/>
    <n v="5026.1341573877344"/>
    <n v="3934.7425163235553"/>
    <n v="27.314555563450746"/>
    <n v="25.140909614921696"/>
    <n v="157.72330238640592"/>
    <n v="31750.791425840536"/>
    <n v="40921.846867116605"/>
    <n v="985862.05510200013"/>
    <n v="0"/>
    <n v="0"/>
    <n v="0"/>
    <n v="0"/>
    <n v="0"/>
    <n v="0"/>
    <n v="985862.05510200013"/>
    <n v="0"/>
    <n v="0"/>
    <n v="10171040.175064202"/>
    <n v="0"/>
    <n v="0"/>
    <n v="0"/>
    <n v="0"/>
    <n v="10171040.175064202"/>
    <n v="151593.36609072235"/>
    <n v="0"/>
    <n v="0"/>
    <n v="389917.97250203468"/>
    <n v="0"/>
    <n v="0"/>
    <n v="0"/>
    <n v="0"/>
    <n v="541511.33859275701"/>
    <n v="10712551.513656959"/>
    <n v="0"/>
    <n v="0"/>
    <n v="0"/>
    <n v="0"/>
    <n v="0"/>
    <n v="0"/>
    <n v="10712551.513656959"/>
    <n v="8591853.586553406"/>
    <n v="0"/>
    <n v="0"/>
    <n v="0"/>
    <n v="0"/>
    <n v="0"/>
    <n v="8591853.586553406"/>
    <n v="20290267.155312367"/>
    <n v="1.0720000000000001"/>
    <n v="1.04"/>
    <n v="1.0720000000000001"/>
    <n v="1.04"/>
    <n v="1.1120000000000001"/>
    <n v="1.095"/>
    <n v="1.1120000000000001"/>
    <n v="1.1120000000000001"/>
  </r>
  <r>
    <x v="0"/>
    <x v="0"/>
    <x v="0"/>
    <x v="1"/>
    <x v="1"/>
    <s v="Energy Star Homes"/>
    <n v="1600"/>
    <n v="25"/>
    <n v="0"/>
    <n v="0"/>
    <n v="0"/>
    <n v="40.973479316233188"/>
    <n v="40.973479316233188"/>
    <n v="1024.3369829058297"/>
    <n v="49.168175179479825"/>
    <n v="1229.2043794869955"/>
    <n v="11.011306922189245"/>
    <n v="50.60485880893706"/>
    <n v="661.57887886117703"/>
    <n v="506.00933489467087"/>
    <n v="109.29898810235436"/>
    <n v="0"/>
    <n v="0"/>
    <n v="91.082490085295305"/>
    <n v="109.29898810235436"/>
    <n v="0"/>
    <n v="0"/>
    <n v="0"/>
    <n v="0"/>
    <n v="0"/>
    <n v="0"/>
    <n v="0"/>
    <n v="0"/>
    <n v="0"/>
    <n v="0"/>
    <n v="0"/>
    <n v="0"/>
    <n v="0"/>
    <n v="0"/>
    <n v="0"/>
    <n v="0"/>
    <n v="1093.203139884517"/>
    <n v="4495.734090017706"/>
    <n v="70144.243305027427"/>
    <n v="39778.586970894044"/>
    <n v="115511.76750582369"/>
    <n v="14.369606413739049"/>
    <n v="31.771400137208488"/>
    <n v="1019.4525507693797"/>
    <n v="255.82466224497583"/>
    <n v="2730.1169067207838"/>
    <n v="193.34193084104839"/>
    <n v="4244.8770571271352"/>
    <n v="119756.64456295082"/>
    <n v="491115.28299374809"/>
    <n v="0"/>
    <n v="0"/>
    <n v="64243.145026451217"/>
    <n v="291004.66922842432"/>
    <n v="846363.09724862361"/>
    <n v="966119.74181157444"/>
    <n v="0"/>
    <n v="0"/>
    <n v="0"/>
    <n v="0"/>
    <n v="0"/>
    <n v="0"/>
    <n v="0"/>
    <n v="0"/>
    <n v="0"/>
    <n v="0"/>
    <n v="0"/>
    <n v="0"/>
    <n v="0"/>
    <n v="0"/>
    <n v="0"/>
    <n v="0"/>
    <n v="0"/>
    <n v="0"/>
    <n v="0"/>
    <n v="0"/>
    <n v="0"/>
    <n v="0"/>
    <n v="0"/>
    <n v="0"/>
    <n v="0"/>
    <n v="0"/>
    <n v="0"/>
    <n v="0"/>
    <n v="0"/>
    <n v="0"/>
    <n v="0"/>
    <n v="0"/>
    <n v="966119.74181157444"/>
    <n v="1.0720000000000001"/>
    <n v="1.04"/>
    <n v="1.0720000000000001"/>
    <n v="1.04"/>
    <n v="1.1120000000000001"/>
    <n v="1.095"/>
    <n v="1.1120000000000001"/>
    <n v="1.1120000000000001"/>
  </r>
  <r>
    <x v="0"/>
    <x v="0"/>
    <x v="0"/>
    <x v="2"/>
    <x v="2"/>
    <s v="Hot Water"/>
    <n v="1600"/>
    <n v="15"/>
    <n v="0"/>
    <n v="0"/>
    <n v="0"/>
    <n v="77.206634683931696"/>
    <n v="77.206634683931696"/>
    <n v="1158.0995202589754"/>
    <n v="92.647961620718036"/>
    <n v="1389.7194243107706"/>
    <n v="498.07567359164261"/>
    <n v="427.44428479778486"/>
    <n v="239.84308753133348"/>
    <n v="224.3563783900112"/>
    <n v="13.610616927229334"/>
    <n v="10.661649926329645"/>
    <n v="12.793979911595573"/>
    <n v="11.342180772691112"/>
    <n v="13.610616927229334"/>
    <n v="3024"/>
    <n v="45360"/>
    <n v="3628.7999999999997"/>
    <n v="54431.999999999993"/>
    <n v="0"/>
    <n v="0"/>
    <n v="0"/>
    <n v="0"/>
    <n v="0"/>
    <n v="0"/>
    <n v="0"/>
    <n v="0"/>
    <n v="0"/>
    <n v="0"/>
    <n v="0"/>
    <n v="0"/>
    <n v="41836.727376820381"/>
    <n v="32125.035366299919"/>
    <n v="19613.583719377275"/>
    <n v="14367.816493285241"/>
    <n v="107943.16295578281"/>
    <n v="1083.3033481471145"/>
    <n v="447.27271018077749"/>
    <n v="615.97252466985162"/>
    <n v="189.04754901434748"/>
    <n v="1458.7325467325161"/>
    <n v="4087.791039626798"/>
    <n v="7882.1197183714057"/>
    <n v="115825.28267415422"/>
    <n v="35281.094881494173"/>
    <n v="0"/>
    <n v="0"/>
    <n v="4904.9404010465496"/>
    <n v="22218.099042380178"/>
    <n v="62404.134324920902"/>
    <n v="178229.41699907513"/>
    <n v="0"/>
    <n v="436170.45358171401"/>
    <n v="0"/>
    <n v="0"/>
    <n v="0"/>
    <n v="0"/>
    <n v="0"/>
    <n v="436170.45358171401"/>
    <n v="7377.8169637480341"/>
    <n v="0"/>
    <n v="29969.259929714099"/>
    <n v="0"/>
    <n v="0"/>
    <n v="0"/>
    <n v="0"/>
    <n v="0"/>
    <n v="37347.07689346213"/>
    <n v="473517.53047517617"/>
    <n v="0"/>
    <n v="0"/>
    <n v="0"/>
    <n v="0"/>
    <n v="0"/>
    <n v="0"/>
    <n v="473517.53047517617"/>
    <n v="0"/>
    <n v="0"/>
    <n v="0"/>
    <n v="0"/>
    <n v="0"/>
    <n v="0"/>
    <n v="0"/>
    <n v="651746.94747425127"/>
    <n v="1.0720000000000001"/>
    <n v="1.04"/>
    <n v="1.0720000000000001"/>
    <n v="1.04"/>
    <n v="1.1120000000000001"/>
    <n v="1.095"/>
    <n v="1.1120000000000001"/>
    <n v="1.1120000000000001"/>
  </r>
  <r>
    <x v="0"/>
    <x v="0"/>
    <x v="0"/>
    <x v="3"/>
    <x v="3"/>
    <s v="Lighting"/>
    <n v="500"/>
    <n v="4"/>
    <n v="0"/>
    <n v="0"/>
    <n v="0"/>
    <n v="20.674168029910998"/>
    <n v="20.467426349611888"/>
    <n v="81.86970539844755"/>
    <n v="11.05241022879042"/>
    <n v="44.209640915161678"/>
    <n v="19.010145593519521"/>
    <n v="10.610313819638803"/>
    <n v="9.2840245921839522"/>
    <n v="5.3051569098194014"/>
    <n v="11.215028136773638"/>
    <n v="3.3229712997847813"/>
    <n v="1.7944045018837822"/>
    <n v="2.6999141810751346"/>
    <n v="1.4579536577805727"/>
    <n v="0"/>
    <n v="0"/>
    <n v="0"/>
    <n v="0"/>
    <n v="0"/>
    <n v="0"/>
    <n v="0"/>
    <n v="0"/>
    <n v="0"/>
    <n v="0"/>
    <n v="0"/>
    <n v="0"/>
    <n v="0"/>
    <n v="0"/>
    <n v="0"/>
    <n v="0"/>
    <n v="1415.069737950098"/>
    <n v="706.2620476707325"/>
    <n v="607.64497065430851"/>
    <n v="273.75862615269654"/>
    <n v="3002.7353824278357"/>
    <n v="155.04989097631591"/>
    <n v="41.63440698672138"/>
    <n v="89.413209580161009"/>
    <n v="16.763400902644115"/>
    <n v="124.12909332213323"/>
    <n v="386.25460025626859"/>
    <n v="813.24460202424416"/>
    <n v="3815.9799844520799"/>
    <n v="649.18040778576312"/>
    <n v="0"/>
    <n v="0"/>
    <n v="143.51006220460491"/>
    <n v="650.06310269534094"/>
    <n v="1442.7535726857091"/>
    <n v="5258.7335571377889"/>
    <n v="0"/>
    <n v="0"/>
    <n v="0"/>
    <n v="0"/>
    <n v="0"/>
    <n v="0"/>
    <n v="0"/>
    <n v="0"/>
    <n v="0"/>
    <n v="0"/>
    <n v="0"/>
    <n v="0"/>
    <n v="0"/>
    <n v="0"/>
    <n v="0"/>
    <n v="0"/>
    <n v="0"/>
    <n v="0"/>
    <n v="0"/>
    <n v="0"/>
    <n v="0"/>
    <n v="0"/>
    <n v="0"/>
    <n v="0"/>
    <n v="0"/>
    <n v="0"/>
    <n v="803.66224365961091"/>
    <n v="0"/>
    <n v="0"/>
    <n v="0"/>
    <n v="0"/>
    <n v="803.66224365961091"/>
    <n v="6062.3958007973997"/>
    <n v="1.0720000000000001"/>
    <n v="1.04"/>
    <n v="1.0720000000000001"/>
    <n v="1.04"/>
    <n v="1.1120000000000001"/>
    <n v="1.095"/>
    <n v="1.1120000000000001"/>
    <n v="1.1120000000000001"/>
  </r>
  <r>
    <x v="0"/>
    <x v="0"/>
    <x v="0"/>
    <x v="4"/>
    <x v="4"/>
    <s v="Lighting"/>
    <n v="9500"/>
    <n v="9"/>
    <n v="0"/>
    <n v="0"/>
    <n v="0"/>
    <n v="290.62550025505834"/>
    <n v="290.62550025505834"/>
    <n v="2615.6295022955251"/>
    <n v="232.50040020404668"/>
    <n v="2092.5036018364203"/>
    <n v="899.77654878966075"/>
    <n v="502.20086444074087"/>
    <n v="439.42575638564824"/>
    <n v="251.10043222037044"/>
    <n v="235.92125845159481"/>
    <n v="47.184251690318959"/>
    <n v="37.747401352255167"/>
    <n v="38.33720449838416"/>
    <n v="30.66976359870733"/>
    <n v="0"/>
    <n v="0"/>
    <n v="0"/>
    <n v="0"/>
    <n v="0"/>
    <n v="0"/>
    <n v="0"/>
    <n v="0"/>
    <n v="0"/>
    <n v="0"/>
    <n v="0"/>
    <n v="0"/>
    <n v="0"/>
    <n v="0"/>
    <n v="0"/>
    <n v="0"/>
    <n v="69424.771698237339"/>
    <n v="34623.487737486277"/>
    <n v="31380.649364454952"/>
    <n v="14229.40264458449"/>
    <n v="149658.31144476307"/>
    <n v="3261.6561417239841"/>
    <n v="875.82853751260575"/>
    <n v="1880.9116365192003"/>
    <n v="352.63778107810765"/>
    <n v="3075.7639839571257"/>
    <n v="9138.2784078564837"/>
    <n v="18585.076488647508"/>
    <n v="168243.38793341059"/>
    <n v="43129.638758562382"/>
    <n v="0"/>
    <n v="0"/>
    <n v="6718.7346707149563"/>
    <n v="30434.11339342015"/>
    <n v="80282.48682269748"/>
    <n v="248525.87475610807"/>
    <n v="0"/>
    <n v="0"/>
    <n v="0"/>
    <n v="0"/>
    <n v="0"/>
    <n v="0"/>
    <n v="0"/>
    <n v="0"/>
    <n v="0"/>
    <n v="0"/>
    <n v="0"/>
    <n v="0"/>
    <n v="0"/>
    <n v="0"/>
    <n v="0"/>
    <n v="0"/>
    <n v="0"/>
    <n v="0"/>
    <n v="0"/>
    <n v="0"/>
    <n v="0"/>
    <n v="0"/>
    <n v="0"/>
    <n v="0"/>
    <n v="0"/>
    <n v="0"/>
    <n v="22850.104945054409"/>
    <n v="0"/>
    <n v="0"/>
    <n v="0"/>
    <n v="0"/>
    <n v="22850.104945054409"/>
    <n v="271375.97970116249"/>
    <n v="1.0720000000000001"/>
    <n v="1.04"/>
    <n v="1.0720000000000001"/>
    <n v="1.04"/>
    <n v="1.1120000000000001"/>
    <n v="1.095"/>
    <n v="1.1120000000000001"/>
    <n v="1.1120000000000001"/>
  </r>
  <r>
    <x v="0"/>
    <x v="0"/>
    <x v="0"/>
    <x v="5"/>
    <x v="5"/>
    <s v="Energy Star Homes"/>
    <n v="1100"/>
    <n v="25"/>
    <n v="820115.99999999988"/>
    <n v="605000"/>
    <n v="215115.99999999988"/>
    <n v="0"/>
    <n v="0"/>
    <n v="0"/>
    <n v="0"/>
    <n v="0"/>
    <n v="0"/>
    <n v="0"/>
    <n v="0"/>
    <n v="0"/>
    <s v=""/>
    <s v=""/>
    <s v=""/>
    <s v=""/>
    <s v=""/>
    <n v="17039"/>
    <n v="425975"/>
    <n v="17039"/>
    <n v="425975"/>
    <n v="0"/>
    <n v="0"/>
    <n v="0"/>
    <n v="0"/>
    <n v="0"/>
    <n v="0"/>
    <n v="0"/>
    <n v="0"/>
    <n v="0"/>
    <n v="0"/>
    <n v="0"/>
    <n v="0"/>
    <n v="0"/>
    <n v="0"/>
    <n v="0"/>
    <n v="0"/>
    <n v="0"/>
    <n v="0"/>
    <n v="0"/>
    <n v="0"/>
    <n v="0"/>
    <n v="0"/>
    <n v="0"/>
    <n v="0"/>
    <n v="0"/>
    <s v=""/>
    <s v=""/>
    <s v=""/>
    <s v=""/>
    <s v=""/>
    <n v="0"/>
    <n v="0"/>
    <n v="0"/>
    <n v="0"/>
    <n v="3790956.9146130602"/>
    <n v="0"/>
    <n v="0"/>
    <n v="0"/>
    <n v="0"/>
    <n v="3790956.9146130602"/>
    <n v="56501.981065812208"/>
    <n v="0"/>
    <n v="0"/>
    <n v="145330.48818472124"/>
    <n v="0"/>
    <n v="0"/>
    <n v="0"/>
    <n v="0"/>
    <n v="201832.46925053344"/>
    <n v="3992789.3838635935"/>
    <n v="0"/>
    <n v="0"/>
    <n v="0"/>
    <n v="0"/>
    <n v="0"/>
    <n v="0"/>
    <n v="3992789.3838635935"/>
    <n v="49721.37492218407"/>
    <n v="0"/>
    <n v="0"/>
    <n v="0"/>
    <n v="0"/>
    <n v="0"/>
    <n v="49721.37492218407"/>
    <n v="4042510.7587857777"/>
    <n v="1.0720000000000001"/>
    <n v="1.04"/>
    <n v="1.0720000000000001"/>
    <n v="1.04"/>
    <n v="1.1120000000000001"/>
    <n v="1.095"/>
    <n v="1.1120000000000001"/>
    <n v="1.1120000000000001"/>
  </r>
  <r>
    <x v="0"/>
    <x v="0"/>
    <x v="0"/>
    <x v="6"/>
    <x v="6"/>
    <s v="Energy Star Homes"/>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0"/>
    <x v="7"/>
    <x v="7"/>
    <s v="Hot Water"/>
    <n v="1100"/>
    <n v="15"/>
    <n v="0"/>
    <n v="0"/>
    <n v="0"/>
    <n v="0"/>
    <n v="0"/>
    <n v="0"/>
    <n v="0"/>
    <n v="0"/>
    <n v="0"/>
    <n v="0"/>
    <n v="0"/>
    <n v="0"/>
    <s v=""/>
    <s v=""/>
    <s v=""/>
    <s v=""/>
    <s v=""/>
    <n v="132"/>
    <n v="1980"/>
    <n v="132"/>
    <n v="1980"/>
    <n v="0"/>
    <n v="0"/>
    <n v="0"/>
    <n v="0"/>
    <n v="0"/>
    <n v="0"/>
    <n v="0"/>
    <n v="0"/>
    <n v="0"/>
    <n v="0"/>
    <n v="0"/>
    <n v="0"/>
    <n v="0"/>
    <n v="0"/>
    <n v="0"/>
    <n v="0"/>
    <n v="0"/>
    <n v="0"/>
    <n v="0"/>
    <n v="0"/>
    <n v="0"/>
    <n v="0"/>
    <n v="0"/>
    <n v="0"/>
    <n v="0"/>
    <s v=""/>
    <s v=""/>
    <s v=""/>
    <s v=""/>
    <s v=""/>
    <n v="0"/>
    <n v="0"/>
    <n v="0"/>
    <n v="0"/>
    <n v="0"/>
    <n v="13373.637084913567"/>
    <n v="0"/>
    <n v="0"/>
    <n v="0"/>
    <n v="13373.637084913567"/>
    <n v="268.37297156490871"/>
    <n v="1300.7188770044288"/>
    <n v="0"/>
    <n v="0"/>
    <n v="0"/>
    <n v="0"/>
    <n v="0"/>
    <n v="0"/>
    <n v="1569.0918485693376"/>
    <n v="14942.728933482906"/>
    <n v="0"/>
    <n v="0"/>
    <n v="0"/>
    <n v="0"/>
    <n v="0"/>
    <n v="0"/>
    <n v="14942.728933482906"/>
    <n v="0"/>
    <n v="0"/>
    <n v="0"/>
    <n v="0"/>
    <n v="0"/>
    <n v="0"/>
    <n v="0"/>
    <n v="14942.728933482906"/>
    <n v="1.0720000000000001"/>
    <n v="1.04"/>
    <n v="1.0720000000000001"/>
    <n v="1.04"/>
    <n v="1.1120000000000001"/>
    <n v="1.095"/>
    <n v="1.1120000000000001"/>
    <n v="1.1120000000000001"/>
  </r>
  <r>
    <x v="0"/>
    <x v="0"/>
    <x v="0"/>
    <x v="8"/>
    <x v="8"/>
    <s v="Lighting"/>
    <s v=""/>
    <n v="9"/>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0"/>
    <x v="9"/>
    <x v="9"/>
    <s v="Energy Star Homes"/>
    <n v="1"/>
    <n v="20"/>
    <n v="0"/>
    <n v="0"/>
    <n v="0"/>
    <n v="0"/>
    <n v="0"/>
    <n v="0"/>
    <n v="0"/>
    <n v="0"/>
    <n v="0"/>
    <n v="0"/>
    <n v="0"/>
    <n v="0"/>
    <s v=""/>
    <s v=""/>
    <s v=""/>
    <s v=""/>
    <s v=""/>
    <n v="7437.7852063074342"/>
    <n v="148755.70412614869"/>
    <n v="7437.7852063074342"/>
    <n v="148755.70412614869"/>
    <n v="0"/>
    <n v="0"/>
    <n v="0"/>
    <n v="0"/>
    <n v="0"/>
    <n v="0"/>
    <n v="0"/>
    <n v="0"/>
    <n v="0"/>
    <n v="0"/>
    <n v="0"/>
    <n v="0"/>
    <n v="0"/>
    <n v="0"/>
    <n v="0"/>
    <n v="0"/>
    <n v="0"/>
    <n v="0"/>
    <n v="0"/>
    <n v="0"/>
    <n v="0"/>
    <n v="0"/>
    <n v="0"/>
    <n v="0"/>
    <n v="0"/>
    <s v=""/>
    <s v=""/>
    <s v=""/>
    <s v=""/>
    <s v=""/>
    <n v="0"/>
    <n v="0"/>
    <n v="1262932.567393333"/>
    <n v="0"/>
    <n v="0"/>
    <n v="0"/>
    <n v="0"/>
    <n v="0"/>
    <n v="0"/>
    <n v="1262932.567393333"/>
    <n v="19945.341916820686"/>
    <n v="0"/>
    <n v="0"/>
    <n v="0"/>
    <n v="64551.351039481146"/>
    <n v="0"/>
    <n v="0"/>
    <n v="0"/>
    <n v="84496.692956301835"/>
    <n v="1347429.2603496348"/>
    <n v="0"/>
    <n v="0"/>
    <n v="0"/>
    <n v="0"/>
    <n v="0"/>
    <n v="0"/>
    <n v="1347429.2603496348"/>
    <n v="0"/>
    <n v="0"/>
    <n v="0"/>
    <n v="0"/>
    <n v="0"/>
    <n v="0"/>
    <n v="0"/>
    <n v="1347429.2603496348"/>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0"/>
    <x v="0"/>
    <x v="2"/>
    <x v="11"/>
    <x v="11"/>
    <s v="Envelope"/>
    <n v="2708.3644363636363"/>
    <n v="15"/>
    <n v="1206576.3564000002"/>
    <n v="1489600.44"/>
    <n v="-283024.08359999978"/>
    <n v="0"/>
    <n v="0"/>
    <n v="0"/>
    <n v="0"/>
    <n v="0"/>
    <n v="0"/>
    <n v="0"/>
    <n v="0"/>
    <n v="0"/>
    <s v=""/>
    <s v=""/>
    <s v=""/>
    <s v=""/>
    <s v=""/>
    <n v="18443.961811636364"/>
    <n v="276659.42717454548"/>
    <n v="14939.609067425456"/>
    <n v="224094.13601138184"/>
    <n v="0"/>
    <n v="0"/>
    <n v="0"/>
    <n v="0"/>
    <n v="0"/>
    <n v="0"/>
    <n v="0"/>
    <n v="0"/>
    <n v="0"/>
    <n v="0"/>
    <n v="0"/>
    <n v="0"/>
    <n v="0"/>
    <n v="0"/>
    <n v="0"/>
    <n v="0"/>
    <n v="0"/>
    <n v="0"/>
    <n v="0"/>
    <n v="0"/>
    <n v="0"/>
    <n v="0"/>
    <n v="0"/>
    <n v="0"/>
    <n v="0"/>
    <s v=""/>
    <s v=""/>
    <s v=""/>
    <s v=""/>
    <s v=""/>
    <n v="0"/>
    <n v="0"/>
    <n v="0"/>
    <n v="0"/>
    <n v="1889723.6036337977"/>
    <n v="0"/>
    <n v="0"/>
    <n v="0"/>
    <n v="0"/>
    <n v="1889723.6036337977"/>
    <n v="30374.146056386544"/>
    <n v="0"/>
    <n v="0"/>
    <n v="115665.34744167892"/>
    <n v="0"/>
    <n v="0"/>
    <n v="0"/>
    <n v="0"/>
    <n v="146039.49349806548"/>
    <n v="2035763.0971318632"/>
    <n v="0"/>
    <n v="0"/>
    <n v="0"/>
    <n v="0"/>
    <n v="0"/>
    <n v="0"/>
    <n v="2035763.0971318632"/>
    <n v="613999.83863223391"/>
    <n v="298635.32206221641"/>
    <n v="0"/>
    <n v="0"/>
    <n v="0"/>
    <n v="0"/>
    <n v="912635.16069445037"/>
    <n v="2948398.2578263134"/>
    <n v="1.0720000000000001"/>
    <n v="1.04"/>
    <n v="1.0720000000000001"/>
    <n v="1.04"/>
    <n v="1.1120000000000001"/>
    <n v="1.095"/>
    <n v="1.1120000000000001"/>
    <n v="1.1120000000000001"/>
  </r>
  <r>
    <x v="0"/>
    <x v="0"/>
    <x v="2"/>
    <x v="12"/>
    <x v="12"/>
    <s v="Envelope"/>
    <n v="1203.8337000000001"/>
    <n v="25"/>
    <n v="1040112.3168000003"/>
    <n v="963066.96000000008"/>
    <n v="77045.356800000183"/>
    <n v="0"/>
    <n v="0"/>
    <n v="0"/>
    <n v="0"/>
    <n v="0"/>
    <n v="0"/>
    <n v="0"/>
    <n v="0"/>
    <n v="0"/>
    <s v=""/>
    <s v=""/>
    <s v=""/>
    <s v=""/>
    <s v=""/>
    <n v="1919.1516845400001"/>
    <n v="47978.792113500007"/>
    <n v="1554.5128644774002"/>
    <n v="38862.821611935004"/>
    <n v="0"/>
    <n v="0"/>
    <n v="0"/>
    <n v="0"/>
    <n v="0"/>
    <n v="0"/>
    <n v="0"/>
    <n v="0"/>
    <n v="0"/>
    <n v="0"/>
    <n v="0"/>
    <n v="0"/>
    <n v="0"/>
    <n v="0"/>
    <n v="0"/>
    <n v="0"/>
    <n v="0"/>
    <n v="0"/>
    <n v="0"/>
    <n v="0"/>
    <n v="0"/>
    <n v="0"/>
    <n v="0"/>
    <n v="0"/>
    <n v="0"/>
    <s v=""/>
    <s v=""/>
    <s v=""/>
    <s v=""/>
    <s v=""/>
    <n v="0"/>
    <n v="0"/>
    <n v="0"/>
    <n v="0"/>
    <n v="345858.98776017106"/>
    <n v="0"/>
    <n v="0"/>
    <n v="0"/>
    <n v="0"/>
    <n v="345858.98776017106"/>
    <n v="5154.8246044523485"/>
    <n v="0"/>
    <n v="0"/>
    <n v="13258.88335488761"/>
    <n v="0"/>
    <n v="0"/>
    <n v="0"/>
    <n v="0"/>
    <n v="18413.707959339958"/>
    <n v="364272.69571951102"/>
    <n v="0"/>
    <n v="0"/>
    <n v="0"/>
    <n v="0"/>
    <n v="0"/>
    <n v="0"/>
    <n v="364272.69571951102"/>
    <n v="1092265.7063970615"/>
    <n v="369448.67220935971"/>
    <n v="0"/>
    <n v="0"/>
    <n v="0"/>
    <n v="0"/>
    <n v="1461714.3786064212"/>
    <n v="1825987.0743259322"/>
    <n v="1.0720000000000001"/>
    <n v="1.04"/>
    <n v="1.0720000000000001"/>
    <n v="1.04"/>
    <n v="1.1120000000000001"/>
    <n v="1.095"/>
    <n v="1.1120000000000001"/>
    <n v="1.1120000000000001"/>
  </r>
  <r>
    <x v="0"/>
    <x v="0"/>
    <x v="2"/>
    <x v="13"/>
    <x v="13"/>
    <s v="Envelope"/>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4"/>
    <x v="14"/>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5"/>
    <x v="15"/>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6"/>
    <x v="16"/>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7"/>
    <x v="17"/>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8"/>
    <x v="18"/>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19"/>
    <x v="1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0"/>
    <x v="20"/>
    <s v="Hot Water"/>
    <n v="1442"/>
    <n v="7"/>
    <n v="3677.1"/>
    <n v="4599.9799999999996"/>
    <n v="-922.87999999999965"/>
    <n v="0"/>
    <n v="0"/>
    <n v="0"/>
    <n v="0"/>
    <n v="0"/>
    <n v="0"/>
    <n v="0"/>
    <n v="0"/>
    <n v="0"/>
    <s v=""/>
    <s v=""/>
    <s v=""/>
    <s v=""/>
    <s v=""/>
    <n v="744.07199999999989"/>
    <n v="5208.503999999999"/>
    <n v="632.46119999999985"/>
    <n v="4427.2283999999991"/>
    <n v="0"/>
    <n v="0"/>
    <n v="0"/>
    <n v="0"/>
    <n v="0"/>
    <n v="0"/>
    <n v="0"/>
    <n v="0"/>
    <n v="406932.4"/>
    <n v="0"/>
    <n v="0"/>
    <n v="2848526.8000000003"/>
    <n v="0"/>
    <n v="0"/>
    <n v="0"/>
    <n v="0"/>
    <n v="0"/>
    <n v="0"/>
    <n v="0"/>
    <n v="0"/>
    <n v="0"/>
    <n v="0"/>
    <n v="0"/>
    <n v="0"/>
    <n v="0"/>
    <s v=""/>
    <s v=""/>
    <s v=""/>
    <s v=""/>
    <s v=""/>
    <n v="0"/>
    <n v="0"/>
    <n v="0"/>
    <n v="34165.668144295742"/>
    <n v="0"/>
    <n v="0"/>
    <n v="0"/>
    <n v="0"/>
    <n v="0"/>
    <n v="34165.668144295742"/>
    <n v="610.61988520687169"/>
    <n v="0"/>
    <n v="4654.5122831552881"/>
    <n v="0"/>
    <n v="0"/>
    <n v="0"/>
    <n v="0"/>
    <n v="0"/>
    <n v="5265.13216836216"/>
    <n v="39430.800312657899"/>
    <n v="0"/>
    <n v="0"/>
    <n v="0"/>
    <n v="18233.530537011044"/>
    <n v="0"/>
    <n v="0"/>
    <n v="57664.330849668942"/>
    <n v="0"/>
    <n v="0"/>
    <n v="0"/>
    <n v="0"/>
    <n v="0"/>
    <n v="0"/>
    <n v="0"/>
    <n v="57664.330849668942"/>
    <n v="1.0720000000000001"/>
    <n v="1.04"/>
    <n v="1.0720000000000001"/>
    <n v="1.04"/>
    <n v="1.1120000000000001"/>
    <n v="1.095"/>
    <n v="1.1120000000000001"/>
    <n v="1.1120000000000001"/>
  </r>
  <r>
    <x v="0"/>
    <x v="0"/>
    <x v="2"/>
    <x v="21"/>
    <x v="21"/>
    <s v="Hot Water"/>
    <n v="927"/>
    <n v="7"/>
    <n v="11819.25"/>
    <n v="13905"/>
    <n v="-2085.75"/>
    <n v="0"/>
    <n v="0"/>
    <n v="0"/>
    <n v="0"/>
    <n v="0"/>
    <n v="0"/>
    <n v="0"/>
    <n v="0"/>
    <n v="0"/>
    <s v=""/>
    <s v=""/>
    <s v=""/>
    <s v=""/>
    <s v=""/>
    <n v="634.06799999999987"/>
    <n v="4438.4759999999987"/>
    <n v="538.95779999999991"/>
    <n v="3772.7045999999991"/>
    <n v="0"/>
    <n v="0"/>
    <n v="0"/>
    <n v="0"/>
    <n v="0"/>
    <n v="0"/>
    <n v="0"/>
    <n v="0"/>
    <n v="1705911.7499999998"/>
    <n v="0"/>
    <n v="0"/>
    <n v="11941382.249999998"/>
    <n v="0"/>
    <n v="0"/>
    <n v="0"/>
    <n v="0"/>
    <n v="0"/>
    <n v="0"/>
    <n v="0"/>
    <n v="0"/>
    <n v="0"/>
    <n v="0"/>
    <n v="0"/>
    <n v="0"/>
    <n v="0"/>
    <s v=""/>
    <s v=""/>
    <s v=""/>
    <s v=""/>
    <s v=""/>
    <n v="0"/>
    <n v="0"/>
    <n v="0"/>
    <n v="29114.597604690556"/>
    <n v="0"/>
    <n v="0"/>
    <n v="0"/>
    <n v="0"/>
    <n v="0"/>
    <n v="29114.597604690556"/>
    <n v="520.34551679588901"/>
    <n v="0"/>
    <n v="3966.3867130542571"/>
    <n v="0"/>
    <n v="0"/>
    <n v="0"/>
    <n v="0"/>
    <n v="0"/>
    <n v="4486.7322298501458"/>
    <n v="33601.329834540702"/>
    <n v="0"/>
    <n v="0"/>
    <n v="0"/>
    <n v="76437.250971097295"/>
    <n v="0"/>
    <n v="0"/>
    <n v="110038.58080563799"/>
    <n v="0"/>
    <n v="23.690447620336339"/>
    <n v="0"/>
    <n v="0"/>
    <n v="0"/>
    <n v="0"/>
    <n v="23.690447620336339"/>
    <n v="110062.27125325832"/>
    <n v="1.0720000000000001"/>
    <n v="1.04"/>
    <n v="1.0720000000000001"/>
    <n v="1.04"/>
    <n v="1.1120000000000001"/>
    <n v="1.095"/>
    <n v="1.1120000000000001"/>
    <n v="1.1120000000000001"/>
  </r>
  <r>
    <x v="0"/>
    <x v="0"/>
    <x v="2"/>
    <x v="22"/>
    <x v="22"/>
    <s v="Hot Water"/>
    <s v=""/>
    <n v="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3"/>
    <x v="23"/>
    <s v="Hot Water"/>
    <s v=""/>
    <n v="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4"/>
    <x v="24"/>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5"/>
    <x v="25"/>
    <s v="HVAC"/>
    <n v="1300"/>
    <n v="10"/>
    <n v="104657.74222222222"/>
    <n v="137707.55555555556"/>
    <n v="-33049.813333333339"/>
    <n v="0"/>
    <n v="0"/>
    <n v="0"/>
    <n v="0"/>
    <n v="0"/>
    <n v="0"/>
    <n v="0"/>
    <n v="0"/>
    <n v="0"/>
    <s v=""/>
    <s v=""/>
    <s v=""/>
    <s v=""/>
    <s v=""/>
    <n v="1848.6000000000001"/>
    <n v="18486"/>
    <n v="1404.9360000000001"/>
    <n v="14049.36"/>
    <n v="0"/>
    <n v="0"/>
    <n v="0"/>
    <n v="0"/>
    <n v="0"/>
    <n v="0"/>
    <n v="0"/>
    <n v="0"/>
    <n v="0"/>
    <n v="0"/>
    <n v="0"/>
    <n v="0"/>
    <n v="0"/>
    <n v="0"/>
    <n v="0"/>
    <n v="0"/>
    <n v="0"/>
    <n v="0"/>
    <n v="0"/>
    <n v="0"/>
    <n v="0"/>
    <n v="0"/>
    <n v="0"/>
    <n v="0"/>
    <n v="0"/>
    <s v=""/>
    <s v=""/>
    <s v=""/>
    <s v=""/>
    <s v=""/>
    <n v="0"/>
    <n v="0"/>
    <n v="0"/>
    <n v="0"/>
    <n v="115798.52389744464"/>
    <n v="0"/>
    <n v="0"/>
    <n v="0"/>
    <n v="0"/>
    <n v="115798.52389744464"/>
    <n v="1925.0999759612869"/>
    <n v="0"/>
    <n v="0"/>
    <n v="10304.74726431709"/>
    <n v="0"/>
    <n v="0"/>
    <n v="0"/>
    <n v="0"/>
    <n v="12229.847240278377"/>
    <n v="128028.37113772302"/>
    <n v="0"/>
    <n v="0"/>
    <n v="0"/>
    <n v="0"/>
    <n v="0"/>
    <n v="0"/>
    <n v="128028.37113772302"/>
    <n v="52681.054179023376"/>
    <n v="50983.915823570234"/>
    <n v="0"/>
    <n v="0"/>
    <n v="0"/>
    <n v="0"/>
    <n v="103664.97000259362"/>
    <n v="231693.34114031662"/>
    <n v="1.0720000000000001"/>
    <n v="1.04"/>
    <n v="1.0720000000000001"/>
    <n v="1.04"/>
    <n v="1.1120000000000001"/>
    <n v="1.095"/>
    <n v="1.1120000000000001"/>
    <n v="1.1120000000000001"/>
  </r>
  <r>
    <x v="0"/>
    <x v="0"/>
    <x v="2"/>
    <x v="26"/>
    <x v="26"/>
    <s v="HVAC"/>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7"/>
    <x v="27"/>
    <s v="HVAC"/>
    <n v="250"/>
    <n v="15"/>
    <n v="67000"/>
    <n v="25000"/>
    <n v="42000"/>
    <n v="0"/>
    <n v="0"/>
    <n v="0"/>
    <n v="0"/>
    <n v="0"/>
    <n v="0"/>
    <n v="0"/>
    <n v="0"/>
    <n v="0"/>
    <s v=""/>
    <s v=""/>
    <s v=""/>
    <s v=""/>
    <s v=""/>
    <n v="705"/>
    <n v="10575"/>
    <n v="705"/>
    <n v="10575"/>
    <n v="0"/>
    <n v="0"/>
    <n v="0"/>
    <n v="0"/>
    <n v="0"/>
    <n v="0"/>
    <n v="0"/>
    <n v="0"/>
    <n v="0"/>
    <n v="0"/>
    <n v="0"/>
    <n v="0"/>
    <n v="0"/>
    <n v="0"/>
    <n v="0"/>
    <n v="0"/>
    <n v="0"/>
    <n v="0"/>
    <n v="0"/>
    <n v="0"/>
    <n v="0"/>
    <n v="0"/>
    <n v="0"/>
    <n v="0"/>
    <n v="0"/>
    <s v=""/>
    <s v=""/>
    <s v=""/>
    <s v=""/>
    <s v=""/>
    <n v="0"/>
    <n v="0"/>
    <n v="0"/>
    <n v="0"/>
    <n v="89176.037642557625"/>
    <n v="0"/>
    <n v="0"/>
    <n v="0"/>
    <n v="0"/>
    <n v="89176.037642557625"/>
    <n v="1433.3556435853077"/>
    <n v="0"/>
    <n v="0"/>
    <n v="5458.2465697970329"/>
    <n v="0"/>
    <n v="0"/>
    <n v="0"/>
    <n v="0"/>
    <n v="6891.6022133823408"/>
    <n v="96067.639855939968"/>
    <n v="0"/>
    <n v="0"/>
    <n v="0"/>
    <n v="0"/>
    <n v="0"/>
    <n v="0"/>
    <n v="96067.639855939968"/>
    <n v="19779.058596261319"/>
    <n v="12900.788416895301"/>
    <n v="0"/>
    <n v="0"/>
    <n v="0"/>
    <n v="0"/>
    <n v="32679.847013156621"/>
    <n v="128747.48686909658"/>
    <n v="1.0720000000000001"/>
    <n v="1.04"/>
    <n v="1.0720000000000001"/>
    <n v="1.04"/>
    <n v="1.1120000000000001"/>
    <n v="1.095"/>
    <n v="1.1120000000000001"/>
    <n v="1.1120000000000001"/>
  </r>
  <r>
    <x v="0"/>
    <x v="0"/>
    <x v="2"/>
    <x v="28"/>
    <x v="28"/>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29"/>
    <x v="29"/>
    <s v="Hot Water"/>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3"/>
    <x v="30"/>
    <s v="Lighting"/>
    <s v=""/>
    <n v="4"/>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4"/>
    <x v="31"/>
    <s v="Lighting"/>
    <s v=""/>
    <n v="9"/>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2"/>
    <x v="3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3"/>
    <x v="12"/>
    <x v="32"/>
    <s v="Envelope"/>
    <n v="7545.5999999999995"/>
    <n v="25"/>
    <n v="29235427.199999999"/>
    <n v="15091199.999999998"/>
    <n v="14144227.200000001"/>
    <n v="1577.0303999999999"/>
    <n v="1577.0303999999999"/>
    <n v="39425.759999999995"/>
    <n v="1939.7473919999998"/>
    <n v="48493.684799999995"/>
    <n v="12597.212195273121"/>
    <n v="20911.729600283503"/>
    <n v="8424.3642291094202"/>
    <n v="6560.3787753339548"/>
    <n v="1382.8821119999998"/>
    <n v="573.39014399999985"/>
    <n v="705.26987711999982"/>
    <n v="1124.2943999999998"/>
    <n v="1382.8821119999998"/>
    <n v="78730.790399999998"/>
    <n v="1968269.76"/>
    <n v="96838.872191999995"/>
    <n v="2420971.8048"/>
    <n v="0"/>
    <n v="0"/>
    <n v="0"/>
    <n v="0"/>
    <n v="0"/>
    <n v="0"/>
    <n v="0"/>
    <n v="0"/>
    <n v="0"/>
    <n v="0"/>
    <n v="0"/>
    <n v="0"/>
    <n v="1250651.9001766341"/>
    <n v="1857797.4103273975"/>
    <n v="893197.58090526552"/>
    <n v="515726.84470524662"/>
    <n v="4517373.7361145439"/>
    <n v="16439.191318121844"/>
    <n v="13129.073854354448"/>
    <n v="12981.429541341264"/>
    <n v="3316.7504404800502"/>
    <n v="35038.12366150818"/>
    <n v="105145.84006191125"/>
    <n v="186050.40887771704"/>
    <n v="4703424.1449922612"/>
    <n v="6213731.2666231589"/>
    <n v="0"/>
    <n v="0"/>
    <n v="812822.67675255321"/>
    <n v="3681874.4488979978"/>
    <n v="10708428.392273709"/>
    <n v="15411852.537265971"/>
    <n v="0"/>
    <n v="0"/>
    <n v="21545395.395245776"/>
    <n v="0"/>
    <n v="0"/>
    <n v="0"/>
    <n v="0"/>
    <n v="21545395.395245776"/>
    <n v="321121.43453412713"/>
    <n v="0"/>
    <n v="0"/>
    <n v="825966.34608375991"/>
    <n v="0"/>
    <n v="0"/>
    <n v="0"/>
    <n v="0"/>
    <n v="1147087.7806178872"/>
    <n v="22692483.175863661"/>
    <n v="0"/>
    <n v="0"/>
    <n v="0"/>
    <n v="0"/>
    <n v="0"/>
    <n v="0"/>
    <n v="22692483.175863661"/>
    <n v="10396225.07604252"/>
    <n v="3516426.0196385961"/>
    <n v="0"/>
    <n v="0"/>
    <n v="0"/>
    <n v="0"/>
    <n v="13912651.095681116"/>
    <n v="52016986.808810748"/>
    <n v="1.0720000000000001"/>
    <n v="1.04"/>
    <n v="1.0720000000000001"/>
    <n v="1.04"/>
    <n v="1.1120000000000001"/>
    <n v="1.095"/>
    <n v="1.1120000000000001"/>
    <n v="1.1120000000000001"/>
  </r>
  <r>
    <x v="0"/>
    <x v="0"/>
    <x v="3"/>
    <x v="11"/>
    <x v="33"/>
    <s v="Envelope"/>
    <n v="6539.52"/>
    <n v="15"/>
    <n v="6152380.4160000011"/>
    <n v="4806547.2"/>
    <n v="1345833.2160000009"/>
    <n v="0"/>
    <n v="0"/>
    <n v="0"/>
    <n v="0"/>
    <n v="0"/>
    <n v="0"/>
    <n v="0"/>
    <n v="0"/>
    <n v="0"/>
    <s v=""/>
    <s v=""/>
    <s v=""/>
    <s v=""/>
    <s v=""/>
    <n v="21292.677120000004"/>
    <n v="319390.15680000006"/>
    <n v="27254.626713600006"/>
    <n v="408819.40070400009"/>
    <n v="0"/>
    <n v="0"/>
    <n v="0"/>
    <n v="0"/>
    <n v="0"/>
    <n v="0"/>
    <n v="0"/>
    <n v="0"/>
    <n v="0"/>
    <n v="0"/>
    <n v="0"/>
    <n v="0"/>
    <n v="0"/>
    <n v="0"/>
    <n v="0"/>
    <n v="0"/>
    <n v="0"/>
    <n v="0"/>
    <n v="0"/>
    <n v="0"/>
    <n v="0"/>
    <n v="0"/>
    <n v="0"/>
    <n v="0"/>
    <n v="0"/>
    <s v=""/>
    <s v=""/>
    <s v=""/>
    <s v=""/>
    <s v=""/>
    <n v="0"/>
    <n v="0"/>
    <n v="0"/>
    <n v="0"/>
    <n v="3447460.4507033336"/>
    <n v="0"/>
    <n v="0"/>
    <n v="0"/>
    <n v="0"/>
    <n v="3447460.4507033336"/>
    <n v="55412.160303190722"/>
    <n v="0"/>
    <n v="0"/>
    <n v="211010.59967461813"/>
    <n v="0"/>
    <n v="0"/>
    <n v="0"/>
    <n v="0"/>
    <n v="266422.75997780886"/>
    <n v="3713883.2106811423"/>
    <n v="0"/>
    <n v="0"/>
    <n v="0"/>
    <n v="0"/>
    <n v="0"/>
    <n v="0"/>
    <n v="3713883.2106811423"/>
    <n v="2342782.5344145917"/>
    <n v="1139475.2452137005"/>
    <n v="0"/>
    <n v="0"/>
    <n v="0"/>
    <n v="0"/>
    <n v="3482257.7796282922"/>
    <n v="7196140.990309434"/>
    <n v="1.0720000000000001"/>
    <n v="1.04"/>
    <n v="1.0720000000000001"/>
    <n v="1.04"/>
    <n v="1.1120000000000001"/>
    <n v="1.095"/>
    <n v="1.1120000000000001"/>
    <n v="1.1120000000000001"/>
  </r>
  <r>
    <x v="0"/>
    <x v="0"/>
    <x v="3"/>
    <x v="31"/>
    <x v="34"/>
    <s v="HVAC"/>
    <n v="1307.9040000000002"/>
    <n v="20"/>
    <n v="218419.96800000005"/>
    <n v="218419.96800000005"/>
    <n v="0"/>
    <n v="0"/>
    <n v="0"/>
    <n v="0"/>
    <n v="0"/>
    <n v="0"/>
    <n v="0"/>
    <n v="0"/>
    <n v="0"/>
    <n v="0"/>
    <s v=""/>
    <s v=""/>
    <s v=""/>
    <s v=""/>
    <s v=""/>
    <n v="4708.4544000000005"/>
    <n v="94169.088000000018"/>
    <n v="4708.4544000000005"/>
    <n v="94169.088000000018"/>
    <n v="0"/>
    <n v="0"/>
    <n v="0"/>
    <n v="0"/>
    <n v="0"/>
    <n v="0"/>
    <n v="0"/>
    <n v="0"/>
    <n v="0"/>
    <n v="0"/>
    <n v="0"/>
    <n v="0"/>
    <n v="0"/>
    <n v="0"/>
    <n v="0"/>
    <n v="0"/>
    <n v="0"/>
    <n v="0"/>
    <n v="0"/>
    <n v="0"/>
    <n v="0"/>
    <n v="0"/>
    <n v="0"/>
    <n v="0"/>
    <n v="0"/>
    <s v=""/>
    <s v=""/>
    <s v=""/>
    <s v=""/>
    <s v=""/>
    <n v="0"/>
    <n v="0"/>
    <n v="0"/>
    <n v="0"/>
    <n v="816061.44220687367"/>
    <n v="0"/>
    <n v="0"/>
    <n v="0"/>
    <n v="0"/>
    <n v="816061.44220687367"/>
    <n v="12626.303436151829"/>
    <n v="0"/>
    <n v="0"/>
    <n v="38327.095307745971"/>
    <n v="0"/>
    <n v="0"/>
    <n v="0"/>
    <n v="0"/>
    <n v="50953.3987438978"/>
    <n v="867014.84095077147"/>
    <n v="0"/>
    <n v="0"/>
    <n v="0"/>
    <n v="0"/>
    <n v="0"/>
    <n v="0"/>
    <n v="867014.84095077147"/>
    <n v="0"/>
    <n v="0"/>
    <n v="0"/>
    <n v="0"/>
    <n v="0"/>
    <n v="0"/>
    <n v="0"/>
    <n v="867014.84095077147"/>
    <n v="1.0720000000000001"/>
    <n v="1.04"/>
    <n v="1.0720000000000001"/>
    <n v="1.04"/>
    <n v="1.1120000000000001"/>
    <n v="1.095"/>
    <n v="1.1120000000000001"/>
    <n v="1.1120000000000001"/>
  </r>
  <r>
    <x v="0"/>
    <x v="0"/>
    <x v="3"/>
    <x v="16"/>
    <x v="35"/>
    <s v="HVAC"/>
    <n v="1307.9040000000002"/>
    <n v="20"/>
    <n v="872371.96800000011"/>
    <n v="654278.97600000014"/>
    <n v="218092.99199999997"/>
    <n v="0"/>
    <n v="0"/>
    <n v="0"/>
    <n v="0"/>
    <n v="0"/>
    <n v="0"/>
    <n v="0"/>
    <n v="0"/>
    <n v="0"/>
    <s v=""/>
    <s v=""/>
    <s v=""/>
    <s v=""/>
    <s v=""/>
    <n v="8893.7472000000016"/>
    <n v="177874.94400000002"/>
    <n v="8893.7472000000016"/>
    <n v="177874.94400000002"/>
    <n v="0"/>
    <n v="0"/>
    <n v="0"/>
    <n v="0"/>
    <n v="0"/>
    <n v="0"/>
    <n v="0"/>
    <n v="0"/>
    <n v="0"/>
    <n v="0"/>
    <n v="0"/>
    <n v="0"/>
    <n v="0"/>
    <n v="0"/>
    <n v="0"/>
    <n v="0"/>
    <n v="0"/>
    <n v="0"/>
    <n v="0"/>
    <n v="0"/>
    <n v="0"/>
    <n v="0"/>
    <n v="0"/>
    <n v="0"/>
    <n v="0"/>
    <s v=""/>
    <s v=""/>
    <s v=""/>
    <s v=""/>
    <s v=""/>
    <n v="0"/>
    <n v="0"/>
    <n v="0"/>
    <n v="0"/>
    <n v="1541449.3908352058"/>
    <n v="0"/>
    <n v="0"/>
    <n v="0"/>
    <n v="0"/>
    <n v="1541449.3908352058"/>
    <n v="23849.68426828679"/>
    <n v="0"/>
    <n v="0"/>
    <n v="72395.624470186842"/>
    <n v="0"/>
    <n v="0"/>
    <n v="0"/>
    <n v="0"/>
    <n v="96245.308738473628"/>
    <n v="1637694.6995736794"/>
    <n v="0"/>
    <n v="0"/>
    <n v="0"/>
    <n v="0"/>
    <n v="0"/>
    <n v="0"/>
    <n v="1637694.6995736794"/>
    <n v="5759.7789958484927"/>
    <n v="3290.0533588474418"/>
    <n v="0"/>
    <n v="0"/>
    <n v="0"/>
    <n v="0"/>
    <n v="9049.8323546959346"/>
    <n v="1646744.5319283754"/>
    <n v="1.0720000000000001"/>
    <n v="1.04"/>
    <n v="1.0720000000000001"/>
    <n v="1.04"/>
    <n v="1.1120000000000001"/>
    <n v="1.095"/>
    <n v="1.1120000000000001"/>
    <n v="1.1120000000000001"/>
  </r>
  <r>
    <x v="0"/>
    <x v="0"/>
    <x v="3"/>
    <x v="32"/>
    <x v="36"/>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3"/>
    <x v="18"/>
    <x v="37"/>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3"/>
    <x v="19"/>
    <x v="38"/>
    <s v="Hot Water"/>
    <n v="8551.68"/>
    <n v="7"/>
    <n v="42758.400000000001"/>
    <n v="42758.400000000001"/>
    <n v="0"/>
    <n v="0"/>
    <n v="0"/>
    <n v="0"/>
    <n v="0"/>
    <n v="0"/>
    <n v="0"/>
    <n v="0"/>
    <n v="0"/>
    <n v="0"/>
    <s v=""/>
    <s v=""/>
    <s v=""/>
    <s v=""/>
    <s v=""/>
    <n v="1710.3360000000002"/>
    <n v="11972.352000000003"/>
    <n v="1710.3360000000002"/>
    <n v="11972.352000000003"/>
    <n v="0"/>
    <n v="0"/>
    <n v="0"/>
    <n v="0"/>
    <n v="0"/>
    <n v="0"/>
    <n v="0"/>
    <n v="0"/>
    <n v="2839157.7600000002"/>
    <n v="0"/>
    <n v="0"/>
    <n v="19874104.32"/>
    <n v="0"/>
    <n v="0"/>
    <n v="0"/>
    <n v="0"/>
    <n v="0"/>
    <n v="0"/>
    <n v="0"/>
    <n v="0"/>
    <n v="0"/>
    <n v="0"/>
    <n v="0"/>
    <n v="0"/>
    <n v="0"/>
    <s v=""/>
    <s v=""/>
    <s v=""/>
    <s v=""/>
    <s v=""/>
    <n v="0"/>
    <n v="0"/>
    <n v="0"/>
    <n v="92392.659330315"/>
    <n v="0"/>
    <n v="0"/>
    <n v="0"/>
    <n v="0"/>
    <n v="0"/>
    <n v="92392.659330315"/>
    <n v="1651.2715277793807"/>
    <n v="0"/>
    <n v="12586.985447206382"/>
    <n v="0"/>
    <n v="0"/>
    <n v="0"/>
    <n v="0"/>
    <n v="0"/>
    <n v="14238.256974985763"/>
    <n v="106630.91630530077"/>
    <n v="0"/>
    <n v="0"/>
    <n v="0"/>
    <n v="212024.85439986218"/>
    <n v="0"/>
    <n v="0"/>
    <n v="318655.77070516295"/>
    <n v="0"/>
    <n v="0"/>
    <n v="0"/>
    <n v="0"/>
    <n v="0"/>
    <n v="0"/>
    <n v="0"/>
    <n v="318655.77070516295"/>
    <n v="1.0720000000000001"/>
    <n v="1.04"/>
    <n v="1.0720000000000001"/>
    <n v="1.04"/>
    <n v="1.1120000000000001"/>
    <n v="1.095"/>
    <n v="1.1120000000000001"/>
    <n v="1.1120000000000001"/>
  </r>
  <r>
    <x v="0"/>
    <x v="0"/>
    <x v="3"/>
    <x v="20"/>
    <x v="39"/>
    <s v="Hot Water"/>
    <n v="8048.64"/>
    <n v="7"/>
    <n v="80486.400000000009"/>
    <n v="80486.400000000009"/>
    <n v="0"/>
    <n v="0"/>
    <n v="0"/>
    <n v="0"/>
    <n v="0"/>
    <n v="0"/>
    <n v="0"/>
    <n v="0"/>
    <n v="0"/>
    <n v="0"/>
    <s v=""/>
    <s v=""/>
    <s v=""/>
    <s v=""/>
    <s v=""/>
    <n v="9658.3680000000004"/>
    <n v="67608.576000000001"/>
    <n v="9658.3680000000004"/>
    <n v="67608.576000000001"/>
    <n v="0"/>
    <n v="0"/>
    <n v="0"/>
    <n v="0"/>
    <n v="0"/>
    <n v="0"/>
    <n v="0"/>
    <n v="0"/>
    <n v="19324784.640000001"/>
    <n v="0"/>
    <n v="0"/>
    <n v="135273492.48000002"/>
    <n v="0"/>
    <n v="0"/>
    <n v="0"/>
    <n v="0"/>
    <n v="0"/>
    <n v="0"/>
    <n v="0"/>
    <n v="0"/>
    <n v="0"/>
    <n v="0"/>
    <n v="0"/>
    <n v="0"/>
    <n v="0"/>
    <s v=""/>
    <s v=""/>
    <s v=""/>
    <s v=""/>
    <s v=""/>
    <n v="0"/>
    <n v="0"/>
    <n v="0"/>
    <n v="521746.78210060229"/>
    <n v="0"/>
    <n v="0"/>
    <n v="0"/>
    <n v="0"/>
    <n v="0"/>
    <n v="521746.78210060229"/>
    <n v="9324.8274509894436"/>
    <n v="0"/>
    <n v="71079.447231283091"/>
    <n v="0"/>
    <n v="0"/>
    <n v="0"/>
    <n v="0"/>
    <n v="0"/>
    <n v="80404.274682272531"/>
    <n v="602151.05678287486"/>
    <n v="0"/>
    <n v="0"/>
    <n v="0"/>
    <n v="1443151.4540441362"/>
    <n v="0"/>
    <n v="0"/>
    <n v="2045302.510827011"/>
    <n v="0"/>
    <n v="0"/>
    <n v="0"/>
    <n v="0"/>
    <n v="0"/>
    <n v="0"/>
    <n v="0"/>
    <n v="2045302.510827011"/>
    <n v="1.0720000000000001"/>
    <n v="1.04"/>
    <n v="1.0720000000000001"/>
    <n v="1.04"/>
    <n v="1.1120000000000001"/>
    <n v="1.095"/>
    <n v="1.1120000000000001"/>
    <n v="1.1120000000000001"/>
  </r>
  <r>
    <x v="0"/>
    <x v="0"/>
    <x v="3"/>
    <x v="21"/>
    <x v="40"/>
    <s v="HVAC"/>
    <n v="11901.9264"/>
    <n v="15"/>
    <n v="889788.01766400004"/>
    <n v="999761.81760000007"/>
    <n v="-109973.79993600002"/>
    <n v="0"/>
    <n v="0"/>
    <n v="0"/>
    <n v="0"/>
    <n v="0"/>
    <n v="0"/>
    <n v="0"/>
    <n v="0"/>
    <n v="0"/>
    <s v=""/>
    <s v=""/>
    <s v=""/>
    <s v=""/>
    <s v=""/>
    <n v="38086.164479999999"/>
    <n v="571292.46719999996"/>
    <n v="33896.686387200003"/>
    <n v="508450.29580800002"/>
    <n v="0"/>
    <n v="0"/>
    <n v="0"/>
    <n v="0"/>
    <n v="0"/>
    <n v="0"/>
    <n v="0"/>
    <n v="0"/>
    <n v="0"/>
    <n v="0"/>
    <n v="0"/>
    <n v="0"/>
    <n v="0"/>
    <n v="0"/>
    <n v="0"/>
    <n v="0"/>
    <n v="0"/>
    <n v="0"/>
    <n v="0"/>
    <n v="0"/>
    <n v="0"/>
    <n v="0"/>
    <n v="0"/>
    <n v="0"/>
    <n v="0"/>
    <s v=""/>
    <s v=""/>
    <s v=""/>
    <s v=""/>
    <s v=""/>
    <n v="0"/>
    <n v="0"/>
    <n v="0"/>
    <n v="0"/>
    <n v="4287620.1152098123"/>
    <n v="0"/>
    <n v="0"/>
    <n v="0"/>
    <n v="0"/>
    <n v="4287620.1152098123"/>
    <n v="68916.321605580713"/>
    <n v="0"/>
    <n v="0"/>
    <n v="262434.71234102151"/>
    <n v="0"/>
    <n v="0"/>
    <n v="0"/>
    <n v="0"/>
    <n v="331351.03394660226"/>
    <n v="4618971.1491564149"/>
    <n v="0"/>
    <n v="0"/>
    <n v="0"/>
    <n v="0"/>
    <n v="0"/>
    <n v="0"/>
    <n v="4618971.1491564149"/>
    <n v="0"/>
    <n v="318.47978669289358"/>
    <n v="0"/>
    <n v="0"/>
    <n v="0"/>
    <n v="0"/>
    <n v="318.47978669289358"/>
    <n v="4619289.628943108"/>
    <n v="1.0720000000000001"/>
    <n v="1.04"/>
    <n v="1.0720000000000001"/>
    <n v="1.04"/>
    <n v="1.1120000000000001"/>
    <n v="1.095"/>
    <n v="1.1120000000000001"/>
    <n v="1.1120000000000001"/>
  </r>
  <r>
    <x v="0"/>
    <x v="0"/>
    <x v="3"/>
    <x v="25"/>
    <x v="41"/>
    <s v="HVAC"/>
    <n v="4577.6639999999998"/>
    <n v="15"/>
    <n v="1574716.416"/>
    <n v="1295478.912"/>
    <n v="279237.50399999996"/>
    <n v="0"/>
    <n v="0"/>
    <n v="0"/>
    <n v="0"/>
    <n v="0"/>
    <n v="0"/>
    <n v="0"/>
    <n v="0"/>
    <n v="0"/>
    <s v=""/>
    <s v=""/>
    <s v=""/>
    <s v=""/>
    <s v=""/>
    <n v="30212.582399999996"/>
    <n v="453188.73599999992"/>
    <n v="30212.582399999996"/>
    <n v="453188.73599999992"/>
    <n v="0"/>
    <n v="0"/>
    <n v="0"/>
    <n v="0"/>
    <n v="0"/>
    <n v="0"/>
    <n v="0"/>
    <n v="0"/>
    <n v="0"/>
    <n v="0"/>
    <n v="0"/>
    <n v="0"/>
    <n v="0"/>
    <n v="0"/>
    <n v="0"/>
    <n v="0"/>
    <n v="0"/>
    <n v="0"/>
    <n v="0"/>
    <n v="0"/>
    <n v="0"/>
    <n v="0"/>
    <n v="0"/>
    <n v="0"/>
    <n v="0"/>
    <s v=""/>
    <s v=""/>
    <s v=""/>
    <s v=""/>
    <s v=""/>
    <n v="0"/>
    <n v="0"/>
    <n v="0"/>
    <n v="0"/>
    <n v="3821614.731037267"/>
    <n v="0"/>
    <n v="0"/>
    <n v="0"/>
    <n v="0"/>
    <n v="3821614.731037267"/>
    <n v="61426.064525285299"/>
    <n v="0"/>
    <n v="0"/>
    <n v="233911.66560214211"/>
    <n v="0"/>
    <n v="0"/>
    <n v="0"/>
    <n v="0"/>
    <n v="295337.73012742738"/>
    <n v="4116952.4611646943"/>
    <n v="0"/>
    <n v="0"/>
    <n v="0"/>
    <n v="0"/>
    <n v="0"/>
    <n v="0"/>
    <n v="4116952.4611646943"/>
    <n v="213039.72821175525"/>
    <n v="138954.05813562026"/>
    <n v="0"/>
    <n v="0"/>
    <n v="0"/>
    <n v="0"/>
    <n v="351993.78634737548"/>
    <n v="4468946.2475120695"/>
    <n v="1.0720000000000001"/>
    <n v="1.04"/>
    <n v="1.0720000000000001"/>
    <n v="1.04"/>
    <n v="1.1120000000000001"/>
    <n v="1.095"/>
    <n v="1.1120000000000001"/>
    <n v="1.1120000000000001"/>
  </r>
  <r>
    <x v="0"/>
    <x v="0"/>
    <x v="3"/>
    <x v="27"/>
    <x v="42"/>
    <s v="HVAC"/>
    <n v="2263.6799999999998"/>
    <n v="15"/>
    <n v="778705.91999999993"/>
    <n v="778705.91999999993"/>
    <n v="0"/>
    <n v="235.42271999999997"/>
    <n v="235.42271999999997"/>
    <n v="3531.3407999999995"/>
    <n v="235.42271999999997"/>
    <n v="3531.3407999999995"/>
    <n v="31.63402119660336"/>
    <n v="145.38103310762685"/>
    <n v="1900.6281838303914"/>
    <n v="1453.6975618653164"/>
    <n v="523.33577519148696"/>
    <n v="0"/>
    <n v="0"/>
    <n v="523.33577519148696"/>
    <n v="523.33577519148696"/>
    <n v="14940.287999999999"/>
    <n v="224104.31999999998"/>
    <n v="14940.287999999999"/>
    <n v="224104.31999999998"/>
    <n v="0"/>
    <n v="0"/>
    <n v="0"/>
    <n v="0"/>
    <n v="0"/>
    <n v="0"/>
    <n v="0"/>
    <n v="0"/>
    <n v="0"/>
    <n v="0"/>
    <n v="0"/>
    <n v="0"/>
    <n v="2657.1543056726769"/>
    <n v="10926.268045392604"/>
    <n v="155427.16025991493"/>
    <n v="93095.012299177615"/>
    <n v="262105.59491015782"/>
    <n v="68.803282100730613"/>
    <n v="152.12501605370997"/>
    <n v="4881.2527928274549"/>
    <n v="1224.9170852679727"/>
    <n v="10540.865504610993"/>
    <n v="781.8313871081499"/>
    <n v="17649.795067969008"/>
    <n v="279755.3899781268"/>
    <n v="1356577.6803601349"/>
    <n v="0"/>
    <n v="0"/>
    <n v="188597.68082329538"/>
    <n v="854298.23995437659"/>
    <n v="2399473.6011378067"/>
    <n v="2679228.9911159333"/>
    <n v="0"/>
    <n v="0"/>
    <n v="1889809.4823810663"/>
    <n v="0"/>
    <n v="0"/>
    <n v="0"/>
    <n v="0"/>
    <n v="1889809.4823810663"/>
    <n v="30375.52641360262"/>
    <n v="0"/>
    <n v="0"/>
    <n v="115670.60386919115"/>
    <n v="0"/>
    <n v="0"/>
    <n v="0"/>
    <n v="0"/>
    <n v="146046.13028279378"/>
    <n v="2035855.61266386"/>
    <n v="0"/>
    <n v="0"/>
    <n v="0"/>
    <n v="0"/>
    <n v="0"/>
    <n v="0"/>
    <n v="2035855.61266386"/>
    <n v="105349.31614867017"/>
    <n v="68713.545231900134"/>
    <n v="0"/>
    <n v="0"/>
    <n v="0"/>
    <n v="0"/>
    <n v="174062.86138057031"/>
    <n v="4889147.4651603634"/>
    <n v="1.0720000000000001"/>
    <n v="1.04"/>
    <n v="1.0720000000000001"/>
    <n v="1.04"/>
    <n v="1.1120000000000001"/>
    <n v="1.095"/>
    <n v="1.1120000000000001"/>
    <n v="1.1120000000000001"/>
  </r>
  <r>
    <x v="0"/>
    <x v="0"/>
    <x v="3"/>
    <x v="33"/>
    <x v="43"/>
    <s v="Lighting"/>
    <n v="14400"/>
    <n v="4"/>
    <n v="76608"/>
    <n v="100800"/>
    <n v="-24192"/>
    <n v="595.41603926143682"/>
    <n v="595.41603926143682"/>
    <n v="2381.6641570457473"/>
    <n v="452.51618983869201"/>
    <n v="1810.0647593547681"/>
    <n v="778.3278465225502"/>
    <n v="434.41554224514431"/>
    <n v="380.11359946450131"/>
    <n v="217.20777112257215"/>
    <n v="459.17421597026072"/>
    <n v="96.668255993739095"/>
    <n v="73.467874555241707"/>
    <n v="78.54295799491301"/>
    <n v="59.692648076133885"/>
    <n v="0"/>
    <n v="0"/>
    <n v="0"/>
    <n v="0"/>
    <n v="0"/>
    <n v="0"/>
    <n v="0"/>
    <n v="0"/>
    <n v="0"/>
    <n v="0"/>
    <n v="0"/>
    <n v="0"/>
    <n v="0"/>
    <n v="0"/>
    <n v="0"/>
    <n v="0"/>
    <n v="57936.861998226239"/>
    <n v="28916.318180727638"/>
    <n v="24878.662771570351"/>
    <n v="11208.433986588519"/>
    <n v="122940.27693711274"/>
    <n v="6348.1706204444508"/>
    <n v="1704.6275722509499"/>
    <n v="3660.8236649655155"/>
    <n v="686.33991574462118"/>
    <n v="5082.1877939297656"/>
    <n v="15814.329761334096"/>
    <n v="33296.479328669404"/>
    <n v="156236.75626578214"/>
    <n v="26579.238244696564"/>
    <n v="0"/>
    <n v="0"/>
    <n v="5875.6981697238907"/>
    <n v="26615.378211364801"/>
    <n v="59070.314625785257"/>
    <n v="215307.07089156739"/>
    <n v="0"/>
    <n v="0"/>
    <n v="0"/>
    <n v="0"/>
    <n v="0"/>
    <n v="0"/>
    <n v="0"/>
    <n v="0"/>
    <n v="0"/>
    <n v="0"/>
    <n v="0"/>
    <n v="0"/>
    <n v="0"/>
    <n v="0"/>
    <n v="0"/>
    <n v="0"/>
    <n v="0"/>
    <n v="0"/>
    <n v="0"/>
    <n v="0"/>
    <n v="0"/>
    <n v="0"/>
    <n v="0"/>
    <n v="0"/>
    <n v="0"/>
    <n v="139115.48700724583"/>
    <n v="332202.89043412276"/>
    <n v="0"/>
    <n v="0"/>
    <n v="0"/>
    <n v="0"/>
    <n v="471318.37744136859"/>
    <n v="686625.44833293604"/>
    <n v="1.0720000000000001"/>
    <n v="1.04"/>
    <n v="1.0720000000000001"/>
    <n v="1.04"/>
    <n v="1.1120000000000001"/>
    <n v="1.095"/>
    <n v="1.1120000000000001"/>
    <n v="1.1120000000000001"/>
  </r>
  <r>
    <x v="0"/>
    <x v="0"/>
    <x v="3"/>
    <x v="3"/>
    <x v="44"/>
    <s v="Lighting"/>
    <n v="31200"/>
    <n v="9"/>
    <n v="414959.99999999994"/>
    <n v="436800"/>
    <n v="-21840.000000000058"/>
    <n v="1423.6264488143738"/>
    <n v="1423.6264488143738"/>
    <n v="12812.638039329364"/>
    <n v="1352.4451263736551"/>
    <n v="12172.006137362896"/>
    <n v="5233.9626390660451"/>
    <n v="2921.2814729670949"/>
    <n v="2556.1212888462082"/>
    <n v="1460.6407364835475"/>
    <n v="1372.3441160564739"/>
    <n v="231.13164059898511"/>
    <n v="219.57505856903586"/>
    <n v="187.79445798667541"/>
    <n v="178.40473508734163"/>
    <n v="0"/>
    <n v="0"/>
    <n v="0"/>
    <n v="0"/>
    <n v="0"/>
    <n v="0"/>
    <n v="0"/>
    <n v="0"/>
    <n v="0"/>
    <n v="0"/>
    <n v="0"/>
    <n v="0"/>
    <n v="0"/>
    <n v="0"/>
    <n v="0"/>
    <n v="0"/>
    <n v="403841.00006056903"/>
    <n v="201403.3834243968"/>
    <n v="182539.927923354"/>
    <n v="82771.841429035703"/>
    <n v="870556.15283735562"/>
    <n v="18972.917676313424"/>
    <n v="5094.6580567531992"/>
    <n v="10941.184504273435"/>
    <n v="2051.2792579098787"/>
    <n v="17891.590751360909"/>
    <n v="53156.984182842687"/>
    <n v="108108.61442945353"/>
    <n v="978664.76726680913"/>
    <n v="250883.30897530535"/>
    <n v="0"/>
    <n v="0"/>
    <n v="39082.599224910889"/>
    <n v="177033.96767623225"/>
    <n v="466999.87587644847"/>
    <n v="1445664.6431432576"/>
    <n v="0"/>
    <n v="0"/>
    <n v="0"/>
    <n v="0"/>
    <n v="0"/>
    <n v="0"/>
    <n v="0"/>
    <n v="0"/>
    <n v="0"/>
    <n v="0"/>
    <n v="0"/>
    <n v="0"/>
    <n v="0"/>
    <n v="0"/>
    <n v="0"/>
    <n v="0"/>
    <n v="0"/>
    <n v="0"/>
    <n v="0"/>
    <n v="0"/>
    <n v="0"/>
    <n v="0"/>
    <n v="0"/>
    <n v="0"/>
    <n v="0"/>
    <n v="0"/>
    <n v="89115.409285712187"/>
    <n v="0"/>
    <n v="0"/>
    <n v="0"/>
    <n v="0"/>
    <n v="89115.409285712187"/>
    <n v="1534780.0524289699"/>
    <n v="1.0720000000000001"/>
    <n v="1.04"/>
    <n v="1.0720000000000001"/>
    <n v="1.04"/>
    <n v="1.1120000000000001"/>
    <n v="1.095"/>
    <n v="1.1120000000000001"/>
    <n v="1.1120000000000001"/>
  </r>
  <r>
    <x v="0"/>
    <x v="0"/>
    <x v="3"/>
    <x v="4"/>
    <x v="45"/>
    <s v="HVAC"/>
    <n v="1833"/>
    <n v="20"/>
    <n v="7328334"/>
    <n v="5636475"/>
    <n v="1691859"/>
    <n v="0"/>
    <n v="0"/>
    <n v="0"/>
    <n v="0"/>
    <n v="0"/>
    <n v="0"/>
    <n v="0"/>
    <n v="0"/>
    <n v="0"/>
    <s v=""/>
    <s v=""/>
    <s v=""/>
    <s v=""/>
    <s v=""/>
    <n v="20896.2"/>
    <n v="417924"/>
    <n v="20896.2"/>
    <n v="417924"/>
    <n v="0"/>
    <n v="0"/>
    <n v="0"/>
    <n v="0"/>
    <n v="0"/>
    <n v="0"/>
    <n v="0"/>
    <n v="0"/>
    <n v="0"/>
    <n v="0"/>
    <n v="0"/>
    <n v="0"/>
    <n v="0"/>
    <n v="0"/>
    <n v="0"/>
    <n v="0"/>
    <n v="0"/>
    <n v="0"/>
    <n v="0"/>
    <n v="0"/>
    <n v="0"/>
    <n v="0"/>
    <n v="0"/>
    <n v="0"/>
    <n v="0"/>
    <s v=""/>
    <s v=""/>
    <s v=""/>
    <s v=""/>
    <s v=""/>
    <n v="0"/>
    <n v="0"/>
    <n v="0"/>
    <n v="0"/>
    <n v="3621694.4372750581"/>
    <n v="0"/>
    <n v="0"/>
    <n v="0"/>
    <n v="0"/>
    <n v="3621694.4372750581"/>
    <n v="56035.747497632306"/>
    <n v="0"/>
    <n v="0"/>
    <n v="170096.29507502957"/>
    <n v="0"/>
    <n v="0"/>
    <n v="0"/>
    <n v="0"/>
    <n v="226132.04257266189"/>
    <n v="3847826.4798477199"/>
    <n v="0"/>
    <n v="0"/>
    <n v="0"/>
    <n v="0"/>
    <n v="0"/>
    <n v="0"/>
    <n v="3847826.4798477199"/>
    <n v="0"/>
    <n v="5511.0845216164116"/>
    <n v="0"/>
    <n v="0"/>
    <n v="0"/>
    <n v="0"/>
    <n v="5511.0845216164116"/>
    <n v="3853337.5643693362"/>
    <n v="1.0720000000000001"/>
    <n v="1.04"/>
    <n v="1.0720000000000001"/>
    <n v="1.04"/>
    <n v="1.1120000000000001"/>
    <n v="1.095"/>
    <n v="1.1120000000000001"/>
    <n v="1.1120000000000001"/>
  </r>
  <r>
    <x v="0"/>
    <x v="0"/>
    <x v="3"/>
    <x v="34"/>
    <x v="46"/>
    <s v="HVAC"/>
    <n v="1833"/>
    <n v="10"/>
    <n v="0"/>
    <n v="0"/>
    <n v="0"/>
    <n v="0"/>
    <n v="0"/>
    <n v="0"/>
    <n v="0"/>
    <n v="0"/>
    <n v="0"/>
    <n v="0"/>
    <n v="0"/>
    <n v="0"/>
    <s v=""/>
    <s v=""/>
    <s v=""/>
    <s v=""/>
    <s v=""/>
    <n v="12831"/>
    <n v="128310"/>
    <n v="12831"/>
    <n v="128310"/>
    <n v="0"/>
    <n v="0"/>
    <n v="0"/>
    <n v="0"/>
    <n v="0"/>
    <n v="0"/>
    <n v="0"/>
    <n v="0"/>
    <n v="0"/>
    <n v="0"/>
    <n v="0"/>
    <n v="0"/>
    <n v="0"/>
    <n v="0"/>
    <n v="0"/>
    <n v="0"/>
    <n v="0"/>
    <n v="0"/>
    <n v="0"/>
    <n v="0"/>
    <n v="0"/>
    <n v="0"/>
    <n v="0"/>
    <n v="0"/>
    <n v="0"/>
    <s v=""/>
    <s v=""/>
    <s v=""/>
    <s v=""/>
    <s v=""/>
    <n v="0"/>
    <n v="0"/>
    <n v="0"/>
    <n v="0"/>
    <n v="1057564.8001959606"/>
    <n v="0"/>
    <n v="0"/>
    <n v="0"/>
    <n v="0"/>
    <n v="1057564.8001959606"/>
    <n v="17581.553744483215"/>
    <n v="0"/>
    <n v="0"/>
    <n v="94111.199477024289"/>
    <n v="0"/>
    <n v="0"/>
    <n v="0"/>
    <n v="0"/>
    <n v="111692.7532215075"/>
    <n v="1169257.553417468"/>
    <n v="0"/>
    <n v="0"/>
    <n v="0"/>
    <n v="0"/>
    <n v="0"/>
    <n v="0"/>
    <n v="1169257.553417468"/>
    <n v="553067.12514300435"/>
    <n v="623230.17826786125"/>
    <n v="0"/>
    <n v="0"/>
    <n v="0"/>
    <n v="0"/>
    <n v="1176297.3034108656"/>
    <n v="2345554.8568283338"/>
    <n v="1.0720000000000001"/>
    <n v="1.04"/>
    <n v="1.0720000000000001"/>
    <n v="1.04"/>
    <n v="1.1120000000000001"/>
    <n v="1.095"/>
    <n v="1.1120000000000001"/>
    <n v="1.1120000000000001"/>
  </r>
  <r>
    <x v="0"/>
    <x v="0"/>
    <x v="3"/>
    <x v="35"/>
    <x v="47"/>
    <s v="HVAC"/>
    <n v="246"/>
    <n v="20"/>
    <n v="503316"/>
    <n v="467400"/>
    <n v="35916"/>
    <n v="0"/>
    <n v="0"/>
    <n v="0"/>
    <n v="0"/>
    <n v="0"/>
    <n v="0"/>
    <n v="0"/>
    <n v="0"/>
    <n v="0"/>
    <s v=""/>
    <s v=""/>
    <s v=""/>
    <s v=""/>
    <s v=""/>
    <n v="713.4"/>
    <n v="14268"/>
    <n v="713.4"/>
    <n v="14268"/>
    <n v="0"/>
    <n v="0"/>
    <n v="0"/>
    <n v="0"/>
    <n v="0"/>
    <n v="0"/>
    <n v="0"/>
    <n v="0"/>
    <n v="0"/>
    <n v="0"/>
    <n v="0"/>
    <n v="0"/>
    <n v="0"/>
    <n v="0"/>
    <n v="0"/>
    <n v="0"/>
    <n v="0"/>
    <n v="0"/>
    <n v="0"/>
    <n v="0"/>
    <n v="0"/>
    <n v="0"/>
    <n v="0"/>
    <n v="0"/>
    <n v="0"/>
    <s v=""/>
    <s v=""/>
    <s v=""/>
    <s v=""/>
    <s v=""/>
    <n v="0"/>
    <n v="0"/>
    <n v="0"/>
    <n v="0"/>
    <n v="123645.29491256909"/>
    <n v="0"/>
    <n v="0"/>
    <n v="0"/>
    <n v="0"/>
    <n v="123645.29491256909"/>
    <n v="1913.0704273892329"/>
    <n v="0"/>
    <n v="0"/>
    <n v="5807.1178925606609"/>
    <n v="0"/>
    <n v="0"/>
    <n v="0"/>
    <n v="0"/>
    <n v="7720.1883199498934"/>
    <n v="131365.48323251898"/>
    <n v="0"/>
    <n v="0"/>
    <n v="0"/>
    <n v="0"/>
    <n v="0"/>
    <n v="0"/>
    <n v="131365.48323251898"/>
    <n v="655515.32615360711"/>
    <n v="83641.365986848803"/>
    <n v="0"/>
    <n v="0"/>
    <n v="0"/>
    <n v="0"/>
    <n v="739156.69214045594"/>
    <n v="870522.17537297495"/>
    <n v="1.0720000000000001"/>
    <n v="1.04"/>
    <n v="1.0720000000000001"/>
    <n v="1.04"/>
    <n v="1.1120000000000001"/>
    <n v="1.095"/>
    <n v="1.1120000000000001"/>
    <n v="1.1120000000000001"/>
  </r>
  <r>
    <x v="0"/>
    <x v="0"/>
    <x v="3"/>
    <x v="36"/>
    <x v="48"/>
    <s v="HVAC"/>
    <n v="246"/>
    <n v="10"/>
    <n v="0"/>
    <n v="0"/>
    <n v="0"/>
    <n v="0"/>
    <n v="0"/>
    <n v="0"/>
    <n v="0"/>
    <n v="0"/>
    <n v="0"/>
    <n v="0"/>
    <n v="0"/>
    <n v="0"/>
    <s v=""/>
    <s v=""/>
    <s v=""/>
    <s v=""/>
    <s v=""/>
    <n v="1968"/>
    <n v="19680"/>
    <n v="1968"/>
    <n v="19680"/>
    <n v="0"/>
    <n v="0"/>
    <n v="0"/>
    <n v="0"/>
    <n v="0"/>
    <n v="0"/>
    <n v="0"/>
    <n v="0"/>
    <n v="0"/>
    <n v="0"/>
    <n v="0"/>
    <n v="0"/>
    <n v="0"/>
    <n v="0"/>
    <n v="0"/>
    <n v="0"/>
    <n v="0"/>
    <n v="0"/>
    <n v="0"/>
    <n v="0"/>
    <n v="0"/>
    <n v="0"/>
    <n v="0"/>
    <n v="0"/>
    <n v="0"/>
    <s v=""/>
    <s v=""/>
    <s v=""/>
    <s v=""/>
    <s v=""/>
    <n v="0"/>
    <n v="0"/>
    <n v="0"/>
    <n v="0"/>
    <n v="162207.7411570143"/>
    <n v="0"/>
    <n v="0"/>
    <n v="0"/>
    <n v="0"/>
    <n v="162207.7411570143"/>
    <n v="2696.632980215335"/>
    <n v="0"/>
    <n v="0"/>
    <n v="14434.638030612095"/>
    <n v="0"/>
    <n v="0"/>
    <n v="0"/>
    <n v="0"/>
    <n v="17131.27101082743"/>
    <n v="179339.01216784172"/>
    <n v="0"/>
    <n v="0"/>
    <n v="0"/>
    <n v="0"/>
    <n v="0"/>
    <n v="0"/>
    <n v="179339.01216784172"/>
    <n v="74225.047891532507"/>
    <n v="83641.365986848803"/>
    <n v="0"/>
    <n v="0"/>
    <n v="0"/>
    <n v="0"/>
    <n v="157866.41387838131"/>
    <n v="337205.42604622303"/>
    <n v="1.0720000000000001"/>
    <n v="1.04"/>
    <n v="1.0720000000000001"/>
    <n v="1.04"/>
    <n v="1.1120000000000001"/>
    <n v="1.095"/>
    <n v="1.1120000000000001"/>
    <n v="1.1120000000000001"/>
  </r>
  <r>
    <x v="0"/>
    <x v="0"/>
    <x v="3"/>
    <x v="37"/>
    <x v="49"/>
    <s v="HVAC"/>
    <n v="867"/>
    <n v="18"/>
    <n v="1674177"/>
    <n v="867000"/>
    <n v="807177"/>
    <n v="145.65600000000001"/>
    <n v="145.65600000000001"/>
    <n v="2621.808"/>
    <n v="145.65600000000001"/>
    <n v="2621.808"/>
    <n v="991.33462996247067"/>
    <n v="1613.1114990252306"/>
    <n v="4.5624798470498806"/>
    <n v="12.799391165250217"/>
    <n v="77.753198197440099"/>
    <n v="77.753198197440099"/>
    <n v="77.753198197440099"/>
    <n v="0"/>
    <n v="0"/>
    <n v="6242.4000000000005"/>
    <n v="112363.20000000001"/>
    <n v="6242.4000000000005"/>
    <n v="112363.20000000001"/>
    <n v="0"/>
    <n v="0"/>
    <n v="0"/>
    <n v="0"/>
    <n v="0"/>
    <n v="0"/>
    <n v="0"/>
    <n v="0"/>
    <n v="0"/>
    <n v="0"/>
    <n v="0"/>
    <n v="0"/>
    <n v="87633.177347201025"/>
    <n v="127327.69405548436"/>
    <n v="405.39172607559442"/>
    <n v="872.90088215951778"/>
    <n v="216239.16401092047"/>
    <n v="1796.7753708796822"/>
    <n v="1406.6175360026139"/>
    <n v="9.7645862935820613"/>
    <n v="8.9875370977127549"/>
    <n v="48.791832368637188"/>
    <n v="10123.49580588569"/>
    <n v="13394.432668527919"/>
    <n v="229633.59667944838"/>
    <n v="0"/>
    <n v="0"/>
    <n v="0"/>
    <n v="0"/>
    <n v="0"/>
    <n v="0"/>
    <n v="229633.59667944838"/>
    <n v="0"/>
    <n v="0"/>
    <n v="963281.89155215328"/>
    <n v="0"/>
    <n v="0"/>
    <n v="0"/>
    <n v="0"/>
    <n v="963281.89155215328"/>
    <n v="15131.157621691802"/>
    <n v="0"/>
    <n v="0"/>
    <n v="49826.587119243195"/>
    <n v="0"/>
    <n v="0"/>
    <n v="0"/>
    <n v="0"/>
    <n v="64957.744740934999"/>
    <n v="1028239.6362930883"/>
    <n v="0"/>
    <n v="0"/>
    <n v="0"/>
    <n v="0"/>
    <n v="0"/>
    <n v="0"/>
    <n v="1028239.6362930883"/>
    <n v="2088283.940064328"/>
    <n v="294784.81427072326"/>
    <n v="0"/>
    <n v="0"/>
    <n v="0"/>
    <n v="0"/>
    <n v="2383068.7543350514"/>
    <n v="3640941.9873075876"/>
    <n v="1.0720000000000001"/>
    <n v="1.04"/>
    <n v="1.0720000000000001"/>
    <n v="1.04"/>
    <n v="1.1120000000000001"/>
    <n v="1.095"/>
    <n v="1.1120000000000001"/>
    <n v="1.1120000000000001"/>
  </r>
  <r>
    <x v="0"/>
    <x v="0"/>
    <x v="3"/>
    <x v="38"/>
    <x v="50"/>
    <s v="HVAC"/>
    <n v="867"/>
    <n v="6"/>
    <n v="0"/>
    <n v="0"/>
    <n v="0"/>
    <n v="0"/>
    <n v="0"/>
    <n v="0"/>
    <n v="0"/>
    <n v="0"/>
    <n v="0"/>
    <n v="0"/>
    <n v="0"/>
    <n v="0"/>
    <s v=""/>
    <s v=""/>
    <s v=""/>
    <s v=""/>
    <s v=""/>
    <n v="5375.4000000000005"/>
    <n v="32252.400000000001"/>
    <n v="5375.4000000000005"/>
    <n v="32252.400000000001"/>
    <n v="0"/>
    <n v="0"/>
    <n v="0"/>
    <n v="0"/>
    <n v="0"/>
    <n v="0"/>
    <n v="0"/>
    <n v="0"/>
    <n v="0"/>
    <n v="0"/>
    <n v="0"/>
    <n v="0"/>
    <n v="0"/>
    <n v="0"/>
    <n v="0"/>
    <n v="0"/>
    <n v="0"/>
    <n v="0"/>
    <n v="0"/>
    <n v="0"/>
    <n v="0"/>
    <n v="0"/>
    <n v="0"/>
    <n v="0"/>
    <n v="0"/>
    <s v=""/>
    <s v=""/>
    <s v=""/>
    <s v=""/>
    <s v=""/>
    <n v="0"/>
    <n v="0"/>
    <n v="0"/>
    <n v="0"/>
    <n v="262541.83700955583"/>
    <n v="0"/>
    <n v="0"/>
    <n v="0"/>
    <n v="0"/>
    <n v="262541.83700955583"/>
    <n v="4458.1006638106046"/>
    <n v="0"/>
    <n v="0"/>
    <n v="37626.387538518538"/>
    <n v="0"/>
    <n v="0"/>
    <n v="0"/>
    <n v="0"/>
    <n v="42084.488202329143"/>
    <n v="304626.32521188498"/>
    <n v="0"/>
    <n v="0"/>
    <n v="0"/>
    <n v="0"/>
    <n v="0"/>
    <n v="0"/>
    <n v="304626.32521188498"/>
    <n v="158334.95861589935"/>
    <n v="294784.81427072326"/>
    <n v="0"/>
    <n v="0"/>
    <n v="0"/>
    <n v="0"/>
    <n v="453119.77288662258"/>
    <n v="757746.09809850762"/>
    <n v="1.0720000000000001"/>
    <n v="1.04"/>
    <n v="1.0720000000000001"/>
    <n v="1.04"/>
    <n v="1.1120000000000001"/>
    <n v="1.095"/>
    <n v="1.1120000000000001"/>
    <n v="1.1120000000000001"/>
  </r>
  <r>
    <x v="0"/>
    <x v="0"/>
    <x v="3"/>
    <x v="39"/>
    <x v="51"/>
    <s v="Process"/>
    <n v="3360"/>
    <n v="5"/>
    <n v="71232"/>
    <n v="71232"/>
    <n v="0"/>
    <n v="265.44"/>
    <n v="265.44"/>
    <n v="1327.2"/>
    <n v="265.44"/>
    <n v="1327.2"/>
    <n v="476.12078600763488"/>
    <n v="431.86397449362295"/>
    <n v="208.86301805619007"/>
    <n v="210.35222144255221"/>
    <n v="56.725553975626646"/>
    <n v="56.725553975626646"/>
    <n v="56.725553975626646"/>
    <n v="41.409654402207451"/>
    <n v="41.409654402207451"/>
    <n v="0"/>
    <n v="0"/>
    <n v="0"/>
    <n v="0"/>
    <n v="0"/>
    <n v="0"/>
    <n v="0"/>
    <n v="0"/>
    <n v="0"/>
    <n v="0"/>
    <n v="0"/>
    <n v="0"/>
    <n v="0"/>
    <n v="0"/>
    <n v="0"/>
    <n v="0"/>
    <n v="35361.394552507438"/>
    <n v="28675.882791300173"/>
    <n v="13852.514419511383"/>
    <n v="11020.289896281653"/>
    <n v="88910.081659600648"/>
    <n v="3106.6558895669855"/>
    <n v="1355.6922656662873"/>
    <n v="1609.2256216318347"/>
    <n v="531.7420281803976"/>
    <n v="2956.0067988198675"/>
    <n v="9710.6375344654916"/>
    <n v="19269.960138330862"/>
    <n v="108180.04179793151"/>
    <n v="26384.095584887291"/>
    <n v="0"/>
    <n v="0"/>
    <n v="5083.9355815346571"/>
    <n v="23028.900463605376"/>
    <n v="54496.93163002732"/>
    <n v="162676.97342795884"/>
    <n v="0"/>
    <n v="0"/>
    <n v="0"/>
    <n v="0"/>
    <n v="0"/>
    <n v="0"/>
    <n v="0"/>
    <n v="0"/>
    <n v="0"/>
    <n v="0"/>
    <n v="0"/>
    <n v="0"/>
    <n v="0"/>
    <n v="0"/>
    <n v="0"/>
    <n v="0"/>
    <n v="0"/>
    <n v="0"/>
    <n v="0"/>
    <n v="0"/>
    <n v="0"/>
    <n v="0"/>
    <n v="0"/>
    <n v="0"/>
    <n v="0"/>
    <n v="2312578.6928900438"/>
    <n v="1142418.6573813495"/>
    <n v="0"/>
    <n v="0"/>
    <n v="0"/>
    <n v="0"/>
    <n v="3454997.3502713935"/>
    <n v="3617674.3236993523"/>
    <n v="1.0720000000000001"/>
    <n v="1.04"/>
    <n v="1.0720000000000001"/>
    <n v="1.04"/>
    <n v="1.1120000000000001"/>
    <n v="1.095"/>
    <n v="1.1120000000000001"/>
    <n v="1.1120000000000001"/>
  </r>
  <r>
    <x v="0"/>
    <x v="0"/>
    <x v="3"/>
    <x v="40"/>
    <x v="52"/>
    <s v="Home Energy Services"/>
    <n v="1"/>
    <n v="25"/>
    <n v="640235.03348794067"/>
    <n v="480176.2751159555"/>
    <n v="160058.75837198517"/>
    <n v="0"/>
    <n v="0"/>
    <n v="0"/>
    <n v="0"/>
    <n v="0"/>
    <n v="0"/>
    <n v="0"/>
    <n v="0"/>
    <n v="0"/>
    <s v=""/>
    <s v=""/>
    <s v=""/>
    <s v=""/>
    <s v=""/>
    <n v="381.5"/>
    <n v="9537.5"/>
    <n v="381.5"/>
    <n v="9537.5"/>
    <n v="0"/>
    <n v="0"/>
    <n v="0"/>
    <n v="0"/>
    <n v="0"/>
    <n v="0"/>
    <n v="0"/>
    <n v="0"/>
    <n v="0"/>
    <n v="0"/>
    <n v="0"/>
    <n v="0"/>
    <n v="0"/>
    <n v="0"/>
    <n v="0"/>
    <n v="0"/>
    <n v="0"/>
    <n v="0"/>
    <n v="0"/>
    <n v="0"/>
    <n v="0"/>
    <n v="0"/>
    <n v="0"/>
    <n v="0"/>
    <n v="0"/>
    <s v=""/>
    <s v=""/>
    <s v=""/>
    <s v=""/>
    <s v=""/>
    <n v="0"/>
    <n v="0"/>
    <n v="0"/>
    <n v="0"/>
    <n v="84878.811134742791"/>
    <n v="0"/>
    <n v="0"/>
    <n v="0"/>
    <n v="0"/>
    <n v="84878.811134742791"/>
    <n v="1265.0687115797498"/>
    <n v="0"/>
    <n v="0"/>
    <n v="3253.9222514508574"/>
    <n v="0"/>
    <n v="0"/>
    <n v="0"/>
    <n v="0"/>
    <n v="4518.9909630306074"/>
    <n v="89397.802097773398"/>
    <n v="0"/>
    <n v="0"/>
    <n v="0"/>
    <n v="0"/>
    <n v="0"/>
    <n v="0"/>
    <n v="89397.802097773398"/>
    <n v="0"/>
    <n v="0"/>
    <n v="0"/>
    <n v="0"/>
    <n v="0"/>
    <n v="0"/>
    <n v="0"/>
    <n v="89397.802097773398"/>
    <n v="1.0720000000000001"/>
    <n v="1.04"/>
    <n v="1.0720000000000001"/>
    <n v="1.04"/>
    <n v="1.1120000000000001"/>
    <n v="1.095"/>
    <n v="1.1120000000000001"/>
    <n v="1.1120000000000001"/>
  </r>
  <r>
    <x v="0"/>
    <x v="0"/>
    <x v="3"/>
    <x v="41"/>
    <x v="53"/>
    <s v="Hot Water"/>
    <n v="3018.24"/>
    <n v="12"/>
    <n v="150912"/>
    <n v="150912"/>
    <n v="0"/>
    <n v="0"/>
    <n v="0"/>
    <n v="0"/>
    <n v="0"/>
    <n v="0"/>
    <n v="0"/>
    <n v="0"/>
    <n v="0"/>
    <n v="0"/>
    <s v=""/>
    <s v=""/>
    <s v=""/>
    <s v=""/>
    <s v=""/>
    <n v="2474.9567999999995"/>
    <n v="29699.481599999992"/>
    <n v="2474.9567999999995"/>
    <n v="29699.481599999992"/>
    <n v="0"/>
    <n v="0"/>
    <n v="0"/>
    <n v="0"/>
    <n v="0"/>
    <n v="0"/>
    <n v="0"/>
    <n v="0"/>
    <n v="0"/>
    <n v="0"/>
    <n v="0"/>
    <n v="0"/>
    <n v="0"/>
    <n v="0"/>
    <n v="0"/>
    <n v="0"/>
    <n v="0"/>
    <n v="0"/>
    <n v="0"/>
    <n v="0"/>
    <n v="0"/>
    <n v="0"/>
    <n v="0"/>
    <n v="0"/>
    <n v="0"/>
    <s v=""/>
    <s v=""/>
    <s v=""/>
    <s v=""/>
    <s v=""/>
    <n v="0"/>
    <n v="0"/>
    <n v="0"/>
    <n v="233937.65071697213"/>
    <n v="0"/>
    <n v="0"/>
    <n v="0"/>
    <n v="0"/>
    <n v="0"/>
    <n v="233937.65071697213"/>
    <n v="4051.8583917315141"/>
    <n v="0"/>
    <n v="19617.63788971418"/>
    <n v="0"/>
    <n v="0"/>
    <n v="0"/>
    <n v="0"/>
    <n v="0"/>
    <n v="23669.496281445696"/>
    <n v="257607.14699841783"/>
    <n v="0"/>
    <n v="0"/>
    <n v="0"/>
    <n v="0"/>
    <n v="0"/>
    <n v="0"/>
    <n v="257607.14699841783"/>
    <n v="0"/>
    <n v="0"/>
    <n v="0"/>
    <n v="0"/>
    <n v="0"/>
    <n v="0"/>
    <n v="0"/>
    <n v="257607.14699841783"/>
    <n v="1.0720000000000001"/>
    <n v="1.04"/>
    <n v="1.0720000000000001"/>
    <n v="1.04"/>
    <n v="1.1120000000000001"/>
    <n v="1.095"/>
    <n v="1.1120000000000001"/>
    <n v="1.1120000000000001"/>
  </r>
  <r>
    <x v="0"/>
    <x v="0"/>
    <x v="3"/>
    <x v="42"/>
    <x v="54"/>
    <s v="Hot Water"/>
    <n v="3018.24"/>
    <n v="4"/>
    <n v="0"/>
    <n v="0"/>
    <n v="0"/>
    <n v="0"/>
    <n v="0"/>
    <n v="0"/>
    <n v="0"/>
    <n v="0"/>
    <n v="0"/>
    <n v="0"/>
    <n v="0"/>
    <n v="0"/>
    <s v=""/>
    <s v=""/>
    <s v=""/>
    <s v=""/>
    <s v=""/>
    <n v="1056.3839999999998"/>
    <n v="4225.5359999999991"/>
    <n v="1056.3839999999998"/>
    <n v="4225.5359999999991"/>
    <n v="0"/>
    <n v="0"/>
    <n v="0"/>
    <n v="0"/>
    <n v="0"/>
    <n v="0"/>
    <n v="0"/>
    <n v="0"/>
    <n v="0"/>
    <n v="0"/>
    <n v="0"/>
    <n v="0"/>
    <n v="0"/>
    <n v="0"/>
    <n v="0"/>
    <n v="0"/>
    <n v="0"/>
    <n v="0"/>
    <n v="0"/>
    <n v="0"/>
    <n v="0"/>
    <n v="0"/>
    <n v="0"/>
    <n v="0"/>
    <n v="0"/>
    <s v=""/>
    <s v=""/>
    <s v=""/>
    <s v=""/>
    <s v=""/>
    <n v="0"/>
    <n v="0"/>
    <n v="0"/>
    <n v="32483.055243329782"/>
    <n v="0"/>
    <n v="0"/>
    <n v="0"/>
    <n v="0"/>
    <n v="0"/>
    <n v="32483.055243329782"/>
    <n v="586.63688717103275"/>
    <n v="0"/>
    <n v="7406.5313288266352"/>
    <n v="0"/>
    <n v="0"/>
    <n v="0"/>
    <n v="0"/>
    <n v="0"/>
    <n v="7993.1682159976681"/>
    <n v="40476.223459327448"/>
    <n v="0"/>
    <n v="0"/>
    <n v="0"/>
    <n v="0"/>
    <n v="0"/>
    <n v="0"/>
    <n v="40476.223459327448"/>
    <n v="0"/>
    <n v="0"/>
    <n v="0"/>
    <n v="0"/>
    <n v="0"/>
    <n v="0"/>
    <n v="0"/>
    <n v="40476.223459327448"/>
    <n v="1.0720000000000001"/>
    <n v="1.04"/>
    <n v="1.0720000000000001"/>
    <n v="1.04"/>
    <n v="1.1120000000000001"/>
    <n v="1.095"/>
    <n v="1.1120000000000001"/>
    <n v="1.1120000000000001"/>
  </r>
  <r>
    <x v="0"/>
    <x v="0"/>
    <x v="3"/>
    <x v="43"/>
    <x v="55"/>
    <s v="Hot Water"/>
    <n v="251.52"/>
    <n v="12"/>
    <n v="12576"/>
    <n v="12576"/>
    <n v="0"/>
    <n v="0"/>
    <n v="0"/>
    <n v="0"/>
    <n v="0"/>
    <n v="0"/>
    <n v="0"/>
    <n v="0"/>
    <n v="0"/>
    <n v="0"/>
    <s v=""/>
    <s v=""/>
    <s v=""/>
    <s v=""/>
    <s v=""/>
    <n v="80.486400000000003"/>
    <n v="965.83680000000004"/>
    <n v="80.486400000000003"/>
    <n v="965.83680000000004"/>
    <n v="0"/>
    <n v="0"/>
    <n v="0"/>
    <n v="0"/>
    <n v="0"/>
    <n v="0"/>
    <n v="0"/>
    <n v="0"/>
    <n v="0"/>
    <n v="0"/>
    <n v="0"/>
    <n v="0"/>
    <n v="0"/>
    <n v="0"/>
    <n v="0"/>
    <n v="0"/>
    <n v="0"/>
    <n v="0"/>
    <n v="0"/>
    <n v="0"/>
    <n v="0"/>
    <n v="0"/>
    <n v="0"/>
    <n v="0"/>
    <n v="0"/>
    <s v=""/>
    <s v=""/>
    <s v=""/>
    <s v=""/>
    <s v=""/>
    <n v="0"/>
    <n v="0"/>
    <n v="0"/>
    <n v="0"/>
    <n v="0"/>
    <n v="6378.3050487670844"/>
    <n v="0"/>
    <n v="0"/>
    <n v="0"/>
    <n v="6378.3050487670844"/>
    <n v="131.76775257663465"/>
    <n v="744.1955602903804"/>
    <n v="0"/>
    <n v="0"/>
    <n v="0"/>
    <n v="0"/>
    <n v="0"/>
    <n v="0"/>
    <n v="875.96331286701502"/>
    <n v="7254.2683616340992"/>
    <n v="0"/>
    <n v="0"/>
    <n v="0"/>
    <n v="0"/>
    <n v="0"/>
    <n v="0"/>
    <n v="7254.2683616340992"/>
    <n v="0"/>
    <n v="0"/>
    <n v="0"/>
    <n v="0"/>
    <n v="0"/>
    <n v="0"/>
    <n v="0"/>
    <n v="7254.2683616340992"/>
    <n v="1.0720000000000001"/>
    <n v="1.04"/>
    <n v="1.0720000000000001"/>
    <n v="1.04"/>
    <n v="1.1120000000000001"/>
    <n v="1.095"/>
    <n v="1.1120000000000001"/>
    <n v="1.1120000000000001"/>
  </r>
  <r>
    <x v="0"/>
    <x v="0"/>
    <x v="3"/>
    <x v="44"/>
    <x v="56"/>
    <s v="Hot Water"/>
    <n v="251.52"/>
    <n v="4"/>
    <n v="0"/>
    <n v="0"/>
    <n v="0"/>
    <n v="0"/>
    <n v="0"/>
    <n v="0"/>
    <n v="0"/>
    <n v="0"/>
    <n v="0"/>
    <n v="0"/>
    <n v="0"/>
    <n v="0"/>
    <s v=""/>
    <s v=""/>
    <s v=""/>
    <s v=""/>
    <s v=""/>
    <n v="158.45760000000001"/>
    <n v="633.83040000000005"/>
    <n v="158.45760000000001"/>
    <n v="633.83040000000005"/>
    <n v="0"/>
    <n v="0"/>
    <n v="0"/>
    <n v="0"/>
    <n v="0"/>
    <n v="0"/>
    <n v="0"/>
    <n v="0"/>
    <n v="0"/>
    <n v="0"/>
    <n v="0"/>
    <n v="0"/>
    <n v="0"/>
    <n v="0"/>
    <n v="0"/>
    <n v="0"/>
    <n v="0"/>
    <n v="0"/>
    <n v="0"/>
    <n v="0"/>
    <n v="0"/>
    <n v="0"/>
    <n v="0"/>
    <n v="0"/>
    <n v="0"/>
    <s v=""/>
    <s v=""/>
    <s v=""/>
    <s v=""/>
    <s v=""/>
    <n v="0"/>
    <n v="0"/>
    <n v="0"/>
    <n v="0"/>
    <n v="0"/>
    <n v="4020.6790794070253"/>
    <n v="0"/>
    <n v="0"/>
    <n v="0"/>
    <n v="4020.6790794070253"/>
    <n v="87.995533075654933"/>
    <n v="1199.8858971140778"/>
    <n v="0"/>
    <n v="0"/>
    <n v="0"/>
    <n v="0"/>
    <n v="0"/>
    <n v="0"/>
    <n v="1287.8814301897328"/>
    <n v="5308.5605095967585"/>
    <n v="0"/>
    <n v="0"/>
    <n v="0"/>
    <n v="0"/>
    <n v="0"/>
    <n v="0"/>
    <n v="5308.5605095967585"/>
    <n v="0"/>
    <n v="0"/>
    <n v="0"/>
    <n v="0"/>
    <n v="0"/>
    <n v="0"/>
    <n v="0"/>
    <n v="5308.5605095967585"/>
    <n v="1.0720000000000001"/>
    <n v="1.04"/>
    <n v="1.0720000000000001"/>
    <n v="1.04"/>
    <n v="1.1120000000000001"/>
    <n v="1.095"/>
    <n v="1.1120000000000001"/>
    <n v="1.1120000000000001"/>
  </r>
  <r>
    <x v="0"/>
    <x v="0"/>
    <x v="3"/>
    <x v="45"/>
    <x v="57"/>
    <s v="Hot Water"/>
    <n v="251.52"/>
    <n v="12"/>
    <n v="12576"/>
    <n v="12576"/>
    <n v="0"/>
    <n v="0"/>
    <n v="0"/>
    <n v="0"/>
    <n v="0"/>
    <n v="0"/>
    <n v="0"/>
    <n v="0"/>
    <n v="0"/>
    <n v="0"/>
    <s v=""/>
    <s v=""/>
    <s v=""/>
    <s v=""/>
    <s v=""/>
    <n v="286.7328"/>
    <n v="3440.7936"/>
    <n v="286.7328"/>
    <n v="3440.7936"/>
    <n v="0"/>
    <n v="0"/>
    <n v="0"/>
    <n v="0"/>
    <n v="0"/>
    <n v="0"/>
    <n v="0"/>
    <n v="0"/>
    <n v="0"/>
    <n v="0"/>
    <n v="0"/>
    <n v="0"/>
    <n v="0"/>
    <n v="0"/>
    <n v="0"/>
    <n v="0"/>
    <n v="0"/>
    <n v="0"/>
    <n v="0"/>
    <n v="0"/>
    <n v="0"/>
    <n v="0"/>
    <n v="0"/>
    <n v="0"/>
    <n v="0"/>
    <s v=""/>
    <s v=""/>
    <s v=""/>
    <s v=""/>
    <s v=""/>
    <n v="0"/>
    <n v="0"/>
    <n v="0"/>
    <n v="19494.804226414348"/>
    <n v="0"/>
    <n v="6378.3050487670844"/>
    <n v="0"/>
    <n v="0"/>
    <n v="0"/>
    <n v="25873.109275181432"/>
    <n v="469.42261855426091"/>
    <n v="744.1955602903804"/>
    <n v="1634.8031574761822"/>
    <n v="0"/>
    <n v="0"/>
    <n v="0"/>
    <n v="0"/>
    <n v="0"/>
    <n v="2848.4213363208237"/>
    <n v="28721.530611502254"/>
    <n v="0"/>
    <n v="0"/>
    <n v="0"/>
    <n v="0"/>
    <n v="0"/>
    <n v="0"/>
    <n v="28721.530611502254"/>
    <n v="0"/>
    <n v="0"/>
    <n v="0"/>
    <n v="0"/>
    <n v="0"/>
    <n v="0"/>
    <n v="0"/>
    <n v="28721.530611502254"/>
    <n v="1.0720000000000001"/>
    <n v="1.04"/>
    <n v="1.0720000000000001"/>
    <n v="1.04"/>
    <n v="1.1120000000000001"/>
    <n v="1.095"/>
    <n v="1.1120000000000001"/>
    <n v="1.1120000000000001"/>
  </r>
  <r>
    <x v="0"/>
    <x v="0"/>
    <x v="3"/>
    <x v="46"/>
    <x v="58"/>
    <s v="Hot Water"/>
    <n v="251.52"/>
    <n v="4"/>
    <n v="0"/>
    <n v="0"/>
    <n v="0"/>
    <n v="0"/>
    <n v="0"/>
    <n v="0"/>
    <n v="0"/>
    <n v="0"/>
    <n v="0"/>
    <n v="0"/>
    <n v="0"/>
    <n v="0"/>
    <s v=""/>
    <s v=""/>
    <s v=""/>
    <s v=""/>
    <s v=""/>
    <n v="246.4896"/>
    <n v="985.95839999999998"/>
    <n v="246.4896"/>
    <n v="985.95839999999998"/>
    <n v="0"/>
    <n v="0"/>
    <n v="0"/>
    <n v="0"/>
    <n v="0"/>
    <n v="0"/>
    <n v="0"/>
    <n v="0"/>
    <n v="0"/>
    <n v="0"/>
    <n v="0"/>
    <n v="0"/>
    <n v="0"/>
    <n v="0"/>
    <n v="0"/>
    <n v="0"/>
    <n v="0"/>
    <n v="0"/>
    <n v="0"/>
    <n v="0"/>
    <n v="0"/>
    <n v="0"/>
    <n v="0"/>
    <n v="0"/>
    <n v="0"/>
    <s v=""/>
    <s v=""/>
    <s v=""/>
    <s v=""/>
    <s v=""/>
    <n v="0"/>
    <n v="0"/>
    <n v="0"/>
    <n v="2706.9212702774821"/>
    <n v="0"/>
    <n v="4020.6790794070253"/>
    <n v="0"/>
    <n v="0"/>
    <n v="0"/>
    <n v="6727.6003496845078"/>
    <n v="136.88194033990766"/>
    <n v="1199.8858971140778"/>
    <n v="617.21094406888642"/>
    <n v="0"/>
    <n v="0"/>
    <n v="0"/>
    <n v="0"/>
    <n v="0"/>
    <n v="1953.9787815228719"/>
    <n v="8681.5791312073798"/>
    <n v="0"/>
    <n v="0"/>
    <n v="0"/>
    <n v="0"/>
    <n v="0"/>
    <n v="0"/>
    <n v="8681.5791312073798"/>
    <n v="0"/>
    <n v="0"/>
    <n v="0"/>
    <n v="0"/>
    <n v="0"/>
    <n v="0"/>
    <n v="0"/>
    <n v="8681.5791312073798"/>
    <n v="1.0720000000000001"/>
    <n v="1.04"/>
    <n v="1.0720000000000001"/>
    <n v="1.04"/>
    <n v="1.1120000000000001"/>
    <n v="1.095"/>
    <n v="1.1120000000000001"/>
    <n v="1.1120000000000001"/>
  </r>
  <r>
    <x v="0"/>
    <x v="0"/>
    <x v="3"/>
    <x v="47"/>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3"/>
    <x v="3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4"/>
    <x v="48"/>
    <x v="59"/>
    <s v="Behavior"/>
    <n v="402686.93323225883"/>
    <n v="1"/>
    <n v="2355225"/>
    <n v="2355225"/>
    <n v="0"/>
    <n v="0"/>
    <n v="0"/>
    <n v="0"/>
    <n v="0"/>
    <n v="0"/>
    <n v="0"/>
    <n v="0"/>
    <n v="0"/>
    <n v="0"/>
    <s v=""/>
    <s v=""/>
    <s v=""/>
    <s v=""/>
    <s v=""/>
    <n v="478306.95510522911"/>
    <n v="478306.95510522911"/>
    <n v="478306.95510522911"/>
    <n v="478306.95510522911"/>
    <n v="0"/>
    <n v="0"/>
    <n v="0"/>
    <n v="0"/>
    <n v="0"/>
    <n v="0"/>
    <n v="0"/>
    <n v="0"/>
    <n v="0"/>
    <n v="0"/>
    <n v="0"/>
    <n v="0"/>
    <n v="0"/>
    <n v="0"/>
    <n v="0"/>
    <n v="0"/>
    <n v="0"/>
    <n v="0"/>
    <n v="0"/>
    <n v="0"/>
    <n v="0"/>
    <n v="0"/>
    <n v="0"/>
    <n v="0"/>
    <n v="0"/>
    <s v=""/>
    <s v=""/>
    <s v=""/>
    <s v=""/>
    <s v=""/>
    <n v="0"/>
    <n v="0"/>
    <n v="3722177.9933131016"/>
    <n v="0"/>
    <n v="0"/>
    <n v="0"/>
    <n v="0"/>
    <n v="0"/>
    <n v="0"/>
    <n v="3722177.9933131016"/>
    <n v="66841.94544588383"/>
    <n v="0"/>
    <n v="0"/>
    <n v="0"/>
    <n v="1659972.861053091"/>
    <n v="0"/>
    <n v="0"/>
    <n v="0"/>
    <n v="1726814.8064989748"/>
    <n v="5448992.7998120766"/>
    <n v="0"/>
    <n v="0"/>
    <n v="0"/>
    <n v="0"/>
    <n v="0"/>
    <n v="0"/>
    <n v="5448992.7998120766"/>
    <n v="0"/>
    <n v="0"/>
    <n v="0"/>
    <n v="0"/>
    <n v="0"/>
    <n v="0"/>
    <n v="0"/>
    <n v="5448992.7998120766"/>
    <n v="1.0720000000000001"/>
    <n v="1.04"/>
    <n v="1.0720000000000001"/>
    <n v="1.04"/>
    <n v="1.1120000000000001"/>
    <n v="1.095"/>
    <n v="1.1120000000000001"/>
    <n v="1.1120000000000001"/>
  </r>
  <r>
    <x v="0"/>
    <x v="0"/>
    <x v="4"/>
    <x v="31"/>
    <x v="10"/>
    <s v="Behavior"/>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0"/>
    <x v="4"/>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2"/>
    <x v="5"/>
    <x v="49"/>
    <x v="60"/>
    <s v="HVAC"/>
    <n v="400"/>
    <n v="20"/>
    <n v="941208.78954940569"/>
    <n v="400000"/>
    <n v="541208.78954940569"/>
    <n v="0"/>
    <n v="0"/>
    <n v="0"/>
    <n v="0"/>
    <n v="0"/>
    <n v="0"/>
    <n v="0"/>
    <n v="0"/>
    <n v="0"/>
    <s v=""/>
    <s v=""/>
    <s v=""/>
    <s v=""/>
    <s v=""/>
    <n v="4560"/>
    <n v="91200"/>
    <n v="3465.5999999999995"/>
    <n v="69311.999999999985"/>
    <n v="0"/>
    <n v="0"/>
    <n v="0"/>
    <n v="0"/>
    <n v="0"/>
    <n v="0"/>
    <n v="0"/>
    <n v="0"/>
    <n v="0"/>
    <n v="0"/>
    <n v="0"/>
    <n v="0"/>
    <n v="0"/>
    <n v="0"/>
    <n v="0"/>
    <n v="0"/>
    <n v="0"/>
    <n v="0"/>
    <n v="0"/>
    <n v="0"/>
    <n v="0"/>
    <n v="0"/>
    <n v="0"/>
    <n v="0"/>
    <n v="0"/>
    <s v=""/>
    <s v=""/>
    <s v=""/>
    <s v=""/>
    <s v=""/>
    <n v="0"/>
    <n v="0"/>
    <n v="0"/>
    <n v="0"/>
    <n v="600651.99614381755"/>
    <n v="0"/>
    <n v="0"/>
    <n v="0"/>
    <n v="0"/>
    <n v="600651.99614381755"/>
    <n v="9293.4354824223774"/>
    <n v="0"/>
    <n v="0"/>
    <n v="28210.187508351868"/>
    <n v="0"/>
    <n v="0"/>
    <n v="0"/>
    <n v="0"/>
    <n v="37503.622990774245"/>
    <n v="638155.61913459178"/>
    <n v="0"/>
    <n v="0"/>
    <n v="0"/>
    <n v="0"/>
    <n v="0"/>
    <n v="0"/>
    <n v="638155.61913459178"/>
    <n v="289292.87896838516"/>
    <n v="117367.19677939963"/>
    <n v="0"/>
    <n v="0"/>
    <n v="0"/>
    <n v="0"/>
    <n v="406660.07574778481"/>
    <n v="1044815.6948823766"/>
    <n v="1.0720000000000001"/>
    <n v="1.04"/>
    <n v="1.0720000000000001"/>
    <n v="1.04"/>
    <n v="1.1120000000000001"/>
    <n v="1.095"/>
    <n v="1.1120000000000001"/>
    <n v="1.1120000000000001"/>
  </r>
  <r>
    <x v="0"/>
    <x v="2"/>
    <x v="5"/>
    <x v="50"/>
    <x v="61"/>
    <s v="HVAC"/>
    <n v="3100"/>
    <n v="20"/>
    <n v="9274232.479258148"/>
    <n v="4650000"/>
    <n v="4624232.479258148"/>
    <n v="0"/>
    <n v="0"/>
    <n v="0"/>
    <n v="0"/>
    <n v="0"/>
    <n v="0"/>
    <n v="0"/>
    <n v="0"/>
    <n v="0"/>
    <s v=""/>
    <s v=""/>
    <s v=""/>
    <s v=""/>
    <s v=""/>
    <n v="43710"/>
    <n v="874200"/>
    <n v="33656.699999999997"/>
    <n v="673134"/>
    <n v="0"/>
    <n v="0"/>
    <n v="0"/>
    <n v="0"/>
    <n v="0"/>
    <n v="0"/>
    <n v="0"/>
    <n v="0"/>
    <n v="0"/>
    <n v="0"/>
    <n v="0"/>
    <n v="0"/>
    <n v="0"/>
    <n v="0"/>
    <n v="0"/>
    <n v="0"/>
    <n v="0"/>
    <n v="0"/>
    <n v="0"/>
    <n v="0"/>
    <n v="0"/>
    <n v="0"/>
    <n v="0"/>
    <n v="0"/>
    <n v="0"/>
    <s v=""/>
    <s v=""/>
    <s v=""/>
    <s v=""/>
    <s v=""/>
    <n v="0"/>
    <n v="0"/>
    <n v="0"/>
    <n v="0"/>
    <n v="5833322.9566636728"/>
    <n v="0"/>
    <n v="0"/>
    <n v="0"/>
    <n v="0"/>
    <n v="5833322.9566636728"/>
    <n v="90254.608149020452"/>
    <n v="0"/>
    <n v="0"/>
    <n v="273967.51440222369"/>
    <n v="0"/>
    <n v="0"/>
    <n v="0"/>
    <n v="0"/>
    <n v="364222.12255124416"/>
    <n v="6197545.0792149166"/>
    <n v="0"/>
    <n v="0"/>
    <n v="0"/>
    <n v="0"/>
    <n v="0"/>
    <n v="0"/>
    <n v="6197545.0792149166"/>
    <n v="2244668.5321988673"/>
    <n v="917506.17422883096"/>
    <n v="0"/>
    <n v="0"/>
    <n v="0"/>
    <n v="0"/>
    <n v="3162174.706427698"/>
    <n v="9359719.7856426146"/>
    <n v="1.0720000000000001"/>
    <n v="1.04"/>
    <n v="1.0720000000000001"/>
    <n v="1.04"/>
    <n v="1.1120000000000001"/>
    <n v="1.095"/>
    <n v="1.1120000000000001"/>
    <n v="1.1120000000000001"/>
  </r>
  <r>
    <x v="0"/>
    <x v="2"/>
    <x v="5"/>
    <x v="51"/>
    <x v="62"/>
    <s v="HVAC"/>
    <n v="1000"/>
    <n v="17"/>
    <n v="746045.53770259256"/>
    <n v="200000"/>
    <n v="546045.53770259256"/>
    <n v="0"/>
    <n v="0"/>
    <n v="0"/>
    <n v="0"/>
    <n v="0"/>
    <n v="0"/>
    <n v="0"/>
    <n v="0"/>
    <n v="0"/>
    <s v=""/>
    <s v=""/>
    <s v=""/>
    <s v=""/>
    <s v=""/>
    <n v="8100"/>
    <n v="137700"/>
    <n v="6561"/>
    <n v="111537"/>
    <n v="0"/>
    <n v="0"/>
    <n v="0"/>
    <n v="0"/>
    <n v="0"/>
    <n v="0"/>
    <n v="0"/>
    <n v="0"/>
    <n v="0"/>
    <n v="0"/>
    <n v="0"/>
    <n v="0"/>
    <n v="0"/>
    <n v="0"/>
    <n v="0"/>
    <n v="0"/>
    <n v="0"/>
    <n v="0"/>
    <n v="0"/>
    <n v="0"/>
    <n v="0"/>
    <n v="0"/>
    <n v="0"/>
    <n v="0"/>
    <n v="0"/>
    <s v=""/>
    <s v=""/>
    <s v=""/>
    <s v=""/>
    <s v=""/>
    <n v="0"/>
    <n v="0"/>
    <n v="0"/>
    <n v="0"/>
    <n v="951004.74485846155"/>
    <n v="0"/>
    <n v="0"/>
    <n v="0"/>
    <n v="0"/>
    <n v="951004.74485846155"/>
    <n v="15052.483535733072"/>
    <n v="0"/>
    <n v="0"/>
    <n v="51847.571177659818"/>
    <n v="0"/>
    <n v="0"/>
    <n v="0"/>
    <n v="0"/>
    <n v="66900.054713392892"/>
    <n v="1017904.7995718544"/>
    <n v="0"/>
    <n v="0"/>
    <n v="0"/>
    <n v="0"/>
    <n v="0"/>
    <n v="0"/>
    <n v="1017904.7995718544"/>
    <n v="625709.52515880251"/>
    <n v="307902.22849744122"/>
    <n v="0"/>
    <n v="0"/>
    <n v="0"/>
    <n v="0"/>
    <n v="933611.75365624367"/>
    <n v="1951516.553228098"/>
    <n v="1.0720000000000001"/>
    <n v="1.04"/>
    <n v="1.0720000000000001"/>
    <n v="1.04"/>
    <n v="1.1120000000000001"/>
    <n v="1.095"/>
    <n v="1.1120000000000001"/>
    <n v="1.1120000000000001"/>
  </r>
  <r>
    <x v="0"/>
    <x v="2"/>
    <x v="5"/>
    <x v="52"/>
    <x v="63"/>
    <s v="HVAC"/>
    <s v=""/>
    <n v="1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2"/>
    <x v="5"/>
    <x v="53"/>
    <x v="64"/>
    <s v="HVAC"/>
    <n v="1600"/>
    <n v="17"/>
    <n v="1403834.8123241481"/>
    <n v="800000"/>
    <n v="603834.81232414814"/>
    <n v="0"/>
    <n v="0"/>
    <n v="0"/>
    <n v="0"/>
    <n v="0"/>
    <n v="0"/>
    <n v="0"/>
    <n v="0"/>
    <n v="0"/>
    <s v=""/>
    <s v=""/>
    <s v=""/>
    <s v=""/>
    <s v=""/>
    <n v="14719.999999999998"/>
    <n v="250239.99999999997"/>
    <n v="11923.199999999999"/>
    <n v="202694.39999999999"/>
    <n v="0"/>
    <n v="0"/>
    <n v="0"/>
    <n v="0"/>
    <n v="0"/>
    <n v="0"/>
    <n v="0"/>
    <n v="0"/>
    <n v="0"/>
    <n v="0"/>
    <n v="0"/>
    <n v="0"/>
    <n v="0"/>
    <n v="0"/>
    <n v="0"/>
    <n v="0"/>
    <n v="0"/>
    <n v="0"/>
    <n v="0"/>
    <n v="0"/>
    <n v="0"/>
    <n v="0"/>
    <n v="0"/>
    <n v="0"/>
    <n v="0"/>
    <s v=""/>
    <s v=""/>
    <s v=""/>
    <s v=""/>
    <s v=""/>
    <n v="0"/>
    <n v="0"/>
    <n v="0"/>
    <n v="0"/>
    <n v="1728245.6597921669"/>
    <n v="0"/>
    <n v="0"/>
    <n v="0"/>
    <n v="0"/>
    <n v="1728245.6597921669"/>
    <n v="27354.636746418615"/>
    <n v="0"/>
    <n v="0"/>
    <n v="94221.758979648454"/>
    <n v="0"/>
    <n v="0"/>
    <n v="0"/>
    <n v="0"/>
    <n v="121576.39572606707"/>
    <n v="1849822.0555182339"/>
    <n v="0"/>
    <n v="0"/>
    <n v="0"/>
    <n v="0"/>
    <n v="0"/>
    <n v="0"/>
    <n v="1849822.0555182339"/>
    <n v="1001135.240254084"/>
    <n v="492643.56559590605"/>
    <n v="0"/>
    <n v="0"/>
    <n v="0"/>
    <n v="0"/>
    <n v="1493778.8058499901"/>
    <n v="3343600.861368224"/>
    <n v="1.0720000000000001"/>
    <n v="1.04"/>
    <n v="1.0720000000000001"/>
    <n v="1.04"/>
    <n v="1.1120000000000001"/>
    <n v="1.095"/>
    <n v="1.1120000000000001"/>
    <n v="1.1120000000000001"/>
  </r>
  <r>
    <x v="0"/>
    <x v="2"/>
    <x v="5"/>
    <x v="54"/>
    <x v="65"/>
    <s v="HVAC"/>
    <s v=""/>
    <n v="1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0"/>
    <x v="2"/>
    <x v="5"/>
    <x v="55"/>
    <x v="66"/>
    <s v="HVAC"/>
    <n v="1200"/>
    <n v="19"/>
    <n v="1534888.507187329"/>
    <n v="1440000"/>
    <n v="94888.507187329"/>
    <n v="0"/>
    <n v="0"/>
    <n v="0"/>
    <n v="0"/>
    <n v="0"/>
    <n v="0"/>
    <n v="0"/>
    <n v="0"/>
    <n v="0"/>
    <s v=""/>
    <s v=""/>
    <s v=""/>
    <s v=""/>
    <s v=""/>
    <n v="12360"/>
    <n v="234840"/>
    <n v="9146.3999999999978"/>
    <n v="173781.59999999995"/>
    <n v="0"/>
    <n v="0"/>
    <n v="0"/>
    <n v="0"/>
    <n v="0"/>
    <n v="0"/>
    <n v="0"/>
    <n v="0"/>
    <n v="0"/>
    <n v="0"/>
    <n v="0"/>
    <n v="0"/>
    <n v="0"/>
    <n v="0"/>
    <n v="0"/>
    <n v="0"/>
    <n v="0"/>
    <n v="0"/>
    <n v="0"/>
    <n v="0"/>
    <n v="0"/>
    <n v="0"/>
    <n v="0"/>
    <n v="0"/>
    <n v="0"/>
    <s v=""/>
    <s v=""/>
    <s v=""/>
    <s v=""/>
    <s v=""/>
    <n v="0"/>
    <n v="0"/>
    <n v="1467111.9185575843"/>
    <n v="0"/>
    <n v="0"/>
    <n v="0"/>
    <n v="0"/>
    <n v="0"/>
    <n v="0"/>
    <n v="1467111.9185575843"/>
    <n v="23351.31808822625"/>
    <n v="0"/>
    <n v="0"/>
    <n v="0"/>
    <n v="78443.456029050692"/>
    <n v="0"/>
    <n v="0"/>
    <n v="0"/>
    <n v="101794.77411727695"/>
    <n v="1568906.6926748613"/>
    <n v="0"/>
    <n v="0"/>
    <n v="0"/>
    <n v="0"/>
    <n v="0"/>
    <n v="0"/>
    <n v="1568906.6926748613"/>
    <n v="44318.390471625804"/>
    <n v="17152.993329454883"/>
    <n v="0"/>
    <n v="0"/>
    <n v="0"/>
    <n v="0"/>
    <n v="61471.383801080687"/>
    <n v="1630378.076475942"/>
    <n v="1.0720000000000001"/>
    <n v="1.04"/>
    <n v="1.0720000000000001"/>
    <n v="1.04"/>
    <n v="1.1120000000000001"/>
    <n v="1.095"/>
    <n v="1.1120000000000001"/>
    <n v="1.1120000000000001"/>
  </r>
  <r>
    <x v="0"/>
    <x v="2"/>
    <x v="5"/>
    <x v="56"/>
    <x v="67"/>
    <s v="HVAC"/>
    <n v="850"/>
    <n v="19"/>
    <n v="2116756.5216335137"/>
    <n v="1360000"/>
    <n v="756756.52163351374"/>
    <n v="0"/>
    <n v="0"/>
    <n v="0"/>
    <n v="0"/>
    <n v="0"/>
    <n v="0"/>
    <n v="0"/>
    <n v="0"/>
    <n v="0"/>
    <s v=""/>
    <s v=""/>
    <s v=""/>
    <s v=""/>
    <s v=""/>
    <n v="10880"/>
    <n v="206720"/>
    <n v="8051.1999999999989"/>
    <n v="152972.79999999999"/>
    <n v="0"/>
    <n v="0"/>
    <n v="0"/>
    <n v="0"/>
    <n v="0"/>
    <n v="0"/>
    <n v="0"/>
    <n v="0"/>
    <n v="0"/>
    <n v="0"/>
    <n v="0"/>
    <n v="0"/>
    <n v="0"/>
    <n v="0"/>
    <n v="0"/>
    <n v="0"/>
    <n v="0"/>
    <n v="0"/>
    <n v="0"/>
    <n v="0"/>
    <n v="0"/>
    <n v="0"/>
    <n v="0"/>
    <n v="0"/>
    <n v="0"/>
    <s v=""/>
    <s v=""/>
    <s v=""/>
    <s v=""/>
    <s v=""/>
    <n v="0"/>
    <n v="0"/>
    <n v="1291438.3231315953"/>
    <n v="0"/>
    <n v="0"/>
    <n v="0"/>
    <n v="0"/>
    <n v="0"/>
    <n v="0"/>
    <n v="1291438.3231315953"/>
    <n v="20555.20556633508"/>
    <n v="0"/>
    <n v="0"/>
    <n v="0"/>
    <n v="69050.550290944302"/>
    <n v="0"/>
    <n v="0"/>
    <n v="0"/>
    <n v="89605.755857279379"/>
    <n v="1381044.0789888746"/>
    <n v="0"/>
    <n v="0"/>
    <n v="0"/>
    <n v="0"/>
    <n v="0"/>
    <n v="0"/>
    <n v="1381044.0789888746"/>
    <n v="31392.193250734941"/>
    <n v="12150.03694169721"/>
    <n v="0"/>
    <n v="0"/>
    <n v="0"/>
    <n v="0"/>
    <n v="43542.230192432151"/>
    <n v="1424586.3091813067"/>
    <n v="1.0720000000000001"/>
    <n v="1.04"/>
    <n v="1.0720000000000001"/>
    <n v="1.04"/>
    <n v="1.1120000000000001"/>
    <n v="1.095"/>
    <n v="1.1120000000000001"/>
    <n v="1.1120000000000001"/>
  </r>
  <r>
    <x v="0"/>
    <x v="2"/>
    <x v="5"/>
    <x v="57"/>
    <x v="68"/>
    <s v="HVAC"/>
    <n v="51.1875"/>
    <n v="15"/>
    <n v="15356.25"/>
    <n v="11517.1875"/>
    <n v="3839.0625"/>
    <n v="0"/>
    <n v="0"/>
    <n v="0"/>
    <n v="0"/>
    <n v="0"/>
    <n v="0"/>
    <n v="0"/>
    <n v="0"/>
    <n v="0"/>
    <s v=""/>
    <s v=""/>
    <s v=""/>
    <s v=""/>
    <s v=""/>
    <n v="230.34375"/>
    <n v="3455.15625"/>
    <n v="230.34375"/>
    <n v="3455.15625"/>
    <n v="0"/>
    <n v="0"/>
    <n v="0"/>
    <n v="0"/>
    <n v="0"/>
    <n v="0"/>
    <n v="0"/>
    <n v="0"/>
    <n v="0"/>
    <n v="0"/>
    <n v="0"/>
    <n v="0"/>
    <n v="0"/>
    <n v="0"/>
    <n v="0"/>
    <n v="0"/>
    <n v="0"/>
    <n v="0"/>
    <n v="0"/>
    <n v="0"/>
    <n v="0"/>
    <n v="0"/>
    <n v="0"/>
    <n v="0"/>
    <n v="0"/>
    <s v=""/>
    <s v=""/>
    <s v=""/>
    <s v=""/>
    <s v=""/>
    <n v="0"/>
    <n v="0"/>
    <n v="0"/>
    <n v="0"/>
    <n v="29136.372937202668"/>
    <n v="0"/>
    <n v="0"/>
    <n v="0"/>
    <n v="0"/>
    <n v="29136.372937202668"/>
    <n v="468.31845961291236"/>
    <n v="0"/>
    <n v="0"/>
    <n v="1783.3659337754402"/>
    <n v="0"/>
    <n v="0"/>
    <n v="0"/>
    <n v="0"/>
    <n v="2251.6843933883524"/>
    <n v="31388.057330591022"/>
    <n v="0"/>
    <n v="0"/>
    <n v="0"/>
    <n v="0"/>
    <n v="0"/>
    <n v="0"/>
    <n v="31388.057330591022"/>
    <n v="0"/>
    <n v="0"/>
    <n v="0"/>
    <n v="0"/>
    <n v="0"/>
    <n v="0"/>
    <n v="0"/>
    <n v="31388.057330591022"/>
    <n v="1.0720000000000001"/>
    <n v="1.04"/>
    <n v="1.0720000000000001"/>
    <n v="1.04"/>
    <n v="1.1120000000000001"/>
    <n v="1.095"/>
    <n v="1.1120000000000001"/>
    <n v="1.1120000000000001"/>
  </r>
  <r>
    <x v="0"/>
    <x v="2"/>
    <x v="5"/>
    <x v="58"/>
    <x v="69"/>
    <s v="HVAC"/>
    <n v="40"/>
    <n v="20"/>
    <n v="38400"/>
    <n v="20000"/>
    <n v="18400"/>
    <n v="-5.32"/>
    <n v="-5.32"/>
    <n v="-106.4"/>
    <n v="-5.32"/>
    <n v="-106.4"/>
    <n v="-40.231017918934903"/>
    <n v="-65.464390793027007"/>
    <n v="-0.1851576681916095"/>
    <n v="-0.51943361984654224"/>
    <n v="-2.8398899764539829"/>
    <n v="-2.8398899764539829"/>
    <n v="-2.8398899764539829"/>
    <n v="0"/>
    <n v="0"/>
    <n v="308"/>
    <n v="6160"/>
    <n v="308"/>
    <n v="6160"/>
    <n v="0"/>
    <n v="0"/>
    <n v="0"/>
    <n v="0"/>
    <n v="0"/>
    <n v="0"/>
    <n v="0"/>
    <n v="0"/>
    <n v="0"/>
    <n v="0"/>
    <n v="0"/>
    <n v="0"/>
    <n v="-3677.0137208277911"/>
    <n v="-5341.7092372273164"/>
    <n v="-17.330434634146567"/>
    <n v="-36.902784210626599"/>
    <n v="-9072.9561768998792"/>
    <n v="-65.62616694870043"/>
    <n v="-51.375880784409198"/>
    <n v="-0.35664578926962548"/>
    <n v="-0.32826452298451048"/>
    <n v="-1.8621925596658757"/>
    <n v="-382.69985385219405"/>
    <n v="-502.24900445722369"/>
    <n v="-9575.2051813571034"/>
    <n v="0"/>
    <n v="0"/>
    <n v="0"/>
    <n v="0"/>
    <n v="0"/>
    <n v="0"/>
    <n v="-9575.2051813571034"/>
    <n v="0"/>
    <n v="0"/>
    <n v="53382.044901978246"/>
    <n v="0"/>
    <n v="0"/>
    <n v="0"/>
    <n v="0"/>
    <n v="53382.044901978246"/>
    <n v="825.94013405646729"/>
    <n v="0"/>
    <n v="0"/>
    <n v="2507.1380864994162"/>
    <n v="0"/>
    <n v="0"/>
    <n v="0"/>
    <n v="0"/>
    <n v="3333.0782205558835"/>
    <n v="56715.123122534133"/>
    <n v="0"/>
    <n v="0"/>
    <n v="0"/>
    <n v="0"/>
    <n v="0"/>
    <n v="0"/>
    <n v="56715.123122534133"/>
    <n v="0"/>
    <n v="0"/>
    <n v="0"/>
    <n v="0"/>
    <n v="0"/>
    <n v="0"/>
    <n v="0"/>
    <n v="47139.917941177031"/>
    <n v="1.0720000000000001"/>
    <n v="1.04"/>
    <n v="1.0720000000000001"/>
    <n v="1.04"/>
    <n v="1.1120000000000001"/>
    <n v="1.095"/>
    <n v="1.1120000000000001"/>
    <n v="1.1120000000000001"/>
  </r>
  <r>
    <x v="0"/>
    <x v="2"/>
    <x v="5"/>
    <x v="59"/>
    <x v="70"/>
    <s v="Hot Water"/>
    <n v="350"/>
    <n v="15"/>
    <n v="819000"/>
    <n v="175000"/>
    <n v="644000"/>
    <n v="0"/>
    <n v="0"/>
    <n v="0"/>
    <n v="0"/>
    <n v="0"/>
    <n v="0"/>
    <n v="0"/>
    <n v="0"/>
    <n v="0"/>
    <s v=""/>
    <s v=""/>
    <s v=""/>
    <s v=""/>
    <s v=""/>
    <n v="2975"/>
    <n v="44625"/>
    <n v="2975"/>
    <n v="44625"/>
    <n v="0"/>
    <n v="0"/>
    <n v="0"/>
    <n v="0"/>
    <n v="0"/>
    <n v="0"/>
    <n v="0"/>
    <n v="0"/>
    <n v="0"/>
    <n v="0"/>
    <n v="0"/>
    <n v="0"/>
    <n v="0"/>
    <n v="0"/>
    <n v="0"/>
    <n v="0"/>
    <n v="0"/>
    <n v="0"/>
    <n v="0"/>
    <n v="0"/>
    <n v="0"/>
    <n v="0"/>
    <n v="0"/>
    <n v="0"/>
    <n v="0"/>
    <s v=""/>
    <s v=""/>
    <s v=""/>
    <s v=""/>
    <s v=""/>
    <n v="0"/>
    <n v="0"/>
    <n v="0"/>
    <n v="357585.73065630492"/>
    <n v="0"/>
    <n v="0"/>
    <n v="0"/>
    <n v="0"/>
    <n v="0"/>
    <n v="357585.73065630492"/>
    <n v="6048.5575030727523"/>
    <n v="0"/>
    <n v="24569.705767994779"/>
    <n v="0"/>
    <n v="0"/>
    <n v="0"/>
    <n v="0"/>
    <n v="0"/>
    <n v="30618.263271067532"/>
    <n v="388203.99392737244"/>
    <n v="0"/>
    <n v="0"/>
    <n v="0"/>
    <n v="0"/>
    <n v="0"/>
    <n v="0"/>
    <n v="388203.99392737244"/>
    <n v="3571.3358536214519"/>
    <n v="14479.750712550267"/>
    <n v="0"/>
    <n v="0"/>
    <n v="0"/>
    <n v="0"/>
    <n v="18051.086566171718"/>
    <n v="406255.08049354417"/>
    <n v="1.0720000000000001"/>
    <n v="1.04"/>
    <n v="1.0720000000000001"/>
    <n v="1.04"/>
    <n v="1.1120000000000001"/>
    <n v="1.095"/>
    <n v="1.1120000000000001"/>
    <n v="1.1120000000000001"/>
  </r>
  <r>
    <x v="0"/>
    <x v="2"/>
    <x v="5"/>
    <x v="60"/>
    <x v="71"/>
    <s v="Hot Water"/>
    <n v="180"/>
    <n v="11"/>
    <n v="101160"/>
    <n v="18000"/>
    <n v="83160"/>
    <n v="0"/>
    <n v="0"/>
    <n v="0"/>
    <n v="0"/>
    <n v="0"/>
    <n v="0"/>
    <n v="0"/>
    <n v="0"/>
    <n v="0"/>
    <s v=""/>
    <s v=""/>
    <s v=""/>
    <s v=""/>
    <s v=""/>
    <n v="648"/>
    <n v="7128"/>
    <n v="648"/>
    <n v="7128"/>
    <n v="0"/>
    <n v="0"/>
    <n v="0"/>
    <n v="0"/>
    <n v="0"/>
    <n v="0"/>
    <n v="0"/>
    <n v="0"/>
    <n v="0"/>
    <n v="0"/>
    <n v="0"/>
    <n v="0"/>
    <n v="0"/>
    <n v="0"/>
    <n v="0"/>
    <n v="0"/>
    <n v="0"/>
    <n v="0"/>
    <n v="0"/>
    <n v="0"/>
    <n v="0"/>
    <n v="0"/>
    <n v="0"/>
    <n v="0"/>
    <n v="0"/>
    <s v=""/>
    <s v=""/>
    <s v=""/>
    <s v=""/>
    <s v=""/>
    <n v="0"/>
    <n v="0"/>
    <n v="0"/>
    <n v="55921.966074412267"/>
    <n v="0"/>
    <n v="0"/>
    <n v="0"/>
    <n v="0"/>
    <n v="0"/>
    <n v="55921.966074412267"/>
    <n v="974.58205638547565"/>
    <n v="0"/>
    <n v="5063.7392310959203"/>
    <n v="0"/>
    <n v="0"/>
    <n v="0"/>
    <n v="0"/>
    <n v="0"/>
    <n v="6038.3212874813962"/>
    <n v="61960.287361893665"/>
    <n v="0"/>
    <n v="0"/>
    <n v="0"/>
    <n v="0"/>
    <n v="0"/>
    <n v="0"/>
    <n v="61960.287361893665"/>
    <n v="2507.5886127439762"/>
    <n v="4345.1663352547266"/>
    <n v="0"/>
    <n v="0"/>
    <n v="0"/>
    <n v="0"/>
    <n v="6852.7549479987028"/>
    <n v="68813.042309892364"/>
    <n v="1.0720000000000001"/>
    <n v="1.04"/>
    <n v="1.0720000000000001"/>
    <n v="1.04"/>
    <n v="1.1120000000000001"/>
    <n v="1.095"/>
    <n v="1.1120000000000001"/>
    <n v="1.1120000000000001"/>
  </r>
  <r>
    <x v="0"/>
    <x v="2"/>
    <x v="5"/>
    <x v="61"/>
    <x v="72"/>
    <s v="Hot Water"/>
    <n v="350"/>
    <n v="19"/>
    <n v="568622.94760255457"/>
    <n v="175000"/>
    <n v="393622.94760255457"/>
    <n v="0"/>
    <n v="0"/>
    <n v="0"/>
    <n v="0"/>
    <n v="0"/>
    <n v="0"/>
    <n v="0"/>
    <n v="0"/>
    <n v="0"/>
    <s v=""/>
    <s v=""/>
    <s v=""/>
    <s v=""/>
    <s v=""/>
    <n v="3290"/>
    <n v="62510"/>
    <n v="2895.2"/>
    <n v="55008.799999999996"/>
    <n v="0"/>
    <n v="0"/>
    <n v="0"/>
    <n v="0"/>
    <n v="0"/>
    <n v="0"/>
    <n v="0"/>
    <n v="0"/>
    <n v="0"/>
    <n v="0"/>
    <n v="0"/>
    <n v="0"/>
    <n v="0"/>
    <n v="0"/>
    <n v="0"/>
    <n v="0"/>
    <n v="0"/>
    <n v="0"/>
    <n v="0"/>
    <n v="0"/>
    <n v="0"/>
    <n v="0"/>
    <n v="0"/>
    <n v="0"/>
    <n v="0"/>
    <s v=""/>
    <s v=""/>
    <s v=""/>
    <s v=""/>
    <s v=""/>
    <n v="0"/>
    <n v="0"/>
    <n v="0"/>
    <n v="451386.62930929562"/>
    <n v="0"/>
    <n v="0"/>
    <n v="0"/>
    <n v="0"/>
    <n v="0"/>
    <n v="451386.62930929562"/>
    <n v="7391.6225103901697"/>
    <n v="0"/>
    <n v="25173.042889019973"/>
    <n v="0"/>
    <n v="0"/>
    <n v="0"/>
    <n v="0"/>
    <n v="0"/>
    <n v="32564.665399410143"/>
    <n v="483951.29470870574"/>
    <n v="0"/>
    <n v="0"/>
    <n v="0"/>
    <n v="0"/>
    <n v="0"/>
    <n v="0"/>
    <n v="483951.29470870574"/>
    <n v="6879.070643365988"/>
    <n v="17405.818736542427"/>
    <n v="0"/>
    <n v="0"/>
    <n v="0"/>
    <n v="0"/>
    <n v="24284.889379908414"/>
    <n v="508236.18408861413"/>
    <n v="1.0720000000000001"/>
    <n v="1.04"/>
    <n v="1.0720000000000001"/>
    <n v="1.04"/>
    <n v="1.1120000000000001"/>
    <n v="1.095"/>
    <n v="1.1120000000000001"/>
    <n v="1.1120000000000001"/>
  </r>
  <r>
    <x v="0"/>
    <x v="2"/>
    <x v="5"/>
    <x v="62"/>
    <x v="73"/>
    <s v="Hot Water"/>
    <n v="1160"/>
    <n v="19"/>
    <n v="2744456.4639188736"/>
    <n v="928000"/>
    <n v="1816456.4639188736"/>
    <n v="0"/>
    <n v="0"/>
    <n v="0"/>
    <n v="0"/>
    <n v="0"/>
    <n v="0"/>
    <n v="0"/>
    <n v="0"/>
    <n v="0"/>
    <s v=""/>
    <s v=""/>
    <s v=""/>
    <s v=""/>
    <s v=""/>
    <n v="11484"/>
    <n v="218196"/>
    <n v="11139.48"/>
    <n v="211650.12"/>
    <n v="0"/>
    <n v="0"/>
    <n v="0"/>
    <n v="0"/>
    <n v="0"/>
    <n v="0"/>
    <n v="0"/>
    <n v="0"/>
    <n v="0"/>
    <n v="0"/>
    <n v="0"/>
    <n v="0"/>
    <n v="0"/>
    <n v="0"/>
    <n v="0"/>
    <n v="0"/>
    <n v="0"/>
    <n v="0"/>
    <n v="0"/>
    <n v="0"/>
    <n v="0"/>
    <n v="0"/>
    <n v="0"/>
    <n v="0"/>
    <n v="0"/>
    <s v=""/>
    <s v=""/>
    <s v=""/>
    <s v=""/>
    <s v=""/>
    <n v="0"/>
    <n v="0"/>
    <n v="0"/>
    <n v="1736740.9261737745"/>
    <n v="0"/>
    <n v="0"/>
    <n v="0"/>
    <n v="0"/>
    <n v="0"/>
    <n v="1736740.9261737745"/>
    <n v="28439.773114824911"/>
    <n v="0"/>
    <n v="96855.004076188241"/>
    <n v="0"/>
    <n v="0"/>
    <n v="0"/>
    <n v="0"/>
    <n v="0"/>
    <n v="125294.77719101316"/>
    <n v="1862035.7033647876"/>
    <n v="0"/>
    <n v="0"/>
    <n v="0"/>
    <n v="0"/>
    <n v="0"/>
    <n v="0"/>
    <n v="1862035.7033647876"/>
    <n v="25130.942493231851"/>
    <n v="63587.750786875113"/>
    <n v="0"/>
    <n v="0"/>
    <n v="0"/>
    <n v="0"/>
    <n v="88718.693280106963"/>
    <n v="1950754.3966448945"/>
    <n v="1.0720000000000001"/>
    <n v="1.04"/>
    <n v="1.0720000000000001"/>
    <n v="1.04"/>
    <n v="1.1120000000000001"/>
    <n v="1.095"/>
    <n v="1.1120000000000001"/>
    <n v="1.1120000000000001"/>
  </r>
  <r>
    <x v="0"/>
    <x v="2"/>
    <x v="5"/>
    <x v="63"/>
    <x v="74"/>
    <s v="Hot Water"/>
    <n v="2700"/>
    <n v="20"/>
    <n v="1605582"/>
    <n v="1080000"/>
    <n v="525582"/>
    <n v="0"/>
    <n v="0"/>
    <n v="0"/>
    <n v="0"/>
    <n v="0"/>
    <n v="0"/>
    <n v="0"/>
    <n v="0"/>
    <n v="0"/>
    <s v=""/>
    <s v=""/>
    <s v=""/>
    <s v=""/>
    <s v=""/>
    <n v="21600"/>
    <n v="432000"/>
    <n v="7343.9999999999991"/>
    <n v="146879.99999999997"/>
    <n v="0"/>
    <n v="0"/>
    <n v="0"/>
    <n v="0"/>
    <n v="0"/>
    <n v="0"/>
    <n v="0"/>
    <n v="0"/>
    <n v="0"/>
    <n v="0"/>
    <n v="0"/>
    <n v="0"/>
    <n v="0"/>
    <n v="0"/>
    <n v="0"/>
    <n v="0"/>
    <n v="0"/>
    <n v="0"/>
    <n v="0"/>
    <n v="0"/>
    <n v="0"/>
    <n v="0"/>
    <n v="0"/>
    <n v="0"/>
    <n v="0"/>
    <s v=""/>
    <s v=""/>
    <s v=""/>
    <s v=""/>
    <s v=""/>
    <n v="0"/>
    <n v="0"/>
    <n v="0"/>
    <n v="1212299.3212398335"/>
    <n v="0"/>
    <n v="0"/>
    <n v="0"/>
    <n v="0"/>
    <n v="0"/>
    <n v="1212299.3212398335"/>
    <n v="19693.845274385374"/>
    <n v="0"/>
    <n v="64646.046944753543"/>
    <n v="0"/>
    <n v="0"/>
    <n v="0"/>
    <n v="0"/>
    <n v="0"/>
    <n v="84339.892219138914"/>
    <n v="1296639.2134589725"/>
    <n v="0"/>
    <n v="0"/>
    <n v="0"/>
    <n v="0"/>
    <n v="0"/>
    <n v="0"/>
    <n v="1296639.2134589725"/>
    <n v="12354.874557921908"/>
    <n v="37978.317583203265"/>
    <n v="0"/>
    <n v="0"/>
    <n v="0"/>
    <n v="0"/>
    <n v="50333.192141125175"/>
    <n v="1346972.4056000977"/>
    <n v="1.0720000000000001"/>
    <n v="1.04"/>
    <n v="1.0720000000000001"/>
    <n v="1.04"/>
    <n v="1.1120000000000001"/>
    <n v="1.095"/>
    <n v="1.1120000000000001"/>
    <n v="1.1120000000000001"/>
  </r>
  <r>
    <x v="0"/>
    <x v="2"/>
    <x v="5"/>
    <x v="25"/>
    <x v="75"/>
    <s v="HVAC"/>
    <n v="871.25"/>
    <n v="15"/>
    <n v="33665.1"/>
    <n v="21781.25"/>
    <n v="11883.849999999999"/>
    <n v="0"/>
    <n v="0"/>
    <n v="0"/>
    <n v="0"/>
    <n v="0"/>
    <n v="0"/>
    <n v="0"/>
    <n v="0"/>
    <n v="0"/>
    <s v=""/>
    <s v=""/>
    <s v=""/>
    <s v=""/>
    <s v=""/>
    <n v="2788"/>
    <n v="41820"/>
    <n v="1170.96"/>
    <n v="17564.400000000001"/>
    <n v="0"/>
    <n v="0"/>
    <n v="0"/>
    <n v="0"/>
    <n v="0"/>
    <n v="0"/>
    <n v="0"/>
    <n v="0"/>
    <n v="0"/>
    <n v="0"/>
    <n v="0"/>
    <n v="0"/>
    <n v="0"/>
    <n v="0"/>
    <n v="0"/>
    <n v="0"/>
    <n v="0"/>
    <n v="0"/>
    <n v="0"/>
    <n v="0"/>
    <n v="0"/>
    <n v="0"/>
    <n v="0"/>
    <n v="0"/>
    <n v="0"/>
    <s v=""/>
    <s v=""/>
    <s v=""/>
    <s v=""/>
    <s v=""/>
    <n v="0"/>
    <n v="0"/>
    <n v="0"/>
    <n v="0"/>
    <n v="148115.70643677912"/>
    <n v="0"/>
    <n v="0"/>
    <n v="0"/>
    <n v="0"/>
    <n v="148115.70643677912"/>
    <n v="2380.7122332094355"/>
    <n v="0"/>
    <n v="0"/>
    <n v="9065.7991537156504"/>
    <n v="0"/>
    <n v="0"/>
    <n v="0"/>
    <n v="0"/>
    <n v="11446.511386925085"/>
    <n v="159562.21782370421"/>
    <n v="0"/>
    <n v="0"/>
    <n v="0"/>
    <n v="0"/>
    <n v="0"/>
    <n v="0"/>
    <n v="159562.21782370421"/>
    <n v="22269.698513344381"/>
    <n v="14525.295389084351"/>
    <n v="0"/>
    <n v="0"/>
    <n v="0"/>
    <n v="0"/>
    <n v="36794.993902428731"/>
    <n v="196357.21172613295"/>
    <n v="1.0720000000000001"/>
    <n v="1.04"/>
    <n v="1.0720000000000001"/>
    <n v="1.04"/>
    <n v="1.1120000000000001"/>
    <n v="1.095"/>
    <n v="1.1120000000000001"/>
    <n v="1.1120000000000001"/>
  </r>
  <r>
    <x v="0"/>
    <x v="2"/>
    <x v="5"/>
    <x v="64"/>
    <x v="76"/>
    <s v="HVAC"/>
    <n v="5800"/>
    <n v="15"/>
    <n v="1554400"/>
    <n v="580000"/>
    <n v="974400"/>
    <n v="0"/>
    <n v="0"/>
    <n v="0"/>
    <n v="0"/>
    <n v="0"/>
    <n v="0"/>
    <n v="0"/>
    <n v="0"/>
    <n v="0"/>
    <s v=""/>
    <s v=""/>
    <s v=""/>
    <s v=""/>
    <s v=""/>
    <n v="38280"/>
    <n v="574200"/>
    <n v="38280"/>
    <n v="574200"/>
    <n v="0"/>
    <n v="0"/>
    <n v="0"/>
    <n v="0"/>
    <n v="0"/>
    <n v="0"/>
    <n v="0"/>
    <n v="0"/>
    <n v="0"/>
    <n v="0"/>
    <n v="0"/>
    <n v="0"/>
    <n v="0"/>
    <n v="0"/>
    <n v="0"/>
    <n v="0"/>
    <n v="0"/>
    <n v="0"/>
    <n v="0"/>
    <n v="0"/>
    <n v="0"/>
    <n v="0"/>
    <n v="0"/>
    <n v="0"/>
    <n v="0"/>
    <s v=""/>
    <s v=""/>
    <s v=""/>
    <s v=""/>
    <s v=""/>
    <n v="0"/>
    <n v="0"/>
    <n v="0"/>
    <n v="0"/>
    <n v="4842069.1077405754"/>
    <n v="0"/>
    <n v="0"/>
    <n v="0"/>
    <n v="0"/>
    <n v="4842069.1077405754"/>
    <n v="77828.161753823515"/>
    <n v="0"/>
    <n v="0"/>
    <n v="296371.17544940487"/>
    <n v="0"/>
    <n v="0"/>
    <n v="0"/>
    <n v="0"/>
    <n v="374199.33720322838"/>
    <n v="5216268.4449438043"/>
    <n v="0"/>
    <n v="0"/>
    <n v="0"/>
    <n v="0"/>
    <n v="0"/>
    <n v="0"/>
    <n v="5216268.4449438043"/>
    <n v="352980.12264097127"/>
    <n v="230229.45482459309"/>
    <n v="0"/>
    <n v="0"/>
    <n v="0"/>
    <n v="0"/>
    <n v="583209.57746556436"/>
    <n v="5799478.0224093683"/>
    <n v="1.0720000000000001"/>
    <n v="1.04"/>
    <n v="1.0720000000000001"/>
    <n v="1.04"/>
    <n v="1.1120000000000001"/>
    <n v="1.095"/>
    <n v="1.1120000000000001"/>
    <n v="1.1120000000000001"/>
  </r>
  <r>
    <x v="0"/>
    <x v="2"/>
    <x v="5"/>
    <x v="65"/>
    <x v="77"/>
    <s v="HVAC"/>
    <n v="2100"/>
    <n v="15"/>
    <n v="562800"/>
    <n v="210000"/>
    <n v="352800"/>
    <n v="218.4"/>
    <n v="218.4"/>
    <n v="3276"/>
    <n v="218.4"/>
    <n v="3276"/>
    <n v="29.346658764872714"/>
    <n v="134.86896095120176"/>
    <n v="1763.1993859749712"/>
    <n v="1348.5849943088974"/>
    <n v="485.49491443230608"/>
    <n v="0"/>
    <n v="0"/>
    <n v="485.49491443230608"/>
    <n v="485.49491443230608"/>
    <n v="13860"/>
    <n v="207900"/>
    <n v="13860"/>
    <n v="207900"/>
    <n v="0"/>
    <n v="0"/>
    <n v="0"/>
    <n v="0"/>
    <n v="0"/>
    <n v="0"/>
    <n v="0"/>
    <n v="0"/>
    <n v="0"/>
    <n v="0"/>
    <n v="0"/>
    <n v="0"/>
    <n v="2465.0233433668286"/>
    <n v="10136.221946266465"/>
    <n v="144188.6823870076"/>
    <n v="86363.58753369427"/>
    <n v="243153.51521033514"/>
    <n v="63.828320439078986"/>
    <n v="141.12530645355838"/>
    <n v="4528.3038525487955"/>
    <n v="1136.3469567530494"/>
    <n v="9778.6867223649479"/>
    <n v="725.29947383336639"/>
    <n v="16373.590632392796"/>
    <n v="259527.10584272793"/>
    <n v="1258487.5639473263"/>
    <n v="0"/>
    <n v="0"/>
    <n v="174960.74079769236"/>
    <n v="792526.46306200116"/>
    <n v="2225974.7678070199"/>
    <n v="2485501.873649748"/>
    <n v="0"/>
    <n v="0"/>
    <n v="1753162.952802622"/>
    <n v="0"/>
    <n v="0"/>
    <n v="0"/>
    <n v="0"/>
    <n v="1753162.952802622"/>
    <n v="28179.16201431541"/>
    <n v="0"/>
    <n v="0"/>
    <n v="107306.80490409487"/>
    <n v="0"/>
    <n v="0"/>
    <n v="0"/>
    <n v="0"/>
    <n v="135485.96691841027"/>
    <n v="1888648.9197210323"/>
    <n v="0"/>
    <n v="0"/>
    <n v="0"/>
    <n v="0"/>
    <n v="0"/>
    <n v="0"/>
    <n v="1888648.9197210323"/>
    <n v="127803.14785276545"/>
    <n v="83358.940539938878"/>
    <n v="0"/>
    <n v="0"/>
    <n v="0"/>
    <n v="0"/>
    <n v="211162.08839270432"/>
    <n v="4585312.8817634843"/>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0"/>
    <x v="2"/>
    <x v="5"/>
    <x v="66"/>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2"/>
    <x v="5"/>
    <x v="67"/>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2"/>
    <x v="5"/>
    <x v="68"/>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2"/>
    <x v="5"/>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2"/>
    <x v="5"/>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69"/>
    <x v="78"/>
    <s v="Behavior"/>
    <n v="1600"/>
    <n v="5"/>
    <n v="0"/>
    <n v="0"/>
    <n v="0"/>
    <n v="0"/>
    <n v="0"/>
    <n v="0"/>
    <n v="0"/>
    <n v="0"/>
    <n v="0"/>
    <n v="0"/>
    <n v="0"/>
    <n v="0"/>
    <s v=""/>
    <s v=""/>
    <s v=""/>
    <s v=""/>
    <s v=""/>
    <n v="0"/>
    <n v="0"/>
    <n v="0"/>
    <n v="0"/>
    <n v="0"/>
    <n v="0"/>
    <n v="0"/>
    <n v="0"/>
    <n v="0"/>
    <n v="0"/>
    <n v="0"/>
    <n v="0"/>
    <n v="0"/>
    <n v="0"/>
    <n v="0"/>
    <n v="0"/>
    <n v="0"/>
    <n v="0"/>
    <n v="0"/>
    <n v="0"/>
    <n v="0"/>
    <n v="0"/>
    <n v="0"/>
    <n v="0"/>
    <n v="0"/>
    <n v="0"/>
    <n v="0"/>
    <n v="0"/>
    <n v="0"/>
    <s v=""/>
    <s v=""/>
    <s v=""/>
    <s v=""/>
    <s v=""/>
    <n v="0"/>
    <n v="0"/>
    <n v="0"/>
    <n v="0"/>
    <n v="0"/>
    <n v="0"/>
    <n v="0"/>
    <n v="0"/>
    <n v="0"/>
    <n v="0"/>
    <n v="0"/>
    <n v="0"/>
    <n v="0"/>
    <n v="0"/>
    <n v="0"/>
    <n v="0"/>
    <n v="0"/>
    <n v="0"/>
    <n v="0"/>
    <n v="0"/>
    <n v="0"/>
    <n v="0"/>
    <n v="0"/>
    <n v="0"/>
    <n v="0"/>
    <n v="0"/>
    <n v="0"/>
    <n v="60928.757686739205"/>
    <n v="0"/>
    <n v="0"/>
    <n v="0"/>
    <n v="0"/>
    <n v="0"/>
    <n v="60928.757686739205"/>
    <n v="60928.757686739205"/>
    <n v="1.0720000000000001"/>
    <n v="1.04"/>
    <n v="1.0720000000000001"/>
    <n v="1.04"/>
    <n v="1.1120000000000001"/>
    <n v="1.095"/>
    <n v="1.1120000000000001"/>
    <n v="1.1120000000000001"/>
  </r>
  <r>
    <x v="2"/>
    <x v="3"/>
    <x v="6"/>
    <x v="70"/>
    <x v="79"/>
    <s v="Envelope"/>
    <n v="1232"/>
    <n v="20"/>
    <n v="6468000"/>
    <n v="6468000"/>
    <n v="0"/>
    <n v="423.80799999999999"/>
    <n v="423.80799999999999"/>
    <n v="8476.16"/>
    <n v="423.80799999999999"/>
    <n v="8476.16"/>
    <n v="1949.6916237738592"/>
    <n v="3262.9830553630113"/>
    <n v="1838.9435374474829"/>
    <n v="1424.5417834156458"/>
    <n v="378.22399999999999"/>
    <n v="166.41855999999999"/>
    <n v="166.41855999999999"/>
    <n v="378.22399999999999"/>
    <n v="378.22399999999999"/>
    <n v="32401.600000000002"/>
    <n v="648032"/>
    <n v="32401.600000000002"/>
    <n v="648032"/>
    <n v="0"/>
    <n v="0"/>
    <n v="0"/>
    <n v="0"/>
    <n v="0"/>
    <n v="0"/>
    <n v="0"/>
    <n v="0"/>
    <n v="0"/>
    <n v="0"/>
    <n v="0"/>
    <n v="0"/>
    <n v="178196.90434989848"/>
    <n v="266250.19367942202"/>
    <n v="172121.90606461765"/>
    <n v="101205.53622990272"/>
    <n v="717774.54032384092"/>
    <n v="3180.4014568581301"/>
    <n v="2560.7605359665781"/>
    <n v="3542.1242649077326"/>
    <n v="900.26234563444893"/>
    <n v="8625.1961758020698"/>
    <n v="18873.949797773425"/>
    <n v="37682.694576942384"/>
    <n v="755457.23490078328"/>
    <n v="1343897.9554534734"/>
    <n v="0"/>
    <n v="0"/>
    <n v="179778.60938206626"/>
    <n v="814350.14951453207"/>
    <n v="2338026.7143500717"/>
    <n v="3093483.949250855"/>
    <n v="0"/>
    <n v="0"/>
    <n v="5615791.123688112"/>
    <n v="0"/>
    <n v="0"/>
    <n v="0"/>
    <n v="0"/>
    <n v="5615791.123688112"/>
    <n v="86888.902102740365"/>
    <n v="0"/>
    <n v="0"/>
    <n v="263750.9266997386"/>
    <n v="0"/>
    <n v="0"/>
    <n v="0"/>
    <n v="0"/>
    <n v="350639.82880247897"/>
    <n v="5966430.9524905905"/>
    <n v="0"/>
    <n v="0"/>
    <n v="0"/>
    <n v="0"/>
    <n v="0"/>
    <n v="0"/>
    <n v="5966430.9524905905"/>
    <n v="13167715.538329056"/>
    <n v="455063.76859529293"/>
    <n v="0"/>
    <n v="0"/>
    <n v="831329.84181901545"/>
    <n v="24679.332012922496"/>
    <n v="14478788.480756287"/>
    <n v="23538703.382497732"/>
    <n v="1.0720000000000001"/>
    <n v="1.04"/>
    <n v="1.0720000000000001"/>
    <n v="1.04"/>
    <n v="1.1120000000000001"/>
    <n v="1.095"/>
    <n v="1.1120000000000001"/>
    <n v="1.1120000000000001"/>
  </r>
  <r>
    <x v="2"/>
    <x v="3"/>
    <x v="6"/>
    <x v="11"/>
    <x v="80"/>
    <s v="Envelope"/>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12"/>
    <x v="81"/>
    <s v="Envelope"/>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71"/>
    <x v="82"/>
    <s v="HVAC"/>
    <n v="392"/>
    <n v="20"/>
    <n v="2058000"/>
    <n v="2058000"/>
    <n v="0"/>
    <n v="0"/>
    <n v="0"/>
    <n v="0"/>
    <n v="0"/>
    <n v="0"/>
    <n v="0"/>
    <n v="0"/>
    <n v="0"/>
    <n v="0"/>
    <s v=""/>
    <s v=""/>
    <s v=""/>
    <s v=""/>
    <s v=""/>
    <n v="7604.7999999999993"/>
    <n v="152096"/>
    <n v="7604.7999999999993"/>
    <n v="152096"/>
    <n v="0"/>
    <n v="0"/>
    <n v="0"/>
    <n v="0"/>
    <n v="0"/>
    <n v="0"/>
    <n v="0"/>
    <n v="0"/>
    <n v="0"/>
    <n v="0"/>
    <n v="0"/>
    <n v="0"/>
    <n v="0"/>
    <n v="0"/>
    <n v="0"/>
    <n v="0"/>
    <n v="0"/>
    <n v="0"/>
    <n v="0"/>
    <n v="0"/>
    <n v="0"/>
    <n v="0"/>
    <n v="0"/>
    <n v="0"/>
    <n v="0"/>
    <s v=""/>
    <s v=""/>
    <s v=""/>
    <s v=""/>
    <s v=""/>
    <n v="0"/>
    <n v="0"/>
    <n v="0"/>
    <n v="0"/>
    <n v="1318051.217761572"/>
    <n v="0"/>
    <n v="0"/>
    <n v="0"/>
    <n v="0"/>
    <n v="1318051.217761572"/>
    <n v="20393.212764521497"/>
    <n v="0"/>
    <n v="0"/>
    <n v="61903.518572112858"/>
    <n v="0"/>
    <n v="0"/>
    <n v="0"/>
    <n v="0"/>
    <n v="82296.731336634359"/>
    <n v="1400347.9490982064"/>
    <n v="0"/>
    <n v="0"/>
    <n v="0"/>
    <n v="0"/>
    <n v="0"/>
    <n v="0"/>
    <n v="1400347.9490982064"/>
    <n v="2332905.4563502544"/>
    <n v="97901.074197568538"/>
    <n v="0"/>
    <n v="0"/>
    <n v="195116.82080715918"/>
    <n v="5792.3492695383256"/>
    <n v="2631715.70062452"/>
    <n v="4032063.6497227261"/>
    <n v="1.0720000000000001"/>
    <n v="1.04"/>
    <n v="1.0720000000000001"/>
    <n v="1.04"/>
    <n v="1.1120000000000001"/>
    <n v="1.095"/>
    <n v="1.1120000000000001"/>
    <n v="1.1120000000000001"/>
  </r>
  <r>
    <x v="2"/>
    <x v="3"/>
    <x v="6"/>
    <x v="72"/>
    <x v="83"/>
    <s v="HVAC"/>
    <n v="168"/>
    <n v="18"/>
    <n v="882000"/>
    <n v="882000"/>
    <n v="0"/>
    <n v="28.896000000000001"/>
    <n v="28.896000000000001"/>
    <n v="520.12800000000004"/>
    <n v="28.896000000000001"/>
    <n v="520.12800000000004"/>
    <n v="196.66615496371969"/>
    <n v="320.01750615033416"/>
    <n v="0.90512864324403641"/>
    <n v="2.5392102427024654"/>
    <n v="15.425086608950055"/>
    <n v="15.425086608950055"/>
    <n v="15.425086608950055"/>
    <n v="0"/>
    <n v="0"/>
    <n v="3477.6"/>
    <n v="62596.799999999996"/>
    <n v="3477.6"/>
    <n v="62596.799999999996"/>
    <n v="0"/>
    <n v="0"/>
    <n v="0"/>
    <n v="0"/>
    <n v="0"/>
    <n v="0"/>
    <n v="0"/>
    <n v="0"/>
    <n v="0"/>
    <n v="0"/>
    <n v="0"/>
    <n v="0"/>
    <n v="17385.128608671941"/>
    <n v="25259.934691514776"/>
    <n v="80.423733431375126"/>
    <n v="173.17064790246491"/>
    <n v="42898.657681520555"/>
    <n v="356.45370679504651"/>
    <n v="279.05215247110681"/>
    <n v="1.9371497606644921"/>
    <n v="1.7829946722106045"/>
    <n v="9.6795792011598571"/>
    <n v="2008.3521091261116"/>
    <n v="2657.2576920263"/>
    <n v="45555.915373546857"/>
    <n v="0"/>
    <n v="0"/>
    <n v="0"/>
    <n v="0"/>
    <n v="0"/>
    <n v="0"/>
    <n v="45555.915373546857"/>
    <n v="0"/>
    <n v="0"/>
    <n v="536638.00878856971"/>
    <n v="0"/>
    <n v="0"/>
    <n v="0"/>
    <n v="0"/>
    <n v="536638.00878856971"/>
    <n v="8429.4684328456042"/>
    <n v="0"/>
    <n v="0"/>
    <n v="27758.064104491881"/>
    <n v="0"/>
    <n v="0"/>
    <n v="0"/>
    <n v="0"/>
    <n v="36187.532537337487"/>
    <n v="572825.54132590722"/>
    <n v="0"/>
    <n v="0"/>
    <n v="0"/>
    <n v="0"/>
    <n v="0"/>
    <n v="0"/>
    <n v="572825.54132590722"/>
    <n v="903739.07787081972"/>
    <n v="41957.603227529376"/>
    <n v="0"/>
    <n v="0"/>
    <n v="80650.905803940535"/>
    <n v="2648.784165230707"/>
    <n v="1028996.3710675202"/>
    <n v="1647377.8277669742"/>
    <n v="1.0720000000000001"/>
    <n v="1.04"/>
    <n v="1.0720000000000001"/>
    <n v="1.04"/>
    <n v="1.1120000000000001"/>
    <n v="1.095"/>
    <n v="1.1120000000000001"/>
    <n v="1.1120000000000001"/>
  </r>
  <r>
    <x v="2"/>
    <x v="3"/>
    <x v="6"/>
    <x v="16"/>
    <x v="84"/>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32"/>
    <x v="85"/>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18"/>
    <x v="86"/>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20"/>
    <x v="87"/>
    <s v="Hot Water"/>
    <s v=""/>
    <n v="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73"/>
    <x v="88"/>
    <s v="Hot Water"/>
    <s v=""/>
    <n v="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74"/>
    <x v="8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75"/>
    <x v="90"/>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6"/>
    <x v="76"/>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3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6"/>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77"/>
    <x v="91"/>
    <s v="Behavior"/>
    <n v="5500"/>
    <n v="5"/>
    <n v="0"/>
    <n v="0"/>
    <n v="0"/>
    <n v="0"/>
    <n v="0"/>
    <n v="0"/>
    <n v="0"/>
    <n v="0"/>
    <n v="0"/>
    <n v="0"/>
    <n v="0"/>
    <n v="0"/>
    <s v=""/>
    <s v=""/>
    <s v=""/>
    <s v=""/>
    <s v=""/>
    <n v="0"/>
    <n v="0"/>
    <n v="0"/>
    <n v="0"/>
    <n v="0"/>
    <n v="0"/>
    <n v="0"/>
    <n v="0"/>
    <n v="0"/>
    <n v="0"/>
    <n v="0"/>
    <n v="0"/>
    <n v="0"/>
    <n v="0"/>
    <n v="0"/>
    <n v="0"/>
    <n v="0"/>
    <n v="0"/>
    <n v="0"/>
    <n v="0"/>
    <n v="0"/>
    <n v="0"/>
    <n v="0"/>
    <n v="0"/>
    <n v="0"/>
    <n v="0"/>
    <n v="0"/>
    <n v="0"/>
    <n v="0"/>
    <s v=""/>
    <s v=""/>
    <s v=""/>
    <s v=""/>
    <s v=""/>
    <n v="0"/>
    <n v="0"/>
    <n v="0"/>
    <n v="0"/>
    <n v="0"/>
    <n v="0"/>
    <n v="0"/>
    <n v="0"/>
    <n v="0"/>
    <n v="0"/>
    <n v="0"/>
    <n v="0"/>
    <n v="0"/>
    <n v="0"/>
    <n v="0"/>
    <n v="0"/>
    <n v="0"/>
    <n v="0"/>
    <n v="0"/>
    <n v="0"/>
    <n v="0"/>
    <n v="0"/>
    <n v="0"/>
    <n v="0"/>
    <n v="0"/>
    <n v="0"/>
    <n v="0"/>
    <n v="209442.60454816604"/>
    <n v="0"/>
    <n v="0"/>
    <n v="0"/>
    <n v="0"/>
    <n v="0"/>
    <n v="209442.60454816604"/>
    <n v="209442.60454816604"/>
    <n v="1.0720000000000001"/>
    <n v="1.04"/>
    <n v="1.0720000000000001"/>
    <n v="1.04"/>
    <n v="1.1120000000000001"/>
    <n v="1.095"/>
    <n v="1.1120000000000001"/>
    <n v="1.1120000000000001"/>
  </r>
  <r>
    <x v="2"/>
    <x v="3"/>
    <x v="7"/>
    <x v="11"/>
    <x v="92"/>
    <s v="Envelope"/>
    <n v="4778.0012703789962"/>
    <n v="15"/>
    <n v="387734.80309125554"/>
    <n v="387734.80309125554"/>
    <n v="0"/>
    <n v="0"/>
    <n v="0"/>
    <n v="0"/>
    <n v="0"/>
    <n v="0"/>
    <n v="0"/>
    <n v="0"/>
    <n v="0"/>
    <n v="0"/>
    <s v=""/>
    <s v=""/>
    <s v=""/>
    <s v=""/>
    <s v=""/>
    <n v="22934.406097819185"/>
    <n v="344016.09146728774"/>
    <n v="22934.406097819185"/>
    <n v="344016.09146728774"/>
    <n v="0"/>
    <n v="0"/>
    <n v="0"/>
    <n v="0"/>
    <n v="0"/>
    <n v="0"/>
    <n v="0"/>
    <n v="0"/>
    <n v="0"/>
    <n v="0"/>
    <n v="0"/>
    <n v="0"/>
    <n v="0"/>
    <n v="0"/>
    <n v="0"/>
    <n v="0"/>
    <n v="0"/>
    <n v="0"/>
    <n v="0"/>
    <n v="0"/>
    <n v="0"/>
    <n v="0"/>
    <n v="0"/>
    <n v="0"/>
    <n v="0"/>
    <s v=""/>
    <s v=""/>
    <s v=""/>
    <s v=""/>
    <s v=""/>
    <n v="0"/>
    <n v="0"/>
    <n v="0"/>
    <n v="0"/>
    <n v="2900992.1439557821"/>
    <n v="0"/>
    <n v="0"/>
    <n v="0"/>
    <n v="0"/>
    <n v="2900992.1439557821"/>
    <n v="46628.596329909822"/>
    <n v="0"/>
    <n v="0"/>
    <n v="177562.61477128186"/>
    <n v="0"/>
    <n v="0"/>
    <n v="0"/>
    <n v="0"/>
    <n v="224191.2111011917"/>
    <n v="3125183.3550569736"/>
    <n v="0"/>
    <n v="0"/>
    <n v="0"/>
    <n v="0"/>
    <n v="0"/>
    <n v="0"/>
    <n v="3125183.3550569736"/>
    <n v="4643025.5659912666"/>
    <n v="699695.81518404128"/>
    <n v="0"/>
    <n v="0"/>
    <n v="446129.97371460765"/>
    <n v="17468.452872922135"/>
    <n v="5806319.807762837"/>
    <n v="8931503.1628198102"/>
    <n v="1.0720000000000001"/>
    <n v="1.04"/>
    <n v="1.0720000000000001"/>
    <n v="1.04"/>
    <n v="1.1120000000000001"/>
    <n v="1.095"/>
    <n v="1.1120000000000001"/>
    <n v="1.1120000000000001"/>
  </r>
  <r>
    <x v="2"/>
    <x v="3"/>
    <x v="7"/>
    <x v="12"/>
    <x v="93"/>
    <s v="Envelope"/>
    <n v="4023.3961465170441"/>
    <n v="25"/>
    <n v="2130066.3878890532"/>
    <n v="2130066.3878890532"/>
    <n v="0"/>
    <n v="0"/>
    <n v="0"/>
    <n v="0"/>
    <n v="0"/>
    <n v="0"/>
    <n v="0"/>
    <n v="0"/>
    <n v="0"/>
    <n v="0"/>
    <s v=""/>
    <s v=""/>
    <s v=""/>
    <s v=""/>
    <s v=""/>
    <n v="17200.018526360367"/>
    <n v="430000.46315900917"/>
    <n v="17200.018526360367"/>
    <n v="430000.46315900917"/>
    <n v="0"/>
    <n v="0"/>
    <n v="0"/>
    <n v="0"/>
    <n v="0"/>
    <n v="0"/>
    <n v="0"/>
    <n v="0"/>
    <n v="0"/>
    <n v="0"/>
    <n v="0"/>
    <n v="0"/>
    <n v="0"/>
    <n v="0"/>
    <n v="0"/>
    <n v="0"/>
    <n v="0"/>
    <n v="0"/>
    <n v="0"/>
    <n v="0"/>
    <n v="0"/>
    <n v="0"/>
    <n v="0"/>
    <n v="0"/>
    <n v="0"/>
    <s v=""/>
    <s v=""/>
    <s v=""/>
    <s v=""/>
    <s v=""/>
    <n v="0"/>
    <n v="0"/>
    <n v="0"/>
    <n v="0"/>
    <n v="3826781.4521966404"/>
    <n v="0"/>
    <n v="0"/>
    <n v="0"/>
    <n v="0"/>
    <n v="3826781.4521966404"/>
    <n v="57035.924708494204"/>
    <n v="0"/>
    <n v="0"/>
    <n v="146703.86109643767"/>
    <n v="0"/>
    <n v="0"/>
    <n v="0"/>
    <n v="0"/>
    <n v="203739.78580493189"/>
    <n v="4030521.2380015724"/>
    <n v="0"/>
    <n v="0"/>
    <n v="0"/>
    <n v="0"/>
    <n v="0"/>
    <n v="0"/>
    <n v="4030521.2380015724"/>
    <n v="4998361.8667038074"/>
    <n v="901729.36219925992"/>
    <n v="0"/>
    <n v="0"/>
    <n v="545704.51597889781"/>
    <n v="13100.74094614048"/>
    <n v="6458896.4858281054"/>
    <n v="10489417.723829677"/>
    <n v="1.0720000000000001"/>
    <n v="1.04"/>
    <n v="1.0720000000000001"/>
    <n v="1.04"/>
    <n v="1.1120000000000001"/>
    <n v="1.095"/>
    <n v="1.1120000000000001"/>
    <n v="1.1120000000000001"/>
  </r>
  <r>
    <x v="2"/>
    <x v="3"/>
    <x v="7"/>
    <x v="71"/>
    <x v="94"/>
    <s v="HVAC"/>
    <n v="192.5"/>
    <n v="20"/>
    <n v="5226477.0249999994"/>
    <n v="5226477.0249999994"/>
    <n v="0"/>
    <n v="0"/>
    <n v="0"/>
    <n v="0"/>
    <n v="0"/>
    <n v="0"/>
    <n v="0"/>
    <n v="0"/>
    <n v="0"/>
    <n v="0"/>
    <s v=""/>
    <s v=""/>
    <s v=""/>
    <s v=""/>
    <s v=""/>
    <n v="20062.350000000002"/>
    <n v="401247.00000000006"/>
    <n v="20062.350000000002"/>
    <n v="401247.00000000006"/>
    <n v="0"/>
    <n v="0"/>
    <n v="0"/>
    <n v="0"/>
    <n v="0"/>
    <n v="0"/>
    <n v="0"/>
    <n v="0"/>
    <n v="0"/>
    <n v="0"/>
    <n v="0"/>
    <n v="0"/>
    <n v="0"/>
    <n v="0"/>
    <n v="0"/>
    <n v="0"/>
    <n v="0"/>
    <n v="0"/>
    <n v="0"/>
    <n v="0"/>
    <n v="0"/>
    <n v="0"/>
    <n v="0"/>
    <n v="0"/>
    <n v="0"/>
    <s v=""/>
    <s v=""/>
    <s v=""/>
    <s v=""/>
    <s v=""/>
    <n v="0"/>
    <n v="0"/>
    <n v="0"/>
    <n v="0"/>
    <n v="3477172.9498026087"/>
    <n v="0"/>
    <n v="0"/>
    <n v="0"/>
    <n v="0"/>
    <n v="3477172.9498026087"/>
    <n v="53799.675482103143"/>
    <n v="0"/>
    <n v="0"/>
    <n v="163308.70710935575"/>
    <n v="0"/>
    <n v="0"/>
    <n v="0"/>
    <n v="0"/>
    <n v="217108.38259145888"/>
    <n v="3694281.3323940677"/>
    <n v="0"/>
    <n v="0"/>
    <n v="0"/>
    <n v="0"/>
    <n v="0"/>
    <n v="0"/>
    <n v="3694281.3323940677"/>
    <n v="456708.61782370019"/>
    <n v="48076.420364877413"/>
    <n v="0"/>
    <n v="0"/>
    <n v="514740.94649701635"/>
    <n v="15280.893431480412"/>
    <n v="1034806.8781170744"/>
    <n v="4729088.2105111424"/>
    <n v="1.0720000000000001"/>
    <n v="1.04"/>
    <n v="1.0720000000000001"/>
    <n v="1.04"/>
    <n v="1.1120000000000001"/>
    <n v="1.095"/>
    <n v="1.1120000000000001"/>
    <n v="1.1120000000000001"/>
  </r>
  <r>
    <x v="2"/>
    <x v="3"/>
    <x v="7"/>
    <x v="72"/>
    <x v="95"/>
    <s v="HVAC"/>
    <n v="82.5"/>
    <n v="18"/>
    <n v="378970.35"/>
    <n v="378970.35"/>
    <n v="0"/>
    <n v="0"/>
    <n v="0"/>
    <n v="0"/>
    <n v="0"/>
    <n v="0"/>
    <n v="0"/>
    <n v="0"/>
    <n v="0"/>
    <n v="0"/>
    <s v=""/>
    <s v=""/>
    <s v=""/>
    <s v=""/>
    <s v=""/>
    <n v="1890.8999999999999"/>
    <n v="34036.199999999997"/>
    <n v="1890.8999999999999"/>
    <n v="34036.199999999997"/>
    <n v="0"/>
    <n v="0"/>
    <n v="0"/>
    <n v="0"/>
    <n v="0"/>
    <n v="0"/>
    <n v="0"/>
    <n v="0"/>
    <n v="0"/>
    <n v="0"/>
    <n v="0"/>
    <n v="0"/>
    <n v="0"/>
    <n v="0"/>
    <n v="0"/>
    <n v="0"/>
    <n v="0"/>
    <n v="0"/>
    <n v="0"/>
    <n v="0"/>
    <n v="0"/>
    <n v="0"/>
    <n v="0"/>
    <n v="0"/>
    <n v="0"/>
    <s v=""/>
    <s v=""/>
    <s v=""/>
    <s v=""/>
    <s v=""/>
    <n v="0"/>
    <n v="0"/>
    <n v="0"/>
    <n v="0"/>
    <n v="291789.97320517211"/>
    <n v="0"/>
    <n v="0"/>
    <n v="0"/>
    <n v="0"/>
    <n v="291789.97320517211"/>
    <n v="4583.4143833873231"/>
    <n v="0"/>
    <n v="0"/>
    <n v="15093.088168617351"/>
    <n v="0"/>
    <n v="0"/>
    <n v="0"/>
    <n v="0"/>
    <n v="19676.502552004673"/>
    <n v="311466.47575717675"/>
    <n v="0"/>
    <n v="0"/>
    <n v="0"/>
    <n v="0"/>
    <n v="0"/>
    <n v="0"/>
    <n v="311466.47575717675"/>
    <n v="176923.33995110658"/>
    <n v="20604.180156376035"/>
    <n v="0"/>
    <n v="0"/>
    <n v="43852.886411511143"/>
    <n v="1440.2421146867794"/>
    <n v="242820.64863368054"/>
    <n v="554287.12439085729"/>
    <n v="1.0720000000000001"/>
    <n v="1.04"/>
    <n v="1.0720000000000001"/>
    <n v="1.04"/>
    <n v="1.1120000000000001"/>
    <n v="1.095"/>
    <n v="1.1120000000000001"/>
    <n v="1.1120000000000001"/>
  </r>
  <r>
    <x v="2"/>
    <x v="3"/>
    <x v="7"/>
    <x v="78"/>
    <x v="96"/>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79"/>
    <x v="97"/>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32"/>
    <x v="98"/>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18"/>
    <x v="99"/>
    <s v="Hot Water"/>
    <n v="1856.2354435739996"/>
    <n v="15"/>
    <n v="7424.9417742959986"/>
    <n v="7424.9417742959986"/>
    <n v="0"/>
    <n v="0"/>
    <n v="0"/>
    <n v="0"/>
    <n v="0"/>
    <n v="0"/>
    <n v="0"/>
    <n v="0"/>
    <n v="0"/>
    <n v="0"/>
    <s v=""/>
    <s v=""/>
    <s v=""/>
    <s v=""/>
    <s v=""/>
    <n v="1587.0813042557695"/>
    <n v="23806.219563836541"/>
    <n v="1587.0813042557695"/>
    <n v="23806.219563836541"/>
    <n v="0"/>
    <n v="0"/>
    <n v="0"/>
    <n v="0"/>
    <n v="0"/>
    <n v="0"/>
    <n v="0"/>
    <n v="0"/>
    <n v="0"/>
    <n v="0"/>
    <n v="0"/>
    <n v="0"/>
    <n v="0"/>
    <n v="0"/>
    <n v="0"/>
    <n v="0"/>
    <n v="0"/>
    <n v="0"/>
    <n v="0"/>
    <n v="0"/>
    <n v="0"/>
    <n v="0"/>
    <n v="0"/>
    <n v="0"/>
    <n v="0"/>
    <s v=""/>
    <s v=""/>
    <s v=""/>
    <s v=""/>
    <s v=""/>
    <n v="0"/>
    <n v="0"/>
    <n v="0"/>
    <n v="190762.22782966748"/>
    <n v="0"/>
    <n v="0"/>
    <n v="0"/>
    <n v="0"/>
    <n v="0"/>
    <n v="190762.22782966748"/>
    <n v="3226.740346501756"/>
    <n v="0"/>
    <n v="13107.267453932656"/>
    <n v="0"/>
    <n v="0"/>
    <n v="0"/>
    <n v="0"/>
    <n v="0"/>
    <n v="16334.007800434412"/>
    <n v="207096.2356301019"/>
    <n v="0"/>
    <n v="0"/>
    <n v="0"/>
    <n v="0"/>
    <n v="0"/>
    <n v="0"/>
    <n v="207096.2356301019"/>
    <n v="178116.28425809686"/>
    <n v="9301.5733965779618"/>
    <n v="0"/>
    <n v="0"/>
    <n v="30872.591055143963"/>
    <n v="1208.8324786192718"/>
    <n v="219499.28118843806"/>
    <n v="426595.51681853994"/>
    <n v="1.0720000000000001"/>
    <n v="1.04"/>
    <n v="1.0720000000000001"/>
    <n v="1.04"/>
    <n v="1.1120000000000001"/>
    <n v="1.095"/>
    <n v="1.1120000000000001"/>
    <n v="1.1120000000000001"/>
  </r>
  <r>
    <x v="2"/>
    <x v="3"/>
    <x v="7"/>
    <x v="19"/>
    <x v="100"/>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80"/>
    <x v="101"/>
    <s v="Hot Water"/>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63"/>
    <x v="102"/>
    <s v="Hot Water"/>
    <n v="185.15773872538639"/>
    <n v="20"/>
    <n v="2290473.4395511323"/>
    <n v="2290473.4395511323"/>
    <n v="0"/>
    <n v="0"/>
    <n v="0"/>
    <n v="0"/>
    <n v="0"/>
    <n v="0"/>
    <n v="0"/>
    <n v="0"/>
    <n v="0"/>
    <n v="0"/>
    <s v=""/>
    <s v=""/>
    <s v=""/>
    <s v=""/>
    <s v=""/>
    <n v="16223.98396146517"/>
    <n v="324479.67922930338"/>
    <n v="16223.98396146517"/>
    <n v="324479.67922930338"/>
    <n v="0"/>
    <n v="0"/>
    <n v="0"/>
    <n v="0"/>
    <n v="0"/>
    <n v="0"/>
    <n v="0"/>
    <n v="0"/>
    <n v="0"/>
    <n v="0"/>
    <n v="0"/>
    <n v="0"/>
    <n v="0"/>
    <n v="0"/>
    <n v="0"/>
    <n v="0"/>
    <n v="0"/>
    <n v="0"/>
    <n v="0"/>
    <n v="0"/>
    <n v="0"/>
    <n v="0"/>
    <n v="0"/>
    <n v="0"/>
    <n v="0"/>
    <s v=""/>
    <s v=""/>
    <s v=""/>
    <s v=""/>
    <s v=""/>
    <n v="0"/>
    <n v="0"/>
    <n v="0"/>
    <n v="2678148.7941571586"/>
    <n v="0"/>
    <n v="0"/>
    <n v="0"/>
    <n v="0"/>
    <n v="0"/>
    <n v="2678148.7941571586"/>
    <n v="43506.62171448869"/>
    <n v="0"/>
    <n v="142812.69455389515"/>
    <n v="0"/>
    <n v="0"/>
    <n v="0"/>
    <n v="0"/>
    <n v="0"/>
    <n v="186319.31626838385"/>
    <n v="2864468.1104255426"/>
    <n v="0"/>
    <n v="0"/>
    <n v="0"/>
    <n v="0"/>
    <n v="0"/>
    <n v="0"/>
    <n v="2864468.1104255426"/>
    <n v="2765.276651254158"/>
    <n v="337.72764234651578"/>
    <n v="0"/>
    <n v="0"/>
    <n v="416259.7532331454"/>
    <n v="12357.324538211955"/>
    <n v="431720.08206495806"/>
    <n v="3296188.1924905004"/>
    <n v="1.0720000000000001"/>
    <n v="1.04"/>
    <n v="1.0720000000000001"/>
    <n v="1.04"/>
    <n v="1.1120000000000001"/>
    <n v="1.095"/>
    <n v="1.1120000000000001"/>
    <n v="1.1120000000000001"/>
  </r>
  <r>
    <x v="2"/>
    <x v="3"/>
    <x v="7"/>
    <x v="60"/>
    <x v="103"/>
    <s v="Hot Water"/>
    <s v=""/>
    <n v="1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20"/>
    <x v="104"/>
    <s v="Hot Water"/>
    <n v="3335.1683252170233"/>
    <n v="7"/>
    <n v="53362.693203472372"/>
    <n v="53362.693203472372"/>
    <n v="0"/>
    <n v="0"/>
    <n v="0"/>
    <n v="0"/>
    <n v="0"/>
    <n v="0"/>
    <n v="0"/>
    <n v="0"/>
    <n v="0"/>
    <n v="0"/>
    <s v=""/>
    <s v=""/>
    <s v=""/>
    <s v=""/>
    <s v=""/>
    <n v="1234.0122803302986"/>
    <n v="8638.0859623120905"/>
    <n v="1234.0122803302986"/>
    <n v="8638.0859623120905"/>
    <n v="0"/>
    <n v="0"/>
    <n v="0"/>
    <n v="0"/>
    <n v="0"/>
    <n v="0"/>
    <n v="0"/>
    <n v="0"/>
    <n v="2774860.0465805633"/>
    <n v="0"/>
    <n v="0"/>
    <n v="19424020.326063942"/>
    <n v="0"/>
    <n v="0"/>
    <n v="0"/>
    <n v="0"/>
    <n v="0"/>
    <n v="0"/>
    <n v="0"/>
    <n v="0"/>
    <n v="0"/>
    <n v="0"/>
    <n v="0"/>
    <n v="0"/>
    <n v="0"/>
    <s v=""/>
    <s v=""/>
    <s v=""/>
    <s v=""/>
    <s v=""/>
    <n v="0"/>
    <n v="0"/>
    <n v="0"/>
    <n v="66661.566046661261"/>
    <n v="0"/>
    <n v="0"/>
    <n v="0"/>
    <n v="0"/>
    <n v="0"/>
    <n v="66661.566046661261"/>
    <n v="1191.3970959153812"/>
    <n v="0"/>
    <n v="9081.5457396625152"/>
    <n v="0"/>
    <n v="0"/>
    <n v="0"/>
    <n v="0"/>
    <n v="0"/>
    <n v="10272.942835577896"/>
    <n v="76934.508882239155"/>
    <n v="0"/>
    <n v="0"/>
    <n v="0"/>
    <n v="207223.17922771527"/>
    <n v="0"/>
    <n v="0"/>
    <n v="284157.68810995441"/>
    <n v="13334.817276478043"/>
    <n v="89512.086856319322"/>
    <n v="0"/>
    <n v="0"/>
    <n v="11398.969664961749"/>
    <n v="939.91033696777401"/>
    <n v="115185.7841347269"/>
    <n v="399343.47224468132"/>
    <n v="1.0720000000000001"/>
    <n v="1.04"/>
    <n v="1.0720000000000001"/>
    <n v="1.04"/>
    <n v="1.1120000000000001"/>
    <n v="1.095"/>
    <n v="1.1120000000000001"/>
    <n v="1.1120000000000001"/>
  </r>
  <r>
    <x v="2"/>
    <x v="3"/>
    <x v="7"/>
    <x v="22"/>
    <x v="105"/>
    <s v="Hot Water"/>
    <n v="1752.5936904509847"/>
    <n v="7"/>
    <n v="47320.029642176589"/>
    <n v="47320.029642176589"/>
    <n v="0"/>
    <n v="0"/>
    <n v="0"/>
    <n v="0"/>
    <n v="0"/>
    <n v="0"/>
    <n v="0"/>
    <n v="0"/>
    <n v="0"/>
    <n v="0"/>
    <s v=""/>
    <s v=""/>
    <s v=""/>
    <s v=""/>
    <s v=""/>
    <n v="1875.2752487825537"/>
    <n v="13126.926741477877"/>
    <n v="1875.2752487825537"/>
    <n v="13126.926741477877"/>
    <n v="0"/>
    <n v="0"/>
    <n v="0"/>
    <n v="0"/>
    <n v="0"/>
    <n v="0"/>
    <n v="0"/>
    <n v="0"/>
    <n v="3082812.301503282"/>
    <n v="0"/>
    <n v="0"/>
    <n v="21579686.110522974"/>
    <n v="0"/>
    <n v="0"/>
    <n v="0"/>
    <n v="0"/>
    <n v="0"/>
    <n v="0"/>
    <n v="0"/>
    <n v="0"/>
    <n v="0"/>
    <n v="0"/>
    <n v="0"/>
    <n v="0"/>
    <n v="0"/>
    <s v=""/>
    <s v=""/>
    <s v=""/>
    <s v=""/>
    <s v=""/>
    <n v="0"/>
    <n v="0"/>
    <n v="0"/>
    <n v="101302.70731092496"/>
    <n v="0"/>
    <n v="0"/>
    <n v="0"/>
    <n v="0"/>
    <n v="0"/>
    <n v="101302.70731092496"/>
    <n v="1810.5147906984505"/>
    <n v="0"/>
    <n v="13800.833442044328"/>
    <n v="0"/>
    <n v="0"/>
    <n v="0"/>
    <n v="0"/>
    <n v="0"/>
    <n v="15611.348232742779"/>
    <n v="116914.05554366774"/>
    <n v="0"/>
    <n v="0"/>
    <n v="0"/>
    <n v="230220.67973015254"/>
    <n v="0"/>
    <n v="0"/>
    <n v="347134.73527382029"/>
    <n v="0"/>
    <n v="0"/>
    <n v="0"/>
    <n v="0"/>
    <n v="17322.522648319449"/>
    <n v="1428.3412078514787"/>
    <n v="18750.863856170927"/>
    <n v="365885.5991299912"/>
    <n v="1.0720000000000001"/>
    <n v="1.04"/>
    <n v="1.0720000000000001"/>
    <n v="1.04"/>
    <n v="1.1120000000000001"/>
    <n v="1.095"/>
    <n v="1.1120000000000001"/>
    <n v="1.1120000000000001"/>
  </r>
  <r>
    <x v="2"/>
    <x v="3"/>
    <x v="7"/>
    <x v="25"/>
    <x v="106"/>
    <s v="HVAC"/>
    <n v="199.13190768579292"/>
    <n v="15"/>
    <n v="17447.937751429177"/>
    <n v="17447.937751429177"/>
    <n v="0"/>
    <n v="0"/>
    <n v="0"/>
    <n v="0"/>
    <n v="0"/>
    <n v="0"/>
    <n v="0"/>
    <n v="0"/>
    <n v="0"/>
    <n v="0"/>
    <s v=""/>
    <s v=""/>
    <s v=""/>
    <s v=""/>
    <s v=""/>
    <n v="343.50254075799273"/>
    <n v="5152.5381113698913"/>
    <n v="343.50254075799273"/>
    <n v="5152.5381113698913"/>
    <n v="0"/>
    <n v="0"/>
    <n v="0"/>
    <n v="0"/>
    <n v="0"/>
    <n v="0"/>
    <n v="0"/>
    <n v="0"/>
    <n v="0"/>
    <n v="0"/>
    <n v="0"/>
    <n v="0"/>
    <n v="0"/>
    <n v="0"/>
    <n v="0"/>
    <n v="0"/>
    <n v="0"/>
    <n v="0"/>
    <n v="0"/>
    <n v="0"/>
    <n v="0"/>
    <n v="0"/>
    <n v="0"/>
    <n v="0"/>
    <n v="0"/>
    <s v=""/>
    <s v=""/>
    <s v=""/>
    <s v=""/>
    <s v=""/>
    <n v="0"/>
    <n v="0"/>
    <n v="0"/>
    <n v="0"/>
    <n v="43449.922702055243"/>
    <n v="0"/>
    <n v="0"/>
    <n v="0"/>
    <n v="0"/>
    <n v="43449.922702055243"/>
    <n v="698.38483032817169"/>
    <n v="0"/>
    <n v="0"/>
    <n v="2659.4632124948648"/>
    <n v="0"/>
    <n v="0"/>
    <n v="0"/>
    <n v="0"/>
    <n v="3357.8480428230364"/>
    <n v="46807.770744878282"/>
    <n v="0"/>
    <n v="0"/>
    <n v="0"/>
    <n v="0"/>
    <n v="0"/>
    <n v="0"/>
    <n v="46807.770744878282"/>
    <n v="51166.207389281451"/>
    <n v="7252.3562492611009"/>
    <n v="0"/>
    <n v="0"/>
    <n v="6681.9597954985347"/>
    <n v="261.63563684043214"/>
    <n v="65362.15907088152"/>
    <n v="112169.9298157598"/>
    <n v="1.0720000000000001"/>
    <n v="1.04"/>
    <n v="1.0720000000000001"/>
    <n v="1.04"/>
    <n v="1.1120000000000001"/>
    <n v="1.095"/>
    <n v="1.1120000000000001"/>
    <n v="1.1120000000000001"/>
  </r>
  <r>
    <x v="2"/>
    <x v="3"/>
    <x v="7"/>
    <x v="74"/>
    <x v="107"/>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75"/>
    <x v="108"/>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57"/>
    <x v="10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2"/>
    <x v="3"/>
    <x v="7"/>
    <x v="24"/>
    <x v="110"/>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2"/>
    <x v="3"/>
    <x v="7"/>
    <x v="8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3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4"/>
    <x v="8"/>
    <x v="82"/>
    <x v="111"/>
    <s v="Custom Measures"/>
    <n v="1"/>
    <n v="16"/>
    <n v="3047053.230637569"/>
    <n v="2486713.7355584078"/>
    <n v="560339.49507916113"/>
    <n v="0"/>
    <n v="0"/>
    <n v="0"/>
    <n v="0"/>
    <n v="0"/>
    <n v="0"/>
    <n v="0"/>
    <n v="0"/>
    <n v="0"/>
    <s v=""/>
    <s v=""/>
    <s v=""/>
    <s v=""/>
    <s v=""/>
    <n v="113950"/>
    <n v="1823200"/>
    <n v="104720.05"/>
    <n v="1675520.8"/>
    <n v="0"/>
    <n v="0"/>
    <n v="0"/>
    <n v="0"/>
    <n v="0"/>
    <n v="0"/>
    <n v="0"/>
    <n v="0"/>
    <n v="0"/>
    <n v="0"/>
    <n v="0"/>
    <n v="0"/>
    <n v="0"/>
    <n v="0"/>
    <n v="0"/>
    <n v="0"/>
    <n v="0"/>
    <n v="0"/>
    <n v="0"/>
    <n v="0"/>
    <n v="0"/>
    <n v="0"/>
    <n v="0"/>
    <n v="0"/>
    <n v="0"/>
    <s v=""/>
    <s v=""/>
    <s v=""/>
    <s v=""/>
    <s v=""/>
    <n v="0"/>
    <n v="0"/>
    <n v="0"/>
    <n v="0"/>
    <n v="0"/>
    <n v="0"/>
    <n v="0"/>
    <n v="0"/>
    <n v="12638951.562555302"/>
    <n v="12638951.562555302"/>
    <n v="226610.93778970186"/>
    <n v="0"/>
    <n v="0"/>
    <n v="0"/>
    <n v="0"/>
    <n v="0"/>
    <n v="0"/>
    <n v="923986.499359129"/>
    <n v="1150597.4371488309"/>
    <n v="13789548.999704134"/>
    <n v="0"/>
    <n v="0"/>
    <n v="0"/>
    <n v="0"/>
    <n v="0"/>
    <n v="0"/>
    <n v="13789548.999704134"/>
    <n v="0"/>
    <n v="0"/>
    <n v="0"/>
    <n v="0"/>
    <n v="-64720.985523444557"/>
    <n v="0"/>
    <n v="-64720.985523444557"/>
    <n v="13724828.01418069"/>
    <n v="1.0720000000000001"/>
    <n v="1.04"/>
    <n v="1.0720000000000001"/>
    <n v="1.04"/>
    <n v="1.1120000000000001"/>
    <n v="1.095"/>
    <n v="1.1120000000000001"/>
    <n v="1.1120000000000001"/>
  </r>
  <r>
    <x v="3"/>
    <x v="4"/>
    <x v="8"/>
    <x v="83"/>
    <x v="112"/>
    <s v="Envelop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4"/>
    <x v="8"/>
    <x v="84"/>
    <x v="113"/>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14"/>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8"/>
    <x v="85"/>
    <x v="115"/>
    <s v="HVAC"/>
    <n v="1"/>
    <n v="15"/>
    <n v="17400.793911356515"/>
    <n v="14200.865542456351"/>
    <n v="3199.9283689001641"/>
    <n v="0"/>
    <n v="0"/>
    <n v="0"/>
    <n v="0"/>
    <n v="0"/>
    <n v="0"/>
    <n v="0"/>
    <n v="0"/>
    <n v="0"/>
    <s v=""/>
    <s v=""/>
    <s v=""/>
    <s v=""/>
    <s v=""/>
    <n v="737.49828383823331"/>
    <n v="11062.4742575735"/>
    <n v="677.76092284733647"/>
    <n v="10166.413842710048"/>
    <n v="0"/>
    <n v="0"/>
    <n v="0"/>
    <n v="0"/>
    <n v="0"/>
    <n v="0"/>
    <n v="0"/>
    <n v="0"/>
    <n v="0"/>
    <n v="0"/>
    <n v="0"/>
    <n v="0"/>
    <n v="0"/>
    <n v="0"/>
    <n v="0"/>
    <n v="0"/>
    <n v="0"/>
    <n v="0"/>
    <n v="0"/>
    <n v="0"/>
    <n v="0"/>
    <n v="0"/>
    <n v="0"/>
    <n v="0"/>
    <n v="0"/>
    <s v=""/>
    <s v=""/>
    <s v=""/>
    <s v=""/>
    <s v=""/>
    <n v="0"/>
    <n v="0"/>
    <n v="0"/>
    <n v="0"/>
    <n v="0"/>
    <n v="0"/>
    <n v="0"/>
    <n v="79288.508997943412"/>
    <n v="0"/>
    <n v="79288.508997943412"/>
    <n v="1377.9750975387462"/>
    <n v="0"/>
    <n v="0"/>
    <n v="0"/>
    <n v="0"/>
    <n v="0"/>
    <n v="5587.9945559853095"/>
    <n v="0"/>
    <n v="6965.9696535240555"/>
    <n v="86254.478651467463"/>
    <n v="0"/>
    <n v="0"/>
    <n v="0"/>
    <n v="0"/>
    <n v="0"/>
    <n v="0"/>
    <n v="86254.478651467463"/>
    <n v="0"/>
    <n v="0"/>
    <n v="0"/>
    <n v="0"/>
    <n v="0"/>
    <n v="0"/>
    <n v="0"/>
    <n v="86254.478651467463"/>
    <n v="1.0720000000000001"/>
    <n v="1.04"/>
    <n v="1.0720000000000001"/>
    <n v="1.04"/>
    <n v="1.1120000000000001"/>
    <n v="1.095"/>
    <n v="1.1120000000000001"/>
    <n v="1.1120000000000001"/>
  </r>
  <r>
    <x v="3"/>
    <x v="4"/>
    <x v="8"/>
    <x v="86"/>
    <x v="116"/>
    <s v="HVAC"/>
    <n v="1"/>
    <n v="20"/>
    <n v="362516.53981992736"/>
    <n v="295851.36546784063"/>
    <n v="66665.174352086731"/>
    <n v="0"/>
    <n v="0"/>
    <n v="0"/>
    <n v="0"/>
    <n v="0"/>
    <n v="0"/>
    <n v="0"/>
    <n v="0"/>
    <n v="0"/>
    <s v=""/>
    <s v=""/>
    <s v=""/>
    <s v=""/>
    <s v=""/>
    <n v="9218.7285479779148"/>
    <n v="184374.5709595583"/>
    <n v="8472.0115355917042"/>
    <n v="169440.2307118341"/>
    <n v="0"/>
    <n v="0"/>
    <n v="0"/>
    <n v="0"/>
    <n v="0"/>
    <n v="0"/>
    <n v="0"/>
    <n v="0"/>
    <n v="0"/>
    <n v="0"/>
    <n v="0"/>
    <n v="0"/>
    <n v="0"/>
    <n v="0"/>
    <n v="0"/>
    <n v="0"/>
    <n v="0"/>
    <n v="0"/>
    <n v="0"/>
    <n v="0"/>
    <n v="0"/>
    <n v="0"/>
    <n v="0"/>
    <n v="0"/>
    <n v="0"/>
    <s v=""/>
    <s v=""/>
    <s v=""/>
    <s v=""/>
    <s v=""/>
    <n v="0"/>
    <n v="0"/>
    <n v="0"/>
    <n v="0"/>
    <n v="0"/>
    <n v="0"/>
    <n v="0"/>
    <n v="1362606.2711287416"/>
    <n v="0"/>
    <n v="1362606.2711287416"/>
    <n v="22718.747868293991"/>
    <n v="0"/>
    <n v="0"/>
    <n v="0"/>
    <n v="0"/>
    <n v="0"/>
    <n v="74423.994815182741"/>
    <n v="0"/>
    <n v="97142.742683476739"/>
    <n v="1459749.0138122183"/>
    <n v="0"/>
    <n v="0"/>
    <n v="0"/>
    <n v="0"/>
    <n v="0"/>
    <n v="0"/>
    <n v="1459749.0138122183"/>
    <n v="0"/>
    <n v="0"/>
    <n v="0"/>
    <n v="0"/>
    <n v="0"/>
    <n v="0"/>
    <n v="0"/>
    <n v="1459749.0138122183"/>
    <n v="1.0720000000000001"/>
    <n v="1.04"/>
    <n v="1.0720000000000001"/>
    <n v="1.04"/>
    <n v="1.1120000000000001"/>
    <n v="1.095"/>
    <n v="1.1120000000000001"/>
    <n v="1.1120000000000001"/>
  </r>
  <r>
    <x v="1"/>
    <x v="1"/>
    <x v="1"/>
    <x v="10"/>
    <x v="117"/>
    <s v="HVAC"/>
    <n v="1"/>
    <n v="23"/>
    <n v="904198.50863898173"/>
    <n v="801594.42255228863"/>
    <n v="102604.0860866931"/>
    <n v="0"/>
    <n v="0"/>
    <n v="0"/>
    <n v="0"/>
    <n v="0"/>
    <n v="0"/>
    <n v="0"/>
    <n v="0"/>
    <n v="0"/>
    <s v=""/>
    <s v=""/>
    <s v=""/>
    <s v=""/>
    <s v=""/>
    <n v="17617.459836314036"/>
    <n v="405201.5762352228"/>
    <n v="14904.371021521676"/>
    <n v="342800.53349499853"/>
    <n v="0"/>
    <n v="0"/>
    <n v="0"/>
    <n v="0"/>
    <n v="0"/>
    <n v="0"/>
    <n v="0"/>
    <n v="0"/>
    <n v="0"/>
    <n v="0"/>
    <n v="0"/>
    <n v="0"/>
    <s v=""/>
    <s v=""/>
    <s v=""/>
    <s v=""/>
    <n v="0"/>
    <s v=""/>
    <s v=""/>
    <s v=""/>
    <s v=""/>
    <n v="0"/>
    <n v="0"/>
    <n v="0"/>
    <n v="0"/>
    <s v=""/>
    <s v=""/>
    <s v=""/>
    <s v=""/>
    <s v=""/>
    <n v="0"/>
    <n v="0"/>
    <n v="0"/>
    <n v="0"/>
    <n v="0"/>
    <n v="0"/>
    <n v="0"/>
    <n v="2806689.7370251794"/>
    <n v="0"/>
    <n v="2806689.7370251794"/>
    <n v="45666.137363531932"/>
    <n v="0"/>
    <n v="0"/>
    <n v="0"/>
    <n v="0"/>
    <n v="0"/>
    <n v="135674.3160408416"/>
    <n v="0"/>
    <n v="181340.45340437355"/>
    <n v="2988030.1904295529"/>
    <n v="0"/>
    <n v="0"/>
    <n v="0"/>
    <n v="0"/>
    <n v="0"/>
    <n v="0"/>
    <n v="2988030.1904295529"/>
    <n v="0"/>
    <n v="0"/>
    <n v="0"/>
    <n v="0"/>
    <n v="0"/>
    <n v="0"/>
    <n v="0"/>
    <n v="2988030.1904295529"/>
    <e v="#VALUE!"/>
    <e v="#VALUE!"/>
    <e v="#VALUE!"/>
    <e v="#VALUE!"/>
    <e v="#VALUE!"/>
    <e v="#VALUE!"/>
    <e v="#VALUE!"/>
    <e v="#VALUE!"/>
  </r>
  <r>
    <x v="3"/>
    <x v="4"/>
    <x v="8"/>
    <x v="87"/>
    <x v="118"/>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19"/>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8"/>
    <x v="88"/>
    <x v="120"/>
    <s v="Hot Water"/>
    <n v="1"/>
    <n v="15"/>
    <n v="112000"/>
    <n v="84000"/>
    <n v="28000"/>
    <n v="0"/>
    <n v="0"/>
    <n v="0"/>
    <n v="0"/>
    <n v="0"/>
    <n v="0"/>
    <n v="0"/>
    <n v="0"/>
    <n v="0"/>
    <s v=""/>
    <s v=""/>
    <s v=""/>
    <s v=""/>
    <s v=""/>
    <n v="5600"/>
    <n v="84000"/>
    <n v="5600"/>
    <n v="84000"/>
    <n v="0"/>
    <n v="0"/>
    <n v="0"/>
    <n v="0"/>
    <n v="0"/>
    <n v="0"/>
    <n v="0"/>
    <n v="0"/>
    <n v="0"/>
    <n v="0"/>
    <n v="0"/>
    <n v="0"/>
    <n v="0"/>
    <n v="0"/>
    <n v="0"/>
    <n v="0"/>
    <n v="0"/>
    <n v="0"/>
    <n v="0"/>
    <n v="0"/>
    <n v="0"/>
    <n v="0"/>
    <n v="0"/>
    <n v="0"/>
    <n v="0"/>
    <s v=""/>
    <s v=""/>
    <s v=""/>
    <s v=""/>
    <s v=""/>
    <n v="0"/>
    <n v="0"/>
    <n v="0"/>
    <n v="0"/>
    <n v="0"/>
    <n v="0"/>
    <n v="583313.54566195991"/>
    <n v="0"/>
    <n v="0"/>
    <n v="583313.54566195991"/>
    <n v="11385.520005784005"/>
    <n v="0"/>
    <n v="0"/>
    <n v="0"/>
    <n v="0"/>
    <n v="51864.89621660229"/>
    <n v="0"/>
    <n v="0"/>
    <n v="63250.416222386295"/>
    <n v="646563.96188434621"/>
    <n v="0"/>
    <n v="0"/>
    <n v="0"/>
    <n v="0"/>
    <n v="0"/>
    <n v="0"/>
    <n v="646563.96188434621"/>
    <n v="0"/>
    <n v="0"/>
    <n v="0"/>
    <n v="0"/>
    <n v="0"/>
    <n v="0"/>
    <n v="0"/>
    <n v="646563.96188434621"/>
    <n v="1.0720000000000001"/>
    <n v="1.04"/>
    <n v="1.0720000000000001"/>
    <n v="1.04"/>
    <n v="1.1120000000000001"/>
    <n v="1.095"/>
    <n v="1.1120000000000001"/>
    <n v="1.1120000000000001"/>
  </r>
  <r>
    <x v="1"/>
    <x v="1"/>
    <x v="1"/>
    <x v="10"/>
    <x v="121"/>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8"/>
    <x v="89"/>
    <x v="122"/>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2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8"/>
    <x v="90"/>
    <x v="124"/>
    <s v="HVAC"/>
    <n v="1"/>
    <n v="25"/>
    <n v="620000"/>
    <n v="465000"/>
    <n v="155000"/>
    <n v="0"/>
    <n v="0"/>
    <n v="0"/>
    <n v="0"/>
    <n v="0"/>
    <n v="0"/>
    <n v="0"/>
    <n v="0"/>
    <n v="0"/>
    <s v=""/>
    <s v=""/>
    <s v=""/>
    <s v=""/>
    <s v=""/>
    <n v="31000"/>
    <n v="775000"/>
    <n v="31000"/>
    <n v="775000"/>
    <n v="0"/>
    <n v="0"/>
    <n v="0"/>
    <n v="0"/>
    <n v="0"/>
    <n v="0"/>
    <n v="0"/>
    <n v="0"/>
    <n v="0"/>
    <n v="0"/>
    <n v="0"/>
    <n v="0"/>
    <n v="0"/>
    <n v="0"/>
    <n v="0"/>
    <n v="0"/>
    <n v="0"/>
    <n v="0"/>
    <n v="0"/>
    <n v="0"/>
    <n v="0"/>
    <n v="0"/>
    <n v="0"/>
    <n v="0"/>
    <n v="0"/>
    <s v=""/>
    <s v=""/>
    <s v=""/>
    <s v=""/>
    <s v=""/>
    <n v="0"/>
    <n v="0"/>
    <n v="0"/>
    <n v="0"/>
    <n v="0"/>
    <n v="0"/>
    <n v="0"/>
    <n v="6421192.612946284"/>
    <n v="0"/>
    <n v="6421192.612946284"/>
    <n v="102797.19543636238"/>
    <n v="0"/>
    <n v="0"/>
    <n v="0"/>
    <n v="0"/>
    <n v="0"/>
    <n v="288698.97372377082"/>
    <n v="0"/>
    <n v="391496.16916013323"/>
    <n v="6812688.7821064172"/>
    <n v="0"/>
    <n v="0"/>
    <n v="0"/>
    <n v="0"/>
    <n v="0"/>
    <n v="0"/>
    <n v="6812688.7821064172"/>
    <n v="4474.923742996566"/>
    <n v="0"/>
    <n v="0"/>
    <n v="0"/>
    <n v="0"/>
    <n v="0"/>
    <n v="4474.923742996566"/>
    <n v="6817163.7058494138"/>
    <n v="1.0720000000000001"/>
    <n v="1.04"/>
    <n v="1.0720000000000001"/>
    <n v="1.04"/>
    <n v="1.1120000000000001"/>
    <n v="1.095"/>
    <n v="1.1120000000000001"/>
    <n v="1.1120000000000001"/>
  </r>
  <r>
    <x v="1"/>
    <x v="1"/>
    <x v="1"/>
    <x v="10"/>
    <x v="12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8"/>
    <x v="91"/>
    <x v="126"/>
    <s v="Custom Measures"/>
    <n v="1"/>
    <n v="18"/>
    <n v="65252.977167586934"/>
    <n v="53253.245784211314"/>
    <n v="11999.73138337562"/>
    <n v="0"/>
    <n v="0"/>
    <n v="0"/>
    <n v="0"/>
    <n v="0"/>
    <n v="0"/>
    <n v="0"/>
    <n v="0"/>
    <n v="0"/>
    <s v=""/>
    <s v=""/>
    <s v=""/>
    <s v=""/>
    <s v=""/>
    <n v="1843.7457095955831"/>
    <n v="33187.422772720493"/>
    <n v="1694.402307118341"/>
    <n v="30499.241528130136"/>
    <n v="0"/>
    <n v="0"/>
    <n v="0"/>
    <n v="0"/>
    <n v="0"/>
    <n v="0"/>
    <n v="0"/>
    <n v="0"/>
    <n v="0"/>
    <n v="0"/>
    <n v="0"/>
    <n v="0"/>
    <n v="0"/>
    <n v="0"/>
    <n v="0"/>
    <n v="0"/>
    <n v="0"/>
    <n v="0"/>
    <n v="0"/>
    <n v="0"/>
    <n v="0"/>
    <n v="0"/>
    <n v="0"/>
    <n v="0"/>
    <n v="0"/>
    <s v=""/>
    <s v=""/>
    <s v=""/>
    <s v=""/>
    <s v=""/>
    <n v="0"/>
    <n v="0"/>
    <n v="0"/>
    <n v="0"/>
    <n v="0"/>
    <n v="0"/>
    <n v="0"/>
    <n v="0"/>
    <n v="233113.80430469866"/>
    <n v="233113.80430469866"/>
    <n v="4107.1171958807281"/>
    <n v="0"/>
    <n v="0"/>
    <n v="0"/>
    <n v="0"/>
    <n v="0"/>
    <n v="0"/>
    <n v="15402.401733591167"/>
    <n v="19509.518929471895"/>
    <n v="252623.32323417056"/>
    <n v="0"/>
    <n v="0"/>
    <n v="0"/>
    <n v="0"/>
    <n v="0"/>
    <n v="0"/>
    <n v="252623.32323417056"/>
    <n v="0"/>
    <n v="0"/>
    <n v="0"/>
    <n v="0"/>
    <n v="-8797.5676010076968"/>
    <n v="0"/>
    <n v="-8797.5676010076968"/>
    <n v="243825.75563316286"/>
    <n v="1.0720000000000001"/>
    <n v="1.04"/>
    <n v="1.0720000000000001"/>
    <n v="1.04"/>
    <n v="1.1120000000000001"/>
    <n v="1.095"/>
    <n v="1.1120000000000001"/>
    <n v="1.1120000000000001"/>
  </r>
  <r>
    <x v="3"/>
    <x v="4"/>
    <x v="8"/>
    <x v="92"/>
    <x v="127"/>
    <s v="Custom Measures"/>
    <n v="1"/>
    <n v="20"/>
    <n v="0"/>
    <n v="0"/>
    <n v="0"/>
    <n v="0"/>
    <n v="0"/>
    <n v="0"/>
    <n v="0"/>
    <n v="0"/>
    <n v="0"/>
    <n v="0"/>
    <n v="0"/>
    <n v="0"/>
    <s v=""/>
    <s v=""/>
    <s v=""/>
    <s v=""/>
    <s v=""/>
    <n v="3123.2803828761075"/>
    <n v="62465.607657522152"/>
    <n v="3123.2803828761075"/>
    <n v="62465.607657522152"/>
    <n v="0"/>
    <n v="0"/>
    <n v="0"/>
    <n v="0"/>
    <n v="0"/>
    <n v="0"/>
    <n v="0"/>
    <n v="0"/>
    <n v="0"/>
    <n v="0"/>
    <n v="0"/>
    <n v="0"/>
    <n v="0"/>
    <n v="0"/>
    <n v="0"/>
    <n v="0"/>
    <n v="0"/>
    <n v="0"/>
    <n v="0"/>
    <n v="0"/>
    <n v="0"/>
    <n v="0"/>
    <n v="0"/>
    <n v="0"/>
    <n v="0"/>
    <s v=""/>
    <s v=""/>
    <s v=""/>
    <s v=""/>
    <s v=""/>
    <n v="0"/>
    <n v="0"/>
    <n v="0"/>
    <n v="0"/>
    <n v="0"/>
    <n v="0"/>
    <n v="0"/>
    <n v="0"/>
    <n v="483675.26817096566"/>
    <n v="483675.26817096566"/>
    <n v="8375.463045872164"/>
    <n v="0"/>
    <n v="0"/>
    <n v="0"/>
    <n v="0"/>
    <n v="0"/>
    <n v="0"/>
    <n v="29217.062578902518"/>
    <n v="37592.52562477468"/>
    <n v="521267.79379574035"/>
    <n v="0"/>
    <n v="0"/>
    <n v="0"/>
    <n v="0"/>
    <n v="0"/>
    <n v="0"/>
    <n v="521267.79379574035"/>
    <n v="0"/>
    <n v="0"/>
    <n v="0"/>
    <n v="0"/>
    <n v="0"/>
    <n v="0"/>
    <n v="0"/>
    <n v="521267.79379574035"/>
    <n v="1.0720000000000001"/>
    <n v="1.04"/>
    <n v="1.0720000000000001"/>
    <n v="1.04"/>
    <n v="1.1120000000000001"/>
    <n v="1.095"/>
    <n v="1.1120000000000001"/>
    <n v="1.1120000000000001"/>
  </r>
  <r>
    <x v="3"/>
    <x v="4"/>
    <x v="8"/>
    <x v="93"/>
    <x v="128"/>
    <s v="Proces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4"/>
    <x v="8"/>
    <x v="94"/>
    <x v="129"/>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95"/>
    <x v="130"/>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96"/>
    <x v="131"/>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97"/>
    <x v="132"/>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98"/>
    <x v="133"/>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99"/>
    <x v="134"/>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0"/>
    <x v="135"/>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1"/>
    <x v="136"/>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2"/>
    <x v="137"/>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3"/>
    <x v="138"/>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4"/>
    <x v="139"/>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5"/>
    <x v="140"/>
    <s v="HVAC"/>
    <s v=""/>
    <n v="1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55"/>
    <x v="141"/>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56"/>
    <x v="142"/>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6"/>
    <x v="143"/>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7"/>
    <x v="144"/>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8"/>
    <x v="145"/>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09"/>
    <x v="146"/>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10"/>
    <x v="147"/>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11"/>
    <x v="148"/>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12"/>
    <x v="149"/>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8"/>
    <x v="113"/>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9"/>
    <x v="114"/>
    <x v="150"/>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51"/>
    <s v="Food Service"/>
    <n v="1"/>
    <n v="12"/>
    <n v="273996.35053783993"/>
    <n v="242904.5660796453"/>
    <n v="31091.784458194626"/>
    <n v="0"/>
    <n v="0"/>
    <n v="0"/>
    <n v="0"/>
    <n v="0"/>
    <n v="0"/>
    <n v="0"/>
    <n v="0"/>
    <n v="0"/>
    <s v=""/>
    <s v=""/>
    <s v=""/>
    <s v=""/>
    <s v=""/>
    <n v="11041.116639983877"/>
    <n v="132493.39967980652"/>
    <n v="9340.7846774263598"/>
    <n v="112089.41612911632"/>
    <n v="0"/>
    <n v="0"/>
    <n v="0"/>
    <n v="0"/>
    <n v="0"/>
    <n v="0"/>
    <n v="0"/>
    <n v="0"/>
    <n v="0"/>
    <n v="0"/>
    <n v="0"/>
    <n v="0"/>
    <s v=""/>
    <s v=""/>
    <s v=""/>
    <s v=""/>
    <n v="0"/>
    <s v=""/>
    <s v=""/>
    <s v=""/>
    <s v=""/>
    <n v="0"/>
    <n v="0"/>
    <n v="0"/>
    <n v="0"/>
    <s v=""/>
    <s v=""/>
    <s v=""/>
    <s v=""/>
    <s v=""/>
    <n v="0"/>
    <n v="0"/>
    <n v="0"/>
    <n v="0"/>
    <n v="0"/>
    <n v="0"/>
    <n v="761826.23611073173"/>
    <n v="0"/>
    <n v="0"/>
    <n v="761826.23611073173"/>
    <n v="15292.200971179436"/>
    <n v="0"/>
    <n v="0"/>
    <n v="0"/>
    <n v="0"/>
    <n v="81789.420614448987"/>
    <n v="0"/>
    <n v="0"/>
    <n v="97081.621585628425"/>
    <n v="858907.85769636021"/>
    <n v="0"/>
    <n v="0"/>
    <n v="0"/>
    <n v="0"/>
    <n v="0"/>
    <n v="0"/>
    <n v="858907.85769636021"/>
    <n v="0"/>
    <n v="0"/>
    <n v="0"/>
    <n v="0"/>
    <n v="0"/>
    <n v="0"/>
    <n v="0"/>
    <n v="858907.85769636021"/>
    <e v="#VALUE!"/>
    <e v="#VALUE!"/>
    <e v="#VALUE!"/>
    <e v="#VALUE!"/>
    <e v="#VALUE!"/>
    <e v="#VALUE!"/>
    <e v="#VALUE!"/>
    <e v="#VALUE!"/>
  </r>
  <r>
    <x v="3"/>
    <x v="4"/>
    <x v="9"/>
    <x v="85"/>
    <x v="152"/>
    <s v="HVAC"/>
    <n v="1"/>
    <n v="15"/>
    <n v="19359.206088643488"/>
    <n v="15799.134457543652"/>
    <n v="3560.0716310998359"/>
    <n v="0"/>
    <n v="0"/>
    <n v="0"/>
    <n v="0"/>
    <n v="0"/>
    <n v="0"/>
    <n v="0"/>
    <n v="0"/>
    <n v="0"/>
    <s v=""/>
    <s v=""/>
    <s v=""/>
    <s v=""/>
    <s v=""/>
    <n v="820.50171616176704"/>
    <n v="12307.525742426506"/>
    <n v="754.04107715266389"/>
    <n v="11310.616157289958"/>
    <n v="0"/>
    <n v="0"/>
    <n v="0"/>
    <n v="0"/>
    <n v="0"/>
    <n v="0"/>
    <n v="0"/>
    <n v="0"/>
    <n v="0"/>
    <n v="0"/>
    <n v="0"/>
    <n v="0"/>
    <n v="0"/>
    <n v="0"/>
    <n v="0"/>
    <n v="0"/>
    <n v="0"/>
    <n v="0"/>
    <n v="0"/>
    <n v="0"/>
    <n v="0"/>
    <n v="0"/>
    <n v="0"/>
    <n v="0"/>
    <n v="0"/>
    <s v=""/>
    <s v=""/>
    <s v=""/>
    <s v=""/>
    <s v=""/>
    <n v="0"/>
    <n v="0"/>
    <n v="0"/>
    <n v="0"/>
    <n v="0"/>
    <n v="0"/>
    <n v="0"/>
    <n v="88212.215716816601"/>
    <n v="0"/>
    <n v="88212.215716816601"/>
    <n v="1533.0624587686741"/>
    <n v="0"/>
    <n v="0"/>
    <n v="0"/>
    <n v="0"/>
    <n v="0"/>
    <n v="6216.9081929609574"/>
    <n v="0"/>
    <n v="7749.9706517296318"/>
    <n v="95962.18636854623"/>
    <n v="0"/>
    <n v="0"/>
    <n v="0"/>
    <n v="0"/>
    <n v="0"/>
    <n v="0"/>
    <n v="95962.18636854623"/>
    <n v="0"/>
    <n v="0"/>
    <n v="0"/>
    <n v="0"/>
    <n v="0"/>
    <n v="0"/>
    <n v="0"/>
    <n v="95962.18636854623"/>
    <n v="1.0720000000000001"/>
    <n v="1.04"/>
    <n v="1.0720000000000001"/>
    <n v="1.04"/>
    <n v="1.1120000000000001"/>
    <n v="1.095"/>
    <n v="1.1120000000000001"/>
    <n v="1.1120000000000001"/>
  </r>
  <r>
    <x v="3"/>
    <x v="4"/>
    <x v="9"/>
    <x v="86"/>
    <x v="153"/>
    <s v="HVAC"/>
    <n v="1"/>
    <n v="20"/>
    <n v="403316.79351340601"/>
    <n v="329148.63453215943"/>
    <n v="74168.158981246583"/>
    <n v="0"/>
    <n v="0"/>
    <n v="0"/>
    <n v="0"/>
    <n v="0"/>
    <n v="0"/>
    <n v="0"/>
    <n v="0"/>
    <n v="0"/>
    <s v=""/>
    <s v=""/>
    <s v=""/>
    <s v=""/>
    <s v=""/>
    <n v="10256.271452022089"/>
    <n v="205125.42904044178"/>
    <n v="9425.5134644083009"/>
    <n v="188510.26928816602"/>
    <n v="0"/>
    <n v="0"/>
    <n v="0"/>
    <n v="0"/>
    <n v="0"/>
    <n v="0"/>
    <n v="0"/>
    <n v="0"/>
    <n v="0"/>
    <n v="0"/>
    <n v="0"/>
    <n v="0"/>
    <n v="0"/>
    <n v="0"/>
    <n v="0"/>
    <n v="0"/>
    <n v="0"/>
    <n v="0"/>
    <n v="0"/>
    <n v="0"/>
    <n v="0"/>
    <n v="0"/>
    <n v="0"/>
    <n v="0"/>
    <n v="0"/>
    <s v=""/>
    <s v=""/>
    <s v=""/>
    <s v=""/>
    <s v=""/>
    <n v="0"/>
    <n v="0"/>
    <n v="0"/>
    <n v="0"/>
    <n v="0"/>
    <n v="0"/>
    <n v="0"/>
    <n v="1515963.9126145428"/>
    <n v="0"/>
    <n v="1515963.9126145428"/>
    <n v="25275.681345274119"/>
    <n v="0"/>
    <n v="0"/>
    <n v="0"/>
    <n v="0"/>
    <n v="0"/>
    <n v="82800.213651569968"/>
    <n v="0"/>
    <n v="108075.89499684409"/>
    <n v="1624039.8076113868"/>
    <n v="0"/>
    <n v="0"/>
    <n v="0"/>
    <n v="0"/>
    <n v="0"/>
    <n v="0"/>
    <n v="1624039.8076113868"/>
    <n v="0"/>
    <n v="0"/>
    <n v="0"/>
    <n v="0"/>
    <n v="0"/>
    <n v="0"/>
    <n v="0"/>
    <n v="1624039.8076113868"/>
    <n v="1.0720000000000001"/>
    <n v="1.04"/>
    <n v="1.0720000000000001"/>
    <n v="1.04"/>
    <n v="1.1120000000000001"/>
    <n v="1.095"/>
    <n v="1.1120000000000001"/>
    <n v="1.1120000000000001"/>
  </r>
  <r>
    <x v="1"/>
    <x v="1"/>
    <x v="1"/>
    <x v="10"/>
    <x v="154"/>
    <s v="HVAC"/>
    <n v="1"/>
    <n v="23"/>
    <n v="1148761.4913610185"/>
    <n v="1018405.5774477114"/>
    <n v="130355.91391330713"/>
    <n v="0"/>
    <n v="0"/>
    <n v="0"/>
    <n v="0"/>
    <n v="0"/>
    <n v="0"/>
    <n v="0"/>
    <n v="0"/>
    <n v="0"/>
    <s v=""/>
    <s v=""/>
    <s v=""/>
    <s v=""/>
    <s v=""/>
    <n v="22382.540163685968"/>
    <n v="514798.42376477725"/>
    <n v="18935.628978478329"/>
    <n v="435519.46650500159"/>
    <n v="0"/>
    <n v="0"/>
    <n v="0"/>
    <n v="0"/>
    <n v="0"/>
    <n v="0"/>
    <n v="0"/>
    <n v="0"/>
    <n v="0"/>
    <n v="0"/>
    <n v="0"/>
    <n v="0"/>
    <s v=""/>
    <s v=""/>
    <s v=""/>
    <s v=""/>
    <n v="0"/>
    <s v=""/>
    <s v=""/>
    <s v=""/>
    <s v=""/>
    <n v="0"/>
    <n v="0"/>
    <n v="0"/>
    <n v="0"/>
    <s v=""/>
    <s v=""/>
    <s v=""/>
    <s v=""/>
    <s v=""/>
    <n v="0"/>
    <n v="0"/>
    <n v="0"/>
    <n v="0"/>
    <n v="0"/>
    <n v="0"/>
    <n v="0"/>
    <n v="3565828.8056080397"/>
    <n v="0"/>
    <n v="3565828.8056080397"/>
    <n v="58017.680366882276"/>
    <n v="0"/>
    <n v="0"/>
    <n v="0"/>
    <n v="0"/>
    <n v="0"/>
    <n v="172370.81033131012"/>
    <n v="0"/>
    <n v="230388.49069819239"/>
    <n v="3796217.296306232"/>
    <n v="0"/>
    <n v="0"/>
    <n v="0"/>
    <n v="0"/>
    <n v="0"/>
    <n v="0"/>
    <n v="3796217.296306232"/>
    <n v="0"/>
    <n v="0"/>
    <n v="0"/>
    <n v="0"/>
    <n v="0"/>
    <n v="0"/>
    <n v="0"/>
    <n v="3796217.296306232"/>
    <e v="#VALUE!"/>
    <e v="#VALUE!"/>
    <e v="#VALUE!"/>
    <e v="#VALUE!"/>
    <e v="#VALUE!"/>
    <e v="#VALUE!"/>
    <e v="#VALUE!"/>
    <e v="#VALUE!"/>
  </r>
  <r>
    <x v="3"/>
    <x v="4"/>
    <x v="9"/>
    <x v="115"/>
    <x v="155"/>
    <s v="Hot Water"/>
    <n v="1"/>
    <n v="13"/>
    <n v="19605.333333333332"/>
    <n v="16000"/>
    <n v="3605.3333333333321"/>
    <n v="0"/>
    <n v="0"/>
    <n v="0"/>
    <n v="0"/>
    <n v="0"/>
    <n v="0"/>
    <n v="0"/>
    <n v="0"/>
    <n v="0"/>
    <s v=""/>
    <s v=""/>
    <s v=""/>
    <s v=""/>
    <s v=""/>
    <n v="623.20000000000005"/>
    <n v="8101.6"/>
    <n v="572.72080000000005"/>
    <n v="7445.3704000000007"/>
    <n v="0"/>
    <n v="0"/>
    <n v="0"/>
    <n v="0"/>
    <n v="0"/>
    <n v="0"/>
    <n v="0"/>
    <n v="0"/>
    <n v="0"/>
    <n v="0"/>
    <n v="0"/>
    <n v="0"/>
    <n v="0"/>
    <n v="0"/>
    <n v="0"/>
    <n v="0"/>
    <n v="0"/>
    <n v="0"/>
    <n v="0"/>
    <n v="0"/>
    <n v="0"/>
    <n v="0"/>
    <n v="0"/>
    <n v="0"/>
    <n v="0"/>
    <s v=""/>
    <s v=""/>
    <s v=""/>
    <s v=""/>
    <s v=""/>
    <n v="0"/>
    <n v="0"/>
    <n v="0"/>
    <n v="0"/>
    <n v="0"/>
    <n v="0"/>
    <n v="50917.191912682712"/>
    <n v="0"/>
    <n v="0"/>
    <n v="50917.191912682712"/>
    <n v="1013.5544056819224"/>
    <n v="0"/>
    <n v="0"/>
    <n v="0"/>
    <n v="0"/>
    <n v="5111.8572631446359"/>
    <n v="0"/>
    <n v="0"/>
    <n v="6125.4116688265585"/>
    <n v="57042.603581509269"/>
    <n v="0"/>
    <n v="0"/>
    <n v="0"/>
    <n v="0"/>
    <n v="0"/>
    <n v="0"/>
    <n v="57042.603581509269"/>
    <n v="0"/>
    <n v="0"/>
    <n v="0"/>
    <n v="0"/>
    <n v="0"/>
    <n v="0"/>
    <n v="0"/>
    <n v="57042.603581509269"/>
    <n v="1.0720000000000001"/>
    <n v="1.04"/>
    <n v="1.0720000000000001"/>
    <n v="1.04"/>
    <n v="1.1120000000000001"/>
    <n v="1.095"/>
    <n v="1.1120000000000001"/>
    <n v="1.1120000000000001"/>
  </r>
  <r>
    <x v="1"/>
    <x v="1"/>
    <x v="1"/>
    <x v="10"/>
    <x v="156"/>
    <s v="Hot Water"/>
    <n v="1"/>
    <n v="15"/>
    <n v="296377.55457217008"/>
    <n v="262746.05901788123"/>
    <n v="33631.495554288849"/>
    <n v="0"/>
    <n v="0"/>
    <n v="0"/>
    <n v="0"/>
    <n v="0"/>
    <n v="0"/>
    <n v="0"/>
    <n v="0"/>
    <n v="0"/>
    <s v=""/>
    <s v=""/>
    <s v=""/>
    <s v=""/>
    <s v=""/>
    <n v="13137.302950894062"/>
    <n v="197059.54426341093"/>
    <n v="11114.158296456377"/>
    <n v="166712.37444684564"/>
    <n v="0"/>
    <n v="0"/>
    <n v="0"/>
    <n v="0"/>
    <n v="0"/>
    <n v="0"/>
    <n v="0"/>
    <n v="0"/>
    <n v="0"/>
    <n v="0"/>
    <n v="0"/>
    <n v="0"/>
    <s v=""/>
    <s v=""/>
    <s v=""/>
    <s v=""/>
    <n v="0"/>
    <s v=""/>
    <s v=""/>
    <s v=""/>
    <s v=""/>
    <n v="0"/>
    <n v="0"/>
    <n v="0"/>
    <n v="0"/>
    <s v=""/>
    <s v=""/>
    <s v=""/>
    <s v=""/>
    <s v=""/>
    <n v="0"/>
    <n v="0"/>
    <n v="0"/>
    <n v="0"/>
    <n v="0"/>
    <n v="0"/>
    <n v="1157685.5505275459"/>
    <n v="0"/>
    <n v="0"/>
    <n v="1157685.5505275459"/>
    <n v="22596.512791384706"/>
    <n v="0"/>
    <n v="0"/>
    <n v="0"/>
    <n v="0"/>
    <n v="102934.76188939274"/>
    <n v="0"/>
    <n v="0"/>
    <n v="125531.27468077745"/>
    <n v="1283216.8252083233"/>
    <n v="0"/>
    <n v="0"/>
    <n v="0"/>
    <n v="0"/>
    <n v="0"/>
    <n v="0"/>
    <n v="1283216.8252083233"/>
    <n v="0"/>
    <n v="0"/>
    <n v="0"/>
    <n v="0"/>
    <n v="0"/>
    <n v="0"/>
    <n v="0"/>
    <n v="1283216.8252083233"/>
    <e v="#VALUE!"/>
    <e v="#VALUE!"/>
    <e v="#VALUE!"/>
    <e v="#VALUE!"/>
    <e v="#VALUE!"/>
    <e v="#VALUE!"/>
    <e v="#VALUE!"/>
    <e v="#VALUE!"/>
  </r>
  <r>
    <x v="3"/>
    <x v="4"/>
    <x v="9"/>
    <x v="89"/>
    <x v="157"/>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5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9"/>
    <x v="116"/>
    <x v="159"/>
    <s v="Custom Measures"/>
    <n v="1"/>
    <n v="18"/>
    <n v="72597.022832413088"/>
    <n v="59246.754215788693"/>
    <n v="13350.268616624395"/>
    <n v="0"/>
    <n v="0"/>
    <n v="0"/>
    <n v="0"/>
    <n v="0"/>
    <n v="0"/>
    <n v="0"/>
    <n v="0"/>
    <n v="0"/>
    <s v=""/>
    <s v=""/>
    <s v=""/>
    <s v=""/>
    <s v=""/>
    <n v="2051.2542904044176"/>
    <n v="36922.577227279515"/>
    <n v="1885.1026928816598"/>
    <n v="33931.848471869875"/>
    <n v="0"/>
    <n v="0"/>
    <n v="0"/>
    <n v="0"/>
    <n v="0"/>
    <n v="0"/>
    <n v="0"/>
    <n v="0"/>
    <n v="0"/>
    <n v="0"/>
    <n v="0"/>
    <n v="0"/>
    <n v="0"/>
    <n v="0"/>
    <n v="0"/>
    <n v="0"/>
    <n v="0"/>
    <n v="0"/>
    <n v="0"/>
    <n v="0"/>
    <n v="0"/>
    <n v="0"/>
    <n v="0"/>
    <n v="0"/>
    <n v="0"/>
    <s v=""/>
    <s v=""/>
    <s v=""/>
    <s v=""/>
    <s v=""/>
    <n v="0"/>
    <n v="0"/>
    <n v="0"/>
    <n v="0"/>
    <n v="0"/>
    <n v="0"/>
    <n v="0"/>
    <n v="0"/>
    <n v="259350.13095563732"/>
    <n v="259350.13095563732"/>
    <n v="4569.3621009656645"/>
    <n v="0"/>
    <n v="0"/>
    <n v="0"/>
    <n v="0"/>
    <n v="0"/>
    <n v="0"/>
    <n v="17135.900289357891"/>
    <n v="21705.262390323554"/>
    <n v="281055.39334596088"/>
    <n v="0"/>
    <n v="0"/>
    <n v="0"/>
    <n v="0"/>
    <n v="0"/>
    <n v="0"/>
    <n v="281055.39334596088"/>
    <n v="0"/>
    <n v="0"/>
    <n v="0"/>
    <n v="0"/>
    <n v="0"/>
    <n v="0"/>
    <n v="0"/>
    <n v="281055.39334596088"/>
    <n v="1.0720000000000001"/>
    <n v="1.04"/>
    <n v="1.0720000000000001"/>
    <n v="1.04"/>
    <n v="1.1120000000000001"/>
    <n v="1.095"/>
    <n v="1.1120000000000001"/>
    <n v="1.1120000000000001"/>
  </r>
  <r>
    <x v="3"/>
    <x v="4"/>
    <x v="9"/>
    <x v="93"/>
    <x v="160"/>
    <s v="Process"/>
    <n v="1"/>
    <n v="12"/>
    <n v="245066.66666666669"/>
    <n v="200000"/>
    <n v="45066.666666666686"/>
    <n v="0"/>
    <n v="0"/>
    <n v="0"/>
    <n v="0"/>
    <n v="0"/>
    <n v="0"/>
    <n v="0"/>
    <n v="0"/>
    <n v="0"/>
    <s v=""/>
    <s v=""/>
    <s v=""/>
    <s v=""/>
    <s v=""/>
    <n v="7790"/>
    <n v="93480"/>
    <n v="7159.01"/>
    <n v="85908.12"/>
    <n v="0"/>
    <n v="0"/>
    <n v="0"/>
    <n v="0"/>
    <n v="0"/>
    <n v="0"/>
    <n v="0"/>
    <n v="0"/>
    <n v="0"/>
    <n v="0"/>
    <n v="0"/>
    <n v="0"/>
    <n v="0"/>
    <n v="0"/>
    <n v="0"/>
    <n v="0"/>
    <n v="0"/>
    <n v="0"/>
    <n v="0"/>
    <n v="0"/>
    <n v="0"/>
    <n v="0"/>
    <n v="0"/>
    <n v="0"/>
    <n v="0"/>
    <s v=""/>
    <s v=""/>
    <s v=""/>
    <s v=""/>
    <s v=""/>
    <n v="0"/>
    <n v="0"/>
    <n v="0"/>
    <n v="0"/>
    <n v="0"/>
    <n v="0"/>
    <n v="0"/>
    <n v="0"/>
    <n v="631524.34461687598"/>
    <n v="631524.34461687598"/>
    <n v="11720.323661806879"/>
    <n v="0"/>
    <n v="0"/>
    <n v="0"/>
    <n v="0"/>
    <n v="0"/>
    <n v="0"/>
    <n v="59294.828424249004"/>
    <n v="71015.152086055881"/>
    <n v="702539.49670293182"/>
    <n v="0"/>
    <n v="0"/>
    <n v="0"/>
    <n v="0"/>
    <n v="0"/>
    <n v="0"/>
    <n v="702539.49670293182"/>
    <n v="0"/>
    <n v="0"/>
    <n v="0"/>
    <n v="0"/>
    <n v="0"/>
    <n v="0"/>
    <n v="0"/>
    <n v="702539.49670293182"/>
    <n v="1.0720000000000001"/>
    <n v="1.04"/>
    <n v="1.0720000000000001"/>
    <n v="1.04"/>
    <n v="1.1120000000000001"/>
    <n v="1.095"/>
    <n v="1.1120000000000001"/>
    <n v="1.1120000000000001"/>
  </r>
  <r>
    <x v="3"/>
    <x v="4"/>
    <x v="9"/>
    <x v="94"/>
    <x v="161"/>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95"/>
    <x v="162"/>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96"/>
    <x v="163"/>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97"/>
    <x v="164"/>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98"/>
    <x v="165"/>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99"/>
    <x v="166"/>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0"/>
    <x v="167"/>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1"/>
    <x v="168"/>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2"/>
    <x v="169"/>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3"/>
    <x v="170"/>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4"/>
    <x v="171"/>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5"/>
    <x v="172"/>
    <s v="HVAC"/>
    <s v=""/>
    <n v="1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7"/>
    <x v="173"/>
    <s v="Hot Water"/>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8"/>
    <x v="174"/>
    <s v="Hot Water"/>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9"/>
    <x v="175"/>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20"/>
    <x v="176"/>
    <s v="Hot Water"/>
    <s v=""/>
    <n v="1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21"/>
    <x v="177"/>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55"/>
    <x v="178"/>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56"/>
    <x v="179"/>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6"/>
    <x v="180"/>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7"/>
    <x v="181"/>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8"/>
    <x v="182"/>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09"/>
    <x v="183"/>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0"/>
    <x v="184"/>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1"/>
    <x v="185"/>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4"/>
    <x v="9"/>
    <x v="112"/>
    <x v="186"/>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4"/>
    <x v="9"/>
    <x v="3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0"/>
    <x v="122"/>
    <x v="187"/>
    <s v="Custom Measures"/>
    <n v="1"/>
    <n v="19"/>
    <n v="459500"/>
    <n v="250000"/>
    <n v="209500"/>
    <n v="0"/>
    <n v="0"/>
    <n v="0"/>
    <n v="0"/>
    <n v="0"/>
    <n v="0"/>
    <n v="0"/>
    <n v="0"/>
    <n v="0"/>
    <s v=""/>
    <s v=""/>
    <s v=""/>
    <s v=""/>
    <s v=""/>
    <n v="7790"/>
    <n v="148010"/>
    <n v="7159.01"/>
    <n v="136021.19"/>
    <n v="0"/>
    <n v="0"/>
    <n v="0"/>
    <n v="0"/>
    <n v="0"/>
    <n v="0"/>
    <n v="0"/>
    <n v="0"/>
    <n v="0"/>
    <n v="0"/>
    <n v="0"/>
    <n v="0"/>
    <n v="0"/>
    <n v="0"/>
    <n v="0"/>
    <n v="0"/>
    <n v="0"/>
    <n v="0"/>
    <n v="0"/>
    <n v="0"/>
    <n v="0"/>
    <n v="0"/>
    <n v="0"/>
    <n v="0"/>
    <n v="0"/>
    <s v=""/>
    <s v=""/>
    <s v=""/>
    <s v=""/>
    <s v=""/>
    <n v="0"/>
    <n v="0"/>
    <n v="0"/>
    <n v="0"/>
    <n v="0"/>
    <n v="0"/>
    <n v="0"/>
    <n v="1087271.1203099422"/>
    <n v="0"/>
    <n v="1087271.1203099422"/>
    <n v="18277.389979313462"/>
    <n v="0"/>
    <n v="0"/>
    <n v="0"/>
    <n v="0"/>
    <n v="0"/>
    <n v="62123.422290910341"/>
    <n v="0"/>
    <n v="80400.812270223803"/>
    <n v="1167671.932580166"/>
    <n v="0"/>
    <n v="0"/>
    <n v="0"/>
    <n v="0"/>
    <n v="0"/>
    <n v="0"/>
    <n v="1167671.932580166"/>
    <n v="0"/>
    <n v="0"/>
    <n v="0"/>
    <n v="0"/>
    <n v="326255.95651832403"/>
    <n v="0"/>
    <n v="326255.95651832403"/>
    <n v="1493927.8890984901"/>
    <n v="1.0720000000000001"/>
    <n v="1.04"/>
    <n v="1.0720000000000001"/>
    <n v="1.04"/>
    <n v="1.1120000000000001"/>
    <n v="1.095"/>
    <n v="1.1120000000000001"/>
    <n v="1.1120000000000001"/>
  </r>
  <r>
    <x v="3"/>
    <x v="5"/>
    <x v="10"/>
    <x v="123"/>
    <x v="188"/>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89"/>
    <s v="Food Service"/>
    <n v="1"/>
    <n v="9"/>
    <n v="247539.60000000003"/>
    <n v="146300"/>
    <n v="101239.60000000003"/>
    <n v="0"/>
    <n v="0"/>
    <n v="0"/>
    <n v="0"/>
    <n v="0"/>
    <n v="0"/>
    <n v="0"/>
    <n v="0"/>
    <n v="0"/>
    <s v=""/>
    <s v=""/>
    <s v=""/>
    <s v=""/>
    <s v=""/>
    <n v="13300"/>
    <n v="119700"/>
    <n v="11251.800000000001"/>
    <n v="101266.20000000001"/>
    <n v="0"/>
    <n v="0"/>
    <n v="0"/>
    <n v="0"/>
    <n v="0"/>
    <n v="0"/>
    <n v="0"/>
    <n v="0"/>
    <n v="0"/>
    <n v="0"/>
    <n v="0"/>
    <n v="0"/>
    <s v=""/>
    <s v=""/>
    <s v=""/>
    <s v=""/>
    <n v="0"/>
    <s v=""/>
    <s v=""/>
    <s v=""/>
    <s v=""/>
    <n v="0"/>
    <n v="0"/>
    <n v="0"/>
    <n v="0"/>
    <s v=""/>
    <s v=""/>
    <s v=""/>
    <s v=""/>
    <s v=""/>
    <n v="0"/>
    <n v="0"/>
    <n v="0"/>
    <n v="0"/>
    <n v="0"/>
    <n v="0"/>
    <n v="677345.08397847088"/>
    <n v="0"/>
    <n v="0"/>
    <n v="677345.08397847088"/>
    <n v="13906.184470151771"/>
    <n v="0"/>
    <n v="0"/>
    <n v="0"/>
    <n v="0"/>
    <n v="92734.344759913118"/>
    <n v="0"/>
    <n v="0"/>
    <n v="106640.52923006489"/>
    <n v="783985.61320853583"/>
    <n v="0"/>
    <n v="0"/>
    <n v="0"/>
    <n v="0"/>
    <n v="0"/>
    <n v="0"/>
    <n v="783985.61320853583"/>
    <n v="0"/>
    <n v="0"/>
    <n v="0"/>
    <n v="0"/>
    <n v="0"/>
    <n v="0"/>
    <n v="0"/>
    <n v="783985.61320853583"/>
    <e v="#VALUE!"/>
    <e v="#VALUE!"/>
    <e v="#VALUE!"/>
    <e v="#VALUE!"/>
    <e v="#VALUE!"/>
    <e v="#VALUE!"/>
    <e v="#VALUE!"/>
    <e v="#VALUE!"/>
  </r>
  <r>
    <x v="3"/>
    <x v="5"/>
    <x v="10"/>
    <x v="124"/>
    <x v="190"/>
    <s v="HVAC"/>
    <n v="1"/>
    <n v="15"/>
    <n v="241237.5"/>
    <n v="131250"/>
    <n v="109987.5"/>
    <n v="0"/>
    <n v="0"/>
    <n v="0"/>
    <n v="0"/>
    <n v="0"/>
    <n v="0"/>
    <n v="0"/>
    <n v="0"/>
    <n v="0"/>
    <s v=""/>
    <s v=""/>
    <s v=""/>
    <s v=""/>
    <s v=""/>
    <n v="5842.5"/>
    <n v="87637.5"/>
    <n v="5369.2575000000006"/>
    <n v="80538.862500000003"/>
    <n v="0"/>
    <n v="0"/>
    <n v="0"/>
    <n v="0"/>
    <n v="0"/>
    <n v="0"/>
    <n v="0"/>
    <n v="0"/>
    <n v="0"/>
    <n v="0"/>
    <n v="0"/>
    <n v="0"/>
    <n v="0"/>
    <n v="0"/>
    <n v="0"/>
    <n v="0"/>
    <n v="0"/>
    <n v="0"/>
    <n v="0"/>
    <n v="0"/>
    <n v="0"/>
    <n v="0"/>
    <n v="0"/>
    <n v="0"/>
    <n v="0"/>
    <s v=""/>
    <s v=""/>
    <s v=""/>
    <s v=""/>
    <s v=""/>
    <n v="0"/>
    <n v="0"/>
    <n v="0"/>
    <n v="0"/>
    <n v="0"/>
    <n v="0"/>
    <n v="0"/>
    <n v="628127.71768034995"/>
    <n v="0"/>
    <n v="628127.71768034995"/>
    <n v="10916.390836152825"/>
    <n v="0"/>
    <n v="0"/>
    <n v="0"/>
    <n v="0"/>
    <n v="0"/>
    <n v="44268.385308548495"/>
    <n v="0"/>
    <n v="55184.776144701318"/>
    <n v="683312.49382505124"/>
    <n v="0"/>
    <n v="0"/>
    <n v="0"/>
    <n v="0"/>
    <n v="0"/>
    <n v="0"/>
    <n v="683312.49382505124"/>
    <n v="0"/>
    <n v="0"/>
    <n v="0"/>
    <n v="0"/>
    <n v="194860.29121268913"/>
    <n v="0"/>
    <n v="194860.29121268913"/>
    <n v="878172.78503774037"/>
    <n v="1.0720000000000001"/>
    <n v="1.04"/>
    <n v="1.0720000000000001"/>
    <n v="1.04"/>
    <n v="1.1120000000000001"/>
    <n v="1.095"/>
    <n v="1.1120000000000001"/>
    <n v="1.1120000000000001"/>
  </r>
  <r>
    <x v="3"/>
    <x v="5"/>
    <x v="10"/>
    <x v="125"/>
    <x v="191"/>
    <s v="HVAC"/>
    <n v="1"/>
    <n v="10"/>
    <n v="3611670"/>
    <n v="1965000"/>
    <n v="1646670"/>
    <n v="0"/>
    <n v="0"/>
    <n v="0"/>
    <n v="0"/>
    <n v="0"/>
    <n v="0"/>
    <n v="0"/>
    <n v="0"/>
    <n v="0"/>
    <s v=""/>
    <s v=""/>
    <s v=""/>
    <s v=""/>
    <s v=""/>
    <n v="51024.5"/>
    <n v="510245"/>
    <n v="46891.515500000001"/>
    <n v="468915.15500000003"/>
    <n v="0"/>
    <n v="0"/>
    <n v="0"/>
    <n v="0"/>
    <n v="0"/>
    <n v="0"/>
    <n v="0"/>
    <n v="0"/>
    <n v="0"/>
    <n v="0"/>
    <n v="0"/>
    <n v="0"/>
    <n v="0"/>
    <n v="0"/>
    <n v="0"/>
    <n v="0"/>
    <n v="0"/>
    <n v="0"/>
    <n v="0"/>
    <n v="0"/>
    <n v="0"/>
    <n v="0"/>
    <n v="0"/>
    <n v="0"/>
    <n v="0"/>
    <s v=""/>
    <s v=""/>
    <s v=""/>
    <s v=""/>
    <s v=""/>
    <n v="0"/>
    <n v="0"/>
    <n v="0"/>
    <n v="0"/>
    <n v="0"/>
    <n v="0"/>
    <n v="0"/>
    <n v="3562880.4771498209"/>
    <n v="0"/>
    <n v="3562880.4771498209"/>
    <n v="64252.645929663915"/>
    <n v="0"/>
    <n v="0"/>
    <n v="0"/>
    <n v="0"/>
    <n v="0"/>
    <n v="360679.34447158285"/>
    <n v="0"/>
    <n v="424931.99040124676"/>
    <n v="3987812.4675510675"/>
    <n v="0"/>
    <n v="0"/>
    <n v="0"/>
    <n v="0"/>
    <n v="0"/>
    <n v="0"/>
    <n v="3987812.4675510675"/>
    <n v="0"/>
    <n v="0"/>
    <n v="0"/>
    <n v="0"/>
    <n v="1146925.7087768889"/>
    <n v="0"/>
    <n v="1146925.7087768889"/>
    <n v="5134738.1763279568"/>
    <n v="1.0720000000000001"/>
    <n v="1.04"/>
    <n v="1.0720000000000001"/>
    <n v="1.04"/>
    <n v="1.1120000000000001"/>
    <n v="1.095"/>
    <n v="1.1120000000000001"/>
    <n v="1.1120000000000001"/>
  </r>
  <r>
    <x v="1"/>
    <x v="1"/>
    <x v="1"/>
    <x v="10"/>
    <x v="192"/>
    <s v="HVAC"/>
    <n v="1"/>
    <n v="15"/>
    <n v="8248.5"/>
    <n v="4875"/>
    <n v="3373.5"/>
    <n v="0"/>
    <n v="0"/>
    <n v="0"/>
    <n v="0"/>
    <n v="0"/>
    <n v="0"/>
    <n v="0"/>
    <n v="0"/>
    <n v="0"/>
    <s v=""/>
    <s v=""/>
    <s v=""/>
    <s v=""/>
    <s v=""/>
    <n v="750"/>
    <n v="11250"/>
    <n v="634.50000000000011"/>
    <n v="9517.5000000000018"/>
    <n v="0"/>
    <n v="0"/>
    <n v="0"/>
    <n v="0"/>
    <n v="0"/>
    <n v="0"/>
    <n v="0"/>
    <n v="0"/>
    <n v="0"/>
    <n v="0"/>
    <n v="0"/>
    <n v="0"/>
    <s v=""/>
    <s v=""/>
    <s v=""/>
    <s v=""/>
    <n v="0"/>
    <s v=""/>
    <s v=""/>
    <s v=""/>
    <s v=""/>
    <n v="0"/>
    <n v="0"/>
    <n v="0"/>
    <n v="0"/>
    <s v=""/>
    <s v=""/>
    <s v=""/>
    <s v=""/>
    <s v=""/>
    <n v="0"/>
    <n v="0"/>
    <n v="0"/>
    <n v="0"/>
    <n v="0"/>
    <n v="0"/>
    <n v="0"/>
    <n v="74227.588613170825"/>
    <n v="0"/>
    <n v="74227.588613170825"/>
    <n v="1290.0200792267772"/>
    <n v="0"/>
    <n v="0"/>
    <n v="0"/>
    <n v="0"/>
    <n v="0"/>
    <n v="5231.3174546525324"/>
    <n v="0"/>
    <n v="6521.3375338793094"/>
    <n v="80748.926147050137"/>
    <n v="0"/>
    <n v="0"/>
    <n v="0"/>
    <n v="0"/>
    <n v="0"/>
    <n v="0"/>
    <n v="80748.926147050137"/>
    <n v="0"/>
    <n v="0"/>
    <n v="0"/>
    <n v="0"/>
    <n v="0"/>
    <n v="0"/>
    <n v="0"/>
    <n v="80748.926147050137"/>
    <e v="#VALUE!"/>
    <e v="#VALUE!"/>
    <e v="#VALUE!"/>
    <e v="#VALUE!"/>
    <e v="#VALUE!"/>
    <e v="#VALUE!"/>
    <e v="#VALUE!"/>
    <e v="#VALUE!"/>
  </r>
  <r>
    <x v="3"/>
    <x v="5"/>
    <x v="10"/>
    <x v="126"/>
    <x v="193"/>
    <s v="Hot Water"/>
    <n v="1"/>
    <n v="10"/>
    <n v="317055"/>
    <n v="172500"/>
    <n v="144555"/>
    <n v="0"/>
    <n v="0"/>
    <n v="0"/>
    <n v="0"/>
    <n v="0"/>
    <n v="0"/>
    <n v="0"/>
    <n v="0"/>
    <n v="0"/>
    <s v=""/>
    <s v=""/>
    <s v=""/>
    <s v=""/>
    <s v=""/>
    <n v="8958.5"/>
    <n v="89585"/>
    <n v="8232.8615000000009"/>
    <n v="82328.615000000005"/>
    <n v="0"/>
    <n v="0"/>
    <n v="0"/>
    <n v="0"/>
    <n v="0"/>
    <n v="0"/>
    <n v="0"/>
    <n v="0"/>
    <n v="0"/>
    <n v="0"/>
    <n v="0"/>
    <n v="0"/>
    <n v="0"/>
    <n v="0"/>
    <n v="0"/>
    <n v="0"/>
    <n v="0"/>
    <n v="0"/>
    <n v="0"/>
    <n v="0"/>
    <n v="0"/>
    <n v="0"/>
    <n v="0"/>
    <n v="0"/>
    <n v="0"/>
    <s v=""/>
    <s v=""/>
    <s v=""/>
    <s v=""/>
    <s v=""/>
    <n v="0"/>
    <n v="0"/>
    <n v="0"/>
    <n v="0"/>
    <n v="0"/>
    <n v="0"/>
    <n v="553750.09040765383"/>
    <n v="0"/>
    <n v="0"/>
    <n v="553750.09040765383"/>
    <n v="11280.998903681451"/>
    <n v="0"/>
    <n v="0"/>
    <n v="0"/>
    <n v="0"/>
    <n v="69273.378064115517"/>
    <n v="0"/>
    <n v="0"/>
    <n v="80554.376967796969"/>
    <n v="634304.46737545077"/>
    <n v="0"/>
    <n v="0"/>
    <n v="0"/>
    <n v="0"/>
    <n v="0"/>
    <n v="0"/>
    <n v="634304.46737545077"/>
    <n v="0"/>
    <n v="0"/>
    <n v="0"/>
    <n v="0"/>
    <n v="201368.63589212557"/>
    <n v="0"/>
    <n v="201368.63589212557"/>
    <n v="835673.10326757631"/>
    <n v="1.0720000000000001"/>
    <n v="1.04"/>
    <n v="1.0720000000000001"/>
    <n v="1.04"/>
    <n v="1.1120000000000001"/>
    <n v="1.095"/>
    <n v="1.1120000000000001"/>
    <n v="1.1120000000000001"/>
  </r>
  <r>
    <x v="1"/>
    <x v="1"/>
    <x v="1"/>
    <x v="10"/>
    <x v="194"/>
    <s v="Hot Water"/>
    <n v="1"/>
    <n v="10"/>
    <n v="50760.000000000007"/>
    <n v="30000"/>
    <n v="20760.000000000007"/>
    <n v="0"/>
    <n v="0"/>
    <n v="0"/>
    <n v="0"/>
    <n v="0"/>
    <n v="0"/>
    <n v="0"/>
    <n v="0"/>
    <n v="0"/>
    <s v=""/>
    <s v=""/>
    <s v=""/>
    <s v=""/>
    <s v=""/>
    <n v="4000"/>
    <n v="40000"/>
    <n v="3384.0000000000005"/>
    <n v="33840.000000000007"/>
    <n v="0"/>
    <n v="0"/>
    <n v="0"/>
    <n v="0"/>
    <n v="0"/>
    <n v="0"/>
    <n v="0"/>
    <n v="0"/>
    <n v="0"/>
    <n v="0"/>
    <n v="0"/>
    <n v="0"/>
    <s v=""/>
    <s v=""/>
    <s v=""/>
    <s v=""/>
    <n v="0"/>
    <s v=""/>
    <s v=""/>
    <s v=""/>
    <s v=""/>
    <n v="0"/>
    <n v="0"/>
    <n v="0"/>
    <n v="0"/>
    <s v=""/>
    <s v=""/>
    <s v=""/>
    <s v=""/>
    <s v=""/>
    <n v="0"/>
    <n v="0"/>
    <n v="0"/>
    <n v="0"/>
    <n v="0"/>
    <n v="0"/>
    <n v="227611.05673155087"/>
    <n v="0"/>
    <n v="0"/>
    <n v="227611.05673155087"/>
    <n v="4636.893295248321"/>
    <n v="0"/>
    <n v="0"/>
    <n v="0"/>
    <n v="0"/>
    <n v="28473.831530989184"/>
    <n v="0"/>
    <n v="0"/>
    <n v="33110.724826237507"/>
    <n v="260721.78155778837"/>
    <n v="0"/>
    <n v="0"/>
    <n v="0"/>
    <n v="0"/>
    <n v="0"/>
    <n v="0"/>
    <n v="260721.78155778837"/>
    <n v="0"/>
    <n v="0"/>
    <n v="0"/>
    <n v="0"/>
    <n v="0"/>
    <n v="0"/>
    <n v="0"/>
    <n v="260721.78155778837"/>
    <e v="#VALUE!"/>
    <e v="#VALUE!"/>
    <e v="#VALUE!"/>
    <e v="#VALUE!"/>
    <e v="#VALUE!"/>
    <e v="#VALUE!"/>
    <e v="#VALUE!"/>
    <e v="#VALUE!"/>
  </r>
  <r>
    <x v="3"/>
    <x v="5"/>
    <x v="10"/>
    <x v="89"/>
    <x v="19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196"/>
    <s v="HVAC"/>
    <n v="1"/>
    <n v="15"/>
    <n v="5414.4000000000005"/>
    <n v="3200"/>
    <n v="2214.4000000000005"/>
    <n v="0"/>
    <n v="0"/>
    <n v="0"/>
    <n v="0"/>
    <n v="0"/>
    <n v="0"/>
    <n v="0"/>
    <n v="0"/>
    <n v="0"/>
    <s v=""/>
    <s v=""/>
    <s v=""/>
    <s v=""/>
    <s v=""/>
    <n v="1000"/>
    <n v="15000"/>
    <n v="846.00000000000011"/>
    <n v="12690.000000000002"/>
    <n v="0"/>
    <n v="0"/>
    <n v="0"/>
    <n v="0"/>
    <n v="0"/>
    <n v="0"/>
    <n v="0"/>
    <n v="0"/>
    <n v="0"/>
    <n v="0"/>
    <n v="0"/>
    <n v="0"/>
    <s v=""/>
    <s v=""/>
    <s v=""/>
    <s v=""/>
    <n v="0"/>
    <s v=""/>
    <s v=""/>
    <s v=""/>
    <s v=""/>
    <n v="0"/>
    <n v="0"/>
    <n v="0"/>
    <n v="0"/>
    <s v=""/>
    <s v=""/>
    <s v=""/>
    <s v=""/>
    <s v=""/>
    <n v="0"/>
    <n v="0"/>
    <n v="0"/>
    <n v="0"/>
    <n v="0"/>
    <n v="0"/>
    <n v="0"/>
    <n v="98970.118150894428"/>
    <n v="0"/>
    <n v="98970.118150894428"/>
    <n v="1720.0267723023694"/>
    <n v="0"/>
    <n v="0"/>
    <n v="0"/>
    <n v="0"/>
    <n v="0"/>
    <n v="6975.0899395367096"/>
    <n v="0"/>
    <n v="8695.1167118390786"/>
    <n v="107665.2348627335"/>
    <n v="0"/>
    <n v="0"/>
    <n v="0"/>
    <n v="0"/>
    <n v="0"/>
    <n v="0"/>
    <n v="107665.2348627335"/>
    <n v="0"/>
    <n v="0"/>
    <n v="0"/>
    <n v="0"/>
    <n v="0"/>
    <n v="0"/>
    <n v="0"/>
    <n v="107665.2348627335"/>
    <e v="#VALUE!"/>
    <e v="#VALUE!"/>
    <e v="#VALUE!"/>
    <e v="#VALUE!"/>
    <e v="#VALUE!"/>
    <e v="#VALUE!"/>
    <e v="#VALUE!"/>
    <e v="#VALUE!"/>
  </r>
  <r>
    <x v="3"/>
    <x v="5"/>
    <x v="10"/>
    <x v="127"/>
    <x v="197"/>
    <s v="Custom Measures"/>
    <n v="1"/>
    <n v="10"/>
    <n v="3446250"/>
    <n v="1875000"/>
    <n v="1571250"/>
    <n v="0"/>
    <n v="0"/>
    <n v="0"/>
    <n v="0"/>
    <n v="0"/>
    <n v="0"/>
    <n v="0"/>
    <n v="0"/>
    <n v="0"/>
    <s v=""/>
    <s v=""/>
    <s v=""/>
    <s v=""/>
    <s v=""/>
    <n v="97375"/>
    <n v="973750"/>
    <n v="89487.625"/>
    <n v="894876.25"/>
    <n v="0"/>
    <n v="0"/>
    <n v="0"/>
    <n v="0"/>
    <n v="0"/>
    <n v="0"/>
    <n v="0"/>
    <n v="0"/>
    <n v="0"/>
    <n v="0"/>
    <n v="0"/>
    <n v="0"/>
    <n v="0"/>
    <n v="0"/>
    <n v="0"/>
    <n v="0"/>
    <n v="0"/>
    <n v="0"/>
    <n v="0"/>
    <n v="0"/>
    <n v="0"/>
    <n v="0"/>
    <n v="0"/>
    <n v="0"/>
    <n v="0"/>
    <s v=""/>
    <s v=""/>
    <s v=""/>
    <s v=""/>
    <s v=""/>
    <n v="0"/>
    <n v="0"/>
    <n v="0"/>
    <n v="0"/>
    <n v="0"/>
    <n v="0"/>
    <n v="0"/>
    <n v="0"/>
    <n v="6519334.7688347101"/>
    <n v="6519334.7688347101"/>
    <n v="122619.55330088532"/>
    <n v="0"/>
    <n v="0"/>
    <n v="0"/>
    <n v="0"/>
    <n v="0"/>
    <n v="0"/>
    <n v="716572.34530359658"/>
    <n v="839191.89860448195"/>
    <n v="7358526.6674391925"/>
    <n v="0"/>
    <n v="0"/>
    <n v="0"/>
    <n v="0"/>
    <n v="0"/>
    <n v="0"/>
    <n v="7358526.6674391925"/>
    <n v="0"/>
    <n v="0"/>
    <n v="0"/>
    <n v="0"/>
    <n v="2188789.5205665817"/>
    <n v="0"/>
    <n v="2188789.5205665817"/>
    <n v="9547316.1880057752"/>
    <n v="1.0720000000000001"/>
    <n v="1.04"/>
    <n v="1.0720000000000001"/>
    <n v="1.04"/>
    <n v="1.1120000000000001"/>
    <n v="1.095"/>
    <n v="1.1120000000000001"/>
    <n v="1.1120000000000001"/>
  </r>
  <r>
    <x v="1"/>
    <x v="1"/>
    <x v="1"/>
    <x v="10"/>
    <x v="198"/>
    <s v="Custom Measure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5"/>
    <x v="10"/>
    <x v="93"/>
    <x v="199"/>
    <s v="Process"/>
    <n v="1"/>
    <n v="13"/>
    <n v="1332550"/>
    <n v="725000"/>
    <n v="607550"/>
    <n v="0"/>
    <n v="0"/>
    <n v="0"/>
    <n v="0"/>
    <n v="0"/>
    <n v="0"/>
    <n v="0"/>
    <n v="0"/>
    <n v="0"/>
    <s v=""/>
    <s v=""/>
    <s v=""/>
    <s v=""/>
    <s v=""/>
    <n v="22591"/>
    <n v="293683"/>
    <n v="20761.129000000001"/>
    <n v="269894.67700000003"/>
    <n v="0"/>
    <n v="0"/>
    <n v="0"/>
    <n v="0"/>
    <n v="0"/>
    <n v="0"/>
    <n v="0"/>
    <n v="0"/>
    <n v="0"/>
    <n v="0"/>
    <n v="0"/>
    <n v="0"/>
    <n v="0"/>
    <n v="0"/>
    <n v="0"/>
    <n v="0"/>
    <n v="0"/>
    <n v="0"/>
    <n v="0"/>
    <n v="0"/>
    <n v="0"/>
    <n v="0"/>
    <n v="0"/>
    <n v="0"/>
    <n v="0"/>
    <s v=""/>
    <s v=""/>
    <s v=""/>
    <s v=""/>
    <s v=""/>
    <n v="0"/>
    <n v="0"/>
    <n v="0"/>
    <n v="0"/>
    <n v="0"/>
    <n v="0"/>
    <n v="0"/>
    <n v="0"/>
    <n v="1994881.0787238975"/>
    <n v="1994881.0787238975"/>
    <n v="36741.347205969687"/>
    <n v="0"/>
    <n v="0"/>
    <n v="0"/>
    <n v="0"/>
    <n v="0"/>
    <n v="0"/>
    <n v="174784.22274665622"/>
    <n v="211525.5699526259"/>
    <n v="2206406.6486765235"/>
    <n v="0"/>
    <n v="0"/>
    <n v="0"/>
    <n v="0"/>
    <n v="0"/>
    <n v="0"/>
    <n v="2206406.6486765235"/>
    <n v="0"/>
    <n v="0"/>
    <n v="0"/>
    <n v="0"/>
    <n v="0"/>
    <n v="0"/>
    <n v="0"/>
    <n v="2206406.6486765235"/>
    <n v="1.0720000000000001"/>
    <n v="1.04"/>
    <n v="1.0720000000000001"/>
    <n v="1.04"/>
    <n v="1.1120000000000001"/>
    <n v="1.095"/>
    <n v="1.1120000000000001"/>
    <n v="1.1120000000000001"/>
  </r>
  <r>
    <x v="3"/>
    <x v="5"/>
    <x v="10"/>
    <x v="128"/>
    <x v="200"/>
    <s v="Hot Water"/>
    <n v="1"/>
    <n v="6"/>
    <n v="1222270"/>
    <n v="665000"/>
    <n v="557270"/>
    <n v="0"/>
    <n v="0"/>
    <n v="0"/>
    <n v="0"/>
    <n v="0"/>
    <n v="0"/>
    <n v="0"/>
    <n v="0"/>
    <n v="0"/>
    <s v=""/>
    <s v=""/>
    <s v=""/>
    <s v=""/>
    <s v=""/>
    <n v="51803.5"/>
    <n v="310821"/>
    <n v="47607.416499999999"/>
    <n v="285644.49900000001"/>
    <n v="0"/>
    <n v="0"/>
    <n v="0"/>
    <n v="0"/>
    <n v="0"/>
    <n v="0"/>
    <n v="0"/>
    <n v="0"/>
    <n v="0"/>
    <n v="0"/>
    <n v="0"/>
    <n v="0"/>
    <n v="0"/>
    <n v="0"/>
    <n v="0"/>
    <n v="0"/>
    <n v="0"/>
    <n v="0"/>
    <n v="0"/>
    <n v="0"/>
    <n v="0"/>
    <n v="0"/>
    <n v="0"/>
    <n v="0"/>
    <n v="0"/>
    <s v=""/>
    <s v=""/>
    <s v=""/>
    <s v=""/>
    <s v=""/>
    <n v="0"/>
    <n v="0"/>
    <n v="0"/>
    <n v="0"/>
    <n v="0"/>
    <n v="0"/>
    <n v="0"/>
    <n v="2138091.1022838335"/>
    <n v="0"/>
    <n v="2138091.1022838335"/>
    <n v="39483.323120318091"/>
    <n v="0"/>
    <n v="0"/>
    <n v="0"/>
    <n v="0"/>
    <n v="0"/>
    <n v="344547.90427500568"/>
    <n v="0"/>
    <n v="384031.2273953238"/>
    <n v="2522122.3296791576"/>
    <n v="0"/>
    <n v="0"/>
    <n v="0"/>
    <n v="0"/>
    <n v="0"/>
    <n v="0"/>
    <n v="2522122.3296791576"/>
    <n v="0"/>
    <n v="0"/>
    <n v="0"/>
    <n v="0"/>
    <n v="3805850.538555759"/>
    <n v="0"/>
    <n v="3805850.538555759"/>
    <n v="6327972.8682349166"/>
    <n v="1.0720000000000001"/>
    <n v="1.04"/>
    <n v="1.0720000000000001"/>
    <n v="1.04"/>
    <n v="1.1120000000000001"/>
    <n v="1.095"/>
    <n v="1.1120000000000001"/>
    <n v="1.1120000000000001"/>
  </r>
  <r>
    <x v="1"/>
    <x v="1"/>
    <x v="1"/>
    <x v="10"/>
    <x v="201"/>
    <s v="Hot Water"/>
    <n v="1"/>
    <n v="6"/>
    <n v="139505.40000000002"/>
    <n v="82450"/>
    <n v="57055.400000000023"/>
    <n v="0"/>
    <n v="0"/>
    <n v="0"/>
    <n v="0"/>
    <n v="0"/>
    <n v="0"/>
    <n v="0"/>
    <n v="0"/>
    <n v="0"/>
    <s v=""/>
    <s v=""/>
    <s v=""/>
    <s v=""/>
    <s v=""/>
    <n v="48500"/>
    <n v="291000"/>
    <n v="41031.000000000007"/>
    <n v="246186.00000000006"/>
    <n v="0"/>
    <n v="0"/>
    <n v="0"/>
    <n v="0"/>
    <n v="0"/>
    <n v="0"/>
    <n v="0"/>
    <n v="0"/>
    <n v="0"/>
    <n v="0"/>
    <n v="0"/>
    <n v="0"/>
    <s v=""/>
    <s v=""/>
    <s v=""/>
    <s v=""/>
    <n v="0"/>
    <s v=""/>
    <s v=""/>
    <s v=""/>
    <s v=""/>
    <n v="0"/>
    <n v="0"/>
    <n v="0"/>
    <n v="0"/>
    <s v=""/>
    <s v=""/>
    <s v=""/>
    <s v=""/>
    <s v=""/>
    <n v="0"/>
    <n v="0"/>
    <n v="0"/>
    <n v="0"/>
    <n v="0"/>
    <n v="0"/>
    <n v="0"/>
    <n v="1842738.4316854912"/>
    <n v="0"/>
    <n v="1842738.4316854912"/>
    <n v="34029.156590544502"/>
    <n v="0"/>
    <n v="0"/>
    <n v="0"/>
    <n v="0"/>
    <n v="0"/>
    <n v="296952.57797296683"/>
    <n v="0"/>
    <n v="330981.73456351133"/>
    <n v="2173720.1662490023"/>
    <n v="0"/>
    <n v="0"/>
    <n v="0"/>
    <n v="0"/>
    <n v="0"/>
    <n v="0"/>
    <n v="2173720.1662490023"/>
    <n v="0"/>
    <n v="0"/>
    <n v="0"/>
    <n v="0"/>
    <n v="0"/>
    <n v="0"/>
    <n v="0"/>
    <n v="2173720.1662490023"/>
    <e v="#VALUE!"/>
    <e v="#VALUE!"/>
    <e v="#VALUE!"/>
    <e v="#VALUE!"/>
    <e v="#VALUE!"/>
    <e v="#VALUE!"/>
    <e v="#VALUE!"/>
    <e v="#VALUE!"/>
  </r>
  <r>
    <x v="3"/>
    <x v="5"/>
    <x v="10"/>
    <x v="129"/>
    <x v="202"/>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0"/>
    <x v="57"/>
    <x v="203"/>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25"/>
    <x v="204"/>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64"/>
    <x v="205"/>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65"/>
    <x v="206"/>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32"/>
    <x v="207"/>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6"/>
    <x v="208"/>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20"/>
    <x v="209"/>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21"/>
    <x v="210"/>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30"/>
    <x v="211"/>
    <s v="Hot Water"/>
    <s v=""/>
    <n v="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31"/>
    <x v="212"/>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32"/>
    <x v="213"/>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33"/>
    <x v="214"/>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0"/>
    <x v="134"/>
    <x v="215"/>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1"/>
    <x v="1"/>
    <x v="1"/>
    <x v="10"/>
    <x v="216"/>
    <s v="Process"/>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5"/>
    <x v="11"/>
    <x v="135"/>
    <x v="217"/>
    <s v="Envelope"/>
    <n v="1"/>
    <n v="19"/>
    <n v="132336"/>
    <n v="144000"/>
    <n v="-11664"/>
    <n v="0"/>
    <n v="0"/>
    <n v="0"/>
    <n v="0"/>
    <n v="0"/>
    <n v="0"/>
    <n v="0"/>
    <n v="0"/>
    <n v="0"/>
    <s v=""/>
    <s v=""/>
    <s v=""/>
    <s v=""/>
    <s v=""/>
    <n v="1402.2"/>
    <n v="26641.8"/>
    <n v="1288.6218000000001"/>
    <n v="24483.814200000001"/>
    <n v="0"/>
    <n v="0"/>
    <n v="0"/>
    <n v="0"/>
    <n v="0"/>
    <n v="0"/>
    <n v="0"/>
    <n v="0"/>
    <n v="0"/>
    <n v="0"/>
    <n v="0"/>
    <n v="0"/>
    <n v="0"/>
    <n v="0"/>
    <n v="0"/>
    <n v="0"/>
    <n v="0"/>
    <n v="0"/>
    <n v="0"/>
    <n v="0"/>
    <n v="0"/>
    <n v="0"/>
    <n v="0"/>
    <n v="0"/>
    <n v="0"/>
    <s v=""/>
    <s v=""/>
    <s v=""/>
    <s v=""/>
    <s v=""/>
    <n v="0"/>
    <n v="0"/>
    <n v="0"/>
    <n v="0"/>
    <n v="0"/>
    <n v="0"/>
    <n v="0"/>
    <n v="195708.80165578958"/>
    <n v="0"/>
    <n v="195708.80165578958"/>
    <n v="3289.9301962764234"/>
    <n v="0"/>
    <n v="0"/>
    <n v="0"/>
    <n v="0"/>
    <n v="0"/>
    <n v="11182.216012363861"/>
    <n v="0"/>
    <n v="14472.146208640284"/>
    <n v="210180.94786442985"/>
    <n v="0"/>
    <n v="0"/>
    <n v="0"/>
    <n v="0"/>
    <n v="0"/>
    <n v="0"/>
    <n v="210180.94786442985"/>
    <n v="0"/>
    <n v="0"/>
    <n v="0"/>
    <n v="0"/>
    <n v="0"/>
    <n v="0"/>
    <n v="0"/>
    <n v="210180.94786442985"/>
    <n v="1.0720000000000001"/>
    <n v="1.04"/>
    <n v="1.0720000000000001"/>
    <n v="1.04"/>
    <n v="1.1120000000000001"/>
    <n v="1.095"/>
    <n v="1.1120000000000001"/>
    <n v="1.1120000000000001"/>
  </r>
  <r>
    <x v="3"/>
    <x v="5"/>
    <x v="11"/>
    <x v="123"/>
    <x v="218"/>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219"/>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5"/>
    <x v="11"/>
    <x v="136"/>
    <x v="220"/>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1"/>
    <x v="137"/>
    <x v="221"/>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222"/>
    <s v="HVAC"/>
    <n v="1"/>
    <n v="15"/>
    <n v="60912.000000000007"/>
    <n v="72000"/>
    <n v="-11087.999999999993"/>
    <n v="0"/>
    <n v="0"/>
    <n v="0"/>
    <n v="0"/>
    <n v="0"/>
    <n v="0"/>
    <n v="0"/>
    <n v="0"/>
    <n v="0"/>
    <s v=""/>
    <s v=""/>
    <s v=""/>
    <s v=""/>
    <s v=""/>
    <n v="3600"/>
    <n v="54000"/>
    <n v="3045.6000000000004"/>
    <n v="45684.000000000007"/>
    <n v="0"/>
    <n v="0"/>
    <n v="0"/>
    <n v="0"/>
    <n v="0"/>
    <n v="0"/>
    <n v="0"/>
    <n v="0"/>
    <n v="0"/>
    <n v="0"/>
    <n v="0"/>
    <n v="0"/>
    <s v=""/>
    <s v=""/>
    <s v=""/>
    <s v=""/>
    <n v="0"/>
    <s v=""/>
    <s v=""/>
    <s v=""/>
    <s v=""/>
    <n v="0"/>
    <n v="0"/>
    <n v="0"/>
    <n v="0"/>
    <s v=""/>
    <s v=""/>
    <s v=""/>
    <s v=""/>
    <s v=""/>
    <n v="0"/>
    <n v="0"/>
    <n v="0"/>
    <n v="0"/>
    <n v="0"/>
    <n v="0"/>
    <n v="0"/>
    <n v="356292.42534321995"/>
    <n v="0"/>
    <n v="356292.42534321995"/>
    <n v="6192.0963802885299"/>
    <n v="0"/>
    <n v="0"/>
    <n v="0"/>
    <n v="0"/>
    <n v="0"/>
    <n v="25110.323782332158"/>
    <n v="0"/>
    <n v="31302.420162620689"/>
    <n v="387594.84550584061"/>
    <n v="0"/>
    <n v="0"/>
    <n v="0"/>
    <n v="0"/>
    <n v="0"/>
    <n v="0"/>
    <n v="387594.84550584061"/>
    <n v="0"/>
    <n v="0"/>
    <n v="0"/>
    <n v="0"/>
    <n v="0"/>
    <n v="0"/>
    <n v="0"/>
    <n v="387594.84550584061"/>
    <e v="#VALUE!"/>
    <e v="#VALUE!"/>
    <e v="#VALUE!"/>
    <e v="#VALUE!"/>
    <e v="#VALUE!"/>
    <e v="#VALUE!"/>
    <e v="#VALUE!"/>
    <e v="#VALUE!"/>
  </r>
  <r>
    <x v="3"/>
    <x v="5"/>
    <x v="11"/>
    <x v="138"/>
    <x v="223"/>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224"/>
    <s v="Hot Water"/>
    <n v="1"/>
    <n v="9"/>
    <n v="25380.000000000004"/>
    <n v="30000"/>
    <n v="-4619.9999999999964"/>
    <n v="0"/>
    <n v="0"/>
    <n v="0"/>
    <n v="0"/>
    <n v="0"/>
    <n v="0"/>
    <n v="0"/>
    <n v="0"/>
    <n v="0"/>
    <s v=""/>
    <s v=""/>
    <s v=""/>
    <s v=""/>
    <s v=""/>
    <n v="4000"/>
    <n v="36000"/>
    <n v="3384.0000000000005"/>
    <n v="30456.000000000004"/>
    <n v="0"/>
    <n v="0"/>
    <n v="0"/>
    <n v="0"/>
    <n v="0"/>
    <n v="0"/>
    <n v="0"/>
    <n v="0"/>
    <n v="0"/>
    <n v="0"/>
    <n v="0"/>
    <n v="0"/>
    <s v=""/>
    <s v=""/>
    <s v=""/>
    <s v=""/>
    <n v="0"/>
    <s v=""/>
    <s v=""/>
    <s v=""/>
    <s v=""/>
    <n v="0"/>
    <n v="0"/>
    <n v="0"/>
    <n v="0"/>
    <s v=""/>
    <s v=""/>
    <s v=""/>
    <s v=""/>
    <s v=""/>
    <n v="0"/>
    <n v="0"/>
    <n v="0"/>
    <n v="0"/>
    <n v="0"/>
    <n v="0"/>
    <n v="203712.80721157018"/>
    <n v="0"/>
    <n v="0"/>
    <n v="203712.80721157018"/>
    <n v="4182.3111188426383"/>
    <n v="0"/>
    <n v="0"/>
    <n v="0"/>
    <n v="0"/>
    <n v="27890.028499221989"/>
    <n v="0"/>
    <n v="0"/>
    <n v="32072.339618064627"/>
    <n v="235785.14682963482"/>
    <n v="0"/>
    <n v="0"/>
    <n v="0"/>
    <n v="0"/>
    <n v="0"/>
    <n v="0"/>
    <n v="235785.14682963482"/>
    <n v="0"/>
    <n v="0"/>
    <n v="0"/>
    <n v="0"/>
    <n v="0"/>
    <n v="0"/>
    <n v="0"/>
    <n v="235785.14682963482"/>
    <e v="#VALUE!"/>
    <e v="#VALUE!"/>
    <e v="#VALUE!"/>
    <e v="#VALUE!"/>
    <e v="#VALUE!"/>
    <e v="#VALUE!"/>
    <e v="#VALUE!"/>
    <e v="#VALUE!"/>
  </r>
  <r>
    <x v="3"/>
    <x v="5"/>
    <x v="11"/>
    <x v="89"/>
    <x v="22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226"/>
    <s v="HVAC"/>
    <n v="1"/>
    <n v="15"/>
    <n v="91368.000000000015"/>
    <n v="108000"/>
    <n v="-16631.999999999985"/>
    <n v="0"/>
    <n v="0"/>
    <n v="0"/>
    <n v="0"/>
    <n v="0"/>
    <n v="0"/>
    <n v="0"/>
    <n v="0"/>
    <n v="0"/>
    <s v=""/>
    <s v=""/>
    <s v=""/>
    <s v=""/>
    <s v=""/>
    <n v="900"/>
    <n v="13500"/>
    <n v="761.40000000000009"/>
    <n v="11421.000000000002"/>
    <n v="0"/>
    <n v="0"/>
    <n v="0"/>
    <n v="0"/>
    <n v="0"/>
    <n v="0"/>
    <n v="0"/>
    <n v="0"/>
    <n v="0"/>
    <n v="0"/>
    <n v="0"/>
    <n v="0"/>
    <s v=""/>
    <s v=""/>
    <s v=""/>
    <s v=""/>
    <n v="0"/>
    <s v=""/>
    <s v=""/>
    <s v=""/>
    <s v=""/>
    <n v="0"/>
    <n v="0"/>
    <n v="0"/>
    <n v="0"/>
    <s v=""/>
    <s v=""/>
    <s v=""/>
    <s v=""/>
    <s v=""/>
    <n v="0"/>
    <n v="0"/>
    <n v="0"/>
    <n v="0"/>
    <n v="0"/>
    <n v="0"/>
    <n v="0"/>
    <n v="89073.106335804987"/>
    <n v="0"/>
    <n v="89073.106335804987"/>
    <n v="1548.0240950721325"/>
    <n v="0"/>
    <n v="0"/>
    <n v="0"/>
    <n v="0"/>
    <n v="0"/>
    <n v="6277.5809455830395"/>
    <n v="0"/>
    <n v="7825.6050406551722"/>
    <n v="96898.711376460153"/>
    <n v="0"/>
    <n v="0"/>
    <n v="0"/>
    <n v="0"/>
    <n v="0"/>
    <n v="0"/>
    <n v="96898.711376460153"/>
    <n v="0"/>
    <n v="0"/>
    <n v="0"/>
    <n v="0"/>
    <n v="0"/>
    <n v="0"/>
    <n v="0"/>
    <n v="96898.711376460153"/>
    <e v="#VALUE!"/>
    <e v="#VALUE!"/>
    <e v="#VALUE!"/>
    <e v="#VALUE!"/>
    <e v="#VALUE!"/>
    <e v="#VALUE!"/>
    <e v="#VALUE!"/>
    <e v="#VALUE!"/>
  </r>
  <r>
    <x v="3"/>
    <x v="5"/>
    <x v="11"/>
    <x v="139"/>
    <x v="227"/>
    <s v="Custom Measure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1"/>
    <x v="1"/>
    <x v="10"/>
    <x v="228"/>
    <s v="Custom Measure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5"/>
    <x v="11"/>
    <x v="140"/>
    <x v="229"/>
    <s v="Proces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1"/>
    <x v="141"/>
    <x v="230"/>
    <s v="Hot Water"/>
    <s v=""/>
    <n v="6"/>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1"/>
    <x v="1"/>
    <x v="1"/>
    <x v="10"/>
    <x v="231"/>
    <s v="Hot Water"/>
    <s v=""/>
    <n v="6"/>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e v="#VALUE!"/>
    <e v="#VALUE!"/>
    <e v="#VALUE!"/>
    <e v="#VALUE!"/>
    <e v="#VALUE!"/>
    <e v="#VALUE!"/>
    <e v="#VALUE!"/>
    <e v="#VALUE!"/>
  </r>
  <r>
    <x v="3"/>
    <x v="5"/>
    <x v="11"/>
    <x v="25"/>
    <x v="232"/>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74"/>
    <x v="233"/>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75"/>
    <x v="234"/>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6"/>
    <x v="235"/>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32"/>
    <x v="236"/>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20"/>
    <x v="237"/>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21"/>
    <x v="238"/>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30"/>
    <x v="239"/>
    <s v="Hot Water"/>
    <s v=""/>
    <n v="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31"/>
    <x v="240"/>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32"/>
    <x v="241"/>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33"/>
    <x v="242"/>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134"/>
    <x v="243"/>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1"/>
    <x v="57"/>
    <x v="244"/>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1"/>
    <x v="1"/>
    <x v="1"/>
    <x v="10"/>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e v="#VALUE!"/>
    <e v="#VALUE!"/>
    <e v="#VALUE!"/>
    <e v="#VALUE!"/>
    <e v="#VALUE!"/>
    <e v="#VALUE!"/>
    <e v="#VALUE!"/>
    <e v="#VALUE!"/>
  </r>
  <r>
    <x v="3"/>
    <x v="5"/>
    <x v="11"/>
    <x v="113"/>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2"/>
    <x v="245"/>
    <s v="Envelope"/>
    <n v="2280.42"/>
    <n v="19"/>
    <n v="2217056.4962973837"/>
    <n v="1809349.6977399755"/>
    <n v="407706.79855740815"/>
    <n v="0"/>
    <n v="0"/>
    <n v="0"/>
    <n v="0"/>
    <n v="0"/>
    <n v="0"/>
    <n v="0"/>
    <n v="0"/>
    <n v="0"/>
    <s v=""/>
    <s v=""/>
    <s v=""/>
    <s v=""/>
    <s v=""/>
    <n v="15988.02462"/>
    <n v="303772.46778000001"/>
    <n v="14692.99462578"/>
    <n v="279166.89788981999"/>
    <n v="0"/>
    <n v="0"/>
    <n v="0"/>
    <n v="0"/>
    <n v="0"/>
    <n v="0"/>
    <n v="0"/>
    <n v="0"/>
    <n v="0"/>
    <n v="0"/>
    <n v="0"/>
    <n v="0"/>
    <n v="0"/>
    <n v="0"/>
    <n v="0"/>
    <n v="0"/>
    <n v="0"/>
    <n v="0"/>
    <n v="0"/>
    <n v="0"/>
    <n v="0"/>
    <n v="0"/>
    <n v="0"/>
    <n v="0"/>
    <n v="0"/>
    <s v=""/>
    <s v=""/>
    <s v=""/>
    <s v=""/>
    <s v=""/>
    <n v="0"/>
    <n v="0"/>
    <n v="0"/>
    <n v="0"/>
    <n v="0"/>
    <n v="0"/>
    <n v="0"/>
    <n v="2231491.3273594785"/>
    <n v="0"/>
    <n v="2231491.3273594785"/>
    <n v="37512.113090963401"/>
    <n v="0"/>
    <n v="0"/>
    <n v="0"/>
    <n v="0"/>
    <n v="0"/>
    <n v="127500.74519457397"/>
    <n v="0"/>
    <n v="165012.85828553737"/>
    <n v="2396504.1856450159"/>
    <n v="0"/>
    <n v="0"/>
    <n v="0"/>
    <n v="0"/>
    <n v="0"/>
    <n v="0"/>
    <n v="2396504.1856450159"/>
    <n v="0"/>
    <n v="0"/>
    <n v="0"/>
    <n v="0"/>
    <n v="0"/>
    <n v="0"/>
    <n v="0"/>
    <n v="2396504.1856450159"/>
    <n v="1.0720000000000001"/>
    <n v="1.04"/>
    <n v="1.0720000000000001"/>
    <n v="1.04"/>
    <n v="1.1120000000000001"/>
    <n v="1.095"/>
    <n v="1.1120000000000001"/>
    <n v="1.1120000000000001"/>
  </r>
  <r>
    <x v="3"/>
    <x v="5"/>
    <x v="12"/>
    <x v="89"/>
    <x v="246"/>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37"/>
    <x v="247"/>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38"/>
    <x v="248"/>
    <s v="Hot Water"/>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32"/>
    <x v="249"/>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6"/>
    <x v="250"/>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43"/>
    <x v="251"/>
    <s v="Hot Water"/>
    <n v="1030"/>
    <n v="15"/>
    <n v="3668.3425119805588"/>
    <n v="4336.1022600243014"/>
    <n v="-667.75974804374255"/>
    <n v="0"/>
    <n v="0"/>
    <n v="0"/>
    <n v="0"/>
    <n v="0"/>
    <n v="0"/>
    <n v="0"/>
    <n v="0"/>
    <n v="0"/>
    <s v=""/>
    <s v=""/>
    <s v=""/>
    <s v=""/>
    <s v=""/>
    <n v="61.800000000000004"/>
    <n v="927.00000000000011"/>
    <n v="52.282800000000009"/>
    <n v="784.24200000000019"/>
    <n v="0"/>
    <n v="0"/>
    <n v="0"/>
    <n v="0"/>
    <n v="0"/>
    <n v="0"/>
    <n v="0"/>
    <n v="0"/>
    <n v="0"/>
    <n v="0"/>
    <n v="0"/>
    <n v="0"/>
    <n v="0"/>
    <n v="0"/>
    <n v="0"/>
    <n v="0"/>
    <n v="0"/>
    <n v="0"/>
    <n v="0"/>
    <n v="0"/>
    <n v="0"/>
    <n v="0"/>
    <n v="0"/>
    <n v="0"/>
    <n v="0"/>
    <s v=""/>
    <s v=""/>
    <s v=""/>
    <s v=""/>
    <s v=""/>
    <n v="0"/>
    <n v="0"/>
    <n v="0"/>
    <n v="0"/>
    <n v="0"/>
    <n v="0"/>
    <n v="5445.9402580598426"/>
    <n v="0"/>
    <n v="0"/>
    <n v="5445.9402580598426"/>
    <n v="106.29765452828644"/>
    <n v="0"/>
    <n v="0"/>
    <n v="0"/>
    <n v="0"/>
    <n v="484.22178498453115"/>
    <n v="0"/>
    <n v="0"/>
    <n v="590.5194395128176"/>
    <n v="6036.4596975726599"/>
    <n v="0"/>
    <n v="0"/>
    <n v="0"/>
    <n v="0"/>
    <n v="0"/>
    <n v="0"/>
    <n v="6036.4596975726599"/>
    <n v="0"/>
    <n v="0"/>
    <n v="0"/>
    <n v="0"/>
    <n v="0"/>
    <n v="0"/>
    <n v="0"/>
    <n v="6036.4596975726599"/>
    <n v="1.0720000000000001"/>
    <n v="1.04"/>
    <n v="1.0720000000000001"/>
    <n v="1.04"/>
    <n v="1.1120000000000001"/>
    <n v="1.095"/>
    <n v="1.1120000000000001"/>
    <n v="1.1120000000000001"/>
  </r>
  <r>
    <x v="3"/>
    <x v="5"/>
    <x v="12"/>
    <x v="144"/>
    <x v="252"/>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20"/>
    <x v="253"/>
    <s v="Hot Water"/>
    <n v="5356"/>
    <n v="7"/>
    <n v="14454.451440000003"/>
    <n v="17085.64"/>
    <n v="-2631.1885599999969"/>
    <n v="0"/>
    <n v="0"/>
    <n v="0"/>
    <n v="0"/>
    <n v="0"/>
    <n v="0"/>
    <n v="0"/>
    <n v="0"/>
    <n v="0"/>
    <s v=""/>
    <s v=""/>
    <s v=""/>
    <s v=""/>
    <s v=""/>
    <n v="2763.6959999999999"/>
    <n v="19345.871999999999"/>
    <n v="2338.086816"/>
    <n v="16366.607712000001"/>
    <n v="0"/>
    <n v="0"/>
    <n v="0"/>
    <n v="0"/>
    <n v="0"/>
    <n v="0"/>
    <n v="0"/>
    <n v="0"/>
    <n v="1504350.432"/>
    <n v="0"/>
    <n v="0"/>
    <n v="10530453.024"/>
    <n v="0"/>
    <n v="0"/>
    <n v="0"/>
    <n v="0"/>
    <n v="0"/>
    <n v="0"/>
    <n v="0"/>
    <n v="0"/>
    <n v="0"/>
    <n v="0"/>
    <n v="0"/>
    <n v="0"/>
    <n v="0"/>
    <s v=""/>
    <s v=""/>
    <s v=""/>
    <s v=""/>
    <s v=""/>
    <n v="0"/>
    <n v="0"/>
    <n v="0"/>
    <n v="0"/>
    <n v="0"/>
    <n v="0"/>
    <n v="108257.31262129406"/>
    <n v="0"/>
    <n v="0"/>
    <n v="108257.31262129406"/>
    <n v="2257.3436966403951"/>
    <n v="0"/>
    <n v="0"/>
    <n v="0"/>
    <n v="0"/>
    <n v="18455.765345017571"/>
    <n v="0"/>
    <n v="0"/>
    <n v="20713.109041657968"/>
    <n v="128970.42166295202"/>
    <n v="0"/>
    <n v="0"/>
    <n v="0"/>
    <n v="67405.838267578991"/>
    <n v="0"/>
    <n v="0"/>
    <n v="196376.25993053103"/>
    <n v="0"/>
    <n v="0"/>
    <n v="0"/>
    <n v="0"/>
    <n v="0"/>
    <n v="0"/>
    <n v="0"/>
    <n v="196376.25993053103"/>
    <n v="1.0720000000000001"/>
    <n v="1.04"/>
    <n v="1.0720000000000001"/>
    <n v="1.04"/>
    <n v="1.1120000000000001"/>
    <n v="1.095"/>
    <n v="1.1120000000000001"/>
    <n v="1.1120000000000001"/>
  </r>
  <r>
    <x v="3"/>
    <x v="5"/>
    <x v="12"/>
    <x v="21"/>
    <x v="254"/>
    <s v="Hot Water"/>
    <n v="2678"/>
    <n v="7"/>
    <n v="34029.131760000004"/>
    <n v="40223.56"/>
    <n v="-6194.4282399999938"/>
    <n v="0"/>
    <n v="0"/>
    <n v="0"/>
    <n v="0"/>
    <n v="0"/>
    <n v="0"/>
    <n v="0"/>
    <n v="0"/>
    <n v="0"/>
    <s v=""/>
    <s v=""/>
    <s v=""/>
    <s v=""/>
    <s v=""/>
    <n v="1831.7519999999997"/>
    <n v="12822.263999999997"/>
    <n v="1549.662192"/>
    <n v="10847.635344"/>
    <n v="0"/>
    <n v="0"/>
    <n v="0"/>
    <n v="0"/>
    <n v="0"/>
    <n v="0"/>
    <n v="0"/>
    <n v="0"/>
    <n v="4904998.0200000005"/>
    <n v="0"/>
    <n v="0"/>
    <n v="34334986.140000001"/>
    <n v="0"/>
    <n v="0"/>
    <n v="0"/>
    <n v="0"/>
    <n v="0"/>
    <n v="0"/>
    <n v="0"/>
    <n v="0"/>
    <n v="0"/>
    <n v="0"/>
    <n v="0"/>
    <n v="0"/>
    <n v="0"/>
    <s v=""/>
    <s v=""/>
    <s v=""/>
    <s v=""/>
    <s v=""/>
    <n v="0"/>
    <n v="0"/>
    <n v="0"/>
    <n v="0"/>
    <n v="0"/>
    <n v="0"/>
    <n v="71751.939760625115"/>
    <n v="0"/>
    <n v="0"/>
    <n v="71751.939760625115"/>
    <n v="1496.1464035872386"/>
    <n v="0"/>
    <n v="0"/>
    <n v="0"/>
    <n v="0"/>
    <n v="12232.309589139553"/>
    <n v="0"/>
    <n v="0"/>
    <n v="13728.455992726791"/>
    <n v="85480.395753351913"/>
    <n v="0"/>
    <n v="0"/>
    <n v="0"/>
    <n v="219779.578086308"/>
    <n v="0"/>
    <n v="0"/>
    <n v="305259.97383965994"/>
    <n v="0"/>
    <n v="68.117004687178849"/>
    <n v="0"/>
    <n v="0"/>
    <n v="0"/>
    <n v="0"/>
    <n v="68.117004687178849"/>
    <n v="305328.09084434714"/>
    <n v="1.0720000000000001"/>
    <n v="1.04"/>
    <n v="1.0720000000000001"/>
    <n v="1.04"/>
    <n v="1.1120000000000001"/>
    <n v="1.095"/>
    <n v="1.1120000000000001"/>
    <n v="1.1120000000000001"/>
  </r>
  <r>
    <x v="3"/>
    <x v="5"/>
    <x v="12"/>
    <x v="25"/>
    <x v="255"/>
    <s v="HVAC"/>
    <n v="1287.5"/>
    <n v="15"/>
    <n v="115457.85000000002"/>
    <n v="136475"/>
    <n v="-21017.14999999998"/>
    <n v="0"/>
    <n v="0"/>
    <n v="0"/>
    <n v="0"/>
    <n v="0"/>
    <n v="0"/>
    <n v="0"/>
    <n v="0"/>
    <n v="0"/>
    <s v=""/>
    <s v=""/>
    <s v=""/>
    <s v=""/>
    <s v=""/>
    <n v="1776.7499999999998"/>
    <n v="26651.249999999996"/>
    <n v="1503.1305"/>
    <n v="22546.9575"/>
    <n v="0"/>
    <n v="0"/>
    <n v="0"/>
    <n v="0"/>
    <n v="0"/>
    <n v="0"/>
    <n v="0"/>
    <n v="0"/>
    <n v="0"/>
    <n v="0"/>
    <n v="0"/>
    <n v="0"/>
    <n v="0"/>
    <n v="0"/>
    <n v="0"/>
    <n v="0"/>
    <n v="0"/>
    <n v="0"/>
    <n v="0"/>
    <n v="0"/>
    <n v="0"/>
    <n v="0"/>
    <n v="0"/>
    <n v="0"/>
    <n v="0"/>
    <s v=""/>
    <s v=""/>
    <s v=""/>
    <s v=""/>
    <s v=""/>
    <n v="0"/>
    <n v="0"/>
    <n v="0"/>
    <n v="0"/>
    <n v="0"/>
    <n v="0"/>
    <n v="0"/>
    <n v="175845.15742460167"/>
    <n v="0"/>
    <n v="175845.15742460167"/>
    <n v="3056.0575676882345"/>
    <n v="0"/>
    <n v="0"/>
    <n v="0"/>
    <n v="0"/>
    <n v="0"/>
    <n v="12392.991050071845"/>
    <n v="0"/>
    <n v="15449.04861776008"/>
    <n v="191294.20604236174"/>
    <n v="0"/>
    <n v="0"/>
    <n v="0"/>
    <n v="0"/>
    <n v="0"/>
    <n v="0"/>
    <n v="191294.20604236174"/>
    <n v="86175.380398050955"/>
    <n v="56207.445053571144"/>
    <n v="0"/>
    <n v="0"/>
    <n v="0"/>
    <n v="0"/>
    <n v="142382.82545162211"/>
    <n v="333677.03149398381"/>
    <n v="1.0720000000000001"/>
    <n v="1.04"/>
    <n v="1.0720000000000001"/>
    <n v="1.04"/>
    <n v="1.1120000000000001"/>
    <n v="1.095"/>
    <n v="1.1120000000000001"/>
    <n v="1.1120000000000001"/>
  </r>
  <r>
    <x v="3"/>
    <x v="5"/>
    <x v="12"/>
    <x v="74"/>
    <x v="256"/>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45"/>
    <x v="257"/>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24"/>
    <x v="258"/>
    <s v="Hot Water"/>
    <n v="12.36"/>
    <n v="15"/>
    <n v="31369.680000000004"/>
    <n v="27810"/>
    <n v="3559.6800000000039"/>
    <n v="0"/>
    <n v="0"/>
    <n v="0"/>
    <n v="0"/>
    <n v="0"/>
    <n v="0"/>
    <n v="0"/>
    <n v="0"/>
    <n v="0"/>
    <s v=""/>
    <s v=""/>
    <s v=""/>
    <s v=""/>
    <s v=""/>
    <n v="863.96399999999994"/>
    <n v="12959.46"/>
    <n v="730.913544"/>
    <n v="10963.703160000001"/>
    <n v="0"/>
    <n v="0"/>
    <n v="0"/>
    <n v="0"/>
    <n v="0"/>
    <n v="0"/>
    <n v="0"/>
    <n v="0"/>
    <n v="0"/>
    <n v="0"/>
    <n v="0"/>
    <n v="0"/>
    <n v="0"/>
    <n v="0"/>
    <n v="0"/>
    <n v="0"/>
    <n v="0"/>
    <n v="0"/>
    <n v="0"/>
    <n v="0"/>
    <n v="0"/>
    <n v="0"/>
    <n v="0"/>
    <n v="0"/>
    <n v="0"/>
    <s v=""/>
    <s v=""/>
    <s v=""/>
    <s v=""/>
    <s v=""/>
    <n v="0"/>
    <n v="0"/>
    <n v="0"/>
    <n v="0"/>
    <n v="0"/>
    <n v="0"/>
    <n v="76134.244807676587"/>
    <n v="0"/>
    <n v="0"/>
    <n v="76134.244807676587"/>
    <n v="1486.0412103054441"/>
    <n v="0"/>
    <n v="0"/>
    <n v="0"/>
    <n v="0"/>
    <n v="6769.4205540837447"/>
    <n v="0"/>
    <n v="0"/>
    <n v="8255.4617643891888"/>
    <n v="84389.70657206577"/>
    <n v="0"/>
    <n v="0"/>
    <n v="0"/>
    <n v="0"/>
    <n v="0"/>
    <n v="0"/>
    <n v="84389.70657206577"/>
    <n v="0"/>
    <n v="0"/>
    <n v="0"/>
    <n v="0"/>
    <n v="0"/>
    <n v="0"/>
    <n v="0"/>
    <n v="84389.70657206577"/>
    <n v="1.0720000000000001"/>
    <n v="1.04"/>
    <n v="1.0720000000000001"/>
    <n v="1.04"/>
    <n v="1.1120000000000001"/>
    <n v="1.095"/>
    <n v="1.1120000000000001"/>
    <n v="1.1120000000000001"/>
  </r>
  <r>
    <x v="3"/>
    <x v="5"/>
    <x v="12"/>
    <x v="3"/>
    <x v="259"/>
    <s v="Lighting"/>
    <s v=""/>
    <n v="4"/>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4"/>
    <x v="260"/>
    <s v="Lighting"/>
    <s v=""/>
    <n v="9"/>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s v=""/>
    <s v=""/>
    <s v=""/>
    <s v=""/>
    <s v=""/>
    <n v="0"/>
    <s v=""/>
    <s v=""/>
    <s v=""/>
    <s v=""/>
    <n v="0"/>
    <n v="0"/>
    <n v="0"/>
    <n v="0"/>
    <n v="1.0720000000000001"/>
    <n v="1.04"/>
    <n v="1.0720000000000001"/>
    <n v="1.04"/>
    <n v="1.1120000000000001"/>
    <n v="1.095"/>
    <n v="1.1120000000000001"/>
    <n v="1.1120000000000001"/>
  </r>
  <r>
    <x v="3"/>
    <x v="5"/>
    <x v="12"/>
    <x v="11"/>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6"/>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7"/>
    <x v="10"/>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5"/>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22"/>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8"/>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49"/>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29"/>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4"/>
    <x v="6"/>
    <x v="13"/>
    <x v="150"/>
    <x v="261"/>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pivotCacheRecords>
</file>

<file path=xl/pivotCache/pivotCacheRecords2.xml><?xml version="1.0" encoding="utf-8"?>
<pivotCacheRecords xmlns="http://schemas.openxmlformats.org/spreadsheetml/2006/main" xmlns:r="http://schemas.openxmlformats.org/officeDocument/2006/relationships" count="389">
  <r>
    <x v="0"/>
    <x v="0"/>
    <x v="0"/>
    <x v="0"/>
    <x v="0"/>
    <s v="Energy Star Homes"/>
    <s v="2424"/>
    <n v="25"/>
    <n v="15851991.576601846"/>
    <n v="5612278.9039999992"/>
    <n v="10239712.672601847"/>
    <n v="207.53216921666669"/>
    <n v="207.53216921666669"/>
    <n v="5188.3042304166675"/>
    <n v="249.03860306000001"/>
    <n v="6225.9650765000006"/>
    <n v="2354.1063210087823"/>
    <n v="3830.6298010501346"/>
    <n v="10.83444714104451"/>
    <n v="30.394507300042758"/>
    <n v="132.94026928199179"/>
    <n v="88.294495514789546"/>
    <n v="105.95339461774745"/>
    <n v="0"/>
    <n v="0"/>
    <n v="36566.458319999998"/>
    <n v="914161.45799999998"/>
    <n v="43879.749983999995"/>
    <n v="1096993.7495999997"/>
    <n v="0"/>
    <n v="0"/>
    <n v="0"/>
    <n v="0"/>
    <n v="0"/>
    <n v="0"/>
    <n v="0"/>
    <n v="0"/>
    <n v="0"/>
    <n v="0"/>
    <n v="0"/>
    <n v="0"/>
    <n v="233715.80139709046"/>
    <n v="340313.03294096794"/>
    <n v="1148.7278699783806"/>
    <n v="2389.3838881922929"/>
    <n v="577566.94609622902"/>
    <n v="3072.0768686253186"/>
    <n v="2404.9957860011959"/>
    <n v="16.695219764462156"/>
    <n v="15.366642525981156"/>
    <n v="96.403735700581905"/>
    <n v="19406.738627638897"/>
    <n v="25012.276880256435"/>
    <n v="602579.2229764855"/>
    <n v="0"/>
    <n v="0"/>
    <n v="0"/>
    <n v="0"/>
    <n v="0"/>
    <n v="0"/>
    <n v="602579.2229764855"/>
    <n v="0"/>
    <n v="0"/>
    <n v="9762676.3080777675"/>
    <n v="0"/>
    <n v="0"/>
    <n v="0"/>
    <n v="0"/>
    <n v="9762676.3080777675"/>
    <n v="145506.94305819247"/>
    <n v="0"/>
    <n v="0"/>
    <n v="374262.89609708515"/>
    <n v="0"/>
    <n v="0"/>
    <n v="0"/>
    <n v="0"/>
    <n v="519769.83915527759"/>
    <n v="10282446.147233045"/>
    <n v="0"/>
    <n v="0"/>
    <n v="0"/>
    <n v="0"/>
    <n v="0"/>
    <n v="0"/>
    <n v="10282446.147233045"/>
    <n v="8057931.2565318719"/>
    <n v="0"/>
    <n v="0"/>
    <n v="0"/>
    <n v="0"/>
    <n v="0"/>
    <n v="8057931.2565318719"/>
    <n v="18942956.626741406"/>
    <n v="1.0720000000000001"/>
    <n v="1.04"/>
    <n v="1.0720000000000001"/>
    <n v="1.04"/>
    <n v="1.1120000000000001"/>
    <n v="1.095"/>
    <n v="1.1120000000000001"/>
    <n v="1.1120000000000001"/>
  </r>
  <r>
    <x v="0"/>
    <x v="0"/>
    <x v="0"/>
    <x v="1"/>
    <x v="1"/>
    <s v="Energy Star Homes"/>
    <s v="2424"/>
    <n v="25"/>
    <n v="0"/>
    <n v="0"/>
    <n v="0"/>
    <n v="34.878839124999999"/>
    <n v="34.878839124999999"/>
    <n v="871.97097812499999"/>
    <n v="41.854606949999997"/>
    <n v="1046.3651737499999"/>
    <n v="9.3734193215775328"/>
    <n v="43.077589670081259"/>
    <n v="563.17168249743406"/>
    <n v="430.74248226088895"/>
    <n v="93.041203387307917"/>
    <n v="0"/>
    <n v="0"/>
    <n v="77.456801819933844"/>
    <n v="92.948162183920616"/>
    <n v="0"/>
    <n v="0"/>
    <n v="0"/>
    <n v="0"/>
    <n v="0"/>
    <n v="0"/>
    <n v="0"/>
    <n v="0"/>
    <n v="0"/>
    <n v="0"/>
    <n v="0"/>
    <n v="0"/>
    <n v="0"/>
    <n v="0"/>
    <n v="0"/>
    <n v="0"/>
    <n v="930.59357133653123"/>
    <n v="3827.0117327424814"/>
    <n v="59710.569339216883"/>
    <n v="33861.682208373044"/>
    <n v="98329.856851668941"/>
    <n v="12.23218527589882"/>
    <n v="27.045532199230696"/>
    <n v="867.81308561630283"/>
    <n v="217.77177304820293"/>
    <n v="2324.0230014889303"/>
    <n v="164.58309654093969"/>
    <n v="3613.468674169505"/>
    <n v="101943.32552583845"/>
    <n v="417645.79679326125"/>
    <n v="0"/>
    <n v="0"/>
    <n v="26282.808938560607"/>
    <n v="206290.0697772766"/>
    <n v="650218.67550909845"/>
    <n v="752162.00103493687"/>
    <n v="0"/>
    <n v="0"/>
    <n v="0"/>
    <n v="0"/>
    <n v="0"/>
    <n v="0"/>
    <n v="0"/>
    <n v="0"/>
    <n v="0"/>
    <n v="0"/>
    <n v="0"/>
    <n v="0"/>
    <n v="0"/>
    <n v="0"/>
    <n v="0"/>
    <n v="0"/>
    <n v="0"/>
    <n v="0"/>
    <n v="0"/>
    <n v="0"/>
    <n v="0"/>
    <n v="0"/>
    <n v="0"/>
    <n v="0"/>
    <n v="0"/>
    <n v="0"/>
    <n v="0"/>
    <n v="0"/>
    <n v="0"/>
    <n v="0"/>
    <n v="0"/>
    <n v="0"/>
    <n v="752162.00103493687"/>
    <n v="1.0720000000000001"/>
    <n v="1.04"/>
    <n v="1.0720000000000001"/>
    <n v="1.04"/>
    <n v="1.1120000000000001"/>
    <n v="1.095"/>
    <n v="1.1120000000000001"/>
    <n v="1.1120000000000001"/>
  </r>
  <r>
    <x v="0"/>
    <x v="0"/>
    <x v="0"/>
    <x v="2"/>
    <x v="2"/>
    <s v="Hot Water"/>
    <s v="2424"/>
    <n v="15"/>
    <n v="0"/>
    <n v="0"/>
    <n v="0"/>
    <n v="2.9101427666666662"/>
    <n v="2.9101427666666662"/>
    <n v="43.652141499999992"/>
    <n v="3.4921713199999993"/>
    <n v="52.382569799999992"/>
    <n v="18.773921758009372"/>
    <n v="16.111619145811133"/>
    <n v="9.0403840184420545"/>
    <n v="8.4566448777374905"/>
    <n v="3.3451199999999996"/>
    <n v="0"/>
    <n v="0"/>
    <n v="2.7875999999999999"/>
    <n v="3.3451199999999996"/>
    <n v="10628.437329999999"/>
    <n v="159426.55995"/>
    <n v="12754.124795999998"/>
    <n v="191311.87193999998"/>
    <n v="0"/>
    <n v="0"/>
    <n v="0"/>
    <n v="0"/>
    <n v="0"/>
    <n v="0"/>
    <n v="0"/>
    <n v="0"/>
    <n v="0"/>
    <n v="0"/>
    <n v="0"/>
    <n v="0"/>
    <n v="1576.9480181992442"/>
    <n v="1210.8860810067847"/>
    <n v="739.29305458039914"/>
    <n v="541.56482032793622"/>
    <n v="4068.6919741143643"/>
    <n v="40.832856083186087"/>
    <n v="16.859010207977388"/>
    <n v="23.217797207089561"/>
    <n v="7.1257523342701035"/>
    <n v="54.983875242762963"/>
    <n v="154.08074156210506"/>
    <n v="297.10003263739117"/>
    <n v="4365.7920067517553"/>
    <n v="8671.1349486204817"/>
    <n v="0"/>
    <n v="0"/>
    <n v="579.94651650673086"/>
    <n v="4551.9186186274501"/>
    <n v="13803.000083754661"/>
    <n v="18168.792090506417"/>
    <n v="0"/>
    <n v="1533006.0618686909"/>
    <n v="0"/>
    <n v="0"/>
    <n v="0"/>
    <n v="0"/>
    <n v="0"/>
    <n v="1533006.0618686909"/>
    <n v="25930.775539486396"/>
    <n v="0"/>
    <n v="105332.80456000214"/>
    <n v="0"/>
    <n v="0"/>
    <n v="0"/>
    <n v="0"/>
    <n v="0"/>
    <n v="131263.58009948855"/>
    <n v="1664269.6419681795"/>
    <n v="0"/>
    <n v="0"/>
    <n v="0"/>
    <n v="0"/>
    <n v="0"/>
    <n v="0"/>
    <n v="1664269.6419681795"/>
    <n v="0"/>
    <n v="0"/>
    <n v="0"/>
    <n v="0"/>
    <n v="0"/>
    <n v="0"/>
    <n v="0"/>
    <n v="1682438.434058686"/>
    <n v="1.0720000000000001"/>
    <n v="1.04"/>
    <n v="1.0720000000000001"/>
    <n v="1.04"/>
    <n v="1.1120000000000001"/>
    <n v="1.095"/>
    <n v="1.1120000000000001"/>
    <n v="1.1120000000000001"/>
  </r>
  <r>
    <x v="0"/>
    <x v="0"/>
    <x v="0"/>
    <x v="3"/>
    <x v="3"/>
    <s v="Lighting"/>
    <n v="17"/>
    <n v="5"/>
    <n v="0"/>
    <n v="0"/>
    <n v="0"/>
    <n v="0.72250000000000003"/>
    <n v="0.72242775000000004"/>
    <n v="3.6121387500000002"/>
    <n v="0.39011098500000002"/>
    <n v="1.9505549250000001"/>
    <n v="0.83873861775000003"/>
    <n v="0.46813318199999998"/>
    <n v="0.40961653425"/>
    <n v="0.23406659099999999"/>
    <n v="0.36352800000000002"/>
    <n v="0.10535580000000001"/>
    <n v="5.6892132000000012E-2"/>
    <n v="0.10569240000000001"/>
    <n v="5.7073896000000013E-2"/>
    <n v="-0.10198888888888887"/>
    <n v="-0.50994444444444431"/>
    <n v="-5.5073999999999991E-2"/>
    <n v="-0.27536999999999995"/>
    <n v="0"/>
    <n v="0"/>
    <n v="0"/>
    <n v="0"/>
    <n v="0"/>
    <n v="0"/>
    <n v="0"/>
    <n v="0"/>
    <n v="0"/>
    <n v="0"/>
    <n v="0"/>
    <n v="0"/>
    <n v="62.292947630744422"/>
    <n v="31.084167818097587"/>
    <n v="27.167178756566074"/>
    <n v="12.262678616678429"/>
    <n v="132.80697282208649"/>
    <n v="5.4727126880751786"/>
    <n v="1.4695472917908781"/>
    <n v="3.1559700137139632"/>
    <n v="0.59168875410047828"/>
    <n v="4.5387941926913866"/>
    <n v="13.976620427396741"/>
    <n v="29.205333367768624"/>
    <n v="162.01230618985511"/>
    <n v="36.364542259634113"/>
    <n v="0"/>
    <n v="0"/>
    <n v="3.3709807381193877"/>
    <n v="26.458353569060623"/>
    <n v="66.193876566814126"/>
    <n v="228.20618275666925"/>
    <n v="0"/>
    <n v="0"/>
    <n v="-2.240091157531122"/>
    <n v="0"/>
    <n v="0"/>
    <n v="0"/>
    <n v="0"/>
    <n v="-2.240091157531122"/>
    <n v="-3.8146436425263885E-2"/>
    <n v="0"/>
    <n v="0"/>
    <n v="-0.38082897854065467"/>
    <n v="0"/>
    <n v="0"/>
    <n v="0"/>
    <n v="0"/>
    <n v="-0.41897541496591856"/>
    <n v="-2.6590665724970406"/>
    <n v="0"/>
    <n v="0"/>
    <n v="0"/>
    <n v="0"/>
    <n v="0"/>
    <n v="0"/>
    <n v="-2.6590665724970406"/>
    <n v="0"/>
    <n v="27.324516284426775"/>
    <n v="0"/>
    <n v="0"/>
    <n v="0"/>
    <n v="0"/>
    <n v="27.324516284426775"/>
    <n v="252.87163246859899"/>
    <n v="1.0720000000000001"/>
    <n v="1.04"/>
    <n v="1.0720000000000001"/>
    <n v="1.04"/>
    <n v="1.1120000000000001"/>
    <n v="1.095"/>
    <n v="1.1120000000000001"/>
    <n v="1.1120000000000001"/>
  </r>
  <r>
    <x v="0"/>
    <x v="0"/>
    <x v="0"/>
    <x v="4"/>
    <x v="4"/>
    <s v="Lighting"/>
    <n v="20603"/>
    <n v="7"/>
    <n v="0"/>
    <n v="0"/>
    <n v="0"/>
    <n v="642.81359999999995"/>
    <n v="597.81664799999999"/>
    <n v="4184.7165359999999"/>
    <n v="478.25331840000001"/>
    <n v="3347.7732288000002"/>
    <n v="1439.5424883840001"/>
    <n v="803.46557491199997"/>
    <n v="703.03237804800006"/>
    <n v="401.73278745599998"/>
    <n v="494.47200000000004"/>
    <n v="89.959909050000007"/>
    <n v="71.967927240000009"/>
    <n v="90.247320900000005"/>
    <n v="72.197856720000019"/>
    <n v="-95.803949999999986"/>
    <n v="-670.6276499999999"/>
    <n v="-76.643159999999995"/>
    <n v="-536.50211999999999"/>
    <n v="0"/>
    <n v="0"/>
    <n v="0"/>
    <n v="0"/>
    <n v="0"/>
    <n v="0"/>
    <n v="0"/>
    <n v="0"/>
    <n v="0"/>
    <n v="0"/>
    <n v="0"/>
    <n v="0"/>
    <n v="108443.442046703"/>
    <n v="54136.010074024736"/>
    <n v="48375.614237202957"/>
    <n v="21855.868103156648"/>
    <n v="232810.93446108737"/>
    <n v="6709.2266159122337"/>
    <n v="1801.5792835075397"/>
    <n v="3869.0351973287716"/>
    <n v="725.37590836750041"/>
    <n v="5947.6169104373475"/>
    <n v="17970.13293863802"/>
    <n v="37022.966854191414"/>
    <n v="269833.90131527878"/>
    <n v="73569.001994573468"/>
    <n v="0"/>
    <n v="0"/>
    <n v="5943.9173133161012"/>
    <n v="46652.970775713911"/>
    <n v="126165.89008360347"/>
    <n v="395999.79139888228"/>
    <n v="0"/>
    <n v="0"/>
    <n v="-4373.3152961377637"/>
    <n v="0"/>
    <n v="0"/>
    <n v="0"/>
    <n v="0"/>
    <n v="-4373.3152961377637"/>
    <n v="-73.996377265659788"/>
    <n v="0"/>
    <n v="0"/>
    <n v="-542.95834125625584"/>
    <n v="0"/>
    <n v="0"/>
    <n v="0"/>
    <n v="0"/>
    <n v="-616.95471852191565"/>
    <n v="-4990.270014659679"/>
    <n v="0"/>
    <n v="0"/>
    <n v="0"/>
    <n v="0"/>
    <n v="0"/>
    <n v="0"/>
    <n v="-4990.270014659679"/>
    <n v="0"/>
    <n v="49555.864440311161"/>
    <n v="0"/>
    <n v="0"/>
    <n v="0"/>
    <n v="0"/>
    <n v="49555.864440311161"/>
    <n v="440565.38582453376"/>
    <n v="1.0720000000000001"/>
    <n v="1.04"/>
    <n v="1.0720000000000001"/>
    <n v="1.04"/>
    <n v="1.1120000000000001"/>
    <n v="1.095"/>
    <n v="1.1120000000000001"/>
    <n v="1.1120000000000001"/>
  </r>
  <r>
    <x v="0"/>
    <x v="0"/>
    <x v="0"/>
    <x v="5"/>
    <x v="5"/>
    <s v="Energy Star Homes"/>
    <n v="3813"/>
    <n v="25"/>
    <n v="2852518.1999999997"/>
    <n v="571052.04"/>
    <n v="2281466.1599999997"/>
    <n v="0"/>
    <n v="0"/>
    <n v="0"/>
    <n v="0"/>
    <n v="0"/>
    <n v="0"/>
    <n v="0"/>
    <n v="0"/>
    <n v="0"/>
    <n v="0"/>
    <n v="0"/>
    <n v="0"/>
    <n v="0"/>
    <n v="0"/>
    <n v="3868.9411"/>
    <n v="96723.527499999997"/>
    <n v="3868.9411"/>
    <n v="96723.527499999997"/>
    <n v="0"/>
    <n v="0"/>
    <n v="0"/>
    <n v="0"/>
    <n v="0"/>
    <n v="0"/>
    <n v="0"/>
    <n v="0"/>
    <n v="0"/>
    <n v="0"/>
    <n v="0"/>
    <n v="0"/>
    <n v="0"/>
    <n v="0"/>
    <n v="0"/>
    <n v="0"/>
    <n v="0"/>
    <n v="0"/>
    <n v="0"/>
    <n v="0"/>
    <n v="0"/>
    <n v="0"/>
    <n v="0"/>
    <n v="0"/>
    <n v="0"/>
    <n v="0"/>
    <n v="0"/>
    <n v="0"/>
    <n v="0"/>
    <n v="0"/>
    <n v="0"/>
    <n v="0"/>
    <n v="0"/>
    <n v="0"/>
    <n v="860789.30778071831"/>
    <n v="0"/>
    <n v="0"/>
    <n v="0"/>
    <n v="0"/>
    <n v="860789.30778071831"/>
    <n v="12829.557883499188"/>
    <n v="0"/>
    <n v="0"/>
    <n v="32999.301533008533"/>
    <n v="0"/>
    <n v="0"/>
    <n v="0"/>
    <n v="0"/>
    <n v="45828.859416507723"/>
    <n v="906618.16719722608"/>
    <n v="0"/>
    <n v="0"/>
    <n v="0"/>
    <n v="0"/>
    <n v="0"/>
    <n v="0"/>
    <n v="906618.16719722608"/>
    <n v="124634.07501986052"/>
    <n v="0"/>
    <n v="0"/>
    <n v="0"/>
    <n v="0"/>
    <n v="0"/>
    <n v="124634.07501986052"/>
    <n v="1031252.2422170866"/>
    <n v="1.0720000000000001"/>
    <n v="1.04"/>
    <n v="1.0720000000000001"/>
    <n v="1.04"/>
    <n v="1.1120000000000001"/>
    <n v="1.095"/>
    <n v="1.1120000000000001"/>
    <n v="1.1120000000000001"/>
  </r>
  <r>
    <x v="0"/>
    <x v="0"/>
    <x v="0"/>
    <x v="6"/>
    <x v="6"/>
    <s v="Energy Star Home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0"/>
    <x v="7"/>
    <x v="7"/>
    <s v="Hot Water"/>
    <n v="3813"/>
    <n v="15"/>
    <n v="0"/>
    <n v="0"/>
    <n v="0"/>
    <n v="0"/>
    <n v="0"/>
    <n v="0"/>
    <n v="0"/>
    <n v="0"/>
    <n v="0"/>
    <n v="0"/>
    <n v="0"/>
    <n v="0"/>
    <n v="0"/>
    <n v="0"/>
    <n v="0"/>
    <n v="0"/>
    <n v="0"/>
    <n v="11485.521000000001"/>
    <n v="172282.815"/>
    <n v="11485.521000000001"/>
    <n v="172282.815"/>
    <n v="0"/>
    <n v="0"/>
    <n v="0"/>
    <n v="0"/>
    <n v="0"/>
    <n v="0"/>
    <n v="0"/>
    <n v="0"/>
    <n v="0"/>
    <n v="0"/>
    <n v="0"/>
    <n v="0"/>
    <n v="0"/>
    <n v="0"/>
    <n v="0"/>
    <n v="0"/>
    <n v="0"/>
    <n v="0"/>
    <n v="0"/>
    <n v="0"/>
    <n v="0"/>
    <n v="0"/>
    <n v="0"/>
    <n v="0"/>
    <n v="0"/>
    <n v="0"/>
    <n v="0"/>
    <n v="0"/>
    <n v="0"/>
    <n v="0"/>
    <n v="0"/>
    <n v="0"/>
    <n v="0"/>
    <n v="1380523.8382364148"/>
    <n v="0"/>
    <n v="0"/>
    <n v="0"/>
    <n v="0"/>
    <n v="0"/>
    <n v="1380523.8382364148"/>
    <n v="23351.540914705769"/>
    <n v="0"/>
    <n v="94855.755146932832"/>
    <n v="0"/>
    <n v="0"/>
    <n v="0"/>
    <n v="0"/>
    <n v="0"/>
    <n v="118207.2960616386"/>
    <n v="1498731.1342980533"/>
    <n v="0"/>
    <n v="0"/>
    <n v="0"/>
    <n v="0"/>
    <n v="0"/>
    <n v="0"/>
    <n v="1498731.1342980533"/>
    <n v="0"/>
    <n v="0"/>
    <n v="0"/>
    <n v="0"/>
    <n v="0"/>
    <n v="0"/>
    <n v="0"/>
    <n v="1498731.1342980533"/>
    <n v="1.0720000000000001"/>
    <n v="1.04"/>
    <n v="1.0720000000000001"/>
    <n v="1.04"/>
    <n v="1.1120000000000001"/>
    <n v="1.095"/>
    <n v="1.1120000000000001"/>
    <n v="1.1120000000000001"/>
  </r>
  <r>
    <x v="0"/>
    <x v="0"/>
    <x v="0"/>
    <x v="8"/>
    <x v="8"/>
    <s v="Lighting"/>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0"/>
    <x v="9"/>
    <x v="9"/>
    <s v="Energy Star Homes"/>
    <n v="1"/>
    <n v="20"/>
    <n v="0"/>
    <n v="0"/>
    <n v="0"/>
    <n v="0"/>
    <n v="0"/>
    <n v="0"/>
    <n v="0"/>
    <n v="0"/>
    <n v="0"/>
    <n v="0"/>
    <n v="0"/>
    <n v="0"/>
    <n v="0"/>
    <n v="0"/>
    <n v="0"/>
    <n v="0"/>
    <n v="0"/>
    <n v="7437.9"/>
    <n v="148758"/>
    <n v="7437.9"/>
    <n v="148758"/>
    <n v="0"/>
    <n v="0"/>
    <n v="0"/>
    <n v="0"/>
    <n v="0"/>
    <n v="0"/>
    <n v="0"/>
    <n v="0"/>
    <n v="0"/>
    <n v="0"/>
    <n v="0"/>
    <n v="0"/>
    <n v="0"/>
    <n v="0"/>
    <n v="0"/>
    <n v="0"/>
    <n v="0"/>
    <n v="0"/>
    <n v="0"/>
    <n v="0"/>
    <n v="0"/>
    <n v="0"/>
    <n v="0"/>
    <n v="0"/>
    <n v="0"/>
    <n v="0"/>
    <n v="0"/>
    <n v="0"/>
    <n v="0"/>
    <n v="0"/>
    <n v="0"/>
    <n v="0"/>
    <n v="0"/>
    <n v="0"/>
    <n v="1289124.3888844934"/>
    <n v="0"/>
    <n v="0"/>
    <n v="0"/>
    <n v="0"/>
    <n v="1289124.3888844934"/>
    <n v="19945.649750320121"/>
    <n v="0"/>
    <n v="0"/>
    <n v="60544.942771344184"/>
    <n v="0"/>
    <n v="0"/>
    <n v="0"/>
    <n v="0"/>
    <n v="80490.592521664308"/>
    <n v="1369614.9814061576"/>
    <n v="0"/>
    <n v="0"/>
    <n v="0"/>
    <n v="0"/>
    <n v="0"/>
    <n v="0"/>
    <n v="1369614.9814061576"/>
    <n v="0"/>
    <n v="0"/>
    <n v="0"/>
    <n v="0"/>
    <n v="0"/>
    <n v="0"/>
    <n v="0"/>
    <n v="1369614.9814061576"/>
    <n v="1.0720000000000001"/>
    <n v="1.04"/>
    <n v="1.0720000000000001"/>
    <n v="1.04"/>
    <n v="1.1120000000000001"/>
    <n v="1.095"/>
    <n v="1.1120000000000001"/>
    <n v="1.1120000000000001"/>
  </r>
  <r>
    <x v="0"/>
    <x v="0"/>
    <x v="1"/>
    <x v="10"/>
    <x v="10"/>
    <s v="Envelope"/>
    <n v="8576"/>
    <n v="15"/>
    <n v="1771351.0919999992"/>
    <n v="2182649.399999999"/>
    <n v="-411298.30799999973"/>
    <n v="0"/>
    <n v="0"/>
    <n v="0"/>
    <n v="0"/>
    <n v="0"/>
    <n v="0"/>
    <n v="0"/>
    <n v="0"/>
    <n v="0"/>
    <n v="0"/>
    <n v="0"/>
    <n v="0"/>
    <n v="0"/>
    <n v="0"/>
    <n v="19569.954154320985"/>
    <n v="293549.31231481477"/>
    <n v="15851.662864999998"/>
    <n v="237774.94297499998"/>
    <n v="0"/>
    <n v="0"/>
    <n v="0"/>
    <n v="0"/>
    <n v="0"/>
    <n v="0"/>
    <n v="0"/>
    <n v="0"/>
    <n v="0"/>
    <n v="0"/>
    <n v="0"/>
    <n v="0"/>
    <n v="0"/>
    <n v="0"/>
    <n v="0"/>
    <n v="0"/>
    <n v="0"/>
    <n v="0"/>
    <n v="0"/>
    <n v="0"/>
    <n v="0"/>
    <n v="0"/>
    <n v="0"/>
    <n v="0"/>
    <n v="0"/>
    <n v="0"/>
    <n v="0"/>
    <n v="0"/>
    <n v="0"/>
    <n v="0"/>
    <n v="0"/>
    <n v="0"/>
    <n v="0"/>
    <n v="0"/>
    <n v="2005090.048718259"/>
    <n v="0"/>
    <n v="0"/>
    <n v="0"/>
    <n v="0"/>
    <n v="2005090.048718259"/>
    <n v="32228.468691857299"/>
    <n v="0"/>
    <n v="0"/>
    <n v="122726.64462193652"/>
    <n v="0"/>
    <n v="0"/>
    <n v="0"/>
    <n v="0"/>
    <n v="154955.11331379382"/>
    <n v="2160045.1620320529"/>
    <n v="0"/>
    <n v="0"/>
    <n v="0"/>
    <n v="0"/>
    <n v="0"/>
    <n v="0"/>
    <n v="2160045.1620320529"/>
    <n v="1951281.2289286694"/>
    <n v="0"/>
    <n v="0"/>
    <n v="0"/>
    <n v="0"/>
    <n v="0"/>
    <n v="1951281.2289286694"/>
    <n v="4111326.3909607222"/>
    <n v="1.0720000000000001"/>
    <n v="1.04"/>
    <n v="1.0720000000000001"/>
    <n v="1.04"/>
    <n v="1.1120000000000001"/>
    <n v="1.095"/>
    <n v="1.1120000000000001"/>
    <n v="1.1120000000000001"/>
  </r>
  <r>
    <x v="0"/>
    <x v="0"/>
    <x v="1"/>
    <x v="11"/>
    <x v="11"/>
    <s v="Envelope"/>
    <n v="5698"/>
    <n v="25"/>
    <n v="773126.85599999968"/>
    <n v="716442.60000000033"/>
    <n v="56684.255999999354"/>
    <n v="0"/>
    <n v="0"/>
    <n v="0"/>
    <n v="0"/>
    <n v="0"/>
    <n v="0"/>
    <n v="0"/>
    <n v="0"/>
    <n v="0"/>
    <n v="0"/>
    <n v="0"/>
    <n v="0"/>
    <n v="0"/>
    <n v="0"/>
    <n v="4440.7886925925923"/>
    <n v="111019.7173148148"/>
    <n v="3597.038841"/>
    <n v="89925.971025000006"/>
    <n v="0"/>
    <n v="0"/>
    <n v="0"/>
    <n v="0"/>
    <n v="0"/>
    <n v="0"/>
    <n v="0"/>
    <n v="0"/>
    <n v="0"/>
    <n v="0"/>
    <n v="0"/>
    <n v="0"/>
    <n v="0"/>
    <n v="0"/>
    <n v="0"/>
    <n v="0"/>
    <n v="0"/>
    <n v="0"/>
    <n v="0"/>
    <n v="0"/>
    <n v="0"/>
    <n v="0"/>
    <n v="0"/>
    <n v="0"/>
    <n v="0"/>
    <n v="0"/>
    <n v="0"/>
    <n v="0"/>
    <n v="0"/>
    <n v="0"/>
    <n v="0"/>
    <n v="0"/>
    <n v="0"/>
    <n v="0"/>
    <n v="800294.57517581421"/>
    <n v="0"/>
    <n v="0"/>
    <n v="0"/>
    <n v="0"/>
    <n v="800294.57517581421"/>
    <n v="11927.919507434304"/>
    <n v="0"/>
    <n v="0"/>
    <n v="30680.169656783488"/>
    <n v="0"/>
    <n v="0"/>
    <n v="0"/>
    <n v="0"/>
    <n v="42608.089164217788"/>
    <n v="842902.66434003203"/>
    <n v="0"/>
    <n v="0"/>
    <n v="0"/>
    <n v="0"/>
    <n v="0"/>
    <n v="0"/>
    <n v="842902.66434003203"/>
    <n v="5169925.0445061103"/>
    <n v="0"/>
    <n v="0"/>
    <n v="0"/>
    <n v="0"/>
    <n v="0"/>
    <n v="5169925.0445061103"/>
    <n v="6012827.7088461425"/>
    <n v="1.0720000000000001"/>
    <n v="1.04"/>
    <n v="1.0720000000000001"/>
    <n v="1.04"/>
    <n v="1.1120000000000001"/>
    <n v="1.095"/>
    <n v="1.1120000000000001"/>
    <n v="1.1120000000000001"/>
  </r>
  <r>
    <x v="0"/>
    <x v="0"/>
    <x v="1"/>
    <x v="12"/>
    <x v="12"/>
    <s v="Envelop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13"/>
    <x v="1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14"/>
    <x v="14"/>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15"/>
    <x v="1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16"/>
    <x v="16"/>
    <s v="HVAC"/>
    <n v="10"/>
    <n v="20"/>
    <n v="900"/>
    <n v="9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4.038239777907947"/>
    <n v="0"/>
    <n v="0"/>
    <n v="0"/>
    <n v="0"/>
    <n v="0"/>
    <n v="44.038239777907947"/>
    <n v="44.038239777907947"/>
    <n v="1.0720000000000001"/>
    <n v="1.04"/>
    <n v="1.0720000000000001"/>
    <n v="1.04"/>
    <n v="1.1120000000000001"/>
    <n v="1.095"/>
    <n v="1.1120000000000001"/>
    <n v="1.1120000000000001"/>
  </r>
  <r>
    <x v="0"/>
    <x v="0"/>
    <x v="1"/>
    <x v="17"/>
    <x v="17"/>
    <s v="HVAC"/>
    <n v="97"/>
    <n v="20"/>
    <n v="918.74999999999989"/>
    <n v="239.05999999999989"/>
    <n v="679.69"/>
    <n v="0"/>
    <n v="0"/>
    <n v="0"/>
    <n v="0"/>
    <n v="0"/>
    <n v="0"/>
    <n v="0"/>
    <n v="0"/>
    <n v="0"/>
    <n v="0"/>
    <n v="0"/>
    <n v="0"/>
    <n v="0"/>
    <n v="0"/>
    <n v="9.4820000000000011"/>
    <n v="189.64000000000001"/>
    <n v="9.4820000000000011"/>
    <n v="189.64000000000001"/>
    <n v="0"/>
    <n v="0"/>
    <n v="0"/>
    <n v="0"/>
    <n v="0"/>
    <n v="0"/>
    <n v="0"/>
    <n v="0"/>
    <n v="0"/>
    <n v="0"/>
    <n v="0"/>
    <n v="0"/>
    <n v="0"/>
    <n v="0"/>
    <n v="0"/>
    <n v="0"/>
    <n v="0"/>
    <n v="0"/>
    <n v="0"/>
    <n v="0"/>
    <n v="0"/>
    <n v="0"/>
    <n v="0"/>
    <n v="0"/>
    <n v="0"/>
    <n v="0"/>
    <n v="0"/>
    <n v="0"/>
    <n v="0"/>
    <n v="0"/>
    <n v="0"/>
    <n v="0"/>
    <n v="0"/>
    <n v="0"/>
    <n v="1643.4043823394732"/>
    <n v="0"/>
    <n v="0"/>
    <n v="0"/>
    <n v="0"/>
    <n v="1643.4043823394732"/>
    <n v="25.42715698416696"/>
    <n v="0"/>
    <n v="0"/>
    <n v="77.184036805803458"/>
    <n v="0"/>
    <n v="0"/>
    <n v="0"/>
    <n v="0"/>
    <n v="102.61119378997041"/>
    <n v="1746.0155761294436"/>
    <n v="0"/>
    <n v="0"/>
    <n v="0"/>
    <n v="0"/>
    <n v="0"/>
    <n v="0"/>
    <n v="1746.0155761294436"/>
    <n v="0"/>
    <n v="0"/>
    <n v="0"/>
    <n v="0"/>
    <n v="2450.9578083698539"/>
    <n v="0"/>
    <n v="2450.9578083698539"/>
    <n v="4196.973384499297"/>
    <n v="1.0720000000000001"/>
    <n v="1.04"/>
    <n v="1.0720000000000001"/>
    <n v="1.04"/>
    <n v="1.1120000000000001"/>
    <n v="1.095"/>
    <n v="1.1120000000000001"/>
    <n v="1.1120000000000001"/>
  </r>
  <r>
    <x v="0"/>
    <x v="0"/>
    <x v="1"/>
    <x v="18"/>
    <x v="18"/>
    <s v="Hot Water"/>
    <n v="294"/>
    <n v="15"/>
    <n v="3496.5"/>
    <n v="3481.4999999999995"/>
    <n v="15.000000000000455"/>
    <n v="0"/>
    <n v="0"/>
    <n v="0"/>
    <n v="0"/>
    <n v="0"/>
    <n v="0"/>
    <n v="0"/>
    <n v="0"/>
    <n v="0"/>
    <n v="0"/>
    <n v="0"/>
    <n v="0"/>
    <n v="0"/>
    <n v="0"/>
    <n v="288.90792000000005"/>
    <n v="4333.6188000000011"/>
    <n v="288.90792000000005"/>
    <n v="4333.6188000000011"/>
    <n v="0"/>
    <n v="0"/>
    <n v="0"/>
    <n v="0"/>
    <n v="0"/>
    <n v="0"/>
    <n v="0"/>
    <n v="0"/>
    <n v="0"/>
    <n v="0"/>
    <n v="0"/>
    <n v="0"/>
    <n v="0"/>
    <n v="0"/>
    <n v="0"/>
    <n v="0"/>
    <n v="0"/>
    <n v="0"/>
    <n v="0"/>
    <n v="0"/>
    <n v="0"/>
    <n v="0"/>
    <n v="0"/>
    <n v="0"/>
    <n v="0"/>
    <n v="0"/>
    <n v="0"/>
    <n v="0"/>
    <n v="0"/>
    <n v="0"/>
    <n v="0"/>
    <n v="0"/>
    <n v="0"/>
    <n v="34725.831820367493"/>
    <n v="0"/>
    <n v="0"/>
    <n v="0"/>
    <n v="0"/>
    <n v="0"/>
    <n v="34725.831820367493"/>
    <n v="587.386946962401"/>
    <n v="0"/>
    <n v="2386.0109540986132"/>
    <n v="0"/>
    <n v="0"/>
    <n v="0"/>
    <n v="0"/>
    <n v="0"/>
    <n v="2973.3979010610142"/>
    <n v="37699.229721428506"/>
    <n v="0"/>
    <n v="0"/>
    <n v="0"/>
    <n v="0"/>
    <n v="0"/>
    <n v="0"/>
    <n v="37699.229721428506"/>
    <n v="0"/>
    <n v="0"/>
    <n v="0"/>
    <n v="0"/>
    <n v="0"/>
    <n v="0"/>
    <n v="0"/>
    <n v="37699.229721428506"/>
    <n v="1.0720000000000001"/>
    <n v="1.04"/>
    <n v="1.0720000000000001"/>
    <n v="1.04"/>
    <n v="1.1120000000000001"/>
    <n v="1.095"/>
    <n v="1.1120000000000001"/>
    <n v="1.1120000000000001"/>
  </r>
  <r>
    <x v="0"/>
    <x v="0"/>
    <x v="1"/>
    <x v="19"/>
    <x v="19"/>
    <s v="HVAC"/>
    <n v="367"/>
    <n v="15"/>
    <n v="3083"/>
    <n v="2316"/>
    <n v="767"/>
    <n v="0"/>
    <n v="0"/>
    <n v="0"/>
    <n v="0"/>
    <n v="0"/>
    <n v="0"/>
    <n v="0"/>
    <n v="0"/>
    <n v="0"/>
    <n v="0"/>
    <n v="0"/>
    <n v="0"/>
    <n v="0"/>
    <n v="0"/>
    <n v="50.616639999999997"/>
    <n v="759.24959999999999"/>
    <n v="50.616639999999997"/>
    <n v="759.24959999999999"/>
    <n v="0"/>
    <n v="0"/>
    <n v="0"/>
    <n v="0"/>
    <n v="0"/>
    <n v="0"/>
    <n v="0"/>
    <n v="0"/>
    <n v="0"/>
    <n v="0"/>
    <n v="0"/>
    <n v="0"/>
    <n v="0"/>
    <n v="0"/>
    <n v="0"/>
    <n v="0"/>
    <n v="0"/>
    <n v="0"/>
    <n v="0"/>
    <n v="0"/>
    <n v="0"/>
    <n v="0"/>
    <n v="0"/>
    <n v="0"/>
    <n v="0"/>
    <n v="0"/>
    <n v="0"/>
    <n v="0"/>
    <n v="0"/>
    <n v="0"/>
    <n v="0"/>
    <n v="0"/>
    <n v="0"/>
    <n v="0"/>
    <n v="6402.5409843684929"/>
    <n v="0"/>
    <n v="0"/>
    <n v="0"/>
    <n v="0"/>
    <n v="6402.5409843684929"/>
    <n v="102.91013702599408"/>
    <n v="0"/>
    <n v="0"/>
    <n v="391.88383213425715"/>
    <n v="0"/>
    <n v="0"/>
    <n v="0"/>
    <n v="0"/>
    <n v="494.79396916025121"/>
    <n v="6897.3349535287443"/>
    <n v="0"/>
    <n v="0"/>
    <n v="0"/>
    <n v="0"/>
    <n v="0"/>
    <n v="0"/>
    <n v="6897.3349535287443"/>
    <n v="0"/>
    <n v="0"/>
    <n v="0"/>
    <n v="0"/>
    <n v="9919.6463081315014"/>
    <n v="0"/>
    <n v="9919.6463081315014"/>
    <n v="16816.981261660247"/>
    <n v="1.0720000000000001"/>
    <n v="1.04"/>
    <n v="1.0720000000000001"/>
    <n v="1.04"/>
    <n v="1.1120000000000001"/>
    <n v="1.095"/>
    <n v="1.1120000000000001"/>
    <n v="1.1120000000000001"/>
  </r>
  <r>
    <x v="0"/>
    <x v="0"/>
    <x v="1"/>
    <x v="20"/>
    <x v="20"/>
    <s v="Hot Water"/>
    <n v="1774"/>
    <n v="7"/>
    <n v="5677.6770000000142"/>
    <n v="6679.6200000000163"/>
    <n v="-1001.943000000002"/>
    <n v="0"/>
    <n v="0"/>
    <n v="0"/>
    <n v="0"/>
    <n v="0"/>
    <n v="0"/>
    <n v="0"/>
    <n v="0"/>
    <n v="0"/>
    <n v="0"/>
    <n v="0"/>
    <n v="0"/>
    <n v="0"/>
    <n v="0"/>
    <n v="1525.64"/>
    <n v="10679.480000000001"/>
    <n v="1296.7940000000001"/>
    <n v="9077.5580000000009"/>
    <n v="0"/>
    <n v="0"/>
    <n v="0"/>
    <n v="0"/>
    <n v="0"/>
    <n v="0"/>
    <n v="0"/>
    <n v="0"/>
    <n v="500622.79999999993"/>
    <n v="0"/>
    <n v="0"/>
    <n v="3504359.5999999996"/>
    <n v="0"/>
    <n v="0"/>
    <n v="0"/>
    <n v="0"/>
    <n v="0"/>
    <n v="0"/>
    <n v="0"/>
    <n v="0"/>
    <n v="0"/>
    <n v="0"/>
    <n v="0"/>
    <n v="0"/>
    <n v="0"/>
    <n v="0"/>
    <n v="0"/>
    <n v="0"/>
    <n v="0"/>
    <n v="0"/>
    <n v="0"/>
    <n v="0"/>
    <n v="0"/>
    <n v="70053.045871452443"/>
    <n v="0"/>
    <n v="0"/>
    <n v="0"/>
    <n v="0"/>
    <n v="0"/>
    <n v="70053.045871452443"/>
    <n v="1252.0107216331376"/>
    <n v="0"/>
    <n v="9543.5792768348165"/>
    <n v="0"/>
    <n v="0"/>
    <n v="0"/>
    <n v="0"/>
    <n v="0"/>
    <n v="10795.589998467955"/>
    <n v="80848.635869920399"/>
    <n v="0"/>
    <n v="0"/>
    <n v="0"/>
    <n v="37385.902881018941"/>
    <n v="0"/>
    <n v="0"/>
    <n v="118234.53875093933"/>
    <n v="6028.9523677617735"/>
    <n v="0"/>
    <n v="0"/>
    <n v="0"/>
    <n v="0"/>
    <n v="0"/>
    <n v="6028.9523677617735"/>
    <n v="124263.4911187011"/>
    <n v="1.0720000000000001"/>
    <n v="1.04"/>
    <n v="1.0720000000000001"/>
    <n v="1.04"/>
    <n v="1.1120000000000001"/>
    <n v="1.095"/>
    <n v="1.1120000000000001"/>
    <n v="1.1120000000000001"/>
  </r>
  <r>
    <x v="0"/>
    <x v="0"/>
    <x v="1"/>
    <x v="21"/>
    <x v="21"/>
    <s v="Hot Water"/>
    <n v="2122"/>
    <n v="7"/>
    <n v="23234.537499999999"/>
    <n v="27334.75"/>
    <n v="-4100.2125000000015"/>
    <n v="0"/>
    <n v="0"/>
    <n v="0"/>
    <n v="0"/>
    <n v="0"/>
    <n v="0"/>
    <n v="0"/>
    <n v="0"/>
    <n v="0"/>
    <n v="0"/>
    <n v="0"/>
    <n v="0"/>
    <n v="0"/>
    <n v="0"/>
    <n v="2419.0800000000004"/>
    <n v="16933.560000000001"/>
    <n v="2056.2180000000003"/>
    <n v="14393.526000000002"/>
    <n v="0"/>
    <n v="0"/>
    <n v="0"/>
    <n v="0"/>
    <n v="0"/>
    <n v="0"/>
    <n v="0"/>
    <n v="0"/>
    <n v="3905010.5"/>
    <n v="0"/>
    <n v="0"/>
    <n v="27335073.5"/>
    <n v="0"/>
    <n v="0"/>
    <n v="0"/>
    <n v="0"/>
    <n v="0"/>
    <n v="0"/>
    <n v="0"/>
    <n v="0"/>
    <n v="0"/>
    <n v="0"/>
    <n v="0"/>
    <n v="0"/>
    <n v="0"/>
    <n v="0"/>
    <n v="0"/>
    <n v="0"/>
    <n v="0"/>
    <n v="0"/>
    <n v="0"/>
    <n v="0"/>
    <n v="0"/>
    <n v="111077.26738071445"/>
    <n v="0"/>
    <n v="0"/>
    <n v="0"/>
    <n v="0"/>
    <n v="0"/>
    <n v="111077.26738071445"/>
    <n v="1985.2088936369594"/>
    <n v="0"/>
    <n v="15132.457039016785"/>
    <n v="0"/>
    <n v="0"/>
    <n v="0"/>
    <n v="0"/>
    <n v="0"/>
    <n v="17117.665932653745"/>
    <n v="128194.93331336819"/>
    <n v="0"/>
    <n v="0"/>
    <n v="0"/>
    <n v="291621.44293539814"/>
    <n v="0"/>
    <n v="0"/>
    <n v="419816.37624876632"/>
    <n v="7211.6329900735536"/>
    <n v="0"/>
    <n v="0"/>
    <n v="0"/>
    <n v="0"/>
    <n v="0"/>
    <n v="7211.6329900735536"/>
    <n v="427028.00923883985"/>
    <n v="1.0720000000000001"/>
    <n v="1.04"/>
    <n v="1.0720000000000001"/>
    <n v="1.04"/>
    <n v="1.1120000000000001"/>
    <n v="1.095"/>
    <n v="1.1120000000000001"/>
    <n v="1.1120000000000001"/>
  </r>
  <r>
    <x v="0"/>
    <x v="0"/>
    <x v="1"/>
    <x v="22"/>
    <x v="22"/>
    <s v="Hot Water"/>
    <n v="177"/>
    <n v="7"/>
    <n v="6170.75"/>
    <n v="6170.75"/>
    <n v="0"/>
    <n v="0"/>
    <n v="0"/>
    <n v="0"/>
    <n v="0"/>
    <n v="0"/>
    <n v="0"/>
    <n v="0"/>
    <n v="0"/>
    <n v="0"/>
    <n v="0"/>
    <n v="0"/>
    <n v="0"/>
    <n v="0"/>
    <n v="0"/>
    <n v="293.81999999999994"/>
    <n v="2056.7399999999998"/>
    <n v="293.81999999999994"/>
    <n v="2056.7399999999998"/>
    <n v="0"/>
    <n v="0"/>
    <n v="0"/>
    <n v="0"/>
    <n v="0"/>
    <n v="0"/>
    <n v="0"/>
    <n v="0"/>
    <n v="481971"/>
    <n v="0"/>
    <n v="0"/>
    <n v="3373797"/>
    <n v="0"/>
    <n v="0"/>
    <n v="0"/>
    <n v="0"/>
    <n v="0"/>
    <n v="0"/>
    <n v="0"/>
    <n v="0"/>
    <n v="0"/>
    <n v="0"/>
    <n v="0"/>
    <n v="0"/>
    <n v="0"/>
    <n v="0"/>
    <n v="0"/>
    <n v="0"/>
    <n v="0"/>
    <n v="0"/>
    <n v="0"/>
    <n v="0"/>
    <n v="0"/>
    <n v="15872.209416414753"/>
    <n v="0"/>
    <n v="0"/>
    <n v="0"/>
    <n v="0"/>
    <n v="0"/>
    <n v="15872.209416414753"/>
    <n v="283.67326671024728"/>
    <n v="0"/>
    <n v="2162.3283753006299"/>
    <n v="0"/>
    <n v="0"/>
    <n v="0"/>
    <n v="0"/>
    <n v="0"/>
    <n v="2446.0016420108773"/>
    <n v="18318.21105842563"/>
    <n v="0"/>
    <n v="0"/>
    <n v="0"/>
    <n v="35993.009102796721"/>
    <n v="0"/>
    <n v="0"/>
    <n v="54311.220161222351"/>
    <n v="707.68921619061871"/>
    <n v="0"/>
    <n v="0"/>
    <n v="0"/>
    <n v="0"/>
    <n v="0"/>
    <n v="707.68921619061871"/>
    <n v="55018.909377412972"/>
    <n v="1.0720000000000001"/>
    <n v="1.04"/>
    <n v="1.0720000000000001"/>
    <n v="1.04"/>
    <n v="1.1120000000000001"/>
    <n v="1.095"/>
    <n v="1.1120000000000001"/>
    <n v="1.1120000000000001"/>
  </r>
  <r>
    <x v="0"/>
    <x v="0"/>
    <x v="1"/>
    <x v="23"/>
    <x v="23"/>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24"/>
    <x v="24"/>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25"/>
    <x v="25"/>
    <s v="HVAC"/>
    <n v="1042"/>
    <n v="10"/>
    <n v="75617.53"/>
    <n v="99496.75"/>
    <n v="-23879.22"/>
    <n v="0"/>
    <n v="0"/>
    <n v="0"/>
    <n v="0"/>
    <n v="0"/>
    <n v="0"/>
    <n v="0"/>
    <n v="0"/>
    <n v="0"/>
    <n v="0"/>
    <n v="0"/>
    <n v="0"/>
    <n v="0"/>
    <n v="0"/>
    <n v="2396.6"/>
    <n v="23966"/>
    <n v="1821.4159999999999"/>
    <n v="18214.16"/>
    <n v="0"/>
    <n v="0"/>
    <n v="0"/>
    <n v="0"/>
    <n v="0"/>
    <n v="0"/>
    <n v="0"/>
    <n v="0"/>
    <n v="0"/>
    <n v="0"/>
    <n v="0"/>
    <n v="0"/>
    <n v="0"/>
    <n v="0"/>
    <n v="0"/>
    <n v="0"/>
    <n v="0"/>
    <n v="0"/>
    <n v="0"/>
    <n v="0"/>
    <n v="0"/>
    <n v="0"/>
    <n v="0"/>
    <n v="0"/>
    <n v="0"/>
    <n v="0"/>
    <n v="0"/>
    <n v="0"/>
    <n v="0"/>
    <n v="0"/>
    <n v="0"/>
    <n v="0"/>
    <n v="0"/>
    <n v="0"/>
    <n v="150125.90196506318"/>
    <n v="0"/>
    <n v="0"/>
    <n v="0"/>
    <n v="0"/>
    <n v="150125.90196506318"/>
    <n v="2495.7776708800279"/>
    <n v="0"/>
    <n v="0"/>
    <n v="13359.492206892968"/>
    <n v="0"/>
    <n v="0"/>
    <n v="0"/>
    <n v="0"/>
    <n v="15855.269877772997"/>
    <n v="165981.17184283619"/>
    <n v="0"/>
    <n v="0"/>
    <n v="0"/>
    <n v="0"/>
    <n v="0"/>
    <n v="0"/>
    <n v="165981.17184283619"/>
    <n v="111181.93349649721"/>
    <n v="0"/>
    <n v="0"/>
    <n v="0"/>
    <n v="0"/>
    <n v="0"/>
    <n v="111181.93349649721"/>
    <n v="277163.10533933342"/>
    <n v="1.0720000000000001"/>
    <n v="1.04"/>
    <n v="1.0720000000000001"/>
    <n v="1.04"/>
    <n v="1.1120000000000001"/>
    <n v="1.095"/>
    <n v="1.1120000000000001"/>
    <n v="1.1120000000000001"/>
  </r>
  <r>
    <x v="0"/>
    <x v="0"/>
    <x v="1"/>
    <x v="26"/>
    <x v="26"/>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27"/>
    <x v="27"/>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28"/>
    <x v="28"/>
    <s v="HVAC"/>
    <n v="1"/>
    <n v="15"/>
    <n v="300"/>
    <n v="300"/>
    <n v="0"/>
    <n v="7.4799999999999991E-2"/>
    <n v="7.4799999999999991E-2"/>
    <n v="1.1219999999999999"/>
    <n v="7.4799999999999991E-2"/>
    <n v="1.1219999999999999"/>
    <n v="1.1219999999999999E-2"/>
    <n v="4.4879999999999996E-2"/>
    <n v="0.59465999999999997"/>
    <n v="0.47123999999999994"/>
    <n v="0.155"/>
    <n v="0"/>
    <n v="0"/>
    <n v="0.155"/>
    <n v="0.155"/>
    <n v="4.7"/>
    <n v="70.5"/>
    <n v="4.7"/>
    <n v="70.5"/>
    <n v="0"/>
    <n v="0"/>
    <n v="0"/>
    <n v="0"/>
    <n v="0"/>
    <n v="0"/>
    <n v="0"/>
    <n v="0"/>
    <n v="0"/>
    <n v="0"/>
    <n v="0"/>
    <n v="0"/>
    <n v="0.94244329939465843"/>
    <n v="3.3730047131677363"/>
    <n v="48.629351025349713"/>
    <n v="30.178281058387693"/>
    <n v="83.123080096299802"/>
    <n v="2.4403246756788746E-2"/>
    <n v="4.6961908128938266E-2"/>
    <n v="1.5272244253123228"/>
    <n v="0.39707704161036428"/>
    <n v="3.3495579717570156"/>
    <n v="0.24777972127379139"/>
    <n v="5.593004314839221"/>
    <n v="88.716084411139022"/>
    <n v="401.78705608055157"/>
    <n v="0"/>
    <n v="0"/>
    <n v="26.872491886253194"/>
    <n v="210.91840827451773"/>
    <n v="639.57795624132245"/>
    <n v="728.29404065246149"/>
    <n v="0"/>
    <n v="0"/>
    <n v="594.50691761705082"/>
    <n v="0"/>
    <n v="0"/>
    <n v="0"/>
    <n v="0"/>
    <n v="594.50691761705082"/>
    <n v="9.555704290568718"/>
    <n v="0"/>
    <n v="0"/>
    <n v="36.388310465313552"/>
    <n v="0"/>
    <n v="0"/>
    <n v="0"/>
    <n v="0"/>
    <n v="45.944014755882272"/>
    <n v="640.45093237293304"/>
    <n v="0"/>
    <n v="0"/>
    <n v="0"/>
    <n v="0"/>
    <n v="0"/>
    <n v="0"/>
    <n v="640.45093237293304"/>
    <n v="208.31522264686231"/>
    <n v="0"/>
    <n v="0"/>
    <n v="0"/>
    <n v="0"/>
    <n v="0"/>
    <n v="208.31522264686231"/>
    <n v="1577.0601956722569"/>
    <n v="1.0720000000000001"/>
    <n v="1.04"/>
    <n v="1.0720000000000001"/>
    <n v="1.04"/>
    <n v="1.1120000000000001"/>
    <n v="1.095"/>
    <n v="1.1120000000000001"/>
    <n v="1.1120000000000001"/>
  </r>
  <r>
    <x v="0"/>
    <x v="0"/>
    <x v="1"/>
    <x v="29"/>
    <x v="29"/>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3"/>
    <x v="30"/>
    <s v="Lighting"/>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4"/>
    <x v="31"/>
    <s v="Lighting"/>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30"/>
    <x v="32"/>
    <s v="HVAC"/>
    <n v="1"/>
    <n v="15"/>
    <n v="6000"/>
    <n v="4500"/>
    <n v="1500"/>
    <n v="0"/>
    <n v="0"/>
    <n v="0"/>
    <n v="0"/>
    <n v="0"/>
    <n v="0"/>
    <n v="0"/>
    <n v="0"/>
    <n v="0"/>
    <n v="0"/>
    <n v="0"/>
    <n v="0"/>
    <n v="0"/>
    <n v="0"/>
    <n v="30.600999999999999"/>
    <n v="459.01499999999999"/>
    <n v="30.600999999999999"/>
    <n v="459.01499999999999"/>
    <n v="0"/>
    <n v="0"/>
    <n v="0"/>
    <n v="0"/>
    <n v="0"/>
    <n v="0"/>
    <n v="0"/>
    <n v="0"/>
    <n v="0"/>
    <n v="0"/>
    <n v="0"/>
    <n v="0"/>
    <n v="0"/>
    <n v="0"/>
    <n v="0"/>
    <n v="0"/>
    <n v="0"/>
    <n v="0"/>
    <n v="0"/>
    <n v="0"/>
    <n v="0"/>
    <n v="0"/>
    <n v="0"/>
    <n v="0"/>
    <n v="0"/>
    <n v="0"/>
    <n v="0"/>
    <n v="0"/>
    <n v="0"/>
    <n v="0"/>
    <n v="0"/>
    <n v="0"/>
    <n v="0"/>
    <n v="0"/>
    <n v="3870.745997021143"/>
    <n v="0"/>
    <n v="0"/>
    <n v="0"/>
    <n v="0"/>
    <n v="3870.745997021143"/>
    <n v="62.215767445892197"/>
    <n v="0"/>
    <n v="0"/>
    <n v="236.91886990405533"/>
    <n v="0"/>
    <n v="0"/>
    <n v="0"/>
    <n v="0"/>
    <n v="299.13463734994752"/>
    <n v="4169.8806343710903"/>
    <n v="0"/>
    <n v="0"/>
    <n v="0"/>
    <n v="0"/>
    <n v="0"/>
    <n v="0"/>
    <n v="4169.8806343710903"/>
    <n v="0"/>
    <n v="0"/>
    <n v="0"/>
    <n v="0"/>
    <n v="0"/>
    <n v="0"/>
    <n v="0"/>
    <n v="4169.8806343710903"/>
    <n v="1.0720000000000001"/>
    <n v="1.04"/>
    <n v="1.0720000000000001"/>
    <n v="1.04"/>
    <n v="1.1120000000000001"/>
    <n v="1.095"/>
    <n v="1.1120000000000001"/>
    <n v="1.1120000000000001"/>
  </r>
  <r>
    <x v="0"/>
    <x v="0"/>
    <x v="1"/>
    <x v="31"/>
    <x v="15"/>
    <s v="Hot Water"/>
    <n v="170"/>
    <n v="15"/>
    <n v="1445"/>
    <n v="1083.75"/>
    <n v="361.25"/>
    <n v="0"/>
    <n v="0"/>
    <n v="0"/>
    <n v="0"/>
    <n v="0"/>
    <n v="0"/>
    <n v="0"/>
    <n v="0"/>
    <n v="0"/>
    <n v="0"/>
    <n v="0"/>
    <n v="0"/>
    <n v="0"/>
    <n v="0"/>
    <n v="34.738600000000005"/>
    <n v="521.07900000000006"/>
    <n v="34.738600000000005"/>
    <n v="521.07900000000006"/>
    <n v="0"/>
    <n v="0"/>
    <n v="0"/>
    <n v="0"/>
    <n v="0"/>
    <n v="0"/>
    <n v="0"/>
    <n v="0"/>
    <n v="0"/>
    <n v="0"/>
    <n v="0"/>
    <n v="0"/>
    <n v="0"/>
    <n v="0"/>
    <n v="0"/>
    <n v="0"/>
    <n v="0"/>
    <n v="0"/>
    <n v="0"/>
    <n v="0"/>
    <n v="0"/>
    <n v="0"/>
    <n v="0"/>
    <n v="0"/>
    <n v="0"/>
    <n v="0"/>
    <n v="0"/>
    <n v="0"/>
    <n v="0"/>
    <n v="0"/>
    <n v="0"/>
    <n v="0"/>
    <n v="0"/>
    <n v="0"/>
    <n v="4394.1144698578055"/>
    <n v="0"/>
    <n v="0"/>
    <n v="0"/>
    <n v="0"/>
    <n v="4394.1144698578055"/>
    <n v="70.628040227308617"/>
    <n v="0"/>
    <n v="0"/>
    <n v="268.95297062347697"/>
    <n v="0"/>
    <n v="0"/>
    <n v="0"/>
    <n v="0"/>
    <n v="339.58101085078556"/>
    <n v="4733.6954807085913"/>
    <n v="0"/>
    <n v="0"/>
    <n v="0"/>
    <n v="0"/>
    <n v="0"/>
    <n v="0"/>
    <n v="4733.6954807085913"/>
    <n v="0"/>
    <n v="0"/>
    <n v="0"/>
    <n v="0"/>
    <n v="0"/>
    <n v="0"/>
    <n v="0"/>
    <n v="4733.6954807085913"/>
    <n v="1.0720000000000001"/>
    <n v="1.04"/>
    <n v="1.0720000000000001"/>
    <n v="1.04"/>
    <n v="1.1120000000000001"/>
    <n v="1.095"/>
    <n v="1.1120000000000001"/>
    <n v="1.1120000000000001"/>
  </r>
  <r>
    <x v="0"/>
    <x v="0"/>
    <x v="1"/>
    <x v="32"/>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1"/>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11"/>
    <x v="34"/>
    <s v="Envelope"/>
    <n v="6480"/>
    <n v="25"/>
    <n v="16758449.48639999"/>
    <n v="10784554.159999995"/>
    <n v="5973895.326399995"/>
    <n v="1354.32"/>
    <n v="1354.32"/>
    <n v="33858"/>
    <n v="1665.8136"/>
    <n v="41645.339999999997"/>
    <n v="10827.788399999999"/>
    <n v="17907.496199999998"/>
    <n v="7079.7078000000001"/>
    <n v="5830.3476000000001"/>
    <n v="1187.5896"/>
    <n v="492.41520000000003"/>
    <n v="605.67069600000002"/>
    <n v="965.52"/>
    <n v="1187.5896"/>
    <n v="72547.751880487805"/>
    <n v="1813693.7970121952"/>
    <n v="89233.734813000003"/>
    <n v="2230843.370325"/>
    <n v="0"/>
    <n v="0"/>
    <n v="0"/>
    <n v="0"/>
    <n v="0"/>
    <n v="0"/>
    <n v="0"/>
    <n v="0"/>
    <n v="0"/>
    <n v="0"/>
    <n v="0"/>
    <n v="0"/>
    <n v="1074983.4111909168"/>
    <n v="1590901.4080478875"/>
    <n v="750629.68652586802"/>
    <n v="458337.37262064469"/>
    <n v="3874851.878385317"/>
    <n v="14130.117227566569"/>
    <n v="11242.916996841057"/>
    <n v="10909.396303333844"/>
    <n v="2947.6663821849861"/>
    <n v="30186.978678779447"/>
    <n v="90166.847318519227"/>
    <n v="159583.92290722515"/>
    <n v="4034435.8012925424"/>
    <n v="5336219.5991992783"/>
    <n v="0"/>
    <n v="0"/>
    <n v="335812.88560024142"/>
    <n v="2635748.095438397"/>
    <n v="8307780.5802379176"/>
    <n v="12342216.38153046"/>
    <n v="0"/>
    <n v="0"/>
    <n v="19853350.783854131"/>
    <n v="0"/>
    <n v="0"/>
    <n v="0"/>
    <n v="0"/>
    <n v="19853350.783854131"/>
    <n v="295902.50571253209"/>
    <n v="0"/>
    <n v="0"/>
    <n v="761099.9614366598"/>
    <n v="0"/>
    <n v="0"/>
    <n v="0"/>
    <n v="0"/>
    <n v="1057002.467149192"/>
    <n v="20910353.251003321"/>
    <n v="0"/>
    <n v="0"/>
    <n v="0"/>
    <n v="0"/>
    <n v="0"/>
    <n v="0"/>
    <n v="20910353.251003321"/>
    <n v="8928055.8859143779"/>
    <n v="0"/>
    <n v="0"/>
    <n v="0"/>
    <n v="0"/>
    <n v="0"/>
    <n v="8928055.8859143779"/>
    <n v="42180625.518448159"/>
    <n v="1.0720000000000001"/>
    <n v="1.04"/>
    <n v="1.0720000000000001"/>
    <n v="1.04"/>
    <n v="1.1120000000000001"/>
    <n v="1.095"/>
    <n v="1.1120000000000001"/>
    <n v="1.1120000000000001"/>
  </r>
  <r>
    <x v="0"/>
    <x v="0"/>
    <x v="2"/>
    <x v="10"/>
    <x v="35"/>
    <s v="Envelope"/>
    <n v="5578"/>
    <n v="15"/>
    <n v="5395897.9199999999"/>
    <n v="4215545.25"/>
    <n v="1180352.67"/>
    <n v="0"/>
    <n v="0"/>
    <n v="0"/>
    <n v="0"/>
    <n v="0"/>
    <n v="0"/>
    <n v="0"/>
    <n v="0"/>
    <n v="0"/>
    <n v="0"/>
    <n v="0"/>
    <n v="0"/>
    <n v="0"/>
    <n v="0"/>
    <n v="21485.830151562499"/>
    <n v="322287.45227343746"/>
    <n v="27501.862593999998"/>
    <n v="412527.93890999997"/>
    <n v="0"/>
    <n v="0"/>
    <n v="0"/>
    <n v="0"/>
    <n v="0"/>
    <n v="0"/>
    <n v="0"/>
    <n v="0"/>
    <n v="0"/>
    <n v="0"/>
    <n v="0"/>
    <n v="0"/>
    <n v="0"/>
    <n v="0"/>
    <n v="0"/>
    <n v="0"/>
    <n v="0"/>
    <n v="0"/>
    <n v="0"/>
    <n v="0"/>
    <n v="0"/>
    <n v="0"/>
    <n v="0"/>
    <n v="0"/>
    <n v="0"/>
    <n v="0"/>
    <n v="0"/>
    <n v="0"/>
    <n v="0"/>
    <n v="0"/>
    <n v="0"/>
    <n v="0"/>
    <n v="0"/>
    <n v="0"/>
    <n v="3478733.523295023"/>
    <n v="0"/>
    <n v="0"/>
    <n v="0"/>
    <n v="0"/>
    <n v="3478733.523295023"/>
    <n v="55914.822635769604"/>
    <n v="0"/>
    <n v="0"/>
    <n v="212924.7477542267"/>
    <n v="0"/>
    <n v="0"/>
    <n v="0"/>
    <n v="0"/>
    <n v="268839.57038999628"/>
    <n v="3747573.0936850193"/>
    <n v="0"/>
    <n v="0"/>
    <n v="0"/>
    <n v="0"/>
    <n v="0"/>
    <n v="0"/>
    <n v="3747573.0936850193"/>
    <n v="1998318.0687519254"/>
    <n v="0"/>
    <n v="0"/>
    <n v="0"/>
    <n v="0"/>
    <n v="0"/>
    <n v="1998318.0687519254"/>
    <n v="5745891.1624369444"/>
    <n v="1.0720000000000001"/>
    <n v="1.04"/>
    <n v="1.0720000000000001"/>
    <n v="1.04"/>
    <n v="1.1120000000000001"/>
    <n v="1.095"/>
    <n v="1.1120000000000001"/>
    <n v="1.1120000000000001"/>
  </r>
  <r>
    <x v="0"/>
    <x v="0"/>
    <x v="2"/>
    <x v="16"/>
    <x v="36"/>
    <s v="HVAC"/>
    <n v="52"/>
    <n v="20"/>
    <n v="16802.440000000002"/>
    <n v="16802.440000000002"/>
    <n v="0"/>
    <n v="0"/>
    <n v="0"/>
    <n v="0"/>
    <n v="0"/>
    <n v="0"/>
    <n v="0"/>
    <n v="0"/>
    <n v="0"/>
    <n v="0"/>
    <n v="0"/>
    <n v="0"/>
    <n v="0"/>
    <n v="0"/>
    <n v="0"/>
    <n v="97.070808"/>
    <n v="1941.41616"/>
    <n v="97.070808"/>
    <n v="1941.41616"/>
    <n v="0"/>
    <n v="0"/>
    <n v="0"/>
    <n v="0"/>
    <n v="0"/>
    <n v="0"/>
    <n v="0"/>
    <n v="0"/>
    <n v="0"/>
    <n v="0"/>
    <n v="0"/>
    <n v="0"/>
    <n v="0"/>
    <n v="0"/>
    <n v="0"/>
    <n v="0"/>
    <n v="0"/>
    <n v="0"/>
    <n v="0"/>
    <n v="0"/>
    <n v="0"/>
    <n v="0"/>
    <n v="0"/>
    <n v="0"/>
    <n v="0"/>
    <n v="0"/>
    <n v="0"/>
    <n v="0"/>
    <n v="0"/>
    <n v="0"/>
    <n v="0"/>
    <n v="0"/>
    <n v="0"/>
    <n v="0"/>
    <n v="16824.150101712043"/>
    <n v="0"/>
    <n v="0"/>
    <n v="0"/>
    <n v="0"/>
    <n v="16824.150101712043"/>
    <n v="260.30739017042077"/>
    <n v="0"/>
    <n v="0"/>
    <n v="790.16207735088392"/>
    <n v="0"/>
    <n v="0"/>
    <n v="0"/>
    <n v="0"/>
    <n v="1050.4694675213048"/>
    <n v="17874.619569233346"/>
    <n v="0"/>
    <n v="0"/>
    <n v="0"/>
    <n v="0"/>
    <n v="0"/>
    <n v="0"/>
    <n v="17874.619569233346"/>
    <n v="228.99884684512134"/>
    <n v="0"/>
    <n v="0"/>
    <n v="0"/>
    <n v="0"/>
    <n v="0"/>
    <n v="228.99884684512134"/>
    <n v="18103.618416078469"/>
    <n v="1.0720000000000001"/>
    <n v="1.04"/>
    <n v="1.0720000000000001"/>
    <n v="1.04"/>
    <n v="1.1120000000000001"/>
    <n v="1.095"/>
    <n v="1.1120000000000001"/>
    <n v="1.1120000000000001"/>
  </r>
  <r>
    <x v="0"/>
    <x v="0"/>
    <x v="2"/>
    <x v="34"/>
    <x v="37"/>
    <s v="HVAC"/>
    <n v="13"/>
    <n v="20"/>
    <n v="5386.69"/>
    <n v="5386.69"/>
    <n v="0"/>
    <n v="0"/>
    <n v="0"/>
    <n v="0"/>
    <n v="0"/>
    <n v="0"/>
    <n v="0"/>
    <n v="0"/>
    <n v="0"/>
    <n v="0"/>
    <n v="0"/>
    <n v="0"/>
    <n v="0"/>
    <n v="0"/>
    <n v="0"/>
    <n v="49.999999999999993"/>
    <n v="999.99999999999989"/>
    <n v="49.999999999999993"/>
    <n v="999.99999999999989"/>
    <n v="0"/>
    <n v="0"/>
    <n v="0"/>
    <n v="0"/>
    <n v="0"/>
    <n v="0"/>
    <n v="0"/>
    <n v="0"/>
    <n v="0"/>
    <n v="0"/>
    <n v="0"/>
    <n v="0"/>
    <n v="0"/>
    <n v="0"/>
    <n v="0"/>
    <n v="0"/>
    <n v="0"/>
    <n v="0"/>
    <n v="0"/>
    <n v="0"/>
    <n v="0"/>
    <n v="0"/>
    <n v="0"/>
    <n v="0"/>
    <n v="0"/>
    <n v="0"/>
    <n v="0"/>
    <n v="0"/>
    <n v="0"/>
    <n v="0"/>
    <n v="0"/>
    <n v="0"/>
    <n v="0"/>
    <n v="0"/>
    <n v="8665.9163801912728"/>
    <n v="0"/>
    <n v="0"/>
    <n v="0"/>
    <n v="0"/>
    <n v="8665.9163801912728"/>
    <n v="134.08119059358233"/>
    <n v="0"/>
    <n v="0"/>
    <n v="407.00293612003509"/>
    <n v="0"/>
    <n v="0"/>
    <n v="0"/>
    <n v="0"/>
    <n v="541.08412671361748"/>
    <n v="9207.0005069048893"/>
    <n v="0"/>
    <n v="0"/>
    <n v="0"/>
    <n v="0"/>
    <n v="0"/>
    <n v="0"/>
    <n v="9207.0005069048893"/>
    <n v="0"/>
    <n v="0"/>
    <n v="0"/>
    <n v="0"/>
    <n v="0"/>
    <n v="0"/>
    <n v="0"/>
    <n v="9207.0005069048893"/>
    <n v="1.0720000000000001"/>
    <n v="1.04"/>
    <n v="1.0720000000000001"/>
    <n v="1.04"/>
    <n v="1.1120000000000001"/>
    <n v="1.095"/>
    <n v="1.1120000000000001"/>
    <n v="1.1120000000000001"/>
  </r>
  <r>
    <x v="0"/>
    <x v="0"/>
    <x v="2"/>
    <x v="18"/>
    <x v="38"/>
    <s v="Hot Water"/>
    <n v="883"/>
    <n v="15"/>
    <n v="3090.5"/>
    <n v="3090.5"/>
    <n v="0"/>
    <n v="0"/>
    <n v="0"/>
    <n v="0"/>
    <n v="0"/>
    <n v="0"/>
    <n v="0"/>
    <n v="0"/>
    <n v="0"/>
    <n v="0"/>
    <n v="0"/>
    <n v="0"/>
    <n v="0"/>
    <n v="0"/>
    <n v="0"/>
    <n v="264.89999999999998"/>
    <n v="3973.4999999999995"/>
    <n v="264.89999999999998"/>
    <n v="3973.4999999999995"/>
    <n v="0"/>
    <n v="0"/>
    <n v="0"/>
    <n v="0"/>
    <n v="0"/>
    <n v="0"/>
    <n v="0"/>
    <n v="0"/>
    <n v="0"/>
    <n v="0"/>
    <n v="0"/>
    <n v="0"/>
    <n v="0"/>
    <n v="0"/>
    <n v="0"/>
    <n v="0"/>
    <n v="0"/>
    <n v="0"/>
    <n v="0"/>
    <n v="0"/>
    <n v="0"/>
    <n v="0"/>
    <n v="0"/>
    <n v="0"/>
    <n v="0"/>
    <n v="0"/>
    <n v="0"/>
    <n v="0"/>
    <n v="0"/>
    <n v="0"/>
    <n v="0"/>
    <n v="0"/>
    <n v="0"/>
    <n v="31840.154638942913"/>
    <n v="0"/>
    <n v="0"/>
    <n v="0"/>
    <n v="0"/>
    <n v="0"/>
    <n v="31840.154638942913"/>
    <n v="538.57575884503262"/>
    <n v="0"/>
    <n v="2187.7361539300223"/>
    <n v="0"/>
    <n v="0"/>
    <n v="0"/>
    <n v="0"/>
    <n v="0"/>
    <n v="2726.3119127750551"/>
    <n v="34566.466551717967"/>
    <n v="0"/>
    <n v="0"/>
    <n v="0"/>
    <n v="0"/>
    <n v="0"/>
    <n v="0"/>
    <n v="34566.466551717967"/>
    <n v="0"/>
    <n v="0"/>
    <n v="0"/>
    <n v="0"/>
    <n v="0"/>
    <n v="0"/>
    <n v="0"/>
    <n v="34566.466551717967"/>
    <n v="1.0720000000000001"/>
    <n v="1.04"/>
    <n v="1.0720000000000001"/>
    <n v="1.04"/>
    <n v="1.1120000000000001"/>
    <n v="1.095"/>
    <n v="1.1120000000000001"/>
    <n v="1.1120000000000001"/>
  </r>
  <r>
    <x v="0"/>
    <x v="0"/>
    <x v="2"/>
    <x v="19"/>
    <x v="39"/>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0"/>
    <x v="2"/>
    <x v="20"/>
    <x v="40"/>
    <s v="Hot Water"/>
    <n v="11922"/>
    <n v="7"/>
    <n v="24836"/>
    <n v="24836"/>
    <n v="0"/>
    <n v="0"/>
    <n v="0"/>
    <n v="0"/>
    <n v="0"/>
    <n v="0"/>
    <n v="0"/>
    <n v="0"/>
    <n v="0"/>
    <n v="0"/>
    <n v="0"/>
    <n v="0"/>
    <n v="0"/>
    <n v="0"/>
    <n v="0"/>
    <n v="2384.4"/>
    <n v="16690.8"/>
    <n v="2384.4"/>
    <n v="16690.8"/>
    <n v="0"/>
    <n v="0"/>
    <n v="0"/>
    <n v="0"/>
    <n v="0"/>
    <n v="0"/>
    <n v="0"/>
    <n v="0"/>
    <n v="3958104"/>
    <n v="0"/>
    <n v="0"/>
    <n v="27706728"/>
    <n v="0"/>
    <n v="0"/>
    <n v="0"/>
    <n v="0"/>
    <n v="0"/>
    <n v="0"/>
    <n v="0"/>
    <n v="0"/>
    <n v="0"/>
    <n v="0"/>
    <n v="0"/>
    <n v="0"/>
    <n v="0"/>
    <n v="0"/>
    <n v="0"/>
    <n v="0"/>
    <n v="0"/>
    <n v="0"/>
    <n v="0"/>
    <n v="0"/>
    <n v="0"/>
    <n v="128805.71823735398"/>
    <n v="0"/>
    <n v="0"/>
    <n v="0"/>
    <n v="0"/>
    <n v="0"/>
    <n v="128805.71823735398"/>
    <n v="2302.0575084878965"/>
    <n v="0"/>
    <n v="17547.667885327148"/>
    <n v="0"/>
    <n v="0"/>
    <n v="0"/>
    <n v="0"/>
    <n v="0"/>
    <n v="19849.725393815046"/>
    <n v="148655.44363116904"/>
    <n v="0"/>
    <n v="0"/>
    <n v="0"/>
    <n v="295586.4010527939"/>
    <n v="0"/>
    <n v="0"/>
    <n v="444241.84468396293"/>
    <n v="0"/>
    <n v="0"/>
    <n v="0"/>
    <n v="0"/>
    <n v="0"/>
    <n v="0"/>
    <n v="0"/>
    <n v="444241.84468396293"/>
    <n v="1.0720000000000001"/>
    <n v="1.04"/>
    <n v="1.0720000000000001"/>
    <n v="1.04"/>
    <n v="1.1120000000000001"/>
    <n v="1.095"/>
    <n v="1.1120000000000001"/>
    <n v="1.1120000000000001"/>
  </r>
  <r>
    <x v="0"/>
    <x v="0"/>
    <x v="2"/>
    <x v="21"/>
    <x v="41"/>
    <s v="Hot Water"/>
    <n v="9433"/>
    <n v="7"/>
    <n v="96007.000000000015"/>
    <n v="96007.000000000015"/>
    <n v="0"/>
    <n v="0"/>
    <n v="0"/>
    <n v="0"/>
    <n v="0"/>
    <n v="0"/>
    <n v="0"/>
    <n v="0"/>
    <n v="0"/>
    <n v="0"/>
    <n v="0"/>
    <n v="0"/>
    <n v="0"/>
    <n v="0"/>
    <n v="0"/>
    <n v="11319.6"/>
    <n v="79237.2"/>
    <n v="11319.6"/>
    <n v="79237.2"/>
    <n v="0"/>
    <n v="0"/>
    <n v="0"/>
    <n v="0"/>
    <n v="0"/>
    <n v="0"/>
    <n v="0"/>
    <n v="0"/>
    <n v="22648633"/>
    <n v="0"/>
    <n v="0"/>
    <n v="158540431"/>
    <n v="0"/>
    <n v="0"/>
    <n v="0"/>
    <n v="0"/>
    <n v="0"/>
    <n v="0"/>
    <n v="0"/>
    <n v="0"/>
    <n v="0"/>
    <n v="0"/>
    <n v="0"/>
    <n v="0"/>
    <n v="0"/>
    <n v="0"/>
    <n v="0"/>
    <n v="0"/>
    <n v="0"/>
    <n v="0"/>
    <n v="0"/>
    <n v="0"/>
    <n v="0"/>
    <n v="611486.83449066943"/>
    <n v="0"/>
    <n v="0"/>
    <n v="0"/>
    <n v="0"/>
    <n v="0"/>
    <n v="611486.83449066943"/>
    <n v="10928.690728518533"/>
    <n v="0"/>
    <n v="83305.058461142922"/>
    <n v="0"/>
    <n v="0"/>
    <n v="0"/>
    <n v="0"/>
    <n v="0"/>
    <n v="94233.749189661452"/>
    <n v="705720.58368033089"/>
    <n v="0"/>
    <n v="0"/>
    <n v="0"/>
    <n v="1691372.4139728372"/>
    <n v="0"/>
    <n v="0"/>
    <n v="2397092.9976531682"/>
    <n v="0"/>
    <n v="283.61189466670822"/>
    <n v="0"/>
    <n v="0"/>
    <n v="0"/>
    <n v="0"/>
    <n v="283.61189466670822"/>
    <n v="2397376.6095478348"/>
    <n v="1.0720000000000001"/>
    <n v="1.04"/>
    <n v="1.0720000000000001"/>
    <n v="1.04"/>
    <n v="1.1120000000000001"/>
    <n v="1.095"/>
    <n v="1.1120000000000001"/>
    <n v="1.1120000000000001"/>
  </r>
  <r>
    <x v="0"/>
    <x v="0"/>
    <x v="2"/>
    <x v="25"/>
    <x v="42"/>
    <s v="HVAC"/>
    <n v="10635"/>
    <n v="15"/>
    <n v="329105.98000000004"/>
    <n v="369782.00000000006"/>
    <n v="-40676.020000000019"/>
    <n v="0"/>
    <n v="0"/>
    <n v="0"/>
    <n v="0"/>
    <n v="0"/>
    <n v="0"/>
    <n v="0"/>
    <n v="0"/>
    <n v="0"/>
    <n v="0"/>
    <n v="0"/>
    <n v="0"/>
    <n v="0"/>
    <n v="0"/>
    <n v="34032"/>
    <n v="510480"/>
    <n v="30288.48"/>
    <n v="454327.2"/>
    <n v="0"/>
    <n v="0"/>
    <n v="0"/>
    <n v="0"/>
    <n v="0"/>
    <n v="0"/>
    <n v="0"/>
    <n v="0"/>
    <n v="0"/>
    <n v="0"/>
    <n v="0"/>
    <n v="0"/>
    <n v="0"/>
    <n v="0"/>
    <n v="0"/>
    <n v="0"/>
    <n v="0"/>
    <n v="0"/>
    <n v="0"/>
    <n v="0"/>
    <n v="0"/>
    <n v="0"/>
    <n v="0"/>
    <n v="0"/>
    <n v="0"/>
    <n v="0"/>
    <n v="0"/>
    <n v="0"/>
    <n v="0"/>
    <n v="0"/>
    <n v="0"/>
    <n v="0"/>
    <n v="0"/>
    <n v="0"/>
    <n v="3831215.0817246153"/>
    <n v="0"/>
    <n v="0"/>
    <n v="0"/>
    <n v="0"/>
    <n v="3831215.0817246153"/>
    <n v="61580.374104426555"/>
    <n v="0"/>
    <n v="0"/>
    <n v="234499.27952392347"/>
    <n v="0"/>
    <n v="0"/>
    <n v="0"/>
    <n v="0"/>
    <n v="296079.65362835"/>
    <n v="4127294.7353529651"/>
    <n v="0"/>
    <n v="0"/>
    <n v="0"/>
    <n v="0"/>
    <n v="0"/>
    <n v="0"/>
    <n v="4127294.7353529651"/>
    <n v="440498.25052330078"/>
    <n v="0"/>
    <n v="0"/>
    <n v="0"/>
    <n v="0"/>
    <n v="0"/>
    <n v="440498.25052330078"/>
    <n v="4567792.9858762659"/>
    <n v="1.0720000000000001"/>
    <n v="1.04"/>
    <n v="1.0720000000000001"/>
    <n v="1.04"/>
    <n v="1.1120000000000001"/>
    <n v="1.095"/>
    <n v="1.1120000000000001"/>
    <n v="1.1120000000000001"/>
  </r>
  <r>
    <x v="0"/>
    <x v="0"/>
    <x v="2"/>
    <x v="27"/>
    <x v="43"/>
    <s v="HVAC"/>
    <n v="1802"/>
    <n v="15"/>
    <n v="129945.73713610588"/>
    <n v="103367.30164461247"/>
    <n v="26578.435491493408"/>
    <n v="0"/>
    <n v="0"/>
    <n v="0"/>
    <n v="0"/>
    <n v="0"/>
    <n v="0"/>
    <n v="0"/>
    <n v="0"/>
    <n v="0"/>
    <n v="0"/>
    <n v="0"/>
    <n v="0"/>
    <n v="0"/>
    <n v="0"/>
    <n v="11893.199999999999"/>
    <n v="178397.99999999997"/>
    <n v="11893.199999999999"/>
    <n v="178397.99999999997"/>
    <n v="0"/>
    <n v="0"/>
    <n v="0"/>
    <n v="0"/>
    <n v="0"/>
    <n v="0"/>
    <n v="0"/>
    <n v="0"/>
    <n v="0"/>
    <n v="0"/>
    <n v="0"/>
    <n v="0"/>
    <n v="0"/>
    <n v="0"/>
    <n v="0"/>
    <n v="0"/>
    <n v="0"/>
    <n v="0"/>
    <n v="0"/>
    <n v="0"/>
    <n v="0"/>
    <n v="0"/>
    <n v="0"/>
    <n v="0"/>
    <n v="0"/>
    <n v="0"/>
    <n v="0"/>
    <n v="0"/>
    <n v="0"/>
    <n v="0"/>
    <n v="0"/>
    <n v="0"/>
    <n v="0"/>
    <n v="0"/>
    <n v="1504380.7814049164"/>
    <n v="0"/>
    <n v="0"/>
    <n v="0"/>
    <n v="0"/>
    <n v="1504380.7814049164"/>
    <n v="24180.404737998269"/>
    <n v="0"/>
    <n v="0"/>
    <n v="92079.458303418534"/>
    <n v="0"/>
    <n v="0"/>
    <n v="0"/>
    <n v="0"/>
    <n v="116259.8630414168"/>
    <n v="1620640.6444463332"/>
    <n v="0"/>
    <n v="0"/>
    <n v="0"/>
    <n v="0"/>
    <n v="0"/>
    <n v="0"/>
    <n v="1620640.6444463332"/>
    <n v="83863.208448147998"/>
    <n v="0"/>
    <n v="0"/>
    <n v="0"/>
    <n v="0"/>
    <n v="0"/>
    <n v="83863.208448147998"/>
    <n v="1704503.8528944813"/>
    <n v="1.0720000000000001"/>
    <n v="1.04"/>
    <n v="1.0720000000000001"/>
    <n v="1.04"/>
    <n v="1.1120000000000001"/>
    <n v="1.095"/>
    <n v="1.1120000000000001"/>
    <n v="1.1120000000000001"/>
  </r>
  <r>
    <x v="0"/>
    <x v="0"/>
    <x v="2"/>
    <x v="35"/>
    <x v="44"/>
    <s v="HVAC"/>
    <n v="288"/>
    <n v="15"/>
    <n v="20768.242117202273"/>
    <n v="16520.41224952741"/>
    <n v="4247.8298676748636"/>
    <n v="29.952000000000002"/>
    <n v="29.952000000000002"/>
    <n v="449.28000000000003"/>
    <n v="29.952000000000002"/>
    <n v="449.28000000000003"/>
    <n v="4.4928000000000008"/>
    <n v="17.971200000000003"/>
    <n v="242.61120000000003"/>
    <n v="184.20480000000001"/>
    <n v="66.240000000000009"/>
    <n v="0"/>
    <n v="0"/>
    <n v="66.240000000000009"/>
    <n v="66.240000000000009"/>
    <n v="1900.8"/>
    <n v="28512"/>
    <n v="1900.8"/>
    <n v="28512"/>
    <n v="0"/>
    <n v="0"/>
    <n v="0"/>
    <n v="0"/>
    <n v="0"/>
    <n v="0"/>
    <n v="0"/>
    <n v="0"/>
    <n v="0"/>
    <n v="0"/>
    <n v="0"/>
    <n v="0"/>
    <n v="377.38050405706969"/>
    <n v="1350.6448819358295"/>
    <n v="19839.95090889134"/>
    <n v="11796.503324641573"/>
    <n v="33364.47961952581"/>
    <n v="9.7717385943761581"/>
    <n v="18.804853907459343"/>
    <n v="623.08167775591619"/>
    <n v="155.21495848066553"/>
    <n v="1341.2561546800284"/>
    <n v="99.217890529312839"/>
    <n v="2247.3472739477584"/>
    <n v="35611.826893473568"/>
    <n v="171705.64254694027"/>
    <n v="0"/>
    <n v="0"/>
    <n v="11484.08943577685"/>
    <n v="90137.002349058428"/>
    <n v="273326.73433177557"/>
    <n v="308938.56122524914"/>
    <n v="0"/>
    <n v="0"/>
    <n v="240433.7763843596"/>
    <n v="0"/>
    <n v="0"/>
    <n v="0"/>
    <n v="0"/>
    <n v="240433.7763843596"/>
    <n v="3864.5707905346849"/>
    <n v="0"/>
    <n v="0"/>
    <n v="14716.361815418724"/>
    <n v="0"/>
    <n v="0"/>
    <n v="0"/>
    <n v="0"/>
    <n v="18580.932605953411"/>
    <n v="259014.70899031303"/>
    <n v="0"/>
    <n v="0"/>
    <n v="0"/>
    <n v="0"/>
    <n v="0"/>
    <n v="0"/>
    <n v="259014.70899031303"/>
    <n v="13403.22088405473"/>
    <n v="0"/>
    <n v="0"/>
    <n v="0"/>
    <n v="0"/>
    <n v="0"/>
    <n v="13403.22088405473"/>
    <n v="581356.49109961698"/>
    <n v="1.0720000000000001"/>
    <n v="1.04"/>
    <n v="1.0720000000000001"/>
    <n v="1.04"/>
    <n v="1.1120000000000001"/>
    <n v="1.095"/>
    <n v="1.1120000000000001"/>
    <n v="1.1120000000000001"/>
  </r>
  <r>
    <x v="0"/>
    <x v="0"/>
    <x v="2"/>
    <x v="36"/>
    <x v="45"/>
    <s v="HVAC"/>
    <n v="26"/>
    <n v="15"/>
    <n v="1874.9107466918717"/>
    <n v="1491.4261058601132"/>
    <n v="383.4846408317585"/>
    <n v="2.7040000000000002"/>
    <n v="2.7040000000000002"/>
    <n v="40.56"/>
    <n v="2.7040000000000002"/>
    <n v="40.56"/>
    <n v="0.40560000000000002"/>
    <n v="1.6224000000000001"/>
    <n v="21.902400000000004"/>
    <n v="16.6296"/>
    <n v="5.98"/>
    <n v="0"/>
    <n v="0"/>
    <n v="5.98"/>
    <n v="5.98"/>
    <n v="0"/>
    <n v="0"/>
    <n v="0"/>
    <n v="0"/>
    <n v="0"/>
    <n v="0"/>
    <n v="0"/>
    <n v="0"/>
    <n v="0"/>
    <n v="0"/>
    <n v="0"/>
    <n v="0"/>
    <n v="0"/>
    <n v="0"/>
    <n v="0"/>
    <n v="0"/>
    <n v="34.069073282929907"/>
    <n v="121.93321850809571"/>
    <n v="1791.1066792749127"/>
    <n v="1064.9621056968087"/>
    <n v="3012.071076762747"/>
    <n v="0.88217084532562551"/>
    <n v="1.6976604222011908"/>
    <n v="56.250429241853546"/>
    <n v="14.012461529504529"/>
    <n v="121.08562507528036"/>
    <n v="8.9571706727851872"/>
    <n v="202.88551778695046"/>
    <n v="3214.9565945496975"/>
    <n v="15501.203841043218"/>
    <n v="0"/>
    <n v="0"/>
    <n v="1036.7580740631879"/>
    <n v="8137.3682676233302"/>
    <n v="24675.330182729736"/>
    <n v="27890.286777279434"/>
    <n v="0"/>
    <n v="0"/>
    <n v="0"/>
    <n v="0"/>
    <n v="0"/>
    <n v="0"/>
    <n v="0"/>
    <n v="0"/>
    <n v="0"/>
    <n v="0"/>
    <n v="0"/>
    <n v="0"/>
    <n v="0"/>
    <n v="0"/>
    <n v="0"/>
    <n v="0"/>
    <n v="0"/>
    <n v="0"/>
    <n v="0"/>
    <n v="0"/>
    <n v="0"/>
    <n v="0"/>
    <n v="0"/>
    <n v="0"/>
    <n v="0"/>
    <n v="1210.0129964771631"/>
    <n v="0"/>
    <n v="0"/>
    <n v="0"/>
    <n v="0"/>
    <n v="0"/>
    <n v="1210.0129964771631"/>
    <n v="29100.299773756597"/>
    <n v="1.0720000000000001"/>
    <n v="1.04"/>
    <n v="1.0720000000000001"/>
    <n v="1.04"/>
    <n v="1.1120000000000001"/>
    <n v="1.095"/>
    <n v="1.1120000000000001"/>
    <n v="1.1120000000000001"/>
  </r>
  <r>
    <x v="0"/>
    <x v="0"/>
    <x v="2"/>
    <x v="3"/>
    <x v="46"/>
    <s v="Lighting"/>
    <n v="338"/>
    <n v="5"/>
    <n v="1967.0395999999996"/>
    <n v="2588.2099999999996"/>
    <n v="-621.17039999999997"/>
    <n v="14.432600000000001"/>
    <n v="14.432600000000001"/>
    <n v="72.163000000000011"/>
    <n v="10.968776"/>
    <n v="54.843879999999999"/>
    <n v="23.582868399999999"/>
    <n v="13.162531199999998"/>
    <n v="11.5172148"/>
    <n v="6.5812655999999992"/>
    <n v="10.788960000000001"/>
    <n v="2.2713600000000005"/>
    <n v="1.7262336000000005"/>
    <n v="1.8454800000000002"/>
    <n v="1.4025648000000002"/>
    <n v="0"/>
    <n v="0"/>
    <n v="0"/>
    <n v="0"/>
    <n v="0"/>
    <n v="0"/>
    <n v="0"/>
    <n v="0"/>
    <n v="0"/>
    <n v="0"/>
    <n v="0"/>
    <n v="0"/>
    <n v="0"/>
    <n v="0"/>
    <n v="0"/>
    <n v="0"/>
    <n v="1751.494869956985"/>
    <n v="873.99557319084772"/>
    <n v="763.86133636491115"/>
    <n v="344.79053417666654"/>
    <n v="3734.14231368941"/>
    <n v="153.87661946472616"/>
    <n v="41.319357015954779"/>
    <n v="88.736614640947352"/>
    <n v="16.636551276420036"/>
    <n v="127.61757223968625"/>
    <n v="392.98154781552512"/>
    <n v="821.16826245325979"/>
    <n v="4555.3105761426696"/>
    <n v="893.64193643754868"/>
    <n v="0"/>
    <n v="0"/>
    <n v="82.840304519675172"/>
    <n v="650.2018958355111"/>
    <n v="1626.684136792735"/>
    <n v="6181.9947129354041"/>
    <n v="0"/>
    <n v="0"/>
    <n v="0"/>
    <n v="0"/>
    <n v="0"/>
    <n v="0"/>
    <n v="0"/>
    <n v="0"/>
    <n v="0"/>
    <n v="0"/>
    <n v="0"/>
    <n v="0"/>
    <n v="0"/>
    <n v="0"/>
    <n v="0"/>
    <n v="0"/>
    <n v="0"/>
    <n v="0"/>
    <n v="0"/>
    <n v="0"/>
    <n v="0"/>
    <n v="0"/>
    <n v="0"/>
    <n v="0"/>
    <n v="0"/>
    <n v="0"/>
    <n v="772.33354714283894"/>
    <n v="0"/>
    <n v="0"/>
    <n v="0"/>
    <n v="0"/>
    <n v="772.33354714283894"/>
    <n v="6954.3282600782431"/>
    <n v="1.0720000000000001"/>
    <n v="1.04"/>
    <n v="1.0720000000000001"/>
    <n v="1.04"/>
    <n v="1.1120000000000001"/>
    <n v="1.095"/>
    <n v="1.1120000000000001"/>
    <n v="1.1120000000000001"/>
  </r>
  <r>
    <x v="0"/>
    <x v="0"/>
    <x v="2"/>
    <x v="4"/>
    <x v="47"/>
    <s v="Lighting"/>
    <n v="78768"/>
    <n v="7"/>
    <n v="601891.00599999982"/>
    <n v="633569.47999999986"/>
    <n v="-31678.474000000046"/>
    <n v="2938.0463999999997"/>
    <n v="2938.0463999999997"/>
    <n v="20566.324799999999"/>
    <n v="2791.1440799999996"/>
    <n v="19538.008559999998"/>
    <n v="8401.3436807999988"/>
    <n v="4689.1220543999998"/>
    <n v="4102.9817975999995"/>
    <n v="2344.5610271999999"/>
    <n v="2993.1840000000002"/>
    <n v="504.11520000000007"/>
    <n v="478.90944000000007"/>
    <n v="409.59360000000004"/>
    <n v="389.11392000000001"/>
    <n v="0"/>
    <n v="0"/>
    <n v="0"/>
    <n v="0"/>
    <n v="0"/>
    <n v="0"/>
    <n v="0"/>
    <n v="0"/>
    <n v="0"/>
    <n v="0"/>
    <n v="0"/>
    <n v="0"/>
    <n v="0"/>
    <n v="0"/>
    <n v="0"/>
    <n v="0"/>
    <n v="632889.01433261472"/>
    <n v="315944.28772276023"/>
    <n v="282325.92247609323"/>
    <n v="127553.48373425211"/>
    <n v="1358712.7082657204"/>
    <n v="39155.856174780412"/>
    <n v="10514.234106384216"/>
    <n v="22580.156312274172"/>
    <n v="4233.381336878082"/>
    <n v="34711.010025424817"/>
    <n v="104875.8643981685"/>
    <n v="216070.50235391018"/>
    <n v="1574783.2106196305"/>
    <n v="396503.77527988609"/>
    <n v="0"/>
    <n v="0"/>
    <n v="32035.036371094862"/>
    <n v="251438.49364651163"/>
    <n v="679977.30529749254"/>
    <n v="2254760.5159171233"/>
    <n v="0"/>
    <n v="0"/>
    <n v="0"/>
    <n v="0"/>
    <n v="0"/>
    <n v="0"/>
    <n v="0"/>
    <n v="0"/>
    <n v="0"/>
    <n v="0"/>
    <n v="0"/>
    <n v="0"/>
    <n v="0"/>
    <n v="0"/>
    <n v="0"/>
    <n v="0"/>
    <n v="0"/>
    <n v="0"/>
    <n v="0"/>
    <n v="0"/>
    <n v="0"/>
    <n v="0"/>
    <n v="0"/>
    <n v="0"/>
    <n v="0"/>
    <n v="0"/>
    <n v="224982.13328900569"/>
    <n v="0"/>
    <n v="0"/>
    <n v="0"/>
    <n v="0"/>
    <n v="224982.13328900569"/>
    <n v="2479742.6492061289"/>
    <n v="1.0720000000000001"/>
    <n v="1.04"/>
    <n v="1.0720000000000001"/>
    <n v="1.04"/>
    <n v="1.1120000000000001"/>
    <n v="1.095"/>
    <n v="1.1120000000000001"/>
    <n v="1.1120000000000001"/>
  </r>
  <r>
    <x v="0"/>
    <x v="0"/>
    <x v="2"/>
    <x v="37"/>
    <x v="48"/>
    <s v="Lighting"/>
    <n v="19757"/>
    <n v="7"/>
    <n v="332211.40000000002"/>
    <n v="332211.40000000002"/>
    <n v="0"/>
    <n v="780.40150000000006"/>
    <n v="780.40150000000006"/>
    <n v="5462.8105000000005"/>
    <n v="780.40150000000006"/>
    <n v="5462.8105000000005"/>
    <n v="2349.008515"/>
    <n v="1311.0745200000001"/>
    <n v="1147.1902050000001"/>
    <n v="655.53726000000006"/>
    <n v="790.28"/>
    <n v="126.4448"/>
    <n v="126.4448"/>
    <n v="102.7364"/>
    <n v="102.7364"/>
    <n v="0"/>
    <n v="0"/>
    <n v="0"/>
    <n v="0"/>
    <n v="0"/>
    <n v="0"/>
    <n v="0"/>
    <n v="0"/>
    <n v="0"/>
    <n v="0"/>
    <n v="0"/>
    <n v="0"/>
    <n v="0"/>
    <n v="0"/>
    <n v="0"/>
    <n v="0"/>
    <n v="176955.22766373784"/>
    <n v="88337.752902843262"/>
    <n v="78938.086703581022"/>
    <n v="35663.845069737843"/>
    <n v="379894.91233990004"/>
    <n v="10947.943931501703"/>
    <n v="2939.7708727287927"/>
    <n v="6313.3924123090192"/>
    <n v="1183.6498047681082"/>
    <n v="9705.1687458415163"/>
    <n v="29323.20207924462"/>
    <n v="60413.127846393756"/>
    <n v="440308.04018629377"/>
    <n v="104687.51788336046"/>
    <n v="0"/>
    <n v="0"/>
    <n v="8458.0996501881764"/>
    <n v="66386.434231562511"/>
    <n v="179532.05176511116"/>
    <n v="619840.09195140493"/>
    <n v="0"/>
    <n v="0"/>
    <n v="0"/>
    <n v="0"/>
    <n v="0"/>
    <n v="0"/>
    <n v="0"/>
    <n v="0"/>
    <n v="0"/>
    <n v="0"/>
    <n v="0"/>
    <n v="0"/>
    <n v="0"/>
    <n v="0"/>
    <n v="0"/>
    <n v="0"/>
    <n v="0"/>
    <n v="0"/>
    <n v="0"/>
    <n v="0"/>
    <n v="0"/>
    <n v="0"/>
    <n v="0"/>
    <n v="0"/>
    <n v="0"/>
    <n v="0"/>
    <n v="59401.253078873677"/>
    <n v="0"/>
    <n v="0"/>
    <n v="0"/>
    <n v="0"/>
    <n v="59401.253078873677"/>
    <n v="679241.34503027867"/>
    <n v="1.0720000000000001"/>
    <n v="1.04"/>
    <n v="1.0720000000000001"/>
    <n v="1.04"/>
    <n v="1.1120000000000001"/>
    <n v="1.095"/>
    <n v="1.1120000000000001"/>
    <n v="1.1120000000000001"/>
  </r>
  <r>
    <x v="0"/>
    <x v="0"/>
    <x v="2"/>
    <x v="38"/>
    <x v="49"/>
    <s v="Lighting"/>
    <n v="35393"/>
    <n v="7"/>
    <n v="149588.84999999998"/>
    <n v="149588.84999999998"/>
    <n v="0"/>
    <n v="1812.1216000000002"/>
    <n v="1812.1216000000002"/>
    <n v="12684.851200000001"/>
    <n v="1812.1216000000002"/>
    <n v="12684.851200000001"/>
    <n v="5454.4860160000007"/>
    <n v="3044.3642880000002"/>
    <n v="2663.8187520000001"/>
    <n v="1522.1821440000001"/>
    <n v="1769.65"/>
    <n v="283.14400000000001"/>
    <n v="283.14400000000001"/>
    <n v="230.05450000000002"/>
    <n v="230.05450000000002"/>
    <n v="0"/>
    <n v="0"/>
    <n v="0"/>
    <n v="0"/>
    <n v="0"/>
    <n v="0"/>
    <n v="0"/>
    <n v="0"/>
    <n v="0"/>
    <n v="0"/>
    <n v="0"/>
    <n v="0"/>
    <n v="0"/>
    <n v="0"/>
    <n v="0"/>
    <n v="0"/>
    <n v="410896.68623442791"/>
    <n v="205123.58078592233"/>
    <n v="183297.20275810847"/>
    <n v="82812.78801991725"/>
    <n v="882130.25779837591"/>
    <n v="25421.537085542706"/>
    <n v="6826.2584035559848"/>
    <n v="14659.934353818231"/>
    <n v="2748.4793123233003"/>
    <n v="22535.766417650815"/>
    <n v="68089.576799844814"/>
    <n v="140281.55237273587"/>
    <n v="1022411.8101711117"/>
    <n v="234423.57901286738"/>
    <n v="0"/>
    <n v="0"/>
    <n v="18939.965639970022"/>
    <n v="148657.12575022093"/>
    <n v="402020.67040305835"/>
    <n v="1424432.4805741701"/>
    <n v="0"/>
    <n v="0"/>
    <n v="0"/>
    <n v="0"/>
    <n v="0"/>
    <n v="0"/>
    <n v="0"/>
    <n v="0"/>
    <n v="0"/>
    <n v="0"/>
    <n v="0"/>
    <n v="0"/>
    <n v="0"/>
    <n v="0"/>
    <n v="0"/>
    <n v="0"/>
    <n v="0"/>
    <n v="0"/>
    <n v="0"/>
    <n v="0"/>
    <n v="0"/>
    <n v="0"/>
    <n v="0"/>
    <n v="0"/>
    <n v="0"/>
    <n v="0"/>
    <n v="106412.3374105672"/>
    <n v="0"/>
    <n v="0"/>
    <n v="0"/>
    <n v="0"/>
    <n v="106412.3374105672"/>
    <n v="1530844.8179847372"/>
    <n v="1.0720000000000001"/>
    <n v="1.04"/>
    <n v="1.0720000000000001"/>
    <n v="1.04"/>
    <n v="1.1120000000000001"/>
    <n v="1.095"/>
    <n v="1.1120000000000001"/>
    <n v="1.1120000000000001"/>
  </r>
  <r>
    <x v="0"/>
    <x v="0"/>
    <x v="2"/>
    <x v="39"/>
    <x v="50"/>
    <s v="HVAC"/>
    <n v="1127"/>
    <n v="20"/>
    <n v="4505746"/>
    <n v="3425000"/>
    <n v="1080746"/>
    <n v="0"/>
    <n v="0"/>
    <n v="0"/>
    <n v="0"/>
    <n v="0"/>
    <n v="0"/>
    <n v="0"/>
    <n v="0"/>
    <n v="0"/>
    <n v="0"/>
    <n v="0"/>
    <n v="0"/>
    <n v="0"/>
    <n v="0"/>
    <n v="12847.800000000001"/>
    <n v="256956.00000000003"/>
    <n v="12847.800000000001"/>
    <n v="256956.00000000003"/>
    <n v="0"/>
    <n v="0"/>
    <n v="0"/>
    <n v="0"/>
    <n v="0"/>
    <n v="0"/>
    <n v="0"/>
    <n v="0"/>
    <n v="0"/>
    <n v="0"/>
    <n v="0"/>
    <n v="0"/>
    <n v="0"/>
    <n v="0"/>
    <n v="0"/>
    <n v="0"/>
    <n v="0"/>
    <n v="0"/>
    <n v="0"/>
    <n v="0"/>
    <n v="0"/>
    <n v="0"/>
    <n v="0"/>
    <n v="0"/>
    <n v="0"/>
    <n v="0"/>
    <n v="0"/>
    <n v="0"/>
    <n v="0"/>
    <n v="0"/>
    <n v="0"/>
    <n v="0"/>
    <n v="0"/>
    <n v="0"/>
    <n v="2226759.2093884293"/>
    <n v="0"/>
    <n v="0"/>
    <n v="0"/>
    <n v="0"/>
    <n v="2226759.2093884293"/>
    <n v="34452.966410164547"/>
    <n v="0"/>
    <n v="0"/>
    <n v="104581.84645365976"/>
    <n v="0"/>
    <n v="0"/>
    <n v="0"/>
    <n v="0"/>
    <n v="139034.81286382431"/>
    <n v="2365794.0222522537"/>
    <n v="0"/>
    <n v="0"/>
    <n v="0"/>
    <n v="0"/>
    <n v="0"/>
    <n v="0"/>
    <n v="2365794.0222522537"/>
    <n v="665488.26422783372"/>
    <n v="0"/>
    <n v="0"/>
    <n v="0"/>
    <n v="0"/>
    <n v="0"/>
    <n v="665488.26422783372"/>
    <n v="3031282.2864800873"/>
    <n v="1.0720000000000001"/>
    <n v="1.04"/>
    <n v="1.0720000000000001"/>
    <n v="1.04"/>
    <n v="1.1120000000000001"/>
    <n v="1.095"/>
    <n v="1.1120000000000001"/>
    <n v="1.1120000000000001"/>
  </r>
  <r>
    <x v="0"/>
    <x v="0"/>
    <x v="2"/>
    <x v="40"/>
    <x v="51"/>
    <s v="HVAC"/>
    <n v="1127"/>
    <n v="10"/>
    <n v="0"/>
    <n v="0"/>
    <n v="0"/>
    <n v="0"/>
    <n v="0"/>
    <n v="0"/>
    <n v="0"/>
    <n v="0"/>
    <n v="0"/>
    <n v="0"/>
    <n v="0"/>
    <n v="0"/>
    <n v="0"/>
    <n v="0"/>
    <n v="0"/>
    <n v="0"/>
    <n v="0"/>
    <n v="7889"/>
    <n v="78890"/>
    <n v="7889"/>
    <n v="78890"/>
    <n v="0"/>
    <n v="0"/>
    <n v="0"/>
    <n v="0"/>
    <n v="0"/>
    <n v="0"/>
    <n v="0"/>
    <n v="0"/>
    <n v="0"/>
    <n v="0"/>
    <n v="0"/>
    <n v="0"/>
    <n v="0"/>
    <n v="0"/>
    <n v="0"/>
    <n v="0"/>
    <n v="0"/>
    <n v="0"/>
    <n v="0"/>
    <n v="0"/>
    <n v="0"/>
    <n v="0"/>
    <n v="0"/>
    <n v="0"/>
    <n v="0"/>
    <n v="0"/>
    <n v="0"/>
    <n v="0"/>
    <n v="0"/>
    <n v="0"/>
    <n v="0"/>
    <n v="0"/>
    <n v="0"/>
    <n v="0"/>
    <n v="650232.14938398672"/>
    <n v="0"/>
    <n v="0"/>
    <n v="0"/>
    <n v="0"/>
    <n v="650232.14938398672"/>
    <n v="10809.826006564421"/>
    <n v="0"/>
    <n v="0"/>
    <n v="57863.241576981112"/>
    <n v="0"/>
    <n v="0"/>
    <n v="0"/>
    <n v="0"/>
    <n v="68673.067583545533"/>
    <n v="718905.21696753229"/>
    <n v="0"/>
    <n v="0"/>
    <n v="0"/>
    <n v="0"/>
    <n v="0"/>
    <n v="0"/>
    <n v="718905.21696753229"/>
    <n v="1534512.9338254852"/>
    <n v="0"/>
    <n v="0"/>
    <n v="0"/>
    <n v="0"/>
    <n v="0"/>
    <n v="1534512.9338254852"/>
    <n v="2253418.1507930174"/>
    <n v="1.0720000000000001"/>
    <n v="1.04"/>
    <n v="1.0720000000000001"/>
    <n v="1.04"/>
    <n v="1.1120000000000001"/>
    <n v="1.095"/>
    <n v="1.1120000000000001"/>
    <n v="1.1120000000000001"/>
  </r>
  <r>
    <x v="0"/>
    <x v="0"/>
    <x v="2"/>
    <x v="41"/>
    <x v="52"/>
    <s v="HVAC"/>
    <n v="132"/>
    <n v="20"/>
    <n v="270072"/>
    <n v="250800"/>
    <n v="19272"/>
    <n v="0"/>
    <n v="0"/>
    <n v="0"/>
    <n v="0"/>
    <n v="0"/>
    <n v="0"/>
    <n v="0"/>
    <n v="0"/>
    <n v="0"/>
    <n v="0"/>
    <n v="0"/>
    <n v="0"/>
    <n v="0"/>
    <n v="0"/>
    <n v="382.8"/>
    <n v="7656"/>
    <n v="382.8"/>
    <n v="7656"/>
    <n v="0"/>
    <n v="0"/>
    <n v="0"/>
    <n v="0"/>
    <n v="0"/>
    <n v="0"/>
    <n v="0"/>
    <n v="0"/>
    <n v="0"/>
    <n v="0"/>
    <n v="0"/>
    <n v="0"/>
    <n v="0"/>
    <n v="0"/>
    <n v="0"/>
    <n v="0"/>
    <n v="0"/>
    <n v="0"/>
    <n v="0"/>
    <n v="0"/>
    <n v="0"/>
    <n v="0"/>
    <n v="0"/>
    <n v="0"/>
    <n v="0"/>
    <n v="0"/>
    <n v="0"/>
    <n v="0"/>
    <n v="0"/>
    <n v="0"/>
    <n v="0"/>
    <n v="0"/>
    <n v="0"/>
    <n v="0"/>
    <n v="66346.25580674439"/>
    <n v="0"/>
    <n v="0"/>
    <n v="0"/>
    <n v="0"/>
    <n v="66346.25580674439"/>
    <n v="1026.5255951844665"/>
    <n v="0"/>
    <n v="0"/>
    <n v="3116.0144789349893"/>
    <n v="0"/>
    <n v="0"/>
    <n v="0"/>
    <n v="0"/>
    <n v="4142.5400741194553"/>
    <n v="70488.79588086385"/>
    <n v="0"/>
    <n v="0"/>
    <n v="0"/>
    <n v="0"/>
    <n v="0"/>
    <n v="0"/>
    <n v="70488.79588086385"/>
    <n v="77945.386759604298"/>
    <n v="0"/>
    <n v="0"/>
    <n v="0"/>
    <n v="0"/>
    <n v="0"/>
    <n v="77945.386759604298"/>
    <n v="148434.18264046815"/>
    <n v="1.0720000000000001"/>
    <n v="1.04"/>
    <n v="1.0720000000000001"/>
    <n v="1.04"/>
    <n v="1.1120000000000001"/>
    <n v="1.095"/>
    <n v="1.1120000000000001"/>
    <n v="1.1120000000000001"/>
  </r>
  <r>
    <x v="0"/>
    <x v="0"/>
    <x v="2"/>
    <x v="42"/>
    <x v="53"/>
    <s v="HVAC"/>
    <n v="132"/>
    <n v="10"/>
    <n v="0"/>
    <n v="0"/>
    <n v="0"/>
    <n v="0"/>
    <n v="0"/>
    <n v="0"/>
    <n v="0"/>
    <n v="0"/>
    <n v="0"/>
    <n v="0"/>
    <n v="0"/>
    <n v="0"/>
    <n v="0"/>
    <n v="0"/>
    <n v="0"/>
    <n v="0"/>
    <n v="0"/>
    <n v="1056"/>
    <n v="10560"/>
    <n v="1056"/>
    <n v="10560"/>
    <n v="0"/>
    <n v="0"/>
    <n v="0"/>
    <n v="0"/>
    <n v="0"/>
    <n v="0"/>
    <n v="0"/>
    <n v="0"/>
    <n v="0"/>
    <n v="0"/>
    <n v="0"/>
    <n v="0"/>
    <n v="0"/>
    <n v="0"/>
    <n v="0"/>
    <n v="0"/>
    <n v="0"/>
    <n v="0"/>
    <n v="0"/>
    <n v="0"/>
    <n v="0"/>
    <n v="0"/>
    <n v="0"/>
    <n v="0"/>
    <n v="0"/>
    <n v="0"/>
    <n v="0"/>
    <n v="0"/>
    <n v="0"/>
    <n v="0"/>
    <n v="0"/>
    <n v="0"/>
    <n v="0"/>
    <n v="0"/>
    <n v="87038.300133032069"/>
    <n v="0"/>
    <n v="0"/>
    <n v="0"/>
    <n v="0"/>
    <n v="87038.300133032069"/>
    <n v="1446.9737942618872"/>
    <n v="0"/>
    <n v="0"/>
    <n v="7745.4155286211244"/>
    <n v="0"/>
    <n v="0"/>
    <n v="0"/>
    <n v="0"/>
    <n v="9192.3893228830111"/>
    <n v="96230.689455915082"/>
    <n v="0"/>
    <n v="0"/>
    <n v="0"/>
    <n v="0"/>
    <n v="0"/>
    <n v="0"/>
    <n v="96230.689455915082"/>
    <n v="179729.99757317128"/>
    <n v="0"/>
    <n v="0"/>
    <n v="0"/>
    <n v="0"/>
    <n v="0"/>
    <n v="179729.99757317128"/>
    <n v="275960.68702908634"/>
    <n v="1.0720000000000001"/>
    <n v="1.04"/>
    <n v="1.0720000000000001"/>
    <n v="1.04"/>
    <n v="1.1120000000000001"/>
    <n v="1.095"/>
    <n v="1.1120000000000001"/>
    <n v="1.1120000000000001"/>
  </r>
  <r>
    <x v="0"/>
    <x v="0"/>
    <x v="2"/>
    <x v="43"/>
    <x v="54"/>
    <s v="HVAC"/>
    <n v="1073"/>
    <n v="18"/>
    <n v="2071963"/>
    <n v="1073000"/>
    <n v="998963"/>
    <n v="0"/>
    <n v="0"/>
    <n v="0"/>
    <n v="0"/>
    <n v="0"/>
    <n v="0"/>
    <n v="0"/>
    <n v="0"/>
    <n v="0"/>
    <n v="0"/>
    <n v="0"/>
    <n v="0"/>
    <n v="0"/>
    <n v="0"/>
    <n v="7725.6"/>
    <n v="139060.80000000002"/>
    <n v="7725.6"/>
    <n v="139060.80000000002"/>
    <n v="0"/>
    <n v="0"/>
    <n v="0"/>
    <n v="0"/>
    <n v="0"/>
    <n v="0"/>
    <n v="0"/>
    <n v="0"/>
    <n v="0"/>
    <n v="0"/>
    <n v="0"/>
    <n v="0"/>
    <n v="0"/>
    <n v="0"/>
    <n v="0"/>
    <n v="0"/>
    <n v="0"/>
    <n v="0"/>
    <n v="0"/>
    <n v="0"/>
    <n v="0"/>
    <n v="0"/>
    <n v="0"/>
    <n v="0"/>
    <n v="0"/>
    <n v="0"/>
    <n v="0"/>
    <n v="0"/>
    <n v="0"/>
    <n v="0"/>
    <n v="0"/>
    <n v="0"/>
    <n v="0"/>
    <n v="0"/>
    <n v="1192158.5578263672"/>
    <n v="0"/>
    <n v="0"/>
    <n v="0"/>
    <n v="0"/>
    <n v="1192158.5578263672"/>
    <n v="18726.33463445825"/>
    <n v="0"/>
    <n v="0"/>
    <n v="61665.430194864995"/>
    <n v="0"/>
    <n v="0"/>
    <n v="0"/>
    <n v="0"/>
    <n v="80391.764829323249"/>
    <n v="1272550.3226556904"/>
    <n v="0"/>
    <n v="0"/>
    <n v="0"/>
    <n v="0"/>
    <n v="0"/>
    <n v="0"/>
    <n v="1272550.3226556904"/>
    <n v="572715.47117931163"/>
    <n v="0"/>
    <n v="0"/>
    <n v="0"/>
    <n v="0"/>
    <n v="0"/>
    <n v="572715.47117931163"/>
    <n v="1845265.793835002"/>
    <n v="1.0720000000000001"/>
    <n v="1.04"/>
    <n v="1.0720000000000001"/>
    <n v="1.04"/>
    <n v="1.1120000000000001"/>
    <n v="1.095"/>
    <n v="1.1120000000000001"/>
    <n v="1.1120000000000001"/>
  </r>
  <r>
    <x v="0"/>
    <x v="0"/>
    <x v="2"/>
    <x v="44"/>
    <x v="55"/>
    <s v="HVAC"/>
    <n v="1073"/>
    <n v="6"/>
    <n v="0"/>
    <n v="0"/>
    <n v="0"/>
    <n v="0"/>
    <n v="0"/>
    <n v="0"/>
    <n v="0"/>
    <n v="0"/>
    <n v="0"/>
    <n v="0"/>
    <n v="0"/>
    <n v="0"/>
    <n v="0"/>
    <n v="0"/>
    <n v="0"/>
    <n v="0"/>
    <n v="0"/>
    <n v="6652.6"/>
    <n v="39915.600000000006"/>
    <n v="6652.6"/>
    <n v="39915.600000000006"/>
    <n v="0"/>
    <n v="0"/>
    <n v="0"/>
    <n v="0"/>
    <n v="0"/>
    <n v="0"/>
    <n v="0"/>
    <n v="0"/>
    <n v="0"/>
    <n v="0"/>
    <n v="0"/>
    <n v="0"/>
    <n v="0"/>
    <n v="0"/>
    <n v="0"/>
    <n v="0"/>
    <n v="0"/>
    <n v="0"/>
    <n v="0"/>
    <n v="0"/>
    <n v="0"/>
    <n v="0"/>
    <n v="0"/>
    <n v="0"/>
    <n v="0"/>
    <n v="0"/>
    <n v="0"/>
    <n v="0"/>
    <n v="0"/>
    <n v="0"/>
    <n v="0"/>
    <n v="0"/>
    <n v="0"/>
    <n v="0"/>
    <n v="324922.01973616309"/>
    <n v="0"/>
    <n v="0"/>
    <n v="0"/>
    <n v="0"/>
    <n v="324922.01973616309"/>
    <n v="5517.3494951196981"/>
    <n v="0"/>
    <n v="0"/>
    <n v="46566.45193636723"/>
    <n v="0"/>
    <n v="0"/>
    <n v="0"/>
    <n v="0"/>
    <n v="52083.801431486929"/>
    <n v="377005.82116764999"/>
    <n v="0"/>
    <n v="0"/>
    <n v="0"/>
    <n v="0"/>
    <n v="0"/>
    <n v="0"/>
    <n v="377005.82116764999"/>
    <n v="884277.74533315771"/>
    <n v="0"/>
    <n v="0"/>
    <n v="0"/>
    <n v="0"/>
    <n v="0"/>
    <n v="884277.74533315771"/>
    <n v="1261283.5665008076"/>
    <n v="1.0720000000000001"/>
    <n v="1.04"/>
    <n v="1.0720000000000001"/>
    <n v="1.04"/>
    <n v="1.1120000000000001"/>
    <n v="1.095"/>
    <n v="1.1120000000000001"/>
    <n v="1.1120000000000001"/>
  </r>
  <r>
    <x v="0"/>
    <x v="0"/>
    <x v="2"/>
    <x v="45"/>
    <x v="56"/>
    <s v="Process"/>
    <n v="5726"/>
    <n v="5"/>
    <n v="119661.75999999999"/>
    <n v="119661.75999999999"/>
    <n v="0"/>
    <n v="430.02259999999995"/>
    <n v="326.81717599999996"/>
    <n v="1634.0858799999999"/>
    <n v="326.81717599999996"/>
    <n v="1634.0858799999999"/>
    <n v="588.2709167999999"/>
    <n v="522.90748159999998"/>
    <n v="261.45374079999999"/>
    <n v="261.45374079999999"/>
    <n v="69.628159999999994"/>
    <n v="69.628159999999994"/>
    <n v="69.628159999999994"/>
    <n v="50.828556799999994"/>
    <n v="50.828556799999994"/>
    <n v="0"/>
    <n v="0"/>
    <n v="0"/>
    <n v="0"/>
    <n v="0"/>
    <n v="0"/>
    <n v="0"/>
    <n v="0"/>
    <n v="0"/>
    <n v="0"/>
    <n v="0"/>
    <n v="0"/>
    <n v="0"/>
    <n v="0"/>
    <n v="0"/>
    <n v="0"/>
    <n v="43690.762100851658"/>
    <n v="34721.195882656262"/>
    <n v="17340.512208306915"/>
    <n v="13697.483194253657"/>
    <n v="109449.95338606849"/>
    <n v="3838.4278990675784"/>
    <n v="1641.492855002251"/>
    <n v="2014.4210424731966"/>
    <n v="660.91977282166408"/>
    <n v="3687.1705155843038"/>
    <n v="11883.735424186494"/>
    <n v="23726.167509135488"/>
    <n v="133176.12089520399"/>
    <n v="32385.334299761354"/>
    <n v="0"/>
    <n v="0"/>
    <n v="3002.1095093842405"/>
    <n v="23563.135189149871"/>
    <n v="58950.578998295467"/>
    <n v="192126.69989349946"/>
    <n v="0"/>
    <n v="0"/>
    <n v="0"/>
    <n v="0"/>
    <n v="0"/>
    <n v="0"/>
    <n v="0"/>
    <n v="0"/>
    <n v="0"/>
    <n v="0"/>
    <n v="0"/>
    <n v="0"/>
    <n v="0"/>
    <n v="0"/>
    <n v="0"/>
    <n v="0"/>
    <n v="0"/>
    <n v="0"/>
    <n v="0"/>
    <n v="0"/>
    <n v="0"/>
    <n v="0"/>
    <n v="0"/>
    <n v="0"/>
    <n v="0"/>
    <n v="0"/>
    <n v="0"/>
    <n v="0"/>
    <n v="0"/>
    <n v="0"/>
    <n v="0"/>
    <n v="0"/>
    <n v="192126.69989349946"/>
    <n v="1.0720000000000001"/>
    <n v="1.04"/>
    <n v="1.0720000000000001"/>
    <n v="1.04"/>
    <n v="1.1120000000000001"/>
    <n v="1.095"/>
    <n v="1.1120000000000001"/>
    <n v="1.1120000000000001"/>
  </r>
  <r>
    <x v="0"/>
    <x v="0"/>
    <x v="2"/>
    <x v="46"/>
    <x v="57"/>
    <s v="Home Energy Services"/>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0"/>
    <x v="2"/>
    <x v="47"/>
    <x v="58"/>
    <s v="Hot Water"/>
    <n v="358"/>
    <n v="12"/>
    <n v="17900"/>
    <n v="17900"/>
    <n v="0"/>
    <n v="0"/>
    <n v="0"/>
    <n v="0"/>
    <n v="0"/>
    <n v="0"/>
    <n v="0"/>
    <n v="0"/>
    <n v="0"/>
    <n v="0"/>
    <n v="0"/>
    <n v="0"/>
    <n v="0"/>
    <n v="0"/>
    <n v="0"/>
    <n v="293.56"/>
    <n v="3522.7200000000003"/>
    <n v="293.56"/>
    <n v="3522.7200000000003"/>
    <n v="0"/>
    <n v="0"/>
    <n v="0"/>
    <n v="0"/>
    <n v="0"/>
    <n v="0"/>
    <n v="0"/>
    <n v="0"/>
    <n v="0"/>
    <n v="0"/>
    <n v="0"/>
    <n v="0"/>
    <n v="0"/>
    <n v="0"/>
    <n v="0"/>
    <n v="0"/>
    <n v="0"/>
    <n v="0"/>
    <n v="0"/>
    <n v="0"/>
    <n v="0"/>
    <n v="0"/>
    <n v="0"/>
    <n v="0"/>
    <n v="0"/>
    <n v="0"/>
    <n v="0"/>
    <n v="0"/>
    <n v="0"/>
    <n v="0"/>
    <n v="0"/>
    <n v="0"/>
    <n v="0"/>
    <n v="27747.852707762151"/>
    <n v="0"/>
    <n v="0"/>
    <n v="0"/>
    <n v="0"/>
    <n v="0"/>
    <n v="27747.852707762151"/>
    <n v="480.59972177158954"/>
    <n v="0"/>
    <n v="2326.8906264967923"/>
    <n v="0"/>
    <n v="0"/>
    <n v="0"/>
    <n v="0"/>
    <n v="0"/>
    <n v="2807.4903482683817"/>
    <n v="30555.343056030531"/>
    <n v="0"/>
    <n v="0"/>
    <n v="0"/>
    <n v="0"/>
    <n v="0"/>
    <n v="0"/>
    <n v="30555.343056030531"/>
    <n v="0"/>
    <n v="0"/>
    <n v="0"/>
    <n v="0"/>
    <n v="0"/>
    <n v="0"/>
    <n v="0"/>
    <n v="30555.343056030531"/>
    <n v="1.0720000000000001"/>
    <n v="1.04"/>
    <n v="1.0720000000000001"/>
    <n v="1.04"/>
    <n v="1.1120000000000001"/>
    <n v="1.095"/>
    <n v="1.1120000000000001"/>
    <n v="1.1120000000000001"/>
  </r>
  <r>
    <x v="0"/>
    <x v="0"/>
    <x v="2"/>
    <x v="48"/>
    <x v="59"/>
    <s v="Hot Water"/>
    <n v="358"/>
    <n v="4"/>
    <n v="0"/>
    <n v="0"/>
    <n v="0"/>
    <n v="0"/>
    <n v="0"/>
    <n v="0"/>
    <n v="0"/>
    <n v="0"/>
    <n v="0"/>
    <n v="0"/>
    <n v="0"/>
    <n v="0"/>
    <n v="0"/>
    <n v="0"/>
    <n v="0"/>
    <n v="0"/>
    <n v="0"/>
    <n v="125.3"/>
    <n v="501.2"/>
    <n v="125.3"/>
    <n v="501.2"/>
    <n v="0"/>
    <n v="0"/>
    <n v="0"/>
    <n v="0"/>
    <n v="0"/>
    <n v="0"/>
    <n v="0"/>
    <n v="0"/>
    <n v="0"/>
    <n v="0"/>
    <n v="0"/>
    <n v="0"/>
    <n v="0"/>
    <n v="0"/>
    <n v="0"/>
    <n v="0"/>
    <n v="0"/>
    <n v="0"/>
    <n v="0"/>
    <n v="0"/>
    <n v="0"/>
    <n v="0"/>
    <n v="0"/>
    <n v="0"/>
    <n v="0"/>
    <n v="0"/>
    <n v="0"/>
    <n v="0"/>
    <n v="0"/>
    <n v="0"/>
    <n v="0"/>
    <n v="0"/>
    <n v="0"/>
    <n v="3852.8857138968619"/>
    <n v="0"/>
    <n v="0"/>
    <n v="0"/>
    <n v="0"/>
    <n v="0"/>
    <n v="3852.8857138968619"/>
    <n v="69.582274970588742"/>
    <n v="0"/>
    <n v="878.50476294792202"/>
    <n v="0"/>
    <n v="0"/>
    <n v="0"/>
    <n v="0"/>
    <n v="0"/>
    <n v="948.08703791851076"/>
    <n v="4800.9727518153722"/>
    <n v="0"/>
    <n v="0"/>
    <n v="0"/>
    <n v="0"/>
    <n v="0"/>
    <n v="0"/>
    <n v="4800.9727518153722"/>
    <n v="0"/>
    <n v="0"/>
    <n v="0"/>
    <n v="0"/>
    <n v="0"/>
    <n v="0"/>
    <n v="0"/>
    <n v="4800.9727518153722"/>
    <n v="1.0720000000000001"/>
    <n v="1.04"/>
    <n v="1.0720000000000001"/>
    <n v="1.04"/>
    <n v="1.1120000000000001"/>
    <n v="1.095"/>
    <n v="1.1120000000000001"/>
    <n v="1.1120000000000001"/>
  </r>
  <r>
    <x v="0"/>
    <x v="0"/>
    <x v="2"/>
    <x v="49"/>
    <x v="60"/>
    <s v="Hot Water"/>
    <n v="10"/>
    <n v="12"/>
    <n v="500"/>
    <n v="500"/>
    <n v="0"/>
    <n v="0"/>
    <n v="0"/>
    <n v="0"/>
    <n v="0"/>
    <n v="0"/>
    <n v="0"/>
    <n v="0"/>
    <n v="0"/>
    <n v="0"/>
    <n v="0"/>
    <n v="0"/>
    <n v="0"/>
    <n v="0"/>
    <n v="0"/>
    <n v="3.2"/>
    <n v="38.400000000000006"/>
    <n v="3.2"/>
    <n v="38.400000000000006"/>
    <n v="0"/>
    <n v="0"/>
    <n v="0"/>
    <n v="0"/>
    <n v="0"/>
    <n v="0"/>
    <n v="0"/>
    <n v="0"/>
    <n v="0"/>
    <n v="0"/>
    <n v="0"/>
    <n v="0"/>
    <n v="0"/>
    <n v="0"/>
    <n v="0"/>
    <n v="0"/>
    <n v="0"/>
    <n v="0"/>
    <n v="0"/>
    <n v="0"/>
    <n v="0"/>
    <n v="0"/>
    <n v="0"/>
    <n v="0"/>
    <n v="0"/>
    <n v="0"/>
    <n v="0"/>
    <n v="0"/>
    <n v="0"/>
    <n v="0"/>
    <n v="0"/>
    <n v="0"/>
    <n v="0"/>
    <n v="0"/>
    <n v="0"/>
    <n v="253.59037248596871"/>
    <n v="0"/>
    <n v="0"/>
    <n v="0"/>
    <n v="253.59037248596871"/>
    <n v="5.2388578473534766"/>
    <n v="29.587927810527209"/>
    <n v="0"/>
    <n v="0"/>
    <n v="0"/>
    <n v="0"/>
    <n v="0"/>
    <n v="0"/>
    <n v="34.826785657880684"/>
    <n v="288.41715814384941"/>
    <n v="0"/>
    <n v="0"/>
    <n v="0"/>
    <n v="0"/>
    <n v="0"/>
    <n v="0"/>
    <n v="288.41715814384941"/>
    <n v="0"/>
    <n v="0"/>
    <n v="0"/>
    <n v="0"/>
    <n v="0"/>
    <n v="0"/>
    <n v="0"/>
    <n v="288.41715814384941"/>
    <n v="1.0720000000000001"/>
    <n v="1.04"/>
    <n v="1.0720000000000001"/>
    <n v="1.04"/>
    <n v="1.1120000000000001"/>
    <n v="1.095"/>
    <n v="1.1120000000000001"/>
    <n v="1.1120000000000001"/>
  </r>
  <r>
    <x v="0"/>
    <x v="0"/>
    <x v="2"/>
    <x v="50"/>
    <x v="61"/>
    <s v="Hot Water"/>
    <n v="10"/>
    <n v="4"/>
    <n v="0"/>
    <n v="0"/>
    <n v="0"/>
    <n v="0"/>
    <n v="0"/>
    <n v="0"/>
    <n v="0"/>
    <n v="0"/>
    <n v="0"/>
    <n v="0"/>
    <n v="0"/>
    <n v="0"/>
    <n v="0"/>
    <n v="0"/>
    <n v="0"/>
    <n v="0"/>
    <n v="0"/>
    <n v="6.3"/>
    <n v="25.2"/>
    <n v="6.3"/>
    <n v="25.2"/>
    <n v="0"/>
    <n v="0"/>
    <n v="0"/>
    <n v="0"/>
    <n v="0"/>
    <n v="0"/>
    <n v="0"/>
    <n v="0"/>
    <n v="0"/>
    <n v="0"/>
    <n v="0"/>
    <n v="0"/>
    <n v="0"/>
    <n v="0"/>
    <n v="0"/>
    <n v="0"/>
    <n v="0"/>
    <n v="0"/>
    <n v="0"/>
    <n v="0"/>
    <n v="0"/>
    <n v="0"/>
    <n v="0"/>
    <n v="0"/>
    <n v="0"/>
    <n v="0"/>
    <n v="0"/>
    <n v="0"/>
    <n v="0"/>
    <n v="0"/>
    <n v="0"/>
    <n v="0"/>
    <n v="0"/>
    <n v="0"/>
    <n v="0"/>
    <n v="159.855243297035"/>
    <n v="0"/>
    <n v="0"/>
    <n v="0"/>
    <n v="159.855243297035"/>
    <n v="3.498550138186026"/>
    <n v="47.705387130807793"/>
    <n v="0"/>
    <n v="0"/>
    <n v="0"/>
    <n v="0"/>
    <n v="0"/>
    <n v="0"/>
    <n v="51.203937268993819"/>
    <n v="211.05918056602883"/>
    <n v="0"/>
    <n v="0"/>
    <n v="0"/>
    <n v="0"/>
    <n v="0"/>
    <n v="0"/>
    <n v="211.05918056602883"/>
    <n v="0"/>
    <n v="0"/>
    <n v="0"/>
    <n v="0"/>
    <n v="0"/>
    <n v="0"/>
    <n v="0"/>
    <n v="211.05918056602883"/>
    <n v="1.0720000000000001"/>
    <n v="1.04"/>
    <n v="1.0720000000000001"/>
    <n v="1.04"/>
    <n v="1.1120000000000001"/>
    <n v="1.095"/>
    <n v="1.1120000000000001"/>
    <n v="1.1120000000000001"/>
  </r>
  <r>
    <x v="0"/>
    <x v="0"/>
    <x v="2"/>
    <x v="51"/>
    <x v="62"/>
    <s v="Hot Water"/>
    <n v="59"/>
    <n v="12"/>
    <n v="2950"/>
    <n v="20650"/>
    <n v="-17700"/>
    <n v="0"/>
    <n v="0"/>
    <n v="0"/>
    <n v="0"/>
    <n v="0"/>
    <n v="0"/>
    <n v="0"/>
    <n v="0"/>
    <n v="0"/>
    <n v="0"/>
    <n v="0"/>
    <n v="0"/>
    <n v="0"/>
    <n v="0"/>
    <n v="67.259999999999991"/>
    <n v="807.11999999999989"/>
    <n v="67.259999999999991"/>
    <n v="807.11999999999989"/>
    <n v="0"/>
    <n v="0"/>
    <n v="0"/>
    <n v="0"/>
    <n v="0"/>
    <n v="0"/>
    <n v="0"/>
    <n v="0"/>
    <n v="0"/>
    <n v="0"/>
    <n v="0"/>
    <n v="0"/>
    <n v="0"/>
    <n v="0"/>
    <n v="0"/>
    <n v="0"/>
    <n v="0"/>
    <n v="0"/>
    <n v="0"/>
    <n v="0"/>
    <n v="0"/>
    <n v="0"/>
    <n v="0"/>
    <n v="0"/>
    <n v="0"/>
    <n v="0"/>
    <n v="0"/>
    <n v="0"/>
    <n v="0"/>
    <n v="0"/>
    <n v="0"/>
    <n v="0"/>
    <n v="0"/>
    <n v="4572.9701389887341"/>
    <n v="0"/>
    <n v="1496.1831976672152"/>
    <n v="0"/>
    <n v="0"/>
    <n v="0"/>
    <n v="6069.1533366559488"/>
    <n v="110.11424337906087"/>
    <n v="174.56877408211051"/>
    <n v="383.48197475785122"/>
    <n v="0"/>
    <n v="0"/>
    <n v="0"/>
    <n v="0"/>
    <n v="0"/>
    <n v="668.16499221902268"/>
    <n v="6737.3183288749715"/>
    <n v="0"/>
    <n v="0"/>
    <n v="0"/>
    <n v="0"/>
    <n v="0"/>
    <n v="0"/>
    <n v="6737.3183288749715"/>
    <n v="0"/>
    <n v="0"/>
    <n v="0"/>
    <n v="0"/>
    <n v="0"/>
    <n v="0"/>
    <n v="0"/>
    <n v="6737.3183288749715"/>
    <n v="1.0720000000000001"/>
    <n v="1.04"/>
    <n v="1.0720000000000001"/>
    <n v="1.04"/>
    <n v="1.1120000000000001"/>
    <n v="1.095"/>
    <n v="1.1120000000000001"/>
    <n v="1.1120000000000001"/>
  </r>
  <r>
    <x v="0"/>
    <x v="0"/>
    <x v="2"/>
    <x v="52"/>
    <x v="63"/>
    <s v="Hot Water"/>
    <n v="59"/>
    <n v="4"/>
    <n v="0"/>
    <n v="0"/>
    <n v="0"/>
    <n v="0"/>
    <n v="0"/>
    <n v="0"/>
    <n v="0"/>
    <n v="0"/>
    <n v="0"/>
    <n v="0"/>
    <n v="0"/>
    <n v="0"/>
    <n v="0"/>
    <n v="0"/>
    <n v="0"/>
    <n v="0"/>
    <n v="0"/>
    <n v="57.82"/>
    <n v="231.28"/>
    <n v="57.82"/>
    <n v="231.28"/>
    <n v="0"/>
    <n v="0"/>
    <n v="0"/>
    <n v="0"/>
    <n v="0"/>
    <n v="0"/>
    <n v="0"/>
    <n v="0"/>
    <n v="0"/>
    <n v="0"/>
    <n v="0"/>
    <n v="0"/>
    <n v="0"/>
    <n v="0"/>
    <n v="0"/>
    <n v="0"/>
    <n v="0"/>
    <n v="0"/>
    <n v="0"/>
    <n v="0"/>
    <n v="0"/>
    <n v="0"/>
    <n v="0"/>
    <n v="0"/>
    <n v="0"/>
    <n v="0"/>
    <n v="0"/>
    <n v="0"/>
    <n v="0"/>
    <n v="0"/>
    <n v="0"/>
    <n v="0"/>
    <n v="0"/>
    <n v="634.97278525115871"/>
    <n v="0"/>
    <n v="943.14593545250659"/>
    <n v="0"/>
    <n v="0"/>
    <n v="0"/>
    <n v="1578.1187207036653"/>
    <n v="32.108915712685082"/>
    <n v="281.46178407176603"/>
    <n v="144.78151121208768"/>
    <n v="0"/>
    <n v="0"/>
    <n v="0"/>
    <n v="0"/>
    <n v="0"/>
    <n v="458.35221099653882"/>
    <n v="2036.4709317002041"/>
    <n v="0"/>
    <n v="0"/>
    <n v="0"/>
    <n v="0"/>
    <n v="0"/>
    <n v="0"/>
    <n v="2036.4709317002041"/>
    <n v="0"/>
    <n v="0"/>
    <n v="0"/>
    <n v="0"/>
    <n v="0"/>
    <n v="0"/>
    <n v="0"/>
    <n v="2036.4709317002041"/>
    <n v="1.0720000000000001"/>
    <n v="1.04"/>
    <n v="1.0720000000000001"/>
    <n v="1.04"/>
    <n v="1.1120000000000001"/>
    <n v="1.095"/>
    <n v="1.1120000000000001"/>
    <n v="1.1120000000000001"/>
  </r>
  <r>
    <x v="0"/>
    <x v="0"/>
    <x v="2"/>
    <x v="32"/>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0"/>
    <x v="2"/>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0"/>
    <x v="3"/>
    <x v="53"/>
    <x v="64"/>
    <s v="Behavior"/>
    <n v="437964"/>
    <n v="1"/>
    <n v="2314375.5574484128"/>
    <n v="2314375.5574484128"/>
    <n v="0"/>
    <n v="0"/>
    <n v="0"/>
    <n v="0"/>
    <n v="0"/>
    <n v="0"/>
    <n v="0"/>
    <n v="0"/>
    <n v="0"/>
    <n v="0"/>
    <n v="0"/>
    <n v="0"/>
    <n v="0"/>
    <n v="0"/>
    <n v="0"/>
    <n v="444648.54"/>
    <n v="444648.54"/>
    <n v="444648.54"/>
    <n v="444648.54"/>
    <n v="0"/>
    <n v="0"/>
    <n v="0"/>
    <n v="0"/>
    <n v="0"/>
    <n v="0"/>
    <n v="0"/>
    <n v="0"/>
    <n v="0"/>
    <n v="0"/>
    <n v="0"/>
    <n v="0"/>
    <n v="0"/>
    <n v="0"/>
    <n v="0"/>
    <n v="0"/>
    <n v="0"/>
    <n v="0"/>
    <n v="0"/>
    <n v="0"/>
    <n v="0"/>
    <n v="0"/>
    <n v="0"/>
    <n v="0"/>
    <n v="0"/>
    <n v="0"/>
    <n v="0"/>
    <n v="0"/>
    <n v="0"/>
    <n v="0"/>
    <n v="0"/>
    <n v="0"/>
    <n v="0"/>
    <n v="0"/>
    <n v="3557707.0127550694"/>
    <n v="0"/>
    <n v="0"/>
    <n v="0"/>
    <n v="0"/>
    <n v="3557707.0127550694"/>
    <n v="62138.284078961668"/>
    <n v="0"/>
    <n v="0"/>
    <n v="1521418.5235940148"/>
    <n v="0"/>
    <n v="0"/>
    <n v="0"/>
    <n v="0"/>
    <n v="1583556.8076729765"/>
    <n v="5141263.8204280455"/>
    <n v="0"/>
    <n v="0"/>
    <n v="0"/>
    <n v="0"/>
    <n v="0"/>
    <n v="0"/>
    <n v="5141263.8204280455"/>
    <n v="0"/>
    <n v="0"/>
    <n v="0"/>
    <n v="0"/>
    <n v="0"/>
    <n v="0"/>
    <n v="0"/>
    <n v="5141263.8204280455"/>
    <n v="1.0720000000000001"/>
    <n v="1.04"/>
    <n v="1.0720000000000001"/>
    <n v="1.04"/>
    <n v="1.1120000000000001"/>
    <n v="1.095"/>
    <n v="1.1120000000000001"/>
    <n v="1.1120000000000001"/>
  </r>
  <r>
    <x v="0"/>
    <x v="0"/>
    <x v="3"/>
    <x v="33"/>
    <x v="33"/>
    <s v="Behavior"/>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0"/>
    <x v="3"/>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1"/>
    <x v="4"/>
    <x v="54"/>
    <x v="65"/>
    <s v="HVAC"/>
    <n v="163"/>
    <n v="20"/>
    <n v="383542.58174138278"/>
    <n v="163000"/>
    <n v="220542.58174138278"/>
    <n v="0"/>
    <n v="0"/>
    <n v="0"/>
    <n v="0"/>
    <n v="0"/>
    <n v="0"/>
    <n v="0"/>
    <n v="0"/>
    <n v="0"/>
    <n v="0"/>
    <n v="0"/>
    <n v="0"/>
    <n v="0"/>
    <n v="0"/>
    <n v="1858.2000000000003"/>
    <n v="37164.000000000007"/>
    <n v="1412.232"/>
    <n v="28244.639999999999"/>
    <n v="0"/>
    <n v="0"/>
    <n v="0"/>
    <n v="0"/>
    <n v="0"/>
    <n v="0"/>
    <n v="0"/>
    <n v="0"/>
    <n v="0"/>
    <n v="0"/>
    <n v="0"/>
    <n v="0"/>
    <n v="0"/>
    <n v="0"/>
    <n v="0"/>
    <n v="0"/>
    <n v="0"/>
    <n v="0"/>
    <n v="0"/>
    <n v="0"/>
    <n v="0"/>
    <n v="0"/>
    <n v="0"/>
    <n v="0"/>
    <n v="0"/>
    <n v="0"/>
    <n v="0"/>
    <n v="0"/>
    <n v="0"/>
    <n v="0"/>
    <n v="0"/>
    <n v="0"/>
    <n v="0"/>
    <n v="0"/>
    <n v="244765.68842860567"/>
    <n v="0"/>
    <n v="0"/>
    <n v="0"/>
    <n v="0"/>
    <n v="244765.68842860567"/>
    <n v="3787.0749590871196"/>
    <n v="0"/>
    <n v="0"/>
    <n v="11495.65140965339"/>
    <n v="0"/>
    <n v="0"/>
    <n v="0"/>
    <n v="0"/>
    <n v="15282.72636874051"/>
    <n v="260048.41479734619"/>
    <n v="0"/>
    <n v="0"/>
    <n v="0"/>
    <n v="0"/>
    <n v="0"/>
    <n v="0"/>
    <n v="260048.41479734619"/>
    <n v="76922.122909750309"/>
    <n v="0"/>
    <n v="0"/>
    <n v="0"/>
    <n v="0"/>
    <n v="0"/>
    <n v="76922.122909750309"/>
    <n v="336970.53770709649"/>
    <n v="1.0720000000000001"/>
    <n v="1.04"/>
    <n v="1.0720000000000001"/>
    <n v="1.04"/>
    <n v="1.1120000000000001"/>
    <n v="1.095"/>
    <n v="1.1120000000000001"/>
    <n v="1.1120000000000001"/>
  </r>
  <r>
    <x v="0"/>
    <x v="1"/>
    <x v="4"/>
    <x v="55"/>
    <x v="66"/>
    <s v="HVAC"/>
    <n v="1334"/>
    <n v="20"/>
    <n v="3990911.6539775385"/>
    <n v="1988746.4788732394"/>
    <n v="2002165.1751042991"/>
    <n v="0"/>
    <n v="0"/>
    <n v="0"/>
    <n v="0"/>
    <n v="0"/>
    <n v="0"/>
    <n v="0"/>
    <n v="0"/>
    <n v="0"/>
    <n v="0"/>
    <n v="0"/>
    <n v="0"/>
    <n v="0"/>
    <n v="0"/>
    <n v="18809.400000000005"/>
    <n v="376188.00000000012"/>
    <n v="14483.238000000003"/>
    <n v="289664.76000000007"/>
    <n v="0"/>
    <n v="0"/>
    <n v="0"/>
    <n v="0"/>
    <n v="0"/>
    <n v="0"/>
    <n v="0"/>
    <n v="0"/>
    <n v="0"/>
    <n v="0"/>
    <n v="0"/>
    <n v="0"/>
    <n v="0"/>
    <n v="0"/>
    <n v="0"/>
    <n v="0"/>
    <n v="0"/>
    <n v="0"/>
    <n v="0"/>
    <n v="0"/>
    <n v="0"/>
    <n v="0"/>
    <n v="0"/>
    <n v="0"/>
    <n v="0"/>
    <n v="0"/>
    <n v="0"/>
    <n v="0"/>
    <n v="0"/>
    <n v="0"/>
    <n v="0"/>
    <n v="0"/>
    <n v="0"/>
    <n v="0"/>
    <n v="2510210.5884481743"/>
    <n v="0"/>
    <n v="0"/>
    <n v="0"/>
    <n v="0"/>
    <n v="2510210.5884481743"/>
    <n v="38838.595893804297"/>
    <n v="0"/>
    <n v="0"/>
    <n v="117894.40781050532"/>
    <n v="0"/>
    <n v="0"/>
    <n v="0"/>
    <n v="0"/>
    <n v="156733.00370430961"/>
    <n v="2666943.5921524838"/>
    <n v="0"/>
    <n v="0"/>
    <n v="0"/>
    <n v="0"/>
    <n v="0"/>
    <n v="0"/>
    <n v="2666943.5921524838"/>
    <n v="637816.30780450779"/>
    <n v="0"/>
    <n v="0"/>
    <n v="0"/>
    <n v="0"/>
    <n v="0"/>
    <n v="637816.30780450779"/>
    <n v="3304759.8999569914"/>
    <n v="1.0720000000000001"/>
    <n v="1.04"/>
    <n v="1.0720000000000001"/>
    <n v="1.04"/>
    <n v="1.1120000000000001"/>
    <n v="1.095"/>
    <n v="1.1120000000000001"/>
    <n v="1.1120000000000001"/>
  </r>
  <r>
    <x v="0"/>
    <x v="1"/>
    <x v="4"/>
    <x v="56"/>
    <x v="67"/>
    <s v="HVAC"/>
    <n v="939"/>
    <n v="17"/>
    <n v="700536.75990273443"/>
    <n v="196988.7232059646"/>
    <n v="503548.03669676982"/>
    <n v="0"/>
    <n v="0"/>
    <n v="0"/>
    <n v="0"/>
    <n v="0"/>
    <n v="0"/>
    <n v="0"/>
    <n v="0"/>
    <n v="0"/>
    <n v="0"/>
    <n v="0"/>
    <n v="0"/>
    <n v="0"/>
    <n v="0"/>
    <n v="7605.9"/>
    <n v="129300.29999999999"/>
    <n v="6160.7790000000005"/>
    <n v="104733.243"/>
    <n v="0"/>
    <n v="0"/>
    <n v="0"/>
    <n v="0"/>
    <n v="0"/>
    <n v="0"/>
    <n v="0"/>
    <n v="0"/>
    <n v="0"/>
    <n v="0"/>
    <n v="0"/>
    <n v="0"/>
    <n v="0"/>
    <n v="0"/>
    <n v="0"/>
    <n v="0"/>
    <n v="0"/>
    <n v="0"/>
    <n v="0"/>
    <n v="0"/>
    <n v="0"/>
    <n v="0"/>
    <n v="0"/>
    <n v="0"/>
    <n v="0"/>
    <n v="0"/>
    <n v="0"/>
    <n v="0"/>
    <n v="0"/>
    <n v="0"/>
    <n v="0"/>
    <n v="0"/>
    <n v="0"/>
    <n v="0"/>
    <n v="892993.45542209526"/>
    <n v="0"/>
    <n v="0"/>
    <n v="0"/>
    <n v="0"/>
    <n v="892993.45542209526"/>
    <n v="14134.282040053355"/>
    <n v="0"/>
    <n v="0"/>
    <n v="48684.869335822565"/>
    <n v="0"/>
    <n v="0"/>
    <n v="0"/>
    <n v="0"/>
    <n v="62819.151375875917"/>
    <n v="955812.60679797118"/>
    <n v="0"/>
    <n v="0"/>
    <n v="0"/>
    <n v="0"/>
    <n v="0"/>
    <n v="0"/>
    <n v="955812.60679797118"/>
    <n v="401188.86283989454"/>
    <n v="0"/>
    <n v="0"/>
    <n v="0"/>
    <n v="0"/>
    <n v="0"/>
    <n v="401188.86283989454"/>
    <n v="1357001.4696378657"/>
    <n v="1.0720000000000001"/>
    <n v="1.04"/>
    <n v="1.0720000000000001"/>
    <n v="1.04"/>
    <n v="1.1120000000000001"/>
    <n v="1.095"/>
    <n v="1.1120000000000001"/>
    <n v="1.1120000000000001"/>
  </r>
  <r>
    <x v="0"/>
    <x v="1"/>
    <x v="4"/>
    <x v="57"/>
    <x v="6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1"/>
    <x v="4"/>
    <x v="58"/>
    <x v="69"/>
    <s v="HVAC"/>
    <n v="917"/>
    <n v="17"/>
    <n v="804572.82681327744"/>
    <n v="473825.20547945204"/>
    <n v="330747.6213338254"/>
    <n v="0"/>
    <n v="0"/>
    <n v="0"/>
    <n v="0"/>
    <n v="0"/>
    <n v="0"/>
    <n v="0"/>
    <n v="0"/>
    <n v="0"/>
    <n v="0"/>
    <n v="0"/>
    <n v="0"/>
    <n v="0"/>
    <n v="0"/>
    <n v="8436.4"/>
    <n v="143418.79999999999"/>
    <n v="6833.4840000000004"/>
    <n v="116169.228"/>
    <n v="0"/>
    <n v="0"/>
    <n v="0"/>
    <n v="0"/>
    <n v="0"/>
    <n v="0"/>
    <n v="0"/>
    <n v="0"/>
    <n v="0"/>
    <n v="0"/>
    <n v="0"/>
    <n v="0"/>
    <n v="0"/>
    <n v="0"/>
    <n v="0"/>
    <n v="0"/>
    <n v="0"/>
    <n v="0"/>
    <n v="0"/>
    <n v="0"/>
    <n v="0"/>
    <n v="0"/>
    <n v="0"/>
    <n v="0"/>
    <n v="0"/>
    <n v="0"/>
    <n v="0"/>
    <n v="0"/>
    <n v="0"/>
    <n v="0"/>
    <n v="0"/>
    <n v="0"/>
    <n v="0"/>
    <n v="0"/>
    <n v="990500.79376838566"/>
    <n v="0"/>
    <n v="0"/>
    <n v="0"/>
    <n v="0"/>
    <n v="990500.79376838566"/>
    <n v="15677.626185291172"/>
    <n v="0"/>
    <n v="0"/>
    <n v="54000.845615211023"/>
    <n v="0"/>
    <n v="0"/>
    <n v="0"/>
    <n v="0"/>
    <n v="69678.4718005022"/>
    <n v="1060179.2655688878"/>
    <n v="0"/>
    <n v="0"/>
    <n v="0"/>
    <n v="0"/>
    <n v="0"/>
    <n v="0"/>
    <n v="1060179.2655688878"/>
    <n v="391789.33676696842"/>
    <n v="0"/>
    <n v="0"/>
    <n v="0"/>
    <n v="0"/>
    <n v="0"/>
    <n v="391789.33676696842"/>
    <n v="1451968.6023358563"/>
    <n v="1.0720000000000001"/>
    <n v="1.04"/>
    <n v="1.0720000000000001"/>
    <n v="1.04"/>
    <n v="1.1120000000000001"/>
    <n v="1.095"/>
    <n v="1.1120000000000001"/>
    <n v="1.1120000000000001"/>
  </r>
  <r>
    <x v="0"/>
    <x v="1"/>
    <x v="4"/>
    <x v="59"/>
    <x v="70"/>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0"/>
    <x v="1"/>
    <x v="4"/>
    <x v="60"/>
    <x v="71"/>
    <s v="HVAC"/>
    <n v="54"/>
    <n v="19"/>
    <n v="69069.982823429804"/>
    <n v="60912"/>
    <n v="8157.9828234298038"/>
    <n v="0"/>
    <n v="0"/>
    <n v="0"/>
    <n v="0"/>
    <n v="0"/>
    <n v="0"/>
    <n v="0"/>
    <n v="0"/>
    <n v="0"/>
    <n v="0"/>
    <n v="0"/>
    <n v="0"/>
    <n v="0"/>
    <n v="0"/>
    <n v="556.20000000000005"/>
    <n v="10567.800000000001"/>
    <n v="411.58799999999997"/>
    <n v="7820.1719999999996"/>
    <n v="0"/>
    <n v="0"/>
    <n v="0"/>
    <n v="0"/>
    <n v="0"/>
    <n v="0"/>
    <n v="0"/>
    <n v="0"/>
    <n v="0"/>
    <n v="0"/>
    <n v="0"/>
    <n v="0"/>
    <n v="0"/>
    <n v="0"/>
    <n v="0"/>
    <n v="0"/>
    <n v="0"/>
    <n v="0"/>
    <n v="0"/>
    <n v="0"/>
    <n v="0"/>
    <n v="0"/>
    <n v="0"/>
    <n v="0"/>
    <n v="0"/>
    <n v="0"/>
    <n v="0"/>
    <n v="0"/>
    <n v="0"/>
    <n v="0"/>
    <n v="0"/>
    <n v="0"/>
    <n v="0"/>
    <n v="0"/>
    <n v="0"/>
    <n v="54467.315332470869"/>
    <n v="0"/>
    <n v="0"/>
    <n v="0"/>
    <n v="54467.315332470869"/>
    <n v="1050.8093139701814"/>
    <n v="4383.989995248975"/>
    <n v="0"/>
    <n v="0"/>
    <n v="0"/>
    <n v="0"/>
    <n v="0"/>
    <n v="0"/>
    <n v="5434.7993092191564"/>
    <n v="59902.114641690023"/>
    <n v="0"/>
    <n v="0"/>
    <n v="0"/>
    <n v="0"/>
    <n v="0"/>
    <n v="0"/>
    <n v="59902.114641690023"/>
    <n v="978.06388567101146"/>
    <n v="0"/>
    <n v="0"/>
    <n v="0"/>
    <n v="0"/>
    <n v="0"/>
    <n v="978.06388567101146"/>
    <n v="60880.178527361037"/>
    <n v="1.0720000000000001"/>
    <n v="1.04"/>
    <n v="1.0720000000000001"/>
    <n v="1.04"/>
    <n v="1.1120000000000001"/>
    <n v="1.095"/>
    <n v="1.1120000000000001"/>
    <n v="1.1120000000000001"/>
  </r>
  <r>
    <x v="0"/>
    <x v="1"/>
    <x v="4"/>
    <x v="61"/>
    <x v="72"/>
    <s v="HVAC"/>
    <n v="1659"/>
    <n v="19"/>
    <n v="4131410.6698705871"/>
    <n v="2639637.7118644067"/>
    <n v="1491772.9580061804"/>
    <n v="0"/>
    <n v="0"/>
    <n v="0"/>
    <n v="0"/>
    <n v="0"/>
    <n v="0"/>
    <n v="0"/>
    <n v="0"/>
    <n v="0"/>
    <n v="0"/>
    <n v="0"/>
    <n v="0"/>
    <n v="0"/>
    <n v="0"/>
    <n v="21235.200000000004"/>
    <n v="403468.8000000001"/>
    <n v="15714.048000000001"/>
    <n v="298566.91200000001"/>
    <n v="0"/>
    <n v="0"/>
    <n v="0"/>
    <n v="0"/>
    <n v="0"/>
    <n v="0"/>
    <n v="0"/>
    <n v="0"/>
    <n v="0"/>
    <n v="0"/>
    <n v="0"/>
    <n v="0"/>
    <n v="0"/>
    <n v="0"/>
    <n v="0"/>
    <n v="0"/>
    <n v="0"/>
    <n v="0"/>
    <n v="0"/>
    <n v="0"/>
    <n v="0"/>
    <n v="0"/>
    <n v="0"/>
    <n v="0"/>
    <n v="0"/>
    <n v="0"/>
    <n v="0"/>
    <n v="0"/>
    <n v="0"/>
    <n v="0"/>
    <n v="0"/>
    <n v="0"/>
    <n v="0"/>
    <n v="0"/>
    <n v="0"/>
    <n v="2079511.5687667846"/>
    <n v="0"/>
    <n v="0"/>
    <n v="0"/>
    <n v="2079511.5687667846"/>
    <n v="40118.924746529301"/>
    <n v="167376.67088657146"/>
    <n v="0"/>
    <n v="0"/>
    <n v="0"/>
    <n v="0"/>
    <n v="0"/>
    <n v="0"/>
    <n v="207495.59563310078"/>
    <n v="2287007.1643998856"/>
    <n v="0"/>
    <n v="0"/>
    <n v="0"/>
    <n v="0"/>
    <n v="0"/>
    <n v="0"/>
    <n v="2287007.1643998856"/>
    <n v="30048.296043114962"/>
    <n v="0"/>
    <n v="0"/>
    <n v="0"/>
    <n v="0"/>
    <n v="0"/>
    <n v="30048.296043114962"/>
    <n v="2317055.4604430003"/>
    <n v="1.0720000000000001"/>
    <n v="1.04"/>
    <n v="1.0720000000000001"/>
    <n v="1.04"/>
    <n v="1.1120000000000001"/>
    <n v="1.095"/>
    <n v="1.1120000000000001"/>
    <n v="1.1120000000000001"/>
  </r>
  <r>
    <x v="0"/>
    <x v="1"/>
    <x v="4"/>
    <x v="15"/>
    <x v="73"/>
    <s v="HVAC"/>
    <n v="106"/>
    <n v="15"/>
    <n v="31800"/>
    <n v="23850"/>
    <n v="7950"/>
    <n v="0"/>
    <n v="0"/>
    <n v="0"/>
    <n v="0"/>
    <n v="0"/>
    <n v="0"/>
    <n v="0"/>
    <n v="0"/>
    <n v="0"/>
    <n v="0"/>
    <n v="0"/>
    <n v="0"/>
    <n v="0"/>
    <n v="0"/>
    <n v="477"/>
    <n v="7155"/>
    <n v="477"/>
    <n v="7155"/>
    <n v="0"/>
    <n v="0"/>
    <n v="0"/>
    <n v="0"/>
    <n v="0"/>
    <n v="0"/>
    <n v="0"/>
    <n v="0"/>
    <n v="0"/>
    <n v="0"/>
    <n v="0"/>
    <n v="0"/>
    <n v="0"/>
    <n v="0"/>
    <n v="0"/>
    <n v="0"/>
    <n v="0"/>
    <n v="0"/>
    <n v="0"/>
    <n v="0"/>
    <n v="0"/>
    <n v="0"/>
    <n v="0"/>
    <n v="0"/>
    <n v="0"/>
    <n v="0"/>
    <n v="0"/>
    <n v="0"/>
    <n v="0"/>
    <n v="0"/>
    <n v="0"/>
    <n v="0"/>
    <n v="0"/>
    <n v="0"/>
    <n v="60336.12759645388"/>
    <n v="0"/>
    <n v="0"/>
    <n v="0"/>
    <n v="0"/>
    <n v="60336.12759645388"/>
    <n v="969.80232906410185"/>
    <n v="0"/>
    <n v="0"/>
    <n v="3693.0264025435245"/>
    <n v="0"/>
    <n v="0"/>
    <n v="0"/>
    <n v="0"/>
    <n v="4662.8287316076267"/>
    <n v="64998.956328061504"/>
    <n v="0"/>
    <n v="0"/>
    <n v="0"/>
    <n v="0"/>
    <n v="0"/>
    <n v="0"/>
    <n v="64998.956328061504"/>
    <n v="0"/>
    <n v="0"/>
    <n v="0"/>
    <n v="0"/>
    <n v="0"/>
    <n v="0"/>
    <n v="0"/>
    <n v="64998.956328061504"/>
    <n v="1.0720000000000001"/>
    <n v="1.04"/>
    <n v="1.0720000000000001"/>
    <n v="1.04"/>
    <n v="1.1120000000000001"/>
    <n v="1.095"/>
    <n v="1.1120000000000001"/>
    <n v="1.1120000000000001"/>
  </r>
  <r>
    <x v="0"/>
    <x v="1"/>
    <x v="4"/>
    <x v="62"/>
    <x v="74"/>
    <s v="HVAC"/>
    <n v="26"/>
    <n v="20"/>
    <n v="24960"/>
    <n v="13000"/>
    <n v="11960"/>
    <n v="-3.4580000000000002"/>
    <n v="-3.4580000000000002"/>
    <n v="-69.16"/>
    <n v="-3.4580000000000002"/>
    <n v="-69.16"/>
    <n v="-26.142479999999999"/>
    <n v="-42.5334"/>
    <n v="-0.13832"/>
    <n v="-0.3458"/>
    <n v="-1.845928484695089"/>
    <n v="-1.845928484695089"/>
    <n v="-1.845928484695089"/>
    <n v="0"/>
    <n v="0"/>
    <n v="200.20000000000002"/>
    <n v="4004.0000000000005"/>
    <n v="200.20000000000002"/>
    <n v="4004.0000000000005"/>
    <n v="0"/>
    <n v="0"/>
    <n v="0"/>
    <n v="0"/>
    <n v="0"/>
    <n v="0"/>
    <n v="0"/>
    <n v="0"/>
    <n v="0"/>
    <n v="0"/>
    <n v="0"/>
    <n v="0"/>
    <n v="-2389.3568353194428"/>
    <n v="-3470.6052087004964"/>
    <n v="-12.946510625282224"/>
    <n v="-24.567109814348736"/>
    <n v="-5897.47566445957"/>
    <n v="-42.644477959519712"/>
    <n v="-33.379839960083274"/>
    <n v="-0.26642831514125787"/>
    <n v="-0.21853393332834223"/>
    <n v="-1.2795001546153499"/>
    <n v="-248.66027351097571"/>
    <n v="-326.44905383366364"/>
    <n v="-6223.924718293234"/>
    <n v="0"/>
    <n v="0"/>
    <n v="0"/>
    <n v="0"/>
    <n v="0"/>
    <n v="0"/>
    <n v="-6223.924718293234"/>
    <n v="0"/>
    <n v="0"/>
    <n v="34698.32918628586"/>
    <n v="0"/>
    <n v="0"/>
    <n v="0"/>
    <n v="0"/>
    <n v="34698.32918628586"/>
    <n v="536.86108713670376"/>
    <n v="0"/>
    <n v="0"/>
    <n v="1629.6397562246209"/>
    <n v="0"/>
    <n v="0"/>
    <n v="0"/>
    <n v="0"/>
    <n v="2166.5008433613248"/>
    <n v="36864.830029647186"/>
    <n v="0"/>
    <n v="0"/>
    <n v="0"/>
    <n v="0"/>
    <n v="0"/>
    <n v="0"/>
    <n v="36864.830029647186"/>
    <n v="0"/>
    <n v="0"/>
    <n v="0"/>
    <n v="0"/>
    <n v="0"/>
    <n v="0"/>
    <n v="0"/>
    <n v="30640.905311353952"/>
    <n v="1.0720000000000001"/>
    <n v="1.04"/>
    <n v="1.0720000000000001"/>
    <n v="1.04"/>
    <n v="1.1120000000000001"/>
    <n v="1.095"/>
    <n v="1.1120000000000001"/>
    <n v="1.1120000000000001"/>
  </r>
  <r>
    <x v="0"/>
    <x v="1"/>
    <x v="4"/>
    <x v="63"/>
    <x v="75"/>
    <s v="Hot Water"/>
    <n v="25"/>
    <n v="15"/>
    <n v="58500"/>
    <n v="12500"/>
    <n v="46000"/>
    <n v="0"/>
    <n v="0"/>
    <n v="0"/>
    <n v="0"/>
    <n v="0"/>
    <n v="0"/>
    <n v="0"/>
    <n v="0"/>
    <n v="0"/>
    <n v="0"/>
    <n v="0"/>
    <n v="0"/>
    <n v="0"/>
    <n v="0"/>
    <n v="212.5"/>
    <n v="3187.5"/>
    <n v="212.5"/>
    <n v="3187.5"/>
    <n v="0"/>
    <n v="0"/>
    <n v="0"/>
    <n v="0"/>
    <n v="0"/>
    <n v="0"/>
    <n v="0"/>
    <n v="0"/>
    <n v="0"/>
    <n v="0"/>
    <n v="0"/>
    <n v="0"/>
    <n v="0"/>
    <n v="0"/>
    <n v="0"/>
    <n v="0"/>
    <n v="0"/>
    <n v="0"/>
    <n v="0"/>
    <n v="0"/>
    <n v="0"/>
    <n v="0"/>
    <n v="0"/>
    <n v="0"/>
    <n v="0"/>
    <n v="0"/>
    <n v="0"/>
    <n v="0"/>
    <n v="0"/>
    <n v="0"/>
    <n v="0"/>
    <n v="0"/>
    <n v="0"/>
    <n v="25541.837904021781"/>
    <n v="0"/>
    <n v="0"/>
    <n v="0"/>
    <n v="0"/>
    <n v="0"/>
    <n v="25541.837904021781"/>
    <n v="432.03982164805376"/>
    <n v="0"/>
    <n v="1754.9789834281985"/>
    <n v="0"/>
    <n v="0"/>
    <n v="0"/>
    <n v="0"/>
    <n v="0"/>
    <n v="2187.0188050762522"/>
    <n v="27728.856709098032"/>
    <n v="0"/>
    <n v="0"/>
    <n v="0"/>
    <n v="0"/>
    <n v="0"/>
    <n v="0"/>
    <n v="27728.856709098032"/>
    <n v="255.09541811581801"/>
    <n v="0"/>
    <n v="0"/>
    <n v="0"/>
    <n v="0"/>
    <n v="0"/>
    <n v="255.09541811581801"/>
    <n v="27983.952127213852"/>
    <n v="1.0720000000000001"/>
    <n v="1.04"/>
    <n v="1.0720000000000001"/>
    <n v="1.04"/>
    <n v="1.1120000000000001"/>
    <n v="1.095"/>
    <n v="1.1120000000000001"/>
    <n v="1.1120000000000001"/>
  </r>
  <r>
    <x v="0"/>
    <x v="1"/>
    <x v="4"/>
    <x v="64"/>
    <x v="76"/>
    <s v="Hot Water"/>
    <n v="285"/>
    <n v="11"/>
    <n v="160170"/>
    <n v="28500"/>
    <n v="131670"/>
    <n v="0"/>
    <n v="0"/>
    <n v="0"/>
    <n v="0"/>
    <n v="0"/>
    <n v="0"/>
    <n v="0"/>
    <n v="0"/>
    <n v="0"/>
    <n v="0"/>
    <n v="0"/>
    <n v="0"/>
    <n v="0"/>
    <n v="0"/>
    <n v="1026"/>
    <n v="11286"/>
    <n v="1026"/>
    <n v="11286"/>
    <n v="0"/>
    <n v="0"/>
    <n v="0"/>
    <n v="0"/>
    <n v="0"/>
    <n v="0"/>
    <n v="0"/>
    <n v="0"/>
    <n v="0"/>
    <n v="0"/>
    <n v="0"/>
    <n v="0"/>
    <n v="0"/>
    <n v="0"/>
    <n v="0"/>
    <n v="0"/>
    <n v="0"/>
    <n v="0"/>
    <n v="0"/>
    <n v="0"/>
    <n v="0"/>
    <n v="0"/>
    <n v="0"/>
    <n v="0"/>
    <n v="0"/>
    <n v="0"/>
    <n v="0"/>
    <n v="0"/>
    <n v="0"/>
    <n v="0"/>
    <n v="0"/>
    <n v="0"/>
    <n v="0"/>
    <n v="88543.112951152754"/>
    <n v="0"/>
    <n v="0"/>
    <n v="0"/>
    <n v="0"/>
    <n v="0"/>
    <n v="88543.112951152754"/>
    <n v="1543.0882559436698"/>
    <n v="0"/>
    <n v="8017.5871159018734"/>
    <n v="0"/>
    <n v="0"/>
    <n v="0"/>
    <n v="0"/>
    <n v="0"/>
    <n v="9560.6753718455439"/>
    <n v="98103.788322998298"/>
    <n v="0"/>
    <n v="0"/>
    <n v="0"/>
    <n v="0"/>
    <n v="0"/>
    <n v="0"/>
    <n v="98103.788322998298"/>
    <n v="3970.3486368446288"/>
    <n v="0"/>
    <n v="0"/>
    <n v="0"/>
    <n v="0"/>
    <n v="0"/>
    <n v="3970.3486368446288"/>
    <n v="102074.13695984293"/>
    <n v="1.0720000000000001"/>
    <n v="1.04"/>
    <n v="1.0720000000000001"/>
    <n v="1.04"/>
    <n v="1.1120000000000001"/>
    <n v="1.095"/>
    <n v="1.1120000000000001"/>
    <n v="1.1120000000000001"/>
  </r>
  <r>
    <x v="0"/>
    <x v="1"/>
    <x v="4"/>
    <x v="65"/>
    <x v="77"/>
    <s v="Hot Water"/>
    <n v="140"/>
    <n v="19"/>
    <n v="227449.17904102185"/>
    <n v="70000"/>
    <n v="157449.17904102185"/>
    <n v="0"/>
    <n v="0"/>
    <n v="0"/>
    <n v="0"/>
    <n v="0"/>
    <n v="0"/>
    <n v="0"/>
    <n v="0"/>
    <n v="0"/>
    <n v="0"/>
    <n v="0"/>
    <n v="0"/>
    <n v="0"/>
    <n v="0"/>
    <n v="1316"/>
    <n v="25004"/>
    <n v="1158.08"/>
    <n v="22003.519999999997"/>
    <n v="0"/>
    <n v="0"/>
    <n v="0"/>
    <n v="0"/>
    <n v="0"/>
    <n v="0"/>
    <n v="0"/>
    <n v="0"/>
    <n v="0"/>
    <n v="0"/>
    <n v="0"/>
    <n v="0"/>
    <n v="0"/>
    <n v="0"/>
    <n v="0"/>
    <n v="0"/>
    <n v="0"/>
    <n v="0"/>
    <n v="0"/>
    <n v="0"/>
    <n v="0"/>
    <n v="0"/>
    <n v="0"/>
    <n v="0"/>
    <n v="0"/>
    <n v="0"/>
    <n v="0"/>
    <n v="0"/>
    <n v="0"/>
    <n v="0"/>
    <n v="0"/>
    <n v="0"/>
    <n v="0"/>
    <n v="180554.65172371824"/>
    <n v="0"/>
    <n v="0"/>
    <n v="0"/>
    <n v="0"/>
    <n v="0"/>
    <n v="180554.65172371824"/>
    <n v="2956.6490041560678"/>
    <n v="0"/>
    <n v="10069.217155607988"/>
    <n v="0"/>
    <n v="0"/>
    <n v="0"/>
    <n v="0"/>
    <n v="0"/>
    <n v="13025.866159764057"/>
    <n v="193580.5178834823"/>
    <n v="0"/>
    <n v="0"/>
    <n v="0"/>
    <n v="0"/>
    <n v="0"/>
    <n v="0"/>
    <n v="193580.5178834823"/>
    <n v="2751.6282573463955"/>
    <n v="0"/>
    <n v="0"/>
    <n v="0"/>
    <n v="0"/>
    <n v="0"/>
    <n v="2751.6282573463955"/>
    <n v="196332.1461408287"/>
    <n v="1.0720000000000001"/>
    <n v="1.04"/>
    <n v="1.0720000000000001"/>
    <n v="1.04"/>
    <n v="1.1120000000000001"/>
    <n v="1.095"/>
    <n v="1.1120000000000001"/>
    <n v="1.1120000000000001"/>
  </r>
  <r>
    <x v="0"/>
    <x v="1"/>
    <x v="4"/>
    <x v="66"/>
    <x v="78"/>
    <s v="Hot Water"/>
    <n v="2235"/>
    <n v="19"/>
    <n v="5287810.5145333475"/>
    <n v="1732038.3303342962"/>
    <n v="3555772.184199051"/>
    <n v="0"/>
    <n v="0"/>
    <n v="0"/>
    <n v="0"/>
    <n v="0"/>
    <n v="0"/>
    <n v="0"/>
    <n v="0"/>
    <n v="0"/>
    <n v="0"/>
    <n v="0"/>
    <n v="0"/>
    <n v="0"/>
    <n v="0"/>
    <n v="22126.5"/>
    <n v="420403.5"/>
    <n v="21462.704999999998"/>
    <n v="407791.39499999996"/>
    <n v="0"/>
    <n v="0"/>
    <n v="0"/>
    <n v="0"/>
    <n v="0"/>
    <n v="0"/>
    <n v="0"/>
    <n v="0"/>
    <n v="0"/>
    <n v="0"/>
    <n v="0"/>
    <n v="0"/>
    <n v="0"/>
    <n v="0"/>
    <n v="0"/>
    <n v="0"/>
    <n v="0"/>
    <n v="0"/>
    <n v="0"/>
    <n v="0"/>
    <n v="0"/>
    <n v="0"/>
    <n v="0"/>
    <n v="0"/>
    <n v="0"/>
    <n v="0"/>
    <n v="0"/>
    <n v="0"/>
    <n v="0"/>
    <n v="0"/>
    <n v="0"/>
    <n v="0"/>
    <n v="0"/>
    <n v="3346220.6637917124"/>
    <n v="0"/>
    <n v="0"/>
    <n v="0"/>
    <n v="0"/>
    <n v="0"/>
    <n v="3346220.6637917124"/>
    <n v="54795.59733761524"/>
    <n v="0"/>
    <n v="186612.87423300062"/>
    <n v="0"/>
    <n v="0"/>
    <n v="0"/>
    <n v="0"/>
    <n v="0"/>
    <n v="241408.47157061586"/>
    <n v="3587629.135362328"/>
    <n v="0"/>
    <n v="0"/>
    <n v="0"/>
    <n v="0"/>
    <n v="0"/>
    <n v="0"/>
    <n v="3587629.135362328"/>
    <n v="48420.39351066653"/>
    <n v="0"/>
    <n v="0"/>
    <n v="0"/>
    <n v="0"/>
    <n v="0"/>
    <n v="48420.39351066653"/>
    <n v="3636049.5288729947"/>
    <n v="1.0720000000000001"/>
    <n v="1.04"/>
    <n v="1.0720000000000001"/>
    <n v="1.04"/>
    <n v="1.1120000000000001"/>
    <n v="1.095"/>
    <n v="1.1120000000000001"/>
    <n v="1.1120000000000001"/>
  </r>
  <r>
    <x v="0"/>
    <x v="1"/>
    <x v="4"/>
    <x v="67"/>
    <x v="79"/>
    <s v="Hot Water"/>
    <n v="1449"/>
    <n v="20"/>
    <n v="861662.34"/>
    <n v="579600"/>
    <n v="282062.33999999997"/>
    <n v="0"/>
    <n v="0"/>
    <n v="0"/>
    <n v="0"/>
    <n v="0"/>
    <n v="0"/>
    <n v="0"/>
    <n v="0"/>
    <n v="0"/>
    <n v="0"/>
    <n v="0"/>
    <n v="0"/>
    <n v="0"/>
    <n v="0"/>
    <n v="11592.000000000002"/>
    <n v="231840.00000000003"/>
    <n v="3941.28"/>
    <n v="78825.600000000006"/>
    <n v="0"/>
    <n v="0"/>
    <n v="0"/>
    <n v="0"/>
    <n v="0"/>
    <n v="0"/>
    <n v="0"/>
    <n v="0"/>
    <n v="0"/>
    <n v="0"/>
    <n v="0"/>
    <n v="0"/>
    <n v="0"/>
    <n v="0"/>
    <n v="0"/>
    <n v="0"/>
    <n v="0"/>
    <n v="0"/>
    <n v="0"/>
    <n v="0"/>
    <n v="0"/>
    <n v="0"/>
    <n v="0"/>
    <n v="0"/>
    <n v="0"/>
    <n v="0"/>
    <n v="0"/>
    <n v="0"/>
    <n v="0"/>
    <n v="0"/>
    <n v="0"/>
    <n v="0"/>
    <n v="0"/>
    <n v="650600.63573204412"/>
    <n v="0"/>
    <n v="0"/>
    <n v="0"/>
    <n v="0"/>
    <n v="0"/>
    <n v="650600.63573204412"/>
    <n v="10569.030297253485"/>
    <n v="0"/>
    <n v="34693.37852701774"/>
    <n v="0"/>
    <n v="0"/>
    <n v="0"/>
    <n v="0"/>
    <n v="0"/>
    <n v="45262.408824271224"/>
    <n v="695863.04455631529"/>
    <n v="0"/>
    <n v="0"/>
    <n v="0"/>
    <n v="0"/>
    <n v="0"/>
    <n v="0"/>
    <n v="695863.04455631529"/>
    <n v="6630.449346084758"/>
    <n v="0"/>
    <n v="0"/>
    <n v="0"/>
    <n v="0"/>
    <n v="0"/>
    <n v="6630.449346084758"/>
    <n v="702493.49390240002"/>
    <n v="1.0720000000000001"/>
    <n v="1.04"/>
    <n v="1.0720000000000001"/>
    <n v="1.04"/>
    <n v="1.1120000000000001"/>
    <n v="1.095"/>
    <n v="1.1120000000000001"/>
    <n v="1.1120000000000001"/>
  </r>
  <r>
    <x v="0"/>
    <x v="1"/>
    <x v="4"/>
    <x v="25"/>
    <x v="80"/>
    <s v="HVAC"/>
    <n v="1355"/>
    <n v="15"/>
    <n v="52357.200000000004"/>
    <n v="33677.176166097837"/>
    <n v="18680.023833902167"/>
    <n v="0"/>
    <n v="0"/>
    <n v="0"/>
    <n v="0"/>
    <n v="0"/>
    <n v="0"/>
    <n v="0"/>
    <n v="0"/>
    <n v="0"/>
    <n v="0"/>
    <n v="0"/>
    <n v="0"/>
    <n v="0"/>
    <n v="0"/>
    <n v="4336"/>
    <n v="65040"/>
    <n v="1821.1200000000001"/>
    <n v="27316.800000000003"/>
    <n v="0"/>
    <n v="0"/>
    <n v="0"/>
    <n v="0"/>
    <n v="0"/>
    <n v="0"/>
    <n v="0"/>
    <n v="0"/>
    <n v="0"/>
    <n v="0"/>
    <n v="0"/>
    <n v="0"/>
    <n v="0"/>
    <n v="0"/>
    <n v="0"/>
    <n v="0"/>
    <n v="0"/>
    <n v="0"/>
    <n v="0"/>
    <n v="0"/>
    <n v="0"/>
    <n v="0"/>
    <n v="0"/>
    <n v="0"/>
    <n v="0"/>
    <n v="0"/>
    <n v="0"/>
    <n v="0"/>
    <n v="0"/>
    <n v="0"/>
    <n v="0"/>
    <n v="0"/>
    <n v="0"/>
    <n v="0"/>
    <n v="230354.98676824756"/>
    <n v="0"/>
    <n v="0"/>
    <n v="0"/>
    <n v="0"/>
    <n v="230354.98676824756"/>
    <n v="3702.5711058809584"/>
    <n v="0"/>
    <n v="0"/>
    <n v="14099.46382012592"/>
    <n v="0"/>
    <n v="0"/>
    <n v="0"/>
    <n v="0"/>
    <n v="17802.03492600688"/>
    <n v="248157.02169425445"/>
    <n v="0"/>
    <n v="0"/>
    <n v="0"/>
    <n v="0"/>
    <n v="0"/>
    <n v="0"/>
    <n v="248157.02169425445"/>
    <n v="34634.65306809944"/>
    <n v="0"/>
    <n v="0"/>
    <n v="0"/>
    <n v="0"/>
    <n v="0"/>
    <n v="34634.65306809944"/>
    <n v="282791.67476235388"/>
    <n v="1.0720000000000001"/>
    <n v="1.04"/>
    <n v="1.0720000000000001"/>
    <n v="1.04"/>
    <n v="1.1120000000000001"/>
    <n v="1.095"/>
    <n v="1.1120000000000001"/>
    <n v="1.1120000000000001"/>
  </r>
  <r>
    <x v="0"/>
    <x v="1"/>
    <x v="4"/>
    <x v="68"/>
    <x v="81"/>
    <s v="HVAC"/>
    <n v="9355"/>
    <n v="15"/>
    <n v="2507140"/>
    <n v="931293.73033069237"/>
    <n v="1575846.2696693076"/>
    <n v="0"/>
    <n v="0"/>
    <n v="0"/>
    <n v="0"/>
    <n v="0"/>
    <n v="0"/>
    <n v="0"/>
    <n v="0"/>
    <n v="0"/>
    <n v="0"/>
    <n v="0"/>
    <n v="0"/>
    <n v="0"/>
    <n v="0"/>
    <n v="61743"/>
    <n v="926145"/>
    <n v="61743"/>
    <n v="926145"/>
    <n v="0"/>
    <n v="0"/>
    <n v="0"/>
    <n v="0"/>
    <n v="0"/>
    <n v="0"/>
    <n v="0"/>
    <n v="0"/>
    <n v="0"/>
    <n v="0"/>
    <n v="0"/>
    <n v="0"/>
    <n v="0"/>
    <n v="0"/>
    <n v="0"/>
    <n v="0"/>
    <n v="0"/>
    <n v="0"/>
    <n v="0"/>
    <n v="0"/>
    <n v="0"/>
    <n v="0"/>
    <n v="0"/>
    <n v="0"/>
    <n v="0"/>
    <n v="0"/>
    <n v="0"/>
    <n v="0"/>
    <n v="0"/>
    <n v="0"/>
    <n v="0"/>
    <n v="0"/>
    <n v="0"/>
    <n v="0"/>
    <n v="7809923.5349850142"/>
    <n v="0"/>
    <n v="0"/>
    <n v="0"/>
    <n v="0"/>
    <n v="7809923.5349850142"/>
    <n v="125531.45744948604"/>
    <n v="0"/>
    <n v="0"/>
    <n v="478026.26660847972"/>
    <n v="0"/>
    <n v="0"/>
    <n v="0"/>
    <n v="0"/>
    <n v="603557.7240579658"/>
    <n v="8413481.2590429801"/>
    <n v="0"/>
    <n v="0"/>
    <n v="0"/>
    <n v="0"/>
    <n v="0"/>
    <n v="0"/>
    <n v="8413481.2590429801"/>
    <n v="569332.59436315275"/>
    <n v="0"/>
    <n v="0"/>
    <n v="0"/>
    <n v="0"/>
    <n v="0"/>
    <n v="569332.59436315275"/>
    <n v="8982813.8534061331"/>
    <n v="1.0720000000000001"/>
    <n v="1.04"/>
    <n v="1.0720000000000001"/>
    <n v="1.04"/>
    <n v="1.1120000000000001"/>
    <n v="1.095"/>
    <n v="1.1120000000000001"/>
    <n v="1.1120000000000001"/>
  </r>
  <r>
    <x v="0"/>
    <x v="1"/>
    <x v="4"/>
    <x v="69"/>
    <x v="82"/>
    <s v="HVAC"/>
    <n v="12952"/>
    <n v="15"/>
    <n v="3471136"/>
    <n v="1289578.5230593726"/>
    <n v="2181557.4769406272"/>
    <n v="1347.008"/>
    <n v="1347.008"/>
    <n v="20205.12"/>
    <n v="1347.008"/>
    <n v="20205.12"/>
    <n v="180.99901158220541"/>
    <n v="831.82037249522148"/>
    <n v="10874.74211768944"/>
    <n v="8317.55849823278"/>
    <n v="2991.9120000000003"/>
    <n v="0"/>
    <n v="0"/>
    <n v="2991.9120000000003"/>
    <n v="2991.9120000000003"/>
    <n v="85483.199999999997"/>
    <n v="1282248"/>
    <n v="85483.199999999997"/>
    <n v="1282248"/>
    <n v="0"/>
    <n v="0"/>
    <n v="0"/>
    <n v="0"/>
    <n v="0"/>
    <n v="0"/>
    <n v="0"/>
    <n v="0"/>
    <n v="0"/>
    <n v="0"/>
    <n v="0"/>
    <n v="0"/>
    <n v="15203.324925374842"/>
    <n v="62516.355546687279"/>
    <n v="889300.86394120124"/>
    <n v="532657.70749352779"/>
    <n v="1499678.2519067912"/>
    <n v="393.66876491759575"/>
    <n v="870.40712818404188"/>
    <n v="27928.853094386668"/>
    <n v="7008.555135174046"/>
    <n v="60311.214489557526"/>
    <n v="4473.3708500427447"/>
    <n v="100986.06946226263"/>
    <n v="1600664.3213690538"/>
    <n v="7755558.1582714543"/>
    <n v="0"/>
    <n v="0"/>
    <n v="518710.52222182951"/>
    <n v="4071285.9144350258"/>
    <n v="12345554.594928309"/>
    <n v="13946218.916297363"/>
    <n v="0"/>
    <n v="0"/>
    <n v="10812841.221285505"/>
    <n v="0"/>
    <n v="0"/>
    <n v="0"/>
    <n v="0"/>
    <n v="10812841.221285505"/>
    <n v="173798.33638543487"/>
    <n v="0"/>
    <n v="0"/>
    <n v="661827.49386563653"/>
    <n v="0"/>
    <n v="0"/>
    <n v="0"/>
    <n v="0"/>
    <n v="835625.83025107137"/>
    <n v="11648467.051536577"/>
    <n v="0"/>
    <n v="0"/>
    <n v="0"/>
    <n v="0"/>
    <n v="0"/>
    <n v="0"/>
    <n v="11648467.051536577"/>
    <n v="788241.12904238957"/>
    <n v="0"/>
    <n v="0"/>
    <n v="0"/>
    <n v="0"/>
    <n v="0"/>
    <n v="788241.12904238957"/>
    <n v="26382927.096876331"/>
    <n v="1.0720000000000001"/>
    <n v="1.04"/>
    <n v="1.0720000000000001"/>
    <n v="1.04"/>
    <n v="1.1120000000000001"/>
    <n v="1.095"/>
    <n v="1.1120000000000001"/>
    <n v="1.1120000000000001"/>
  </r>
  <r>
    <x v="0"/>
    <x v="1"/>
    <x v="4"/>
    <x v="70"/>
    <x v="83"/>
    <s v="Hot Water"/>
    <n v="195"/>
    <n v="7"/>
    <n v="6142.5"/>
    <n v="2730"/>
    <n v="3412.5"/>
    <n v="0"/>
    <n v="0"/>
    <n v="0"/>
    <n v="0"/>
    <n v="0"/>
    <n v="0"/>
    <n v="0"/>
    <n v="0"/>
    <n v="0"/>
    <n v="0"/>
    <n v="0"/>
    <n v="0"/>
    <n v="0"/>
    <n v="0"/>
    <n v="358.79999999999995"/>
    <n v="2511.5999999999995"/>
    <n v="358.79999999999995"/>
    <n v="2511.5999999999995"/>
    <n v="0"/>
    <n v="0"/>
    <n v="0"/>
    <n v="0"/>
    <n v="0"/>
    <n v="0"/>
    <n v="0"/>
    <n v="0"/>
    <n v="589290"/>
    <n v="0"/>
    <n v="0"/>
    <n v="4125030"/>
    <n v="0"/>
    <n v="0"/>
    <n v="0"/>
    <n v="0"/>
    <n v="0"/>
    <n v="0"/>
    <n v="0"/>
    <n v="0"/>
    <n v="0"/>
    <n v="0"/>
    <n v="0"/>
    <n v="0"/>
    <n v="0"/>
    <n v="0"/>
    <n v="0"/>
    <n v="0"/>
    <n v="0"/>
    <n v="0"/>
    <n v="0"/>
    <n v="0"/>
    <n v="0"/>
    <n v="19382.440741302886"/>
    <n v="0"/>
    <n v="0"/>
    <n v="0"/>
    <n v="0"/>
    <n v="0"/>
    <n v="19382.440741302886"/>
    <n v="346.40925769395113"/>
    <n v="0"/>
    <n v="2640.5398579329726"/>
    <n v="0"/>
    <n v="0"/>
    <n v="0"/>
    <n v="0"/>
    <n v="0"/>
    <n v="2986.9491156269237"/>
    <n v="22369.389856929811"/>
    <n v="0"/>
    <n v="0"/>
    <n v="0"/>
    <n v="44007.461723188906"/>
    <n v="0"/>
    <n v="0"/>
    <n v="66376.851580118717"/>
    <n v="0"/>
    <n v="0"/>
    <n v="0"/>
    <n v="0"/>
    <n v="0"/>
    <n v="0"/>
    <n v="0"/>
    <n v="66376.851580118717"/>
    <n v="1.0720000000000001"/>
    <n v="1.04"/>
    <n v="1.0720000000000001"/>
    <n v="1.04"/>
    <n v="1.1120000000000001"/>
    <n v="1.095"/>
    <n v="1.1120000000000001"/>
    <n v="1.1120000000000001"/>
  </r>
  <r>
    <x v="0"/>
    <x v="1"/>
    <x v="4"/>
    <x v="71"/>
    <x v="84"/>
    <s v="Hot Water"/>
    <n v="75"/>
    <n v="7"/>
    <n v="1556.25"/>
    <n v="776.25"/>
    <n v="780"/>
    <n v="0"/>
    <n v="0"/>
    <n v="0"/>
    <n v="0"/>
    <n v="0"/>
    <n v="0"/>
    <n v="0"/>
    <n v="0"/>
    <n v="0"/>
    <n v="0"/>
    <n v="0"/>
    <n v="0"/>
    <n v="0"/>
    <n v="0"/>
    <n v="28.5"/>
    <n v="199.5"/>
    <n v="28.5"/>
    <n v="199.5"/>
    <n v="0"/>
    <n v="0"/>
    <n v="0"/>
    <n v="0"/>
    <n v="0"/>
    <n v="0"/>
    <n v="0"/>
    <n v="0"/>
    <n v="46575"/>
    <n v="0"/>
    <n v="0"/>
    <n v="326025"/>
    <n v="0"/>
    <n v="0"/>
    <n v="0"/>
    <n v="0"/>
    <n v="0"/>
    <n v="0"/>
    <n v="0"/>
    <n v="0"/>
    <n v="0"/>
    <n v="0"/>
    <n v="0"/>
    <n v="0"/>
    <n v="0"/>
    <n v="0"/>
    <n v="0"/>
    <n v="0"/>
    <n v="0"/>
    <n v="0"/>
    <n v="0"/>
    <n v="0"/>
    <n v="0"/>
    <n v="1539.5751424947946"/>
    <n v="0"/>
    <n v="0"/>
    <n v="0"/>
    <n v="0"/>
    <n v="0"/>
    <n v="1539.5751424947946"/>
    <n v="27.515785519168364"/>
    <n v="0"/>
    <n v="209.74187834751876"/>
    <n v="0"/>
    <n v="0"/>
    <n v="0"/>
    <n v="0"/>
    <n v="0"/>
    <n v="237.25766386668712"/>
    <n v="1776.8328063614817"/>
    <n v="0"/>
    <n v="0"/>
    <n v="0"/>
    <n v="3478.1644517258455"/>
    <n v="0"/>
    <n v="0"/>
    <n v="5254.9972580873273"/>
    <n v="0"/>
    <n v="0"/>
    <n v="0"/>
    <n v="0"/>
    <n v="0"/>
    <n v="0"/>
    <n v="0"/>
    <n v="5254.9972580873273"/>
    <n v="1.0720000000000001"/>
    <n v="1.04"/>
    <n v="1.0720000000000001"/>
    <n v="1.04"/>
    <n v="1.1120000000000001"/>
    <n v="1.095"/>
    <n v="1.1120000000000001"/>
    <n v="1.1120000000000001"/>
  </r>
  <r>
    <x v="0"/>
    <x v="1"/>
    <x v="4"/>
    <x v="72"/>
    <x v="85"/>
    <s v="Hot Water"/>
    <n v="371"/>
    <n v="7"/>
    <n v="6307"/>
    <n v="3710"/>
    <n v="2597"/>
    <n v="0"/>
    <n v="0"/>
    <n v="0"/>
    <n v="0"/>
    <n v="0"/>
    <n v="0"/>
    <n v="0"/>
    <n v="0"/>
    <n v="0"/>
    <n v="0"/>
    <n v="0"/>
    <n v="0"/>
    <n v="0"/>
    <n v="0"/>
    <n v="445.2"/>
    <n v="3116.4"/>
    <n v="378.41999999999996"/>
    <n v="2648.9399999999996"/>
    <n v="0"/>
    <n v="0"/>
    <n v="0"/>
    <n v="0"/>
    <n v="0"/>
    <n v="0"/>
    <n v="0"/>
    <n v="0"/>
    <n v="757155.34999999986"/>
    <n v="0"/>
    <n v="0"/>
    <n v="5300087.4499999993"/>
    <n v="0"/>
    <n v="0"/>
    <n v="0"/>
    <n v="0"/>
    <n v="0"/>
    <n v="0"/>
    <n v="0"/>
    <n v="0"/>
    <n v="0"/>
    <n v="0"/>
    <n v="0"/>
    <n v="0"/>
    <n v="0"/>
    <n v="0"/>
    <n v="0"/>
    <n v="0"/>
    <n v="0"/>
    <n v="0"/>
    <n v="0"/>
    <n v="0"/>
    <n v="0"/>
    <n v="20442.316681504566"/>
    <n v="0"/>
    <n v="0"/>
    <n v="0"/>
    <n v="0"/>
    <n v="0"/>
    <n v="20442.316681504566"/>
    <n v="365.35170372504177"/>
    <n v="0"/>
    <n v="2784.9305826058962"/>
    <n v="0"/>
    <n v="0"/>
    <n v="0"/>
    <n v="0"/>
    <n v="0"/>
    <n v="3150.2822863309379"/>
    <n v="23592.598967835504"/>
    <n v="0"/>
    <n v="0"/>
    <n v="0"/>
    <n v="56543.442250220935"/>
    <n v="0"/>
    <n v="0"/>
    <n v="80136.041218056431"/>
    <n v="0"/>
    <n v="0"/>
    <n v="0"/>
    <n v="0"/>
    <n v="0"/>
    <n v="0"/>
    <n v="0"/>
    <n v="80136.041218056431"/>
    <n v="1.0720000000000001"/>
    <n v="1.04"/>
    <n v="1.0720000000000001"/>
    <n v="1.04"/>
    <n v="1.1120000000000001"/>
    <n v="1.095"/>
    <n v="1.1120000000000001"/>
    <n v="1.1120000000000001"/>
  </r>
  <r>
    <x v="0"/>
    <x v="1"/>
    <x v="4"/>
    <x v="32"/>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1"/>
    <x v="4"/>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0"/>
    <x v="1"/>
    <x v="4"/>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3"/>
    <x v="86"/>
    <s v="Behavio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4"/>
    <x v="87"/>
    <s v="Envelope"/>
    <n v="1115"/>
    <n v="20"/>
    <n v="5286415.7"/>
    <n v="5286415.7"/>
    <n v="0"/>
    <n v="383.56"/>
    <n v="383.56"/>
    <n v="7671.2"/>
    <n v="383.56"/>
    <n v="7671.2"/>
    <n v="1764.5342211914392"/>
    <n v="2953.1056061118165"/>
    <n v="1664.30360734898"/>
    <n v="1289.2565653477639"/>
    <n v="345.65"/>
    <n v="152.08599999999998"/>
    <n v="152.08599999999998"/>
    <n v="345.65"/>
    <n v="345.65"/>
    <n v="29324.5"/>
    <n v="586490"/>
    <n v="29324.5"/>
    <n v="586490"/>
    <n v="0"/>
    <n v="0"/>
    <n v="0"/>
    <n v="0"/>
    <n v="0"/>
    <n v="0"/>
    <n v="0"/>
    <n v="0"/>
    <n v="0"/>
    <n v="0"/>
    <n v="0"/>
    <n v="0"/>
    <n v="161273.98405043571"/>
    <n v="240965.06976668464"/>
    <n v="155775.91336205252"/>
    <n v="91594.296182095393"/>
    <n v="649609.26336126833"/>
    <n v="2878.3665782441681"/>
    <n v="2317.5714266255964"/>
    <n v="3205.7374637760722"/>
    <n v="814.76665209611247"/>
    <n v="7806.0825779377492"/>
    <n v="17081.5373575628"/>
    <n v="34104.062056242503"/>
    <n v="683713.32541751082"/>
    <n v="1228156.6698636075"/>
    <n v="0"/>
    <n v="0"/>
    <n v="79039.796439215585"/>
    <n v="620372.24258422351"/>
    <n v="1927568.7088870467"/>
    <n v="2611282.0343045574"/>
    <n v="0"/>
    <n v="0"/>
    <n v="5082473.2978183804"/>
    <n v="0"/>
    <n v="0"/>
    <n v="0"/>
    <n v="0"/>
    <n v="5082473.2978183804"/>
    <n v="78637.277471230103"/>
    <n v="0"/>
    <n v="0"/>
    <n v="238703.15200503942"/>
    <n v="0"/>
    <n v="0"/>
    <n v="0"/>
    <n v="0"/>
    <n v="317340.42947626952"/>
    <n v="5399813.7272946499"/>
    <n v="0"/>
    <n v="0"/>
    <n v="0"/>
    <n v="0"/>
    <n v="0"/>
    <n v="0"/>
    <n v="5399813.7272946499"/>
    <n v="11917210.08541956"/>
    <n v="0"/>
    <n v="0"/>
    <n v="0"/>
    <n v="729921.37872932188"/>
    <n v="22335.596748708263"/>
    <n v="12669467.060897589"/>
    <n v="20680562.822496794"/>
    <n v="1.0720000000000001"/>
    <n v="1.04"/>
    <n v="1.0720000000000001"/>
    <n v="1.04"/>
    <n v="1.1120000000000001"/>
    <n v="1.095"/>
    <n v="1.1120000000000001"/>
    <n v="1.1120000000000001"/>
  </r>
  <r>
    <x v="1"/>
    <x v="2"/>
    <x v="5"/>
    <x v="10"/>
    <x v="88"/>
    <s v="Envelop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11"/>
    <x v="89"/>
    <s v="Envelop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5"/>
    <x v="90"/>
    <s v="HVAC"/>
    <n v="357"/>
    <n v="20"/>
    <n v="1692601.26"/>
    <n v="1692601.26"/>
    <n v="0"/>
    <n v="0"/>
    <n v="0"/>
    <n v="0"/>
    <n v="0"/>
    <n v="0"/>
    <n v="0"/>
    <n v="0"/>
    <n v="0"/>
    <n v="0"/>
    <n v="0"/>
    <n v="0"/>
    <n v="0"/>
    <n v="0"/>
    <n v="0"/>
    <n v="6925.7999999999993"/>
    <n v="138516"/>
    <n v="6925.7999999999993"/>
    <n v="138516"/>
    <n v="0"/>
    <n v="0"/>
    <n v="0"/>
    <n v="0"/>
    <n v="0"/>
    <n v="0"/>
    <n v="0"/>
    <n v="0"/>
    <n v="0"/>
    <n v="0"/>
    <n v="0"/>
    <n v="0"/>
    <n v="0"/>
    <n v="0"/>
    <n v="0"/>
    <n v="0"/>
    <n v="0"/>
    <n v="0"/>
    <n v="0"/>
    <n v="0"/>
    <n v="0"/>
    <n v="0"/>
    <n v="0"/>
    <n v="0"/>
    <n v="0"/>
    <n v="0"/>
    <n v="0"/>
    <n v="0"/>
    <n v="0"/>
    <n v="0"/>
    <n v="0"/>
    <n v="0"/>
    <n v="0"/>
    <n v="0"/>
    <n v="1200368.0733185743"/>
    <n v="0"/>
    <n v="0"/>
    <n v="0"/>
    <n v="0"/>
    <n v="1200368.0733185743"/>
    <n v="18572.390196260651"/>
    <n v="0"/>
    <n v="0"/>
    <n v="56376.418699602778"/>
    <n v="0"/>
    <n v="0"/>
    <n v="0"/>
    <n v="0"/>
    <n v="74948.808895863433"/>
    <n v="1275316.8822144377"/>
    <n v="0"/>
    <n v="0"/>
    <n v="0"/>
    <n v="0"/>
    <n v="0"/>
    <n v="0"/>
    <n v="1275316.8822144377"/>
    <n v="2124610.3263189816"/>
    <n v="0"/>
    <n v="0"/>
    <n v="0"/>
    <n v="172391.32755216752"/>
    <n v="5275.1752276152611"/>
    <n v="2302276.8290987643"/>
    <n v="3577593.711313202"/>
    <n v="1.0720000000000001"/>
    <n v="1.04"/>
    <n v="1.0720000000000001"/>
    <n v="1.04"/>
    <n v="1.1120000000000001"/>
    <n v="1.095"/>
    <n v="1.1120000000000001"/>
    <n v="1.1120000000000001"/>
  </r>
  <r>
    <x v="1"/>
    <x v="2"/>
    <x v="5"/>
    <x v="76"/>
    <x v="91"/>
    <s v="HVAC"/>
    <n v="153"/>
    <n v="18"/>
    <n v="608791.59000000008"/>
    <n v="608791.59000000008"/>
    <n v="0"/>
    <n v="26.315999999999999"/>
    <n v="26.315999999999999"/>
    <n v="473.68799999999999"/>
    <n v="26.315999999999999"/>
    <n v="473.68799999999999"/>
    <n v="179.106676841959"/>
    <n v="291.44451452976858"/>
    <n v="0.82431358581153313"/>
    <n v="2.3124950424611739"/>
    <n v="13.77"/>
    <n v="13.77"/>
    <n v="13.77"/>
    <n v="0"/>
    <n v="0"/>
    <n v="3167.1"/>
    <n v="57007.799999999996"/>
    <n v="3167.1"/>
    <n v="57007.799999999996"/>
    <n v="0"/>
    <n v="0"/>
    <n v="0"/>
    <n v="0"/>
    <n v="0"/>
    <n v="0"/>
    <n v="0"/>
    <n v="0"/>
    <n v="0"/>
    <n v="0"/>
    <n v="0"/>
    <n v="0"/>
    <n v="15832.88498289766"/>
    <n v="23004.583379772383"/>
    <n v="73.243042946430933"/>
    <n v="157.70898291117339"/>
    <n v="39068.420388527644"/>
    <n v="324.62748297406017"/>
    <n v="254.13678171475797"/>
    <n v="1.7641899606051623"/>
    <n v="1.6237987193346572"/>
    <n v="8.8153310581991544"/>
    <n v="1829.0349565255656"/>
    <n v="2420.0025409525224"/>
    <n v="41488.422929480163"/>
    <n v="0"/>
    <n v="0"/>
    <n v="0"/>
    <n v="0"/>
    <n v="0"/>
    <n v="0"/>
    <n v="41488.422929480163"/>
    <n v="0"/>
    <n v="0"/>
    <n v="488723.90086101886"/>
    <n v="0"/>
    <n v="0"/>
    <n v="0"/>
    <n v="0"/>
    <n v="488723.90086101886"/>
    <n v="7676.837322770104"/>
    <n v="0"/>
    <n v="0"/>
    <n v="25279.665523733678"/>
    <n v="0"/>
    <n v="0"/>
    <n v="0"/>
    <n v="0"/>
    <n v="32956.502846503783"/>
    <n v="521680.40370752267"/>
    <n v="0"/>
    <n v="0"/>
    <n v="0"/>
    <n v="0"/>
    <n v="0"/>
    <n v="0"/>
    <n v="521680.40370752267"/>
    <n v="823048.08877521078"/>
    <n v="0"/>
    <n v="0"/>
    <n v="0"/>
    <n v="71257.396785731049"/>
    <n v="2412.2855790493941"/>
    <n v="896717.77113999124"/>
    <n v="1459886.5977769941"/>
    <n v="1.0720000000000001"/>
    <n v="1.04"/>
    <n v="1.0720000000000001"/>
    <n v="1.04"/>
    <n v="1.1120000000000001"/>
    <n v="1.095"/>
    <n v="1.1120000000000001"/>
    <n v="1.1120000000000001"/>
  </r>
  <r>
    <x v="1"/>
    <x v="2"/>
    <x v="5"/>
    <x v="16"/>
    <x v="92"/>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4"/>
    <x v="9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18"/>
    <x v="94"/>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20"/>
    <x v="95"/>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7"/>
    <x v="96"/>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8"/>
    <x v="97"/>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79"/>
    <x v="9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80"/>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2"/>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5"/>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81"/>
    <x v="99"/>
    <s v="Behavior"/>
    <s v="5325"/>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02778.52167617893"/>
    <n v="0"/>
    <n v="0"/>
    <n v="0"/>
    <n v="0"/>
    <n v="0"/>
    <n v="202778.52167617893"/>
    <n v="202778.52167617893"/>
    <n v="1.0720000000000001"/>
    <n v="1.04"/>
    <n v="1.0720000000000001"/>
    <n v="1.04"/>
    <n v="1.1120000000000001"/>
    <n v="1.095"/>
    <n v="1.1120000000000001"/>
    <n v="1.1120000000000001"/>
  </r>
  <r>
    <x v="1"/>
    <x v="2"/>
    <x v="6"/>
    <x v="10"/>
    <x v="100"/>
    <s v="Envelope"/>
    <n v="3492"/>
    <n v="15"/>
    <n v="710219.35000000009"/>
    <n v="710219.35000000009"/>
    <n v="0"/>
    <n v="0"/>
    <n v="0"/>
    <n v="0"/>
    <n v="0"/>
    <n v="0"/>
    <n v="0"/>
    <n v="0"/>
    <n v="0"/>
    <n v="0"/>
    <n v="0"/>
    <n v="0"/>
    <n v="0"/>
    <n v="0"/>
    <n v="0"/>
    <n v="10513.832315"/>
    <n v="157707.48472499999"/>
    <n v="10513.832315"/>
    <n v="157707.48472499999"/>
    <n v="0"/>
    <n v="0"/>
    <n v="0"/>
    <n v="0"/>
    <n v="0"/>
    <n v="0"/>
    <n v="0"/>
    <n v="0"/>
    <n v="0"/>
    <n v="0"/>
    <n v="0"/>
    <n v="0"/>
    <n v="0"/>
    <n v="0"/>
    <n v="0"/>
    <n v="0"/>
    <n v="0"/>
    <n v="0"/>
    <n v="0"/>
    <n v="0"/>
    <n v="0"/>
    <n v="0"/>
    <n v="0"/>
    <n v="0"/>
    <n v="0"/>
    <n v="0"/>
    <n v="0"/>
    <n v="0"/>
    <n v="0"/>
    <n v="0"/>
    <n v="0"/>
    <n v="0"/>
    <n v="0"/>
    <n v="0"/>
    <n v="1329903.4131772746"/>
    <n v="0"/>
    <n v="0"/>
    <n v="0"/>
    <n v="0"/>
    <n v="1329903.4131772746"/>
    <n v="21375.972885694795"/>
    <n v="0"/>
    <n v="0"/>
    <n v="81400.126480524748"/>
    <n v="0"/>
    <n v="0"/>
    <n v="0"/>
    <n v="0"/>
    <n v="102776.09936621954"/>
    <n v="1432679.5125434941"/>
    <n v="0"/>
    <n v="0"/>
    <n v="0"/>
    <n v="0"/>
    <n v="0"/>
    <n v="0"/>
    <n v="1432679.5125434941"/>
    <n v="2855506.1009762064"/>
    <n v="0"/>
    <n v="0"/>
    <n v="0"/>
    <n v="204519.60754182172"/>
    <n v="8008.0723924151434"/>
    <n v="3068033.7809104435"/>
    <n v="4500713.2934539374"/>
    <n v="1.0720000000000001"/>
    <n v="1.04"/>
    <n v="1.0720000000000001"/>
    <n v="1.04"/>
    <n v="1.1120000000000001"/>
    <n v="1.095"/>
    <n v="1.1120000000000001"/>
    <n v="1.1120000000000001"/>
  </r>
  <r>
    <x v="1"/>
    <x v="2"/>
    <x v="6"/>
    <x v="11"/>
    <x v="101"/>
    <s v="Envelope"/>
    <n v="1992"/>
    <n v="25"/>
    <n v="2303976.9600000009"/>
    <n v="2303976.9600000009"/>
    <n v="0"/>
    <n v="0"/>
    <n v="0"/>
    <n v="0"/>
    <n v="0"/>
    <n v="0"/>
    <n v="0"/>
    <n v="0"/>
    <n v="0"/>
    <n v="0"/>
    <n v="0"/>
    <n v="0"/>
    <n v="0"/>
    <n v="0"/>
    <n v="0"/>
    <n v="17678.327802"/>
    <n v="441958.19504999998"/>
    <n v="17678.327802"/>
    <n v="441958.19504999998"/>
    <n v="0"/>
    <n v="0"/>
    <n v="0"/>
    <n v="0"/>
    <n v="0"/>
    <n v="0"/>
    <n v="0"/>
    <n v="0"/>
    <n v="0"/>
    <n v="0"/>
    <n v="0"/>
    <n v="0"/>
    <n v="0"/>
    <n v="0"/>
    <n v="0"/>
    <n v="0"/>
    <n v="0"/>
    <n v="0"/>
    <n v="0"/>
    <n v="0"/>
    <n v="0"/>
    <n v="0"/>
    <n v="0"/>
    <n v="0"/>
    <n v="0"/>
    <n v="0"/>
    <n v="0"/>
    <n v="0"/>
    <n v="0"/>
    <n v="0"/>
    <n v="0"/>
    <n v="0"/>
    <n v="0"/>
    <n v="0"/>
    <n v="3933199.0738768824"/>
    <n v="0"/>
    <n v="0"/>
    <n v="0"/>
    <n v="0"/>
    <n v="3933199.0738768824"/>
    <n v="58622.016711299111"/>
    <n v="0"/>
    <n v="0"/>
    <n v="150783.49725654031"/>
    <n v="0"/>
    <n v="0"/>
    <n v="0"/>
    <n v="0"/>
    <n v="209405.51396783942"/>
    <n v="4142604.587844722"/>
    <n v="0"/>
    <n v="0"/>
    <n v="0"/>
    <n v="0"/>
    <n v="0"/>
    <n v="0"/>
    <n v="4142604.587844722"/>
    <n v="2474709.5428555524"/>
    <n v="0"/>
    <n v="0"/>
    <n v="0"/>
    <n v="560879.82124680304"/>
    <n v="13465.054850959099"/>
    <n v="3049054.4189533144"/>
    <n v="7191659.0067980364"/>
    <n v="1.0720000000000001"/>
    <n v="1.04"/>
    <n v="1.0720000000000001"/>
    <n v="1.04"/>
    <n v="1.1120000000000001"/>
    <n v="1.095"/>
    <n v="1.1120000000000001"/>
    <n v="1.1120000000000001"/>
  </r>
  <r>
    <x v="1"/>
    <x v="2"/>
    <x v="6"/>
    <x v="75"/>
    <x v="102"/>
    <s v="HVAC"/>
    <n v="420"/>
    <n v="0"/>
    <n v="0"/>
    <n v="0"/>
    <n v="0"/>
    <n v="0"/>
    <n v="0"/>
    <n v="0"/>
    <n v="0"/>
    <n v="0"/>
    <n v="0"/>
    <n v="0"/>
    <n v="0"/>
    <n v="0"/>
    <n v="0"/>
    <n v="0"/>
    <n v="0"/>
    <n v="0"/>
    <n v="0"/>
    <n v="0"/>
    <n v="0"/>
    <n v="0"/>
    <n v="0"/>
    <n v="0"/>
    <n v="0"/>
    <n v="0"/>
    <n v="0"/>
    <n v="0"/>
    <n v="0"/>
    <n v="0"/>
    <n v="0"/>
    <n v="0"/>
    <n v="0"/>
    <n v="0"/>
    <n v="0"/>
    <s v=""/>
    <s v=""/>
    <s v=""/>
    <s v=""/>
    <n v="0"/>
    <s v=""/>
    <s v=""/>
    <s v=""/>
    <s v=""/>
    <s v=""/>
    <s v=""/>
    <n v="0"/>
    <n v="0"/>
    <s v=""/>
    <s v=""/>
    <s v=""/>
    <s v=""/>
    <s v=""/>
    <n v="0"/>
    <n v="0"/>
    <s v=""/>
    <s v=""/>
    <s v=""/>
    <s v=""/>
    <s v=""/>
    <s v=""/>
    <s v=""/>
    <n v="0"/>
    <s v=""/>
    <s v=""/>
    <s v=""/>
    <s v=""/>
    <s v=""/>
    <s v=""/>
    <s v=""/>
    <s v=""/>
    <n v="0"/>
    <n v="0"/>
    <s v=""/>
    <s v=""/>
    <s v=""/>
    <s v=""/>
    <s v=""/>
    <s v=""/>
    <n v="0"/>
    <s v=""/>
    <n v="0"/>
    <s v=""/>
    <n v="0"/>
    <s v=""/>
    <n v="0"/>
    <n v="0"/>
    <n v="0"/>
    <n v="1.0720000000000001"/>
    <n v="1.04"/>
    <n v="1.0720000000000001"/>
    <n v="1.04"/>
    <n v="1.1120000000000001"/>
    <n v="1.095"/>
    <n v="1.1120000000000001"/>
    <n v="1.1120000000000001"/>
  </r>
  <r>
    <x v="1"/>
    <x v="2"/>
    <x v="6"/>
    <x v="76"/>
    <x v="103"/>
    <s v="HVAC"/>
    <n v="5"/>
    <n v="18"/>
    <n v="44920"/>
    <n v="44920"/>
    <n v="0"/>
    <n v="0"/>
    <n v="0"/>
    <n v="0"/>
    <n v="0"/>
    <n v="0"/>
    <n v="0"/>
    <n v="0"/>
    <n v="0"/>
    <n v="0"/>
    <n v="0"/>
    <n v="0"/>
    <n v="0"/>
    <n v="0"/>
    <n v="0"/>
    <n v="180.63145400000002"/>
    <n v="3251.3661720000005"/>
    <n v="180.63145400000002"/>
    <n v="3251.3661720000005"/>
    <n v="0"/>
    <n v="0"/>
    <n v="0"/>
    <n v="0"/>
    <n v="0"/>
    <n v="0"/>
    <n v="0"/>
    <n v="0"/>
    <n v="0"/>
    <n v="0"/>
    <n v="0"/>
    <n v="0"/>
    <n v="0"/>
    <n v="0"/>
    <n v="0"/>
    <n v="0"/>
    <n v="0"/>
    <n v="0"/>
    <n v="0"/>
    <n v="0"/>
    <n v="0"/>
    <n v="0"/>
    <n v="0"/>
    <n v="0"/>
    <n v="0"/>
    <n v="0"/>
    <n v="0"/>
    <n v="0"/>
    <n v="0"/>
    <n v="0"/>
    <n v="0"/>
    <n v="0"/>
    <n v="0"/>
    <n v="0"/>
    <n v="27873.735852065834"/>
    <n v="0"/>
    <n v="0"/>
    <n v="0"/>
    <n v="0"/>
    <n v="27873.735852065834"/>
    <n v="437.83849191166411"/>
    <n v="0"/>
    <n v="0"/>
    <n v="1441.7930410109204"/>
    <n v="0"/>
    <n v="0"/>
    <n v="0"/>
    <n v="0"/>
    <n v="1879.6315329225845"/>
    <n v="29753.367384988418"/>
    <n v="0"/>
    <n v="0"/>
    <n v="0"/>
    <n v="0"/>
    <n v="0"/>
    <n v="0"/>
    <n v="29753.367384988418"/>
    <n v="10722.62666370343"/>
    <n v="0"/>
    <n v="0"/>
    <n v="0"/>
    <n v="4189.1219179269674"/>
    <n v="137.58158934259228"/>
    <n v="15049.330170972988"/>
    <n v="44802.697555961407"/>
    <n v="1.0720000000000001"/>
    <n v="1.04"/>
    <n v="1.0720000000000001"/>
    <n v="1.04"/>
    <n v="1.1120000000000001"/>
    <n v="1.095"/>
    <n v="1.1120000000000001"/>
    <n v="1.1120000000000001"/>
  </r>
  <r>
    <x v="1"/>
    <x v="2"/>
    <x v="6"/>
    <x v="82"/>
    <x v="104"/>
    <s v="HVAC"/>
    <n v="420"/>
    <n v="20"/>
    <n v="8137645.0500000007"/>
    <n v="8137645.0500000007"/>
    <n v="0"/>
    <n v="0"/>
    <n v="0"/>
    <n v="0"/>
    <n v="0"/>
    <n v="0"/>
    <n v="0"/>
    <n v="0"/>
    <n v="0"/>
    <n v="0"/>
    <n v="0"/>
    <n v="0"/>
    <n v="0"/>
    <n v="0"/>
    <n v="0"/>
    <n v="31275.369087000006"/>
    <n v="625507.3817400001"/>
    <n v="31275.369087000006"/>
    <n v="625507.3817400001"/>
    <n v="0"/>
    <n v="0"/>
    <n v="0"/>
    <n v="0"/>
    <n v="0"/>
    <n v="0"/>
    <n v="0"/>
    <n v="0"/>
    <n v="0"/>
    <n v="0"/>
    <n v="0"/>
    <n v="0"/>
    <n v="0"/>
    <n v="0"/>
    <n v="0"/>
    <n v="0"/>
    <n v="0"/>
    <n v="0"/>
    <n v="0"/>
    <n v="0"/>
    <n v="0"/>
    <n v="0"/>
    <n v="0"/>
    <n v="0"/>
    <n v="0"/>
    <n v="0"/>
    <n v="0"/>
    <n v="0"/>
    <n v="0"/>
    <n v="0"/>
    <n v="0"/>
    <n v="0"/>
    <n v="0"/>
    <n v="0"/>
    <n v="5420594.6653512232"/>
    <n v="0"/>
    <n v="0"/>
    <n v="0"/>
    <n v="0"/>
    <n v="5420594.6653512232"/>
    <n v="83868.774468773627"/>
    <n v="0"/>
    <n v="0"/>
    <n v="254583.34093293571"/>
    <n v="0"/>
    <n v="0"/>
    <n v="0"/>
    <n v="0"/>
    <n v="338452.11540170934"/>
    <n v="5759046.7807529327"/>
    <n v="0"/>
    <n v="0"/>
    <n v="0"/>
    <n v="0"/>
    <n v="0"/>
    <n v="0"/>
    <n v="5759046.7807529327"/>
    <n v="996455.16616080038"/>
    <n v="0"/>
    <n v="0"/>
    <n v="0"/>
    <n v="802434.06609324971"/>
    <n v="23821.515527775351"/>
    <n v="1822710.7477818255"/>
    <n v="7581757.5285347579"/>
    <n v="1.0720000000000001"/>
    <n v="1.04"/>
    <n v="1.0720000000000001"/>
    <n v="1.04"/>
    <n v="1.1120000000000001"/>
    <n v="1.095"/>
    <n v="1.1120000000000001"/>
    <n v="1.1120000000000001"/>
  </r>
  <r>
    <x v="1"/>
    <x v="2"/>
    <x v="6"/>
    <x v="83"/>
    <x v="105"/>
    <s v="HVAC"/>
    <n v="134"/>
    <n v="20"/>
    <n v="10271.099999999999"/>
    <n v="10271.099999999999"/>
    <n v="0"/>
    <n v="0"/>
    <n v="0"/>
    <n v="0"/>
    <n v="0"/>
    <n v="0"/>
    <n v="0"/>
    <n v="0"/>
    <n v="0"/>
    <n v="0"/>
    <n v="0"/>
    <n v="0"/>
    <n v="0"/>
    <n v="0"/>
    <n v="0"/>
    <n v="5.2587949999999992"/>
    <n v="105.17589999999998"/>
    <n v="5.2587949999999992"/>
    <n v="105.17589999999998"/>
    <n v="0"/>
    <n v="0"/>
    <n v="0"/>
    <n v="0"/>
    <n v="0"/>
    <n v="0"/>
    <n v="0"/>
    <n v="0"/>
    <n v="0"/>
    <n v="0"/>
    <n v="0"/>
    <n v="0"/>
    <n v="0"/>
    <n v="0"/>
    <n v="0"/>
    <n v="0"/>
    <n v="0"/>
    <n v="0"/>
    <n v="0"/>
    <n v="0"/>
    <n v="0"/>
    <n v="0"/>
    <n v="0"/>
    <n v="0"/>
    <n v="0"/>
    <n v="0"/>
    <n v="0"/>
    <n v="0"/>
    <n v="0"/>
    <n v="0"/>
    <n v="0"/>
    <n v="0"/>
    <n v="0"/>
    <n v="0"/>
    <n v="911.44555461135928"/>
    <n v="0"/>
    <n v="0"/>
    <n v="0"/>
    <n v="0"/>
    <n v="911.44555461135928"/>
    <n v="14.102109893751555"/>
    <n v="0"/>
    <n v="0"/>
    <n v="42.806900109067193"/>
    <n v="0"/>
    <n v="0"/>
    <n v="0"/>
    <n v="0"/>
    <n v="56.909010002818746"/>
    <n v="968.354564614178"/>
    <n v="0"/>
    <n v="0"/>
    <n v="0"/>
    <n v="0"/>
    <n v="0"/>
    <n v="0"/>
    <n v="968.354564614178"/>
    <n v="2668.334389325762"/>
    <n v="0"/>
    <n v="0"/>
    <n v="0"/>
    <n v="134.92522639340737"/>
    <n v="4.0054672544842456"/>
    <n v="2807.2650829736535"/>
    <n v="3775.6196475878314"/>
    <n v="1.0720000000000001"/>
    <n v="1.04"/>
    <n v="1.0720000000000001"/>
    <n v="1.04"/>
    <n v="1.1120000000000001"/>
    <n v="1.095"/>
    <n v="1.1120000000000001"/>
    <n v="1.1120000000000001"/>
  </r>
  <r>
    <x v="1"/>
    <x v="2"/>
    <x v="6"/>
    <x v="34"/>
    <x v="106"/>
    <s v="HVAC"/>
    <n v="2277"/>
    <n v="20"/>
    <n v="8371.08"/>
    <n v="8371.08"/>
    <n v="0"/>
    <n v="0"/>
    <n v="0"/>
    <n v="0"/>
    <n v="0"/>
    <n v="0"/>
    <n v="0"/>
    <n v="0"/>
    <n v="0"/>
    <n v="0"/>
    <n v="0"/>
    <n v="0"/>
    <n v="0"/>
    <n v="0"/>
    <n v="0"/>
    <n v="28.874999999999996"/>
    <n v="577.49999999999989"/>
    <n v="28.874999999999996"/>
    <n v="577.49999999999989"/>
    <n v="0"/>
    <n v="0"/>
    <n v="0"/>
    <n v="0"/>
    <n v="0"/>
    <n v="0"/>
    <n v="0"/>
    <n v="0"/>
    <n v="0"/>
    <n v="0"/>
    <n v="0"/>
    <n v="0"/>
    <n v="0"/>
    <n v="0"/>
    <n v="0"/>
    <n v="0"/>
    <n v="0"/>
    <n v="0"/>
    <n v="0"/>
    <n v="0"/>
    <n v="0"/>
    <n v="0"/>
    <n v="0"/>
    <n v="0"/>
    <n v="0"/>
    <n v="0"/>
    <n v="0"/>
    <n v="0"/>
    <n v="0"/>
    <n v="0"/>
    <n v="0"/>
    <n v="0"/>
    <n v="0"/>
    <n v="0"/>
    <n v="5004.5667095604604"/>
    <n v="0"/>
    <n v="0"/>
    <n v="0"/>
    <n v="0"/>
    <n v="5004.5667095604604"/>
    <n v="77.431887567793794"/>
    <n v="0"/>
    <n v="0"/>
    <n v="235.04419560932027"/>
    <n v="0"/>
    <n v="0"/>
    <n v="0"/>
    <n v="0"/>
    <n v="312.47608317711405"/>
    <n v="5317.042792737574"/>
    <n v="0"/>
    <n v="0"/>
    <n v="0"/>
    <n v="0"/>
    <n v="0"/>
    <n v="0"/>
    <n v="5317.042792737574"/>
    <n v="0"/>
    <n v="0"/>
    <n v="0"/>
    <n v="0"/>
    <n v="8204.6112765358448"/>
    <n v="21.993226009614865"/>
    <n v="8226.6045025454605"/>
    <n v="13543.647295283034"/>
    <n v="1.0720000000000001"/>
    <n v="1.04"/>
    <n v="1.0720000000000001"/>
    <n v="1.04"/>
    <n v="1.1120000000000001"/>
    <n v="1.095"/>
    <n v="1.1120000000000001"/>
    <n v="1.1120000000000001"/>
  </r>
  <r>
    <x v="1"/>
    <x v="2"/>
    <x v="6"/>
    <x v="18"/>
    <x v="107"/>
    <s v="Hot Water"/>
    <n v="49"/>
    <n v="15"/>
    <n v="780.06"/>
    <n v="780.06"/>
    <n v="0"/>
    <n v="0"/>
    <n v="0"/>
    <n v="0"/>
    <n v="0"/>
    <n v="0"/>
    <n v="0"/>
    <n v="0"/>
    <n v="0"/>
    <n v="0"/>
    <n v="0"/>
    <n v="0"/>
    <n v="0"/>
    <n v="0"/>
    <n v="0"/>
    <n v="41.895000000000003"/>
    <n v="628.42500000000007"/>
    <n v="41.895000000000003"/>
    <n v="628.42500000000007"/>
    <n v="0"/>
    <n v="0"/>
    <n v="0"/>
    <n v="0"/>
    <n v="0"/>
    <n v="0"/>
    <n v="0"/>
    <n v="0"/>
    <n v="0"/>
    <n v="0"/>
    <n v="0"/>
    <n v="0"/>
    <n v="0"/>
    <n v="0"/>
    <n v="0"/>
    <n v="0"/>
    <n v="0"/>
    <n v="0"/>
    <n v="0"/>
    <n v="0"/>
    <n v="0"/>
    <n v="0"/>
    <n v="0"/>
    <n v="0"/>
    <n v="0"/>
    <n v="0"/>
    <n v="0"/>
    <n v="0"/>
    <n v="0"/>
    <n v="0"/>
    <n v="0"/>
    <n v="0"/>
    <n v="0"/>
    <n v="5035.6484658305535"/>
    <n v="0"/>
    <n v="0"/>
    <n v="0"/>
    <n v="0"/>
    <n v="0"/>
    <n v="5035.6484658305535"/>
    <n v="85.177921543271594"/>
    <n v="0"/>
    <n v="345.99926828576179"/>
    <n v="0"/>
    <n v="0"/>
    <n v="0"/>
    <n v="0"/>
    <n v="0"/>
    <n v="431.17718982903341"/>
    <n v="5466.825655659587"/>
    <n v="0"/>
    <n v="0"/>
    <n v="0"/>
    <n v="0"/>
    <n v="0"/>
    <n v="0"/>
    <n v="5466.825655659587"/>
    <n v="4701.8270009123507"/>
    <n v="0"/>
    <n v="0"/>
    <n v="0"/>
    <n v="814.95963614905918"/>
    <n v="31.910171555768482"/>
    <n v="5548.6968086171782"/>
    <n v="11015.522464276764"/>
    <n v="1.0720000000000001"/>
    <n v="1.04"/>
    <n v="1.0720000000000001"/>
    <n v="1.04"/>
    <n v="1.1120000000000001"/>
    <n v="1.095"/>
    <n v="1.1120000000000001"/>
    <n v="1.1120000000000001"/>
  </r>
  <r>
    <x v="1"/>
    <x v="2"/>
    <x v="6"/>
    <x v="19"/>
    <x v="108"/>
    <s v="HVAC"/>
    <n v="58228"/>
    <n v="15"/>
    <n v="345755.89"/>
    <n v="345755.89"/>
    <n v="0"/>
    <n v="0"/>
    <n v="0"/>
    <n v="0"/>
    <n v="0"/>
    <n v="0"/>
    <n v="0"/>
    <n v="0"/>
    <n v="0"/>
    <n v="0"/>
    <n v="0"/>
    <n v="0"/>
    <n v="0"/>
    <n v="0"/>
    <n v="0"/>
    <n v="6987.3600000000006"/>
    <n v="104810.40000000001"/>
    <n v="6987.3600000000006"/>
    <n v="104810.40000000001"/>
    <n v="0"/>
    <n v="0"/>
    <n v="0"/>
    <n v="0"/>
    <n v="0"/>
    <n v="0"/>
    <n v="0"/>
    <n v="0"/>
    <n v="0"/>
    <n v="0"/>
    <n v="0"/>
    <n v="0"/>
    <n v="0"/>
    <n v="0"/>
    <n v="0"/>
    <n v="0"/>
    <n v="0"/>
    <n v="0"/>
    <n v="0"/>
    <n v="0"/>
    <n v="0"/>
    <n v="0"/>
    <n v="0"/>
    <n v="0"/>
    <n v="0"/>
    <n v="0"/>
    <n v="0"/>
    <n v="0"/>
    <n v="0"/>
    <n v="0"/>
    <n v="0"/>
    <n v="0"/>
    <n v="0"/>
    <n v="0"/>
    <n v="883836.99061290978"/>
    <n v="0"/>
    <n v="0"/>
    <n v="0"/>
    <n v="0"/>
    <n v="883836.99061290978"/>
    <n v="14206.201262074095"/>
    <n v="0"/>
    <n v="0"/>
    <n v="54097.494683598576"/>
    <n v="0"/>
    <n v="0"/>
    <n v="0"/>
    <n v="0"/>
    <n v="68303.695945672676"/>
    <n v="952140.68655858247"/>
    <n v="0"/>
    <n v="0"/>
    <n v="0"/>
    <n v="0"/>
    <n v="0"/>
    <n v="0"/>
    <n v="952140.68655858247"/>
    <n v="5587305.7675331505"/>
    <n v="0"/>
    <n v="0"/>
    <n v="0"/>
    <n v="1505275.9623030312"/>
    <n v="5322.0636429625129"/>
    <n v="7097903.7934791446"/>
    <n v="8050044.4800377274"/>
    <n v="1.0720000000000001"/>
    <n v="1.04"/>
    <n v="1.0720000000000001"/>
    <n v="1.04"/>
    <n v="1.1120000000000001"/>
    <n v="1.095"/>
    <n v="1.1120000000000001"/>
    <n v="1.1120000000000001"/>
  </r>
  <r>
    <x v="1"/>
    <x v="2"/>
    <x v="6"/>
    <x v="84"/>
    <x v="109"/>
    <s v="Hot Water"/>
    <n v="45"/>
    <n v="20"/>
    <n v="905200"/>
    <n v="905200"/>
    <n v="0"/>
    <n v="0"/>
    <n v="0"/>
    <n v="0"/>
    <n v="0"/>
    <n v="0"/>
    <n v="0"/>
    <n v="0"/>
    <n v="0"/>
    <n v="0"/>
    <n v="0"/>
    <n v="0"/>
    <n v="0"/>
    <n v="0"/>
    <n v="0"/>
    <n v="8636.7753599999996"/>
    <n v="172735.50719999999"/>
    <n v="8636.7753599999996"/>
    <n v="172735.50719999999"/>
    <n v="0"/>
    <n v="0"/>
    <n v="0"/>
    <n v="0"/>
    <n v="0"/>
    <n v="0"/>
    <n v="0"/>
    <n v="0"/>
    <n v="0"/>
    <n v="0"/>
    <n v="0"/>
    <n v="0"/>
    <n v="0"/>
    <n v="0"/>
    <n v="0"/>
    <n v="0"/>
    <n v="0"/>
    <n v="0"/>
    <n v="0"/>
    <n v="0"/>
    <n v="0"/>
    <n v="0"/>
    <n v="0"/>
    <n v="0"/>
    <n v="0"/>
    <n v="0"/>
    <n v="0"/>
    <n v="0"/>
    <n v="0"/>
    <n v="0"/>
    <n v="0"/>
    <n v="0"/>
    <n v="0"/>
    <n v="1425702.1931684259"/>
    <n v="0"/>
    <n v="0"/>
    <n v="0"/>
    <n v="0"/>
    <n v="0"/>
    <n v="1425702.1931684259"/>
    <n v="23160.582463162315"/>
    <n v="0"/>
    <n v="76025.787768770519"/>
    <n v="0"/>
    <n v="0"/>
    <n v="0"/>
    <n v="0"/>
    <n v="0"/>
    <n v="99186.370231932829"/>
    <n v="1524888.5634003587"/>
    <n v="0"/>
    <n v="0"/>
    <n v="0"/>
    <n v="0"/>
    <n v="0"/>
    <n v="0"/>
    <n v="1524888.5634003587"/>
    <n v="499.73828617539027"/>
    <n v="0"/>
    <n v="0"/>
    <n v="0"/>
    <n v="221594.27601893639"/>
    <n v="6578.3741120953346"/>
    <n v="228672.38841720711"/>
    <n v="1753560.9518175658"/>
    <n v="1.0720000000000001"/>
    <n v="1.04"/>
    <n v="1.0720000000000001"/>
    <n v="1.04"/>
    <n v="1.1120000000000001"/>
    <n v="1.095"/>
    <n v="1.1120000000000001"/>
    <n v="1.1120000000000001"/>
  </r>
  <r>
    <x v="1"/>
    <x v="2"/>
    <x v="6"/>
    <x v="67"/>
    <x v="110"/>
    <s v="Hot Water"/>
    <n v="157"/>
    <n v="20"/>
    <n v="1552309.49"/>
    <n v="1552309.49"/>
    <n v="0"/>
    <n v="0"/>
    <n v="0"/>
    <n v="0"/>
    <n v="0"/>
    <n v="0"/>
    <n v="0"/>
    <n v="0"/>
    <n v="0"/>
    <n v="0"/>
    <n v="0"/>
    <n v="0"/>
    <n v="0"/>
    <n v="0"/>
    <n v="0"/>
    <n v="12490.642795999998"/>
    <n v="249812.85591999997"/>
    <n v="12490.642795999998"/>
    <n v="249812.85591999997"/>
    <n v="0"/>
    <n v="0"/>
    <n v="0"/>
    <n v="0"/>
    <n v="0"/>
    <n v="0"/>
    <n v="0"/>
    <n v="0"/>
    <n v="0"/>
    <n v="0"/>
    <n v="0"/>
    <n v="0"/>
    <n v="0"/>
    <n v="0"/>
    <n v="0"/>
    <n v="0"/>
    <n v="0"/>
    <n v="0"/>
    <n v="0"/>
    <n v="0"/>
    <n v="0"/>
    <n v="0"/>
    <n v="0"/>
    <n v="0"/>
    <n v="0"/>
    <n v="0"/>
    <n v="0"/>
    <n v="0"/>
    <n v="0"/>
    <n v="0"/>
    <n v="0"/>
    <n v="0"/>
    <n v="0"/>
    <n v="2061873.336525057"/>
    <n v="0"/>
    <n v="0"/>
    <n v="0"/>
    <n v="0"/>
    <n v="0"/>
    <n v="2061873.336525057"/>
    <n v="33495.205147336637"/>
    <n v="0"/>
    <n v="109949.71140527829"/>
    <n v="0"/>
    <n v="0"/>
    <n v="0"/>
    <n v="0"/>
    <n v="0"/>
    <n v="143444.91655261492"/>
    <n v="2205318.2530776719"/>
    <n v="0"/>
    <n v="0"/>
    <n v="0"/>
    <n v="0"/>
    <n v="0"/>
    <n v="0"/>
    <n v="2205318.2530776719"/>
    <n v="1743.5313539896949"/>
    <n v="0"/>
    <n v="0"/>
    <n v="0"/>
    <n v="320473.1895899123"/>
    <n v="9513.7499573262594"/>
    <n v="331730.47090122825"/>
    <n v="2537048.7239789004"/>
    <n v="1.0720000000000001"/>
    <n v="1.04"/>
    <n v="1.0720000000000001"/>
    <n v="1.04"/>
    <n v="1.1120000000000001"/>
    <n v="1.095"/>
    <n v="1.1120000000000001"/>
    <n v="1.1120000000000001"/>
  </r>
  <r>
    <x v="1"/>
    <x v="2"/>
    <x v="6"/>
    <x v="64"/>
    <x v="111"/>
    <s v="Hot Water"/>
    <n v="4"/>
    <n v="13"/>
    <n v="40000"/>
    <n v="40000"/>
    <n v="0"/>
    <n v="0"/>
    <n v="0"/>
    <n v="0"/>
    <n v="0"/>
    <n v="0"/>
    <n v="0"/>
    <n v="0"/>
    <n v="0"/>
    <n v="0"/>
    <n v="0"/>
    <n v="0"/>
    <n v="0"/>
    <n v="0"/>
    <n v="0"/>
    <n v="265.289063"/>
    <n v="3448.7578189999999"/>
    <n v="265.289063"/>
    <n v="3448.7578189999999"/>
    <n v="0"/>
    <n v="0"/>
    <n v="0"/>
    <n v="0"/>
    <n v="0"/>
    <n v="0"/>
    <n v="0"/>
    <n v="0"/>
    <n v="0"/>
    <n v="0"/>
    <n v="0"/>
    <n v="0"/>
    <n v="0"/>
    <n v="0"/>
    <n v="0"/>
    <n v="0"/>
    <n v="0"/>
    <n v="0"/>
    <n v="0"/>
    <n v="0"/>
    <n v="0"/>
    <n v="0"/>
    <n v="0"/>
    <n v="0"/>
    <n v="0"/>
    <n v="0"/>
    <n v="0"/>
    <n v="0"/>
    <n v="0"/>
    <n v="0"/>
    <n v="0"/>
    <n v="0"/>
    <n v="0"/>
    <n v="27297.128698239092"/>
    <n v="0"/>
    <n v="0"/>
    <n v="0"/>
    <n v="0"/>
    <n v="0"/>
    <n v="27297.128698239092"/>
    <n v="469.4868749011369"/>
    <n v="0"/>
    <n v="2132.3465725674009"/>
    <n v="0"/>
    <n v="0"/>
    <n v="0"/>
    <n v="0"/>
    <n v="0"/>
    <n v="2601.833447468538"/>
    <n v="29898.962145707628"/>
    <n v="0"/>
    <n v="0"/>
    <n v="0"/>
    <n v="0"/>
    <n v="0"/>
    <n v="0"/>
    <n v="29898.962145707628"/>
    <n v="29.3154359521311"/>
    <n v="0"/>
    <n v="0"/>
    <n v="0"/>
    <n v="4491.9252056627929"/>
    <n v="202.06276434417165"/>
    <n v="4723.3034059590955"/>
    <n v="34622.265551666722"/>
    <n v="1.0720000000000001"/>
    <n v="1.04"/>
    <n v="1.0720000000000001"/>
    <n v="1.04"/>
    <n v="1.1120000000000001"/>
    <n v="1.095"/>
    <n v="1.1120000000000001"/>
    <n v="1.1120000000000001"/>
  </r>
  <r>
    <x v="1"/>
    <x v="2"/>
    <x v="6"/>
    <x v="20"/>
    <x v="112"/>
    <s v="Hot Water"/>
    <n v="1167"/>
    <n v="7"/>
    <n v="11848.5"/>
    <n v="11848.5"/>
    <n v="0"/>
    <n v="0"/>
    <n v="0"/>
    <n v="0"/>
    <n v="0"/>
    <n v="0"/>
    <n v="0"/>
    <n v="0"/>
    <n v="0"/>
    <n v="0"/>
    <n v="0"/>
    <n v="0"/>
    <n v="0"/>
    <n v="0"/>
    <n v="0"/>
    <n v="350.09999999999997"/>
    <n v="2450.6999999999998"/>
    <n v="350.09999999999997"/>
    <n v="2450.6999999999998"/>
    <n v="0"/>
    <n v="0"/>
    <n v="0"/>
    <n v="0"/>
    <n v="0"/>
    <n v="0"/>
    <n v="0"/>
    <n v="0"/>
    <n v="826236"/>
    <n v="0"/>
    <n v="0"/>
    <n v="5783652"/>
    <n v="0"/>
    <n v="0"/>
    <n v="0"/>
    <n v="0"/>
    <n v="0"/>
    <n v="0"/>
    <n v="0"/>
    <n v="0"/>
    <n v="0"/>
    <n v="0"/>
    <n v="0"/>
    <n v="0"/>
    <n v="0"/>
    <n v="0"/>
    <n v="0"/>
    <n v="0"/>
    <n v="0"/>
    <n v="0"/>
    <n v="0"/>
    <n v="0"/>
    <n v="0"/>
    <n v="18912.465171488686"/>
    <n v="0"/>
    <n v="0"/>
    <n v="0"/>
    <n v="0"/>
    <n v="0"/>
    <n v="18912.465171488686"/>
    <n v="338.00970211441557"/>
    <n v="0"/>
    <n v="2576.5133898058352"/>
    <n v="0"/>
    <n v="0"/>
    <n v="0"/>
    <n v="0"/>
    <n v="0"/>
    <n v="2914.5230919202509"/>
    <n v="21826.988263408937"/>
    <n v="0"/>
    <n v="0"/>
    <n v="0"/>
    <n v="61702.301319080099"/>
    <n v="0"/>
    <n v="0"/>
    <n v="83529.289582489029"/>
    <n v="4665.9509338669604"/>
    <n v="0"/>
    <n v="0"/>
    <n v="0"/>
    <n v="3233.9866817491684"/>
    <n v="266.66072470878493"/>
    <n v="8166.5983403249138"/>
    <n v="91695.887922813941"/>
    <n v="1.0720000000000001"/>
    <n v="1.04"/>
    <n v="1.0720000000000001"/>
    <n v="1.04"/>
    <n v="1.1120000000000001"/>
    <n v="1.095"/>
    <n v="1.1120000000000001"/>
    <n v="1.1120000000000001"/>
  </r>
  <r>
    <x v="1"/>
    <x v="2"/>
    <x v="6"/>
    <x v="22"/>
    <x v="113"/>
    <s v="Hot Water"/>
    <n v="78"/>
    <n v="7"/>
    <n v="1524.25"/>
    <n v="1524.25"/>
    <n v="0"/>
    <n v="0"/>
    <n v="0"/>
    <n v="0"/>
    <n v="0"/>
    <n v="0"/>
    <n v="0"/>
    <n v="0"/>
    <n v="0"/>
    <n v="0"/>
    <n v="0"/>
    <n v="0"/>
    <n v="0"/>
    <n v="0"/>
    <n v="0"/>
    <n v="129.47999999999999"/>
    <n v="906.3599999999999"/>
    <n v="129.47999999999999"/>
    <n v="906.3599999999999"/>
    <n v="0"/>
    <n v="0"/>
    <n v="0"/>
    <n v="0"/>
    <n v="0"/>
    <n v="0"/>
    <n v="0"/>
    <n v="0"/>
    <n v="212394"/>
    <n v="0"/>
    <n v="0"/>
    <n v="1486758"/>
    <n v="0"/>
    <n v="0"/>
    <n v="0"/>
    <n v="0"/>
    <n v="0"/>
    <n v="0"/>
    <n v="0"/>
    <n v="0"/>
    <n v="0"/>
    <n v="0"/>
    <n v="0"/>
    <n v="0"/>
    <n v="0"/>
    <n v="0"/>
    <n v="0"/>
    <n v="0"/>
    <n v="0"/>
    <n v="0"/>
    <n v="0"/>
    <n v="0"/>
    <n v="0"/>
    <n v="6994.5329631658242"/>
    <n v="0"/>
    <n v="0"/>
    <n v="0"/>
    <n v="0"/>
    <n v="0"/>
    <n v="6994.5329631658242"/>
    <n v="125.00855821129542"/>
    <n v="0"/>
    <n v="952.89047047146403"/>
    <n v="0"/>
    <n v="0"/>
    <n v="0"/>
    <n v="0"/>
    <n v="0"/>
    <n v="1077.8990286827595"/>
    <n v="8072.4319918485835"/>
    <n v="0"/>
    <n v="0"/>
    <n v="0"/>
    <n v="15861.326045300251"/>
    <n v="0"/>
    <n v="0"/>
    <n v="23933.758037148837"/>
    <n v="311.8630444229845"/>
    <n v="0"/>
    <n v="0"/>
    <n v="0"/>
    <n v="1196.0485448525633"/>
    <n v="98.621052942854817"/>
    <n v="1606.5326422184025"/>
    <n v="25540.290679367237"/>
    <n v="1.0720000000000001"/>
    <n v="1.04"/>
    <n v="1.0720000000000001"/>
    <n v="1.04"/>
    <n v="1.1120000000000001"/>
    <n v="1.095"/>
    <n v="1.1120000000000001"/>
    <n v="1.1120000000000001"/>
  </r>
  <r>
    <x v="1"/>
    <x v="2"/>
    <x v="6"/>
    <x v="21"/>
    <x v="114"/>
    <s v="Hot Water"/>
    <n v="504"/>
    <n v="7"/>
    <n v="9672.75"/>
    <n v="9672.75"/>
    <n v="0"/>
    <n v="0"/>
    <n v="0"/>
    <n v="0"/>
    <n v="0"/>
    <n v="0"/>
    <n v="0"/>
    <n v="0"/>
    <n v="0"/>
    <n v="0"/>
    <n v="0"/>
    <n v="0"/>
    <n v="0"/>
    <n v="0"/>
    <n v="0"/>
    <n v="539.28000000000009"/>
    <n v="3774.9600000000005"/>
    <n v="539.28000000000009"/>
    <n v="3774.9600000000005"/>
    <n v="0"/>
    <n v="0"/>
    <n v="0"/>
    <n v="0"/>
    <n v="0"/>
    <n v="0"/>
    <n v="0"/>
    <n v="0"/>
    <n v="886536"/>
    <n v="0"/>
    <n v="0"/>
    <n v="6205752"/>
    <n v="0"/>
    <n v="0"/>
    <n v="0"/>
    <n v="0"/>
    <n v="0"/>
    <n v="0"/>
    <n v="0"/>
    <n v="0"/>
    <n v="0"/>
    <n v="0"/>
    <n v="0"/>
    <n v="0"/>
    <n v="0"/>
    <n v="0"/>
    <n v="0"/>
    <n v="0"/>
    <n v="0"/>
    <n v="0"/>
    <n v="0"/>
    <n v="0"/>
    <n v="0"/>
    <n v="29132.002906827824"/>
    <n v="0"/>
    <n v="0"/>
    <n v="0"/>
    <n v="0"/>
    <n v="0"/>
    <n v="29132.002906827824"/>
    <n v="520.65658999217953"/>
    <n v="0"/>
    <n v="3968.7579001842082"/>
    <n v="0"/>
    <n v="0"/>
    <n v="0"/>
    <n v="0"/>
    <n v="0"/>
    <n v="4489.4144901763875"/>
    <n v="33621.41739700421"/>
    <n v="0"/>
    <n v="0"/>
    <n v="0"/>
    <n v="66205.432106821769"/>
    <n v="0"/>
    <n v="0"/>
    <n v="99826.849503825972"/>
    <n v="2015.1150562715923"/>
    <n v="0"/>
    <n v="0"/>
    <n v="0"/>
    <n v="4981.5033925555335"/>
    <n v="410.75348649229807"/>
    <n v="7407.3719353194238"/>
    <n v="107234.22143914539"/>
    <n v="1.0720000000000001"/>
    <n v="1.04"/>
    <n v="1.0720000000000001"/>
    <n v="1.04"/>
    <n v="1.1120000000000001"/>
    <n v="1.095"/>
    <n v="1.1120000000000001"/>
    <n v="1.1120000000000001"/>
  </r>
  <r>
    <x v="1"/>
    <x v="2"/>
    <x v="6"/>
    <x v="25"/>
    <x v="115"/>
    <s v="HVAC"/>
    <n v="26"/>
    <n v="15"/>
    <n v="2980.9"/>
    <n v="2980.9"/>
    <n v="0"/>
    <n v="0"/>
    <n v="0"/>
    <n v="0"/>
    <n v="0"/>
    <n v="0"/>
    <n v="0"/>
    <n v="0"/>
    <n v="0"/>
    <n v="0"/>
    <n v="0"/>
    <n v="0"/>
    <n v="0"/>
    <n v="0"/>
    <n v="0"/>
    <n v="44.849999999999994"/>
    <n v="672.74999999999989"/>
    <n v="44.849999999999994"/>
    <n v="672.74999999999989"/>
    <n v="0"/>
    <n v="0"/>
    <n v="0"/>
    <n v="0"/>
    <n v="0"/>
    <n v="0"/>
    <n v="0"/>
    <n v="0"/>
    <n v="0"/>
    <n v="0"/>
    <n v="0"/>
    <n v="0"/>
    <n v="0"/>
    <n v="0"/>
    <n v="0"/>
    <n v="0"/>
    <n v="0"/>
    <n v="0"/>
    <n v="0"/>
    <n v="0"/>
    <n v="0"/>
    <n v="0"/>
    <n v="0"/>
    <n v="0"/>
    <n v="0"/>
    <n v="0"/>
    <n v="0"/>
    <n v="0"/>
    <n v="0"/>
    <n v="0"/>
    <n v="0"/>
    <n v="0"/>
    <n v="0"/>
    <n v="0"/>
    <n v="5673.113884069091"/>
    <n v="0"/>
    <n v="0"/>
    <n v="0"/>
    <n v="0"/>
    <n v="5673.113884069091"/>
    <n v="91.185816474895091"/>
    <n v="0"/>
    <n v="0"/>
    <n v="347.23738816368359"/>
    <n v="0"/>
    <n v="0"/>
    <n v="0"/>
    <n v="0"/>
    <n v="438.42320463857868"/>
    <n v="6111.5370887076697"/>
    <n v="0"/>
    <n v="0"/>
    <n v="0"/>
    <n v="0"/>
    <n v="0"/>
    <n v="0"/>
    <n v="6111.5370887076697"/>
    <n v="6046.5126506530378"/>
    <n v="0"/>
    <n v="0"/>
    <n v="0"/>
    <n v="872.44157253336436"/>
    <n v="34.160906892856332"/>
    <n v="6953.115130079259"/>
    <n v="13064.652218786929"/>
    <n v="1.0720000000000001"/>
    <n v="1.04"/>
    <n v="1.0720000000000001"/>
    <n v="1.04"/>
    <n v="1.1120000000000001"/>
    <n v="1.095"/>
    <n v="1.1120000000000001"/>
    <n v="1.1120000000000001"/>
  </r>
  <r>
    <x v="1"/>
    <x v="2"/>
    <x v="6"/>
    <x v="78"/>
    <x v="116"/>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79"/>
    <x v="117"/>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15"/>
    <x v="11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24"/>
    <x v="119"/>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85"/>
    <x v="120"/>
    <s v="Hot Water"/>
    <n v="6"/>
    <n v="15"/>
    <n v="18000"/>
    <n v="18000"/>
    <n v="0"/>
    <n v="0"/>
    <n v="0"/>
    <n v="0"/>
    <n v="0"/>
    <n v="0"/>
    <n v="0"/>
    <n v="0"/>
    <n v="0"/>
    <n v="0"/>
    <n v="0"/>
    <n v="0"/>
    <n v="0"/>
    <n v="0"/>
    <n v="0"/>
    <n v="191.4502"/>
    <n v="2871.7529999999997"/>
    <n v="191.4502"/>
    <n v="2871.7529999999997"/>
    <n v="0"/>
    <n v="0"/>
    <n v="0"/>
    <n v="0"/>
    <n v="0"/>
    <n v="0"/>
    <n v="0"/>
    <n v="0"/>
    <n v="0"/>
    <n v="0"/>
    <n v="0"/>
    <n v="0"/>
    <n v="0"/>
    <n v="0"/>
    <n v="0"/>
    <n v="0"/>
    <n v="0"/>
    <n v="0"/>
    <n v="0"/>
    <n v="0"/>
    <n v="0"/>
    <n v="0"/>
    <n v="0"/>
    <n v="0"/>
    <n v="0"/>
    <n v="0"/>
    <n v="0"/>
    <n v="0"/>
    <n v="0"/>
    <n v="0"/>
    <n v="0"/>
    <n v="0"/>
    <n v="0"/>
    <n v="0"/>
    <n v="24216.695378546359"/>
    <n v="0"/>
    <n v="0"/>
    <n v="0"/>
    <n v="0"/>
    <n v="24216.695378546359"/>
    <n v="389.24287182345512"/>
    <n v="0"/>
    <n v="0"/>
    <n v="1482.2445353715686"/>
    <n v="0"/>
    <n v="0"/>
    <n v="0"/>
    <n v="0"/>
    <n v="1871.4874071950237"/>
    <n v="26088.182785741385"/>
    <n v="0"/>
    <n v="0"/>
    <n v="0"/>
    <n v="0"/>
    <n v="0"/>
    <n v="0"/>
    <n v="26088.182785741385"/>
    <n v="0"/>
    <n v="0"/>
    <n v="0"/>
    <n v="0"/>
    <n v="0"/>
    <n v="0"/>
    <n v="0"/>
    <n v="26088.182785741385"/>
    <n v="1.0720000000000001"/>
    <n v="1.04"/>
    <n v="1.0720000000000001"/>
    <n v="1.04"/>
    <n v="1.1120000000000001"/>
    <n v="1.095"/>
    <n v="1.1120000000000001"/>
    <n v="1.1120000000000001"/>
  </r>
  <r>
    <x v="1"/>
    <x v="2"/>
    <x v="6"/>
    <x v="32"/>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80"/>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1"/>
    <x v="2"/>
    <x v="6"/>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86"/>
    <x v="121"/>
    <s v="Custom Measures"/>
    <n v="1"/>
    <n v="15"/>
    <n v="52110.240800000007"/>
    <n v="42527.4"/>
    <n v="9582.8408000000054"/>
    <n v="0"/>
    <n v="0"/>
    <n v="0"/>
    <n v="0"/>
    <n v="0"/>
    <n v="0"/>
    <n v="0"/>
    <n v="0"/>
    <n v="0"/>
    <n v="0"/>
    <n v="0"/>
    <n v="0"/>
    <n v="0"/>
    <n v="0"/>
    <n v="1623.8779999999999"/>
    <n v="24358.17"/>
    <n v="1492.3438819999999"/>
    <n v="22385.158229999997"/>
    <n v="0"/>
    <n v="0"/>
    <n v="0"/>
    <n v="0"/>
    <n v="0"/>
    <n v="0"/>
    <n v="0"/>
    <n v="0"/>
    <n v="0"/>
    <n v="0"/>
    <n v="0"/>
    <n v="0"/>
    <n v="0"/>
    <n v="0"/>
    <n v="0"/>
    <n v="0"/>
    <n v="0"/>
    <n v="0"/>
    <n v="0"/>
    <n v="0"/>
    <n v="0"/>
    <n v="0"/>
    <n v="0"/>
    <n v="0"/>
    <n v="0"/>
    <n v="0"/>
    <n v="0"/>
    <n v="0"/>
    <n v="0"/>
    <n v="0"/>
    <n v="0"/>
    <n v="0"/>
    <n v="0"/>
    <n v="0"/>
    <n v="0"/>
    <n v="0"/>
    <n v="0"/>
    <n v="174583.27461383503"/>
    <n v="0"/>
    <n v="174583.27461383503"/>
    <n v="3034.1269864322076"/>
    <n v="0"/>
    <n v="0"/>
    <n v="0"/>
    <n v="0"/>
    <n v="0"/>
    <n v="12304.05768045787"/>
    <n v="0"/>
    <n v="15338.184666890078"/>
    <n v="189921.4592807251"/>
    <n v="0"/>
    <n v="0"/>
    <n v="0"/>
    <n v="0"/>
    <n v="0"/>
    <n v="0"/>
    <n v="189921.4592807251"/>
    <n v="0"/>
    <n v="0"/>
    <n v="0"/>
    <n v="0"/>
    <n v="-866.55874019376392"/>
    <n v="0"/>
    <n v="-866.55874019376392"/>
    <n v="189054.90054053135"/>
    <n v="1.0720000000000001"/>
    <n v="1.04"/>
    <n v="1.0720000000000001"/>
    <n v="1.04"/>
    <n v="1.1120000000000001"/>
    <n v="1.095"/>
    <n v="1.1120000000000001"/>
    <n v="1.1120000000000001"/>
  </r>
  <r>
    <x v="2"/>
    <x v="3"/>
    <x v="7"/>
    <x v="87"/>
    <x v="121"/>
    <s v="Custom Measures"/>
    <n v="1"/>
    <n v="16"/>
    <n v="241974.43997333333"/>
    <n v="197476.41999999998"/>
    <n v="44498.019973333343"/>
    <n v="0"/>
    <n v="0"/>
    <n v="0"/>
    <n v="0"/>
    <n v="0"/>
    <n v="0"/>
    <n v="0"/>
    <n v="0"/>
    <n v="0"/>
    <n v="0"/>
    <n v="0"/>
    <n v="0"/>
    <n v="0"/>
    <n v="0"/>
    <n v="11732.4226"/>
    <n v="187718.7616"/>
    <n v="10782.0963694"/>
    <n v="172513.5419104"/>
    <n v="0"/>
    <n v="0"/>
    <n v="0"/>
    <n v="0"/>
    <n v="0"/>
    <n v="0"/>
    <n v="0"/>
    <n v="0"/>
    <n v="0"/>
    <n v="0"/>
    <n v="0"/>
    <n v="0"/>
    <n v="0"/>
    <n v="0"/>
    <n v="0"/>
    <n v="0"/>
    <n v="0"/>
    <n v="0"/>
    <n v="0"/>
    <n v="0"/>
    <n v="0"/>
    <n v="0"/>
    <n v="0"/>
    <n v="0"/>
    <n v="0"/>
    <n v="0"/>
    <n v="0"/>
    <n v="0"/>
    <n v="0"/>
    <n v="0"/>
    <n v="0"/>
    <n v="0"/>
    <n v="0"/>
    <n v="0"/>
    <n v="0"/>
    <n v="0"/>
    <n v="0"/>
    <n v="1353869.278113855"/>
    <n v="0"/>
    <n v="1353869.278113855"/>
    <n v="23332.121877411952"/>
    <n v="0"/>
    <n v="0"/>
    <n v="0"/>
    <n v="0"/>
    <n v="0"/>
    <n v="90070.591926743597"/>
    <n v="0"/>
    <n v="113402.71380415554"/>
    <n v="1467271.9919180106"/>
    <n v="0"/>
    <n v="0"/>
    <n v="0"/>
    <n v="0"/>
    <n v="0"/>
    <n v="0"/>
    <n v="1467271.9919180106"/>
    <n v="0"/>
    <n v="0"/>
    <n v="0"/>
    <n v="0"/>
    <n v="-6663.746847297356"/>
    <n v="0"/>
    <n v="-6663.746847297356"/>
    <n v="1460608.2450707133"/>
    <n v="1.0720000000000001"/>
    <n v="1.04"/>
    <n v="1.0720000000000001"/>
    <n v="1.04"/>
    <n v="1.1120000000000001"/>
    <n v="1.095"/>
    <n v="1.1120000000000001"/>
    <n v="1.1120000000000001"/>
  </r>
  <r>
    <x v="2"/>
    <x v="3"/>
    <x v="7"/>
    <x v="88"/>
    <x v="121"/>
    <s v="Custom Measures"/>
    <n v="1"/>
    <n v="17"/>
    <n v="760082.74597333348"/>
    <n v="620306.92000000004"/>
    <n v="139775.82597333344"/>
    <n v="0"/>
    <n v="0"/>
    <n v="0"/>
    <n v="0"/>
    <n v="0"/>
    <n v="0"/>
    <n v="0"/>
    <n v="0"/>
    <n v="0"/>
    <n v="0"/>
    <n v="0"/>
    <n v="0"/>
    <n v="0"/>
    <n v="0"/>
    <n v="36290.2696"/>
    <n v="616934.58319999999"/>
    <n v="33350.757762400004"/>
    <n v="566962.88196080003"/>
    <n v="0"/>
    <n v="0"/>
    <n v="0"/>
    <n v="0"/>
    <n v="0"/>
    <n v="0"/>
    <n v="0"/>
    <n v="0"/>
    <n v="0"/>
    <n v="0"/>
    <n v="0"/>
    <n v="0"/>
    <n v="0"/>
    <n v="0"/>
    <n v="0"/>
    <n v="0"/>
    <n v="0"/>
    <n v="0"/>
    <n v="0"/>
    <n v="0"/>
    <n v="0"/>
    <n v="0"/>
    <n v="0"/>
    <n v="0"/>
    <n v="0"/>
    <n v="0"/>
    <n v="0"/>
    <n v="0"/>
    <n v="0"/>
    <n v="0"/>
    <n v="0"/>
    <n v="0"/>
    <n v="0"/>
    <n v="0"/>
    <n v="0"/>
    <n v="0"/>
    <n v="0"/>
    <n v="4477027.5110357478"/>
    <n v="0"/>
    <n v="4477027.5110357478"/>
    <n v="76514.51487924828"/>
    <n v="0"/>
    <n v="0"/>
    <n v="0"/>
    <n v="0"/>
    <n v="0"/>
    <n v="282219.83290176885"/>
    <n v="0"/>
    <n v="358734.34778101713"/>
    <n v="4835761.8588167652"/>
    <n v="0"/>
    <n v="0"/>
    <n v="0"/>
    <n v="0"/>
    <n v="0"/>
    <n v="0"/>
    <n v="4835761.8588167652"/>
    <n v="0"/>
    <n v="0"/>
    <n v="0"/>
    <n v="0"/>
    <n v="-21852.849902721064"/>
    <n v="0"/>
    <n v="-21852.849902721064"/>
    <n v="4813909.0089140441"/>
    <n v="1.0720000000000001"/>
    <n v="1.04"/>
    <n v="1.0720000000000001"/>
    <n v="1.04"/>
    <n v="1.1120000000000001"/>
    <n v="1.095"/>
    <n v="1.1120000000000001"/>
    <n v="1.1120000000000001"/>
  </r>
  <r>
    <x v="2"/>
    <x v="3"/>
    <x v="7"/>
    <x v="89"/>
    <x v="121"/>
    <s v="Custom Measures"/>
    <n v="1"/>
    <n v="18"/>
    <n v="276323.6211466667"/>
    <n v="225508.94"/>
    <n v="50814.681146666699"/>
    <n v="0"/>
    <n v="0"/>
    <n v="0"/>
    <n v="0"/>
    <n v="0"/>
    <n v="0"/>
    <n v="0"/>
    <n v="0"/>
    <n v="0"/>
    <n v="0"/>
    <n v="0"/>
    <n v="0"/>
    <n v="0"/>
    <n v="0"/>
    <n v="13397.880279999999"/>
    <n v="241161.84503999999"/>
    <n v="12312.65197732"/>
    <n v="221627.73559175999"/>
    <n v="0"/>
    <n v="0"/>
    <n v="0"/>
    <n v="0"/>
    <n v="0"/>
    <n v="0"/>
    <n v="0"/>
    <n v="0"/>
    <n v="0"/>
    <n v="0"/>
    <n v="0"/>
    <n v="0"/>
    <n v="0"/>
    <n v="0"/>
    <n v="0"/>
    <n v="0"/>
    <n v="0"/>
    <n v="0"/>
    <n v="0"/>
    <n v="0"/>
    <n v="0"/>
    <n v="0"/>
    <n v="0"/>
    <n v="0"/>
    <n v="0"/>
    <n v="0"/>
    <n v="0"/>
    <n v="0"/>
    <n v="0"/>
    <n v="0"/>
    <n v="0"/>
    <n v="0"/>
    <n v="0"/>
    <n v="0"/>
    <n v="0"/>
    <n v="0"/>
    <n v="0"/>
    <n v="1760828.2904846787"/>
    <n v="0"/>
    <n v="1760828.2904846787"/>
    <n v="29845.040018240441"/>
    <n v="0"/>
    <n v="0"/>
    <n v="0"/>
    <n v="0"/>
    <n v="0"/>
    <n v="105521.2745064706"/>
    <n v="0"/>
    <n v="135366.31452471105"/>
    <n v="1896194.6050093898"/>
    <n v="0"/>
    <n v="0"/>
    <n v="0"/>
    <n v="0"/>
    <n v="0"/>
    <n v="0"/>
    <n v="1896194.6050093898"/>
    <n v="0"/>
    <n v="0"/>
    <n v="0"/>
    <n v="0"/>
    <n v="-8523.8621833855013"/>
    <n v="0"/>
    <n v="-8523.8621833855013"/>
    <n v="1887670.7428260043"/>
    <n v="1.0720000000000001"/>
    <n v="1.04"/>
    <n v="1.0720000000000001"/>
    <n v="1.04"/>
    <n v="1.1120000000000001"/>
    <n v="1.095"/>
    <n v="1.1120000000000001"/>
    <n v="1.1120000000000001"/>
  </r>
  <r>
    <x v="2"/>
    <x v="3"/>
    <x v="7"/>
    <x v="90"/>
    <x v="121"/>
    <s v="Custom Measures"/>
    <n v="1"/>
    <n v="19"/>
    <n v="19547.497599999999"/>
    <n v="15952.8"/>
    <n v="3594.6975999999995"/>
    <n v="0"/>
    <n v="0"/>
    <n v="0"/>
    <n v="0"/>
    <n v="0"/>
    <n v="0"/>
    <n v="0"/>
    <n v="0"/>
    <n v="0"/>
    <n v="0"/>
    <n v="0"/>
    <n v="0"/>
    <n v="0"/>
    <n v="0"/>
    <n v="947.78399999999999"/>
    <n v="18007.896000000001"/>
    <n v="871.01349600000003"/>
    <n v="16549.256423999999"/>
    <n v="0"/>
    <n v="0"/>
    <n v="0"/>
    <n v="0"/>
    <n v="0"/>
    <n v="0"/>
    <n v="0"/>
    <n v="0"/>
    <n v="0"/>
    <n v="0"/>
    <n v="0"/>
    <n v="0"/>
    <n v="0"/>
    <n v="0"/>
    <n v="0"/>
    <n v="0"/>
    <n v="0"/>
    <n v="0"/>
    <n v="0"/>
    <n v="0"/>
    <n v="0"/>
    <n v="0"/>
    <n v="0"/>
    <n v="0"/>
    <n v="0"/>
    <n v="0"/>
    <n v="0"/>
    <n v="0"/>
    <n v="0"/>
    <n v="0"/>
    <n v="0"/>
    <n v="0"/>
    <n v="0"/>
    <n v="0"/>
    <n v="0"/>
    <n v="0"/>
    <n v="0"/>
    <n v="132284.7460194914"/>
    <n v="0"/>
    <n v="132284.7460194914"/>
    <n v="2223.7506783252411"/>
    <n v="0"/>
    <n v="0"/>
    <n v="0"/>
    <n v="0"/>
    <n v="0"/>
    <n v="7558.3550285710089"/>
    <n v="0"/>
    <n v="9782.1057068962509"/>
    <n v="142066.85172638766"/>
    <n v="0"/>
    <n v="0"/>
    <n v="0"/>
    <n v="0"/>
    <n v="0"/>
    <n v="0"/>
    <n v="142066.85172638766"/>
    <n v="0"/>
    <n v="0"/>
    <n v="0"/>
    <n v="0"/>
    <n v="-635.11204209039943"/>
    <n v="0"/>
    <n v="-635.11204209039943"/>
    <n v="141431.73968429727"/>
    <n v="1.0720000000000001"/>
    <n v="1.04"/>
    <n v="1.0720000000000001"/>
    <n v="1.04"/>
    <n v="1.1120000000000001"/>
    <n v="1.095"/>
    <n v="1.1120000000000001"/>
    <n v="1.1120000000000001"/>
  </r>
  <r>
    <x v="2"/>
    <x v="3"/>
    <x v="7"/>
    <x v="91"/>
    <x v="121"/>
    <s v="Custom Measures"/>
    <n v="1"/>
    <n v="20"/>
    <n v="133260.02386666666"/>
    <n v="108754.09999999999"/>
    <n v="24505.923866666664"/>
    <n v="0"/>
    <n v="0"/>
    <n v="0"/>
    <n v="0"/>
    <n v="0"/>
    <n v="0"/>
    <n v="0"/>
    <n v="0"/>
    <n v="0"/>
    <n v="0"/>
    <n v="0"/>
    <n v="0"/>
    <n v="0"/>
    <n v="0"/>
    <n v="6461.2730000000001"/>
    <n v="129225.46"/>
    <n v="5937.9098870000007"/>
    <n v="118758.19774000002"/>
    <n v="0"/>
    <n v="0"/>
    <n v="0"/>
    <n v="0"/>
    <n v="0"/>
    <n v="0"/>
    <n v="0"/>
    <n v="0"/>
    <n v="0"/>
    <n v="0"/>
    <n v="0"/>
    <n v="0"/>
    <n v="0"/>
    <n v="0"/>
    <n v="0"/>
    <n v="0"/>
    <n v="0"/>
    <n v="0"/>
    <n v="0"/>
    <n v="0"/>
    <n v="0"/>
    <n v="0"/>
    <n v="0"/>
    <n v="0"/>
    <n v="0"/>
    <n v="0"/>
    <n v="0"/>
    <n v="0"/>
    <n v="0"/>
    <n v="0"/>
    <n v="0"/>
    <n v="0"/>
    <n v="0"/>
    <n v="0"/>
    <n v="0"/>
    <n v="0"/>
    <n v="0"/>
    <n v="955030.95285368513"/>
    <n v="0"/>
    <n v="955030.95285368513"/>
    <n v="15923.240545727282"/>
    <n v="0"/>
    <n v="0"/>
    <n v="0"/>
    <n v="0"/>
    <n v="0"/>
    <n v="52162.697464061654"/>
    <n v="0"/>
    <n v="68085.938009788937"/>
    <n v="1023116.8908634741"/>
    <n v="0"/>
    <n v="0"/>
    <n v="0"/>
    <n v="0"/>
    <n v="0"/>
    <n v="0"/>
    <n v="1023116.8908634741"/>
    <n v="0"/>
    <n v="0"/>
    <n v="0"/>
    <n v="0"/>
    <n v="-4547.7408588402841"/>
    <n v="0"/>
    <n v="-4547.7408588402841"/>
    <n v="1018569.1500046338"/>
    <n v="1.0720000000000001"/>
    <n v="1.04"/>
    <n v="1.0720000000000001"/>
    <n v="1.04"/>
    <n v="1.1120000000000001"/>
    <n v="1.095"/>
    <n v="1.1120000000000001"/>
    <n v="1.1120000000000001"/>
  </r>
  <r>
    <x v="2"/>
    <x v="3"/>
    <x v="7"/>
    <x v="92"/>
    <x v="122"/>
    <s v="Envelope"/>
    <n v="1"/>
    <n v="25"/>
    <n v="2727.5920000000001"/>
    <n v="2226"/>
    <n v="501.5920000000001"/>
    <n v="0"/>
    <n v="0"/>
    <n v="0"/>
    <n v="0"/>
    <n v="0"/>
    <n v="0"/>
    <n v="0"/>
    <n v="0"/>
    <n v="0"/>
    <n v="0"/>
    <n v="0"/>
    <n v="0"/>
    <n v="0"/>
    <n v="0"/>
    <n v="115.60360000000001"/>
    <n v="2890.09"/>
    <n v="106.23970840000001"/>
    <n v="2655.9927100000004"/>
    <n v="0"/>
    <n v="0"/>
    <n v="0"/>
    <n v="0"/>
    <n v="0"/>
    <n v="0"/>
    <n v="0"/>
    <n v="0"/>
    <n v="0"/>
    <n v="0"/>
    <n v="0"/>
    <n v="0"/>
    <n v="0"/>
    <n v="0"/>
    <n v="0"/>
    <n v="0"/>
    <n v="0"/>
    <n v="0"/>
    <n v="0"/>
    <n v="0"/>
    <n v="0"/>
    <n v="0"/>
    <n v="0"/>
    <n v="0"/>
    <n v="0"/>
    <n v="0"/>
    <n v="0"/>
    <n v="0"/>
    <n v="0"/>
    <n v="0"/>
    <n v="0"/>
    <n v="0"/>
    <n v="0"/>
    <n v="0"/>
    <n v="0"/>
    <n v="0"/>
    <n v="0"/>
    <n v="22005.988089666043"/>
    <n v="0"/>
    <n v="22005.988089666043"/>
    <n v="352.29496991925646"/>
    <n v="0"/>
    <n v="0"/>
    <n v="0"/>
    <n v="0"/>
    <n v="0"/>
    <n v="989.39660592879613"/>
    <n v="0"/>
    <n v="1341.6915758480527"/>
    <n v="23347.679665514097"/>
    <n v="0"/>
    <n v="0"/>
    <n v="0"/>
    <n v="0"/>
    <n v="0"/>
    <n v="0"/>
    <n v="23347.679665514097"/>
    <n v="0"/>
    <n v="0"/>
    <n v="0"/>
    <n v="0"/>
    <n v="0"/>
    <n v="0"/>
    <n v="0"/>
    <n v="23347.679665514097"/>
    <n v="1.0720000000000001"/>
    <n v="1.04"/>
    <n v="1.0720000000000001"/>
    <n v="1.04"/>
    <n v="1.1120000000000001"/>
    <n v="1.095"/>
    <n v="1.1120000000000001"/>
    <n v="1.1120000000000001"/>
  </r>
  <r>
    <x v="2"/>
    <x v="3"/>
    <x v="7"/>
    <x v="93"/>
    <x v="123"/>
    <s v="Food Service"/>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94"/>
    <x v="124"/>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95"/>
    <x v="125"/>
    <s v="HVAC"/>
    <n v="1"/>
    <n v="15"/>
    <n v="582584.7333333334"/>
    <n v="475450"/>
    <n v="107134.7333333334"/>
    <n v="0"/>
    <n v="0"/>
    <n v="0"/>
    <n v="0"/>
    <n v="0"/>
    <n v="0"/>
    <n v="0"/>
    <n v="0"/>
    <n v="0"/>
    <n v="0"/>
    <n v="0"/>
    <n v="0"/>
    <n v="0"/>
    <n v="0"/>
    <n v="14815.022000000001"/>
    <n v="222225.33000000002"/>
    <n v="13615.005218000002"/>
    <n v="204225.07827000003"/>
    <n v="0"/>
    <n v="0"/>
    <n v="0"/>
    <n v="0"/>
    <n v="0"/>
    <n v="0"/>
    <n v="0"/>
    <n v="0"/>
    <n v="0"/>
    <n v="0"/>
    <n v="0"/>
    <n v="0"/>
    <n v="0"/>
    <n v="0"/>
    <n v="0"/>
    <n v="0"/>
    <n v="0"/>
    <n v="0"/>
    <n v="0"/>
    <n v="0"/>
    <n v="0"/>
    <n v="0"/>
    <n v="0"/>
    <n v="0"/>
    <n v="0"/>
    <n v="0"/>
    <n v="0"/>
    <n v="0"/>
    <n v="0"/>
    <n v="0"/>
    <n v="0"/>
    <n v="0"/>
    <n v="0"/>
    <n v="0"/>
    <n v="0"/>
    <n v="0"/>
    <n v="0"/>
    <n v="1592764.3913126527"/>
    <n v="0"/>
    <n v="1592764.3913126527"/>
    <n v="27681.056122927257"/>
    <n v="0"/>
    <n v="0"/>
    <n v="0"/>
    <n v="0"/>
    <n v="0"/>
    <n v="112252.82023973005"/>
    <n v="0"/>
    <n v="139933.87636265729"/>
    <n v="1732698.2676753099"/>
    <n v="0"/>
    <n v="0"/>
    <n v="0"/>
    <n v="0"/>
    <n v="0"/>
    <n v="0"/>
    <n v="1732698.2676753099"/>
    <n v="0"/>
    <n v="0"/>
    <n v="0"/>
    <n v="0"/>
    <n v="0"/>
    <n v="0"/>
    <n v="0"/>
    <n v="1732698.2676753099"/>
    <n v="1.0720000000000001"/>
    <n v="1.04"/>
    <n v="1.0720000000000001"/>
    <n v="1.04"/>
    <n v="1.1120000000000001"/>
    <n v="1.095"/>
    <n v="1.1120000000000001"/>
    <n v="1.1120000000000001"/>
  </r>
  <r>
    <x v="2"/>
    <x v="3"/>
    <x v="7"/>
    <x v="96"/>
    <x v="125"/>
    <s v="HVAC"/>
    <n v="1"/>
    <n v="20"/>
    <n v="127948.08133333335"/>
    <n v="104419"/>
    <n v="23529.08133333335"/>
    <n v="0"/>
    <n v="0"/>
    <n v="0"/>
    <n v="0"/>
    <n v="0"/>
    <n v="0"/>
    <n v="0"/>
    <n v="0"/>
    <n v="0"/>
    <n v="0"/>
    <n v="0"/>
    <n v="0"/>
    <n v="0"/>
    <n v="0"/>
    <n v="1950.2265"/>
    <n v="39004.53"/>
    <n v="1792.2581535000002"/>
    <n v="35845.163070000002"/>
    <n v="0"/>
    <n v="0"/>
    <n v="0"/>
    <n v="0"/>
    <n v="0"/>
    <n v="0"/>
    <n v="0"/>
    <n v="0"/>
    <n v="0"/>
    <n v="0"/>
    <n v="0"/>
    <n v="0"/>
    <n v="0"/>
    <n v="0"/>
    <n v="0"/>
    <n v="0"/>
    <n v="0"/>
    <n v="0"/>
    <n v="0"/>
    <n v="0"/>
    <n v="0"/>
    <n v="0"/>
    <n v="0"/>
    <n v="0"/>
    <n v="0"/>
    <n v="0"/>
    <n v="0"/>
    <n v="0"/>
    <n v="0"/>
    <n v="0"/>
    <n v="0"/>
    <n v="0"/>
    <n v="0"/>
    <n v="0"/>
    <n v="0"/>
    <n v="0"/>
    <n v="0"/>
    <n v="288260.01820005244"/>
    <n v="0"/>
    <n v="288260.01820005244"/>
    <n v="4806.1621414467099"/>
    <n v="0"/>
    <n v="0"/>
    <n v="0"/>
    <n v="0"/>
    <n v="0"/>
    <n v="15744.432235860615"/>
    <n v="0"/>
    <n v="20550.594377307323"/>
    <n v="308810.61257735977"/>
    <n v="0"/>
    <n v="0"/>
    <n v="0"/>
    <n v="0"/>
    <n v="0"/>
    <n v="0"/>
    <n v="308810.61257735977"/>
    <n v="0"/>
    <n v="0"/>
    <n v="0"/>
    <n v="0"/>
    <n v="0"/>
    <n v="0"/>
    <n v="0"/>
    <n v="308810.61257735977"/>
    <n v="1.0720000000000001"/>
    <n v="1.04"/>
    <n v="1.0720000000000001"/>
    <n v="1.04"/>
    <n v="1.1120000000000001"/>
    <n v="1.095"/>
    <n v="1.1120000000000001"/>
    <n v="1.1120000000000001"/>
  </r>
  <r>
    <x v="2"/>
    <x v="3"/>
    <x v="7"/>
    <x v="97"/>
    <x v="126"/>
    <s v="HVAC"/>
    <n v="1"/>
    <n v="15"/>
    <n v="196245.95573333337"/>
    <n v="160157.20000000001"/>
    <n v="36088.755733333353"/>
    <n v="0"/>
    <n v="0"/>
    <n v="0"/>
    <n v="0"/>
    <n v="0"/>
    <n v="0"/>
    <n v="0"/>
    <n v="0"/>
    <n v="0"/>
    <n v="0"/>
    <n v="0"/>
    <n v="0"/>
    <n v="0"/>
    <n v="0"/>
    <n v="6530.1233000000011"/>
    <n v="97951.849500000011"/>
    <n v="6001.1833127000009"/>
    <n v="90017.749690500015"/>
    <n v="0"/>
    <n v="0"/>
    <n v="0"/>
    <n v="0"/>
    <n v="0"/>
    <n v="0"/>
    <n v="0"/>
    <n v="0"/>
    <n v="0"/>
    <n v="0"/>
    <n v="0"/>
    <n v="0"/>
    <n v="0"/>
    <n v="0"/>
    <n v="0"/>
    <n v="0"/>
    <n v="0"/>
    <n v="0"/>
    <n v="0"/>
    <n v="0"/>
    <n v="0"/>
    <n v="0"/>
    <n v="0"/>
    <n v="0"/>
    <n v="0"/>
    <n v="0"/>
    <n v="0"/>
    <n v="0"/>
    <n v="0"/>
    <n v="0"/>
    <n v="0"/>
    <n v="0"/>
    <n v="0"/>
    <n v="0"/>
    <n v="0"/>
    <n v="0"/>
    <n v="0"/>
    <n v="702054.16253320943"/>
    <n v="0"/>
    <n v="702054.16253320943"/>
    <n v="12201.177261629105"/>
    <n v="0"/>
    <n v="0"/>
    <n v="0"/>
    <n v="0"/>
    <n v="0"/>
    <n v="49478.479136795933"/>
    <n v="0"/>
    <n v="61679.656398425039"/>
    <n v="763733.81893163442"/>
    <n v="0"/>
    <n v="0"/>
    <n v="0"/>
    <n v="0"/>
    <n v="0"/>
    <n v="0"/>
    <n v="763733.81893163442"/>
    <n v="0"/>
    <n v="0"/>
    <n v="0"/>
    <n v="0"/>
    <n v="0"/>
    <n v="0"/>
    <n v="0"/>
    <n v="763733.81893163442"/>
    <n v="1.0720000000000001"/>
    <n v="1.04"/>
    <n v="1.0720000000000001"/>
    <n v="1.04"/>
    <n v="1.1120000000000001"/>
    <n v="1.095"/>
    <n v="1.1120000000000001"/>
    <n v="1.1120000000000001"/>
  </r>
  <r>
    <x v="2"/>
    <x v="3"/>
    <x v="7"/>
    <x v="98"/>
    <x v="126"/>
    <s v="HVAC"/>
    <n v="1"/>
    <n v="20"/>
    <n v="84429.755333333334"/>
    <n v="68903.5"/>
    <n v="15526.255333333334"/>
    <n v="0"/>
    <n v="0"/>
    <n v="0"/>
    <n v="0"/>
    <n v="0"/>
    <n v="0"/>
    <n v="0"/>
    <n v="0"/>
    <n v="0"/>
    <n v="0"/>
    <n v="0"/>
    <n v="0"/>
    <n v="0"/>
    <n v="0"/>
    <n v="2005.3797000000002"/>
    <n v="40107.594000000005"/>
    <n v="1842.9439443000003"/>
    <n v="36858.878886000006"/>
    <n v="0"/>
    <n v="0"/>
    <n v="0"/>
    <n v="0"/>
    <n v="0"/>
    <n v="0"/>
    <n v="0"/>
    <n v="0"/>
    <n v="0"/>
    <n v="0"/>
    <n v="0"/>
    <n v="0"/>
    <n v="0"/>
    <n v="0"/>
    <n v="0"/>
    <n v="0"/>
    <n v="0"/>
    <n v="0"/>
    <n v="0"/>
    <n v="0"/>
    <n v="0"/>
    <n v="0"/>
    <n v="0"/>
    <n v="0"/>
    <n v="0"/>
    <n v="0"/>
    <n v="0"/>
    <n v="0"/>
    <n v="0"/>
    <n v="0"/>
    <n v="0"/>
    <n v="0"/>
    <n v="0"/>
    <n v="0"/>
    <n v="0"/>
    <n v="0"/>
    <n v="0"/>
    <n v="296412.12896041345"/>
    <n v="0"/>
    <n v="296412.12896041345"/>
    <n v="4942.0823649795348"/>
    <n v="0"/>
    <n v="0"/>
    <n v="0"/>
    <n v="0"/>
    <n v="0"/>
    <n v="16189.691194238458"/>
    <n v="0"/>
    <n v="21131.773559217992"/>
    <n v="317543.90251963143"/>
    <n v="0"/>
    <n v="0"/>
    <n v="0"/>
    <n v="0"/>
    <n v="0"/>
    <n v="0"/>
    <n v="317543.90251963143"/>
    <n v="0"/>
    <n v="0"/>
    <n v="0"/>
    <n v="0"/>
    <n v="0"/>
    <n v="0"/>
    <n v="0"/>
    <n v="317543.90251963143"/>
    <n v="1.0720000000000001"/>
    <n v="1.04"/>
    <n v="1.0720000000000001"/>
    <n v="1.04"/>
    <n v="1.1120000000000001"/>
    <n v="1.095"/>
    <n v="1.1120000000000001"/>
    <n v="1.1120000000000001"/>
  </r>
  <r>
    <x v="2"/>
    <x v="3"/>
    <x v="7"/>
    <x v="99"/>
    <x v="126"/>
    <s v="HVAC"/>
    <n v="1"/>
    <n v="25"/>
    <n v="90367.108000000007"/>
    <n v="73749"/>
    <n v="16618.108000000007"/>
    <n v="0"/>
    <n v="0"/>
    <n v="0"/>
    <n v="0"/>
    <n v="0"/>
    <n v="0"/>
    <n v="0"/>
    <n v="0"/>
    <n v="0"/>
    <n v="0"/>
    <n v="0"/>
    <n v="0"/>
    <n v="0"/>
    <n v="0"/>
    <n v="2998.2152000000001"/>
    <n v="74955.38"/>
    <n v="2755.3597688"/>
    <n v="68883.994219999993"/>
    <n v="0"/>
    <n v="0"/>
    <n v="0"/>
    <n v="0"/>
    <n v="0"/>
    <n v="0"/>
    <n v="0"/>
    <n v="0"/>
    <n v="0"/>
    <n v="0"/>
    <n v="0"/>
    <n v="0"/>
    <n v="0"/>
    <n v="0"/>
    <n v="0"/>
    <n v="0"/>
    <n v="0"/>
    <n v="0"/>
    <n v="0"/>
    <n v="0"/>
    <n v="0"/>
    <n v="0"/>
    <n v="0"/>
    <n v="0"/>
    <n v="0"/>
    <n v="0"/>
    <n v="0"/>
    <n v="0"/>
    <n v="0"/>
    <n v="0"/>
    <n v="0"/>
    <n v="0"/>
    <n v="0"/>
    <n v="0"/>
    <n v="0"/>
    <n v="0"/>
    <n v="0"/>
    <n v="570732.12236864341"/>
    <n v="0"/>
    <n v="570732.12236864341"/>
    <n v="9136.8792468007687"/>
    <n v="0"/>
    <n v="0"/>
    <n v="0"/>
    <n v="0"/>
    <n v="0"/>
    <n v="25660.307661042789"/>
    <n v="0"/>
    <n v="34797.186907843556"/>
    <n v="605529.30927648698"/>
    <n v="0"/>
    <n v="0"/>
    <n v="0"/>
    <n v="0"/>
    <n v="0"/>
    <n v="0"/>
    <n v="605529.30927648698"/>
    <n v="0"/>
    <n v="0"/>
    <n v="0"/>
    <n v="0"/>
    <n v="0"/>
    <n v="0"/>
    <n v="0"/>
    <n v="605529.30927648698"/>
    <n v="1.0720000000000001"/>
    <n v="1.04"/>
    <n v="1.0720000000000001"/>
    <n v="1.04"/>
    <n v="1.1120000000000001"/>
    <n v="1.095"/>
    <n v="1.1120000000000001"/>
    <n v="1.1120000000000001"/>
  </r>
  <r>
    <x v="2"/>
    <x v="3"/>
    <x v="7"/>
    <x v="100"/>
    <x v="127"/>
    <s v="HVAC"/>
    <s v=""/>
    <n v="2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01"/>
    <x v="128"/>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02"/>
    <x v="129"/>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103"/>
    <x v="130"/>
    <s v="Hot Water"/>
    <n v="15"/>
    <n v="15"/>
    <n v="246096.42857142852"/>
    <n v="93847.410999999993"/>
    <n v="152249.01757142853"/>
    <n v="0"/>
    <n v="0"/>
    <n v="0"/>
    <n v="0"/>
    <n v="0"/>
    <n v="0"/>
    <n v="0"/>
    <n v="0"/>
    <n v="0"/>
    <n v="0"/>
    <n v="0"/>
    <n v="0"/>
    <n v="0"/>
    <n v="0"/>
    <n v="5362.7091999999993"/>
    <n v="80440.637999999992"/>
    <n v="5362.7091999999993"/>
    <n v="80440.637999999992"/>
    <n v="0"/>
    <n v="0"/>
    <n v="0"/>
    <n v="0"/>
    <n v="0"/>
    <n v="0"/>
    <n v="0"/>
    <n v="0"/>
    <n v="0"/>
    <n v="0"/>
    <n v="0"/>
    <n v="0"/>
    <n v="0"/>
    <n v="0"/>
    <n v="0"/>
    <n v="0"/>
    <n v="0"/>
    <n v="0"/>
    <n v="0"/>
    <n v="0"/>
    <n v="0"/>
    <n v="0"/>
    <n v="0"/>
    <n v="0"/>
    <n v="0"/>
    <n v="0"/>
    <n v="0"/>
    <n v="0"/>
    <n v="0"/>
    <n v="0"/>
    <n v="0"/>
    <n v="0"/>
    <n v="0"/>
    <n v="0"/>
    <n v="0"/>
    <n v="0"/>
    <n v="558596.59246535925"/>
    <n v="0"/>
    <n v="0"/>
    <n v="558596.59246535925"/>
    <n v="10903.077300321773"/>
    <n v="0"/>
    <n v="0"/>
    <n v="0"/>
    <n v="0"/>
    <n v="49667.206446038974"/>
    <n v="0"/>
    <n v="0"/>
    <n v="60570.283746360743"/>
    <n v="619166.87621172005"/>
    <n v="0"/>
    <n v="0"/>
    <n v="0"/>
    <n v="0"/>
    <n v="0"/>
    <n v="0"/>
    <n v="619166.87621172005"/>
    <n v="0"/>
    <n v="0"/>
    <n v="0"/>
    <n v="0"/>
    <n v="0"/>
    <n v="0"/>
    <n v="0"/>
    <n v="619166.87621172005"/>
    <n v="1.0720000000000001"/>
    <n v="1.04"/>
    <n v="1.0720000000000001"/>
    <n v="1.04"/>
    <n v="1.1120000000000001"/>
    <n v="1.095"/>
    <n v="1.1120000000000001"/>
    <n v="1.1120000000000001"/>
  </r>
  <r>
    <x v="2"/>
    <x v="3"/>
    <x v="7"/>
    <x v="104"/>
    <x v="131"/>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105"/>
    <x v="132"/>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106"/>
    <x v="13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107"/>
    <x v="134"/>
    <s v="HVAC"/>
    <n v="15"/>
    <n v="25"/>
    <n v="492192.85714285704"/>
    <n v="59734.743250000007"/>
    <n v="432458.11389285704"/>
    <n v="0"/>
    <n v="0"/>
    <n v="0"/>
    <n v="0"/>
    <n v="0"/>
    <n v="0"/>
    <n v="0"/>
    <n v="0"/>
    <n v="0"/>
    <n v="0"/>
    <n v="0"/>
    <n v="0"/>
    <n v="0"/>
    <n v="0"/>
    <n v="3413.4139000000005"/>
    <n v="85335.347500000018"/>
    <n v="3413.4139000000005"/>
    <n v="85335.347500000018"/>
    <n v="0"/>
    <n v="0"/>
    <n v="0"/>
    <n v="0"/>
    <n v="0"/>
    <n v="0"/>
    <n v="0"/>
    <n v="0"/>
    <n v="0"/>
    <n v="0"/>
    <n v="0"/>
    <n v="0"/>
    <n v="0"/>
    <n v="0"/>
    <n v="0"/>
    <n v="0"/>
    <n v="0"/>
    <n v="0"/>
    <n v="0"/>
    <n v="0"/>
    <n v="0"/>
    <n v="0"/>
    <n v="0"/>
    <n v="0"/>
    <n v="0"/>
    <n v="0"/>
    <n v="0"/>
    <n v="0"/>
    <n v="0"/>
    <n v="0"/>
    <n v="0"/>
    <n v="0"/>
    <n v="0"/>
    <n v="0"/>
    <n v="0"/>
    <n v="0"/>
    <n v="0"/>
    <n v="707038.32643897319"/>
    <n v="0"/>
    <n v="707038.32643897319"/>
    <n v="11319.012122048256"/>
    <n v="0"/>
    <n v="0"/>
    <n v="0"/>
    <n v="0"/>
    <n v="0"/>
    <n v="31788.680316917878"/>
    <n v="0"/>
    <n v="43107.692438966136"/>
    <n v="750146.01887793932"/>
    <n v="0"/>
    <n v="0"/>
    <n v="0"/>
    <n v="0"/>
    <n v="0"/>
    <n v="0"/>
    <n v="750146.01887793932"/>
    <n v="36020.165852830491"/>
    <n v="0"/>
    <n v="0"/>
    <n v="0"/>
    <n v="0"/>
    <n v="0"/>
    <n v="36020.165852830491"/>
    <n v="786166.18473076983"/>
    <n v="1.0720000000000001"/>
    <n v="1.04"/>
    <n v="1.0720000000000001"/>
    <n v="1.04"/>
    <n v="1.1120000000000001"/>
    <n v="1.095"/>
    <n v="1.1120000000000001"/>
    <n v="1.1120000000000001"/>
  </r>
  <r>
    <x v="2"/>
    <x v="3"/>
    <x v="7"/>
    <x v="108"/>
    <x v="13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7"/>
    <x v="109"/>
    <x v="136"/>
    <s v="Custom Measures"/>
    <n v="1"/>
    <n v="10"/>
    <n v="165234.97466666668"/>
    <n v="134849"/>
    <n v="30385.974666666676"/>
    <n v="0"/>
    <n v="0"/>
    <n v="0"/>
    <n v="0"/>
    <n v="0"/>
    <n v="0"/>
    <n v="0"/>
    <n v="0"/>
    <n v="0"/>
    <n v="0"/>
    <n v="0"/>
    <n v="0"/>
    <n v="0"/>
    <n v="0"/>
    <n v="9954.6073000000015"/>
    <n v="99546.073000000019"/>
    <n v="9148.2841087000015"/>
    <n v="91482.841087000008"/>
    <n v="0"/>
    <n v="0"/>
    <n v="0"/>
    <n v="0"/>
    <n v="0"/>
    <n v="0"/>
    <n v="0"/>
    <n v="0"/>
    <n v="0"/>
    <n v="0"/>
    <n v="0"/>
    <n v="0"/>
    <n v="0"/>
    <n v="0"/>
    <n v="0"/>
    <n v="0"/>
    <n v="0"/>
    <n v="0"/>
    <n v="0"/>
    <n v="0"/>
    <n v="0"/>
    <n v="0"/>
    <n v="0"/>
    <n v="0"/>
    <n v="0"/>
    <n v="0"/>
    <n v="0"/>
    <n v="0"/>
    <n v="0"/>
    <n v="0"/>
    <n v="0"/>
    <n v="0"/>
    <n v="0"/>
    <n v="0"/>
    <n v="0"/>
    <n v="0"/>
    <n v="0"/>
    <n v="0"/>
    <n v="666468.9856840648"/>
    <n v="666468.9856840648"/>
    <n v="12535.347886128189"/>
    <n v="0"/>
    <n v="0"/>
    <n v="0"/>
    <n v="0"/>
    <n v="0"/>
    <n v="0"/>
    <n v="73254.904231448556"/>
    <n v="85790.252117576747"/>
    <n v="752259.23780164158"/>
    <n v="0"/>
    <n v="0"/>
    <n v="0"/>
    <n v="0"/>
    <n v="0"/>
    <n v="0"/>
    <n v="752259.23780164158"/>
    <n v="0"/>
    <n v="0"/>
    <n v="0"/>
    <n v="0"/>
    <n v="-26851.089260605619"/>
    <n v="0"/>
    <n v="-26851.089260605619"/>
    <n v="725408.14854103595"/>
    <n v="1.0720000000000001"/>
    <n v="1.04"/>
    <n v="1.0720000000000001"/>
    <n v="1.04"/>
    <n v="1.1120000000000001"/>
    <n v="1.095"/>
    <n v="1.1120000000000001"/>
    <n v="1.1120000000000001"/>
  </r>
  <r>
    <x v="2"/>
    <x v="3"/>
    <x v="7"/>
    <x v="110"/>
    <x v="136"/>
    <s v="Custom Measures"/>
    <n v="1"/>
    <n v="15"/>
    <n v="30451.371333333336"/>
    <n v="24851.5"/>
    <n v="5599.8713333333362"/>
    <n v="0"/>
    <n v="0"/>
    <n v="0"/>
    <n v="0"/>
    <n v="0"/>
    <n v="0"/>
    <n v="0"/>
    <n v="0"/>
    <n v="0"/>
    <n v="0"/>
    <n v="0"/>
    <n v="0"/>
    <n v="0"/>
    <n v="0"/>
    <n v="920.62220000000002"/>
    <n v="13809.333000000001"/>
    <n v="846.05180180000002"/>
    <n v="12690.777027"/>
    <n v="0"/>
    <n v="0"/>
    <n v="0"/>
    <n v="0"/>
    <n v="0"/>
    <n v="0"/>
    <n v="0"/>
    <n v="0"/>
    <n v="0"/>
    <n v="0"/>
    <n v="0"/>
    <n v="0"/>
    <n v="0"/>
    <n v="0"/>
    <n v="0"/>
    <n v="0"/>
    <n v="0"/>
    <n v="0"/>
    <n v="0"/>
    <n v="0"/>
    <n v="0"/>
    <n v="0"/>
    <n v="0"/>
    <n v="0"/>
    <n v="0"/>
    <n v="0"/>
    <n v="0"/>
    <n v="0"/>
    <n v="0"/>
    <n v="0"/>
    <n v="0"/>
    <n v="0"/>
    <n v="0"/>
    <n v="0"/>
    <n v="0"/>
    <n v="0"/>
    <n v="0"/>
    <n v="0"/>
    <n v="95092.483566357405"/>
    <n v="95092.483566357405"/>
    <n v="1720.1320920220542"/>
    <n v="0"/>
    <n v="0"/>
    <n v="0"/>
    <n v="0"/>
    <n v="0"/>
    <n v="0"/>
    <n v="7351.4535808362489"/>
    <n v="9071.5856728583021"/>
    <n v="104164.06923921571"/>
    <n v="0"/>
    <n v="0"/>
    <n v="0"/>
    <n v="0"/>
    <n v="0"/>
    <n v="0"/>
    <n v="104164.06923921571"/>
    <n v="0"/>
    <n v="0"/>
    <n v="0"/>
    <n v="0"/>
    <n v="-3684.5742744824952"/>
    <n v="0"/>
    <n v="-3684.5742744824952"/>
    <n v="100479.49496473321"/>
    <n v="1.0720000000000001"/>
    <n v="1.04"/>
    <n v="1.0720000000000001"/>
    <n v="1.04"/>
    <n v="1.1120000000000001"/>
    <n v="1.095"/>
    <n v="1.1120000000000001"/>
    <n v="1.1120000000000001"/>
  </r>
  <r>
    <x v="2"/>
    <x v="3"/>
    <x v="7"/>
    <x v="111"/>
    <x v="136"/>
    <s v="Custom Measures"/>
    <n v="1"/>
    <n v="20"/>
    <n v="194857.408"/>
    <n v="159024"/>
    <n v="35833.407999999996"/>
    <n v="0"/>
    <n v="0"/>
    <n v="0"/>
    <n v="0"/>
    <n v="0"/>
    <n v="0"/>
    <n v="0"/>
    <n v="0"/>
    <n v="0"/>
    <n v="0"/>
    <n v="0"/>
    <n v="0"/>
    <n v="0"/>
    <n v="0"/>
    <n v="1194.9860000000001"/>
    <n v="23899.72"/>
    <n v="1098.1921340000001"/>
    <n v="21963.842680000002"/>
    <n v="0"/>
    <n v="0"/>
    <n v="0"/>
    <n v="0"/>
    <n v="0"/>
    <n v="0"/>
    <n v="0"/>
    <n v="0"/>
    <n v="0"/>
    <n v="0"/>
    <n v="0"/>
    <n v="0"/>
    <n v="0"/>
    <n v="0"/>
    <n v="0"/>
    <n v="0"/>
    <n v="0"/>
    <n v="0"/>
    <n v="0"/>
    <n v="0"/>
    <n v="0"/>
    <n v="0"/>
    <n v="0"/>
    <n v="0"/>
    <n v="0"/>
    <n v="0"/>
    <n v="0"/>
    <n v="0"/>
    <n v="0"/>
    <n v="0"/>
    <n v="0"/>
    <n v="0"/>
    <n v="0"/>
    <n v="0"/>
    <n v="0"/>
    <n v="0"/>
    <n v="0"/>
    <n v="0"/>
    <n v="170067.46426862988"/>
    <n v="170067.46426862988"/>
    <n v="2944.9381765445387"/>
    <n v="0"/>
    <n v="0"/>
    <n v="0"/>
    <n v="0"/>
    <n v="0"/>
    <n v="0"/>
    <n v="10273.15654356648"/>
    <n v="13218.094720111018"/>
    <n v="183285.5589887409"/>
    <n v="0"/>
    <n v="0"/>
    <n v="0"/>
    <n v="0"/>
    <n v="0"/>
    <n v="0"/>
    <n v="183285.5589887409"/>
    <n v="0"/>
    <n v="0"/>
    <n v="0"/>
    <n v="0"/>
    <n v="-6308.145459039707"/>
    <n v="0"/>
    <n v="-6308.145459039707"/>
    <n v="176977.41352970118"/>
    <n v="1.0720000000000001"/>
    <n v="1.04"/>
    <n v="1.0720000000000001"/>
    <n v="1.04"/>
    <n v="1.1120000000000001"/>
    <n v="1.095"/>
    <n v="1.1120000000000001"/>
    <n v="1.1120000000000001"/>
  </r>
  <r>
    <x v="2"/>
    <x v="3"/>
    <x v="7"/>
    <x v="112"/>
    <x v="137"/>
    <s v="Custom Measures"/>
    <n v="1"/>
    <n v="20"/>
    <n v="0"/>
    <n v="0"/>
    <n v="0"/>
    <n v="0"/>
    <n v="0"/>
    <n v="0"/>
    <n v="0"/>
    <n v="0"/>
    <n v="0"/>
    <n v="0"/>
    <n v="0"/>
    <n v="0"/>
    <n v="0"/>
    <n v="0"/>
    <n v="0"/>
    <n v="0"/>
    <n v="0"/>
    <n v="3123.3"/>
    <n v="62466"/>
    <n v="3123.3"/>
    <n v="62466"/>
    <n v="0"/>
    <n v="0"/>
    <n v="0"/>
    <n v="0"/>
    <n v="0"/>
    <n v="0"/>
    <n v="0"/>
    <n v="0"/>
    <n v="0"/>
    <n v="0"/>
    <n v="0"/>
    <n v="0"/>
    <n v="0"/>
    <n v="0"/>
    <n v="0"/>
    <n v="0"/>
    <n v="0"/>
    <n v="0"/>
    <n v="0"/>
    <n v="0"/>
    <n v="0"/>
    <n v="0"/>
    <n v="0"/>
    <n v="0"/>
    <n v="0"/>
    <n v="0"/>
    <n v="0"/>
    <n v="0"/>
    <n v="0"/>
    <n v="0"/>
    <n v="0"/>
    <n v="0"/>
    <n v="0"/>
    <n v="0"/>
    <n v="0"/>
    <n v="0"/>
    <n v="0"/>
    <n v="502339.75116030837"/>
    <n v="0"/>
    <n v="502339.75116030837"/>
    <n v="8375.5156516187144"/>
    <n v="0"/>
    <n v="0"/>
    <n v="0"/>
    <n v="0"/>
    <n v="0"/>
    <n v="27437.222202746394"/>
    <n v="0"/>
    <n v="35812.737854365107"/>
    <n v="538152.48901467351"/>
    <n v="0"/>
    <n v="0"/>
    <n v="0"/>
    <n v="0"/>
    <n v="0"/>
    <n v="0"/>
    <n v="538152.48901467351"/>
    <n v="0"/>
    <n v="0"/>
    <n v="0"/>
    <n v="0"/>
    <n v="0"/>
    <n v="0"/>
    <n v="0"/>
    <n v="538152.48901467351"/>
    <n v="1.0720000000000001"/>
    <n v="1.04"/>
    <n v="1.0720000000000001"/>
    <n v="1.04"/>
    <n v="1.1120000000000001"/>
    <n v="1.095"/>
    <n v="1.1120000000000001"/>
    <n v="1.1120000000000001"/>
  </r>
  <r>
    <x v="2"/>
    <x v="3"/>
    <x v="7"/>
    <x v="113"/>
    <x v="138"/>
    <s v="Process"/>
    <n v="1"/>
    <n v="10"/>
    <n v="3758.71"/>
    <n v="3067.5"/>
    <n v="691.21"/>
    <n v="0"/>
    <n v="0"/>
    <n v="0"/>
    <n v="0"/>
    <n v="0"/>
    <n v="0"/>
    <n v="0"/>
    <n v="0"/>
    <n v="0"/>
    <n v="0"/>
    <n v="0"/>
    <n v="0"/>
    <n v="0"/>
    <n v="0"/>
    <n v="159.30549999999999"/>
    <n v="1593.0549999999998"/>
    <n v="146.40175450000001"/>
    <n v="1464.0175450000002"/>
    <n v="0"/>
    <n v="0"/>
    <n v="0"/>
    <n v="0"/>
    <n v="0"/>
    <n v="0"/>
    <n v="0"/>
    <n v="0"/>
    <n v="0"/>
    <n v="0"/>
    <n v="0"/>
    <n v="0"/>
    <n v="0"/>
    <n v="0"/>
    <n v="0"/>
    <n v="0"/>
    <n v="0"/>
    <n v="0"/>
    <n v="0"/>
    <n v="0"/>
    <n v="0"/>
    <n v="0"/>
    <n v="0"/>
    <n v="0"/>
    <n v="0"/>
    <n v="0"/>
    <n v="0"/>
    <n v="0"/>
    <n v="0"/>
    <n v="0"/>
    <n v="0"/>
    <n v="0"/>
    <n v="0"/>
    <n v="0"/>
    <n v="0"/>
    <n v="0"/>
    <n v="0"/>
    <n v="0"/>
    <n v="10665.631681813586"/>
    <n v="10665.631681813586"/>
    <n v="200.6055892002484"/>
    <n v="0"/>
    <n v="0"/>
    <n v="0"/>
    <n v="0"/>
    <n v="0"/>
    <n v="0"/>
    <n v="1172.3123569166842"/>
    <n v="1372.9179461169326"/>
    <n v="12038.549627930519"/>
    <n v="0"/>
    <n v="0"/>
    <n v="0"/>
    <n v="0"/>
    <n v="0"/>
    <n v="0"/>
    <n v="12038.549627930519"/>
    <n v="0"/>
    <n v="0"/>
    <n v="0"/>
    <n v="0"/>
    <n v="0"/>
    <n v="0"/>
    <n v="0"/>
    <n v="12038.549627930519"/>
    <n v="1.0720000000000001"/>
    <n v="1.04"/>
    <n v="1.0720000000000001"/>
    <n v="1.04"/>
    <n v="1.1120000000000001"/>
    <n v="1.095"/>
    <n v="1.1120000000000001"/>
    <n v="1.1120000000000001"/>
  </r>
  <r>
    <x v="2"/>
    <x v="3"/>
    <x v="7"/>
    <x v="114"/>
    <x v="138"/>
    <s v="Process"/>
    <n v="1"/>
    <n v="20"/>
    <n v="365003.5186666667"/>
    <n v="297881"/>
    <n v="67122.5186666667"/>
    <n v="0"/>
    <n v="0"/>
    <n v="0"/>
    <n v="0"/>
    <n v="0"/>
    <n v="0"/>
    <n v="0"/>
    <n v="0"/>
    <n v="0"/>
    <n v="0"/>
    <n v="0"/>
    <n v="0"/>
    <n v="0"/>
    <n v="0"/>
    <n v="34229.400220000003"/>
    <n v="684588.00440000009"/>
    <n v="31456.818802180005"/>
    <n v="629136.37604360015"/>
    <n v="0"/>
    <n v="0"/>
    <n v="0"/>
    <n v="0"/>
    <n v="0"/>
    <n v="0"/>
    <n v="0"/>
    <n v="0"/>
    <n v="0"/>
    <n v="0"/>
    <n v="0"/>
    <n v="0"/>
    <n v="0"/>
    <n v="0"/>
    <n v="0"/>
    <n v="0"/>
    <n v="0"/>
    <n v="0"/>
    <n v="0"/>
    <n v="0"/>
    <n v="0"/>
    <n v="0"/>
    <n v="0"/>
    <n v="0"/>
    <n v="0"/>
    <n v="0"/>
    <n v="0"/>
    <n v="0"/>
    <n v="0"/>
    <n v="0"/>
    <n v="0"/>
    <n v="0"/>
    <n v="0"/>
    <n v="0"/>
    <n v="0"/>
    <n v="0"/>
    <n v="0"/>
    <n v="0"/>
    <n v="4871443.9322732501"/>
    <n v="4871443.9322732501"/>
    <n v="84355.354345657644"/>
    <n v="0"/>
    <n v="0"/>
    <n v="0"/>
    <n v="0"/>
    <n v="0"/>
    <n v="0"/>
    <n v="294266.19797424314"/>
    <n v="378621.55231990077"/>
    <n v="5250065.4845931511"/>
    <n v="0"/>
    <n v="0"/>
    <n v="0"/>
    <n v="0"/>
    <n v="0"/>
    <n v="0"/>
    <n v="5250065.4845931511"/>
    <n v="0"/>
    <n v="0"/>
    <n v="0"/>
    <n v="0"/>
    <n v="0"/>
    <n v="0"/>
    <n v="0"/>
    <n v="5250065.4845931511"/>
    <n v="1.0720000000000001"/>
    <n v="1.04"/>
    <n v="1.0720000000000001"/>
    <n v="1.04"/>
    <n v="1.1120000000000001"/>
    <n v="1.095"/>
    <n v="1.1120000000000001"/>
    <n v="1.1120000000000001"/>
  </r>
  <r>
    <x v="2"/>
    <x v="3"/>
    <x v="7"/>
    <x v="115"/>
    <x v="139"/>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16"/>
    <x v="140"/>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17"/>
    <x v="141"/>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18"/>
    <x v="142"/>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19"/>
    <x v="143"/>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0"/>
    <x v="144"/>
    <s v="HVAC"/>
    <n v="2"/>
    <n v="25"/>
    <n v="5886.4680000000008"/>
    <n v="3000"/>
    <n v="2886.4680000000008"/>
    <n v="0"/>
    <n v="0"/>
    <n v="0"/>
    <n v="0"/>
    <n v="0"/>
    <n v="0"/>
    <n v="0"/>
    <n v="0"/>
    <n v="0"/>
    <n v="0"/>
    <n v="0"/>
    <n v="0"/>
    <n v="0"/>
    <n v="0"/>
    <n v="29.4"/>
    <n v="735"/>
    <n v="24.872400000000003"/>
    <n v="621.81000000000006"/>
    <n v="0"/>
    <n v="0"/>
    <n v="0"/>
    <n v="0"/>
    <n v="0"/>
    <n v="0"/>
    <n v="0"/>
    <n v="0"/>
    <n v="0"/>
    <n v="0"/>
    <n v="0"/>
    <n v="0"/>
    <n v="0"/>
    <n v="0"/>
    <n v="0"/>
    <n v="0"/>
    <n v="0"/>
    <n v="0"/>
    <n v="0"/>
    <n v="0"/>
    <n v="0"/>
    <n v="0"/>
    <n v="0"/>
    <n v="0"/>
    <n v="0"/>
    <n v="0"/>
    <n v="0"/>
    <n v="0"/>
    <n v="0"/>
    <n v="0"/>
    <n v="0"/>
    <n v="0"/>
    <n v="0"/>
    <n v="0"/>
    <n v="0"/>
    <n v="0"/>
    <n v="0"/>
    <n v="5151.9506821369405"/>
    <n v="0"/>
    <n v="5151.9506821369405"/>
    <n v="82.477837541012249"/>
    <n v="0"/>
    <n v="0"/>
    <n v="0"/>
    <n v="0"/>
    <n v="0"/>
    <n v="231.63343077571346"/>
    <n v="0"/>
    <n v="314.11126831672573"/>
    <n v="5466.0619504536662"/>
    <n v="0"/>
    <n v="0"/>
    <n v="0"/>
    <n v="0"/>
    <n v="0"/>
    <n v="0"/>
    <n v="5466.0619504536662"/>
    <n v="0"/>
    <n v="0"/>
    <n v="0"/>
    <n v="0"/>
    <n v="-471.11997166267849"/>
    <n v="0"/>
    <n v="-471.11997166267849"/>
    <n v="4994.9419787909874"/>
    <n v="1.0720000000000001"/>
    <n v="1.04"/>
    <n v="1.0720000000000001"/>
    <n v="1.04"/>
    <n v="1.1120000000000001"/>
    <n v="1.095"/>
    <n v="1.1120000000000001"/>
    <n v="1.1120000000000001"/>
  </r>
  <r>
    <x v="2"/>
    <x v="3"/>
    <x v="7"/>
    <x v="121"/>
    <x v="145"/>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2"/>
    <x v="146"/>
    <s v="HVAC"/>
    <n v="4"/>
    <n v="25"/>
    <n v="17180.568000000003"/>
    <n v="16000"/>
    <n v="1180.5680000000029"/>
    <n v="0"/>
    <n v="0"/>
    <n v="0"/>
    <n v="0"/>
    <n v="0"/>
    <n v="0"/>
    <n v="0"/>
    <n v="0"/>
    <n v="0"/>
    <n v="0"/>
    <n v="0"/>
    <n v="0"/>
    <n v="0"/>
    <n v="0"/>
    <n v="205.6"/>
    <n v="5140"/>
    <n v="173.9376"/>
    <n v="4348.4400000000005"/>
    <n v="0"/>
    <n v="0"/>
    <n v="0"/>
    <n v="0"/>
    <n v="0"/>
    <n v="0"/>
    <n v="0"/>
    <n v="0"/>
    <n v="0"/>
    <n v="0"/>
    <n v="0"/>
    <n v="0"/>
    <n v="0"/>
    <n v="0"/>
    <n v="0"/>
    <n v="0"/>
    <n v="0"/>
    <n v="0"/>
    <n v="0"/>
    <n v="0"/>
    <n v="0"/>
    <n v="0"/>
    <n v="0"/>
    <n v="0"/>
    <n v="0"/>
    <n v="0"/>
    <n v="0"/>
    <n v="0"/>
    <n v="0"/>
    <n v="0"/>
    <n v="0"/>
    <n v="0"/>
    <n v="0"/>
    <n v="0"/>
    <n v="0"/>
    <n v="0"/>
    <n v="0"/>
    <n v="36028.607491406634"/>
    <n v="0"/>
    <n v="36028.607491406634"/>
    <n v="576.78378906231694"/>
    <n v="0"/>
    <n v="0"/>
    <n v="0"/>
    <n v="0"/>
    <n v="0"/>
    <n v="1619.8582778056696"/>
    <n v="0"/>
    <n v="2196.6420668679866"/>
    <n v="38225.24955827462"/>
    <n v="0"/>
    <n v="0"/>
    <n v="0"/>
    <n v="0"/>
    <n v="0"/>
    <n v="0"/>
    <n v="38225.24955827462"/>
    <n v="0"/>
    <n v="0"/>
    <n v="0"/>
    <n v="0"/>
    <n v="-3294.6349038723365"/>
    <n v="0"/>
    <n v="-3294.6349038723365"/>
    <n v="34930.614654402285"/>
    <n v="1.0720000000000001"/>
    <n v="1.04"/>
    <n v="1.0720000000000001"/>
    <n v="1.04"/>
    <n v="1.1120000000000001"/>
    <n v="1.095"/>
    <n v="1.1120000000000001"/>
    <n v="1.1120000000000001"/>
  </r>
  <r>
    <x v="2"/>
    <x v="3"/>
    <x v="7"/>
    <x v="123"/>
    <x v="147"/>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4"/>
    <x v="148"/>
    <s v="HVAC"/>
    <s v=""/>
    <n v="2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5"/>
    <x v="149"/>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6"/>
    <x v="150"/>
    <s v="HVAC"/>
    <s v=""/>
    <n v="17"/>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60"/>
    <x v="151"/>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61"/>
    <x v="152"/>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7"/>
    <x v="153"/>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8"/>
    <x v="154"/>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29"/>
    <x v="155"/>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30"/>
    <x v="156"/>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31"/>
    <x v="157"/>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32"/>
    <x v="158"/>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33"/>
    <x v="159"/>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7"/>
    <x v="134"/>
    <x v="160"/>
    <s v="HVAC"/>
    <n v="1"/>
    <n v="10"/>
    <n v="19579.295000000002"/>
    <n v="15978.75"/>
    <n v="3600.5450000000019"/>
    <n v="0"/>
    <n v="0"/>
    <n v="0"/>
    <n v="0"/>
    <n v="0"/>
    <n v="0"/>
    <n v="0"/>
    <n v="0"/>
    <n v="0"/>
    <n v="0"/>
    <n v="0"/>
    <n v="0"/>
    <n v="0"/>
    <n v="0"/>
    <n v="782.11599999999999"/>
    <n v="7821.16"/>
    <n v="718.76460399999996"/>
    <n v="7187.6460399999996"/>
    <n v="0"/>
    <n v="0"/>
    <n v="0"/>
    <n v="0"/>
    <n v="0"/>
    <n v="0"/>
    <n v="0"/>
    <n v="0"/>
    <n v="0"/>
    <n v="0"/>
    <n v="0"/>
    <n v="0"/>
    <n v="0"/>
    <n v="0"/>
    <n v="0"/>
    <n v="0"/>
    <n v="0"/>
    <n v="0"/>
    <n v="0"/>
    <n v="0"/>
    <n v="0"/>
    <n v="0"/>
    <n v="0"/>
    <n v="0"/>
    <n v="0"/>
    <n v="0"/>
    <n v="0"/>
    <n v="0"/>
    <n v="0"/>
    <n v="0"/>
    <n v="0"/>
    <n v="0"/>
    <n v="0"/>
    <n v="0"/>
    <n v="0"/>
    <n v="0"/>
    <n v="0"/>
    <n v="54612.702275701056"/>
    <n v="0"/>
    <n v="54612.702275701056"/>
    <n v="984.88025211271088"/>
    <n v="0"/>
    <n v="0"/>
    <n v="0"/>
    <n v="0"/>
    <n v="0"/>
    <n v="5528.5810969384611"/>
    <n v="0"/>
    <n v="6513.461349051172"/>
    <n v="61126.163624752226"/>
    <n v="0"/>
    <n v="0"/>
    <n v="0"/>
    <n v="0"/>
    <n v="0"/>
    <n v="0"/>
    <n v="61126.163624752226"/>
    <n v="0"/>
    <n v="0"/>
    <n v="0"/>
    <n v="0"/>
    <n v="0"/>
    <n v="0"/>
    <n v="0"/>
    <n v="61126.163624752226"/>
    <n v="1.0720000000000001"/>
    <n v="1.04"/>
    <n v="1.0720000000000001"/>
    <n v="1.04"/>
    <n v="1.1120000000000001"/>
    <n v="1.095"/>
    <n v="1.1120000000000001"/>
    <n v="1.1120000000000001"/>
  </r>
  <r>
    <x v="2"/>
    <x v="3"/>
    <x v="7"/>
    <x v="135"/>
    <x v="160"/>
    <s v="HVAC"/>
    <n v="1"/>
    <n v="15"/>
    <n v="5420.2620000000006"/>
    <n v="4423.5"/>
    <n v="996.76200000000063"/>
    <n v="0"/>
    <n v="0"/>
    <n v="0"/>
    <n v="0"/>
    <n v="0"/>
    <n v="0"/>
    <n v="0"/>
    <n v="0"/>
    <n v="0"/>
    <n v="0"/>
    <n v="0"/>
    <n v="0"/>
    <n v="0"/>
    <n v="0"/>
    <n v="229.72709999999998"/>
    <n v="3445.9064999999996"/>
    <n v="211.1192049"/>
    <n v="3166.7880734999999"/>
    <n v="0"/>
    <n v="0"/>
    <n v="0"/>
    <n v="0"/>
    <n v="0"/>
    <n v="0"/>
    <n v="0"/>
    <n v="0"/>
    <n v="0"/>
    <n v="0"/>
    <n v="0"/>
    <n v="0"/>
    <n v="0"/>
    <n v="0"/>
    <n v="0"/>
    <n v="0"/>
    <n v="0"/>
    <n v="0"/>
    <n v="0"/>
    <n v="0"/>
    <n v="0"/>
    <n v="0"/>
    <n v="0"/>
    <n v="0"/>
    <n v="0"/>
    <n v="0"/>
    <n v="0"/>
    <n v="0"/>
    <n v="0"/>
    <n v="0"/>
    <n v="0"/>
    <n v="0"/>
    <n v="0"/>
    <n v="0"/>
    <n v="0"/>
    <n v="0"/>
    <n v="0"/>
    <n v="24697.981859191357"/>
    <n v="0"/>
    <n v="24697.981859191357"/>
    <n v="429.23248767752904"/>
    <n v="0"/>
    <n v="0"/>
    <n v="0"/>
    <n v="0"/>
    <n v="0"/>
    <n v="1740.6329103321266"/>
    <n v="0"/>
    <n v="2169.8653980096556"/>
    <n v="26867.847257201014"/>
    <n v="0"/>
    <n v="0"/>
    <n v="0"/>
    <n v="0"/>
    <n v="0"/>
    <n v="0"/>
    <n v="26867.847257201014"/>
    <n v="0"/>
    <n v="0"/>
    <n v="0"/>
    <n v="0"/>
    <n v="0"/>
    <n v="0"/>
    <n v="0"/>
    <n v="26867.847257201014"/>
    <n v="1.0720000000000001"/>
    <n v="1.04"/>
    <n v="1.0720000000000001"/>
    <n v="1.04"/>
    <n v="1.1120000000000001"/>
    <n v="1.095"/>
    <n v="1.1120000000000001"/>
    <n v="1.1120000000000001"/>
  </r>
  <r>
    <x v="2"/>
    <x v="3"/>
    <x v="8"/>
    <x v="93"/>
    <x v="161"/>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94"/>
    <x v="162"/>
    <s v="Food Service"/>
    <s v=""/>
    <n v="12"/>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95"/>
    <x v="163"/>
    <s v="HVAC"/>
    <n v="1"/>
    <n v="15"/>
    <n v="61266.666666666672"/>
    <n v="50000"/>
    <n v="11266.666666666672"/>
    <n v="0"/>
    <n v="0"/>
    <n v="0"/>
    <n v="0"/>
    <n v="0"/>
    <n v="0"/>
    <n v="0"/>
    <n v="0"/>
    <n v="0"/>
    <n v="0"/>
    <n v="0"/>
    <n v="0"/>
    <n v="0"/>
    <n v="0"/>
    <n v="3685.1374000000005"/>
    <n v="55277.061000000009"/>
    <n v="3386.6412706000006"/>
    <n v="50799.619059000011"/>
    <n v="0"/>
    <n v="0"/>
    <n v="0"/>
    <n v="0"/>
    <n v="0"/>
    <n v="0"/>
    <n v="0"/>
    <n v="0"/>
    <n v="0"/>
    <n v="0"/>
    <n v="0"/>
    <n v="0"/>
    <n v="0"/>
    <n v="0"/>
    <n v="0"/>
    <n v="0"/>
    <n v="0"/>
    <n v="0"/>
    <n v="0"/>
    <n v="0"/>
    <n v="0"/>
    <n v="0"/>
    <n v="0"/>
    <n v="0"/>
    <n v="0"/>
    <n v="0"/>
    <n v="0"/>
    <n v="0"/>
    <n v="0"/>
    <n v="0"/>
    <n v="0"/>
    <n v="0"/>
    <n v="0"/>
    <n v="0"/>
    <n v="0"/>
    <n v="0"/>
    <n v="0"/>
    <n v="396189.4641678218"/>
    <n v="0"/>
    <n v="396189.4641678218"/>
    <n v="6885.4771319339407"/>
    <n v="0"/>
    <n v="0"/>
    <n v="0"/>
    <n v="0"/>
    <n v="0"/>
    <n v="27922.136472082606"/>
    <n v="0"/>
    <n v="34807.613604016544"/>
    <n v="430997.07777183835"/>
    <n v="0"/>
    <n v="0"/>
    <n v="0"/>
    <n v="0"/>
    <n v="0"/>
    <n v="0"/>
    <n v="430997.07777183835"/>
    <n v="0"/>
    <n v="0"/>
    <n v="0"/>
    <n v="0"/>
    <n v="0"/>
    <n v="0"/>
    <n v="0"/>
    <n v="430997.07777183835"/>
    <n v="1.0720000000000001"/>
    <n v="1.04"/>
    <n v="1.0720000000000001"/>
    <n v="1.04"/>
    <n v="1.1120000000000001"/>
    <n v="1.095"/>
    <n v="1.1120000000000001"/>
    <n v="1.1120000000000001"/>
  </r>
  <r>
    <x v="2"/>
    <x v="3"/>
    <x v="8"/>
    <x v="96"/>
    <x v="163"/>
    <s v="HVAC"/>
    <n v="1"/>
    <n v="20"/>
    <n v="66737.289866666673"/>
    <n v="54464.600000000006"/>
    <n v="12272.689866666668"/>
    <n v="0"/>
    <n v="0"/>
    <n v="0"/>
    <n v="0"/>
    <n v="0"/>
    <n v="0"/>
    <n v="0"/>
    <n v="0"/>
    <n v="0"/>
    <n v="0"/>
    <n v="0"/>
    <n v="0"/>
    <n v="0"/>
    <n v="0"/>
    <n v="2495.7602000000002"/>
    <n v="49915.204000000005"/>
    <n v="2293.6036238000002"/>
    <n v="45872.072476000001"/>
    <n v="0"/>
    <n v="0"/>
    <n v="0"/>
    <n v="0"/>
    <n v="0"/>
    <n v="0"/>
    <n v="0"/>
    <n v="0"/>
    <n v="0"/>
    <n v="0"/>
    <n v="0"/>
    <n v="0"/>
    <n v="0"/>
    <n v="0"/>
    <n v="0"/>
    <n v="0"/>
    <n v="0"/>
    <n v="0"/>
    <n v="0"/>
    <n v="0"/>
    <n v="0"/>
    <n v="0"/>
    <n v="0"/>
    <n v="0"/>
    <n v="0"/>
    <n v="0"/>
    <n v="0"/>
    <n v="0"/>
    <n v="0"/>
    <n v="0"/>
    <n v="0"/>
    <n v="0"/>
    <n v="0"/>
    <n v="0"/>
    <n v="0"/>
    <n v="0"/>
    <n v="0"/>
    <n v="368894.52618706931"/>
    <n v="0"/>
    <n v="368894.52618706931"/>
    <n v="6150.5820925771795"/>
    <n v="0"/>
    <n v="0"/>
    <n v="0"/>
    <n v="0"/>
    <n v="0"/>
    <n v="20148.596763431291"/>
    <n v="0"/>
    <n v="26299.178856008471"/>
    <n v="395193.70504307776"/>
    <n v="0"/>
    <n v="0"/>
    <n v="0"/>
    <n v="0"/>
    <n v="0"/>
    <n v="0"/>
    <n v="395193.70504307776"/>
    <n v="0"/>
    <n v="0"/>
    <n v="0"/>
    <n v="0"/>
    <n v="0"/>
    <n v="0"/>
    <n v="0"/>
    <n v="395193.70504307776"/>
    <n v="1.0720000000000001"/>
    <n v="1.04"/>
    <n v="1.0720000000000001"/>
    <n v="1.04"/>
    <n v="1.1120000000000001"/>
    <n v="1.095"/>
    <n v="1.1120000000000001"/>
    <n v="1.1120000000000001"/>
  </r>
  <r>
    <x v="2"/>
    <x v="3"/>
    <x v="8"/>
    <x v="98"/>
    <x v="164"/>
    <s v="HVAC"/>
    <n v="1"/>
    <n v="20"/>
    <n v="146502.87513333332"/>
    <n v="119561.65"/>
    <n v="26941.225133333326"/>
    <n v="0"/>
    <n v="0"/>
    <n v="0"/>
    <n v="0"/>
    <n v="0"/>
    <n v="0"/>
    <n v="0"/>
    <n v="0"/>
    <n v="0"/>
    <n v="0"/>
    <n v="0"/>
    <n v="0"/>
    <n v="0"/>
    <n v="0"/>
    <n v="4944.7804000000006"/>
    <n v="98895.608000000007"/>
    <n v="4544.2531876000003"/>
    <n v="90885.063752000002"/>
    <n v="0"/>
    <n v="0"/>
    <n v="0"/>
    <n v="0"/>
    <n v="0"/>
    <n v="0"/>
    <n v="0"/>
    <n v="0"/>
    <n v="0"/>
    <n v="0"/>
    <n v="0"/>
    <n v="0"/>
    <n v="0"/>
    <n v="0"/>
    <n v="0"/>
    <n v="0"/>
    <n v="0"/>
    <n v="0"/>
    <n v="0"/>
    <n v="0"/>
    <n v="0"/>
    <n v="0"/>
    <n v="0"/>
    <n v="0"/>
    <n v="0"/>
    <n v="0"/>
    <n v="0"/>
    <n v="0"/>
    <n v="0"/>
    <n v="0"/>
    <n v="0"/>
    <n v="0"/>
    <n v="0"/>
    <n v="0"/>
    <n v="0"/>
    <n v="0"/>
    <n v="0"/>
    <n v="730880.48393315484"/>
    <n v="0"/>
    <n v="730880.48393315484"/>
    <n v="12185.977555041794"/>
    <n v="0"/>
    <n v="0"/>
    <n v="0"/>
    <n v="0"/>
    <n v="0"/>
    <n v="39919.855426542374"/>
    <n v="0"/>
    <n v="52105.832981584172"/>
    <n v="782986.31691473897"/>
    <n v="0"/>
    <n v="0"/>
    <n v="0"/>
    <n v="0"/>
    <n v="0"/>
    <n v="0"/>
    <n v="782986.31691473897"/>
    <n v="0"/>
    <n v="0"/>
    <n v="0"/>
    <n v="0"/>
    <n v="0"/>
    <n v="0"/>
    <n v="0"/>
    <n v="782986.31691473897"/>
    <n v="1.0720000000000001"/>
    <n v="1.04"/>
    <n v="1.0720000000000001"/>
    <n v="1.04"/>
    <n v="1.1120000000000001"/>
    <n v="1.095"/>
    <n v="1.1120000000000001"/>
    <n v="1.1120000000000001"/>
  </r>
  <r>
    <x v="2"/>
    <x v="3"/>
    <x v="8"/>
    <x v="99"/>
    <x v="164"/>
    <s v="HVAC"/>
    <n v="1"/>
    <n v="25"/>
    <n v="87611.700933333341"/>
    <n v="71500.3"/>
    <n v="16111.400933333338"/>
    <n v="0"/>
    <n v="0"/>
    <n v="0"/>
    <n v="0"/>
    <n v="0"/>
    <n v="0"/>
    <n v="0"/>
    <n v="0"/>
    <n v="0"/>
    <n v="0"/>
    <n v="0"/>
    <n v="0"/>
    <n v="0"/>
    <n v="0"/>
    <n v="3207.6104000000005"/>
    <n v="80190.260000000009"/>
    <n v="2947.7939576000008"/>
    <n v="73694.848940000025"/>
    <n v="0"/>
    <n v="0"/>
    <n v="0"/>
    <n v="0"/>
    <n v="0"/>
    <n v="0"/>
    <n v="0"/>
    <n v="0"/>
    <n v="0"/>
    <n v="0"/>
    <n v="0"/>
    <n v="0"/>
    <n v="0"/>
    <n v="0"/>
    <n v="0"/>
    <n v="0"/>
    <n v="0"/>
    <n v="0"/>
    <n v="0"/>
    <n v="0"/>
    <n v="0"/>
    <n v="0"/>
    <n v="0"/>
    <n v="0"/>
    <n v="0"/>
    <n v="0"/>
    <n v="0"/>
    <n v="0"/>
    <n v="0"/>
    <n v="0"/>
    <n v="0"/>
    <n v="0"/>
    <n v="0"/>
    <n v="0"/>
    <n v="0"/>
    <n v="0"/>
    <n v="0"/>
    <n v="610592.02532351017"/>
    <n v="0"/>
    <n v="610592.02532351017"/>
    <n v="9774.9984375979166"/>
    <n v="0"/>
    <n v="0"/>
    <n v="0"/>
    <n v="0"/>
    <n v="0"/>
    <n v="27452.422268008158"/>
    <n v="0"/>
    <n v="37227.420705606077"/>
    <n v="647819.44602911628"/>
    <n v="0"/>
    <n v="0"/>
    <n v="0"/>
    <n v="0"/>
    <n v="0"/>
    <n v="0"/>
    <n v="647819.44602911628"/>
    <n v="0"/>
    <n v="0"/>
    <n v="0"/>
    <n v="0"/>
    <n v="0"/>
    <n v="0"/>
    <n v="0"/>
    <n v="647819.44602911628"/>
    <n v="1.0720000000000001"/>
    <n v="1.04"/>
    <n v="1.0720000000000001"/>
    <n v="1.04"/>
    <n v="1.1120000000000001"/>
    <n v="1.095"/>
    <n v="1.1120000000000001"/>
    <n v="1.1120000000000001"/>
  </r>
  <r>
    <x v="2"/>
    <x v="3"/>
    <x v="8"/>
    <x v="100"/>
    <x v="165"/>
    <s v="HVAC"/>
    <s v=""/>
    <n v="2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01"/>
    <x v="166"/>
    <s v="Hot Water"/>
    <s v=""/>
    <n v="1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02"/>
    <x v="167"/>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05"/>
    <x v="16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8"/>
    <x v="106"/>
    <x v="169"/>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3"/>
    <x v="8"/>
    <x v="111"/>
    <x v="170"/>
    <s v="Custom Measures"/>
    <n v="1"/>
    <n v="20"/>
    <n v="106662.93853333335"/>
    <n v="87048.1"/>
    <n v="19614.838533333343"/>
    <n v="0"/>
    <n v="0"/>
    <n v="0"/>
    <n v="0"/>
    <n v="0"/>
    <n v="0"/>
    <n v="0"/>
    <n v="0"/>
    <n v="0"/>
    <n v="0"/>
    <n v="0"/>
    <n v="0"/>
    <n v="0"/>
    <n v="0"/>
    <n v="3390.6754000000005"/>
    <n v="67813.508000000016"/>
    <n v="3116.0306926000007"/>
    <n v="62320.613852000017"/>
    <n v="0"/>
    <n v="0"/>
    <n v="0"/>
    <n v="0"/>
    <n v="0"/>
    <n v="0"/>
    <n v="0"/>
    <n v="0"/>
    <n v="0"/>
    <n v="0"/>
    <n v="0"/>
    <n v="0"/>
    <n v="0"/>
    <n v="0"/>
    <n v="0"/>
    <n v="0"/>
    <n v="0"/>
    <n v="0"/>
    <n v="0"/>
    <n v="0"/>
    <n v="0"/>
    <n v="0"/>
    <n v="0"/>
    <n v="0"/>
    <n v="0"/>
    <n v="0"/>
    <n v="0"/>
    <n v="0"/>
    <n v="0"/>
    <n v="0"/>
    <n v="0"/>
    <n v="0"/>
    <n v="0"/>
    <n v="0"/>
    <n v="0"/>
    <n v="0"/>
    <n v="0"/>
    <n v="0"/>
    <n v="482552.57169207203"/>
    <n v="482552.57169207203"/>
    <n v="8356.0221037990614"/>
    <n v="0"/>
    <n v="0"/>
    <n v="0"/>
    <n v="0"/>
    <n v="0"/>
    <n v="0"/>
    <n v="29149.244570748022"/>
    <n v="37505.266674547085"/>
    <n v="520057.83836661914"/>
    <n v="0"/>
    <n v="0"/>
    <n v="0"/>
    <n v="0"/>
    <n v="0"/>
    <n v="0"/>
    <n v="520057.83836661914"/>
    <n v="0"/>
    <n v="0"/>
    <n v="0"/>
    <n v="0"/>
    <n v="0"/>
    <n v="0"/>
    <n v="0"/>
    <n v="520057.83836661914"/>
    <n v="1.0720000000000001"/>
    <n v="1.04"/>
    <n v="1.0720000000000001"/>
    <n v="1.04"/>
    <n v="1.1120000000000001"/>
    <n v="1.095"/>
    <n v="1.1120000000000001"/>
    <n v="1.1120000000000001"/>
  </r>
  <r>
    <x v="2"/>
    <x v="3"/>
    <x v="8"/>
    <x v="136"/>
    <x v="171"/>
    <s v="Process"/>
    <n v="1"/>
    <n v="10"/>
    <n v="2437.1880000000001"/>
    <n v="1989"/>
    <n v="448.1880000000001"/>
    <n v="0"/>
    <n v="0"/>
    <n v="0"/>
    <n v="0"/>
    <n v="0"/>
    <n v="0"/>
    <n v="0"/>
    <n v="0"/>
    <n v="0"/>
    <n v="0"/>
    <n v="0"/>
    <n v="0"/>
    <n v="0"/>
    <n v="0"/>
    <n v="103.2954"/>
    <n v="1032.954"/>
    <n v="94.928472600000006"/>
    <n v="949.28472600000009"/>
    <n v="0"/>
    <n v="0"/>
    <n v="0"/>
    <n v="0"/>
    <n v="0"/>
    <n v="0"/>
    <n v="0"/>
    <n v="0"/>
    <n v="0"/>
    <n v="0"/>
    <n v="0"/>
    <n v="0"/>
    <n v="0"/>
    <n v="0"/>
    <n v="0"/>
    <n v="0"/>
    <n v="0"/>
    <n v="0"/>
    <n v="0"/>
    <n v="0"/>
    <n v="0"/>
    <n v="0"/>
    <n v="0"/>
    <n v="0"/>
    <n v="0"/>
    <n v="0"/>
    <n v="0"/>
    <n v="0"/>
    <n v="0"/>
    <n v="0"/>
    <n v="0"/>
    <n v="0"/>
    <n v="0"/>
    <n v="0"/>
    <n v="0"/>
    <n v="0"/>
    <n v="0"/>
    <n v="0"/>
    <n v="6915.7103227798598"/>
    <n v="6915.7103227798598"/>
    <n v="130.07482214157918"/>
    <n v="0"/>
    <n v="0"/>
    <n v="0"/>
    <n v="0"/>
    <n v="0"/>
    <n v="0"/>
    <n v="760.13994389805532"/>
    <n v="890.21476603963447"/>
    <n v="7805.9250888194947"/>
    <n v="0"/>
    <n v="0"/>
    <n v="0"/>
    <n v="0"/>
    <n v="0"/>
    <n v="0"/>
    <n v="7805.9250888194947"/>
    <n v="0"/>
    <n v="0"/>
    <n v="0"/>
    <n v="0"/>
    <n v="0"/>
    <n v="0"/>
    <n v="0"/>
    <n v="7805.9250888194947"/>
    <n v="1.0720000000000001"/>
    <n v="1.04"/>
    <n v="1.0720000000000001"/>
    <n v="1.04"/>
    <n v="1.1120000000000001"/>
    <n v="1.095"/>
    <n v="1.1120000000000001"/>
    <n v="1.1120000000000001"/>
  </r>
  <r>
    <x v="2"/>
    <x v="3"/>
    <x v="8"/>
    <x v="115"/>
    <x v="172"/>
    <s v="HVAC"/>
    <n v="21"/>
    <n v="18"/>
    <n v="20111.112000000005"/>
    <n v="4299.96"/>
    <n v="15811.152000000006"/>
    <n v="0"/>
    <n v="0"/>
    <n v="0"/>
    <n v="0"/>
    <n v="0"/>
    <n v="0"/>
    <n v="0"/>
    <n v="0"/>
    <n v="0"/>
    <n v="0"/>
    <n v="0"/>
    <n v="0"/>
    <n v="0"/>
    <n v="0"/>
    <n v="119.7"/>
    <n v="2154.6"/>
    <n v="101.26620000000001"/>
    <n v="1822.7916000000002"/>
    <n v="0"/>
    <n v="0"/>
    <n v="0"/>
    <n v="0"/>
    <n v="0"/>
    <n v="0"/>
    <n v="0"/>
    <n v="0"/>
    <n v="0"/>
    <n v="0"/>
    <n v="0"/>
    <n v="0"/>
    <n v="0"/>
    <n v="0"/>
    <n v="0"/>
    <n v="0"/>
    <n v="0"/>
    <n v="0"/>
    <n v="0"/>
    <n v="0"/>
    <n v="0"/>
    <n v="0"/>
    <n v="0"/>
    <n v="0"/>
    <n v="0"/>
    <n v="0"/>
    <n v="0"/>
    <n v="0"/>
    <n v="0"/>
    <n v="0"/>
    <n v="0"/>
    <n v="0"/>
    <n v="0"/>
    <n v="0"/>
    <n v="0"/>
    <n v="0"/>
    <n v="0"/>
    <n v="14482.045797959074"/>
    <n v="0"/>
    <n v="14482.045797959074"/>
    <n v="245.46245577818891"/>
    <n v="0"/>
    <n v="0"/>
    <n v="0"/>
    <n v="0"/>
    <n v="0"/>
    <n v="867.86652527094634"/>
    <n v="0"/>
    <n v="1113.3289810491353"/>
    <n v="15595.374779008209"/>
    <n v="0"/>
    <n v="0"/>
    <n v="0"/>
    <n v="0"/>
    <n v="0"/>
    <n v="0"/>
    <n v="15595.374779008209"/>
    <n v="0"/>
    <n v="0"/>
    <n v="0"/>
    <n v="0"/>
    <n v="0"/>
    <n v="0"/>
    <n v="0"/>
    <n v="15595.374779008209"/>
    <n v="1.0720000000000001"/>
    <n v="1.04"/>
    <n v="1.0720000000000001"/>
    <n v="1.04"/>
    <n v="1.1120000000000001"/>
    <n v="1.095"/>
    <n v="1.1120000000000001"/>
    <n v="1.1120000000000001"/>
  </r>
  <r>
    <x v="2"/>
    <x v="3"/>
    <x v="8"/>
    <x v="116"/>
    <x v="173"/>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17"/>
    <x v="174"/>
    <s v="HVAC"/>
    <n v="15"/>
    <n v="18"/>
    <n v="16420.86"/>
    <n v="7699.9500000000007"/>
    <n v="8720.91"/>
    <n v="0"/>
    <n v="0"/>
    <n v="0"/>
    <n v="0"/>
    <n v="0"/>
    <n v="0"/>
    <n v="0"/>
    <n v="0"/>
    <n v="0"/>
    <n v="0"/>
    <n v="0"/>
    <n v="0"/>
    <n v="0"/>
    <n v="0"/>
    <n v="100.49999999999999"/>
    <n v="1808.9999999999998"/>
    <n v="85.022999999999996"/>
    <n v="1530.414"/>
    <n v="0"/>
    <n v="0"/>
    <n v="0"/>
    <n v="0"/>
    <n v="0"/>
    <n v="0"/>
    <n v="0"/>
    <n v="0"/>
    <n v="0"/>
    <n v="0"/>
    <n v="0"/>
    <n v="0"/>
    <n v="0"/>
    <n v="0"/>
    <n v="0"/>
    <n v="0"/>
    <n v="0"/>
    <n v="0"/>
    <n v="0"/>
    <n v="0"/>
    <n v="0"/>
    <n v="0"/>
    <n v="0"/>
    <n v="0"/>
    <n v="0"/>
    <n v="0"/>
    <n v="0"/>
    <n v="0"/>
    <n v="0"/>
    <n v="0"/>
    <n v="0"/>
    <n v="0"/>
    <n v="0"/>
    <n v="0"/>
    <n v="0"/>
    <n v="0"/>
    <n v="0"/>
    <n v="12159.111133624785"/>
    <n v="0"/>
    <n v="12159.111133624785"/>
    <n v="206.09003179371746"/>
    <n v="0"/>
    <n v="0"/>
    <n v="0"/>
    <n v="0"/>
    <n v="0"/>
    <n v="728.659864575857"/>
    <n v="0"/>
    <n v="934.74989636957446"/>
    <n v="13093.861029994359"/>
    <n v="0"/>
    <n v="0"/>
    <n v="0"/>
    <n v="0"/>
    <n v="0"/>
    <n v="0"/>
    <n v="13093.861029994359"/>
    <n v="0"/>
    <n v="0"/>
    <n v="0"/>
    <n v="0"/>
    <n v="0"/>
    <n v="0"/>
    <n v="0"/>
    <n v="13093.861029994359"/>
    <n v="1.0720000000000001"/>
    <n v="1.04"/>
    <n v="1.0720000000000001"/>
    <n v="1.04"/>
    <n v="1.1120000000000001"/>
    <n v="1.095"/>
    <n v="1.1120000000000001"/>
    <n v="1.1120000000000001"/>
  </r>
  <r>
    <x v="2"/>
    <x v="3"/>
    <x v="8"/>
    <x v="118"/>
    <x v="175"/>
    <s v="HVAC"/>
    <s v=""/>
    <n v="18"/>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19"/>
    <x v="176"/>
    <s v="HVAC"/>
    <n v="75"/>
    <n v="25"/>
    <n v="244155.60000000003"/>
    <n v="106500"/>
    <n v="137655.60000000003"/>
    <n v="0"/>
    <n v="0"/>
    <n v="0"/>
    <n v="0"/>
    <n v="0"/>
    <n v="0"/>
    <n v="0"/>
    <n v="0"/>
    <n v="0"/>
    <n v="0"/>
    <n v="0"/>
    <n v="0"/>
    <n v="0"/>
    <n v="0"/>
    <n v="1327.5"/>
    <n v="33187.5"/>
    <n v="1123.0650000000001"/>
    <n v="28076.625"/>
    <n v="0"/>
    <n v="0"/>
    <n v="0"/>
    <n v="0"/>
    <n v="0"/>
    <n v="0"/>
    <n v="0"/>
    <n v="0"/>
    <n v="0"/>
    <n v="0"/>
    <n v="0"/>
    <n v="0"/>
    <n v="0"/>
    <n v="0"/>
    <n v="0"/>
    <n v="0"/>
    <n v="0"/>
    <n v="0"/>
    <n v="0"/>
    <n v="0"/>
    <n v="0"/>
    <n v="0"/>
    <n v="0"/>
    <n v="0"/>
    <n v="0"/>
    <n v="0"/>
    <n v="0"/>
    <n v="0"/>
    <n v="0"/>
    <n v="0"/>
    <n v="0"/>
    <n v="0"/>
    <n v="0"/>
    <n v="0"/>
    <n v="0"/>
    <n v="0"/>
    <n v="0"/>
    <n v="232626.34457608126"/>
    <n v="0"/>
    <n v="232626.34457608126"/>
    <n v="3724.1268481528491"/>
    <n v="0"/>
    <n v="0"/>
    <n v="0"/>
    <n v="0"/>
    <n v="0"/>
    <n v="10458.958481454411"/>
    <n v="0"/>
    <n v="14183.08532960726"/>
    <n v="246809.42990568851"/>
    <n v="0"/>
    <n v="0"/>
    <n v="0"/>
    <n v="0"/>
    <n v="0"/>
    <n v="0"/>
    <n v="246809.42990568851"/>
    <n v="0"/>
    <n v="0"/>
    <n v="0"/>
    <n v="0"/>
    <n v="0"/>
    <n v="0"/>
    <n v="0"/>
    <n v="246809.42990568851"/>
    <n v="1.0720000000000001"/>
    <n v="1.04"/>
    <n v="1.0720000000000001"/>
    <n v="1.04"/>
    <n v="1.1120000000000001"/>
    <n v="1.095"/>
    <n v="1.1120000000000001"/>
    <n v="1.1120000000000001"/>
  </r>
  <r>
    <x v="2"/>
    <x v="3"/>
    <x v="8"/>
    <x v="120"/>
    <x v="177"/>
    <s v="HVAC"/>
    <n v="11"/>
    <n v="25"/>
    <n v="32375.574000000004"/>
    <n v="14000.03"/>
    <n v="18375.544000000002"/>
    <n v="0"/>
    <n v="0"/>
    <n v="0"/>
    <n v="0"/>
    <n v="0"/>
    <n v="0"/>
    <n v="0"/>
    <n v="0"/>
    <n v="0"/>
    <n v="0"/>
    <n v="0"/>
    <n v="0"/>
    <n v="0"/>
    <n v="0"/>
    <n v="161.69999999999996"/>
    <n v="4042.4999999999991"/>
    <n v="136.79819999999998"/>
    <n v="3419.9549999999995"/>
    <n v="0"/>
    <n v="0"/>
    <n v="0"/>
    <n v="0"/>
    <n v="0"/>
    <n v="0"/>
    <n v="0"/>
    <n v="0"/>
    <n v="0"/>
    <n v="0"/>
    <n v="0"/>
    <n v="0"/>
    <n v="0"/>
    <n v="0"/>
    <n v="0"/>
    <n v="0"/>
    <n v="0"/>
    <n v="0"/>
    <n v="0"/>
    <n v="0"/>
    <n v="0"/>
    <n v="0"/>
    <n v="0"/>
    <n v="0"/>
    <n v="0"/>
    <n v="0"/>
    <n v="0"/>
    <n v="0"/>
    <n v="0"/>
    <n v="0"/>
    <n v="0"/>
    <n v="0"/>
    <n v="0"/>
    <n v="0"/>
    <n v="0"/>
    <n v="0"/>
    <n v="0"/>
    <n v="28335.728751753169"/>
    <n v="0"/>
    <n v="28335.728751753169"/>
    <n v="453.62810647556728"/>
    <n v="0"/>
    <n v="0"/>
    <n v="0"/>
    <n v="0"/>
    <n v="0"/>
    <n v="1273.9838692664239"/>
    <n v="0"/>
    <n v="1727.611975741991"/>
    <n v="30063.340727495161"/>
    <n v="0"/>
    <n v="0"/>
    <n v="0"/>
    <n v="0"/>
    <n v="0"/>
    <n v="0"/>
    <n v="30063.340727495161"/>
    <n v="0"/>
    <n v="0"/>
    <n v="0"/>
    <n v="0"/>
    <n v="0"/>
    <n v="0"/>
    <n v="0"/>
    <n v="30063.340727495161"/>
    <n v="1.0720000000000001"/>
    <n v="1.04"/>
    <n v="1.0720000000000001"/>
    <n v="1.04"/>
    <n v="1.1120000000000001"/>
    <n v="1.095"/>
    <n v="1.1120000000000001"/>
    <n v="1.1120000000000001"/>
  </r>
  <r>
    <x v="2"/>
    <x v="3"/>
    <x v="8"/>
    <x v="121"/>
    <x v="178"/>
    <s v="HVAC"/>
    <n v="48"/>
    <n v="25"/>
    <n v="157518.43200000003"/>
    <n v="96000"/>
    <n v="61518.43200000003"/>
    <n v="0"/>
    <n v="0"/>
    <n v="0"/>
    <n v="0"/>
    <n v="0"/>
    <n v="0"/>
    <n v="0"/>
    <n v="0"/>
    <n v="0"/>
    <n v="0"/>
    <n v="0"/>
    <n v="0"/>
    <n v="0"/>
    <n v="0"/>
    <n v="1344"/>
    <n v="33600"/>
    <n v="1137.0240000000001"/>
    <n v="28425.600000000002"/>
    <n v="0"/>
    <n v="0"/>
    <n v="0"/>
    <n v="0"/>
    <n v="0"/>
    <n v="0"/>
    <n v="0"/>
    <n v="0"/>
    <n v="0"/>
    <n v="0"/>
    <n v="0"/>
    <n v="0"/>
    <n v="0"/>
    <n v="0"/>
    <n v="0"/>
    <n v="0"/>
    <n v="0"/>
    <n v="0"/>
    <n v="0"/>
    <n v="0"/>
    <n v="0"/>
    <n v="0"/>
    <n v="0"/>
    <n v="0"/>
    <n v="0"/>
    <n v="0"/>
    <n v="0"/>
    <n v="0"/>
    <n v="0"/>
    <n v="0"/>
    <n v="0"/>
    <n v="0"/>
    <n v="0"/>
    <n v="0"/>
    <n v="0"/>
    <n v="0"/>
    <n v="0"/>
    <n v="235517.7454691173"/>
    <n v="0"/>
    <n v="235517.7454691173"/>
    <n v="3770.4154304462745"/>
    <n v="0"/>
    <n v="0"/>
    <n v="0"/>
    <n v="0"/>
    <n v="0"/>
    <n v="10588.956835461187"/>
    <n v="0"/>
    <n v="14359.372265907463"/>
    <n v="249877.11773502477"/>
    <n v="0"/>
    <n v="0"/>
    <n v="0"/>
    <n v="0"/>
    <n v="0"/>
    <n v="0"/>
    <n v="249877.11773502477"/>
    <n v="0"/>
    <n v="0"/>
    <n v="0"/>
    <n v="0"/>
    <n v="0"/>
    <n v="0"/>
    <n v="0"/>
    <n v="249877.11773502477"/>
    <n v="1.0720000000000001"/>
    <n v="1.04"/>
    <n v="1.0720000000000001"/>
    <n v="1.04"/>
    <n v="1.1120000000000001"/>
    <n v="1.095"/>
    <n v="1.1120000000000001"/>
    <n v="1.1120000000000001"/>
  </r>
  <r>
    <x v="2"/>
    <x v="3"/>
    <x v="8"/>
    <x v="122"/>
    <x v="179"/>
    <s v="HVAC"/>
    <n v="99"/>
    <n v="25"/>
    <n v="425219.05800000008"/>
    <n v="379999.62"/>
    <n v="45219.438000000082"/>
    <n v="0"/>
    <n v="0"/>
    <n v="0"/>
    <n v="0"/>
    <n v="0"/>
    <n v="0"/>
    <n v="0"/>
    <n v="0"/>
    <n v="0"/>
    <n v="0"/>
    <n v="0"/>
    <n v="0"/>
    <n v="0"/>
    <n v="0"/>
    <n v="5088.5999999999985"/>
    <n v="127214.99999999997"/>
    <n v="4304.9555999999993"/>
    <n v="107623.88999999998"/>
    <n v="0"/>
    <n v="0"/>
    <n v="0"/>
    <n v="0"/>
    <n v="0"/>
    <n v="0"/>
    <n v="0"/>
    <n v="0"/>
    <n v="0"/>
    <n v="0"/>
    <n v="0"/>
    <n v="0"/>
    <n v="0"/>
    <n v="0"/>
    <n v="0"/>
    <n v="0"/>
    <n v="0"/>
    <n v="0"/>
    <n v="0"/>
    <n v="0"/>
    <n v="0"/>
    <n v="0"/>
    <n v="0"/>
    <n v="0"/>
    <n v="0"/>
    <n v="0"/>
    <n v="0"/>
    <n v="0"/>
    <n v="0"/>
    <n v="0"/>
    <n v="0"/>
    <n v="0"/>
    <n v="0"/>
    <n v="0"/>
    <n v="0"/>
    <n v="0"/>
    <n v="0"/>
    <n v="891708.035412314"/>
    <n v="0"/>
    <n v="891708.035412314"/>
    <n v="14275.398779292342"/>
    <n v="0"/>
    <n v="0"/>
    <n v="0"/>
    <n v="0"/>
    <n v="0"/>
    <n v="40091.492375690315"/>
    <n v="0"/>
    <n v="54366.891154982659"/>
    <n v="946074.92656729661"/>
    <n v="0"/>
    <n v="0"/>
    <n v="0"/>
    <n v="0"/>
    <n v="0"/>
    <n v="0"/>
    <n v="946074.92656729661"/>
    <n v="0"/>
    <n v="0"/>
    <n v="0"/>
    <n v="0"/>
    <n v="0"/>
    <n v="0"/>
    <n v="0"/>
    <n v="946074.92656729661"/>
    <n v="1.0720000000000001"/>
    <n v="1.04"/>
    <n v="1.0720000000000001"/>
    <n v="1.04"/>
    <n v="1.1120000000000001"/>
    <n v="1.095"/>
    <n v="1.1120000000000001"/>
    <n v="1.1120000000000001"/>
  </r>
  <r>
    <x v="2"/>
    <x v="3"/>
    <x v="8"/>
    <x v="123"/>
    <x v="180"/>
    <s v="HVAC"/>
    <n v="26"/>
    <n v="25"/>
    <n v="173196.50400000002"/>
    <n v="195000"/>
    <n v="-21803.495999999985"/>
    <n v="0"/>
    <n v="0"/>
    <n v="0"/>
    <n v="0"/>
    <n v="0"/>
    <n v="0"/>
    <n v="0"/>
    <n v="0"/>
    <n v="0"/>
    <n v="0"/>
    <n v="0"/>
    <n v="0"/>
    <n v="0"/>
    <n v="0"/>
    <n v="2457"/>
    <n v="61425"/>
    <n v="2078.6220000000003"/>
    <n v="51965.55000000001"/>
    <n v="0"/>
    <n v="0"/>
    <n v="0"/>
    <n v="0"/>
    <n v="0"/>
    <n v="0"/>
    <n v="0"/>
    <n v="0"/>
    <n v="0"/>
    <n v="0"/>
    <n v="0"/>
    <n v="0"/>
    <n v="0"/>
    <n v="0"/>
    <n v="0"/>
    <n v="0"/>
    <n v="0"/>
    <n v="0"/>
    <n v="0"/>
    <n v="0"/>
    <n v="0"/>
    <n v="0"/>
    <n v="0"/>
    <n v="0"/>
    <n v="0"/>
    <n v="0"/>
    <n v="0"/>
    <n v="0"/>
    <n v="0"/>
    <n v="0"/>
    <n v="0"/>
    <n v="0"/>
    <n v="0"/>
    <n v="0"/>
    <n v="0"/>
    <n v="0"/>
    <n v="0"/>
    <n v="430555.87843573012"/>
    <n v="0"/>
    <n v="430555.87843573012"/>
    <n v="6892.7907087845952"/>
    <n v="0"/>
    <n v="0"/>
    <n v="0"/>
    <n v="0"/>
    <n v="0"/>
    <n v="19357.936714827483"/>
    <n v="0"/>
    <n v="26250.727423612079"/>
    <n v="456806.60585934221"/>
    <n v="0"/>
    <n v="0"/>
    <n v="0"/>
    <n v="0"/>
    <n v="0"/>
    <n v="0"/>
    <n v="456806.60585934221"/>
    <n v="0"/>
    <n v="0"/>
    <n v="0"/>
    <n v="0"/>
    <n v="0"/>
    <n v="0"/>
    <n v="0"/>
    <n v="456806.60585934221"/>
    <n v="1.0720000000000001"/>
    <n v="1.04"/>
    <n v="1.0720000000000001"/>
    <n v="1.04"/>
    <n v="1.1120000000000001"/>
    <n v="1.095"/>
    <n v="1.1120000000000001"/>
    <n v="1.1120000000000001"/>
  </r>
  <r>
    <x v="2"/>
    <x v="3"/>
    <x v="8"/>
    <x v="124"/>
    <x v="181"/>
    <s v="HVAC"/>
    <n v="25"/>
    <n v="25"/>
    <n v="224211.15000000005"/>
    <n v="250000"/>
    <n v="-25788.849999999948"/>
    <n v="0"/>
    <n v="0"/>
    <n v="0"/>
    <n v="0"/>
    <n v="0"/>
    <n v="0"/>
    <n v="0"/>
    <n v="0"/>
    <n v="0"/>
    <n v="0"/>
    <n v="0"/>
    <n v="0"/>
    <n v="0"/>
    <n v="0"/>
    <n v="4132.5"/>
    <n v="103312.5"/>
    <n v="3496.0950000000003"/>
    <n v="87402.375"/>
    <n v="0"/>
    <n v="0"/>
    <n v="0"/>
    <n v="0"/>
    <n v="0"/>
    <n v="0"/>
    <n v="0"/>
    <n v="0"/>
    <n v="0"/>
    <n v="0"/>
    <n v="0"/>
    <n v="0"/>
    <n v="0"/>
    <n v="0"/>
    <n v="0"/>
    <n v="0"/>
    <n v="0"/>
    <n v="0"/>
    <n v="0"/>
    <n v="0"/>
    <n v="0"/>
    <n v="0"/>
    <n v="0"/>
    <n v="0"/>
    <n v="0"/>
    <n v="0"/>
    <n v="0"/>
    <n v="0"/>
    <n v="0"/>
    <n v="0"/>
    <n v="0"/>
    <n v="0"/>
    <n v="0"/>
    <n v="0"/>
    <n v="0"/>
    <n v="0"/>
    <n v="0"/>
    <n v="724164.4963922078"/>
    <n v="0"/>
    <n v="724164.4963922078"/>
    <n v="11593.18583803514"/>
    <n v="0"/>
    <n v="0"/>
    <n v="0"/>
    <n v="0"/>
    <n v="0"/>
    <n v="32558.678662606661"/>
    <n v="0"/>
    <n v="44151.864500641801"/>
    <n v="768316.36089284963"/>
    <n v="0"/>
    <n v="0"/>
    <n v="0"/>
    <n v="0"/>
    <n v="0"/>
    <n v="0"/>
    <n v="768316.36089284963"/>
    <n v="0"/>
    <n v="0"/>
    <n v="0"/>
    <n v="0"/>
    <n v="0"/>
    <n v="0"/>
    <n v="0"/>
    <n v="768316.36089284963"/>
    <n v="1.0720000000000001"/>
    <n v="1.04"/>
    <n v="1.0720000000000001"/>
    <n v="1.04"/>
    <n v="1.1120000000000001"/>
    <n v="1.095"/>
    <n v="1.1120000000000001"/>
    <n v="1.1120000000000001"/>
  </r>
  <r>
    <x v="2"/>
    <x v="3"/>
    <x v="8"/>
    <x v="125"/>
    <x v="182"/>
    <s v="HVAC"/>
    <n v="7"/>
    <n v="18"/>
    <n v="14212.800000000001"/>
    <n v="5250"/>
    <n v="8962.8000000000011"/>
    <n v="0"/>
    <n v="0"/>
    <n v="0"/>
    <n v="0"/>
    <n v="0"/>
    <n v="0"/>
    <n v="0"/>
    <n v="0"/>
    <n v="0"/>
    <n v="0"/>
    <n v="0"/>
    <n v="0"/>
    <n v="0"/>
    <n v="0"/>
    <n v="286.29999999999995"/>
    <n v="5153.3999999999996"/>
    <n v="242.20979999999997"/>
    <n v="4359.7763999999997"/>
    <n v="0"/>
    <n v="0"/>
    <n v="0"/>
    <n v="0"/>
    <n v="0"/>
    <n v="0"/>
    <n v="0"/>
    <n v="0"/>
    <n v="0"/>
    <n v="0"/>
    <n v="0"/>
    <n v="0"/>
    <n v="0"/>
    <n v="0"/>
    <n v="0"/>
    <n v="0"/>
    <n v="0"/>
    <n v="0"/>
    <n v="0"/>
    <n v="0"/>
    <n v="0"/>
    <n v="0"/>
    <n v="0"/>
    <n v="0"/>
    <n v="0"/>
    <n v="0"/>
    <n v="0"/>
    <n v="0"/>
    <n v="0"/>
    <n v="0"/>
    <n v="0"/>
    <n v="0"/>
    <n v="0"/>
    <n v="0"/>
    <n v="0"/>
    <n v="0"/>
    <n v="0"/>
    <n v="34638.343458276373"/>
    <n v="0"/>
    <n v="34638.343458276373"/>
    <n v="587.1002597267792"/>
    <n v="0"/>
    <n v="0"/>
    <n v="0"/>
    <n v="0"/>
    <n v="0"/>
    <n v="2075.7743206772921"/>
    <n v="0"/>
    <n v="2662.8745804040714"/>
    <n v="37301.218038680447"/>
    <n v="0"/>
    <n v="0"/>
    <n v="0"/>
    <n v="0"/>
    <n v="0"/>
    <n v="0"/>
    <n v="37301.218038680447"/>
    <n v="0"/>
    <n v="0"/>
    <n v="0"/>
    <n v="0"/>
    <n v="0"/>
    <n v="0"/>
    <n v="0"/>
    <n v="37301.218038680447"/>
    <n v="1.0720000000000001"/>
    <n v="1.04"/>
    <n v="1.0720000000000001"/>
    <n v="1.04"/>
    <n v="1.1120000000000001"/>
    <n v="1.095"/>
    <n v="1.1120000000000001"/>
    <n v="1.1120000000000001"/>
  </r>
  <r>
    <x v="2"/>
    <x v="3"/>
    <x v="8"/>
    <x v="126"/>
    <x v="183"/>
    <s v="HVAC"/>
    <n v="195"/>
    <n v="17"/>
    <n v="491940.5400000001"/>
    <n v="146250"/>
    <n v="345690.5400000001"/>
    <n v="0"/>
    <n v="0"/>
    <n v="0"/>
    <n v="0"/>
    <n v="0"/>
    <n v="0"/>
    <n v="0"/>
    <n v="0"/>
    <n v="0"/>
    <n v="0"/>
    <n v="0"/>
    <n v="0"/>
    <n v="0"/>
    <n v="0"/>
    <n v="2340"/>
    <n v="39780"/>
    <n v="1979.64"/>
    <n v="33653.880000000005"/>
    <n v="0"/>
    <n v="0"/>
    <n v="0"/>
    <n v="0"/>
    <n v="0"/>
    <n v="0"/>
    <n v="0"/>
    <n v="0"/>
    <n v="0"/>
    <n v="0"/>
    <n v="0"/>
    <n v="0"/>
    <n v="0"/>
    <n v="0"/>
    <n v="0"/>
    <n v="0"/>
    <n v="0"/>
    <n v="0"/>
    <n v="0"/>
    <n v="0"/>
    <n v="0"/>
    <n v="0"/>
    <n v="0"/>
    <n v="0"/>
    <n v="0"/>
    <n v="0"/>
    <n v="0"/>
    <n v="0"/>
    <n v="0"/>
    <n v="0"/>
    <n v="0"/>
    <n v="0"/>
    <n v="0"/>
    <n v="0"/>
    <n v="0"/>
    <n v="0"/>
    <n v="0"/>
    <n v="265748.16695586266"/>
    <n v="0"/>
    <n v="265748.16695586266"/>
    <n v="4541.7616989298303"/>
    <n v="0"/>
    <n v="0"/>
    <n v="0"/>
    <n v="0"/>
    <n v="0"/>
    <n v="16752.053251261801"/>
    <n v="0"/>
    <n v="21293.81495019163"/>
    <n v="287041.98190605431"/>
    <n v="0"/>
    <n v="0"/>
    <n v="0"/>
    <n v="0"/>
    <n v="0"/>
    <n v="0"/>
    <n v="287041.98190605431"/>
    <n v="0"/>
    <n v="0"/>
    <n v="0"/>
    <n v="0"/>
    <n v="0"/>
    <n v="0"/>
    <n v="0"/>
    <n v="287041.98190605431"/>
    <n v="1.0720000000000001"/>
    <n v="1.04"/>
    <n v="1.0720000000000001"/>
    <n v="1.04"/>
    <n v="1.1120000000000001"/>
    <n v="1.095"/>
    <n v="1.1120000000000001"/>
    <n v="1.1120000000000001"/>
  </r>
  <r>
    <x v="2"/>
    <x v="3"/>
    <x v="8"/>
    <x v="137"/>
    <x v="184"/>
    <s v="Hot Water"/>
    <n v="16"/>
    <n v="20"/>
    <n v="5958.9532800000006"/>
    <n v="1593.6"/>
    <n v="4365.3532800000012"/>
    <n v="0"/>
    <n v="0"/>
    <n v="0"/>
    <n v="0"/>
    <n v="0"/>
    <n v="0"/>
    <n v="0"/>
    <n v="0"/>
    <n v="0"/>
    <n v="0"/>
    <n v="0"/>
    <n v="0"/>
    <n v="0"/>
    <n v="0"/>
    <n v="100.79999999999997"/>
    <n v="2015.9999999999993"/>
    <n v="85.27679999999998"/>
    <n v="1705.5359999999996"/>
    <n v="0"/>
    <n v="0"/>
    <n v="0"/>
    <n v="0"/>
    <n v="0"/>
    <n v="0"/>
    <n v="0"/>
    <n v="0"/>
    <n v="0"/>
    <n v="0"/>
    <n v="0"/>
    <n v="0"/>
    <n v="0"/>
    <n v="0"/>
    <n v="0"/>
    <n v="0"/>
    <n v="0"/>
    <n v="0"/>
    <n v="0"/>
    <n v="0"/>
    <n v="0"/>
    <n v="0"/>
    <n v="0"/>
    <n v="0"/>
    <n v="0"/>
    <n v="0"/>
    <n v="0"/>
    <n v="0"/>
    <n v="0"/>
    <n v="0"/>
    <n v="0"/>
    <n v="0"/>
    <n v="0"/>
    <n v="0"/>
    <n v="0"/>
    <n v="0"/>
    <n v="12285.547420339926"/>
    <n v="0"/>
    <n v="0"/>
    <n v="12285.547420339926"/>
    <n v="228.68029748021601"/>
    <n v="0"/>
    <n v="0"/>
    <n v="0"/>
    <n v="0"/>
    <n v="860.34479461309184"/>
    <n v="0"/>
    <n v="0"/>
    <n v="1089.0250920933079"/>
    <n v="13374.572512433235"/>
    <n v="0"/>
    <n v="0"/>
    <n v="0"/>
    <n v="0"/>
    <n v="0"/>
    <n v="0"/>
    <n v="13374.572512433235"/>
    <n v="0"/>
    <n v="0"/>
    <n v="0"/>
    <n v="0"/>
    <n v="0"/>
    <n v="0"/>
    <n v="0"/>
    <n v="13374.572512433235"/>
    <n v="1.0720000000000001"/>
    <n v="1.04"/>
    <n v="1.0720000000000001"/>
    <n v="1.04"/>
    <n v="1.1120000000000001"/>
    <n v="1.095"/>
    <n v="1.1120000000000001"/>
    <n v="1.1120000000000001"/>
  </r>
  <r>
    <x v="2"/>
    <x v="3"/>
    <x v="8"/>
    <x v="138"/>
    <x v="185"/>
    <s v="Hot Water"/>
    <n v="1891"/>
    <n v="20"/>
    <n v="1000746.1323000002"/>
    <n v="743976.13"/>
    <n v="256770.00230000017"/>
    <n v="0"/>
    <n v="0"/>
    <n v="0"/>
    <n v="0"/>
    <n v="0"/>
    <n v="0"/>
    <n v="0"/>
    <n v="0"/>
    <n v="0"/>
    <n v="0"/>
    <n v="0"/>
    <n v="0"/>
    <n v="0"/>
    <n v="0"/>
    <n v="16829.900000000001"/>
    <n v="336598"/>
    <n v="14238.095400000002"/>
    <n v="284761.90800000005"/>
    <n v="0"/>
    <n v="0"/>
    <n v="0"/>
    <n v="0"/>
    <n v="0"/>
    <n v="0"/>
    <n v="0"/>
    <n v="0"/>
    <n v="0"/>
    <n v="0"/>
    <n v="0"/>
    <n v="0"/>
    <n v="0"/>
    <n v="0"/>
    <n v="0"/>
    <n v="0"/>
    <n v="0"/>
    <n v="0"/>
    <n v="0"/>
    <n v="0"/>
    <n v="0"/>
    <n v="0"/>
    <n v="0"/>
    <n v="0"/>
    <n v="0"/>
    <n v="0"/>
    <n v="0"/>
    <n v="0"/>
    <n v="0"/>
    <n v="0"/>
    <n v="0"/>
    <n v="0"/>
    <n v="0"/>
    <n v="0"/>
    <n v="0"/>
    <n v="0"/>
    <n v="2051235.4616029665"/>
    <n v="0"/>
    <n v="0"/>
    <n v="2051235.4616029665"/>
    <n v="38181.215660340167"/>
    <n v="0"/>
    <n v="0"/>
    <n v="0"/>
    <n v="0"/>
    <n v="143646.00058391746"/>
    <n v="0"/>
    <n v="0"/>
    <n v="181827.21624425764"/>
    <n v="2233062.6778472243"/>
    <n v="0"/>
    <n v="0"/>
    <n v="0"/>
    <n v="0"/>
    <n v="0"/>
    <n v="0"/>
    <n v="2233062.6778472243"/>
    <n v="0"/>
    <n v="0"/>
    <n v="0"/>
    <n v="0"/>
    <n v="0"/>
    <n v="0"/>
    <n v="0"/>
    <n v="2233062.6778472243"/>
    <n v="1.0720000000000001"/>
    <n v="1.04"/>
    <n v="1.0720000000000001"/>
    <n v="1.04"/>
    <n v="1.1120000000000001"/>
    <n v="1.095"/>
    <n v="1.1120000000000001"/>
    <n v="1.1120000000000001"/>
  </r>
  <r>
    <x v="2"/>
    <x v="3"/>
    <x v="8"/>
    <x v="139"/>
    <x v="186"/>
    <s v="Hot Water"/>
    <n v="328"/>
    <n v="15"/>
    <n v="300796.99200000003"/>
    <n v="133090.43000000014"/>
    <n v="167706.56199999989"/>
    <n v="0"/>
    <n v="0"/>
    <n v="0"/>
    <n v="0"/>
    <n v="0"/>
    <n v="0"/>
    <n v="0"/>
    <n v="0"/>
    <n v="0"/>
    <n v="0"/>
    <n v="0"/>
    <n v="0"/>
    <n v="0"/>
    <n v="0"/>
    <n v="6231.9999999999991"/>
    <n v="93479.999999999985"/>
    <n v="5272.2719999999999"/>
    <n v="79084.08"/>
    <n v="0"/>
    <n v="0"/>
    <n v="0"/>
    <n v="0"/>
    <n v="0"/>
    <n v="0"/>
    <n v="0"/>
    <n v="0"/>
    <n v="0"/>
    <n v="0"/>
    <n v="0"/>
    <n v="0"/>
    <n v="0"/>
    <n v="0"/>
    <n v="0"/>
    <n v="0"/>
    <n v="0"/>
    <n v="0"/>
    <n v="0"/>
    <n v="0"/>
    <n v="0"/>
    <n v="0"/>
    <n v="0"/>
    <n v="0"/>
    <n v="0"/>
    <n v="0"/>
    <n v="0"/>
    <n v="0"/>
    <n v="0"/>
    <n v="0"/>
    <n v="0"/>
    <n v="0"/>
    <n v="0"/>
    <n v="0"/>
    <n v="0"/>
    <n v="0"/>
    <n v="549176.37035969156"/>
    <n v="0"/>
    <n v="0"/>
    <n v="549176.37035969156"/>
    <n v="10719.206844988365"/>
    <n v="0"/>
    <n v="0"/>
    <n v="0"/>
    <n v="0"/>
    <n v="48829.614304588962"/>
    <n v="0"/>
    <n v="0"/>
    <n v="59548.821149577328"/>
    <n v="608725.19150926895"/>
    <n v="0"/>
    <n v="0"/>
    <n v="0"/>
    <n v="0"/>
    <n v="0"/>
    <n v="0"/>
    <n v="608725.19150926895"/>
    <n v="0"/>
    <n v="0"/>
    <n v="0"/>
    <n v="0"/>
    <n v="0"/>
    <n v="0"/>
    <n v="0"/>
    <n v="608725.19150926895"/>
    <n v="1.0720000000000001"/>
    <n v="1.04"/>
    <n v="1.0720000000000001"/>
    <n v="1.04"/>
    <n v="1.1120000000000001"/>
    <n v="1.095"/>
    <n v="1.1120000000000001"/>
    <n v="1.1120000000000001"/>
  </r>
  <r>
    <x v="2"/>
    <x v="3"/>
    <x v="8"/>
    <x v="140"/>
    <x v="187"/>
    <s v="Hot Water"/>
    <s v=""/>
    <n v="13"/>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3"/>
    <x v="8"/>
    <x v="141"/>
    <x v="188"/>
    <s v="Hot Water"/>
    <n v="864"/>
    <n v="15"/>
    <n v="588614.58432000002"/>
    <n v="489974.4"/>
    <n v="98640.18432"/>
    <n v="0"/>
    <n v="0"/>
    <n v="0"/>
    <n v="0"/>
    <n v="0"/>
    <n v="0"/>
    <n v="0"/>
    <n v="0"/>
    <n v="0"/>
    <n v="0"/>
    <n v="0"/>
    <n v="0"/>
    <n v="0"/>
    <n v="0"/>
    <n v="19958.400000000001"/>
    <n v="299376"/>
    <n v="16884.806400000001"/>
    <n v="253272.09600000002"/>
    <n v="0"/>
    <n v="0"/>
    <n v="0"/>
    <n v="0"/>
    <n v="0"/>
    <n v="0"/>
    <n v="0"/>
    <n v="0"/>
    <n v="0"/>
    <n v="0"/>
    <n v="0"/>
    <n v="0"/>
    <n v="0"/>
    <n v="0"/>
    <n v="0"/>
    <n v="0"/>
    <n v="0"/>
    <n v="0"/>
    <n v="0"/>
    <n v="0"/>
    <n v="0"/>
    <n v="0"/>
    <n v="0"/>
    <n v="0"/>
    <n v="0"/>
    <n v="0"/>
    <n v="0"/>
    <n v="0"/>
    <n v="0"/>
    <n v="0"/>
    <n v="0"/>
    <n v="0"/>
    <n v="0"/>
    <n v="0"/>
    <n v="0"/>
    <n v="0"/>
    <n v="1758774.3373213848"/>
    <n v="0"/>
    <n v="0"/>
    <n v="1758774.3373213848"/>
    <n v="34328.982332319611"/>
    <n v="0"/>
    <n v="0"/>
    <n v="0"/>
    <n v="0"/>
    <n v="156380.13063811112"/>
    <n v="0"/>
    <n v="0"/>
    <n v="190709.11297043072"/>
    <n v="1949483.4502918154"/>
    <n v="0"/>
    <n v="0"/>
    <n v="0"/>
    <n v="0"/>
    <n v="0"/>
    <n v="0"/>
    <n v="1949483.4502918154"/>
    <n v="0"/>
    <n v="0"/>
    <n v="0"/>
    <n v="0"/>
    <n v="0"/>
    <n v="0"/>
    <n v="0"/>
    <n v="1949483.4502918154"/>
    <n v="1.0720000000000001"/>
    <n v="1.04"/>
    <n v="1.0720000000000001"/>
    <n v="1.04"/>
    <n v="1.1120000000000001"/>
    <n v="1.095"/>
    <n v="1.1120000000000001"/>
    <n v="1.1120000000000001"/>
  </r>
  <r>
    <x v="2"/>
    <x v="3"/>
    <x v="8"/>
    <x v="60"/>
    <x v="189"/>
    <s v="HVAC"/>
    <n v="1"/>
    <n v="20"/>
    <n v="1076.9580000000001"/>
    <n v="1200"/>
    <n v="-123.04199999999992"/>
    <n v="0"/>
    <n v="0"/>
    <n v="0"/>
    <n v="0"/>
    <n v="0"/>
    <n v="0"/>
    <n v="0"/>
    <n v="0"/>
    <n v="0"/>
    <n v="0"/>
    <n v="0"/>
    <n v="0"/>
    <n v="0"/>
    <n v="0"/>
    <n v="24.6"/>
    <n v="492"/>
    <n v="20.811600000000002"/>
    <n v="416.23200000000003"/>
    <n v="0"/>
    <n v="0"/>
    <n v="0"/>
    <n v="0"/>
    <n v="0"/>
    <n v="0"/>
    <n v="0"/>
    <n v="0"/>
    <n v="0"/>
    <n v="0"/>
    <n v="0"/>
    <n v="0"/>
    <n v="0"/>
    <n v="0"/>
    <n v="0"/>
    <n v="0"/>
    <n v="0"/>
    <n v="0"/>
    <n v="0"/>
    <n v="0"/>
    <n v="0"/>
    <n v="0"/>
    <n v="0"/>
    <n v="0"/>
    <n v="0"/>
    <n v="0"/>
    <n v="0"/>
    <n v="0"/>
    <n v="0"/>
    <n v="0"/>
    <n v="0"/>
    <n v="0"/>
    <n v="0"/>
    <n v="0"/>
    <n v="0"/>
    <n v="0"/>
    <n v="0"/>
    <n v="3347.2589777632229"/>
    <n v="0"/>
    <n v="3347.2589777632229"/>
    <n v="55.808882123147974"/>
    <n v="0"/>
    <n v="0"/>
    <n v="0"/>
    <n v="0"/>
    <n v="0"/>
    <n v="182.82345390922325"/>
    <n v="0"/>
    <n v="238.63233603237123"/>
    <n v="3585.8913137955942"/>
    <n v="0"/>
    <n v="0"/>
    <n v="0"/>
    <n v="0"/>
    <n v="0"/>
    <n v="0"/>
    <n v="3585.8913137955942"/>
    <n v="0"/>
    <n v="0"/>
    <n v="0"/>
    <n v="0"/>
    <n v="0"/>
    <n v="0"/>
    <n v="0"/>
    <n v="3585.8913137955942"/>
    <n v="1.0720000000000001"/>
    <n v="1.04"/>
    <n v="1.0720000000000001"/>
    <n v="1.04"/>
    <n v="1.1120000000000001"/>
    <n v="1.095"/>
    <n v="1.1120000000000001"/>
    <n v="1.1120000000000001"/>
  </r>
  <r>
    <x v="2"/>
    <x v="3"/>
    <x v="8"/>
    <x v="61"/>
    <x v="190"/>
    <s v="HVAC"/>
    <n v="17"/>
    <n v="20"/>
    <n v="41851.620000000003"/>
    <n v="27200"/>
    <n v="14651.620000000003"/>
    <n v="0"/>
    <n v="0"/>
    <n v="0"/>
    <n v="0"/>
    <n v="0"/>
    <n v="0"/>
    <n v="0"/>
    <n v="0"/>
    <n v="0"/>
    <n v="0"/>
    <n v="0"/>
    <n v="0"/>
    <n v="0"/>
    <n v="0"/>
    <n v="518.49999999999977"/>
    <n v="10369.999999999996"/>
    <n v="438.65099999999984"/>
    <n v="8773.0199999999968"/>
    <n v="0"/>
    <n v="0"/>
    <n v="0"/>
    <n v="0"/>
    <n v="0"/>
    <n v="0"/>
    <n v="0"/>
    <n v="0"/>
    <n v="0"/>
    <n v="0"/>
    <n v="0"/>
    <n v="0"/>
    <n v="0"/>
    <n v="0"/>
    <n v="0"/>
    <n v="0"/>
    <n v="0"/>
    <n v="0"/>
    <n v="0"/>
    <n v="0"/>
    <n v="0"/>
    <n v="0"/>
    <n v="0"/>
    <n v="0"/>
    <n v="0"/>
    <n v="0"/>
    <n v="0"/>
    <n v="0"/>
    <n v="0"/>
    <n v="0"/>
    <n v="0"/>
    <n v="0"/>
    <n v="0"/>
    <n v="0"/>
    <n v="0"/>
    <n v="0"/>
    <n v="0"/>
    <n v="70550.966665456508"/>
    <n v="0"/>
    <n v="70550.966665456508"/>
    <n v="1176.2969667013094"/>
    <n v="0"/>
    <n v="0"/>
    <n v="0"/>
    <n v="0"/>
    <n v="0"/>
    <n v="3853.4130427614718"/>
    <n v="0"/>
    <n v="5029.7100094627813"/>
    <n v="75580.67667491929"/>
    <n v="0"/>
    <n v="0"/>
    <n v="0"/>
    <n v="0"/>
    <n v="0"/>
    <n v="0"/>
    <n v="75580.67667491929"/>
    <n v="0"/>
    <n v="0"/>
    <n v="0"/>
    <n v="0"/>
    <n v="0"/>
    <n v="0"/>
    <n v="0"/>
    <n v="75580.67667491929"/>
    <n v="1.0720000000000001"/>
    <n v="1.04"/>
    <n v="1.0720000000000001"/>
    <n v="1.04"/>
    <n v="1.1120000000000001"/>
    <n v="1.095"/>
    <n v="1.1120000000000001"/>
    <n v="1.1120000000000001"/>
  </r>
  <r>
    <x v="2"/>
    <x v="3"/>
    <x v="8"/>
    <x v="142"/>
    <x v="191"/>
    <s v="Hot Water"/>
    <n v="2698"/>
    <n v="15"/>
    <n v="3423.7620000000002"/>
    <n v="2724.98"/>
    <n v="698.78200000000015"/>
    <n v="0"/>
    <n v="0"/>
    <n v="0"/>
    <n v="0"/>
    <n v="0"/>
    <n v="0"/>
    <n v="0"/>
    <n v="0"/>
    <n v="0"/>
    <n v="0"/>
    <n v="0"/>
    <n v="0"/>
    <n v="0"/>
    <n v="0"/>
    <n v="524.76097602161417"/>
    <n v="7871.4146403242121"/>
    <n v="443.94778571428566"/>
    <n v="6659.2167857142849"/>
    <n v="0"/>
    <n v="0"/>
    <n v="0"/>
    <n v="0"/>
    <n v="0"/>
    <n v="0"/>
    <n v="0"/>
    <n v="0"/>
    <n v="0"/>
    <n v="0"/>
    <n v="0"/>
    <n v="0"/>
    <n v="0"/>
    <n v="0"/>
    <n v="0"/>
    <n v="0"/>
    <n v="0"/>
    <n v="0"/>
    <n v="0"/>
    <n v="0"/>
    <n v="0"/>
    <n v="0"/>
    <n v="0"/>
    <n v="0"/>
    <n v="0"/>
    <n v="0"/>
    <n v="0"/>
    <n v="0"/>
    <n v="0"/>
    <n v="0"/>
    <n v="0"/>
    <n v="0"/>
    <n v="0"/>
    <n v="0"/>
    <n v="0"/>
    <n v="0"/>
    <n v="46242.992316745702"/>
    <n v="0"/>
    <n v="0"/>
    <n v="46242.992316745702"/>
    <n v="902.60292781669818"/>
    <n v="0"/>
    <n v="0"/>
    <n v="0"/>
    <n v="0"/>
    <n v="4111.6617556538959"/>
    <n v="0"/>
    <n v="0"/>
    <n v="5014.2646834705938"/>
    <n v="51257.257000216297"/>
    <n v="0"/>
    <n v="0"/>
    <n v="0"/>
    <n v="0"/>
    <n v="0"/>
    <n v="0"/>
    <n v="51257.257000216297"/>
    <n v="0"/>
    <n v="0"/>
    <n v="0"/>
    <n v="0"/>
    <n v="0"/>
    <n v="0"/>
    <n v="0"/>
    <n v="51257.257000216297"/>
    <n v="1.0720000000000001"/>
    <n v="1.04"/>
    <n v="1.0720000000000001"/>
    <n v="1.04"/>
    <n v="1.1120000000000001"/>
    <n v="1.095"/>
    <n v="1.1120000000000001"/>
    <n v="1.1120000000000001"/>
  </r>
  <r>
    <x v="2"/>
    <x v="3"/>
    <x v="8"/>
    <x v="143"/>
    <x v="192"/>
    <s v="Hot Water"/>
    <n v="87316"/>
    <n v="15"/>
    <n v="590954.68800000008"/>
    <n v="581524.56000000006"/>
    <n v="9430.1280000000261"/>
    <n v="0"/>
    <n v="0"/>
    <n v="0"/>
    <n v="0"/>
    <n v="0"/>
    <n v="0"/>
    <n v="0"/>
    <n v="0"/>
    <n v="0"/>
    <n v="0"/>
    <n v="0"/>
    <n v="0"/>
    <n v="0"/>
    <n v="0"/>
    <n v="40759.108914300472"/>
    <n v="611386.6337145071"/>
    <n v="34482.206141498202"/>
    <n v="517233.09212247306"/>
    <n v="0"/>
    <n v="0"/>
    <n v="0"/>
    <n v="0"/>
    <n v="0"/>
    <n v="0"/>
    <n v="0"/>
    <n v="0"/>
    <n v="0"/>
    <n v="0"/>
    <n v="0"/>
    <n v="0"/>
    <n v="0"/>
    <n v="0"/>
    <n v="0"/>
    <n v="0"/>
    <n v="0"/>
    <n v="0"/>
    <n v="0"/>
    <n v="0"/>
    <n v="0"/>
    <n v="0"/>
    <n v="0"/>
    <n v="0"/>
    <n v="0"/>
    <n v="0"/>
    <n v="0"/>
    <n v="0"/>
    <n v="0"/>
    <n v="0"/>
    <n v="0"/>
    <n v="0"/>
    <n v="0"/>
    <n v="0"/>
    <n v="0"/>
    <n v="0"/>
    <n v="3591774.6297578439"/>
    <n v="0"/>
    <n v="0"/>
    <n v="3591774.6297578439"/>
    <n v="70106.758547784979"/>
    <n v="0"/>
    <n v="0"/>
    <n v="0"/>
    <n v="0"/>
    <n v="319360.00765148044"/>
    <n v="0"/>
    <n v="0"/>
    <n v="389466.76619926543"/>
    <n v="3981241.3959571095"/>
    <n v="0"/>
    <n v="0"/>
    <n v="0"/>
    <n v="0"/>
    <n v="0"/>
    <n v="0"/>
    <n v="3981241.3959571095"/>
    <n v="0"/>
    <n v="0"/>
    <n v="0"/>
    <n v="0"/>
    <n v="0"/>
    <n v="0"/>
    <n v="0"/>
    <n v="3981241.3959571095"/>
    <n v="1.0720000000000001"/>
    <n v="1.04"/>
    <n v="1.0720000000000001"/>
    <n v="1.04"/>
    <n v="1.1120000000000001"/>
    <n v="1.095"/>
    <n v="1.1120000000000001"/>
    <n v="1.1120000000000001"/>
  </r>
  <r>
    <x v="2"/>
    <x v="3"/>
    <x v="8"/>
    <x v="127"/>
    <x v="193"/>
    <s v="Food Service"/>
    <n v="4"/>
    <n v="12"/>
    <n v="4399.2000000000007"/>
    <n v="4000"/>
    <n v="399.20000000000073"/>
    <n v="0"/>
    <n v="0"/>
    <n v="0"/>
    <n v="0"/>
    <n v="0"/>
    <n v="0"/>
    <n v="0"/>
    <n v="0"/>
    <n v="0"/>
    <n v="0"/>
    <n v="0"/>
    <n v="0"/>
    <n v="0"/>
    <n v="0"/>
    <n v="448"/>
    <n v="5376"/>
    <n v="379.00800000000004"/>
    <n v="4548.0960000000005"/>
    <n v="0"/>
    <n v="0"/>
    <n v="0"/>
    <n v="0"/>
    <n v="0"/>
    <n v="0"/>
    <n v="0"/>
    <n v="0"/>
    <n v="0"/>
    <n v="222328.80000000002"/>
    <n v="222328.80000000002"/>
    <n v="2667945.6"/>
    <n v="0"/>
    <n v="0"/>
    <n v="0"/>
    <n v="0"/>
    <n v="0"/>
    <n v="0"/>
    <n v="0"/>
    <n v="0"/>
    <n v="0"/>
    <n v="0"/>
    <n v="0"/>
    <n v="0"/>
    <n v="0"/>
    <n v="0"/>
    <n v="0"/>
    <n v="0"/>
    <n v="0"/>
    <n v="0"/>
    <n v="0"/>
    <n v="0"/>
    <n v="0"/>
    <n v="0"/>
    <n v="0"/>
    <n v="0"/>
    <n v="0"/>
    <n v="0"/>
    <n v="33433.781878297828"/>
    <n v="33433.781878297828"/>
    <n v="620.49032344054581"/>
    <n v="0"/>
    <n v="0"/>
    <n v="0"/>
    <n v="0"/>
    <n v="0"/>
    <n v="0"/>
    <n v="3139.1511300330308"/>
    <n v="3759.6414534735768"/>
    <n v="37193.423331771402"/>
    <n v="0"/>
    <n v="0"/>
    <n v="0"/>
    <n v="0"/>
    <n v="11793.65081716715"/>
    <n v="16360.507794140929"/>
    <n v="65347.58194307948"/>
    <n v="0"/>
    <n v="0"/>
    <n v="0"/>
    <n v="0"/>
    <n v="0"/>
    <n v="0"/>
    <n v="0"/>
    <n v="65347.58194307948"/>
    <n v="1.0720000000000001"/>
    <n v="1.04"/>
    <n v="1.0720000000000001"/>
    <n v="1.04"/>
    <n v="1.1120000000000001"/>
    <n v="1.095"/>
    <n v="1.1120000000000001"/>
    <n v="1.1120000000000001"/>
  </r>
  <r>
    <x v="2"/>
    <x v="3"/>
    <x v="8"/>
    <x v="128"/>
    <x v="194"/>
    <s v="Food Service"/>
    <n v="183"/>
    <n v="12"/>
    <n v="291986.74800000002"/>
    <n v="197495.43"/>
    <n v="94491.318000000028"/>
    <n v="0"/>
    <n v="0"/>
    <n v="0"/>
    <n v="0"/>
    <n v="0"/>
    <n v="0"/>
    <n v="0"/>
    <n v="0"/>
    <n v="0"/>
    <n v="0"/>
    <n v="0"/>
    <n v="0"/>
    <n v="0"/>
    <n v="0"/>
    <n v="2360.7000000000003"/>
    <n v="28328.400000000001"/>
    <n v="1997.1522000000004"/>
    <n v="23965.826400000005"/>
    <n v="0"/>
    <n v="0"/>
    <n v="0"/>
    <n v="0"/>
    <n v="0"/>
    <n v="0"/>
    <n v="0"/>
    <n v="0"/>
    <n v="0"/>
    <n v="0"/>
    <n v="0"/>
    <n v="0"/>
    <n v="0"/>
    <n v="0"/>
    <n v="0"/>
    <n v="0"/>
    <n v="0"/>
    <n v="0"/>
    <n v="0"/>
    <n v="0"/>
    <n v="0"/>
    <n v="0"/>
    <n v="0"/>
    <n v="0"/>
    <n v="0"/>
    <n v="0"/>
    <n v="0"/>
    <n v="0"/>
    <n v="0"/>
    <n v="0"/>
    <n v="0"/>
    <n v="0"/>
    <n v="0"/>
    <n v="0"/>
    <n v="0"/>
    <n v="0"/>
    <n v="0"/>
    <n v="0"/>
    <n v="176176.62696450375"/>
    <n v="176176.62696450375"/>
    <n v="3269.6238985403943"/>
    <n v="0"/>
    <n v="0"/>
    <n v="0"/>
    <n v="0"/>
    <n v="0"/>
    <n v="0"/>
    <n v="16541.50462649325"/>
    <n v="19811.128525033644"/>
    <n v="195987.75548953741"/>
    <n v="0"/>
    <n v="0"/>
    <n v="0"/>
    <n v="0"/>
    <n v="0"/>
    <n v="0"/>
    <n v="195987.75548953741"/>
    <n v="0"/>
    <n v="0"/>
    <n v="0"/>
    <n v="0"/>
    <n v="0"/>
    <n v="0"/>
    <n v="0"/>
    <n v="195987.75548953741"/>
    <n v="1.0720000000000001"/>
    <n v="1.04"/>
    <n v="1.0720000000000001"/>
    <n v="1.04"/>
    <n v="1.1120000000000001"/>
    <n v="1.095"/>
    <n v="1.1120000000000001"/>
    <n v="1.1120000000000001"/>
  </r>
  <r>
    <x v="2"/>
    <x v="3"/>
    <x v="8"/>
    <x v="129"/>
    <x v="195"/>
    <s v="Food Service"/>
    <n v="2"/>
    <n v="12"/>
    <n v="3553.2000000000003"/>
    <n v="2000"/>
    <n v="1553.2000000000003"/>
    <n v="0"/>
    <n v="0"/>
    <n v="0"/>
    <n v="0"/>
    <n v="0"/>
    <n v="0"/>
    <n v="0"/>
    <n v="0"/>
    <n v="0"/>
    <n v="0"/>
    <n v="0"/>
    <n v="0"/>
    <n v="0"/>
    <n v="0"/>
    <n v="176.79999999999998"/>
    <n v="2121.6"/>
    <n v="149.5728"/>
    <n v="1794.8735999999999"/>
    <n v="0"/>
    <n v="0"/>
    <n v="0"/>
    <n v="0"/>
    <n v="0"/>
    <n v="0"/>
    <n v="0"/>
    <n v="0"/>
    <n v="0"/>
    <n v="0"/>
    <n v="0"/>
    <n v="0"/>
    <n v="0"/>
    <n v="0"/>
    <n v="0"/>
    <n v="0"/>
    <n v="0"/>
    <n v="0"/>
    <n v="0"/>
    <n v="0"/>
    <n v="0"/>
    <n v="0"/>
    <n v="0"/>
    <n v="0"/>
    <n v="0"/>
    <n v="0"/>
    <n v="0"/>
    <n v="0"/>
    <n v="0"/>
    <n v="0"/>
    <n v="0"/>
    <n v="0"/>
    <n v="0"/>
    <n v="0"/>
    <n v="0"/>
    <n v="0"/>
    <n v="0"/>
    <n v="0"/>
    <n v="13194.403205542532"/>
    <n v="13194.403205542532"/>
    <n v="244.87207407207251"/>
    <n v="0"/>
    <n v="0"/>
    <n v="0"/>
    <n v="0"/>
    <n v="0"/>
    <n v="0"/>
    <n v="1238.8435709594637"/>
    <n v="1483.7156450315363"/>
    <n v="14678.118850574068"/>
    <n v="0"/>
    <n v="0"/>
    <n v="0"/>
    <n v="0"/>
    <n v="0"/>
    <n v="0"/>
    <n v="14678.118850574068"/>
    <n v="0"/>
    <n v="0"/>
    <n v="0"/>
    <n v="0"/>
    <n v="0"/>
    <n v="0"/>
    <n v="0"/>
    <n v="14678.118850574068"/>
    <n v="1.0720000000000001"/>
    <n v="1.04"/>
    <n v="1.0720000000000001"/>
    <n v="1.04"/>
    <n v="1.1120000000000001"/>
    <n v="1.095"/>
    <n v="1.1120000000000001"/>
    <n v="1.1120000000000001"/>
  </r>
  <r>
    <x v="2"/>
    <x v="3"/>
    <x v="8"/>
    <x v="130"/>
    <x v="196"/>
    <s v="Food Service"/>
    <n v="3"/>
    <n v="12"/>
    <n v="10152.000000000002"/>
    <n v="3000"/>
    <n v="7152.0000000000018"/>
    <n v="0"/>
    <n v="0"/>
    <n v="0"/>
    <n v="0"/>
    <n v="0"/>
    <n v="0"/>
    <n v="0"/>
    <n v="0"/>
    <n v="0"/>
    <n v="0"/>
    <n v="0"/>
    <n v="0"/>
    <n v="0"/>
    <n v="0"/>
    <n v="633.90000000000009"/>
    <n v="7606.8000000000011"/>
    <n v="536.27940000000012"/>
    <n v="6435.3528000000015"/>
    <n v="0"/>
    <n v="0"/>
    <n v="0"/>
    <n v="0"/>
    <n v="0"/>
    <n v="0"/>
    <n v="0"/>
    <n v="0"/>
    <n v="0"/>
    <n v="0"/>
    <n v="0"/>
    <n v="0"/>
    <n v="0"/>
    <n v="0"/>
    <n v="0"/>
    <n v="0"/>
    <n v="0"/>
    <n v="0"/>
    <n v="0"/>
    <n v="0"/>
    <n v="0"/>
    <n v="0"/>
    <n v="0"/>
    <n v="0"/>
    <n v="0"/>
    <n v="0"/>
    <n v="0"/>
    <n v="0"/>
    <n v="0"/>
    <n v="0"/>
    <n v="0"/>
    <n v="0"/>
    <n v="0"/>
    <n v="0"/>
    <n v="0"/>
    <n v="0"/>
    <n v="0"/>
    <n v="0"/>
    <n v="47307.308778243292"/>
    <n v="47307.308778243292"/>
    <n v="877.96610720750459"/>
    <n v="0"/>
    <n v="0"/>
    <n v="0"/>
    <n v="0"/>
    <n v="0"/>
    <n v="0"/>
    <n v="4441.7587083212911"/>
    <n v="5319.7248155287962"/>
    <n v="52627.033593772088"/>
    <n v="0"/>
    <n v="0"/>
    <n v="0"/>
    <n v="0"/>
    <n v="0"/>
    <n v="0"/>
    <n v="52627.033593772088"/>
    <n v="0"/>
    <n v="0"/>
    <n v="0"/>
    <n v="0"/>
    <n v="0"/>
    <n v="0"/>
    <n v="0"/>
    <n v="52627.033593772088"/>
    <n v="1.0720000000000001"/>
    <n v="1.04"/>
    <n v="1.0720000000000001"/>
    <n v="1.04"/>
    <n v="1.1120000000000001"/>
    <n v="1.095"/>
    <n v="1.1120000000000001"/>
    <n v="1.1120000000000001"/>
  </r>
  <r>
    <x v="2"/>
    <x v="3"/>
    <x v="8"/>
    <x v="131"/>
    <x v="197"/>
    <s v="Food Service"/>
    <n v="1"/>
    <n v="12"/>
    <n v="985.59000000000015"/>
    <n v="500"/>
    <n v="485.59000000000015"/>
    <n v="0"/>
    <n v="0"/>
    <n v="0"/>
    <n v="0"/>
    <n v="0"/>
    <n v="0"/>
    <n v="0"/>
    <n v="0"/>
    <n v="0"/>
    <n v="0"/>
    <n v="0"/>
    <n v="0"/>
    <n v="0"/>
    <n v="0"/>
    <n v="13.1"/>
    <n v="157.19999999999999"/>
    <n v="11.082600000000001"/>
    <n v="132.99120000000002"/>
    <n v="0"/>
    <n v="0"/>
    <n v="0"/>
    <n v="0"/>
    <n v="0"/>
    <n v="0"/>
    <n v="0"/>
    <n v="0"/>
    <n v="0"/>
    <n v="0"/>
    <n v="0"/>
    <n v="0"/>
    <n v="0"/>
    <n v="0"/>
    <n v="0"/>
    <n v="0"/>
    <n v="0"/>
    <n v="0"/>
    <n v="0"/>
    <n v="0"/>
    <n v="0"/>
    <n v="0"/>
    <n v="0"/>
    <n v="0"/>
    <n v="0"/>
    <n v="0"/>
    <n v="0"/>
    <n v="0"/>
    <n v="0"/>
    <n v="0"/>
    <n v="0"/>
    <n v="0"/>
    <n v="0"/>
    <n v="0"/>
    <n v="0"/>
    <n v="0"/>
    <n v="0"/>
    <n v="0"/>
    <n v="977.63960403058366"/>
    <n v="977.63960403058366"/>
    <n v="18.14380186846239"/>
    <n v="0"/>
    <n v="0"/>
    <n v="0"/>
    <n v="0"/>
    <n v="0"/>
    <n v="0"/>
    <n v="91.792142418376571"/>
    <n v="109.93594428683896"/>
    <n v="1087.5755483174225"/>
    <n v="0"/>
    <n v="0"/>
    <n v="0"/>
    <n v="0"/>
    <n v="0"/>
    <n v="0"/>
    <n v="1087.5755483174225"/>
    <n v="0"/>
    <n v="0"/>
    <n v="0"/>
    <n v="0"/>
    <n v="0"/>
    <n v="0"/>
    <n v="0"/>
    <n v="1087.5755483174225"/>
    <n v="1.0720000000000001"/>
    <n v="1.04"/>
    <n v="1.0720000000000001"/>
    <n v="1.04"/>
    <n v="1.1120000000000001"/>
    <n v="1.095"/>
    <n v="1.1120000000000001"/>
    <n v="1.1120000000000001"/>
  </r>
  <r>
    <x v="2"/>
    <x v="3"/>
    <x v="8"/>
    <x v="132"/>
    <x v="198"/>
    <s v="Food Service"/>
    <n v="178"/>
    <n v="12"/>
    <n v="511999.2"/>
    <n v="193165.6"/>
    <n v="318833.59999999998"/>
    <n v="0"/>
    <n v="0"/>
    <n v="0"/>
    <n v="0"/>
    <n v="0"/>
    <n v="0"/>
    <n v="0"/>
    <n v="0"/>
    <n v="0"/>
    <n v="0"/>
    <n v="0"/>
    <n v="0"/>
    <n v="0"/>
    <n v="0"/>
    <n v="9042.4"/>
    <n v="108508.79999999999"/>
    <n v="7649.8704000000007"/>
    <n v="91798.444800000012"/>
    <n v="0"/>
    <n v="0"/>
    <n v="0"/>
    <n v="0"/>
    <n v="0"/>
    <n v="0"/>
    <n v="0"/>
    <n v="0"/>
    <n v="0"/>
    <n v="0"/>
    <n v="0"/>
    <n v="0"/>
    <n v="0"/>
    <n v="0"/>
    <n v="0"/>
    <n v="0"/>
    <n v="0"/>
    <n v="0"/>
    <n v="0"/>
    <n v="0"/>
    <n v="0"/>
    <n v="0"/>
    <n v="0"/>
    <n v="0"/>
    <n v="0"/>
    <n v="0"/>
    <n v="0"/>
    <n v="0"/>
    <n v="0"/>
    <n v="0"/>
    <n v="0"/>
    <n v="0"/>
    <n v="0"/>
    <n v="0"/>
    <n v="0"/>
    <n v="0"/>
    <n v="0"/>
    <n v="0"/>
    <n v="674825.0653042862"/>
    <n v="674825.0653042862"/>
    <n v="12523.932367586587"/>
    <n v="0"/>
    <n v="0"/>
    <n v="0"/>
    <n v="0"/>
    <n v="0"/>
    <n v="0"/>
    <n v="63360.402183505976"/>
    <n v="75884.334551092557"/>
    <n v="750709.39985537878"/>
    <n v="0"/>
    <n v="0"/>
    <n v="0"/>
    <n v="0"/>
    <n v="0"/>
    <n v="0"/>
    <n v="750709.39985537878"/>
    <n v="0"/>
    <n v="0"/>
    <n v="0"/>
    <n v="0"/>
    <n v="0"/>
    <n v="0"/>
    <n v="0"/>
    <n v="750709.39985537878"/>
    <n v="1.0720000000000001"/>
    <n v="1.04"/>
    <n v="1.0720000000000001"/>
    <n v="1.04"/>
    <n v="1.1120000000000001"/>
    <n v="1.095"/>
    <n v="1.1120000000000001"/>
    <n v="1.1120000000000001"/>
  </r>
  <r>
    <x v="2"/>
    <x v="3"/>
    <x v="8"/>
    <x v="133"/>
    <x v="199"/>
    <s v="Food Service"/>
    <n v="1"/>
    <n v="12"/>
    <n v="1692.0000000000002"/>
    <n v="1000"/>
    <n v="692.00000000000023"/>
    <n v="0"/>
    <n v="0"/>
    <n v="0"/>
    <n v="0"/>
    <n v="0"/>
    <n v="0"/>
    <n v="0"/>
    <n v="0"/>
    <n v="0"/>
    <n v="0"/>
    <n v="0"/>
    <n v="0"/>
    <n v="0"/>
    <n v="0"/>
    <n v="105.39999999999999"/>
    <n v="1264.8"/>
    <n v="89.168400000000005"/>
    <n v="1070.0208"/>
    <n v="0"/>
    <n v="0"/>
    <n v="0"/>
    <n v="0"/>
    <n v="0"/>
    <n v="0"/>
    <n v="0"/>
    <n v="0"/>
    <n v="0"/>
    <n v="137102.76"/>
    <n v="137102.76"/>
    <n v="1645233.12"/>
    <n v="0"/>
    <n v="0"/>
    <n v="0"/>
    <n v="0"/>
    <n v="0"/>
    <n v="0"/>
    <n v="0"/>
    <n v="0"/>
    <n v="0"/>
    <n v="0"/>
    <n v="0"/>
    <n v="0"/>
    <n v="0"/>
    <n v="0"/>
    <n v="0"/>
    <n v="0"/>
    <n v="0"/>
    <n v="0"/>
    <n v="0"/>
    <n v="0"/>
    <n v="0"/>
    <n v="0"/>
    <n v="0"/>
    <n v="0"/>
    <n v="0"/>
    <n v="0"/>
    <n v="7865.8942186888171"/>
    <n v="7865.8942186888171"/>
    <n v="145.98142877373556"/>
    <n v="0"/>
    <n v="0"/>
    <n v="0"/>
    <n v="0"/>
    <n v="0"/>
    <n v="0"/>
    <n v="738.5413596104496"/>
    <n v="884.52278838418511"/>
    <n v="8750.4170070730015"/>
    <n v="0"/>
    <n v="0"/>
    <n v="0"/>
    <n v="0"/>
    <n v="7272.7513372530766"/>
    <n v="10088.979806386906"/>
    <n v="26112.148150712983"/>
    <n v="0"/>
    <n v="0"/>
    <n v="0"/>
    <n v="0"/>
    <n v="0"/>
    <n v="0"/>
    <n v="0"/>
    <n v="26112.148150712983"/>
    <n v="1.0720000000000001"/>
    <n v="1.04"/>
    <n v="1.0720000000000001"/>
    <n v="1.04"/>
    <n v="1.1120000000000001"/>
    <n v="1.095"/>
    <n v="1.1120000000000001"/>
    <n v="1.1120000000000001"/>
  </r>
  <r>
    <x v="2"/>
    <x v="3"/>
    <x v="8"/>
    <x v="33"/>
    <x v="33"/>
    <n v="0"/>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9"/>
    <x v="144"/>
    <x v="200"/>
    <s v="Custom Measures"/>
    <n v="1"/>
    <n v="10"/>
    <n v="18017.4545"/>
    <n v="9802.75"/>
    <n v="8214.7044999999998"/>
    <n v="0"/>
    <n v="0"/>
    <n v="0"/>
    <n v="0"/>
    <n v="0"/>
    <n v="0"/>
    <n v="0"/>
    <n v="0"/>
    <n v="0"/>
    <n v="0"/>
    <n v="0"/>
    <n v="0"/>
    <n v="0"/>
    <n v="0"/>
    <n v="522.16369999999995"/>
    <n v="5221.6369999999997"/>
    <n v="479.86844029999997"/>
    <n v="4798.6844029999993"/>
    <n v="0"/>
    <n v="0"/>
    <n v="0"/>
    <n v="0"/>
    <n v="0"/>
    <n v="0"/>
    <n v="0"/>
    <n v="0"/>
    <n v="0"/>
    <n v="0"/>
    <n v="0"/>
    <n v="0"/>
    <n v="0"/>
    <n v="0"/>
    <n v="0"/>
    <n v="0"/>
    <n v="0"/>
    <n v="0"/>
    <n v="0"/>
    <n v="0"/>
    <n v="0"/>
    <n v="0"/>
    <n v="0"/>
    <n v="0"/>
    <n v="0"/>
    <n v="0"/>
    <n v="0"/>
    <n v="0"/>
    <n v="0"/>
    <n v="0"/>
    <n v="0"/>
    <n v="0"/>
    <n v="0"/>
    <n v="0"/>
    <n v="0"/>
    <n v="0"/>
    <n v="0"/>
    <n v="36461.05013486297"/>
    <n v="0"/>
    <n v="36461.05013486297"/>
    <n v="657.53509262066746"/>
    <n v="0"/>
    <n v="0"/>
    <n v="0"/>
    <n v="0"/>
    <n v="0"/>
    <n v="3691.0437343404883"/>
    <n v="0"/>
    <n v="4348.5788269611558"/>
    <n v="40809.628961824128"/>
    <n v="0"/>
    <n v="0"/>
    <n v="0"/>
    <n v="0"/>
    <n v="0"/>
    <n v="0"/>
    <n v="40809.628961824128"/>
    <n v="0"/>
    <n v="0"/>
    <n v="0"/>
    <n v="0"/>
    <n v="11737.164925086237"/>
    <n v="0"/>
    <n v="11737.164925086237"/>
    <n v="52546.793886910367"/>
    <n v="1.0720000000000001"/>
    <n v="1.04"/>
    <n v="1.0720000000000001"/>
    <n v="1.04"/>
    <n v="1.1120000000000001"/>
    <n v="1.095"/>
    <n v="1.1120000000000001"/>
    <n v="1.1120000000000001"/>
  </r>
  <r>
    <x v="2"/>
    <x v="4"/>
    <x v="9"/>
    <x v="145"/>
    <x v="200"/>
    <s v="Custom Measures"/>
    <n v="1"/>
    <n v="15"/>
    <n v="103340.02446"/>
    <n v="56224.17"/>
    <n v="47115.854460000002"/>
    <n v="0"/>
    <n v="0"/>
    <n v="0"/>
    <n v="0"/>
    <n v="0"/>
    <n v="0"/>
    <n v="0"/>
    <n v="0"/>
    <n v="0"/>
    <n v="0"/>
    <n v="0"/>
    <n v="0"/>
    <n v="0"/>
    <n v="0"/>
    <n v="2518.5070000000001"/>
    <n v="37777.605000000003"/>
    <n v="2314.5079330000003"/>
    <n v="34717.618995000004"/>
    <n v="0"/>
    <n v="0"/>
    <n v="0"/>
    <n v="0"/>
    <n v="0"/>
    <n v="0"/>
    <n v="0"/>
    <n v="0"/>
    <n v="0"/>
    <n v="0"/>
    <n v="0"/>
    <n v="0"/>
    <n v="0"/>
    <n v="0"/>
    <n v="0"/>
    <n v="0"/>
    <n v="0"/>
    <n v="0"/>
    <n v="0"/>
    <n v="0"/>
    <n v="0"/>
    <n v="0"/>
    <n v="0"/>
    <n v="0"/>
    <n v="0"/>
    <n v="0"/>
    <n v="0"/>
    <n v="0"/>
    <n v="0"/>
    <n v="0"/>
    <n v="0"/>
    <n v="0"/>
    <n v="0"/>
    <n v="0"/>
    <n v="0"/>
    <n v="0"/>
    <n v="0"/>
    <n v="270764.92150140955"/>
    <n v="0"/>
    <n v="270764.92150140955"/>
    <n v="4705.6922097709448"/>
    <n v="0"/>
    <n v="0"/>
    <n v="0"/>
    <n v="0"/>
    <n v="0"/>
    <n v="19082.625293671637"/>
    <n v="0"/>
    <n v="23788.31750344258"/>
    <n v="294553.23900485213"/>
    <n v="0"/>
    <n v="0"/>
    <n v="0"/>
    <n v="0"/>
    <n v="0"/>
    <n v="0"/>
    <n v="294553.23900485213"/>
    <n v="0"/>
    <n v="0"/>
    <n v="0"/>
    <n v="0"/>
    <n v="83997.776198749852"/>
    <n v="0"/>
    <n v="83997.776198749852"/>
    <n v="378551.01520360197"/>
    <n v="1.0720000000000001"/>
    <n v="1.04"/>
    <n v="1.0720000000000001"/>
    <n v="1.04"/>
    <n v="1.1120000000000001"/>
    <n v="1.095"/>
    <n v="1.1120000000000001"/>
    <n v="1.1120000000000001"/>
  </r>
  <r>
    <x v="2"/>
    <x v="4"/>
    <x v="9"/>
    <x v="146"/>
    <x v="200"/>
    <s v="Custom Measures"/>
    <n v="1"/>
    <n v="18"/>
    <n v="879350.29639999999"/>
    <n v="478427.8"/>
    <n v="400922.4964"/>
    <n v="0"/>
    <n v="0"/>
    <n v="0"/>
    <n v="0"/>
    <n v="0"/>
    <n v="0"/>
    <n v="0"/>
    <n v="0"/>
    <n v="0"/>
    <n v="0"/>
    <n v="0"/>
    <n v="0"/>
    <n v="0"/>
    <n v="0"/>
    <n v="22053.213455000001"/>
    <n v="396957.84219"/>
    <n v="20266.903165145002"/>
    <n v="364804.25697261002"/>
    <n v="0"/>
    <n v="0"/>
    <n v="0"/>
    <n v="0"/>
    <n v="0"/>
    <n v="0"/>
    <n v="0"/>
    <n v="0"/>
    <n v="0"/>
    <n v="0"/>
    <n v="0"/>
    <n v="0"/>
    <n v="0"/>
    <n v="0"/>
    <n v="0"/>
    <n v="0"/>
    <n v="0"/>
    <n v="0"/>
    <n v="0"/>
    <n v="0"/>
    <n v="0"/>
    <n v="0"/>
    <n v="0"/>
    <n v="0"/>
    <n v="0"/>
    <n v="0"/>
    <n v="0"/>
    <n v="0"/>
    <n v="0"/>
    <n v="0"/>
    <n v="0"/>
    <n v="0"/>
    <n v="0"/>
    <n v="0"/>
    <n v="0"/>
    <n v="0"/>
    <n v="0"/>
    <n v="2898363.1243241238"/>
    <n v="0"/>
    <n v="2898363.1243241238"/>
    <n v="49125.609748714189"/>
    <n v="0"/>
    <n v="0"/>
    <n v="0"/>
    <n v="0"/>
    <n v="0"/>
    <n v="173690.40042913757"/>
    <n v="0"/>
    <n v="222816.01017785177"/>
    <n v="3121179.1345019755"/>
    <n v="0"/>
    <n v="0"/>
    <n v="0"/>
    <n v="0"/>
    <n v="0"/>
    <n v="0"/>
    <n v="3121179.1345019755"/>
    <n v="0"/>
    <n v="0"/>
    <n v="0"/>
    <n v="0"/>
    <n v="876904.35101799376"/>
    <n v="0"/>
    <n v="876904.35101799376"/>
    <n v="3998083.4855199694"/>
    <n v="1.0720000000000001"/>
    <n v="1.04"/>
    <n v="1.0720000000000001"/>
    <n v="1.04"/>
    <n v="1.1120000000000001"/>
    <n v="1.095"/>
    <n v="1.1120000000000001"/>
    <n v="1.1120000000000001"/>
  </r>
  <r>
    <x v="2"/>
    <x v="4"/>
    <x v="9"/>
    <x v="147"/>
    <x v="200"/>
    <s v="Custom Measures"/>
    <n v="1"/>
    <n v="20"/>
    <n v="13896.199000000001"/>
    <n v="7560.5"/>
    <n v="6335.6990000000005"/>
    <n v="0"/>
    <n v="0"/>
    <n v="0"/>
    <n v="0"/>
    <n v="0"/>
    <n v="0"/>
    <n v="0"/>
    <n v="0"/>
    <n v="0"/>
    <n v="0"/>
    <n v="0"/>
    <n v="0"/>
    <n v="0"/>
    <n v="0"/>
    <n v="379.13929999999999"/>
    <n v="7582.7860000000001"/>
    <n v="348.42901670000003"/>
    <n v="6968.5803340000002"/>
    <n v="0"/>
    <n v="0"/>
    <n v="0"/>
    <n v="0"/>
    <n v="0"/>
    <n v="0"/>
    <n v="0"/>
    <n v="0"/>
    <n v="0"/>
    <n v="0"/>
    <n v="0"/>
    <n v="0"/>
    <n v="0"/>
    <n v="0"/>
    <n v="0"/>
    <n v="0"/>
    <n v="0"/>
    <n v="0"/>
    <n v="0"/>
    <n v="0"/>
    <n v="0"/>
    <n v="0"/>
    <n v="0"/>
    <n v="0"/>
    <n v="0"/>
    <n v="0"/>
    <n v="0"/>
    <n v="0"/>
    <n v="0"/>
    <n v="0"/>
    <n v="0"/>
    <n v="0"/>
    <n v="0"/>
    <n v="0"/>
    <n v="0"/>
    <n v="0"/>
    <n v="0"/>
    <n v="56040.004337114253"/>
    <n v="0"/>
    <n v="56040.004337114253"/>
    <n v="934.35554792974381"/>
    <n v="0"/>
    <n v="0"/>
    <n v="0"/>
    <n v="0"/>
    <n v="0"/>
    <n v="3060.8408904307412"/>
    <n v="0"/>
    <n v="3995.196438360485"/>
    <n v="60035.200775474739"/>
    <n v="0"/>
    <n v="0"/>
    <n v="0"/>
    <n v="0"/>
    <n v="0"/>
    <n v="0"/>
    <n v="60035.200775474739"/>
    <n v="0"/>
    <n v="0"/>
    <n v="0"/>
    <n v="0"/>
    <n v="16678.478894581844"/>
    <n v="0"/>
    <n v="16678.478894581844"/>
    <n v="76713.67967005659"/>
    <n v="1.0720000000000001"/>
    <n v="1.04"/>
    <n v="1.0720000000000001"/>
    <n v="1.04"/>
    <n v="1.1120000000000001"/>
    <n v="1.095"/>
    <n v="1.1120000000000001"/>
    <n v="1.1120000000000001"/>
  </r>
  <r>
    <x v="2"/>
    <x v="4"/>
    <x v="9"/>
    <x v="92"/>
    <x v="200"/>
    <s v="Custom Measures"/>
    <n v="1"/>
    <n v="25"/>
    <n v="13276.793"/>
    <n v="7223.5"/>
    <n v="6053.2929999999997"/>
    <n v="0"/>
    <n v="0"/>
    <n v="0"/>
    <n v="0"/>
    <n v="0"/>
    <n v="0"/>
    <n v="0"/>
    <n v="0"/>
    <n v="0"/>
    <n v="0"/>
    <n v="0"/>
    <n v="0"/>
    <n v="0"/>
    <n v="0"/>
    <n v="379.52879999999999"/>
    <n v="9488.2199999999993"/>
    <n v="348.78696719999999"/>
    <n v="8719.67418"/>
    <n v="0"/>
    <n v="0"/>
    <n v="0"/>
    <n v="0"/>
    <n v="0"/>
    <n v="0"/>
    <n v="0"/>
    <n v="0"/>
    <n v="0"/>
    <n v="0"/>
    <n v="0"/>
    <n v="0"/>
    <n v="0"/>
    <n v="0"/>
    <n v="0"/>
    <n v="0"/>
    <n v="0"/>
    <n v="0"/>
    <n v="0"/>
    <n v="0"/>
    <n v="0"/>
    <n v="0"/>
    <n v="0"/>
    <n v="0"/>
    <n v="0"/>
    <n v="0"/>
    <n v="0"/>
    <n v="0"/>
    <n v="0"/>
    <n v="0"/>
    <n v="0"/>
    <n v="0"/>
    <n v="0"/>
    <n v="0"/>
    <n v="0"/>
    <n v="0"/>
    <n v="0"/>
    <n v="72246.074105696069"/>
    <n v="0"/>
    <n v="72246.074105696069"/>
    <n v="1156.5910333198231"/>
    <n v="0"/>
    <n v="0"/>
    <n v="0"/>
    <n v="0"/>
    <n v="0"/>
    <n v="3248.2077251247265"/>
    <n v="0"/>
    <n v="4404.7987584445491"/>
    <n v="76650.87286414062"/>
    <n v="0"/>
    <n v="0"/>
    <n v="0"/>
    <n v="0"/>
    <n v="0"/>
    <n v="0"/>
    <n v="76650.87286414062"/>
    <n v="0"/>
    <n v="0"/>
    <n v="0"/>
    <n v="0"/>
    <n v="20645.437576336568"/>
    <n v="0"/>
    <n v="20645.437576336568"/>
    <n v="97296.310440477188"/>
    <n v="1.0720000000000001"/>
    <n v="1.04"/>
    <n v="1.0720000000000001"/>
    <n v="1.04"/>
    <n v="1.1120000000000001"/>
    <n v="1.095"/>
    <n v="1.1120000000000001"/>
    <n v="1.1120000000000001"/>
  </r>
  <r>
    <x v="2"/>
    <x v="4"/>
    <x v="9"/>
    <x v="148"/>
    <x v="201"/>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9"/>
    <x v="94"/>
    <x v="202"/>
    <s v="Food Service"/>
    <s v=""/>
    <n v="9"/>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49"/>
    <x v="203"/>
    <s v="HVAC"/>
    <n v="1"/>
    <n v="15"/>
    <n v="36295.721200000007"/>
    <n v="19747.400000000001"/>
    <n v="16548.321200000006"/>
    <n v="0"/>
    <n v="0"/>
    <n v="0"/>
    <n v="0"/>
    <n v="0"/>
    <n v="0"/>
    <n v="0"/>
    <n v="0"/>
    <n v="0"/>
    <n v="0"/>
    <n v="0"/>
    <n v="0"/>
    <n v="0"/>
    <n v="0"/>
    <n v="622.96630000000005"/>
    <n v="9344.4945000000007"/>
    <n v="572.50602970000011"/>
    <n v="8587.5904455000018"/>
    <n v="0"/>
    <n v="0"/>
    <n v="0"/>
    <n v="0"/>
    <n v="0"/>
    <n v="0"/>
    <n v="0"/>
    <n v="0"/>
    <n v="0"/>
    <n v="0"/>
    <n v="0"/>
    <n v="0"/>
    <n v="0"/>
    <n v="0"/>
    <n v="0"/>
    <n v="0"/>
    <n v="0"/>
    <n v="0"/>
    <n v="0"/>
    <n v="0"/>
    <n v="0"/>
    <n v="0"/>
    <n v="0"/>
    <n v="0"/>
    <n v="0"/>
    <n v="0"/>
    <n v="0"/>
    <n v="0"/>
    <n v="0"/>
    <n v="0"/>
    <n v="0"/>
    <n v="0"/>
    <n v="0"/>
    <n v="0"/>
    <n v="0"/>
    <n v="0"/>
    <n v="0"/>
    <n v="66975.164777196784"/>
    <n v="0"/>
    <n v="66975.164777196784"/>
    <n v="1163.978366889522"/>
    <n v="0"/>
    <n v="0"/>
    <n v="0"/>
    <n v="0"/>
    <n v="0"/>
    <n v="4720.1903641661647"/>
    <n v="0"/>
    <n v="5884.1687310556863"/>
    <n v="72859.333508252472"/>
    <n v="0"/>
    <n v="0"/>
    <n v="0"/>
    <n v="0"/>
    <n v="0"/>
    <n v="0"/>
    <n v="72859.333508252472"/>
    <n v="0"/>
    <n v="0"/>
    <n v="0"/>
    <n v="0"/>
    <n v="20777.303317705002"/>
    <n v="0"/>
    <n v="20777.303317705002"/>
    <n v="93636.636825957481"/>
    <n v="1.0720000000000001"/>
    <n v="1.04"/>
    <n v="1.0720000000000001"/>
    <n v="1.04"/>
    <n v="1.1120000000000001"/>
    <n v="1.095"/>
    <n v="1.1120000000000001"/>
    <n v="1.1120000000000001"/>
  </r>
  <r>
    <x v="2"/>
    <x v="4"/>
    <x v="9"/>
    <x v="150"/>
    <x v="203"/>
    <s v="HVAC"/>
    <n v="1"/>
    <n v="18"/>
    <n v="1537584.4140000001"/>
    <n v="836553"/>
    <n v="701031.41400000011"/>
    <n v="0"/>
    <n v="0"/>
    <n v="0"/>
    <n v="0"/>
    <n v="0"/>
    <n v="0"/>
    <n v="0"/>
    <n v="0"/>
    <n v="0"/>
    <n v="0"/>
    <n v="0"/>
    <n v="0"/>
    <n v="0"/>
    <n v="0"/>
    <n v="43444.985800000002"/>
    <n v="782009.74440000008"/>
    <n v="39925.941950200002"/>
    <n v="718666.95510360005"/>
    <n v="0"/>
    <n v="0"/>
    <n v="0"/>
    <n v="0"/>
    <n v="0"/>
    <n v="0"/>
    <n v="0"/>
    <n v="0"/>
    <n v="0"/>
    <n v="0"/>
    <n v="0"/>
    <n v="0"/>
    <n v="0"/>
    <n v="0"/>
    <n v="0"/>
    <n v="0"/>
    <n v="0"/>
    <n v="0"/>
    <n v="0"/>
    <n v="0"/>
    <n v="0"/>
    <n v="0"/>
    <n v="0"/>
    <n v="0"/>
    <n v="0"/>
    <n v="0"/>
    <n v="0"/>
    <n v="0"/>
    <n v="0"/>
    <n v="0"/>
    <n v="0"/>
    <n v="0"/>
    <n v="0"/>
    <n v="0"/>
    <n v="0"/>
    <n v="0"/>
    <n v="0"/>
    <n v="5709795.7645241134"/>
    <n v="0"/>
    <n v="5709795.7645241134"/>
    <n v="96777.797136196517"/>
    <n v="0"/>
    <n v="0"/>
    <n v="0"/>
    <n v="0"/>
    <n v="0"/>
    <n v="342171.3119331976"/>
    <n v="0"/>
    <n v="438949.10906939412"/>
    <n v="6148744.8735935073"/>
    <n v="0"/>
    <n v="0"/>
    <n v="0"/>
    <n v="0"/>
    <n v="0"/>
    <n v="0"/>
    <n v="6148744.8735935073"/>
    <n v="0"/>
    <n v="0"/>
    <n v="0"/>
    <n v="0"/>
    <n v="1727507.7464639246"/>
    <n v="0"/>
    <n v="1727507.7464639246"/>
    <n v="7876252.620057432"/>
    <n v="1.0720000000000001"/>
    <n v="1.04"/>
    <n v="1.0720000000000001"/>
    <n v="1.04"/>
    <n v="1.1120000000000001"/>
    <n v="1.095"/>
    <n v="1.1120000000000001"/>
    <n v="1.1120000000000001"/>
  </r>
  <r>
    <x v="2"/>
    <x v="4"/>
    <x v="9"/>
    <x v="151"/>
    <x v="204"/>
    <s v="HVAC"/>
    <n v="1"/>
    <n v="2"/>
    <n v="26558.732400000001"/>
    <n v="14449.8"/>
    <n v="12108.932400000002"/>
    <n v="0"/>
    <n v="0"/>
    <n v="0"/>
    <n v="0"/>
    <n v="0"/>
    <n v="0"/>
    <n v="0"/>
    <n v="0"/>
    <n v="0"/>
    <n v="0"/>
    <n v="0"/>
    <n v="0"/>
    <n v="0"/>
    <n v="0"/>
    <n v="950.2242"/>
    <n v="1900.4484"/>
    <n v="873.25603980000005"/>
    <n v="1746.5120796000001"/>
    <n v="0"/>
    <n v="0"/>
    <n v="0"/>
    <n v="0"/>
    <n v="0"/>
    <n v="0"/>
    <n v="0"/>
    <n v="0"/>
    <n v="0"/>
    <n v="0"/>
    <n v="0"/>
    <n v="0"/>
    <n v="0"/>
    <n v="0"/>
    <n v="0"/>
    <n v="0"/>
    <n v="0"/>
    <n v="0"/>
    <n v="0"/>
    <n v="0"/>
    <n v="0"/>
    <n v="0"/>
    <n v="0"/>
    <n v="0"/>
    <n v="0"/>
    <n v="0"/>
    <n v="0"/>
    <n v="0"/>
    <n v="0"/>
    <n v="0"/>
    <n v="0"/>
    <n v="0"/>
    <n v="0"/>
    <n v="0"/>
    <n v="0"/>
    <n v="0"/>
    <n v="0"/>
    <n v="13126.519660781796"/>
    <n v="0"/>
    <n v="13126.519660781796"/>
    <n v="243.53516170719487"/>
    <n v="0"/>
    <n v="0"/>
    <n v="0"/>
    <n v="0"/>
    <n v="0"/>
    <n v="4418.2377879330916"/>
    <n v="0"/>
    <n v="4661.7729496402862"/>
    <n v="17788.292610422082"/>
    <n v="0"/>
    <n v="0"/>
    <n v="0"/>
    <n v="0"/>
    <n v="0"/>
    <n v="0"/>
    <n v="17788.292610422082"/>
    <n v="0"/>
    <n v="0"/>
    <n v="0"/>
    <n v="0"/>
    <n v="4347.1632010124713"/>
    <n v="0"/>
    <n v="4347.1632010124713"/>
    <n v="22135.455811434553"/>
    <n v="1.0720000000000001"/>
    <n v="1.04"/>
    <n v="1.0720000000000001"/>
    <n v="1.04"/>
    <n v="1.1120000000000001"/>
    <n v="1.095"/>
    <n v="1.1120000000000001"/>
    <n v="1.1120000000000001"/>
  </r>
  <r>
    <x v="2"/>
    <x v="4"/>
    <x v="9"/>
    <x v="152"/>
    <x v="204"/>
    <s v="HVAC"/>
    <n v="1"/>
    <n v="5"/>
    <n v="33986.641799999998"/>
    <n v="18491.099999999999"/>
    <n v="15495.541799999999"/>
    <n v="0"/>
    <n v="0"/>
    <n v="0"/>
    <n v="0"/>
    <n v="0"/>
    <n v="0"/>
    <n v="0"/>
    <n v="0"/>
    <n v="0"/>
    <n v="0"/>
    <n v="0"/>
    <n v="0"/>
    <n v="0"/>
    <n v="0"/>
    <n v="751.50130000000001"/>
    <n v="3757.5065"/>
    <n v="690.62969470000007"/>
    <n v="3453.1484735000004"/>
    <n v="0"/>
    <n v="0"/>
    <n v="0"/>
    <n v="0"/>
    <n v="0"/>
    <n v="0"/>
    <n v="0"/>
    <n v="0"/>
    <n v="0"/>
    <n v="0"/>
    <n v="0"/>
    <n v="0"/>
    <n v="0"/>
    <n v="0"/>
    <n v="0"/>
    <n v="0"/>
    <n v="0"/>
    <n v="0"/>
    <n v="0"/>
    <n v="0"/>
    <n v="0"/>
    <n v="0"/>
    <n v="0"/>
    <n v="0"/>
    <n v="0"/>
    <n v="0"/>
    <n v="0"/>
    <n v="0"/>
    <n v="0"/>
    <n v="0"/>
    <n v="0"/>
    <n v="0"/>
    <n v="0"/>
    <n v="0"/>
    <n v="0"/>
    <n v="0"/>
    <n v="0"/>
    <n v="25812.779426736601"/>
    <n v="0"/>
    <n v="25812.779426736601"/>
    <n v="478.35751429482087"/>
    <n v="0"/>
    <n v="0"/>
    <n v="0"/>
    <n v="0"/>
    <n v="0"/>
    <n v="4918.7301504761663"/>
    <n v="0"/>
    <n v="5397.0876647709874"/>
    <n v="31209.867091507589"/>
    <n v="0"/>
    <n v="0"/>
    <n v="0"/>
    <n v="0"/>
    <n v="0"/>
    <n v="0"/>
    <n v="31209.867091507589"/>
    <n v="0"/>
    <n v="0"/>
    <n v="0"/>
    <n v="0"/>
    <n v="8538.800592460022"/>
    <n v="0"/>
    <n v="8538.800592460022"/>
    <n v="39748.667683967607"/>
    <n v="1.0720000000000001"/>
    <n v="1.04"/>
    <n v="1.0720000000000001"/>
    <n v="1.04"/>
    <n v="1.1120000000000001"/>
    <n v="1.095"/>
    <n v="1.1120000000000001"/>
    <n v="1.1120000000000001"/>
  </r>
  <r>
    <x v="2"/>
    <x v="4"/>
    <x v="9"/>
    <x v="153"/>
    <x v="204"/>
    <s v="HVAC"/>
    <n v="1"/>
    <n v="10"/>
    <n v="523.83000000000004"/>
    <n v="285"/>
    <n v="238.83000000000004"/>
    <n v="0"/>
    <n v="0"/>
    <n v="0"/>
    <n v="0"/>
    <n v="0"/>
    <n v="0"/>
    <n v="0"/>
    <n v="0"/>
    <n v="0"/>
    <n v="0"/>
    <n v="0"/>
    <n v="0"/>
    <n v="0"/>
    <n v="0"/>
    <n v="22.201499999999999"/>
    <n v="222.01499999999999"/>
    <n v="20.403178499999999"/>
    <n v="204.03178499999999"/>
    <n v="0"/>
    <n v="0"/>
    <n v="0"/>
    <n v="0"/>
    <n v="0"/>
    <n v="0"/>
    <n v="0"/>
    <n v="0"/>
    <n v="0"/>
    <n v="0"/>
    <n v="0"/>
    <n v="0"/>
    <n v="0"/>
    <n v="0"/>
    <n v="0"/>
    <n v="0"/>
    <n v="0"/>
    <n v="0"/>
    <n v="0"/>
    <n v="0"/>
    <n v="0"/>
    <n v="0"/>
    <n v="0"/>
    <n v="0"/>
    <n v="0"/>
    <n v="0"/>
    <n v="0"/>
    <n v="0"/>
    <n v="0"/>
    <n v="0"/>
    <n v="0"/>
    <n v="0"/>
    <n v="0"/>
    <n v="0"/>
    <n v="0"/>
    <n v="0"/>
    <n v="0"/>
    <n v="1550.2609709735862"/>
    <n v="0"/>
    <n v="1550.2609709735862"/>
    <n v="27.957258152601852"/>
    <n v="0"/>
    <n v="0"/>
    <n v="0"/>
    <n v="0"/>
    <n v="0"/>
    <n v="156.93681400671926"/>
    <n v="0"/>
    <n v="184.89407215932113"/>
    <n v="1735.1550431329074"/>
    <n v="0"/>
    <n v="0"/>
    <n v="0"/>
    <n v="0"/>
    <n v="0"/>
    <n v="0"/>
    <n v="1735.1550431329074"/>
    <n v="0"/>
    <n v="0"/>
    <n v="0"/>
    <n v="0"/>
    <n v="499.04401068918071"/>
    <n v="0"/>
    <n v="499.04401068918071"/>
    <n v="2234.199053822088"/>
    <n v="1.0720000000000001"/>
    <n v="1.04"/>
    <n v="1.0720000000000001"/>
    <n v="1.04"/>
    <n v="1.1120000000000001"/>
    <n v="1.095"/>
    <n v="1.1120000000000001"/>
    <n v="1.1120000000000001"/>
  </r>
  <r>
    <x v="2"/>
    <x v="4"/>
    <x v="9"/>
    <x v="154"/>
    <x v="204"/>
    <s v="HVAC"/>
    <n v="1"/>
    <n v="13"/>
    <n v="184204.36000000002"/>
    <n v="100220"/>
    <n v="83984.360000000015"/>
    <n v="0"/>
    <n v="0"/>
    <n v="0"/>
    <n v="0"/>
    <n v="0"/>
    <n v="0"/>
    <n v="0"/>
    <n v="0"/>
    <n v="0"/>
    <n v="0"/>
    <n v="0"/>
    <n v="0"/>
    <n v="0"/>
    <n v="0"/>
    <n v="3607.0816"/>
    <n v="46892.060799999999"/>
    <n v="3314.9079904"/>
    <n v="43093.803875199999"/>
    <n v="0"/>
    <n v="0"/>
    <n v="0"/>
    <n v="0"/>
    <n v="0"/>
    <n v="0"/>
    <n v="0"/>
    <n v="0"/>
    <n v="0"/>
    <n v="0"/>
    <n v="0"/>
    <n v="0"/>
    <n v="0"/>
    <n v="0"/>
    <n v="0"/>
    <n v="0"/>
    <n v="0"/>
    <n v="0"/>
    <n v="0"/>
    <n v="0"/>
    <n v="0"/>
    <n v="0"/>
    <n v="0"/>
    <n v="0"/>
    <n v="0"/>
    <n v="0"/>
    <n v="0"/>
    <n v="0"/>
    <n v="0"/>
    <n v="0"/>
    <n v="0"/>
    <n v="0"/>
    <n v="0"/>
    <n v="0"/>
    <n v="0"/>
    <n v="0"/>
    <n v="0"/>
    <n v="331829.78534569044"/>
    <n v="0"/>
    <n v="331829.78534569044"/>
    <n v="5866.4529000869661"/>
    <n v="0"/>
    <n v="0"/>
    <n v="0"/>
    <n v="0"/>
    <n v="0"/>
    <n v="26603.746349938254"/>
    <n v="0"/>
    <n v="32470.19925002522"/>
    <n v="364299.98459571565"/>
    <n v="0"/>
    <n v="0"/>
    <n v="0"/>
    <n v="0"/>
    <n v="0"/>
    <n v="0"/>
    <n v="364299.98459571565"/>
    <n v="0"/>
    <n v="0"/>
    <n v="0"/>
    <n v="0"/>
    <n v="104717.64318941682"/>
    <n v="0"/>
    <n v="104717.64318941682"/>
    <n v="469017.6277851325"/>
    <n v="1.0720000000000001"/>
    <n v="1.04"/>
    <n v="1.0720000000000001"/>
    <n v="1.04"/>
    <n v="1.1120000000000001"/>
    <n v="1.095"/>
    <n v="1.1120000000000001"/>
    <n v="1.1120000000000001"/>
  </r>
  <r>
    <x v="2"/>
    <x v="4"/>
    <x v="9"/>
    <x v="97"/>
    <x v="204"/>
    <s v="HVAC"/>
    <n v="1"/>
    <n v="15"/>
    <n v="275113.20011999999"/>
    <n v="149680.74"/>
    <n v="125432.46012"/>
    <n v="0"/>
    <n v="0"/>
    <n v="0"/>
    <n v="0"/>
    <n v="0"/>
    <n v="0"/>
    <n v="0"/>
    <n v="0"/>
    <n v="0"/>
    <n v="0"/>
    <n v="0"/>
    <n v="0"/>
    <n v="0"/>
    <n v="0"/>
    <n v="15535.986500000001"/>
    <n v="233039.79750000002"/>
    <n v="14277.571593500001"/>
    <n v="214163.57390250001"/>
    <n v="0"/>
    <n v="0"/>
    <n v="0"/>
    <n v="0"/>
    <n v="0"/>
    <n v="0"/>
    <n v="0"/>
    <n v="0"/>
    <n v="0"/>
    <n v="0"/>
    <n v="0"/>
    <n v="0"/>
    <n v="0"/>
    <n v="0"/>
    <n v="0"/>
    <n v="0"/>
    <n v="0"/>
    <n v="0"/>
    <n v="0"/>
    <n v="0"/>
    <n v="0"/>
    <n v="0"/>
    <n v="0"/>
    <n v="0"/>
    <n v="0"/>
    <n v="0"/>
    <n v="0"/>
    <n v="0"/>
    <n v="0"/>
    <n v="0"/>
    <n v="0"/>
    <n v="0"/>
    <n v="0"/>
    <n v="0"/>
    <n v="0"/>
    <n v="0"/>
    <n v="0"/>
    <n v="1670275.3516744082"/>
    <n v="0"/>
    <n v="1670275.3516744082"/>
    <n v="29028.138752108513"/>
    <n v="0"/>
    <n v="0"/>
    <n v="0"/>
    <n v="0"/>
    <n v="0"/>
    <n v="117715.53898680491"/>
    <n v="0"/>
    <n v="146743.67773891342"/>
    <n v="1817019.0294133215"/>
    <n v="0"/>
    <n v="0"/>
    <n v="0"/>
    <n v="0"/>
    <n v="0"/>
    <n v="0"/>
    <n v="1817019.0294133215"/>
    <n v="0"/>
    <n v="0"/>
    <n v="0"/>
    <n v="0"/>
    <n v="518159.495706702"/>
    <n v="0"/>
    <n v="518159.495706702"/>
    <n v="2335178.5251200236"/>
    <n v="1.0720000000000001"/>
    <n v="1.04"/>
    <n v="1.0720000000000001"/>
    <n v="1.04"/>
    <n v="1.1120000000000001"/>
    <n v="1.095"/>
    <n v="1.1120000000000001"/>
    <n v="1.1120000000000001"/>
  </r>
  <r>
    <x v="2"/>
    <x v="4"/>
    <x v="9"/>
    <x v="155"/>
    <x v="204"/>
    <s v="HVAC"/>
    <n v="1"/>
    <n v="18"/>
    <n v="188974.889"/>
    <n v="102815.5"/>
    <n v="86159.388999999996"/>
    <n v="0"/>
    <n v="0"/>
    <n v="0"/>
    <n v="0"/>
    <n v="0"/>
    <n v="0"/>
    <n v="0"/>
    <n v="0"/>
    <n v="0"/>
    <n v="0"/>
    <n v="0"/>
    <n v="0"/>
    <n v="0"/>
    <n v="0"/>
    <n v="8564.8713000000007"/>
    <n v="154167.68340000001"/>
    <n v="7871.1167247000012"/>
    <n v="141680.10104460001"/>
    <n v="0"/>
    <n v="0"/>
    <n v="0"/>
    <n v="0"/>
    <n v="0"/>
    <n v="0"/>
    <n v="0"/>
    <n v="0"/>
    <n v="0"/>
    <n v="0"/>
    <n v="0"/>
    <n v="0"/>
    <n v="0"/>
    <n v="0"/>
    <n v="0"/>
    <n v="0"/>
    <n v="0"/>
    <n v="0"/>
    <n v="0"/>
    <n v="0"/>
    <n v="0"/>
    <n v="0"/>
    <n v="0"/>
    <n v="0"/>
    <n v="0"/>
    <n v="0"/>
    <n v="0"/>
    <n v="0"/>
    <n v="0"/>
    <n v="0"/>
    <n v="0"/>
    <n v="0"/>
    <n v="0"/>
    <n v="0"/>
    <n v="0"/>
    <n v="0"/>
    <n v="0"/>
    <n v="1125645.8017402352"/>
    <n v="0"/>
    <n v="1125645.8017402352"/>
    <n v="19079.057385007403"/>
    <n v="0"/>
    <n v="0"/>
    <n v="0"/>
    <n v="0"/>
    <n v="0"/>
    <n v="67456.651102415417"/>
    <n v="0"/>
    <n v="86535.708487422817"/>
    <n v="1212181.5102276581"/>
    <n v="0"/>
    <n v="0"/>
    <n v="0"/>
    <n v="0"/>
    <n v="0"/>
    <n v="0"/>
    <n v="1212181.5102276581"/>
    <n v="0"/>
    <n v="0"/>
    <n v="0"/>
    <n v="0"/>
    <n v="340565.91907590278"/>
    <n v="0"/>
    <n v="340565.91907590278"/>
    <n v="1552747.4293035609"/>
    <n v="1.0720000000000001"/>
    <n v="1.04"/>
    <n v="1.0720000000000001"/>
    <n v="1.04"/>
    <n v="1.1120000000000001"/>
    <n v="1.095"/>
    <n v="1.1120000000000001"/>
    <n v="1.1120000000000001"/>
  </r>
  <r>
    <x v="2"/>
    <x v="4"/>
    <x v="9"/>
    <x v="100"/>
    <x v="205"/>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56"/>
    <x v="206"/>
    <s v="Hot Water"/>
    <n v="1"/>
    <n v="20"/>
    <n v="24937.065000000002"/>
    <n v="13567.5"/>
    <n v="11369.565000000002"/>
    <n v="0"/>
    <n v="0"/>
    <n v="0"/>
    <n v="0"/>
    <n v="0"/>
    <n v="0"/>
    <n v="0"/>
    <n v="0"/>
    <n v="0"/>
    <n v="0"/>
    <n v="0"/>
    <n v="0"/>
    <n v="0"/>
    <n v="0"/>
    <n v="704.60550000000001"/>
    <n v="14092.11"/>
    <n v="647.53245450000009"/>
    <n v="12950.649090000003"/>
    <n v="0"/>
    <n v="0"/>
    <n v="0"/>
    <n v="0"/>
    <n v="0"/>
    <n v="0"/>
    <n v="0"/>
    <n v="0"/>
    <n v="0"/>
    <n v="0"/>
    <n v="0"/>
    <n v="0"/>
    <n v="0"/>
    <n v="0"/>
    <n v="0"/>
    <n v="0"/>
    <n v="0"/>
    <n v="0"/>
    <n v="0"/>
    <n v="0"/>
    <n v="0"/>
    <n v="0"/>
    <n v="0"/>
    <n v="0"/>
    <n v="0"/>
    <n v="0"/>
    <n v="0"/>
    <n v="0"/>
    <n v="0"/>
    <n v="0"/>
    <n v="0"/>
    <n v="0"/>
    <n v="0"/>
    <n v="0"/>
    <n v="0"/>
    <n v="0"/>
    <n v="93287.865820115883"/>
    <n v="0"/>
    <n v="0"/>
    <n v="93287.865820115883"/>
    <n v="1736.4384489468939"/>
    <n v="0"/>
    <n v="0"/>
    <n v="0"/>
    <n v="0"/>
    <n v="6532.8574310024987"/>
    <n v="0"/>
    <n v="0"/>
    <n v="8269.2958799493936"/>
    <n v="101557.16170006528"/>
    <n v="0"/>
    <n v="0"/>
    <n v="0"/>
    <n v="0"/>
    <n v="0"/>
    <n v="0"/>
    <n v="101557.16170006528"/>
    <n v="0"/>
    <n v="0"/>
    <n v="0"/>
    <n v="0"/>
    <n v="30995.858147008992"/>
    <n v="0"/>
    <n v="30995.858147008992"/>
    <n v="132553.01984707426"/>
    <n v="1.0720000000000001"/>
    <n v="1.04"/>
    <n v="1.0720000000000001"/>
    <n v="1.04"/>
    <n v="1.1120000000000001"/>
    <n v="1.095"/>
    <n v="1.1120000000000001"/>
    <n v="1.1120000000000001"/>
  </r>
  <r>
    <x v="2"/>
    <x v="4"/>
    <x v="9"/>
    <x v="102"/>
    <x v="207"/>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05"/>
    <x v="208"/>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9"/>
    <x v="106"/>
    <x v="20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57"/>
    <x v="210"/>
    <s v="Custom Measures"/>
    <n v="1"/>
    <n v="6"/>
    <n v="44986.887999999999"/>
    <n v="24476"/>
    <n v="20510.887999999999"/>
    <n v="0"/>
    <n v="0"/>
    <n v="0"/>
    <n v="0"/>
    <n v="0"/>
    <n v="0"/>
    <n v="0"/>
    <n v="0"/>
    <n v="0"/>
    <n v="0"/>
    <n v="0"/>
    <n v="0"/>
    <n v="0"/>
    <n v="0"/>
    <n v="780.94749999999999"/>
    <n v="4685.6849999999995"/>
    <n v="717.69075250000003"/>
    <n v="4306.144515"/>
    <n v="0"/>
    <n v="0"/>
    <n v="0"/>
    <n v="0"/>
    <n v="0"/>
    <n v="0"/>
    <n v="0"/>
    <n v="0"/>
    <n v="0"/>
    <n v="0"/>
    <n v="0"/>
    <n v="0"/>
    <n v="0"/>
    <n v="0"/>
    <n v="0"/>
    <n v="0"/>
    <n v="0"/>
    <n v="0"/>
    <n v="0"/>
    <n v="0"/>
    <n v="0"/>
    <n v="0"/>
    <n v="0"/>
    <n v="0"/>
    <n v="0"/>
    <n v="0"/>
    <n v="0"/>
    <n v="0"/>
    <n v="0"/>
    <n v="0"/>
    <n v="0"/>
    <n v="0"/>
    <n v="0"/>
    <n v="0"/>
    <n v="0"/>
    <n v="0"/>
    <n v="0"/>
    <n v="0"/>
    <n v="30851.370272953071"/>
    <n v="30851.370272953071"/>
    <n v="595.21851771607351"/>
    <n v="0"/>
    <n v="0"/>
    <n v="0"/>
    <n v="0"/>
    <n v="0"/>
    <n v="0"/>
    <n v="5344.8435743064692"/>
    <n v="5940.0620920225429"/>
    <n v="36791.432364975612"/>
    <n v="0"/>
    <n v="0"/>
    <n v="0"/>
    <n v="0"/>
    <n v="0"/>
    <n v="0"/>
    <n v="36791.432364975612"/>
    <n v="0"/>
    <n v="0"/>
    <n v="0"/>
    <n v="0"/>
    <n v="10624.798565586603"/>
    <n v="0"/>
    <n v="10624.798565586603"/>
    <n v="47416.230930562218"/>
    <n v="1.0720000000000001"/>
    <n v="1.04"/>
    <n v="1.0720000000000001"/>
    <n v="1.04"/>
    <n v="1.1120000000000001"/>
    <n v="1.095"/>
    <n v="1.1120000000000001"/>
    <n v="1.1120000000000001"/>
  </r>
  <r>
    <x v="2"/>
    <x v="4"/>
    <x v="9"/>
    <x v="158"/>
    <x v="210"/>
    <s v="Custom Measures"/>
    <n v="1"/>
    <n v="10"/>
    <n v="369096.86719999998"/>
    <n v="200814.4"/>
    <n v="168282.46719999998"/>
    <n v="0"/>
    <n v="0"/>
    <n v="0"/>
    <n v="0"/>
    <n v="0"/>
    <n v="0"/>
    <n v="0"/>
    <n v="0"/>
    <n v="0"/>
    <n v="0"/>
    <n v="0"/>
    <n v="0"/>
    <n v="0"/>
    <n v="0"/>
    <n v="35220.50634"/>
    <n v="352205.06339999998"/>
    <n v="32367.645326460002"/>
    <n v="323676.45326460002"/>
    <n v="0"/>
    <n v="0"/>
    <n v="0"/>
    <n v="0"/>
    <n v="0"/>
    <n v="0"/>
    <n v="0"/>
    <n v="0"/>
    <n v="0"/>
    <n v="0"/>
    <n v="0"/>
    <n v="0"/>
    <n v="0"/>
    <n v="0"/>
    <n v="0"/>
    <n v="0"/>
    <n v="0"/>
    <n v="0"/>
    <n v="0"/>
    <n v="0"/>
    <n v="0"/>
    <n v="0"/>
    <n v="0"/>
    <n v="0"/>
    <n v="0"/>
    <n v="0"/>
    <n v="0"/>
    <n v="0"/>
    <n v="0"/>
    <n v="0"/>
    <n v="0"/>
    <n v="0"/>
    <n v="0"/>
    <n v="0"/>
    <n v="0"/>
    <n v="0"/>
    <n v="0"/>
    <n v="0"/>
    <n v="2358041.2997003887"/>
    <n v="2358041.2997003887"/>
    <n v="44351.453190673172"/>
    <n v="0"/>
    <n v="0"/>
    <n v="0"/>
    <n v="0"/>
    <n v="0"/>
    <n v="0"/>
    <n v="259183.98799316038"/>
    <n v="303535.44118383352"/>
    <n v="2661576.7408842221"/>
    <n v="0"/>
    <n v="0"/>
    <n v="0"/>
    <n v="0"/>
    <n v="0"/>
    <n v="0"/>
    <n v="2661576.7408842221"/>
    <n v="0"/>
    <n v="0"/>
    <n v="0"/>
    <n v="0"/>
    <n v="791684.46917628625"/>
    <n v="0"/>
    <n v="791684.46917628625"/>
    <n v="3453261.2100605085"/>
    <n v="1.0720000000000001"/>
    <n v="1.04"/>
    <n v="1.0720000000000001"/>
    <n v="1.04"/>
    <n v="1.1120000000000001"/>
    <n v="1.095"/>
    <n v="1.1120000000000001"/>
    <n v="1.1120000000000001"/>
  </r>
  <r>
    <x v="2"/>
    <x v="4"/>
    <x v="9"/>
    <x v="159"/>
    <x v="210"/>
    <s v="Custom Measures"/>
    <n v="1"/>
    <n v="12"/>
    <n v="9449.801300000001"/>
    <n v="5141.3500000000004"/>
    <n v="4308.4513000000006"/>
    <n v="0"/>
    <n v="0"/>
    <n v="0"/>
    <n v="0"/>
    <n v="0"/>
    <n v="0"/>
    <n v="0"/>
    <n v="0"/>
    <n v="0"/>
    <n v="0"/>
    <n v="0"/>
    <n v="0"/>
    <n v="0"/>
    <n v="0"/>
    <n v="258.39429999999999"/>
    <n v="3100.7316000000001"/>
    <n v="237.46436170000001"/>
    <n v="2849.5723404"/>
    <n v="0"/>
    <n v="0"/>
    <n v="0"/>
    <n v="0"/>
    <n v="0"/>
    <n v="0"/>
    <n v="0"/>
    <n v="0"/>
    <n v="0"/>
    <n v="0"/>
    <n v="0"/>
    <n v="0"/>
    <n v="0"/>
    <n v="0"/>
    <n v="0"/>
    <n v="0"/>
    <n v="0"/>
    <n v="0"/>
    <n v="0"/>
    <n v="0"/>
    <n v="0"/>
    <n v="0"/>
    <n v="0"/>
    <n v="0"/>
    <n v="0"/>
    <n v="0"/>
    <n v="0"/>
    <n v="0"/>
    <n v="0"/>
    <n v="0"/>
    <n v="0"/>
    <n v="0"/>
    <n v="0"/>
    <n v="0"/>
    <n v="0"/>
    <n v="0"/>
    <n v="0"/>
    <n v="0"/>
    <n v="20947.662510941773"/>
    <n v="20947.662510941773"/>
    <n v="388.76313586213416"/>
    <n v="0"/>
    <n v="0"/>
    <n v="0"/>
    <n v="0"/>
    <n v="0"/>
    <n v="0"/>
    <n v="1966.8094588323395"/>
    <n v="2355.5725946944735"/>
    <n v="23303.235105636246"/>
    <n v="0"/>
    <n v="0"/>
    <n v="0"/>
    <n v="0"/>
    <n v="0"/>
    <n v="0"/>
    <n v="23303.235105636246"/>
    <n v="0"/>
    <n v="0"/>
    <n v="0"/>
    <n v="0"/>
    <n v="6939.518656291646"/>
    <n v="0"/>
    <n v="6939.518656291646"/>
    <n v="30242.753761927892"/>
    <n v="1.0720000000000001"/>
    <n v="1.04"/>
    <n v="1.0720000000000001"/>
    <n v="1.04"/>
    <n v="1.1120000000000001"/>
    <n v="1.095"/>
    <n v="1.1120000000000001"/>
    <n v="1.1120000000000001"/>
  </r>
  <r>
    <x v="2"/>
    <x v="4"/>
    <x v="9"/>
    <x v="160"/>
    <x v="210"/>
    <s v="Custom Measures"/>
    <n v="1"/>
    <n v="13"/>
    <n v="4509.0735000000004"/>
    <n v="2453.25"/>
    <n v="2055.8235000000004"/>
    <n v="0"/>
    <n v="0"/>
    <n v="0"/>
    <n v="0"/>
    <n v="0"/>
    <n v="0"/>
    <n v="0"/>
    <n v="0"/>
    <n v="0"/>
    <n v="0"/>
    <n v="0"/>
    <n v="0"/>
    <n v="0"/>
    <n v="0"/>
    <n v="125.41900000000001"/>
    <n v="1630.4470000000001"/>
    <n v="115.26006100000002"/>
    <n v="1498.3807930000003"/>
    <n v="0"/>
    <n v="0"/>
    <n v="0"/>
    <n v="0"/>
    <n v="0"/>
    <n v="0"/>
    <n v="0"/>
    <n v="0"/>
    <n v="0"/>
    <n v="0"/>
    <n v="0"/>
    <n v="0"/>
    <n v="0"/>
    <n v="0"/>
    <n v="0"/>
    <n v="0"/>
    <n v="0"/>
    <n v="0"/>
    <n v="0"/>
    <n v="0"/>
    <n v="0"/>
    <n v="0"/>
    <n v="0"/>
    <n v="0"/>
    <n v="0"/>
    <n v="0"/>
    <n v="0"/>
    <n v="0"/>
    <n v="0"/>
    <n v="0"/>
    <n v="0"/>
    <n v="0"/>
    <n v="0"/>
    <n v="0"/>
    <n v="0"/>
    <n v="0"/>
    <n v="0"/>
    <n v="0"/>
    <n v="11075.029437053363"/>
    <n v="11075.029437053363"/>
    <n v="203.97782414348691"/>
    <n v="0"/>
    <n v="0"/>
    <n v="0"/>
    <n v="0"/>
    <n v="0"/>
    <n v="0"/>
    <n v="970.353788352126"/>
    <n v="1174.3316124956129"/>
    <n v="12249.361049548976"/>
    <n v="0"/>
    <n v="0"/>
    <n v="0"/>
    <n v="0"/>
    <n v="0"/>
    <n v="0"/>
    <n v="12249.361049548976"/>
    <n v="0"/>
    <n v="0"/>
    <n v="0"/>
    <n v="0"/>
    <n v="3641.0548880217925"/>
    <n v="0"/>
    <n v="3641.0548880217925"/>
    <n v="15890.415937570768"/>
    <n v="1.0720000000000001"/>
    <n v="1.04"/>
    <n v="1.0720000000000001"/>
    <n v="1.04"/>
    <n v="1.1120000000000001"/>
    <n v="1.095"/>
    <n v="1.1120000000000001"/>
    <n v="1.1120000000000001"/>
  </r>
  <r>
    <x v="2"/>
    <x v="4"/>
    <x v="9"/>
    <x v="161"/>
    <x v="210"/>
    <s v="Custom Measures"/>
    <n v="1"/>
    <n v="15"/>
    <n v="260920.23764000001"/>
    <n v="141958.78"/>
    <n v="118961.45764000001"/>
    <n v="0"/>
    <n v="0"/>
    <n v="0"/>
    <n v="0"/>
    <n v="0"/>
    <n v="0"/>
    <n v="0"/>
    <n v="0"/>
    <n v="0"/>
    <n v="0"/>
    <n v="0"/>
    <n v="0"/>
    <n v="0"/>
    <n v="0"/>
    <n v="15367.644600000001"/>
    <n v="230514.66900000002"/>
    <n v="14122.865387400001"/>
    <n v="211842.98081100002"/>
    <n v="0"/>
    <n v="0"/>
    <n v="0"/>
    <n v="0"/>
    <n v="0"/>
    <n v="0"/>
    <n v="0"/>
    <n v="0"/>
    <n v="0"/>
    <n v="0"/>
    <n v="0"/>
    <n v="0"/>
    <n v="0"/>
    <n v="0"/>
    <n v="0"/>
    <n v="0"/>
    <n v="0"/>
    <n v="0"/>
    <n v="0"/>
    <n v="0"/>
    <n v="0"/>
    <n v="0"/>
    <n v="0"/>
    <n v="0"/>
    <n v="0"/>
    <n v="0"/>
    <n v="0"/>
    <n v="0"/>
    <n v="0"/>
    <n v="0"/>
    <n v="0"/>
    <n v="0"/>
    <n v="0"/>
    <n v="0"/>
    <n v="0"/>
    <n v="0"/>
    <n v="0"/>
    <n v="0"/>
    <n v="1587347.6563775253"/>
    <n v="1587347.6563775253"/>
    <n v="28713.601144149496"/>
    <n v="0"/>
    <n v="0"/>
    <n v="0"/>
    <n v="0"/>
    <n v="0"/>
    <n v="0"/>
    <n v="122715.40478134119"/>
    <n v="151429.0059254907"/>
    <n v="1738776.6623030161"/>
    <n v="0"/>
    <n v="0"/>
    <n v="0"/>
    <n v="0"/>
    <n v="0"/>
    <n v="0"/>
    <n v="1738776.6623030161"/>
    <n v="0"/>
    <n v="0"/>
    <n v="0"/>
    <n v="0"/>
    <n v="512544.92118256044"/>
    <n v="0"/>
    <n v="512544.92118256044"/>
    <n v="2251321.5834855763"/>
    <n v="1.0720000000000001"/>
    <n v="1.04"/>
    <n v="1.0720000000000001"/>
    <n v="1.04"/>
    <n v="1.1120000000000001"/>
    <n v="1.095"/>
    <n v="1.1120000000000001"/>
    <n v="1.1120000000000001"/>
  </r>
  <r>
    <x v="2"/>
    <x v="4"/>
    <x v="9"/>
    <x v="162"/>
    <x v="210"/>
    <s v="Custom Measures"/>
    <n v="1"/>
    <n v="16"/>
    <n v="7672.7310000000007"/>
    <n v="4174.5"/>
    <n v="3498.2310000000007"/>
    <n v="0"/>
    <n v="0"/>
    <n v="0"/>
    <n v="0"/>
    <n v="0"/>
    <n v="0"/>
    <n v="0"/>
    <n v="0"/>
    <n v="0"/>
    <n v="0"/>
    <n v="0"/>
    <n v="0"/>
    <n v="0"/>
    <n v="0"/>
    <n v="216.79570000000001"/>
    <n v="3468.7312000000002"/>
    <n v="199.23524830000002"/>
    <n v="3187.7639728000004"/>
    <n v="0"/>
    <n v="0"/>
    <n v="0"/>
    <n v="0"/>
    <n v="0"/>
    <n v="0"/>
    <n v="0"/>
    <n v="0"/>
    <n v="0"/>
    <n v="0"/>
    <n v="0"/>
    <n v="0"/>
    <n v="0"/>
    <n v="0"/>
    <n v="0"/>
    <n v="0"/>
    <n v="0"/>
    <n v="0"/>
    <n v="0"/>
    <n v="0"/>
    <n v="0"/>
    <n v="0"/>
    <n v="0"/>
    <n v="0"/>
    <n v="0"/>
    <n v="0"/>
    <n v="0"/>
    <n v="0"/>
    <n v="0"/>
    <n v="0"/>
    <n v="0"/>
    <n v="0"/>
    <n v="0"/>
    <n v="0"/>
    <n v="0"/>
    <n v="0"/>
    <n v="0"/>
    <n v="0"/>
    <n v="24046.251437211675"/>
    <n v="24046.251437211675"/>
    <n v="431.13889324945035"/>
    <n v="0"/>
    <n v="0"/>
    <n v="0"/>
    <n v="0"/>
    <n v="0"/>
    <n v="0"/>
    <n v="1757.9315482151112"/>
    <n v="2189.0704414645616"/>
    <n v="26235.321878676237"/>
    <n v="0"/>
    <n v="0"/>
    <n v="0"/>
    <n v="0"/>
    <n v="0"/>
    <n v="0"/>
    <n v="26235.321878676237"/>
    <n v="0"/>
    <n v="0"/>
    <n v="0"/>
    <n v="0"/>
    <n v="7695.9364640440062"/>
    <n v="0"/>
    <n v="7695.9364640440062"/>
    <n v="33931.258342720241"/>
    <n v="1.0720000000000001"/>
    <n v="1.04"/>
    <n v="1.0720000000000001"/>
    <n v="1.04"/>
    <n v="1.1120000000000001"/>
    <n v="1.095"/>
    <n v="1.1120000000000001"/>
    <n v="1.1120000000000001"/>
  </r>
  <r>
    <x v="2"/>
    <x v="4"/>
    <x v="9"/>
    <x v="163"/>
    <x v="210"/>
    <s v="Custom Measures"/>
    <n v="1"/>
    <n v="18"/>
    <n v="33587.612000000001"/>
    <n v="18274"/>
    <n v="15313.612000000001"/>
    <n v="0"/>
    <n v="0"/>
    <n v="0"/>
    <n v="0"/>
    <n v="0"/>
    <n v="0"/>
    <n v="0"/>
    <n v="0"/>
    <n v="0"/>
    <n v="0"/>
    <n v="0"/>
    <n v="0"/>
    <n v="0"/>
    <n v="0"/>
    <n v="569.37109999999996"/>
    <n v="10248.6798"/>
    <n v="523.2520409"/>
    <n v="9418.5367361999997"/>
    <n v="0"/>
    <n v="0"/>
    <n v="0"/>
    <n v="0"/>
    <n v="0"/>
    <n v="0"/>
    <n v="0"/>
    <n v="0"/>
    <n v="0"/>
    <n v="0"/>
    <n v="0"/>
    <n v="0"/>
    <n v="0"/>
    <n v="0"/>
    <n v="0"/>
    <n v="0"/>
    <n v="0"/>
    <n v="0"/>
    <n v="0"/>
    <n v="0"/>
    <n v="0"/>
    <n v="0"/>
    <n v="0"/>
    <n v="0"/>
    <n v="0"/>
    <n v="0"/>
    <n v="0"/>
    <n v="0"/>
    <n v="0"/>
    <n v="0"/>
    <n v="0"/>
    <n v="0"/>
    <n v="0"/>
    <n v="0"/>
    <n v="0"/>
    <n v="0"/>
    <n v="0"/>
    <n v="0"/>
    <n v="71988.378056355912"/>
    <n v="71988.378056355912"/>
    <n v="1268.3277436130054"/>
    <n v="0"/>
    <n v="0"/>
    <n v="0"/>
    <n v="0"/>
    <n v="0"/>
    <n v="0"/>
    <n v="4756.4489897146923"/>
    <n v="6024.7767333276979"/>
    <n v="78013.154789683613"/>
    <n v="0"/>
    <n v="0"/>
    <n v="0"/>
    <n v="0"/>
    <n v="0"/>
    <n v="0"/>
    <n v="78013.154789683613"/>
    <n v="0"/>
    <n v="0"/>
    <n v="0"/>
    <n v="0"/>
    <n v="22639.965642771273"/>
    <n v="0"/>
    <n v="22639.965642771273"/>
    <n v="100653.12043245489"/>
    <n v="1.0720000000000001"/>
    <n v="1.04"/>
    <n v="1.0720000000000001"/>
    <n v="1.04"/>
    <n v="1.1120000000000001"/>
    <n v="1.095"/>
    <n v="1.1120000000000001"/>
    <n v="1.1120000000000001"/>
  </r>
  <r>
    <x v="2"/>
    <x v="4"/>
    <x v="9"/>
    <x v="164"/>
    <x v="210"/>
    <s v="Custom Measures"/>
    <n v="1"/>
    <n v="25"/>
    <n v="41924.78"/>
    <n v="22810"/>
    <n v="19114.78"/>
    <n v="0"/>
    <n v="0"/>
    <n v="0"/>
    <n v="0"/>
    <n v="0"/>
    <n v="0"/>
    <n v="0"/>
    <n v="0"/>
    <n v="0"/>
    <n v="0"/>
    <n v="0"/>
    <n v="0"/>
    <n v="0"/>
    <n v="0"/>
    <n v="4337.7057000000004"/>
    <n v="108442.64250000002"/>
    <n v="3986.3515383000004"/>
    <n v="99658.788457500006"/>
    <n v="0"/>
    <n v="0"/>
    <n v="0"/>
    <n v="0"/>
    <n v="0"/>
    <n v="0"/>
    <n v="0"/>
    <n v="0"/>
    <n v="0"/>
    <n v="0"/>
    <n v="0"/>
    <n v="0"/>
    <n v="0"/>
    <n v="0"/>
    <n v="0"/>
    <n v="0"/>
    <n v="0"/>
    <n v="0"/>
    <n v="0"/>
    <n v="0"/>
    <n v="0"/>
    <n v="0"/>
    <n v="0"/>
    <n v="0"/>
    <n v="0"/>
    <n v="0"/>
    <n v="0"/>
    <n v="0"/>
    <n v="0"/>
    <n v="0"/>
    <n v="0"/>
    <n v="0"/>
    <n v="0"/>
    <n v="0"/>
    <n v="0"/>
    <n v="0"/>
    <n v="0"/>
    <n v="0"/>
    <n v="796727.83526222233"/>
    <n v="796727.83526222233"/>
    <n v="13218.895424537708"/>
    <n v="0"/>
    <n v="0"/>
    <n v="0"/>
    <n v="0"/>
    <n v="0"/>
    <n v="0"/>
    <n v="39885.985177384806"/>
    <n v="53104.880601922516"/>
    <n v="849832.71586414485"/>
    <n v="0"/>
    <n v="0"/>
    <n v="0"/>
    <n v="0"/>
    <n v="0"/>
    <n v="0"/>
    <n v="849832.71586414485"/>
    <n v="0"/>
    <n v="0"/>
    <n v="0"/>
    <n v="0"/>
    <n v="235960.57072314227"/>
    <n v="0"/>
    <n v="235960.57072314227"/>
    <n v="1085793.2865872872"/>
    <n v="1.0720000000000001"/>
    <n v="1.04"/>
    <n v="1.0720000000000001"/>
    <n v="1.04"/>
    <n v="1.1120000000000001"/>
    <n v="1.095"/>
    <n v="1.1120000000000001"/>
    <n v="1.1120000000000001"/>
  </r>
  <r>
    <x v="2"/>
    <x v="4"/>
    <x v="9"/>
    <x v="113"/>
    <x v="211"/>
    <s v="Process"/>
    <n v="1"/>
    <n v="10"/>
    <n v="22132.277000000002"/>
    <n v="12041.5"/>
    <n v="10090.777000000002"/>
    <n v="0"/>
    <n v="0"/>
    <n v="0"/>
    <n v="0"/>
    <n v="0"/>
    <n v="0"/>
    <n v="0"/>
    <n v="0"/>
    <n v="0"/>
    <n v="0"/>
    <n v="0"/>
    <n v="0"/>
    <n v="0"/>
    <n v="0"/>
    <n v="505.80469999999997"/>
    <n v="5058.0469999999996"/>
    <n v="464.83451930000001"/>
    <n v="4648.3451930000001"/>
    <n v="0"/>
    <n v="0"/>
    <n v="0"/>
    <n v="0"/>
    <n v="0"/>
    <n v="0"/>
    <n v="0"/>
    <n v="0"/>
    <n v="0"/>
    <n v="0"/>
    <n v="0"/>
    <n v="0"/>
    <n v="0"/>
    <n v="0"/>
    <n v="0"/>
    <n v="0"/>
    <n v="0"/>
    <n v="0"/>
    <n v="0"/>
    <n v="0"/>
    <n v="0"/>
    <n v="0"/>
    <n v="0"/>
    <n v="0"/>
    <n v="0"/>
    <n v="0"/>
    <n v="0"/>
    <n v="0"/>
    <n v="0"/>
    <n v="0"/>
    <n v="0"/>
    <n v="0"/>
    <n v="0"/>
    <n v="0"/>
    <n v="0"/>
    <n v="0"/>
    <n v="0"/>
    <n v="0"/>
    <n v="33864.032523235015"/>
    <n v="33864.032523235015"/>
    <n v="636.93500766611874"/>
    <n v="0"/>
    <n v="0"/>
    <n v="0"/>
    <n v="0"/>
    <n v="0"/>
    <n v="0"/>
    <n v="3722.1633904450023"/>
    <n v="4359.0983981111212"/>
    <n v="38223.130921346135"/>
    <n v="0"/>
    <n v="0"/>
    <n v="0"/>
    <n v="0"/>
    <n v="0"/>
    <n v="0"/>
    <n v="38223.130921346135"/>
    <n v="0"/>
    <n v="0"/>
    <n v="0"/>
    <n v="0"/>
    <n v="0"/>
    <n v="0"/>
    <n v="0"/>
    <n v="38223.130921346135"/>
    <n v="1.0720000000000001"/>
    <n v="1.04"/>
    <n v="1.0720000000000001"/>
    <n v="1.04"/>
    <n v="1.1120000000000001"/>
    <n v="1.095"/>
    <n v="1.1120000000000001"/>
    <n v="1.1120000000000001"/>
  </r>
  <r>
    <x v="2"/>
    <x v="4"/>
    <x v="9"/>
    <x v="165"/>
    <x v="211"/>
    <s v="Process"/>
    <n v="1"/>
    <n v="15"/>
    <n v="14645.184000000001"/>
    <n v="7968"/>
    <n v="6677.1840000000011"/>
    <n v="0"/>
    <n v="0"/>
    <n v="0"/>
    <n v="0"/>
    <n v="0"/>
    <n v="0"/>
    <n v="0"/>
    <n v="0"/>
    <n v="0"/>
    <n v="0"/>
    <n v="0"/>
    <n v="0"/>
    <n v="0"/>
    <n v="0"/>
    <n v="413.80480000000006"/>
    <n v="6207.072000000001"/>
    <n v="380.2866112000001"/>
    <n v="5704.2991680000014"/>
    <n v="0"/>
    <n v="0"/>
    <n v="0"/>
    <n v="0"/>
    <n v="0"/>
    <n v="0"/>
    <n v="0"/>
    <n v="0"/>
    <n v="0"/>
    <n v="0"/>
    <n v="0"/>
    <n v="0"/>
    <n v="0"/>
    <n v="0"/>
    <n v="0"/>
    <n v="0"/>
    <n v="0"/>
    <n v="0"/>
    <n v="0"/>
    <n v="0"/>
    <n v="0"/>
    <n v="0"/>
    <n v="0"/>
    <n v="0"/>
    <n v="0"/>
    <n v="0"/>
    <n v="0"/>
    <n v="0"/>
    <n v="0"/>
    <n v="0"/>
    <n v="0"/>
    <n v="0"/>
    <n v="0"/>
    <n v="0"/>
    <n v="0"/>
    <n v="0"/>
    <n v="0"/>
    <n v="0"/>
    <n v="42742.534498603032"/>
    <n v="42742.534498603032"/>
    <n v="773.17157495525078"/>
    <n v="0"/>
    <n v="0"/>
    <n v="0"/>
    <n v="0"/>
    <n v="0"/>
    <n v="0"/>
    <n v="3304.3595719582122"/>
    <n v="4077.5311469134631"/>
    <n v="46820.065645516494"/>
    <n v="0"/>
    <n v="0"/>
    <n v="0"/>
    <n v="0"/>
    <n v="0"/>
    <n v="0"/>
    <n v="46820.065645516494"/>
    <n v="0"/>
    <n v="0"/>
    <n v="0"/>
    <n v="0"/>
    <n v="0"/>
    <n v="0"/>
    <n v="0"/>
    <n v="46820.065645516494"/>
    <n v="1.0720000000000001"/>
    <n v="1.04"/>
    <n v="1.0720000000000001"/>
    <n v="1.04"/>
    <n v="1.1120000000000001"/>
    <n v="1.095"/>
    <n v="1.1120000000000001"/>
    <n v="1.1120000000000001"/>
  </r>
  <r>
    <x v="2"/>
    <x v="4"/>
    <x v="9"/>
    <x v="166"/>
    <x v="211"/>
    <s v="Process"/>
    <n v="1"/>
    <n v="18"/>
    <n v="428172.76039999997"/>
    <n v="232955.8"/>
    <n v="195216.96039999998"/>
    <n v="0"/>
    <n v="0"/>
    <n v="0"/>
    <n v="0"/>
    <n v="0"/>
    <n v="0"/>
    <n v="0"/>
    <n v="0"/>
    <n v="0"/>
    <n v="0"/>
    <n v="0"/>
    <n v="0"/>
    <n v="0"/>
    <n v="0"/>
    <n v="13512.051019999999"/>
    <n v="243216.91835999998"/>
    <n v="12417.57488738"/>
    <n v="223516.34797284001"/>
    <n v="0"/>
    <n v="0"/>
    <n v="0"/>
    <n v="0"/>
    <n v="0"/>
    <n v="0"/>
    <n v="0"/>
    <n v="0"/>
    <n v="0"/>
    <n v="0"/>
    <n v="0"/>
    <n v="0"/>
    <n v="0"/>
    <n v="0"/>
    <n v="0"/>
    <n v="0"/>
    <n v="0"/>
    <n v="0"/>
    <n v="0"/>
    <n v="0"/>
    <n v="0"/>
    <n v="0"/>
    <n v="0"/>
    <n v="0"/>
    <n v="0"/>
    <n v="0"/>
    <n v="0"/>
    <n v="0"/>
    <n v="0"/>
    <n v="0"/>
    <n v="0"/>
    <n v="0"/>
    <n v="0"/>
    <n v="0"/>
    <n v="0"/>
    <n v="0"/>
    <n v="0"/>
    <n v="0"/>
    <n v="1708394.8186771849"/>
    <n v="1708394.8186771849"/>
    <n v="30099.366093186691"/>
    <n v="0"/>
    <n v="0"/>
    <n v="0"/>
    <n v="0"/>
    <n v="0"/>
    <n v="0"/>
    <n v="112877.84262856399"/>
    <n v="142977.20872175068"/>
    <n v="1851372.0273989355"/>
    <n v="0"/>
    <n v="0"/>
    <n v="0"/>
    <n v="0"/>
    <n v="0"/>
    <n v="0"/>
    <n v="1851372.0273989355"/>
    <n v="0"/>
    <n v="0"/>
    <n v="0"/>
    <n v="0"/>
    <n v="0"/>
    <n v="0"/>
    <n v="0"/>
    <n v="1851372.0273989355"/>
    <n v="1.0720000000000001"/>
    <n v="1.04"/>
    <n v="1.0720000000000001"/>
    <n v="1.04"/>
    <n v="1.1120000000000001"/>
    <n v="1.095"/>
    <n v="1.1120000000000001"/>
    <n v="1.1120000000000001"/>
  </r>
  <r>
    <x v="2"/>
    <x v="4"/>
    <x v="9"/>
    <x v="167"/>
    <x v="212"/>
    <s v="Hot Water"/>
    <n v="1"/>
    <n v="6"/>
    <n v="670735.3665"/>
    <n v="364926.75"/>
    <n v="305808.6165"/>
    <n v="0"/>
    <n v="0"/>
    <n v="0"/>
    <n v="0"/>
    <n v="0"/>
    <n v="0"/>
    <n v="0"/>
    <n v="0"/>
    <n v="0"/>
    <n v="0"/>
    <n v="0"/>
    <n v="0"/>
    <n v="0"/>
    <n v="0"/>
    <n v="34743.618119999999"/>
    <n v="208461.70872"/>
    <n v="31929.385052280002"/>
    <n v="191576.31031368001"/>
    <n v="0"/>
    <n v="0"/>
    <n v="0"/>
    <n v="0"/>
    <n v="0"/>
    <n v="0"/>
    <n v="0"/>
    <n v="0"/>
    <n v="0"/>
    <n v="0"/>
    <n v="0"/>
    <n v="0"/>
    <n v="0"/>
    <n v="0"/>
    <n v="0"/>
    <n v="0"/>
    <n v="0"/>
    <n v="0"/>
    <n v="0"/>
    <n v="0"/>
    <n v="0"/>
    <n v="0"/>
    <n v="0"/>
    <n v="0"/>
    <n v="0"/>
    <n v="0"/>
    <n v="0"/>
    <n v="0"/>
    <n v="0"/>
    <n v="0"/>
    <n v="0"/>
    <n v="0"/>
    <n v="0"/>
    <n v="0"/>
    <n v="0"/>
    <n v="0"/>
    <n v="0"/>
    <n v="1433976.8695844754"/>
    <n v="0"/>
    <n v="1433976.8695844754"/>
    <n v="26480.710774385876"/>
    <n v="0"/>
    <n v="0"/>
    <n v="0"/>
    <n v="0"/>
    <n v="0"/>
    <n v="231081.69930945034"/>
    <n v="0"/>
    <n v="257562.41008383621"/>
    <n v="1691539.2796683116"/>
    <n v="0"/>
    <n v="0"/>
    <n v="0"/>
    <n v="0"/>
    <n v="0"/>
    <n v="0"/>
    <n v="1691539.2796683116"/>
    <n v="0"/>
    <n v="0"/>
    <n v="0"/>
    <n v="0"/>
    <n v="2552511.2730486868"/>
    <n v="0"/>
    <n v="2552511.2730486868"/>
    <n v="4244050.5527169984"/>
    <n v="1.0720000000000001"/>
    <n v="1.04"/>
    <n v="1.0720000000000001"/>
    <n v="1.04"/>
    <n v="1.1120000000000001"/>
    <n v="1.095"/>
    <n v="1.1120000000000001"/>
    <n v="1.1120000000000001"/>
  </r>
  <r>
    <x v="2"/>
    <x v="4"/>
    <x v="9"/>
    <x v="168"/>
    <x v="213"/>
    <s v="Hot Water"/>
    <n v="1226"/>
    <n v="6"/>
    <n v="742632.33600000013"/>
    <n v="168832.46000000002"/>
    <n v="573799.87600000016"/>
    <n v="0"/>
    <n v="0"/>
    <n v="0"/>
    <n v="0"/>
    <n v="0"/>
    <n v="0"/>
    <n v="0"/>
    <n v="0"/>
    <n v="0"/>
    <n v="0"/>
    <n v="0"/>
    <n v="0"/>
    <n v="0"/>
    <n v="0"/>
    <n v="14957.2"/>
    <n v="89743.200000000012"/>
    <n v="12653.791200000001"/>
    <n v="75922.747200000013"/>
    <n v="0"/>
    <n v="0"/>
    <n v="0"/>
    <n v="0"/>
    <n v="0"/>
    <n v="0"/>
    <n v="0"/>
    <n v="0"/>
    <n v="0"/>
    <n v="0"/>
    <n v="0"/>
    <n v="0"/>
    <n v="0"/>
    <n v="0"/>
    <n v="0"/>
    <n v="0"/>
    <n v="0"/>
    <n v="0"/>
    <n v="0"/>
    <n v="0"/>
    <n v="0"/>
    <n v="0"/>
    <n v="0"/>
    <n v="0"/>
    <n v="0"/>
    <n v="0"/>
    <n v="0"/>
    <n v="0"/>
    <n v="0"/>
    <n v="0"/>
    <n v="0"/>
    <n v="0"/>
    <n v="0"/>
    <n v="0"/>
    <n v="0"/>
    <n v="0"/>
    <n v="0"/>
    <n v="568292.93341043778"/>
    <n v="0"/>
    <n v="568292.93341043778"/>
    <n v="10494.451566104994"/>
    <n v="0"/>
    <n v="0"/>
    <n v="0"/>
    <n v="0"/>
    <n v="0"/>
    <n v="91578.950500149687"/>
    <n v="0"/>
    <n v="102073.40206625468"/>
    <n v="670366.33547669242"/>
    <n v="0"/>
    <n v="0"/>
    <n v="0"/>
    <n v="0"/>
    <n v="0"/>
    <n v="0"/>
    <n v="670366.33547669242"/>
    <n v="0"/>
    <n v="0"/>
    <n v="0"/>
    <n v="0"/>
    <n v="1011574.279677456"/>
    <n v="0"/>
    <n v="1011574.279677456"/>
    <n v="1681940.6151541485"/>
    <n v="1.0720000000000001"/>
    <n v="1.04"/>
    <n v="1.0720000000000001"/>
    <n v="1.04"/>
    <n v="1.1120000000000001"/>
    <n v="1.095"/>
    <n v="1.1120000000000001"/>
    <n v="1.1120000000000001"/>
  </r>
  <r>
    <x v="2"/>
    <x v="4"/>
    <x v="9"/>
    <x v="169"/>
    <x v="214"/>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9"/>
    <x v="15"/>
    <x v="215"/>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25"/>
    <x v="216"/>
    <s v="HVAC"/>
    <n v="39"/>
    <n v="15"/>
    <n v="3035.4480000000003"/>
    <n v="973.60714285714289"/>
    <n v="2061.8408571428572"/>
    <n v="0"/>
    <n v="0"/>
    <n v="0"/>
    <n v="0"/>
    <n v="0"/>
    <n v="0"/>
    <n v="0"/>
    <n v="0"/>
    <n v="0"/>
    <n v="0"/>
    <n v="0"/>
    <n v="0"/>
    <n v="0"/>
    <n v="0"/>
    <n v="124.80000000000001"/>
    <n v="1872.0000000000002"/>
    <n v="105.58080000000002"/>
    <n v="1583.7120000000004"/>
    <n v="0"/>
    <n v="0"/>
    <n v="0"/>
    <n v="0"/>
    <n v="0"/>
    <n v="0"/>
    <n v="0"/>
    <n v="0"/>
    <n v="0"/>
    <n v="0"/>
    <n v="0"/>
    <n v="0"/>
    <n v="0"/>
    <n v="0"/>
    <n v="0"/>
    <n v="0"/>
    <n v="0"/>
    <n v="0"/>
    <n v="0"/>
    <n v="0"/>
    <n v="0"/>
    <n v="0"/>
    <n v="0"/>
    <n v="0"/>
    <n v="0"/>
    <n v="0"/>
    <n v="0"/>
    <n v="0"/>
    <n v="0"/>
    <n v="0"/>
    <n v="0"/>
    <n v="0"/>
    <n v="0"/>
    <n v="0"/>
    <n v="0"/>
    <n v="0"/>
    <n v="0"/>
    <n v="12351.470745231627"/>
    <n v="0"/>
    <n v="12351.470745231627"/>
    <n v="214.65934118333573"/>
    <n v="0"/>
    <n v="0"/>
    <n v="0"/>
    <n v="0"/>
    <n v="0"/>
    <n v="870.49122445418152"/>
    <n v="0"/>
    <n v="1085.1505656375173"/>
    <n v="13436.621310869145"/>
    <n v="0"/>
    <n v="0"/>
    <n v="0"/>
    <n v="0"/>
    <n v="0"/>
    <n v="0"/>
    <n v="13436.621310869145"/>
    <n v="0"/>
    <n v="0"/>
    <n v="0"/>
    <n v="0"/>
    <n v="20691.302167223479"/>
    <n v="0"/>
    <n v="20691.302167223479"/>
    <n v="34127.92347809262"/>
    <n v="1.0720000000000001"/>
    <n v="1.04"/>
    <n v="1.0720000000000001"/>
    <n v="1.04"/>
    <n v="1.1120000000000001"/>
    <n v="1.095"/>
    <n v="1.1120000000000001"/>
    <n v="1.1120000000000001"/>
  </r>
  <r>
    <x v="2"/>
    <x v="4"/>
    <x v="9"/>
    <x v="170"/>
    <x v="217"/>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68"/>
    <x v="218"/>
    <s v="HVAC"/>
    <n v="115"/>
    <n v="15"/>
    <n v="26073.72"/>
    <n v="11496.55"/>
    <n v="14577.170000000002"/>
    <n v="0"/>
    <n v="0"/>
    <n v="0"/>
    <n v="0"/>
    <n v="0"/>
    <n v="0"/>
    <n v="0"/>
    <n v="0"/>
    <n v="0"/>
    <n v="0"/>
    <n v="0"/>
    <n v="0"/>
    <n v="0"/>
    <n v="0"/>
    <n v="759.00000000000011"/>
    <n v="11385.000000000002"/>
    <n v="642.11400000000015"/>
    <n v="9631.7100000000028"/>
    <n v="0"/>
    <n v="0"/>
    <n v="0"/>
    <n v="0"/>
    <n v="0"/>
    <n v="0"/>
    <n v="0"/>
    <n v="0"/>
    <n v="0"/>
    <n v="0"/>
    <n v="0"/>
    <n v="0"/>
    <n v="0"/>
    <n v="0"/>
    <n v="0"/>
    <n v="0"/>
    <n v="0"/>
    <n v="0"/>
    <n v="0"/>
    <n v="0"/>
    <n v="0"/>
    <n v="0"/>
    <n v="0"/>
    <n v="0"/>
    <n v="0"/>
    <n v="0"/>
    <n v="0"/>
    <n v="0"/>
    <n v="0"/>
    <n v="0"/>
    <n v="0"/>
    <n v="0"/>
    <n v="0"/>
    <n v="0"/>
    <n v="0"/>
    <n v="0"/>
    <n v="0"/>
    <n v="75118.319676528889"/>
    <n v="0"/>
    <n v="75118.319676528889"/>
    <n v="1305.5003201774987"/>
    <n v="0"/>
    <n v="0"/>
    <n v="0"/>
    <n v="0"/>
    <n v="0"/>
    <n v="5294.0932641083637"/>
    <n v="0"/>
    <n v="6599.5935842858626"/>
    <n v="81717.913260814748"/>
    <n v="0"/>
    <n v="0"/>
    <n v="0"/>
    <n v="0"/>
    <n v="0"/>
    <n v="0"/>
    <n v="81717.913260814748"/>
    <n v="0"/>
    <n v="0"/>
    <n v="0"/>
    <n v="0"/>
    <n v="125838.92904585434"/>
    <n v="0"/>
    <n v="125838.92904585434"/>
    <n v="207556.8423066691"/>
    <n v="1.0720000000000001"/>
    <n v="1.04"/>
    <n v="1.0720000000000001"/>
    <n v="1.04"/>
    <n v="1.1120000000000001"/>
    <n v="1.095"/>
    <n v="1.1120000000000001"/>
    <n v="1.1120000000000001"/>
  </r>
  <r>
    <x v="2"/>
    <x v="4"/>
    <x v="9"/>
    <x v="69"/>
    <x v="219"/>
    <s v="HVAC"/>
    <n v="35"/>
    <n v="15"/>
    <n v="7935.4800000000005"/>
    <n v="3458.1999999999994"/>
    <n v="4477.2800000000007"/>
    <n v="0"/>
    <n v="0"/>
    <n v="0"/>
    <n v="0"/>
    <n v="0"/>
    <n v="0"/>
    <n v="0"/>
    <n v="0"/>
    <n v="0"/>
    <n v="0"/>
    <n v="0"/>
    <n v="0"/>
    <n v="0"/>
    <n v="0"/>
    <n v="231.00000000000003"/>
    <n v="3465.0000000000005"/>
    <n v="195.42600000000004"/>
    <n v="2931.3900000000008"/>
    <n v="0"/>
    <n v="0"/>
    <n v="0"/>
    <n v="0"/>
    <n v="0"/>
    <n v="0"/>
    <n v="0"/>
    <n v="0"/>
    <n v="0"/>
    <n v="0"/>
    <n v="0"/>
    <n v="0"/>
    <n v="0"/>
    <n v="0"/>
    <n v="0"/>
    <n v="0"/>
    <n v="0"/>
    <n v="0"/>
    <n v="0"/>
    <n v="0"/>
    <n v="0"/>
    <n v="0"/>
    <n v="0"/>
    <n v="0"/>
    <n v="0"/>
    <n v="0"/>
    <n v="0"/>
    <n v="0"/>
    <n v="0"/>
    <n v="0"/>
    <n v="0"/>
    <n v="0"/>
    <n v="0"/>
    <n v="0"/>
    <n v="0"/>
    <n v="0"/>
    <n v="0"/>
    <n v="22862.097292856619"/>
    <n v="0"/>
    <n v="22862.097292856619"/>
    <n v="397.3261844018474"/>
    <n v="0"/>
    <n v="0"/>
    <n v="0"/>
    <n v="0"/>
    <n v="0"/>
    <n v="1611.2457760329803"/>
    <n v="0"/>
    <n v="2008.5719604348278"/>
    <n v="24870.669253291446"/>
    <n v="0"/>
    <n v="0"/>
    <n v="0"/>
    <n v="0"/>
    <n v="0"/>
    <n v="0"/>
    <n v="24870.669253291446"/>
    <n v="0"/>
    <n v="0"/>
    <n v="0"/>
    <n v="0"/>
    <n v="38298.804492216543"/>
    <n v="0"/>
    <n v="38298.804492216543"/>
    <n v="63169.473745507988"/>
    <n v="1.0720000000000001"/>
    <n v="1.04"/>
    <n v="1.0720000000000001"/>
    <n v="1.04"/>
    <n v="1.1120000000000001"/>
    <n v="1.095"/>
    <n v="1.1120000000000001"/>
    <n v="1.1120000000000001"/>
  </r>
  <r>
    <x v="2"/>
    <x v="4"/>
    <x v="9"/>
    <x v="34"/>
    <x v="220"/>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6"/>
    <x v="221"/>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20"/>
    <x v="222"/>
    <s v="Hot Water"/>
    <n v="4619"/>
    <n v="10"/>
    <n v="39154.893479999999"/>
    <n v="58199.4"/>
    <n v="-19044.506520000003"/>
    <n v="0"/>
    <n v="0"/>
    <n v="0"/>
    <n v="0"/>
    <n v="0"/>
    <n v="0"/>
    <n v="0"/>
    <n v="0"/>
    <n v="0"/>
    <n v="0"/>
    <n v="0"/>
    <n v="0"/>
    <n v="0"/>
    <n v="0"/>
    <n v="7852.2999999999984"/>
    <n v="78522.999999999985"/>
    <n v="6643.045799999999"/>
    <n v="66430.457999999984"/>
    <n v="0"/>
    <n v="0"/>
    <n v="0"/>
    <n v="0"/>
    <n v="0"/>
    <n v="0"/>
    <n v="0"/>
    <n v="0"/>
    <n v="0"/>
    <n v="21335900.040000003"/>
    <n v="21335900.040000003"/>
    <n v="213359000.40000004"/>
    <n v="0"/>
    <n v="0"/>
    <n v="0"/>
    <n v="0"/>
    <n v="0"/>
    <n v="0"/>
    <n v="0"/>
    <n v="0"/>
    <n v="0"/>
    <n v="0"/>
    <n v="0"/>
    <n v="0"/>
    <n v="0"/>
    <n v="0"/>
    <n v="0"/>
    <n v="0"/>
    <n v="0"/>
    <n v="0"/>
    <n v="0"/>
    <n v="0"/>
    <n v="0"/>
    <n v="0"/>
    <n v="0"/>
    <n v="0"/>
    <n v="446817.57519328903"/>
    <n v="0"/>
    <n v="0"/>
    <n v="446817.57519328903"/>
    <n v="9102.5693055695938"/>
    <n v="0"/>
    <n v="0"/>
    <n v="0"/>
    <n v="0"/>
    <n v="55896.26683269658"/>
    <n v="0"/>
    <n v="0"/>
    <n v="64998.836138266175"/>
    <n v="511816.41133155522"/>
    <n v="0"/>
    <n v="0"/>
    <n v="0"/>
    <n v="0"/>
    <n v="947269.6453168185"/>
    <n v="1314080.9962594362"/>
    <n v="2773167.0529078096"/>
    <n v="0"/>
    <n v="0"/>
    <n v="0"/>
    <n v="0"/>
    <n v="0"/>
    <n v="0"/>
    <n v="0"/>
    <n v="2773167.0529078096"/>
    <n v="1.0720000000000001"/>
    <n v="1.04"/>
    <n v="1.0720000000000001"/>
    <n v="1.04"/>
    <n v="1.1120000000000001"/>
    <n v="1.095"/>
    <n v="1.1120000000000001"/>
    <n v="1.1120000000000001"/>
  </r>
  <r>
    <x v="2"/>
    <x v="4"/>
    <x v="9"/>
    <x v="21"/>
    <x v="223"/>
    <s v="Hot Water"/>
    <n v="2088"/>
    <n v="10"/>
    <n v="64934.628480000007"/>
    <n v="81202.320000000007"/>
    <n v="-16267.69152"/>
    <n v="0"/>
    <n v="0"/>
    <n v="0"/>
    <n v="0"/>
    <n v="0"/>
    <n v="0"/>
    <n v="0"/>
    <n v="0"/>
    <n v="0"/>
    <n v="0"/>
    <n v="0"/>
    <n v="0"/>
    <n v="0"/>
    <n v="0"/>
    <n v="4071.6"/>
    <n v="40716"/>
    <n v="3444.5736000000002"/>
    <n v="34445.736000000004"/>
    <n v="0"/>
    <n v="0"/>
    <n v="0"/>
    <n v="0"/>
    <n v="0"/>
    <n v="0"/>
    <n v="0"/>
    <n v="0"/>
    <n v="0"/>
    <n v="12895070.4"/>
    <n v="12895070.4"/>
    <n v="128950704"/>
    <n v="0"/>
    <n v="0"/>
    <n v="0"/>
    <n v="0"/>
    <n v="0"/>
    <n v="0"/>
    <n v="0"/>
    <n v="0"/>
    <n v="0"/>
    <n v="0"/>
    <n v="0"/>
    <n v="0"/>
    <n v="0"/>
    <n v="0"/>
    <n v="0"/>
    <n v="0"/>
    <n v="0"/>
    <n v="0"/>
    <n v="0"/>
    <n v="0"/>
    <n v="0"/>
    <n v="0"/>
    <n v="0"/>
    <n v="0"/>
    <n v="231685.29464704558"/>
    <n v="0"/>
    <n v="0"/>
    <n v="231685.29464704558"/>
    <n v="4719.8936852332654"/>
    <n v="0"/>
    <n v="0"/>
    <n v="0"/>
    <n v="0"/>
    <n v="28983.513115393893"/>
    <n v="0"/>
    <n v="0"/>
    <n v="33703.406800627155"/>
    <n v="265388.70144767273"/>
    <n v="0"/>
    <n v="0"/>
    <n v="0"/>
    <n v="0"/>
    <n v="572514.34161403228"/>
    <n v="794209.14638235082"/>
    <n v="1632112.1894440558"/>
    <n v="0"/>
    <n v="0"/>
    <n v="0"/>
    <n v="0"/>
    <n v="0"/>
    <n v="0"/>
    <n v="0"/>
    <n v="1632112.1894440558"/>
    <n v="1.0720000000000001"/>
    <n v="1.04"/>
    <n v="1.0720000000000001"/>
    <n v="1.04"/>
    <n v="1.1120000000000001"/>
    <n v="1.095"/>
    <n v="1.1120000000000001"/>
    <n v="1.1120000000000001"/>
  </r>
  <r>
    <x v="2"/>
    <x v="4"/>
    <x v="9"/>
    <x v="171"/>
    <x v="224"/>
    <s v="Hot Water"/>
    <n v="273"/>
    <n v="8"/>
    <n v="32777.559359999999"/>
    <n v="17540.25"/>
    <n v="15237.309359999999"/>
    <n v="0"/>
    <n v="0"/>
    <n v="0"/>
    <n v="0"/>
    <n v="0"/>
    <n v="0"/>
    <n v="0"/>
    <n v="0"/>
    <n v="0"/>
    <n v="0"/>
    <n v="0"/>
    <n v="0"/>
    <n v="0"/>
    <n v="0"/>
    <n v="3112.2000000000007"/>
    <n v="24897.600000000006"/>
    <n v="2632.9212000000007"/>
    <n v="21063.369600000005"/>
    <n v="0"/>
    <n v="0"/>
    <n v="0"/>
    <n v="0"/>
    <n v="0"/>
    <n v="0"/>
    <n v="0"/>
    <n v="0"/>
    <n v="0"/>
    <n v="1480440.7800000003"/>
    <n v="1480440.7800000003"/>
    <n v="11843526.240000002"/>
    <n v="0"/>
    <n v="0"/>
    <n v="0"/>
    <n v="0"/>
    <n v="0"/>
    <n v="0"/>
    <n v="0"/>
    <n v="0"/>
    <n v="0"/>
    <n v="0"/>
    <n v="0"/>
    <n v="0"/>
    <n v="0"/>
    <n v="0"/>
    <n v="0"/>
    <n v="0"/>
    <n v="0"/>
    <n v="0"/>
    <n v="0"/>
    <n v="0"/>
    <n v="0"/>
    <n v="0"/>
    <n v="0"/>
    <n v="0"/>
    <n v="140091.71097055645"/>
    <n v="0"/>
    <n v="0"/>
    <n v="140091.71097055645"/>
    <n v="2898.8032779487226"/>
    <n v="0"/>
    <n v="0"/>
    <n v="0"/>
    <n v="0"/>
    <n v="21242.838178507969"/>
    <n v="0"/>
    <n v="0"/>
    <n v="24141.641456456691"/>
    <n v="164233.35242701313"/>
    <n v="0"/>
    <n v="0"/>
    <n v="0"/>
    <n v="0"/>
    <n v="52812.633870535094"/>
    <n v="73263.277119437771"/>
    <n v="290309.26341698598"/>
    <n v="0"/>
    <n v="0"/>
    <n v="0"/>
    <n v="0"/>
    <n v="0"/>
    <n v="0"/>
    <n v="0"/>
    <n v="290309.26341698598"/>
    <n v="1.0720000000000001"/>
    <n v="1.04"/>
    <n v="1.0720000000000001"/>
    <n v="1.04"/>
    <n v="1.1120000000000001"/>
    <n v="1.095"/>
    <n v="1.1120000000000001"/>
    <n v="1.1120000000000001"/>
  </r>
  <r>
    <x v="2"/>
    <x v="4"/>
    <x v="9"/>
    <x v="172"/>
    <x v="225"/>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73"/>
    <x v="226"/>
    <s v="Hot Water"/>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74"/>
    <x v="227"/>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75"/>
    <x v="228"/>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76"/>
    <x v="229"/>
    <s v="Hot Water"/>
    <s v=""/>
    <n v="1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9"/>
    <x v="134"/>
    <x v="230"/>
    <s v="HVAC "/>
    <n v="1"/>
    <n v="10"/>
    <n v="745455.30480000004"/>
    <n v="405579.6"/>
    <n v="339875.70480000007"/>
    <n v="0"/>
    <n v="0"/>
    <n v="0"/>
    <n v="0"/>
    <n v="0"/>
    <n v="0"/>
    <n v="0"/>
    <n v="0"/>
    <n v="0"/>
    <n v="0"/>
    <n v="0"/>
    <n v="0"/>
    <n v="0"/>
    <n v="0"/>
    <n v="22130.2994"/>
    <n v="221302.99400000001"/>
    <n v="20337.745148599999"/>
    <n v="203377.45148599998"/>
    <n v="0"/>
    <n v="0"/>
    <n v="0"/>
    <n v="0"/>
    <n v="0"/>
    <n v="0"/>
    <n v="0"/>
    <n v="0"/>
    <n v="0"/>
    <n v="0"/>
    <n v="0"/>
    <n v="0"/>
    <n v="0"/>
    <n v="0"/>
    <n v="0"/>
    <n v="0"/>
    <n v="0"/>
    <n v="0"/>
    <n v="0"/>
    <n v="0"/>
    <n v="0"/>
    <n v="0"/>
    <n v="0"/>
    <n v="0"/>
    <n v="0"/>
    <n v="0"/>
    <n v="0"/>
    <n v="0"/>
    <n v="0"/>
    <n v="0"/>
    <n v="0"/>
    <n v="0"/>
    <n v="0"/>
    <n v="0"/>
    <n v="0"/>
    <n v="0"/>
    <n v="0"/>
    <n v="1545289.2568421129"/>
    <n v="0"/>
    <n v="1545289.2568421129"/>
    <n v="27867.598735228246"/>
    <n v="0"/>
    <n v="0"/>
    <n v="0"/>
    <n v="0"/>
    <n v="0"/>
    <n v="156433.51489092226"/>
    <n v="0"/>
    <n v="184301.1136261505"/>
    <n v="1729590.3704682633"/>
    <n v="0"/>
    <n v="0"/>
    <n v="0"/>
    <n v="0"/>
    <n v="0"/>
    <n v="0"/>
    <n v="1729590.3704682633"/>
    <n v="0"/>
    <n v="0"/>
    <n v="0"/>
    <n v="0"/>
    <n v="497443.56779174239"/>
    <n v="0"/>
    <n v="497443.56779174239"/>
    <n v="2227033.9382600058"/>
    <n v="1.0720000000000001"/>
    <n v="1.04"/>
    <n v="1.0720000000000001"/>
    <n v="1.04"/>
    <n v="1.1120000000000001"/>
    <n v="1.095"/>
    <n v="1.1120000000000001"/>
    <n v="1.1120000000000001"/>
  </r>
  <r>
    <x v="2"/>
    <x v="4"/>
    <x v="9"/>
    <x v="135"/>
    <x v="230"/>
    <s v="HVAC "/>
    <n v="1"/>
    <n v="15"/>
    <n v="106055.357"/>
    <n v="57701.5"/>
    <n v="48353.857000000004"/>
    <n v="0"/>
    <n v="0"/>
    <n v="0"/>
    <n v="0"/>
    <n v="0"/>
    <n v="0"/>
    <n v="0"/>
    <n v="0"/>
    <n v="0"/>
    <n v="0"/>
    <n v="0"/>
    <n v="0"/>
    <n v="0"/>
    <n v="0"/>
    <n v="2976.7147999999997"/>
    <n v="44650.721999999994"/>
    <n v="2735.6009012"/>
    <n v="41034.013518"/>
    <n v="0"/>
    <n v="0"/>
    <n v="0"/>
    <n v="0"/>
    <n v="0"/>
    <n v="0"/>
    <n v="0"/>
    <n v="0"/>
    <n v="0"/>
    <n v="0"/>
    <n v="0"/>
    <n v="0"/>
    <n v="0"/>
    <n v="0"/>
    <n v="0"/>
    <n v="0"/>
    <n v="0"/>
    <n v="0"/>
    <n v="0"/>
    <n v="0"/>
    <n v="0"/>
    <n v="0"/>
    <n v="0"/>
    <n v="0"/>
    <n v="0"/>
    <n v="0"/>
    <n v="0"/>
    <n v="0"/>
    <n v="0"/>
    <n v="0"/>
    <n v="0"/>
    <n v="0"/>
    <n v="0"/>
    <n v="0"/>
    <n v="0"/>
    <n v="0"/>
    <n v="0"/>
    <n v="320026.88464002038"/>
    <n v="0"/>
    <n v="320026.88464002038"/>
    <n v="5561.8283550809556"/>
    <n v="0"/>
    <n v="0"/>
    <n v="0"/>
    <n v="0"/>
    <n v="0"/>
    <n v="22554.447192136733"/>
    <n v="0"/>
    <n v="28116.275547217687"/>
    <n v="348143.16018723807"/>
    <n v="0"/>
    <n v="0"/>
    <n v="0"/>
    <n v="0"/>
    <n v="0"/>
    <n v="0"/>
    <n v="348143.16018723807"/>
    <n v="0"/>
    <n v="0"/>
    <n v="0"/>
    <n v="0"/>
    <n v="99280.019304257003"/>
    <n v="0"/>
    <n v="99280.019304257003"/>
    <n v="447423.17949149507"/>
    <n v="1.0720000000000001"/>
    <n v="1.04"/>
    <n v="1.0720000000000001"/>
    <n v="1.04"/>
    <n v="1.1120000000000001"/>
    <n v="1.095"/>
    <n v="1.1120000000000001"/>
    <n v="1.1120000000000001"/>
  </r>
  <r>
    <x v="2"/>
    <x v="4"/>
    <x v="9"/>
    <x v="177"/>
    <x v="231"/>
    <s v="Behavioral"/>
    <n v="2"/>
    <n v="5"/>
    <n v="0"/>
    <n v="0"/>
    <n v="0"/>
    <n v="0"/>
    <n v="0"/>
    <n v="0"/>
    <n v="0"/>
    <n v="0"/>
    <n v="0"/>
    <n v="0"/>
    <n v="0"/>
    <n v="0"/>
    <n v="0"/>
    <n v="0"/>
    <n v="0"/>
    <n v="0"/>
    <n v="0"/>
    <n v="668.2"/>
    <n v="3341"/>
    <n v="668.2"/>
    <n v="3341"/>
    <n v="0"/>
    <n v="0"/>
    <n v="0"/>
    <n v="0"/>
    <n v="0"/>
    <n v="0"/>
    <n v="0"/>
    <n v="0"/>
    <n v="0"/>
    <n v="0"/>
    <n v="0"/>
    <n v="0"/>
    <n v="0"/>
    <n v="0"/>
    <n v="0"/>
    <n v="0"/>
    <n v="0"/>
    <n v="0"/>
    <n v="0"/>
    <n v="0"/>
    <n v="0"/>
    <n v="0"/>
    <n v="0"/>
    <n v="0"/>
    <n v="0"/>
    <n v="0"/>
    <n v="0"/>
    <n v="0"/>
    <n v="0"/>
    <n v="0"/>
    <n v="0"/>
    <n v="0"/>
    <n v="0"/>
    <n v="0"/>
    <n v="0"/>
    <n v="0"/>
    <n v="0"/>
    <n v="24974.453524529858"/>
    <n v="0"/>
    <n v="24974.453524529858"/>
    <n v="462.821818269262"/>
    <n v="0"/>
    <n v="0"/>
    <n v="0"/>
    <n v="0"/>
    <n v="0"/>
    <n v="4758.983738710901"/>
    <n v="0"/>
    <n v="5221.8055569801627"/>
    <n v="30196.259081510019"/>
    <n v="0"/>
    <n v="0"/>
    <n v="0"/>
    <n v="0"/>
    <n v="0"/>
    <n v="0"/>
    <n v="30196.259081510019"/>
    <n v="0"/>
    <n v="0"/>
    <n v="0"/>
    <n v="0"/>
    <n v="0"/>
    <n v="0"/>
    <n v="0"/>
    <n v="30196.259081510019"/>
    <n v="1.0720000000000001"/>
    <n v="1.04"/>
    <n v="1.0720000000000001"/>
    <n v="1.04"/>
    <n v="1.1120000000000001"/>
    <n v="1.095"/>
    <n v="1.1120000000000001"/>
    <n v="1.1120000000000001"/>
  </r>
  <r>
    <x v="2"/>
    <x v="4"/>
    <x v="9"/>
    <x v="178"/>
    <x v="232"/>
    <s v="Behavioral"/>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145"/>
    <x v="233"/>
    <s v="Envelope"/>
    <n v="1"/>
    <n v="15"/>
    <n v="2603.2206666666666"/>
    <n v="2124.5"/>
    <n v="478.7206666666666"/>
    <n v="0"/>
    <n v="0"/>
    <n v="0"/>
    <n v="0"/>
    <n v="0"/>
    <n v="0"/>
    <n v="0"/>
    <n v="0"/>
    <n v="0"/>
    <n v="0"/>
    <n v="0"/>
    <n v="0"/>
    <n v="0"/>
    <n v="0"/>
    <n v="121.75770000000001"/>
    <n v="1826.3655000000001"/>
    <n v="111.89532630000002"/>
    <n v="1678.4298945000003"/>
    <n v="0"/>
    <n v="0"/>
    <n v="0"/>
    <n v="0"/>
    <n v="0"/>
    <n v="0"/>
    <n v="0"/>
    <n v="0"/>
    <n v="0"/>
    <n v="0"/>
    <n v="0"/>
    <n v="0"/>
    <n v="0"/>
    <n v="0"/>
    <n v="0"/>
    <n v="0"/>
    <n v="0"/>
    <n v="0"/>
    <n v="0"/>
    <n v="0"/>
    <n v="0"/>
    <n v="0"/>
    <n v="0"/>
    <n v="0"/>
    <n v="0"/>
    <n v="0"/>
    <n v="0"/>
    <n v="0"/>
    <n v="0"/>
    <n v="0"/>
    <n v="0"/>
    <n v="0"/>
    <n v="0"/>
    <n v="0"/>
    <n v="0"/>
    <n v="0"/>
    <n v="0"/>
    <n v="13090.181636458496"/>
    <n v="0"/>
    <n v="13090.181636458496"/>
    <n v="227.49758502542488"/>
    <n v="0"/>
    <n v="0"/>
    <n v="0"/>
    <n v="0"/>
    <n v="0"/>
    <n v="922.55314983015069"/>
    <n v="0"/>
    <n v="1150.0507348555757"/>
    <n v="14240.232371314072"/>
    <n v="0"/>
    <n v="0"/>
    <n v="0"/>
    <n v="0"/>
    <n v="0"/>
    <n v="0"/>
    <n v="14240.232371314072"/>
    <n v="0"/>
    <n v="0"/>
    <n v="0"/>
    <n v="0"/>
    <n v="0"/>
    <n v="0"/>
    <n v="0"/>
    <n v="14240.232371314072"/>
    <n v="1.0720000000000001"/>
    <n v="1.04"/>
    <n v="1.0720000000000001"/>
    <n v="1.04"/>
    <n v="1.1120000000000001"/>
    <n v="1.095"/>
    <n v="1.1120000000000001"/>
    <n v="1.1120000000000001"/>
  </r>
  <r>
    <x v="2"/>
    <x v="4"/>
    <x v="10"/>
    <x v="146"/>
    <x v="233"/>
    <s v="Envelope"/>
    <n v="1"/>
    <n v="18"/>
    <n v="42015.013546666669"/>
    <n v="34288.639999999999"/>
    <n v="7726.3735466666694"/>
    <n v="0"/>
    <n v="0"/>
    <n v="0"/>
    <n v="0"/>
    <n v="0"/>
    <n v="0"/>
    <n v="0"/>
    <n v="0"/>
    <n v="0"/>
    <n v="0"/>
    <n v="0"/>
    <n v="0"/>
    <n v="0"/>
    <n v="0"/>
    <n v="275.45440000000002"/>
    <n v="4958.1792000000005"/>
    <n v="253.14259360000003"/>
    <n v="4556.5666848000001"/>
    <n v="0"/>
    <n v="0"/>
    <n v="0"/>
    <n v="0"/>
    <n v="0"/>
    <n v="0"/>
    <n v="0"/>
    <n v="0"/>
    <n v="0"/>
    <n v="0"/>
    <n v="0"/>
    <n v="0"/>
    <n v="0"/>
    <n v="0"/>
    <n v="0"/>
    <n v="0"/>
    <n v="0"/>
    <n v="0"/>
    <n v="0"/>
    <n v="0"/>
    <n v="0"/>
    <n v="0"/>
    <n v="0"/>
    <n v="0"/>
    <n v="0"/>
    <n v="0"/>
    <n v="0"/>
    <n v="0"/>
    <n v="0"/>
    <n v="0"/>
    <n v="0"/>
    <n v="0"/>
    <n v="0"/>
    <n v="0"/>
    <n v="0"/>
    <n v="0"/>
    <n v="0"/>
    <n v="36201.838658203247"/>
    <n v="0"/>
    <n v="36201.838658203247"/>
    <n v="613.60061587297685"/>
    <n v="0"/>
    <n v="0"/>
    <n v="0"/>
    <n v="0"/>
    <n v="0"/>
    <n v="2169.4700018931021"/>
    <n v="0"/>
    <n v="2783.0706177660791"/>
    <n v="38984.909275969323"/>
    <n v="0"/>
    <n v="0"/>
    <n v="0"/>
    <n v="0"/>
    <n v="0"/>
    <n v="0"/>
    <n v="38984.909275969323"/>
    <n v="0"/>
    <n v="0"/>
    <n v="0"/>
    <n v="0"/>
    <n v="0"/>
    <n v="0"/>
    <n v="0"/>
    <n v="38984.909275969323"/>
    <n v="1.0720000000000001"/>
    <n v="1.04"/>
    <n v="1.0720000000000001"/>
    <n v="1.04"/>
    <n v="1.1120000000000001"/>
    <n v="1.095"/>
    <n v="1.1120000000000001"/>
    <n v="1.1120000000000001"/>
  </r>
  <r>
    <x v="2"/>
    <x v="4"/>
    <x v="10"/>
    <x v="147"/>
    <x v="233"/>
    <s v="Envelope"/>
    <n v="1"/>
    <n v="20"/>
    <n v="43090.758186666666"/>
    <n v="35166.559999999998"/>
    <n v="7924.1981866666683"/>
    <n v="0"/>
    <n v="0"/>
    <n v="0"/>
    <n v="0"/>
    <n v="0"/>
    <n v="0"/>
    <n v="0"/>
    <n v="0"/>
    <n v="0"/>
    <n v="0"/>
    <n v="0"/>
    <n v="0"/>
    <n v="0"/>
    <n v="0"/>
    <n v="760.30399999999997"/>
    <n v="15206.08"/>
    <n v="698.71937600000001"/>
    <n v="13974.38752"/>
    <n v="0"/>
    <n v="0"/>
    <n v="0"/>
    <n v="0"/>
    <n v="0"/>
    <n v="0"/>
    <n v="0"/>
    <n v="0"/>
    <n v="0"/>
    <n v="0"/>
    <n v="0"/>
    <n v="0"/>
    <n v="0"/>
    <n v="0"/>
    <n v="0"/>
    <n v="0"/>
    <n v="0"/>
    <n v="0"/>
    <n v="0"/>
    <n v="0"/>
    <n v="0"/>
    <n v="0"/>
    <n v="0"/>
    <n v="0"/>
    <n v="0"/>
    <n v="0"/>
    <n v="0"/>
    <n v="0"/>
    <n v="0"/>
    <n v="0"/>
    <n v="0"/>
    <n v="0"/>
    <n v="0"/>
    <n v="0"/>
    <n v="0"/>
    <n v="0"/>
    <n v="0"/>
    <n v="112379.3799733378"/>
    <n v="0"/>
    <n v="112379.3799733378"/>
    <n v="1873.7025164976985"/>
    <n v="0"/>
    <n v="0"/>
    <n v="0"/>
    <n v="0"/>
    <n v="0"/>
    <n v="6138.0330985420251"/>
    <n v="0"/>
    <n v="8011.7356150397236"/>
    <n v="120391.11558837752"/>
    <n v="0"/>
    <n v="0"/>
    <n v="0"/>
    <n v="0"/>
    <n v="0"/>
    <n v="0"/>
    <n v="120391.11558837752"/>
    <n v="0"/>
    <n v="0"/>
    <n v="0"/>
    <n v="0"/>
    <n v="0"/>
    <n v="0"/>
    <n v="0"/>
    <n v="120391.11558837752"/>
    <n v="1.0720000000000001"/>
    <n v="1.04"/>
    <n v="1.0720000000000001"/>
    <n v="1.04"/>
    <n v="1.1120000000000001"/>
    <n v="1.095"/>
    <n v="1.1120000000000001"/>
    <n v="1.1120000000000001"/>
  </r>
  <r>
    <x v="2"/>
    <x v="4"/>
    <x v="10"/>
    <x v="148"/>
    <x v="234"/>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94"/>
    <x v="235"/>
    <s v="Food Servic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179"/>
    <x v="236"/>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97"/>
    <x v="237"/>
    <s v="HVAC"/>
    <n v="1"/>
    <n v="15"/>
    <n v="35338.613333333335"/>
    <n v="28840"/>
    <n v="6498.6133333333346"/>
    <n v="0"/>
    <n v="0"/>
    <n v="0"/>
    <n v="0"/>
    <n v="0"/>
    <n v="0"/>
    <n v="0"/>
    <n v="0"/>
    <n v="0"/>
    <n v="0"/>
    <n v="0"/>
    <n v="0"/>
    <n v="0"/>
    <n v="0"/>
    <n v="443.40680000000003"/>
    <n v="6651.1020000000008"/>
    <n v="407.49084920000007"/>
    <n v="6112.3627380000007"/>
    <n v="0"/>
    <n v="0"/>
    <n v="0"/>
    <n v="0"/>
    <n v="0"/>
    <n v="0"/>
    <n v="0"/>
    <n v="0"/>
    <n v="0"/>
    <n v="0"/>
    <n v="0"/>
    <n v="0"/>
    <n v="0"/>
    <n v="0"/>
    <n v="0"/>
    <n v="0"/>
    <n v="0"/>
    <n v="0"/>
    <n v="0"/>
    <n v="0"/>
    <n v="0"/>
    <n v="0"/>
    <n v="0"/>
    <n v="0"/>
    <n v="0"/>
    <n v="0"/>
    <n v="0"/>
    <n v="0"/>
    <n v="0"/>
    <n v="0"/>
    <n v="0"/>
    <n v="0"/>
    <n v="0"/>
    <n v="0"/>
    <n v="0"/>
    <n v="0"/>
    <n v="0"/>
    <n v="47670.706253820696"/>
    <n v="0"/>
    <n v="47670.706253820696"/>
    <n v="828.48128852509171"/>
    <n v="0"/>
    <n v="0"/>
    <n v="0"/>
    <n v="0"/>
    <n v="0"/>
    <n v="3359.6753223501078"/>
    <n v="0"/>
    <n v="4188.1566108751995"/>
    <n v="51858.862864695897"/>
    <n v="0"/>
    <n v="0"/>
    <n v="0"/>
    <n v="0"/>
    <n v="0"/>
    <n v="0"/>
    <n v="51858.862864695897"/>
    <n v="0"/>
    <n v="0"/>
    <n v="0"/>
    <n v="0"/>
    <n v="0"/>
    <n v="0"/>
    <n v="0"/>
    <n v="51858.862864695897"/>
    <n v="1.0720000000000001"/>
    <n v="1.04"/>
    <n v="1.0720000000000001"/>
    <n v="1.04"/>
    <n v="1.1120000000000001"/>
    <n v="1.095"/>
    <n v="1.1120000000000001"/>
    <n v="1.1120000000000001"/>
  </r>
  <r>
    <x v="2"/>
    <x v="4"/>
    <x v="10"/>
    <x v="100"/>
    <x v="238"/>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80"/>
    <x v="239"/>
    <s v="Hot Water"/>
    <n v="1"/>
    <n v="15"/>
    <n v="12522.906666666666"/>
    <n v="10220"/>
    <n v="2302.9066666666658"/>
    <n v="0"/>
    <n v="0"/>
    <n v="0"/>
    <n v="0"/>
    <n v="0"/>
    <n v="0"/>
    <n v="0"/>
    <n v="0"/>
    <n v="0"/>
    <n v="0"/>
    <n v="0"/>
    <n v="0"/>
    <n v="0"/>
    <n v="0"/>
    <n v="244.83970000000002"/>
    <n v="3672.5955000000004"/>
    <n v="225.00768430000002"/>
    <n v="3375.1152645000002"/>
    <n v="0"/>
    <n v="0"/>
    <n v="0"/>
    <n v="0"/>
    <n v="0"/>
    <n v="0"/>
    <n v="0"/>
    <n v="0"/>
    <n v="0"/>
    <n v="0"/>
    <n v="0"/>
    <n v="0"/>
    <n v="0"/>
    <n v="0"/>
    <n v="0"/>
    <n v="0"/>
    <n v="0"/>
    <n v="0"/>
    <n v="0"/>
    <n v="0"/>
    <n v="0"/>
    <n v="0"/>
    <n v="0"/>
    <n v="0"/>
    <n v="0"/>
    <n v="0"/>
    <n v="0"/>
    <n v="0"/>
    <n v="0"/>
    <n v="0"/>
    <n v="0"/>
    <n v="0"/>
    <n v="0"/>
    <n v="0"/>
    <n v="0"/>
    <n v="0"/>
    <n v="23437.505380396411"/>
    <n v="0"/>
    <n v="0"/>
    <n v="23437.505380396411"/>
    <n v="457.46955197371102"/>
    <n v="0"/>
    <n v="0"/>
    <n v="0"/>
    <n v="0"/>
    <n v="2083.9286060995564"/>
    <n v="0"/>
    <n v="0"/>
    <n v="2541.3981580732675"/>
    <n v="25978.90353846968"/>
    <n v="0"/>
    <n v="0"/>
    <n v="0"/>
    <n v="0"/>
    <n v="0"/>
    <n v="0"/>
    <n v="25978.90353846968"/>
    <n v="0"/>
    <n v="0"/>
    <n v="0"/>
    <n v="0"/>
    <n v="0"/>
    <n v="0"/>
    <n v="0"/>
    <n v="25978.90353846968"/>
    <n v="1.0720000000000001"/>
    <n v="1.04"/>
    <n v="1.0720000000000001"/>
    <n v="1.04"/>
    <n v="1.1120000000000001"/>
    <n v="1.095"/>
    <n v="1.1120000000000001"/>
    <n v="1.1120000000000001"/>
  </r>
  <r>
    <x v="2"/>
    <x v="4"/>
    <x v="10"/>
    <x v="102"/>
    <x v="240"/>
    <s v="Hot Water"/>
    <s v=""/>
    <n v="9"/>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05"/>
    <x v="241"/>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106"/>
    <x v="242"/>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61"/>
    <x v="243"/>
    <s v="Custom Measures"/>
    <n v="1"/>
    <n v="15"/>
    <n v="5918.3600000000006"/>
    <n v="4830"/>
    <n v="1088.3600000000006"/>
    <n v="0"/>
    <n v="0"/>
    <n v="0"/>
    <n v="0"/>
    <n v="0"/>
    <n v="0"/>
    <n v="0"/>
    <n v="0"/>
    <n v="0"/>
    <n v="0"/>
    <n v="0"/>
    <n v="0"/>
    <n v="0"/>
    <n v="0"/>
    <n v="491.31530000000004"/>
    <n v="7369.7295000000004"/>
    <n v="451.51876070000003"/>
    <n v="6772.7814105000007"/>
    <n v="0"/>
    <n v="0"/>
    <n v="0"/>
    <n v="0"/>
    <n v="0"/>
    <n v="0"/>
    <n v="0"/>
    <n v="0"/>
    <n v="0"/>
    <n v="0"/>
    <n v="0"/>
    <n v="0"/>
    <n v="0"/>
    <n v="0"/>
    <n v="0"/>
    <n v="0"/>
    <n v="0"/>
    <n v="0"/>
    <n v="0"/>
    <n v="0"/>
    <n v="0"/>
    <n v="0"/>
    <n v="0"/>
    <n v="0"/>
    <n v="0"/>
    <n v="0"/>
    <n v="0"/>
    <n v="0"/>
    <n v="0"/>
    <n v="0"/>
    <n v="0"/>
    <n v="0"/>
    <n v="0"/>
    <n v="0"/>
    <n v="0"/>
    <n v="0"/>
    <n v="0"/>
    <n v="0"/>
    <n v="50748.713306229161"/>
    <n v="50748.713306229161"/>
    <n v="917.99569338154481"/>
    <n v="0"/>
    <n v="0"/>
    <n v="0"/>
    <n v="0"/>
    <n v="0"/>
    <n v="0"/>
    <n v="3923.3049360580658"/>
    <n v="4841.3006294396109"/>
    <n v="55590.013935668772"/>
    <n v="0"/>
    <n v="0"/>
    <n v="0"/>
    <n v="0"/>
    <n v="0"/>
    <n v="0"/>
    <n v="55590.013935668772"/>
    <n v="0"/>
    <n v="0"/>
    <n v="0"/>
    <n v="0"/>
    <n v="0"/>
    <n v="0"/>
    <n v="0"/>
    <n v="55590.013935668772"/>
    <n v="1.0720000000000001"/>
    <n v="1.04"/>
    <n v="1.0720000000000001"/>
    <n v="1.04"/>
    <n v="1.1120000000000001"/>
    <n v="1.095"/>
    <n v="1.1120000000000001"/>
    <n v="1.1120000000000001"/>
  </r>
  <r>
    <x v="2"/>
    <x v="4"/>
    <x v="10"/>
    <x v="181"/>
    <x v="244"/>
    <s v="Custom Measure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182"/>
    <x v="245"/>
    <s v="Process"/>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0"/>
    <x v="183"/>
    <x v="246"/>
    <s v="Hot Water"/>
    <n v="1"/>
    <n v="6"/>
    <n v="11236.306666666667"/>
    <n v="9170"/>
    <n v="2066.3066666666673"/>
    <n v="0"/>
    <n v="0"/>
    <n v="0"/>
    <n v="0"/>
    <n v="0"/>
    <n v="0"/>
    <n v="0"/>
    <n v="0"/>
    <n v="0"/>
    <n v="0"/>
    <n v="0"/>
    <n v="0"/>
    <n v="0"/>
    <n v="0"/>
    <n v="266.18430000000001"/>
    <n v="1597.1058"/>
    <n v="244.62337170000001"/>
    <n v="1467.7402302"/>
    <n v="0"/>
    <n v="0"/>
    <n v="0"/>
    <n v="0"/>
    <n v="0"/>
    <n v="0"/>
    <n v="0"/>
    <n v="0"/>
    <n v="0"/>
    <n v="0"/>
    <n v="0"/>
    <n v="0"/>
    <n v="0"/>
    <n v="0"/>
    <n v="0"/>
    <n v="0"/>
    <n v="0"/>
    <n v="0"/>
    <n v="0"/>
    <n v="0"/>
    <n v="0"/>
    <n v="0"/>
    <n v="0"/>
    <n v="0"/>
    <n v="0"/>
    <n v="0"/>
    <n v="0"/>
    <n v="0"/>
    <n v="0"/>
    <n v="0"/>
    <n v="0"/>
    <n v="0"/>
    <n v="0"/>
    <n v="0"/>
    <n v="0"/>
    <n v="0"/>
    <n v="0"/>
    <n v="10986.251573690013"/>
    <n v="0"/>
    <n v="10986.251573690013"/>
    <n v="202.87897007838637"/>
    <n v="0"/>
    <n v="0"/>
    <n v="0"/>
    <n v="0"/>
    <n v="0"/>
    <n v="1770.4062991093149"/>
    <n v="0"/>
    <n v="1973.2852691877013"/>
    <n v="12959.536842877715"/>
    <n v="0"/>
    <n v="0"/>
    <n v="0"/>
    <n v="0"/>
    <n v="0"/>
    <n v="0"/>
    <n v="12959.536842877715"/>
    <n v="0"/>
    <n v="0"/>
    <n v="0"/>
    <n v="0"/>
    <n v="0"/>
    <n v="0"/>
    <n v="0"/>
    <n v="12959.536842877715"/>
    <n v="1.0720000000000001"/>
    <n v="1.04"/>
    <n v="1.0720000000000001"/>
    <n v="1.04"/>
    <n v="1.1120000000000001"/>
    <n v="1.095"/>
    <n v="1.1120000000000001"/>
    <n v="1.1120000000000001"/>
  </r>
  <r>
    <x v="2"/>
    <x v="4"/>
    <x v="10"/>
    <x v="168"/>
    <x v="247"/>
    <s v="Hot Water"/>
    <s v=""/>
    <n v="6"/>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25"/>
    <x v="248"/>
    <s v="HVAC"/>
    <n v="35"/>
    <n v="15"/>
    <n v="3821.4666000000002"/>
    <n v="4517.1000000000004"/>
    <n v="-695.63340000000017"/>
    <n v="0"/>
    <n v="0"/>
    <n v="0"/>
    <n v="0"/>
    <n v="0"/>
    <n v="0"/>
    <n v="0"/>
    <n v="0"/>
    <n v="0"/>
    <n v="0"/>
    <n v="0"/>
    <n v="0"/>
    <n v="0"/>
    <n v="0"/>
    <n v="112"/>
    <n v="1680"/>
    <n v="94.75200000000001"/>
    <n v="1421.2800000000002"/>
    <n v="0"/>
    <n v="0"/>
    <n v="0"/>
    <n v="0"/>
    <n v="0"/>
    <n v="0"/>
    <n v="0"/>
    <n v="0"/>
    <n v="0"/>
    <n v="0"/>
    <n v="0"/>
    <n v="0"/>
    <n v="0"/>
    <n v="0"/>
    <n v="0"/>
    <n v="0"/>
    <n v="0"/>
    <n v="0"/>
    <n v="0"/>
    <n v="0"/>
    <n v="0"/>
    <n v="0"/>
    <n v="0"/>
    <n v="0"/>
    <n v="0"/>
    <n v="0"/>
    <n v="0"/>
    <n v="0"/>
    <n v="0"/>
    <n v="0"/>
    <n v="0"/>
    <n v="0"/>
    <n v="0"/>
    <n v="0"/>
    <n v="0"/>
    <n v="0"/>
    <n v="0"/>
    <n v="11084.653232900177"/>
    <n v="0"/>
    <n v="11084.653232900177"/>
    <n v="192.64299849786539"/>
    <n v="0"/>
    <n v="0"/>
    <n v="0"/>
    <n v="0"/>
    <n v="0"/>
    <n v="781.21007322811158"/>
    <n v="0"/>
    <n v="973.85307172597697"/>
    <n v="12058.506304626153"/>
    <n v="0"/>
    <n v="0"/>
    <n v="0"/>
    <n v="0"/>
    <n v="0"/>
    <n v="0"/>
    <n v="12058.506304626153"/>
    <n v="0"/>
    <n v="0"/>
    <n v="0"/>
    <n v="0"/>
    <n v="18569.117329559533"/>
    <n v="0"/>
    <n v="18569.117329559533"/>
    <n v="30627.623634185686"/>
    <n v="1.0720000000000001"/>
    <n v="1.04"/>
    <n v="1.0720000000000001"/>
    <n v="1.04"/>
    <n v="1.1120000000000001"/>
    <n v="1.095"/>
    <n v="1.1120000000000001"/>
    <n v="1.1120000000000001"/>
  </r>
  <r>
    <x v="2"/>
    <x v="4"/>
    <x v="10"/>
    <x v="78"/>
    <x v="24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79"/>
    <x v="250"/>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6"/>
    <x v="251"/>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34"/>
    <x v="252"/>
    <s v="HVAC"/>
    <s v=""/>
    <n v="20"/>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20"/>
    <x v="253"/>
    <s v="Hot Water"/>
    <n v="1829"/>
    <n v="10"/>
    <n v="15504.286679999999"/>
    <n v="18326.579999999998"/>
    <n v="-2822.2933199999989"/>
    <n v="0"/>
    <n v="0"/>
    <n v="0"/>
    <n v="0"/>
    <n v="0"/>
    <n v="0"/>
    <n v="0"/>
    <n v="0"/>
    <n v="0"/>
    <n v="0"/>
    <n v="0"/>
    <n v="0"/>
    <n v="0"/>
    <n v="0"/>
    <n v="3109.3000000000011"/>
    <n v="31093.000000000011"/>
    <n v="2630.4678000000013"/>
    <n v="26304.678000000014"/>
    <n v="0"/>
    <n v="0"/>
    <n v="0"/>
    <n v="0"/>
    <n v="0"/>
    <n v="0"/>
    <n v="0"/>
    <n v="0"/>
    <n v="0"/>
    <n v="8448443.6400000006"/>
    <n v="8448443.6400000006"/>
    <n v="84484436.400000006"/>
    <n v="0"/>
    <n v="0"/>
    <n v="0"/>
    <n v="0"/>
    <n v="0"/>
    <n v="0"/>
    <n v="0"/>
    <n v="0"/>
    <n v="0"/>
    <n v="0"/>
    <n v="0"/>
    <n v="0"/>
    <n v="0"/>
    <n v="0"/>
    <n v="0"/>
    <n v="0"/>
    <n v="0"/>
    <n v="0"/>
    <n v="0"/>
    <n v="0"/>
    <n v="0"/>
    <n v="0"/>
    <n v="0"/>
    <n v="0"/>
    <n v="176927.76467385283"/>
    <n v="0"/>
    <n v="0"/>
    <n v="176927.76467385283"/>
    <n v="3604.3730807289021"/>
    <n v="0"/>
    <n v="0"/>
    <n v="0"/>
    <n v="0"/>
    <n v="22133.421094826175"/>
    <n v="0"/>
    <n v="0"/>
    <n v="25737.794175555078"/>
    <n v="202665.55884940791"/>
    <n v="0"/>
    <n v="0"/>
    <n v="0"/>
    <n v="0"/>
    <n v="375093.34948786773"/>
    <n v="520340.79717655526"/>
    <n v="1098099.7055138308"/>
    <n v="0"/>
    <n v="0"/>
    <n v="0"/>
    <n v="0"/>
    <n v="0"/>
    <n v="0"/>
    <n v="0"/>
    <n v="1098099.7055138308"/>
    <n v="1.0720000000000001"/>
    <n v="1.04"/>
    <n v="1.0720000000000001"/>
    <n v="1.04"/>
    <n v="1.1120000000000001"/>
    <n v="1.095"/>
    <n v="1.1120000000000001"/>
    <n v="1.1120000000000001"/>
  </r>
  <r>
    <x v="2"/>
    <x v="4"/>
    <x v="10"/>
    <x v="21"/>
    <x v="254"/>
    <s v="Hot Water"/>
    <n v="1336"/>
    <n v="10"/>
    <n v="41548.21056"/>
    <n v="49111.360000000001"/>
    <n v="-7563.1494400000011"/>
    <n v="0"/>
    <n v="0"/>
    <n v="0"/>
    <n v="0"/>
    <n v="0"/>
    <n v="0"/>
    <n v="0"/>
    <n v="0"/>
    <n v="0"/>
    <n v="0"/>
    <n v="0"/>
    <n v="0"/>
    <n v="0"/>
    <n v="0"/>
    <n v="2605.1999999999998"/>
    <n v="26052"/>
    <n v="2203.9992000000002"/>
    <n v="22039.992000000002"/>
    <n v="0"/>
    <n v="0"/>
    <n v="0"/>
    <n v="0"/>
    <n v="0"/>
    <n v="0"/>
    <n v="0"/>
    <n v="0"/>
    <n v="0"/>
    <n v="8250868.8000000007"/>
    <n v="8250868.8000000007"/>
    <n v="82508688"/>
    <n v="0"/>
    <n v="0"/>
    <n v="0"/>
    <n v="0"/>
    <n v="0"/>
    <n v="0"/>
    <n v="0"/>
    <n v="0"/>
    <n v="0"/>
    <n v="0"/>
    <n v="0"/>
    <n v="0"/>
    <n v="0"/>
    <n v="0"/>
    <n v="0"/>
    <n v="0"/>
    <n v="0"/>
    <n v="0"/>
    <n v="0"/>
    <n v="0"/>
    <n v="0"/>
    <n v="0"/>
    <n v="0"/>
    <n v="0"/>
    <n v="148243.08124925906"/>
    <n v="0"/>
    <n v="0"/>
    <n v="148243.08124925906"/>
    <n v="3020.008603195231"/>
    <n v="0"/>
    <n v="0"/>
    <n v="0"/>
    <n v="0"/>
    <n v="18545.006476133258"/>
    <n v="0"/>
    <n v="0"/>
    <n v="21565.015079328488"/>
    <n v="169808.09632858756"/>
    <n v="0"/>
    <n v="0"/>
    <n v="0"/>
    <n v="0"/>
    <n v="366321.43697143061"/>
    <n v="508172.13580786437"/>
    <n v="1044301.6691078825"/>
    <n v="0"/>
    <n v="0"/>
    <n v="0"/>
    <n v="0"/>
    <n v="0"/>
    <n v="0"/>
    <n v="0"/>
    <n v="1044301.6691078825"/>
    <n v="1.0720000000000001"/>
    <n v="1.04"/>
    <n v="1.0720000000000001"/>
    <n v="1.04"/>
    <n v="1.1120000000000001"/>
    <n v="1.095"/>
    <n v="1.1120000000000001"/>
    <n v="1.1120000000000001"/>
  </r>
  <r>
    <x v="2"/>
    <x v="4"/>
    <x v="10"/>
    <x v="171"/>
    <x v="255"/>
    <s v="Hot Water"/>
    <n v="244"/>
    <n v="8"/>
    <n v="29295.694079999997"/>
    <n v="34628.479999999996"/>
    <n v="-5332.7859199999984"/>
    <n v="0"/>
    <n v="0"/>
    <n v="0"/>
    <n v="0"/>
    <n v="0"/>
    <n v="0"/>
    <n v="0"/>
    <n v="0"/>
    <n v="0"/>
    <n v="0"/>
    <n v="0"/>
    <n v="0"/>
    <n v="0"/>
    <n v="0"/>
    <n v="2781.6000000000004"/>
    <n v="22252.800000000003"/>
    <n v="2353.2336000000005"/>
    <n v="18825.868800000004"/>
    <n v="0"/>
    <n v="0"/>
    <n v="0"/>
    <n v="0"/>
    <n v="0"/>
    <n v="0"/>
    <n v="0"/>
    <n v="0"/>
    <n v="0"/>
    <n v="1323177.8400000003"/>
    <n v="1323177.8400000003"/>
    <n v="10585422.720000003"/>
    <n v="0"/>
    <n v="0"/>
    <n v="0"/>
    <n v="0"/>
    <n v="0"/>
    <n v="0"/>
    <n v="0"/>
    <n v="0"/>
    <n v="0"/>
    <n v="0"/>
    <n v="0"/>
    <n v="0"/>
    <n v="0"/>
    <n v="0"/>
    <n v="0"/>
    <n v="0"/>
    <n v="0"/>
    <n v="0"/>
    <n v="0"/>
    <n v="0"/>
    <n v="0"/>
    <n v="0"/>
    <n v="0"/>
    <n v="0"/>
    <n v="125210.17390775007"/>
    <n v="0"/>
    <n v="0"/>
    <n v="125210.17390775007"/>
    <n v="2590.8717942105795"/>
    <n v="0"/>
    <n v="0"/>
    <n v="0"/>
    <n v="0"/>
    <n v="18986.272950754374"/>
    <n v="0"/>
    <n v="0"/>
    <n v="21577.144744964953"/>
    <n v="146787.31865271501"/>
    <n v="0"/>
    <n v="0"/>
    <n v="0"/>
    <n v="0"/>
    <n v="47202.500602236498"/>
    <n v="65480.731198325331"/>
    <n v="259470.55045327684"/>
    <n v="0"/>
    <n v="0"/>
    <n v="0"/>
    <n v="0"/>
    <n v="0"/>
    <n v="0"/>
    <n v="0"/>
    <n v="259470.55045327684"/>
    <n v="1.0720000000000001"/>
    <n v="1.04"/>
    <n v="1.0720000000000001"/>
    <n v="1.04"/>
    <n v="1.1120000000000001"/>
    <n v="1.095"/>
    <n v="1.1120000000000001"/>
    <n v="1.1120000000000001"/>
  </r>
  <r>
    <x v="2"/>
    <x v="4"/>
    <x v="10"/>
    <x v="172"/>
    <x v="256"/>
    <s v="Hot Water"/>
    <n v="21"/>
    <n v="15"/>
    <n v="1011.06306"/>
    <n v="1195.1099999999999"/>
    <n v="-184.04693999999995"/>
    <n v="0"/>
    <n v="0"/>
    <n v="0"/>
    <n v="0"/>
    <n v="0"/>
    <n v="0"/>
    <n v="0"/>
    <n v="0"/>
    <n v="0"/>
    <n v="0"/>
    <n v="0"/>
    <n v="0"/>
    <n v="0"/>
    <n v="0"/>
    <n v="4.4099999999999993"/>
    <n v="66.149999999999991"/>
    <n v="3.7308599999999998"/>
    <n v="55.962899999999998"/>
    <n v="0"/>
    <n v="0"/>
    <n v="0"/>
    <n v="0"/>
    <n v="0"/>
    <n v="0"/>
    <n v="0"/>
    <n v="0"/>
    <n v="0"/>
    <n v="0"/>
    <n v="0"/>
    <n v="0"/>
    <n v="0"/>
    <n v="0"/>
    <n v="0"/>
    <n v="0"/>
    <n v="0"/>
    <n v="0"/>
    <n v="0"/>
    <n v="0"/>
    <n v="0"/>
    <n v="0"/>
    <n v="0"/>
    <n v="0"/>
    <n v="0"/>
    <n v="0"/>
    <n v="0"/>
    <n v="0"/>
    <n v="0"/>
    <n v="0"/>
    <n v="0"/>
    <n v="0"/>
    <n v="0"/>
    <n v="0"/>
    <n v="0"/>
    <n v="0"/>
    <n v="388.61806695863919"/>
    <n v="0"/>
    <n v="0"/>
    <n v="388.61806695863919"/>
    <n v="7.585318065853448"/>
    <n v="0"/>
    <n v="0"/>
    <n v="0"/>
    <n v="0"/>
    <n v="34.553690481905861"/>
    <n v="0"/>
    <n v="0"/>
    <n v="42.13900854775931"/>
    <n v="430.75707550639851"/>
    <n v="0"/>
    <n v="0"/>
    <n v="0"/>
    <n v="0"/>
    <n v="0"/>
    <n v="0"/>
    <n v="430.75707550639851"/>
    <n v="0"/>
    <n v="0"/>
    <n v="0"/>
    <n v="0"/>
    <n v="0"/>
    <n v="0"/>
    <n v="0"/>
    <n v="430.75707550639851"/>
    <n v="1.0720000000000001"/>
    <n v="1.04"/>
    <n v="1.0720000000000001"/>
    <n v="1.04"/>
    <n v="1.1120000000000001"/>
    <n v="1.095"/>
    <n v="1.1120000000000001"/>
    <n v="1.1120000000000001"/>
  </r>
  <r>
    <x v="2"/>
    <x v="4"/>
    <x v="10"/>
    <x v="173"/>
    <x v="257"/>
    <s v="Hot Water"/>
    <n v="4"/>
    <n v="15"/>
    <n v="18.950400000000002"/>
    <n v="22.4"/>
    <n v="-3.4495999999999967"/>
    <n v="0"/>
    <n v="0"/>
    <n v="0"/>
    <n v="0"/>
    <n v="0"/>
    <n v="0"/>
    <n v="0"/>
    <n v="0"/>
    <n v="0"/>
    <n v="0"/>
    <n v="0"/>
    <n v="0"/>
    <n v="0"/>
    <n v="0"/>
    <n v="1.44"/>
    <n v="21.599999999999998"/>
    <n v="1.21824"/>
    <n v="18.273599999999998"/>
    <n v="0"/>
    <n v="0"/>
    <n v="0"/>
    <n v="0"/>
    <n v="0"/>
    <n v="0"/>
    <n v="0"/>
    <n v="0"/>
    <n v="0"/>
    <n v="0"/>
    <n v="0"/>
    <n v="0"/>
    <n v="0"/>
    <n v="0"/>
    <n v="0"/>
    <n v="0"/>
    <n v="0"/>
    <n v="0"/>
    <n v="0"/>
    <n v="0"/>
    <n v="0"/>
    <n v="0"/>
    <n v="0"/>
    <n v="0"/>
    <n v="0"/>
    <n v="0"/>
    <n v="0"/>
    <n v="0"/>
    <n v="0"/>
    <n v="0"/>
    <n v="0"/>
    <n v="0"/>
    <n v="0"/>
    <n v="0"/>
    <n v="0"/>
    <n v="0"/>
    <n v="126.89569533343324"/>
    <n v="0"/>
    <n v="0"/>
    <n v="126.89569533343324"/>
    <n v="2.4768385521154119"/>
    <n v="0"/>
    <n v="0"/>
    <n v="0"/>
    <n v="0"/>
    <n v="11.282837708377425"/>
    <n v="0"/>
    <n v="0"/>
    <n v="13.759676260492837"/>
    <n v="140.65537159392608"/>
    <n v="0"/>
    <n v="0"/>
    <n v="0"/>
    <n v="0"/>
    <n v="0"/>
    <n v="0"/>
    <n v="140.65537159392608"/>
    <n v="0"/>
    <n v="0"/>
    <n v="0"/>
    <n v="0"/>
    <n v="0"/>
    <n v="0"/>
    <n v="0"/>
    <n v="140.65537159392608"/>
    <n v="1.0720000000000001"/>
    <n v="1.04"/>
    <n v="1.0720000000000001"/>
    <n v="1.04"/>
    <n v="1.1120000000000001"/>
    <n v="1.095"/>
    <n v="1.1120000000000001"/>
    <n v="1.1120000000000001"/>
  </r>
  <r>
    <x v="2"/>
    <x v="4"/>
    <x v="10"/>
    <x v="174"/>
    <x v="258"/>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75"/>
    <x v="259"/>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5"/>
    <x v="260"/>
    <s v="HVAC"/>
    <s v=""/>
    <n v="15"/>
    <s v=""/>
    <s v=""/>
    <s v=""/>
    <s v=""/>
    <s v=""/>
    <s v=""/>
    <s v=""/>
    <s v=""/>
    <s v=""/>
    <s v=""/>
    <s v=""/>
    <s v=""/>
    <s v=""/>
    <s v=""/>
    <s v=""/>
    <s v=""/>
    <s v=""/>
    <n v="0"/>
    <n v="0"/>
    <n v="0"/>
    <n v="0"/>
    <n v="0"/>
    <n v="0"/>
    <n v="0"/>
    <n v="0"/>
    <n v="0"/>
    <n v="0"/>
    <n v="0"/>
    <n v="0"/>
    <n v="0"/>
    <n v="0"/>
    <n v="0"/>
    <n v="0"/>
    <s v=""/>
    <s v=""/>
    <s v=""/>
    <s v=""/>
    <n v="0"/>
    <s v=""/>
    <s v=""/>
    <s v=""/>
    <s v=""/>
    <s v=""/>
    <s v=""/>
    <n v="0"/>
    <n v="0"/>
    <s v=""/>
    <s v=""/>
    <s v=""/>
    <s v=""/>
    <s v=""/>
    <n v="0"/>
    <n v="0"/>
    <s v=""/>
    <s v=""/>
    <s v=""/>
    <s v=""/>
    <s v=""/>
    <s v=""/>
    <s v=""/>
    <n v="0"/>
    <n v="0"/>
    <s v=""/>
    <s v=""/>
    <s v=""/>
    <s v=""/>
    <s v=""/>
    <s v=""/>
    <s v=""/>
    <n v="0"/>
    <n v="0"/>
    <s v=""/>
    <n v="0"/>
    <s v=""/>
    <n v="0"/>
    <n v="0"/>
    <n v="0"/>
    <n v="0"/>
    <s v=""/>
    <s v=""/>
    <s v=""/>
    <s v=""/>
    <n v="0"/>
    <n v="0"/>
    <n v="0"/>
    <n v="0"/>
    <n v="1.0720000000000001"/>
    <n v="1.04"/>
    <n v="1.0720000000000001"/>
    <n v="1.04"/>
    <n v="1.1120000000000001"/>
    <n v="1.095"/>
    <n v="1.1120000000000001"/>
    <n v="1.1120000000000001"/>
  </r>
  <r>
    <x v="2"/>
    <x v="4"/>
    <x v="10"/>
    <x v="134"/>
    <x v="261"/>
    <s v="HVAC"/>
    <n v="1"/>
    <n v="10"/>
    <n v="12094.04"/>
    <n v="9870"/>
    <n v="2224.0400000000009"/>
    <n v="0"/>
    <n v="0"/>
    <n v="0"/>
    <n v="0"/>
    <n v="0"/>
    <n v="0"/>
    <n v="0"/>
    <n v="0"/>
    <n v="0"/>
    <n v="0"/>
    <n v="0"/>
    <n v="0"/>
    <n v="0"/>
    <n v="0"/>
    <n v="140.84320000000002"/>
    <n v="1408.4320000000002"/>
    <n v="129.43490080000004"/>
    <n v="1294.3490080000004"/>
    <n v="0"/>
    <n v="0"/>
    <n v="0"/>
    <n v="0"/>
    <n v="0"/>
    <n v="0"/>
    <n v="0"/>
    <n v="0"/>
    <n v="0"/>
    <n v="0"/>
    <n v="0"/>
    <n v="0"/>
    <n v="0"/>
    <n v="0"/>
    <n v="0"/>
    <n v="0"/>
    <n v="0"/>
    <n v="0"/>
    <n v="0"/>
    <n v="0"/>
    <n v="0"/>
    <n v="0"/>
    <n v="0"/>
    <n v="0"/>
    <n v="0"/>
    <n v="0"/>
    <n v="0"/>
    <n v="0"/>
    <n v="0"/>
    <n v="0"/>
    <n v="0"/>
    <n v="0"/>
    <n v="0"/>
    <n v="0"/>
    <n v="0"/>
    <n v="0"/>
    <n v="0"/>
    <n v="9834.6380193692767"/>
    <n v="0"/>
    <n v="9834.6380193692767"/>
    <n v="177.35692189440059"/>
    <n v="0"/>
    <n v="0"/>
    <n v="0"/>
    <n v="0"/>
    <n v="0"/>
    <n v="995.58512183911728"/>
    <n v="0"/>
    <n v="1172.9420437335179"/>
    <n v="11007.580063102794"/>
    <n v="0"/>
    <n v="0"/>
    <n v="0"/>
    <n v="0"/>
    <n v="0"/>
    <n v="0"/>
    <n v="11007.580063102794"/>
    <n v="0"/>
    <n v="0"/>
    <n v="0"/>
    <n v="0"/>
    <n v="0"/>
    <n v="0"/>
    <n v="0"/>
    <n v="11007.580063102794"/>
    <n v="1.0720000000000001"/>
    <n v="1.04"/>
    <n v="1.0720000000000001"/>
    <n v="1.04"/>
    <n v="1.1120000000000001"/>
    <n v="1.095"/>
    <n v="1.1120000000000001"/>
    <n v="1.1120000000000001"/>
  </r>
  <r>
    <x v="2"/>
    <x v="4"/>
    <x v="10"/>
    <x v="135"/>
    <x v="261"/>
    <s v="HVAC"/>
    <n v="1"/>
    <n v="15"/>
    <n v="6861.8666666666668"/>
    <n v="5600"/>
    <n v="1261.8666666666668"/>
    <n v="0"/>
    <n v="0"/>
    <n v="0"/>
    <n v="0"/>
    <n v="0"/>
    <n v="0"/>
    <n v="0"/>
    <n v="0"/>
    <n v="0"/>
    <n v="0"/>
    <n v="0"/>
    <n v="0"/>
    <n v="0"/>
    <n v="0"/>
    <n v="102.36060000000001"/>
    <n v="1535.4090000000001"/>
    <n v="94.069391400000015"/>
    <n v="1411.0408710000002"/>
    <n v="0"/>
    <n v="0"/>
    <n v="0"/>
    <n v="0"/>
    <n v="0"/>
    <n v="0"/>
    <n v="0"/>
    <n v="0"/>
    <n v="0"/>
    <n v="0"/>
    <n v="0"/>
    <n v="0"/>
    <n v="0"/>
    <n v="0"/>
    <n v="0"/>
    <n v="0"/>
    <n v="0"/>
    <n v="0"/>
    <n v="0"/>
    <n v="0"/>
    <n v="0"/>
    <n v="0"/>
    <n v="0"/>
    <n v="0"/>
    <n v="0"/>
    <n v="0"/>
    <n v="0"/>
    <n v="0"/>
    <n v="0"/>
    <n v="0"/>
    <n v="0"/>
    <n v="0"/>
    <n v="0"/>
    <n v="0"/>
    <n v="0"/>
    <n v="0"/>
    <n v="0"/>
    <n v="11004.797613759732"/>
    <n v="0"/>
    <n v="11004.797613759732"/>
    <n v="191.2551674493975"/>
    <n v="0"/>
    <n v="0"/>
    <n v="0"/>
    <n v="0"/>
    <n v="0"/>
    <n v="775.58211060576969"/>
    <n v="0"/>
    <n v="966.83727805516719"/>
    <n v="11971.6348918149"/>
    <n v="0"/>
    <n v="0"/>
    <n v="0"/>
    <n v="0"/>
    <n v="0"/>
    <n v="0"/>
    <n v="11971.6348918149"/>
    <n v="0"/>
    <n v="0"/>
    <n v="0"/>
    <n v="0"/>
    <n v="0"/>
    <n v="0"/>
    <n v="0"/>
    <n v="11971.6348918149"/>
    <n v="1.0720000000000001"/>
    <n v="1.04"/>
    <n v="1.0720000000000001"/>
    <n v="1.04"/>
    <n v="1.1120000000000001"/>
    <n v="1.095"/>
    <n v="1.1120000000000001"/>
    <n v="1.1120000000000001"/>
  </r>
  <r>
    <x v="2"/>
    <x v="4"/>
    <x v="11"/>
    <x v="184"/>
    <x v="262"/>
    <s v="Envelope"/>
    <n v="38500"/>
    <n v="19"/>
    <n v="100129.645"/>
    <n v="81705"/>
    <n v="18424.645000000004"/>
    <n v="0"/>
    <n v="0"/>
    <n v="0"/>
    <n v="0"/>
    <n v="0"/>
    <n v="0"/>
    <n v="0"/>
    <n v="0"/>
    <n v="0"/>
    <n v="0"/>
    <n v="0"/>
    <n v="0"/>
    <n v="0"/>
    <n v="0"/>
    <n v="488.74459956474419"/>
    <n v="9286.1473917301391"/>
    <n v="449.15628699999991"/>
    <n v="8533.9694529999979"/>
    <n v="0"/>
    <n v="0"/>
    <n v="0"/>
    <n v="0"/>
    <n v="0"/>
    <n v="0"/>
    <n v="0"/>
    <n v="0"/>
    <n v="0"/>
    <n v="0"/>
    <n v="0"/>
    <n v="0"/>
    <n v="0"/>
    <n v="0"/>
    <n v="0"/>
    <n v="0"/>
    <n v="0"/>
    <n v="0"/>
    <n v="0"/>
    <n v="0"/>
    <n v="0"/>
    <n v="0"/>
    <n v="0"/>
    <n v="0"/>
    <n v="0"/>
    <n v="0"/>
    <n v="0"/>
    <n v="0"/>
    <n v="0"/>
    <n v="0"/>
    <n v="0"/>
    <n v="0"/>
    <n v="0"/>
    <n v="0"/>
    <n v="73557.95507290808"/>
    <n v="0"/>
    <n v="0"/>
    <n v="0"/>
    <n v="0"/>
    <n v="73557.95507290808"/>
    <n v="1146.723446280902"/>
    <n v="0"/>
    <n v="0"/>
    <n v="3620.730975365354"/>
    <n v="0"/>
    <n v="0"/>
    <n v="0"/>
    <n v="0"/>
    <n v="4767.4544216462564"/>
    <n v="78325.409494554333"/>
    <n v="0"/>
    <n v="0"/>
    <n v="0"/>
    <n v="0"/>
    <n v="0"/>
    <n v="0"/>
    <n v="78325.409494554333"/>
    <n v="0"/>
    <n v="0"/>
    <n v="0"/>
    <n v="0"/>
    <n v="39055.421907637858"/>
    <n v="0"/>
    <n v="39055.421907637858"/>
    <n v="117380.83140219218"/>
    <n v="1.0720000000000001"/>
    <n v="1.04"/>
    <n v="1.0720000000000001"/>
    <n v="1.04"/>
    <n v="1.1120000000000001"/>
    <n v="1.095"/>
    <n v="1.1120000000000001"/>
    <n v="1.1120000000000001"/>
  </r>
  <r>
    <x v="2"/>
    <x v="4"/>
    <x v="11"/>
    <x v="105"/>
    <x v="26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85"/>
    <x v="264"/>
    <s v="HVAC"/>
    <n v="1716"/>
    <n v="20"/>
    <n v="111842.3"/>
    <n v="91275"/>
    <n v="20567.300000000003"/>
    <n v="0"/>
    <n v="0"/>
    <n v="0"/>
    <n v="0"/>
    <n v="0"/>
    <n v="0"/>
    <n v="0"/>
    <n v="0"/>
    <n v="0"/>
    <n v="0"/>
    <n v="0"/>
    <n v="0"/>
    <n v="0"/>
    <n v="0"/>
    <n v="824.64939934711651"/>
    <n v="16492.987986942331"/>
    <n v="757.85279800000012"/>
    <n v="15157.055960000002"/>
    <n v="0"/>
    <n v="0"/>
    <n v="0"/>
    <n v="0"/>
    <n v="0"/>
    <n v="0"/>
    <n v="0"/>
    <n v="0"/>
    <n v="0"/>
    <n v="0"/>
    <n v="0"/>
    <n v="0"/>
    <n v="0"/>
    <n v="0"/>
    <n v="0"/>
    <n v="0"/>
    <n v="0"/>
    <n v="0"/>
    <n v="0"/>
    <n v="0"/>
    <n v="0"/>
    <n v="0"/>
    <n v="0"/>
    <n v="0"/>
    <n v="0"/>
    <n v="0"/>
    <n v="0"/>
    <n v="0"/>
    <n v="0"/>
    <n v="0"/>
    <n v="0"/>
    <n v="0"/>
    <n v="0"/>
    <n v="0"/>
    <n v="131349.77951923979"/>
    <n v="0"/>
    <n v="0"/>
    <n v="0"/>
    <n v="0"/>
    <n v="131349.77951923979"/>
    <n v="2032.2761090103536"/>
    <n v="0"/>
    <n v="0"/>
    <n v="6168.9662786556783"/>
    <n v="0"/>
    <n v="0"/>
    <n v="0"/>
    <n v="0"/>
    <n v="8201.2423876660323"/>
    <n v="139551.02190690581"/>
    <n v="0"/>
    <n v="0"/>
    <n v="0"/>
    <n v="0"/>
    <n v="0"/>
    <n v="0"/>
    <n v="139551.02190690581"/>
    <n v="0"/>
    <n v="0"/>
    <n v="0"/>
    <n v="0"/>
    <n v="33229.396698879478"/>
    <n v="0"/>
    <n v="33229.396698879478"/>
    <n v="172780.41860578529"/>
    <n v="1.0720000000000001"/>
    <n v="1.04"/>
    <n v="1.0720000000000001"/>
    <n v="1.04"/>
    <n v="1.1120000000000001"/>
    <n v="1.095"/>
    <n v="1.1120000000000001"/>
    <n v="1.1120000000000001"/>
  </r>
  <r>
    <x v="2"/>
    <x v="4"/>
    <x v="11"/>
    <x v="186"/>
    <x v="265"/>
    <s v="Hot Water"/>
    <n v="8487"/>
    <n v="18"/>
    <n v="80959.810450000004"/>
    <n v="66072.12999999999"/>
    <n v="14887.680450000014"/>
    <n v="0"/>
    <n v="0"/>
    <n v="0"/>
    <n v="0"/>
    <n v="0"/>
    <n v="0"/>
    <n v="0"/>
    <n v="0"/>
    <n v="0"/>
    <n v="0"/>
    <n v="0"/>
    <n v="0"/>
    <n v="0"/>
    <n v="0"/>
    <n v="2239.7496409140367"/>
    <n v="40315.493536452661"/>
    <n v="2058.3299199999997"/>
    <n v="37049.938559999995"/>
    <n v="0"/>
    <n v="0"/>
    <n v="0"/>
    <n v="0"/>
    <n v="0"/>
    <n v="0"/>
    <n v="0"/>
    <n v="0"/>
    <n v="0"/>
    <n v="0"/>
    <n v="0"/>
    <n v="0"/>
    <n v="0"/>
    <n v="0"/>
    <n v="0"/>
    <n v="0"/>
    <n v="0"/>
    <n v="0"/>
    <n v="0"/>
    <n v="0"/>
    <n v="0"/>
    <n v="0"/>
    <n v="0"/>
    <n v="0"/>
    <n v="0"/>
    <n v="0"/>
    <n v="0"/>
    <n v="0"/>
    <n v="0"/>
    <n v="0"/>
    <n v="0"/>
    <n v="0"/>
    <n v="0"/>
    <n v="302244.23421092163"/>
    <n v="0"/>
    <n v="0"/>
    <n v="0"/>
    <n v="0"/>
    <n v="0"/>
    <n v="302244.23421092163"/>
    <n v="4989.2532450602766"/>
    <n v="0"/>
    <n v="17673.769922429576"/>
    <n v="0"/>
    <n v="0"/>
    <n v="0"/>
    <n v="0"/>
    <n v="0"/>
    <n v="22663.023167489853"/>
    <n v="324907.25737841148"/>
    <n v="0"/>
    <n v="0"/>
    <n v="0"/>
    <n v="0"/>
    <n v="0"/>
    <n v="0"/>
    <n v="324907.25737841148"/>
    <n v="0"/>
    <n v="0"/>
    <n v="0"/>
    <n v="0"/>
    <n v="0"/>
    <n v="0"/>
    <n v="0"/>
    <n v="324907.25737841148"/>
    <n v="1.0720000000000001"/>
    <n v="1.04"/>
    <n v="1.0720000000000001"/>
    <n v="1.04"/>
    <n v="1.1120000000000001"/>
    <n v="1.095"/>
    <n v="1.1120000000000001"/>
    <n v="1.1120000000000001"/>
  </r>
  <r>
    <x v="2"/>
    <x v="4"/>
    <x v="11"/>
    <x v="34"/>
    <x v="266"/>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6"/>
    <x v="267"/>
    <s v="HVAC"/>
    <n v="1"/>
    <n v="20"/>
    <n v="80"/>
    <n v="80"/>
    <n v="0"/>
    <n v="0"/>
    <n v="0"/>
    <n v="0"/>
    <n v="0"/>
    <n v="0"/>
    <n v="0"/>
    <n v="0"/>
    <n v="0"/>
    <n v="0"/>
    <n v="0"/>
    <n v="0"/>
    <n v="0"/>
    <n v="0"/>
    <n v="0"/>
    <n v="1.7005539999999999"/>
    <n v="34.01108"/>
    <n v="1.7005539999999999"/>
    <n v="34.01108"/>
    <n v="0"/>
    <n v="0"/>
    <n v="0"/>
    <n v="0"/>
    <n v="0"/>
    <n v="0"/>
    <n v="0"/>
    <n v="0"/>
    <n v="0"/>
    <n v="0"/>
    <n v="0"/>
    <n v="0"/>
    <n v="0"/>
    <n v="0"/>
    <n v="0"/>
    <n v="0"/>
    <n v="0"/>
    <n v="0"/>
    <n v="0"/>
    <n v="0"/>
    <n v="0"/>
    <n v="0"/>
    <n v="0"/>
    <n v="0"/>
    <n v="0"/>
    <n v="0"/>
    <n v="0"/>
    <n v="0"/>
    <n v="0"/>
    <n v="0"/>
    <n v="0"/>
    <n v="0"/>
    <n v="0"/>
    <n v="0"/>
    <n v="294.73717527999582"/>
    <n v="0"/>
    <n v="0"/>
    <n v="0"/>
    <n v="0"/>
    <n v="294.73717527999582"/>
    <n v="4.5602460997735763"/>
    <n v="0"/>
    <n v="0"/>
    <n v="13.842609420613403"/>
    <n v="0"/>
    <n v="0"/>
    <n v="0"/>
    <n v="0"/>
    <n v="18.402855520386979"/>
    <n v="313.14003080038282"/>
    <n v="0"/>
    <n v="0"/>
    <n v="0"/>
    <n v="0"/>
    <n v="0"/>
    <n v="0"/>
    <n v="313.14003080038282"/>
    <n v="4.403823977790795"/>
    <n v="0"/>
    <n v="0"/>
    <n v="0"/>
    <n v="0"/>
    <n v="0"/>
    <n v="4.403823977790795"/>
    <n v="317.54385477817362"/>
    <n v="1.0720000000000001"/>
    <n v="1.04"/>
    <n v="1.0720000000000001"/>
    <n v="1.04"/>
    <n v="1.1120000000000001"/>
    <n v="1.095"/>
    <n v="1.1120000000000001"/>
    <n v="1.1120000000000001"/>
  </r>
  <r>
    <x v="2"/>
    <x v="4"/>
    <x v="11"/>
    <x v="187"/>
    <x v="268"/>
    <s v="Hot Water"/>
    <n v="3"/>
    <n v="15"/>
    <n v="45"/>
    <n v="45"/>
    <n v="0"/>
    <n v="0"/>
    <n v="0"/>
    <n v="0"/>
    <n v="0"/>
    <n v="0"/>
    <n v="0"/>
    <n v="0"/>
    <n v="0"/>
    <n v="0"/>
    <n v="0"/>
    <n v="0"/>
    <n v="0"/>
    <n v="0"/>
    <n v="0"/>
    <n v="2.9480400000000002"/>
    <n v="44.220600000000005"/>
    <n v="2.9480400000000002"/>
    <n v="44.220600000000005"/>
    <n v="0"/>
    <n v="0"/>
    <n v="0"/>
    <n v="0"/>
    <n v="0"/>
    <n v="0"/>
    <n v="0"/>
    <n v="0"/>
    <n v="0"/>
    <n v="0"/>
    <n v="0"/>
    <n v="0"/>
    <n v="0"/>
    <n v="0"/>
    <n v="0"/>
    <n v="0"/>
    <n v="0"/>
    <n v="0"/>
    <n v="0"/>
    <n v="0"/>
    <n v="0"/>
    <n v="0"/>
    <n v="0"/>
    <n v="0"/>
    <n v="0"/>
    <n v="0"/>
    <n v="0"/>
    <n v="0"/>
    <n v="0"/>
    <n v="0"/>
    <n v="0"/>
    <n v="0"/>
    <n v="0"/>
    <n v="354.34522265681113"/>
    <n v="0"/>
    <n v="0"/>
    <n v="0"/>
    <n v="0"/>
    <n v="0"/>
    <n v="354.34522265681113"/>
    <n v="5.9937443567591933"/>
    <n v="0"/>
    <n v="24.347050552026666"/>
    <n v="0"/>
    <n v="0"/>
    <n v="0"/>
    <n v="0"/>
    <n v="0"/>
    <n v="30.34079490878586"/>
    <n v="384.68601756559701"/>
    <n v="0"/>
    <n v="0"/>
    <n v="0"/>
    <n v="0"/>
    <n v="0"/>
    <n v="0"/>
    <n v="384.68601756559701"/>
    <n v="0"/>
    <n v="0"/>
    <n v="0"/>
    <n v="0"/>
    <n v="0"/>
    <n v="0"/>
    <n v="0"/>
    <n v="384.68601756559701"/>
    <n v="1.0720000000000001"/>
    <n v="1.04"/>
    <n v="1.0720000000000001"/>
    <n v="1.04"/>
    <n v="1.1120000000000001"/>
    <n v="1.095"/>
    <n v="1.1120000000000001"/>
    <n v="1.1120000000000001"/>
  </r>
  <r>
    <x v="2"/>
    <x v="4"/>
    <x v="11"/>
    <x v="188"/>
    <x v="269"/>
    <s v="HVAC"/>
    <n v="16718"/>
    <n v="15"/>
    <n v="135785.91"/>
    <n v="101841.61000000002"/>
    <n v="33944.299999999988"/>
    <n v="0"/>
    <n v="0"/>
    <n v="0"/>
    <n v="0"/>
    <n v="0"/>
    <n v="0"/>
    <n v="0"/>
    <n v="0"/>
    <n v="0"/>
    <n v="0"/>
    <n v="0"/>
    <n v="0"/>
    <n v="0"/>
    <n v="0"/>
    <n v="2305.7465599999996"/>
    <n v="34586.198399999994"/>
    <n v="2305.7465599999996"/>
    <n v="34586.198399999994"/>
    <n v="0"/>
    <n v="0"/>
    <n v="0"/>
    <n v="0"/>
    <n v="0"/>
    <n v="0"/>
    <n v="0"/>
    <n v="0"/>
    <n v="0"/>
    <n v="0"/>
    <n v="0"/>
    <n v="0"/>
    <n v="0"/>
    <n v="0"/>
    <n v="0"/>
    <n v="0"/>
    <n v="0"/>
    <n v="0"/>
    <n v="0"/>
    <n v="0"/>
    <n v="0"/>
    <n v="0"/>
    <n v="0"/>
    <n v="0"/>
    <n v="0"/>
    <n v="0"/>
    <n v="0"/>
    <n v="0"/>
    <n v="0"/>
    <n v="0"/>
    <n v="0"/>
    <n v="0"/>
    <n v="0"/>
    <n v="0"/>
    <n v="291655.80429611023"/>
    <n v="0"/>
    <n v="0"/>
    <n v="0"/>
    <n v="0"/>
    <n v="291655.80429611023"/>
    <n v="4687.8792119906511"/>
    <n v="0"/>
    <n v="0"/>
    <n v="17851.536527576322"/>
    <n v="0"/>
    <n v="0"/>
    <n v="0"/>
    <n v="0"/>
    <n v="22539.415739566972"/>
    <n v="314195.22003567719"/>
    <n v="0"/>
    <n v="0"/>
    <n v="0"/>
    <n v="0"/>
    <n v="0"/>
    <n v="0"/>
    <n v="314195.22003567719"/>
    <n v="0"/>
    <n v="0"/>
    <n v="0"/>
    <n v="0"/>
    <n v="451870.97269575589"/>
    <n v="0"/>
    <n v="451870.97269575589"/>
    <n v="766066.19273143308"/>
    <n v="1.0720000000000001"/>
    <n v="1.04"/>
    <n v="1.0720000000000001"/>
    <n v="1.04"/>
    <n v="1.1120000000000001"/>
    <n v="1.095"/>
    <n v="1.1120000000000001"/>
    <n v="1.1120000000000001"/>
  </r>
  <r>
    <x v="2"/>
    <x v="4"/>
    <x v="11"/>
    <x v="20"/>
    <x v="270"/>
    <s v="Hot Water"/>
    <n v="722"/>
    <n v="7"/>
    <n v="2191.7334999999994"/>
    <n v="2578.5099999999993"/>
    <n v="-386.77649999999994"/>
    <n v="0"/>
    <n v="0"/>
    <n v="0"/>
    <n v="0"/>
    <n v="0"/>
    <n v="0"/>
    <n v="0"/>
    <n v="0"/>
    <n v="0"/>
    <n v="0"/>
    <n v="0"/>
    <n v="0"/>
    <n v="0"/>
    <n v="0"/>
    <n v="620.91999999999996"/>
    <n v="4346.4399999999996"/>
    <n v="527.78199999999993"/>
    <n v="3694.4739999999993"/>
    <n v="0"/>
    <n v="0"/>
    <n v="0"/>
    <n v="0"/>
    <n v="0"/>
    <n v="0"/>
    <n v="0"/>
    <n v="0"/>
    <n v="203748.39999999997"/>
    <n v="0"/>
    <n v="0"/>
    <n v="1426238.7999999998"/>
    <n v="0"/>
    <n v="0"/>
    <n v="0"/>
    <n v="0"/>
    <n v="0"/>
    <n v="0"/>
    <n v="0"/>
    <n v="0"/>
    <n v="0"/>
    <n v="0"/>
    <n v="0"/>
    <n v="0"/>
    <n v="0"/>
    <n v="0"/>
    <n v="0"/>
    <n v="0"/>
    <n v="0"/>
    <n v="0"/>
    <n v="0"/>
    <n v="0"/>
    <n v="0"/>
    <n v="28510.878872146932"/>
    <n v="0"/>
    <n v="0"/>
    <n v="0"/>
    <n v="0"/>
    <n v="0"/>
    <n v="28510.878872146932"/>
    <n v="509.55566010097243"/>
    <n v="0"/>
    <n v="3884.1399311582504"/>
    <n v="0"/>
    <n v="0"/>
    <n v="0"/>
    <n v="0"/>
    <n v="0"/>
    <n v="4393.695591259223"/>
    <n v="32904.574463406156"/>
    <n v="0"/>
    <n v="0"/>
    <n v="0"/>
    <n v="15215.683134214023"/>
    <n v="0"/>
    <n v="0"/>
    <n v="48120.257597620177"/>
    <n v="2453.7224405434049"/>
    <n v="0"/>
    <n v="0"/>
    <n v="0"/>
    <n v="0"/>
    <n v="0"/>
    <n v="2453.7224405434049"/>
    <n v="50573.98003816358"/>
    <n v="1.0720000000000001"/>
    <n v="1.04"/>
    <n v="1.0720000000000001"/>
    <n v="1.04"/>
    <n v="1.1120000000000001"/>
    <n v="1.095"/>
    <n v="1.1120000000000001"/>
    <n v="1.1120000000000001"/>
  </r>
  <r>
    <x v="2"/>
    <x v="4"/>
    <x v="11"/>
    <x v="21"/>
    <x v="271"/>
    <s v="Hot Water"/>
    <n v="486"/>
    <n v="7"/>
    <n v="6546.0625"/>
    <n v="7701.25"/>
    <n v="-1155.1875"/>
    <n v="0"/>
    <n v="0"/>
    <n v="0"/>
    <n v="0"/>
    <n v="0"/>
    <n v="0"/>
    <n v="0"/>
    <n v="0"/>
    <n v="0"/>
    <n v="0"/>
    <n v="0"/>
    <n v="0"/>
    <n v="0"/>
    <n v="0"/>
    <n v="554.04000000000008"/>
    <n v="3878.2800000000007"/>
    <n v="470.93400000000003"/>
    <n v="3296.538"/>
    <n v="0"/>
    <n v="0"/>
    <n v="0"/>
    <n v="0"/>
    <n v="0"/>
    <n v="0"/>
    <n v="0"/>
    <n v="0"/>
    <n v="894361.49999999988"/>
    <n v="0"/>
    <n v="0"/>
    <n v="6260530.4999999991"/>
    <n v="0"/>
    <n v="0"/>
    <n v="0"/>
    <n v="0"/>
    <n v="0"/>
    <n v="0"/>
    <n v="0"/>
    <n v="0"/>
    <n v="0"/>
    <n v="0"/>
    <n v="0"/>
    <n v="0"/>
    <n v="0"/>
    <n v="0"/>
    <n v="0"/>
    <n v="0"/>
    <n v="0"/>
    <n v="0"/>
    <n v="0"/>
    <n v="0"/>
    <n v="0"/>
    <n v="25439.939654583988"/>
    <n v="0"/>
    <n v="0"/>
    <n v="0"/>
    <n v="0"/>
    <n v="0"/>
    <n v="25439.939654583988"/>
    <n v="454.67083991873807"/>
    <n v="0"/>
    <n v="3465.7747978144002"/>
    <n v="0"/>
    <n v="0"/>
    <n v="0"/>
    <n v="0"/>
    <n v="0"/>
    <n v="3920.4456377331385"/>
    <n v="29360.385292317125"/>
    <n v="0"/>
    <n v="0"/>
    <n v="0"/>
    <n v="66789.830945618989"/>
    <n v="0"/>
    <n v="0"/>
    <n v="96150.216237936111"/>
    <n v="1651.6746621940372"/>
    <n v="0"/>
    <n v="0"/>
    <n v="0"/>
    <n v="0"/>
    <n v="0"/>
    <n v="1651.6746621940372"/>
    <n v="97801.890900130151"/>
    <n v="1.0720000000000001"/>
    <n v="1.04"/>
    <n v="1.0720000000000001"/>
    <n v="1.04"/>
    <n v="1.1120000000000001"/>
    <n v="1.095"/>
    <n v="1.1120000000000001"/>
    <n v="1.1120000000000001"/>
  </r>
  <r>
    <x v="2"/>
    <x v="4"/>
    <x v="11"/>
    <x v="25"/>
    <x v="272"/>
    <s v="HVAC"/>
    <n v="1033"/>
    <n v="10"/>
    <n v="69228.399999999994"/>
    <n v="91090"/>
    <n v="-21861.600000000006"/>
    <n v="0"/>
    <n v="0"/>
    <n v="0"/>
    <n v="0"/>
    <n v="0"/>
    <n v="0"/>
    <n v="0"/>
    <n v="0"/>
    <n v="0"/>
    <n v="0"/>
    <n v="0"/>
    <n v="0"/>
    <n v="0"/>
    <n v="0"/>
    <n v="2375.8999999999996"/>
    <n v="23758.999999999996"/>
    <n v="1805.6839999999997"/>
    <n v="18056.839999999997"/>
    <n v="0"/>
    <n v="0"/>
    <n v="0"/>
    <n v="0"/>
    <n v="0"/>
    <n v="0"/>
    <n v="0"/>
    <n v="0"/>
    <n v="0"/>
    <n v="0"/>
    <n v="0"/>
    <n v="0"/>
    <n v="0"/>
    <n v="0"/>
    <n v="0"/>
    <n v="0"/>
    <n v="0"/>
    <n v="0"/>
    <n v="0"/>
    <n v="0"/>
    <n v="0"/>
    <n v="0"/>
    <n v="0"/>
    <n v="0"/>
    <n v="0"/>
    <n v="0"/>
    <n v="0"/>
    <n v="0"/>
    <n v="0"/>
    <n v="0"/>
    <n v="0"/>
    <n v="0"/>
    <n v="0"/>
    <n v="0"/>
    <n v="148829.22910739947"/>
    <n v="0"/>
    <n v="0"/>
    <n v="0"/>
    <n v="0"/>
    <n v="148829.22910739947"/>
    <n v="2474.2210499223306"/>
    <n v="0"/>
    <n v="0"/>
    <n v="13244.103118733623"/>
    <n v="0"/>
    <n v="0"/>
    <n v="0"/>
    <n v="0"/>
    <n v="15718.324168655954"/>
    <n v="164547.55327605543"/>
    <n v="0"/>
    <n v="0"/>
    <n v="0"/>
    <n v="0"/>
    <n v="0"/>
    <n v="0"/>
    <n v="164547.55327605543"/>
    <n v="110221.62888856203"/>
    <n v="0"/>
    <n v="0"/>
    <n v="0"/>
    <n v="0"/>
    <n v="0"/>
    <n v="110221.62888856203"/>
    <n v="274769.18216461746"/>
    <n v="1.0720000000000001"/>
    <n v="1.04"/>
    <n v="1.0720000000000001"/>
    <n v="1.04"/>
    <n v="1.1120000000000001"/>
    <n v="1.095"/>
    <n v="1.1120000000000001"/>
    <n v="1.1120000000000001"/>
  </r>
  <r>
    <x v="2"/>
    <x v="4"/>
    <x v="11"/>
    <x v="78"/>
    <x v="273"/>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89"/>
    <x v="274"/>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24"/>
    <x v="275"/>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3"/>
    <x v="276"/>
    <s v="Lighting"/>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4"/>
    <x v="277"/>
    <s v="Lighting"/>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0"/>
    <x v="278"/>
    <s v="Envelope"/>
    <n v="4282"/>
    <n v="15"/>
    <n v="1061118.3465"/>
    <n v="1305289.3499999999"/>
    <n v="-244171.00349999988"/>
    <n v="0"/>
    <n v="0"/>
    <n v="0"/>
    <n v="0"/>
    <n v="0"/>
    <n v="0"/>
    <n v="0"/>
    <n v="0"/>
    <n v="0"/>
    <n v="0"/>
    <n v="0"/>
    <n v="0"/>
    <n v="0"/>
    <n v="0"/>
    <n v="11094.311519753084"/>
    <n v="166414.67279629628"/>
    <n v="8986.3923309999991"/>
    <n v="134795.88496499998"/>
    <n v="0"/>
    <n v="0"/>
    <n v="0"/>
    <n v="0"/>
    <n v="0"/>
    <n v="0"/>
    <n v="0"/>
    <n v="0"/>
    <n v="0"/>
    <n v="0"/>
    <n v="0"/>
    <n v="0"/>
    <n v="0"/>
    <n v="0"/>
    <n v="0"/>
    <n v="0"/>
    <n v="0"/>
    <n v="0"/>
    <n v="0"/>
    <n v="0"/>
    <n v="0"/>
    <n v="0"/>
    <n v="0"/>
    <n v="0"/>
    <n v="0"/>
    <n v="0"/>
    <n v="0"/>
    <n v="0"/>
    <n v="0"/>
    <n v="0"/>
    <n v="0"/>
    <n v="0"/>
    <n v="0"/>
    <n v="0"/>
    <n v="1136696.2564255986"/>
    <n v="0"/>
    <n v="0"/>
    <n v="0"/>
    <n v="0"/>
    <n v="1136696.2564255986"/>
    <n v="18270.491011504364"/>
    <n v="0"/>
    <n v="0"/>
    <n v="69574.390234795908"/>
    <n v="0"/>
    <n v="0"/>
    <n v="0"/>
    <n v="0"/>
    <n v="87844.881246300269"/>
    <n v="1224541.1376718988"/>
    <n v="0"/>
    <n v="0"/>
    <n v="0"/>
    <n v="0"/>
    <n v="0"/>
    <n v="0"/>
    <n v="1224541.1376718988"/>
    <n v="974275.44569409546"/>
    <n v="0"/>
    <n v="0"/>
    <n v="0"/>
    <n v="0"/>
    <n v="0"/>
    <n v="974275.44569409546"/>
    <n v="2198816.5833659945"/>
    <n v="1.0720000000000001"/>
    <n v="1.04"/>
    <n v="1.0720000000000001"/>
    <n v="1.04"/>
    <n v="1.1120000000000001"/>
    <n v="1.095"/>
    <n v="1.1120000000000001"/>
    <n v="1.1120000000000001"/>
  </r>
  <r>
    <x v="2"/>
    <x v="4"/>
    <x v="11"/>
    <x v="190"/>
    <x v="279"/>
    <s v="Envelope"/>
    <n v="1081"/>
    <n v="25"/>
    <n v="314700.89219999994"/>
    <n v="298641.38"/>
    <n v="16059.512199999939"/>
    <n v="0"/>
    <n v="0"/>
    <n v="0"/>
    <n v="0"/>
    <n v="0"/>
    <n v="0"/>
    <n v="0"/>
    <n v="0"/>
    <n v="0"/>
    <n v="0"/>
    <n v="0"/>
    <n v="0"/>
    <n v="0"/>
    <n v="0"/>
    <n v="2482.2240432098761"/>
    <n v="62055.601080246903"/>
    <n v="2010.6014749999997"/>
    <n v="50265.036874999991"/>
    <n v="0"/>
    <n v="0"/>
    <n v="0"/>
    <n v="0"/>
    <n v="0"/>
    <n v="0"/>
    <n v="0"/>
    <n v="0"/>
    <n v="0"/>
    <n v="0"/>
    <n v="0"/>
    <n v="0"/>
    <n v="0"/>
    <n v="0"/>
    <n v="0"/>
    <n v="0"/>
    <n v="0"/>
    <n v="0"/>
    <n v="0"/>
    <n v="0"/>
    <n v="0"/>
    <n v="0"/>
    <n v="0"/>
    <n v="0"/>
    <n v="0"/>
    <n v="0"/>
    <n v="0"/>
    <n v="0"/>
    <n v="0"/>
    <n v="0"/>
    <n v="0"/>
    <n v="0"/>
    <n v="0"/>
    <n v="0"/>
    <n v="447332.79911863769"/>
    <n v="0"/>
    <n v="0"/>
    <n v="0"/>
    <n v="0"/>
    <n v="447332.79911863769"/>
    <n v="6667.2320248455944"/>
    <n v="0"/>
    <n v="0"/>
    <n v="17148.993127922447"/>
    <n v="0"/>
    <n v="0"/>
    <n v="0"/>
    <n v="0"/>
    <n v="23816.225152768042"/>
    <n v="471149.02427140571"/>
    <n v="0"/>
    <n v="0"/>
    <n v="0"/>
    <n v="0"/>
    <n v="0"/>
    <n v="0"/>
    <n v="471149.02427140571"/>
    <n v="980815.89559689455"/>
    <n v="0"/>
    <n v="0"/>
    <n v="0"/>
    <n v="0"/>
    <n v="0"/>
    <n v="980815.89559689455"/>
    <n v="1451964.9198683002"/>
    <n v="1.0720000000000001"/>
    <n v="1.04"/>
    <n v="1.0720000000000001"/>
    <n v="1.04"/>
    <n v="1.1120000000000001"/>
    <n v="1.095"/>
    <n v="1.1120000000000001"/>
    <n v="1.1120000000000001"/>
  </r>
  <r>
    <x v="2"/>
    <x v="4"/>
    <x v="11"/>
    <x v="191"/>
    <x v="280"/>
    <s v="Envelope"/>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3"/>
    <x v="281"/>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4"/>
    <x v="282"/>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22"/>
    <x v="283"/>
    <s v="Hot Water"/>
    <n v="67"/>
    <n v="7"/>
    <n v="2254.5"/>
    <n v="2254.5"/>
    <n v="0"/>
    <n v="0"/>
    <n v="0"/>
    <n v="0"/>
    <n v="0"/>
    <n v="0"/>
    <n v="0"/>
    <n v="0"/>
    <n v="0"/>
    <n v="0"/>
    <n v="0"/>
    <n v="0"/>
    <n v="0"/>
    <n v="0"/>
    <n v="0"/>
    <n v="111.22000000000001"/>
    <n v="778.54000000000008"/>
    <n v="111.22000000000001"/>
    <n v="778.54000000000008"/>
    <n v="0"/>
    <n v="0"/>
    <n v="0"/>
    <n v="0"/>
    <n v="0"/>
    <n v="0"/>
    <n v="0"/>
    <n v="0"/>
    <n v="182441"/>
    <n v="0"/>
    <n v="0"/>
    <n v="1277087"/>
    <n v="0"/>
    <n v="0"/>
    <n v="0"/>
    <n v="0"/>
    <n v="0"/>
    <n v="0"/>
    <n v="0"/>
    <n v="0"/>
    <n v="0"/>
    <n v="0"/>
    <n v="0"/>
    <n v="0"/>
    <n v="0"/>
    <n v="0"/>
    <n v="0"/>
    <n v="0"/>
    <n v="0"/>
    <n v="0"/>
    <n v="0"/>
    <n v="0"/>
    <n v="0"/>
    <n v="6008.1244683603882"/>
    <n v="0"/>
    <n v="0"/>
    <n v="0"/>
    <n v="0"/>
    <n v="0"/>
    <n v="6008.1244683603882"/>
    <n v="107.37914615585635"/>
    <n v="0"/>
    <n v="818.50848104600141"/>
    <n v="0"/>
    <n v="0"/>
    <n v="0"/>
    <n v="0"/>
    <n v="0"/>
    <n v="925.88762720185775"/>
    <n v="6934.012095562246"/>
    <n v="0"/>
    <n v="0"/>
    <n v="0"/>
    <n v="13624.472372245087"/>
    <n v="0"/>
    <n v="0"/>
    <n v="20558.484467807335"/>
    <n v="267.88235867102514"/>
    <n v="0"/>
    <n v="0"/>
    <n v="0"/>
    <n v="0"/>
    <n v="0"/>
    <n v="267.88235867102514"/>
    <n v="20826.366826478359"/>
    <n v="1.0720000000000001"/>
    <n v="1.04"/>
    <n v="1.0720000000000001"/>
    <n v="1.04"/>
    <n v="1.1120000000000001"/>
    <n v="1.095"/>
    <n v="1.1120000000000001"/>
    <n v="1.1120000000000001"/>
  </r>
  <r>
    <x v="2"/>
    <x v="4"/>
    <x v="11"/>
    <x v="192"/>
    <x v="284"/>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170"/>
    <x v="285"/>
    <s v="HVAC"/>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29"/>
    <x v="286"/>
    <s v="Hot Water"/>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2"/>
    <x v="4"/>
    <x v="11"/>
    <x v="30"/>
    <x v="287"/>
    <s v="HVAC"/>
    <n v="6"/>
    <n v="15"/>
    <n v="34200"/>
    <n v="25650"/>
    <n v="8550"/>
    <n v="0"/>
    <n v="0"/>
    <n v="0"/>
    <n v="0"/>
    <n v="0"/>
    <n v="0"/>
    <n v="0"/>
    <n v="0"/>
    <n v="0"/>
    <n v="0"/>
    <n v="0"/>
    <n v="0"/>
    <n v="0"/>
    <n v="0"/>
    <n v="183.60599999999999"/>
    <n v="2754.09"/>
    <n v="183.60599999999999"/>
    <n v="2754.09"/>
    <n v="0"/>
    <n v="0"/>
    <n v="0"/>
    <n v="0"/>
    <n v="0"/>
    <n v="0"/>
    <n v="0"/>
    <n v="0"/>
    <n v="0"/>
    <n v="0"/>
    <n v="0"/>
    <n v="0"/>
    <n v="0"/>
    <n v="0"/>
    <n v="0"/>
    <n v="0"/>
    <n v="0"/>
    <n v="0"/>
    <n v="0"/>
    <n v="0"/>
    <n v="0"/>
    <n v="0"/>
    <n v="0"/>
    <n v="0"/>
    <n v="0"/>
    <n v="0"/>
    <n v="0"/>
    <n v="0"/>
    <n v="0"/>
    <n v="0"/>
    <n v="0"/>
    <n v="0"/>
    <n v="0"/>
    <n v="0"/>
    <n v="23224.475982126856"/>
    <n v="0"/>
    <n v="0"/>
    <n v="0"/>
    <n v="0"/>
    <n v="23224.475982126856"/>
    <n v="373.29460467535318"/>
    <n v="0"/>
    <n v="0"/>
    <n v="1421.513219424332"/>
    <n v="0"/>
    <n v="0"/>
    <n v="0"/>
    <n v="0"/>
    <n v="1794.8078240996851"/>
    <n v="25019.28380622654"/>
    <n v="0"/>
    <n v="0"/>
    <n v="0"/>
    <n v="0"/>
    <n v="0"/>
    <n v="0"/>
    <n v="25019.28380622654"/>
    <n v="0"/>
    <n v="0"/>
    <n v="0"/>
    <n v="0"/>
    <n v="0"/>
    <n v="0"/>
    <n v="0"/>
    <n v="25019.28380622654"/>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r>
    <x v="3"/>
    <x v="5"/>
    <x v="12"/>
    <x v="193"/>
    <x v="288"/>
    <s v=""/>
    <s v=""/>
    <n v="0"/>
    <s v=""/>
    <s v=""/>
    <s v=""/>
    <s v=""/>
    <s v=""/>
    <s v=""/>
    <s v=""/>
    <s v=""/>
    <s v=""/>
    <s v=""/>
    <s v=""/>
    <s v=""/>
    <s v=""/>
    <s v=""/>
    <s v=""/>
    <s v=""/>
    <s v=""/>
    <n v="0"/>
    <n v="0"/>
    <n v="0"/>
    <n v="0"/>
    <n v="0"/>
    <n v="0"/>
    <n v="0"/>
    <n v="0"/>
    <n v="0"/>
    <n v="0"/>
    <n v="0"/>
    <n v="0"/>
    <n v="0"/>
    <n v="0"/>
    <n v="0"/>
    <n v="0"/>
    <s v=""/>
    <s v=""/>
    <s v=""/>
    <s v=""/>
    <n v="0"/>
    <s v=""/>
    <s v=""/>
    <s v=""/>
    <s v=""/>
    <s v=""/>
    <s v=""/>
    <n v="0"/>
    <n v="0"/>
    <s v=""/>
    <s v=""/>
    <s v=""/>
    <s v=""/>
    <s v=""/>
    <n v="0"/>
    <n v="0"/>
    <s v=""/>
    <s v=""/>
    <s v=""/>
    <s v=""/>
    <s v=""/>
    <s v=""/>
    <s v=""/>
    <n v="0"/>
    <s v=""/>
    <s v=""/>
    <s v=""/>
    <s v=""/>
    <s v=""/>
    <s v=""/>
    <s v=""/>
    <s v=""/>
    <n v="0"/>
    <n v="0"/>
    <s v=""/>
    <s v=""/>
    <s v=""/>
    <s v=""/>
    <s v=""/>
    <s v=""/>
    <n v="0"/>
    <s v=""/>
    <s v=""/>
    <s v=""/>
    <s v=""/>
    <s v=""/>
    <n v="0"/>
    <n v="0"/>
    <n v="0"/>
    <n v="1.0720000000000001"/>
    <n v="1.04"/>
    <n v="1.0720000000000001"/>
    <n v="1.04"/>
    <n v="1.1120000000000001"/>
    <n v="1.095"/>
    <n v="1.1120000000000001"/>
    <n v="1.1120000000000001"/>
  </r>
</pivotCacheRecords>
</file>

<file path=xl/pivotCache/pivotCacheRecords3.xml><?xml version="1.0" encoding="utf-8"?>
<pivotCacheRecords xmlns="http://schemas.openxmlformats.org/spreadsheetml/2006/main" xmlns:r="http://schemas.openxmlformats.org/officeDocument/2006/relationships" count="37">
  <r>
    <s v="Gas"/>
    <x v="0"/>
    <x v="0"/>
    <m/>
    <m/>
    <x v="0"/>
    <x v="0"/>
    <x v="0"/>
    <x v="0"/>
    <n v="194215.05047071562"/>
    <n v="10325.129478486046"/>
    <n v="5663333.1100000003"/>
    <n v="259448.0417261968"/>
    <n v="260563.65659973293"/>
    <n v="6387884.9882751321"/>
    <n v="6229651.8317487147"/>
    <n v="239597.29681611981"/>
    <n v="233662.27503034892"/>
    <n v="12521178.832601847"/>
    <n v="12211018.951240342"/>
    <m/>
    <n v="0"/>
    <n v="19148661.1176931"/>
    <n v="19148661.1176931"/>
    <n v="2566"/>
    <n v="177.97821398974747"/>
    <n v="168.54821279992063"/>
    <n v="773.02881071499996"/>
    <n v="843.86022685833336"/>
    <n v="10674.436603775001"/>
    <m/>
    <n v="79349.538645999972"/>
    <n v="69891.351811111104"/>
    <n v="793495.38645999972"/>
    <n v="698913.51811111101"/>
    <n v="17055331.865499996"/>
    <n v="14906812.228555556"/>
    <n v="0"/>
    <n v="0"/>
    <n v="0"/>
    <n v="0"/>
    <n v="0"/>
    <n v="0"/>
    <n v="0"/>
    <n v="0"/>
    <n v="912909.23635592172"/>
    <n v="65975.017774622509"/>
    <n v="978884.25413054426"/>
    <n v="499922.29827871482"/>
    <n v="32810.043749121556"/>
    <n v="257521.41752518702"/>
    <n v="0"/>
    <n v="790253.75955302338"/>
    <n v="14821744.34946079"/>
    <n v="894942.79356063996"/>
    <n v="15716687.143021431"/>
    <n v="0"/>
    <n v="0"/>
    <n v="0"/>
    <n v="0"/>
    <n v="17485825.156705"/>
    <n v="8232148.5205083275"/>
    <n v="25717973.677213326"/>
  </r>
  <r>
    <s v="Gas"/>
    <x v="0"/>
    <x v="0"/>
    <m/>
    <m/>
    <x v="0"/>
    <x v="0"/>
    <x v="0"/>
    <x v="1"/>
    <n v="122242.97068145282"/>
    <n v="81182.93917744112"/>
    <n v="3034754.1799999997"/>
    <n v="473993.32802379772"/>
    <n v="195446.92998717088"/>
    <n v="3907620.3478698623"/>
    <n v="3810825.3831381528"/>
    <n v="141696.33755895481"/>
    <n v="138186.40292466822"/>
    <n v="-380272.4875000004"/>
    <n v="-370852.82572654611"/>
    <m/>
    <n v="0"/>
    <n v="3669044.197928817"/>
    <n v="3669044.197928817"/>
    <n v="3927"/>
    <n v="0"/>
    <n v="0.155"/>
    <n v="7.4799999999999991E-2"/>
    <n v="7.4799999999999991E-2"/>
    <n v="1.1219999999999999"/>
    <m/>
    <n v="25335.995866000005"/>
    <n v="31064.929006913579"/>
    <n v="253359.95866000006"/>
    <n v="310649.29006913578"/>
    <n v="3777760.0040000002"/>
    <n v="4645379.1202962957"/>
    <n v="0"/>
    <n v="0"/>
    <n v="0"/>
    <n v="0"/>
    <n v="0"/>
    <n v="0"/>
    <n v="4887604.3"/>
    <n v="34213230.100000001"/>
    <n v="83.123080096299802"/>
    <n v="5.593004314839221"/>
    <n v="88.716084411139022"/>
    <n v="401.78705608055157"/>
    <n v="26.872491886253194"/>
    <n v="210.91840827451773"/>
    <n v="0"/>
    <n v="639.57795624132245"/>
    <n v="3204144.1930992892"/>
    <n v="248033.19265588504"/>
    <n v="3452177.3857551743"/>
    <n v="0"/>
    <n v="0"/>
    <n v="365000.3549192138"/>
    <n v="365000.3549192138"/>
    <n v="3817906.0347150406"/>
    <n v="7258959.43908423"/>
    <n v="11076865.47379927"/>
  </r>
  <r>
    <s v="Gas"/>
    <x v="0"/>
    <x v="0"/>
    <m/>
    <m/>
    <x v="0"/>
    <x v="0"/>
    <x v="0"/>
    <x v="2"/>
    <n v="1004457.8902797719"/>
    <n v="568198.60682658863"/>
    <n v="23604622.859999999"/>
    <n v="4042643.3864463544"/>
    <n v="745743.88345355354"/>
    <n v="29965666.62700627"/>
    <n v="29223392.458558872"/>
    <n v="777332.78729925188"/>
    <n v="758077.61585649685"/>
    <n v="9193763.0819999948"/>
    <n v="8966026.0210649446"/>
    <m/>
    <n v="0"/>
    <n v="39936762.496305518"/>
    <n v="39936762.496305518"/>
    <n v="7287"/>
    <n v="1565.5233296000001"/>
    <n v="2033.9455415999998"/>
    <n v="7419.9227319999991"/>
    <n v="7258.7952759999998"/>
    <n v="81509.780020000006"/>
    <m/>
    <n v="212041.28821499998"/>
    <n v="193082.7928400503"/>
    <n v="2120412.88215"/>
    <n v="1930827.928400503"/>
    <n v="39456157.453950003"/>
    <n v="34943784.854456328"/>
    <n v="0"/>
    <n v="0"/>
    <n v="0"/>
    <n v="0"/>
    <n v="0"/>
    <n v="0"/>
    <n v="26606737"/>
    <n v="186247159"/>
    <n v="6645150.4031853592"/>
    <n v="603346.67404358834"/>
    <n v="7248497.0772289475"/>
    <n v="6292320.2939995751"/>
    <n v="410851.78458523849"/>
    <n v="3224717.8567683594"/>
    <n v="0"/>
    <n v="9927889.9353531729"/>
    <n v="34292854.668881446"/>
    <n v="2233650.3283229065"/>
    <n v="36526504.997204356"/>
    <n v="0"/>
    <n v="0"/>
    <n v="1986958.8150256311"/>
    <n v="1986958.8150256311"/>
    <n v="55689850.824812099"/>
    <n v="15772099.114483951"/>
    <n v="71461949.939296052"/>
  </r>
  <r>
    <s v="Gas"/>
    <x v="0"/>
    <x v="0"/>
    <m/>
    <m/>
    <x v="0"/>
    <x v="0"/>
    <x v="0"/>
    <x v="3"/>
    <n v="226016.59050394583"/>
    <n v="564171.9568265886"/>
    <n v="0"/>
    <n v="5632312.9193726853"/>
    <n v="139908.18216192903"/>
    <n v="6562409.6488651484"/>
    <n v="6399853.3731862176"/>
    <n v="0"/>
    <n v="0"/>
    <n v="0"/>
    <n v="0"/>
    <m/>
    <n v="0"/>
    <n v="6562409.6488651484"/>
    <n v="6562409.6488651484"/>
    <m/>
    <n v="0"/>
    <n v="0"/>
    <n v="0"/>
    <n v="0"/>
    <n v="0"/>
    <m/>
    <n v="0"/>
    <n v="0"/>
    <n v="0"/>
    <n v="0"/>
    <n v="0"/>
    <n v="0"/>
    <n v="0"/>
    <n v="0"/>
    <n v="0"/>
    <n v="0"/>
    <n v="0"/>
    <n v="0"/>
    <n v="0"/>
    <n v="0"/>
    <n v="0"/>
    <n v="0"/>
    <n v="0"/>
    <n v="0"/>
    <n v="0"/>
    <n v="0"/>
    <n v="0"/>
    <n v="0"/>
    <n v="0"/>
    <n v="0"/>
    <n v="0"/>
    <n v="0"/>
    <n v="0"/>
    <n v="0"/>
    <n v="0"/>
    <n v="0"/>
    <n v="0"/>
    <n v="0"/>
  </r>
  <r>
    <s v="Gas"/>
    <x v="0"/>
    <x v="0"/>
    <m/>
    <m/>
    <x v="0"/>
    <x v="0"/>
    <x v="0"/>
    <x v="4"/>
    <n v="109517.26084990213"/>
    <n v="2884.0990188449186"/>
    <n v="2355224.96"/>
    <n v="41431.289281469646"/>
    <n v="59295.495783834005"/>
    <n v="2568353.1049340507"/>
    <n v="2504732.889539741"/>
    <n v="58003.853974604157"/>
    <n v="56567.050882196367"/>
    <n v="0"/>
    <n v="0"/>
    <m/>
    <n v="0"/>
    <n v="2626356.9589086547"/>
    <n v="2626356.9589086547"/>
    <n v="427170"/>
    <n v="0"/>
    <n v="0"/>
    <n v="0"/>
    <n v="0"/>
    <n v="0"/>
    <m/>
    <n v="444648.54"/>
    <n v="444648.54"/>
    <n v="4446485.3999999994"/>
    <n v="4446485.3999999994"/>
    <n v="4446485.3999999994"/>
    <n v="4446485.3999999994"/>
    <n v="0"/>
    <n v="0"/>
    <n v="0"/>
    <n v="0"/>
    <n v="0"/>
    <n v="0"/>
    <n v="0"/>
    <n v="0"/>
    <n v="0"/>
    <n v="0"/>
    <n v="0"/>
    <n v="0"/>
    <n v="0"/>
    <n v="0"/>
    <n v="0"/>
    <n v="0"/>
    <n v="3557707.0127550694"/>
    <n v="1583556.8076729765"/>
    <n v="5141263.8204280455"/>
    <n v="0"/>
    <n v="0"/>
    <n v="0"/>
    <n v="0"/>
    <n v="5141263.8204280455"/>
    <n v="0"/>
    <n v="5141263.8204280455"/>
  </r>
  <r>
    <s v="Gas"/>
    <x v="0"/>
    <x v="0"/>
    <m/>
    <m/>
    <x v="0"/>
    <x v="0"/>
    <x v="1"/>
    <x v="5"/>
    <n v="510264.52807595482"/>
    <n v="955843.79637589667"/>
    <n v="10675637.809999999"/>
    <n v="473958.52090735128"/>
    <n v="338544.7237574961"/>
    <n v="12954249.379116697"/>
    <n v="12633361.984705184"/>
    <n v="550399.45312483236"/>
    <n v="536765.6067142894"/>
    <n v="12532671.329389796"/>
    <n v="12222226.76944587"/>
    <m/>
    <n v="0"/>
    <n v="26037320.161631323"/>
    <n v="26037320.161631323"/>
    <n v="21096"/>
    <n v="-1.845928484695089"/>
    <n v="2991.9120000000003"/>
    <n v="1343.55"/>
    <n v="1343.55"/>
    <n v="20135.96"/>
    <m/>
    <n v="223306.17400000003"/>
    <n v="247846.2"/>
    <n v="2233061.7400000002"/>
    <n v="2478462"/>
    <n v="36205218.100000009"/>
    <n v="40822482"/>
    <n v="0"/>
    <n v="0"/>
    <n v="0"/>
    <n v="0"/>
    <n v="0"/>
    <n v="0"/>
    <n v="1393020.3499999999"/>
    <n v="9751142.4499999993"/>
    <n v="1493780.7762423316"/>
    <n v="100659.62040842896"/>
    <n v="1594440.3966507607"/>
    <n v="7755558.1582714543"/>
    <n v="518710.52222182951"/>
    <n v="4071285.9144350258"/>
    <n v="0"/>
    <n v="12345554.594928309"/>
    <n v="30053428.844655979"/>
    <n v="2299077.596799159"/>
    <n v="32352506.441455137"/>
    <n v="0"/>
    <n v="0"/>
    <n v="104029.06842513569"/>
    <n v="104029.06842513569"/>
    <n v="46396530.501459345"/>
    <n v="2992979.281892607"/>
    <n v="49389509.78335195"/>
  </r>
  <r>
    <s v="Gas"/>
    <x v="0"/>
    <x v="0"/>
    <m/>
    <m/>
    <x v="0"/>
    <x v="0"/>
    <x v="1"/>
    <x v="6"/>
    <m/>
    <m/>
    <m/>
    <m/>
    <m/>
    <m/>
    <m/>
    <n v="0"/>
    <n v="0"/>
    <m/>
    <n v="0"/>
    <m/>
    <m/>
    <m/>
    <m/>
    <m/>
    <m/>
    <m/>
    <m/>
    <m/>
    <m/>
    <m/>
    <m/>
    <m/>
    <m/>
    <m/>
    <n v="0"/>
    <m/>
    <m/>
    <m/>
    <m/>
    <m/>
    <m/>
    <m/>
    <m/>
    <m/>
    <m/>
    <m/>
    <m/>
    <m/>
    <m/>
    <m/>
    <m/>
    <m/>
    <m/>
    <m/>
    <m/>
    <m/>
    <m/>
    <m/>
    <m/>
    <m/>
    <m/>
    <m/>
  </r>
  <r>
    <s v="Gas"/>
    <x v="0"/>
    <x v="0"/>
    <m/>
    <m/>
    <x v="0"/>
    <x v="0"/>
    <x v="1"/>
    <x v="7"/>
    <m/>
    <m/>
    <m/>
    <m/>
    <m/>
    <m/>
    <m/>
    <n v="0"/>
    <n v="0"/>
    <m/>
    <n v="0"/>
    <m/>
    <m/>
    <m/>
    <m/>
    <m/>
    <m/>
    <m/>
    <m/>
    <m/>
    <m/>
    <m/>
    <m/>
    <m/>
    <m/>
    <m/>
    <n v="0"/>
    <m/>
    <m/>
    <m/>
    <m/>
    <m/>
    <m/>
    <m/>
    <m/>
    <m/>
    <m/>
    <m/>
    <m/>
    <m/>
    <m/>
    <m/>
    <m/>
    <m/>
    <m/>
    <m/>
    <m/>
    <m/>
    <m/>
    <m/>
    <m/>
    <m/>
    <m/>
    <m/>
  </r>
  <r>
    <s v="Gas"/>
    <x v="0"/>
    <x v="0"/>
    <m/>
    <m/>
    <x v="0"/>
    <x v="0"/>
    <x v="2"/>
    <x v="8"/>
    <n v="0"/>
    <n v="500868.43000000005"/>
    <n v="0"/>
    <n v="0"/>
    <n v="0"/>
    <n v="500868.43000000005"/>
    <n v="488461.50770431053"/>
    <n v="0"/>
    <n v="0"/>
    <n v="0"/>
    <n v="0"/>
    <m/>
    <n v="0"/>
    <n v="500868.43000000005"/>
    <n v="500868.43000000005"/>
    <m/>
    <m/>
    <m/>
    <m/>
    <m/>
    <m/>
    <m/>
    <m/>
    <m/>
    <m/>
    <m/>
    <m/>
    <m/>
    <m/>
    <m/>
    <n v="0"/>
    <m/>
    <m/>
    <n v="0"/>
    <m/>
    <m/>
    <m/>
    <m/>
    <m/>
    <m/>
    <m/>
    <m/>
    <m/>
    <m/>
    <m/>
    <m/>
    <m/>
    <m/>
    <m/>
    <m/>
    <m/>
    <m/>
    <m/>
    <m/>
  </r>
  <r>
    <s v="Gas"/>
    <x v="0"/>
    <x v="0"/>
    <m/>
    <m/>
    <x v="0"/>
    <x v="0"/>
    <x v="2"/>
    <x v="9"/>
    <n v="2442.84"/>
    <n v="0"/>
    <n v="0"/>
    <n v="0"/>
    <n v="0"/>
    <n v="2442.84"/>
    <n v="2382.3288472791105"/>
    <n v="0"/>
    <n v="0"/>
    <n v="0"/>
    <n v="0"/>
    <m/>
    <n v="0"/>
    <n v="2442.84"/>
    <n v="2442.84"/>
    <m/>
    <m/>
    <m/>
    <m/>
    <m/>
    <m/>
    <m/>
    <m/>
    <m/>
    <m/>
    <m/>
    <m/>
    <m/>
    <m/>
    <m/>
    <n v="0"/>
    <m/>
    <m/>
    <n v="0"/>
    <m/>
    <m/>
    <m/>
    <m/>
    <m/>
    <m/>
    <m/>
    <m/>
    <m/>
    <m/>
    <m/>
    <m/>
    <m/>
    <m/>
    <m/>
    <m/>
    <m/>
    <m/>
    <m/>
    <m/>
  </r>
  <r>
    <s v="Gas"/>
    <x v="0"/>
    <x v="0"/>
    <m/>
    <m/>
    <x v="0"/>
    <x v="0"/>
    <x v="2"/>
    <x v="10"/>
    <n v="194997.5"/>
    <n v="0"/>
    <n v="0"/>
    <n v="0"/>
    <n v="0"/>
    <n v="194997.5"/>
    <n v="190167.25180417395"/>
    <n v="0"/>
    <n v="0"/>
    <n v="0"/>
    <n v="0"/>
    <m/>
    <n v="0"/>
    <n v="194997.5"/>
    <n v="194997.5"/>
    <m/>
    <m/>
    <m/>
    <m/>
    <m/>
    <m/>
    <m/>
    <m/>
    <m/>
    <m/>
    <m/>
    <m/>
    <m/>
    <m/>
    <m/>
    <n v="0"/>
    <m/>
    <m/>
    <n v="0"/>
    <m/>
    <m/>
    <m/>
    <m/>
    <m/>
    <m/>
    <m/>
    <m/>
    <m/>
    <m/>
    <m/>
    <m/>
    <m/>
    <m/>
    <m/>
    <m/>
    <m/>
    <m/>
    <m/>
    <m/>
  </r>
  <r>
    <s v="Gas"/>
    <x v="0"/>
    <x v="0"/>
    <m/>
    <m/>
    <x v="0"/>
    <x v="0"/>
    <x v="2"/>
    <x v="11"/>
    <n v="116655.48999999999"/>
    <n v="0"/>
    <n v="0"/>
    <n v="0"/>
    <n v="0"/>
    <n v="116655.48999999999"/>
    <n v="113765.83772186462"/>
    <n v="0"/>
    <n v="0"/>
    <n v="0"/>
    <n v="0"/>
    <m/>
    <n v="0"/>
    <n v="116655.48999999999"/>
    <n v="116655.48999999999"/>
    <m/>
    <m/>
    <m/>
    <m/>
    <m/>
    <m/>
    <m/>
    <m/>
    <m/>
    <m/>
    <m/>
    <m/>
    <m/>
    <m/>
    <m/>
    <n v="0"/>
    <m/>
    <m/>
    <n v="0"/>
    <m/>
    <m/>
    <m/>
    <m/>
    <m/>
    <m/>
    <m/>
    <m/>
    <m/>
    <m/>
    <m/>
    <m/>
    <m/>
    <m/>
    <m/>
    <m/>
    <m/>
    <m/>
    <m/>
    <m/>
  </r>
  <r>
    <s v="Gas"/>
    <x v="0"/>
    <x v="0"/>
    <m/>
    <m/>
    <x v="0"/>
    <x v="0"/>
    <x v="2"/>
    <x v="12"/>
    <n v="36076.57"/>
    <n v="4221.68"/>
    <n v="0"/>
    <n v="0"/>
    <n v="1407.22"/>
    <n v="41705.47"/>
    <n v="40672.391261946555"/>
    <n v="0"/>
    <n v="0"/>
    <n v="0"/>
    <n v="0"/>
    <m/>
    <n v="0"/>
    <n v="41705.47"/>
    <n v="41705.47"/>
    <m/>
    <m/>
    <m/>
    <m/>
    <m/>
    <m/>
    <m/>
    <m/>
    <m/>
    <m/>
    <m/>
    <m/>
    <m/>
    <m/>
    <m/>
    <n v="0"/>
    <m/>
    <m/>
    <n v="0"/>
    <m/>
    <m/>
    <m/>
    <m/>
    <m/>
    <m/>
    <m/>
    <m/>
    <m/>
    <m/>
    <m/>
    <m/>
    <m/>
    <m/>
    <m/>
    <m/>
    <m/>
    <m/>
    <m/>
    <m/>
  </r>
  <r>
    <s v="Gas"/>
    <x v="0"/>
    <x v="0"/>
    <m/>
    <m/>
    <x v="0"/>
    <x v="0"/>
    <x v="2"/>
    <x v="13"/>
    <n v="44.620000000000005"/>
    <n v="20235.21"/>
    <n v="542644.61"/>
    <n v="45409.85"/>
    <n v="0"/>
    <n v="608334.28999999992"/>
    <n v="593265.35010727507"/>
    <n v="0"/>
    <n v="0"/>
    <n v="0"/>
    <n v="0"/>
    <m/>
    <n v="0"/>
    <n v="608334.28999999992"/>
    <n v="608334.28999999992"/>
    <m/>
    <m/>
    <m/>
    <m/>
    <m/>
    <m/>
    <m/>
    <m/>
    <m/>
    <m/>
    <m/>
    <m/>
    <m/>
    <m/>
    <m/>
    <n v="0"/>
    <m/>
    <m/>
    <n v="0"/>
    <m/>
    <m/>
    <m/>
    <m/>
    <m/>
    <m/>
    <m/>
    <m/>
    <m/>
    <m/>
    <m/>
    <m/>
    <m/>
    <m/>
    <m/>
    <m/>
    <m/>
    <m/>
    <m/>
    <m/>
  </r>
  <r>
    <s v="Gas"/>
    <x v="0"/>
    <x v="0"/>
    <m/>
    <m/>
    <x v="0"/>
    <x v="0"/>
    <x v="2"/>
    <x v="14"/>
    <n v="0"/>
    <n v="0"/>
    <n v="0"/>
    <n v="23144.829999999998"/>
    <n v="0"/>
    <n v="23144.829999999998"/>
    <n v="22571.513555685582"/>
    <n v="0"/>
    <n v="0"/>
    <n v="0"/>
    <n v="0"/>
    <m/>
    <n v="0"/>
    <n v="23144.829999999998"/>
    <n v="23144.829999999998"/>
    <m/>
    <m/>
    <m/>
    <m/>
    <m/>
    <m/>
    <m/>
    <m/>
    <m/>
    <m/>
    <m/>
    <m/>
    <m/>
    <m/>
    <m/>
    <n v="0"/>
    <m/>
    <m/>
    <n v="0"/>
    <m/>
    <m/>
    <m/>
    <m/>
    <m/>
    <m/>
    <m/>
    <m/>
    <m/>
    <m/>
    <m/>
    <m/>
    <m/>
    <m/>
    <m/>
    <m/>
    <m/>
    <m/>
    <m/>
    <m/>
  </r>
  <r>
    <s v="Gas"/>
    <x v="0"/>
    <x v="0"/>
    <m/>
    <m/>
    <x v="0"/>
    <x v="0"/>
    <x v="2"/>
    <x v="15"/>
    <n v="5122.04"/>
    <n v="1210.3499999999999"/>
    <n v="1960"/>
    <n v="5146.76"/>
    <n v="0"/>
    <n v="13439.15"/>
    <n v="13106.251219036472"/>
    <n v="0"/>
    <n v="0"/>
    <n v="0"/>
    <n v="0"/>
    <m/>
    <n v="0"/>
    <n v="13439.15"/>
    <n v="13439.15"/>
    <m/>
    <m/>
    <m/>
    <m/>
    <m/>
    <m/>
    <m/>
    <m/>
    <m/>
    <m/>
    <m/>
    <m/>
    <m/>
    <m/>
    <m/>
    <n v="0"/>
    <m/>
    <m/>
    <n v="0"/>
    <m/>
    <m/>
    <m/>
    <m/>
    <m/>
    <m/>
    <m/>
    <m/>
    <m/>
    <m/>
    <m/>
    <m/>
    <m/>
    <m/>
    <m/>
    <m/>
    <m/>
    <m/>
    <m/>
    <m/>
  </r>
  <r>
    <s v="Gas"/>
    <x v="0"/>
    <x v="0"/>
    <m/>
    <m/>
    <x v="0"/>
    <x v="0"/>
    <x v="2"/>
    <x v="16"/>
    <n v="0"/>
    <n v="133387.1"/>
    <n v="0"/>
    <n v="0"/>
    <n v="2639.4900000000002"/>
    <n v="136026.59"/>
    <n v="132657.09966842207"/>
    <n v="0"/>
    <n v="0"/>
    <n v="0"/>
    <n v="0"/>
    <m/>
    <n v="0"/>
    <n v="136026.59"/>
    <n v="136026.59"/>
    <m/>
    <m/>
    <m/>
    <m/>
    <m/>
    <m/>
    <m/>
    <m/>
    <m/>
    <m/>
    <m/>
    <m/>
    <m/>
    <m/>
    <m/>
    <n v="0"/>
    <m/>
    <m/>
    <n v="0"/>
    <m/>
    <m/>
    <m/>
    <m/>
    <m/>
    <m/>
    <m/>
    <m/>
    <m/>
    <m/>
    <m/>
    <m/>
    <m/>
    <m/>
    <m/>
    <m/>
    <m/>
    <m/>
    <m/>
    <m/>
  </r>
  <r>
    <s v="Gas"/>
    <x v="0"/>
    <x v="0"/>
    <m/>
    <m/>
    <x v="0"/>
    <x v="1"/>
    <x v="3"/>
    <x v="17"/>
    <n v="403932.56012253964"/>
    <n v="183444.15118553804"/>
    <n v="7240264.5999999996"/>
    <n v="1788097.5251198022"/>
    <n v="216958.37134607468"/>
    <n v="9832697.2077739555"/>
    <n v="9589133.22388722"/>
    <n v="315346.46760610235"/>
    <n v="307535.07665896462"/>
    <n v="0"/>
    <n v="0"/>
    <m/>
    <n v="0"/>
    <n v="10148043.675380059"/>
    <n v="10148043.675380059"/>
    <n v="1470"/>
    <n v="165.85599999999999"/>
    <n v="345.65"/>
    <n v="409.87599999999998"/>
    <n v="409.87599999999998"/>
    <n v="8144.8879999999999"/>
    <m/>
    <n v="39417.4"/>
    <n v="39417.4"/>
    <n v="394174"/>
    <n v="394174"/>
    <n v="7820138"/>
    <n v="7820138"/>
    <n v="0"/>
    <n v="0"/>
    <n v="0"/>
    <n v="0"/>
    <n v="0"/>
    <n v="0"/>
    <n v="0"/>
    <n v="0"/>
    <n v="688677.68374979601"/>
    <n v="36524.064597195029"/>
    <n v="725201.74834699102"/>
    <n v="1228156.6698636075"/>
    <n v="79039.796439215585"/>
    <n v="620372.24258422351"/>
    <n v="0"/>
    <n v="1927568.7088870467"/>
    <n v="6771565.2719979743"/>
    <n v="425245.74121863674"/>
    <n v="7196811.013216611"/>
    <n v="0"/>
    <n v="0"/>
    <n v="0"/>
    <n v="0"/>
    <n v="9849581.470450649"/>
    <n v="15868461.661136344"/>
    <n v="25718043.131586991"/>
  </r>
  <r>
    <s v="Gas"/>
    <x v="0"/>
    <x v="0"/>
    <m/>
    <m/>
    <x v="0"/>
    <x v="1"/>
    <x v="3"/>
    <x v="18"/>
    <n v="382467.64559154818"/>
    <n v="97061.042237919595"/>
    <n v="14260215.330000002"/>
    <n v="2582921.3159371112"/>
    <n v="188427.0065190859"/>
    <n v="17511092.340285666"/>
    <n v="17077328.203906443"/>
    <n v="351199.41174710693"/>
    <n v="342499.91393320356"/>
    <n v="0"/>
    <n v="0"/>
    <m/>
    <n v="0"/>
    <n v="17862291.752032772"/>
    <n v="17862291.752032772"/>
    <n v="5325"/>
    <n v="0"/>
    <n v="0"/>
    <n v="0"/>
    <n v="0"/>
    <n v="0"/>
    <m/>
    <n v="89359.416872000031"/>
    <n v="89359.416872000031"/>
    <n v="893594.16872000031"/>
    <n v="893594.16872000031"/>
    <n v="17712195.725259997"/>
    <n v="17712195.725259997"/>
    <n v="0"/>
    <n v="0"/>
    <n v="0"/>
    <n v="0"/>
    <n v="0"/>
    <n v="0"/>
    <n v="1925166"/>
    <n v="13476162"/>
    <n v="0"/>
    <n v="0"/>
    <n v="0"/>
    <n v="0"/>
    <n v="0"/>
    <n v="0"/>
    <n v="0"/>
    <n v="0"/>
    <n v="15206161.008296177"/>
    <n v="977642.48595200188"/>
    <n v="16183803.494248178"/>
    <n v="0"/>
    <n v="0"/>
    <n v="143769.05947120211"/>
    <n v="143769.05947120211"/>
    <n v="16327572.553719381"/>
    <n v="15861372.940138355"/>
    <n v="32188945.493857734"/>
  </r>
  <r>
    <s v="Gas"/>
    <x v="0"/>
    <x v="0"/>
    <m/>
    <m/>
    <x v="0"/>
    <x v="1"/>
    <x v="4"/>
    <x v="19"/>
    <n v="0"/>
    <n v="200835.31"/>
    <n v="0"/>
    <n v="0"/>
    <n v="0"/>
    <n v="200835.31"/>
    <n v="195860.45445679734"/>
    <n v="0"/>
    <n v="0"/>
    <n v="0"/>
    <n v="0"/>
    <m/>
    <n v="0"/>
    <n v="200835.31"/>
    <n v="200835.31"/>
    <m/>
    <m/>
    <m/>
    <m/>
    <m/>
    <m/>
    <m/>
    <m/>
    <m/>
    <m/>
    <m/>
    <m/>
    <m/>
    <m/>
    <m/>
    <n v="0"/>
    <m/>
    <m/>
    <n v="0"/>
    <m/>
    <m/>
    <m/>
    <m/>
    <m/>
    <m/>
    <m/>
    <m/>
    <m/>
    <m/>
    <m/>
    <m/>
    <m/>
    <m/>
    <m/>
    <m/>
    <m/>
    <m/>
    <m/>
    <m/>
  </r>
  <r>
    <s v="Gas"/>
    <x v="0"/>
    <x v="0"/>
    <m/>
    <m/>
    <x v="0"/>
    <x v="1"/>
    <x v="4"/>
    <x v="20"/>
    <n v="593.81000000000006"/>
    <n v="0"/>
    <n v="0"/>
    <n v="0"/>
    <n v="0"/>
    <n v="593.81000000000006"/>
    <n v="579.10083869709388"/>
    <n v="0"/>
    <n v="0"/>
    <n v="0"/>
    <n v="0"/>
    <m/>
    <n v="0"/>
    <n v="593.81000000000006"/>
    <n v="593.81000000000006"/>
    <m/>
    <m/>
    <m/>
    <m/>
    <m/>
    <m/>
    <m/>
    <m/>
    <m/>
    <m/>
    <m/>
    <m/>
    <m/>
    <m/>
    <m/>
    <n v="0"/>
    <m/>
    <m/>
    <n v="0"/>
    <m/>
    <m/>
    <m/>
    <m/>
    <m/>
    <m/>
    <m/>
    <m/>
    <m/>
    <m/>
    <m/>
    <m/>
    <m/>
    <m/>
    <m/>
    <m/>
    <m/>
    <m/>
    <m/>
    <m/>
  </r>
  <r>
    <s v="Gas"/>
    <x v="0"/>
    <x v="0"/>
    <m/>
    <m/>
    <x v="0"/>
    <x v="1"/>
    <x v="4"/>
    <x v="21"/>
    <n v="129998.34"/>
    <n v="0"/>
    <n v="0"/>
    <n v="0"/>
    <n v="0"/>
    <n v="129998.34"/>
    <n v="126778.17437097717"/>
    <n v="0"/>
    <n v="0"/>
    <n v="0"/>
    <n v="0"/>
    <m/>
    <n v="0"/>
    <n v="129998.34"/>
    <n v="129998.34"/>
    <m/>
    <m/>
    <m/>
    <m/>
    <m/>
    <m/>
    <m/>
    <m/>
    <m/>
    <m/>
    <m/>
    <m/>
    <m/>
    <m/>
    <m/>
    <n v="0"/>
    <m/>
    <m/>
    <n v="0"/>
    <m/>
    <m/>
    <m/>
    <m/>
    <m/>
    <m/>
    <m/>
    <m/>
    <m/>
    <m/>
    <m/>
    <m/>
    <m/>
    <m/>
    <m/>
    <m/>
    <m/>
    <m/>
    <m/>
    <m/>
  </r>
  <r>
    <s v="Gas"/>
    <x v="0"/>
    <x v="0"/>
    <m/>
    <m/>
    <x v="0"/>
    <x v="1"/>
    <x v="4"/>
    <x v="22"/>
    <n v="76416.05"/>
    <n v="0"/>
    <n v="0"/>
    <n v="0"/>
    <n v="0"/>
    <n v="76416.05"/>
    <n v="74523.161692997848"/>
    <n v="0"/>
    <n v="0"/>
    <n v="0"/>
    <n v="0"/>
    <m/>
    <n v="0"/>
    <n v="76416.05"/>
    <n v="76416.05"/>
    <m/>
    <m/>
    <m/>
    <m/>
    <m/>
    <m/>
    <m/>
    <m/>
    <m/>
    <m/>
    <m/>
    <m/>
    <m/>
    <m/>
    <m/>
    <n v="0"/>
    <m/>
    <m/>
    <n v="0"/>
    <m/>
    <m/>
    <m/>
    <m/>
    <m/>
    <m/>
    <m/>
    <m/>
    <m/>
    <m/>
    <m/>
    <m/>
    <m/>
    <m/>
    <m/>
    <m/>
    <m/>
    <m/>
    <m/>
    <m/>
  </r>
  <r>
    <s v="Gas"/>
    <x v="0"/>
    <x v="0"/>
    <m/>
    <m/>
    <x v="0"/>
    <x v="1"/>
    <x v="4"/>
    <x v="23"/>
    <n v="12418.48"/>
    <n v="1397.52"/>
    <n v="0"/>
    <n v="0"/>
    <n v="465.84"/>
    <n v="14281.84"/>
    <n v="13928.067095767505"/>
    <n v="0"/>
    <n v="0"/>
    <n v="0"/>
    <n v="0"/>
    <m/>
    <n v="0"/>
    <n v="14281.84"/>
    <n v="14281.84"/>
    <m/>
    <m/>
    <m/>
    <m/>
    <m/>
    <m/>
    <m/>
    <m/>
    <m/>
    <m/>
    <m/>
    <m/>
    <m/>
    <m/>
    <m/>
    <n v="0"/>
    <m/>
    <m/>
    <n v="0"/>
    <m/>
    <m/>
    <m/>
    <m/>
    <m/>
    <m/>
    <m/>
    <m/>
    <m/>
    <m/>
    <m/>
    <m/>
    <m/>
    <m/>
    <m/>
    <m/>
    <m/>
    <m/>
    <m/>
    <m/>
  </r>
  <r>
    <s v="Gas"/>
    <x v="0"/>
    <x v="0"/>
    <m/>
    <m/>
    <x v="0"/>
    <x v="2"/>
    <x v="5"/>
    <x v="24"/>
    <n v="158025.63236938298"/>
    <n v="413932.73748325539"/>
    <n v="2665822.879999999"/>
    <n v="1014560.2175921092"/>
    <n v="259522.94131406007"/>
    <n v="4511864.408758807"/>
    <n v="4400101.8224681169"/>
    <n v="286076.3443334141"/>
    <n v="278989.99837469676"/>
    <n v="1205174.9722242861"/>
    <n v="1175321.7985413361"/>
    <m/>
    <n v="0"/>
    <n v="6003115.7253165068"/>
    <n v="6003115.7253165068"/>
    <n v="59"/>
    <n v="0"/>
    <n v="0"/>
    <n v="0"/>
    <n v="0"/>
    <n v="0"/>
    <m/>
    <n v="146583.6289899"/>
    <n v="158473.26520000002"/>
    <n v="1465836.289899"/>
    <n v="1584732.6520000002"/>
    <n v="25575881.526995603"/>
    <n v="27633617.267400008"/>
    <n v="0"/>
    <n v="0"/>
    <n v="0"/>
    <n v="0"/>
    <n v="0"/>
    <n v="0"/>
    <n v="0"/>
    <n v="0"/>
    <n v="0"/>
    <n v="0"/>
    <n v="0"/>
    <n v="0"/>
    <n v="0"/>
    <n v="0"/>
    <n v="0"/>
    <n v="0"/>
    <n v="20028057.274433125"/>
    <n v="1618903.5805732596"/>
    <n v="21646960.855006386"/>
    <n v="0"/>
    <n v="0"/>
    <n v="0"/>
    <n v="0"/>
    <n v="21646960.855006386"/>
    <n v="-47679.268591360713"/>
    <n v="21599281.586415026"/>
  </r>
  <r>
    <s v="Gas"/>
    <x v="0"/>
    <x v="0"/>
    <m/>
    <m/>
    <x v="0"/>
    <x v="2"/>
    <x v="5"/>
    <x v="25"/>
    <n v="72926.721528967711"/>
    <n v="12957.514529814371"/>
    <n v="4499766.55"/>
    <n v="2779849.1036442211"/>
    <n v="99413.861302586185"/>
    <n v="7464913.751005589"/>
    <n v="7280001.7076317426"/>
    <n v="168895.98688931824"/>
    <n v="164712.29460631777"/>
    <n v="1656763.5770333339"/>
    <n v="1615724.1827904561"/>
    <m/>
    <n v="0"/>
    <n v="9290573.3149282411"/>
    <n v="9290573.3149282411"/>
    <n v="1270"/>
    <n v="0"/>
    <n v="0"/>
    <n v="0"/>
    <n v="0"/>
    <n v="0"/>
    <m/>
    <n v="113746.15093201248"/>
    <n v="132913.42909032208"/>
    <n v="1137461.5093201248"/>
    <n v="1329134.2909032209"/>
    <n v="19544531.463131875"/>
    <n v="22797577.433548309"/>
    <n v="0"/>
    <n v="0"/>
    <n v="0"/>
    <n v="0"/>
    <n v="0"/>
    <n v="0"/>
    <n v="718863.12000000011"/>
    <n v="4313178.7200000007"/>
    <n v="0"/>
    <n v="0"/>
    <n v="0"/>
    <n v="0"/>
    <n v="0"/>
    <n v="0"/>
    <n v="0"/>
    <n v="0"/>
    <n v="14503128.96238512"/>
    <n v="1310056.4010537311"/>
    <n v="15813185.36343885"/>
    <n v="0"/>
    <n v="0"/>
    <n v="45515.889754948061"/>
    <n v="45515.889754948061"/>
    <n v="15858701.253193798"/>
    <n v="0"/>
    <n v="15858701.253193798"/>
  </r>
  <r>
    <s v="Gas"/>
    <x v="0"/>
    <x v="0"/>
    <m/>
    <m/>
    <x v="0"/>
    <x v="2"/>
    <x v="6"/>
    <x v="26"/>
    <n v="296253.05976652895"/>
    <n v="932324.63930875994"/>
    <n v="3678111.62"/>
    <n v="3545870.8568860865"/>
    <n v="318439.44007496204"/>
    <n v="8770999.6160363369"/>
    <n v="8553734.7533024531"/>
    <n v="512501.53224006662"/>
    <n v="499806.44844945055"/>
    <n v="3353920.949397143"/>
    <n v="3270841.5734319706"/>
    <m/>
    <n v="0"/>
    <n v="12637422.097673547"/>
    <n v="12637422.097673547"/>
    <n v="293"/>
    <n v="0"/>
    <n v="0"/>
    <n v="0"/>
    <n v="0"/>
    <n v="0"/>
    <m/>
    <n v="239473.20561486503"/>
    <n v="262992.35333499999"/>
    <n v="2394732.0561486501"/>
    <n v="2629923.5333500002"/>
    <n v="31062006.920261305"/>
    <n v="33995908.622700006"/>
    <n v="0"/>
    <n v="0"/>
    <n v="0"/>
    <n v="0"/>
    <n v="0"/>
    <n v="0"/>
    <n v="71422822.440000013"/>
    <n v="354153230.64000005"/>
    <n v="0"/>
    <n v="0"/>
    <n v="0"/>
    <n v="0"/>
    <n v="0"/>
    <n v="0"/>
    <n v="0"/>
    <n v="0"/>
    <n v="23879688.203624219"/>
    <n v="2375428.0023865663"/>
    <n v="26255116.206010785"/>
    <n v="0"/>
    <n v="0"/>
    <n v="3754150.0405626106"/>
    <n v="3754150.0405626106"/>
    <n v="30009266.246573396"/>
    <n v="9703441.5931437127"/>
    <n v="39712707.839717105"/>
  </r>
  <r>
    <s v="Gas"/>
    <x v="0"/>
    <x v="0"/>
    <m/>
    <m/>
    <x v="0"/>
    <x v="2"/>
    <x v="6"/>
    <x v="27"/>
    <n v="25051.681668764013"/>
    <n v="115793.47340074342"/>
    <n v="247951.82000000004"/>
    <n v="44547.929513031413"/>
    <n v="20152.331590891728"/>
    <n v="453497.23617343057"/>
    <n v="442263.73724734789"/>
    <n v="38994.014986591581"/>
    <n v="38028.101215712479"/>
    <n v="14970.027113333346"/>
    <n v="14599.207249203575"/>
    <m/>
    <n v="0"/>
    <n v="507461.27827335551"/>
    <n v="507461.27827335551"/>
    <n v="292"/>
    <n v="0"/>
    <n v="0"/>
    <n v="0"/>
    <n v="0"/>
    <n v="0"/>
    <m/>
    <n v="9903.3039540000027"/>
    <n v="11460.416000000001"/>
    <n v="99033.039540000027"/>
    <n v="114604.16"/>
    <n v="1093088.2892150003"/>
    <n v="1253905.4850000001"/>
    <n v="0"/>
    <n v="0"/>
    <n v="0"/>
    <n v="0"/>
    <n v="0"/>
    <n v="0"/>
    <n v="36044980.560000002"/>
    <n v="177578547.12"/>
    <n v="0"/>
    <n v="0"/>
    <n v="0"/>
    <n v="0"/>
    <n v="0"/>
    <n v="0"/>
    <n v="0"/>
    <n v="0"/>
    <n v="777335.19924131921"/>
    <n v="97538.482713408608"/>
    <n v="874873.68195472786"/>
    <n v="0"/>
    <n v="0"/>
    <n v="1882610.9512442797"/>
    <n v="1882610.9512442797"/>
    <n v="2757484.6331990077"/>
    <n v="18569.117329559533"/>
    <n v="2776053.7505285675"/>
  </r>
  <r>
    <s v="Gas"/>
    <x v="0"/>
    <x v="0"/>
    <m/>
    <m/>
    <x v="0"/>
    <x v="2"/>
    <x v="6"/>
    <x v="28"/>
    <n v="97739.689463608374"/>
    <n v="91787.622044986725"/>
    <n v="2074223.93"/>
    <n v="396991.31628183636"/>
    <n v="139202.84610862291"/>
    <n v="2799945.4038990545"/>
    <n v="2730588.4570889939"/>
    <n v="62934.748037652229"/>
    <n v="61375.802650333746"/>
    <n v="-155141.12984999994"/>
    <n v="-151298.15667056752"/>
    <m/>
    <n v="0"/>
    <n v="2707739.0220867065"/>
    <n v="2707739.0220867065"/>
    <n v="146"/>
    <n v="0"/>
    <n v="0"/>
    <n v="0"/>
    <n v="0"/>
    <n v="0"/>
    <m/>
    <n v="19671.953964999997"/>
    <n v="23285.760356788858"/>
    <n v="196719.53964999996"/>
    <n v="232857.60356788858"/>
    <n v="3090467.9789299993"/>
    <n v="3647456.8287166832"/>
    <n v="0"/>
    <n v="0"/>
    <n v="0"/>
    <n v="0"/>
    <n v="0"/>
    <n v="0"/>
    <n v="1280550.8999999999"/>
    <n v="8963856.2999999989"/>
    <n v="0"/>
    <n v="0"/>
    <n v="0"/>
    <n v="0"/>
    <n v="0"/>
    <n v="0"/>
    <n v="0"/>
    <n v="0"/>
    <n v="2615498.5591259706"/>
    <n v="196634.14661481645"/>
    <n v="2812132.7057407871"/>
    <n v="0"/>
    <n v="0"/>
    <n v="95629.986452078097"/>
    <n v="95629.986452078097"/>
    <n v="2907762.6921928651"/>
    <n v="2593846.4447672116"/>
    <n v="5501609.1369600762"/>
  </r>
  <r>
    <s v="Gas"/>
    <x v="0"/>
    <x v="0"/>
    <m/>
    <m/>
    <x v="0"/>
    <x v="2"/>
    <x v="6"/>
    <x v="29"/>
    <m/>
    <m/>
    <m/>
    <m/>
    <m/>
    <n v="0"/>
    <n v="0"/>
    <n v="0"/>
    <n v="0"/>
    <n v="0"/>
    <n v="0"/>
    <m/>
    <n v="0"/>
    <n v="0"/>
    <n v="0"/>
    <m/>
    <n v="0"/>
    <n v="0"/>
    <n v="0"/>
    <m/>
    <n v="0"/>
    <m/>
    <n v="0"/>
    <m/>
    <n v="0"/>
    <m/>
    <n v="0"/>
    <m/>
    <n v="0"/>
    <m/>
    <n v="0"/>
    <m/>
    <n v="0"/>
    <n v="0"/>
    <n v="0"/>
    <n v="0"/>
    <n v="0"/>
    <n v="0"/>
    <n v="0"/>
    <n v="0"/>
    <n v="0"/>
    <n v="0"/>
    <n v="0"/>
    <n v="0"/>
    <n v="0"/>
    <n v="0"/>
    <n v="0"/>
    <n v="0"/>
    <n v="0"/>
    <m/>
    <n v="0"/>
    <n v="0"/>
    <n v="0"/>
    <n v="0"/>
  </r>
  <r>
    <s v="Gas"/>
    <x v="0"/>
    <x v="0"/>
    <m/>
    <m/>
    <x v="0"/>
    <x v="2"/>
    <x v="7"/>
    <x v="30"/>
    <n v="0"/>
    <n v="187356.46999999997"/>
    <n v="0"/>
    <n v="0"/>
    <n v="0"/>
    <n v="187356.46999999997"/>
    <n v="182715.49639165201"/>
    <n v="0"/>
    <n v="0"/>
    <n v="0"/>
    <n v="0"/>
    <m/>
    <n v="0"/>
    <n v="187356.46999999997"/>
    <n v="187356.46999999997"/>
    <m/>
    <m/>
    <m/>
    <m/>
    <m/>
    <m/>
    <m/>
    <m/>
    <m/>
    <m/>
    <m/>
    <m/>
    <m/>
    <m/>
    <m/>
    <n v="0"/>
    <m/>
    <m/>
    <n v="0"/>
    <m/>
    <m/>
    <m/>
    <m/>
    <m/>
    <m/>
    <m/>
    <m/>
    <m/>
    <m/>
    <m/>
    <m/>
    <m/>
    <m/>
    <m/>
    <m/>
    <m/>
    <m/>
    <m/>
    <m/>
  </r>
  <r>
    <s v="Gas"/>
    <x v="0"/>
    <x v="0"/>
    <m/>
    <m/>
    <x v="0"/>
    <x v="2"/>
    <x v="7"/>
    <x v="31"/>
    <n v="1752.09"/>
    <n v="0"/>
    <n v="0"/>
    <n v="0"/>
    <n v="0"/>
    <n v="1752.09"/>
    <n v="1708.6892919836159"/>
    <n v="0"/>
    <n v="0"/>
    <n v="0"/>
    <n v="0"/>
    <m/>
    <n v="0"/>
    <n v="1752.09"/>
    <n v="1752.09"/>
    <m/>
    <m/>
    <m/>
    <m/>
    <m/>
    <m/>
    <m/>
    <m/>
    <m/>
    <m/>
    <m/>
    <m/>
    <m/>
    <m/>
    <m/>
    <n v="0"/>
    <m/>
    <m/>
    <n v="0"/>
    <m/>
    <m/>
    <m/>
    <m/>
    <m/>
    <m/>
    <m/>
    <m/>
    <m/>
    <m/>
    <m/>
    <m/>
    <m/>
    <m/>
    <m/>
    <m/>
    <m/>
    <m/>
    <m/>
    <m/>
  </r>
  <r>
    <s v="Gas"/>
    <x v="0"/>
    <x v="0"/>
    <m/>
    <m/>
    <x v="0"/>
    <x v="2"/>
    <x v="7"/>
    <x v="32"/>
    <n v="299996.16000000003"/>
    <n v="0"/>
    <n v="0"/>
    <n v="0"/>
    <n v="0"/>
    <n v="299996.16000000003"/>
    <n v="292565.00877706264"/>
    <n v="0"/>
    <n v="0"/>
    <n v="0"/>
    <n v="0"/>
    <m/>
    <n v="0"/>
    <n v="299996.16000000003"/>
    <n v="299996.16000000003"/>
    <m/>
    <m/>
    <m/>
    <m/>
    <m/>
    <m/>
    <m/>
    <m/>
    <m/>
    <m/>
    <m/>
    <m/>
    <m/>
    <m/>
    <m/>
    <n v="0"/>
    <m/>
    <m/>
    <n v="0"/>
    <m/>
    <m/>
    <m/>
    <m/>
    <m/>
    <m/>
    <m/>
    <m/>
    <m/>
    <m/>
    <m/>
    <m/>
    <m/>
    <m/>
    <m/>
    <m/>
    <m/>
    <m/>
    <m/>
    <m/>
  </r>
  <r>
    <s v="Gas"/>
    <x v="0"/>
    <x v="0"/>
    <m/>
    <m/>
    <x v="0"/>
    <x v="2"/>
    <x v="7"/>
    <x v="33"/>
    <n v="32545.839999999997"/>
    <n v="0"/>
    <n v="0"/>
    <n v="0"/>
    <n v="0"/>
    <n v="32545.839999999997"/>
    <n v="31739.65281841232"/>
    <n v="0"/>
    <n v="0"/>
    <n v="0"/>
    <n v="0"/>
    <m/>
    <n v="0"/>
    <n v="32545.839999999997"/>
    <n v="32545.839999999997"/>
    <m/>
    <m/>
    <m/>
    <m/>
    <m/>
    <m/>
    <m/>
    <m/>
    <m/>
    <m/>
    <m/>
    <m/>
    <m/>
    <m/>
    <m/>
    <n v="0"/>
    <m/>
    <m/>
    <n v="0"/>
    <m/>
    <m/>
    <m/>
    <m/>
    <m/>
    <m/>
    <m/>
    <m/>
    <m/>
    <m/>
    <m/>
    <m/>
    <m/>
    <m/>
    <m/>
    <m/>
    <m/>
    <m/>
    <m/>
    <m/>
  </r>
  <r>
    <s v="Gas"/>
    <x v="0"/>
    <x v="0"/>
    <m/>
    <m/>
    <x v="0"/>
    <x v="2"/>
    <x v="7"/>
    <x v="34"/>
    <n v="27992.78"/>
    <n v="1269.18"/>
    <n v="0"/>
    <n v="0"/>
    <n v="423.06"/>
    <n v="29685.02"/>
    <n v="28949.697678954552"/>
    <n v="0"/>
    <n v="0"/>
    <n v="0"/>
    <n v="0"/>
    <m/>
    <n v="0"/>
    <n v="29685.02"/>
    <n v="29685.02"/>
    <m/>
    <m/>
    <m/>
    <m/>
    <m/>
    <m/>
    <m/>
    <m/>
    <m/>
    <m/>
    <m/>
    <m/>
    <m/>
    <m/>
    <m/>
    <n v="0"/>
    <m/>
    <m/>
    <n v="0"/>
    <m/>
    <m/>
    <m/>
    <m/>
    <m/>
    <m/>
    <m/>
    <m/>
    <m/>
    <m/>
    <m/>
    <m/>
    <m/>
    <m/>
    <m/>
    <m/>
    <m/>
    <m/>
    <m/>
    <m/>
  </r>
  <r>
    <s v="Gas"/>
    <x v="0"/>
    <x v="0"/>
    <m/>
    <m/>
    <x v="0"/>
    <x v="2"/>
    <x v="7"/>
    <x v="35"/>
    <n v="0"/>
    <n v="0"/>
    <n v="0"/>
    <n v="3645.5099999999989"/>
    <n v="0"/>
    <n v="3645.5099999999989"/>
    <n v="3555.2077238150951"/>
    <n v="0"/>
    <n v="0"/>
    <n v="0"/>
    <n v="0"/>
    <m/>
    <n v="0"/>
    <n v="3645.5099999999989"/>
    <n v="3645.5099999999989"/>
    <m/>
    <m/>
    <m/>
    <m/>
    <m/>
    <m/>
    <m/>
    <m/>
    <m/>
    <m/>
    <m/>
    <m/>
    <m/>
    <m/>
    <m/>
    <n v="0"/>
    <m/>
    <m/>
    <n v="0"/>
    <m/>
    <m/>
    <m/>
    <m/>
    <m/>
    <m/>
    <m/>
    <m/>
    <m/>
    <m/>
    <m/>
    <m/>
    <m/>
    <m/>
    <m/>
    <m/>
    <m/>
    <m/>
    <m/>
    <m/>
  </r>
  <r>
    <s v="Gas"/>
    <x v="0"/>
    <x v="0"/>
    <m/>
    <m/>
    <x v="0"/>
    <x v="2"/>
    <x v="7"/>
    <x v="36"/>
    <n v="4070.54"/>
    <n v="655.8"/>
    <n v="0"/>
    <n v="22471.75"/>
    <n v="1594.5"/>
    <n v="28792.59"/>
    <n v="28079.37390286717"/>
    <n v="0"/>
    <n v="0"/>
    <n v="0"/>
    <n v="0"/>
    <m/>
    <n v="0"/>
    <n v="28792.59"/>
    <n v="28792.59"/>
    <m/>
    <m/>
    <m/>
    <m/>
    <m/>
    <m/>
    <m/>
    <m/>
    <m/>
    <m/>
    <m/>
    <m/>
    <m/>
    <m/>
    <m/>
    <n v="0"/>
    <m/>
    <m/>
    <n v="0"/>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SavingsYear1" cacheId="2" applyNumberFormats="0" applyBorderFormats="0" applyFontFormats="0" applyPatternFormats="0" applyAlignmentFormats="0" applyWidthHeightFormats="1" dataCaption="Values" updatedVersion="4" minRefreshableVersion="3" showDrill="0" showDataTips="0" itemPrintTitles="1" createdVersion="4" indent="0" showHeaders="0" outline="1" outlineData="1" multipleFieldFilters="0">
  <location ref="B16:O65" firstHeaderRow="0" firstDataRow="1" firstDataCol="1" rowPageCount="3" colPageCount="1"/>
  <pivotFields count="75">
    <pivotField showAll="0" defaultSubtotal="0"/>
    <pivotField axis="axisPage" showAll="0">
      <items count="3">
        <item x="0"/>
        <item m="1" x="1"/>
        <item t="default"/>
      </items>
    </pivotField>
    <pivotField axis="axisPage" multipleItemSelectionAllowed="1" showAll="0">
      <items count="4">
        <item m="1" x="2"/>
        <item x="0"/>
        <item h="1" m="1" x="1"/>
        <item t="default"/>
      </items>
    </pivotField>
    <pivotField showAll="0" defaultSubtotal="0"/>
    <pivotField showAll="0" defaultSubtotal="0"/>
    <pivotField axis="axisPage" showAll="0">
      <items count="4">
        <item m="1" x="2"/>
        <item x="0"/>
        <item m="1" x="1"/>
        <item t="default"/>
      </items>
    </pivotField>
    <pivotField axis="axisRow" showAll="0">
      <items count="6">
        <item x="0"/>
        <item m="1" x="4"/>
        <item x="1"/>
        <item x="2"/>
        <item m="1" x="3"/>
        <item t="default"/>
      </items>
    </pivotField>
    <pivotField axis="axisRow" showAll="0">
      <items count="10">
        <item x="0"/>
        <item x="1"/>
        <item x="2"/>
        <item x="3"/>
        <item x="4"/>
        <item x="5"/>
        <item x="6"/>
        <item x="7"/>
        <item m="1" x="8"/>
        <item t="default"/>
      </items>
    </pivotField>
    <pivotField axis="axisRow" showAll="0">
      <items count="42">
        <item x="0"/>
        <item x="1"/>
        <item x="2"/>
        <item x="3"/>
        <item x="4"/>
        <item m="1" x="40"/>
        <item x="6"/>
        <item x="7"/>
        <item x="8"/>
        <item x="9"/>
        <item x="10"/>
        <item x="11"/>
        <item x="12"/>
        <item x="13"/>
        <item x="14"/>
        <item x="15"/>
        <item x="16"/>
        <item x="17"/>
        <item x="18"/>
        <item x="19"/>
        <item x="20"/>
        <item x="21"/>
        <item x="22"/>
        <item x="23"/>
        <item x="24"/>
        <item x="26"/>
        <item x="27"/>
        <item m="1" x="39"/>
        <item x="29"/>
        <item x="30"/>
        <item x="31"/>
        <item x="32"/>
        <item x="33"/>
        <item x="34"/>
        <item x="35"/>
        <item x="36"/>
        <item m="1" x="38"/>
        <item x="5"/>
        <item x="25"/>
        <item x="28"/>
        <item m="1" x="37"/>
        <item t="default"/>
      </items>
    </pivotField>
    <pivotField numFmtId="170" showAll="0"/>
    <pivotField numFmtId="170" showAll="0"/>
    <pivotField numFmtId="170" showAll="0"/>
    <pivotField numFmtId="170" showAll="0"/>
    <pivotField numFmtId="170" showAll="0"/>
    <pivotField numFmtId="170" showAll="0"/>
    <pivotField numFmtId="170" showAll="0" defaultSubtotal="0"/>
    <pivotField numFmtId="170" showAll="0"/>
    <pivotField numFmtId="170" showAll="0" defaultSubtotal="0"/>
    <pivotField numFmtId="170" showAll="0"/>
    <pivotField numFmtId="170" showAll="0" defaultSubtotal="0"/>
    <pivotField showAll="0"/>
    <pivotField showAll="0" defaultSubtotal="0"/>
    <pivotField numFmtId="170" showAll="0"/>
    <pivotField numFmtId="170" showAll="0" defaultSubtotal="0"/>
    <pivotField dataField="1" showAl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6"/>
    <field x="7"/>
    <field x="8"/>
  </rowFields>
  <rowItems count="49">
    <i>
      <x/>
    </i>
    <i r="1">
      <x/>
    </i>
    <i r="2">
      <x/>
    </i>
    <i r="2">
      <x v="1"/>
    </i>
    <i r="2">
      <x v="2"/>
    </i>
    <i r="2">
      <x v="3"/>
    </i>
    <i r="2">
      <x v="4"/>
    </i>
    <i r="1">
      <x v="1"/>
    </i>
    <i r="2">
      <x v="6"/>
    </i>
    <i r="2">
      <x v="7"/>
    </i>
    <i r="2">
      <x v="37"/>
    </i>
    <i r="1">
      <x v="2"/>
    </i>
    <i r="2">
      <x v="8"/>
    </i>
    <i r="2">
      <x v="9"/>
    </i>
    <i r="2">
      <x v="10"/>
    </i>
    <i r="2">
      <x v="11"/>
    </i>
    <i r="2">
      <x v="12"/>
    </i>
    <i r="2">
      <x v="13"/>
    </i>
    <i r="2">
      <x v="14"/>
    </i>
    <i r="2">
      <x v="15"/>
    </i>
    <i r="2">
      <x v="16"/>
    </i>
    <i>
      <x v="2"/>
    </i>
    <i r="1">
      <x v="3"/>
    </i>
    <i r="2">
      <x v="17"/>
    </i>
    <i r="2">
      <x v="18"/>
    </i>
    <i r="1">
      <x v="4"/>
    </i>
    <i r="2">
      <x v="19"/>
    </i>
    <i r="2">
      <x v="20"/>
    </i>
    <i r="2">
      <x v="21"/>
    </i>
    <i r="2">
      <x v="22"/>
    </i>
    <i r="2">
      <x v="23"/>
    </i>
    <i>
      <x v="3"/>
    </i>
    <i r="1">
      <x v="5"/>
    </i>
    <i r="2">
      <x v="24"/>
    </i>
    <i r="2">
      <x v="38"/>
    </i>
    <i r="1">
      <x v="6"/>
    </i>
    <i r="2">
      <x v="25"/>
    </i>
    <i r="2">
      <x v="26"/>
    </i>
    <i r="2">
      <x v="28"/>
    </i>
    <i r="2">
      <x v="39"/>
    </i>
    <i r="1">
      <x v="7"/>
    </i>
    <i r="2">
      <x v="29"/>
    </i>
    <i r="2">
      <x v="30"/>
    </i>
    <i r="2">
      <x v="31"/>
    </i>
    <i r="2">
      <x v="32"/>
    </i>
    <i r="2">
      <x v="33"/>
    </i>
    <i r="2">
      <x v="34"/>
    </i>
    <i r="2">
      <x v="35"/>
    </i>
    <i t="grand">
      <x/>
    </i>
  </rowItems>
  <colFields count="1">
    <field x="-2"/>
  </colFields>
  <colItems count="13">
    <i>
      <x/>
    </i>
    <i i="1">
      <x v="1"/>
    </i>
    <i i="2">
      <x v="2"/>
    </i>
    <i i="3">
      <x v="3"/>
    </i>
    <i i="4">
      <x v="4"/>
    </i>
    <i i="5">
      <x v="5"/>
    </i>
    <i i="6">
      <x v="6"/>
    </i>
    <i i="7">
      <x v="7"/>
    </i>
    <i i="8">
      <x v="8"/>
    </i>
    <i i="9">
      <x v="9"/>
    </i>
    <i i="10">
      <x v="10"/>
    </i>
    <i i="11">
      <x v="11"/>
    </i>
    <i i="12">
      <x v="12"/>
    </i>
  </colItems>
  <pageFields count="3">
    <pageField fld="1" item="0" hier="-1"/>
    <pageField fld="5" item="1" hier="-1"/>
    <pageField fld="2" hier="-1"/>
  </pageFields>
  <dataFields count="13">
    <dataField name="Sum of Participants" fld="24" baseField="6" baseItem="0"/>
    <dataField name="Sum of Net Summer Capacity (kW)" fld="26" baseField="6" baseItem="0"/>
    <dataField name="Sum of Net Winter Capacity (kW)" fld="25" baseField="6" baseItem="0"/>
    <dataField name="Sum of Net Annual Energy (MWh)" fld="27" baseField="8" baseItem="2"/>
    <dataField name="Sum of Net Lifetime Energy (MWh)" fld="29" baseField="6" baseItem="0"/>
    <dataField name="Sum of Net Annual Natural Gas (Therms)" fld="33" baseField="8" baseItem="9"/>
    <dataField name="Sum of Net Lifetime Natural Gas, Therms" fld="35" baseField="6" baseItem="0"/>
    <dataField name="Sum of Net Annual Oil (MMBTU)" fld="37" baseField="8" baseItem="9"/>
    <dataField name="Sum of Net Lifetime Oil, MMBTU" fld="39" baseField="6" baseItem="0"/>
    <dataField name="Sum of Net Annual Propane (MMBTU)" fld="41" baseField="6" baseItem="0"/>
    <dataField name="Sum of Net Lifetime Propane (MMBTU)" fld="42" baseField="6" baseItem="0"/>
    <dataField name="Sum of Net Annual Water (Gallons)" fld="43" baseField="6" baseItem="0"/>
    <dataField name="Sum of Net Lifetime Water (Gallons)" fld="44" baseField="6" baseItem="0"/>
  </dataFields>
  <formats count="81">
    <format dxfId="360">
      <pivotArea outline="0" collapsedLevelsAreSubtotals="1" fieldPosition="0"/>
    </format>
    <format dxfId="359">
      <pivotArea field="7" type="button" dataOnly="0" labelOnly="1" outline="0" axis="axisRow" fieldPosition="1"/>
    </format>
    <format dxfId="358">
      <pivotArea outline="0" collapsedLevelsAreSubtotals="1" fieldPosition="0"/>
    </format>
    <format dxfId="357">
      <pivotArea dataOnly="0" labelOnly="1" fieldPosition="0">
        <references count="1">
          <reference field="6" count="0"/>
        </references>
      </pivotArea>
    </format>
    <format dxfId="356">
      <pivotArea dataOnly="0" labelOnly="1" grandRow="1" outline="0" fieldPosition="0"/>
    </format>
    <format dxfId="355">
      <pivotArea dataOnly="0" labelOnly="1" fieldPosition="0">
        <references count="2">
          <reference field="6" count="1" selected="0">
            <x v="0"/>
          </reference>
          <reference field="7" count="0"/>
        </references>
      </pivotArea>
    </format>
    <format dxfId="354">
      <pivotArea outline="0" collapsedLevelsAreSubtotals="1" fieldPosition="0"/>
    </format>
    <format dxfId="353">
      <pivotArea dataOnly="0" labelOnly="1" fieldPosition="0">
        <references count="1">
          <reference field="6" count="0"/>
        </references>
      </pivotArea>
    </format>
    <format dxfId="352">
      <pivotArea dataOnly="0" labelOnly="1" fieldPosition="0">
        <references count="2">
          <reference field="6" count="1" selected="0">
            <x v="0"/>
          </reference>
          <reference field="7" count="0"/>
        </references>
      </pivotArea>
    </format>
    <format dxfId="351">
      <pivotArea dataOnly="0" labelOnly="1" grandRow="1" outline="0" fieldPosition="0"/>
    </format>
    <format dxfId="350">
      <pivotArea outline="0" collapsedLevelsAreSubtotals="1" fieldPosition="0"/>
    </format>
    <format dxfId="349">
      <pivotArea dataOnly="0" labelOnly="1" fieldPosition="0">
        <references count="1">
          <reference field="6" count="0"/>
        </references>
      </pivotArea>
    </format>
    <format dxfId="348">
      <pivotArea dataOnly="0" labelOnly="1" grandRow="1" outline="0" fieldPosition="0"/>
    </format>
    <format dxfId="347">
      <pivotArea dataOnly="0" labelOnly="1" fieldPosition="0">
        <references count="2">
          <reference field="6" count="1" selected="0">
            <x v="0"/>
          </reference>
          <reference field="7" count="0"/>
        </references>
      </pivotArea>
    </format>
    <format dxfId="346">
      <pivotArea collapsedLevelsAreSubtotals="1" fieldPosition="0">
        <references count="1">
          <reference field="6" count="1">
            <x v="0"/>
          </reference>
        </references>
      </pivotArea>
    </format>
    <format dxfId="345">
      <pivotArea dataOnly="0" labelOnly="1" fieldPosition="0">
        <references count="1">
          <reference field="6" count="1">
            <x v="0"/>
          </reference>
        </references>
      </pivotArea>
    </format>
    <format dxfId="344">
      <pivotArea collapsedLevelsAreSubtotals="1" fieldPosition="0">
        <references count="1">
          <reference field="6" count="1">
            <x v="0"/>
          </reference>
        </references>
      </pivotArea>
    </format>
    <format dxfId="343">
      <pivotArea dataOnly="0" labelOnly="1" fieldPosition="0">
        <references count="1">
          <reference field="6" count="1">
            <x v="0"/>
          </reference>
        </references>
      </pivotArea>
    </format>
    <format dxfId="342">
      <pivotArea collapsedLevelsAreSubtotals="1" fieldPosition="0">
        <references count="1">
          <reference field="6" count="1">
            <x v="0"/>
          </reference>
        </references>
      </pivotArea>
    </format>
    <format dxfId="341">
      <pivotArea dataOnly="0" labelOnly="1" fieldPosition="0">
        <references count="1">
          <reference field="6" count="1">
            <x v="0"/>
          </reference>
        </references>
      </pivotArea>
    </format>
    <format dxfId="340">
      <pivotArea collapsedLevelsAreSubtotals="1" fieldPosition="0">
        <references count="1">
          <reference field="6" count="1">
            <x v="1"/>
          </reference>
        </references>
      </pivotArea>
    </format>
    <format dxfId="339">
      <pivotArea dataOnly="0" labelOnly="1" fieldPosition="0">
        <references count="1">
          <reference field="6" count="1">
            <x v="1"/>
          </reference>
        </references>
      </pivotArea>
    </format>
    <format dxfId="338">
      <pivotArea collapsedLevelsAreSubtotals="1" fieldPosition="0">
        <references count="1">
          <reference field="6" count="1">
            <x v="1"/>
          </reference>
        </references>
      </pivotArea>
    </format>
    <format dxfId="337">
      <pivotArea dataOnly="0" labelOnly="1" fieldPosition="0">
        <references count="1">
          <reference field="6" count="1">
            <x v="1"/>
          </reference>
        </references>
      </pivotArea>
    </format>
    <format dxfId="336">
      <pivotArea collapsedLevelsAreSubtotals="1" fieldPosition="0">
        <references count="1">
          <reference field="6" count="1">
            <x v="1"/>
          </reference>
        </references>
      </pivotArea>
    </format>
    <format dxfId="335">
      <pivotArea dataOnly="0" labelOnly="1" fieldPosition="0">
        <references count="1">
          <reference field="6" count="1">
            <x v="1"/>
          </reference>
        </references>
      </pivotArea>
    </format>
    <format dxfId="334">
      <pivotArea collapsedLevelsAreSubtotals="1" fieldPosition="0">
        <references count="1">
          <reference field="6" count="1">
            <x v="3"/>
          </reference>
        </references>
      </pivotArea>
    </format>
    <format dxfId="333">
      <pivotArea dataOnly="0" labelOnly="1" fieldPosition="0">
        <references count="1">
          <reference field="6" count="1">
            <x v="3"/>
          </reference>
        </references>
      </pivotArea>
    </format>
    <format dxfId="332">
      <pivotArea collapsedLevelsAreSubtotals="1" fieldPosition="0">
        <references count="1">
          <reference field="6" count="1">
            <x v="3"/>
          </reference>
        </references>
      </pivotArea>
    </format>
    <format dxfId="331">
      <pivotArea dataOnly="0" labelOnly="1" fieldPosition="0">
        <references count="1">
          <reference field="6" count="1">
            <x v="3"/>
          </reference>
        </references>
      </pivotArea>
    </format>
    <format dxfId="330">
      <pivotArea collapsedLevelsAreSubtotals="1" fieldPosition="0">
        <references count="1">
          <reference field="6" count="1">
            <x v="3"/>
          </reference>
        </references>
      </pivotArea>
    </format>
    <format dxfId="329">
      <pivotArea dataOnly="0" labelOnly="1" fieldPosition="0">
        <references count="1">
          <reference field="6" count="1">
            <x v="3"/>
          </reference>
        </references>
      </pivotArea>
    </format>
    <format dxfId="328">
      <pivotArea dataOnly="0" labelOnly="1" fieldPosition="0">
        <references count="1">
          <reference field="7" count="0"/>
        </references>
      </pivotArea>
    </format>
    <format dxfId="327">
      <pivotArea dataOnly="0" labelOnly="1" grandRow="1" outline="0" fieldPosition="0"/>
    </format>
    <format dxfId="326">
      <pivotArea type="all" dataOnly="0" outline="0" fieldPosition="0"/>
    </format>
    <format dxfId="325">
      <pivotArea field="1" type="button" dataOnly="0" labelOnly="1" outline="0" axis="axisPage" fieldPosition="0"/>
    </format>
    <format dxfId="324">
      <pivotArea field="2" type="button" dataOnly="0" labelOnly="1" outline="0" axis="axisPage" fieldPosition="2"/>
    </format>
    <format dxfId="323">
      <pivotArea field="5" type="button" dataOnly="0" labelOnly="1" outline="0" axis="axisPage" fieldPosition="1"/>
    </format>
    <format dxfId="322">
      <pivotArea grandRow="1" outline="0" collapsedLevelsAreSubtotals="1" fieldPosition="0"/>
    </format>
    <format dxfId="321">
      <pivotArea type="all" dataOnly="0" outline="0" fieldPosition="0"/>
    </format>
    <format dxfId="320">
      <pivotArea dataOnly="0" labelOnly="1" outline="0" fieldPosition="0">
        <references count="1">
          <reference field="4294967294" count="1">
            <x v="0"/>
          </reference>
        </references>
      </pivotArea>
    </format>
    <format dxfId="319">
      <pivotArea collapsedLevelsAreSubtotals="1" fieldPosition="0">
        <references count="4">
          <reference field="4294967294" count="7" selected="0">
            <x v="5"/>
            <x v="6"/>
            <x v="7"/>
            <x v="8"/>
            <x v="9"/>
            <x v="10"/>
            <x v="11"/>
          </reference>
          <reference field="6" count="1" selected="0">
            <x v="0"/>
          </reference>
          <reference field="7" count="1" selected="0">
            <x v="1"/>
          </reference>
          <reference field="8" count="1">
            <x v="37"/>
          </reference>
        </references>
      </pivotArea>
    </format>
    <format dxfId="318">
      <pivotArea collapsedLevelsAreSubtotals="1" fieldPosition="0">
        <references count="4">
          <reference field="4294967294" count="6" selected="0">
            <x v="1"/>
            <x v="2"/>
            <x v="3"/>
            <x v="4"/>
            <x v="5"/>
            <x v="6"/>
          </reference>
          <reference field="6" count="1" selected="0">
            <x v="0"/>
          </reference>
          <reference field="7" count="1" selected="0">
            <x v="0"/>
          </reference>
          <reference field="8" count="4">
            <x v="1"/>
            <x v="2"/>
            <x v="3"/>
            <x v="4"/>
          </reference>
        </references>
      </pivotArea>
    </format>
    <format dxfId="317">
      <pivotArea collapsedLevelsAreSubtotals="1" fieldPosition="0">
        <references count="4">
          <reference field="4294967294" count="6" selected="0">
            <x v="1"/>
            <x v="2"/>
            <x v="3"/>
            <x v="4"/>
            <x v="5"/>
            <x v="6"/>
          </reference>
          <reference field="6" count="1" selected="0">
            <x v="0"/>
          </reference>
          <reference field="7" count="1" selected="0">
            <x v="1"/>
          </reference>
          <reference field="8" count="3">
            <x v="6"/>
            <x v="7"/>
            <x v="37"/>
          </reference>
        </references>
      </pivotArea>
    </format>
    <format dxfId="316">
      <pivotArea collapsedLevelsAreSubtotals="1" fieldPosition="0">
        <references count="3">
          <reference field="4294967294" count="6" selected="0">
            <x v="1"/>
            <x v="2"/>
            <x v="3"/>
            <x v="4"/>
            <x v="5"/>
            <x v="6"/>
          </reference>
          <reference field="6" count="1" selected="0">
            <x v="0"/>
          </reference>
          <reference field="7" count="1">
            <x v="2"/>
          </reference>
        </references>
      </pivotArea>
    </format>
    <format dxfId="315">
      <pivotArea collapsedLevelsAreSubtotals="1" fieldPosition="0">
        <references count="4">
          <reference field="4294967294" count="6" selected="0">
            <x v="1"/>
            <x v="2"/>
            <x v="3"/>
            <x v="4"/>
            <x v="5"/>
            <x v="6"/>
          </reference>
          <reference field="6" count="1" selected="0">
            <x v="0"/>
          </reference>
          <reference field="7" count="1" selected="0">
            <x v="2"/>
          </reference>
          <reference field="8" count="9">
            <x v="8"/>
            <x v="9"/>
            <x v="10"/>
            <x v="11"/>
            <x v="12"/>
            <x v="13"/>
            <x v="14"/>
            <x v="15"/>
            <x v="16"/>
          </reference>
        </references>
      </pivotArea>
    </format>
    <format dxfId="314">
      <pivotArea collapsedLevelsAreSubtotals="1" fieldPosition="0">
        <references count="2">
          <reference field="4294967294" count="6" selected="0">
            <x v="1"/>
            <x v="2"/>
            <x v="3"/>
            <x v="4"/>
            <x v="5"/>
            <x v="6"/>
          </reference>
          <reference field="6" count="1">
            <x v="2"/>
          </reference>
        </references>
      </pivotArea>
    </format>
    <format dxfId="313">
      <pivotArea collapsedLevelsAreSubtotals="1" fieldPosition="0">
        <references count="3">
          <reference field="4294967294" count="6" selected="0">
            <x v="1"/>
            <x v="2"/>
            <x v="3"/>
            <x v="4"/>
            <x v="5"/>
            <x v="6"/>
          </reference>
          <reference field="6" count="1" selected="0">
            <x v="2"/>
          </reference>
          <reference field="7" count="1">
            <x v="3"/>
          </reference>
        </references>
      </pivotArea>
    </format>
    <format dxfId="312">
      <pivotArea collapsedLevelsAreSubtotals="1" fieldPosition="0">
        <references count="4">
          <reference field="4294967294" count="6" selected="0">
            <x v="1"/>
            <x v="2"/>
            <x v="3"/>
            <x v="4"/>
            <x v="5"/>
            <x v="6"/>
          </reference>
          <reference field="6" count="1" selected="0">
            <x v="2"/>
          </reference>
          <reference field="7" count="1" selected="0">
            <x v="3"/>
          </reference>
          <reference field="8" count="2">
            <x v="17"/>
            <x v="18"/>
          </reference>
        </references>
      </pivotArea>
    </format>
    <format dxfId="311">
      <pivotArea collapsedLevelsAreSubtotals="1" fieldPosition="0">
        <references count="3">
          <reference field="4294967294" count="6" selected="0">
            <x v="1"/>
            <x v="2"/>
            <x v="3"/>
            <x v="4"/>
            <x v="5"/>
            <x v="6"/>
          </reference>
          <reference field="6" count="1" selected="0">
            <x v="2"/>
          </reference>
          <reference field="7" count="1">
            <x v="4"/>
          </reference>
        </references>
      </pivotArea>
    </format>
    <format dxfId="310">
      <pivotArea collapsedLevelsAreSubtotals="1" fieldPosition="0">
        <references count="4">
          <reference field="4294967294" count="6" selected="0">
            <x v="1"/>
            <x v="2"/>
            <x v="3"/>
            <x v="4"/>
            <x v="5"/>
            <x v="6"/>
          </reference>
          <reference field="6" count="1" selected="0">
            <x v="2"/>
          </reference>
          <reference field="7" count="1" selected="0">
            <x v="4"/>
          </reference>
          <reference field="8" count="2">
            <x v="19"/>
            <x v="20"/>
          </reference>
        </references>
      </pivotArea>
    </format>
    <format dxfId="309">
      <pivotArea collapsedLevelsAreSubtotals="1" fieldPosition="0">
        <references count="4">
          <reference field="4294967294" count="1" selected="0">
            <x v="11"/>
          </reference>
          <reference field="6" count="1" selected="0">
            <x v="0"/>
          </reference>
          <reference field="7" count="1" selected="0">
            <x v="0"/>
          </reference>
          <reference field="8" count="4">
            <x v="1"/>
            <x v="2"/>
            <x v="3"/>
            <x v="4"/>
          </reference>
        </references>
      </pivotArea>
    </format>
    <format dxfId="308">
      <pivotArea collapsedLevelsAreSubtotals="1" fieldPosition="0">
        <references count="4">
          <reference field="4294967294" count="1" selected="0">
            <x v="11"/>
          </reference>
          <reference field="6" count="1" selected="0">
            <x v="0"/>
          </reference>
          <reference field="7" count="1" selected="0">
            <x v="1"/>
          </reference>
          <reference field="8" count="3">
            <x v="6"/>
            <x v="7"/>
            <x v="37"/>
          </reference>
        </references>
      </pivotArea>
    </format>
    <format dxfId="307">
      <pivotArea collapsedLevelsAreSubtotals="1" fieldPosition="0">
        <references count="3">
          <reference field="4294967294" count="1" selected="0">
            <x v="11"/>
          </reference>
          <reference field="6" count="1" selected="0">
            <x v="0"/>
          </reference>
          <reference field="7" count="1">
            <x v="2"/>
          </reference>
        </references>
      </pivotArea>
    </format>
    <format dxfId="306">
      <pivotArea collapsedLevelsAreSubtotals="1" fieldPosition="0">
        <references count="4">
          <reference field="4294967294" count="1" selected="0">
            <x v="11"/>
          </reference>
          <reference field="6" count="1" selected="0">
            <x v="0"/>
          </reference>
          <reference field="7" count="1" selected="0">
            <x v="2"/>
          </reference>
          <reference field="8" count="9">
            <x v="8"/>
            <x v="9"/>
            <x v="10"/>
            <x v="11"/>
            <x v="12"/>
            <x v="13"/>
            <x v="14"/>
            <x v="15"/>
            <x v="16"/>
          </reference>
        </references>
      </pivotArea>
    </format>
    <format dxfId="305">
      <pivotArea collapsedLevelsAreSubtotals="1" fieldPosition="0">
        <references count="2">
          <reference field="4294967294" count="1" selected="0">
            <x v="11"/>
          </reference>
          <reference field="6" count="1">
            <x v="2"/>
          </reference>
        </references>
      </pivotArea>
    </format>
    <format dxfId="304">
      <pivotArea collapsedLevelsAreSubtotals="1" fieldPosition="0">
        <references count="3">
          <reference field="4294967294" count="1" selected="0">
            <x v="11"/>
          </reference>
          <reference field="6" count="1" selected="0">
            <x v="2"/>
          </reference>
          <reference field="7" count="1">
            <x v="3"/>
          </reference>
        </references>
      </pivotArea>
    </format>
    <format dxfId="303">
      <pivotArea collapsedLevelsAreSubtotals="1" fieldPosition="0">
        <references count="4">
          <reference field="4294967294" count="1" selected="0">
            <x v="11"/>
          </reference>
          <reference field="6" count="1" selected="0">
            <x v="2"/>
          </reference>
          <reference field="7" count="1" selected="0">
            <x v="3"/>
          </reference>
          <reference field="8" count="2">
            <x v="17"/>
            <x v="18"/>
          </reference>
        </references>
      </pivotArea>
    </format>
    <format dxfId="302">
      <pivotArea collapsedLevelsAreSubtotals="1" fieldPosition="0">
        <references count="3">
          <reference field="4294967294" count="1" selected="0">
            <x v="11"/>
          </reference>
          <reference field="6" count="1" selected="0">
            <x v="2"/>
          </reference>
          <reference field="7" count="1">
            <x v="4"/>
          </reference>
        </references>
      </pivotArea>
    </format>
    <format dxfId="301">
      <pivotArea collapsedLevelsAreSubtotals="1" fieldPosition="0">
        <references count="4">
          <reference field="4294967294" count="1" selected="0">
            <x v="11"/>
          </reference>
          <reference field="6" count="1" selected="0">
            <x v="2"/>
          </reference>
          <reference field="7" count="1" selected="0">
            <x v="4"/>
          </reference>
          <reference field="8" count="1">
            <x v="19"/>
          </reference>
        </references>
      </pivotArea>
    </format>
    <format dxfId="300">
      <pivotArea collapsedLevelsAreSubtotals="1" fieldPosition="0">
        <references count="3">
          <reference field="4294967294" count="7" selected="0">
            <x v="0"/>
            <x v="1"/>
            <x v="2"/>
            <x v="3"/>
            <x v="4"/>
            <x v="5"/>
            <x v="6"/>
          </reference>
          <reference field="6" count="1" selected="0">
            <x v="0"/>
          </reference>
          <reference field="7" count="1">
            <x v="0"/>
          </reference>
        </references>
      </pivotArea>
    </format>
    <format dxfId="299">
      <pivotArea collapsedLevelsAreSubtotals="1" fieldPosition="0">
        <references count="3">
          <reference field="4294967294" count="1" selected="0">
            <x v="0"/>
          </reference>
          <reference field="6" count="1" selected="0">
            <x v="0"/>
          </reference>
          <reference field="7" count="1">
            <x v="0"/>
          </reference>
        </references>
      </pivotArea>
    </format>
    <format dxfId="298">
      <pivotArea collapsedLevelsAreSubtotals="1" fieldPosition="0">
        <references count="3">
          <reference field="4294967294" count="1" selected="0">
            <x v="0"/>
          </reference>
          <reference field="6" count="1" selected="0">
            <x v="0"/>
          </reference>
          <reference field="7" count="1">
            <x v="0"/>
          </reference>
        </references>
      </pivotArea>
    </format>
    <format dxfId="297">
      <pivotArea collapsedLevelsAreSubtotals="1" fieldPosition="0">
        <references count="3">
          <reference field="4294967294" count="12" selected="0">
            <x v="1"/>
            <x v="2"/>
            <x v="3"/>
            <x v="4"/>
            <x v="5"/>
            <x v="6"/>
            <x v="7"/>
            <x v="8"/>
            <x v="9"/>
            <x v="10"/>
            <x v="11"/>
            <x v="12"/>
          </reference>
          <reference field="6" count="1" selected="0">
            <x v="0"/>
          </reference>
          <reference field="7" count="1">
            <x v="0"/>
          </reference>
        </references>
      </pivotArea>
    </format>
    <format dxfId="296">
      <pivotArea collapsedLevelsAreSubtotals="1" fieldPosition="0">
        <references count="3">
          <reference field="4294967294" count="1" selected="0">
            <x v="0"/>
          </reference>
          <reference field="6" count="1" selected="0">
            <x v="0"/>
          </reference>
          <reference field="7" count="1">
            <x v="1"/>
          </reference>
        </references>
      </pivotArea>
    </format>
    <format dxfId="295">
      <pivotArea collapsedLevelsAreSubtotals="1" fieldPosition="0">
        <references count="3">
          <reference field="4294967294" count="1" selected="0">
            <x v="0"/>
          </reference>
          <reference field="6" count="1" selected="0">
            <x v="0"/>
          </reference>
          <reference field="7" count="1">
            <x v="2"/>
          </reference>
        </references>
      </pivotArea>
    </format>
    <format dxfId="294">
      <pivotArea collapsedLevelsAreSubtotals="1" fieldPosition="0">
        <references count="3">
          <reference field="4294967294" count="1" selected="0">
            <x v="0"/>
          </reference>
          <reference field="6" count="1" selected="0">
            <x v="2"/>
          </reference>
          <reference field="7" count="1">
            <x v="3"/>
          </reference>
        </references>
      </pivotArea>
    </format>
    <format dxfId="293">
      <pivotArea collapsedLevelsAreSubtotals="1" fieldPosition="0">
        <references count="3">
          <reference field="4294967294" count="1" selected="0">
            <x v="0"/>
          </reference>
          <reference field="6" count="1" selected="0">
            <x v="2"/>
          </reference>
          <reference field="7" count="1">
            <x v="4"/>
          </reference>
        </references>
      </pivotArea>
    </format>
    <format dxfId="292">
      <pivotArea collapsedLevelsAreSubtotals="1" fieldPosition="0">
        <references count="3">
          <reference field="4294967294" count="1" selected="0">
            <x v="0"/>
          </reference>
          <reference field="6" count="1" selected="0">
            <x v="3"/>
          </reference>
          <reference field="7" count="1">
            <x v="5"/>
          </reference>
        </references>
      </pivotArea>
    </format>
    <format dxfId="291">
      <pivotArea collapsedLevelsAreSubtotals="1" fieldPosition="0">
        <references count="3">
          <reference field="4294967294" count="1" selected="0">
            <x v="0"/>
          </reference>
          <reference field="6" count="1" selected="0">
            <x v="3"/>
          </reference>
          <reference field="7" count="1">
            <x v="6"/>
          </reference>
        </references>
      </pivotArea>
    </format>
    <format dxfId="290">
      <pivotArea collapsedLevelsAreSubtotals="1" fieldPosition="0">
        <references count="3">
          <reference field="4294967294" count="1" selected="0">
            <x v="0"/>
          </reference>
          <reference field="6" count="1" selected="0">
            <x v="3"/>
          </reference>
          <reference field="7" count="1">
            <x v="7"/>
          </reference>
        </references>
      </pivotArea>
    </format>
    <format dxfId="289">
      <pivotArea collapsedLevelsAreSubtotals="1" fieldPosition="0">
        <references count="3">
          <reference field="4294967294" count="1" selected="0">
            <x v="12"/>
          </reference>
          <reference field="6" count="1" selected="0">
            <x v="0"/>
          </reference>
          <reference field="7" count="1">
            <x v="1"/>
          </reference>
        </references>
      </pivotArea>
    </format>
    <format dxfId="288">
      <pivotArea collapsedLevelsAreSubtotals="1" fieldPosition="0">
        <references count="3">
          <reference field="4294967294" count="1" selected="0">
            <x v="12"/>
          </reference>
          <reference field="6" count="1" selected="0">
            <x v="0"/>
          </reference>
          <reference field="7" count="1">
            <x v="2"/>
          </reference>
        </references>
      </pivotArea>
    </format>
    <format dxfId="287">
      <pivotArea collapsedLevelsAreSubtotals="1" fieldPosition="0">
        <references count="3">
          <reference field="4294967294" count="1" selected="0">
            <x v="12"/>
          </reference>
          <reference field="6" count="1" selected="0">
            <x v="2"/>
          </reference>
          <reference field="7" count="1">
            <x v="3"/>
          </reference>
        </references>
      </pivotArea>
    </format>
    <format dxfId="286">
      <pivotArea collapsedLevelsAreSubtotals="1" fieldPosition="0">
        <references count="3">
          <reference field="4294967294" count="1" selected="0">
            <x v="12"/>
          </reference>
          <reference field="6" count="1" selected="0">
            <x v="2"/>
          </reference>
          <reference field="7" count="1">
            <x v="4"/>
          </reference>
        </references>
      </pivotArea>
    </format>
    <format dxfId="285">
      <pivotArea collapsedLevelsAreSubtotals="1" fieldPosition="0">
        <references count="3">
          <reference field="4294967294" count="1" selected="0">
            <x v="12"/>
          </reference>
          <reference field="6" count="1" selected="0">
            <x v="3"/>
          </reference>
          <reference field="7" count="1">
            <x v="5"/>
          </reference>
        </references>
      </pivotArea>
    </format>
    <format dxfId="284">
      <pivotArea collapsedLevelsAreSubtotals="1" fieldPosition="0">
        <references count="3">
          <reference field="4294967294" count="1" selected="0">
            <x v="12"/>
          </reference>
          <reference field="6" count="1" selected="0">
            <x v="3"/>
          </reference>
          <reference field="7" count="1">
            <x v="6"/>
          </reference>
        </references>
      </pivotArea>
    </format>
    <format dxfId="283">
      <pivotArea collapsedLevelsAreSubtotals="1" fieldPosition="0">
        <references count="3">
          <reference field="4294967294" count="1" selected="0">
            <x v="12"/>
          </reference>
          <reference field="6" count="1" selected="0">
            <x v="3"/>
          </reference>
          <reference field="7" count="1">
            <x v="7"/>
          </reference>
        </references>
      </pivotArea>
    </format>
    <format dxfId="282">
      <pivotArea collapsedLevelsAreSubtotals="1" fieldPosition="0">
        <references count="3">
          <reference field="4294967294" count="11" selected="0">
            <x v="1"/>
            <x v="2"/>
            <x v="3"/>
            <x v="4"/>
            <x v="5"/>
            <x v="6"/>
            <x v="7"/>
            <x v="8"/>
            <x v="9"/>
            <x v="10"/>
            <x v="11"/>
          </reference>
          <reference field="6" count="1" selected="0">
            <x v="0"/>
          </reference>
          <reference field="7" count="1">
            <x v="1"/>
          </reference>
        </references>
      </pivotArea>
    </format>
    <format dxfId="281">
      <pivotArea collapsedLevelsAreSubtotals="1" fieldPosition="0">
        <references count="3">
          <reference field="4294967294" count="1" selected="0">
            <x v="0"/>
          </reference>
          <reference field="6" count="1" selected="0">
            <x v="0"/>
          </reference>
          <reference field="7" count="1">
            <x v="0"/>
          </reference>
        </references>
      </pivotArea>
    </format>
    <format dxfId="280">
      <pivotArea dataOnly="0" labelOnly="1" fieldPosition="0">
        <references count="1">
          <reference field="6" count="1">
            <x v="2"/>
          </reference>
        </references>
      </pivotArea>
    </format>
  </formats>
  <pivotTableStyleInfo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showDrill="0" showDataTips="0" itemPrintTitles="1" createdVersion="4" indent="0" showHeaders="0" outline="1" outlineData="1" multipleFieldFilters="0">
  <location ref="B110:O159" firstHeaderRow="0" firstDataRow="1" firstDataCol="1" rowPageCount="3" colPageCount="1"/>
  <pivotFields count="75">
    <pivotField showAll="0" defaultSubtotal="0"/>
    <pivotField axis="axisPage" showAll="0">
      <items count="3">
        <item x="0"/>
        <item m="1" x="1"/>
        <item t="default"/>
      </items>
    </pivotField>
    <pivotField axis="axisPage" multipleItemSelectionAllowed="1" showAll="0">
      <items count="4">
        <item m="1" x="2"/>
        <item x="0"/>
        <item m="1" x="1"/>
        <item t="default"/>
      </items>
    </pivotField>
    <pivotField showAll="0" defaultSubtotal="0"/>
    <pivotField showAll="0" defaultSubtotal="0"/>
    <pivotField axis="axisPage" showAll="0">
      <items count="4">
        <item m="1" x="2"/>
        <item x="0"/>
        <item m="1" x="1"/>
        <item t="default"/>
      </items>
    </pivotField>
    <pivotField axis="axisRow" showAll="0">
      <items count="6">
        <item x="0"/>
        <item m="1" x="4"/>
        <item x="2"/>
        <item x="1"/>
        <item m="1" x="3"/>
        <item t="default"/>
      </items>
    </pivotField>
    <pivotField axis="axisRow" showAll="0">
      <items count="10">
        <item x="0"/>
        <item x="1"/>
        <item x="2"/>
        <item x="3"/>
        <item x="4"/>
        <item x="5"/>
        <item x="6"/>
        <item x="7"/>
        <item m="1" x="8"/>
        <item t="default"/>
      </items>
    </pivotField>
    <pivotField axis="axisRow" showAll="0">
      <items count="42">
        <item x="0"/>
        <item x="1"/>
        <item x="2"/>
        <item x="3"/>
        <item x="4"/>
        <item m="1" x="40"/>
        <item x="6"/>
        <item x="7"/>
        <item x="8"/>
        <item x="9"/>
        <item x="10"/>
        <item x="11"/>
        <item x="12"/>
        <item x="13"/>
        <item x="14"/>
        <item x="15"/>
        <item x="16"/>
        <item x="17"/>
        <item x="18"/>
        <item x="19"/>
        <item x="20"/>
        <item x="21"/>
        <item x="22"/>
        <item x="23"/>
        <item x="24"/>
        <item x="26"/>
        <item x="27"/>
        <item m="1" x="39"/>
        <item x="29"/>
        <item x="30"/>
        <item x="31"/>
        <item x="32"/>
        <item x="33"/>
        <item x="34"/>
        <item x="35"/>
        <item x="36"/>
        <item m="1" x="38"/>
        <item x="5"/>
        <item x="25"/>
        <item x="28"/>
        <item m="1" x="37"/>
        <item t="default"/>
      </items>
    </pivotField>
    <pivotField numFmtId="170" showAll="0"/>
    <pivotField numFmtId="170" showAll="0"/>
    <pivotField numFmtId="170" showAll="0"/>
    <pivotField numFmtId="170" showAll="0"/>
    <pivotField numFmtId="170" showAll="0"/>
    <pivotField numFmtId="170" showAll="0"/>
    <pivotField numFmtId="170" showAll="0" defaultSubtotal="0"/>
    <pivotField numFmtId="170" showAll="0"/>
    <pivotField numFmtId="170" showAll="0" defaultSubtotal="0"/>
    <pivotField numFmtId="170" showAll="0"/>
    <pivotField numFmtId="170" showAll="0" defaultSubtotal="0"/>
    <pivotField showAll="0"/>
    <pivotField showAll="0" defaultSubtotal="0"/>
    <pivotField numFmtId="170" showAll="0"/>
    <pivotField numFmtId="170" showAll="0" defaultSubtotal="0"/>
    <pivotField dataField="1" showAl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6"/>
    <field x="7"/>
    <field x="8"/>
  </rowFields>
  <rowItems count="49">
    <i>
      <x/>
    </i>
    <i r="1">
      <x/>
    </i>
    <i r="2">
      <x/>
    </i>
    <i r="2">
      <x v="1"/>
    </i>
    <i r="2">
      <x v="2"/>
    </i>
    <i r="2">
      <x v="3"/>
    </i>
    <i r="2">
      <x v="4"/>
    </i>
    <i r="1">
      <x v="1"/>
    </i>
    <i r="2">
      <x v="6"/>
    </i>
    <i r="2">
      <x v="7"/>
    </i>
    <i r="2">
      <x v="37"/>
    </i>
    <i r="1">
      <x v="2"/>
    </i>
    <i r="2">
      <x v="8"/>
    </i>
    <i r="2">
      <x v="9"/>
    </i>
    <i r="2">
      <x v="10"/>
    </i>
    <i r="2">
      <x v="11"/>
    </i>
    <i r="2">
      <x v="12"/>
    </i>
    <i r="2">
      <x v="13"/>
    </i>
    <i r="2">
      <x v="14"/>
    </i>
    <i r="2">
      <x v="15"/>
    </i>
    <i r="2">
      <x v="16"/>
    </i>
    <i>
      <x v="2"/>
    </i>
    <i r="1">
      <x v="5"/>
    </i>
    <i r="2">
      <x v="24"/>
    </i>
    <i r="2">
      <x v="38"/>
    </i>
    <i r="1">
      <x v="6"/>
    </i>
    <i r="2">
      <x v="25"/>
    </i>
    <i r="2">
      <x v="26"/>
    </i>
    <i r="2">
      <x v="28"/>
    </i>
    <i r="2">
      <x v="39"/>
    </i>
    <i r="1">
      <x v="7"/>
    </i>
    <i r="2">
      <x v="29"/>
    </i>
    <i r="2">
      <x v="30"/>
    </i>
    <i r="2">
      <x v="31"/>
    </i>
    <i r="2">
      <x v="32"/>
    </i>
    <i r="2">
      <x v="33"/>
    </i>
    <i r="2">
      <x v="34"/>
    </i>
    <i r="2">
      <x v="35"/>
    </i>
    <i>
      <x v="3"/>
    </i>
    <i r="1">
      <x v="3"/>
    </i>
    <i r="2">
      <x v="17"/>
    </i>
    <i r="2">
      <x v="18"/>
    </i>
    <i r="1">
      <x v="4"/>
    </i>
    <i r="2">
      <x v="19"/>
    </i>
    <i r="2">
      <x v="20"/>
    </i>
    <i r="2">
      <x v="21"/>
    </i>
    <i r="2">
      <x v="22"/>
    </i>
    <i r="2">
      <x v="23"/>
    </i>
    <i t="grand">
      <x/>
    </i>
  </rowItems>
  <colFields count="1">
    <field x="-2"/>
  </colFields>
  <colItems count="13">
    <i>
      <x/>
    </i>
    <i i="1">
      <x v="1"/>
    </i>
    <i i="2">
      <x v="2"/>
    </i>
    <i i="3">
      <x v="3"/>
    </i>
    <i i="4">
      <x v="4"/>
    </i>
    <i i="5">
      <x v="5"/>
    </i>
    <i i="6">
      <x v="6"/>
    </i>
    <i i="7">
      <x v="7"/>
    </i>
    <i i="8">
      <x v="8"/>
    </i>
    <i i="9">
      <x v="9"/>
    </i>
    <i i="10">
      <x v="10"/>
    </i>
    <i i="11">
      <x v="11"/>
    </i>
    <i i="12">
      <x v="12"/>
    </i>
  </colItems>
  <pageFields count="3">
    <pageField fld="1" item="0" hier="-1"/>
    <pageField fld="5" item="1" hier="-1"/>
    <pageField fld="2" hier="-1"/>
  </pageFields>
  <dataFields count="13">
    <dataField name="Sum of Participants" fld="24" baseField="6" baseItem="0"/>
    <dataField name="Sum of Net Summer Capacity (kW)" fld="26" baseField="6" baseItem="0"/>
    <dataField name="Sum of Net Winter Capacity (kW)" fld="25" baseField="6" baseItem="0"/>
    <dataField name="Sum of Net Annual Energy (MWh)" fld="27" baseField="8" baseItem="10"/>
    <dataField name="Sum of Net Lifetime Energy (MWh)" fld="29" baseField="6" baseItem="0"/>
    <dataField name="Sum of Net Annual Natural Gas (Therms)" fld="33" baseField="6" baseItem="0"/>
    <dataField name="Sum of Net Lifetime Natural Gas, Therms" fld="35" baseField="6" baseItem="0"/>
    <dataField name="Sum of Net Annual Oil (MMBTU)" fld="37" baseField="8" baseItem="10"/>
    <dataField name="Sum of Net Lifetime Oil, MMBTU" fld="39" baseField="6" baseItem="0"/>
    <dataField name="Sum of Net Annual Propane (MMBTU)" fld="41" baseField="6" baseItem="0"/>
    <dataField name="Sum of Net Lifetime Propane (MMBTU)" fld="42" baseField="6" baseItem="0"/>
    <dataField name="Sum of Net Annual Water (Gallons)" fld="43" baseField="6" baseItem="0"/>
    <dataField name="Sum of Net Lifetime Water (Gallons)" fld="44" baseField="6" baseItem="0"/>
  </dataFields>
  <formats count="41">
    <format dxfId="401">
      <pivotArea outline="0" collapsedLevelsAreSubtotals="1" fieldPosition="0"/>
    </format>
    <format dxfId="400">
      <pivotArea field="7" type="button" dataOnly="0" labelOnly="1" outline="0" axis="axisRow" fieldPosition="1"/>
    </format>
    <format dxfId="399">
      <pivotArea outline="0" collapsedLevelsAreSubtotals="1" fieldPosition="0"/>
    </format>
    <format dxfId="398">
      <pivotArea dataOnly="0" labelOnly="1" fieldPosition="0">
        <references count="1">
          <reference field="6" count="0"/>
        </references>
      </pivotArea>
    </format>
    <format dxfId="397">
      <pivotArea dataOnly="0" labelOnly="1" grandRow="1" outline="0" fieldPosition="0"/>
    </format>
    <format dxfId="396">
      <pivotArea dataOnly="0" labelOnly="1" fieldPosition="0">
        <references count="2">
          <reference field="6" count="1" selected="0">
            <x v="0"/>
          </reference>
          <reference field="7" count="0"/>
        </references>
      </pivotArea>
    </format>
    <format dxfId="395">
      <pivotArea outline="0" collapsedLevelsAreSubtotals="1" fieldPosition="0"/>
    </format>
    <format dxfId="394">
      <pivotArea dataOnly="0" labelOnly="1" fieldPosition="0">
        <references count="1">
          <reference field="6" count="0"/>
        </references>
      </pivotArea>
    </format>
    <format dxfId="393">
      <pivotArea dataOnly="0" labelOnly="1" fieldPosition="0">
        <references count="2">
          <reference field="6" count="1" selected="0">
            <x v="0"/>
          </reference>
          <reference field="7" count="0"/>
        </references>
      </pivotArea>
    </format>
    <format dxfId="392">
      <pivotArea dataOnly="0" labelOnly="1" grandRow="1" outline="0" fieldPosition="0"/>
    </format>
    <format dxfId="391">
      <pivotArea outline="0" collapsedLevelsAreSubtotals="1" fieldPosition="0"/>
    </format>
    <format dxfId="390">
      <pivotArea dataOnly="0" labelOnly="1" fieldPosition="0">
        <references count="1">
          <reference field="6" count="0"/>
        </references>
      </pivotArea>
    </format>
    <format dxfId="389">
      <pivotArea dataOnly="0" labelOnly="1" grandRow="1" outline="0" fieldPosition="0"/>
    </format>
    <format dxfId="388">
      <pivotArea dataOnly="0" labelOnly="1" fieldPosition="0">
        <references count="2">
          <reference field="6" count="1" selected="0">
            <x v="0"/>
          </reference>
          <reference field="7" count="0"/>
        </references>
      </pivotArea>
    </format>
    <format dxfId="387">
      <pivotArea collapsedLevelsAreSubtotals="1" fieldPosition="0">
        <references count="1">
          <reference field="6" count="1">
            <x v="0"/>
          </reference>
        </references>
      </pivotArea>
    </format>
    <format dxfId="386">
      <pivotArea dataOnly="0" labelOnly="1" fieldPosition="0">
        <references count="1">
          <reference field="6" count="1">
            <x v="0"/>
          </reference>
        </references>
      </pivotArea>
    </format>
    <format dxfId="385">
      <pivotArea collapsedLevelsAreSubtotals="1" fieldPosition="0">
        <references count="1">
          <reference field="6" count="1">
            <x v="0"/>
          </reference>
        </references>
      </pivotArea>
    </format>
    <format dxfId="384">
      <pivotArea dataOnly="0" labelOnly="1" fieldPosition="0">
        <references count="1">
          <reference field="6" count="1">
            <x v="0"/>
          </reference>
        </references>
      </pivotArea>
    </format>
    <format dxfId="383">
      <pivotArea collapsedLevelsAreSubtotals="1" fieldPosition="0">
        <references count="1">
          <reference field="6" count="1">
            <x v="0"/>
          </reference>
        </references>
      </pivotArea>
    </format>
    <format dxfId="382">
      <pivotArea dataOnly="0" labelOnly="1" fieldPosition="0">
        <references count="1">
          <reference field="6" count="1">
            <x v="0"/>
          </reference>
        </references>
      </pivotArea>
    </format>
    <format dxfId="381">
      <pivotArea collapsedLevelsAreSubtotals="1" fieldPosition="0">
        <references count="1">
          <reference field="6" count="1">
            <x v="1"/>
          </reference>
        </references>
      </pivotArea>
    </format>
    <format dxfId="380">
      <pivotArea dataOnly="0" labelOnly="1" fieldPosition="0">
        <references count="1">
          <reference field="6" count="1">
            <x v="1"/>
          </reference>
        </references>
      </pivotArea>
    </format>
    <format dxfId="379">
      <pivotArea collapsedLevelsAreSubtotals="1" fieldPosition="0">
        <references count="1">
          <reference field="6" count="1">
            <x v="1"/>
          </reference>
        </references>
      </pivotArea>
    </format>
    <format dxfId="378">
      <pivotArea dataOnly="0" labelOnly="1" fieldPosition="0">
        <references count="1">
          <reference field="6" count="1">
            <x v="1"/>
          </reference>
        </references>
      </pivotArea>
    </format>
    <format dxfId="377">
      <pivotArea collapsedLevelsAreSubtotals="1" fieldPosition="0">
        <references count="1">
          <reference field="6" count="1">
            <x v="1"/>
          </reference>
        </references>
      </pivotArea>
    </format>
    <format dxfId="376">
      <pivotArea dataOnly="0" labelOnly="1" fieldPosition="0">
        <references count="1">
          <reference field="6" count="1">
            <x v="1"/>
          </reference>
        </references>
      </pivotArea>
    </format>
    <format dxfId="375">
      <pivotArea collapsedLevelsAreSubtotals="1" fieldPosition="0">
        <references count="1">
          <reference field="6" count="1">
            <x v="2"/>
          </reference>
        </references>
      </pivotArea>
    </format>
    <format dxfId="374">
      <pivotArea dataOnly="0" labelOnly="1" fieldPosition="0">
        <references count="1">
          <reference field="6" count="1">
            <x v="2"/>
          </reference>
        </references>
      </pivotArea>
    </format>
    <format dxfId="373">
      <pivotArea collapsedLevelsAreSubtotals="1" fieldPosition="0">
        <references count="1">
          <reference field="6" count="1">
            <x v="2"/>
          </reference>
        </references>
      </pivotArea>
    </format>
    <format dxfId="372">
      <pivotArea dataOnly="0" labelOnly="1" fieldPosition="0">
        <references count="1">
          <reference field="6" count="1">
            <x v="2"/>
          </reference>
        </references>
      </pivotArea>
    </format>
    <format dxfId="371">
      <pivotArea collapsedLevelsAreSubtotals="1" fieldPosition="0">
        <references count="1">
          <reference field="6" count="1">
            <x v="2"/>
          </reference>
        </references>
      </pivotArea>
    </format>
    <format dxfId="370">
      <pivotArea dataOnly="0" labelOnly="1" fieldPosition="0">
        <references count="1">
          <reference field="6" count="1">
            <x v="2"/>
          </reference>
        </references>
      </pivotArea>
    </format>
    <format dxfId="369">
      <pivotArea dataOnly="0" labelOnly="1" fieldPosition="0">
        <references count="1">
          <reference field="7" count="0"/>
        </references>
      </pivotArea>
    </format>
    <format dxfId="368">
      <pivotArea dataOnly="0" labelOnly="1" grandRow="1" outline="0" fieldPosition="0"/>
    </format>
    <format dxfId="367">
      <pivotArea type="all" dataOnly="0" outline="0" fieldPosition="0"/>
    </format>
    <format dxfId="366">
      <pivotArea field="1" type="button" dataOnly="0" labelOnly="1" outline="0" axis="axisPage" fieldPosition="0"/>
    </format>
    <format dxfId="365">
      <pivotArea field="2" type="button" dataOnly="0" labelOnly="1" outline="0" axis="axisPage" fieldPosition="2"/>
    </format>
    <format dxfId="364">
      <pivotArea field="5" type="button" dataOnly="0" labelOnly="1" outline="0" axis="axisPage" fieldPosition="1"/>
    </format>
    <format dxfId="363">
      <pivotArea grandRow="1" outline="0" collapsedLevelsAreSubtotals="1" fieldPosition="0"/>
    </format>
    <format dxfId="362">
      <pivotArea type="all" dataOnly="0" outline="0" fieldPosition="0"/>
    </format>
    <format dxfId="361">
      <pivotArea dataOnly="0" labelOnly="1" outline="0" fieldPosition="0">
        <references count="1">
          <reference field="4294967294" count="1">
            <x v="0"/>
          </reference>
        </references>
      </pivotArea>
    </format>
  </formats>
  <pivotTableStyleInfo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BenefitsYear1" cacheId="2" applyNumberFormats="0" applyBorderFormats="0" applyFontFormats="0" applyPatternFormats="0" applyAlignmentFormats="0" applyWidthHeightFormats="1" dataCaption="Values" updatedVersion="4" minRefreshableVersion="3" showDrill="0" showDataTips="0" itemPrintTitles="1" createdVersion="4" indent="0" showHeaders="0" outline="1" outlineData="1" multipleFieldFilters="0">
  <location ref="B16:S65" firstHeaderRow="0" firstDataRow="1" firstDataCol="1" rowPageCount="3" colPageCount="1"/>
  <pivotFields count="75">
    <pivotField showAll="0" defaultSubtotal="0"/>
    <pivotField axis="axisPage" showAll="0">
      <items count="3">
        <item x="0"/>
        <item m="1" x="1"/>
        <item t="default"/>
      </items>
    </pivotField>
    <pivotField axis="axisPage" multipleItemSelectionAllowed="1" showAll="0">
      <items count="4">
        <item m="1" x="2"/>
        <item x="0"/>
        <item h="1" m="1" x="1"/>
        <item t="default"/>
      </items>
    </pivotField>
    <pivotField showAll="0" defaultSubtotal="0"/>
    <pivotField showAll="0" defaultSubtotal="0"/>
    <pivotField axis="axisPage" showAll="0">
      <items count="4">
        <item m="1" x="2"/>
        <item x="0"/>
        <item m="1" x="1"/>
        <item t="default"/>
      </items>
    </pivotField>
    <pivotField axis="axisRow" showAll="0">
      <items count="6">
        <item x="0"/>
        <item m="1" x="4"/>
        <item x="1"/>
        <item x="2"/>
        <item m="1" x="3"/>
        <item t="default"/>
      </items>
    </pivotField>
    <pivotField axis="axisRow" showAll="0">
      <items count="10">
        <item x="0"/>
        <item x="1"/>
        <item x="2"/>
        <item x="3"/>
        <item x="4"/>
        <item x="5"/>
        <item x="6"/>
        <item x="7"/>
        <item m="1" x="8"/>
        <item t="default"/>
      </items>
    </pivotField>
    <pivotField axis="axisRow" showAll="0">
      <items count="42">
        <item x="0"/>
        <item x="1"/>
        <item x="2"/>
        <item x="3"/>
        <item x="4"/>
        <item x="6"/>
        <item x="7"/>
        <item x="8"/>
        <item x="9"/>
        <item x="10"/>
        <item x="11"/>
        <item x="12"/>
        <item x="13"/>
        <item x="14"/>
        <item x="15"/>
        <item x="16"/>
        <item x="17"/>
        <item x="18"/>
        <item x="19"/>
        <item x="20"/>
        <item x="21"/>
        <item x="22"/>
        <item x="23"/>
        <item x="24"/>
        <item x="26"/>
        <item x="27"/>
        <item x="29"/>
        <item x="30"/>
        <item x="31"/>
        <item x="32"/>
        <item x="33"/>
        <item x="34"/>
        <item x="35"/>
        <item x="36"/>
        <item m="1" x="40"/>
        <item m="1" x="38"/>
        <item m="1" x="39"/>
        <item x="5"/>
        <item x="25"/>
        <item x="28"/>
        <item m="1" x="37"/>
        <item t="default"/>
      </items>
    </pivotField>
    <pivotField numFmtId="170" showAll="0"/>
    <pivotField numFmtId="170" showAll="0"/>
    <pivotField numFmtId="170" showAll="0"/>
    <pivotField numFmtId="170" showAll="0"/>
    <pivotField numFmtId="170" showAll="0"/>
    <pivotField numFmtId="170" showAll="0"/>
    <pivotField numFmtId="170" showAll="0" defaultSubtotal="0"/>
    <pivotField numFmtId="170" showAll="0"/>
    <pivotField numFmtId="170" showAll="0" defaultSubtotal="0"/>
    <pivotField numFmtId="170" showAll="0"/>
    <pivotField numFmtId="170" showAll="0" defaultSubtotal="0"/>
    <pivotField showAll="0"/>
    <pivotField showAll="0" defaultSubtotal="0"/>
    <pivotField numFmtId="170" showAll="0"/>
    <pivotField numFmtId="170"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dataField="1" showAll="0" defaultSubtotal="0"/>
    <pivotField dataField="1"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6"/>
    <field x="7"/>
    <field x="8"/>
  </rowFields>
  <rowItems count="49">
    <i>
      <x/>
    </i>
    <i r="1">
      <x/>
    </i>
    <i r="2">
      <x/>
    </i>
    <i r="2">
      <x v="1"/>
    </i>
    <i r="2">
      <x v="2"/>
    </i>
    <i r="2">
      <x v="3"/>
    </i>
    <i r="2">
      <x v="4"/>
    </i>
    <i r="1">
      <x v="1"/>
    </i>
    <i r="2">
      <x v="5"/>
    </i>
    <i r="2">
      <x v="6"/>
    </i>
    <i r="2">
      <x v="37"/>
    </i>
    <i r="1">
      <x v="2"/>
    </i>
    <i r="2">
      <x v="7"/>
    </i>
    <i r="2">
      <x v="8"/>
    </i>
    <i r="2">
      <x v="9"/>
    </i>
    <i r="2">
      <x v="10"/>
    </i>
    <i r="2">
      <x v="11"/>
    </i>
    <i r="2">
      <x v="12"/>
    </i>
    <i r="2">
      <x v="13"/>
    </i>
    <i r="2">
      <x v="14"/>
    </i>
    <i r="2">
      <x v="15"/>
    </i>
    <i>
      <x v="2"/>
    </i>
    <i r="1">
      <x v="3"/>
    </i>
    <i r="2">
      <x v="16"/>
    </i>
    <i r="2">
      <x v="17"/>
    </i>
    <i r="1">
      <x v="4"/>
    </i>
    <i r="2">
      <x v="18"/>
    </i>
    <i r="2">
      <x v="19"/>
    </i>
    <i r="2">
      <x v="20"/>
    </i>
    <i r="2">
      <x v="21"/>
    </i>
    <i r="2">
      <x v="22"/>
    </i>
    <i>
      <x v="3"/>
    </i>
    <i r="1">
      <x v="5"/>
    </i>
    <i r="2">
      <x v="23"/>
    </i>
    <i r="2">
      <x v="38"/>
    </i>
    <i r="1">
      <x v="6"/>
    </i>
    <i r="2">
      <x v="24"/>
    </i>
    <i r="2">
      <x v="25"/>
    </i>
    <i r="2">
      <x v="26"/>
    </i>
    <i r="2">
      <x v="39"/>
    </i>
    <i r="1">
      <x v="7"/>
    </i>
    <i r="2">
      <x v="27"/>
    </i>
    <i r="2">
      <x v="28"/>
    </i>
    <i r="2">
      <x v="29"/>
    </i>
    <i r="2">
      <x v="30"/>
    </i>
    <i r="2">
      <x v="31"/>
    </i>
    <i r="2">
      <x v="32"/>
    </i>
    <i r="2">
      <x v="33"/>
    </i>
    <i t="grand">
      <x/>
    </i>
  </rowItems>
  <colFields count="1">
    <field x="-2"/>
  </colFields>
  <colItems count="17">
    <i>
      <x/>
    </i>
    <i i="1">
      <x v="1"/>
    </i>
    <i i="2">
      <x v="2"/>
    </i>
    <i i="3">
      <x v="3"/>
    </i>
    <i i="4">
      <x v="4"/>
    </i>
    <i i="5">
      <x v="5"/>
    </i>
    <i i="6">
      <x v="6"/>
    </i>
    <i i="7">
      <x v="7"/>
    </i>
    <i i="8">
      <x v="8"/>
    </i>
    <i i="9">
      <x v="9"/>
    </i>
    <i i="10">
      <x v="10"/>
    </i>
    <i i="11">
      <x v="11"/>
    </i>
    <i i="12">
      <x v="12"/>
    </i>
    <i i="13">
      <x v="13"/>
    </i>
    <i i="14">
      <x v="14"/>
    </i>
    <i i="15">
      <x v="15"/>
    </i>
    <i i="16">
      <x v="16"/>
    </i>
  </colItems>
  <pageFields count="3">
    <pageField fld="1" item="0" hier="-1"/>
    <pageField fld="5" item="1" hier="-1"/>
    <pageField fld="2" hier="-1"/>
  </pageFields>
  <dataFields count="17">
    <dataField name="Sum of Summer Capacity Benefits" fld="48" baseField="0" baseItem="0"/>
    <dataField name="Sum of Transmission Capacity Benefits" fld="49" baseField="0" baseItem="0"/>
    <dataField name="Sum of Distribution Capacity Benefits" fld="50" baseField="0" baseItem="0"/>
    <dataField name="Sum of DRIPE Capacity Benefits" fld="51" baseField="0" baseItem="0"/>
    <dataField name="Sum of Total Capacity Benefits" fld="52" baseField="0" baseItem="0"/>
    <dataField name="Sum of Electric Energy Benefits" fld="45" baseField="4" baseItem="0"/>
    <dataField name="Sum of Electric DRIPE Energy Benefits" fld="46" baseField="4" baseItem="0"/>
    <dataField name="Sum of Total Energy Benefits" fld="47" baseField="0" baseItem="0"/>
    <dataField name="Sum of Natural Gas Benefits" fld="53" baseField="0" baseItem="0"/>
    <dataField name="Sum of Natural Gas DRIPE Benefits" fld="54" baseField="0" baseItem="0"/>
    <dataField name="Sum of Total Gas Benefits" fld="55" baseField="0" baseItem="0"/>
    <dataField name="Sum of Oil Benefits" fld="56" baseField="0" baseItem="0"/>
    <dataField name="Sum of Propane Benefits" fld="57" baseField="0" baseItem="0"/>
    <dataField name="Sum of Water Benefits" fld="58" baseField="0" baseItem="0"/>
    <dataField name="Sum of Total Resource Benefits" fld="60" baseField="0" baseItem="0"/>
    <dataField name="Sum of Total Non Energy Impacts" fld="61" baseField="8" baseItem="74"/>
    <dataField name="Sum of Total Benefits " fld="62" baseField="0" baseItem="0"/>
  </dataFields>
  <formats count="76">
    <format dxfId="279">
      <pivotArea outline="0" collapsedLevelsAreSubtotals="1" fieldPosition="0"/>
    </format>
    <format dxfId="278">
      <pivotArea field="7" type="button" dataOnly="0" labelOnly="1" outline="0" axis="axisRow" fieldPosition="1"/>
    </format>
    <format dxfId="277">
      <pivotArea outline="0" collapsedLevelsAreSubtotals="1" fieldPosition="0"/>
    </format>
    <format dxfId="276">
      <pivotArea dataOnly="0" labelOnly="1" fieldPosition="0">
        <references count="1">
          <reference field="6" count="0"/>
        </references>
      </pivotArea>
    </format>
    <format dxfId="275">
      <pivotArea dataOnly="0" labelOnly="1" grandRow="1" outline="0" fieldPosition="0"/>
    </format>
    <format dxfId="274">
      <pivotArea dataOnly="0" labelOnly="1" fieldPosition="0">
        <references count="2">
          <reference field="6" count="1" selected="0">
            <x v="0"/>
          </reference>
          <reference field="7" count="0"/>
        </references>
      </pivotArea>
    </format>
    <format dxfId="273">
      <pivotArea outline="0" collapsedLevelsAreSubtotals="1" fieldPosition="0"/>
    </format>
    <format dxfId="272">
      <pivotArea dataOnly="0" labelOnly="1" fieldPosition="0">
        <references count="1">
          <reference field="6" count="0"/>
        </references>
      </pivotArea>
    </format>
    <format dxfId="271">
      <pivotArea dataOnly="0" labelOnly="1" fieldPosition="0">
        <references count="2">
          <reference field="6" count="1" selected="0">
            <x v="0"/>
          </reference>
          <reference field="7" count="0"/>
        </references>
      </pivotArea>
    </format>
    <format dxfId="270">
      <pivotArea dataOnly="0" labelOnly="1" grandRow="1" outline="0" fieldPosition="0"/>
    </format>
    <format dxfId="269">
      <pivotArea outline="0" collapsedLevelsAreSubtotals="1" fieldPosition="0"/>
    </format>
    <format dxfId="268">
      <pivotArea dataOnly="0" labelOnly="1" fieldPosition="0">
        <references count="1">
          <reference field="6" count="0"/>
        </references>
      </pivotArea>
    </format>
    <format dxfId="267">
      <pivotArea dataOnly="0" labelOnly="1" grandRow="1" outline="0" fieldPosition="0"/>
    </format>
    <format dxfId="266">
      <pivotArea dataOnly="0" labelOnly="1" fieldPosition="0">
        <references count="2">
          <reference field="6" count="1" selected="0">
            <x v="0"/>
          </reference>
          <reference field="7" count="0"/>
        </references>
      </pivotArea>
    </format>
    <format dxfId="265">
      <pivotArea collapsedLevelsAreSubtotals="1" fieldPosition="0">
        <references count="1">
          <reference field="6" count="1">
            <x v="0"/>
          </reference>
        </references>
      </pivotArea>
    </format>
    <format dxfId="264">
      <pivotArea dataOnly="0" labelOnly="1" fieldPosition="0">
        <references count="1">
          <reference field="6" count="1">
            <x v="0"/>
          </reference>
        </references>
      </pivotArea>
    </format>
    <format dxfId="263">
      <pivotArea collapsedLevelsAreSubtotals="1" fieldPosition="0">
        <references count="1">
          <reference field="6" count="1">
            <x v="0"/>
          </reference>
        </references>
      </pivotArea>
    </format>
    <format dxfId="262">
      <pivotArea dataOnly="0" labelOnly="1" fieldPosition="0">
        <references count="1">
          <reference field="6" count="1">
            <x v="0"/>
          </reference>
        </references>
      </pivotArea>
    </format>
    <format dxfId="261">
      <pivotArea collapsedLevelsAreSubtotals="1" fieldPosition="0">
        <references count="1">
          <reference field="6" count="1">
            <x v="0"/>
          </reference>
        </references>
      </pivotArea>
    </format>
    <format dxfId="260">
      <pivotArea dataOnly="0" labelOnly="1" fieldPosition="0">
        <references count="1">
          <reference field="6" count="1">
            <x v="0"/>
          </reference>
        </references>
      </pivotArea>
    </format>
    <format dxfId="259">
      <pivotArea collapsedLevelsAreSubtotals="1" fieldPosition="0">
        <references count="1">
          <reference field="6" count="1">
            <x v="1"/>
          </reference>
        </references>
      </pivotArea>
    </format>
    <format dxfId="258">
      <pivotArea dataOnly="0" labelOnly="1" fieldPosition="0">
        <references count="1">
          <reference field="6" count="1">
            <x v="1"/>
          </reference>
        </references>
      </pivotArea>
    </format>
    <format dxfId="257">
      <pivotArea collapsedLevelsAreSubtotals="1" fieldPosition="0">
        <references count="1">
          <reference field="6" count="1">
            <x v="1"/>
          </reference>
        </references>
      </pivotArea>
    </format>
    <format dxfId="256">
      <pivotArea dataOnly="0" labelOnly="1" fieldPosition="0">
        <references count="1">
          <reference field="6" count="1">
            <x v="1"/>
          </reference>
        </references>
      </pivotArea>
    </format>
    <format dxfId="255">
      <pivotArea collapsedLevelsAreSubtotals="1" fieldPosition="0">
        <references count="1">
          <reference field="6" count="1">
            <x v="1"/>
          </reference>
        </references>
      </pivotArea>
    </format>
    <format dxfId="254">
      <pivotArea dataOnly="0" labelOnly="1" fieldPosition="0">
        <references count="1">
          <reference field="6" count="1">
            <x v="1"/>
          </reference>
        </references>
      </pivotArea>
    </format>
    <format dxfId="253">
      <pivotArea collapsedLevelsAreSubtotals="1" fieldPosition="0">
        <references count="1">
          <reference field="6" count="1">
            <x v="3"/>
          </reference>
        </references>
      </pivotArea>
    </format>
    <format dxfId="252">
      <pivotArea dataOnly="0" labelOnly="1" fieldPosition="0">
        <references count="1">
          <reference field="6" count="1">
            <x v="3"/>
          </reference>
        </references>
      </pivotArea>
    </format>
    <format dxfId="251">
      <pivotArea collapsedLevelsAreSubtotals="1" fieldPosition="0">
        <references count="1">
          <reference field="6" count="1">
            <x v="3"/>
          </reference>
        </references>
      </pivotArea>
    </format>
    <format dxfId="250">
      <pivotArea dataOnly="0" labelOnly="1" fieldPosition="0">
        <references count="1">
          <reference field="6" count="1">
            <x v="3"/>
          </reference>
        </references>
      </pivotArea>
    </format>
    <format dxfId="249">
      <pivotArea collapsedLevelsAreSubtotals="1" fieldPosition="0">
        <references count="1">
          <reference field="6" count="1">
            <x v="3"/>
          </reference>
        </references>
      </pivotArea>
    </format>
    <format dxfId="248">
      <pivotArea dataOnly="0" labelOnly="1" fieldPosition="0">
        <references count="1">
          <reference field="6" count="1">
            <x v="3"/>
          </reference>
        </references>
      </pivotArea>
    </format>
    <format dxfId="247">
      <pivotArea dataOnly="0" labelOnly="1" fieldPosition="0">
        <references count="1">
          <reference field="7" count="0"/>
        </references>
      </pivotArea>
    </format>
    <format dxfId="246">
      <pivotArea dataOnly="0" labelOnly="1" grandRow="1" outline="0" fieldPosition="0"/>
    </format>
    <format dxfId="245">
      <pivotArea type="all" dataOnly="0" outline="0" fieldPosition="0"/>
    </format>
    <format dxfId="244">
      <pivotArea field="1" type="button" dataOnly="0" labelOnly="1" outline="0" axis="axisPage" fieldPosition="0"/>
    </format>
    <format dxfId="243">
      <pivotArea field="2" type="button" dataOnly="0" labelOnly="1" outline="0" axis="axisPage" fieldPosition="2"/>
    </format>
    <format dxfId="242">
      <pivotArea field="5" type="button" dataOnly="0" labelOnly="1" outline="0" axis="axisPage" fieldPosition="1"/>
    </format>
    <format dxfId="241">
      <pivotArea grandRow="1" outline="0" collapsedLevelsAreSubtotals="1" fieldPosition="0"/>
    </format>
    <format dxfId="240">
      <pivotArea dataOnly="0" labelOnly="1" outline="0" fieldPosition="0">
        <references count="1">
          <reference field="4294967294" count="14">
            <x v="0"/>
            <x v="1"/>
            <x v="2"/>
            <x v="3"/>
            <x v="4"/>
            <x v="7"/>
            <x v="8"/>
            <x v="9"/>
            <x v="10"/>
            <x v="11"/>
            <x v="12"/>
            <x v="13"/>
            <x v="14"/>
            <x v="16"/>
          </reference>
        </references>
      </pivotArea>
    </format>
    <format dxfId="239">
      <pivotArea type="all" dataOnly="0" outline="0" fieldPosition="0"/>
    </format>
    <format dxfId="238">
      <pivotArea collapsedLevelsAreSubtotals="1" fieldPosition="0">
        <references count="4">
          <reference field="4294967294" count="4" selected="0">
            <x v="13"/>
            <x v="14"/>
            <x v="15"/>
            <x v="16"/>
          </reference>
          <reference field="6" count="1" selected="0">
            <x v="0"/>
          </reference>
          <reference field="7" count="1" selected="0">
            <x v="0"/>
          </reference>
          <reference field="8" count="5">
            <x v="0"/>
            <x v="1"/>
            <x v="2"/>
            <x v="3"/>
            <x v="4"/>
          </reference>
        </references>
      </pivotArea>
    </format>
    <format dxfId="237">
      <pivotArea collapsedLevelsAreSubtotals="1" fieldPosition="0">
        <references count="4">
          <reference field="4294967294" count="4" selected="0">
            <x v="13"/>
            <x v="14"/>
            <x v="15"/>
            <x v="16"/>
          </reference>
          <reference field="6" count="1" selected="0">
            <x v="0"/>
          </reference>
          <reference field="7" count="1" selected="0">
            <x v="1"/>
          </reference>
          <reference field="8" count="3">
            <x v="5"/>
            <x v="6"/>
            <x v="37"/>
          </reference>
        </references>
      </pivotArea>
    </format>
    <format dxfId="236">
      <pivotArea collapsedLevelsAreSubtotals="1" fieldPosition="0">
        <references count="3">
          <reference field="4294967294" count="4" selected="0">
            <x v="13"/>
            <x v="14"/>
            <x v="15"/>
            <x v="16"/>
          </reference>
          <reference field="6" count="1" selected="0">
            <x v="0"/>
          </reference>
          <reference field="7" count="1">
            <x v="2"/>
          </reference>
        </references>
      </pivotArea>
    </format>
    <format dxfId="235">
      <pivotArea collapsedLevelsAreSubtotals="1" fieldPosition="0">
        <references count="4">
          <reference field="4294967294" count="4" selected="0">
            <x v="13"/>
            <x v="14"/>
            <x v="15"/>
            <x v="16"/>
          </reference>
          <reference field="6" count="1" selected="0">
            <x v="0"/>
          </reference>
          <reference field="7" count="1" selected="0">
            <x v="2"/>
          </reference>
          <reference field="8" count="9">
            <x v="7"/>
            <x v="8"/>
            <x v="9"/>
            <x v="10"/>
            <x v="11"/>
            <x v="12"/>
            <x v="13"/>
            <x v="14"/>
            <x v="15"/>
          </reference>
        </references>
      </pivotArea>
    </format>
    <format dxfId="234">
      <pivotArea collapsedLevelsAreSubtotals="1" fieldPosition="0">
        <references count="2">
          <reference field="4294967294" count="4" selected="0">
            <x v="13"/>
            <x v="14"/>
            <x v="15"/>
            <x v="16"/>
          </reference>
          <reference field="6" count="1">
            <x v="2"/>
          </reference>
        </references>
      </pivotArea>
    </format>
    <format dxfId="233">
      <pivotArea collapsedLevelsAreSubtotals="1" fieldPosition="0">
        <references count="3">
          <reference field="4294967294" count="4" selected="0">
            <x v="13"/>
            <x v="14"/>
            <x v="15"/>
            <x v="16"/>
          </reference>
          <reference field="6" count="1" selected="0">
            <x v="2"/>
          </reference>
          <reference field="7" count="1">
            <x v="3"/>
          </reference>
        </references>
      </pivotArea>
    </format>
    <format dxfId="232">
      <pivotArea collapsedLevelsAreSubtotals="1" fieldPosition="0">
        <references count="4">
          <reference field="4294967294" count="4" selected="0">
            <x v="13"/>
            <x v="14"/>
            <x v="15"/>
            <x v="16"/>
          </reference>
          <reference field="6" count="1" selected="0">
            <x v="2"/>
          </reference>
          <reference field="7" count="1" selected="0">
            <x v="3"/>
          </reference>
          <reference field="8" count="2">
            <x v="16"/>
            <x v="17"/>
          </reference>
        </references>
      </pivotArea>
    </format>
    <format dxfId="231">
      <pivotArea collapsedLevelsAreSubtotals="1" fieldPosition="0">
        <references count="3">
          <reference field="4294967294" count="4" selected="0">
            <x v="13"/>
            <x v="14"/>
            <x v="15"/>
            <x v="16"/>
          </reference>
          <reference field="6" count="1" selected="0">
            <x v="2"/>
          </reference>
          <reference field="7" count="1">
            <x v="4"/>
          </reference>
        </references>
      </pivotArea>
    </format>
    <format dxfId="230">
      <pivotArea collapsedLevelsAreSubtotals="1" fieldPosition="0">
        <references count="4">
          <reference field="4294967294" count="8" selected="0">
            <x v="7"/>
            <x v="8"/>
            <x v="9"/>
            <x v="10"/>
            <x v="11"/>
            <x v="12"/>
            <x v="13"/>
            <x v="14"/>
          </reference>
          <reference field="6" count="1" selected="0">
            <x v="0"/>
          </reference>
          <reference field="7" count="1" selected="0">
            <x v="0"/>
          </reference>
          <reference field="8" count="4">
            <x v="1"/>
            <x v="2"/>
            <x v="3"/>
            <x v="4"/>
          </reference>
        </references>
      </pivotArea>
    </format>
    <format dxfId="229">
      <pivotArea collapsedLevelsAreSubtotals="1" fieldPosition="0">
        <references count="4">
          <reference field="4294967294" count="8" selected="0">
            <x v="7"/>
            <x v="8"/>
            <x v="9"/>
            <x v="10"/>
            <x v="11"/>
            <x v="12"/>
            <x v="13"/>
            <x v="14"/>
          </reference>
          <reference field="6" count="1" selected="0">
            <x v="0"/>
          </reference>
          <reference field="7" count="1" selected="0">
            <x v="1"/>
          </reference>
          <reference field="8" count="3">
            <x v="5"/>
            <x v="6"/>
            <x v="37"/>
          </reference>
        </references>
      </pivotArea>
    </format>
    <format dxfId="228">
      <pivotArea collapsedLevelsAreSubtotals="1" fieldPosition="0">
        <references count="3">
          <reference field="4294967294" count="8" selected="0">
            <x v="7"/>
            <x v="8"/>
            <x v="9"/>
            <x v="10"/>
            <x v="11"/>
            <x v="12"/>
            <x v="13"/>
            <x v="14"/>
          </reference>
          <reference field="6" count="1" selected="0">
            <x v="0"/>
          </reference>
          <reference field="7" count="1">
            <x v="2"/>
          </reference>
        </references>
      </pivotArea>
    </format>
    <format dxfId="227">
      <pivotArea collapsedLevelsAreSubtotals="1" fieldPosition="0">
        <references count="4">
          <reference field="4294967294" count="8" selected="0">
            <x v="7"/>
            <x v="8"/>
            <x v="9"/>
            <x v="10"/>
            <x v="11"/>
            <x v="12"/>
            <x v="13"/>
            <x v="14"/>
          </reference>
          <reference field="6" count="1" selected="0">
            <x v="0"/>
          </reference>
          <reference field="7" count="1" selected="0">
            <x v="2"/>
          </reference>
          <reference field="8" count="9">
            <x v="7"/>
            <x v="8"/>
            <x v="9"/>
            <x v="10"/>
            <x v="11"/>
            <x v="12"/>
            <x v="13"/>
            <x v="14"/>
            <x v="15"/>
          </reference>
        </references>
      </pivotArea>
    </format>
    <format dxfId="226">
      <pivotArea collapsedLevelsAreSubtotals="1" fieldPosition="0">
        <references count="2">
          <reference field="4294967294" count="8" selected="0">
            <x v="7"/>
            <x v="8"/>
            <x v="9"/>
            <x v="10"/>
            <x v="11"/>
            <x v="12"/>
            <x v="13"/>
            <x v="14"/>
          </reference>
          <reference field="6" count="1">
            <x v="2"/>
          </reference>
        </references>
      </pivotArea>
    </format>
    <format dxfId="225">
      <pivotArea collapsedLevelsAreSubtotals="1" fieldPosition="0">
        <references count="3">
          <reference field="4294967294" count="8" selected="0">
            <x v="7"/>
            <x v="8"/>
            <x v="9"/>
            <x v="10"/>
            <x v="11"/>
            <x v="12"/>
            <x v="13"/>
            <x v="14"/>
          </reference>
          <reference field="6" count="1" selected="0">
            <x v="2"/>
          </reference>
          <reference field="7" count="1">
            <x v="3"/>
          </reference>
        </references>
      </pivotArea>
    </format>
    <format dxfId="224">
      <pivotArea collapsedLevelsAreSubtotals="1" fieldPosition="0">
        <references count="4">
          <reference field="4294967294" count="8" selected="0">
            <x v="7"/>
            <x v="8"/>
            <x v="9"/>
            <x v="10"/>
            <x v="11"/>
            <x v="12"/>
            <x v="13"/>
            <x v="14"/>
          </reference>
          <reference field="6" count="1" selected="0">
            <x v="2"/>
          </reference>
          <reference field="7" count="1" selected="0">
            <x v="3"/>
          </reference>
          <reference field="8" count="2">
            <x v="16"/>
            <x v="17"/>
          </reference>
        </references>
      </pivotArea>
    </format>
    <format dxfId="223">
      <pivotArea collapsedLevelsAreSubtotals="1" fieldPosition="0">
        <references count="3">
          <reference field="4294967294" count="8" selected="0">
            <x v="7"/>
            <x v="8"/>
            <x v="9"/>
            <x v="10"/>
            <x v="11"/>
            <x v="12"/>
            <x v="13"/>
            <x v="14"/>
          </reference>
          <reference field="6" count="1" selected="0">
            <x v="2"/>
          </reference>
          <reference field="7" count="1">
            <x v="4"/>
          </reference>
        </references>
      </pivotArea>
    </format>
    <format dxfId="222">
      <pivotArea collapsedLevelsAreSubtotals="1" fieldPosition="0">
        <references count="4">
          <reference field="4294967294" count="8" selected="0">
            <x v="7"/>
            <x v="8"/>
            <x v="9"/>
            <x v="10"/>
            <x v="11"/>
            <x v="12"/>
            <x v="13"/>
            <x v="14"/>
          </reference>
          <reference field="6" count="1" selected="0">
            <x v="2"/>
          </reference>
          <reference field="7" count="1" selected="0">
            <x v="4"/>
          </reference>
          <reference field="8" count="1">
            <x v="18"/>
          </reference>
        </references>
      </pivotArea>
    </format>
    <format dxfId="221">
      <pivotArea collapsedLevelsAreSubtotals="1" fieldPosition="0">
        <references count="3">
          <reference field="4294967294" count="1" selected="0">
            <x v="0"/>
          </reference>
          <reference field="6" count="1" selected="0">
            <x v="0"/>
          </reference>
          <reference field="7" count="1">
            <x v="0"/>
          </reference>
        </references>
      </pivotArea>
    </format>
    <format dxfId="220">
      <pivotArea collapsedLevelsAreSubtotals="1" fieldPosition="0">
        <references count="3">
          <reference field="4294967294" count="1" selected="0">
            <x v="0"/>
          </reference>
          <reference field="6" count="1" selected="0">
            <x v="0"/>
          </reference>
          <reference field="7" count="1">
            <x v="0"/>
          </reference>
        </references>
      </pivotArea>
    </format>
    <format dxfId="219">
      <pivotArea collapsedLevelsAreSubtotals="1" fieldPosition="0">
        <references count="3">
          <reference field="4294967294" count="16" selected="0">
            <x v="1"/>
            <x v="2"/>
            <x v="3"/>
            <x v="4"/>
            <x v="5"/>
            <x v="6"/>
            <x v="7"/>
            <x v="8"/>
            <x v="9"/>
            <x v="10"/>
            <x v="11"/>
            <x v="12"/>
            <x v="13"/>
            <x v="14"/>
            <x v="15"/>
            <x v="16"/>
          </reference>
          <reference field="6" count="1" selected="0">
            <x v="0"/>
          </reference>
          <reference field="7" count="1">
            <x v="0"/>
          </reference>
        </references>
      </pivotArea>
    </format>
    <format dxfId="218">
      <pivotArea collapsedLevelsAreSubtotals="1" fieldPosition="0">
        <references count="3">
          <reference field="4294967294" count="1" selected="0">
            <x v="0"/>
          </reference>
          <reference field="6" count="1" selected="0">
            <x v="0"/>
          </reference>
          <reference field="7" count="1">
            <x v="1"/>
          </reference>
        </references>
      </pivotArea>
    </format>
    <format dxfId="217">
      <pivotArea collapsedLevelsAreSubtotals="1" fieldPosition="0">
        <references count="3">
          <reference field="4294967294" count="1" selected="0">
            <x v="0"/>
          </reference>
          <reference field="6" count="1" selected="0">
            <x v="0"/>
          </reference>
          <reference field="7" count="1">
            <x v="2"/>
          </reference>
        </references>
      </pivotArea>
    </format>
    <format dxfId="216">
      <pivotArea collapsedLevelsAreSubtotals="1" fieldPosition="0">
        <references count="3">
          <reference field="4294967294" count="1" selected="0">
            <x v="0"/>
          </reference>
          <reference field="6" count="1" selected="0">
            <x v="2"/>
          </reference>
          <reference field="7" count="1">
            <x v="3"/>
          </reference>
        </references>
      </pivotArea>
    </format>
    <format dxfId="215">
      <pivotArea collapsedLevelsAreSubtotals="1" fieldPosition="0">
        <references count="3">
          <reference field="4294967294" count="1" selected="0">
            <x v="0"/>
          </reference>
          <reference field="6" count="1" selected="0">
            <x v="2"/>
          </reference>
          <reference field="7" count="1">
            <x v="4"/>
          </reference>
        </references>
      </pivotArea>
    </format>
    <format dxfId="214">
      <pivotArea collapsedLevelsAreSubtotals="1" fieldPosition="0">
        <references count="3">
          <reference field="4294967294" count="1" selected="0">
            <x v="0"/>
          </reference>
          <reference field="6" count="1" selected="0">
            <x v="3"/>
          </reference>
          <reference field="7" count="1">
            <x v="5"/>
          </reference>
        </references>
      </pivotArea>
    </format>
    <format dxfId="213">
      <pivotArea collapsedLevelsAreSubtotals="1" fieldPosition="0">
        <references count="3">
          <reference field="4294967294" count="1" selected="0">
            <x v="0"/>
          </reference>
          <reference field="6" count="1" selected="0">
            <x v="3"/>
          </reference>
          <reference field="7" count="1">
            <x v="6"/>
          </reference>
        </references>
      </pivotArea>
    </format>
    <format dxfId="212">
      <pivotArea collapsedLevelsAreSubtotals="1" fieldPosition="0">
        <references count="3">
          <reference field="4294967294" count="1" selected="0">
            <x v="0"/>
          </reference>
          <reference field="6" count="1" selected="0">
            <x v="3"/>
          </reference>
          <reference field="7" count="1">
            <x v="7"/>
          </reference>
        </references>
      </pivotArea>
    </format>
    <format dxfId="211">
      <pivotArea collapsedLevelsAreSubtotals="1" fieldPosition="0">
        <references count="3">
          <reference field="4294967294" count="1" selected="0">
            <x v="16"/>
          </reference>
          <reference field="6" count="1" selected="0">
            <x v="0"/>
          </reference>
          <reference field="7" count="1">
            <x v="2"/>
          </reference>
        </references>
      </pivotArea>
    </format>
    <format dxfId="210">
      <pivotArea collapsedLevelsAreSubtotals="1" fieldPosition="0">
        <references count="3">
          <reference field="4294967294" count="1" selected="0">
            <x v="16"/>
          </reference>
          <reference field="6" count="1" selected="0">
            <x v="2"/>
          </reference>
          <reference field="7" count="1">
            <x v="3"/>
          </reference>
        </references>
      </pivotArea>
    </format>
    <format dxfId="209">
      <pivotArea collapsedLevelsAreSubtotals="1" fieldPosition="0">
        <references count="3">
          <reference field="4294967294" count="1" selected="0">
            <x v="16"/>
          </reference>
          <reference field="6" count="1" selected="0">
            <x v="2"/>
          </reference>
          <reference field="7" count="1">
            <x v="4"/>
          </reference>
        </references>
      </pivotArea>
    </format>
    <format dxfId="208">
      <pivotArea collapsedLevelsAreSubtotals="1" fieldPosition="0">
        <references count="3">
          <reference field="4294967294" count="1" selected="0">
            <x v="16"/>
          </reference>
          <reference field="6" count="1" selected="0">
            <x v="3"/>
          </reference>
          <reference field="7" count="1">
            <x v="5"/>
          </reference>
        </references>
      </pivotArea>
    </format>
    <format dxfId="207">
      <pivotArea collapsedLevelsAreSubtotals="1" fieldPosition="0">
        <references count="3">
          <reference field="4294967294" count="1" selected="0">
            <x v="16"/>
          </reference>
          <reference field="6" count="1" selected="0">
            <x v="3"/>
          </reference>
          <reference field="7" count="1">
            <x v="6"/>
          </reference>
        </references>
      </pivotArea>
    </format>
    <format dxfId="206">
      <pivotArea collapsedLevelsAreSubtotals="1" fieldPosition="0">
        <references count="3">
          <reference field="4294967294" count="1" selected="0">
            <x v="16"/>
          </reference>
          <reference field="6" count="1" selected="0">
            <x v="3"/>
          </reference>
          <reference field="7" count="1">
            <x v="7"/>
          </reference>
        </references>
      </pivotArea>
    </format>
    <format dxfId="205">
      <pivotArea collapsedLevelsAreSubtotals="1" fieldPosition="0">
        <references count="3">
          <reference field="4294967294" count="16" selected="0">
            <x v="1"/>
            <x v="2"/>
            <x v="3"/>
            <x v="4"/>
            <x v="5"/>
            <x v="6"/>
            <x v="7"/>
            <x v="8"/>
            <x v="9"/>
            <x v="10"/>
            <x v="11"/>
            <x v="12"/>
            <x v="13"/>
            <x v="14"/>
            <x v="15"/>
            <x v="16"/>
          </reference>
          <reference field="6" count="1" selected="0">
            <x v="0"/>
          </reference>
          <reference field="7" count="1">
            <x v="1"/>
          </reference>
        </references>
      </pivotArea>
    </format>
    <format dxfId="204">
      <pivotArea dataOnly="0" labelOnly="1" fieldPosition="0">
        <references count="1">
          <reference field="6" count="1">
            <x v="2"/>
          </reference>
        </references>
      </pivotArea>
    </format>
  </formats>
  <pivotTableStyleInfo showRowHeaders="0" showColHeaders="0" showRowStripes="0" showColStripes="0" showLastColumn="1"/>
</pivotTableDefinition>
</file>

<file path=xl/pivotTables/pivotTable4.xml><?xml version="1.0" encoding="utf-8"?>
<pivotTableDefinition xmlns="http://schemas.openxmlformats.org/spreadsheetml/2006/main" name="CEAllYears" cacheId="2" applyNumberFormats="0" applyBorderFormats="0" applyFontFormats="0" applyPatternFormats="0" applyAlignmentFormats="0" applyWidthHeightFormats="1" dataCaption="Values" updatedVersion="4" minRefreshableVersion="3" showDrill="0" showDataTips="0" itemPrintTitles="1" createdVersion="4" indent="0" showHeaders="0" outline="1" outlineData="1" multipleFieldFilters="0">
  <location ref="B93:I142" firstHeaderRow="0" firstDataRow="1" firstDataCol="1" rowPageCount="3" colPageCount="1"/>
  <pivotFields count="75">
    <pivotField showAll="0" defaultSubtotal="0"/>
    <pivotField axis="axisPage" showAll="0">
      <items count="3">
        <item x="0"/>
        <item m="1" x="1"/>
        <item t="default"/>
      </items>
    </pivotField>
    <pivotField axis="axisPage" multipleItemSelectionAllowed="1" showAll="0">
      <items count="4">
        <item m="1" x="2"/>
        <item x="0"/>
        <item m="1" x="1"/>
        <item t="default"/>
      </items>
    </pivotField>
    <pivotField showAll="0" defaultSubtotal="0"/>
    <pivotField showAll="0" defaultSubtotal="0"/>
    <pivotField axis="axisPage" showAll="0">
      <items count="4">
        <item m="1" x="2"/>
        <item x="0"/>
        <item m="1" x="1"/>
        <item t="default"/>
      </items>
    </pivotField>
    <pivotField axis="axisRow" showAll="0">
      <items count="6">
        <item x="0"/>
        <item m="1" x="4"/>
        <item x="2"/>
        <item x="1"/>
        <item m="1" x="3"/>
        <item t="default"/>
      </items>
    </pivotField>
    <pivotField axis="axisRow" showAll="0">
      <items count="10">
        <item x="0"/>
        <item x="1"/>
        <item x="2"/>
        <item x="3"/>
        <item x="4"/>
        <item x="5"/>
        <item x="6"/>
        <item x="7"/>
        <item m="1" x="8"/>
        <item t="default"/>
      </items>
    </pivotField>
    <pivotField axis="axisRow" showAll="0">
      <items count="42">
        <item x="0"/>
        <item x="1"/>
        <item x="2"/>
        <item x="3"/>
        <item x="4"/>
        <item x="6"/>
        <item x="7"/>
        <item x="8"/>
        <item x="9"/>
        <item x="10"/>
        <item x="11"/>
        <item x="12"/>
        <item x="13"/>
        <item x="14"/>
        <item x="15"/>
        <item x="16"/>
        <item x="17"/>
        <item x="18"/>
        <item x="19"/>
        <item x="20"/>
        <item x="21"/>
        <item x="22"/>
        <item x="23"/>
        <item x="24"/>
        <item x="26"/>
        <item x="27"/>
        <item x="29"/>
        <item x="30"/>
        <item x="31"/>
        <item x="32"/>
        <item x="33"/>
        <item x="34"/>
        <item x="35"/>
        <item x="36"/>
        <item m="1" x="40"/>
        <item m="1" x="38"/>
        <item m="1" x="39"/>
        <item x="5"/>
        <item x="25"/>
        <item x="28"/>
        <item m="1" x="37"/>
        <item t="default"/>
      </items>
    </pivotField>
    <pivotField numFmtId="170" showAll="0"/>
    <pivotField numFmtId="170" showAll="0"/>
    <pivotField numFmtId="170" showAll="0"/>
    <pivotField numFmtId="170" showAll="0"/>
    <pivotField numFmtId="170" showAll="0"/>
    <pivotField numFmtId="170" showAll="0"/>
    <pivotField dataField="1" numFmtId="170" showAll="0" defaultSubtotal="0"/>
    <pivotField numFmtId="170" showAll="0"/>
    <pivotField dataField="1" numFmtId="170" showAll="0" defaultSubtotal="0"/>
    <pivotField numFmtId="170" showAll="0"/>
    <pivotField dataField="1" numFmtId="170" showAll="0" defaultSubtotal="0"/>
    <pivotField showAll="0"/>
    <pivotField showAll="0" defaultSubtotal="0"/>
    <pivotField numFmtId="170" showAll="0"/>
    <pivotField dataField="1" numFmtId="170"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6"/>
    <field x="7"/>
    <field x="8"/>
  </rowFields>
  <rowItems count="49">
    <i>
      <x/>
    </i>
    <i r="1">
      <x/>
    </i>
    <i r="2">
      <x/>
    </i>
    <i r="2">
      <x v="1"/>
    </i>
    <i r="2">
      <x v="2"/>
    </i>
    <i r="2">
      <x v="3"/>
    </i>
    <i r="2">
      <x v="4"/>
    </i>
    <i r="1">
      <x v="1"/>
    </i>
    <i r="2">
      <x v="5"/>
    </i>
    <i r="2">
      <x v="6"/>
    </i>
    <i r="2">
      <x v="37"/>
    </i>
    <i r="1">
      <x v="2"/>
    </i>
    <i r="2">
      <x v="7"/>
    </i>
    <i r="2">
      <x v="8"/>
    </i>
    <i r="2">
      <x v="9"/>
    </i>
    <i r="2">
      <x v="10"/>
    </i>
    <i r="2">
      <x v="11"/>
    </i>
    <i r="2">
      <x v="12"/>
    </i>
    <i r="2">
      <x v="13"/>
    </i>
    <i r="2">
      <x v="14"/>
    </i>
    <i r="2">
      <x v="15"/>
    </i>
    <i>
      <x v="2"/>
    </i>
    <i r="1">
      <x v="5"/>
    </i>
    <i r="2">
      <x v="23"/>
    </i>
    <i r="2">
      <x v="38"/>
    </i>
    <i r="1">
      <x v="6"/>
    </i>
    <i r="2">
      <x v="24"/>
    </i>
    <i r="2">
      <x v="25"/>
    </i>
    <i r="2">
      <x v="26"/>
    </i>
    <i r="2">
      <x v="39"/>
    </i>
    <i r="1">
      <x v="7"/>
    </i>
    <i r="2">
      <x v="27"/>
    </i>
    <i r="2">
      <x v="28"/>
    </i>
    <i r="2">
      <x v="29"/>
    </i>
    <i r="2">
      <x v="30"/>
    </i>
    <i r="2">
      <x v="31"/>
    </i>
    <i r="2">
      <x v="32"/>
    </i>
    <i r="2">
      <x v="33"/>
    </i>
    <i>
      <x v="3"/>
    </i>
    <i r="1">
      <x v="3"/>
    </i>
    <i r="2">
      <x v="16"/>
    </i>
    <i r="2">
      <x v="17"/>
    </i>
    <i r="1">
      <x v="4"/>
    </i>
    <i r="2">
      <x v="18"/>
    </i>
    <i r="2">
      <x v="19"/>
    </i>
    <i r="2">
      <x v="20"/>
    </i>
    <i r="2">
      <x v="21"/>
    </i>
    <i r="2">
      <x v="22"/>
    </i>
    <i t="grand">
      <x/>
    </i>
  </rowItems>
  <colFields count="1">
    <field x="-2"/>
  </colFields>
  <colItems count="7">
    <i>
      <x/>
    </i>
    <i i="1">
      <x v="1"/>
    </i>
    <i i="2">
      <x v="2"/>
    </i>
    <i i="3">
      <x v="3"/>
    </i>
    <i i="4">
      <x v="4"/>
    </i>
    <i i="5">
      <x v="5"/>
    </i>
    <i i="6">
      <x v="6"/>
    </i>
  </colItems>
  <pageFields count="3">
    <pageField fld="1" item="0" hier="-1"/>
    <pageField fld="5" item="1" hier="-1"/>
    <pageField fld="2" hier="-1"/>
  </pageFields>
  <dataFields count="7">
    <dataField name="Sum of B/C Ratio" fld="63" baseField="0" baseItem="0" numFmtId="2"/>
    <dataField name="Sum of Net Benefits" fld="64" baseField="0" baseItem="0" numFmtId="3"/>
    <dataField name="Sum of Total Benefits " fld="62" baseField="0" baseItem="0" numFmtId="3"/>
    <dataField name="Sum of Total Program Costs (2016$)" fld="15" baseField="6" baseItem="4" numFmtId="3"/>
    <dataField name="Sum of Performance Incentive (2016$)" fld="17" baseField="6" baseItem="4" numFmtId="3"/>
    <dataField name="Sum of Participant Costs (2016$)" fld="19" baseField="6" baseItem="0" numFmtId="3"/>
    <dataField name="Sum of Total Resource Costs (2016$)" fld="23" baseField="0" baseItem="0" numFmtId="3"/>
  </dataFields>
  <formats count="52">
    <format dxfId="103">
      <pivotArea outline="0" collapsedLevelsAreSubtotals="1" fieldPosition="0"/>
    </format>
    <format dxfId="102">
      <pivotArea field="7" type="button" dataOnly="0" labelOnly="1" outline="0" axis="axisRow" fieldPosition="1"/>
    </format>
    <format dxfId="101">
      <pivotArea outline="0" collapsedLevelsAreSubtotals="1" fieldPosition="0"/>
    </format>
    <format dxfId="100">
      <pivotArea dataOnly="0" labelOnly="1" fieldPosition="0">
        <references count="1">
          <reference field="6" count="0"/>
        </references>
      </pivotArea>
    </format>
    <format dxfId="99">
      <pivotArea dataOnly="0" labelOnly="1" grandRow="1" outline="0" fieldPosition="0"/>
    </format>
    <format dxfId="98">
      <pivotArea dataOnly="0" labelOnly="1" fieldPosition="0">
        <references count="2">
          <reference field="6" count="1" selected="0">
            <x v="0"/>
          </reference>
          <reference field="7" count="0"/>
        </references>
      </pivotArea>
    </format>
    <format dxfId="97">
      <pivotArea outline="0" collapsedLevelsAreSubtotals="1" fieldPosition="0"/>
    </format>
    <format dxfId="96">
      <pivotArea dataOnly="0" labelOnly="1" fieldPosition="0">
        <references count="1">
          <reference field="6" count="0"/>
        </references>
      </pivotArea>
    </format>
    <format dxfId="95">
      <pivotArea dataOnly="0" labelOnly="1" fieldPosition="0">
        <references count="2">
          <reference field="6" count="1" selected="0">
            <x v="0"/>
          </reference>
          <reference field="7" count="0"/>
        </references>
      </pivotArea>
    </format>
    <format dxfId="94">
      <pivotArea dataOnly="0" labelOnly="1" grandRow="1" outline="0" fieldPosition="0"/>
    </format>
    <format dxfId="93">
      <pivotArea outline="0" collapsedLevelsAreSubtotals="1" fieldPosition="0"/>
    </format>
    <format dxfId="92">
      <pivotArea dataOnly="0" labelOnly="1" fieldPosition="0">
        <references count="1">
          <reference field="6" count="0"/>
        </references>
      </pivotArea>
    </format>
    <format dxfId="91">
      <pivotArea dataOnly="0" labelOnly="1" grandRow="1" outline="0" fieldPosition="0"/>
    </format>
    <format dxfId="90">
      <pivotArea dataOnly="0" labelOnly="1" fieldPosition="0">
        <references count="2">
          <reference field="6" count="1" selected="0">
            <x v="0"/>
          </reference>
          <reference field="7" count="0"/>
        </references>
      </pivotArea>
    </format>
    <format dxfId="89">
      <pivotArea collapsedLevelsAreSubtotals="1" fieldPosition="0">
        <references count="1">
          <reference field="6" count="1">
            <x v="0"/>
          </reference>
        </references>
      </pivotArea>
    </format>
    <format dxfId="88">
      <pivotArea dataOnly="0" labelOnly="1" fieldPosition="0">
        <references count="1">
          <reference field="6" count="1">
            <x v="0"/>
          </reference>
        </references>
      </pivotArea>
    </format>
    <format dxfId="87">
      <pivotArea collapsedLevelsAreSubtotals="1" fieldPosition="0">
        <references count="1">
          <reference field="6" count="1">
            <x v="0"/>
          </reference>
        </references>
      </pivotArea>
    </format>
    <format dxfId="86">
      <pivotArea dataOnly="0" labelOnly="1" fieldPosition="0">
        <references count="1">
          <reference field="6" count="1">
            <x v="0"/>
          </reference>
        </references>
      </pivotArea>
    </format>
    <format dxfId="85">
      <pivotArea collapsedLevelsAreSubtotals="1" fieldPosition="0">
        <references count="1">
          <reference field="6" count="1">
            <x v="0"/>
          </reference>
        </references>
      </pivotArea>
    </format>
    <format dxfId="84">
      <pivotArea dataOnly="0" labelOnly="1" fieldPosition="0">
        <references count="1">
          <reference field="6" count="1">
            <x v="0"/>
          </reference>
        </references>
      </pivotArea>
    </format>
    <format dxfId="83">
      <pivotArea collapsedLevelsAreSubtotals="1" fieldPosition="0">
        <references count="1">
          <reference field="6" count="1">
            <x v="1"/>
          </reference>
        </references>
      </pivotArea>
    </format>
    <format dxfId="82">
      <pivotArea dataOnly="0" labelOnly="1" fieldPosition="0">
        <references count="1">
          <reference field="6" count="1">
            <x v="1"/>
          </reference>
        </references>
      </pivotArea>
    </format>
    <format dxfId="81">
      <pivotArea collapsedLevelsAreSubtotals="1" fieldPosition="0">
        <references count="1">
          <reference field="6" count="1">
            <x v="1"/>
          </reference>
        </references>
      </pivotArea>
    </format>
    <format dxfId="80">
      <pivotArea dataOnly="0" labelOnly="1" fieldPosition="0">
        <references count="1">
          <reference field="6" count="1">
            <x v="1"/>
          </reference>
        </references>
      </pivotArea>
    </format>
    <format dxfId="79">
      <pivotArea collapsedLevelsAreSubtotals="1" fieldPosition="0">
        <references count="1">
          <reference field="6" count="1">
            <x v="1"/>
          </reference>
        </references>
      </pivotArea>
    </format>
    <format dxfId="78">
      <pivotArea dataOnly="0" labelOnly="1" fieldPosition="0">
        <references count="1">
          <reference field="6" count="1">
            <x v="1"/>
          </reference>
        </references>
      </pivotArea>
    </format>
    <format dxfId="77">
      <pivotArea collapsedLevelsAreSubtotals="1" fieldPosition="0">
        <references count="1">
          <reference field="6" count="1">
            <x v="2"/>
          </reference>
        </references>
      </pivotArea>
    </format>
    <format dxfId="76">
      <pivotArea dataOnly="0" labelOnly="1" fieldPosition="0">
        <references count="1">
          <reference field="6" count="1">
            <x v="2"/>
          </reference>
        </references>
      </pivotArea>
    </format>
    <format dxfId="75">
      <pivotArea collapsedLevelsAreSubtotals="1" fieldPosition="0">
        <references count="1">
          <reference field="6" count="1">
            <x v="2"/>
          </reference>
        </references>
      </pivotArea>
    </format>
    <format dxfId="74">
      <pivotArea dataOnly="0" labelOnly="1" fieldPosition="0">
        <references count="1">
          <reference field="6" count="1">
            <x v="2"/>
          </reference>
        </references>
      </pivotArea>
    </format>
    <format dxfId="73">
      <pivotArea collapsedLevelsAreSubtotals="1" fieldPosition="0">
        <references count="1">
          <reference field="6" count="1">
            <x v="2"/>
          </reference>
        </references>
      </pivotArea>
    </format>
    <format dxfId="72">
      <pivotArea dataOnly="0" labelOnly="1" fieldPosition="0">
        <references count="1">
          <reference field="6" count="1">
            <x v="2"/>
          </reference>
        </references>
      </pivotArea>
    </format>
    <format dxfId="71">
      <pivotArea dataOnly="0" labelOnly="1" fieldPosition="0">
        <references count="1">
          <reference field="7" count="0"/>
        </references>
      </pivotArea>
    </format>
    <format dxfId="70">
      <pivotArea dataOnly="0" labelOnly="1" grandRow="1" outline="0" fieldPosition="0"/>
    </format>
    <format dxfId="69">
      <pivotArea type="all" dataOnly="0" outline="0" fieldPosition="0"/>
    </format>
    <format dxfId="68">
      <pivotArea field="1" type="button" dataOnly="0" labelOnly="1" outline="0" axis="axisPage" fieldPosition="0"/>
    </format>
    <format dxfId="67">
      <pivotArea field="2" type="button" dataOnly="0" labelOnly="1" outline="0" axis="axisPage" fieldPosition="2"/>
    </format>
    <format dxfId="66">
      <pivotArea field="5" type="button" dataOnly="0" labelOnly="1" outline="0" axis="axisPage" fieldPosition="1"/>
    </format>
    <format dxfId="65">
      <pivotArea grandRow="1" outline="0" collapsedLevelsAreSubtotals="1" fieldPosition="0"/>
    </format>
    <format dxfId="64">
      <pivotArea type="all" dataOnly="0" outline="0" fieldPosition="0"/>
    </format>
    <format dxfId="63">
      <pivotArea outline="0" collapsedLevelsAreSubtotals="1" fieldPosition="0">
        <references count="1">
          <reference field="4294967294" count="1" selected="0">
            <x v="0"/>
          </reference>
        </references>
      </pivotArea>
    </format>
    <format dxfId="62">
      <pivotArea outline="0" collapsedLevelsAreSubtotals="1" fieldPosition="0">
        <references count="1">
          <reference field="4294967294" count="1" selected="0">
            <x v="0"/>
          </reference>
        </references>
      </pivotArea>
    </format>
    <format dxfId="61">
      <pivotArea outline="0" collapsedLevelsAreSubtotals="1" fieldPosition="0"/>
    </format>
    <format dxfId="60">
      <pivotArea outline="0" collapsedLevelsAreSubtotals="1" fieldPosition="0"/>
    </format>
    <format dxfId="59">
      <pivotArea outline="0" collapsedLevelsAreSubtotals="1" fieldPosition="0">
        <references count="1">
          <reference field="4294967294" count="1" selected="0">
            <x v="0"/>
          </reference>
        </references>
      </pivotArea>
    </format>
    <format dxfId="58">
      <pivotArea outline="0" collapsedLevelsAreSubtotals="1" fieldPosition="0">
        <references count="1">
          <reference field="4294967294" count="1" selected="0">
            <x v="0"/>
          </reference>
        </references>
      </pivotArea>
    </format>
    <format dxfId="57">
      <pivotArea outline="0" collapsedLevelsAreSubtotals="1" fieldPosition="0">
        <references count="1">
          <reference field="4294967294" count="1" selected="0">
            <x v="0"/>
          </reference>
        </references>
      </pivotArea>
    </format>
    <format dxfId="56">
      <pivotArea outline="0" collapsedLevelsAreSubtotals="1" fieldPosition="0">
        <references count="1">
          <reference field="4294967294" count="1" selected="0">
            <x v="0"/>
          </reference>
        </references>
      </pivotArea>
    </format>
    <format dxfId="55">
      <pivotArea outline="0" collapsedLevelsAreSubtotals="1" fieldPosition="0">
        <references count="1">
          <reference field="4294967294" count="6" selected="0">
            <x v="1"/>
            <x v="2"/>
            <x v="3"/>
            <x v="4"/>
            <x v="5"/>
            <x v="6"/>
          </reference>
        </references>
      </pivotArea>
    </format>
    <format dxfId="54">
      <pivotArea outline="0" collapsedLevelsAreSubtotals="1" fieldPosition="0">
        <references count="1">
          <reference field="4294967294" count="6" selected="0">
            <x v="1"/>
            <x v="2"/>
            <x v="3"/>
            <x v="4"/>
            <x v="5"/>
            <x v="6"/>
          </reference>
        </references>
      </pivotArea>
    </format>
    <format dxfId="53">
      <pivotArea outline="0" collapsedLevelsAreSubtotals="1" fieldPosition="0">
        <references count="1">
          <reference field="4294967294" count="6" selected="0">
            <x v="1"/>
            <x v="2"/>
            <x v="3"/>
            <x v="4"/>
            <x v="5"/>
            <x v="6"/>
          </reference>
        </references>
      </pivotArea>
    </format>
    <format dxfId="52">
      <pivotArea outline="0" collapsedLevelsAreSubtotals="1" fieldPosition="0">
        <references count="1">
          <reference field="4294967294" count="6" selected="0">
            <x v="1"/>
            <x v="2"/>
            <x v="3"/>
            <x v="4"/>
            <x v="5"/>
            <x v="6"/>
          </reference>
        </references>
      </pivotArea>
    </format>
  </formats>
  <pivotTableStyleInfo showRowHeaders="0" showColHeaders="0" showRowStripes="0" showColStripes="0" showLastColumn="1"/>
</pivotTableDefinition>
</file>

<file path=xl/pivotTables/pivotTable5.xml><?xml version="1.0" encoding="utf-8"?>
<pivotTableDefinition xmlns="http://schemas.openxmlformats.org/spreadsheetml/2006/main" name="CEYear1" cacheId="2" applyNumberFormats="0" applyBorderFormats="0" applyFontFormats="0" applyPatternFormats="0" applyAlignmentFormats="0" applyWidthHeightFormats="1" dataCaption="Values" updatedVersion="4" minRefreshableVersion="3" showDrill="0" showDataTips="0" itemPrintTitles="1" createdVersion="4" indent="0" showHeaders="0" outline="1" outlineData="1" multipleFieldFilters="0">
  <location ref="B15:I64" firstHeaderRow="0" firstDataRow="1" firstDataCol="1" rowPageCount="3" colPageCount="1"/>
  <pivotFields count="75">
    <pivotField showAll="0" defaultSubtotal="0"/>
    <pivotField axis="axisPage" showAll="0">
      <items count="3">
        <item x="0"/>
        <item m="1" x="1"/>
        <item t="default"/>
      </items>
    </pivotField>
    <pivotField axis="axisPage" multipleItemSelectionAllowed="1" showAll="0">
      <items count="4">
        <item m="1" x="2"/>
        <item x="0"/>
        <item h="1" m="1" x="1"/>
        <item t="default"/>
      </items>
    </pivotField>
    <pivotField showAll="0" defaultSubtotal="0"/>
    <pivotField showAll="0" defaultSubtotal="0"/>
    <pivotField axis="axisPage" showAll="0">
      <items count="4">
        <item m="1" x="2"/>
        <item x="0"/>
        <item m="1" x="1"/>
        <item t="default"/>
      </items>
    </pivotField>
    <pivotField axis="axisRow" showAll="0">
      <items count="6">
        <item x="0"/>
        <item m="1" x="4"/>
        <item x="1"/>
        <item x="2"/>
        <item m="1" x="3"/>
        <item t="default"/>
      </items>
    </pivotField>
    <pivotField axis="axisRow" showAll="0">
      <items count="10">
        <item x="0"/>
        <item x="1"/>
        <item x="2"/>
        <item x="3"/>
        <item x="4"/>
        <item x="5"/>
        <item x="6"/>
        <item x="7"/>
        <item m="1" x="8"/>
        <item t="default"/>
      </items>
    </pivotField>
    <pivotField axis="axisRow" showAll="0">
      <items count="42">
        <item x="0"/>
        <item x="1"/>
        <item x="2"/>
        <item x="3"/>
        <item x="4"/>
        <item x="6"/>
        <item x="7"/>
        <item x="8"/>
        <item x="9"/>
        <item x="10"/>
        <item x="11"/>
        <item x="12"/>
        <item x="13"/>
        <item x="14"/>
        <item x="15"/>
        <item x="16"/>
        <item x="17"/>
        <item x="18"/>
        <item x="19"/>
        <item x="20"/>
        <item x="21"/>
        <item x="22"/>
        <item x="23"/>
        <item x="24"/>
        <item x="26"/>
        <item x="27"/>
        <item x="29"/>
        <item x="30"/>
        <item x="31"/>
        <item x="32"/>
        <item x="33"/>
        <item x="34"/>
        <item x="35"/>
        <item x="36"/>
        <item m="1" x="40"/>
        <item m="1" x="38"/>
        <item m="1" x="39"/>
        <item x="5"/>
        <item x="25"/>
        <item x="28"/>
        <item m="1" x="37"/>
        <item t="default"/>
      </items>
    </pivotField>
    <pivotField numFmtId="170" showAll="0"/>
    <pivotField numFmtId="170" showAll="0"/>
    <pivotField numFmtId="170" showAll="0"/>
    <pivotField numFmtId="170" showAll="0"/>
    <pivotField numFmtId="170" showAll="0"/>
    <pivotField numFmtId="170" showAll="0"/>
    <pivotField dataField="1" numFmtId="170" showAll="0" defaultSubtotal="0"/>
    <pivotField numFmtId="170" showAll="0"/>
    <pivotField dataField="1" numFmtId="170" showAll="0" defaultSubtotal="0"/>
    <pivotField numFmtId="170" showAll="0"/>
    <pivotField dataField="1" numFmtId="170" showAll="0" defaultSubtotal="0"/>
    <pivotField showAll="0"/>
    <pivotField showAll="0" defaultSubtotal="0"/>
    <pivotField numFmtId="170" showAll="0"/>
    <pivotField dataField="1" numFmtId="170"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6"/>
    <field x="7"/>
    <field x="8"/>
  </rowFields>
  <rowItems count="49">
    <i>
      <x/>
    </i>
    <i r="1">
      <x/>
    </i>
    <i r="2">
      <x/>
    </i>
    <i r="2">
      <x v="1"/>
    </i>
    <i r="2">
      <x v="2"/>
    </i>
    <i r="2">
      <x v="3"/>
    </i>
    <i r="2">
      <x v="4"/>
    </i>
    <i r="1">
      <x v="1"/>
    </i>
    <i r="2">
      <x v="5"/>
    </i>
    <i r="2">
      <x v="6"/>
    </i>
    <i r="2">
      <x v="37"/>
    </i>
    <i r="1">
      <x v="2"/>
    </i>
    <i r="2">
      <x v="7"/>
    </i>
    <i r="2">
      <x v="8"/>
    </i>
    <i r="2">
      <x v="9"/>
    </i>
    <i r="2">
      <x v="10"/>
    </i>
    <i r="2">
      <x v="11"/>
    </i>
    <i r="2">
      <x v="12"/>
    </i>
    <i r="2">
      <x v="13"/>
    </i>
    <i r="2">
      <x v="14"/>
    </i>
    <i r="2">
      <x v="15"/>
    </i>
    <i>
      <x v="2"/>
    </i>
    <i r="1">
      <x v="3"/>
    </i>
    <i r="2">
      <x v="16"/>
    </i>
    <i r="2">
      <x v="17"/>
    </i>
    <i r="1">
      <x v="4"/>
    </i>
    <i r="2">
      <x v="18"/>
    </i>
    <i r="2">
      <x v="19"/>
    </i>
    <i r="2">
      <x v="20"/>
    </i>
    <i r="2">
      <x v="21"/>
    </i>
    <i r="2">
      <x v="22"/>
    </i>
    <i>
      <x v="3"/>
    </i>
    <i r="1">
      <x v="5"/>
    </i>
    <i r="2">
      <x v="23"/>
    </i>
    <i r="2">
      <x v="38"/>
    </i>
    <i r="1">
      <x v="6"/>
    </i>
    <i r="2">
      <x v="24"/>
    </i>
    <i r="2">
      <x v="25"/>
    </i>
    <i r="2">
      <x v="26"/>
    </i>
    <i r="2">
      <x v="39"/>
    </i>
    <i r="1">
      <x v="7"/>
    </i>
    <i r="2">
      <x v="27"/>
    </i>
    <i r="2">
      <x v="28"/>
    </i>
    <i r="2">
      <x v="29"/>
    </i>
    <i r="2">
      <x v="30"/>
    </i>
    <i r="2">
      <x v="31"/>
    </i>
    <i r="2">
      <x v="32"/>
    </i>
    <i r="2">
      <x v="33"/>
    </i>
    <i t="grand">
      <x/>
    </i>
  </rowItems>
  <colFields count="1">
    <field x="-2"/>
  </colFields>
  <colItems count="7">
    <i>
      <x/>
    </i>
    <i i="1">
      <x v="1"/>
    </i>
    <i i="2">
      <x v="2"/>
    </i>
    <i i="3">
      <x v="3"/>
    </i>
    <i i="4">
      <x v="4"/>
    </i>
    <i i="5">
      <x v="5"/>
    </i>
    <i i="6">
      <x v="6"/>
    </i>
  </colItems>
  <pageFields count="3">
    <pageField fld="1" item="0" hier="-1"/>
    <pageField fld="5" item="1" hier="-1"/>
    <pageField fld="2" hier="-1"/>
  </pageFields>
  <dataFields count="7">
    <dataField name="Sum of B/C Ratio" fld="63" baseField="0" baseItem="0" numFmtId="2"/>
    <dataField name="Sum of Net Benefits" fld="64" baseField="0" baseItem="0" numFmtId="3"/>
    <dataField name="Sum of Total Benefits " fld="62" baseField="0" baseItem="0" numFmtId="3"/>
    <dataField name="Sum of Total Program Costs (2016$)" fld="15" baseField="6" baseItem="4" numFmtId="3"/>
    <dataField name="Sum of Performance Incentive (2016$)" fld="17" baseField="6" baseItem="4" numFmtId="3"/>
    <dataField name="Sum of Participant Costs (2016$)" fld="19" baseField="6" baseItem="0" numFmtId="3"/>
    <dataField name="Sum of Total Resource Costs (2016$)" fld="23" baseField="0" baseItem="0" numFmtId="3"/>
  </dataFields>
  <formats count="100">
    <format dxfId="203">
      <pivotArea outline="0" collapsedLevelsAreSubtotals="1" fieldPosition="0"/>
    </format>
    <format dxfId="202">
      <pivotArea field="7" type="button" dataOnly="0" labelOnly="1" outline="0" axis="axisRow" fieldPosition="1"/>
    </format>
    <format dxfId="201">
      <pivotArea outline="0" collapsedLevelsAreSubtotals="1" fieldPosition="0"/>
    </format>
    <format dxfId="200">
      <pivotArea dataOnly="0" labelOnly="1" fieldPosition="0">
        <references count="1">
          <reference field="6" count="0"/>
        </references>
      </pivotArea>
    </format>
    <format dxfId="199">
      <pivotArea dataOnly="0" labelOnly="1" grandRow="1" outline="0" fieldPosition="0"/>
    </format>
    <format dxfId="198">
      <pivotArea dataOnly="0" labelOnly="1" fieldPosition="0">
        <references count="2">
          <reference field="6" count="1" selected="0">
            <x v="0"/>
          </reference>
          <reference field="7" count="0"/>
        </references>
      </pivotArea>
    </format>
    <format dxfId="197">
      <pivotArea outline="0" collapsedLevelsAreSubtotals="1" fieldPosition="0"/>
    </format>
    <format dxfId="196">
      <pivotArea dataOnly="0" labelOnly="1" fieldPosition="0">
        <references count="1">
          <reference field="6" count="0"/>
        </references>
      </pivotArea>
    </format>
    <format dxfId="195">
      <pivotArea dataOnly="0" labelOnly="1" fieldPosition="0">
        <references count="2">
          <reference field="6" count="1" selected="0">
            <x v="0"/>
          </reference>
          <reference field="7" count="0"/>
        </references>
      </pivotArea>
    </format>
    <format dxfId="194">
      <pivotArea dataOnly="0" labelOnly="1" grandRow="1" outline="0" fieldPosition="0"/>
    </format>
    <format dxfId="193">
      <pivotArea outline="0" collapsedLevelsAreSubtotals="1" fieldPosition="0"/>
    </format>
    <format dxfId="192">
      <pivotArea dataOnly="0" labelOnly="1" fieldPosition="0">
        <references count="1">
          <reference field="6" count="0"/>
        </references>
      </pivotArea>
    </format>
    <format dxfId="191">
      <pivotArea dataOnly="0" labelOnly="1" grandRow="1" outline="0" fieldPosition="0"/>
    </format>
    <format dxfId="190">
      <pivotArea dataOnly="0" labelOnly="1" fieldPosition="0">
        <references count="2">
          <reference field="6" count="1" selected="0">
            <x v="0"/>
          </reference>
          <reference field="7" count="0"/>
        </references>
      </pivotArea>
    </format>
    <format dxfId="189">
      <pivotArea collapsedLevelsAreSubtotals="1" fieldPosition="0">
        <references count="1">
          <reference field="6" count="1">
            <x v="0"/>
          </reference>
        </references>
      </pivotArea>
    </format>
    <format dxfId="188">
      <pivotArea dataOnly="0" labelOnly="1" fieldPosition="0">
        <references count="1">
          <reference field="6" count="1">
            <x v="0"/>
          </reference>
        </references>
      </pivotArea>
    </format>
    <format dxfId="187">
      <pivotArea collapsedLevelsAreSubtotals="1" fieldPosition="0">
        <references count="1">
          <reference field="6" count="1">
            <x v="0"/>
          </reference>
        </references>
      </pivotArea>
    </format>
    <format dxfId="186">
      <pivotArea dataOnly="0" labelOnly="1" fieldPosition="0">
        <references count="1">
          <reference field="6" count="1">
            <x v="0"/>
          </reference>
        </references>
      </pivotArea>
    </format>
    <format dxfId="185">
      <pivotArea collapsedLevelsAreSubtotals="1" fieldPosition="0">
        <references count="1">
          <reference field="6" count="1">
            <x v="0"/>
          </reference>
        </references>
      </pivotArea>
    </format>
    <format dxfId="184">
      <pivotArea dataOnly="0" labelOnly="1" fieldPosition="0">
        <references count="1">
          <reference field="6" count="1">
            <x v="0"/>
          </reference>
        </references>
      </pivotArea>
    </format>
    <format dxfId="183">
      <pivotArea collapsedLevelsAreSubtotals="1" fieldPosition="0">
        <references count="1">
          <reference field="6" count="1">
            <x v="1"/>
          </reference>
        </references>
      </pivotArea>
    </format>
    <format dxfId="182">
      <pivotArea dataOnly="0" labelOnly="1" fieldPosition="0">
        <references count="1">
          <reference field="6" count="1">
            <x v="1"/>
          </reference>
        </references>
      </pivotArea>
    </format>
    <format dxfId="181">
      <pivotArea collapsedLevelsAreSubtotals="1" fieldPosition="0">
        <references count="1">
          <reference field="6" count="1">
            <x v="1"/>
          </reference>
        </references>
      </pivotArea>
    </format>
    <format dxfId="180">
      <pivotArea dataOnly="0" labelOnly="1" fieldPosition="0">
        <references count="1">
          <reference field="6" count="1">
            <x v="1"/>
          </reference>
        </references>
      </pivotArea>
    </format>
    <format dxfId="179">
      <pivotArea collapsedLevelsAreSubtotals="1" fieldPosition="0">
        <references count="1">
          <reference field="6" count="1">
            <x v="1"/>
          </reference>
        </references>
      </pivotArea>
    </format>
    <format dxfId="178">
      <pivotArea dataOnly="0" labelOnly="1" fieldPosition="0">
        <references count="1">
          <reference field="6" count="1">
            <x v="1"/>
          </reference>
        </references>
      </pivotArea>
    </format>
    <format dxfId="177">
      <pivotArea collapsedLevelsAreSubtotals="1" fieldPosition="0">
        <references count="1">
          <reference field="6" count="1">
            <x v="3"/>
          </reference>
        </references>
      </pivotArea>
    </format>
    <format dxfId="176">
      <pivotArea dataOnly="0" labelOnly="1" fieldPosition="0">
        <references count="1">
          <reference field="6" count="1">
            <x v="3"/>
          </reference>
        </references>
      </pivotArea>
    </format>
    <format dxfId="175">
      <pivotArea collapsedLevelsAreSubtotals="1" fieldPosition="0">
        <references count="1">
          <reference field="6" count="1">
            <x v="3"/>
          </reference>
        </references>
      </pivotArea>
    </format>
    <format dxfId="174">
      <pivotArea dataOnly="0" labelOnly="1" fieldPosition="0">
        <references count="1">
          <reference field="6" count="1">
            <x v="3"/>
          </reference>
        </references>
      </pivotArea>
    </format>
    <format dxfId="173">
      <pivotArea collapsedLevelsAreSubtotals="1" fieldPosition="0">
        <references count="1">
          <reference field="6" count="1">
            <x v="3"/>
          </reference>
        </references>
      </pivotArea>
    </format>
    <format dxfId="172">
      <pivotArea dataOnly="0" labelOnly="1" fieldPosition="0">
        <references count="1">
          <reference field="6" count="1">
            <x v="3"/>
          </reference>
        </references>
      </pivotArea>
    </format>
    <format dxfId="171">
      <pivotArea dataOnly="0" labelOnly="1" fieldPosition="0">
        <references count="1">
          <reference field="7" count="0"/>
        </references>
      </pivotArea>
    </format>
    <format dxfId="170">
      <pivotArea dataOnly="0" labelOnly="1" grandRow="1" outline="0" fieldPosition="0"/>
    </format>
    <format dxfId="169">
      <pivotArea type="all" dataOnly="0" outline="0" fieldPosition="0"/>
    </format>
    <format dxfId="168">
      <pivotArea field="1" type="button" dataOnly="0" labelOnly="1" outline="0" axis="axisPage" fieldPosition="0"/>
    </format>
    <format dxfId="167">
      <pivotArea field="2" type="button" dataOnly="0" labelOnly="1" outline="0" axis="axisPage" fieldPosition="2"/>
    </format>
    <format dxfId="166">
      <pivotArea field="5" type="button" dataOnly="0" labelOnly="1" outline="0" axis="axisPage" fieldPosition="1"/>
    </format>
    <format dxfId="165">
      <pivotArea grandRow="1" outline="0" collapsedLevelsAreSubtotals="1" fieldPosition="0"/>
    </format>
    <format dxfId="164">
      <pivotArea type="all" dataOnly="0" outline="0" fieldPosition="0"/>
    </format>
    <format dxfId="163">
      <pivotArea outline="0" collapsedLevelsAreSubtotals="1" fieldPosition="0">
        <references count="1">
          <reference field="4294967294" count="1" selected="0">
            <x v="0"/>
          </reference>
        </references>
      </pivotArea>
    </format>
    <format dxfId="162">
      <pivotArea outline="0" collapsedLevelsAreSubtotals="1" fieldPosition="0">
        <references count="1">
          <reference field="4294967294" count="1" selected="0">
            <x v="0"/>
          </reference>
        </references>
      </pivotArea>
    </format>
    <format dxfId="161">
      <pivotArea outline="0" collapsedLevelsAreSubtotals="1" fieldPosition="0"/>
    </format>
    <format dxfId="160">
      <pivotArea outline="0" collapsedLevelsAreSubtotals="1" fieldPosition="0"/>
    </format>
    <format dxfId="159">
      <pivotArea outline="0" collapsedLevelsAreSubtotals="1" fieldPosition="0">
        <references count="1">
          <reference field="4294967294" count="1" selected="0">
            <x v="0"/>
          </reference>
        </references>
      </pivotArea>
    </format>
    <format dxfId="158">
      <pivotArea outline="0" collapsedLevelsAreSubtotals="1" fieldPosition="0">
        <references count="1">
          <reference field="4294967294" count="1" selected="0">
            <x v="0"/>
          </reference>
        </references>
      </pivotArea>
    </format>
    <format dxfId="157">
      <pivotArea outline="0" collapsedLevelsAreSubtotals="1" fieldPosition="0">
        <references count="1">
          <reference field="4294967294" count="1" selected="0">
            <x v="0"/>
          </reference>
        </references>
      </pivotArea>
    </format>
    <format dxfId="156">
      <pivotArea outline="0" collapsedLevelsAreSubtotals="1" fieldPosition="0">
        <references count="1">
          <reference field="4294967294" count="1" selected="0">
            <x v="0"/>
          </reference>
        </references>
      </pivotArea>
    </format>
    <format dxfId="155">
      <pivotArea outline="0" collapsedLevelsAreSubtotals="1" fieldPosition="0">
        <references count="1">
          <reference field="4294967294" count="6" selected="0">
            <x v="1"/>
            <x v="2"/>
            <x v="3"/>
            <x v="4"/>
            <x v="5"/>
            <x v="6"/>
          </reference>
        </references>
      </pivotArea>
    </format>
    <format dxfId="154">
      <pivotArea outline="0" collapsedLevelsAreSubtotals="1" fieldPosition="0">
        <references count="1">
          <reference field="4294967294" count="6" selected="0">
            <x v="1"/>
            <x v="2"/>
            <x v="3"/>
            <x v="4"/>
            <x v="5"/>
            <x v="6"/>
          </reference>
        </references>
      </pivotArea>
    </format>
    <format dxfId="153">
      <pivotArea outline="0" collapsedLevelsAreSubtotals="1" fieldPosition="0">
        <references count="1">
          <reference field="4294967294" count="6" selected="0">
            <x v="1"/>
            <x v="2"/>
            <x v="3"/>
            <x v="4"/>
            <x v="5"/>
            <x v="6"/>
          </reference>
        </references>
      </pivotArea>
    </format>
    <format dxfId="152">
      <pivotArea outline="0" collapsedLevelsAreSubtotals="1" fieldPosition="0">
        <references count="1">
          <reference field="4294967294" count="6" selected="0">
            <x v="1"/>
            <x v="2"/>
            <x v="3"/>
            <x v="4"/>
            <x v="5"/>
            <x v="6"/>
          </reference>
        </references>
      </pivotArea>
    </format>
    <format dxfId="151">
      <pivotArea collapsedLevelsAreSubtotals="1" fieldPosition="0">
        <references count="3">
          <reference field="4294967294" count="1" selected="0">
            <x v="0"/>
          </reference>
          <reference field="6" count="1" selected="0">
            <x v="0"/>
          </reference>
          <reference field="7" count="1">
            <x v="0"/>
          </reference>
        </references>
      </pivotArea>
    </format>
    <format dxfId="150">
      <pivotArea collapsedLevelsAreSubtotals="1" fieldPosition="0">
        <references count="3">
          <reference field="4294967294" count="1" selected="0">
            <x v="0"/>
          </reference>
          <reference field="6" count="1" selected="0">
            <x v="0"/>
          </reference>
          <reference field="7" count="1">
            <x v="0"/>
          </reference>
        </references>
      </pivotArea>
    </format>
    <format dxfId="149">
      <pivotArea collapsedLevelsAreSubtotals="1" fieldPosition="0">
        <references count="3">
          <reference field="4294967294" count="1" selected="0">
            <x v="0"/>
          </reference>
          <reference field="6" count="1" selected="0">
            <x v="0"/>
          </reference>
          <reference field="7" count="1">
            <x v="0"/>
          </reference>
        </references>
      </pivotArea>
    </format>
    <format dxfId="148">
      <pivotArea collapsedLevelsAreSubtotals="1" fieldPosition="0">
        <references count="3">
          <reference field="4294967294" count="1" selected="0">
            <x v="0"/>
          </reference>
          <reference field="6" count="1" selected="0">
            <x v="0"/>
          </reference>
          <reference field="7" count="1">
            <x v="0"/>
          </reference>
        </references>
      </pivotArea>
    </format>
    <format dxfId="147">
      <pivotArea collapsedLevelsAreSubtotals="1" fieldPosition="0">
        <references count="3">
          <reference field="4294967294" count="1" selected="0">
            <x v="0"/>
          </reference>
          <reference field="6" count="1" selected="0">
            <x v="0"/>
          </reference>
          <reference field="7" count="1">
            <x v="0"/>
          </reference>
        </references>
      </pivotArea>
    </format>
    <format dxfId="146">
      <pivotArea collapsedLevelsAreSubtotals="1" fieldPosition="0">
        <references count="3">
          <reference field="4294967294" count="1" selected="0">
            <x v="1"/>
          </reference>
          <reference field="6" count="1" selected="0">
            <x v="0"/>
          </reference>
          <reference field="7" count="1">
            <x v="0"/>
          </reference>
        </references>
      </pivotArea>
    </format>
    <format dxfId="145">
      <pivotArea collapsedLevelsAreSubtotals="1" fieldPosition="0">
        <references count="3">
          <reference field="4294967294" count="1" selected="0">
            <x v="1"/>
          </reference>
          <reference field="6" count="1" selected="0">
            <x v="0"/>
          </reference>
          <reference field="7" count="1">
            <x v="0"/>
          </reference>
        </references>
      </pivotArea>
    </format>
    <format dxfId="144">
      <pivotArea collapsedLevelsAreSubtotals="1" fieldPosition="0">
        <references count="3">
          <reference field="4294967294" count="5" selected="0">
            <x v="2"/>
            <x v="3"/>
            <x v="4"/>
            <x v="5"/>
            <x v="6"/>
          </reference>
          <reference field="6" count="1" selected="0">
            <x v="0"/>
          </reference>
          <reference field="7" count="1">
            <x v="0"/>
          </reference>
        </references>
      </pivotArea>
    </format>
    <format dxfId="143">
      <pivotArea collapsedLevelsAreSubtotals="1" fieldPosition="0">
        <references count="3">
          <reference field="4294967294" count="1" selected="0">
            <x v="1"/>
          </reference>
          <reference field="6" count="1" selected="0">
            <x v="0"/>
          </reference>
          <reference field="7" count="1">
            <x v="1"/>
          </reference>
        </references>
      </pivotArea>
    </format>
    <format dxfId="142">
      <pivotArea collapsedLevelsAreSubtotals="1" fieldPosition="0">
        <references count="3">
          <reference field="4294967294" count="1" selected="0">
            <x v="1"/>
          </reference>
          <reference field="6" count="1" selected="0">
            <x v="0"/>
          </reference>
          <reference field="7" count="1">
            <x v="2"/>
          </reference>
        </references>
      </pivotArea>
    </format>
    <format dxfId="141">
      <pivotArea collapsedLevelsAreSubtotals="1" fieldPosition="0">
        <references count="3">
          <reference field="4294967294" count="1" selected="0">
            <x v="6"/>
          </reference>
          <reference field="6" count="1" selected="0">
            <x v="0"/>
          </reference>
          <reference field="7" count="1">
            <x v="1"/>
          </reference>
        </references>
      </pivotArea>
    </format>
    <format dxfId="140">
      <pivotArea collapsedLevelsAreSubtotals="1" fieldPosition="0">
        <references count="3">
          <reference field="4294967294" count="1" selected="0">
            <x v="6"/>
          </reference>
          <reference field="6" count="1" selected="0">
            <x v="0"/>
          </reference>
          <reference field="7" count="1">
            <x v="2"/>
          </reference>
        </references>
      </pivotArea>
    </format>
    <format dxfId="139">
      <pivotArea collapsedLevelsAreSubtotals="1" fieldPosition="0">
        <references count="3">
          <reference field="4294967294" count="1" selected="0">
            <x v="1"/>
          </reference>
          <reference field="6" count="1" selected="0">
            <x v="2"/>
          </reference>
          <reference field="7" count="1">
            <x v="3"/>
          </reference>
        </references>
      </pivotArea>
    </format>
    <format dxfId="138">
      <pivotArea collapsedLevelsAreSubtotals="1" fieldPosition="0">
        <references count="3">
          <reference field="4294967294" count="1" selected="0">
            <x v="1"/>
          </reference>
          <reference field="6" count="1" selected="0">
            <x v="3"/>
          </reference>
          <reference field="7" count="1">
            <x v="5"/>
          </reference>
        </references>
      </pivotArea>
    </format>
    <format dxfId="137">
      <pivotArea collapsedLevelsAreSubtotals="1" fieldPosition="0">
        <references count="3">
          <reference field="4294967294" count="1" selected="0">
            <x v="1"/>
          </reference>
          <reference field="6" count="1" selected="0">
            <x v="3"/>
          </reference>
          <reference field="7" count="1">
            <x v="6"/>
          </reference>
        </references>
      </pivotArea>
    </format>
    <format dxfId="136">
      <pivotArea collapsedLevelsAreSubtotals="1" fieldPosition="0">
        <references count="2">
          <reference field="6" count="1" selected="0">
            <x v="0"/>
          </reference>
          <reference field="7" count="1">
            <x v="0"/>
          </reference>
        </references>
      </pivotArea>
    </format>
    <format dxfId="135">
      <pivotArea collapsedLevelsAreSubtotals="1" fieldPosition="0">
        <references count="3">
          <reference field="4294967294" count="1" selected="0">
            <x v="0"/>
          </reference>
          <reference field="6" count="1" selected="0">
            <x v="0"/>
          </reference>
          <reference field="7" count="1">
            <x v="1"/>
          </reference>
        </references>
      </pivotArea>
    </format>
    <format dxfId="134">
      <pivotArea collapsedLevelsAreSubtotals="1" fieldPosition="0">
        <references count="3">
          <reference field="4294967294" count="1" selected="0">
            <x v="0"/>
          </reference>
          <reference field="6" count="1" selected="0">
            <x v="0"/>
          </reference>
          <reference field="7" count="1">
            <x v="2"/>
          </reference>
        </references>
      </pivotArea>
    </format>
    <format dxfId="133">
      <pivotArea collapsedLevelsAreSubtotals="1" fieldPosition="0">
        <references count="3">
          <reference field="4294967294" count="1" selected="0">
            <x v="0"/>
          </reference>
          <reference field="6" count="1" selected="0">
            <x v="2"/>
          </reference>
          <reference field="7" count="1">
            <x v="3"/>
          </reference>
        </references>
      </pivotArea>
    </format>
    <format dxfId="132">
      <pivotArea collapsedLevelsAreSubtotals="1" fieldPosition="0">
        <references count="3">
          <reference field="4294967294" count="1" selected="0">
            <x v="0"/>
          </reference>
          <reference field="6" count="1" selected="0">
            <x v="3"/>
          </reference>
          <reference field="7" count="1">
            <x v="5"/>
          </reference>
        </references>
      </pivotArea>
    </format>
    <format dxfId="131">
      <pivotArea collapsedLevelsAreSubtotals="1" fieldPosition="0">
        <references count="3">
          <reference field="4294967294" count="1" selected="0">
            <x v="0"/>
          </reference>
          <reference field="6" count="1" selected="0">
            <x v="3"/>
          </reference>
          <reference field="7" count="1">
            <x v="6"/>
          </reference>
        </references>
      </pivotArea>
    </format>
    <format dxfId="130">
      <pivotArea collapsedLevelsAreSubtotals="1" fieldPosition="0">
        <references count="3">
          <reference field="4294967294" count="1" selected="0">
            <x v="0"/>
          </reference>
          <reference field="6" count="1" selected="0">
            <x v="3"/>
          </reference>
          <reference field="7" count="1">
            <x v="7"/>
          </reference>
        </references>
      </pivotArea>
    </format>
    <format dxfId="129">
      <pivotArea collapsedLevelsAreSubtotals="1" fieldPosition="0">
        <references count="3">
          <reference field="4294967294" count="1" selected="0">
            <x v="0"/>
          </reference>
          <reference field="6" count="1" selected="0">
            <x v="0"/>
          </reference>
          <reference field="7" count="1">
            <x v="0"/>
          </reference>
        </references>
      </pivotArea>
    </format>
    <format dxfId="128">
      <pivotArea collapsedLevelsAreSubtotals="1" fieldPosition="0">
        <references count="3">
          <reference field="4294967294" count="1" selected="0">
            <x v="0"/>
          </reference>
          <reference field="6" count="1" selected="0">
            <x v="0"/>
          </reference>
          <reference field="7" count="1">
            <x v="0"/>
          </reference>
        </references>
      </pivotArea>
    </format>
    <format dxfId="127">
      <pivotArea collapsedLevelsAreSubtotals="1" fieldPosition="0">
        <references count="2">
          <reference field="6" count="1" selected="0">
            <x v="0"/>
          </reference>
          <reference field="7" count="1">
            <x v="1"/>
          </reference>
        </references>
      </pivotArea>
    </format>
    <format dxfId="126">
      <pivotArea collapsedLevelsAreSubtotals="1" fieldPosition="0">
        <references count="2">
          <reference field="6" count="1" selected="0">
            <x v="0"/>
          </reference>
          <reference field="7" count="1">
            <x v="2"/>
          </reference>
        </references>
      </pivotArea>
    </format>
    <format dxfId="125">
      <pivotArea collapsedLevelsAreSubtotals="1" fieldPosition="0">
        <references count="2">
          <reference field="6" count="1" selected="0">
            <x v="2"/>
          </reference>
          <reference field="7" count="1">
            <x v="3"/>
          </reference>
        </references>
      </pivotArea>
    </format>
    <format dxfId="124">
      <pivotArea collapsedLevelsAreSubtotals="1" fieldPosition="0">
        <references count="2">
          <reference field="6" count="1" selected="0">
            <x v="3"/>
          </reference>
          <reference field="7" count="1">
            <x v="5"/>
          </reference>
        </references>
      </pivotArea>
    </format>
    <format dxfId="123">
      <pivotArea collapsedLevelsAreSubtotals="1" fieldPosition="0">
        <references count="2">
          <reference field="6" count="1" selected="0">
            <x v="3"/>
          </reference>
          <reference field="7" count="1">
            <x v="6"/>
          </reference>
        </references>
      </pivotArea>
    </format>
    <format dxfId="122">
      <pivotArea collapsedLevelsAreSubtotals="1" fieldPosition="0">
        <references count="2">
          <reference field="6" count="1" selected="0">
            <x v="3"/>
          </reference>
          <reference field="7" count="1">
            <x v="7"/>
          </reference>
        </references>
      </pivotArea>
    </format>
    <format dxfId="121">
      <pivotArea dataOnly="0" labelOnly="1" fieldPosition="0">
        <references count="1">
          <reference field="6" count="1">
            <x v="2"/>
          </reference>
        </references>
      </pivotArea>
    </format>
    <format dxfId="120">
      <pivotArea collapsedLevelsAreSubtotals="1" fieldPosition="0">
        <references count="3">
          <reference field="4294967294" count="1" selected="0">
            <x v="0"/>
          </reference>
          <reference field="6" count="1" selected="0">
            <x v="0"/>
          </reference>
          <reference field="7" count="1">
            <x v="1"/>
          </reference>
        </references>
      </pivotArea>
    </format>
    <format dxfId="119">
      <pivotArea collapsedLevelsAreSubtotals="1" fieldPosition="0">
        <references count="3">
          <reference field="4294967294" count="1" selected="0">
            <x v="0"/>
          </reference>
          <reference field="6" count="1" selected="0">
            <x v="0"/>
          </reference>
          <reference field="7" count="1">
            <x v="2"/>
          </reference>
        </references>
      </pivotArea>
    </format>
    <format dxfId="118">
      <pivotArea collapsedLevelsAreSubtotals="1" fieldPosition="0">
        <references count="3">
          <reference field="4294967294" count="1" selected="0">
            <x v="0"/>
          </reference>
          <reference field="6" count="1" selected="0">
            <x v="2"/>
          </reference>
          <reference field="7" count="1">
            <x v="3"/>
          </reference>
        </references>
      </pivotArea>
    </format>
    <format dxfId="117">
      <pivotArea collapsedLevelsAreSubtotals="1" fieldPosition="0">
        <references count="3">
          <reference field="4294967294" count="1" selected="0">
            <x v="0"/>
          </reference>
          <reference field="6" count="1" selected="0">
            <x v="2"/>
          </reference>
          <reference field="7" count="1">
            <x v="4"/>
          </reference>
        </references>
      </pivotArea>
    </format>
    <format dxfId="116">
      <pivotArea collapsedLevelsAreSubtotals="1" fieldPosition="0">
        <references count="3">
          <reference field="4294967294" count="1" selected="0">
            <x v="0"/>
          </reference>
          <reference field="6" count="1" selected="0">
            <x v="3"/>
          </reference>
          <reference field="7" count="1">
            <x v="5"/>
          </reference>
        </references>
      </pivotArea>
    </format>
    <format dxfId="115">
      <pivotArea collapsedLevelsAreSubtotals="1" fieldPosition="0">
        <references count="3">
          <reference field="4294967294" count="1" selected="0">
            <x v="0"/>
          </reference>
          <reference field="6" count="1" selected="0">
            <x v="3"/>
          </reference>
          <reference field="7" count="1">
            <x v="6"/>
          </reference>
        </references>
      </pivotArea>
    </format>
    <format dxfId="114">
      <pivotArea collapsedLevelsAreSubtotals="1" fieldPosition="0">
        <references count="3">
          <reference field="4294967294" count="1" selected="0">
            <x v="0"/>
          </reference>
          <reference field="6" count="1" selected="0">
            <x v="3"/>
          </reference>
          <reference field="7" count="1">
            <x v="7"/>
          </reference>
        </references>
      </pivotArea>
    </format>
    <format dxfId="113">
      <pivotArea collapsedLevelsAreSubtotals="1" fieldPosition="0">
        <references count="3">
          <reference field="6" count="1" selected="0">
            <x v="0"/>
          </reference>
          <reference field="7" count="1" selected="0">
            <x v="0"/>
          </reference>
          <reference field="8" count="5">
            <x v="0"/>
            <x v="1"/>
            <x v="2"/>
            <x v="3"/>
            <x v="4"/>
          </reference>
        </references>
      </pivotArea>
    </format>
    <format dxfId="112">
      <pivotArea collapsedLevelsAreSubtotals="1" fieldPosition="0">
        <references count="3">
          <reference field="6" count="1" selected="0">
            <x v="0"/>
          </reference>
          <reference field="7" count="1" selected="0">
            <x v="1"/>
          </reference>
          <reference field="8" count="3">
            <x v="5"/>
            <x v="6"/>
            <x v="37"/>
          </reference>
        </references>
      </pivotArea>
    </format>
    <format dxfId="111">
      <pivotArea collapsedLevelsAreSubtotals="1" fieldPosition="0">
        <references count="3">
          <reference field="6" count="1" selected="0">
            <x v="0"/>
          </reference>
          <reference field="7" count="1" selected="0">
            <x v="2"/>
          </reference>
          <reference field="8" count="9">
            <x v="7"/>
            <x v="8"/>
            <x v="9"/>
            <x v="10"/>
            <x v="11"/>
            <x v="12"/>
            <x v="13"/>
            <x v="14"/>
            <x v="15"/>
          </reference>
        </references>
      </pivotArea>
    </format>
    <format dxfId="110">
      <pivotArea collapsedLevelsAreSubtotals="1" fieldPosition="0">
        <references count="1">
          <reference field="6" count="1">
            <x v="2"/>
          </reference>
        </references>
      </pivotArea>
    </format>
    <format dxfId="109">
      <pivotArea collapsedLevelsAreSubtotals="1" fieldPosition="0">
        <references count="3">
          <reference field="6" count="1" selected="0">
            <x v="2"/>
          </reference>
          <reference field="7" count="1" selected="0">
            <x v="3"/>
          </reference>
          <reference field="8" count="2">
            <x v="16"/>
            <x v="17"/>
          </reference>
        </references>
      </pivotArea>
    </format>
    <format dxfId="108">
      <pivotArea collapsedLevelsAreSubtotals="1" fieldPosition="0">
        <references count="3">
          <reference field="6" count="1" selected="0">
            <x v="2"/>
          </reference>
          <reference field="7" count="1" selected="0">
            <x v="4"/>
          </reference>
          <reference field="8" count="5">
            <x v="18"/>
            <x v="19"/>
            <x v="20"/>
            <x v="21"/>
            <x v="22"/>
          </reference>
        </references>
      </pivotArea>
    </format>
    <format dxfId="107">
      <pivotArea collapsedLevelsAreSubtotals="1" fieldPosition="0">
        <references count="1">
          <reference field="6" count="1">
            <x v="3"/>
          </reference>
        </references>
      </pivotArea>
    </format>
    <format dxfId="106">
      <pivotArea collapsedLevelsAreSubtotals="1" fieldPosition="0">
        <references count="3">
          <reference field="6" count="1" selected="0">
            <x v="3"/>
          </reference>
          <reference field="7" count="1" selected="0">
            <x v="5"/>
          </reference>
          <reference field="8" count="2">
            <x v="23"/>
            <x v="38"/>
          </reference>
        </references>
      </pivotArea>
    </format>
    <format dxfId="105">
      <pivotArea collapsedLevelsAreSubtotals="1" fieldPosition="0">
        <references count="3">
          <reference field="6" count="1" selected="0">
            <x v="3"/>
          </reference>
          <reference field="7" count="1" selected="0">
            <x v="6"/>
          </reference>
          <reference field="8" count="4">
            <x v="24"/>
            <x v="25"/>
            <x v="26"/>
            <x v="39"/>
          </reference>
        </references>
      </pivotArea>
    </format>
    <format dxfId="104">
      <pivotArea collapsedLevelsAreSubtotals="1" fieldPosition="0">
        <references count="3">
          <reference field="6" count="1" selected="0">
            <x v="3"/>
          </reference>
          <reference field="7" count="1" selected="0">
            <x v="7"/>
          </reference>
          <reference field="8" count="7">
            <x v="27"/>
            <x v="28"/>
            <x v="29"/>
            <x v="30"/>
            <x v="31"/>
            <x v="32"/>
            <x v="33"/>
          </reference>
        </references>
      </pivotArea>
    </format>
  </formats>
  <pivotTableStyleInfo showRowHeaders="0" showColHeaders="0" showRowStripes="0" showColStripes="0" showLastColumn="1"/>
</pivotTableDefinition>
</file>

<file path=xl/pivotTables/pivotTable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E1:AB268" firstHeaderRow="1" firstDataRow="2" firstDataCol="5"/>
  <pivotFields count="106">
    <pivotField axis="axisRow" compact="0" outline="0" showAll="0" defaultSubtotal="0">
      <items count="5">
        <item h="1" x="3"/>
        <item x="0"/>
        <item x="1"/>
        <item x="2"/>
        <item h="1" m="1" x="4"/>
      </items>
      <extLst>
        <ext xmlns:x14="http://schemas.microsoft.com/office/spreadsheetml/2009/9/main" uri="{2946ED86-A175-432a-8AC1-64E0C546D7DE}">
          <x14:pivotField fillDownLabels="1"/>
        </ext>
      </extLst>
    </pivotField>
    <pivotField axis="axisRow" compact="0" outline="0" showAll="0" defaultSubtotal="0">
      <items count="7">
        <item x="5"/>
        <item x="0"/>
        <item x="1"/>
        <item x="2"/>
        <item x="3"/>
        <item x="4"/>
        <item m="1" x="6"/>
      </items>
      <extLst>
        <ext xmlns:x14="http://schemas.microsoft.com/office/spreadsheetml/2009/9/main" uri="{2946ED86-A175-432a-8AC1-64E0C546D7DE}">
          <x14:pivotField fillDownLabels="1"/>
        </ext>
      </extLst>
    </pivotField>
    <pivotField axis="axisRow" compact="0" outline="0" showAll="0" defaultSubtotal="0">
      <items count="14">
        <item x="12"/>
        <item x="0"/>
        <item x="1"/>
        <item x="2"/>
        <item x="3"/>
        <item x="5"/>
        <item x="6"/>
        <item x="7"/>
        <item x="9"/>
        <item x="10"/>
        <item x="4"/>
        <item x="8"/>
        <item x="11"/>
        <item m="1" x="13"/>
      </items>
      <extLst>
        <ext xmlns:x14="http://schemas.microsoft.com/office/spreadsheetml/2009/9/main" uri="{2946ED86-A175-432a-8AC1-64E0C546D7DE}">
          <x14:pivotField fillDownLabels="1"/>
        </ext>
      </extLst>
    </pivotField>
    <pivotField axis="axisRow" compact="0" outline="0" showAll="0" defaultSubtotal="0">
      <items count="195">
        <item x="193"/>
        <item x="9"/>
        <item x="33"/>
        <item x="148"/>
        <item x="105"/>
        <item x="107"/>
        <item x="4"/>
        <item x="112"/>
        <item x="81"/>
        <item x="182"/>
        <item x="45"/>
        <item m="1" x="194"/>
        <item x="190"/>
        <item x="191"/>
        <item x="13"/>
        <item x="14"/>
        <item x="17"/>
        <item x="187"/>
        <item x="188"/>
        <item x="71"/>
        <item x="27"/>
        <item x="29"/>
        <item x="32"/>
        <item x="39"/>
        <item x="40"/>
        <item x="41"/>
        <item x="42"/>
        <item x="43"/>
        <item x="44"/>
        <item x="46"/>
        <item x="47"/>
        <item x="48"/>
        <item x="49"/>
        <item x="50"/>
        <item x="51"/>
        <item x="52"/>
        <item x="115"/>
        <item x="116"/>
        <item x="117"/>
        <item x="118"/>
        <item x="60"/>
        <item x="61"/>
        <item x="62"/>
        <item x="73"/>
        <item x="80"/>
        <item x="184"/>
        <item x="185"/>
        <item x="186"/>
        <item x="103"/>
        <item x="119"/>
        <item x="120"/>
        <item x="121"/>
        <item x="122"/>
        <item x="123"/>
        <item x="124"/>
        <item x="125"/>
        <item x="126"/>
        <item x="127"/>
        <item x="128"/>
        <item x="129"/>
        <item x="130"/>
        <item x="131"/>
        <item x="132"/>
        <item x="133"/>
        <item x="137"/>
        <item x="139"/>
        <item x="140"/>
        <item x="179"/>
        <item x="169"/>
        <item x="171"/>
        <item x="172"/>
        <item x="173"/>
        <item x="174"/>
        <item x="175"/>
        <item x="0"/>
        <item x="1"/>
        <item x="2"/>
        <item x="5"/>
        <item x="6"/>
        <item x="7"/>
        <item x="8"/>
        <item x="10"/>
        <item x="11"/>
        <item x="12"/>
        <item x="16"/>
        <item x="18"/>
        <item x="19"/>
        <item x="20"/>
        <item x="21"/>
        <item x="22"/>
        <item x="23"/>
        <item x="24"/>
        <item x="25"/>
        <item x="26"/>
        <item x="34"/>
        <item x="38"/>
        <item x="54"/>
        <item x="55"/>
        <item x="56"/>
        <item x="57"/>
        <item x="58"/>
        <item x="59"/>
        <item x="15"/>
        <item x="63"/>
        <item x="64"/>
        <item x="65"/>
        <item x="66"/>
        <item x="67"/>
        <item x="74"/>
        <item x="75"/>
        <item x="76"/>
        <item x="82"/>
        <item x="83"/>
        <item x="84"/>
        <item x="138"/>
        <item x="141"/>
        <item x="142"/>
        <item x="143"/>
        <item x="144"/>
        <item x="192"/>
        <item x="145"/>
        <item x="95"/>
        <item x="153"/>
        <item x="113"/>
        <item x="35"/>
        <item x="36"/>
        <item x="53"/>
        <item x="68"/>
        <item x="69"/>
        <item x="87"/>
        <item x="88"/>
        <item x="89"/>
        <item x="90"/>
        <item x="91"/>
        <item x="147"/>
        <item x="92"/>
        <item x="96"/>
        <item x="97"/>
        <item x="155"/>
        <item x="98"/>
        <item x="99"/>
        <item x="156"/>
        <item x="110"/>
        <item x="165"/>
        <item x="114"/>
        <item x="134"/>
        <item x="146"/>
        <item x="150"/>
        <item x="151"/>
        <item x="152"/>
        <item x="154"/>
        <item x="158"/>
        <item x="159"/>
        <item x="160"/>
        <item x="161"/>
        <item x="163"/>
        <item x="164"/>
        <item x="166"/>
        <item x="183"/>
        <item x="135"/>
        <item x="168"/>
        <item x="28"/>
        <item x="70"/>
        <item x="72"/>
        <item x="77"/>
        <item x="78"/>
        <item x="79"/>
        <item x="189"/>
        <item x="170"/>
        <item x="3"/>
        <item x="30"/>
        <item x="31"/>
        <item x="37"/>
        <item x="85"/>
        <item x="86"/>
        <item x="93"/>
        <item x="94"/>
        <item x="100"/>
        <item x="101"/>
        <item x="102"/>
        <item x="104"/>
        <item x="106"/>
        <item x="108"/>
        <item x="109"/>
        <item x="111"/>
        <item x="136"/>
        <item x="149"/>
        <item x="157"/>
        <item x="162"/>
        <item x="167"/>
        <item x="176"/>
        <item x="177"/>
        <item x="178"/>
        <item x="180"/>
        <item x="181"/>
      </items>
    </pivotField>
    <pivotField axis="axisRow" compact="0" outline="0" showAll="0" sortType="ascending" defaultSubtotal="0">
      <items count="289">
        <item h="1" x="33"/>
        <item h="1" x="288"/>
        <item x="0"/>
        <item x="1"/>
        <item x="2"/>
        <item x="3"/>
        <item x="5"/>
        <item x="6"/>
        <item x="7"/>
        <item x="8"/>
        <item x="9"/>
        <item x="10"/>
        <item x="11"/>
        <item x="12"/>
        <item x="13"/>
        <item x="14"/>
        <item x="16"/>
        <item x="17"/>
        <item x="18"/>
        <item x="19"/>
        <item x="20"/>
        <item x="21"/>
        <item x="22"/>
        <item x="23"/>
        <item x="24"/>
        <item x="25"/>
        <item x="26"/>
        <item x="27"/>
        <item x="28"/>
        <item x="29"/>
        <item x="30"/>
        <item h="1" x="32"/>
        <item h="1" x="15"/>
        <item x="34"/>
        <item x="35"/>
        <item x="36"/>
        <item x="37"/>
        <item x="38"/>
        <item x="39"/>
        <item x="40"/>
        <item x="41"/>
        <item x="42"/>
        <item x="43"/>
        <item x="44"/>
        <item x="46"/>
        <item x="50"/>
        <item x="51"/>
        <item x="52"/>
        <item x="53"/>
        <item x="54"/>
        <item x="55"/>
        <item x="56"/>
        <item x="57"/>
        <item x="58"/>
        <item x="59"/>
        <item x="60"/>
        <item x="61"/>
        <item x="62"/>
        <item x="63"/>
        <item h="1" x="45"/>
        <item x="64"/>
        <item x="65"/>
        <item x="66"/>
        <item x="67"/>
        <item x="68"/>
        <item x="69"/>
        <item x="70"/>
        <item x="71"/>
        <item x="72"/>
        <item x="73"/>
        <item x="74"/>
        <item x="75"/>
        <item x="76"/>
        <item x="77"/>
        <item x="78"/>
        <item x="79"/>
        <item x="80"/>
        <item x="81"/>
        <item x="82"/>
        <item h="1" x="83"/>
        <item h="1" x="84"/>
        <item h="1" x="85"/>
        <item x="86"/>
        <item x="87"/>
        <item x="88"/>
        <item x="89"/>
        <item x="90"/>
        <item x="91"/>
        <item x="92"/>
        <item x="93"/>
        <item x="94"/>
        <item x="95"/>
        <item x="96"/>
        <item x="97"/>
        <item x="98"/>
        <item x="99"/>
        <item x="100"/>
        <item x="101"/>
        <item x="102"/>
        <item x="103"/>
        <item x="104"/>
        <item x="105"/>
        <item x="106"/>
        <item x="107"/>
        <item x="108"/>
        <item x="109"/>
        <item x="110"/>
        <item x="111"/>
        <item x="112"/>
        <item h="1" x="114"/>
        <item x="115"/>
        <item x="116"/>
        <item x="117"/>
        <item x="118"/>
        <item x="119"/>
        <item h="1" x="120"/>
        <item h="1" x="113"/>
        <item x="121"/>
        <item x="122"/>
        <item x="123"/>
        <item h="1" x="124"/>
        <item x="125"/>
        <item x="126"/>
        <item h="1" x="127"/>
        <item x="128"/>
        <item h="1" x="129"/>
        <item x="130"/>
        <item h="1" x="131"/>
        <item x="132"/>
        <item h="1" x="133"/>
        <item x="134"/>
        <item h="1" x="135"/>
        <item x="136"/>
        <item x="137"/>
        <item x="138"/>
        <item x="139"/>
        <item x="140"/>
        <item x="141"/>
        <item x="142"/>
        <item x="143"/>
        <item x="144"/>
        <item x="145"/>
        <item x="146"/>
        <item x="147"/>
        <item x="148"/>
        <item x="149"/>
        <item x="150"/>
        <item x="151"/>
        <item x="152"/>
        <item x="153"/>
        <item x="154"/>
        <item x="155"/>
        <item x="156"/>
        <item x="157"/>
        <item x="158"/>
        <item x="159"/>
        <item h="1" x="160"/>
        <item x="161"/>
        <item h="1" x="162"/>
        <item x="163"/>
        <item x="164"/>
        <item h="1" x="165"/>
        <item x="166"/>
        <item h="1" x="167"/>
        <item x="168"/>
        <item h="1" x="169"/>
        <item x="170"/>
        <item x="171"/>
        <item x="172"/>
        <item x="173"/>
        <item x="174"/>
        <item x="175"/>
        <item x="176"/>
        <item x="177"/>
        <item x="178"/>
        <item x="179"/>
        <item x="180"/>
        <item x="181"/>
        <item x="182"/>
        <item x="183"/>
        <item x="184"/>
        <item x="185"/>
        <item x="186"/>
        <item x="187"/>
        <item x="188"/>
        <item x="189"/>
        <item x="190"/>
        <item x="193"/>
        <item x="194"/>
        <item x="195"/>
        <item x="196"/>
        <item x="197"/>
        <item x="198"/>
        <item x="199"/>
        <item h="1" x="191"/>
        <item h="1" x="192"/>
        <item x="200"/>
        <item x="201"/>
        <item h="1" x="202"/>
        <item x="203"/>
        <item x="204"/>
        <item h="1" x="205"/>
        <item x="206"/>
        <item h="1" x="207"/>
        <item x="208"/>
        <item h="1" x="209"/>
        <item x="210"/>
        <item x="211"/>
        <item x="212"/>
        <item h="1" x="213"/>
        <item x="214"/>
        <item x="215"/>
        <item x="216"/>
        <item x="218"/>
        <item x="219"/>
        <item x="220"/>
        <item x="221"/>
        <item x="222"/>
        <item x="223"/>
        <item x="224"/>
        <item x="225"/>
        <item x="226"/>
        <item x="227"/>
        <item x="228"/>
        <item h="1" x="229"/>
        <item h="1" x="231"/>
        <item h="1" x="232"/>
        <item h="1" x="230"/>
        <item h="1" x="217"/>
        <item x="233"/>
        <item x="234"/>
        <item h="1" x="235"/>
        <item x="236"/>
        <item x="237"/>
        <item h="1" x="238"/>
        <item x="239"/>
        <item h="1" x="240"/>
        <item x="241"/>
        <item h="1" x="242"/>
        <item x="243"/>
        <item h="1" x="244"/>
        <item x="245"/>
        <item x="246"/>
        <item h="1" x="247"/>
        <item x="248"/>
        <item x="249"/>
        <item x="250"/>
        <item x="251"/>
        <item x="252"/>
        <item x="253"/>
        <item x="254"/>
        <item x="255"/>
        <item x="256"/>
        <item x="257"/>
        <item x="258"/>
        <item x="259"/>
        <item x="260"/>
        <item h="1" x="261"/>
        <item x="262"/>
        <item x="263"/>
        <item x="264"/>
        <item x="265"/>
        <item x="266"/>
        <item x="267"/>
        <item x="268"/>
        <item x="269"/>
        <item x="270"/>
        <item x="271"/>
        <item x="272"/>
        <item x="273"/>
        <item x="274"/>
        <item x="275"/>
        <item x="276"/>
        <item h="1" x="278"/>
        <item h="1" x="279"/>
        <item h="1" x="280"/>
        <item h="1" x="281"/>
        <item h="1" x="282"/>
        <item h="1" x="283"/>
        <item h="1" x="284"/>
        <item h="1" x="285"/>
        <item h="1" x="286"/>
        <item h="1" x="287"/>
        <item h="1" x="4"/>
        <item h="1" x="31"/>
        <item h="1" x="47"/>
        <item h="1" x="48"/>
        <item h="1" x="49"/>
        <item h="1" x="277"/>
      </items>
    </pivotField>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5" outline="0" showAll="0"/>
    <pivotField compact="0"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4"/>
    <field x="0"/>
    <field x="1"/>
    <field x="2"/>
    <field x="3"/>
  </rowFields>
  <rowItems count="266">
    <i>
      <x v="2"/>
      <x v="1"/>
      <x v="1"/>
      <x v="1"/>
      <x v="74"/>
    </i>
    <i>
      <x v="3"/>
      <x v="1"/>
      <x v="1"/>
      <x v="1"/>
      <x v="75"/>
    </i>
    <i>
      <x v="4"/>
      <x v="1"/>
      <x v="1"/>
      <x v="1"/>
      <x v="76"/>
    </i>
    <i>
      <x v="5"/>
      <x v="1"/>
      <x v="1"/>
      <x v="1"/>
      <x v="169"/>
    </i>
    <i>
      <x v="6"/>
      <x v="1"/>
      <x v="1"/>
      <x v="1"/>
      <x v="77"/>
    </i>
    <i>
      <x v="7"/>
      <x v="1"/>
      <x v="1"/>
      <x v="1"/>
      <x v="78"/>
    </i>
    <i>
      <x v="8"/>
      <x v="1"/>
      <x v="1"/>
      <x v="1"/>
      <x v="79"/>
    </i>
    <i>
      <x v="9"/>
      <x v="1"/>
      <x v="1"/>
      <x v="1"/>
      <x v="80"/>
    </i>
    <i>
      <x v="10"/>
      <x v="1"/>
      <x v="1"/>
      <x v="1"/>
      <x v="1"/>
    </i>
    <i>
      <x v="11"/>
      <x v="1"/>
      <x v="1"/>
      <x v="2"/>
      <x v="81"/>
    </i>
    <i>
      <x v="12"/>
      <x v="1"/>
      <x v="1"/>
      <x v="2"/>
      <x v="82"/>
    </i>
    <i>
      <x v="13"/>
      <x v="1"/>
      <x v="1"/>
      <x v="2"/>
      <x v="83"/>
    </i>
    <i>
      <x v="14"/>
      <x v="1"/>
      <x v="1"/>
      <x v="2"/>
      <x v="14"/>
    </i>
    <i>
      <x v="15"/>
      <x v="1"/>
      <x v="1"/>
      <x v="2"/>
      <x v="15"/>
    </i>
    <i>
      <x v="16"/>
      <x v="1"/>
      <x v="1"/>
      <x v="2"/>
      <x v="84"/>
    </i>
    <i>
      <x v="17"/>
      <x v="1"/>
      <x v="1"/>
      <x v="2"/>
      <x v="16"/>
    </i>
    <i>
      <x v="18"/>
      <x v="1"/>
      <x v="1"/>
      <x v="2"/>
      <x v="85"/>
    </i>
    <i>
      <x v="19"/>
      <x v="1"/>
      <x v="1"/>
      <x v="2"/>
      <x v="86"/>
    </i>
    <i>
      <x v="20"/>
      <x v="1"/>
      <x v="1"/>
      <x v="2"/>
      <x v="87"/>
    </i>
    <i>
      <x v="21"/>
      <x v="1"/>
      <x v="1"/>
      <x v="2"/>
      <x v="88"/>
    </i>
    <i>
      <x v="22"/>
      <x v="1"/>
      <x v="1"/>
      <x v="2"/>
      <x v="89"/>
    </i>
    <i>
      <x v="23"/>
      <x v="1"/>
      <x v="1"/>
      <x v="2"/>
      <x v="90"/>
    </i>
    <i>
      <x v="24"/>
      <x v="1"/>
      <x v="1"/>
      <x v="2"/>
      <x v="91"/>
    </i>
    <i>
      <x v="25"/>
      <x v="1"/>
      <x v="1"/>
      <x v="2"/>
      <x v="92"/>
    </i>
    <i>
      <x v="26"/>
      <x v="1"/>
      <x v="1"/>
      <x v="2"/>
      <x v="93"/>
    </i>
    <i>
      <x v="27"/>
      <x v="1"/>
      <x v="1"/>
      <x v="2"/>
      <x v="20"/>
    </i>
    <i>
      <x v="28"/>
      <x v="1"/>
      <x v="1"/>
      <x v="2"/>
      <x v="161"/>
    </i>
    <i>
      <x v="29"/>
      <x v="1"/>
      <x v="1"/>
      <x v="2"/>
      <x v="21"/>
    </i>
    <i>
      <x v="30"/>
      <x v="1"/>
      <x v="1"/>
      <x v="2"/>
      <x v="169"/>
    </i>
    <i>
      <x v="33"/>
      <x v="1"/>
      <x v="1"/>
      <x v="3"/>
      <x v="82"/>
    </i>
    <i>
      <x v="34"/>
      <x v="1"/>
      <x v="1"/>
      <x v="3"/>
      <x v="81"/>
    </i>
    <i>
      <x v="35"/>
      <x v="1"/>
      <x v="1"/>
      <x v="3"/>
      <x v="84"/>
    </i>
    <i>
      <x v="36"/>
      <x v="1"/>
      <x v="1"/>
      <x v="3"/>
      <x v="94"/>
    </i>
    <i>
      <x v="37"/>
      <x v="1"/>
      <x v="1"/>
      <x v="3"/>
      <x v="85"/>
    </i>
    <i>
      <x v="38"/>
      <x v="1"/>
      <x v="1"/>
      <x v="3"/>
      <x v="86"/>
    </i>
    <i>
      <x v="39"/>
      <x v="1"/>
      <x v="1"/>
      <x v="3"/>
      <x v="87"/>
    </i>
    <i>
      <x v="40"/>
      <x v="1"/>
      <x v="1"/>
      <x v="3"/>
      <x v="88"/>
    </i>
    <i>
      <x v="41"/>
      <x v="1"/>
      <x v="1"/>
      <x v="3"/>
      <x v="92"/>
    </i>
    <i>
      <x v="42"/>
      <x v="1"/>
      <x v="1"/>
      <x v="3"/>
      <x v="20"/>
    </i>
    <i>
      <x v="43"/>
      <x v="1"/>
      <x v="1"/>
      <x v="3"/>
      <x v="124"/>
    </i>
    <i>
      <x v="44"/>
      <x v="1"/>
      <x v="1"/>
      <x v="3"/>
      <x v="169"/>
    </i>
    <i>
      <x v="45"/>
      <x v="1"/>
      <x v="1"/>
      <x v="3"/>
      <x v="23"/>
    </i>
    <i>
      <x v="46"/>
      <x v="1"/>
      <x v="1"/>
      <x v="3"/>
      <x v="24"/>
    </i>
    <i>
      <x v="47"/>
      <x v="1"/>
      <x v="1"/>
      <x v="3"/>
      <x v="25"/>
    </i>
    <i>
      <x v="48"/>
      <x v="1"/>
      <x v="1"/>
      <x v="3"/>
      <x v="26"/>
    </i>
    <i>
      <x v="49"/>
      <x v="1"/>
      <x v="1"/>
      <x v="3"/>
      <x v="27"/>
    </i>
    <i>
      <x v="50"/>
      <x v="1"/>
      <x v="1"/>
      <x v="3"/>
      <x v="28"/>
    </i>
    <i>
      <x v="51"/>
      <x v="1"/>
      <x v="1"/>
      <x v="3"/>
      <x v="10"/>
    </i>
    <i>
      <x v="52"/>
      <x v="1"/>
      <x v="1"/>
      <x v="3"/>
      <x v="29"/>
    </i>
    <i>
      <x v="53"/>
      <x v="1"/>
      <x v="1"/>
      <x v="3"/>
      <x v="30"/>
    </i>
    <i>
      <x v="54"/>
      <x v="1"/>
      <x v="1"/>
      <x v="3"/>
      <x v="31"/>
    </i>
    <i>
      <x v="55"/>
      <x v="1"/>
      <x v="1"/>
      <x v="3"/>
      <x v="32"/>
    </i>
    <i>
      <x v="56"/>
      <x v="1"/>
      <x v="1"/>
      <x v="3"/>
      <x v="33"/>
    </i>
    <i>
      <x v="57"/>
      <x v="1"/>
      <x v="1"/>
      <x v="3"/>
      <x v="34"/>
    </i>
    <i>
      <x v="58"/>
      <x v="1"/>
      <x v="1"/>
      <x v="3"/>
      <x v="35"/>
    </i>
    <i>
      <x v="60"/>
      <x v="1"/>
      <x v="1"/>
      <x v="4"/>
      <x v="126"/>
    </i>
    <i>
      <x v="61"/>
      <x v="1"/>
      <x v="2"/>
      <x v="10"/>
      <x v="96"/>
    </i>
    <i>
      <x v="62"/>
      <x v="1"/>
      <x v="2"/>
      <x v="10"/>
      <x v="97"/>
    </i>
    <i>
      <x v="63"/>
      <x v="1"/>
      <x v="2"/>
      <x v="10"/>
      <x v="98"/>
    </i>
    <i>
      <x v="64"/>
      <x v="1"/>
      <x v="2"/>
      <x v="10"/>
      <x v="99"/>
    </i>
    <i>
      <x v="65"/>
      <x v="1"/>
      <x v="2"/>
      <x v="10"/>
      <x v="100"/>
    </i>
    <i>
      <x v="66"/>
      <x v="1"/>
      <x v="2"/>
      <x v="10"/>
      <x v="101"/>
    </i>
    <i>
      <x v="67"/>
      <x v="1"/>
      <x v="2"/>
      <x v="10"/>
      <x v="40"/>
    </i>
    <i>
      <x v="68"/>
      <x v="1"/>
      <x v="2"/>
      <x v="10"/>
      <x v="41"/>
    </i>
    <i>
      <x v="69"/>
      <x v="1"/>
      <x v="2"/>
      <x v="10"/>
      <x v="102"/>
    </i>
    <i>
      <x v="70"/>
      <x v="1"/>
      <x v="2"/>
      <x v="10"/>
      <x v="42"/>
    </i>
    <i>
      <x v="71"/>
      <x v="1"/>
      <x v="2"/>
      <x v="10"/>
      <x v="103"/>
    </i>
    <i>
      <x v="72"/>
      <x v="1"/>
      <x v="2"/>
      <x v="10"/>
      <x v="104"/>
    </i>
    <i>
      <x v="73"/>
      <x v="1"/>
      <x v="2"/>
      <x v="10"/>
      <x v="105"/>
    </i>
    <i>
      <x v="74"/>
      <x v="1"/>
      <x v="2"/>
      <x v="10"/>
      <x v="106"/>
    </i>
    <i>
      <x v="75"/>
      <x v="1"/>
      <x v="2"/>
      <x v="10"/>
      <x v="107"/>
    </i>
    <i>
      <x v="76"/>
      <x v="1"/>
      <x v="2"/>
      <x v="10"/>
      <x v="92"/>
    </i>
    <i>
      <x v="77"/>
      <x v="1"/>
      <x v="2"/>
      <x v="10"/>
      <x v="127"/>
    </i>
    <i>
      <x v="78"/>
      <x v="1"/>
      <x v="2"/>
      <x v="10"/>
      <x v="128"/>
    </i>
    <i>
      <x v="82"/>
      <x v="2"/>
      <x v="3"/>
      <x v="5"/>
      <x v="43"/>
    </i>
    <i>
      <x v="83"/>
      <x v="2"/>
      <x v="3"/>
      <x v="5"/>
      <x v="108"/>
    </i>
    <i>
      <x v="84"/>
      <x v="2"/>
      <x v="3"/>
      <x v="5"/>
      <x v="81"/>
    </i>
    <i>
      <x v="85"/>
      <x v="2"/>
      <x v="3"/>
      <x v="5"/>
      <x v="82"/>
    </i>
    <i>
      <x v="86"/>
      <x v="2"/>
      <x v="3"/>
      <x v="5"/>
      <x v="109"/>
    </i>
    <i>
      <x v="87"/>
      <x v="2"/>
      <x v="3"/>
      <x v="5"/>
      <x v="110"/>
    </i>
    <i>
      <x v="88"/>
      <x v="2"/>
      <x v="3"/>
      <x v="5"/>
      <x v="84"/>
    </i>
    <i>
      <x v="89"/>
      <x v="2"/>
      <x v="3"/>
      <x v="5"/>
      <x v="94"/>
    </i>
    <i>
      <x v="90"/>
      <x v="2"/>
      <x v="3"/>
      <x v="5"/>
      <x v="85"/>
    </i>
    <i>
      <x v="91"/>
      <x v="2"/>
      <x v="3"/>
      <x v="5"/>
      <x v="87"/>
    </i>
    <i>
      <x v="92"/>
      <x v="2"/>
      <x v="3"/>
      <x v="5"/>
      <x v="164"/>
    </i>
    <i>
      <x v="93"/>
      <x v="2"/>
      <x v="3"/>
      <x v="5"/>
      <x v="165"/>
    </i>
    <i>
      <x v="94"/>
      <x v="2"/>
      <x v="3"/>
      <x v="5"/>
      <x v="166"/>
    </i>
    <i>
      <x v="95"/>
      <x v="2"/>
      <x v="3"/>
      <x v="6"/>
      <x v="8"/>
    </i>
    <i>
      <x v="96"/>
      <x v="2"/>
      <x v="3"/>
      <x v="6"/>
      <x v="81"/>
    </i>
    <i>
      <x v="97"/>
      <x v="2"/>
      <x v="3"/>
      <x v="6"/>
      <x v="82"/>
    </i>
    <i>
      <x v="98"/>
      <x v="2"/>
      <x v="3"/>
      <x v="6"/>
      <x v="109"/>
    </i>
    <i>
      <x v="99"/>
      <x v="2"/>
      <x v="3"/>
      <x v="6"/>
      <x v="110"/>
    </i>
    <i>
      <x v="100"/>
      <x v="2"/>
      <x v="3"/>
      <x v="6"/>
      <x v="111"/>
    </i>
    <i>
      <x v="101"/>
      <x v="2"/>
      <x v="3"/>
      <x v="6"/>
      <x v="112"/>
    </i>
    <i>
      <x v="102"/>
      <x v="2"/>
      <x v="3"/>
      <x v="6"/>
      <x v="94"/>
    </i>
    <i>
      <x v="103"/>
      <x v="2"/>
      <x v="3"/>
      <x v="6"/>
      <x v="85"/>
    </i>
    <i>
      <x v="104"/>
      <x v="2"/>
      <x v="3"/>
      <x v="6"/>
      <x v="86"/>
    </i>
    <i>
      <x v="105"/>
      <x v="2"/>
      <x v="3"/>
      <x v="6"/>
      <x v="113"/>
    </i>
    <i>
      <x v="106"/>
      <x v="2"/>
      <x v="3"/>
      <x v="6"/>
      <x v="107"/>
    </i>
    <i>
      <x v="107"/>
      <x v="2"/>
      <x v="3"/>
      <x v="6"/>
      <x v="104"/>
    </i>
    <i>
      <x v="108"/>
      <x v="2"/>
      <x v="3"/>
      <x v="6"/>
      <x v="87"/>
    </i>
    <i>
      <x v="110"/>
      <x v="2"/>
      <x v="3"/>
      <x v="6"/>
      <x v="92"/>
    </i>
    <i>
      <x v="111"/>
      <x v="2"/>
      <x v="3"/>
      <x v="6"/>
      <x v="165"/>
    </i>
    <i>
      <x v="112"/>
      <x v="2"/>
      <x v="3"/>
      <x v="6"/>
      <x v="166"/>
    </i>
    <i>
      <x v="113"/>
      <x v="2"/>
      <x v="3"/>
      <x v="6"/>
      <x v="102"/>
    </i>
    <i>
      <x v="114"/>
      <x v="2"/>
      <x v="3"/>
      <x v="6"/>
      <x v="91"/>
    </i>
    <i>
      <x v="117"/>
      <x v="3"/>
      <x v="4"/>
      <x v="7"/>
      <x v="129"/>
    </i>
    <i r="4">
      <x v="130"/>
    </i>
    <i r="4">
      <x v="131"/>
    </i>
    <i r="4">
      <x v="132"/>
    </i>
    <i r="4">
      <x v="133"/>
    </i>
    <i r="4">
      <x v="174"/>
    </i>
    <i>
      <x v="118"/>
      <x v="3"/>
      <x v="4"/>
      <x v="7"/>
      <x v="135"/>
    </i>
    <i>
      <x v="119"/>
      <x v="3"/>
      <x v="4"/>
      <x v="7"/>
      <x v="175"/>
    </i>
    <i>
      <x v="121"/>
      <x v="3"/>
      <x v="4"/>
      <x v="7"/>
      <x v="121"/>
    </i>
    <i r="4">
      <x v="136"/>
    </i>
    <i>
      <x v="122"/>
      <x v="3"/>
      <x v="4"/>
      <x v="7"/>
      <x v="137"/>
    </i>
    <i r="4">
      <x v="139"/>
    </i>
    <i r="4">
      <x v="140"/>
    </i>
    <i>
      <x v="124"/>
      <x v="3"/>
      <x v="4"/>
      <x v="7"/>
      <x v="178"/>
    </i>
    <i>
      <x v="126"/>
      <x v="3"/>
      <x v="4"/>
      <x v="7"/>
      <x v="48"/>
    </i>
    <i>
      <x v="128"/>
      <x v="3"/>
      <x v="4"/>
      <x v="7"/>
      <x v="4"/>
    </i>
    <i>
      <x v="130"/>
      <x v="3"/>
      <x v="4"/>
      <x v="7"/>
      <x v="5"/>
    </i>
    <i>
      <x v="132"/>
      <x v="3"/>
      <x v="4"/>
      <x v="7"/>
      <x v="142"/>
    </i>
    <i r="4">
      <x v="183"/>
    </i>
    <i r="4">
      <x v="184"/>
    </i>
    <i>
      <x v="133"/>
      <x v="3"/>
      <x v="4"/>
      <x v="7"/>
      <x v="7"/>
    </i>
    <i>
      <x v="134"/>
      <x v="3"/>
      <x v="4"/>
      <x v="7"/>
      <x v="123"/>
    </i>
    <i r="4">
      <x v="144"/>
    </i>
    <i>
      <x v="135"/>
      <x v="3"/>
      <x v="4"/>
      <x v="7"/>
      <x v="36"/>
    </i>
    <i>
      <x v="136"/>
      <x v="3"/>
      <x v="4"/>
      <x v="7"/>
      <x v="37"/>
    </i>
    <i>
      <x v="137"/>
      <x v="3"/>
      <x v="4"/>
      <x v="7"/>
      <x v="38"/>
    </i>
    <i>
      <x v="138"/>
      <x v="3"/>
      <x v="4"/>
      <x v="7"/>
      <x v="39"/>
    </i>
    <i>
      <x v="139"/>
      <x v="3"/>
      <x v="4"/>
      <x v="7"/>
      <x v="49"/>
    </i>
    <i>
      <x v="140"/>
      <x v="3"/>
      <x v="4"/>
      <x v="7"/>
      <x v="50"/>
    </i>
    <i>
      <x v="141"/>
      <x v="3"/>
      <x v="4"/>
      <x v="7"/>
      <x v="51"/>
    </i>
    <i>
      <x v="142"/>
      <x v="3"/>
      <x v="4"/>
      <x v="7"/>
      <x v="52"/>
    </i>
    <i>
      <x v="143"/>
      <x v="3"/>
      <x v="4"/>
      <x v="7"/>
      <x v="53"/>
    </i>
    <i>
      <x v="144"/>
      <x v="3"/>
      <x v="4"/>
      <x v="7"/>
      <x v="54"/>
    </i>
    <i>
      <x v="145"/>
      <x v="3"/>
      <x v="4"/>
      <x v="7"/>
      <x v="55"/>
    </i>
    <i>
      <x v="146"/>
      <x v="3"/>
      <x v="4"/>
      <x v="7"/>
      <x v="56"/>
    </i>
    <i>
      <x v="147"/>
      <x v="3"/>
      <x v="4"/>
      <x v="7"/>
      <x v="40"/>
    </i>
    <i>
      <x v="148"/>
      <x v="3"/>
      <x v="4"/>
      <x v="7"/>
      <x v="41"/>
    </i>
    <i>
      <x v="149"/>
      <x v="3"/>
      <x v="4"/>
      <x v="7"/>
      <x v="57"/>
    </i>
    <i>
      <x v="150"/>
      <x v="3"/>
      <x v="4"/>
      <x v="7"/>
      <x v="58"/>
    </i>
    <i>
      <x v="151"/>
      <x v="3"/>
      <x v="4"/>
      <x v="7"/>
      <x v="59"/>
    </i>
    <i>
      <x v="152"/>
      <x v="3"/>
      <x v="4"/>
      <x v="7"/>
      <x v="60"/>
    </i>
    <i>
      <x v="153"/>
      <x v="3"/>
      <x v="4"/>
      <x v="7"/>
      <x v="61"/>
    </i>
    <i>
      <x v="154"/>
      <x v="3"/>
      <x v="4"/>
      <x v="7"/>
      <x v="62"/>
    </i>
    <i>
      <x v="155"/>
      <x v="3"/>
      <x v="4"/>
      <x v="7"/>
      <x v="63"/>
    </i>
    <i>
      <x v="157"/>
      <x v="3"/>
      <x v="4"/>
      <x v="11"/>
      <x v="175"/>
    </i>
    <i>
      <x v="159"/>
      <x v="3"/>
      <x v="4"/>
      <x v="11"/>
      <x v="121"/>
    </i>
    <i r="4">
      <x v="136"/>
    </i>
    <i>
      <x v="160"/>
      <x v="3"/>
      <x v="4"/>
      <x v="11"/>
      <x v="139"/>
    </i>
    <i r="4">
      <x v="140"/>
    </i>
    <i>
      <x v="162"/>
      <x v="3"/>
      <x v="4"/>
      <x v="11"/>
      <x v="178"/>
    </i>
    <i>
      <x v="164"/>
      <x v="3"/>
      <x v="4"/>
      <x v="11"/>
      <x v="4"/>
    </i>
    <i>
      <x v="166"/>
      <x v="3"/>
      <x v="4"/>
      <x v="11"/>
      <x v="184"/>
    </i>
    <i>
      <x v="167"/>
      <x v="3"/>
      <x v="4"/>
      <x v="11"/>
      <x v="185"/>
    </i>
    <i>
      <x v="168"/>
      <x v="3"/>
      <x v="4"/>
      <x v="11"/>
      <x v="36"/>
    </i>
    <i>
      <x v="169"/>
      <x v="3"/>
      <x v="4"/>
      <x v="11"/>
      <x v="37"/>
    </i>
    <i>
      <x v="170"/>
      <x v="3"/>
      <x v="4"/>
      <x v="11"/>
      <x v="38"/>
    </i>
    <i>
      <x v="171"/>
      <x v="3"/>
      <x v="4"/>
      <x v="11"/>
      <x v="39"/>
    </i>
    <i>
      <x v="172"/>
      <x v="3"/>
      <x v="4"/>
      <x v="11"/>
      <x v="49"/>
    </i>
    <i>
      <x v="173"/>
      <x v="3"/>
      <x v="4"/>
      <x v="11"/>
      <x v="50"/>
    </i>
    <i>
      <x v="174"/>
      <x v="3"/>
      <x v="4"/>
      <x v="11"/>
      <x v="51"/>
    </i>
    <i>
      <x v="175"/>
      <x v="3"/>
      <x v="4"/>
      <x v="11"/>
      <x v="52"/>
    </i>
    <i>
      <x v="176"/>
      <x v="3"/>
      <x v="4"/>
      <x v="11"/>
      <x v="53"/>
    </i>
    <i>
      <x v="177"/>
      <x v="3"/>
      <x v="4"/>
      <x v="11"/>
      <x v="54"/>
    </i>
    <i>
      <x v="178"/>
      <x v="3"/>
      <x v="4"/>
      <x v="11"/>
      <x v="55"/>
    </i>
    <i>
      <x v="179"/>
      <x v="3"/>
      <x v="4"/>
      <x v="11"/>
      <x v="56"/>
    </i>
    <i>
      <x v="180"/>
      <x v="3"/>
      <x v="4"/>
      <x v="11"/>
      <x v="64"/>
    </i>
    <i>
      <x v="181"/>
      <x v="3"/>
      <x v="4"/>
      <x v="11"/>
      <x v="114"/>
    </i>
    <i>
      <x v="182"/>
      <x v="3"/>
      <x v="4"/>
      <x v="11"/>
      <x v="65"/>
    </i>
    <i>
      <x v="183"/>
      <x v="3"/>
      <x v="4"/>
      <x v="11"/>
      <x v="66"/>
    </i>
    <i>
      <x v="184"/>
      <x v="3"/>
      <x v="4"/>
      <x v="11"/>
      <x v="115"/>
    </i>
    <i>
      <x v="185"/>
      <x v="3"/>
      <x v="4"/>
      <x v="11"/>
      <x v="40"/>
    </i>
    <i>
      <x v="186"/>
      <x v="3"/>
      <x v="4"/>
      <x v="11"/>
      <x v="41"/>
    </i>
    <i>
      <x v="187"/>
      <x v="3"/>
      <x v="4"/>
      <x v="11"/>
      <x v="57"/>
    </i>
    <i>
      <x v="188"/>
      <x v="3"/>
      <x v="4"/>
      <x v="11"/>
      <x v="58"/>
    </i>
    <i>
      <x v="189"/>
      <x v="3"/>
      <x v="4"/>
      <x v="11"/>
      <x v="59"/>
    </i>
    <i>
      <x v="190"/>
      <x v="3"/>
      <x v="4"/>
      <x v="11"/>
      <x v="60"/>
    </i>
    <i>
      <x v="191"/>
      <x v="3"/>
      <x v="4"/>
      <x v="11"/>
      <x v="61"/>
    </i>
    <i>
      <x v="192"/>
      <x v="3"/>
      <x v="4"/>
      <x v="11"/>
      <x v="62"/>
    </i>
    <i>
      <x v="193"/>
      <x v="3"/>
      <x v="4"/>
      <x v="11"/>
      <x v="63"/>
    </i>
    <i>
      <x v="196"/>
      <x v="3"/>
      <x v="5"/>
      <x v="8"/>
      <x v="118"/>
    </i>
    <i r="4">
      <x v="120"/>
    </i>
    <i r="4">
      <x v="134"/>
    </i>
    <i r="4">
      <x v="135"/>
    </i>
    <i r="4">
      <x v="146"/>
    </i>
    <i>
      <x v="197"/>
      <x v="3"/>
      <x v="5"/>
      <x v="8"/>
      <x v="3"/>
    </i>
    <i>
      <x v="199"/>
      <x v="3"/>
      <x v="5"/>
      <x v="8"/>
      <x v="147"/>
    </i>
    <i r="4">
      <x v="186"/>
    </i>
    <i>
      <x v="200"/>
      <x v="3"/>
      <x v="5"/>
      <x v="8"/>
      <x v="122"/>
    </i>
    <i r="4">
      <x v="137"/>
    </i>
    <i r="4">
      <x v="138"/>
    </i>
    <i r="4">
      <x v="148"/>
    </i>
    <i r="4">
      <x v="149"/>
    </i>
    <i r="4">
      <x v="150"/>
    </i>
    <i>
      <x v="202"/>
      <x v="3"/>
      <x v="5"/>
      <x v="8"/>
      <x v="141"/>
    </i>
    <i>
      <x v="204"/>
      <x v="3"/>
      <x v="5"/>
      <x v="8"/>
      <x v="4"/>
    </i>
    <i>
      <x v="206"/>
      <x v="3"/>
      <x v="5"/>
      <x v="8"/>
      <x v="151"/>
    </i>
    <i r="4">
      <x v="152"/>
    </i>
    <i r="4">
      <x v="153"/>
    </i>
    <i r="4">
      <x v="154"/>
    </i>
    <i r="4">
      <x v="155"/>
    </i>
    <i r="4">
      <x v="156"/>
    </i>
    <i r="4">
      <x v="187"/>
    </i>
    <i r="4">
      <x v="188"/>
    </i>
    <i>
      <x v="207"/>
      <x v="3"/>
      <x v="5"/>
      <x v="8"/>
      <x v="123"/>
    </i>
    <i r="4">
      <x v="143"/>
    </i>
    <i r="4">
      <x v="157"/>
    </i>
    <i>
      <x v="208"/>
      <x v="3"/>
      <x v="5"/>
      <x v="8"/>
      <x v="189"/>
    </i>
    <i>
      <x v="210"/>
      <x v="3"/>
      <x v="5"/>
      <x v="8"/>
      <x v="68"/>
    </i>
    <i>
      <x v="211"/>
      <x v="3"/>
      <x v="5"/>
      <x v="8"/>
      <x v="102"/>
    </i>
    <i>
      <x v="212"/>
      <x v="3"/>
      <x v="5"/>
      <x v="8"/>
      <x v="92"/>
    </i>
    <i>
      <x v="213"/>
      <x v="3"/>
      <x v="5"/>
      <x v="8"/>
      <x v="127"/>
    </i>
    <i>
      <x v="214"/>
      <x v="3"/>
      <x v="5"/>
      <x v="8"/>
      <x v="128"/>
    </i>
    <i>
      <x v="215"/>
      <x v="3"/>
      <x v="5"/>
      <x v="8"/>
      <x v="94"/>
    </i>
    <i>
      <x v="216"/>
      <x v="3"/>
      <x v="5"/>
      <x v="8"/>
      <x v="84"/>
    </i>
    <i>
      <x v="217"/>
      <x v="3"/>
      <x v="5"/>
      <x v="8"/>
      <x v="87"/>
    </i>
    <i>
      <x v="218"/>
      <x v="3"/>
      <x v="5"/>
      <x v="8"/>
      <x v="88"/>
    </i>
    <i>
      <x v="219"/>
      <x v="3"/>
      <x v="5"/>
      <x v="8"/>
      <x v="69"/>
    </i>
    <i>
      <x v="220"/>
      <x v="3"/>
      <x v="5"/>
      <x v="8"/>
      <x v="70"/>
    </i>
    <i>
      <x v="221"/>
      <x v="3"/>
      <x v="5"/>
      <x v="8"/>
      <x v="71"/>
    </i>
    <i>
      <x v="222"/>
      <x v="3"/>
      <x v="5"/>
      <x v="8"/>
      <x v="72"/>
    </i>
    <i>
      <x v="223"/>
      <x v="3"/>
      <x v="5"/>
      <x v="8"/>
      <x v="73"/>
    </i>
    <i>
      <x v="229"/>
      <x v="3"/>
      <x v="5"/>
      <x v="9"/>
      <x v="120"/>
    </i>
    <i r="4">
      <x v="134"/>
    </i>
    <i r="4">
      <x v="146"/>
    </i>
    <i>
      <x v="230"/>
      <x v="3"/>
      <x v="5"/>
      <x v="9"/>
      <x v="3"/>
    </i>
    <i>
      <x v="232"/>
      <x v="3"/>
      <x v="5"/>
      <x v="9"/>
      <x v="67"/>
    </i>
    <i>
      <x v="233"/>
      <x v="3"/>
      <x v="5"/>
      <x v="9"/>
      <x v="137"/>
    </i>
    <i>
      <x v="235"/>
      <x v="3"/>
      <x v="5"/>
      <x v="9"/>
      <x v="193"/>
    </i>
    <i>
      <x v="237"/>
      <x v="3"/>
      <x v="5"/>
      <x v="9"/>
      <x v="4"/>
    </i>
    <i>
      <x v="239"/>
      <x v="3"/>
      <x v="5"/>
      <x v="9"/>
      <x v="154"/>
    </i>
    <i>
      <x v="241"/>
      <x v="3"/>
      <x v="5"/>
      <x v="9"/>
      <x v="9"/>
    </i>
    <i>
      <x v="242"/>
      <x v="3"/>
      <x v="5"/>
      <x v="9"/>
      <x v="158"/>
    </i>
    <i>
      <x v="244"/>
      <x v="3"/>
      <x v="5"/>
      <x v="9"/>
      <x v="92"/>
    </i>
    <i>
      <x v="245"/>
      <x v="3"/>
      <x v="5"/>
      <x v="9"/>
      <x v="165"/>
    </i>
    <i>
      <x v="246"/>
      <x v="3"/>
      <x v="5"/>
      <x v="9"/>
      <x v="166"/>
    </i>
    <i>
      <x v="247"/>
      <x v="3"/>
      <x v="5"/>
      <x v="9"/>
      <x v="84"/>
    </i>
    <i>
      <x v="248"/>
      <x v="3"/>
      <x v="5"/>
      <x v="9"/>
      <x v="94"/>
    </i>
    <i>
      <x v="249"/>
      <x v="3"/>
      <x v="5"/>
      <x v="9"/>
      <x v="87"/>
    </i>
    <i>
      <x v="250"/>
      <x v="3"/>
      <x v="5"/>
      <x v="9"/>
      <x v="88"/>
    </i>
    <i>
      <x v="251"/>
      <x v="3"/>
      <x v="5"/>
      <x v="9"/>
      <x v="69"/>
    </i>
    <i>
      <x v="252"/>
      <x v="3"/>
      <x v="5"/>
      <x v="9"/>
      <x v="70"/>
    </i>
    <i>
      <x v="253"/>
      <x v="3"/>
      <x v="5"/>
      <x v="9"/>
      <x v="71"/>
    </i>
    <i>
      <x v="254"/>
      <x v="3"/>
      <x v="5"/>
      <x v="9"/>
      <x v="72"/>
    </i>
    <i>
      <x v="255"/>
      <x v="3"/>
      <x v="5"/>
      <x v="9"/>
      <x v="73"/>
    </i>
    <i>
      <x v="256"/>
      <x v="3"/>
      <x v="5"/>
      <x v="9"/>
      <x v="102"/>
    </i>
    <i>
      <x v="258"/>
      <x v="3"/>
      <x v="5"/>
      <x v="12"/>
      <x v="45"/>
    </i>
    <i>
      <x v="259"/>
      <x v="3"/>
      <x v="5"/>
      <x v="12"/>
      <x v="4"/>
    </i>
    <i>
      <x v="260"/>
      <x v="3"/>
      <x v="5"/>
      <x v="12"/>
      <x v="46"/>
    </i>
    <i>
      <x v="261"/>
      <x v="3"/>
      <x v="5"/>
      <x v="12"/>
      <x v="47"/>
    </i>
    <i>
      <x v="262"/>
      <x v="3"/>
      <x v="5"/>
      <x v="12"/>
      <x v="94"/>
    </i>
    <i>
      <x v="263"/>
      <x v="3"/>
      <x v="5"/>
      <x v="12"/>
      <x v="84"/>
    </i>
    <i>
      <x v="264"/>
      <x v="3"/>
      <x v="5"/>
      <x v="12"/>
      <x v="17"/>
    </i>
    <i>
      <x v="265"/>
      <x v="3"/>
      <x v="5"/>
      <x v="12"/>
      <x v="18"/>
    </i>
    <i>
      <x v="266"/>
      <x v="3"/>
      <x v="5"/>
      <x v="12"/>
      <x v="87"/>
    </i>
    <i>
      <x v="267"/>
      <x v="3"/>
      <x v="5"/>
      <x v="12"/>
      <x v="88"/>
    </i>
    <i>
      <x v="268"/>
      <x v="3"/>
      <x v="5"/>
      <x v="12"/>
      <x v="92"/>
    </i>
    <i>
      <x v="269"/>
      <x v="3"/>
      <x v="5"/>
      <x v="12"/>
      <x v="165"/>
    </i>
    <i>
      <x v="270"/>
      <x v="3"/>
      <x v="5"/>
      <x v="12"/>
      <x v="167"/>
    </i>
    <i>
      <x v="271"/>
      <x v="3"/>
      <x v="5"/>
      <x v="12"/>
      <x v="91"/>
    </i>
    <i>
      <x v="272"/>
      <x v="3"/>
      <x v="5"/>
      <x v="12"/>
      <x v="169"/>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Sum of Quantity" fld="6" baseField="0" baseItem="0" numFmtId="3"/>
    <dataField name="Sum of Incentive (Total)" fld="9" baseField="0" baseItem="0" numFmtId="167"/>
    <dataField name="Sum of Net Annual MWh Savings " fld="14" baseField="0" baseItem="0" numFmtId="171"/>
    <dataField name="Sum of Net Lifetime MWh Savings" fld="15" baseField="0" baseItem="0" numFmtId="171"/>
    <dataField name="Sum of Net Annual Gas Savings (MMBTU)" fld="27" baseField="0" baseItem="0" numFmtId="171"/>
    <dataField name="Sum of Net Lifetime Gas Savings (MMBTU)" fld="28" baseField="0" baseItem="0" numFmtId="171"/>
    <dataField name="Sum of Net Annual Oil Savings (MMBTU)" fld="31" baseField="0" baseItem="0" numFmtId="171"/>
    <dataField name="Sum of Net Lifetime Oil Savings (MMBTU)" fld="32" baseField="0" baseItem="0" numFmtId="171"/>
    <dataField name="Sum of Net Annual Propane Savings (MMBTU)" fld="35" baseField="0" baseItem="0" numFmtId="171"/>
    <dataField name="Sum of Net Lifetime Propane Savings (MMBTU)" fld="36" baseField="0" baseItem="0" numFmtId="171"/>
    <dataField name="Sum of Annual Water Savings (Gallons)" fld="104" baseField="0" baseItem="0" numFmtId="171"/>
    <dataField name="Sum of Net Lifetime Water Savings Gallons" fld="40" baseField="3" baseItem="18"/>
    <dataField name="Sum of Total Electric Benefits ($)" fld="60" baseField="0" baseItem="0" numFmtId="167"/>
    <dataField name="Sum of Total Gas Resource Benefits" fld="78" baseField="0" baseItem="0" numFmtId="167"/>
    <dataField name="Sum of Total Oil Benefits" fld="102" baseField="2" baseItem="1" numFmtId="167"/>
    <dataField name="Sum of Propane" fld="81" baseField="0" baseItem="0" numFmtId="167"/>
    <dataField name="Sum of Total Water Benefits" fld="103" baseField="3" baseItem="140" numFmtId="167"/>
    <dataField name="Sum of Total Lifetime Non-Resource  Benefits " fld="92" baseField="0" baseItem="0" numFmtId="167"/>
    <dataField name="Sum of Total Benefits ($)" fld="105" baseField="0" baseItem="0" numFmtId="170"/>
  </dataFields>
  <formats count="26">
    <format dxfId="25">
      <pivotArea field="0" type="button" dataOnly="0" labelOnly="1" outline="0" axis="axisRow" fieldPosition="1"/>
    </format>
    <format dxfId="24">
      <pivotArea dataOnly="0" labelOnly="1" outline="0" fieldPosition="0">
        <references count="1">
          <reference field="4294967294" count="10">
            <x v="0"/>
            <x v="1"/>
            <x v="2"/>
            <x v="3"/>
            <x v="4"/>
            <x v="5"/>
            <x v="6"/>
            <x v="7"/>
            <x v="8"/>
            <x v="9"/>
          </reference>
        </references>
      </pivotArea>
    </format>
    <format dxfId="23">
      <pivotArea outline="0" fieldPosition="0">
        <references count="1">
          <reference field="4294967294" count="1">
            <x v="0"/>
          </reference>
        </references>
      </pivotArea>
    </format>
    <format dxfId="22">
      <pivotArea outline="0" fieldPosition="0">
        <references count="1">
          <reference field="4294967294" count="1">
            <x v="1"/>
          </reference>
        </references>
      </pivotArea>
    </format>
    <format dxfId="21">
      <pivotArea outline="0" fieldPosition="0">
        <references count="1">
          <reference field="4294967294" count="1">
            <x v="2"/>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outline="0" fieldPosition="0">
        <references count="1">
          <reference field="4294967294" count="1">
            <x v="8"/>
          </reference>
        </references>
      </pivotArea>
    </format>
    <format dxfId="15">
      <pivotArea outline="0" fieldPosition="0">
        <references count="1">
          <reference field="4294967294" count="1">
            <x v="7"/>
          </reference>
        </references>
      </pivotArea>
    </format>
    <format dxfId="14">
      <pivotArea outline="0" fieldPosition="0">
        <references count="1">
          <reference field="4294967294" count="1">
            <x v="9"/>
          </reference>
        </references>
      </pivotArea>
    </format>
    <format dxfId="13">
      <pivotArea outline="0" fieldPosition="0">
        <references count="1">
          <reference field="4294967294" count="1">
            <x v="12"/>
          </reference>
        </references>
      </pivotArea>
    </format>
    <format dxfId="12">
      <pivotArea outline="0" fieldPosition="0">
        <references count="1">
          <reference field="4294967294" count="1">
            <x v="13"/>
          </reference>
        </references>
      </pivotArea>
    </format>
    <format dxfId="11">
      <pivotArea outline="0" fieldPosition="0">
        <references count="1">
          <reference field="4294967294" count="1">
            <x v="14"/>
          </reference>
        </references>
      </pivotArea>
    </format>
    <format dxfId="10">
      <pivotArea outline="0" fieldPosition="0">
        <references count="1">
          <reference field="4294967294" count="1">
            <x v="15"/>
          </reference>
        </references>
      </pivotArea>
    </format>
    <format dxfId="9">
      <pivotArea outline="0" fieldPosition="0">
        <references count="1">
          <reference field="4294967294" count="1">
            <x v="16"/>
          </reference>
        </references>
      </pivotArea>
    </format>
    <format dxfId="8">
      <pivotArea outline="0" fieldPosition="0">
        <references count="1">
          <reference field="4294967294" count="1">
            <x v="17"/>
          </reference>
        </references>
      </pivotArea>
    </format>
    <format dxfId="7">
      <pivotArea outline="0" collapsedLevelsAreSubtotals="1" fieldPosition="0">
        <references count="1">
          <reference field="4294967294" count="1" selected="0">
            <x v="1"/>
          </reference>
        </references>
      </pivotArea>
    </format>
    <format dxfId="6">
      <pivotArea outline="0" collapsedLevelsAreSubtotals="1" fieldPosition="0">
        <references count="1">
          <reference field="4294967294" count="6" selected="0">
            <x v="4"/>
            <x v="5"/>
            <x v="6"/>
            <x v="7"/>
            <x v="8"/>
            <x v="9"/>
          </reference>
        </references>
      </pivotArea>
    </format>
    <format dxfId="5">
      <pivotArea outline="0" collapsedLevelsAreSubtotals="1" fieldPosition="0">
        <references count="1">
          <reference field="4294967294" count="2" selected="0">
            <x v="2"/>
            <x v="3"/>
          </reference>
        </references>
      </pivotArea>
    </format>
    <format dxfId="4">
      <pivotArea outline="0" collapsedLevelsAreSubtotals="1" fieldPosition="0">
        <references count="1">
          <reference field="4294967294" count="6" selected="0">
            <x v="12"/>
            <x v="13"/>
            <x v="14"/>
            <x v="15"/>
            <x v="16"/>
            <x v="17"/>
          </reference>
        </references>
      </pivotArea>
    </format>
    <format dxfId="3">
      <pivotArea dataOnly="0" labelOnly="1" outline="0" fieldPosition="0">
        <references count="1">
          <reference field="4294967294" count="7">
            <x v="10"/>
            <x v="12"/>
            <x v="13"/>
            <x v="14"/>
            <x v="15"/>
            <x v="16"/>
            <x v="17"/>
          </reference>
        </references>
      </pivotArea>
    </format>
    <format dxfId="2">
      <pivotArea outline="0" collapsedLevelsAreSubtotals="1" fieldPosition="0">
        <references count="1">
          <reference field="4294967294" count="1" selected="0">
            <x v="10"/>
          </reference>
        </references>
      </pivotArea>
    </format>
    <format dxfId="1">
      <pivotArea outline="0" collapsedLevelsAreSubtotals="1" fieldPosition="0">
        <references count="1">
          <reference field="4294967294" count="1" selected="0">
            <x v="18"/>
          </reference>
        </references>
      </pivotArea>
    </format>
    <format dxfId="0">
      <pivotArea dataOnly="0" labelOnly="1" outline="0" fieldPosition="0">
        <references count="1">
          <reference field="4294967294"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E326:AB564" firstHeaderRow="1" firstDataRow="2" firstDataCol="5"/>
  <pivotFields count="106">
    <pivotField axis="axisRow" compact="0" outline="0" showAll="0" defaultSubtotal="0">
      <items count="5">
        <item h="1" x="4"/>
        <item x="0"/>
        <item x="2"/>
        <item x="3"/>
        <item h="1" x="1"/>
      </items>
      <extLst>
        <ext xmlns:x14="http://schemas.microsoft.com/office/spreadsheetml/2009/9/main" uri="{2946ED86-A175-432a-8AC1-64E0C546D7DE}">
          <x14:pivotField fillDownLabels="1"/>
        </ext>
      </extLst>
    </pivotField>
    <pivotField axis="axisRow" compact="0" outline="0" showAll="0" defaultSubtotal="0">
      <items count="7">
        <item x="6"/>
        <item x="0"/>
        <item x="2"/>
        <item x="3"/>
        <item x="4"/>
        <item x="5"/>
        <item x="1"/>
      </items>
      <extLst>
        <ext xmlns:x14="http://schemas.microsoft.com/office/spreadsheetml/2009/9/main" uri="{2946ED86-A175-432a-8AC1-64E0C546D7DE}">
          <x14:pivotField fillDownLabels="1"/>
        </ext>
      </extLst>
    </pivotField>
    <pivotField axis="axisRow" compact="0" outline="0" showAll="0" defaultSubtotal="0">
      <items count="14">
        <item x="13"/>
        <item x="0"/>
        <item x="2"/>
        <item x="3"/>
        <item x="4"/>
        <item x="6"/>
        <item x="7"/>
        <item x="8"/>
        <item x="10"/>
        <item x="11"/>
        <item x="5"/>
        <item x="9"/>
        <item x="12"/>
        <item x="1"/>
      </items>
      <extLst>
        <ext xmlns:x14="http://schemas.microsoft.com/office/spreadsheetml/2009/9/main" uri="{2946ED86-A175-432a-8AC1-64E0C546D7DE}">
          <x14:pivotField fillDownLabels="1"/>
        </ext>
      </extLst>
    </pivotField>
    <pivotField axis="axisRow" compact="0" outline="0" showAll="0" defaultSubtotal="0">
      <items count="152">
        <item x="150"/>
        <item x="3"/>
        <item x="9"/>
        <item x="31"/>
        <item x="123"/>
        <item x="89"/>
        <item x="90"/>
        <item x="4"/>
        <item x="92"/>
        <item x="139"/>
        <item x="77"/>
        <item x="140"/>
        <item x="40"/>
        <item m="1" x="151"/>
        <item x="146"/>
        <item x="147"/>
        <item x="14"/>
        <item x="15"/>
        <item x="17"/>
        <item x="143"/>
        <item x="144"/>
        <item x="67"/>
        <item x="27"/>
        <item x="29"/>
        <item x="30"/>
        <item x="34"/>
        <item x="35"/>
        <item x="36"/>
        <item x="37"/>
        <item x="38"/>
        <item x="39"/>
        <item x="41"/>
        <item x="42"/>
        <item x="43"/>
        <item x="44"/>
        <item x="45"/>
        <item x="46"/>
        <item x="47"/>
        <item x="94"/>
        <item x="95"/>
        <item x="96"/>
        <item x="97"/>
        <item x="55"/>
        <item x="56"/>
        <item x="58"/>
        <item x="69"/>
        <item x="76"/>
        <item x="142"/>
        <item x="137"/>
        <item x="138"/>
        <item x="88"/>
        <item x="91"/>
        <item x="98"/>
        <item x="99"/>
        <item x="100"/>
        <item x="101"/>
        <item x="102"/>
        <item x="103"/>
        <item x="104"/>
        <item x="105"/>
        <item x="106"/>
        <item x="107"/>
        <item x="108"/>
        <item x="109"/>
        <item x="110"/>
        <item x="111"/>
        <item x="112"/>
        <item x="117"/>
        <item x="119"/>
        <item x="120"/>
        <item x="136"/>
        <item x="141"/>
        <item x="129"/>
        <item x="130"/>
        <item x="131"/>
        <item x="132"/>
        <item x="133"/>
        <item x="134"/>
        <item x="0"/>
        <item x="1"/>
        <item x="2"/>
        <item x="5"/>
        <item x="6"/>
        <item x="7"/>
        <item x="8"/>
        <item x="10"/>
        <item x="11"/>
        <item x="12"/>
        <item x="13"/>
        <item x="16"/>
        <item x="18"/>
        <item x="19"/>
        <item x="20"/>
        <item x="21"/>
        <item x="22"/>
        <item x="23"/>
        <item x="24"/>
        <item x="25"/>
        <item x="26"/>
        <item x="32"/>
        <item x="49"/>
        <item x="50"/>
        <item x="51"/>
        <item x="52"/>
        <item x="53"/>
        <item x="54"/>
        <item x="57"/>
        <item x="59"/>
        <item x="60"/>
        <item x="61"/>
        <item x="62"/>
        <item x="63"/>
        <item x="70"/>
        <item x="71"/>
        <item x="72"/>
        <item x="78"/>
        <item x="79"/>
        <item x="80"/>
        <item x="81"/>
        <item x="113"/>
        <item x="118"/>
        <item x="121"/>
        <item x="135"/>
        <item x="148"/>
        <item x="82"/>
        <item x="83"/>
        <item x="84"/>
        <item x="85"/>
        <item x="86"/>
        <item x="87"/>
        <item x="93"/>
        <item x="33"/>
        <item x="48"/>
        <item x="64"/>
        <item x="65"/>
        <item x="114"/>
        <item x="115"/>
        <item x="116"/>
        <item x="122"/>
        <item x="124"/>
        <item x="125"/>
        <item x="126"/>
        <item x="127"/>
        <item x="128"/>
        <item x="28"/>
        <item x="66"/>
        <item x="68"/>
        <item x="73"/>
        <item x="74"/>
        <item x="75"/>
        <item x="145"/>
        <item x="149"/>
      </items>
    </pivotField>
    <pivotField axis="axisRow" compact="0" outline="0" showAll="0" sortType="ascending" defaultSubtotal="0">
      <items count="262">
        <item h="1" x="10"/>
        <item h="1" x="261"/>
        <item x="0"/>
        <item x="1"/>
        <item x="2"/>
        <item x="3"/>
        <item x="4"/>
        <item x="5"/>
        <item x="6"/>
        <item x="7"/>
        <item x="8"/>
        <item x="9"/>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s>
    </pivotField>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5" outline="0" showAll="0"/>
    <pivotField compact="0"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compact="0" numFmtId="9"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4"/>
    <field x="0"/>
    <field x="1"/>
    <field x="2"/>
    <field x="3"/>
  </rowFields>
  <rowItems count="237">
    <i>
      <x v="2"/>
      <x v="1"/>
      <x v="1"/>
      <x v="1"/>
      <x v="78"/>
    </i>
    <i>
      <x v="3"/>
      <x v="1"/>
      <x v="1"/>
      <x v="1"/>
      <x v="79"/>
    </i>
    <i>
      <x v="4"/>
      <x v="1"/>
      <x v="1"/>
      <x v="1"/>
      <x v="80"/>
    </i>
    <i>
      <x v="5"/>
      <x v="1"/>
      <x v="1"/>
      <x v="1"/>
      <x v="1"/>
    </i>
    <i>
      <x v="6"/>
      <x v="1"/>
      <x v="1"/>
      <x v="1"/>
      <x v="7"/>
    </i>
    <i>
      <x v="7"/>
      <x v="1"/>
      <x v="1"/>
      <x v="1"/>
      <x v="81"/>
    </i>
    <i>
      <x v="8"/>
      <x v="1"/>
      <x v="1"/>
      <x v="1"/>
      <x v="82"/>
    </i>
    <i>
      <x v="9"/>
      <x v="1"/>
      <x v="1"/>
      <x v="1"/>
      <x v="83"/>
    </i>
    <i>
      <x v="10"/>
      <x v="1"/>
      <x v="1"/>
      <x v="1"/>
      <x v="84"/>
    </i>
    <i>
      <x v="11"/>
      <x v="1"/>
      <x v="1"/>
      <x v="1"/>
      <x v="2"/>
    </i>
    <i>
      <x v="12"/>
      <x v="1"/>
      <x v="1"/>
      <x v="2"/>
      <x v="86"/>
    </i>
    <i>
      <x v="13"/>
      <x v="1"/>
      <x v="1"/>
      <x v="2"/>
      <x v="87"/>
    </i>
    <i>
      <x v="14"/>
      <x v="1"/>
      <x v="1"/>
      <x v="2"/>
      <x v="88"/>
    </i>
    <i>
      <x v="15"/>
      <x v="1"/>
      <x v="1"/>
      <x v="2"/>
      <x v="16"/>
    </i>
    <i>
      <x v="16"/>
      <x v="1"/>
      <x v="1"/>
      <x v="2"/>
      <x v="17"/>
    </i>
    <i>
      <x v="17"/>
      <x v="1"/>
      <x v="1"/>
      <x v="2"/>
      <x v="89"/>
    </i>
    <i>
      <x v="18"/>
      <x v="1"/>
      <x v="1"/>
      <x v="2"/>
      <x v="18"/>
    </i>
    <i>
      <x v="19"/>
      <x v="1"/>
      <x v="1"/>
      <x v="2"/>
      <x v="90"/>
    </i>
    <i>
      <x v="20"/>
      <x v="1"/>
      <x v="1"/>
      <x v="2"/>
      <x v="91"/>
    </i>
    <i>
      <x v="21"/>
      <x v="1"/>
      <x v="1"/>
      <x v="2"/>
      <x v="92"/>
    </i>
    <i>
      <x v="22"/>
      <x v="1"/>
      <x v="1"/>
      <x v="2"/>
      <x v="93"/>
    </i>
    <i>
      <x v="23"/>
      <x v="1"/>
      <x v="1"/>
      <x v="2"/>
      <x v="94"/>
    </i>
    <i>
      <x v="24"/>
      <x v="1"/>
      <x v="1"/>
      <x v="2"/>
      <x v="95"/>
    </i>
    <i>
      <x v="25"/>
      <x v="1"/>
      <x v="1"/>
      <x v="2"/>
      <x v="96"/>
    </i>
    <i>
      <x v="26"/>
      <x v="1"/>
      <x v="1"/>
      <x v="2"/>
      <x v="97"/>
    </i>
    <i>
      <x v="27"/>
      <x v="1"/>
      <x v="1"/>
      <x v="2"/>
      <x v="98"/>
    </i>
    <i>
      <x v="28"/>
      <x v="1"/>
      <x v="1"/>
      <x v="2"/>
      <x v="22"/>
    </i>
    <i>
      <x v="29"/>
      <x v="1"/>
      <x v="1"/>
      <x v="2"/>
      <x v="144"/>
    </i>
    <i>
      <x v="30"/>
      <x v="1"/>
      <x v="1"/>
      <x v="2"/>
      <x v="23"/>
    </i>
    <i>
      <x v="31"/>
      <x v="1"/>
      <x v="1"/>
      <x v="2"/>
      <x v="1"/>
    </i>
    <i>
      <x v="32"/>
      <x v="1"/>
      <x v="1"/>
      <x v="2"/>
      <x v="7"/>
    </i>
    <i>
      <x v="33"/>
      <x v="1"/>
      <x v="1"/>
      <x v="3"/>
      <x v="87"/>
    </i>
    <i>
      <x v="34"/>
      <x v="1"/>
      <x v="1"/>
      <x v="3"/>
      <x v="86"/>
    </i>
    <i>
      <x v="35"/>
      <x v="1"/>
      <x v="1"/>
      <x v="3"/>
      <x v="3"/>
    </i>
    <i>
      <x v="36"/>
      <x v="1"/>
      <x v="1"/>
      <x v="3"/>
      <x v="89"/>
    </i>
    <i>
      <x v="37"/>
      <x v="1"/>
      <x v="1"/>
      <x v="3"/>
      <x v="99"/>
    </i>
    <i>
      <x v="38"/>
      <x v="1"/>
      <x v="1"/>
      <x v="3"/>
      <x v="90"/>
    </i>
    <i>
      <x v="39"/>
      <x v="1"/>
      <x v="1"/>
      <x v="3"/>
      <x v="91"/>
    </i>
    <i>
      <x v="40"/>
      <x v="1"/>
      <x v="1"/>
      <x v="3"/>
      <x v="92"/>
    </i>
    <i>
      <x v="41"/>
      <x v="1"/>
      <x v="1"/>
      <x v="3"/>
      <x v="93"/>
    </i>
    <i>
      <x v="42"/>
      <x v="1"/>
      <x v="1"/>
      <x v="3"/>
      <x v="97"/>
    </i>
    <i>
      <x v="43"/>
      <x v="1"/>
      <x v="1"/>
      <x v="3"/>
      <x v="22"/>
    </i>
    <i>
      <x v="44"/>
      <x v="1"/>
      <x v="1"/>
      <x v="3"/>
      <x v="131"/>
    </i>
    <i>
      <x v="45"/>
      <x v="1"/>
      <x v="1"/>
      <x v="3"/>
      <x v="1"/>
    </i>
    <i>
      <x v="46"/>
      <x v="1"/>
      <x v="1"/>
      <x v="3"/>
      <x v="7"/>
    </i>
    <i>
      <x v="47"/>
      <x v="1"/>
      <x v="1"/>
      <x v="3"/>
      <x v="25"/>
    </i>
    <i>
      <x v="48"/>
      <x v="1"/>
      <x v="1"/>
      <x v="3"/>
      <x v="26"/>
    </i>
    <i>
      <x v="49"/>
      <x v="1"/>
      <x v="1"/>
      <x v="3"/>
      <x v="27"/>
    </i>
    <i>
      <x v="50"/>
      <x v="1"/>
      <x v="1"/>
      <x v="3"/>
      <x v="28"/>
    </i>
    <i>
      <x v="51"/>
      <x v="1"/>
      <x v="1"/>
      <x v="3"/>
      <x v="29"/>
    </i>
    <i>
      <x v="52"/>
      <x v="1"/>
      <x v="1"/>
      <x v="3"/>
      <x v="30"/>
    </i>
    <i>
      <x v="53"/>
      <x v="1"/>
      <x v="1"/>
      <x v="3"/>
      <x v="12"/>
    </i>
    <i>
      <x v="54"/>
      <x v="1"/>
      <x v="1"/>
      <x v="3"/>
      <x v="31"/>
    </i>
    <i>
      <x v="55"/>
      <x v="1"/>
      <x v="1"/>
      <x v="3"/>
      <x v="32"/>
    </i>
    <i>
      <x v="56"/>
      <x v="1"/>
      <x v="1"/>
      <x v="3"/>
      <x v="33"/>
    </i>
    <i>
      <x v="57"/>
      <x v="1"/>
      <x v="1"/>
      <x v="3"/>
      <x v="34"/>
    </i>
    <i>
      <x v="58"/>
      <x v="1"/>
      <x v="1"/>
      <x v="3"/>
      <x v="35"/>
    </i>
    <i>
      <x v="59"/>
      <x v="1"/>
      <x v="1"/>
      <x v="3"/>
      <x v="36"/>
    </i>
    <i>
      <x v="60"/>
      <x v="1"/>
      <x v="1"/>
      <x v="4"/>
      <x v="132"/>
    </i>
    <i>
      <x v="61"/>
      <x v="1"/>
      <x v="2"/>
      <x v="10"/>
      <x v="100"/>
    </i>
    <i>
      <x v="62"/>
      <x v="1"/>
      <x v="2"/>
      <x v="10"/>
      <x v="101"/>
    </i>
    <i>
      <x v="63"/>
      <x v="1"/>
      <x v="2"/>
      <x v="10"/>
      <x v="102"/>
    </i>
    <i>
      <x v="64"/>
      <x v="1"/>
      <x v="2"/>
      <x v="10"/>
      <x v="103"/>
    </i>
    <i>
      <x v="65"/>
      <x v="1"/>
      <x v="2"/>
      <x v="10"/>
      <x v="104"/>
    </i>
    <i>
      <x v="66"/>
      <x v="1"/>
      <x v="2"/>
      <x v="10"/>
      <x v="105"/>
    </i>
    <i>
      <x v="67"/>
      <x v="1"/>
      <x v="2"/>
      <x v="10"/>
      <x v="42"/>
    </i>
    <i>
      <x v="68"/>
      <x v="1"/>
      <x v="2"/>
      <x v="10"/>
      <x v="43"/>
    </i>
    <i>
      <x v="69"/>
      <x v="1"/>
      <x v="2"/>
      <x v="10"/>
      <x v="106"/>
    </i>
    <i>
      <x v="70"/>
      <x v="1"/>
      <x v="2"/>
      <x v="10"/>
      <x v="44"/>
    </i>
    <i>
      <x v="71"/>
      <x v="1"/>
      <x v="2"/>
      <x v="10"/>
      <x v="107"/>
    </i>
    <i>
      <x v="72"/>
      <x v="1"/>
      <x v="2"/>
      <x v="10"/>
      <x v="108"/>
    </i>
    <i>
      <x v="73"/>
      <x v="1"/>
      <x v="2"/>
      <x v="10"/>
      <x v="109"/>
    </i>
    <i>
      <x v="74"/>
      <x v="1"/>
      <x v="2"/>
      <x v="10"/>
      <x v="110"/>
    </i>
    <i>
      <x v="75"/>
      <x v="1"/>
      <x v="2"/>
      <x v="10"/>
      <x v="111"/>
    </i>
    <i>
      <x v="76"/>
      <x v="1"/>
      <x v="2"/>
      <x v="10"/>
      <x v="97"/>
    </i>
    <i>
      <x v="77"/>
      <x v="1"/>
      <x v="2"/>
      <x v="10"/>
      <x v="133"/>
    </i>
    <i>
      <x v="78"/>
      <x v="1"/>
      <x v="2"/>
      <x v="10"/>
      <x v="134"/>
    </i>
    <i>
      <x v="79"/>
      <x v="2"/>
      <x v="3"/>
      <x v="5"/>
      <x v="45"/>
    </i>
    <i>
      <x v="80"/>
      <x v="2"/>
      <x v="3"/>
      <x v="5"/>
      <x v="112"/>
    </i>
    <i>
      <x v="81"/>
      <x v="2"/>
      <x v="3"/>
      <x v="5"/>
      <x v="86"/>
    </i>
    <i>
      <x v="82"/>
      <x v="2"/>
      <x v="3"/>
      <x v="5"/>
      <x v="87"/>
    </i>
    <i>
      <x v="83"/>
      <x v="2"/>
      <x v="3"/>
      <x v="5"/>
      <x v="113"/>
    </i>
    <i>
      <x v="84"/>
      <x v="2"/>
      <x v="3"/>
      <x v="5"/>
      <x v="114"/>
    </i>
    <i>
      <x v="85"/>
      <x v="2"/>
      <x v="3"/>
      <x v="5"/>
      <x v="89"/>
    </i>
    <i>
      <x v="86"/>
      <x v="2"/>
      <x v="3"/>
      <x v="5"/>
      <x v="99"/>
    </i>
    <i>
      <x v="87"/>
      <x v="2"/>
      <x v="3"/>
      <x v="5"/>
      <x v="90"/>
    </i>
    <i>
      <x v="88"/>
      <x v="2"/>
      <x v="3"/>
      <x v="5"/>
      <x v="92"/>
    </i>
    <i>
      <x v="89"/>
      <x v="2"/>
      <x v="3"/>
      <x v="5"/>
      <x v="147"/>
    </i>
    <i>
      <x v="90"/>
      <x v="2"/>
      <x v="3"/>
      <x v="5"/>
      <x v="148"/>
    </i>
    <i>
      <x v="91"/>
      <x v="2"/>
      <x v="3"/>
      <x v="5"/>
      <x v="149"/>
    </i>
    <i>
      <x v="92"/>
      <x v="2"/>
      <x v="3"/>
      <x v="6"/>
      <x v="10"/>
    </i>
    <i>
      <x v="93"/>
      <x v="2"/>
      <x v="3"/>
      <x v="6"/>
      <x v="86"/>
    </i>
    <i>
      <x v="94"/>
      <x v="2"/>
      <x v="3"/>
      <x v="6"/>
      <x v="87"/>
    </i>
    <i>
      <x v="95"/>
      <x v="2"/>
      <x v="3"/>
      <x v="6"/>
      <x v="113"/>
    </i>
    <i>
      <x v="96"/>
      <x v="2"/>
      <x v="3"/>
      <x v="6"/>
      <x v="114"/>
    </i>
    <i>
      <x v="97"/>
      <x v="2"/>
      <x v="3"/>
      <x v="6"/>
      <x v="115"/>
    </i>
    <i>
      <x v="98"/>
      <x v="2"/>
      <x v="3"/>
      <x v="6"/>
      <x v="116"/>
    </i>
    <i>
      <x v="99"/>
      <x v="2"/>
      <x v="3"/>
      <x v="6"/>
      <x v="99"/>
    </i>
    <i>
      <x v="100"/>
      <x v="2"/>
      <x v="3"/>
      <x v="6"/>
      <x v="90"/>
    </i>
    <i>
      <x v="101"/>
      <x v="2"/>
      <x v="3"/>
      <x v="6"/>
      <x v="91"/>
    </i>
    <i>
      <x v="102"/>
      <x v="2"/>
      <x v="3"/>
      <x v="6"/>
      <x v="117"/>
    </i>
    <i>
      <x v="103"/>
      <x v="2"/>
      <x v="3"/>
      <x v="6"/>
      <x v="111"/>
    </i>
    <i>
      <x v="104"/>
      <x v="2"/>
      <x v="3"/>
      <x v="6"/>
      <x v="108"/>
    </i>
    <i>
      <x v="105"/>
      <x v="2"/>
      <x v="3"/>
      <x v="6"/>
      <x v="92"/>
    </i>
    <i>
      <x v="106"/>
      <x v="2"/>
      <x v="3"/>
      <x v="6"/>
      <x v="94"/>
    </i>
    <i>
      <x v="107"/>
      <x v="2"/>
      <x v="3"/>
      <x v="6"/>
      <x v="97"/>
    </i>
    <i>
      <x v="108"/>
      <x v="2"/>
      <x v="3"/>
      <x v="6"/>
      <x v="148"/>
    </i>
    <i>
      <x v="109"/>
      <x v="2"/>
      <x v="3"/>
      <x v="6"/>
      <x v="149"/>
    </i>
    <i>
      <x v="110"/>
      <x v="2"/>
      <x v="3"/>
      <x v="6"/>
      <x v="106"/>
    </i>
    <i>
      <x v="111"/>
      <x v="2"/>
      <x v="3"/>
      <x v="6"/>
      <x v="96"/>
    </i>
    <i>
      <x v="112"/>
      <x v="3"/>
      <x v="4"/>
      <x v="7"/>
      <x v="124"/>
    </i>
    <i>
      <x v="113"/>
      <x v="3"/>
      <x v="4"/>
      <x v="7"/>
      <x v="125"/>
    </i>
    <i>
      <x v="114"/>
      <x v="3"/>
      <x v="4"/>
      <x v="7"/>
      <x v="126"/>
    </i>
    <i>
      <x v="116"/>
      <x v="3"/>
      <x v="4"/>
      <x v="7"/>
      <x v="127"/>
    </i>
    <i>
      <x v="117"/>
      <x v="3"/>
      <x v="4"/>
      <x v="7"/>
      <x v="128"/>
    </i>
    <i>
      <x v="119"/>
      <x v="3"/>
      <x v="4"/>
      <x v="7"/>
      <x v="129"/>
    </i>
    <i>
      <x v="121"/>
      <x v="3"/>
      <x v="4"/>
      <x v="7"/>
      <x v="50"/>
    </i>
    <i>
      <x v="123"/>
      <x v="3"/>
      <x v="4"/>
      <x v="7"/>
      <x v="5"/>
    </i>
    <i>
      <x v="125"/>
      <x v="3"/>
      <x v="4"/>
      <x v="7"/>
      <x v="6"/>
    </i>
    <i>
      <x v="127"/>
      <x v="3"/>
      <x v="4"/>
      <x v="7"/>
      <x v="51"/>
    </i>
    <i>
      <x v="128"/>
      <x v="3"/>
      <x v="4"/>
      <x v="7"/>
      <x v="8"/>
    </i>
    <i>
      <x v="129"/>
      <x v="3"/>
      <x v="4"/>
      <x v="7"/>
      <x v="130"/>
    </i>
    <i>
      <x v="130"/>
      <x v="3"/>
      <x v="4"/>
      <x v="7"/>
      <x v="38"/>
    </i>
    <i>
      <x v="131"/>
      <x v="3"/>
      <x v="4"/>
      <x v="7"/>
      <x v="39"/>
    </i>
    <i>
      <x v="132"/>
      <x v="3"/>
      <x v="4"/>
      <x v="7"/>
      <x v="40"/>
    </i>
    <i>
      <x v="133"/>
      <x v="3"/>
      <x v="4"/>
      <x v="7"/>
      <x v="41"/>
    </i>
    <i>
      <x v="134"/>
      <x v="3"/>
      <x v="4"/>
      <x v="7"/>
      <x v="52"/>
    </i>
    <i>
      <x v="135"/>
      <x v="3"/>
      <x v="4"/>
      <x v="7"/>
      <x v="53"/>
    </i>
    <i>
      <x v="136"/>
      <x v="3"/>
      <x v="4"/>
      <x v="7"/>
      <x v="54"/>
    </i>
    <i>
      <x v="137"/>
      <x v="3"/>
      <x v="4"/>
      <x v="7"/>
      <x v="55"/>
    </i>
    <i>
      <x v="138"/>
      <x v="3"/>
      <x v="4"/>
      <x v="7"/>
      <x v="56"/>
    </i>
    <i>
      <x v="139"/>
      <x v="3"/>
      <x v="4"/>
      <x v="7"/>
      <x v="57"/>
    </i>
    <i>
      <x v="140"/>
      <x v="3"/>
      <x v="4"/>
      <x v="7"/>
      <x v="58"/>
    </i>
    <i>
      <x v="141"/>
      <x v="3"/>
      <x v="4"/>
      <x v="7"/>
      <x v="59"/>
    </i>
    <i>
      <x v="142"/>
      <x v="3"/>
      <x v="4"/>
      <x v="7"/>
      <x v="42"/>
    </i>
    <i>
      <x v="143"/>
      <x v="3"/>
      <x v="4"/>
      <x v="7"/>
      <x v="43"/>
    </i>
    <i>
      <x v="144"/>
      <x v="3"/>
      <x v="4"/>
      <x v="7"/>
      <x v="60"/>
    </i>
    <i>
      <x v="145"/>
      <x v="3"/>
      <x v="4"/>
      <x v="7"/>
      <x v="61"/>
    </i>
    <i>
      <x v="146"/>
      <x v="3"/>
      <x v="4"/>
      <x v="7"/>
      <x v="62"/>
    </i>
    <i>
      <x v="147"/>
      <x v="3"/>
      <x v="4"/>
      <x v="7"/>
      <x v="63"/>
    </i>
    <i>
      <x v="148"/>
      <x v="3"/>
      <x v="4"/>
      <x v="7"/>
      <x v="64"/>
    </i>
    <i>
      <x v="149"/>
      <x v="3"/>
      <x v="4"/>
      <x v="7"/>
      <x v="65"/>
    </i>
    <i>
      <x v="150"/>
      <x v="3"/>
      <x v="4"/>
      <x v="7"/>
      <x v="66"/>
    </i>
    <i>
      <x v="151"/>
      <x v="3"/>
      <x v="4"/>
      <x v="11"/>
      <x v="135"/>
    </i>
    <i>
      <x v="153"/>
      <x v="3"/>
      <x v="4"/>
      <x v="11"/>
      <x v="127"/>
    </i>
    <i>
      <x v="154"/>
      <x v="3"/>
      <x v="4"/>
      <x v="11"/>
      <x v="128"/>
    </i>
    <i>
      <x v="156"/>
      <x v="3"/>
      <x v="4"/>
      <x v="11"/>
      <x v="136"/>
    </i>
    <i>
      <x v="158"/>
      <x v="3"/>
      <x v="4"/>
      <x v="11"/>
      <x v="5"/>
    </i>
    <i>
      <x v="160"/>
      <x v="3"/>
      <x v="4"/>
      <x v="11"/>
      <x v="137"/>
    </i>
    <i>
      <x v="161"/>
      <x v="3"/>
      <x v="4"/>
      <x v="11"/>
      <x v="130"/>
    </i>
    <i>
      <x v="162"/>
      <x v="3"/>
      <x v="4"/>
      <x v="11"/>
      <x v="38"/>
    </i>
    <i>
      <x v="163"/>
      <x v="3"/>
      <x v="4"/>
      <x v="11"/>
      <x v="39"/>
    </i>
    <i>
      <x v="164"/>
      <x v="3"/>
      <x v="4"/>
      <x v="11"/>
      <x v="40"/>
    </i>
    <i>
      <x v="165"/>
      <x v="3"/>
      <x v="4"/>
      <x v="11"/>
      <x v="41"/>
    </i>
    <i>
      <x v="166"/>
      <x v="3"/>
      <x v="4"/>
      <x v="11"/>
      <x v="52"/>
    </i>
    <i>
      <x v="167"/>
      <x v="3"/>
      <x v="4"/>
      <x v="11"/>
      <x v="53"/>
    </i>
    <i>
      <x v="168"/>
      <x v="3"/>
      <x v="4"/>
      <x v="11"/>
      <x v="54"/>
    </i>
    <i>
      <x v="169"/>
      <x v="3"/>
      <x v="4"/>
      <x v="11"/>
      <x v="55"/>
    </i>
    <i>
      <x v="170"/>
      <x v="3"/>
      <x v="4"/>
      <x v="11"/>
      <x v="56"/>
    </i>
    <i>
      <x v="171"/>
      <x v="3"/>
      <x v="4"/>
      <x v="11"/>
      <x v="57"/>
    </i>
    <i>
      <x v="172"/>
      <x v="3"/>
      <x v="4"/>
      <x v="11"/>
      <x v="58"/>
    </i>
    <i>
      <x v="173"/>
      <x v="3"/>
      <x v="4"/>
      <x v="11"/>
      <x v="59"/>
    </i>
    <i>
      <x v="174"/>
      <x v="3"/>
      <x v="4"/>
      <x v="11"/>
      <x v="67"/>
    </i>
    <i>
      <x v="175"/>
      <x v="3"/>
      <x v="4"/>
      <x v="11"/>
      <x v="120"/>
    </i>
    <i>
      <x v="176"/>
      <x v="3"/>
      <x v="4"/>
      <x v="11"/>
      <x v="68"/>
    </i>
    <i>
      <x v="177"/>
      <x v="3"/>
      <x v="4"/>
      <x v="11"/>
      <x v="69"/>
    </i>
    <i>
      <x v="178"/>
      <x v="3"/>
      <x v="4"/>
      <x v="11"/>
      <x v="121"/>
    </i>
    <i>
      <x v="179"/>
      <x v="3"/>
      <x v="4"/>
      <x v="11"/>
      <x v="42"/>
    </i>
    <i>
      <x v="180"/>
      <x v="3"/>
      <x v="4"/>
      <x v="11"/>
      <x v="43"/>
    </i>
    <i>
      <x v="181"/>
      <x v="3"/>
      <x v="4"/>
      <x v="11"/>
      <x v="60"/>
    </i>
    <i>
      <x v="182"/>
      <x v="3"/>
      <x v="4"/>
      <x v="11"/>
      <x v="61"/>
    </i>
    <i>
      <x v="183"/>
      <x v="3"/>
      <x v="4"/>
      <x v="11"/>
      <x v="62"/>
    </i>
    <i>
      <x v="184"/>
      <x v="3"/>
      <x v="4"/>
      <x v="11"/>
      <x v="63"/>
    </i>
    <i>
      <x v="185"/>
      <x v="3"/>
      <x v="4"/>
      <x v="11"/>
      <x v="64"/>
    </i>
    <i>
      <x v="186"/>
      <x v="3"/>
      <x v="4"/>
      <x v="11"/>
      <x v="65"/>
    </i>
    <i>
      <x v="187"/>
      <x v="3"/>
      <x v="4"/>
      <x v="11"/>
      <x v="66"/>
    </i>
    <i>
      <x v="188"/>
      <x v="3"/>
      <x v="5"/>
      <x v="8"/>
      <x v="138"/>
    </i>
    <i>
      <x v="189"/>
      <x v="3"/>
      <x v="5"/>
      <x v="8"/>
      <x v="4"/>
    </i>
    <i>
      <x v="191"/>
      <x v="3"/>
      <x v="5"/>
      <x v="8"/>
      <x v="139"/>
    </i>
    <i>
      <x v="192"/>
      <x v="3"/>
      <x v="5"/>
      <x v="8"/>
      <x v="140"/>
    </i>
    <i>
      <x v="194"/>
      <x v="3"/>
      <x v="5"/>
      <x v="8"/>
      <x v="141"/>
    </i>
    <i>
      <x v="196"/>
      <x v="3"/>
      <x v="5"/>
      <x v="8"/>
      <x v="5"/>
    </i>
    <i>
      <x v="198"/>
      <x v="3"/>
      <x v="5"/>
      <x v="8"/>
      <x v="142"/>
    </i>
    <i>
      <x v="200"/>
      <x v="3"/>
      <x v="5"/>
      <x v="8"/>
      <x v="130"/>
    </i>
    <i>
      <x v="201"/>
      <x v="3"/>
      <x v="5"/>
      <x v="8"/>
      <x v="143"/>
    </i>
    <i>
      <x v="203"/>
      <x v="3"/>
      <x v="5"/>
      <x v="8"/>
      <x v="72"/>
    </i>
    <i>
      <x v="204"/>
      <x v="3"/>
      <x v="5"/>
      <x v="8"/>
      <x v="106"/>
    </i>
    <i>
      <x v="205"/>
      <x v="3"/>
      <x v="5"/>
      <x v="8"/>
      <x v="97"/>
    </i>
    <i>
      <x v="206"/>
      <x v="3"/>
      <x v="5"/>
      <x v="8"/>
      <x v="133"/>
    </i>
    <i>
      <x v="207"/>
      <x v="3"/>
      <x v="5"/>
      <x v="8"/>
      <x v="134"/>
    </i>
    <i>
      <x v="208"/>
      <x v="3"/>
      <x v="5"/>
      <x v="8"/>
      <x v="99"/>
    </i>
    <i>
      <x v="209"/>
      <x v="3"/>
      <x v="5"/>
      <x v="8"/>
      <x v="89"/>
    </i>
    <i>
      <x v="210"/>
      <x v="3"/>
      <x v="5"/>
      <x v="8"/>
      <x v="92"/>
    </i>
    <i>
      <x v="211"/>
      <x v="3"/>
      <x v="5"/>
      <x v="8"/>
      <x v="93"/>
    </i>
    <i>
      <x v="212"/>
      <x v="3"/>
      <x v="5"/>
      <x v="8"/>
      <x v="73"/>
    </i>
    <i>
      <x v="213"/>
      <x v="3"/>
      <x v="5"/>
      <x v="8"/>
      <x v="74"/>
    </i>
    <i>
      <x v="214"/>
      <x v="3"/>
      <x v="5"/>
      <x v="8"/>
      <x v="75"/>
    </i>
    <i>
      <x v="215"/>
      <x v="3"/>
      <x v="5"/>
      <x v="8"/>
      <x v="76"/>
    </i>
    <i>
      <x v="216"/>
      <x v="3"/>
      <x v="5"/>
      <x v="8"/>
      <x v="77"/>
    </i>
    <i>
      <x v="218"/>
      <x v="3"/>
      <x v="5"/>
      <x v="9"/>
      <x v="122"/>
    </i>
    <i>
      <x v="219"/>
      <x v="3"/>
      <x v="5"/>
      <x v="9"/>
      <x v="4"/>
    </i>
    <i>
      <x v="221"/>
      <x v="3"/>
      <x v="5"/>
      <x v="9"/>
      <x v="70"/>
    </i>
    <i>
      <x v="222"/>
      <x v="3"/>
      <x v="5"/>
      <x v="9"/>
      <x v="48"/>
    </i>
    <i>
      <x v="224"/>
      <x v="3"/>
      <x v="5"/>
      <x v="9"/>
      <x v="49"/>
    </i>
    <i>
      <x v="226"/>
      <x v="3"/>
      <x v="5"/>
      <x v="9"/>
      <x v="5"/>
    </i>
    <i>
      <x v="228"/>
      <x v="3"/>
      <x v="5"/>
      <x v="9"/>
      <x v="9"/>
    </i>
    <i>
      <x v="230"/>
      <x v="3"/>
      <x v="5"/>
      <x v="9"/>
      <x v="11"/>
    </i>
    <i>
      <x v="231"/>
      <x v="3"/>
      <x v="5"/>
      <x v="9"/>
      <x v="71"/>
    </i>
    <i>
      <x v="233"/>
      <x v="3"/>
      <x v="5"/>
      <x v="9"/>
      <x v="97"/>
    </i>
    <i>
      <x v="234"/>
      <x v="3"/>
      <x v="5"/>
      <x v="9"/>
      <x v="148"/>
    </i>
    <i>
      <x v="235"/>
      <x v="3"/>
      <x v="5"/>
      <x v="9"/>
      <x v="149"/>
    </i>
    <i>
      <x v="236"/>
      <x v="3"/>
      <x v="5"/>
      <x v="9"/>
      <x v="89"/>
    </i>
    <i>
      <x v="237"/>
      <x v="3"/>
      <x v="5"/>
      <x v="9"/>
      <x v="99"/>
    </i>
    <i>
      <x v="238"/>
      <x v="3"/>
      <x v="5"/>
      <x v="9"/>
      <x v="92"/>
    </i>
    <i>
      <x v="239"/>
      <x v="3"/>
      <x v="5"/>
      <x v="9"/>
      <x v="93"/>
    </i>
    <i>
      <x v="240"/>
      <x v="3"/>
      <x v="5"/>
      <x v="9"/>
      <x v="73"/>
    </i>
    <i>
      <x v="241"/>
      <x v="3"/>
      <x v="5"/>
      <x v="9"/>
      <x v="74"/>
    </i>
    <i>
      <x v="242"/>
      <x v="3"/>
      <x v="5"/>
      <x v="9"/>
      <x v="75"/>
    </i>
    <i>
      <x v="243"/>
      <x v="3"/>
      <x v="5"/>
      <x v="9"/>
      <x v="76"/>
    </i>
    <i>
      <x v="244"/>
      <x v="3"/>
      <x v="5"/>
      <x v="9"/>
      <x v="77"/>
    </i>
    <i>
      <x v="245"/>
      <x v="3"/>
      <x v="5"/>
      <x v="9"/>
      <x v="106"/>
    </i>
    <i>
      <x v="246"/>
      <x v="3"/>
      <x v="5"/>
      <x v="12"/>
      <x v="47"/>
    </i>
    <i>
      <x v="247"/>
      <x v="3"/>
      <x v="5"/>
      <x v="12"/>
      <x v="5"/>
    </i>
    <i>
      <x v="248"/>
      <x v="3"/>
      <x v="5"/>
      <x v="12"/>
      <x v="48"/>
    </i>
    <i>
      <x v="249"/>
      <x v="3"/>
      <x v="5"/>
      <x v="12"/>
      <x v="49"/>
    </i>
    <i>
      <x v="250"/>
      <x v="3"/>
      <x v="5"/>
      <x v="12"/>
      <x v="99"/>
    </i>
    <i>
      <x v="251"/>
      <x v="3"/>
      <x v="5"/>
      <x v="12"/>
      <x v="89"/>
    </i>
    <i>
      <x v="252"/>
      <x v="3"/>
      <x v="5"/>
      <x v="12"/>
      <x v="19"/>
    </i>
    <i>
      <x v="253"/>
      <x v="3"/>
      <x v="5"/>
      <x v="12"/>
      <x v="20"/>
    </i>
    <i>
      <x v="254"/>
      <x v="3"/>
      <x v="5"/>
      <x v="12"/>
      <x v="92"/>
    </i>
    <i>
      <x v="255"/>
      <x v="3"/>
      <x v="5"/>
      <x v="12"/>
      <x v="93"/>
    </i>
    <i>
      <x v="256"/>
      <x v="3"/>
      <x v="5"/>
      <x v="12"/>
      <x v="97"/>
    </i>
    <i>
      <x v="257"/>
      <x v="3"/>
      <x v="5"/>
      <x v="12"/>
      <x v="148"/>
    </i>
    <i>
      <x v="258"/>
      <x v="3"/>
      <x v="5"/>
      <x v="12"/>
      <x v="150"/>
    </i>
    <i>
      <x v="259"/>
      <x v="3"/>
      <x v="5"/>
      <x v="12"/>
      <x v="96"/>
    </i>
    <i>
      <x v="260"/>
      <x v="3"/>
      <x v="5"/>
      <x v="12"/>
      <x v="1"/>
    </i>
    <i>
      <x v="261"/>
      <x v="3"/>
      <x v="5"/>
      <x v="12"/>
      <x v="7"/>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Sum of Quantity" fld="6" baseField="0" baseItem="0" numFmtId="3"/>
    <dataField name="Sum of Incentive (Total)" fld="9" baseField="0" baseItem="0" numFmtId="167"/>
    <dataField name="Sum of Net Annual MWh Savings " fld="14" baseField="0" baseItem="0" numFmtId="171"/>
    <dataField name="Sum of Net Lifetime MWh Savings" fld="15" baseField="0" baseItem="0" numFmtId="171"/>
    <dataField name="Sum of Net Annual Gas Savings (MMBTU)" fld="27" baseField="0" baseItem="0" numFmtId="171"/>
    <dataField name="Sum of Net Lifetime Gas Savings (MMBTU)" fld="28" baseField="0" baseItem="0" numFmtId="171"/>
    <dataField name="Sum of Net Annual Oil Savings (MMBTU)" fld="31" baseField="0" baseItem="0" numFmtId="171"/>
    <dataField name="Sum of Net Lifetime Oil Savings (MMBTU)" fld="32" baseField="0" baseItem="0" numFmtId="171"/>
    <dataField name="Sum of Net Annual Propane Savings (MMBTU)" fld="35" baseField="0" baseItem="0" numFmtId="171"/>
    <dataField name="Sum of Net Lifetime Propane Savings (MMBTU)" fld="36" baseField="0" baseItem="0" numFmtId="171"/>
    <dataField name="Sum of Annual Water Savings (Gallons)" fld="104" baseField="0" baseItem="0" numFmtId="171"/>
    <dataField name="Sum of Net Lifetime Water Savings Gallons" fld="40" baseField="3" baseItem="18"/>
    <dataField name="Sum of Total Electric Benefits ($)" fld="60" baseField="0" baseItem="0" numFmtId="167"/>
    <dataField name="Sum of Total Gas Resource Benefits" fld="78" baseField="0" baseItem="0" numFmtId="167"/>
    <dataField name="Sum of Total Oil Benefits" fld="102" baseField="2" baseItem="1" numFmtId="167"/>
    <dataField name="Sum of Propane" fld="81" baseField="0" baseItem="0" numFmtId="167"/>
    <dataField name="Sum of Total Water Benefits" fld="103" baseField="3" baseItem="140" numFmtId="167"/>
    <dataField name="Sum of Total Lifetime Non-Resource  Benefits " fld="92" baseField="0" baseItem="0" numFmtId="167"/>
    <dataField name="Sum of Total Benefits ($)" fld="105" baseField="0" baseItem="0" numFmtId="170"/>
  </dataFields>
  <formats count="26">
    <format dxfId="51">
      <pivotArea field="0" type="button" dataOnly="0" labelOnly="1" outline="0" axis="axisRow" fieldPosition="1"/>
    </format>
    <format dxfId="50">
      <pivotArea dataOnly="0" labelOnly="1" outline="0" fieldPosition="0">
        <references count="1">
          <reference field="4294967294" count="10">
            <x v="0"/>
            <x v="1"/>
            <x v="2"/>
            <x v="3"/>
            <x v="4"/>
            <x v="5"/>
            <x v="6"/>
            <x v="7"/>
            <x v="8"/>
            <x v="9"/>
          </reference>
        </references>
      </pivotArea>
    </format>
    <format dxfId="49">
      <pivotArea outline="0" fieldPosition="0">
        <references count="1">
          <reference field="4294967294" count="1">
            <x v="0"/>
          </reference>
        </references>
      </pivotArea>
    </format>
    <format dxfId="48">
      <pivotArea outline="0" fieldPosition="0">
        <references count="1">
          <reference field="4294967294" count="1">
            <x v="1"/>
          </reference>
        </references>
      </pivotArea>
    </format>
    <format dxfId="47">
      <pivotArea outline="0" fieldPosition="0">
        <references count="1">
          <reference field="4294967294" count="1">
            <x v="2"/>
          </reference>
        </references>
      </pivotArea>
    </format>
    <format dxfId="46">
      <pivotArea outline="0" fieldPosition="0">
        <references count="1">
          <reference field="4294967294" count="1">
            <x v="3"/>
          </reference>
        </references>
      </pivotArea>
    </format>
    <format dxfId="45">
      <pivotArea outline="0" fieldPosition="0">
        <references count="1">
          <reference field="4294967294" count="1">
            <x v="4"/>
          </reference>
        </references>
      </pivotArea>
    </format>
    <format dxfId="44">
      <pivotArea outline="0" fieldPosition="0">
        <references count="1">
          <reference field="4294967294" count="1">
            <x v="5"/>
          </reference>
        </references>
      </pivotArea>
    </format>
    <format dxfId="43">
      <pivotArea outline="0" fieldPosition="0">
        <references count="1">
          <reference field="4294967294" count="1">
            <x v="6"/>
          </reference>
        </references>
      </pivotArea>
    </format>
    <format dxfId="42">
      <pivotArea outline="0" fieldPosition="0">
        <references count="1">
          <reference field="4294967294" count="1">
            <x v="8"/>
          </reference>
        </references>
      </pivotArea>
    </format>
    <format dxfId="41">
      <pivotArea outline="0" fieldPosition="0">
        <references count="1">
          <reference field="4294967294" count="1">
            <x v="7"/>
          </reference>
        </references>
      </pivotArea>
    </format>
    <format dxfId="40">
      <pivotArea outline="0" fieldPosition="0">
        <references count="1">
          <reference field="4294967294" count="1">
            <x v="9"/>
          </reference>
        </references>
      </pivotArea>
    </format>
    <format dxfId="39">
      <pivotArea outline="0" fieldPosition="0">
        <references count="1">
          <reference field="4294967294" count="1">
            <x v="12"/>
          </reference>
        </references>
      </pivotArea>
    </format>
    <format dxfId="38">
      <pivotArea outline="0" fieldPosition="0">
        <references count="1">
          <reference field="4294967294" count="1">
            <x v="13"/>
          </reference>
        </references>
      </pivotArea>
    </format>
    <format dxfId="37">
      <pivotArea outline="0" fieldPosition="0">
        <references count="1">
          <reference field="4294967294" count="1">
            <x v="14"/>
          </reference>
        </references>
      </pivotArea>
    </format>
    <format dxfId="36">
      <pivotArea outline="0" fieldPosition="0">
        <references count="1">
          <reference field="4294967294" count="1">
            <x v="15"/>
          </reference>
        </references>
      </pivotArea>
    </format>
    <format dxfId="35">
      <pivotArea outline="0" fieldPosition="0">
        <references count="1">
          <reference field="4294967294" count="1">
            <x v="16"/>
          </reference>
        </references>
      </pivotArea>
    </format>
    <format dxfId="34">
      <pivotArea outline="0" fieldPosition="0">
        <references count="1">
          <reference field="4294967294" count="1">
            <x v="17"/>
          </reference>
        </references>
      </pivotArea>
    </format>
    <format dxfId="33">
      <pivotArea outline="0" collapsedLevelsAreSubtotals="1" fieldPosition="0">
        <references count="1">
          <reference field="4294967294" count="1" selected="0">
            <x v="1"/>
          </reference>
        </references>
      </pivotArea>
    </format>
    <format dxfId="32">
      <pivotArea outline="0" collapsedLevelsAreSubtotals="1" fieldPosition="0">
        <references count="1">
          <reference field="4294967294" count="6" selected="0">
            <x v="4"/>
            <x v="5"/>
            <x v="6"/>
            <x v="7"/>
            <x v="8"/>
            <x v="9"/>
          </reference>
        </references>
      </pivotArea>
    </format>
    <format dxfId="31">
      <pivotArea outline="0" collapsedLevelsAreSubtotals="1" fieldPosition="0">
        <references count="1">
          <reference field="4294967294" count="2" selected="0">
            <x v="2"/>
            <x v="3"/>
          </reference>
        </references>
      </pivotArea>
    </format>
    <format dxfId="30">
      <pivotArea outline="0" collapsedLevelsAreSubtotals="1" fieldPosition="0">
        <references count="1">
          <reference field="4294967294" count="6" selected="0">
            <x v="12"/>
            <x v="13"/>
            <x v="14"/>
            <x v="15"/>
            <x v="16"/>
            <x v="17"/>
          </reference>
        </references>
      </pivotArea>
    </format>
    <format dxfId="29">
      <pivotArea dataOnly="0" labelOnly="1" outline="0" fieldPosition="0">
        <references count="1">
          <reference field="4294967294" count="7">
            <x v="10"/>
            <x v="12"/>
            <x v="13"/>
            <x v="14"/>
            <x v="15"/>
            <x v="16"/>
            <x v="17"/>
          </reference>
        </references>
      </pivotArea>
    </format>
    <format dxfId="28">
      <pivotArea outline="0" collapsedLevelsAreSubtotals="1" fieldPosition="0">
        <references count="1">
          <reference field="4294967294" count="1" selected="0">
            <x v="10"/>
          </reference>
        </references>
      </pivotArea>
    </format>
    <format dxfId="27">
      <pivotArea outline="0" collapsedLevelsAreSubtotals="1" fieldPosition="0">
        <references count="1">
          <reference field="4294967294" count="1" selected="0">
            <x v="18"/>
          </reference>
        </references>
      </pivotArea>
    </format>
    <format dxfId="26">
      <pivotArea dataOnly="0" labelOnly="1" outline="0" fieldPosition="0">
        <references count="1">
          <reference field="4294967294"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B2:V92"/>
  <sheetViews>
    <sheetView zoomScaleNormal="100" workbookViewId="0">
      <selection activeCell="G7" sqref="G7"/>
    </sheetView>
  </sheetViews>
  <sheetFormatPr defaultColWidth="9.140625" defaultRowHeight="15"/>
  <cols>
    <col min="1" max="2" width="2.7109375" style="202" customWidth="1"/>
    <col min="3" max="3" width="6.7109375" style="203" customWidth="1"/>
    <col min="4" max="4" width="39.5703125" style="202" bestFit="1" customWidth="1"/>
    <col min="5" max="5" width="6.85546875" style="202" bestFit="1" customWidth="1"/>
    <col min="6" max="6" width="9.140625" style="202"/>
    <col min="7" max="7" width="24.42578125" style="202" bestFit="1" customWidth="1"/>
    <col min="8" max="8" width="7.5703125" style="202" bestFit="1" customWidth="1"/>
    <col min="9" max="9" width="9.140625" style="202"/>
    <col min="10" max="10" width="18.42578125" style="202" bestFit="1" customWidth="1"/>
    <col min="11" max="11" width="8.5703125" style="202" bestFit="1" customWidth="1"/>
    <col min="12" max="12" width="27.5703125" style="202" customWidth="1"/>
    <col min="13" max="13" width="35.140625" style="202" bestFit="1" customWidth="1"/>
    <col min="14" max="16" width="10" style="202" bestFit="1" customWidth="1"/>
    <col min="17" max="17" width="8.5703125" style="202" bestFit="1" customWidth="1"/>
    <col min="18" max="18" width="8.85546875" style="202" bestFit="1" customWidth="1"/>
    <col min="19" max="19" width="8.7109375" style="202" bestFit="1" customWidth="1"/>
    <col min="20" max="22" width="10" style="202" bestFit="1" customWidth="1"/>
    <col min="23" max="16384" width="9.140625" style="202"/>
  </cols>
  <sheetData>
    <row r="2" spans="2:6" ht="15.75">
      <c r="B2" s="508" t="s">
        <v>510</v>
      </c>
      <c r="C2" s="507"/>
    </row>
    <row r="3" spans="2:6">
      <c r="B3" s="204"/>
      <c r="D3" s="205"/>
      <c r="E3" s="205"/>
      <c r="F3" s="205"/>
    </row>
    <row r="4" spans="2:6">
      <c r="B4" s="204"/>
      <c r="C4" s="203" t="s">
        <v>614</v>
      </c>
      <c r="D4" s="205" t="s">
        <v>802</v>
      </c>
      <c r="E4" s="205"/>
      <c r="F4" s="205"/>
    </row>
    <row r="5" spans="2:6">
      <c r="C5" s="203" t="s">
        <v>289</v>
      </c>
      <c r="D5" s="205" t="s">
        <v>474</v>
      </c>
      <c r="E5" s="205"/>
      <c r="F5" s="205"/>
    </row>
    <row r="6" spans="2:6">
      <c r="C6" s="203" t="s">
        <v>628</v>
      </c>
      <c r="D6" s="205" t="s">
        <v>1387</v>
      </c>
      <c r="E6" s="205"/>
      <c r="F6" s="205"/>
    </row>
    <row r="7" spans="2:6">
      <c r="C7" s="203" t="s">
        <v>529</v>
      </c>
      <c r="D7" s="205"/>
      <c r="E7" s="205"/>
      <c r="F7" s="205"/>
    </row>
    <row r="8" spans="2:6">
      <c r="D8" s="884">
        <v>2016</v>
      </c>
      <c r="E8" s="205"/>
      <c r="F8" s="205"/>
    </row>
    <row r="9" spans="2:6">
      <c r="D9" s="884">
        <f>D8+1</f>
        <v>2017</v>
      </c>
      <c r="E9" s="205"/>
      <c r="F9" s="205"/>
    </row>
    <row r="10" spans="2:6">
      <c r="D10" s="884">
        <f>D9+1</f>
        <v>2018</v>
      </c>
      <c r="E10" s="205"/>
      <c r="F10" s="205"/>
    </row>
    <row r="11" spans="2:6">
      <c r="D11" s="205"/>
      <c r="E11" s="205"/>
      <c r="F11" s="205"/>
    </row>
    <row r="12" spans="2:6">
      <c r="C12" s="203" t="s">
        <v>240</v>
      </c>
      <c r="D12" s="205"/>
      <c r="E12" s="885">
        <v>4.4000000000000003E-3</v>
      </c>
      <c r="F12" s="205"/>
    </row>
    <row r="13" spans="2:6">
      <c r="C13" s="203" t="s">
        <v>229</v>
      </c>
      <c r="D13" s="205"/>
      <c r="E13" s="885">
        <v>2.5399999999999999E-2</v>
      </c>
      <c r="F13" s="205"/>
    </row>
    <row r="14" spans="2:6">
      <c r="D14" s="205"/>
      <c r="E14" s="205"/>
      <c r="F14" s="205"/>
    </row>
    <row r="15" spans="2:6">
      <c r="D15" s="205"/>
      <c r="E15" s="205"/>
      <c r="F15" s="205"/>
    </row>
    <row r="16" spans="2:6">
      <c r="D16" s="205"/>
      <c r="E16" s="205"/>
      <c r="F16" s="205"/>
    </row>
    <row r="17" spans="3:12">
      <c r="D17" s="882" t="s">
        <v>698</v>
      </c>
      <c r="E17" s="205">
        <v>0</v>
      </c>
      <c r="F17" s="205" t="s">
        <v>700</v>
      </c>
    </row>
    <row r="18" spans="3:12">
      <c r="C18" s="202"/>
      <c r="D18" s="882" t="s">
        <v>699</v>
      </c>
      <c r="E18" s="205">
        <v>0.13400000000000001</v>
      </c>
      <c r="F18" s="205" t="s">
        <v>701</v>
      </c>
    </row>
    <row r="19" spans="3:12" ht="12.75">
      <c r="C19" s="202"/>
      <c r="D19" s="883" t="s">
        <v>1334</v>
      </c>
      <c r="E19" s="886" t="s">
        <v>1335</v>
      </c>
      <c r="F19" s="205" t="s">
        <v>1199</v>
      </c>
    </row>
    <row r="20" spans="3:12">
      <c r="D20" s="882" t="s">
        <v>1198</v>
      </c>
      <c r="E20" s="205">
        <v>1.7</v>
      </c>
      <c r="F20" s="205" t="s">
        <v>1199</v>
      </c>
    </row>
    <row r="21" spans="3:12">
      <c r="D21" s="882" t="s">
        <v>1200</v>
      </c>
      <c r="E21" s="205">
        <v>1</v>
      </c>
      <c r="F21" s="205" t="s">
        <v>1199</v>
      </c>
    </row>
    <row r="22" spans="3:12">
      <c r="D22" s="882" t="s">
        <v>1201</v>
      </c>
      <c r="E22" s="205">
        <v>1.3</v>
      </c>
      <c r="F22" s="205" t="s">
        <v>1199</v>
      </c>
    </row>
    <row r="23" spans="3:12">
      <c r="D23" s="205"/>
      <c r="E23" s="205"/>
      <c r="F23" s="205"/>
    </row>
    <row r="25" spans="3:12">
      <c r="C25" s="203" t="s">
        <v>917</v>
      </c>
    </row>
    <row r="26" spans="3:12" ht="39">
      <c r="D26" s="210" t="s">
        <v>476</v>
      </c>
      <c r="E26" s="211"/>
      <c r="F26" s="776" t="s">
        <v>918</v>
      </c>
      <c r="G26" s="776" t="s">
        <v>919</v>
      </c>
      <c r="H26" s="776" t="s">
        <v>920</v>
      </c>
      <c r="I26" s="776" t="s">
        <v>921</v>
      </c>
      <c r="J26" s="776" t="s">
        <v>922</v>
      </c>
      <c r="K26" s="776" t="s">
        <v>923</v>
      </c>
      <c r="L26" s="205"/>
    </row>
    <row r="27" spans="3:12">
      <c r="D27" s="205" t="s">
        <v>473</v>
      </c>
      <c r="E27" s="777">
        <v>8.1314528267276087E-2</v>
      </c>
      <c r="F27" s="778">
        <f t="shared" ref="F27:K27" si="0">F29</f>
        <v>36.53</v>
      </c>
      <c r="G27" s="778">
        <f t="shared" si="0"/>
        <v>122.34</v>
      </c>
      <c r="H27" s="778">
        <f t="shared" si="0"/>
        <v>36.53</v>
      </c>
      <c r="I27" s="778">
        <f t="shared" si="0"/>
        <v>122.34</v>
      </c>
      <c r="J27" s="778">
        <f t="shared" si="0"/>
        <v>36.53</v>
      </c>
      <c r="K27" s="778">
        <f t="shared" si="0"/>
        <v>122.34</v>
      </c>
      <c r="L27" s="205"/>
    </row>
    <row r="28" spans="3:12">
      <c r="D28" s="205" t="s">
        <v>474</v>
      </c>
      <c r="E28" s="777">
        <v>0.44735446620318858</v>
      </c>
      <c r="F28" s="778">
        <v>10.52</v>
      </c>
      <c r="G28" s="778">
        <v>82.57</v>
      </c>
      <c r="H28" s="778">
        <v>10.52</v>
      </c>
      <c r="I28" s="778">
        <v>82.57</v>
      </c>
      <c r="J28" s="778">
        <v>10.52</v>
      </c>
      <c r="K28" s="778">
        <v>82.57</v>
      </c>
      <c r="L28" s="205"/>
    </row>
    <row r="29" spans="3:12">
      <c r="D29" s="205" t="s">
        <v>924</v>
      </c>
      <c r="E29" s="777">
        <v>0.38846767869258492</v>
      </c>
      <c r="F29" s="778">
        <v>36.53</v>
      </c>
      <c r="G29" s="778">
        <v>122.34</v>
      </c>
      <c r="H29" s="778">
        <v>36.53</v>
      </c>
      <c r="I29" s="778">
        <v>122.34</v>
      </c>
      <c r="J29" s="778">
        <v>36.53</v>
      </c>
      <c r="K29" s="778">
        <v>122.34</v>
      </c>
      <c r="L29" s="205"/>
    </row>
    <row r="30" spans="3:12">
      <c r="D30" s="205" t="s">
        <v>925</v>
      </c>
      <c r="E30" s="777">
        <v>8.2863326836950399E-2</v>
      </c>
      <c r="F30" s="778">
        <v>0</v>
      </c>
      <c r="G30" s="778">
        <v>56.02</v>
      </c>
      <c r="H30" s="778">
        <v>0</v>
      </c>
      <c r="I30" s="778">
        <v>56.02</v>
      </c>
      <c r="J30" s="778">
        <v>0</v>
      </c>
      <c r="K30" s="778">
        <v>56.02</v>
      </c>
      <c r="L30" s="205"/>
    </row>
    <row r="31" spans="3:12">
      <c r="D31" s="211" t="s">
        <v>475</v>
      </c>
      <c r="E31" s="779"/>
      <c r="F31" s="780"/>
      <c r="G31" s="780"/>
      <c r="H31" s="780"/>
      <c r="I31" s="780"/>
      <c r="J31" s="780"/>
      <c r="K31" s="780"/>
      <c r="L31" s="805"/>
    </row>
    <row r="32" spans="3:12">
      <c r="D32" s="781" t="s">
        <v>926</v>
      </c>
      <c r="E32" s="781"/>
      <c r="F32" s="782">
        <f t="shared" ref="F32:K32" si="1">$E27*F27+$E28*F28+$E29*F29+$E30*F30</f>
        <v>21.867313004701266</v>
      </c>
      <c r="G32" s="782">
        <f t="shared" si="1"/>
        <v>99.053217043272625</v>
      </c>
      <c r="H32" s="782">
        <f t="shared" si="1"/>
        <v>21.867313004701266</v>
      </c>
      <c r="I32" s="782">
        <f t="shared" si="1"/>
        <v>99.053217043272625</v>
      </c>
      <c r="J32" s="782">
        <f t="shared" si="1"/>
        <v>21.867313004701266</v>
      </c>
      <c r="K32" s="782">
        <f t="shared" si="1"/>
        <v>99.053217043272625</v>
      </c>
      <c r="L32" s="205"/>
    </row>
    <row r="33" spans="3:22">
      <c r="D33" s="205"/>
      <c r="E33" s="205"/>
      <c r="F33" s="205"/>
      <c r="G33" s="205"/>
      <c r="H33" s="205"/>
      <c r="I33" s="205"/>
      <c r="J33" s="205"/>
      <c r="K33" s="205"/>
      <c r="L33" s="205"/>
    </row>
    <row r="34" spans="3:22">
      <c r="C34" s="203" t="s">
        <v>530</v>
      </c>
      <c r="D34" s="205"/>
      <c r="E34" s="205"/>
      <c r="F34" s="205"/>
      <c r="G34" s="205"/>
      <c r="H34" s="205"/>
      <c r="I34" s="205"/>
      <c r="J34" s="205"/>
      <c r="K34" s="205"/>
      <c r="L34" s="205"/>
      <c r="M34" s="205"/>
      <c r="N34" s="205"/>
      <c r="O34" s="205"/>
      <c r="P34" s="205"/>
      <c r="Q34" s="205"/>
      <c r="R34" s="205"/>
      <c r="S34" s="205"/>
      <c r="T34" s="205"/>
      <c r="U34" s="205"/>
      <c r="V34" s="205"/>
    </row>
    <row r="35" spans="3:22">
      <c r="D35" s="212" t="s">
        <v>531</v>
      </c>
    </row>
    <row r="36" spans="3:22">
      <c r="D36" s="202" t="s">
        <v>407</v>
      </c>
    </row>
    <row r="37" spans="3:22">
      <c r="D37" s="202" t="s">
        <v>40</v>
      </c>
    </row>
    <row r="38" spans="3:22">
      <c r="D38" s="202" t="s">
        <v>404</v>
      </c>
    </row>
    <row r="39" spans="3:22">
      <c r="D39" s="202" t="s">
        <v>405</v>
      </c>
    </row>
    <row r="40" spans="3:22">
      <c r="D40" s="202" t="s">
        <v>406</v>
      </c>
    </row>
    <row r="41" spans="3:22" ht="12.75">
      <c r="C41" s="202"/>
      <c r="D41" s="202" t="s">
        <v>87</v>
      </c>
    </row>
    <row r="42" spans="3:22" ht="12.75">
      <c r="C42" s="202"/>
      <c r="D42" s="202" t="s">
        <v>200</v>
      </c>
    </row>
    <row r="43" spans="3:22" ht="12.75">
      <c r="C43" s="202"/>
      <c r="D43" s="202" t="s">
        <v>33</v>
      </c>
    </row>
    <row r="44" spans="3:22" ht="12.75">
      <c r="C44" s="202"/>
      <c r="D44" s="202" t="s">
        <v>712</v>
      </c>
      <c r="F44" s="202" t="s">
        <v>713</v>
      </c>
    </row>
    <row r="45" spans="3:22" ht="12.75">
      <c r="C45" s="202"/>
      <c r="D45" s="202" t="s">
        <v>696</v>
      </c>
      <c r="F45" s="202" t="s">
        <v>714</v>
      </c>
    </row>
    <row r="46" spans="3:22" ht="12.75">
      <c r="C46" s="202"/>
      <c r="D46" s="202" t="s">
        <v>34</v>
      </c>
    </row>
    <row r="47" spans="3:22" ht="12.75">
      <c r="C47" s="202"/>
      <c r="D47" s="202" t="s">
        <v>202</v>
      </c>
    </row>
    <row r="48" spans="3:22" ht="12.75">
      <c r="C48" s="202"/>
      <c r="D48" s="202" t="s">
        <v>203</v>
      </c>
    </row>
    <row r="49" spans="3:6" ht="12.75">
      <c r="C49" s="202"/>
      <c r="D49" s="202" t="s">
        <v>204</v>
      </c>
    </row>
    <row r="51" spans="3:6">
      <c r="C51" s="203" t="s">
        <v>10</v>
      </c>
    </row>
    <row r="52" spans="3:6">
      <c r="D52" s="202" t="s">
        <v>1243</v>
      </c>
    </row>
    <row r="53" spans="3:6">
      <c r="D53" s="202" t="s">
        <v>1244</v>
      </c>
    </row>
    <row r="54" spans="3:6">
      <c r="D54" s="202" t="s">
        <v>1245</v>
      </c>
    </row>
    <row r="55" spans="3:6">
      <c r="D55" s="206" t="s">
        <v>460</v>
      </c>
    </row>
    <row r="56" spans="3:6">
      <c r="D56" s="202" t="s">
        <v>1246</v>
      </c>
    </row>
    <row r="57" spans="3:6">
      <c r="D57" s="205" t="s">
        <v>89</v>
      </c>
    </row>
    <row r="58" spans="3:6">
      <c r="D58" s="205" t="s">
        <v>1247</v>
      </c>
    </row>
    <row r="59" spans="3:6">
      <c r="D59" s="206" t="s">
        <v>459</v>
      </c>
      <c r="E59" s="207"/>
      <c r="F59" s="207"/>
    </row>
    <row r="60" spans="3:6">
      <c r="D60" s="206" t="s">
        <v>86</v>
      </c>
      <c r="E60" s="207"/>
      <c r="F60" s="207"/>
    </row>
    <row r="61" spans="3:6">
      <c r="D61" s="202" t="s">
        <v>88</v>
      </c>
      <c r="E61" s="207"/>
      <c r="F61" s="207"/>
    </row>
    <row r="62" spans="3:6">
      <c r="D62" s="206" t="s">
        <v>545</v>
      </c>
      <c r="E62" s="207"/>
      <c r="F62" s="207"/>
    </row>
    <row r="63" spans="3:6">
      <c r="D63" s="206" t="s">
        <v>461</v>
      </c>
      <c r="E63" s="208"/>
      <c r="F63" s="207"/>
    </row>
    <row r="64" spans="3:6">
      <c r="D64" s="206" t="s">
        <v>1248</v>
      </c>
      <c r="E64" s="208"/>
      <c r="F64" s="207"/>
    </row>
    <row r="65" spans="3:6">
      <c r="D65" s="206"/>
      <c r="E65" s="208"/>
      <c r="F65" s="207"/>
    </row>
    <row r="66" spans="3:6">
      <c r="D66" s="206"/>
      <c r="E66" s="208"/>
      <c r="F66" s="207"/>
    </row>
    <row r="67" spans="3:6">
      <c r="E67" s="209"/>
    </row>
    <row r="69" spans="3:6">
      <c r="C69" s="203" t="s">
        <v>535</v>
      </c>
    </row>
    <row r="70" spans="3:6">
      <c r="D70" s="202" t="s">
        <v>462</v>
      </c>
    </row>
    <row r="71" spans="3:6">
      <c r="D71" s="202" t="s">
        <v>465</v>
      </c>
    </row>
    <row r="72" spans="3:6">
      <c r="D72" s="202" t="s">
        <v>463</v>
      </c>
    </row>
    <row r="73" spans="3:6">
      <c r="D73" s="202" t="s">
        <v>464</v>
      </c>
    </row>
    <row r="74" spans="3:6">
      <c r="D74" s="202" t="s">
        <v>870</v>
      </c>
    </row>
    <row r="76" spans="3:6">
      <c r="C76" s="203" t="s">
        <v>906</v>
      </c>
    </row>
    <row r="77" spans="3:6">
      <c r="D77" s="202" t="s">
        <v>615</v>
      </c>
    </row>
    <row r="78" spans="3:6">
      <c r="D78" s="202" t="s">
        <v>725</v>
      </c>
    </row>
    <row r="79" spans="3:6">
      <c r="D79" s="202" t="s">
        <v>843</v>
      </c>
    </row>
    <row r="80" spans="3:6">
      <c r="D80" s="202" t="s">
        <v>842</v>
      </c>
    </row>
    <row r="81" spans="4:4">
      <c r="D81" s="202" t="s">
        <v>748</v>
      </c>
    </row>
    <row r="82" spans="4:4" ht="15.75">
      <c r="D82" s="202" t="s">
        <v>909</v>
      </c>
    </row>
    <row r="83" spans="4:4">
      <c r="D83" s="202" t="s">
        <v>844</v>
      </c>
    </row>
    <row r="84" spans="4:4">
      <c r="D84" s="202" t="s">
        <v>845</v>
      </c>
    </row>
    <row r="85" spans="4:4">
      <c r="D85" s="202" t="s">
        <v>761</v>
      </c>
    </row>
    <row r="86" spans="4:4">
      <c r="D86" s="202" t="s">
        <v>765</v>
      </c>
    </row>
    <row r="87" spans="4:4">
      <c r="D87" s="202" t="s">
        <v>661</v>
      </c>
    </row>
    <row r="88" spans="4:4" ht="15.75">
      <c r="D88" s="202" t="s">
        <v>908</v>
      </c>
    </row>
    <row r="89" spans="4:4">
      <c r="D89" s="202" t="s">
        <v>841</v>
      </c>
    </row>
    <row r="90" spans="4:4">
      <c r="D90" s="202" t="s">
        <v>659</v>
      </c>
    </row>
    <row r="91" spans="4:4" ht="15.75">
      <c r="D91" s="202" t="s">
        <v>907</v>
      </c>
    </row>
    <row r="92" spans="4:4">
      <c r="D92" s="202" t="s">
        <v>882</v>
      </c>
    </row>
  </sheetData>
  <pageMargins left="0.7" right="0.7" top="1.3958333333333333" bottom="0.75" header="0.3" footer="0.3"/>
  <pageSetup orientation="portrait" r:id="rId1"/>
  <headerFooter>
    <oddHeader>&amp;RBoston Gas Company and Colonial Gas Company 
d/b/a National Grid 
D.P.U. 18-51
2017 Energy Efficiency Plan-Year Report
Appendix 2, BCR Model
&amp;P of &amp;N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O196"/>
  <sheetViews>
    <sheetView topLeftCell="A29" zoomScale="80" zoomScaleNormal="80" workbookViewId="0">
      <selection activeCell="B38" sqref="B38:O38"/>
    </sheetView>
  </sheetViews>
  <sheetFormatPr defaultColWidth="9.140625" defaultRowHeight="15" outlineLevelRow="1"/>
  <cols>
    <col min="1" max="1" width="2.7109375" style="728" customWidth="1"/>
    <col min="2" max="2" width="53.85546875" style="728" customWidth="1"/>
    <col min="3" max="3" width="15.7109375" style="728" customWidth="1"/>
    <col min="4" max="4" width="16.42578125" style="728" customWidth="1"/>
    <col min="5" max="5" width="15.140625" style="728" customWidth="1"/>
    <col min="6" max="6" width="15.28515625" style="727" customWidth="1"/>
    <col min="7" max="7" width="16.42578125" style="727" customWidth="1"/>
    <col min="8" max="8" width="35.28515625" style="728" bestFit="1" customWidth="1"/>
    <col min="9" max="9" width="16.42578125" style="728" customWidth="1"/>
    <col min="10" max="10" width="15.28515625" style="728" customWidth="1"/>
    <col min="11" max="11" width="16.42578125" style="728" customWidth="1"/>
    <col min="12" max="12" width="15.28515625" style="728" customWidth="1"/>
    <col min="13" max="13" width="16.42578125" style="728" customWidth="1"/>
    <col min="14" max="14" width="15.28515625" style="728" customWidth="1"/>
    <col min="15" max="15" width="16.42578125" style="728" customWidth="1"/>
    <col min="16" max="16384" width="9.140625" style="728"/>
  </cols>
  <sheetData>
    <row r="2" spans="2:15" ht="21">
      <c r="B2" s="725" t="s">
        <v>884</v>
      </c>
      <c r="O2" s="730"/>
    </row>
    <row r="3" spans="2:15" ht="18.75">
      <c r="B3" s="729" t="s">
        <v>895</v>
      </c>
      <c r="O3" s="733"/>
    </row>
    <row r="4" spans="2:15" ht="15.75">
      <c r="B4" s="732" t="str">
        <f>'Lookups-Assumptions'!D5</f>
        <v>National Grid</v>
      </c>
      <c r="O4" s="733" t="s">
        <v>37</v>
      </c>
    </row>
    <row r="5" spans="2:15">
      <c r="B5" s="734" t="s">
        <v>913</v>
      </c>
    </row>
    <row r="6" spans="2:15">
      <c r="B6" s="734"/>
    </row>
    <row r="7" spans="2:15" ht="15.75">
      <c r="B7" s="1189" t="str">
        <f>IF(C14="(Multiple Items)","2016-2018",C14)&amp;" Savings"</f>
        <v>2017 Savings</v>
      </c>
      <c r="C7" s="1189"/>
      <c r="D7" s="1189"/>
      <c r="E7" s="1189"/>
      <c r="F7" s="1189"/>
      <c r="G7" s="1189"/>
      <c r="H7" s="1189"/>
      <c r="I7" s="1189"/>
      <c r="J7" s="1189"/>
      <c r="K7" s="1189"/>
      <c r="L7" s="1189"/>
      <c r="M7" s="1189"/>
      <c r="N7" s="1189"/>
      <c r="O7" s="1189"/>
    </row>
    <row r="8" spans="2:15" ht="15" customHeight="1">
      <c r="B8" s="1190" t="s">
        <v>8</v>
      </c>
      <c r="C8" s="1191" t="s">
        <v>647</v>
      </c>
      <c r="D8" s="1192" t="s">
        <v>648</v>
      </c>
      <c r="E8" s="1192"/>
      <c r="F8" s="1192"/>
      <c r="G8" s="1192"/>
      <c r="H8" s="1193" t="s">
        <v>896</v>
      </c>
      <c r="I8" s="1193"/>
      <c r="J8" s="1193" t="s">
        <v>897</v>
      </c>
      <c r="K8" s="1193"/>
      <c r="L8" s="1193"/>
      <c r="M8" s="1193"/>
      <c r="N8" s="1193" t="s">
        <v>898</v>
      </c>
      <c r="O8" s="1193"/>
    </row>
    <row r="9" spans="2:15" ht="15" customHeight="1">
      <c r="B9" s="1190"/>
      <c r="C9" s="1191"/>
      <c r="D9" s="1193" t="s">
        <v>649</v>
      </c>
      <c r="E9" s="1193"/>
      <c r="F9" s="1193" t="s">
        <v>899</v>
      </c>
      <c r="G9" s="1193"/>
      <c r="H9" s="1188" t="s">
        <v>900</v>
      </c>
      <c r="I9" s="1188"/>
      <c r="J9" s="1188" t="s">
        <v>901</v>
      </c>
      <c r="K9" s="1188"/>
      <c r="L9" s="1188" t="s">
        <v>902</v>
      </c>
      <c r="M9" s="1188"/>
      <c r="N9" s="1188" t="s">
        <v>903</v>
      </c>
      <c r="O9" s="1188"/>
    </row>
    <row r="10" spans="2:15">
      <c r="B10" s="1190"/>
      <c r="C10" s="1191"/>
      <c r="D10" s="764" t="s">
        <v>93</v>
      </c>
      <c r="E10" s="764" t="s">
        <v>94</v>
      </c>
      <c r="F10" s="764" t="s">
        <v>650</v>
      </c>
      <c r="G10" s="764" t="s">
        <v>651</v>
      </c>
      <c r="H10" s="765" t="s">
        <v>650</v>
      </c>
      <c r="I10" s="765" t="s">
        <v>651</v>
      </c>
      <c r="J10" s="765" t="s">
        <v>650</v>
      </c>
      <c r="K10" s="765" t="s">
        <v>651</v>
      </c>
      <c r="L10" s="765" t="s">
        <v>650</v>
      </c>
      <c r="M10" s="765" t="s">
        <v>651</v>
      </c>
      <c r="N10" s="765" t="s">
        <v>650</v>
      </c>
      <c r="O10" s="765" t="s">
        <v>651</v>
      </c>
    </row>
    <row r="11" spans="2:15" hidden="1" outlineLevel="1">
      <c r="B11"/>
      <c r="C11"/>
      <c r="D11" s="766"/>
      <c r="E11" s="766"/>
      <c r="F11" s="766"/>
      <c r="G11" s="766"/>
      <c r="H11" s="767"/>
      <c r="I11" s="767"/>
      <c r="J11" s="767"/>
      <c r="K11" s="767"/>
    </row>
    <row r="12" spans="2:15" ht="15" hidden="1" customHeight="1" outlineLevel="1">
      <c r="B12" s="995" t="s">
        <v>619</v>
      </c>
      <c r="C12" s="996" t="s">
        <v>474</v>
      </c>
      <c r="D12" s="742"/>
      <c r="E12" s="742"/>
      <c r="I12" s="743"/>
      <c r="J12" s="743"/>
      <c r="K12" s="743"/>
    </row>
    <row r="13" spans="2:15" ht="15" hidden="1" customHeight="1" outlineLevel="1">
      <c r="B13" s="995" t="s">
        <v>620</v>
      </c>
      <c r="C13" s="996" t="s">
        <v>1387</v>
      </c>
      <c r="D13" s="743"/>
      <c r="E13" s="743"/>
    </row>
    <row r="14" spans="2:15" ht="15" hidden="1" customHeight="1" outlineLevel="1">
      <c r="B14" s="995" t="s">
        <v>280</v>
      </c>
      <c r="C14" s="997">
        <v>2017</v>
      </c>
      <c r="D14" s="743"/>
      <c r="E14" s="743"/>
    </row>
    <row r="15" spans="2:15" ht="15" hidden="1" customHeight="1" outlineLevel="1">
      <c r="B15" s="743"/>
      <c r="C15" s="743"/>
      <c r="D15" s="743"/>
      <c r="E15" s="743"/>
    </row>
    <row r="16" spans="2:15" s="744" customFormat="1" ht="26.25" hidden="1" outlineLevel="1">
      <c r="B16" s="996"/>
      <c r="C16" s="1004" t="s">
        <v>652</v>
      </c>
      <c r="D16" s="996" t="s">
        <v>1258</v>
      </c>
      <c r="E16" s="996" t="s">
        <v>1259</v>
      </c>
      <c r="F16" s="996" t="s">
        <v>1233</v>
      </c>
      <c r="G16" s="996" t="s">
        <v>1249</v>
      </c>
      <c r="H16" s="996" t="s">
        <v>1235</v>
      </c>
      <c r="I16" s="996" t="s">
        <v>1250</v>
      </c>
      <c r="J16" s="996" t="s">
        <v>1234</v>
      </c>
      <c r="K16" s="996" t="s">
        <v>1251</v>
      </c>
      <c r="L16" s="996" t="s">
        <v>1260</v>
      </c>
      <c r="M16" s="996" t="s">
        <v>1261</v>
      </c>
      <c r="N16" s="996" t="s">
        <v>1262</v>
      </c>
      <c r="O16" s="996" t="s">
        <v>1263</v>
      </c>
    </row>
    <row r="17" spans="2:15" s="746" customFormat="1" collapsed="1">
      <c r="B17" s="998" t="s">
        <v>239</v>
      </c>
      <c r="C17" s="999">
        <v>462046</v>
      </c>
      <c r="D17" s="999">
        <v>5194.5607543999213</v>
      </c>
      <c r="E17" s="999">
        <v>1741.6556151050524</v>
      </c>
      <c r="F17" s="999">
        <v>9536.5763427149977</v>
      </c>
      <c r="G17" s="999">
        <v>112321.29862377502</v>
      </c>
      <c r="H17" s="999">
        <v>9846815.3672700003</v>
      </c>
      <c r="I17" s="999">
        <v>100940952.82345</v>
      </c>
      <c r="J17" s="999">
        <v>0</v>
      </c>
      <c r="K17" s="999">
        <v>0</v>
      </c>
      <c r="L17" s="999">
        <v>0</v>
      </c>
      <c r="M17" s="999">
        <v>0</v>
      </c>
      <c r="N17" s="999">
        <v>32887361.650000002</v>
      </c>
      <c r="O17" s="999">
        <v>230211531.54999998</v>
      </c>
    </row>
    <row r="18" spans="2:15" s="746" customFormat="1">
      <c r="B18" s="1000" t="s">
        <v>462</v>
      </c>
      <c r="C18" s="1005">
        <v>440950</v>
      </c>
      <c r="D18" s="1005">
        <v>2202.6487543999206</v>
      </c>
      <c r="E18" s="1005">
        <v>1743.5015435897476</v>
      </c>
      <c r="F18" s="1005">
        <v>8193.0263427149985</v>
      </c>
      <c r="G18" s="1005">
        <v>92185.338623775009</v>
      </c>
      <c r="H18" s="1005">
        <v>7613753.6272699991</v>
      </c>
      <c r="I18" s="1005">
        <v>64735734.723449998</v>
      </c>
      <c r="J18" s="1005">
        <v>0</v>
      </c>
      <c r="K18" s="1005">
        <v>0</v>
      </c>
      <c r="L18" s="1005">
        <v>0</v>
      </c>
      <c r="M18" s="1005">
        <v>0</v>
      </c>
      <c r="N18" s="1005">
        <v>31494341.300000001</v>
      </c>
      <c r="O18" s="1005">
        <v>220460389.09999999</v>
      </c>
    </row>
    <row r="19" spans="2:15" s="746" customFormat="1">
      <c r="B19" s="1002" t="s">
        <v>615</v>
      </c>
      <c r="C19" s="1001">
        <v>2566</v>
      </c>
      <c r="D19" s="1001">
        <v>168.54821279992063</v>
      </c>
      <c r="E19" s="1001">
        <v>177.97821398974747</v>
      </c>
      <c r="F19" s="1001">
        <v>773.02881071499996</v>
      </c>
      <c r="G19" s="1001">
        <v>10674.436603775001</v>
      </c>
      <c r="H19" s="1001">
        <v>793495.38645999972</v>
      </c>
      <c r="I19" s="1001">
        <v>17055331.865499996</v>
      </c>
      <c r="J19" s="1001">
        <v>0</v>
      </c>
      <c r="K19" s="1001">
        <v>0</v>
      </c>
      <c r="L19" s="1001">
        <v>0</v>
      </c>
      <c r="M19" s="1001">
        <v>0</v>
      </c>
      <c r="N19" s="1001">
        <v>0</v>
      </c>
      <c r="O19" s="1001">
        <v>0</v>
      </c>
    </row>
    <row r="20" spans="2:15" s="746" customFormat="1">
      <c r="B20" s="1002" t="s">
        <v>725</v>
      </c>
      <c r="C20" s="1001">
        <v>3927</v>
      </c>
      <c r="D20" s="1001">
        <v>0.155</v>
      </c>
      <c r="E20" s="1001">
        <v>0</v>
      </c>
      <c r="F20" s="1001">
        <v>7.4799999999999991E-2</v>
      </c>
      <c r="G20" s="1001">
        <v>1.1219999999999999</v>
      </c>
      <c r="H20" s="1001">
        <v>253359.95866000006</v>
      </c>
      <c r="I20" s="1001">
        <v>3777760.0040000002</v>
      </c>
      <c r="J20" s="1001">
        <v>0</v>
      </c>
      <c r="K20" s="1001">
        <v>0</v>
      </c>
      <c r="L20" s="1001">
        <v>0</v>
      </c>
      <c r="M20" s="1001">
        <v>0</v>
      </c>
      <c r="N20" s="1001">
        <v>4887604.3</v>
      </c>
      <c r="O20" s="1001">
        <v>34213230.100000001</v>
      </c>
    </row>
    <row r="21" spans="2:15" s="746" customFormat="1">
      <c r="B21" s="1002" t="s">
        <v>741</v>
      </c>
      <c r="C21" s="1001">
        <v>7287</v>
      </c>
      <c r="D21" s="1001">
        <v>2033.9455415999998</v>
      </c>
      <c r="E21" s="1001">
        <v>1565.5233296000001</v>
      </c>
      <c r="F21" s="1001">
        <v>7419.9227319999991</v>
      </c>
      <c r="G21" s="1001">
        <v>81509.780020000006</v>
      </c>
      <c r="H21" s="1001">
        <v>2120412.88215</v>
      </c>
      <c r="I21" s="1001">
        <v>39456157.453950003</v>
      </c>
      <c r="J21" s="1001">
        <v>0</v>
      </c>
      <c r="K21" s="1001">
        <v>0</v>
      </c>
      <c r="L21" s="1001">
        <v>0</v>
      </c>
      <c r="M21" s="1001">
        <v>0</v>
      </c>
      <c r="N21" s="1001">
        <v>26606737</v>
      </c>
      <c r="O21" s="1001">
        <v>186247159</v>
      </c>
    </row>
    <row r="22" spans="2:15" s="746" customFormat="1">
      <c r="B22" s="1002" t="s">
        <v>842</v>
      </c>
      <c r="C22" s="1001"/>
      <c r="D22" s="1001">
        <v>0</v>
      </c>
      <c r="E22" s="1001">
        <v>0</v>
      </c>
      <c r="F22" s="1001">
        <v>0</v>
      </c>
      <c r="G22" s="1001">
        <v>0</v>
      </c>
      <c r="H22" s="1001">
        <v>0</v>
      </c>
      <c r="I22" s="1001">
        <v>0</v>
      </c>
      <c r="J22" s="1001">
        <v>0</v>
      </c>
      <c r="K22" s="1001">
        <v>0</v>
      </c>
      <c r="L22" s="1001">
        <v>0</v>
      </c>
      <c r="M22" s="1001">
        <v>0</v>
      </c>
      <c r="N22" s="1001">
        <v>0</v>
      </c>
      <c r="O22" s="1001">
        <v>0</v>
      </c>
    </row>
    <row r="23" spans="2:15" s="746" customFormat="1">
      <c r="B23" s="1002" t="s">
        <v>748</v>
      </c>
      <c r="C23" s="1001">
        <v>427170</v>
      </c>
      <c r="D23" s="1001">
        <v>0</v>
      </c>
      <c r="E23" s="1001">
        <v>0</v>
      </c>
      <c r="F23" s="1001">
        <v>0</v>
      </c>
      <c r="G23" s="1001">
        <v>0</v>
      </c>
      <c r="H23" s="1001">
        <v>4446485.3999999994</v>
      </c>
      <c r="I23" s="1001">
        <v>4446485.3999999994</v>
      </c>
      <c r="J23" s="1001">
        <v>0</v>
      </c>
      <c r="K23" s="1001">
        <v>0</v>
      </c>
      <c r="L23" s="1001">
        <v>0</v>
      </c>
      <c r="M23" s="1001">
        <v>0</v>
      </c>
      <c r="N23" s="1001">
        <v>0</v>
      </c>
      <c r="O23" s="1001">
        <v>0</v>
      </c>
    </row>
    <row r="24" spans="2:15" s="746" customFormat="1">
      <c r="B24" s="1000" t="s">
        <v>465</v>
      </c>
      <c r="C24" s="1005">
        <v>21096</v>
      </c>
      <c r="D24" s="1005">
        <v>2991.9120000000003</v>
      </c>
      <c r="E24" s="1005">
        <v>-1.845928484695089</v>
      </c>
      <c r="F24" s="1005">
        <v>1343.55</v>
      </c>
      <c r="G24" s="1005">
        <v>20135.96</v>
      </c>
      <c r="H24" s="1005">
        <v>2233061.7400000002</v>
      </c>
      <c r="I24" s="1005">
        <v>36205218.100000009</v>
      </c>
      <c r="J24" s="1005">
        <v>0</v>
      </c>
      <c r="K24" s="1005">
        <v>0</v>
      </c>
      <c r="L24" s="1005">
        <v>0</v>
      </c>
      <c r="M24" s="1005">
        <v>0</v>
      </c>
      <c r="N24" s="1005">
        <v>1393020.3499999999</v>
      </c>
      <c r="O24" s="1005">
        <v>9751142.4499999993</v>
      </c>
    </row>
    <row r="25" spans="2:15" s="746" customFormat="1">
      <c r="B25" s="1002" t="s">
        <v>844</v>
      </c>
      <c r="C25" s="1001"/>
      <c r="D25" s="1001"/>
      <c r="E25" s="1001"/>
      <c r="F25" s="1001"/>
      <c r="G25" s="1001"/>
      <c r="H25" s="1001"/>
      <c r="I25" s="1001">
        <v>0</v>
      </c>
      <c r="J25" s="1001"/>
      <c r="K25" s="1001"/>
      <c r="L25" s="1001"/>
      <c r="M25" s="1001"/>
      <c r="N25" s="1001"/>
      <c r="O25" s="1001"/>
    </row>
    <row r="26" spans="2:15" s="746" customFormat="1">
      <c r="B26" s="1002" t="s">
        <v>845</v>
      </c>
      <c r="C26" s="1001"/>
      <c r="D26" s="1001"/>
      <c r="E26" s="1001"/>
      <c r="F26" s="1001"/>
      <c r="G26" s="1001"/>
      <c r="H26" s="1001"/>
      <c r="I26" s="1001">
        <v>0</v>
      </c>
      <c r="J26" s="1001"/>
      <c r="K26" s="1001"/>
      <c r="L26" s="1001"/>
      <c r="M26" s="1001"/>
      <c r="N26" s="1001"/>
      <c r="O26" s="1001"/>
    </row>
    <row r="27" spans="2:15" s="746" customFormat="1">
      <c r="B27" s="1002" t="s">
        <v>910</v>
      </c>
      <c r="C27" s="1001">
        <v>21096</v>
      </c>
      <c r="D27" s="1001">
        <v>2991.9120000000003</v>
      </c>
      <c r="E27" s="1001">
        <v>-1.845928484695089</v>
      </c>
      <c r="F27" s="1001">
        <v>1343.55</v>
      </c>
      <c r="G27" s="1001">
        <v>20135.96</v>
      </c>
      <c r="H27" s="1001">
        <v>2233061.7400000002</v>
      </c>
      <c r="I27" s="1001">
        <v>36205218.100000009</v>
      </c>
      <c r="J27" s="1001">
        <v>0</v>
      </c>
      <c r="K27" s="1001">
        <v>0</v>
      </c>
      <c r="L27" s="1001">
        <v>0</v>
      </c>
      <c r="M27" s="1001">
        <v>0</v>
      </c>
      <c r="N27" s="1001">
        <v>1393020.3499999999</v>
      </c>
      <c r="O27" s="1001">
        <v>9751142.4499999993</v>
      </c>
    </row>
    <row r="28" spans="2:15" s="746" customFormat="1">
      <c r="B28" s="1000" t="s">
        <v>846</v>
      </c>
      <c r="C28" s="1005"/>
      <c r="D28" s="1005"/>
      <c r="E28" s="1005"/>
      <c r="F28" s="1005"/>
      <c r="G28" s="1005"/>
      <c r="H28" s="1005"/>
      <c r="I28" s="1005"/>
      <c r="J28" s="1005"/>
      <c r="K28" s="1005">
        <v>0</v>
      </c>
      <c r="L28" s="1005"/>
      <c r="M28" s="1005">
        <v>0</v>
      </c>
      <c r="N28" s="1005"/>
      <c r="O28" s="1005"/>
    </row>
    <row r="29" spans="2:15" s="746" customFormat="1">
      <c r="B29" s="1002" t="s">
        <v>847</v>
      </c>
      <c r="C29" s="1001"/>
      <c r="D29" s="1001"/>
      <c r="E29" s="1001"/>
      <c r="F29" s="1001"/>
      <c r="G29" s="1001"/>
      <c r="H29" s="1001"/>
      <c r="I29" s="1001"/>
      <c r="J29" s="1001"/>
      <c r="K29" s="1001">
        <v>0</v>
      </c>
      <c r="L29" s="1001"/>
      <c r="M29" s="1001">
        <v>0</v>
      </c>
      <c r="N29" s="1001"/>
      <c r="O29" s="1001"/>
    </row>
    <row r="30" spans="2:15" s="746" customFormat="1">
      <c r="B30" s="1002" t="s">
        <v>848</v>
      </c>
      <c r="C30" s="1001"/>
      <c r="D30" s="1001"/>
      <c r="E30" s="1001"/>
      <c r="F30" s="1001"/>
      <c r="G30" s="1001"/>
      <c r="H30" s="1001"/>
      <c r="I30" s="1001"/>
      <c r="J30" s="1001"/>
      <c r="K30" s="1001">
        <v>0</v>
      </c>
      <c r="L30" s="1001"/>
      <c r="M30" s="1001">
        <v>0</v>
      </c>
      <c r="N30" s="1001"/>
      <c r="O30" s="1001"/>
    </row>
    <row r="31" spans="2:15" s="746" customFormat="1">
      <c r="B31" s="1002" t="s">
        <v>849</v>
      </c>
      <c r="C31" s="1001"/>
      <c r="D31" s="1001"/>
      <c r="E31" s="1001"/>
      <c r="F31" s="1001"/>
      <c r="G31" s="1001"/>
      <c r="H31" s="1001"/>
      <c r="I31" s="1001"/>
      <c r="J31" s="1001"/>
      <c r="K31" s="1001">
        <v>0</v>
      </c>
      <c r="L31" s="1001"/>
      <c r="M31" s="1001">
        <v>0</v>
      </c>
      <c r="N31" s="1001"/>
      <c r="O31" s="1001"/>
    </row>
    <row r="32" spans="2:15" s="746" customFormat="1">
      <c r="B32" s="1002" t="s">
        <v>850</v>
      </c>
      <c r="C32" s="1001"/>
      <c r="D32" s="1001"/>
      <c r="E32" s="1001"/>
      <c r="F32" s="1001"/>
      <c r="G32" s="1001"/>
      <c r="H32" s="1001"/>
      <c r="I32" s="1001"/>
      <c r="J32" s="1001"/>
      <c r="K32" s="1001">
        <v>0</v>
      </c>
      <c r="L32" s="1001"/>
      <c r="M32" s="1001">
        <v>0</v>
      </c>
      <c r="N32" s="1001"/>
      <c r="O32" s="1001"/>
    </row>
    <row r="33" spans="2:15" s="746" customFormat="1">
      <c r="B33" s="1002" t="s">
        <v>851</v>
      </c>
      <c r="C33" s="1001"/>
      <c r="D33" s="1001"/>
      <c r="E33" s="1001"/>
      <c r="F33" s="1001"/>
      <c r="G33" s="1001"/>
      <c r="H33" s="1001"/>
      <c r="I33" s="1001"/>
      <c r="J33" s="1001"/>
      <c r="K33" s="1001">
        <v>0</v>
      </c>
      <c r="L33" s="1001"/>
      <c r="M33" s="1001">
        <v>0</v>
      </c>
      <c r="N33" s="1001"/>
      <c r="O33" s="1001"/>
    </row>
    <row r="34" spans="2:15" s="746" customFormat="1">
      <c r="B34" s="1002" t="s">
        <v>852</v>
      </c>
      <c r="C34" s="1001"/>
      <c r="D34" s="1001"/>
      <c r="E34" s="1001"/>
      <c r="F34" s="1001"/>
      <c r="G34" s="1001"/>
      <c r="H34" s="1001"/>
      <c r="I34" s="1001"/>
      <c r="J34" s="1001"/>
      <c r="K34" s="1001">
        <v>0</v>
      </c>
      <c r="L34" s="1001"/>
      <c r="M34" s="1001">
        <v>0</v>
      </c>
      <c r="N34" s="1001"/>
      <c r="O34" s="1001"/>
    </row>
    <row r="35" spans="2:15" s="746" customFormat="1">
      <c r="B35" s="1002" t="s">
        <v>853</v>
      </c>
      <c r="C35" s="1001"/>
      <c r="D35" s="1001"/>
      <c r="E35" s="1001"/>
      <c r="F35" s="1001"/>
      <c r="G35" s="1001"/>
      <c r="H35" s="1001"/>
      <c r="I35" s="1001"/>
      <c r="J35" s="1001"/>
      <c r="K35" s="1001">
        <v>0</v>
      </c>
      <c r="L35" s="1001"/>
      <c r="M35" s="1001">
        <v>0</v>
      </c>
      <c r="N35" s="1001"/>
      <c r="O35" s="1001"/>
    </row>
    <row r="36" spans="2:15" s="746" customFormat="1">
      <c r="B36" s="1002" t="s">
        <v>854</v>
      </c>
      <c r="C36" s="1001"/>
      <c r="D36" s="1001"/>
      <c r="E36" s="1001"/>
      <c r="F36" s="1001"/>
      <c r="G36" s="1001"/>
      <c r="H36" s="1001"/>
      <c r="I36" s="1001"/>
      <c r="J36" s="1001"/>
      <c r="K36" s="1001">
        <v>0</v>
      </c>
      <c r="L36" s="1001"/>
      <c r="M36" s="1001">
        <v>0</v>
      </c>
      <c r="N36" s="1001"/>
      <c r="O36" s="1001"/>
    </row>
    <row r="37" spans="2:15" s="746" customFormat="1">
      <c r="B37" s="1002" t="s">
        <v>855</v>
      </c>
      <c r="C37" s="1001"/>
      <c r="D37" s="1001"/>
      <c r="E37" s="1001"/>
      <c r="F37" s="1001"/>
      <c r="G37" s="1001"/>
      <c r="H37" s="1001"/>
      <c r="I37" s="1001"/>
      <c r="J37" s="1001"/>
      <c r="K37" s="1001">
        <v>0</v>
      </c>
      <c r="L37" s="1001"/>
      <c r="M37" s="1001">
        <v>0</v>
      </c>
      <c r="N37" s="1001"/>
      <c r="O37" s="1001"/>
    </row>
    <row r="38" spans="2:15" s="746" customFormat="1">
      <c r="B38" s="998" t="s">
        <v>1391</v>
      </c>
      <c r="C38" s="999">
        <v>6795</v>
      </c>
      <c r="D38" s="999">
        <v>345.65</v>
      </c>
      <c r="E38" s="999">
        <v>165.85599999999999</v>
      </c>
      <c r="F38" s="999">
        <v>409.87599999999998</v>
      </c>
      <c r="G38" s="999">
        <v>8144.8879999999999</v>
      </c>
      <c r="H38" s="999">
        <v>1287768.1687200004</v>
      </c>
      <c r="I38" s="999">
        <v>25532333.725259997</v>
      </c>
      <c r="J38" s="999">
        <v>0</v>
      </c>
      <c r="K38" s="999">
        <v>0</v>
      </c>
      <c r="L38" s="999">
        <v>0</v>
      </c>
      <c r="M38" s="999">
        <v>0</v>
      </c>
      <c r="N38" s="999">
        <v>1925166</v>
      </c>
      <c r="O38" s="999">
        <v>13476162</v>
      </c>
    </row>
    <row r="39" spans="2:15" s="746" customFormat="1">
      <c r="B39" s="1000" t="s">
        <v>463</v>
      </c>
      <c r="C39" s="1005">
        <v>6795</v>
      </c>
      <c r="D39" s="1005">
        <v>345.65</v>
      </c>
      <c r="E39" s="1005">
        <v>165.85599999999999</v>
      </c>
      <c r="F39" s="1005">
        <v>409.87599999999998</v>
      </c>
      <c r="G39" s="1005">
        <v>8144.8879999999999</v>
      </c>
      <c r="H39" s="1005">
        <v>1287768.1687200004</v>
      </c>
      <c r="I39" s="1005">
        <v>25532333.725259997</v>
      </c>
      <c r="J39" s="1005">
        <v>0</v>
      </c>
      <c r="K39" s="1005">
        <v>0</v>
      </c>
      <c r="L39" s="1005">
        <v>0</v>
      </c>
      <c r="M39" s="1005">
        <v>0</v>
      </c>
      <c r="N39" s="1005">
        <v>1925166</v>
      </c>
      <c r="O39" s="1005">
        <v>13476162</v>
      </c>
    </row>
    <row r="40" spans="2:15" s="746" customFormat="1">
      <c r="B40" s="1002" t="s">
        <v>761</v>
      </c>
      <c r="C40" s="1001">
        <v>1470</v>
      </c>
      <c r="D40" s="1001">
        <v>345.65</v>
      </c>
      <c r="E40" s="1001">
        <v>165.85599999999999</v>
      </c>
      <c r="F40" s="1001">
        <v>409.87599999999998</v>
      </c>
      <c r="G40" s="1001">
        <v>8144.8879999999999</v>
      </c>
      <c r="H40" s="1001">
        <v>394174</v>
      </c>
      <c r="I40" s="1001">
        <v>7820138</v>
      </c>
      <c r="J40" s="1001">
        <v>0</v>
      </c>
      <c r="K40" s="1001">
        <v>0</v>
      </c>
      <c r="L40" s="1001">
        <v>0</v>
      </c>
      <c r="M40" s="1001">
        <v>0</v>
      </c>
      <c r="N40" s="1001">
        <v>0</v>
      </c>
      <c r="O40" s="1001">
        <v>0</v>
      </c>
    </row>
    <row r="41" spans="2:15" s="746" customFormat="1">
      <c r="B41" s="1002" t="s">
        <v>765</v>
      </c>
      <c r="C41" s="1001">
        <v>5325</v>
      </c>
      <c r="D41" s="1001">
        <v>0</v>
      </c>
      <c r="E41" s="1001">
        <v>0</v>
      </c>
      <c r="F41" s="1001">
        <v>0</v>
      </c>
      <c r="G41" s="1001">
        <v>0</v>
      </c>
      <c r="H41" s="1001">
        <v>893594.16872000031</v>
      </c>
      <c r="I41" s="1001">
        <v>17712195.725259997</v>
      </c>
      <c r="J41" s="1001">
        <v>0</v>
      </c>
      <c r="K41" s="1001">
        <v>0</v>
      </c>
      <c r="L41" s="1001">
        <v>0</v>
      </c>
      <c r="M41" s="1001">
        <v>0</v>
      </c>
      <c r="N41" s="1001">
        <v>1925166</v>
      </c>
      <c r="O41" s="1001">
        <v>13476162</v>
      </c>
    </row>
    <row r="42" spans="2:15" s="746" customFormat="1">
      <c r="B42" s="1000" t="s">
        <v>856</v>
      </c>
      <c r="C42" s="1005"/>
      <c r="D42" s="1005"/>
      <c r="E42" s="1005"/>
      <c r="F42" s="1005"/>
      <c r="G42" s="1005"/>
      <c r="H42" s="1005"/>
      <c r="I42" s="1005"/>
      <c r="J42" s="1005"/>
      <c r="K42" s="1005">
        <v>0</v>
      </c>
      <c r="L42" s="1005"/>
      <c r="M42" s="1005">
        <v>0</v>
      </c>
      <c r="N42" s="1005"/>
      <c r="O42" s="1005"/>
    </row>
    <row r="43" spans="2:15" s="746" customFormat="1">
      <c r="B43" s="1002" t="s">
        <v>857</v>
      </c>
      <c r="C43" s="1001"/>
      <c r="D43" s="1001"/>
      <c r="E43" s="1001"/>
      <c r="F43" s="1001"/>
      <c r="G43" s="1001"/>
      <c r="H43" s="1001"/>
      <c r="I43" s="1001"/>
      <c r="J43" s="1001"/>
      <c r="K43" s="1001">
        <v>0</v>
      </c>
      <c r="L43" s="1001"/>
      <c r="M43" s="1001">
        <v>0</v>
      </c>
      <c r="N43" s="1001"/>
      <c r="O43" s="1001"/>
    </row>
    <row r="44" spans="2:15" s="746" customFormat="1">
      <c r="B44" s="1002" t="s">
        <v>858</v>
      </c>
      <c r="C44" s="1001"/>
      <c r="D44" s="1001"/>
      <c r="E44" s="1001"/>
      <c r="F44" s="1001"/>
      <c r="G44" s="1001"/>
      <c r="H44" s="1001"/>
      <c r="I44" s="1001"/>
      <c r="J44" s="1001"/>
      <c r="K44" s="1001">
        <v>0</v>
      </c>
      <c r="L44" s="1001"/>
      <c r="M44" s="1001">
        <v>0</v>
      </c>
      <c r="N44" s="1001"/>
      <c r="O44" s="1001"/>
    </row>
    <row r="45" spans="2:15" s="746" customFormat="1">
      <c r="B45" s="1002" t="s">
        <v>859</v>
      </c>
      <c r="C45" s="1001"/>
      <c r="D45" s="1001"/>
      <c r="E45" s="1001"/>
      <c r="F45" s="1001"/>
      <c r="G45" s="1001"/>
      <c r="H45" s="1001"/>
      <c r="I45" s="1001"/>
      <c r="J45" s="1001"/>
      <c r="K45" s="1001">
        <v>0</v>
      </c>
      <c r="L45" s="1001"/>
      <c r="M45" s="1001">
        <v>0</v>
      </c>
      <c r="N45" s="1001"/>
      <c r="O45" s="1001"/>
    </row>
    <row r="46" spans="2:15" s="746" customFormat="1">
      <c r="B46" s="1002" t="s">
        <v>860</v>
      </c>
      <c r="C46" s="1001"/>
      <c r="D46" s="1001"/>
      <c r="E46" s="1001"/>
      <c r="F46" s="1001"/>
      <c r="G46" s="1001"/>
      <c r="H46" s="1001"/>
      <c r="I46" s="1001"/>
      <c r="J46" s="1001"/>
      <c r="K46" s="1001">
        <v>0</v>
      </c>
      <c r="L46" s="1001"/>
      <c r="M46" s="1001">
        <v>0</v>
      </c>
      <c r="N46" s="1001"/>
      <c r="O46" s="1001"/>
    </row>
    <row r="47" spans="2:15" s="746" customFormat="1">
      <c r="B47" s="1002" t="s">
        <v>861</v>
      </c>
      <c r="C47" s="1001"/>
      <c r="D47" s="1001"/>
      <c r="E47" s="1001"/>
      <c r="F47" s="1001"/>
      <c r="G47" s="1001"/>
      <c r="H47" s="1001"/>
      <c r="I47" s="1001"/>
      <c r="J47" s="1001"/>
      <c r="K47" s="1001">
        <v>0</v>
      </c>
      <c r="L47" s="1001"/>
      <c r="M47" s="1001">
        <v>0</v>
      </c>
      <c r="N47" s="1001"/>
      <c r="O47" s="1001"/>
    </row>
    <row r="48" spans="2:15" s="746" customFormat="1">
      <c r="B48" s="998" t="s">
        <v>443</v>
      </c>
      <c r="C48" s="999">
        <v>2060</v>
      </c>
      <c r="D48" s="999">
        <v>0</v>
      </c>
      <c r="E48" s="999">
        <v>0</v>
      </c>
      <c r="F48" s="999">
        <v>0</v>
      </c>
      <c r="G48" s="999">
        <v>0</v>
      </c>
      <c r="H48" s="999">
        <v>5293782.434557775</v>
      </c>
      <c r="I48" s="999">
        <v>80365976.178533778</v>
      </c>
      <c r="J48" s="999">
        <v>0</v>
      </c>
      <c r="K48" s="999">
        <v>0</v>
      </c>
      <c r="L48" s="999">
        <v>0</v>
      </c>
      <c r="M48" s="999">
        <v>0</v>
      </c>
      <c r="N48" s="999">
        <v>109467217.02000003</v>
      </c>
      <c r="O48" s="999">
        <v>545008812.78000009</v>
      </c>
    </row>
    <row r="49" spans="2:15" s="746" customFormat="1">
      <c r="B49" s="1000" t="s">
        <v>464</v>
      </c>
      <c r="C49" s="1005">
        <v>1329</v>
      </c>
      <c r="D49" s="1005">
        <v>0</v>
      </c>
      <c r="E49" s="1005">
        <v>0</v>
      </c>
      <c r="F49" s="1005">
        <v>0</v>
      </c>
      <c r="G49" s="1005">
        <v>0</v>
      </c>
      <c r="H49" s="1005">
        <v>2603297.799219125</v>
      </c>
      <c r="I49" s="1005">
        <v>45120412.990127474</v>
      </c>
      <c r="J49" s="1005">
        <v>0</v>
      </c>
      <c r="K49" s="1005">
        <v>0</v>
      </c>
      <c r="L49" s="1005">
        <v>0</v>
      </c>
      <c r="M49" s="1005">
        <v>0</v>
      </c>
      <c r="N49" s="1005">
        <v>718863.12000000011</v>
      </c>
      <c r="O49" s="1005">
        <v>4313178.7200000007</v>
      </c>
    </row>
    <row r="50" spans="2:15" s="746" customFormat="1">
      <c r="B50" s="1002" t="s">
        <v>661</v>
      </c>
      <c r="C50" s="1001">
        <v>59</v>
      </c>
      <c r="D50" s="1001">
        <v>0</v>
      </c>
      <c r="E50" s="1001">
        <v>0</v>
      </c>
      <c r="F50" s="1001">
        <v>0</v>
      </c>
      <c r="G50" s="1001">
        <v>0</v>
      </c>
      <c r="H50" s="1001">
        <v>1465836.289899</v>
      </c>
      <c r="I50" s="1001">
        <v>25575881.526995603</v>
      </c>
      <c r="J50" s="1001">
        <v>0</v>
      </c>
      <c r="K50" s="1001">
        <v>0</v>
      </c>
      <c r="L50" s="1001">
        <v>0</v>
      </c>
      <c r="M50" s="1001">
        <v>0</v>
      </c>
      <c r="N50" s="1001">
        <v>0</v>
      </c>
      <c r="O50" s="1001">
        <v>0</v>
      </c>
    </row>
    <row r="51" spans="2:15" s="746" customFormat="1">
      <c r="B51" s="1002" t="s">
        <v>911</v>
      </c>
      <c r="C51" s="1001">
        <v>1270</v>
      </c>
      <c r="D51" s="1001">
        <v>0</v>
      </c>
      <c r="E51" s="1001">
        <v>0</v>
      </c>
      <c r="F51" s="1001">
        <v>0</v>
      </c>
      <c r="G51" s="1001">
        <v>0</v>
      </c>
      <c r="H51" s="1001">
        <v>1137461.5093201248</v>
      </c>
      <c r="I51" s="1001">
        <v>19544531.463131875</v>
      </c>
      <c r="J51" s="1001">
        <v>0</v>
      </c>
      <c r="K51" s="1001">
        <v>0</v>
      </c>
      <c r="L51" s="1001">
        <v>0</v>
      </c>
      <c r="M51" s="1001">
        <v>0</v>
      </c>
      <c r="N51" s="1001">
        <v>718863.12000000011</v>
      </c>
      <c r="O51" s="1001">
        <v>4313178.7200000007</v>
      </c>
    </row>
    <row r="52" spans="2:15" s="746" customFormat="1">
      <c r="B52" s="1000" t="s">
        <v>870</v>
      </c>
      <c r="C52" s="1005">
        <v>731</v>
      </c>
      <c r="D52" s="1005">
        <v>0</v>
      </c>
      <c r="E52" s="1005">
        <v>0</v>
      </c>
      <c r="F52" s="1005">
        <v>0</v>
      </c>
      <c r="G52" s="1005">
        <v>0</v>
      </c>
      <c r="H52" s="1005">
        <v>2690484.6353386506</v>
      </c>
      <c r="I52" s="1005">
        <v>35245563.188406304</v>
      </c>
      <c r="J52" s="1005">
        <v>0</v>
      </c>
      <c r="K52" s="1005">
        <v>0</v>
      </c>
      <c r="L52" s="1005">
        <v>0</v>
      </c>
      <c r="M52" s="1005">
        <v>0</v>
      </c>
      <c r="N52" s="1005">
        <v>108748353.90000002</v>
      </c>
      <c r="O52" s="1005">
        <v>540695634.06000006</v>
      </c>
    </row>
    <row r="53" spans="2:15" s="746" customFormat="1">
      <c r="B53" s="1002" t="s">
        <v>841</v>
      </c>
      <c r="C53" s="1001">
        <v>293</v>
      </c>
      <c r="D53" s="1001">
        <v>0</v>
      </c>
      <c r="E53" s="1001">
        <v>0</v>
      </c>
      <c r="F53" s="1001">
        <v>0</v>
      </c>
      <c r="G53" s="1001">
        <v>0</v>
      </c>
      <c r="H53" s="1001">
        <v>2394732.0561486501</v>
      </c>
      <c r="I53" s="1001">
        <v>31062006.920261305</v>
      </c>
      <c r="J53" s="1001">
        <v>0</v>
      </c>
      <c r="K53" s="1001">
        <v>0</v>
      </c>
      <c r="L53" s="1001">
        <v>0</v>
      </c>
      <c r="M53" s="1001">
        <v>0</v>
      </c>
      <c r="N53" s="1001">
        <v>71422822.440000013</v>
      </c>
      <c r="O53" s="1001">
        <v>354153230.64000005</v>
      </c>
    </row>
    <row r="54" spans="2:15" s="746" customFormat="1">
      <c r="B54" s="1002" t="s">
        <v>659</v>
      </c>
      <c r="C54" s="1001">
        <v>292</v>
      </c>
      <c r="D54" s="1001">
        <v>0</v>
      </c>
      <c r="E54" s="1001">
        <v>0</v>
      </c>
      <c r="F54" s="1001">
        <v>0</v>
      </c>
      <c r="G54" s="1001">
        <v>0</v>
      </c>
      <c r="H54" s="1001">
        <v>99033.039540000027</v>
      </c>
      <c r="I54" s="1001">
        <v>1093088.2892150003</v>
      </c>
      <c r="J54" s="1001">
        <v>0</v>
      </c>
      <c r="K54" s="1001">
        <v>0</v>
      </c>
      <c r="L54" s="1001">
        <v>0</v>
      </c>
      <c r="M54" s="1001">
        <v>0</v>
      </c>
      <c r="N54" s="1001">
        <v>36044980.560000002</v>
      </c>
      <c r="O54" s="1001">
        <v>177578547.12</v>
      </c>
    </row>
    <row r="55" spans="2:15" s="746" customFormat="1">
      <c r="B55" s="1002" t="s">
        <v>882</v>
      </c>
      <c r="C55" s="1001"/>
      <c r="D55" s="1001">
        <v>0</v>
      </c>
      <c r="E55" s="1001">
        <v>0</v>
      </c>
      <c r="F55" s="1001">
        <v>0</v>
      </c>
      <c r="G55" s="1001">
        <v>0</v>
      </c>
      <c r="H55" s="1001">
        <v>0</v>
      </c>
      <c r="I55" s="1001">
        <v>0</v>
      </c>
      <c r="J55" s="1001">
        <v>0</v>
      </c>
      <c r="K55" s="1001">
        <v>0</v>
      </c>
      <c r="L55" s="1001">
        <v>0</v>
      </c>
      <c r="M55" s="1001">
        <v>0</v>
      </c>
      <c r="N55" s="1001">
        <v>0</v>
      </c>
      <c r="O55" s="1001">
        <v>0</v>
      </c>
    </row>
    <row r="56" spans="2:15" s="746" customFormat="1">
      <c r="B56" s="1002" t="s">
        <v>912</v>
      </c>
      <c r="C56" s="1001">
        <v>146</v>
      </c>
      <c r="D56" s="1001">
        <v>0</v>
      </c>
      <c r="E56" s="1001">
        <v>0</v>
      </c>
      <c r="F56" s="1001">
        <v>0</v>
      </c>
      <c r="G56" s="1001">
        <v>0</v>
      </c>
      <c r="H56" s="1001">
        <v>196719.53964999996</v>
      </c>
      <c r="I56" s="1001">
        <v>3090467.9789299993</v>
      </c>
      <c r="J56" s="1001">
        <v>0</v>
      </c>
      <c r="K56" s="1001">
        <v>0</v>
      </c>
      <c r="L56" s="1001">
        <v>0</v>
      </c>
      <c r="M56" s="1001">
        <v>0</v>
      </c>
      <c r="N56" s="1001">
        <v>1280550.8999999999</v>
      </c>
      <c r="O56" s="1001">
        <v>8963856.2999999989</v>
      </c>
    </row>
    <row r="57" spans="2:15">
      <c r="B57" s="1000" t="s">
        <v>862</v>
      </c>
      <c r="C57" s="1005"/>
      <c r="D57" s="1005"/>
      <c r="E57" s="1005"/>
      <c r="F57" s="1005"/>
      <c r="G57" s="1005"/>
      <c r="H57" s="1005"/>
      <c r="I57" s="1005"/>
      <c r="J57" s="1005"/>
      <c r="K57" s="1005">
        <v>0</v>
      </c>
      <c r="L57" s="1005"/>
      <c r="M57" s="1005">
        <v>0</v>
      </c>
      <c r="N57" s="1005"/>
      <c r="O57" s="1005"/>
    </row>
    <row r="58" spans="2:15">
      <c r="B58" s="1002" t="s">
        <v>863</v>
      </c>
      <c r="C58" s="1001"/>
      <c r="D58" s="1001"/>
      <c r="E58" s="1001"/>
      <c r="F58" s="1001"/>
      <c r="G58" s="1001"/>
      <c r="H58" s="1001"/>
      <c r="I58" s="1001"/>
      <c r="J58" s="1001"/>
      <c r="K58" s="1001">
        <v>0</v>
      </c>
      <c r="L58" s="1001"/>
      <c r="M58" s="1001">
        <v>0</v>
      </c>
      <c r="N58" s="1001"/>
      <c r="O58" s="1001"/>
    </row>
    <row r="59" spans="2:15">
      <c r="B59" s="1002" t="s">
        <v>864</v>
      </c>
      <c r="C59" s="1001"/>
      <c r="D59" s="1001"/>
      <c r="E59" s="1001"/>
      <c r="F59" s="1001"/>
      <c r="G59" s="1001"/>
      <c r="H59" s="1001"/>
      <c r="I59" s="1001"/>
      <c r="J59" s="1001"/>
      <c r="K59" s="1001">
        <v>0</v>
      </c>
      <c r="L59" s="1001"/>
      <c r="M59" s="1001">
        <v>0</v>
      </c>
      <c r="N59" s="1001"/>
      <c r="O59" s="1001"/>
    </row>
    <row r="60" spans="2:15">
      <c r="B60" s="1002" t="s">
        <v>865</v>
      </c>
      <c r="C60" s="1001"/>
      <c r="D60" s="1001"/>
      <c r="E60" s="1001"/>
      <c r="F60" s="1001"/>
      <c r="G60" s="1001"/>
      <c r="H60" s="1001"/>
      <c r="I60" s="1001"/>
      <c r="J60" s="1001"/>
      <c r="K60" s="1001">
        <v>0</v>
      </c>
      <c r="L60" s="1001"/>
      <c r="M60" s="1001">
        <v>0</v>
      </c>
      <c r="N60" s="1001"/>
      <c r="O60" s="1001"/>
    </row>
    <row r="61" spans="2:15">
      <c r="B61" s="1002" t="s">
        <v>866</v>
      </c>
      <c r="C61" s="1001"/>
      <c r="D61" s="1001"/>
      <c r="E61" s="1001"/>
      <c r="F61" s="1001"/>
      <c r="G61" s="1001"/>
      <c r="H61" s="1001"/>
      <c r="I61" s="1001"/>
      <c r="J61" s="1001"/>
      <c r="K61" s="1001">
        <v>0</v>
      </c>
      <c r="L61" s="1001"/>
      <c r="M61" s="1001">
        <v>0</v>
      </c>
      <c r="N61" s="1001"/>
      <c r="O61" s="1001"/>
    </row>
    <row r="62" spans="2:15">
      <c r="B62" s="1002" t="s">
        <v>867</v>
      </c>
      <c r="C62" s="1001"/>
      <c r="D62" s="1001"/>
      <c r="E62" s="1001"/>
      <c r="F62" s="1001"/>
      <c r="G62" s="1001"/>
      <c r="H62" s="1001"/>
      <c r="I62" s="1001"/>
      <c r="J62" s="1001"/>
      <c r="K62" s="1001">
        <v>0</v>
      </c>
      <c r="L62" s="1001"/>
      <c r="M62" s="1001">
        <v>0</v>
      </c>
      <c r="N62" s="1001"/>
      <c r="O62" s="1001"/>
    </row>
    <row r="63" spans="2:15">
      <c r="B63" s="1002" t="s">
        <v>868</v>
      </c>
      <c r="C63" s="1001"/>
      <c r="D63" s="1001"/>
      <c r="E63" s="1001"/>
      <c r="F63" s="1001"/>
      <c r="G63" s="1001"/>
      <c r="H63" s="1001"/>
      <c r="I63" s="1001"/>
      <c r="J63" s="1001"/>
      <c r="K63" s="1001">
        <v>0</v>
      </c>
      <c r="L63" s="1001"/>
      <c r="M63" s="1001">
        <v>0</v>
      </c>
      <c r="N63" s="1001"/>
      <c r="O63" s="1001"/>
    </row>
    <row r="64" spans="2:15">
      <c r="B64" s="1002" t="s">
        <v>869</v>
      </c>
      <c r="C64" s="1001"/>
      <c r="D64" s="1001"/>
      <c r="E64" s="1001"/>
      <c r="F64" s="1001"/>
      <c r="G64" s="1001"/>
      <c r="H64" s="1001"/>
      <c r="I64" s="1001"/>
      <c r="J64" s="1001"/>
      <c r="K64" s="1001">
        <v>0</v>
      </c>
      <c r="L64" s="1001"/>
      <c r="M64" s="1001">
        <v>0</v>
      </c>
      <c r="N64" s="1001"/>
      <c r="O64" s="1001"/>
    </row>
    <row r="65" spans="2:15">
      <c r="B65" s="998" t="s">
        <v>90</v>
      </c>
      <c r="C65" s="999">
        <v>470901</v>
      </c>
      <c r="D65" s="999">
        <v>5540.2107543999209</v>
      </c>
      <c r="E65" s="999">
        <v>1907.5116151050524</v>
      </c>
      <c r="F65" s="999">
        <v>9946.4523427149979</v>
      </c>
      <c r="G65" s="999">
        <v>120466.18662377502</v>
      </c>
      <c r="H65" s="999">
        <v>16428365.970547775</v>
      </c>
      <c r="I65" s="999">
        <v>206839262.72724375</v>
      </c>
      <c r="J65" s="999">
        <v>0</v>
      </c>
      <c r="K65" s="999">
        <v>0</v>
      </c>
      <c r="L65" s="999">
        <v>0</v>
      </c>
      <c r="M65" s="999">
        <v>0</v>
      </c>
      <c r="N65" s="999">
        <v>144279744.67000002</v>
      </c>
      <c r="O65" s="999">
        <v>788696506.33000004</v>
      </c>
    </row>
    <row r="66" spans="2:15">
      <c r="B66"/>
      <c r="C66"/>
      <c r="D66"/>
      <c r="E66"/>
      <c r="F66"/>
      <c r="G66"/>
      <c r="H66"/>
      <c r="I66"/>
      <c r="J66"/>
      <c r="K66"/>
      <c r="L66"/>
      <c r="M66"/>
      <c r="N66"/>
      <c r="O66"/>
    </row>
    <row r="67" spans="2:15">
      <c r="B67"/>
      <c r="C67"/>
      <c r="D67"/>
      <c r="E67"/>
      <c r="F67"/>
      <c r="G67"/>
      <c r="H67"/>
      <c r="I67"/>
      <c r="J67"/>
      <c r="K67"/>
      <c r="L67"/>
      <c r="M67"/>
      <c r="N67"/>
      <c r="O67"/>
    </row>
    <row r="68" spans="2:15">
      <c r="B68"/>
      <c r="C68"/>
      <c r="D68"/>
      <c r="E68"/>
      <c r="F68"/>
      <c r="G68"/>
      <c r="H68"/>
      <c r="I68"/>
      <c r="J68"/>
      <c r="K68"/>
      <c r="L68"/>
      <c r="M68"/>
      <c r="N68"/>
      <c r="O68"/>
    </row>
    <row r="69" spans="2:15" ht="15" customHeight="1">
      <c r="B69"/>
      <c r="C69"/>
      <c r="D69"/>
      <c r="E69"/>
      <c r="F69"/>
      <c r="G69"/>
      <c r="H69"/>
      <c r="I69"/>
      <c r="J69"/>
      <c r="K69"/>
      <c r="L69"/>
      <c r="M69"/>
      <c r="N69"/>
      <c r="O69"/>
    </row>
    <row r="70" spans="2:15">
      <c r="B70"/>
      <c r="C70"/>
      <c r="D70"/>
      <c r="E70"/>
      <c r="F70"/>
      <c r="G70"/>
      <c r="H70"/>
      <c r="I70"/>
      <c r="J70"/>
      <c r="K70"/>
      <c r="L70"/>
      <c r="M70"/>
      <c r="N70"/>
      <c r="O70"/>
    </row>
    <row r="71" spans="2:15" hidden="1" outlineLevel="1">
      <c r="B71"/>
      <c r="C71"/>
      <c r="D71"/>
      <c r="E71"/>
      <c r="F71"/>
      <c r="G71"/>
      <c r="H71"/>
      <c r="I71"/>
      <c r="J71"/>
      <c r="K71"/>
      <c r="L71"/>
      <c r="M71"/>
      <c r="N71"/>
      <c r="O71"/>
    </row>
    <row r="72" spans="2:15" hidden="1" outlineLevel="1">
      <c r="B72"/>
      <c r="C72"/>
      <c r="D72"/>
      <c r="E72"/>
      <c r="F72"/>
      <c r="G72"/>
      <c r="H72"/>
      <c r="I72"/>
      <c r="J72"/>
      <c r="K72"/>
      <c r="L72"/>
      <c r="M72"/>
      <c r="N72"/>
      <c r="O72"/>
    </row>
    <row r="73" spans="2:15" hidden="1" outlineLevel="1">
      <c r="B73"/>
      <c r="C73"/>
      <c r="D73"/>
      <c r="E73"/>
      <c r="F73"/>
      <c r="G73"/>
      <c r="H73"/>
      <c r="I73"/>
      <c r="J73"/>
      <c r="K73"/>
      <c r="L73"/>
      <c r="M73"/>
      <c r="N73"/>
      <c r="O73"/>
    </row>
    <row r="74" spans="2:15" hidden="1" outlineLevel="1">
      <c r="B74"/>
      <c r="C74"/>
      <c r="D74"/>
      <c r="E74"/>
      <c r="F74"/>
      <c r="G74"/>
      <c r="H74"/>
      <c r="I74"/>
      <c r="J74"/>
      <c r="K74"/>
      <c r="L74"/>
      <c r="M74"/>
      <c r="N74"/>
      <c r="O74"/>
    </row>
    <row r="75" spans="2:15" hidden="1" outlineLevel="1">
      <c r="B75"/>
      <c r="C75"/>
      <c r="D75"/>
      <c r="E75"/>
      <c r="F75"/>
      <c r="G75"/>
      <c r="H75"/>
      <c r="I75"/>
      <c r="J75"/>
      <c r="K75"/>
      <c r="L75"/>
      <c r="M75"/>
      <c r="N75"/>
      <c r="O75"/>
    </row>
    <row r="76" spans="2:15" hidden="1" outlineLevel="1">
      <c r="B76"/>
      <c r="C76"/>
      <c r="D76"/>
      <c r="E76"/>
      <c r="F76"/>
      <c r="G76"/>
      <c r="H76"/>
      <c r="I76"/>
      <c r="J76"/>
      <c r="K76"/>
      <c r="L76"/>
      <c r="M76"/>
      <c r="N76"/>
      <c r="O76"/>
    </row>
    <row r="77" spans="2:15" collapsed="1">
      <c r="B77"/>
      <c r="C77"/>
      <c r="D77"/>
      <c r="E77"/>
      <c r="F77"/>
      <c r="G77"/>
      <c r="H77"/>
      <c r="I77"/>
      <c r="J77"/>
      <c r="K77"/>
      <c r="L77"/>
      <c r="M77"/>
      <c r="N77"/>
      <c r="O77"/>
    </row>
    <row r="78" spans="2:15">
      <c r="B78"/>
      <c r="C78"/>
      <c r="D78"/>
      <c r="E78"/>
      <c r="F78"/>
      <c r="G78"/>
      <c r="H78"/>
      <c r="I78"/>
      <c r="J78"/>
      <c r="K78"/>
      <c r="L78"/>
      <c r="M78"/>
      <c r="N78"/>
      <c r="O78"/>
    </row>
    <row r="79" spans="2:15">
      <c r="B79"/>
      <c r="C79"/>
      <c r="D79"/>
      <c r="E79"/>
      <c r="F79"/>
      <c r="G79"/>
      <c r="H79"/>
      <c r="I79"/>
      <c r="J79"/>
      <c r="K79"/>
      <c r="L79"/>
      <c r="M79"/>
      <c r="N79"/>
      <c r="O79"/>
    </row>
    <row r="80" spans="2:15">
      <c r="B80"/>
      <c r="C80"/>
      <c r="D80"/>
      <c r="E80"/>
      <c r="F80"/>
      <c r="G80"/>
      <c r="H80"/>
      <c r="I80"/>
      <c r="J80"/>
      <c r="K80"/>
      <c r="L80"/>
      <c r="M80"/>
      <c r="N80"/>
      <c r="O80"/>
    </row>
    <row r="81" spans="2:15">
      <c r="B81"/>
      <c r="C81"/>
      <c r="D81"/>
      <c r="E81"/>
      <c r="F81"/>
      <c r="G81"/>
      <c r="H81"/>
      <c r="I81"/>
      <c r="J81"/>
      <c r="K81"/>
      <c r="L81"/>
      <c r="M81"/>
      <c r="N81"/>
      <c r="O81"/>
    </row>
    <row r="82" spans="2:15">
      <c r="B82"/>
      <c r="C82"/>
      <c r="D82"/>
      <c r="E82"/>
      <c r="F82"/>
      <c r="G82"/>
      <c r="H82"/>
      <c r="I82"/>
      <c r="J82"/>
      <c r="K82"/>
      <c r="L82"/>
      <c r="M82"/>
      <c r="N82"/>
      <c r="O82"/>
    </row>
    <row r="83" spans="2:15">
      <c r="B83"/>
      <c r="C83"/>
      <c r="D83"/>
      <c r="E83"/>
      <c r="F83"/>
      <c r="G83"/>
      <c r="H83"/>
      <c r="I83"/>
      <c r="J83"/>
      <c r="K83"/>
      <c r="L83"/>
      <c r="M83"/>
      <c r="N83"/>
      <c r="O83"/>
    </row>
    <row r="84" spans="2:15">
      <c r="B84"/>
      <c r="C84"/>
      <c r="D84"/>
      <c r="E84"/>
      <c r="F84"/>
      <c r="G84"/>
      <c r="H84"/>
      <c r="I84"/>
      <c r="J84"/>
      <c r="K84"/>
      <c r="L84"/>
      <c r="M84"/>
      <c r="N84"/>
      <c r="O84"/>
    </row>
    <row r="85" spans="2:15">
      <c r="B85"/>
      <c r="C85"/>
      <c r="D85"/>
      <c r="E85"/>
      <c r="F85"/>
      <c r="G85"/>
      <c r="H85"/>
      <c r="I85"/>
      <c r="J85"/>
      <c r="K85"/>
      <c r="L85"/>
      <c r="M85"/>
      <c r="N85"/>
      <c r="O85"/>
    </row>
    <row r="86" spans="2:15">
      <c r="B86"/>
      <c r="C86"/>
      <c r="D86"/>
      <c r="E86"/>
      <c r="F86"/>
      <c r="G86"/>
      <c r="H86"/>
      <c r="I86"/>
      <c r="J86"/>
      <c r="K86"/>
      <c r="L86"/>
      <c r="M86"/>
      <c r="N86"/>
      <c r="O86"/>
    </row>
    <row r="87" spans="2:15">
      <c r="B87"/>
      <c r="C87"/>
      <c r="D87"/>
      <c r="E87"/>
      <c r="F87"/>
      <c r="G87"/>
      <c r="H87"/>
      <c r="I87"/>
      <c r="J87"/>
      <c r="K87"/>
      <c r="L87"/>
      <c r="M87"/>
      <c r="N87"/>
      <c r="O87"/>
    </row>
    <row r="88" spans="2:15">
      <c r="B88"/>
      <c r="C88"/>
      <c r="D88"/>
      <c r="E88"/>
      <c r="F88"/>
      <c r="G88"/>
      <c r="H88"/>
      <c r="I88"/>
      <c r="J88"/>
      <c r="K88"/>
      <c r="L88"/>
      <c r="M88"/>
      <c r="N88"/>
      <c r="O88"/>
    </row>
    <row r="89" spans="2:15">
      <c r="B89"/>
      <c r="C89"/>
      <c r="D89"/>
      <c r="E89"/>
      <c r="F89"/>
      <c r="G89"/>
      <c r="H89"/>
      <c r="I89"/>
      <c r="J89"/>
      <c r="K89"/>
      <c r="L89"/>
      <c r="M89"/>
      <c r="N89"/>
      <c r="O89"/>
    </row>
    <row r="90" spans="2:15">
      <c r="B90"/>
      <c r="C90"/>
      <c r="D90"/>
      <c r="E90"/>
      <c r="F90"/>
      <c r="G90"/>
      <c r="H90"/>
      <c r="I90"/>
      <c r="J90"/>
      <c r="K90"/>
      <c r="L90"/>
      <c r="M90"/>
      <c r="N90"/>
      <c r="O90"/>
    </row>
    <row r="91" spans="2:15">
      <c r="B91"/>
      <c r="C91"/>
      <c r="D91"/>
      <c r="E91"/>
      <c r="F91"/>
      <c r="G91"/>
      <c r="H91"/>
      <c r="I91"/>
      <c r="J91"/>
      <c r="K91"/>
      <c r="L91"/>
      <c r="M91"/>
      <c r="N91"/>
      <c r="O91"/>
    </row>
    <row r="92" spans="2:15">
      <c r="B92"/>
      <c r="C92"/>
      <c r="D92"/>
      <c r="E92"/>
      <c r="F92"/>
      <c r="G92"/>
      <c r="H92"/>
      <c r="I92"/>
      <c r="J92"/>
      <c r="K92"/>
      <c r="L92"/>
      <c r="M92"/>
      <c r="N92"/>
      <c r="O92"/>
    </row>
    <row r="93" spans="2:15">
      <c r="B93"/>
      <c r="C93"/>
      <c r="D93"/>
      <c r="E93"/>
      <c r="F93"/>
      <c r="G93"/>
      <c r="H93"/>
      <c r="I93"/>
      <c r="J93"/>
      <c r="K93"/>
      <c r="L93"/>
      <c r="M93"/>
      <c r="N93"/>
      <c r="O93"/>
    </row>
    <row r="94" spans="2:15">
      <c r="B94"/>
      <c r="C94"/>
      <c r="D94"/>
      <c r="E94"/>
      <c r="F94"/>
      <c r="G94"/>
      <c r="H94"/>
      <c r="I94"/>
      <c r="J94"/>
      <c r="K94"/>
      <c r="L94"/>
      <c r="M94"/>
      <c r="N94"/>
      <c r="O94"/>
    </row>
    <row r="95" spans="2:15">
      <c r="B95"/>
      <c r="C95"/>
      <c r="D95"/>
      <c r="E95"/>
      <c r="F95"/>
      <c r="G95"/>
      <c r="H95"/>
      <c r="I95"/>
      <c r="J95"/>
      <c r="K95"/>
      <c r="L95"/>
      <c r="M95"/>
      <c r="N95"/>
      <c r="O95"/>
    </row>
    <row r="96" spans="2:15">
      <c r="B96"/>
      <c r="C96"/>
      <c r="D96"/>
      <c r="E96"/>
      <c r="F96"/>
      <c r="G96"/>
      <c r="H96"/>
      <c r="I96"/>
      <c r="J96"/>
      <c r="K96"/>
      <c r="L96"/>
      <c r="M96"/>
      <c r="N96"/>
      <c r="O96"/>
    </row>
    <row r="97" spans="2:15">
      <c r="B97"/>
      <c r="C97"/>
      <c r="D97"/>
      <c r="E97"/>
      <c r="F97"/>
      <c r="G97"/>
      <c r="H97"/>
      <c r="I97"/>
      <c r="J97"/>
      <c r="K97"/>
      <c r="L97"/>
      <c r="M97"/>
      <c r="N97"/>
      <c r="O97"/>
    </row>
    <row r="98" spans="2:15">
      <c r="B98"/>
      <c r="C98"/>
      <c r="D98"/>
      <c r="E98"/>
      <c r="F98"/>
      <c r="G98"/>
      <c r="H98"/>
      <c r="I98"/>
      <c r="J98"/>
      <c r="K98"/>
      <c r="L98"/>
      <c r="M98"/>
      <c r="N98"/>
      <c r="O98"/>
    </row>
    <row r="99" spans="2:15">
      <c r="B99"/>
      <c r="C99"/>
      <c r="D99"/>
      <c r="E99"/>
      <c r="F99"/>
      <c r="G99"/>
      <c r="H99"/>
      <c r="I99"/>
      <c r="J99"/>
      <c r="K99"/>
      <c r="L99"/>
      <c r="M99"/>
      <c r="N99"/>
      <c r="O99"/>
    </row>
    <row r="101" spans="2:15" ht="15.75">
      <c r="B101" s="1189" t="str">
        <f>IF(C108="(Multiple Items)","2016-2018",C108)&amp;" Savings"</f>
        <v>2017 Savings</v>
      </c>
      <c r="C101" s="1189"/>
      <c r="D101" s="1189"/>
      <c r="E101" s="1189"/>
      <c r="F101" s="1189"/>
      <c r="G101" s="1189"/>
      <c r="H101" s="1189"/>
      <c r="I101" s="1189"/>
      <c r="J101" s="1189"/>
      <c r="K101" s="1189"/>
      <c r="L101" s="1189"/>
      <c r="M101" s="1189"/>
      <c r="N101" s="1189"/>
      <c r="O101" s="1189"/>
    </row>
    <row r="102" spans="2:15">
      <c r="B102" s="1190" t="s">
        <v>8</v>
      </c>
      <c r="C102" s="1191" t="s">
        <v>647</v>
      </c>
      <c r="D102" s="1192" t="s">
        <v>648</v>
      </c>
      <c r="E102" s="1192"/>
      <c r="F102" s="1192"/>
      <c r="G102" s="1192"/>
      <c r="H102" s="1193" t="s">
        <v>896</v>
      </c>
      <c r="I102" s="1193"/>
      <c r="J102" s="1193" t="s">
        <v>897</v>
      </c>
      <c r="K102" s="1193"/>
      <c r="L102" s="1193"/>
      <c r="M102" s="1193"/>
      <c r="N102" s="1193" t="s">
        <v>898</v>
      </c>
      <c r="O102" s="1193"/>
    </row>
    <row r="103" spans="2:15">
      <c r="B103" s="1190"/>
      <c r="C103" s="1191"/>
      <c r="D103" s="1193" t="s">
        <v>649</v>
      </c>
      <c r="E103" s="1193"/>
      <c r="F103" s="1193" t="s">
        <v>899</v>
      </c>
      <c r="G103" s="1193"/>
      <c r="H103" s="1188" t="s">
        <v>900</v>
      </c>
      <c r="I103" s="1188"/>
      <c r="J103" s="1188" t="s">
        <v>901</v>
      </c>
      <c r="K103" s="1188"/>
      <c r="L103" s="1188" t="s">
        <v>902</v>
      </c>
      <c r="M103" s="1188"/>
      <c r="N103" s="1188" t="s">
        <v>903</v>
      </c>
      <c r="O103" s="1188"/>
    </row>
    <row r="104" spans="2:15">
      <c r="B104" s="1190"/>
      <c r="C104" s="1191"/>
      <c r="D104" s="764" t="s">
        <v>93</v>
      </c>
      <c r="E104" s="764" t="s">
        <v>94</v>
      </c>
      <c r="F104" s="764" t="s">
        <v>650</v>
      </c>
      <c r="G104" s="764" t="s">
        <v>651</v>
      </c>
      <c r="H104" s="765" t="s">
        <v>650</v>
      </c>
      <c r="I104" s="765" t="s">
        <v>651</v>
      </c>
      <c r="J104" s="765" t="s">
        <v>650</v>
      </c>
      <c r="K104" s="765" t="s">
        <v>651</v>
      </c>
      <c r="L104" s="765" t="s">
        <v>650</v>
      </c>
      <c r="M104" s="765" t="s">
        <v>651</v>
      </c>
      <c r="N104" s="765" t="s">
        <v>650</v>
      </c>
      <c r="O104" s="765" t="s">
        <v>651</v>
      </c>
    </row>
    <row r="105" spans="2:15">
      <c r="B105"/>
      <c r="C105"/>
      <c r="D105" s="766"/>
      <c r="E105" s="766"/>
      <c r="F105" s="766"/>
      <c r="G105" s="766"/>
      <c r="H105" s="767"/>
      <c r="I105" s="767"/>
      <c r="J105" s="767"/>
      <c r="K105" s="767"/>
    </row>
    <row r="106" spans="2:15">
      <c r="B106" s="995" t="s">
        <v>619</v>
      </c>
      <c r="C106" s="996" t="s">
        <v>474</v>
      </c>
      <c r="D106" s="742"/>
      <c r="E106" s="742"/>
      <c r="I106" s="743"/>
      <c r="J106" s="743"/>
      <c r="K106" s="743"/>
    </row>
    <row r="107" spans="2:15">
      <c r="B107" s="995" t="s">
        <v>620</v>
      </c>
      <c r="C107" s="996" t="s">
        <v>1387</v>
      </c>
      <c r="D107" s="743"/>
      <c r="E107" s="743"/>
    </row>
    <row r="108" spans="2:15">
      <c r="B108" s="995" t="s">
        <v>280</v>
      </c>
      <c r="C108" s="997">
        <v>2017</v>
      </c>
      <c r="D108" s="743"/>
      <c r="E108" s="743"/>
    </row>
    <row r="109" spans="2:15">
      <c r="B109" s="743"/>
      <c r="C109" s="743"/>
      <c r="D109" s="743"/>
      <c r="E109" s="743"/>
    </row>
    <row r="110" spans="2:15" ht="26.25">
      <c r="B110" s="996"/>
      <c r="C110" s="1004" t="s">
        <v>652</v>
      </c>
      <c r="D110" s="996" t="s">
        <v>1258</v>
      </c>
      <c r="E110" s="996" t="s">
        <v>1259</v>
      </c>
      <c r="F110" s="996" t="s">
        <v>1233</v>
      </c>
      <c r="G110" s="996" t="s">
        <v>1249</v>
      </c>
      <c r="H110" s="996" t="s">
        <v>1235</v>
      </c>
      <c r="I110" s="996" t="s">
        <v>1250</v>
      </c>
      <c r="J110" s="996" t="s">
        <v>1234</v>
      </c>
      <c r="K110" s="996" t="s">
        <v>1251</v>
      </c>
      <c r="L110" s="996" t="s">
        <v>1260</v>
      </c>
      <c r="M110" s="996" t="s">
        <v>1261</v>
      </c>
      <c r="N110" s="996" t="s">
        <v>1262</v>
      </c>
      <c r="O110" s="996" t="s">
        <v>1263</v>
      </c>
    </row>
    <row r="111" spans="2:15">
      <c r="B111" s="998" t="s">
        <v>239</v>
      </c>
      <c r="C111" s="999">
        <v>462046</v>
      </c>
      <c r="D111" s="999">
        <v>5194.5607543999213</v>
      </c>
      <c r="E111" s="999">
        <v>1741.6556151050524</v>
      </c>
      <c r="F111" s="999">
        <v>9536.5763427149977</v>
      </c>
      <c r="G111" s="999">
        <v>112321.29862377502</v>
      </c>
      <c r="H111" s="999">
        <v>9846815.3672700003</v>
      </c>
      <c r="I111" s="999">
        <v>100940952.82345</v>
      </c>
      <c r="J111" s="999">
        <v>0</v>
      </c>
      <c r="K111" s="999">
        <v>0</v>
      </c>
      <c r="L111" s="999">
        <v>0</v>
      </c>
      <c r="M111" s="999">
        <v>0</v>
      </c>
      <c r="N111" s="999">
        <v>32887361.650000002</v>
      </c>
      <c r="O111" s="999">
        <v>230211531.54999998</v>
      </c>
    </row>
    <row r="112" spans="2:15">
      <c r="B112" s="1000" t="s">
        <v>462</v>
      </c>
      <c r="C112" s="1001">
        <v>440950</v>
      </c>
      <c r="D112" s="1001">
        <v>2202.6487543999206</v>
      </c>
      <c r="E112" s="1001">
        <v>1743.5015435897476</v>
      </c>
      <c r="F112" s="1001">
        <v>8193.0263427149985</v>
      </c>
      <c r="G112" s="1001">
        <v>92185.338623775009</v>
      </c>
      <c r="H112" s="1001">
        <v>7613753.6272699991</v>
      </c>
      <c r="I112" s="1001">
        <v>64735734.723449998</v>
      </c>
      <c r="J112" s="1001">
        <v>0</v>
      </c>
      <c r="K112" s="1001">
        <v>0</v>
      </c>
      <c r="L112" s="1001">
        <v>0</v>
      </c>
      <c r="M112" s="1001">
        <v>0</v>
      </c>
      <c r="N112" s="1001">
        <v>31494341.300000001</v>
      </c>
      <c r="O112" s="1001">
        <v>220460389.09999999</v>
      </c>
    </row>
    <row r="113" spans="2:15">
      <c r="B113" s="1002" t="s">
        <v>615</v>
      </c>
      <c r="C113" s="1001">
        <v>2566</v>
      </c>
      <c r="D113" s="1001">
        <v>168.54821279992063</v>
      </c>
      <c r="E113" s="1001">
        <v>177.97821398974747</v>
      </c>
      <c r="F113" s="1001">
        <v>773.02881071499996</v>
      </c>
      <c r="G113" s="1001">
        <v>10674.436603775001</v>
      </c>
      <c r="H113" s="1001">
        <v>793495.38645999972</v>
      </c>
      <c r="I113" s="1001">
        <v>17055331.865499996</v>
      </c>
      <c r="J113" s="1001">
        <v>0</v>
      </c>
      <c r="K113" s="1001">
        <v>0</v>
      </c>
      <c r="L113" s="1001">
        <v>0</v>
      </c>
      <c r="M113" s="1001">
        <v>0</v>
      </c>
      <c r="N113" s="1001">
        <v>0</v>
      </c>
      <c r="O113" s="1001">
        <v>0</v>
      </c>
    </row>
    <row r="114" spans="2:15">
      <c r="B114" s="1002" t="s">
        <v>725</v>
      </c>
      <c r="C114" s="1001">
        <v>3927</v>
      </c>
      <c r="D114" s="1001">
        <v>0.155</v>
      </c>
      <c r="E114" s="1001">
        <v>0</v>
      </c>
      <c r="F114" s="1001">
        <v>7.4799999999999991E-2</v>
      </c>
      <c r="G114" s="1001">
        <v>1.1219999999999999</v>
      </c>
      <c r="H114" s="1001">
        <v>253359.95866000006</v>
      </c>
      <c r="I114" s="1001">
        <v>3777760.0040000002</v>
      </c>
      <c r="J114" s="1001">
        <v>0</v>
      </c>
      <c r="K114" s="1001">
        <v>0</v>
      </c>
      <c r="L114" s="1001">
        <v>0</v>
      </c>
      <c r="M114" s="1001">
        <v>0</v>
      </c>
      <c r="N114" s="1001">
        <v>4887604.3</v>
      </c>
      <c r="O114" s="1001">
        <v>34213230.100000001</v>
      </c>
    </row>
    <row r="115" spans="2:15">
      <c r="B115" s="1002" t="s">
        <v>741</v>
      </c>
      <c r="C115" s="1001">
        <v>7287</v>
      </c>
      <c r="D115" s="1001">
        <v>2033.9455415999998</v>
      </c>
      <c r="E115" s="1001">
        <v>1565.5233296000001</v>
      </c>
      <c r="F115" s="1001">
        <v>7419.9227319999991</v>
      </c>
      <c r="G115" s="1001">
        <v>81509.780020000006</v>
      </c>
      <c r="H115" s="1001">
        <v>2120412.88215</v>
      </c>
      <c r="I115" s="1001">
        <v>39456157.453950003</v>
      </c>
      <c r="J115" s="1001">
        <v>0</v>
      </c>
      <c r="K115" s="1001">
        <v>0</v>
      </c>
      <c r="L115" s="1001">
        <v>0</v>
      </c>
      <c r="M115" s="1001">
        <v>0</v>
      </c>
      <c r="N115" s="1001">
        <v>26606737</v>
      </c>
      <c r="O115" s="1001">
        <v>186247159</v>
      </c>
    </row>
    <row r="116" spans="2:15">
      <c r="B116" s="1002" t="s">
        <v>842</v>
      </c>
      <c r="C116" s="1001"/>
      <c r="D116" s="1001">
        <v>0</v>
      </c>
      <c r="E116" s="1001">
        <v>0</v>
      </c>
      <c r="F116" s="1001">
        <v>0</v>
      </c>
      <c r="G116" s="1001">
        <v>0</v>
      </c>
      <c r="H116" s="1001">
        <v>0</v>
      </c>
      <c r="I116" s="1001">
        <v>0</v>
      </c>
      <c r="J116" s="1001">
        <v>0</v>
      </c>
      <c r="K116" s="1001">
        <v>0</v>
      </c>
      <c r="L116" s="1001">
        <v>0</v>
      </c>
      <c r="M116" s="1001">
        <v>0</v>
      </c>
      <c r="N116" s="1001">
        <v>0</v>
      </c>
      <c r="O116" s="1001">
        <v>0</v>
      </c>
    </row>
    <row r="117" spans="2:15">
      <c r="B117" s="1002" t="s">
        <v>748</v>
      </c>
      <c r="C117" s="1001">
        <v>427170</v>
      </c>
      <c r="D117" s="1001">
        <v>0</v>
      </c>
      <c r="E117" s="1001">
        <v>0</v>
      </c>
      <c r="F117" s="1001">
        <v>0</v>
      </c>
      <c r="G117" s="1001">
        <v>0</v>
      </c>
      <c r="H117" s="1001">
        <v>4446485.3999999994</v>
      </c>
      <c r="I117" s="1001">
        <v>4446485.3999999994</v>
      </c>
      <c r="J117" s="1001">
        <v>0</v>
      </c>
      <c r="K117" s="1001">
        <v>0</v>
      </c>
      <c r="L117" s="1001">
        <v>0</v>
      </c>
      <c r="M117" s="1001">
        <v>0</v>
      </c>
      <c r="N117" s="1001">
        <v>0</v>
      </c>
      <c r="O117" s="1001">
        <v>0</v>
      </c>
    </row>
    <row r="118" spans="2:15">
      <c r="B118" s="1000" t="s">
        <v>465</v>
      </c>
      <c r="C118" s="1001">
        <v>21096</v>
      </c>
      <c r="D118" s="1001">
        <v>2991.9120000000003</v>
      </c>
      <c r="E118" s="1001">
        <v>-1.845928484695089</v>
      </c>
      <c r="F118" s="1001">
        <v>1343.55</v>
      </c>
      <c r="G118" s="1001">
        <v>20135.96</v>
      </c>
      <c r="H118" s="1001">
        <v>2233061.7400000002</v>
      </c>
      <c r="I118" s="1001">
        <v>36205218.100000009</v>
      </c>
      <c r="J118" s="1001">
        <v>0</v>
      </c>
      <c r="K118" s="1001">
        <v>0</v>
      </c>
      <c r="L118" s="1001">
        <v>0</v>
      </c>
      <c r="M118" s="1001">
        <v>0</v>
      </c>
      <c r="N118" s="1001">
        <v>1393020.3499999999</v>
      </c>
      <c r="O118" s="1001">
        <v>9751142.4499999993</v>
      </c>
    </row>
    <row r="119" spans="2:15">
      <c r="B119" s="1002" t="s">
        <v>844</v>
      </c>
      <c r="C119" s="1001"/>
      <c r="D119" s="1001"/>
      <c r="E119" s="1001"/>
      <c r="F119" s="1001"/>
      <c r="G119" s="1001"/>
      <c r="H119" s="1001"/>
      <c r="I119" s="1001">
        <v>0</v>
      </c>
      <c r="J119" s="1001"/>
      <c r="K119" s="1001"/>
      <c r="L119" s="1001"/>
      <c r="M119" s="1001"/>
      <c r="N119" s="1001"/>
      <c r="O119" s="1001"/>
    </row>
    <row r="120" spans="2:15">
      <c r="B120" s="1002" t="s">
        <v>845</v>
      </c>
      <c r="C120" s="1001"/>
      <c r="D120" s="1001"/>
      <c r="E120" s="1001"/>
      <c r="F120" s="1001"/>
      <c r="G120" s="1001"/>
      <c r="H120" s="1001"/>
      <c r="I120" s="1001">
        <v>0</v>
      </c>
      <c r="J120" s="1001"/>
      <c r="K120" s="1001"/>
      <c r="L120" s="1001"/>
      <c r="M120" s="1001"/>
      <c r="N120" s="1001"/>
      <c r="O120" s="1001"/>
    </row>
    <row r="121" spans="2:15">
      <c r="B121" s="1002" t="s">
        <v>910</v>
      </c>
      <c r="C121" s="1001">
        <v>21096</v>
      </c>
      <c r="D121" s="1001">
        <v>2991.9120000000003</v>
      </c>
      <c r="E121" s="1001">
        <v>-1.845928484695089</v>
      </c>
      <c r="F121" s="1001">
        <v>1343.55</v>
      </c>
      <c r="G121" s="1001">
        <v>20135.96</v>
      </c>
      <c r="H121" s="1001">
        <v>2233061.7400000002</v>
      </c>
      <c r="I121" s="1001">
        <v>36205218.100000009</v>
      </c>
      <c r="J121" s="1001">
        <v>0</v>
      </c>
      <c r="K121" s="1001">
        <v>0</v>
      </c>
      <c r="L121" s="1001">
        <v>0</v>
      </c>
      <c r="M121" s="1001">
        <v>0</v>
      </c>
      <c r="N121" s="1001">
        <v>1393020.3499999999</v>
      </c>
      <c r="O121" s="1001">
        <v>9751142.4499999993</v>
      </c>
    </row>
    <row r="122" spans="2:15">
      <c r="B122" s="1000" t="s">
        <v>846</v>
      </c>
      <c r="C122" s="1001"/>
      <c r="D122" s="1001"/>
      <c r="E122" s="1001"/>
      <c r="F122" s="1001"/>
      <c r="G122" s="1001"/>
      <c r="H122" s="1001"/>
      <c r="I122" s="1001"/>
      <c r="J122" s="1001"/>
      <c r="K122" s="1001">
        <v>0</v>
      </c>
      <c r="L122" s="1001"/>
      <c r="M122" s="1001">
        <v>0</v>
      </c>
      <c r="N122" s="1001"/>
      <c r="O122" s="1001"/>
    </row>
    <row r="123" spans="2:15">
      <c r="B123" s="1002" t="s">
        <v>847</v>
      </c>
      <c r="C123" s="1001"/>
      <c r="D123" s="1001"/>
      <c r="E123" s="1001"/>
      <c r="F123" s="1001"/>
      <c r="G123" s="1001"/>
      <c r="H123" s="1001"/>
      <c r="I123" s="1001"/>
      <c r="J123" s="1001"/>
      <c r="K123" s="1001">
        <v>0</v>
      </c>
      <c r="L123" s="1001"/>
      <c r="M123" s="1001">
        <v>0</v>
      </c>
      <c r="N123" s="1001"/>
      <c r="O123" s="1001"/>
    </row>
    <row r="124" spans="2:15">
      <c r="B124" s="1002" t="s">
        <v>848</v>
      </c>
      <c r="C124" s="1001"/>
      <c r="D124" s="1001"/>
      <c r="E124" s="1001"/>
      <c r="F124" s="1001"/>
      <c r="G124" s="1001"/>
      <c r="H124" s="1001"/>
      <c r="I124" s="1001"/>
      <c r="J124" s="1001"/>
      <c r="K124" s="1001">
        <v>0</v>
      </c>
      <c r="L124" s="1001"/>
      <c r="M124" s="1001">
        <v>0</v>
      </c>
      <c r="N124" s="1001"/>
      <c r="O124" s="1001"/>
    </row>
    <row r="125" spans="2:15">
      <c r="B125" s="1002" t="s">
        <v>849</v>
      </c>
      <c r="C125" s="1001"/>
      <c r="D125" s="1001"/>
      <c r="E125" s="1001"/>
      <c r="F125" s="1001"/>
      <c r="G125" s="1001"/>
      <c r="H125" s="1001"/>
      <c r="I125" s="1001"/>
      <c r="J125" s="1001"/>
      <c r="K125" s="1001">
        <v>0</v>
      </c>
      <c r="L125" s="1001"/>
      <c r="M125" s="1001">
        <v>0</v>
      </c>
      <c r="N125" s="1001"/>
      <c r="O125" s="1001"/>
    </row>
    <row r="126" spans="2:15">
      <c r="B126" s="1002" t="s">
        <v>850</v>
      </c>
      <c r="C126" s="1001"/>
      <c r="D126" s="1001"/>
      <c r="E126" s="1001"/>
      <c r="F126" s="1001"/>
      <c r="G126" s="1001"/>
      <c r="H126" s="1001"/>
      <c r="I126" s="1001"/>
      <c r="J126" s="1001"/>
      <c r="K126" s="1001">
        <v>0</v>
      </c>
      <c r="L126" s="1001"/>
      <c r="M126" s="1001">
        <v>0</v>
      </c>
      <c r="N126" s="1001"/>
      <c r="O126" s="1001"/>
    </row>
    <row r="127" spans="2:15">
      <c r="B127" s="1002" t="s">
        <v>851</v>
      </c>
      <c r="C127" s="1001"/>
      <c r="D127" s="1001"/>
      <c r="E127" s="1001"/>
      <c r="F127" s="1001"/>
      <c r="G127" s="1001"/>
      <c r="H127" s="1001"/>
      <c r="I127" s="1001"/>
      <c r="J127" s="1001"/>
      <c r="K127" s="1001">
        <v>0</v>
      </c>
      <c r="L127" s="1001"/>
      <c r="M127" s="1001">
        <v>0</v>
      </c>
      <c r="N127" s="1001"/>
      <c r="O127" s="1001"/>
    </row>
    <row r="128" spans="2:15">
      <c r="B128" s="1002" t="s">
        <v>852</v>
      </c>
      <c r="C128" s="1001"/>
      <c r="D128" s="1001"/>
      <c r="E128" s="1001"/>
      <c r="F128" s="1001"/>
      <c r="G128" s="1001"/>
      <c r="H128" s="1001"/>
      <c r="I128" s="1001"/>
      <c r="J128" s="1001"/>
      <c r="K128" s="1001">
        <v>0</v>
      </c>
      <c r="L128" s="1001"/>
      <c r="M128" s="1001">
        <v>0</v>
      </c>
      <c r="N128" s="1001"/>
      <c r="O128" s="1001"/>
    </row>
    <row r="129" spans="2:15" ht="15" customHeight="1">
      <c r="B129" s="1002" t="s">
        <v>853</v>
      </c>
      <c r="C129" s="1001"/>
      <c r="D129" s="1001"/>
      <c r="E129" s="1001"/>
      <c r="F129" s="1001"/>
      <c r="G129" s="1001"/>
      <c r="H129" s="1001"/>
      <c r="I129" s="1001"/>
      <c r="J129" s="1001"/>
      <c r="K129" s="1001">
        <v>0</v>
      </c>
      <c r="L129" s="1001"/>
      <c r="M129" s="1001">
        <v>0</v>
      </c>
      <c r="N129" s="1001"/>
      <c r="O129" s="1001"/>
    </row>
    <row r="130" spans="2:15">
      <c r="B130" s="1002" t="s">
        <v>854</v>
      </c>
      <c r="C130" s="1001"/>
      <c r="D130" s="1001"/>
      <c r="E130" s="1001"/>
      <c r="F130" s="1001"/>
      <c r="G130" s="1001"/>
      <c r="H130" s="1001"/>
      <c r="I130" s="1001"/>
      <c r="J130" s="1001"/>
      <c r="K130" s="1001">
        <v>0</v>
      </c>
      <c r="L130" s="1001"/>
      <c r="M130" s="1001">
        <v>0</v>
      </c>
      <c r="N130" s="1001"/>
      <c r="O130" s="1001"/>
    </row>
    <row r="131" spans="2:15" outlineLevel="1">
      <c r="B131" s="1002" t="s">
        <v>855</v>
      </c>
      <c r="C131" s="1001"/>
      <c r="D131" s="1001"/>
      <c r="E131" s="1001"/>
      <c r="F131" s="1001"/>
      <c r="G131" s="1001"/>
      <c r="H131" s="1001"/>
      <c r="I131" s="1001"/>
      <c r="J131" s="1001"/>
      <c r="K131" s="1001">
        <v>0</v>
      </c>
      <c r="L131" s="1001"/>
      <c r="M131" s="1001">
        <v>0</v>
      </c>
      <c r="N131" s="1001"/>
      <c r="O131" s="1001"/>
    </row>
    <row r="132" spans="2:15" outlineLevel="1">
      <c r="B132" s="998" t="s">
        <v>443</v>
      </c>
      <c r="C132" s="999">
        <v>2060</v>
      </c>
      <c r="D132" s="999">
        <v>0</v>
      </c>
      <c r="E132" s="999">
        <v>0</v>
      </c>
      <c r="F132" s="999">
        <v>0</v>
      </c>
      <c r="G132" s="999">
        <v>0</v>
      </c>
      <c r="H132" s="999">
        <v>5293782.434557775</v>
      </c>
      <c r="I132" s="999">
        <v>80365976.178533778</v>
      </c>
      <c r="J132" s="999">
        <v>0</v>
      </c>
      <c r="K132" s="999">
        <v>0</v>
      </c>
      <c r="L132" s="999">
        <v>0</v>
      </c>
      <c r="M132" s="999">
        <v>0</v>
      </c>
      <c r="N132" s="999">
        <v>109467217.02000003</v>
      </c>
      <c r="O132" s="999">
        <v>545008812.78000009</v>
      </c>
    </row>
    <row r="133" spans="2:15" outlineLevel="1">
      <c r="B133" s="1000" t="s">
        <v>464</v>
      </c>
      <c r="C133" s="1001">
        <v>1329</v>
      </c>
      <c r="D133" s="1001">
        <v>0</v>
      </c>
      <c r="E133" s="1001">
        <v>0</v>
      </c>
      <c r="F133" s="1001">
        <v>0</v>
      </c>
      <c r="G133" s="1001">
        <v>0</v>
      </c>
      <c r="H133" s="1001">
        <v>2603297.799219125</v>
      </c>
      <c r="I133" s="1001">
        <v>45120412.990127474</v>
      </c>
      <c r="J133" s="1001">
        <v>0</v>
      </c>
      <c r="K133" s="1001">
        <v>0</v>
      </c>
      <c r="L133" s="1001">
        <v>0</v>
      </c>
      <c r="M133" s="1001">
        <v>0</v>
      </c>
      <c r="N133" s="1001">
        <v>718863.12000000011</v>
      </c>
      <c r="O133" s="1001">
        <v>4313178.7200000007</v>
      </c>
    </row>
    <row r="134" spans="2:15" outlineLevel="1">
      <c r="B134" s="1002" t="s">
        <v>661</v>
      </c>
      <c r="C134" s="1001">
        <v>59</v>
      </c>
      <c r="D134" s="1001">
        <v>0</v>
      </c>
      <c r="E134" s="1001">
        <v>0</v>
      </c>
      <c r="F134" s="1001">
        <v>0</v>
      </c>
      <c r="G134" s="1001">
        <v>0</v>
      </c>
      <c r="H134" s="1001">
        <v>1465836.289899</v>
      </c>
      <c r="I134" s="1001">
        <v>25575881.526995603</v>
      </c>
      <c r="J134" s="1001">
        <v>0</v>
      </c>
      <c r="K134" s="1001">
        <v>0</v>
      </c>
      <c r="L134" s="1001">
        <v>0</v>
      </c>
      <c r="M134" s="1001">
        <v>0</v>
      </c>
      <c r="N134" s="1001">
        <v>0</v>
      </c>
      <c r="O134" s="1001">
        <v>0</v>
      </c>
    </row>
    <row r="135" spans="2:15" outlineLevel="1">
      <c r="B135" s="1002" t="s">
        <v>911</v>
      </c>
      <c r="C135" s="1001">
        <v>1270</v>
      </c>
      <c r="D135" s="1001">
        <v>0</v>
      </c>
      <c r="E135" s="1001">
        <v>0</v>
      </c>
      <c r="F135" s="1001">
        <v>0</v>
      </c>
      <c r="G135" s="1001">
        <v>0</v>
      </c>
      <c r="H135" s="1001">
        <v>1137461.5093201248</v>
      </c>
      <c r="I135" s="1001">
        <v>19544531.463131875</v>
      </c>
      <c r="J135" s="1001">
        <v>0</v>
      </c>
      <c r="K135" s="1001">
        <v>0</v>
      </c>
      <c r="L135" s="1001">
        <v>0</v>
      </c>
      <c r="M135" s="1001">
        <v>0</v>
      </c>
      <c r="N135" s="1001">
        <v>718863.12000000011</v>
      </c>
      <c r="O135" s="1001">
        <v>4313178.7200000007</v>
      </c>
    </row>
    <row r="136" spans="2:15" outlineLevel="1">
      <c r="B136" s="1000" t="s">
        <v>870</v>
      </c>
      <c r="C136" s="1001">
        <v>731</v>
      </c>
      <c r="D136" s="1001">
        <v>0</v>
      </c>
      <c r="E136" s="1001">
        <v>0</v>
      </c>
      <c r="F136" s="1001">
        <v>0</v>
      </c>
      <c r="G136" s="1001">
        <v>0</v>
      </c>
      <c r="H136" s="1001">
        <v>2690484.6353386506</v>
      </c>
      <c r="I136" s="1001">
        <v>35245563.188406304</v>
      </c>
      <c r="J136" s="1001">
        <v>0</v>
      </c>
      <c r="K136" s="1001">
        <v>0</v>
      </c>
      <c r="L136" s="1001">
        <v>0</v>
      </c>
      <c r="M136" s="1001">
        <v>0</v>
      </c>
      <c r="N136" s="1001">
        <v>108748353.90000002</v>
      </c>
      <c r="O136" s="1001">
        <v>540695634.06000006</v>
      </c>
    </row>
    <row r="137" spans="2:15">
      <c r="B137" s="1002" t="s">
        <v>841</v>
      </c>
      <c r="C137" s="1001">
        <v>293</v>
      </c>
      <c r="D137" s="1001">
        <v>0</v>
      </c>
      <c r="E137" s="1001">
        <v>0</v>
      </c>
      <c r="F137" s="1001">
        <v>0</v>
      </c>
      <c r="G137" s="1001">
        <v>0</v>
      </c>
      <c r="H137" s="1001">
        <v>2394732.0561486501</v>
      </c>
      <c r="I137" s="1001">
        <v>31062006.920261305</v>
      </c>
      <c r="J137" s="1001">
        <v>0</v>
      </c>
      <c r="K137" s="1001">
        <v>0</v>
      </c>
      <c r="L137" s="1001">
        <v>0</v>
      </c>
      <c r="M137" s="1001">
        <v>0</v>
      </c>
      <c r="N137" s="1001">
        <v>71422822.440000013</v>
      </c>
      <c r="O137" s="1001">
        <v>354153230.64000005</v>
      </c>
    </row>
    <row r="138" spans="2:15">
      <c r="B138" s="1002" t="s">
        <v>659</v>
      </c>
      <c r="C138" s="1001">
        <v>292</v>
      </c>
      <c r="D138" s="1001">
        <v>0</v>
      </c>
      <c r="E138" s="1001">
        <v>0</v>
      </c>
      <c r="F138" s="1001">
        <v>0</v>
      </c>
      <c r="G138" s="1001">
        <v>0</v>
      </c>
      <c r="H138" s="1001">
        <v>99033.039540000027</v>
      </c>
      <c r="I138" s="1001">
        <v>1093088.2892150003</v>
      </c>
      <c r="J138" s="1001">
        <v>0</v>
      </c>
      <c r="K138" s="1001">
        <v>0</v>
      </c>
      <c r="L138" s="1001">
        <v>0</v>
      </c>
      <c r="M138" s="1001">
        <v>0</v>
      </c>
      <c r="N138" s="1001">
        <v>36044980.560000002</v>
      </c>
      <c r="O138" s="1001">
        <v>177578547.12</v>
      </c>
    </row>
    <row r="139" spans="2:15">
      <c r="B139" s="1002" t="s">
        <v>882</v>
      </c>
      <c r="C139" s="1001"/>
      <c r="D139" s="1001">
        <v>0</v>
      </c>
      <c r="E139" s="1001">
        <v>0</v>
      </c>
      <c r="F139" s="1001">
        <v>0</v>
      </c>
      <c r="G139" s="1001">
        <v>0</v>
      </c>
      <c r="H139" s="1001">
        <v>0</v>
      </c>
      <c r="I139" s="1001">
        <v>0</v>
      </c>
      <c r="J139" s="1001">
        <v>0</v>
      </c>
      <c r="K139" s="1001">
        <v>0</v>
      </c>
      <c r="L139" s="1001">
        <v>0</v>
      </c>
      <c r="M139" s="1001">
        <v>0</v>
      </c>
      <c r="N139" s="1001">
        <v>0</v>
      </c>
      <c r="O139" s="1001">
        <v>0</v>
      </c>
    </row>
    <row r="140" spans="2:15">
      <c r="B140" s="1002" t="s">
        <v>912</v>
      </c>
      <c r="C140" s="1001">
        <v>146</v>
      </c>
      <c r="D140" s="1001">
        <v>0</v>
      </c>
      <c r="E140" s="1001">
        <v>0</v>
      </c>
      <c r="F140" s="1001">
        <v>0</v>
      </c>
      <c r="G140" s="1001">
        <v>0</v>
      </c>
      <c r="H140" s="1001">
        <v>196719.53964999996</v>
      </c>
      <c r="I140" s="1001">
        <v>3090467.9789299993</v>
      </c>
      <c r="J140" s="1001">
        <v>0</v>
      </c>
      <c r="K140" s="1001">
        <v>0</v>
      </c>
      <c r="L140" s="1001">
        <v>0</v>
      </c>
      <c r="M140" s="1001">
        <v>0</v>
      </c>
      <c r="N140" s="1001">
        <v>1280550.8999999999</v>
      </c>
      <c r="O140" s="1001">
        <v>8963856.2999999989</v>
      </c>
    </row>
    <row r="141" spans="2:15">
      <c r="B141" s="1000" t="s">
        <v>862</v>
      </c>
      <c r="C141" s="1001"/>
      <c r="D141" s="1001"/>
      <c r="E141" s="1001"/>
      <c r="F141" s="1001"/>
      <c r="G141" s="1001"/>
      <c r="H141" s="1001"/>
      <c r="I141" s="1001"/>
      <c r="J141" s="1001"/>
      <c r="K141" s="1001">
        <v>0</v>
      </c>
      <c r="L141" s="1001"/>
      <c r="M141" s="1001">
        <v>0</v>
      </c>
      <c r="N141" s="1001"/>
      <c r="O141" s="1001"/>
    </row>
    <row r="142" spans="2:15">
      <c r="B142" s="1002" t="s">
        <v>863</v>
      </c>
      <c r="C142" s="1001"/>
      <c r="D142" s="1001"/>
      <c r="E142" s="1001"/>
      <c r="F142" s="1001"/>
      <c r="G142" s="1001"/>
      <c r="H142" s="1001"/>
      <c r="I142" s="1001"/>
      <c r="J142" s="1001"/>
      <c r="K142" s="1001">
        <v>0</v>
      </c>
      <c r="L142" s="1001"/>
      <c r="M142" s="1001">
        <v>0</v>
      </c>
      <c r="N142" s="1001"/>
      <c r="O142" s="1001"/>
    </row>
    <row r="143" spans="2:15">
      <c r="B143" s="1002" t="s">
        <v>864</v>
      </c>
      <c r="C143" s="1001"/>
      <c r="D143" s="1001"/>
      <c r="E143" s="1001"/>
      <c r="F143" s="1001"/>
      <c r="G143" s="1001"/>
      <c r="H143" s="1001"/>
      <c r="I143" s="1001"/>
      <c r="J143" s="1001"/>
      <c r="K143" s="1001">
        <v>0</v>
      </c>
      <c r="L143" s="1001"/>
      <c r="M143" s="1001">
        <v>0</v>
      </c>
      <c r="N143" s="1001"/>
      <c r="O143" s="1001"/>
    </row>
    <row r="144" spans="2:15">
      <c r="B144" s="1002" t="s">
        <v>865</v>
      </c>
      <c r="C144" s="1001"/>
      <c r="D144" s="1001"/>
      <c r="E144" s="1001"/>
      <c r="F144" s="1001"/>
      <c r="G144" s="1001"/>
      <c r="H144" s="1001"/>
      <c r="I144" s="1001"/>
      <c r="J144" s="1001"/>
      <c r="K144" s="1001">
        <v>0</v>
      </c>
      <c r="L144" s="1001"/>
      <c r="M144" s="1001">
        <v>0</v>
      </c>
      <c r="N144" s="1001"/>
      <c r="O144" s="1001"/>
    </row>
    <row r="145" spans="2:15">
      <c r="B145" s="1002" t="s">
        <v>866</v>
      </c>
      <c r="C145" s="1001"/>
      <c r="D145" s="1001"/>
      <c r="E145" s="1001"/>
      <c r="F145" s="1001"/>
      <c r="G145" s="1001"/>
      <c r="H145" s="1001"/>
      <c r="I145" s="1001"/>
      <c r="J145" s="1001"/>
      <c r="K145" s="1001">
        <v>0</v>
      </c>
      <c r="L145" s="1001"/>
      <c r="M145" s="1001">
        <v>0</v>
      </c>
      <c r="N145" s="1001"/>
      <c r="O145" s="1001"/>
    </row>
    <row r="146" spans="2:15">
      <c r="B146" s="1002" t="s">
        <v>867</v>
      </c>
      <c r="C146" s="1001"/>
      <c r="D146" s="1001"/>
      <c r="E146" s="1001"/>
      <c r="F146" s="1001"/>
      <c r="G146" s="1001"/>
      <c r="H146" s="1001"/>
      <c r="I146" s="1001"/>
      <c r="J146" s="1001"/>
      <c r="K146" s="1001">
        <v>0</v>
      </c>
      <c r="L146" s="1001"/>
      <c r="M146" s="1001">
        <v>0</v>
      </c>
      <c r="N146" s="1001"/>
      <c r="O146" s="1001"/>
    </row>
    <row r="147" spans="2:15">
      <c r="B147" s="1002" t="s">
        <v>868</v>
      </c>
      <c r="C147" s="1001"/>
      <c r="D147" s="1001"/>
      <c r="E147" s="1001"/>
      <c r="F147" s="1001"/>
      <c r="G147" s="1001"/>
      <c r="H147" s="1001"/>
      <c r="I147" s="1001"/>
      <c r="J147" s="1001"/>
      <c r="K147" s="1001">
        <v>0</v>
      </c>
      <c r="L147" s="1001"/>
      <c r="M147" s="1001">
        <v>0</v>
      </c>
      <c r="N147" s="1001"/>
      <c r="O147" s="1001"/>
    </row>
    <row r="148" spans="2:15">
      <c r="B148" s="1002" t="s">
        <v>869</v>
      </c>
      <c r="C148" s="1001"/>
      <c r="D148" s="1001"/>
      <c r="E148" s="1001"/>
      <c r="F148" s="1001"/>
      <c r="G148" s="1001"/>
      <c r="H148" s="1001"/>
      <c r="I148" s="1001"/>
      <c r="J148" s="1001"/>
      <c r="K148" s="1001">
        <v>0</v>
      </c>
      <c r="L148" s="1001"/>
      <c r="M148" s="1001">
        <v>0</v>
      </c>
      <c r="N148" s="1001"/>
      <c r="O148" s="1001"/>
    </row>
    <row r="149" spans="2:15">
      <c r="B149" s="1003" t="s">
        <v>1391</v>
      </c>
      <c r="C149" s="1001">
        <v>6795</v>
      </c>
      <c r="D149" s="1001">
        <v>345.65</v>
      </c>
      <c r="E149" s="1001">
        <v>165.85599999999999</v>
      </c>
      <c r="F149" s="1001">
        <v>409.87599999999998</v>
      </c>
      <c r="G149" s="1001">
        <v>8144.8879999999999</v>
      </c>
      <c r="H149" s="1001">
        <v>1287768.1687200004</v>
      </c>
      <c r="I149" s="1001">
        <v>25532333.725259997</v>
      </c>
      <c r="J149" s="1001">
        <v>0</v>
      </c>
      <c r="K149" s="1001">
        <v>0</v>
      </c>
      <c r="L149" s="1001">
        <v>0</v>
      </c>
      <c r="M149" s="1001">
        <v>0</v>
      </c>
      <c r="N149" s="1001">
        <v>1925166</v>
      </c>
      <c r="O149" s="1001">
        <v>13476162</v>
      </c>
    </row>
    <row r="150" spans="2:15">
      <c r="B150" s="1000" t="s">
        <v>463</v>
      </c>
      <c r="C150" s="1001">
        <v>6795</v>
      </c>
      <c r="D150" s="1001">
        <v>345.65</v>
      </c>
      <c r="E150" s="1001">
        <v>165.85599999999999</v>
      </c>
      <c r="F150" s="1001">
        <v>409.87599999999998</v>
      </c>
      <c r="G150" s="1001">
        <v>8144.8879999999999</v>
      </c>
      <c r="H150" s="1001">
        <v>1287768.1687200004</v>
      </c>
      <c r="I150" s="1001">
        <v>25532333.725259997</v>
      </c>
      <c r="J150" s="1001">
        <v>0</v>
      </c>
      <c r="K150" s="1001">
        <v>0</v>
      </c>
      <c r="L150" s="1001">
        <v>0</v>
      </c>
      <c r="M150" s="1001">
        <v>0</v>
      </c>
      <c r="N150" s="1001">
        <v>1925166</v>
      </c>
      <c r="O150" s="1001">
        <v>13476162</v>
      </c>
    </row>
    <row r="151" spans="2:15">
      <c r="B151" s="1002" t="s">
        <v>761</v>
      </c>
      <c r="C151" s="1001">
        <v>1470</v>
      </c>
      <c r="D151" s="1001">
        <v>345.65</v>
      </c>
      <c r="E151" s="1001">
        <v>165.85599999999999</v>
      </c>
      <c r="F151" s="1001">
        <v>409.87599999999998</v>
      </c>
      <c r="G151" s="1001">
        <v>8144.8879999999999</v>
      </c>
      <c r="H151" s="1001">
        <v>394174</v>
      </c>
      <c r="I151" s="1001">
        <v>7820138</v>
      </c>
      <c r="J151" s="1001">
        <v>0</v>
      </c>
      <c r="K151" s="1001">
        <v>0</v>
      </c>
      <c r="L151" s="1001">
        <v>0</v>
      </c>
      <c r="M151" s="1001">
        <v>0</v>
      </c>
      <c r="N151" s="1001">
        <v>0</v>
      </c>
      <c r="O151" s="1001">
        <v>0</v>
      </c>
    </row>
    <row r="152" spans="2:15">
      <c r="B152" s="1002" t="s">
        <v>765</v>
      </c>
      <c r="C152" s="1001">
        <v>5325</v>
      </c>
      <c r="D152" s="1001">
        <v>0</v>
      </c>
      <c r="E152" s="1001">
        <v>0</v>
      </c>
      <c r="F152" s="1001">
        <v>0</v>
      </c>
      <c r="G152" s="1001">
        <v>0</v>
      </c>
      <c r="H152" s="1001">
        <v>893594.16872000031</v>
      </c>
      <c r="I152" s="1001">
        <v>17712195.725259997</v>
      </c>
      <c r="J152" s="1001">
        <v>0</v>
      </c>
      <c r="K152" s="1001">
        <v>0</v>
      </c>
      <c r="L152" s="1001">
        <v>0</v>
      </c>
      <c r="M152" s="1001">
        <v>0</v>
      </c>
      <c r="N152" s="1001">
        <v>1925166</v>
      </c>
      <c r="O152" s="1001">
        <v>13476162</v>
      </c>
    </row>
    <row r="153" spans="2:15">
      <c r="B153" s="1000" t="s">
        <v>856</v>
      </c>
      <c r="C153" s="1001"/>
      <c r="D153" s="1001"/>
      <c r="E153" s="1001"/>
      <c r="F153" s="1001"/>
      <c r="G153" s="1001"/>
      <c r="H153" s="1001"/>
      <c r="I153" s="1001"/>
      <c r="J153" s="1001"/>
      <c r="K153" s="1001">
        <v>0</v>
      </c>
      <c r="L153" s="1001"/>
      <c r="M153" s="1001">
        <v>0</v>
      </c>
      <c r="N153" s="1001"/>
      <c r="O153" s="1001"/>
    </row>
    <row r="154" spans="2:15">
      <c r="B154" s="1002" t="s">
        <v>857</v>
      </c>
      <c r="C154" s="1001"/>
      <c r="D154" s="1001"/>
      <c r="E154" s="1001"/>
      <c r="F154" s="1001"/>
      <c r="G154" s="1001"/>
      <c r="H154" s="1001"/>
      <c r="I154" s="1001"/>
      <c r="J154" s="1001"/>
      <c r="K154" s="1001">
        <v>0</v>
      </c>
      <c r="L154" s="1001"/>
      <c r="M154" s="1001">
        <v>0</v>
      </c>
      <c r="N154" s="1001"/>
      <c r="O154" s="1001"/>
    </row>
    <row r="155" spans="2:15">
      <c r="B155" s="1002" t="s">
        <v>858</v>
      </c>
      <c r="C155" s="1001"/>
      <c r="D155" s="1001"/>
      <c r="E155" s="1001"/>
      <c r="F155" s="1001"/>
      <c r="G155" s="1001"/>
      <c r="H155" s="1001"/>
      <c r="I155" s="1001"/>
      <c r="J155" s="1001"/>
      <c r="K155" s="1001">
        <v>0</v>
      </c>
      <c r="L155" s="1001"/>
      <c r="M155" s="1001">
        <v>0</v>
      </c>
      <c r="N155" s="1001"/>
      <c r="O155" s="1001"/>
    </row>
    <row r="156" spans="2:15">
      <c r="B156" s="1002" t="s">
        <v>859</v>
      </c>
      <c r="C156" s="1001"/>
      <c r="D156" s="1001"/>
      <c r="E156" s="1001"/>
      <c r="F156" s="1001"/>
      <c r="G156" s="1001"/>
      <c r="H156" s="1001"/>
      <c r="I156" s="1001"/>
      <c r="J156" s="1001"/>
      <c r="K156" s="1001">
        <v>0</v>
      </c>
      <c r="L156" s="1001"/>
      <c r="M156" s="1001">
        <v>0</v>
      </c>
      <c r="N156" s="1001"/>
      <c r="O156" s="1001"/>
    </row>
    <row r="157" spans="2:15">
      <c r="B157" s="1002" t="s">
        <v>860</v>
      </c>
      <c r="C157" s="1001"/>
      <c r="D157" s="1001"/>
      <c r="E157" s="1001"/>
      <c r="F157" s="1001"/>
      <c r="G157" s="1001"/>
      <c r="H157" s="1001"/>
      <c r="I157" s="1001"/>
      <c r="J157" s="1001"/>
      <c r="K157" s="1001">
        <v>0</v>
      </c>
      <c r="L157" s="1001"/>
      <c r="M157" s="1001">
        <v>0</v>
      </c>
      <c r="N157" s="1001"/>
      <c r="O157" s="1001"/>
    </row>
    <row r="158" spans="2:15">
      <c r="B158" s="1002" t="s">
        <v>861</v>
      </c>
      <c r="C158" s="1001"/>
      <c r="D158" s="1001"/>
      <c r="E158" s="1001"/>
      <c r="F158" s="1001"/>
      <c r="G158" s="1001"/>
      <c r="H158" s="1001"/>
      <c r="I158" s="1001"/>
      <c r="J158" s="1001"/>
      <c r="K158" s="1001">
        <v>0</v>
      </c>
      <c r="L158" s="1001"/>
      <c r="M158" s="1001">
        <v>0</v>
      </c>
      <c r="N158" s="1001"/>
      <c r="O158" s="1001"/>
    </row>
    <row r="159" spans="2:15">
      <c r="B159" s="998" t="s">
        <v>90</v>
      </c>
      <c r="C159" s="999">
        <v>470901</v>
      </c>
      <c r="D159" s="999">
        <v>5540.2107543999209</v>
      </c>
      <c r="E159" s="999">
        <v>1907.5116151050524</v>
      </c>
      <c r="F159" s="999">
        <v>9946.4523427149979</v>
      </c>
      <c r="G159" s="999">
        <v>120466.18662377502</v>
      </c>
      <c r="H159" s="999">
        <v>16428365.970547775</v>
      </c>
      <c r="I159" s="999">
        <v>206839262.72724375</v>
      </c>
      <c r="J159" s="999">
        <v>0</v>
      </c>
      <c r="K159" s="999">
        <v>0</v>
      </c>
      <c r="L159" s="999">
        <v>0</v>
      </c>
      <c r="M159" s="999">
        <v>0</v>
      </c>
      <c r="N159" s="999">
        <v>144279744.67000002</v>
      </c>
      <c r="O159" s="999">
        <v>788696506.33000004</v>
      </c>
    </row>
    <row r="191" outlineLevel="1"/>
    <row r="192" outlineLevel="1"/>
    <row r="193" outlineLevel="1"/>
    <row r="194" outlineLevel="1"/>
    <row r="195" outlineLevel="1"/>
    <row r="196" outlineLevel="1"/>
  </sheetData>
  <mergeCells count="26">
    <mergeCell ref="B7:O7"/>
    <mergeCell ref="B8:B10"/>
    <mergeCell ref="C8:C10"/>
    <mergeCell ref="D8:G8"/>
    <mergeCell ref="H8:I8"/>
    <mergeCell ref="J8:M8"/>
    <mergeCell ref="N8:O8"/>
    <mergeCell ref="D9:E9"/>
    <mergeCell ref="F9:G9"/>
    <mergeCell ref="H9:I9"/>
    <mergeCell ref="J9:K9"/>
    <mergeCell ref="L9:M9"/>
    <mergeCell ref="N9:O9"/>
    <mergeCell ref="N103:O103"/>
    <mergeCell ref="B101:O101"/>
    <mergeCell ref="B102:B104"/>
    <mergeCell ref="C102:C104"/>
    <mergeCell ref="D102:G102"/>
    <mergeCell ref="H102:I102"/>
    <mergeCell ref="J102:M102"/>
    <mergeCell ref="N102:O102"/>
    <mergeCell ref="D103:E103"/>
    <mergeCell ref="F103:G103"/>
    <mergeCell ref="H103:I103"/>
    <mergeCell ref="J103:K103"/>
    <mergeCell ref="L103:M103"/>
  </mergeCells>
  <pageMargins left="0.7" right="0.7" top="1.3958333333333333" bottom="0.75" header="0.3" footer="0.3"/>
  <pageSetup fitToHeight="3" orientation="landscape" r:id="rId3"/>
  <headerFooter>
    <oddHeader>&amp;RBoston Gas Company and Colonial Gas Company 
d/b/a National Grid 
D.P.U. 18-51
2017 Energy Efficiency Plan-Year Report
Appendix 2, BCR Model
&amp;P of &amp;N</oddHeader>
  </headerFooter>
  <rowBreaks count="1" manualBreakCount="1">
    <brk id="99" min="1"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AD251"/>
  <sheetViews>
    <sheetView topLeftCell="A26" zoomScale="80" zoomScaleNormal="80" workbookViewId="0">
      <selection activeCell="B38" sqref="B38:S38"/>
    </sheetView>
  </sheetViews>
  <sheetFormatPr defaultColWidth="9.140625" defaultRowHeight="15" outlineLevelRow="1"/>
  <cols>
    <col min="1" max="1" width="2.7109375" style="728" customWidth="1"/>
    <col min="2" max="2" width="53.85546875" style="728" bestFit="1" customWidth="1"/>
    <col min="3" max="3" width="17.140625" style="728" customWidth="1"/>
    <col min="4" max="4" width="15.5703125" style="728" customWidth="1"/>
    <col min="5" max="5" width="14.85546875" style="728" customWidth="1"/>
    <col min="6" max="7" width="16.85546875" style="728" customWidth="1"/>
    <col min="8" max="8" width="15.140625" style="728" customWidth="1"/>
    <col min="9" max="9" width="17.42578125" style="728" customWidth="1"/>
    <col min="10" max="10" width="19.28515625" style="727" customWidth="1"/>
    <col min="11" max="11" width="14.85546875" style="727" customWidth="1"/>
    <col min="12" max="12" width="20.28515625" style="727" bestFit="1" customWidth="1"/>
    <col min="13" max="13" width="17.85546875" style="728" customWidth="1"/>
    <col min="14" max="14" width="16.140625" style="728" customWidth="1"/>
    <col min="15" max="15" width="15.5703125" style="728" customWidth="1"/>
    <col min="16" max="16" width="12.85546875" style="728" customWidth="1"/>
    <col min="17" max="17" width="19.5703125" style="728" customWidth="1"/>
    <col min="18" max="18" width="19.28515625" style="728" bestFit="1" customWidth="1"/>
    <col min="19" max="19" width="16.85546875" style="728" customWidth="1"/>
    <col min="20" max="20" width="1.7109375" style="728" customWidth="1"/>
    <col min="21" max="21" width="16.28515625" style="728" customWidth="1"/>
    <col min="22" max="22" width="16.140625" style="728" customWidth="1"/>
    <col min="23" max="16384" width="9.140625" style="728"/>
  </cols>
  <sheetData>
    <row r="2" spans="2:22" ht="21">
      <c r="B2" s="725" t="s">
        <v>874</v>
      </c>
      <c r="C2" s="726"/>
      <c r="D2" s="726"/>
      <c r="E2" s="726"/>
      <c r="F2" s="726"/>
      <c r="G2" s="726"/>
      <c r="H2" s="726"/>
      <c r="I2" s="726"/>
      <c r="J2" s="726"/>
    </row>
    <row r="3" spans="2:22" ht="18.75">
      <c r="B3" s="729" t="s">
        <v>875</v>
      </c>
      <c r="C3" s="726"/>
      <c r="D3" s="726"/>
      <c r="E3" s="726"/>
      <c r="F3" s="726"/>
      <c r="G3" s="726"/>
      <c r="H3" s="726"/>
      <c r="I3" s="726"/>
      <c r="J3" s="730"/>
      <c r="K3" s="731"/>
      <c r="L3" s="731"/>
      <c r="M3" s="731"/>
      <c r="N3" s="731"/>
      <c r="O3" s="731"/>
      <c r="P3" s="731"/>
      <c r="Q3" s="731"/>
      <c r="R3" s="731"/>
      <c r="S3" s="731"/>
      <c r="T3" s="731"/>
      <c r="U3" s="730"/>
    </row>
    <row r="4" spans="2:22" ht="15.75">
      <c r="B4" s="732" t="str">
        <f>'Lookups-Assumptions'!D5</f>
        <v>National Grid</v>
      </c>
      <c r="C4" s="726"/>
      <c r="D4" s="726"/>
      <c r="E4" s="726"/>
      <c r="F4" s="726"/>
      <c r="G4" s="726"/>
      <c r="H4" s="726"/>
      <c r="I4" s="726"/>
      <c r="J4" s="733"/>
      <c r="K4" s="731"/>
      <c r="L4" s="731"/>
      <c r="M4" s="731"/>
      <c r="N4" s="731"/>
      <c r="O4" s="731"/>
      <c r="P4" s="731"/>
      <c r="Q4" s="731"/>
      <c r="R4" s="731"/>
      <c r="S4" s="731"/>
      <c r="T4" s="731"/>
      <c r="U4" s="733"/>
    </row>
    <row r="5" spans="2:22">
      <c r="B5" s="734" t="str">
        <f>'Lookups-Assumptions'!D4</f>
        <v>Gas</v>
      </c>
      <c r="C5" s="734"/>
      <c r="D5" s="734"/>
      <c r="E5" s="734"/>
      <c r="F5" s="734"/>
      <c r="G5" s="734"/>
      <c r="H5" s="734"/>
      <c r="I5" s="734"/>
      <c r="J5" s="733" t="s">
        <v>37</v>
      </c>
      <c r="K5" s="731"/>
      <c r="L5" s="731"/>
      <c r="M5" s="731"/>
      <c r="N5" s="731"/>
      <c r="O5" s="731"/>
      <c r="P5" s="731"/>
      <c r="Q5" s="731"/>
      <c r="R5" s="731"/>
      <c r="S5" s="731"/>
      <c r="T5" s="731"/>
      <c r="U5" s="733" t="s">
        <v>37</v>
      </c>
    </row>
    <row r="6" spans="2:22">
      <c r="K6" s="728"/>
      <c r="L6" s="728"/>
      <c r="S6" s="727"/>
    </row>
    <row r="7" spans="2:22" ht="15.75">
      <c r="B7" s="1189" t="str">
        <f>IF(C14="(Multiple Items)","2016-2018",C14)&amp;" Benefits"</f>
        <v>2017 Benefits</v>
      </c>
      <c r="C7" s="1189"/>
      <c r="D7" s="1189"/>
      <c r="E7" s="1189"/>
      <c r="F7" s="1189"/>
      <c r="G7" s="1189"/>
      <c r="H7" s="1189"/>
      <c r="I7" s="1189"/>
      <c r="J7" s="1189"/>
      <c r="K7" s="1196" t="str">
        <f>B7</f>
        <v>2017 Benefits</v>
      </c>
      <c r="L7" s="1197"/>
      <c r="M7" s="1197"/>
      <c r="N7" s="1197"/>
      <c r="O7" s="1197"/>
      <c r="P7" s="1197"/>
      <c r="Q7" s="1197"/>
      <c r="R7" s="1197"/>
      <c r="S7" s="1197"/>
      <c r="T7" s="1197"/>
      <c r="U7" s="1198"/>
    </row>
    <row r="8" spans="2:22" ht="15" customHeight="1">
      <c r="B8" s="1199" t="s">
        <v>8</v>
      </c>
      <c r="C8" s="1200" t="s">
        <v>629</v>
      </c>
      <c r="D8" s="1200"/>
      <c r="E8" s="1200"/>
      <c r="F8" s="1200"/>
      <c r="G8" s="1200"/>
      <c r="H8" s="1200"/>
      <c r="I8" s="1200"/>
      <c r="J8" s="1200"/>
      <c r="K8" s="1201" t="s">
        <v>436</v>
      </c>
      <c r="L8" s="1201"/>
      <c r="M8" s="1201"/>
      <c r="N8" s="1201" t="s">
        <v>876</v>
      </c>
      <c r="O8" s="1201"/>
      <c r="P8" s="1202" t="s">
        <v>877</v>
      </c>
      <c r="Q8" s="1204" t="s">
        <v>430</v>
      </c>
      <c r="R8" s="1206" t="s">
        <v>878</v>
      </c>
      <c r="S8" s="1208" t="s">
        <v>617</v>
      </c>
      <c r="U8" s="1210" t="s">
        <v>879</v>
      </c>
    </row>
    <row r="9" spans="2:22" ht="15" customHeight="1">
      <c r="B9" s="1190"/>
      <c r="C9" s="1209" t="s">
        <v>228</v>
      </c>
      <c r="D9" s="1209"/>
      <c r="E9" s="1209"/>
      <c r="F9" s="1209"/>
      <c r="G9" s="1209"/>
      <c r="H9" s="1209" t="s">
        <v>880</v>
      </c>
      <c r="I9" s="1209"/>
      <c r="J9" s="1209"/>
      <c r="K9" s="1194" t="s">
        <v>630</v>
      </c>
      <c r="L9" s="1194" t="s">
        <v>631</v>
      </c>
      <c r="M9" s="1194" t="s">
        <v>417</v>
      </c>
      <c r="N9" s="1194" t="s">
        <v>632</v>
      </c>
      <c r="O9" s="1195" t="s">
        <v>34</v>
      </c>
      <c r="P9" s="1203"/>
      <c r="Q9" s="1205"/>
      <c r="R9" s="1206"/>
      <c r="S9" s="1209"/>
      <c r="U9" s="1210"/>
    </row>
    <row r="10" spans="2:22" ht="30">
      <c r="B10" s="1190"/>
      <c r="C10" s="735" t="s">
        <v>196</v>
      </c>
      <c r="D10" s="735" t="s">
        <v>198</v>
      </c>
      <c r="E10" s="735" t="s">
        <v>199</v>
      </c>
      <c r="F10" s="736" t="s">
        <v>245</v>
      </c>
      <c r="G10" s="735" t="s">
        <v>435</v>
      </c>
      <c r="H10" s="736" t="s">
        <v>880</v>
      </c>
      <c r="I10" s="736" t="s">
        <v>412</v>
      </c>
      <c r="J10" s="736" t="s">
        <v>881</v>
      </c>
      <c r="K10" s="1194"/>
      <c r="L10" s="1194"/>
      <c r="M10" s="1194"/>
      <c r="N10" s="1194"/>
      <c r="O10" s="1194"/>
      <c r="P10" s="736" t="s">
        <v>201</v>
      </c>
      <c r="Q10" s="1205"/>
      <c r="R10" s="1207"/>
      <c r="S10" s="1209"/>
      <c r="U10" s="1211"/>
    </row>
    <row r="11" spans="2:22" hidden="1" outlineLevel="1">
      <c r="B11"/>
      <c r="C11"/>
      <c r="D11" s="737"/>
      <c r="E11" s="737"/>
      <c r="F11" s="738"/>
      <c r="G11" s="737"/>
      <c r="H11" s="738"/>
      <c r="I11" s="738"/>
      <c r="J11" s="738"/>
      <c r="K11" s="738"/>
      <c r="L11" s="738"/>
      <c r="M11" s="738"/>
      <c r="N11" s="738"/>
      <c r="O11" s="738"/>
      <c r="P11" s="738"/>
      <c r="Q11" s="738"/>
      <c r="R11" s="739"/>
      <c r="S11" s="740"/>
      <c r="T11" s="737"/>
      <c r="V11" s="741"/>
    </row>
    <row r="12" spans="2:22" hidden="1" outlineLevel="1">
      <c r="B12" s="995" t="s">
        <v>619</v>
      </c>
      <c r="C12" s="996" t="s">
        <v>474</v>
      </c>
      <c r="D12" s="742"/>
      <c r="E12" s="742"/>
      <c r="F12" s="742"/>
      <c r="G12" s="742"/>
      <c r="H12" s="742"/>
      <c r="I12" s="742"/>
      <c r="N12" s="743"/>
      <c r="O12" s="743"/>
      <c r="P12" s="743"/>
      <c r="Q12" s="743"/>
      <c r="R12" s="743"/>
    </row>
    <row r="13" spans="2:22" hidden="1" outlineLevel="1">
      <c r="B13" s="995" t="s">
        <v>620</v>
      </c>
      <c r="C13" s="996" t="s">
        <v>1387</v>
      </c>
      <c r="D13" s="743"/>
      <c r="E13" s="743"/>
      <c r="F13" s="743"/>
      <c r="G13" s="743"/>
      <c r="H13" s="743"/>
      <c r="I13" s="743"/>
    </row>
    <row r="14" spans="2:22" hidden="1" outlineLevel="1">
      <c r="B14" s="995" t="s">
        <v>280</v>
      </c>
      <c r="C14" s="997">
        <v>2017</v>
      </c>
      <c r="D14" s="743"/>
      <c r="E14" s="743"/>
      <c r="F14" s="743"/>
      <c r="G14" s="743"/>
      <c r="H14" s="743"/>
      <c r="I14" s="743"/>
    </row>
    <row r="15" spans="2:22" ht="15" hidden="1" customHeight="1" outlineLevel="1">
      <c r="B15" s="743"/>
      <c r="C15" s="743"/>
      <c r="D15" s="743"/>
      <c r="E15" s="743"/>
      <c r="F15" s="743"/>
      <c r="G15" s="743"/>
      <c r="H15" s="743"/>
      <c r="I15" s="743"/>
    </row>
    <row r="16" spans="2:22" s="744" customFormat="1" ht="39" hidden="1" outlineLevel="1">
      <c r="B16" s="996"/>
      <c r="C16" s="1004" t="s">
        <v>633</v>
      </c>
      <c r="D16" s="1004" t="s">
        <v>634</v>
      </c>
      <c r="E16" s="1004" t="s">
        <v>635</v>
      </c>
      <c r="F16" s="1004" t="s">
        <v>636</v>
      </c>
      <c r="G16" s="1004" t="s">
        <v>637</v>
      </c>
      <c r="H16" s="996" t="s">
        <v>915</v>
      </c>
      <c r="I16" s="996" t="s">
        <v>914</v>
      </c>
      <c r="J16" s="1004" t="s">
        <v>638</v>
      </c>
      <c r="K16" s="1004" t="s">
        <v>639</v>
      </c>
      <c r="L16" s="1004" t="s">
        <v>640</v>
      </c>
      <c r="M16" s="1004" t="s">
        <v>641</v>
      </c>
      <c r="N16" s="1004" t="s">
        <v>642</v>
      </c>
      <c r="O16" s="1004" t="s">
        <v>643</v>
      </c>
      <c r="P16" s="1004" t="s">
        <v>644</v>
      </c>
      <c r="Q16" s="1004" t="s">
        <v>645</v>
      </c>
      <c r="R16" s="996" t="s">
        <v>871</v>
      </c>
      <c r="S16" s="1004" t="s">
        <v>623</v>
      </c>
      <c r="U16" s="745" t="s">
        <v>646</v>
      </c>
    </row>
    <row r="17" spans="2:29" s="746" customFormat="1" collapsed="1">
      <c r="B17" s="998" t="s">
        <v>239</v>
      </c>
      <c r="C17" s="999">
        <v>14548202.537605826</v>
      </c>
      <c r="D17" s="999">
        <v>962399.2230480758</v>
      </c>
      <c r="E17" s="999">
        <v>7553736.1071368465</v>
      </c>
      <c r="F17" s="999">
        <v>0</v>
      </c>
      <c r="G17" s="999">
        <v>23064337.867790747</v>
      </c>
      <c r="H17" s="999">
        <v>9051923.5388637092</v>
      </c>
      <c r="I17" s="999">
        <v>769986.90523095464</v>
      </c>
      <c r="J17" s="999">
        <v>9821910.4440946635</v>
      </c>
      <c r="K17" s="999">
        <v>85929879.068852574</v>
      </c>
      <c r="L17" s="999">
        <v>7259260.7190115675</v>
      </c>
      <c r="M17" s="999">
        <v>93189139.787864149</v>
      </c>
      <c r="N17" s="999">
        <v>0</v>
      </c>
      <c r="O17" s="999">
        <v>0</v>
      </c>
      <c r="P17" s="999">
        <v>2455988.2383699808</v>
      </c>
      <c r="Q17" s="999">
        <v>128531376.33811952</v>
      </c>
      <c r="R17" s="999">
        <v>34256186.355969116</v>
      </c>
      <c r="S17" s="999">
        <v>162787562.69408864</v>
      </c>
      <c r="U17" s="747">
        <f>Q17/Savings!C17</f>
        <v>278.17874483951709</v>
      </c>
      <c r="W17" s="748"/>
      <c r="X17" s="748"/>
      <c r="Y17" s="748"/>
      <c r="Z17" s="748"/>
      <c r="AA17" s="748"/>
      <c r="AB17" s="748"/>
      <c r="AC17" s="749"/>
    </row>
    <row r="18" spans="2:29" s="746" customFormat="1">
      <c r="B18" s="1000" t="s">
        <v>462</v>
      </c>
      <c r="C18" s="1005">
        <v>6792644.3793343706</v>
      </c>
      <c r="D18" s="1005">
        <v>443688.70082624629</v>
      </c>
      <c r="E18" s="1005">
        <v>3482450.1927018207</v>
      </c>
      <c r="F18" s="1005">
        <v>0</v>
      </c>
      <c r="G18" s="1005">
        <v>10718783.272862438</v>
      </c>
      <c r="H18" s="1005">
        <v>7558142.7626213776</v>
      </c>
      <c r="I18" s="1005">
        <v>669327.28482252569</v>
      </c>
      <c r="J18" s="1005">
        <v>8227470.0474439031</v>
      </c>
      <c r="K18" s="1005">
        <v>55876450.22419659</v>
      </c>
      <c r="L18" s="1005">
        <v>4960183.1222124081</v>
      </c>
      <c r="M18" s="1005">
        <v>60836633.346409008</v>
      </c>
      <c r="N18" s="1005">
        <v>0</v>
      </c>
      <c r="O18" s="1005">
        <v>0</v>
      </c>
      <c r="P18" s="1005">
        <v>2351959.1699448451</v>
      </c>
      <c r="Q18" s="1005">
        <v>82134845.836660177</v>
      </c>
      <c r="R18" s="1005">
        <v>31263207.074076511</v>
      </c>
      <c r="S18" s="1005">
        <v>113398052.91073669</v>
      </c>
      <c r="U18" s="750">
        <f>Q18/Savings!C18</f>
        <v>186.26793476961146</v>
      </c>
      <c r="W18" s="748"/>
      <c r="X18" s="748"/>
      <c r="Y18" s="748"/>
      <c r="Z18" s="748"/>
      <c r="AA18" s="748"/>
      <c r="AB18" s="748"/>
      <c r="AC18" s="749"/>
    </row>
    <row r="19" spans="2:29" s="746" customFormat="1">
      <c r="B19" s="1002" t="s">
        <v>615</v>
      </c>
      <c r="C19" s="1001">
        <v>499922.29827871482</v>
      </c>
      <c r="D19" s="1001">
        <v>32810.043749121556</v>
      </c>
      <c r="E19" s="1001">
        <v>257521.41752518702</v>
      </c>
      <c r="F19" s="1001">
        <v>0</v>
      </c>
      <c r="G19" s="1001">
        <v>790253.75955302338</v>
      </c>
      <c r="H19" s="1001">
        <v>912909.23635592172</v>
      </c>
      <c r="I19" s="1001">
        <v>65975.017774622509</v>
      </c>
      <c r="J19" s="1001">
        <v>978884.25413054426</v>
      </c>
      <c r="K19" s="1001">
        <v>14821744.34946079</v>
      </c>
      <c r="L19" s="1001">
        <v>894942.79356063996</v>
      </c>
      <c r="M19" s="1001">
        <v>15716687.143021431</v>
      </c>
      <c r="N19" s="1001">
        <v>0</v>
      </c>
      <c r="O19" s="1001">
        <v>0</v>
      </c>
      <c r="P19" s="1001">
        <v>0</v>
      </c>
      <c r="Q19" s="1001">
        <v>17485825.156705</v>
      </c>
      <c r="R19" s="1001">
        <v>8232148.5205083275</v>
      </c>
      <c r="S19" s="1001">
        <v>25717973.677213326</v>
      </c>
      <c r="U19" s="751">
        <f>Q19/Savings!C19</f>
        <v>6814.4291335561184</v>
      </c>
      <c r="W19" s="748"/>
      <c r="X19" s="748"/>
      <c r="Y19" s="748"/>
      <c r="Z19" s="748"/>
      <c r="AA19" s="748"/>
      <c r="AB19" s="748"/>
      <c r="AC19" s="749"/>
    </row>
    <row r="20" spans="2:29" s="746" customFormat="1">
      <c r="B20" s="1002" t="s">
        <v>725</v>
      </c>
      <c r="C20" s="1001">
        <v>401.78705608055157</v>
      </c>
      <c r="D20" s="1001">
        <v>26.872491886253194</v>
      </c>
      <c r="E20" s="1001">
        <v>210.91840827451773</v>
      </c>
      <c r="F20" s="1001">
        <v>0</v>
      </c>
      <c r="G20" s="1001">
        <v>639.57795624132245</v>
      </c>
      <c r="H20" s="1001">
        <v>83.123080096299802</v>
      </c>
      <c r="I20" s="1001">
        <v>5.593004314839221</v>
      </c>
      <c r="J20" s="1001">
        <v>88.716084411139022</v>
      </c>
      <c r="K20" s="1001">
        <v>3204144.1930992892</v>
      </c>
      <c r="L20" s="1001">
        <v>248033.19265588504</v>
      </c>
      <c r="M20" s="1001">
        <v>3452177.3857551743</v>
      </c>
      <c r="N20" s="1001">
        <v>0</v>
      </c>
      <c r="O20" s="1001">
        <v>0</v>
      </c>
      <c r="P20" s="1001">
        <v>365000.3549192138</v>
      </c>
      <c r="Q20" s="1001">
        <v>3817906.0347150406</v>
      </c>
      <c r="R20" s="1001">
        <v>7258959.43908423</v>
      </c>
      <c r="S20" s="1001">
        <v>11076865.47379927</v>
      </c>
      <c r="U20" s="751">
        <f>Q20/Savings!C20</f>
        <v>972.2195148243037</v>
      </c>
      <c r="W20" s="748"/>
      <c r="X20" s="748"/>
      <c r="Y20" s="748"/>
      <c r="Z20" s="748"/>
      <c r="AA20" s="748"/>
      <c r="AB20" s="748"/>
      <c r="AC20" s="749"/>
    </row>
    <row r="21" spans="2:29" s="746" customFormat="1">
      <c r="B21" s="1002" t="s">
        <v>741</v>
      </c>
      <c r="C21" s="1001">
        <v>6292320.2939995751</v>
      </c>
      <c r="D21" s="1001">
        <v>410851.78458523849</v>
      </c>
      <c r="E21" s="1001">
        <v>3224717.8567683594</v>
      </c>
      <c r="F21" s="1001">
        <v>0</v>
      </c>
      <c r="G21" s="1001">
        <v>9927889.9353531729</v>
      </c>
      <c r="H21" s="1001">
        <v>6645150.4031853592</v>
      </c>
      <c r="I21" s="1001">
        <v>603346.67404358834</v>
      </c>
      <c r="J21" s="1001">
        <v>7248497.0772289475</v>
      </c>
      <c r="K21" s="1001">
        <v>34292854.668881446</v>
      </c>
      <c r="L21" s="1001">
        <v>2233650.3283229065</v>
      </c>
      <c r="M21" s="1001">
        <v>36526504.997204356</v>
      </c>
      <c r="N21" s="1001">
        <v>0</v>
      </c>
      <c r="O21" s="1001">
        <v>0</v>
      </c>
      <c r="P21" s="1001">
        <v>1986958.8150256311</v>
      </c>
      <c r="Q21" s="1001">
        <v>55689850.824812099</v>
      </c>
      <c r="R21" s="1001">
        <v>15772099.114483951</v>
      </c>
      <c r="S21" s="1001">
        <v>71461949.939296052</v>
      </c>
      <c r="U21" s="751">
        <f>Q21/Savings!C21</f>
        <v>7642.3563640472212</v>
      </c>
      <c r="W21" s="748"/>
      <c r="X21" s="748"/>
      <c r="Y21" s="748"/>
      <c r="Z21" s="748"/>
      <c r="AA21" s="748"/>
      <c r="AB21" s="748"/>
      <c r="AC21" s="749"/>
    </row>
    <row r="22" spans="2:29" s="746" customFormat="1">
      <c r="B22" s="1002" t="s">
        <v>842</v>
      </c>
      <c r="C22" s="1001">
        <v>0</v>
      </c>
      <c r="D22" s="1001">
        <v>0</v>
      </c>
      <c r="E22" s="1001">
        <v>0</v>
      </c>
      <c r="F22" s="1001">
        <v>0</v>
      </c>
      <c r="G22" s="1001">
        <v>0</v>
      </c>
      <c r="H22" s="1001">
        <v>0</v>
      </c>
      <c r="I22" s="1001">
        <v>0</v>
      </c>
      <c r="J22" s="1001">
        <v>0</v>
      </c>
      <c r="K22" s="1001">
        <v>0</v>
      </c>
      <c r="L22" s="1001">
        <v>0</v>
      </c>
      <c r="M22" s="1001">
        <v>0</v>
      </c>
      <c r="N22" s="1001">
        <v>0</v>
      </c>
      <c r="O22" s="1001">
        <v>0</v>
      </c>
      <c r="P22" s="1001">
        <v>0</v>
      </c>
      <c r="Q22" s="1001">
        <v>0</v>
      </c>
      <c r="R22" s="1001">
        <v>0</v>
      </c>
      <c r="S22" s="1001">
        <v>0</v>
      </c>
      <c r="U22" s="751"/>
      <c r="W22" s="748"/>
      <c r="X22" s="748"/>
      <c r="Y22" s="748"/>
      <c r="Z22" s="748"/>
      <c r="AA22" s="748"/>
      <c r="AB22" s="748"/>
      <c r="AC22" s="749"/>
    </row>
    <row r="23" spans="2:29" s="746" customFormat="1">
      <c r="B23" s="1002" t="s">
        <v>748</v>
      </c>
      <c r="C23" s="1001">
        <v>0</v>
      </c>
      <c r="D23" s="1001">
        <v>0</v>
      </c>
      <c r="E23" s="1001">
        <v>0</v>
      </c>
      <c r="F23" s="1001">
        <v>0</v>
      </c>
      <c r="G23" s="1001">
        <v>0</v>
      </c>
      <c r="H23" s="1001">
        <v>0</v>
      </c>
      <c r="I23" s="1001">
        <v>0</v>
      </c>
      <c r="J23" s="1001">
        <v>0</v>
      </c>
      <c r="K23" s="1001">
        <v>3557707.0127550694</v>
      </c>
      <c r="L23" s="1001">
        <v>1583556.8076729765</v>
      </c>
      <c r="M23" s="1001">
        <v>5141263.8204280455</v>
      </c>
      <c r="N23" s="1001">
        <v>0</v>
      </c>
      <c r="O23" s="1001">
        <v>0</v>
      </c>
      <c r="P23" s="1001">
        <v>0</v>
      </c>
      <c r="Q23" s="1001">
        <v>5141263.8204280455</v>
      </c>
      <c r="R23" s="1001">
        <v>0</v>
      </c>
      <c r="S23" s="1001">
        <v>5141263.8204280455</v>
      </c>
      <c r="U23" s="751">
        <f>Q23/Savings!C23</f>
        <v>12.035638786497286</v>
      </c>
      <c r="W23" s="748"/>
      <c r="X23" s="748"/>
      <c r="Y23" s="748"/>
      <c r="Z23" s="748"/>
      <c r="AA23" s="748"/>
      <c r="AB23" s="748"/>
      <c r="AC23" s="749"/>
    </row>
    <row r="24" spans="2:29" s="746" customFormat="1">
      <c r="B24" s="1000" t="s">
        <v>465</v>
      </c>
      <c r="C24" s="1005">
        <v>7755558.1582714543</v>
      </c>
      <c r="D24" s="1005">
        <v>518710.52222182951</v>
      </c>
      <c r="E24" s="1005">
        <v>4071285.9144350258</v>
      </c>
      <c r="F24" s="1005">
        <v>0</v>
      </c>
      <c r="G24" s="1005">
        <v>12345554.594928309</v>
      </c>
      <c r="H24" s="1005">
        <v>1493780.7762423316</v>
      </c>
      <c r="I24" s="1005">
        <v>100659.62040842896</v>
      </c>
      <c r="J24" s="1005">
        <v>1594440.3966507607</v>
      </c>
      <c r="K24" s="1005">
        <v>30053428.844655979</v>
      </c>
      <c r="L24" s="1005">
        <v>2299077.596799159</v>
      </c>
      <c r="M24" s="1005">
        <v>32352506.441455137</v>
      </c>
      <c r="N24" s="1005">
        <v>0</v>
      </c>
      <c r="O24" s="1005">
        <v>0</v>
      </c>
      <c r="P24" s="1005">
        <v>104029.06842513569</v>
      </c>
      <c r="Q24" s="1005">
        <v>46396530.501459345</v>
      </c>
      <c r="R24" s="1005">
        <v>2992979.281892607</v>
      </c>
      <c r="S24" s="1005">
        <v>49389509.78335195</v>
      </c>
      <c r="U24" s="750">
        <v>0</v>
      </c>
      <c r="W24" s="748"/>
      <c r="X24" s="748"/>
      <c r="Y24" s="748"/>
      <c r="Z24" s="748"/>
      <c r="AA24" s="748"/>
      <c r="AB24" s="748"/>
      <c r="AC24" s="749"/>
    </row>
    <row r="25" spans="2:29" s="746" customFormat="1">
      <c r="B25" s="1002" t="s">
        <v>844</v>
      </c>
      <c r="C25" s="1001"/>
      <c r="D25" s="1001"/>
      <c r="E25" s="1001"/>
      <c r="F25" s="1001"/>
      <c r="G25" s="1001"/>
      <c r="H25" s="1001"/>
      <c r="I25" s="1001"/>
      <c r="J25" s="1001"/>
      <c r="K25" s="1001"/>
      <c r="L25" s="1001"/>
      <c r="M25" s="1001"/>
      <c r="N25" s="1001"/>
      <c r="O25" s="1001"/>
      <c r="P25" s="1001"/>
      <c r="Q25" s="1001"/>
      <c r="R25" s="1001"/>
      <c r="S25" s="1001"/>
      <c r="U25" s="751">
        <v>0</v>
      </c>
      <c r="W25" s="748"/>
      <c r="X25" s="748"/>
      <c r="Y25" s="748"/>
      <c r="Z25" s="748"/>
      <c r="AA25" s="748"/>
      <c r="AB25" s="748"/>
      <c r="AC25" s="749"/>
    </row>
    <row r="26" spans="2:29" s="746" customFormat="1">
      <c r="B26" s="1002" t="s">
        <v>845</v>
      </c>
      <c r="C26" s="1001"/>
      <c r="D26" s="1001"/>
      <c r="E26" s="1001"/>
      <c r="F26" s="1001"/>
      <c r="G26" s="1001"/>
      <c r="H26" s="1001"/>
      <c r="I26" s="1001"/>
      <c r="J26" s="1001"/>
      <c r="K26" s="1001"/>
      <c r="L26" s="1001"/>
      <c r="M26" s="1001"/>
      <c r="N26" s="1001"/>
      <c r="O26" s="1001"/>
      <c r="P26" s="1001"/>
      <c r="Q26" s="1001"/>
      <c r="R26" s="1001"/>
      <c r="S26" s="1001"/>
      <c r="U26" s="751">
        <v>0</v>
      </c>
      <c r="W26" s="748"/>
      <c r="X26" s="748"/>
      <c r="Y26" s="748"/>
      <c r="Z26" s="748"/>
      <c r="AA26" s="748"/>
      <c r="AB26" s="748"/>
      <c r="AC26" s="749"/>
    </row>
    <row r="27" spans="2:29" s="746" customFormat="1">
      <c r="B27" s="1002" t="s">
        <v>910</v>
      </c>
      <c r="C27" s="1001">
        <v>7755558.1582714543</v>
      </c>
      <c r="D27" s="1001">
        <v>518710.52222182951</v>
      </c>
      <c r="E27" s="1001">
        <v>4071285.9144350258</v>
      </c>
      <c r="F27" s="1001">
        <v>0</v>
      </c>
      <c r="G27" s="1001">
        <v>12345554.594928309</v>
      </c>
      <c r="H27" s="1001">
        <v>1493780.7762423316</v>
      </c>
      <c r="I27" s="1001">
        <v>100659.62040842896</v>
      </c>
      <c r="J27" s="1001">
        <v>1594440.3966507607</v>
      </c>
      <c r="K27" s="1001">
        <v>30053428.844655979</v>
      </c>
      <c r="L27" s="1001">
        <v>2299077.596799159</v>
      </c>
      <c r="M27" s="1001">
        <v>32352506.441455137</v>
      </c>
      <c r="N27" s="1001">
        <v>0</v>
      </c>
      <c r="O27" s="1001">
        <v>0</v>
      </c>
      <c r="P27" s="1001">
        <v>104029.06842513569</v>
      </c>
      <c r="Q27" s="1001">
        <v>46396530.501459345</v>
      </c>
      <c r="R27" s="1001">
        <v>2992979.281892607</v>
      </c>
      <c r="S27" s="1001">
        <v>49389509.78335195</v>
      </c>
      <c r="U27" s="751">
        <f>Q27/Savings!C27</f>
        <v>2199.3046312788842</v>
      </c>
      <c r="W27" s="748"/>
      <c r="X27" s="748"/>
      <c r="Y27" s="748"/>
      <c r="Z27" s="748"/>
      <c r="AA27" s="748"/>
      <c r="AB27" s="748"/>
      <c r="AC27" s="749"/>
    </row>
    <row r="28" spans="2:29" s="746" customFormat="1">
      <c r="B28" s="1000" t="s">
        <v>846</v>
      </c>
      <c r="C28" s="1005"/>
      <c r="D28" s="1005"/>
      <c r="E28" s="1005"/>
      <c r="F28" s="1005"/>
      <c r="G28" s="1005"/>
      <c r="H28" s="1005"/>
      <c r="I28" s="1005"/>
      <c r="J28" s="1005"/>
      <c r="K28" s="1005"/>
      <c r="L28" s="1005"/>
      <c r="M28" s="1005"/>
      <c r="N28" s="1005"/>
      <c r="O28" s="1005"/>
      <c r="P28" s="1005"/>
      <c r="Q28" s="1005"/>
      <c r="R28" s="1005"/>
      <c r="S28" s="1005"/>
      <c r="U28" s="750">
        <v>0</v>
      </c>
      <c r="W28" s="748"/>
      <c r="X28" s="748"/>
      <c r="Y28" s="748"/>
      <c r="Z28" s="748"/>
      <c r="AA28" s="748"/>
      <c r="AB28" s="748"/>
      <c r="AC28" s="749"/>
    </row>
    <row r="29" spans="2:29" s="746" customFormat="1">
      <c r="B29" s="1002" t="s">
        <v>847</v>
      </c>
      <c r="C29" s="1001"/>
      <c r="D29" s="1001"/>
      <c r="E29" s="1001"/>
      <c r="F29" s="1001"/>
      <c r="G29" s="1001"/>
      <c r="H29" s="1001"/>
      <c r="I29" s="1001"/>
      <c r="J29" s="1001"/>
      <c r="K29" s="1001"/>
      <c r="L29" s="1001"/>
      <c r="M29" s="1001"/>
      <c r="N29" s="1001"/>
      <c r="O29" s="1001"/>
      <c r="P29" s="1001"/>
      <c r="Q29" s="1001"/>
      <c r="R29" s="1001"/>
      <c r="S29" s="1001"/>
      <c r="U29" s="751">
        <v>0</v>
      </c>
      <c r="W29" s="748"/>
      <c r="X29" s="748"/>
      <c r="Y29" s="748"/>
      <c r="Z29" s="748"/>
      <c r="AA29" s="748"/>
      <c r="AB29" s="748"/>
      <c r="AC29" s="749"/>
    </row>
    <row r="30" spans="2:29" s="746" customFormat="1">
      <c r="B30" s="1002" t="s">
        <v>848</v>
      </c>
      <c r="C30" s="1001"/>
      <c r="D30" s="1001"/>
      <c r="E30" s="1001"/>
      <c r="F30" s="1001"/>
      <c r="G30" s="1001"/>
      <c r="H30" s="1001"/>
      <c r="I30" s="1001"/>
      <c r="J30" s="1001"/>
      <c r="K30" s="1001"/>
      <c r="L30" s="1001"/>
      <c r="M30" s="1001"/>
      <c r="N30" s="1001"/>
      <c r="O30" s="1001"/>
      <c r="P30" s="1001"/>
      <c r="Q30" s="1001"/>
      <c r="R30" s="1001"/>
      <c r="S30" s="1001"/>
      <c r="U30" s="751">
        <v>0</v>
      </c>
      <c r="W30" s="748"/>
      <c r="X30" s="748"/>
      <c r="Y30" s="748"/>
      <c r="Z30" s="748"/>
      <c r="AA30" s="748"/>
      <c r="AB30" s="748"/>
      <c r="AC30" s="749"/>
    </row>
    <row r="31" spans="2:29" s="746" customFormat="1">
      <c r="B31" s="1002" t="s">
        <v>849</v>
      </c>
      <c r="C31" s="1001"/>
      <c r="D31" s="1001"/>
      <c r="E31" s="1001"/>
      <c r="F31" s="1001"/>
      <c r="G31" s="1001"/>
      <c r="H31" s="1001"/>
      <c r="I31" s="1001"/>
      <c r="J31" s="1001"/>
      <c r="K31" s="1001"/>
      <c r="L31" s="1001"/>
      <c r="M31" s="1001"/>
      <c r="N31" s="1001"/>
      <c r="O31" s="1001"/>
      <c r="P31" s="1001"/>
      <c r="Q31" s="1001"/>
      <c r="R31" s="1001"/>
      <c r="S31" s="1001"/>
      <c r="U31" s="751">
        <v>0</v>
      </c>
      <c r="W31" s="748"/>
      <c r="X31" s="748"/>
      <c r="Y31" s="748"/>
      <c r="Z31" s="748"/>
      <c r="AA31" s="748"/>
      <c r="AB31" s="748"/>
      <c r="AC31" s="749"/>
    </row>
    <row r="32" spans="2:29" s="746" customFormat="1">
      <c r="B32" s="1002" t="s">
        <v>850</v>
      </c>
      <c r="C32" s="1001"/>
      <c r="D32" s="1001"/>
      <c r="E32" s="1001"/>
      <c r="F32" s="1001"/>
      <c r="G32" s="1001"/>
      <c r="H32" s="1001"/>
      <c r="I32" s="1001"/>
      <c r="J32" s="1001"/>
      <c r="K32" s="1001"/>
      <c r="L32" s="1001"/>
      <c r="M32" s="1001"/>
      <c r="N32" s="1001"/>
      <c r="O32" s="1001"/>
      <c r="P32" s="1001"/>
      <c r="Q32" s="1001"/>
      <c r="R32" s="1001"/>
      <c r="S32" s="1001"/>
      <c r="U32" s="751">
        <v>0</v>
      </c>
      <c r="W32" s="748"/>
      <c r="X32" s="748"/>
      <c r="Y32" s="748"/>
      <c r="Z32" s="748"/>
      <c r="AA32" s="748"/>
      <c r="AB32" s="748"/>
      <c r="AC32" s="749"/>
    </row>
    <row r="33" spans="2:29" s="746" customFormat="1">
      <c r="B33" s="1002" t="s">
        <v>851</v>
      </c>
      <c r="C33" s="1001"/>
      <c r="D33" s="1001"/>
      <c r="E33" s="1001"/>
      <c r="F33" s="1001"/>
      <c r="G33" s="1001"/>
      <c r="H33" s="1001"/>
      <c r="I33" s="1001"/>
      <c r="J33" s="1001"/>
      <c r="K33" s="1001"/>
      <c r="L33" s="1001"/>
      <c r="M33" s="1001"/>
      <c r="N33" s="1001"/>
      <c r="O33" s="1001"/>
      <c r="P33" s="1001"/>
      <c r="Q33" s="1001"/>
      <c r="R33" s="1001"/>
      <c r="S33" s="1001"/>
      <c r="U33" s="751">
        <v>0</v>
      </c>
      <c r="W33" s="748"/>
      <c r="X33" s="748"/>
      <c r="Y33" s="748"/>
      <c r="Z33" s="748"/>
      <c r="AA33" s="748"/>
      <c r="AB33" s="748"/>
      <c r="AC33" s="749"/>
    </row>
    <row r="34" spans="2:29" s="746" customFormat="1">
      <c r="B34" s="1002" t="s">
        <v>852</v>
      </c>
      <c r="C34" s="1001"/>
      <c r="D34" s="1001"/>
      <c r="E34" s="1001"/>
      <c r="F34" s="1001"/>
      <c r="G34" s="1001"/>
      <c r="H34" s="1001"/>
      <c r="I34" s="1001"/>
      <c r="J34" s="1001"/>
      <c r="K34" s="1001"/>
      <c r="L34" s="1001"/>
      <c r="M34" s="1001"/>
      <c r="N34" s="1001"/>
      <c r="O34" s="1001"/>
      <c r="P34" s="1001"/>
      <c r="Q34" s="1001"/>
      <c r="R34" s="1001"/>
      <c r="S34" s="1001"/>
      <c r="U34" s="751">
        <v>0</v>
      </c>
      <c r="W34" s="748"/>
      <c r="X34" s="748"/>
      <c r="Y34" s="748"/>
      <c r="Z34" s="748"/>
      <c r="AA34" s="748"/>
      <c r="AB34" s="748"/>
      <c r="AC34" s="749"/>
    </row>
    <row r="35" spans="2:29" s="746" customFormat="1">
      <c r="B35" s="1002" t="s">
        <v>853</v>
      </c>
      <c r="C35" s="1001"/>
      <c r="D35" s="1001"/>
      <c r="E35" s="1001"/>
      <c r="F35" s="1001"/>
      <c r="G35" s="1001"/>
      <c r="H35" s="1001"/>
      <c r="I35" s="1001"/>
      <c r="J35" s="1001"/>
      <c r="K35" s="1001"/>
      <c r="L35" s="1001"/>
      <c r="M35" s="1001"/>
      <c r="N35" s="1001"/>
      <c r="O35" s="1001"/>
      <c r="P35" s="1001"/>
      <c r="Q35" s="1001"/>
      <c r="R35" s="1001"/>
      <c r="S35" s="1001"/>
      <c r="U35" s="751">
        <v>0</v>
      </c>
      <c r="W35" s="748"/>
      <c r="X35" s="748"/>
      <c r="Y35" s="748"/>
      <c r="Z35" s="748"/>
      <c r="AA35" s="748"/>
      <c r="AB35" s="748"/>
      <c r="AC35" s="749"/>
    </row>
    <row r="36" spans="2:29" s="746" customFormat="1">
      <c r="B36" s="1002" t="s">
        <v>854</v>
      </c>
      <c r="C36" s="1001"/>
      <c r="D36" s="1001"/>
      <c r="E36" s="1001"/>
      <c r="F36" s="1001"/>
      <c r="G36" s="1001"/>
      <c r="H36" s="1001"/>
      <c r="I36" s="1001"/>
      <c r="J36" s="1001"/>
      <c r="K36" s="1001"/>
      <c r="L36" s="1001"/>
      <c r="M36" s="1001"/>
      <c r="N36" s="1001"/>
      <c r="O36" s="1001"/>
      <c r="P36" s="1001"/>
      <c r="Q36" s="1001"/>
      <c r="R36" s="1001"/>
      <c r="S36" s="1001"/>
      <c r="U36" s="751">
        <v>0</v>
      </c>
      <c r="W36" s="748"/>
      <c r="X36" s="748"/>
      <c r="Y36" s="748"/>
      <c r="Z36" s="748"/>
      <c r="AA36" s="748"/>
      <c r="AB36" s="748"/>
      <c r="AC36" s="749"/>
    </row>
    <row r="37" spans="2:29" s="746" customFormat="1">
      <c r="B37" s="1002" t="s">
        <v>855</v>
      </c>
      <c r="C37" s="1001"/>
      <c r="D37" s="1001"/>
      <c r="E37" s="1001"/>
      <c r="F37" s="1001"/>
      <c r="G37" s="1001"/>
      <c r="H37" s="1001"/>
      <c r="I37" s="1001"/>
      <c r="J37" s="1001"/>
      <c r="K37" s="1001"/>
      <c r="L37" s="1001"/>
      <c r="M37" s="1001"/>
      <c r="N37" s="1001"/>
      <c r="O37" s="1001"/>
      <c r="P37" s="1001"/>
      <c r="Q37" s="1001"/>
      <c r="R37" s="1001"/>
      <c r="S37" s="1001"/>
      <c r="U37" s="751">
        <v>0</v>
      </c>
      <c r="W37" s="748"/>
      <c r="X37" s="748"/>
      <c r="Y37" s="748"/>
      <c r="Z37" s="748"/>
      <c r="AA37" s="748"/>
      <c r="AB37" s="748"/>
      <c r="AC37" s="749"/>
    </row>
    <row r="38" spans="2:29" s="746" customFormat="1">
      <c r="B38" s="998" t="s">
        <v>1391</v>
      </c>
      <c r="C38" s="999">
        <v>1228156.6698636075</v>
      </c>
      <c r="D38" s="999">
        <v>79039.796439215585</v>
      </c>
      <c r="E38" s="999">
        <v>620372.24258422351</v>
      </c>
      <c r="F38" s="999">
        <v>0</v>
      </c>
      <c r="G38" s="999">
        <v>1927568.7088870467</v>
      </c>
      <c r="H38" s="999">
        <v>688677.68374979601</v>
      </c>
      <c r="I38" s="999">
        <v>36524.064597195029</v>
      </c>
      <c r="J38" s="999">
        <v>725201.74834699102</v>
      </c>
      <c r="K38" s="999">
        <v>21977726.28029415</v>
      </c>
      <c r="L38" s="999">
        <v>1402888.2271706387</v>
      </c>
      <c r="M38" s="999">
        <v>23380614.507464789</v>
      </c>
      <c r="N38" s="999">
        <v>0</v>
      </c>
      <c r="O38" s="999">
        <v>0</v>
      </c>
      <c r="P38" s="999">
        <v>143769.05947120211</v>
      </c>
      <c r="Q38" s="999">
        <v>26177154.02417003</v>
      </c>
      <c r="R38" s="999">
        <v>31729834.601274699</v>
      </c>
      <c r="S38" s="999">
        <v>57906988.625444725</v>
      </c>
      <c r="U38" s="747">
        <f>Q38/Savings!C38</f>
        <v>3852.4141315923516</v>
      </c>
      <c r="W38" s="748"/>
      <c r="X38" s="748"/>
      <c r="Y38" s="748"/>
      <c r="Z38" s="748"/>
      <c r="AA38" s="748"/>
      <c r="AB38" s="748"/>
      <c r="AC38" s="749"/>
    </row>
    <row r="39" spans="2:29" s="746" customFormat="1">
      <c r="B39" s="1000" t="s">
        <v>463</v>
      </c>
      <c r="C39" s="1005">
        <v>1228156.6698636075</v>
      </c>
      <c r="D39" s="1005">
        <v>79039.796439215585</v>
      </c>
      <c r="E39" s="1005">
        <v>620372.24258422351</v>
      </c>
      <c r="F39" s="1005">
        <v>0</v>
      </c>
      <c r="G39" s="1005">
        <v>1927568.7088870467</v>
      </c>
      <c r="H39" s="1005">
        <v>688677.68374979601</v>
      </c>
      <c r="I39" s="1005">
        <v>36524.064597195029</v>
      </c>
      <c r="J39" s="1005">
        <v>725201.74834699102</v>
      </c>
      <c r="K39" s="1005">
        <v>21977726.28029415</v>
      </c>
      <c r="L39" s="1005">
        <v>1402888.2271706387</v>
      </c>
      <c r="M39" s="1005">
        <v>23380614.507464789</v>
      </c>
      <c r="N39" s="1005">
        <v>0</v>
      </c>
      <c r="O39" s="1005">
        <v>0</v>
      </c>
      <c r="P39" s="1005">
        <v>143769.05947120211</v>
      </c>
      <c r="Q39" s="1005">
        <v>26177154.02417003</v>
      </c>
      <c r="R39" s="1005">
        <v>31729834.601274699</v>
      </c>
      <c r="S39" s="1005">
        <v>57906988.625444725</v>
      </c>
      <c r="U39" s="750">
        <f>Q39/Savings!C39</f>
        <v>3852.4141315923516</v>
      </c>
      <c r="W39" s="748"/>
      <c r="X39" s="748"/>
      <c r="Y39" s="748"/>
      <c r="Z39" s="748"/>
      <c r="AA39" s="748"/>
      <c r="AB39" s="748"/>
      <c r="AC39" s="749"/>
    </row>
    <row r="40" spans="2:29" s="746" customFormat="1">
      <c r="B40" s="1002" t="s">
        <v>761</v>
      </c>
      <c r="C40" s="1001">
        <v>1228156.6698636075</v>
      </c>
      <c r="D40" s="1001">
        <v>79039.796439215585</v>
      </c>
      <c r="E40" s="1001">
        <v>620372.24258422351</v>
      </c>
      <c r="F40" s="1001">
        <v>0</v>
      </c>
      <c r="G40" s="1001">
        <v>1927568.7088870467</v>
      </c>
      <c r="H40" s="1001">
        <v>688677.68374979601</v>
      </c>
      <c r="I40" s="1001">
        <v>36524.064597195029</v>
      </c>
      <c r="J40" s="1001">
        <v>725201.74834699102</v>
      </c>
      <c r="K40" s="1001">
        <v>6771565.2719979743</v>
      </c>
      <c r="L40" s="1001">
        <v>425245.74121863674</v>
      </c>
      <c r="M40" s="1001">
        <v>7196811.013216611</v>
      </c>
      <c r="N40" s="1001">
        <v>0</v>
      </c>
      <c r="O40" s="1001">
        <v>0</v>
      </c>
      <c r="P40" s="1001">
        <v>0</v>
      </c>
      <c r="Q40" s="1001">
        <v>9849581.470450649</v>
      </c>
      <c r="R40" s="1001">
        <v>15868461.661136344</v>
      </c>
      <c r="S40" s="1001">
        <v>25718043.131586991</v>
      </c>
      <c r="U40" s="751">
        <f>Q40/Savings!C40</f>
        <v>6700.3955581296932</v>
      </c>
      <c r="W40" s="748"/>
      <c r="X40" s="748"/>
      <c r="Y40" s="748"/>
      <c r="Z40" s="748"/>
      <c r="AA40" s="748"/>
      <c r="AB40" s="748"/>
      <c r="AC40" s="749"/>
    </row>
    <row r="41" spans="2:29" s="746" customFormat="1">
      <c r="B41" s="1002" t="s">
        <v>765</v>
      </c>
      <c r="C41" s="1001">
        <v>0</v>
      </c>
      <c r="D41" s="1001">
        <v>0</v>
      </c>
      <c r="E41" s="1001">
        <v>0</v>
      </c>
      <c r="F41" s="1001">
        <v>0</v>
      </c>
      <c r="G41" s="1001">
        <v>0</v>
      </c>
      <c r="H41" s="1001">
        <v>0</v>
      </c>
      <c r="I41" s="1001">
        <v>0</v>
      </c>
      <c r="J41" s="1001">
        <v>0</v>
      </c>
      <c r="K41" s="1001">
        <v>15206161.008296177</v>
      </c>
      <c r="L41" s="1001">
        <v>977642.48595200188</v>
      </c>
      <c r="M41" s="1001">
        <v>16183803.494248178</v>
      </c>
      <c r="N41" s="1001">
        <v>0</v>
      </c>
      <c r="O41" s="1001">
        <v>0</v>
      </c>
      <c r="P41" s="1001">
        <v>143769.05947120211</v>
      </c>
      <c r="Q41" s="1001">
        <v>16327572.553719381</v>
      </c>
      <c r="R41" s="1001">
        <v>15861372.940138355</v>
      </c>
      <c r="S41" s="1001">
        <v>32188945.493857734</v>
      </c>
      <c r="U41" s="751">
        <f>Q41/Savings!C41</f>
        <v>3066.2108082102122</v>
      </c>
      <c r="W41" s="748"/>
      <c r="X41" s="748"/>
      <c r="Y41" s="748"/>
      <c r="Z41" s="748"/>
      <c r="AA41" s="748"/>
      <c r="AB41" s="748"/>
      <c r="AC41" s="749"/>
    </row>
    <row r="42" spans="2:29" s="746" customFormat="1">
      <c r="B42" s="1000" t="s">
        <v>856</v>
      </c>
      <c r="C42" s="1005"/>
      <c r="D42" s="1005"/>
      <c r="E42" s="1005"/>
      <c r="F42" s="1005"/>
      <c r="G42" s="1005"/>
      <c r="H42" s="1005"/>
      <c r="I42" s="1005"/>
      <c r="J42" s="1005"/>
      <c r="K42" s="1005"/>
      <c r="L42" s="1005"/>
      <c r="M42" s="1005"/>
      <c r="N42" s="1005"/>
      <c r="O42" s="1005"/>
      <c r="P42" s="1005"/>
      <c r="Q42" s="1005"/>
      <c r="R42" s="1005"/>
      <c r="S42" s="1005"/>
      <c r="U42" s="750">
        <v>0</v>
      </c>
      <c r="W42" s="748"/>
      <c r="X42" s="748"/>
      <c r="Y42" s="748"/>
      <c r="Z42" s="748"/>
      <c r="AA42" s="748"/>
      <c r="AB42" s="748"/>
      <c r="AC42" s="749"/>
    </row>
    <row r="43" spans="2:29" s="746" customFormat="1">
      <c r="B43" s="1002" t="s">
        <v>857</v>
      </c>
      <c r="C43" s="1001"/>
      <c r="D43" s="1001"/>
      <c r="E43" s="1001"/>
      <c r="F43" s="1001"/>
      <c r="G43" s="1001"/>
      <c r="H43" s="1001"/>
      <c r="I43" s="1001"/>
      <c r="J43" s="1001"/>
      <c r="K43" s="1001"/>
      <c r="L43" s="1001"/>
      <c r="M43" s="1001"/>
      <c r="N43" s="1001"/>
      <c r="O43" s="1001"/>
      <c r="P43" s="1001"/>
      <c r="Q43" s="1001"/>
      <c r="R43" s="1001"/>
      <c r="S43" s="1001"/>
      <c r="U43" s="751">
        <v>0</v>
      </c>
      <c r="W43" s="748"/>
      <c r="X43" s="748"/>
      <c r="Y43" s="748"/>
      <c r="Z43" s="748"/>
      <c r="AA43" s="748"/>
      <c r="AB43" s="748"/>
      <c r="AC43" s="749"/>
    </row>
    <row r="44" spans="2:29" s="746" customFormat="1">
      <c r="B44" s="1002" t="s">
        <v>858</v>
      </c>
      <c r="C44" s="1001"/>
      <c r="D44" s="1001"/>
      <c r="E44" s="1001"/>
      <c r="F44" s="1001"/>
      <c r="G44" s="1001"/>
      <c r="H44" s="1001"/>
      <c r="I44" s="1001"/>
      <c r="J44" s="1001"/>
      <c r="K44" s="1001"/>
      <c r="L44" s="1001"/>
      <c r="M44" s="1001"/>
      <c r="N44" s="1001"/>
      <c r="O44" s="1001"/>
      <c r="P44" s="1001"/>
      <c r="Q44" s="1001"/>
      <c r="R44" s="1001"/>
      <c r="S44" s="1001"/>
      <c r="U44" s="751">
        <v>0</v>
      </c>
      <c r="W44" s="748"/>
      <c r="X44" s="748"/>
      <c r="Y44" s="748"/>
      <c r="Z44" s="748"/>
      <c r="AA44" s="748"/>
      <c r="AB44" s="748"/>
      <c r="AC44" s="749"/>
    </row>
    <row r="45" spans="2:29" s="746" customFormat="1">
      <c r="B45" s="1002" t="s">
        <v>859</v>
      </c>
      <c r="C45" s="1001"/>
      <c r="D45" s="1001"/>
      <c r="E45" s="1001"/>
      <c r="F45" s="1001"/>
      <c r="G45" s="1001"/>
      <c r="H45" s="1001"/>
      <c r="I45" s="1001"/>
      <c r="J45" s="1001"/>
      <c r="K45" s="1001"/>
      <c r="L45" s="1001"/>
      <c r="M45" s="1001"/>
      <c r="N45" s="1001"/>
      <c r="O45" s="1001"/>
      <c r="P45" s="1001"/>
      <c r="Q45" s="1001"/>
      <c r="R45" s="1001"/>
      <c r="S45" s="1001"/>
      <c r="U45" s="751">
        <v>0</v>
      </c>
      <c r="W45" s="748"/>
      <c r="X45" s="748"/>
      <c r="Y45" s="748"/>
      <c r="Z45" s="748"/>
      <c r="AA45" s="748"/>
      <c r="AB45" s="748"/>
      <c r="AC45" s="749"/>
    </row>
    <row r="46" spans="2:29" s="746" customFormat="1">
      <c r="B46" s="1002" t="s">
        <v>860</v>
      </c>
      <c r="C46" s="1001"/>
      <c r="D46" s="1001"/>
      <c r="E46" s="1001"/>
      <c r="F46" s="1001"/>
      <c r="G46" s="1001"/>
      <c r="H46" s="1001"/>
      <c r="I46" s="1001"/>
      <c r="J46" s="1001"/>
      <c r="K46" s="1001"/>
      <c r="L46" s="1001"/>
      <c r="M46" s="1001"/>
      <c r="N46" s="1001"/>
      <c r="O46" s="1001"/>
      <c r="P46" s="1001"/>
      <c r="Q46" s="1001"/>
      <c r="R46" s="1001"/>
      <c r="S46" s="1001"/>
      <c r="U46" s="751">
        <v>0</v>
      </c>
      <c r="W46" s="748"/>
      <c r="X46" s="748"/>
      <c r="Y46" s="748"/>
      <c r="Z46" s="748"/>
      <c r="AA46" s="748"/>
      <c r="AB46" s="748"/>
      <c r="AC46" s="749"/>
    </row>
    <row r="47" spans="2:29" s="746" customFormat="1">
      <c r="B47" s="1002" t="s">
        <v>861</v>
      </c>
      <c r="C47" s="1001"/>
      <c r="D47" s="1001"/>
      <c r="E47" s="1001"/>
      <c r="F47" s="1001"/>
      <c r="G47" s="1001"/>
      <c r="H47" s="1001"/>
      <c r="I47" s="1001"/>
      <c r="J47" s="1001"/>
      <c r="K47" s="1001"/>
      <c r="L47" s="1001"/>
      <c r="M47" s="1001"/>
      <c r="N47" s="1001"/>
      <c r="O47" s="1001"/>
      <c r="P47" s="1001"/>
      <c r="Q47" s="1001"/>
      <c r="R47" s="1001"/>
      <c r="S47" s="1001"/>
      <c r="U47" s="751">
        <v>0</v>
      </c>
      <c r="W47" s="748"/>
      <c r="X47" s="748"/>
      <c r="Y47" s="748"/>
      <c r="Z47" s="748"/>
      <c r="AA47" s="748"/>
      <c r="AB47" s="748"/>
      <c r="AC47" s="749"/>
    </row>
    <row r="48" spans="2:29" s="746" customFormat="1">
      <c r="B48" s="998" t="s">
        <v>443</v>
      </c>
      <c r="C48" s="999">
        <v>0</v>
      </c>
      <c r="D48" s="999">
        <v>0</v>
      </c>
      <c r="E48" s="999">
        <v>0</v>
      </c>
      <c r="F48" s="999">
        <v>0</v>
      </c>
      <c r="G48" s="999">
        <v>0</v>
      </c>
      <c r="H48" s="999">
        <v>0</v>
      </c>
      <c r="I48" s="999">
        <v>0</v>
      </c>
      <c r="J48" s="999">
        <v>0</v>
      </c>
      <c r="K48" s="999">
        <v>61803708.19880975</v>
      </c>
      <c r="L48" s="999">
        <v>5598560.6133417822</v>
      </c>
      <c r="M48" s="999">
        <v>67402268.812151521</v>
      </c>
      <c r="N48" s="999">
        <v>0</v>
      </c>
      <c r="O48" s="999">
        <v>0</v>
      </c>
      <c r="P48" s="999">
        <v>5777906.8680139165</v>
      </c>
      <c r="Q48" s="999">
        <v>73180175.680165455</v>
      </c>
      <c r="R48" s="999">
        <v>12268177.886649124</v>
      </c>
      <c r="S48" s="999">
        <v>85448353.566814587</v>
      </c>
      <c r="U48" s="747">
        <f>Q48/Savings!C48</f>
        <v>35524.357126293908</v>
      </c>
      <c r="W48" s="748"/>
      <c r="X48" s="748"/>
      <c r="Y48" s="748"/>
      <c r="Z48" s="748"/>
      <c r="AA48" s="748"/>
      <c r="AB48" s="748"/>
      <c r="AC48" s="749"/>
    </row>
    <row r="49" spans="2:30" s="746" customFormat="1">
      <c r="B49" s="1000" t="s">
        <v>464</v>
      </c>
      <c r="C49" s="1005">
        <v>0</v>
      </c>
      <c r="D49" s="1005">
        <v>0</v>
      </c>
      <c r="E49" s="1005">
        <v>0</v>
      </c>
      <c r="F49" s="1005">
        <v>0</v>
      </c>
      <c r="G49" s="1005">
        <v>0</v>
      </c>
      <c r="H49" s="1005">
        <v>0</v>
      </c>
      <c r="I49" s="1005">
        <v>0</v>
      </c>
      <c r="J49" s="1005">
        <v>0</v>
      </c>
      <c r="K49" s="1005">
        <v>34531186.236818247</v>
      </c>
      <c r="L49" s="1005">
        <v>2928959.9816269907</v>
      </c>
      <c r="M49" s="1005">
        <v>37460146.218445234</v>
      </c>
      <c r="N49" s="1005">
        <v>0</v>
      </c>
      <c r="O49" s="1005">
        <v>0</v>
      </c>
      <c r="P49" s="1005">
        <v>45515.889754948061</v>
      </c>
      <c r="Q49" s="1005">
        <v>37505662.108200185</v>
      </c>
      <c r="R49" s="1005">
        <v>-47679.268591360713</v>
      </c>
      <c r="S49" s="1005">
        <v>37457982.839608826</v>
      </c>
      <c r="U49" s="750">
        <f>Q49/Savings!C49</f>
        <v>28220.964716478695</v>
      </c>
      <c r="W49" s="748"/>
      <c r="X49" s="748"/>
      <c r="Y49" s="748"/>
      <c r="Z49" s="748"/>
      <c r="AA49" s="748"/>
      <c r="AB49" s="748"/>
      <c r="AC49" s="749"/>
    </row>
    <row r="50" spans="2:30" s="746" customFormat="1">
      <c r="B50" s="1002" t="s">
        <v>661</v>
      </c>
      <c r="C50" s="1001">
        <v>0</v>
      </c>
      <c r="D50" s="1001">
        <v>0</v>
      </c>
      <c r="E50" s="1001">
        <v>0</v>
      </c>
      <c r="F50" s="1001">
        <v>0</v>
      </c>
      <c r="G50" s="1001">
        <v>0</v>
      </c>
      <c r="H50" s="1001">
        <v>0</v>
      </c>
      <c r="I50" s="1001">
        <v>0</v>
      </c>
      <c r="J50" s="1001">
        <v>0</v>
      </c>
      <c r="K50" s="1001">
        <v>20028057.274433125</v>
      </c>
      <c r="L50" s="1001">
        <v>1618903.5805732596</v>
      </c>
      <c r="M50" s="1001">
        <v>21646960.855006386</v>
      </c>
      <c r="N50" s="1001">
        <v>0</v>
      </c>
      <c r="O50" s="1001">
        <v>0</v>
      </c>
      <c r="P50" s="1001">
        <v>0</v>
      </c>
      <c r="Q50" s="1001">
        <v>21646960.855006386</v>
      </c>
      <c r="R50" s="1001">
        <v>-47679.268591360713</v>
      </c>
      <c r="S50" s="1001">
        <v>21599281.586415026</v>
      </c>
      <c r="U50" s="751">
        <f>Q50/Savings!C50</f>
        <v>366897.6416102777</v>
      </c>
      <c r="W50" s="748"/>
      <c r="X50" s="748"/>
      <c r="Y50" s="748"/>
      <c r="Z50" s="748"/>
      <c r="AA50" s="748"/>
      <c r="AB50" s="748"/>
      <c r="AC50" s="749"/>
    </row>
    <row r="51" spans="2:30" s="746" customFormat="1">
      <c r="B51" s="1002" t="s">
        <v>911</v>
      </c>
      <c r="C51" s="1001">
        <v>0</v>
      </c>
      <c r="D51" s="1001">
        <v>0</v>
      </c>
      <c r="E51" s="1001">
        <v>0</v>
      </c>
      <c r="F51" s="1001">
        <v>0</v>
      </c>
      <c r="G51" s="1001">
        <v>0</v>
      </c>
      <c r="H51" s="1001">
        <v>0</v>
      </c>
      <c r="I51" s="1001">
        <v>0</v>
      </c>
      <c r="J51" s="1001">
        <v>0</v>
      </c>
      <c r="K51" s="1001">
        <v>14503128.96238512</v>
      </c>
      <c r="L51" s="1001">
        <v>1310056.4010537311</v>
      </c>
      <c r="M51" s="1001">
        <v>15813185.36343885</v>
      </c>
      <c r="N51" s="1001">
        <v>0</v>
      </c>
      <c r="O51" s="1001">
        <v>0</v>
      </c>
      <c r="P51" s="1001">
        <v>45515.889754948061</v>
      </c>
      <c r="Q51" s="1001">
        <v>15858701.253193798</v>
      </c>
      <c r="R51" s="1001">
        <v>0</v>
      </c>
      <c r="S51" s="1001">
        <v>15858701.253193798</v>
      </c>
      <c r="U51" s="751">
        <f>Q51/Savings!C51</f>
        <v>12487.166341097478</v>
      </c>
      <c r="W51" s="748"/>
      <c r="X51" s="748"/>
      <c r="Y51" s="748"/>
      <c r="Z51" s="748"/>
      <c r="AA51" s="748"/>
      <c r="AB51" s="748"/>
      <c r="AC51" s="749"/>
    </row>
    <row r="52" spans="2:30" s="746" customFormat="1">
      <c r="B52" s="1000" t="s">
        <v>870</v>
      </c>
      <c r="C52" s="1005">
        <v>0</v>
      </c>
      <c r="D52" s="1005">
        <v>0</v>
      </c>
      <c r="E52" s="1005">
        <v>0</v>
      </c>
      <c r="F52" s="1005">
        <v>0</v>
      </c>
      <c r="G52" s="1005">
        <v>0</v>
      </c>
      <c r="H52" s="1005">
        <v>0</v>
      </c>
      <c r="I52" s="1005">
        <v>0</v>
      </c>
      <c r="J52" s="1005">
        <v>0</v>
      </c>
      <c r="K52" s="1005">
        <v>27272521.961991508</v>
      </c>
      <c r="L52" s="1005">
        <v>2669600.6317147915</v>
      </c>
      <c r="M52" s="1005">
        <v>29942122.593706299</v>
      </c>
      <c r="N52" s="1005">
        <v>0</v>
      </c>
      <c r="O52" s="1005">
        <v>0</v>
      </c>
      <c r="P52" s="1005">
        <v>5732390.9782589693</v>
      </c>
      <c r="Q52" s="1005">
        <v>35674513.57196527</v>
      </c>
      <c r="R52" s="1005">
        <v>12315857.155240484</v>
      </c>
      <c r="S52" s="1005">
        <v>47990370.727205746</v>
      </c>
      <c r="U52" s="750">
        <f>Q52/Savings!C52</f>
        <v>48802.344147695308</v>
      </c>
      <c r="W52" s="748"/>
      <c r="X52" s="748"/>
      <c r="Y52" s="748"/>
      <c r="Z52" s="748"/>
      <c r="AA52" s="748"/>
      <c r="AB52" s="748"/>
      <c r="AC52" s="749"/>
    </row>
    <row r="53" spans="2:30" s="746" customFormat="1">
      <c r="B53" s="1002" t="s">
        <v>841</v>
      </c>
      <c r="C53" s="1001">
        <v>0</v>
      </c>
      <c r="D53" s="1001">
        <v>0</v>
      </c>
      <c r="E53" s="1001">
        <v>0</v>
      </c>
      <c r="F53" s="1001">
        <v>0</v>
      </c>
      <c r="G53" s="1001">
        <v>0</v>
      </c>
      <c r="H53" s="1001">
        <v>0</v>
      </c>
      <c r="I53" s="1001">
        <v>0</v>
      </c>
      <c r="J53" s="1001">
        <v>0</v>
      </c>
      <c r="K53" s="1001">
        <v>23879688.203624219</v>
      </c>
      <c r="L53" s="1001">
        <v>2375428.0023865663</v>
      </c>
      <c r="M53" s="1001">
        <v>26255116.206010785</v>
      </c>
      <c r="N53" s="1001">
        <v>0</v>
      </c>
      <c r="O53" s="1001">
        <v>0</v>
      </c>
      <c r="P53" s="1001">
        <v>3754150.0405626106</v>
      </c>
      <c r="Q53" s="1001">
        <v>30009266.246573396</v>
      </c>
      <c r="R53" s="1001">
        <v>9703441.5931437127</v>
      </c>
      <c r="S53" s="1001">
        <v>39712707.839717105</v>
      </c>
      <c r="U53" s="751">
        <f>Q53/Savings!C53</f>
        <v>102420.70391321978</v>
      </c>
      <c r="W53" s="748"/>
      <c r="X53" s="748"/>
      <c r="Y53" s="748"/>
      <c r="Z53" s="748"/>
      <c r="AA53" s="748"/>
      <c r="AB53" s="748"/>
      <c r="AC53" s="749"/>
    </row>
    <row r="54" spans="2:30" s="746" customFormat="1">
      <c r="B54" s="1002" t="s">
        <v>659</v>
      </c>
      <c r="C54" s="1001">
        <v>0</v>
      </c>
      <c r="D54" s="1001">
        <v>0</v>
      </c>
      <c r="E54" s="1001">
        <v>0</v>
      </c>
      <c r="F54" s="1001">
        <v>0</v>
      </c>
      <c r="G54" s="1001">
        <v>0</v>
      </c>
      <c r="H54" s="1001">
        <v>0</v>
      </c>
      <c r="I54" s="1001">
        <v>0</v>
      </c>
      <c r="J54" s="1001">
        <v>0</v>
      </c>
      <c r="K54" s="1001">
        <v>777335.19924131921</v>
      </c>
      <c r="L54" s="1001">
        <v>97538.482713408608</v>
      </c>
      <c r="M54" s="1001">
        <v>874873.68195472786</v>
      </c>
      <c r="N54" s="1001">
        <v>0</v>
      </c>
      <c r="O54" s="1001">
        <v>0</v>
      </c>
      <c r="P54" s="1001">
        <v>1882610.9512442797</v>
      </c>
      <c r="Q54" s="1001">
        <v>2757484.6331990077</v>
      </c>
      <c r="R54" s="1001">
        <v>18569.117329559533</v>
      </c>
      <c r="S54" s="1001">
        <v>2776053.7505285675</v>
      </c>
      <c r="U54" s="751">
        <f>Q54/Savings!C54</f>
        <v>9443.4405246541355</v>
      </c>
      <c r="W54" s="748"/>
      <c r="X54" s="748"/>
      <c r="Y54" s="748"/>
      <c r="Z54" s="748"/>
      <c r="AA54" s="748"/>
      <c r="AB54" s="748"/>
      <c r="AC54" s="749"/>
    </row>
    <row r="55" spans="2:30" s="746" customFormat="1">
      <c r="B55" s="1002" t="s">
        <v>882</v>
      </c>
      <c r="C55" s="1001">
        <v>0</v>
      </c>
      <c r="D55" s="1001">
        <v>0</v>
      </c>
      <c r="E55" s="1001">
        <v>0</v>
      </c>
      <c r="F55" s="1001">
        <v>0</v>
      </c>
      <c r="G55" s="1001">
        <v>0</v>
      </c>
      <c r="H55" s="1001">
        <v>0</v>
      </c>
      <c r="I55" s="1001">
        <v>0</v>
      </c>
      <c r="J55" s="1001">
        <v>0</v>
      </c>
      <c r="K55" s="1001">
        <v>0</v>
      </c>
      <c r="L55" s="1001">
        <v>0</v>
      </c>
      <c r="M55" s="1001">
        <v>0</v>
      </c>
      <c r="N55" s="1001">
        <v>0</v>
      </c>
      <c r="O55" s="1001">
        <v>0</v>
      </c>
      <c r="P55" s="1001"/>
      <c r="Q55" s="1001">
        <v>0</v>
      </c>
      <c r="R55" s="1001">
        <v>0</v>
      </c>
      <c r="S55" s="1001">
        <v>0</v>
      </c>
      <c r="U55" s="751"/>
      <c r="W55" s="748"/>
      <c r="X55" s="748"/>
      <c r="Y55" s="748"/>
      <c r="Z55" s="748"/>
      <c r="AA55" s="748"/>
      <c r="AB55" s="748"/>
      <c r="AC55" s="749"/>
    </row>
    <row r="56" spans="2:30" s="746" customFormat="1">
      <c r="B56" s="1002" t="s">
        <v>912</v>
      </c>
      <c r="C56" s="1001">
        <v>0</v>
      </c>
      <c r="D56" s="1001">
        <v>0</v>
      </c>
      <c r="E56" s="1001">
        <v>0</v>
      </c>
      <c r="F56" s="1001">
        <v>0</v>
      </c>
      <c r="G56" s="1001">
        <v>0</v>
      </c>
      <c r="H56" s="1001">
        <v>0</v>
      </c>
      <c r="I56" s="1001">
        <v>0</v>
      </c>
      <c r="J56" s="1001">
        <v>0</v>
      </c>
      <c r="K56" s="1001">
        <v>2615498.5591259706</v>
      </c>
      <c r="L56" s="1001">
        <v>196634.14661481645</v>
      </c>
      <c r="M56" s="1001">
        <v>2812132.7057407871</v>
      </c>
      <c r="N56" s="1001">
        <v>0</v>
      </c>
      <c r="O56" s="1001">
        <v>0</v>
      </c>
      <c r="P56" s="1001">
        <v>95629.986452078097</v>
      </c>
      <c r="Q56" s="1001">
        <v>2907762.6921928651</v>
      </c>
      <c r="R56" s="1001">
        <v>2593846.4447672116</v>
      </c>
      <c r="S56" s="1001">
        <v>5501609.1369600762</v>
      </c>
      <c r="U56" s="751">
        <f>Q56/Savings!C56</f>
        <v>19916.182823238803</v>
      </c>
      <c r="W56" s="748"/>
      <c r="X56" s="748"/>
      <c r="Y56" s="748"/>
      <c r="Z56" s="748"/>
      <c r="AA56" s="748"/>
      <c r="AB56" s="748"/>
      <c r="AC56" s="749"/>
    </row>
    <row r="57" spans="2:30">
      <c r="B57" s="1000" t="s">
        <v>862</v>
      </c>
      <c r="C57" s="1005"/>
      <c r="D57" s="1005"/>
      <c r="E57" s="1005"/>
      <c r="F57" s="1005"/>
      <c r="G57" s="1005"/>
      <c r="H57" s="1005"/>
      <c r="I57" s="1005"/>
      <c r="J57" s="1005"/>
      <c r="K57" s="1005"/>
      <c r="L57" s="1005"/>
      <c r="M57" s="1005"/>
      <c r="N57" s="1005"/>
      <c r="O57" s="1005"/>
      <c r="P57" s="1005"/>
      <c r="Q57" s="1005"/>
      <c r="R57" s="1005"/>
      <c r="S57" s="1005"/>
      <c r="U57" s="750"/>
      <c r="X57" s="748"/>
      <c r="Y57" s="748"/>
      <c r="Z57" s="748"/>
      <c r="AA57" s="748"/>
      <c r="AB57" s="748"/>
      <c r="AC57" s="748"/>
      <c r="AD57" s="749"/>
    </row>
    <row r="58" spans="2:30">
      <c r="B58" s="1002" t="s">
        <v>863</v>
      </c>
      <c r="C58" s="1001"/>
      <c r="D58" s="1001"/>
      <c r="E58" s="1001"/>
      <c r="F58" s="1001"/>
      <c r="G58" s="1001"/>
      <c r="H58" s="1001"/>
      <c r="I58" s="1001"/>
      <c r="J58" s="1001"/>
      <c r="K58" s="1001"/>
      <c r="L58" s="1001"/>
      <c r="M58" s="1001"/>
      <c r="N58" s="1001"/>
      <c r="O58" s="1001"/>
      <c r="P58" s="1001"/>
      <c r="Q58" s="1001"/>
      <c r="R58" s="1001"/>
      <c r="S58" s="1001"/>
      <c r="U58" s="751">
        <v>0</v>
      </c>
    </row>
    <row r="59" spans="2:30">
      <c r="B59" s="1002" t="s">
        <v>864</v>
      </c>
      <c r="C59" s="1001"/>
      <c r="D59" s="1001"/>
      <c r="E59" s="1001"/>
      <c r="F59" s="1001"/>
      <c r="G59" s="1001"/>
      <c r="H59" s="1001"/>
      <c r="I59" s="1001"/>
      <c r="J59" s="1001"/>
      <c r="K59" s="1001"/>
      <c r="L59" s="1001"/>
      <c r="M59" s="1001"/>
      <c r="N59" s="1001"/>
      <c r="O59" s="1001"/>
      <c r="P59" s="1001"/>
      <c r="Q59" s="1001"/>
      <c r="R59" s="1001"/>
      <c r="S59" s="1001"/>
      <c r="U59" s="751">
        <v>0</v>
      </c>
    </row>
    <row r="60" spans="2:30">
      <c r="B60" s="1002" t="s">
        <v>865</v>
      </c>
      <c r="C60" s="1001"/>
      <c r="D60" s="1001"/>
      <c r="E60" s="1001"/>
      <c r="F60" s="1001"/>
      <c r="G60" s="1001"/>
      <c r="H60" s="1001"/>
      <c r="I60" s="1001"/>
      <c r="J60" s="1001"/>
      <c r="K60" s="1001"/>
      <c r="L60" s="1001"/>
      <c r="M60" s="1001"/>
      <c r="N60" s="1001"/>
      <c r="O60" s="1001"/>
      <c r="P60" s="1001"/>
      <c r="Q60" s="1001"/>
      <c r="R60" s="1001"/>
      <c r="S60" s="1001"/>
      <c r="U60" s="751">
        <v>0</v>
      </c>
    </row>
    <row r="61" spans="2:30">
      <c r="B61" s="1002" t="s">
        <v>866</v>
      </c>
      <c r="C61" s="1001"/>
      <c r="D61" s="1001"/>
      <c r="E61" s="1001"/>
      <c r="F61" s="1001"/>
      <c r="G61" s="1001"/>
      <c r="H61" s="1001"/>
      <c r="I61" s="1001"/>
      <c r="J61" s="1001"/>
      <c r="K61" s="1001"/>
      <c r="L61" s="1001"/>
      <c r="M61" s="1001"/>
      <c r="N61" s="1001"/>
      <c r="O61" s="1001"/>
      <c r="P61" s="1001"/>
      <c r="Q61" s="1001"/>
      <c r="R61" s="1001"/>
      <c r="S61" s="1001"/>
      <c r="U61" s="751">
        <v>0</v>
      </c>
    </row>
    <row r="62" spans="2:30">
      <c r="B62" s="1002" t="s">
        <v>867</v>
      </c>
      <c r="C62" s="1001"/>
      <c r="D62" s="1001"/>
      <c r="E62" s="1001"/>
      <c r="F62" s="1001"/>
      <c r="G62" s="1001"/>
      <c r="H62" s="1001"/>
      <c r="I62" s="1001"/>
      <c r="J62" s="1001"/>
      <c r="K62" s="1001"/>
      <c r="L62" s="1001"/>
      <c r="M62" s="1001"/>
      <c r="N62" s="1001"/>
      <c r="O62" s="1001"/>
      <c r="P62" s="1001"/>
      <c r="Q62" s="1001"/>
      <c r="R62" s="1001"/>
      <c r="S62" s="1001"/>
      <c r="U62" s="751">
        <v>0</v>
      </c>
    </row>
    <row r="63" spans="2:30">
      <c r="B63" s="1002" t="s">
        <v>868</v>
      </c>
      <c r="C63" s="1001"/>
      <c r="D63" s="1001"/>
      <c r="E63" s="1001"/>
      <c r="F63" s="1001"/>
      <c r="G63" s="1001"/>
      <c r="H63" s="1001"/>
      <c r="I63" s="1001"/>
      <c r="J63" s="1001"/>
      <c r="K63" s="1001"/>
      <c r="L63" s="1001"/>
      <c r="M63" s="1001"/>
      <c r="N63" s="1001"/>
      <c r="O63" s="1001"/>
      <c r="P63" s="1001"/>
      <c r="Q63" s="1001"/>
      <c r="R63" s="1001"/>
      <c r="S63" s="1001"/>
      <c r="U63" s="751">
        <v>0</v>
      </c>
    </row>
    <row r="64" spans="2:30">
      <c r="B64" s="1002" t="s">
        <v>869</v>
      </c>
      <c r="C64" s="1001"/>
      <c r="D64" s="1001"/>
      <c r="E64" s="1001"/>
      <c r="F64" s="1001"/>
      <c r="G64" s="1001"/>
      <c r="H64" s="1001"/>
      <c r="I64" s="1001"/>
      <c r="J64" s="1001"/>
      <c r="K64" s="1001"/>
      <c r="L64" s="1001"/>
      <c r="M64" s="1001"/>
      <c r="N64" s="1001"/>
      <c r="O64" s="1001"/>
      <c r="P64" s="1001"/>
      <c r="Q64" s="1001"/>
      <c r="R64" s="1001"/>
      <c r="S64" s="1001"/>
      <c r="U64" s="751">
        <v>0</v>
      </c>
    </row>
    <row r="65" spans="2:21">
      <c r="B65" s="998" t="s">
        <v>90</v>
      </c>
      <c r="C65" s="999">
        <v>15776359.207469434</v>
      </c>
      <c r="D65" s="999">
        <v>1041439.0194872913</v>
      </c>
      <c r="E65" s="999">
        <v>8174108.3497210704</v>
      </c>
      <c r="F65" s="999">
        <v>0</v>
      </c>
      <c r="G65" s="999">
        <v>24991906.576677795</v>
      </c>
      <c r="H65" s="999">
        <v>9740601.222613506</v>
      </c>
      <c r="I65" s="999">
        <v>806510.96982814965</v>
      </c>
      <c r="J65" s="999">
        <v>10547112.192441655</v>
      </c>
      <c r="K65" s="999">
        <v>169711313.54795647</v>
      </c>
      <c r="L65" s="999">
        <v>14260709.559523987</v>
      </c>
      <c r="M65" s="999">
        <v>183972023.1074805</v>
      </c>
      <c r="N65" s="999">
        <v>0</v>
      </c>
      <c r="O65" s="999">
        <v>0</v>
      </c>
      <c r="P65" s="999">
        <v>8377664.1658551004</v>
      </c>
      <c r="Q65" s="999">
        <v>227888706.04245499</v>
      </c>
      <c r="R65" s="999">
        <v>78254198.843892932</v>
      </c>
      <c r="S65" s="999">
        <v>306142904.88634795</v>
      </c>
      <c r="U65" s="752">
        <v>0</v>
      </c>
    </row>
    <row r="66" spans="2:21">
      <c r="J66" s="728"/>
      <c r="K66" s="728"/>
      <c r="L66" s="728"/>
    </row>
    <row r="67" spans="2:21">
      <c r="J67" s="728"/>
      <c r="K67" s="728"/>
      <c r="L67" s="728"/>
    </row>
    <row r="68" spans="2:21" ht="15" customHeight="1">
      <c r="J68" s="728"/>
      <c r="K68" s="728"/>
      <c r="L68" s="728"/>
    </row>
    <row r="69" spans="2:21">
      <c r="J69" s="728"/>
      <c r="K69" s="728"/>
      <c r="L69" s="728"/>
    </row>
    <row r="70" spans="2:21">
      <c r="J70" s="728"/>
      <c r="K70" s="728"/>
      <c r="L70" s="728"/>
    </row>
    <row r="71" spans="2:21" outlineLevel="1">
      <c r="J71" s="728"/>
      <c r="K71" s="728"/>
      <c r="L71" s="728"/>
    </row>
    <row r="72" spans="2:21" outlineLevel="1">
      <c r="J72" s="728"/>
      <c r="K72" s="728"/>
      <c r="L72" s="728"/>
    </row>
    <row r="73" spans="2:21" outlineLevel="1">
      <c r="J73" s="728"/>
      <c r="K73" s="728"/>
      <c r="L73" s="728"/>
    </row>
    <row r="74" spans="2:21" outlineLevel="1">
      <c r="J74" s="728"/>
      <c r="K74" s="728"/>
      <c r="L74" s="728"/>
    </row>
    <row r="75" spans="2:21" outlineLevel="1">
      <c r="J75" s="728"/>
      <c r="K75" s="728"/>
      <c r="L75" s="728"/>
    </row>
    <row r="76" spans="2:21" outlineLevel="1">
      <c r="J76" s="728"/>
      <c r="K76" s="728"/>
      <c r="L76" s="728"/>
    </row>
    <row r="77" spans="2:21">
      <c r="J77" s="728"/>
      <c r="K77" s="728"/>
      <c r="L77" s="728"/>
    </row>
    <row r="78" spans="2:21">
      <c r="J78" s="728"/>
      <c r="K78" s="728"/>
      <c r="L78" s="728"/>
    </row>
    <row r="79" spans="2:21">
      <c r="J79" s="728"/>
      <c r="K79" s="728"/>
      <c r="L79" s="728"/>
    </row>
    <row r="80" spans="2:21">
      <c r="J80" s="728"/>
      <c r="K80" s="728"/>
      <c r="L80" s="728"/>
    </row>
    <row r="81" spans="10:12">
      <c r="J81" s="728"/>
      <c r="K81" s="728"/>
      <c r="L81" s="728"/>
    </row>
    <row r="82" spans="10:12">
      <c r="J82" s="728"/>
      <c r="K82" s="728"/>
      <c r="L82" s="728"/>
    </row>
    <row r="83" spans="10:12">
      <c r="J83" s="728"/>
      <c r="K83" s="728"/>
      <c r="L83" s="728"/>
    </row>
    <row r="84" spans="10:12">
      <c r="J84" s="728"/>
      <c r="K84" s="728"/>
      <c r="L84" s="728"/>
    </row>
    <row r="85" spans="10:12">
      <c r="J85" s="728"/>
      <c r="K85" s="728"/>
      <c r="L85" s="728"/>
    </row>
    <row r="86" spans="10:12">
      <c r="J86" s="728"/>
      <c r="K86" s="728"/>
      <c r="L86" s="728"/>
    </row>
    <row r="87" spans="10:12">
      <c r="J87" s="728"/>
      <c r="K87" s="728"/>
      <c r="L87" s="728"/>
    </row>
    <row r="88" spans="10:12">
      <c r="J88" s="728"/>
      <c r="K88" s="728"/>
      <c r="L88" s="728"/>
    </row>
    <row r="89" spans="10:12">
      <c r="J89" s="728"/>
      <c r="K89" s="728"/>
      <c r="L89" s="728"/>
    </row>
    <row r="90" spans="10:12">
      <c r="J90" s="728"/>
      <c r="K90" s="728"/>
      <c r="L90" s="728"/>
    </row>
    <row r="91" spans="10:12">
      <c r="J91" s="728"/>
      <c r="K91" s="728"/>
      <c r="L91" s="728"/>
    </row>
    <row r="92" spans="10:12">
      <c r="J92" s="728"/>
      <c r="K92" s="728"/>
      <c r="L92" s="728"/>
    </row>
    <row r="93" spans="10:12">
      <c r="J93" s="728"/>
      <c r="K93" s="728"/>
      <c r="L93" s="728"/>
    </row>
    <row r="94" spans="10:12">
      <c r="J94" s="728"/>
      <c r="K94" s="728"/>
      <c r="L94" s="728"/>
    </row>
    <row r="95" spans="10:12">
      <c r="J95" s="728"/>
      <c r="K95" s="728"/>
      <c r="L95" s="728"/>
    </row>
    <row r="96" spans="10:12">
      <c r="J96" s="728"/>
      <c r="K96" s="728"/>
      <c r="L96" s="728"/>
    </row>
    <row r="97" spans="10:12">
      <c r="J97" s="728"/>
      <c r="K97" s="728"/>
      <c r="L97" s="728"/>
    </row>
    <row r="98" spans="10:12">
      <c r="J98" s="728"/>
      <c r="K98" s="728"/>
      <c r="L98" s="728"/>
    </row>
    <row r="99" spans="10:12">
      <c r="J99" s="728"/>
      <c r="K99" s="728"/>
      <c r="L99" s="728"/>
    </row>
    <row r="100" spans="10:12">
      <c r="J100" s="728"/>
      <c r="K100" s="728"/>
      <c r="L100" s="728"/>
    </row>
    <row r="101" spans="10:12">
      <c r="J101" s="728"/>
      <c r="K101" s="728"/>
      <c r="L101" s="728"/>
    </row>
    <row r="102" spans="10:12">
      <c r="J102" s="728"/>
      <c r="K102" s="728"/>
      <c r="L102" s="728"/>
    </row>
    <row r="103" spans="10:12">
      <c r="J103" s="728"/>
      <c r="K103" s="728"/>
      <c r="L103" s="728"/>
    </row>
    <row r="104" spans="10:12">
      <c r="J104" s="728"/>
      <c r="K104" s="728"/>
      <c r="L104" s="728"/>
    </row>
    <row r="105" spans="10:12">
      <c r="J105" s="728"/>
      <c r="K105" s="728"/>
      <c r="L105" s="728"/>
    </row>
    <row r="106" spans="10:12">
      <c r="J106" s="728"/>
      <c r="K106" s="728"/>
      <c r="L106" s="728"/>
    </row>
    <row r="107" spans="10:12">
      <c r="J107" s="728"/>
      <c r="K107" s="728"/>
      <c r="L107" s="728"/>
    </row>
    <row r="108" spans="10:12">
      <c r="J108" s="728"/>
      <c r="K108" s="728"/>
      <c r="L108" s="728"/>
    </row>
    <row r="109" spans="10:12">
      <c r="J109" s="728"/>
      <c r="K109" s="728"/>
      <c r="L109" s="728"/>
    </row>
    <row r="110" spans="10:12">
      <c r="J110" s="728"/>
      <c r="K110" s="728"/>
      <c r="L110" s="728"/>
    </row>
    <row r="111" spans="10:12">
      <c r="J111" s="728"/>
      <c r="K111" s="728"/>
      <c r="L111" s="728"/>
    </row>
    <row r="112" spans="10:12">
      <c r="J112" s="728"/>
      <c r="K112" s="728"/>
      <c r="L112" s="728"/>
    </row>
    <row r="113" spans="10:12">
      <c r="J113" s="728"/>
      <c r="K113" s="728"/>
      <c r="L113" s="728"/>
    </row>
    <row r="114" spans="10:12">
      <c r="J114" s="728"/>
      <c r="K114" s="728"/>
      <c r="L114" s="728"/>
    </row>
    <row r="115" spans="10:12">
      <c r="J115" s="728"/>
      <c r="K115" s="728"/>
      <c r="L115" s="728"/>
    </row>
    <row r="116" spans="10:12">
      <c r="J116" s="728"/>
      <c r="K116" s="728"/>
      <c r="L116" s="728"/>
    </row>
    <row r="117" spans="10:12">
      <c r="J117" s="728"/>
      <c r="K117" s="728"/>
      <c r="L117" s="728"/>
    </row>
    <row r="118" spans="10:12">
      <c r="J118" s="728"/>
      <c r="K118" s="728"/>
      <c r="L118" s="728"/>
    </row>
    <row r="119" spans="10:12">
      <c r="J119" s="728"/>
      <c r="K119" s="728"/>
      <c r="L119" s="728"/>
    </row>
    <row r="120" spans="10:12">
      <c r="J120" s="728"/>
      <c r="K120" s="728"/>
      <c r="L120" s="728"/>
    </row>
    <row r="121" spans="10:12">
      <c r="J121" s="728"/>
      <c r="K121" s="728"/>
      <c r="L121" s="728"/>
    </row>
    <row r="122" spans="10:12">
      <c r="J122" s="728"/>
      <c r="K122" s="728"/>
      <c r="L122" s="728"/>
    </row>
    <row r="123" spans="10:12">
      <c r="J123" s="728"/>
      <c r="K123" s="728"/>
      <c r="L123" s="728"/>
    </row>
    <row r="124" spans="10:12">
      <c r="J124" s="728"/>
      <c r="K124" s="728"/>
      <c r="L124" s="728"/>
    </row>
    <row r="125" spans="10:12">
      <c r="J125" s="728"/>
      <c r="K125" s="728"/>
      <c r="L125" s="728"/>
    </row>
    <row r="126" spans="10:12">
      <c r="J126" s="728"/>
      <c r="K126" s="728"/>
      <c r="L126" s="728"/>
    </row>
    <row r="127" spans="10:12">
      <c r="J127" s="728"/>
      <c r="K127" s="728"/>
      <c r="L127" s="728"/>
    </row>
    <row r="128" spans="10:12" ht="15" customHeight="1">
      <c r="J128" s="728"/>
      <c r="K128" s="728"/>
      <c r="L128" s="728"/>
    </row>
    <row r="129" spans="10:12">
      <c r="J129" s="728"/>
      <c r="K129" s="728"/>
      <c r="L129" s="728"/>
    </row>
    <row r="130" spans="10:12">
      <c r="J130" s="728"/>
      <c r="K130" s="728"/>
      <c r="L130" s="728"/>
    </row>
    <row r="131" spans="10:12" outlineLevel="1">
      <c r="J131" s="728"/>
      <c r="K131" s="728"/>
      <c r="L131" s="728"/>
    </row>
    <row r="132" spans="10:12" outlineLevel="1">
      <c r="J132" s="728"/>
      <c r="K132" s="728"/>
      <c r="L132" s="728"/>
    </row>
    <row r="133" spans="10:12" outlineLevel="1">
      <c r="J133" s="728"/>
      <c r="K133" s="728"/>
      <c r="L133" s="728"/>
    </row>
    <row r="134" spans="10:12" outlineLevel="1">
      <c r="J134" s="728"/>
      <c r="K134" s="728"/>
      <c r="L134" s="728"/>
    </row>
    <row r="135" spans="10:12" outlineLevel="1">
      <c r="J135" s="728"/>
      <c r="K135" s="728"/>
      <c r="L135" s="728"/>
    </row>
    <row r="136" spans="10:12" outlineLevel="1">
      <c r="J136" s="728"/>
      <c r="K136" s="728"/>
      <c r="L136" s="728"/>
    </row>
    <row r="137" spans="10:12">
      <c r="J137" s="728"/>
      <c r="K137" s="728"/>
      <c r="L137" s="728"/>
    </row>
    <row r="138" spans="10:12">
      <c r="J138" s="728"/>
      <c r="K138" s="728"/>
      <c r="L138" s="728"/>
    </row>
    <row r="139" spans="10:12">
      <c r="J139" s="728"/>
      <c r="K139" s="728"/>
      <c r="L139" s="728"/>
    </row>
    <row r="140" spans="10:12">
      <c r="J140" s="728"/>
      <c r="K140" s="728"/>
      <c r="L140" s="728"/>
    </row>
    <row r="141" spans="10:12">
      <c r="J141" s="728"/>
      <c r="K141" s="728"/>
      <c r="L141" s="728"/>
    </row>
    <row r="142" spans="10:12">
      <c r="J142" s="728"/>
      <c r="K142" s="728"/>
      <c r="L142" s="728"/>
    </row>
    <row r="143" spans="10:12">
      <c r="J143" s="728"/>
      <c r="K143" s="728"/>
      <c r="L143" s="728"/>
    </row>
    <row r="144" spans="10:12">
      <c r="J144" s="728"/>
      <c r="K144" s="728"/>
      <c r="L144" s="728"/>
    </row>
    <row r="145" spans="10:12">
      <c r="J145" s="728"/>
      <c r="K145" s="728"/>
      <c r="L145" s="728"/>
    </row>
    <row r="146" spans="10:12">
      <c r="J146" s="728"/>
      <c r="K146" s="728"/>
      <c r="L146" s="728"/>
    </row>
    <row r="147" spans="10:12">
      <c r="J147" s="728"/>
      <c r="K147" s="728"/>
      <c r="L147" s="728"/>
    </row>
    <row r="148" spans="10:12">
      <c r="J148" s="728"/>
      <c r="K148" s="728"/>
      <c r="L148" s="728"/>
    </row>
    <row r="149" spans="10:12">
      <c r="J149" s="728"/>
      <c r="K149" s="728"/>
      <c r="L149" s="728"/>
    </row>
    <row r="150" spans="10:12">
      <c r="J150" s="728"/>
      <c r="K150" s="728"/>
      <c r="L150" s="728"/>
    </row>
    <row r="151" spans="10:12">
      <c r="J151" s="728"/>
      <c r="K151" s="728"/>
      <c r="L151" s="728"/>
    </row>
    <row r="152" spans="10:12">
      <c r="J152" s="728"/>
      <c r="K152" s="728"/>
      <c r="L152" s="728"/>
    </row>
    <row r="153" spans="10:12">
      <c r="J153" s="728"/>
      <c r="K153" s="728"/>
      <c r="L153" s="728"/>
    </row>
    <row r="154" spans="10:12">
      <c r="J154" s="728"/>
      <c r="K154" s="728"/>
      <c r="L154" s="728"/>
    </row>
    <row r="155" spans="10:12">
      <c r="J155" s="728"/>
      <c r="K155" s="728"/>
      <c r="L155" s="728"/>
    </row>
    <row r="156" spans="10:12">
      <c r="J156" s="728"/>
      <c r="K156" s="728"/>
      <c r="L156" s="728"/>
    </row>
    <row r="157" spans="10:12">
      <c r="J157" s="728"/>
      <c r="K157" s="728"/>
      <c r="L157" s="728"/>
    </row>
    <row r="158" spans="10:12">
      <c r="J158" s="728"/>
      <c r="K158" s="728"/>
      <c r="L158" s="728"/>
    </row>
    <row r="159" spans="10:12">
      <c r="J159" s="728"/>
      <c r="K159" s="728"/>
      <c r="L159" s="728"/>
    </row>
    <row r="160" spans="10:12">
      <c r="J160" s="728"/>
      <c r="K160" s="728"/>
      <c r="L160" s="728"/>
    </row>
    <row r="161" spans="10:12">
      <c r="J161" s="728"/>
      <c r="K161" s="728"/>
      <c r="L161" s="728"/>
    </row>
    <row r="162" spans="10:12">
      <c r="J162" s="728"/>
      <c r="K162" s="728"/>
      <c r="L162" s="728"/>
    </row>
    <row r="163" spans="10:12">
      <c r="J163" s="728"/>
      <c r="K163" s="728"/>
      <c r="L163" s="728"/>
    </row>
    <row r="164" spans="10:12">
      <c r="J164" s="728"/>
      <c r="K164" s="728"/>
      <c r="L164" s="728"/>
    </row>
    <row r="165" spans="10:12">
      <c r="J165" s="728"/>
      <c r="K165" s="728"/>
      <c r="L165" s="728"/>
    </row>
    <row r="166" spans="10:12">
      <c r="J166" s="728"/>
      <c r="K166" s="728"/>
      <c r="L166" s="728"/>
    </row>
    <row r="167" spans="10:12">
      <c r="J167" s="728"/>
      <c r="K167" s="728"/>
      <c r="L167" s="728"/>
    </row>
    <row r="168" spans="10:12">
      <c r="J168" s="728"/>
      <c r="K168" s="728"/>
      <c r="L168" s="728"/>
    </row>
    <row r="169" spans="10:12">
      <c r="J169" s="728"/>
      <c r="K169" s="728"/>
      <c r="L169" s="728"/>
    </row>
    <row r="170" spans="10:12">
      <c r="J170" s="728"/>
      <c r="K170" s="728"/>
      <c r="L170" s="728"/>
    </row>
    <row r="171" spans="10:12">
      <c r="J171" s="728"/>
      <c r="K171" s="728"/>
      <c r="L171" s="728"/>
    </row>
    <row r="172" spans="10:12">
      <c r="J172" s="728"/>
      <c r="K172" s="728"/>
      <c r="L172" s="728"/>
    </row>
    <row r="173" spans="10:12">
      <c r="J173" s="728"/>
      <c r="K173" s="728"/>
      <c r="L173" s="728"/>
    </row>
    <row r="174" spans="10:12">
      <c r="J174" s="728"/>
      <c r="K174" s="728"/>
      <c r="L174" s="728"/>
    </row>
    <row r="175" spans="10:12">
      <c r="J175" s="728"/>
      <c r="K175" s="728"/>
      <c r="L175" s="728"/>
    </row>
    <row r="176" spans="10:12">
      <c r="J176" s="728"/>
      <c r="K176" s="728"/>
      <c r="L176" s="728"/>
    </row>
    <row r="177" spans="10:12">
      <c r="J177" s="728"/>
      <c r="K177" s="728"/>
      <c r="L177" s="728"/>
    </row>
    <row r="178" spans="10:12">
      <c r="J178" s="728"/>
      <c r="K178" s="728"/>
      <c r="L178" s="728"/>
    </row>
    <row r="179" spans="10:12">
      <c r="J179" s="728"/>
      <c r="K179" s="728"/>
      <c r="L179" s="728"/>
    </row>
    <row r="180" spans="10:12">
      <c r="J180" s="728"/>
      <c r="K180" s="728"/>
      <c r="L180" s="728"/>
    </row>
    <row r="181" spans="10:12">
      <c r="J181" s="728"/>
      <c r="K181" s="728"/>
      <c r="L181" s="728"/>
    </row>
    <row r="182" spans="10:12">
      <c r="J182" s="728"/>
      <c r="K182" s="728"/>
      <c r="L182" s="728"/>
    </row>
    <row r="183" spans="10:12">
      <c r="J183" s="728"/>
      <c r="K183" s="728"/>
      <c r="L183" s="728"/>
    </row>
    <row r="184" spans="10:12">
      <c r="J184" s="728"/>
      <c r="K184" s="728"/>
      <c r="L184" s="728"/>
    </row>
    <row r="185" spans="10:12">
      <c r="J185" s="728"/>
      <c r="K185" s="728"/>
      <c r="L185" s="728"/>
    </row>
    <row r="186" spans="10:12">
      <c r="J186" s="728"/>
      <c r="K186" s="728"/>
      <c r="L186" s="728"/>
    </row>
    <row r="187" spans="10:12">
      <c r="J187" s="728"/>
      <c r="K187" s="728"/>
      <c r="L187" s="728"/>
    </row>
    <row r="188" spans="10:12" ht="15" customHeight="1">
      <c r="J188" s="728"/>
      <c r="K188" s="728"/>
      <c r="L188" s="728"/>
    </row>
    <row r="189" spans="10:12">
      <c r="J189" s="728"/>
      <c r="K189" s="728"/>
      <c r="L189" s="728"/>
    </row>
    <row r="190" spans="10:12">
      <c r="J190" s="728"/>
      <c r="K190" s="728"/>
      <c r="L190" s="728"/>
    </row>
    <row r="191" spans="10:12" hidden="1" outlineLevel="1">
      <c r="J191" s="728"/>
      <c r="K191" s="728"/>
      <c r="L191" s="728"/>
    </row>
    <row r="192" spans="10:12" hidden="1" outlineLevel="1">
      <c r="J192" s="728"/>
      <c r="K192" s="728"/>
      <c r="L192" s="728"/>
    </row>
    <row r="193" spans="10:12" hidden="1" outlineLevel="1">
      <c r="J193" s="728"/>
      <c r="K193" s="728"/>
      <c r="L193" s="728"/>
    </row>
    <row r="194" spans="10:12" hidden="1" outlineLevel="1">
      <c r="J194" s="728"/>
      <c r="K194" s="728"/>
      <c r="L194" s="728"/>
    </row>
    <row r="195" spans="10:12" hidden="1" outlineLevel="1">
      <c r="J195" s="728"/>
      <c r="K195" s="728"/>
      <c r="L195" s="728"/>
    </row>
    <row r="196" spans="10:12" hidden="1" outlineLevel="1">
      <c r="J196" s="728"/>
      <c r="K196" s="728"/>
      <c r="L196" s="728"/>
    </row>
    <row r="197" spans="10:12" collapsed="1">
      <c r="J197" s="728"/>
      <c r="K197" s="728"/>
      <c r="L197" s="728"/>
    </row>
    <row r="198" spans="10:12">
      <c r="J198" s="728"/>
      <c r="K198" s="728"/>
      <c r="L198" s="728"/>
    </row>
    <row r="199" spans="10:12">
      <c r="J199" s="728"/>
      <c r="K199" s="728"/>
      <c r="L199" s="728"/>
    </row>
    <row r="200" spans="10:12">
      <c r="J200" s="728"/>
      <c r="K200" s="728"/>
      <c r="L200" s="728"/>
    </row>
    <row r="201" spans="10:12">
      <c r="J201" s="728"/>
      <c r="K201" s="728"/>
      <c r="L201" s="728"/>
    </row>
    <row r="202" spans="10:12">
      <c r="J202" s="728"/>
      <c r="K202" s="728"/>
      <c r="L202" s="728"/>
    </row>
    <row r="203" spans="10:12">
      <c r="J203" s="728"/>
      <c r="K203" s="728"/>
      <c r="L203" s="728"/>
    </row>
    <row r="204" spans="10:12">
      <c r="J204" s="728"/>
      <c r="K204" s="728"/>
      <c r="L204" s="728"/>
    </row>
    <row r="205" spans="10:12">
      <c r="J205" s="728"/>
      <c r="K205" s="728"/>
      <c r="L205" s="728"/>
    </row>
    <row r="206" spans="10:12">
      <c r="J206" s="728"/>
      <c r="K206" s="728"/>
      <c r="L206" s="728"/>
    </row>
    <row r="207" spans="10:12">
      <c r="J207" s="728"/>
      <c r="K207" s="728"/>
      <c r="L207" s="728"/>
    </row>
    <row r="208" spans="10:12">
      <c r="J208" s="728"/>
      <c r="K208" s="728"/>
      <c r="L208" s="728"/>
    </row>
    <row r="209" spans="10:12">
      <c r="J209" s="728"/>
      <c r="K209" s="728"/>
      <c r="L209" s="728"/>
    </row>
    <row r="210" spans="10:12">
      <c r="J210" s="728"/>
      <c r="K210" s="728"/>
      <c r="L210" s="728"/>
    </row>
    <row r="211" spans="10:12">
      <c r="J211" s="728"/>
      <c r="K211" s="728"/>
      <c r="L211" s="728"/>
    </row>
    <row r="212" spans="10:12">
      <c r="J212" s="728"/>
      <c r="K212" s="728"/>
      <c r="L212" s="728"/>
    </row>
    <row r="213" spans="10:12">
      <c r="J213" s="728"/>
      <c r="K213" s="728"/>
      <c r="L213" s="728"/>
    </row>
    <row r="214" spans="10:12">
      <c r="J214" s="728"/>
      <c r="K214" s="728"/>
      <c r="L214" s="728"/>
    </row>
    <row r="215" spans="10:12">
      <c r="J215" s="728"/>
      <c r="K215" s="728"/>
      <c r="L215" s="728"/>
    </row>
    <row r="216" spans="10:12">
      <c r="J216" s="728"/>
      <c r="K216" s="728"/>
      <c r="L216" s="728"/>
    </row>
    <row r="217" spans="10:12">
      <c r="J217" s="728"/>
      <c r="K217" s="728"/>
      <c r="L217" s="728"/>
    </row>
    <row r="218" spans="10:12">
      <c r="J218" s="728"/>
      <c r="K218" s="728"/>
      <c r="L218" s="728"/>
    </row>
    <row r="219" spans="10:12">
      <c r="J219" s="728"/>
      <c r="K219" s="728"/>
      <c r="L219" s="728"/>
    </row>
    <row r="220" spans="10:12">
      <c r="J220" s="728"/>
      <c r="K220" s="728"/>
      <c r="L220" s="728"/>
    </row>
    <row r="221" spans="10:12">
      <c r="J221" s="728"/>
      <c r="K221" s="728"/>
      <c r="L221" s="728"/>
    </row>
    <row r="222" spans="10:12">
      <c r="J222" s="728"/>
      <c r="K222" s="728"/>
      <c r="L222" s="728"/>
    </row>
    <row r="223" spans="10:12">
      <c r="J223" s="728"/>
      <c r="K223" s="728"/>
      <c r="L223" s="728"/>
    </row>
    <row r="224" spans="10:12">
      <c r="J224" s="728"/>
      <c r="K224" s="728"/>
      <c r="L224" s="728"/>
    </row>
    <row r="225" spans="10:12">
      <c r="J225" s="728"/>
      <c r="K225" s="728"/>
      <c r="L225" s="728"/>
    </row>
    <row r="226" spans="10:12">
      <c r="J226" s="728"/>
      <c r="K226" s="728"/>
      <c r="L226" s="728"/>
    </row>
    <row r="227" spans="10:12">
      <c r="J227" s="728"/>
      <c r="K227" s="728"/>
      <c r="L227" s="728"/>
    </row>
    <row r="228" spans="10:12">
      <c r="J228" s="728"/>
      <c r="K228" s="728"/>
      <c r="L228" s="728"/>
    </row>
    <row r="229" spans="10:12">
      <c r="J229" s="728"/>
      <c r="K229" s="728"/>
      <c r="L229" s="728"/>
    </row>
    <row r="230" spans="10:12">
      <c r="J230" s="728"/>
      <c r="K230" s="728"/>
      <c r="L230" s="728"/>
    </row>
    <row r="231" spans="10:12">
      <c r="J231" s="728"/>
      <c r="K231" s="728"/>
      <c r="L231" s="728"/>
    </row>
    <row r="232" spans="10:12">
      <c r="J232" s="728"/>
      <c r="K232" s="728"/>
      <c r="L232" s="728"/>
    </row>
    <row r="233" spans="10:12">
      <c r="J233" s="728"/>
      <c r="K233" s="728"/>
      <c r="L233" s="728"/>
    </row>
    <row r="234" spans="10:12">
      <c r="J234" s="728"/>
      <c r="K234" s="728"/>
      <c r="L234" s="728"/>
    </row>
    <row r="235" spans="10:12">
      <c r="J235" s="728"/>
      <c r="K235" s="728"/>
      <c r="L235" s="728"/>
    </row>
    <row r="236" spans="10:12">
      <c r="J236" s="728"/>
      <c r="K236" s="728"/>
      <c r="L236" s="728"/>
    </row>
    <row r="237" spans="10:12">
      <c r="J237" s="728"/>
      <c r="K237" s="728"/>
      <c r="L237" s="728"/>
    </row>
    <row r="238" spans="10:12">
      <c r="J238" s="728"/>
      <c r="K238" s="728"/>
      <c r="L238" s="728"/>
    </row>
    <row r="239" spans="10:12">
      <c r="J239" s="728"/>
      <c r="K239" s="728"/>
      <c r="L239" s="728"/>
    </row>
    <row r="240" spans="10:12">
      <c r="J240" s="728"/>
      <c r="K240" s="728"/>
      <c r="L240" s="728"/>
    </row>
    <row r="241" spans="10:12">
      <c r="J241" s="728"/>
      <c r="K241" s="728"/>
      <c r="L241" s="728"/>
    </row>
    <row r="242" spans="10:12">
      <c r="J242" s="728"/>
      <c r="K242" s="728"/>
      <c r="L242" s="728"/>
    </row>
    <row r="243" spans="10:12">
      <c r="J243" s="728"/>
      <c r="K243" s="728"/>
      <c r="L243" s="728"/>
    </row>
    <row r="244" spans="10:12">
      <c r="J244" s="728"/>
      <c r="K244" s="728"/>
      <c r="L244" s="728"/>
    </row>
    <row r="245" spans="10:12">
      <c r="J245" s="728"/>
      <c r="K245" s="728"/>
      <c r="L245" s="728"/>
    </row>
    <row r="246" spans="10:12">
      <c r="J246" s="728"/>
      <c r="K246" s="728"/>
      <c r="L246" s="728"/>
    </row>
    <row r="247" spans="10:12">
      <c r="J247" s="728"/>
      <c r="K247" s="728"/>
      <c r="L247" s="728"/>
    </row>
    <row r="248" spans="10:12">
      <c r="J248" s="728"/>
      <c r="K248" s="728"/>
      <c r="L248" s="728"/>
    </row>
    <row r="249" spans="10:12">
      <c r="J249" s="728"/>
      <c r="K249" s="728"/>
      <c r="L249" s="728"/>
    </row>
    <row r="250" spans="10:12">
      <c r="J250" s="728"/>
      <c r="K250" s="728"/>
      <c r="L250" s="728"/>
    </row>
    <row r="251" spans="10:12">
      <c r="J251" s="728"/>
      <c r="K251" s="728"/>
      <c r="L251" s="728"/>
    </row>
  </sheetData>
  <mergeCells count="18">
    <mergeCell ref="H9:J9"/>
    <mergeCell ref="K9:K10"/>
    <mergeCell ref="L9:L10"/>
    <mergeCell ref="M9:M10"/>
    <mergeCell ref="N9:N10"/>
    <mergeCell ref="O9:O10"/>
    <mergeCell ref="B7:J7"/>
    <mergeCell ref="K7:U7"/>
    <mergeCell ref="B8:B10"/>
    <mergeCell ref="C8:J8"/>
    <mergeCell ref="K8:M8"/>
    <mergeCell ref="N8:O8"/>
    <mergeCell ref="P8:P9"/>
    <mergeCell ref="Q8:Q10"/>
    <mergeCell ref="R8:R10"/>
    <mergeCell ref="S8:S10"/>
    <mergeCell ref="U8:U10"/>
    <mergeCell ref="C9:G9"/>
  </mergeCells>
  <pageMargins left="0.7" right="0.7" top="1.3958333333333333" bottom="0.75" header="0.3" footer="0.3"/>
  <pageSetup fitToWidth="4" fitToHeight="4" pageOrder="overThenDown" orientation="landscape" r:id="rId2"/>
  <headerFooter>
    <oddHeader>&amp;RBoston Gas Company and Colonial Gas Company 
d/b/a National Grid 
D.P.U. 18-51
2017 Energy Efficiency Plan-Year Report
Appendix 2, BCR Model
&amp;P of &amp;N</oddHeader>
  </headerFooter>
  <colBreaks count="1" manualBreakCount="1">
    <brk id="10" min="1" max="24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J150"/>
  <sheetViews>
    <sheetView topLeftCell="A4" zoomScaleNormal="100" workbookViewId="0">
      <selection activeCell="B47" sqref="B47"/>
    </sheetView>
  </sheetViews>
  <sheetFormatPr defaultColWidth="9.140625" defaultRowHeight="15" outlineLevelRow="1"/>
  <cols>
    <col min="1" max="1" width="2.7109375" style="753" customWidth="1"/>
    <col min="2" max="2" width="53.85546875" style="753" customWidth="1"/>
    <col min="3" max="3" width="14.5703125" style="753" customWidth="1"/>
    <col min="4" max="4" width="16.85546875" style="753" customWidth="1"/>
    <col min="5" max="5" width="17" style="753" customWidth="1"/>
    <col min="6" max="6" width="21.85546875" style="753" customWidth="1"/>
    <col min="7" max="7" width="13.85546875" style="753" customWidth="1"/>
    <col min="8" max="8" width="14" style="753" customWidth="1"/>
    <col min="9" max="9" width="13.5703125" style="753" customWidth="1"/>
    <col min="10" max="10" width="13.140625" style="753" bestFit="1" customWidth="1"/>
    <col min="11" max="16384" width="9.140625" style="753"/>
  </cols>
  <sheetData>
    <row r="2" spans="2:10" ht="21">
      <c r="B2" s="725" t="s">
        <v>884</v>
      </c>
      <c r="C2" s="725"/>
      <c r="D2" s="725"/>
      <c r="E2" s="725"/>
      <c r="F2" s="725"/>
    </row>
    <row r="3" spans="2:10" s="755" customFormat="1" ht="18.75">
      <c r="B3" s="754" t="s">
        <v>885</v>
      </c>
      <c r="D3" s="729"/>
      <c r="E3" s="729"/>
      <c r="I3" s="730"/>
    </row>
    <row r="4" spans="2:10" ht="15.75">
      <c r="B4" s="732" t="str">
        <f>'Lookups-Assumptions'!D5</f>
        <v>National Grid</v>
      </c>
      <c r="D4" s="732"/>
      <c r="E4" s="732"/>
      <c r="I4" s="733"/>
    </row>
    <row r="5" spans="2:10">
      <c r="B5" s="734" t="str">
        <f>'Lookups-Assumptions'!D4</f>
        <v>Gas</v>
      </c>
      <c r="D5" s="734"/>
      <c r="E5" s="734"/>
      <c r="I5" s="733" t="s">
        <v>37</v>
      </c>
    </row>
    <row r="7" spans="2:10" ht="15.75">
      <c r="B7" s="1212" t="str">
        <f>IF(C13="(Multiple Items)","2016-2018",C13)&amp;" Total Resource Cost Test (2016$)"</f>
        <v>2017 Total Resource Cost Test (2016$)</v>
      </c>
      <c r="C7" s="1213"/>
      <c r="D7" s="1213"/>
      <c r="E7" s="1213"/>
      <c r="F7" s="1213"/>
      <c r="G7" s="1213"/>
      <c r="H7" s="1213"/>
      <c r="I7" s="1214"/>
    </row>
    <row r="8" spans="2:10" ht="15" customHeight="1">
      <c r="B8" s="1215" t="s">
        <v>8</v>
      </c>
      <c r="C8" s="1217" t="s">
        <v>886</v>
      </c>
      <c r="D8" s="1218" t="s">
        <v>616</v>
      </c>
      <c r="E8" s="1194" t="s">
        <v>617</v>
      </c>
      <c r="F8" s="1195" t="s">
        <v>290</v>
      </c>
      <c r="G8" s="1219"/>
      <c r="H8" s="1219"/>
      <c r="I8" s="1220"/>
    </row>
    <row r="9" spans="2:10" ht="30">
      <c r="B9" s="1216"/>
      <c r="C9" s="1217"/>
      <c r="D9" s="1218"/>
      <c r="E9" s="1194"/>
      <c r="F9" s="736" t="s">
        <v>425</v>
      </c>
      <c r="G9" s="736" t="s">
        <v>426</v>
      </c>
      <c r="H9" s="736" t="s">
        <v>427</v>
      </c>
      <c r="I9" s="736" t="s">
        <v>618</v>
      </c>
    </row>
    <row r="10" spans="2:10" hidden="1" outlineLevel="1">
      <c r="B10"/>
      <c r="C10"/>
      <c r="D10" s="756"/>
      <c r="E10" s="738"/>
      <c r="F10" s="738"/>
      <c r="G10" s="738"/>
      <c r="H10" s="738"/>
    </row>
    <row r="11" spans="2:10" hidden="1" outlineLevel="1">
      <c r="B11" s="995" t="s">
        <v>619</v>
      </c>
      <c r="C11" s="996" t="s">
        <v>474</v>
      </c>
      <c r="D11" s="757"/>
      <c r="E11" s="757"/>
      <c r="F11" s="757"/>
    </row>
    <row r="12" spans="2:10" hidden="1" outlineLevel="1">
      <c r="B12" s="995" t="s">
        <v>620</v>
      </c>
      <c r="C12" s="996" t="s">
        <v>1387</v>
      </c>
      <c r="D12" s="758"/>
      <c r="E12" s="758"/>
      <c r="F12" s="758"/>
    </row>
    <row r="13" spans="2:10" hidden="1" outlineLevel="1">
      <c r="B13" s="995" t="s">
        <v>280</v>
      </c>
      <c r="C13" s="997">
        <v>2017</v>
      </c>
      <c r="D13" s="758"/>
      <c r="E13" s="758"/>
      <c r="F13" s="758"/>
    </row>
    <row r="14" spans="2:10" ht="15" hidden="1" customHeight="1" outlineLevel="1">
      <c r="B14" s="758"/>
      <c r="C14" s="758"/>
      <c r="D14" s="758"/>
      <c r="E14" s="758"/>
      <c r="F14" s="758"/>
    </row>
    <row r="15" spans="2:10" s="759" customFormat="1" ht="28.5" hidden="1" customHeight="1" outlineLevel="1">
      <c r="B15" s="996"/>
      <c r="C15" s="996" t="s">
        <v>621</v>
      </c>
      <c r="D15" s="996" t="s">
        <v>622</v>
      </c>
      <c r="E15" s="996" t="s">
        <v>623</v>
      </c>
      <c r="F15" s="996" t="s">
        <v>887</v>
      </c>
      <c r="G15" s="996" t="s">
        <v>888</v>
      </c>
      <c r="H15" s="996" t="s">
        <v>624</v>
      </c>
      <c r="I15" s="996" t="s">
        <v>625</v>
      </c>
    </row>
    <row r="16" spans="2:10" s="761" customFormat="1" collapsed="1">
      <c r="B16" s="998" t="s">
        <v>239</v>
      </c>
      <c r="C16" s="1006">
        <v>1.6341151824835434</v>
      </c>
      <c r="D16" s="1007">
        <v>63169393.522756055</v>
      </c>
      <c r="E16" s="1007">
        <v>162787562.69408864</v>
      </c>
      <c r="F16" s="1007">
        <v>62398867.452766865</v>
      </c>
      <c r="G16" s="1007">
        <v>1723258.9514079997</v>
      </c>
      <c r="H16" s="1007">
        <v>33028418.91602461</v>
      </c>
      <c r="I16" s="1007">
        <v>99618169.171332583</v>
      </c>
      <c r="J16" s="760"/>
    </row>
    <row r="17" spans="2:9" s="761" customFormat="1">
      <c r="B17" s="1000" t="s">
        <v>462</v>
      </c>
      <c r="C17" s="1009">
        <v>1.5762156626041723</v>
      </c>
      <c r="D17" s="1008">
        <v>41454818.491035447</v>
      </c>
      <c r="E17" s="1008">
        <v>113398052.91073669</v>
      </c>
      <c r="F17" s="1008">
        <v>48168455.936171696</v>
      </c>
      <c r="G17" s="1008">
        <v>1186493.3446937103</v>
      </c>
      <c r="H17" s="1008">
        <v>20806192.14657874</v>
      </c>
      <c r="I17" s="1008">
        <v>71943234.419701248</v>
      </c>
    </row>
    <row r="18" spans="2:9" s="761" customFormat="1">
      <c r="B18" s="1002" t="s">
        <v>615</v>
      </c>
      <c r="C18" s="1011">
        <v>1.3430690281238655</v>
      </c>
      <c r="D18" s="1012">
        <v>6569312.559520226</v>
      </c>
      <c r="E18" s="1012">
        <v>25717973.677213326</v>
      </c>
      <c r="F18" s="1012">
        <v>6229651.8317487147</v>
      </c>
      <c r="G18" s="1012">
        <v>233662.27503034892</v>
      </c>
      <c r="H18" s="1012">
        <v>12211018.951240342</v>
      </c>
      <c r="I18" s="1012">
        <v>19148661.1176931</v>
      </c>
    </row>
    <row r="19" spans="2:9" s="761" customFormat="1">
      <c r="B19" s="1002" t="s">
        <v>725</v>
      </c>
      <c r="C19" s="1011">
        <v>3.0190057345322203</v>
      </c>
      <c r="D19" s="1012">
        <v>7407821.2758704526</v>
      </c>
      <c r="E19" s="1012">
        <v>11076865.47379927</v>
      </c>
      <c r="F19" s="1012">
        <v>3810825.3831381528</v>
      </c>
      <c r="G19" s="1012">
        <v>138186.40292466822</v>
      </c>
      <c r="H19" s="1012">
        <v>-370852.82572654611</v>
      </c>
      <c r="I19" s="1012">
        <v>3669044.197928817</v>
      </c>
    </row>
    <row r="20" spans="2:9" s="761" customFormat="1">
      <c r="B20" s="1002" t="s">
        <v>741</v>
      </c>
      <c r="C20" s="1011">
        <v>1.7893776428649386</v>
      </c>
      <c r="D20" s="1012">
        <v>31525187.442990534</v>
      </c>
      <c r="E20" s="1012">
        <v>71461949.939296052</v>
      </c>
      <c r="F20" s="1012">
        <v>29223392.458558872</v>
      </c>
      <c r="G20" s="1012">
        <v>758077.61585649685</v>
      </c>
      <c r="H20" s="1012">
        <v>8966026.0210649446</v>
      </c>
      <c r="I20" s="1012">
        <v>39936762.496305518</v>
      </c>
    </row>
    <row r="21" spans="2:9" s="761" customFormat="1">
      <c r="B21" s="1002" t="s">
        <v>842</v>
      </c>
      <c r="C21" s="1011">
        <v>0</v>
      </c>
      <c r="D21" s="1012">
        <v>-6562409.6488651484</v>
      </c>
      <c r="E21" s="1012">
        <v>0</v>
      </c>
      <c r="F21" s="1012">
        <v>6399853.3731862176</v>
      </c>
      <c r="G21" s="1012">
        <v>0</v>
      </c>
      <c r="H21" s="1012">
        <v>0</v>
      </c>
      <c r="I21" s="1012">
        <v>6562409.6488651484</v>
      </c>
    </row>
    <row r="22" spans="2:9" s="761" customFormat="1">
      <c r="B22" s="1002" t="s">
        <v>748</v>
      </c>
      <c r="C22" s="1011">
        <v>1.9575647563781371</v>
      </c>
      <c r="D22" s="1012">
        <v>2514906.8615193907</v>
      </c>
      <c r="E22" s="1012">
        <v>5141263.8204280455</v>
      </c>
      <c r="F22" s="1012">
        <v>2504732.889539741</v>
      </c>
      <c r="G22" s="1012">
        <v>56567.050882196367</v>
      </c>
      <c r="H22" s="1012">
        <v>0</v>
      </c>
      <c r="I22" s="1012">
        <v>2626356.9589086547</v>
      </c>
    </row>
    <row r="23" spans="2:9" s="761" customFormat="1">
      <c r="B23" s="1000" t="s">
        <v>465</v>
      </c>
      <c r="C23" s="1009">
        <v>1.8968737749030136</v>
      </c>
      <c r="D23" s="1008">
        <v>23352189.621720627</v>
      </c>
      <c r="E23" s="1010">
        <v>49389509.78335195</v>
      </c>
      <c r="F23" s="1010">
        <v>12633361.984705184</v>
      </c>
      <c r="G23" s="1010">
        <v>536765.6067142894</v>
      </c>
      <c r="H23" s="1010">
        <v>12222226.76944587</v>
      </c>
      <c r="I23" s="1008">
        <v>26037320.161631323</v>
      </c>
    </row>
    <row r="24" spans="2:9" s="761" customFormat="1">
      <c r="B24" s="1002" t="s">
        <v>844</v>
      </c>
      <c r="C24" s="1011" t="e">
        <v>#DIV/0!</v>
      </c>
      <c r="D24" s="1012">
        <v>0</v>
      </c>
      <c r="E24" s="1012"/>
      <c r="F24" s="1012"/>
      <c r="G24" s="1012">
        <v>0</v>
      </c>
      <c r="H24" s="1012">
        <v>0</v>
      </c>
      <c r="I24" s="1012"/>
    </row>
    <row r="25" spans="2:9" s="761" customFormat="1">
      <c r="B25" s="1002" t="s">
        <v>845</v>
      </c>
      <c r="C25" s="1011" t="e">
        <v>#DIV/0!</v>
      </c>
      <c r="D25" s="1012">
        <v>0</v>
      </c>
      <c r="E25" s="1012"/>
      <c r="F25" s="1012"/>
      <c r="G25" s="1012">
        <v>0</v>
      </c>
      <c r="H25" s="1012">
        <v>0</v>
      </c>
      <c r="I25" s="1012"/>
    </row>
    <row r="26" spans="2:9" s="761" customFormat="1">
      <c r="B26" s="1002" t="s">
        <v>910</v>
      </c>
      <c r="C26" s="1011">
        <v>1.8968737749030136</v>
      </c>
      <c r="D26" s="1012">
        <v>23352189.621720627</v>
      </c>
      <c r="E26" s="1012">
        <v>49389509.78335195</v>
      </c>
      <c r="F26" s="1012">
        <v>12633361.984705184</v>
      </c>
      <c r="G26" s="1012">
        <v>536765.6067142894</v>
      </c>
      <c r="H26" s="1012">
        <v>12222226.76944587</v>
      </c>
      <c r="I26" s="1012">
        <v>26037320.161631323</v>
      </c>
    </row>
    <row r="27" spans="2:9" s="761" customFormat="1">
      <c r="B27" s="1000" t="s">
        <v>846</v>
      </c>
      <c r="C27" s="1009">
        <v>0</v>
      </c>
      <c r="D27" s="1008">
        <v>-1637614.59</v>
      </c>
      <c r="E27" s="1010"/>
      <c r="F27" s="1010">
        <v>1597049.5318899939</v>
      </c>
      <c r="G27" s="1010">
        <v>0</v>
      </c>
      <c r="H27" s="1010">
        <v>0</v>
      </c>
      <c r="I27" s="1008">
        <v>1637614.59</v>
      </c>
    </row>
    <row r="28" spans="2:9" s="761" customFormat="1">
      <c r="B28" s="1002" t="s">
        <v>847</v>
      </c>
      <c r="C28" s="1011">
        <v>0</v>
      </c>
      <c r="D28" s="1012">
        <v>-500868.43000000005</v>
      </c>
      <c r="E28" s="1012"/>
      <c r="F28" s="1012">
        <v>488461.50770431053</v>
      </c>
      <c r="G28" s="1012">
        <v>0</v>
      </c>
      <c r="H28" s="1012">
        <v>0</v>
      </c>
      <c r="I28" s="1012">
        <v>500868.43000000005</v>
      </c>
    </row>
    <row r="29" spans="2:9" s="761" customFormat="1">
      <c r="B29" s="1002" t="s">
        <v>848</v>
      </c>
      <c r="C29" s="1011">
        <v>0</v>
      </c>
      <c r="D29" s="1012">
        <v>-2442.84</v>
      </c>
      <c r="E29" s="1012"/>
      <c r="F29" s="1012">
        <v>2382.3288472791105</v>
      </c>
      <c r="G29" s="1012">
        <v>0</v>
      </c>
      <c r="H29" s="1012">
        <v>0</v>
      </c>
      <c r="I29" s="1012">
        <v>2442.84</v>
      </c>
    </row>
    <row r="30" spans="2:9" s="761" customFormat="1">
      <c r="B30" s="1002" t="s">
        <v>849</v>
      </c>
      <c r="C30" s="1011">
        <v>0</v>
      </c>
      <c r="D30" s="1012">
        <v>-194997.5</v>
      </c>
      <c r="E30" s="1012"/>
      <c r="F30" s="1012">
        <v>190167.25180417395</v>
      </c>
      <c r="G30" s="1012">
        <v>0</v>
      </c>
      <c r="H30" s="1012">
        <v>0</v>
      </c>
      <c r="I30" s="1012">
        <v>194997.5</v>
      </c>
    </row>
    <row r="31" spans="2:9" s="761" customFormat="1">
      <c r="B31" s="1002" t="s">
        <v>850</v>
      </c>
      <c r="C31" s="1011">
        <v>0</v>
      </c>
      <c r="D31" s="1012">
        <v>-116655.48999999999</v>
      </c>
      <c r="E31" s="1012"/>
      <c r="F31" s="1012">
        <v>113765.83772186462</v>
      </c>
      <c r="G31" s="1012">
        <v>0</v>
      </c>
      <c r="H31" s="1012">
        <v>0</v>
      </c>
      <c r="I31" s="1012">
        <v>116655.48999999999</v>
      </c>
    </row>
    <row r="32" spans="2:9" s="761" customFormat="1">
      <c r="B32" s="1002" t="s">
        <v>851</v>
      </c>
      <c r="C32" s="1011">
        <v>0</v>
      </c>
      <c r="D32" s="1012">
        <v>-41705.47</v>
      </c>
      <c r="E32" s="1012"/>
      <c r="F32" s="1012">
        <v>40672.391261946555</v>
      </c>
      <c r="G32" s="1012">
        <v>0</v>
      </c>
      <c r="H32" s="1012">
        <v>0</v>
      </c>
      <c r="I32" s="1012">
        <v>41705.47</v>
      </c>
    </row>
    <row r="33" spans="2:9" s="761" customFormat="1">
      <c r="B33" s="1002" t="s">
        <v>852</v>
      </c>
      <c r="C33" s="1011">
        <v>0</v>
      </c>
      <c r="D33" s="1012">
        <v>-608334.28999999992</v>
      </c>
      <c r="E33" s="1012"/>
      <c r="F33" s="1012">
        <v>593265.35010727507</v>
      </c>
      <c r="G33" s="1012">
        <v>0</v>
      </c>
      <c r="H33" s="1012">
        <v>0</v>
      </c>
      <c r="I33" s="1012">
        <v>608334.28999999992</v>
      </c>
    </row>
    <row r="34" spans="2:9" s="761" customFormat="1">
      <c r="B34" s="1002" t="s">
        <v>853</v>
      </c>
      <c r="C34" s="1011">
        <v>0</v>
      </c>
      <c r="D34" s="1012">
        <v>-23144.829999999998</v>
      </c>
      <c r="E34" s="1012"/>
      <c r="F34" s="1012">
        <v>22571.513555685582</v>
      </c>
      <c r="G34" s="1012">
        <v>0</v>
      </c>
      <c r="H34" s="1012">
        <v>0</v>
      </c>
      <c r="I34" s="1012">
        <v>23144.829999999998</v>
      </c>
    </row>
    <row r="35" spans="2:9" s="761" customFormat="1">
      <c r="B35" s="1002" t="s">
        <v>854</v>
      </c>
      <c r="C35" s="1011">
        <v>0</v>
      </c>
      <c r="D35" s="1012">
        <v>-13439.15</v>
      </c>
      <c r="E35" s="1012"/>
      <c r="F35" s="1012">
        <v>13106.251219036472</v>
      </c>
      <c r="G35" s="1012">
        <v>0</v>
      </c>
      <c r="H35" s="1012">
        <v>0</v>
      </c>
      <c r="I35" s="1012">
        <v>13439.15</v>
      </c>
    </row>
    <row r="36" spans="2:9" s="761" customFormat="1">
      <c r="B36" s="1002" t="s">
        <v>855</v>
      </c>
      <c r="C36" s="1011">
        <v>0</v>
      </c>
      <c r="D36" s="1012">
        <v>-136026.59</v>
      </c>
      <c r="E36" s="1012"/>
      <c r="F36" s="1012">
        <v>132657.09966842207</v>
      </c>
      <c r="G36" s="1012">
        <v>0</v>
      </c>
      <c r="H36" s="1012">
        <v>0</v>
      </c>
      <c r="I36" s="1012">
        <v>136026.59</v>
      </c>
    </row>
    <row r="37" spans="2:9" s="761" customFormat="1">
      <c r="B37" s="998" t="s">
        <v>1391</v>
      </c>
      <c r="C37" s="1006">
        <v>2.0366506113831311</v>
      </c>
      <c r="D37" s="1007">
        <v>29474527.848031897</v>
      </c>
      <c r="E37" s="1007">
        <v>57906988.625444725</v>
      </c>
      <c r="F37" s="1007">
        <v>27078130.386248905</v>
      </c>
      <c r="G37" s="1007">
        <v>650034.99059216818</v>
      </c>
      <c r="H37" s="1007">
        <v>0</v>
      </c>
      <c r="I37" s="1007">
        <v>28432460.777412828</v>
      </c>
    </row>
    <row r="38" spans="2:9" s="761" customFormat="1">
      <c r="B38" s="1000" t="s">
        <v>463</v>
      </c>
      <c r="C38" s="1009">
        <v>2.0673436337635924</v>
      </c>
      <c r="D38" s="1008">
        <v>29896653.198031895</v>
      </c>
      <c r="E38" s="1010">
        <v>57906988.625444725</v>
      </c>
      <c r="F38" s="1010">
        <v>26666461.427793663</v>
      </c>
      <c r="G38" s="1010">
        <v>650034.99059216818</v>
      </c>
      <c r="H38" s="1010">
        <v>0</v>
      </c>
      <c r="I38" s="1010">
        <v>28010335.42741283</v>
      </c>
    </row>
    <row r="39" spans="2:9" s="761" customFormat="1">
      <c r="B39" s="1002" t="s">
        <v>761</v>
      </c>
      <c r="C39" s="1011">
        <v>2.5342858145142753</v>
      </c>
      <c r="D39" s="1012">
        <v>15569999.456206933</v>
      </c>
      <c r="E39" s="1012">
        <v>25718043.131586991</v>
      </c>
      <c r="F39" s="1012">
        <v>9589133.22388722</v>
      </c>
      <c r="G39" s="1012">
        <v>307535.07665896462</v>
      </c>
      <c r="H39" s="1012">
        <v>0</v>
      </c>
      <c r="I39" s="1012">
        <v>10148043.675380059</v>
      </c>
    </row>
    <row r="40" spans="2:9" s="761" customFormat="1">
      <c r="B40" s="1002" t="s">
        <v>765</v>
      </c>
      <c r="C40" s="1011">
        <v>1.8020613446868907</v>
      </c>
      <c r="D40" s="1012">
        <v>14326653.741824962</v>
      </c>
      <c r="E40" s="1012">
        <v>32188945.493857734</v>
      </c>
      <c r="F40" s="1012">
        <v>17077328.203906443</v>
      </c>
      <c r="G40" s="1012">
        <v>342499.91393320356</v>
      </c>
      <c r="H40" s="1012">
        <v>0</v>
      </c>
      <c r="I40" s="1012">
        <v>17862291.752032772</v>
      </c>
    </row>
    <row r="41" spans="2:9" s="761" customFormat="1">
      <c r="B41" s="1000" t="s">
        <v>856</v>
      </c>
      <c r="C41" s="1006">
        <v>0</v>
      </c>
      <c r="D41" s="1007">
        <v>-422125.35</v>
      </c>
      <c r="E41" s="1007"/>
      <c r="F41" s="1007">
        <v>411668.95845523698</v>
      </c>
      <c r="G41" s="1007">
        <v>0</v>
      </c>
      <c r="H41" s="1007">
        <v>0</v>
      </c>
      <c r="I41" s="1007">
        <v>422125.35</v>
      </c>
    </row>
    <row r="42" spans="2:9" s="761" customFormat="1">
      <c r="B42" s="1002" t="s">
        <v>857</v>
      </c>
      <c r="C42" s="1011">
        <v>0</v>
      </c>
      <c r="D42" s="1012">
        <v>-200835.31</v>
      </c>
      <c r="E42" s="1012"/>
      <c r="F42" s="1012">
        <v>195860.45445679734</v>
      </c>
      <c r="G42" s="1012">
        <v>0</v>
      </c>
      <c r="H42" s="1012">
        <v>0</v>
      </c>
      <c r="I42" s="1012">
        <v>200835.31</v>
      </c>
    </row>
    <row r="43" spans="2:9" s="761" customFormat="1">
      <c r="B43" s="1002" t="s">
        <v>858</v>
      </c>
      <c r="C43" s="1011">
        <v>0</v>
      </c>
      <c r="D43" s="1012">
        <v>-593.81000000000006</v>
      </c>
      <c r="E43" s="1012"/>
      <c r="F43" s="1012">
        <v>579.10083869709388</v>
      </c>
      <c r="G43" s="1012">
        <v>0</v>
      </c>
      <c r="H43" s="1012">
        <v>0</v>
      </c>
      <c r="I43" s="1012">
        <v>593.81000000000006</v>
      </c>
    </row>
    <row r="44" spans="2:9" s="761" customFormat="1">
      <c r="B44" s="1002" t="s">
        <v>859</v>
      </c>
      <c r="C44" s="1011">
        <v>0</v>
      </c>
      <c r="D44" s="1012">
        <v>-129998.34</v>
      </c>
      <c r="E44" s="1012"/>
      <c r="F44" s="1012">
        <v>126778.17437097717</v>
      </c>
      <c r="G44" s="1012">
        <v>0</v>
      </c>
      <c r="H44" s="1012">
        <v>0</v>
      </c>
      <c r="I44" s="1012">
        <v>129998.34</v>
      </c>
    </row>
    <row r="45" spans="2:9" s="761" customFormat="1">
      <c r="B45" s="1002" t="s">
        <v>860</v>
      </c>
      <c r="C45" s="1011">
        <v>0</v>
      </c>
      <c r="D45" s="1012">
        <v>-76416.05</v>
      </c>
      <c r="E45" s="1012"/>
      <c r="F45" s="1012">
        <v>74523.161692997848</v>
      </c>
      <c r="G45" s="1012">
        <v>0</v>
      </c>
      <c r="H45" s="1012">
        <v>0</v>
      </c>
      <c r="I45" s="1012">
        <v>76416.05</v>
      </c>
    </row>
    <row r="46" spans="2:9" s="761" customFormat="1">
      <c r="B46" s="1002" t="s">
        <v>861</v>
      </c>
      <c r="C46" s="1011">
        <v>0</v>
      </c>
      <c r="D46" s="1012">
        <v>-14281.84</v>
      </c>
      <c r="E46" s="1012"/>
      <c r="F46" s="1012">
        <v>13928.067095767505</v>
      </c>
      <c r="G46" s="1012">
        <v>0</v>
      </c>
      <c r="H46" s="1012">
        <v>0</v>
      </c>
      <c r="I46" s="1012">
        <v>14281.84</v>
      </c>
    </row>
    <row r="47" spans="2:9" s="761" customFormat="1">
      <c r="B47" s="998" t="s">
        <v>443</v>
      </c>
      <c r="C47" s="1006">
        <v>2.6929758696925594</v>
      </c>
      <c r="D47" s="1007">
        <v>53718268.448536232</v>
      </c>
      <c r="E47" s="1007">
        <v>85448353.566814587</v>
      </c>
      <c r="F47" s="1007">
        <v>23976003.604323402</v>
      </c>
      <c r="G47" s="1007">
        <v>1042912.6452965114</v>
      </c>
      <c r="H47" s="1007">
        <v>5925188.6053423984</v>
      </c>
      <c r="I47" s="1007">
        <v>31730085.118278354</v>
      </c>
    </row>
    <row r="48" spans="2:9" s="761" customFormat="1">
      <c r="B48" s="1000" t="s">
        <v>464</v>
      </c>
      <c r="C48" s="1009">
        <v>2.449244439391935</v>
      </c>
      <c r="D48" s="1008">
        <v>22164293.799364079</v>
      </c>
      <c r="E48" s="1010">
        <v>37457982.839608826</v>
      </c>
      <c r="F48" s="1010">
        <v>11680103.530099859</v>
      </c>
      <c r="G48" s="1010">
        <v>443702.29298101453</v>
      </c>
      <c r="H48" s="1010">
        <v>2791045.9813317922</v>
      </c>
      <c r="I48" s="1010">
        <v>15293689.040244747</v>
      </c>
    </row>
    <row r="49" spans="2:10" s="761" customFormat="1">
      <c r="B49" s="1002" t="s">
        <v>661</v>
      </c>
      <c r="C49" s="1011">
        <v>3.5980118616281098</v>
      </c>
      <c r="D49" s="1012">
        <v>15596165.86109852</v>
      </c>
      <c r="E49" s="1012">
        <v>21599281.586415026</v>
      </c>
      <c r="F49" s="1012">
        <v>4400101.8224681169</v>
      </c>
      <c r="G49" s="1012">
        <v>278989.99837469676</v>
      </c>
      <c r="H49" s="1012">
        <v>1175321.7985413361</v>
      </c>
      <c r="I49" s="1012">
        <v>6003115.7253165068</v>
      </c>
    </row>
    <row r="50" spans="2:10" s="761" customFormat="1">
      <c r="B50" s="1002" t="s">
        <v>911</v>
      </c>
      <c r="C50" s="1011">
        <v>1.7069669131948815</v>
      </c>
      <c r="D50" s="1012">
        <v>6568127.9382655565</v>
      </c>
      <c r="E50" s="1012">
        <v>15858701.253193798</v>
      </c>
      <c r="F50" s="1012">
        <v>7280001.7076317426</v>
      </c>
      <c r="G50" s="1012">
        <v>164712.29460631777</v>
      </c>
      <c r="H50" s="1012">
        <v>1615724.1827904561</v>
      </c>
      <c r="I50" s="1012">
        <v>9290573.3149282411</v>
      </c>
    </row>
    <row r="51" spans="2:10" s="761" customFormat="1">
      <c r="B51" s="1000" t="s">
        <v>870</v>
      </c>
      <c r="C51" s="1009">
        <v>3.0272827751929907</v>
      </c>
      <c r="D51" s="1008">
        <v>32137748.329172138</v>
      </c>
      <c r="E51" s="1010">
        <v>47990370.727205746</v>
      </c>
      <c r="F51" s="1010">
        <v>11726586.947638795</v>
      </c>
      <c r="G51" s="1010">
        <v>599210.35231549677</v>
      </c>
      <c r="H51" s="1010">
        <v>3134142.6240106067</v>
      </c>
      <c r="I51" s="1010">
        <v>15852622.398033608</v>
      </c>
    </row>
    <row r="52" spans="2:10" s="761" customFormat="1">
      <c r="B52" s="1002" t="s">
        <v>841</v>
      </c>
      <c r="C52" s="1011">
        <v>3.1424690520567413</v>
      </c>
      <c r="D52" s="1012">
        <v>27075285.742043559</v>
      </c>
      <c r="E52" s="1012">
        <v>39712707.839717105</v>
      </c>
      <c r="F52" s="1012">
        <v>8553734.7533024531</v>
      </c>
      <c r="G52" s="1012">
        <v>499806.44844945055</v>
      </c>
      <c r="H52" s="1012">
        <v>3270841.5734319706</v>
      </c>
      <c r="I52" s="1012">
        <v>12637422.097673547</v>
      </c>
    </row>
    <row r="53" spans="2:10" s="761" customFormat="1">
      <c r="B53" s="1002" t="s">
        <v>659</v>
      </c>
      <c r="C53" s="1011">
        <v>5.4704740428158996</v>
      </c>
      <c r="D53" s="1012">
        <v>2268592.4722552118</v>
      </c>
      <c r="E53" s="1012">
        <v>2776053.7505285675</v>
      </c>
      <c r="F53" s="1012">
        <v>442263.73724734789</v>
      </c>
      <c r="G53" s="1012">
        <v>38028.101215712479</v>
      </c>
      <c r="H53" s="1012">
        <v>14599.207249203575</v>
      </c>
      <c r="I53" s="1012">
        <v>507461.27827335551</v>
      </c>
    </row>
    <row r="54" spans="2:10" s="761" customFormat="1">
      <c r="B54" s="1002" t="s">
        <v>882</v>
      </c>
      <c r="C54" s="1011" t="e">
        <v>#DIV/0!</v>
      </c>
      <c r="D54" s="1012">
        <v>0</v>
      </c>
      <c r="E54" s="1012">
        <v>0</v>
      </c>
      <c r="F54" s="1012">
        <v>0</v>
      </c>
      <c r="G54" s="1012">
        <v>0</v>
      </c>
      <c r="H54" s="1012">
        <v>0</v>
      </c>
      <c r="I54" s="1012">
        <v>0</v>
      </c>
    </row>
    <row r="55" spans="2:10" s="761" customFormat="1">
      <c r="B55" s="1002" t="s">
        <v>912</v>
      </c>
      <c r="C55" s="1011">
        <v>2.0318092297980352</v>
      </c>
      <c r="D55" s="1012">
        <v>2793870.1148733697</v>
      </c>
      <c r="E55" s="1012">
        <v>5501609.1369600762</v>
      </c>
      <c r="F55" s="1012">
        <v>2730588.4570889939</v>
      </c>
      <c r="G55" s="1012">
        <v>61375.802650333746</v>
      </c>
      <c r="H55" s="1012">
        <v>-151298.15667056752</v>
      </c>
      <c r="I55" s="1012">
        <v>2707739.0220867065</v>
      </c>
    </row>
    <row r="56" spans="2:10">
      <c r="B56" s="1000" t="s">
        <v>862</v>
      </c>
      <c r="C56" s="1009">
        <v>0</v>
      </c>
      <c r="D56" s="1010">
        <v>-583773.67999999993</v>
      </c>
      <c r="E56" s="1010"/>
      <c r="F56" s="1010">
        <v>569313.12658474746</v>
      </c>
      <c r="G56" s="1010">
        <v>0</v>
      </c>
      <c r="H56" s="1010">
        <v>0</v>
      </c>
      <c r="I56" s="1010">
        <v>583773.67999999993</v>
      </c>
      <c r="J56" s="761"/>
    </row>
    <row r="57" spans="2:10">
      <c r="B57" s="1002" t="s">
        <v>863</v>
      </c>
      <c r="C57" s="1011">
        <v>0</v>
      </c>
      <c r="D57" s="1012">
        <v>-187356.46999999997</v>
      </c>
      <c r="E57" s="1012"/>
      <c r="F57" s="1012">
        <v>182715.49639165201</v>
      </c>
      <c r="G57" s="1012">
        <v>0</v>
      </c>
      <c r="H57" s="1012">
        <v>0</v>
      </c>
      <c r="I57" s="1012">
        <v>187356.46999999997</v>
      </c>
    </row>
    <row r="58" spans="2:10">
      <c r="B58" s="1002" t="s">
        <v>864</v>
      </c>
      <c r="C58" s="1011">
        <v>0</v>
      </c>
      <c r="D58" s="1012">
        <v>-1752.09</v>
      </c>
      <c r="E58" s="1012"/>
      <c r="F58" s="1012">
        <v>1708.6892919836159</v>
      </c>
      <c r="G58" s="1012">
        <v>0</v>
      </c>
      <c r="H58" s="1012">
        <v>0</v>
      </c>
      <c r="I58" s="1012">
        <v>1752.09</v>
      </c>
    </row>
    <row r="59" spans="2:10">
      <c r="B59" s="1002" t="s">
        <v>865</v>
      </c>
      <c r="C59" s="1011">
        <v>0</v>
      </c>
      <c r="D59" s="1012">
        <v>-299996.16000000003</v>
      </c>
      <c r="E59" s="1012"/>
      <c r="F59" s="1012">
        <v>292565.00877706264</v>
      </c>
      <c r="G59" s="1012">
        <v>0</v>
      </c>
      <c r="H59" s="1012">
        <v>0</v>
      </c>
      <c r="I59" s="1012">
        <v>299996.16000000003</v>
      </c>
    </row>
    <row r="60" spans="2:10">
      <c r="B60" s="1002" t="s">
        <v>866</v>
      </c>
      <c r="C60" s="1011">
        <v>0</v>
      </c>
      <c r="D60" s="1012">
        <v>-32545.839999999997</v>
      </c>
      <c r="E60" s="1012"/>
      <c r="F60" s="1012">
        <v>31739.65281841232</v>
      </c>
      <c r="G60" s="1012">
        <v>0</v>
      </c>
      <c r="H60" s="1012">
        <v>0</v>
      </c>
      <c r="I60" s="1012">
        <v>32545.839999999997</v>
      </c>
    </row>
    <row r="61" spans="2:10">
      <c r="B61" s="1002" t="s">
        <v>867</v>
      </c>
      <c r="C61" s="1011">
        <v>0</v>
      </c>
      <c r="D61" s="1012">
        <v>-29685.02</v>
      </c>
      <c r="E61" s="1012"/>
      <c r="F61" s="1012">
        <v>28949.697678954552</v>
      </c>
      <c r="G61" s="1012">
        <v>0</v>
      </c>
      <c r="H61" s="1012">
        <v>0</v>
      </c>
      <c r="I61" s="1012">
        <v>29685.02</v>
      </c>
    </row>
    <row r="62" spans="2:10">
      <c r="B62" s="1002" t="s">
        <v>868</v>
      </c>
      <c r="C62" s="1011">
        <v>0</v>
      </c>
      <c r="D62" s="1012">
        <v>-3645.5099999999989</v>
      </c>
      <c r="E62" s="1012"/>
      <c r="F62" s="1012">
        <v>3555.2077238150951</v>
      </c>
      <c r="G62" s="1012">
        <v>0</v>
      </c>
      <c r="H62" s="1012">
        <v>0</v>
      </c>
      <c r="I62" s="1012">
        <v>3645.5099999999989</v>
      </c>
    </row>
    <row r="63" spans="2:10">
      <c r="B63" s="1002" t="s">
        <v>869</v>
      </c>
      <c r="C63" s="1011">
        <v>0</v>
      </c>
      <c r="D63" s="1012">
        <v>-28792.59</v>
      </c>
      <c r="E63" s="1012"/>
      <c r="F63" s="1012">
        <v>28079.37390286717</v>
      </c>
      <c r="G63" s="1012">
        <v>0</v>
      </c>
      <c r="H63" s="1012">
        <v>0</v>
      </c>
      <c r="I63" s="1012">
        <v>28792.59</v>
      </c>
    </row>
    <row r="64" spans="2:10">
      <c r="B64" s="998" t="s">
        <v>90</v>
      </c>
      <c r="C64" s="1006">
        <v>1.9160191188149902</v>
      </c>
      <c r="D64" s="1007">
        <v>146362189.81932417</v>
      </c>
      <c r="E64" s="1007">
        <v>306142904.88634795</v>
      </c>
      <c r="F64" s="1007">
        <v>113453001.44333915</v>
      </c>
      <c r="G64" s="1007">
        <v>3416206.5872966792</v>
      </c>
      <c r="H64" s="1007">
        <v>38953607.521367006</v>
      </c>
      <c r="I64" s="1007">
        <v>159780715.06702378</v>
      </c>
    </row>
    <row r="65" spans="2:9">
      <c r="B65"/>
      <c r="C65"/>
      <c r="D65"/>
      <c r="E65"/>
      <c r="F65"/>
      <c r="G65"/>
      <c r="H65"/>
      <c r="I65"/>
    </row>
    <row r="66" spans="2:9">
      <c r="B66"/>
      <c r="C66"/>
      <c r="D66"/>
      <c r="E66"/>
      <c r="F66"/>
      <c r="G66"/>
      <c r="H66"/>
      <c r="I66"/>
    </row>
    <row r="67" spans="2:9">
      <c r="B67"/>
      <c r="C67"/>
      <c r="D67"/>
      <c r="E67"/>
      <c r="F67"/>
      <c r="G67"/>
      <c r="H67"/>
      <c r="I67"/>
    </row>
    <row r="68" spans="2:9">
      <c r="B68"/>
      <c r="C68"/>
      <c r="D68"/>
      <c r="E68"/>
      <c r="F68"/>
      <c r="G68"/>
      <c r="H68"/>
      <c r="I68"/>
    </row>
    <row r="69" spans="2:9">
      <c r="B69"/>
      <c r="C69"/>
      <c r="D69"/>
      <c r="E69"/>
      <c r="F69"/>
      <c r="G69"/>
      <c r="H69"/>
      <c r="I69"/>
    </row>
    <row r="70" spans="2:9">
      <c r="B70"/>
      <c r="C70"/>
      <c r="D70"/>
      <c r="E70"/>
      <c r="F70"/>
      <c r="G70"/>
      <c r="H70"/>
      <c r="I70"/>
    </row>
    <row r="71" spans="2:9">
      <c r="B71"/>
      <c r="C71"/>
      <c r="D71"/>
      <c r="E71"/>
      <c r="F71"/>
      <c r="G71"/>
      <c r="H71"/>
      <c r="I71"/>
    </row>
    <row r="72" spans="2:9">
      <c r="B72"/>
      <c r="C72"/>
      <c r="D72"/>
      <c r="E72"/>
      <c r="F72"/>
      <c r="G72"/>
      <c r="H72"/>
      <c r="I72"/>
    </row>
    <row r="73" spans="2:9">
      <c r="B73"/>
      <c r="C73"/>
      <c r="D73"/>
      <c r="E73"/>
      <c r="F73"/>
      <c r="G73"/>
      <c r="H73"/>
      <c r="I73"/>
    </row>
    <row r="74" spans="2:9">
      <c r="B74"/>
      <c r="C74"/>
      <c r="D74"/>
      <c r="E74"/>
      <c r="F74"/>
      <c r="G74"/>
      <c r="H74"/>
      <c r="I74"/>
    </row>
    <row r="75" spans="2:9">
      <c r="B75"/>
      <c r="C75"/>
      <c r="D75"/>
      <c r="E75"/>
      <c r="F75"/>
      <c r="G75"/>
      <c r="H75"/>
      <c r="I75"/>
    </row>
    <row r="76" spans="2:9">
      <c r="B76"/>
      <c r="C76"/>
      <c r="D76"/>
      <c r="E76"/>
      <c r="F76"/>
      <c r="G76"/>
      <c r="H76"/>
      <c r="I76"/>
    </row>
    <row r="77" spans="2:9">
      <c r="B77"/>
      <c r="C77"/>
      <c r="D77"/>
      <c r="E77"/>
      <c r="F77"/>
      <c r="G77"/>
      <c r="H77"/>
      <c r="I77"/>
    </row>
    <row r="78" spans="2:9">
      <c r="B78"/>
      <c r="C78"/>
      <c r="D78"/>
      <c r="E78"/>
      <c r="F78"/>
      <c r="G78"/>
      <c r="H78"/>
      <c r="I78"/>
    </row>
    <row r="79" spans="2:9">
      <c r="B79"/>
      <c r="C79"/>
      <c r="D79"/>
      <c r="E79"/>
      <c r="F79"/>
      <c r="G79"/>
      <c r="H79"/>
      <c r="I79"/>
    </row>
    <row r="80" spans="2:9">
      <c r="B80"/>
      <c r="C80"/>
      <c r="D80"/>
      <c r="E80"/>
      <c r="F80"/>
      <c r="G80"/>
      <c r="H80"/>
      <c r="I80"/>
    </row>
    <row r="81" spans="2:9">
      <c r="B81"/>
      <c r="C81"/>
      <c r="D81"/>
      <c r="E81"/>
      <c r="F81"/>
      <c r="G81"/>
      <c r="H81"/>
      <c r="I81"/>
    </row>
    <row r="82" spans="2:9">
      <c r="B82"/>
      <c r="C82"/>
      <c r="D82"/>
      <c r="E82"/>
      <c r="F82"/>
      <c r="G82"/>
      <c r="H82"/>
      <c r="I82"/>
    </row>
    <row r="83" spans="2:9">
      <c r="B83"/>
      <c r="C83"/>
      <c r="D83"/>
      <c r="E83"/>
      <c r="F83"/>
      <c r="G83"/>
      <c r="H83"/>
      <c r="I83"/>
    </row>
    <row r="85" spans="2:9" ht="15.75">
      <c r="B85" s="1212" t="str">
        <f>IF(C91="(Multiple Items)","2016-2018",C91)&amp;" Total Resource Cost Test (2016$)"</f>
        <v>2017 Total Resource Cost Test (2016$)</v>
      </c>
      <c r="C85" s="1213"/>
      <c r="D85" s="1213"/>
      <c r="E85" s="1213"/>
      <c r="F85" s="1213"/>
      <c r="G85" s="1213"/>
      <c r="H85" s="1213"/>
      <c r="I85" s="1214"/>
    </row>
    <row r="86" spans="2:9">
      <c r="B86" s="1215" t="s">
        <v>8</v>
      </c>
      <c r="C86" s="1217" t="s">
        <v>886</v>
      </c>
      <c r="D86" s="1218" t="s">
        <v>616</v>
      </c>
      <c r="E86" s="1194" t="s">
        <v>617</v>
      </c>
      <c r="F86" s="1195" t="s">
        <v>290</v>
      </c>
      <c r="G86" s="1219"/>
      <c r="H86" s="1219"/>
      <c r="I86" s="1220"/>
    </row>
    <row r="87" spans="2:9" ht="30">
      <c r="B87" s="1216"/>
      <c r="C87" s="1217"/>
      <c r="D87" s="1218"/>
      <c r="E87" s="1194"/>
      <c r="F87" s="736" t="s">
        <v>425</v>
      </c>
      <c r="G87" s="736" t="s">
        <v>426</v>
      </c>
      <c r="H87" s="736" t="s">
        <v>427</v>
      </c>
      <c r="I87" s="736" t="s">
        <v>618</v>
      </c>
    </row>
    <row r="88" spans="2:9" hidden="1" outlineLevel="1">
      <c r="B88"/>
      <c r="C88"/>
      <c r="D88" s="756"/>
      <c r="E88" s="738"/>
      <c r="F88" s="738"/>
      <c r="G88" s="738"/>
      <c r="H88" s="738"/>
    </row>
    <row r="89" spans="2:9" hidden="1" outlineLevel="1">
      <c r="B89" s="995" t="s">
        <v>619</v>
      </c>
      <c r="C89" s="996" t="s">
        <v>474</v>
      </c>
      <c r="D89" s="757"/>
      <c r="E89" s="757"/>
      <c r="F89" s="757"/>
    </row>
    <row r="90" spans="2:9" hidden="1" outlineLevel="1">
      <c r="B90" s="995" t="s">
        <v>620</v>
      </c>
      <c r="C90" s="996" t="s">
        <v>1387</v>
      </c>
      <c r="D90" s="758"/>
      <c r="E90" s="758"/>
      <c r="F90" s="758"/>
    </row>
    <row r="91" spans="2:9" hidden="1" outlineLevel="1">
      <c r="B91" s="995" t="s">
        <v>280</v>
      </c>
      <c r="C91" s="997">
        <v>2017</v>
      </c>
      <c r="D91" s="758"/>
      <c r="E91" s="758"/>
      <c r="F91" s="758"/>
    </row>
    <row r="92" spans="2:9" hidden="1" outlineLevel="1">
      <c r="B92" s="758"/>
      <c r="C92" s="758"/>
      <c r="D92" s="758"/>
      <c r="E92" s="758"/>
      <c r="F92" s="758"/>
    </row>
    <row r="93" spans="2:9" hidden="1" outlineLevel="1">
      <c r="B93" s="996"/>
      <c r="C93" s="996" t="s">
        <v>621</v>
      </c>
      <c r="D93" s="996" t="s">
        <v>622</v>
      </c>
      <c r="E93" s="996" t="s">
        <v>623</v>
      </c>
      <c r="F93" s="996" t="s">
        <v>887</v>
      </c>
      <c r="G93" s="996" t="s">
        <v>888</v>
      </c>
      <c r="H93" s="996" t="s">
        <v>624</v>
      </c>
      <c r="I93" s="996" t="s">
        <v>625</v>
      </c>
    </row>
    <row r="94" spans="2:9" collapsed="1">
      <c r="B94" s="998" t="s">
        <v>239</v>
      </c>
      <c r="C94" s="1006">
        <v>1.6341151824835434</v>
      </c>
      <c r="D94" s="1007">
        <v>63169393.522756055</v>
      </c>
      <c r="E94" s="1007">
        <v>162787562.69408864</v>
      </c>
      <c r="F94" s="1007">
        <v>62398867.452766865</v>
      </c>
      <c r="G94" s="1007">
        <v>1723258.9514079997</v>
      </c>
      <c r="H94" s="1007">
        <v>33028418.91602461</v>
      </c>
      <c r="I94" s="1007">
        <v>99618169.171332583</v>
      </c>
    </row>
    <row r="95" spans="2:9">
      <c r="B95" s="1000" t="s">
        <v>462</v>
      </c>
      <c r="C95" s="1006">
        <v>1.5762156626041723</v>
      </c>
      <c r="D95" s="1007">
        <v>41454818.491035447</v>
      </c>
      <c r="E95" s="1007">
        <v>113398052.91073669</v>
      </c>
      <c r="F95" s="1007">
        <v>48168455.936171696</v>
      </c>
      <c r="G95" s="1007">
        <v>1186493.3446937103</v>
      </c>
      <c r="H95" s="1007">
        <v>20806192.14657874</v>
      </c>
      <c r="I95" s="1007">
        <v>71943234.419701248</v>
      </c>
    </row>
    <row r="96" spans="2:9">
      <c r="B96" s="1002" t="s">
        <v>615</v>
      </c>
      <c r="C96" s="1006">
        <v>1.3430690281238655</v>
      </c>
      <c r="D96" s="1007">
        <v>6569312.559520226</v>
      </c>
      <c r="E96" s="1007">
        <v>25717973.677213326</v>
      </c>
      <c r="F96" s="1007">
        <v>6229651.8317487147</v>
      </c>
      <c r="G96" s="1007">
        <v>233662.27503034892</v>
      </c>
      <c r="H96" s="1007">
        <v>12211018.951240342</v>
      </c>
      <c r="I96" s="1007">
        <v>19148661.1176931</v>
      </c>
    </row>
    <row r="97" spans="2:9">
      <c r="B97" s="1002" t="s">
        <v>725</v>
      </c>
      <c r="C97" s="1006">
        <v>3.0190057345322203</v>
      </c>
      <c r="D97" s="1007">
        <v>7407821.2758704526</v>
      </c>
      <c r="E97" s="1007">
        <v>11076865.47379927</v>
      </c>
      <c r="F97" s="1007">
        <v>3810825.3831381528</v>
      </c>
      <c r="G97" s="1007">
        <v>138186.40292466822</v>
      </c>
      <c r="H97" s="1007">
        <v>-370852.82572654611</v>
      </c>
      <c r="I97" s="1007">
        <v>3669044.197928817</v>
      </c>
    </row>
    <row r="98" spans="2:9">
      <c r="B98" s="1002" t="s">
        <v>741</v>
      </c>
      <c r="C98" s="1006">
        <v>1.7893776428649386</v>
      </c>
      <c r="D98" s="1007">
        <v>31525187.442990534</v>
      </c>
      <c r="E98" s="1007">
        <v>71461949.939296052</v>
      </c>
      <c r="F98" s="1007">
        <v>29223392.458558872</v>
      </c>
      <c r="G98" s="1007">
        <v>758077.61585649685</v>
      </c>
      <c r="H98" s="1007">
        <v>8966026.0210649446</v>
      </c>
      <c r="I98" s="1007">
        <v>39936762.496305518</v>
      </c>
    </row>
    <row r="99" spans="2:9">
      <c r="B99" s="1002" t="s">
        <v>842</v>
      </c>
      <c r="C99" s="1006">
        <v>0</v>
      </c>
      <c r="D99" s="1007">
        <v>-6562409.6488651484</v>
      </c>
      <c r="E99" s="1007">
        <v>0</v>
      </c>
      <c r="F99" s="1007">
        <v>6399853.3731862176</v>
      </c>
      <c r="G99" s="1007">
        <v>0</v>
      </c>
      <c r="H99" s="1007">
        <v>0</v>
      </c>
      <c r="I99" s="1007">
        <v>6562409.6488651484</v>
      </c>
    </row>
    <row r="100" spans="2:9">
      <c r="B100" s="1002" t="s">
        <v>748</v>
      </c>
      <c r="C100" s="1006">
        <v>1.9575647563781371</v>
      </c>
      <c r="D100" s="1007">
        <v>2514906.8615193907</v>
      </c>
      <c r="E100" s="1007">
        <v>5141263.8204280455</v>
      </c>
      <c r="F100" s="1007">
        <v>2504732.889539741</v>
      </c>
      <c r="G100" s="1007">
        <v>56567.050882196367</v>
      </c>
      <c r="H100" s="1007">
        <v>0</v>
      </c>
      <c r="I100" s="1007">
        <v>2626356.9589086547</v>
      </c>
    </row>
    <row r="101" spans="2:9">
      <c r="B101" s="1000" t="s">
        <v>465</v>
      </c>
      <c r="C101" s="1006">
        <v>1.8968737749030136</v>
      </c>
      <c r="D101" s="1007">
        <v>23352189.621720627</v>
      </c>
      <c r="E101" s="1007">
        <v>49389509.78335195</v>
      </c>
      <c r="F101" s="1007">
        <v>12633361.984705184</v>
      </c>
      <c r="G101" s="1007">
        <v>536765.6067142894</v>
      </c>
      <c r="H101" s="1007">
        <v>12222226.76944587</v>
      </c>
      <c r="I101" s="1007">
        <v>26037320.161631323</v>
      </c>
    </row>
    <row r="102" spans="2:9">
      <c r="B102" s="1002" t="s">
        <v>844</v>
      </c>
      <c r="C102" s="1006" t="e">
        <v>#DIV/0!</v>
      </c>
      <c r="D102" s="1007">
        <v>0</v>
      </c>
      <c r="E102" s="1007"/>
      <c r="F102" s="1007"/>
      <c r="G102" s="1007">
        <v>0</v>
      </c>
      <c r="H102" s="1007">
        <v>0</v>
      </c>
      <c r="I102" s="1007"/>
    </row>
    <row r="103" spans="2:9">
      <c r="B103" s="1002" t="s">
        <v>845</v>
      </c>
      <c r="C103" s="1006" t="e">
        <v>#DIV/0!</v>
      </c>
      <c r="D103" s="1007">
        <v>0</v>
      </c>
      <c r="E103" s="1007"/>
      <c r="F103" s="1007"/>
      <c r="G103" s="1007">
        <v>0</v>
      </c>
      <c r="H103" s="1007">
        <v>0</v>
      </c>
      <c r="I103" s="1007"/>
    </row>
    <row r="104" spans="2:9">
      <c r="B104" s="1002" t="s">
        <v>910</v>
      </c>
      <c r="C104" s="1006">
        <v>1.8968737749030136</v>
      </c>
      <c r="D104" s="1007">
        <v>23352189.621720627</v>
      </c>
      <c r="E104" s="1007">
        <v>49389509.78335195</v>
      </c>
      <c r="F104" s="1007">
        <v>12633361.984705184</v>
      </c>
      <c r="G104" s="1007">
        <v>536765.6067142894</v>
      </c>
      <c r="H104" s="1007">
        <v>12222226.76944587</v>
      </c>
      <c r="I104" s="1007">
        <v>26037320.161631323</v>
      </c>
    </row>
    <row r="105" spans="2:9">
      <c r="B105" s="1000" t="s">
        <v>846</v>
      </c>
      <c r="C105" s="1006">
        <v>0</v>
      </c>
      <c r="D105" s="1007">
        <v>-1637614.59</v>
      </c>
      <c r="E105" s="1007"/>
      <c r="F105" s="1007">
        <v>1597049.5318899939</v>
      </c>
      <c r="G105" s="1007">
        <v>0</v>
      </c>
      <c r="H105" s="1007">
        <v>0</v>
      </c>
      <c r="I105" s="1007">
        <v>1637614.59</v>
      </c>
    </row>
    <row r="106" spans="2:9">
      <c r="B106" s="1002" t="s">
        <v>847</v>
      </c>
      <c r="C106" s="1006">
        <v>0</v>
      </c>
      <c r="D106" s="1007">
        <v>-500868.43000000005</v>
      </c>
      <c r="E106" s="1007"/>
      <c r="F106" s="1007">
        <v>488461.50770431053</v>
      </c>
      <c r="G106" s="1007">
        <v>0</v>
      </c>
      <c r="H106" s="1007">
        <v>0</v>
      </c>
      <c r="I106" s="1007">
        <v>500868.43000000005</v>
      </c>
    </row>
    <row r="107" spans="2:9">
      <c r="B107" s="1002" t="s">
        <v>848</v>
      </c>
      <c r="C107" s="1006">
        <v>0</v>
      </c>
      <c r="D107" s="1007">
        <v>-2442.84</v>
      </c>
      <c r="E107" s="1007"/>
      <c r="F107" s="1007">
        <v>2382.3288472791105</v>
      </c>
      <c r="G107" s="1007">
        <v>0</v>
      </c>
      <c r="H107" s="1007">
        <v>0</v>
      </c>
      <c r="I107" s="1007">
        <v>2442.84</v>
      </c>
    </row>
    <row r="108" spans="2:9">
      <c r="B108" s="1002" t="s">
        <v>849</v>
      </c>
      <c r="C108" s="1006">
        <v>0</v>
      </c>
      <c r="D108" s="1007">
        <v>-194997.5</v>
      </c>
      <c r="E108" s="1007"/>
      <c r="F108" s="1007">
        <v>190167.25180417395</v>
      </c>
      <c r="G108" s="1007">
        <v>0</v>
      </c>
      <c r="H108" s="1007">
        <v>0</v>
      </c>
      <c r="I108" s="1007">
        <v>194997.5</v>
      </c>
    </row>
    <row r="109" spans="2:9">
      <c r="B109" s="1002" t="s">
        <v>850</v>
      </c>
      <c r="C109" s="1006">
        <v>0</v>
      </c>
      <c r="D109" s="1007">
        <v>-116655.48999999999</v>
      </c>
      <c r="E109" s="1007"/>
      <c r="F109" s="1007">
        <v>113765.83772186462</v>
      </c>
      <c r="G109" s="1007">
        <v>0</v>
      </c>
      <c r="H109" s="1007">
        <v>0</v>
      </c>
      <c r="I109" s="1007">
        <v>116655.48999999999</v>
      </c>
    </row>
    <row r="110" spans="2:9">
      <c r="B110" s="1002" t="s">
        <v>851</v>
      </c>
      <c r="C110" s="1006">
        <v>0</v>
      </c>
      <c r="D110" s="1007">
        <v>-41705.47</v>
      </c>
      <c r="E110" s="1007"/>
      <c r="F110" s="1007">
        <v>40672.391261946555</v>
      </c>
      <c r="G110" s="1007">
        <v>0</v>
      </c>
      <c r="H110" s="1007">
        <v>0</v>
      </c>
      <c r="I110" s="1007">
        <v>41705.47</v>
      </c>
    </row>
    <row r="111" spans="2:9">
      <c r="B111" s="1002" t="s">
        <v>852</v>
      </c>
      <c r="C111" s="1006">
        <v>0</v>
      </c>
      <c r="D111" s="1007">
        <v>-608334.28999999992</v>
      </c>
      <c r="E111" s="1007"/>
      <c r="F111" s="1007">
        <v>593265.35010727507</v>
      </c>
      <c r="G111" s="1007">
        <v>0</v>
      </c>
      <c r="H111" s="1007">
        <v>0</v>
      </c>
      <c r="I111" s="1007">
        <v>608334.28999999992</v>
      </c>
    </row>
    <row r="112" spans="2:9">
      <c r="B112" s="1002" t="s">
        <v>853</v>
      </c>
      <c r="C112" s="1006">
        <v>0</v>
      </c>
      <c r="D112" s="1007">
        <v>-23144.829999999998</v>
      </c>
      <c r="E112" s="1007"/>
      <c r="F112" s="1007">
        <v>22571.513555685582</v>
      </c>
      <c r="G112" s="1007">
        <v>0</v>
      </c>
      <c r="H112" s="1007">
        <v>0</v>
      </c>
      <c r="I112" s="1007">
        <v>23144.829999999998</v>
      </c>
    </row>
    <row r="113" spans="2:9">
      <c r="B113" s="1002" t="s">
        <v>854</v>
      </c>
      <c r="C113" s="1006">
        <v>0</v>
      </c>
      <c r="D113" s="1007">
        <v>-13439.15</v>
      </c>
      <c r="E113" s="1007"/>
      <c r="F113" s="1007">
        <v>13106.251219036472</v>
      </c>
      <c r="G113" s="1007">
        <v>0</v>
      </c>
      <c r="H113" s="1007">
        <v>0</v>
      </c>
      <c r="I113" s="1007">
        <v>13439.15</v>
      </c>
    </row>
    <row r="114" spans="2:9">
      <c r="B114" s="1002" t="s">
        <v>855</v>
      </c>
      <c r="C114" s="1006">
        <v>0</v>
      </c>
      <c r="D114" s="1007">
        <v>-136026.59</v>
      </c>
      <c r="E114" s="1007"/>
      <c r="F114" s="1007">
        <v>132657.09966842207</v>
      </c>
      <c r="G114" s="1007">
        <v>0</v>
      </c>
      <c r="H114" s="1007">
        <v>0</v>
      </c>
      <c r="I114" s="1007">
        <v>136026.59</v>
      </c>
    </row>
    <row r="115" spans="2:9">
      <c r="B115" s="998" t="s">
        <v>443</v>
      </c>
      <c r="C115" s="1006">
        <v>2.6929758696925594</v>
      </c>
      <c r="D115" s="1007">
        <v>53718268.448536232</v>
      </c>
      <c r="E115" s="1007">
        <v>85448353.566814587</v>
      </c>
      <c r="F115" s="1007">
        <v>23976003.604323402</v>
      </c>
      <c r="G115" s="1007">
        <v>1042912.6452965114</v>
      </c>
      <c r="H115" s="1007">
        <v>5925188.6053423984</v>
      </c>
      <c r="I115" s="1007">
        <v>31730085.118278354</v>
      </c>
    </row>
    <row r="116" spans="2:9">
      <c r="B116" s="1000" t="s">
        <v>464</v>
      </c>
      <c r="C116" s="1006">
        <v>2.449244439391935</v>
      </c>
      <c r="D116" s="1007">
        <v>22164293.799364079</v>
      </c>
      <c r="E116" s="1007">
        <v>37457982.839608826</v>
      </c>
      <c r="F116" s="1007">
        <v>11680103.530099859</v>
      </c>
      <c r="G116" s="1007">
        <v>443702.29298101453</v>
      </c>
      <c r="H116" s="1007">
        <v>2791045.9813317922</v>
      </c>
      <c r="I116" s="1007">
        <v>15293689.040244747</v>
      </c>
    </row>
    <row r="117" spans="2:9">
      <c r="B117" s="1002" t="s">
        <v>661</v>
      </c>
      <c r="C117" s="1006">
        <v>3.5980118616281098</v>
      </c>
      <c r="D117" s="1007">
        <v>15596165.86109852</v>
      </c>
      <c r="E117" s="1007">
        <v>21599281.586415026</v>
      </c>
      <c r="F117" s="1007">
        <v>4400101.8224681169</v>
      </c>
      <c r="G117" s="1007">
        <v>278989.99837469676</v>
      </c>
      <c r="H117" s="1007">
        <v>1175321.7985413361</v>
      </c>
      <c r="I117" s="1007">
        <v>6003115.7253165068</v>
      </c>
    </row>
    <row r="118" spans="2:9">
      <c r="B118" s="1002" t="s">
        <v>911</v>
      </c>
      <c r="C118" s="1006">
        <v>1.7069669131948815</v>
      </c>
      <c r="D118" s="1007">
        <v>6568127.9382655565</v>
      </c>
      <c r="E118" s="1007">
        <v>15858701.253193798</v>
      </c>
      <c r="F118" s="1007">
        <v>7280001.7076317426</v>
      </c>
      <c r="G118" s="1007">
        <v>164712.29460631777</v>
      </c>
      <c r="H118" s="1007">
        <v>1615724.1827904561</v>
      </c>
      <c r="I118" s="1007">
        <v>9290573.3149282411</v>
      </c>
    </row>
    <row r="119" spans="2:9">
      <c r="B119" s="1000" t="s">
        <v>870</v>
      </c>
      <c r="C119" s="1006">
        <v>3.0272827751929907</v>
      </c>
      <c r="D119" s="1007">
        <v>32137748.329172138</v>
      </c>
      <c r="E119" s="1007">
        <v>47990370.727205746</v>
      </c>
      <c r="F119" s="1007">
        <v>11726586.947638795</v>
      </c>
      <c r="G119" s="1007">
        <v>599210.35231549677</v>
      </c>
      <c r="H119" s="1007">
        <v>3134142.6240106067</v>
      </c>
      <c r="I119" s="1007">
        <v>15852622.398033608</v>
      </c>
    </row>
    <row r="120" spans="2:9">
      <c r="B120" s="1002" t="s">
        <v>841</v>
      </c>
      <c r="C120" s="1006">
        <v>3.1424690520567413</v>
      </c>
      <c r="D120" s="1007">
        <v>27075285.742043559</v>
      </c>
      <c r="E120" s="1007">
        <v>39712707.839717105</v>
      </c>
      <c r="F120" s="1007">
        <v>8553734.7533024531</v>
      </c>
      <c r="G120" s="1007">
        <v>499806.44844945055</v>
      </c>
      <c r="H120" s="1007">
        <v>3270841.5734319706</v>
      </c>
      <c r="I120" s="1007">
        <v>12637422.097673547</v>
      </c>
    </row>
    <row r="121" spans="2:9">
      <c r="B121" s="1002" t="s">
        <v>659</v>
      </c>
      <c r="C121" s="1006">
        <v>5.4704740428158996</v>
      </c>
      <c r="D121" s="1007">
        <v>2268592.4722552118</v>
      </c>
      <c r="E121" s="1007">
        <v>2776053.7505285675</v>
      </c>
      <c r="F121" s="1007">
        <v>442263.73724734789</v>
      </c>
      <c r="G121" s="1007">
        <v>38028.101215712479</v>
      </c>
      <c r="H121" s="1007">
        <v>14599.207249203575</v>
      </c>
      <c r="I121" s="1007">
        <v>507461.27827335551</v>
      </c>
    </row>
    <row r="122" spans="2:9">
      <c r="B122" s="1002" t="s">
        <v>882</v>
      </c>
      <c r="C122" s="1006" t="e">
        <v>#DIV/0!</v>
      </c>
      <c r="D122" s="1007">
        <v>0</v>
      </c>
      <c r="E122" s="1007">
        <v>0</v>
      </c>
      <c r="F122" s="1007">
        <v>0</v>
      </c>
      <c r="G122" s="1007">
        <v>0</v>
      </c>
      <c r="H122" s="1007">
        <v>0</v>
      </c>
      <c r="I122" s="1007">
        <v>0</v>
      </c>
    </row>
    <row r="123" spans="2:9">
      <c r="B123" s="1002" t="s">
        <v>912</v>
      </c>
      <c r="C123" s="1006">
        <v>2.0318092297980352</v>
      </c>
      <c r="D123" s="1007">
        <v>2793870.1148733697</v>
      </c>
      <c r="E123" s="1007">
        <v>5501609.1369600762</v>
      </c>
      <c r="F123" s="1007">
        <v>2730588.4570889939</v>
      </c>
      <c r="G123" s="1007">
        <v>61375.802650333746</v>
      </c>
      <c r="H123" s="1007">
        <v>-151298.15667056752</v>
      </c>
      <c r="I123" s="1007">
        <v>2707739.0220867065</v>
      </c>
    </row>
    <row r="124" spans="2:9">
      <c r="B124" s="1000" t="s">
        <v>862</v>
      </c>
      <c r="C124" s="1006">
        <v>0</v>
      </c>
      <c r="D124" s="1007">
        <v>-583773.67999999993</v>
      </c>
      <c r="E124" s="1007"/>
      <c r="F124" s="1007">
        <v>569313.12658474746</v>
      </c>
      <c r="G124" s="1007">
        <v>0</v>
      </c>
      <c r="H124" s="1007">
        <v>0</v>
      </c>
      <c r="I124" s="1007">
        <v>583773.67999999993</v>
      </c>
    </row>
    <row r="125" spans="2:9">
      <c r="B125" s="1002" t="s">
        <v>863</v>
      </c>
      <c r="C125" s="1006">
        <v>0</v>
      </c>
      <c r="D125" s="1007">
        <v>-187356.46999999997</v>
      </c>
      <c r="E125" s="1007"/>
      <c r="F125" s="1007">
        <v>182715.49639165201</v>
      </c>
      <c r="G125" s="1007">
        <v>0</v>
      </c>
      <c r="H125" s="1007">
        <v>0</v>
      </c>
      <c r="I125" s="1007">
        <v>187356.46999999997</v>
      </c>
    </row>
    <row r="126" spans="2:9">
      <c r="B126" s="1002" t="s">
        <v>864</v>
      </c>
      <c r="C126" s="1006">
        <v>0</v>
      </c>
      <c r="D126" s="1007">
        <v>-1752.09</v>
      </c>
      <c r="E126" s="1007"/>
      <c r="F126" s="1007">
        <v>1708.6892919836159</v>
      </c>
      <c r="G126" s="1007">
        <v>0</v>
      </c>
      <c r="H126" s="1007">
        <v>0</v>
      </c>
      <c r="I126" s="1007">
        <v>1752.09</v>
      </c>
    </row>
    <row r="127" spans="2:9">
      <c r="B127" s="1002" t="s">
        <v>865</v>
      </c>
      <c r="C127" s="1006">
        <v>0</v>
      </c>
      <c r="D127" s="1007">
        <v>-299996.16000000003</v>
      </c>
      <c r="E127" s="1007"/>
      <c r="F127" s="1007">
        <v>292565.00877706264</v>
      </c>
      <c r="G127" s="1007">
        <v>0</v>
      </c>
      <c r="H127" s="1007">
        <v>0</v>
      </c>
      <c r="I127" s="1007">
        <v>299996.16000000003</v>
      </c>
    </row>
    <row r="128" spans="2:9">
      <c r="B128" s="1002" t="s">
        <v>866</v>
      </c>
      <c r="C128" s="1006">
        <v>0</v>
      </c>
      <c r="D128" s="1007">
        <v>-32545.839999999997</v>
      </c>
      <c r="E128" s="1007"/>
      <c r="F128" s="1007">
        <v>31739.65281841232</v>
      </c>
      <c r="G128" s="1007">
        <v>0</v>
      </c>
      <c r="H128" s="1007">
        <v>0</v>
      </c>
      <c r="I128" s="1007">
        <v>32545.839999999997</v>
      </c>
    </row>
    <row r="129" spans="2:9">
      <c r="B129" s="1002" t="s">
        <v>867</v>
      </c>
      <c r="C129" s="1006">
        <v>0</v>
      </c>
      <c r="D129" s="1007">
        <v>-29685.02</v>
      </c>
      <c r="E129" s="1007"/>
      <c r="F129" s="1007">
        <v>28949.697678954552</v>
      </c>
      <c r="G129" s="1007">
        <v>0</v>
      </c>
      <c r="H129" s="1007">
        <v>0</v>
      </c>
      <c r="I129" s="1007">
        <v>29685.02</v>
      </c>
    </row>
    <row r="130" spans="2:9">
      <c r="B130" s="1002" t="s">
        <v>868</v>
      </c>
      <c r="C130" s="1006">
        <v>0</v>
      </c>
      <c r="D130" s="1007">
        <v>-3645.5099999999989</v>
      </c>
      <c r="E130" s="1007"/>
      <c r="F130" s="1007">
        <v>3555.2077238150951</v>
      </c>
      <c r="G130" s="1007">
        <v>0</v>
      </c>
      <c r="H130" s="1007">
        <v>0</v>
      </c>
      <c r="I130" s="1007">
        <v>3645.5099999999989</v>
      </c>
    </row>
    <row r="131" spans="2:9">
      <c r="B131" s="1002" t="s">
        <v>869</v>
      </c>
      <c r="C131" s="1006">
        <v>0</v>
      </c>
      <c r="D131" s="1007">
        <v>-28792.59</v>
      </c>
      <c r="E131" s="1007"/>
      <c r="F131" s="1007">
        <v>28079.37390286717</v>
      </c>
      <c r="G131" s="1007">
        <v>0</v>
      </c>
      <c r="H131" s="1007">
        <v>0</v>
      </c>
      <c r="I131" s="1007">
        <v>28792.59</v>
      </c>
    </row>
    <row r="132" spans="2:9">
      <c r="B132" s="1003" t="s">
        <v>1391</v>
      </c>
      <c r="C132" s="1006">
        <v>2.0366506113831311</v>
      </c>
      <c r="D132" s="1007">
        <v>29474527.848031897</v>
      </c>
      <c r="E132" s="1007">
        <v>57906988.625444725</v>
      </c>
      <c r="F132" s="1007">
        <v>27078130.386248905</v>
      </c>
      <c r="G132" s="1007">
        <v>650034.99059216818</v>
      </c>
      <c r="H132" s="1007">
        <v>0</v>
      </c>
      <c r="I132" s="1007">
        <v>28432460.777412828</v>
      </c>
    </row>
    <row r="133" spans="2:9">
      <c r="B133" s="1000" t="s">
        <v>463</v>
      </c>
      <c r="C133" s="1006">
        <v>2.0673436337635924</v>
      </c>
      <c r="D133" s="1007">
        <v>29896653.198031895</v>
      </c>
      <c r="E133" s="1007">
        <v>57906988.625444725</v>
      </c>
      <c r="F133" s="1007">
        <v>26666461.427793663</v>
      </c>
      <c r="G133" s="1007">
        <v>650034.99059216818</v>
      </c>
      <c r="H133" s="1007">
        <v>0</v>
      </c>
      <c r="I133" s="1007">
        <v>28010335.42741283</v>
      </c>
    </row>
    <row r="134" spans="2:9">
      <c r="B134" s="1002" t="s">
        <v>761</v>
      </c>
      <c r="C134" s="1006">
        <v>2.5342858145142753</v>
      </c>
      <c r="D134" s="1007">
        <v>15569999.456206933</v>
      </c>
      <c r="E134" s="1007">
        <v>25718043.131586991</v>
      </c>
      <c r="F134" s="1007">
        <v>9589133.22388722</v>
      </c>
      <c r="G134" s="1007">
        <v>307535.07665896462</v>
      </c>
      <c r="H134" s="1007">
        <v>0</v>
      </c>
      <c r="I134" s="1007">
        <v>10148043.675380059</v>
      </c>
    </row>
    <row r="135" spans="2:9">
      <c r="B135" s="1002" t="s">
        <v>765</v>
      </c>
      <c r="C135" s="1006">
        <v>1.8020613446868907</v>
      </c>
      <c r="D135" s="1007">
        <v>14326653.741824962</v>
      </c>
      <c r="E135" s="1007">
        <v>32188945.493857734</v>
      </c>
      <c r="F135" s="1007">
        <v>17077328.203906443</v>
      </c>
      <c r="G135" s="1007">
        <v>342499.91393320356</v>
      </c>
      <c r="H135" s="1007">
        <v>0</v>
      </c>
      <c r="I135" s="1007">
        <v>17862291.752032772</v>
      </c>
    </row>
    <row r="136" spans="2:9">
      <c r="B136" s="1000" t="s">
        <v>856</v>
      </c>
      <c r="C136" s="1006">
        <v>0</v>
      </c>
      <c r="D136" s="1007">
        <v>-422125.35</v>
      </c>
      <c r="E136" s="1007"/>
      <c r="F136" s="1007">
        <v>411668.95845523698</v>
      </c>
      <c r="G136" s="1007">
        <v>0</v>
      </c>
      <c r="H136" s="1007">
        <v>0</v>
      </c>
      <c r="I136" s="1007">
        <v>422125.35</v>
      </c>
    </row>
    <row r="137" spans="2:9">
      <c r="B137" s="1002" t="s">
        <v>857</v>
      </c>
      <c r="C137" s="1006">
        <v>0</v>
      </c>
      <c r="D137" s="1007">
        <v>-200835.31</v>
      </c>
      <c r="E137" s="1007"/>
      <c r="F137" s="1007">
        <v>195860.45445679734</v>
      </c>
      <c r="G137" s="1007">
        <v>0</v>
      </c>
      <c r="H137" s="1007">
        <v>0</v>
      </c>
      <c r="I137" s="1007">
        <v>200835.31</v>
      </c>
    </row>
    <row r="138" spans="2:9">
      <c r="B138" s="1002" t="s">
        <v>858</v>
      </c>
      <c r="C138" s="1006">
        <v>0</v>
      </c>
      <c r="D138" s="1007">
        <v>-593.81000000000006</v>
      </c>
      <c r="E138" s="1007"/>
      <c r="F138" s="1007">
        <v>579.10083869709388</v>
      </c>
      <c r="G138" s="1007">
        <v>0</v>
      </c>
      <c r="H138" s="1007">
        <v>0</v>
      </c>
      <c r="I138" s="1007">
        <v>593.81000000000006</v>
      </c>
    </row>
    <row r="139" spans="2:9">
      <c r="B139" s="1002" t="s">
        <v>859</v>
      </c>
      <c r="C139" s="1006">
        <v>0</v>
      </c>
      <c r="D139" s="1007">
        <v>-129998.34</v>
      </c>
      <c r="E139" s="1007"/>
      <c r="F139" s="1007">
        <v>126778.17437097717</v>
      </c>
      <c r="G139" s="1007">
        <v>0</v>
      </c>
      <c r="H139" s="1007">
        <v>0</v>
      </c>
      <c r="I139" s="1007">
        <v>129998.34</v>
      </c>
    </row>
    <row r="140" spans="2:9">
      <c r="B140" s="1002" t="s">
        <v>860</v>
      </c>
      <c r="C140" s="1006">
        <v>0</v>
      </c>
      <c r="D140" s="1007">
        <v>-76416.05</v>
      </c>
      <c r="E140" s="1007"/>
      <c r="F140" s="1007">
        <v>74523.161692997848</v>
      </c>
      <c r="G140" s="1007">
        <v>0</v>
      </c>
      <c r="H140" s="1007">
        <v>0</v>
      </c>
      <c r="I140" s="1007">
        <v>76416.05</v>
      </c>
    </row>
    <row r="141" spans="2:9">
      <c r="B141" s="1002" t="s">
        <v>861</v>
      </c>
      <c r="C141" s="1006">
        <v>0</v>
      </c>
      <c r="D141" s="1007">
        <v>-14281.84</v>
      </c>
      <c r="E141" s="1007"/>
      <c r="F141" s="1007">
        <v>13928.067095767505</v>
      </c>
      <c r="G141" s="1007">
        <v>0</v>
      </c>
      <c r="H141" s="1007">
        <v>0</v>
      </c>
      <c r="I141" s="1007">
        <v>14281.84</v>
      </c>
    </row>
    <row r="142" spans="2:9">
      <c r="B142" s="998" t="s">
        <v>90</v>
      </c>
      <c r="C142" s="1006">
        <v>1.91601911881499</v>
      </c>
      <c r="D142" s="1007">
        <v>146362189.81932414</v>
      </c>
      <c r="E142" s="1007">
        <v>306142904.88634795</v>
      </c>
      <c r="F142" s="1007">
        <v>113453001.44333915</v>
      </c>
      <c r="G142" s="1007">
        <v>3416206.5872966792</v>
      </c>
      <c r="H142" s="1007">
        <v>38953607.521367006</v>
      </c>
      <c r="I142" s="1007">
        <v>159780715.06702381</v>
      </c>
    </row>
    <row r="144" spans="2:9">
      <c r="B144" s="762" t="s">
        <v>883</v>
      </c>
    </row>
    <row r="145" spans="2:2">
      <c r="B145" s="763" t="s">
        <v>889</v>
      </c>
    </row>
    <row r="146" spans="2:2">
      <c r="B146" s="763" t="s">
        <v>890</v>
      </c>
    </row>
    <row r="147" spans="2:2">
      <c r="B147" s="763" t="s">
        <v>891</v>
      </c>
    </row>
    <row r="148" spans="2:2">
      <c r="B148" s="763" t="s">
        <v>892</v>
      </c>
    </row>
    <row r="149" spans="2:2">
      <c r="B149" s="763" t="s">
        <v>893</v>
      </c>
    </row>
    <row r="150" spans="2:2">
      <c r="B150" s="763" t="s">
        <v>894</v>
      </c>
    </row>
  </sheetData>
  <mergeCells count="12">
    <mergeCell ref="B7:I7"/>
    <mergeCell ref="B8:B9"/>
    <mergeCell ref="C8:C9"/>
    <mergeCell ref="D8:D9"/>
    <mergeCell ref="E8:E9"/>
    <mergeCell ref="F8:I8"/>
    <mergeCell ref="B85:I85"/>
    <mergeCell ref="B86:B87"/>
    <mergeCell ref="C86:C87"/>
    <mergeCell ref="D86:D87"/>
    <mergeCell ref="E86:E87"/>
    <mergeCell ref="F86:I86"/>
  </mergeCells>
  <pageMargins left="0.7" right="0.7" top="1.3958333333333333" bottom="0.75" header="0.3" footer="0.3"/>
  <pageSetup fitToHeight="4" orientation="landscape" r:id="rId3"/>
  <headerFooter>
    <oddHeader>&amp;RBoston Gas Company and Colonial Gas Company 
d/b/a National Grid 
D.P.U. 18-51
2017 Energy Efficiency Plan-Year Report
Appendix 2, BCR Model
&amp;P of &amp;N</oddHeader>
  </headerFooter>
  <rowBreaks count="1" manualBreakCount="1">
    <brk id="83" min="1"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564"/>
  <sheetViews>
    <sheetView topLeftCell="C1" zoomScaleNormal="100" workbookViewId="0">
      <selection activeCell="D40" sqref="D40"/>
    </sheetView>
  </sheetViews>
  <sheetFormatPr defaultColWidth="16.42578125" defaultRowHeight="12.75"/>
  <cols>
    <col min="1" max="1" width="19.85546875" style="696" bestFit="1" customWidth="1"/>
    <col min="2" max="2" width="13.28515625" style="696" bestFit="1" customWidth="1"/>
    <col min="3" max="3" width="14.85546875" style="696" bestFit="1" customWidth="1"/>
    <col min="4" max="4" width="11.140625" style="696" bestFit="1" customWidth="1"/>
    <col min="5" max="5" width="29" style="696" bestFit="1" customWidth="1"/>
    <col min="6" max="6" width="31.28515625" style="696" bestFit="1" customWidth="1"/>
    <col min="7" max="7" width="47.5703125" style="696" bestFit="1" customWidth="1"/>
    <col min="8" max="8" width="18.5703125" style="696" bestFit="1" customWidth="1"/>
    <col min="9" max="9" width="57.5703125" style="696" customWidth="1"/>
    <col min="10" max="10" width="15.7109375" style="696" customWidth="1"/>
    <col min="11" max="11" width="16.42578125" style="696" customWidth="1"/>
    <col min="12" max="12" width="12.5703125" style="696" customWidth="1"/>
    <col min="13" max="13" width="13.7109375" style="696" customWidth="1"/>
    <col min="14" max="14" width="22.42578125" style="696" customWidth="1"/>
    <col min="15" max="15" width="23.42578125" style="696" customWidth="1"/>
    <col min="16" max="16" width="21.5703125" style="696" customWidth="1"/>
    <col min="17" max="17" width="22.5703125" style="696" customWidth="1"/>
    <col min="18" max="18" width="18.28515625" style="696" customWidth="1"/>
    <col min="19" max="19" width="19.28515625" style="696" customWidth="1"/>
    <col min="20" max="20" width="14.5703125" style="696" customWidth="1"/>
    <col min="21" max="21" width="15.7109375" style="826" customWidth="1"/>
    <col min="22" max="22" width="20.140625" style="827" customWidth="1"/>
    <col min="23" max="23" width="17.5703125" style="696" customWidth="1"/>
    <col min="24" max="25" width="15.85546875" style="696" customWidth="1"/>
    <col min="26" max="26" width="27" style="696" customWidth="1"/>
    <col min="27" max="27" width="25.85546875" style="827" customWidth="1"/>
    <col min="28" max="28" width="23.5703125" style="696" customWidth="1"/>
    <col min="29" max="243" width="55.140625" style="696" bestFit="1" customWidth="1"/>
    <col min="244" max="16384" width="16.42578125" style="696"/>
  </cols>
  <sheetData>
    <row r="1" spans="1:28" ht="18">
      <c r="A1" s="817" t="str">
        <f>"YEAR = "&amp;'Calculations Yr 2'!B1</f>
        <v>YEAR = 2017</v>
      </c>
      <c r="B1" s="129" t="s">
        <v>293</v>
      </c>
      <c r="C1" s="129"/>
      <c r="D1" s="129"/>
      <c r="E1"/>
      <c r="F1"/>
      <c r="G1"/>
      <c r="H1"/>
      <c r="I1"/>
      <c r="J1" s="829" t="s">
        <v>1205</v>
      </c>
      <c r="K1"/>
      <c r="L1"/>
      <c r="M1"/>
      <c r="N1"/>
      <c r="O1"/>
      <c r="P1"/>
      <c r="Q1"/>
      <c r="R1"/>
      <c r="S1"/>
      <c r="T1"/>
      <c r="U1"/>
      <c r="V1"/>
      <c r="W1"/>
      <c r="X1"/>
      <c r="Y1"/>
      <c r="Z1"/>
      <c r="AA1"/>
      <c r="AB1"/>
    </row>
    <row r="2" spans="1:28" ht="38.25">
      <c r="A2" s="696" t="s">
        <v>619</v>
      </c>
      <c r="B2" s="696" t="s">
        <v>614</v>
      </c>
      <c r="C2" s="696" t="s">
        <v>620</v>
      </c>
      <c r="D2" s="696" t="s">
        <v>280</v>
      </c>
      <c r="E2" s="829" t="s">
        <v>715</v>
      </c>
      <c r="F2" s="828" t="s">
        <v>7</v>
      </c>
      <c r="G2" s="829" t="s">
        <v>8</v>
      </c>
      <c r="H2" s="829" t="s">
        <v>905</v>
      </c>
      <c r="I2" s="829" t="s">
        <v>9</v>
      </c>
      <c r="J2" s="129" t="s">
        <v>1206</v>
      </c>
      <c r="K2" s="129" t="s">
        <v>1207</v>
      </c>
      <c r="L2" s="129" t="s">
        <v>1208</v>
      </c>
      <c r="M2" s="129" t="s">
        <v>1209</v>
      </c>
      <c r="N2" s="129" t="s">
        <v>1210</v>
      </c>
      <c r="O2" s="129" t="s">
        <v>1211</v>
      </c>
      <c r="P2" s="129" t="s">
        <v>1212</v>
      </c>
      <c r="Q2" s="129" t="s">
        <v>1213</v>
      </c>
      <c r="R2" s="129" t="s">
        <v>1214</v>
      </c>
      <c r="S2" s="129" t="s">
        <v>1215</v>
      </c>
      <c r="T2" s="129" t="s">
        <v>1216</v>
      </c>
      <c r="U2" s="818" t="s">
        <v>1217</v>
      </c>
      <c r="V2" s="129" t="s">
        <v>1218</v>
      </c>
      <c r="W2" s="129" t="s">
        <v>1219</v>
      </c>
      <c r="X2" s="129" t="s">
        <v>1220</v>
      </c>
      <c r="Y2" s="129" t="s">
        <v>1221</v>
      </c>
      <c r="Z2" s="129" t="s">
        <v>1222</v>
      </c>
      <c r="AA2" s="129" t="s">
        <v>1223</v>
      </c>
      <c r="AB2" s="696" t="s">
        <v>1224</v>
      </c>
    </row>
    <row r="3" spans="1:28">
      <c r="A3" s="696" t="str">
        <f>PA</f>
        <v>National Grid</v>
      </c>
      <c r="B3" s="696" t="str">
        <f>'Lookups-Assumptions'!$D$4</f>
        <v>Gas</v>
      </c>
      <c r="C3" s="696" t="str">
        <f>'Lookups-Assumptions'!$D$6</f>
        <v>Evaluated</v>
      </c>
      <c r="D3" s="819">
        <f>'Inputs Yr 2'!$E$2</f>
        <v>2017</v>
      </c>
      <c r="E3" s="696" t="s">
        <v>935</v>
      </c>
      <c r="F3" s="696" t="s">
        <v>32</v>
      </c>
      <c r="G3" s="696" t="s">
        <v>462</v>
      </c>
      <c r="H3" s="696" t="s">
        <v>615</v>
      </c>
      <c r="I3" s="696" t="s">
        <v>1291</v>
      </c>
      <c r="J3" s="820">
        <v>0</v>
      </c>
      <c r="K3" s="821">
        <v>5612278.9039999992</v>
      </c>
      <c r="L3" s="786">
        <v>249.03860306000001</v>
      </c>
      <c r="M3" s="786">
        <v>6225.9650765000006</v>
      </c>
      <c r="N3" s="786">
        <v>43879.749983999995</v>
      </c>
      <c r="O3" s="786">
        <v>1096993.7495999997</v>
      </c>
      <c r="P3" s="786">
        <v>0</v>
      </c>
      <c r="Q3" s="786">
        <v>0</v>
      </c>
      <c r="R3" s="786">
        <v>0</v>
      </c>
      <c r="S3" s="786">
        <v>0</v>
      </c>
      <c r="T3" s="786">
        <v>0</v>
      </c>
      <c r="U3" s="822">
        <v>0</v>
      </c>
      <c r="V3" s="821">
        <v>602579.2229764855</v>
      </c>
      <c r="W3" s="821">
        <v>10282446.147233045</v>
      </c>
      <c r="X3" s="821">
        <v>0</v>
      </c>
      <c r="Y3" s="821">
        <v>0</v>
      </c>
      <c r="Z3" s="821">
        <v>0</v>
      </c>
      <c r="AA3" s="821">
        <v>8057931.2565318719</v>
      </c>
      <c r="AB3" s="823">
        <v>18942956.626741402</v>
      </c>
    </row>
    <row r="4" spans="1:28">
      <c r="A4" s="696" t="str">
        <f t="shared" ref="A4:A66" si="0">PA</f>
        <v>National Grid</v>
      </c>
      <c r="B4" s="696" t="str">
        <f>'Lookups-Assumptions'!$D$4</f>
        <v>Gas</v>
      </c>
      <c r="C4" s="696" t="str">
        <f>'Lookups-Assumptions'!$D$6</f>
        <v>Evaluated</v>
      </c>
      <c r="D4" s="819">
        <f>'Inputs Yr 2'!$E$2</f>
        <v>2017</v>
      </c>
      <c r="E4" s="696" t="s">
        <v>936</v>
      </c>
      <c r="F4" s="696" t="s">
        <v>32</v>
      </c>
      <c r="G4" s="696" t="s">
        <v>462</v>
      </c>
      <c r="H4" s="696" t="s">
        <v>615</v>
      </c>
      <c r="I4" s="696" t="s">
        <v>1292</v>
      </c>
      <c r="J4" s="820">
        <v>0</v>
      </c>
      <c r="K4" s="821">
        <v>0</v>
      </c>
      <c r="L4" s="786">
        <v>41.854606949999997</v>
      </c>
      <c r="M4" s="786">
        <v>1046.3651737499999</v>
      </c>
      <c r="N4" s="786">
        <v>0</v>
      </c>
      <c r="O4" s="786">
        <v>0</v>
      </c>
      <c r="P4" s="786">
        <v>0</v>
      </c>
      <c r="Q4" s="786">
        <v>0</v>
      </c>
      <c r="R4" s="786">
        <v>0</v>
      </c>
      <c r="S4" s="786">
        <v>0</v>
      </c>
      <c r="T4" s="786">
        <v>0</v>
      </c>
      <c r="U4" s="822">
        <v>0</v>
      </c>
      <c r="V4" s="821">
        <v>752162.00103493687</v>
      </c>
      <c r="W4" s="821">
        <v>0</v>
      </c>
      <c r="X4" s="821">
        <v>0</v>
      </c>
      <c r="Y4" s="821">
        <v>0</v>
      </c>
      <c r="Z4" s="821">
        <v>0</v>
      </c>
      <c r="AA4" s="821">
        <v>0</v>
      </c>
      <c r="AB4" s="823">
        <v>752162.00103493687</v>
      </c>
    </row>
    <row r="5" spans="1:28">
      <c r="A5" s="696" t="str">
        <f t="shared" si="0"/>
        <v>National Grid</v>
      </c>
      <c r="B5" s="696" t="str">
        <f>'Lookups-Assumptions'!$D$4</f>
        <v>Gas</v>
      </c>
      <c r="C5" s="696" t="str">
        <f>'Lookups-Assumptions'!$D$6</f>
        <v>Evaluated</v>
      </c>
      <c r="D5" s="819">
        <f>'Inputs Yr 2'!$E$2</f>
        <v>2017</v>
      </c>
      <c r="E5" s="696" t="s">
        <v>937</v>
      </c>
      <c r="F5" s="696" t="s">
        <v>32</v>
      </c>
      <c r="G5" s="696" t="s">
        <v>462</v>
      </c>
      <c r="H5" s="696" t="s">
        <v>615</v>
      </c>
      <c r="I5" s="696" t="s">
        <v>1293</v>
      </c>
      <c r="J5" s="820">
        <v>0</v>
      </c>
      <c r="K5" s="821">
        <v>0</v>
      </c>
      <c r="L5" s="786">
        <v>3.4921713199999993</v>
      </c>
      <c r="M5" s="786">
        <v>52.382569799999992</v>
      </c>
      <c r="N5" s="786">
        <v>12754.124795999998</v>
      </c>
      <c r="O5" s="786">
        <v>191311.87193999998</v>
      </c>
      <c r="P5" s="786">
        <v>0</v>
      </c>
      <c r="Q5" s="786">
        <v>0</v>
      </c>
      <c r="R5" s="786">
        <v>0</v>
      </c>
      <c r="S5" s="786">
        <v>0</v>
      </c>
      <c r="T5" s="786">
        <v>0</v>
      </c>
      <c r="U5" s="822">
        <v>0</v>
      </c>
      <c r="V5" s="821">
        <v>18168.792090506417</v>
      </c>
      <c r="W5" s="821">
        <v>1664269.6419681795</v>
      </c>
      <c r="X5" s="821">
        <v>0</v>
      </c>
      <c r="Y5" s="821">
        <v>0</v>
      </c>
      <c r="Z5" s="821">
        <v>0</v>
      </c>
      <c r="AA5" s="821">
        <v>0</v>
      </c>
      <c r="AB5" s="823">
        <v>1682438.434058686</v>
      </c>
    </row>
    <row r="6" spans="1:28">
      <c r="A6" s="696" t="str">
        <f t="shared" si="0"/>
        <v>National Grid</v>
      </c>
      <c r="B6" s="696" t="str">
        <f>'Lookups-Assumptions'!$D$4</f>
        <v>Gas</v>
      </c>
      <c r="C6" s="696" t="str">
        <f>'Lookups-Assumptions'!$D$6</f>
        <v>Evaluated</v>
      </c>
      <c r="D6" s="819">
        <f>'Inputs Yr 2'!$E$2</f>
        <v>2017</v>
      </c>
      <c r="E6" s="696" t="s">
        <v>938</v>
      </c>
      <c r="F6" s="696" t="s">
        <v>32</v>
      </c>
      <c r="G6" s="696" t="s">
        <v>462</v>
      </c>
      <c r="H6" s="696" t="s">
        <v>615</v>
      </c>
      <c r="I6" s="696" t="s">
        <v>1413</v>
      </c>
      <c r="J6" s="820">
        <v>17</v>
      </c>
      <c r="K6" s="821">
        <v>0</v>
      </c>
      <c r="L6" s="786">
        <v>0.39011098500000002</v>
      </c>
      <c r="M6" s="786">
        <v>1.9505549250000001</v>
      </c>
      <c r="N6" s="786">
        <v>-5.5073999999999991E-2</v>
      </c>
      <c r="O6" s="786">
        <v>-0.27536999999999995</v>
      </c>
      <c r="P6" s="786">
        <v>0</v>
      </c>
      <c r="Q6" s="786">
        <v>0</v>
      </c>
      <c r="R6" s="786">
        <v>0</v>
      </c>
      <c r="S6" s="786">
        <v>0</v>
      </c>
      <c r="T6" s="786">
        <v>0</v>
      </c>
      <c r="U6" s="822">
        <v>0</v>
      </c>
      <c r="V6" s="821">
        <v>228.20618275666925</v>
      </c>
      <c r="W6" s="821">
        <v>-2.6590665724970406</v>
      </c>
      <c r="X6" s="821">
        <v>0</v>
      </c>
      <c r="Y6" s="821">
        <v>0</v>
      </c>
      <c r="Z6" s="821">
        <v>0</v>
      </c>
      <c r="AA6" s="821">
        <v>27.324516284426775</v>
      </c>
      <c r="AB6" s="823">
        <v>252.87163246859899</v>
      </c>
    </row>
    <row r="7" spans="1:28">
      <c r="A7" s="696" t="str">
        <f t="shared" si="0"/>
        <v>National Grid</v>
      </c>
      <c r="B7" s="696" t="str">
        <f>'Lookups-Assumptions'!$D$4</f>
        <v>Gas</v>
      </c>
      <c r="C7" s="696" t="str">
        <f>'Lookups-Assumptions'!$D$6</f>
        <v>Evaluated</v>
      </c>
      <c r="D7" s="819">
        <f>'Inputs Yr 2'!$E$2</f>
        <v>2017</v>
      </c>
      <c r="E7" s="696" t="s">
        <v>940</v>
      </c>
      <c r="F7" s="696" t="s">
        <v>32</v>
      </c>
      <c r="G7" s="696" t="s">
        <v>462</v>
      </c>
      <c r="H7" s="696" t="s">
        <v>615</v>
      </c>
      <c r="I7" s="696" t="s">
        <v>1294</v>
      </c>
      <c r="J7" s="820">
        <v>3813</v>
      </c>
      <c r="K7" s="821">
        <v>571052.04</v>
      </c>
      <c r="L7" s="786">
        <v>0</v>
      </c>
      <c r="M7" s="786">
        <v>0</v>
      </c>
      <c r="N7" s="786">
        <v>3868.9411</v>
      </c>
      <c r="O7" s="786">
        <v>96723.527499999997</v>
      </c>
      <c r="P7" s="786">
        <v>0</v>
      </c>
      <c r="Q7" s="786">
        <v>0</v>
      </c>
      <c r="R7" s="786">
        <v>0</v>
      </c>
      <c r="S7" s="786">
        <v>0</v>
      </c>
      <c r="T7" s="786">
        <v>0</v>
      </c>
      <c r="U7" s="822">
        <v>0</v>
      </c>
      <c r="V7" s="821">
        <v>0</v>
      </c>
      <c r="W7" s="821">
        <v>906618.16719722608</v>
      </c>
      <c r="X7" s="821">
        <v>0</v>
      </c>
      <c r="Y7" s="821">
        <v>0</v>
      </c>
      <c r="Z7" s="821">
        <v>0</v>
      </c>
      <c r="AA7" s="821">
        <v>124634.07501986052</v>
      </c>
      <c r="AB7" s="823">
        <v>1031252.2422170866</v>
      </c>
    </row>
    <row r="8" spans="1:28">
      <c r="A8" s="696" t="str">
        <f t="shared" si="0"/>
        <v>National Grid</v>
      </c>
      <c r="B8" s="696" t="str">
        <f>'Lookups-Assumptions'!$D$4</f>
        <v>Gas</v>
      </c>
      <c r="C8" s="696" t="str">
        <f>'Lookups-Assumptions'!$D$6</f>
        <v>Evaluated</v>
      </c>
      <c r="D8" s="819">
        <f>'Inputs Yr 2'!$E$2</f>
        <v>2017</v>
      </c>
      <c r="E8" s="696" t="s">
        <v>941</v>
      </c>
      <c r="F8" s="696" t="s">
        <v>32</v>
      </c>
      <c r="G8" s="696" t="s">
        <v>462</v>
      </c>
      <c r="H8" s="696" t="s">
        <v>615</v>
      </c>
      <c r="I8" s="696" t="s">
        <v>1295</v>
      </c>
      <c r="J8" s="820">
        <v>0</v>
      </c>
      <c r="K8" s="821">
        <v>0</v>
      </c>
      <c r="L8" s="786">
        <v>0</v>
      </c>
      <c r="M8" s="786">
        <v>0</v>
      </c>
      <c r="N8" s="786">
        <v>0</v>
      </c>
      <c r="O8" s="786">
        <v>0</v>
      </c>
      <c r="P8" s="786">
        <v>0</v>
      </c>
      <c r="Q8" s="786">
        <v>0</v>
      </c>
      <c r="R8" s="786">
        <v>0</v>
      </c>
      <c r="S8" s="786">
        <v>0</v>
      </c>
      <c r="T8" s="786">
        <v>0</v>
      </c>
      <c r="U8" s="822">
        <v>0</v>
      </c>
      <c r="V8" s="821">
        <v>0</v>
      </c>
      <c r="W8" s="821">
        <v>0</v>
      </c>
      <c r="X8" s="821">
        <v>0</v>
      </c>
      <c r="Y8" s="821">
        <v>0</v>
      </c>
      <c r="Z8" s="821">
        <v>0</v>
      </c>
      <c r="AA8" s="821">
        <v>0</v>
      </c>
      <c r="AB8" s="823">
        <v>0</v>
      </c>
    </row>
    <row r="9" spans="1:28">
      <c r="A9" s="696" t="str">
        <f t="shared" si="0"/>
        <v>National Grid</v>
      </c>
      <c r="B9" s="696" t="str">
        <f>'Lookups-Assumptions'!$D$4</f>
        <v>Gas</v>
      </c>
      <c r="C9" s="696" t="str">
        <f>'Lookups-Assumptions'!$D$6</f>
        <v>Evaluated</v>
      </c>
      <c r="D9" s="819">
        <f>'Inputs Yr 2'!$E$2</f>
        <v>2017</v>
      </c>
      <c r="E9" s="696" t="s">
        <v>942</v>
      </c>
      <c r="F9" s="696" t="s">
        <v>32</v>
      </c>
      <c r="G9" s="696" t="s">
        <v>462</v>
      </c>
      <c r="H9" s="696" t="s">
        <v>615</v>
      </c>
      <c r="I9" s="696" t="s">
        <v>1296</v>
      </c>
      <c r="J9" s="820">
        <v>3813</v>
      </c>
      <c r="K9" s="821">
        <v>0</v>
      </c>
      <c r="L9" s="786">
        <v>0</v>
      </c>
      <c r="M9" s="786">
        <v>0</v>
      </c>
      <c r="N9" s="786">
        <v>11485.521000000001</v>
      </c>
      <c r="O9" s="786">
        <v>172282.815</v>
      </c>
      <c r="P9" s="786">
        <v>0</v>
      </c>
      <c r="Q9" s="786">
        <v>0</v>
      </c>
      <c r="R9" s="786">
        <v>0</v>
      </c>
      <c r="S9" s="786">
        <v>0</v>
      </c>
      <c r="T9" s="786">
        <v>0</v>
      </c>
      <c r="U9" s="822">
        <v>0</v>
      </c>
      <c r="V9" s="821">
        <v>0</v>
      </c>
      <c r="W9" s="821">
        <v>1498731.1342980533</v>
      </c>
      <c r="X9" s="821">
        <v>0</v>
      </c>
      <c r="Y9" s="821">
        <v>0</v>
      </c>
      <c r="Z9" s="821">
        <v>0</v>
      </c>
      <c r="AA9" s="821">
        <v>0</v>
      </c>
      <c r="AB9" s="823">
        <v>1498731.1342980533</v>
      </c>
    </row>
    <row r="10" spans="1:28">
      <c r="A10" s="696" t="str">
        <f t="shared" si="0"/>
        <v>National Grid</v>
      </c>
      <c r="B10" s="696" t="str">
        <f>'Lookups-Assumptions'!$D$4</f>
        <v>Gas</v>
      </c>
      <c r="C10" s="696" t="str">
        <f>'Lookups-Assumptions'!$D$6</f>
        <v>Evaluated</v>
      </c>
      <c r="D10" s="819">
        <f>'Inputs Yr 2'!$E$2</f>
        <v>2017</v>
      </c>
      <c r="E10" s="696" t="s">
        <v>943</v>
      </c>
      <c r="F10" s="696" t="s">
        <v>32</v>
      </c>
      <c r="G10" s="696" t="s">
        <v>462</v>
      </c>
      <c r="H10" s="696" t="s">
        <v>615</v>
      </c>
      <c r="I10" s="696" t="s">
        <v>1297</v>
      </c>
      <c r="J10" s="820">
        <v>0</v>
      </c>
      <c r="K10" s="821">
        <v>0</v>
      </c>
      <c r="L10" s="786">
        <v>0</v>
      </c>
      <c r="M10" s="786">
        <v>0</v>
      </c>
      <c r="N10" s="786">
        <v>0</v>
      </c>
      <c r="O10" s="786">
        <v>0</v>
      </c>
      <c r="P10" s="786">
        <v>0</v>
      </c>
      <c r="Q10" s="786">
        <v>0</v>
      </c>
      <c r="R10" s="786">
        <v>0</v>
      </c>
      <c r="S10" s="786">
        <v>0</v>
      </c>
      <c r="T10" s="786">
        <v>0</v>
      </c>
      <c r="U10" s="822">
        <v>0</v>
      </c>
      <c r="V10" s="821">
        <v>0</v>
      </c>
      <c r="W10" s="821">
        <v>0</v>
      </c>
      <c r="X10" s="821">
        <v>0</v>
      </c>
      <c r="Y10" s="821">
        <v>0</v>
      </c>
      <c r="Z10" s="821">
        <v>0</v>
      </c>
      <c r="AA10" s="821">
        <v>0</v>
      </c>
      <c r="AB10" s="823">
        <v>0</v>
      </c>
    </row>
    <row r="11" spans="1:28">
      <c r="A11" s="696" t="str">
        <f t="shared" si="0"/>
        <v>National Grid</v>
      </c>
      <c r="B11" s="696" t="str">
        <f>'Lookups-Assumptions'!$D$4</f>
        <v>Gas</v>
      </c>
      <c r="C11" s="696" t="str">
        <f>'Lookups-Assumptions'!$D$6</f>
        <v>Evaluated</v>
      </c>
      <c r="D11" s="819">
        <f>'Inputs Yr 2'!$E$2</f>
        <v>2017</v>
      </c>
      <c r="E11" s="696" t="s">
        <v>944</v>
      </c>
      <c r="F11" s="696" t="s">
        <v>32</v>
      </c>
      <c r="G11" s="696" t="s">
        <v>462</v>
      </c>
      <c r="H11" s="696" t="s">
        <v>615</v>
      </c>
      <c r="I11" s="696" t="s">
        <v>724</v>
      </c>
      <c r="J11" s="820">
        <v>1</v>
      </c>
      <c r="K11" s="821">
        <v>0</v>
      </c>
      <c r="L11" s="786">
        <v>0</v>
      </c>
      <c r="M11" s="786">
        <v>0</v>
      </c>
      <c r="N11" s="786">
        <v>7437.9</v>
      </c>
      <c r="O11" s="786">
        <v>148758</v>
      </c>
      <c r="P11" s="786">
        <v>0</v>
      </c>
      <c r="Q11" s="786">
        <v>0</v>
      </c>
      <c r="R11" s="786">
        <v>0</v>
      </c>
      <c r="S11" s="786">
        <v>0</v>
      </c>
      <c r="T11" s="786">
        <v>0</v>
      </c>
      <c r="U11" s="822">
        <v>0</v>
      </c>
      <c r="V11" s="821">
        <v>0</v>
      </c>
      <c r="W11" s="821">
        <v>1369614.9814061576</v>
      </c>
      <c r="X11" s="821">
        <v>0</v>
      </c>
      <c r="Y11" s="821">
        <v>0</v>
      </c>
      <c r="Z11" s="821">
        <v>0</v>
      </c>
      <c r="AA11" s="821">
        <v>0</v>
      </c>
      <c r="AB11" s="823">
        <v>1369614.9814061576</v>
      </c>
    </row>
    <row r="12" spans="1:28">
      <c r="A12" s="696" t="str">
        <f t="shared" si="0"/>
        <v>National Grid</v>
      </c>
      <c r="B12" s="696" t="str">
        <f>'Lookups-Assumptions'!$D$4</f>
        <v>Gas</v>
      </c>
      <c r="C12" s="696" t="str">
        <f>'Lookups-Assumptions'!$D$6</f>
        <v>Evaluated</v>
      </c>
      <c r="D12" s="819">
        <f>'Inputs Yr 2'!$E$2</f>
        <v>2017</v>
      </c>
      <c r="E12" s="696" t="s">
        <v>945</v>
      </c>
      <c r="F12" s="696" t="s">
        <v>32</v>
      </c>
      <c r="G12" s="696" t="s">
        <v>462</v>
      </c>
      <c r="H12" s="696" t="s">
        <v>725</v>
      </c>
      <c r="I12" s="696" t="s">
        <v>1298</v>
      </c>
      <c r="J12" s="820">
        <v>8576</v>
      </c>
      <c r="K12" s="821">
        <v>2182649.399999999</v>
      </c>
      <c r="L12" s="786">
        <v>0</v>
      </c>
      <c r="M12" s="786">
        <v>0</v>
      </c>
      <c r="N12" s="786">
        <v>15851.662864999998</v>
      </c>
      <c r="O12" s="786">
        <v>237774.94297499998</v>
      </c>
      <c r="P12" s="786">
        <v>0</v>
      </c>
      <c r="Q12" s="786">
        <v>0</v>
      </c>
      <c r="R12" s="786">
        <v>0</v>
      </c>
      <c r="S12" s="786">
        <v>0</v>
      </c>
      <c r="T12" s="786">
        <v>0</v>
      </c>
      <c r="U12" s="822">
        <v>0</v>
      </c>
      <c r="V12" s="821">
        <v>0</v>
      </c>
      <c r="W12" s="821">
        <v>2160045.1620320529</v>
      </c>
      <c r="X12" s="821">
        <v>0</v>
      </c>
      <c r="Y12" s="821">
        <v>0</v>
      </c>
      <c r="Z12" s="821">
        <v>0</v>
      </c>
      <c r="AA12" s="821">
        <v>1951281.2289286694</v>
      </c>
      <c r="AB12" s="823">
        <v>4111326.3909607222</v>
      </c>
    </row>
    <row r="13" spans="1:28">
      <c r="A13" s="696" t="str">
        <f t="shared" si="0"/>
        <v>National Grid</v>
      </c>
      <c r="B13" s="696" t="str">
        <f>'Lookups-Assumptions'!$D$4</f>
        <v>Gas</v>
      </c>
      <c r="C13" s="696" t="str">
        <f>'Lookups-Assumptions'!$D$6</f>
        <v>Evaluated</v>
      </c>
      <c r="D13" s="819">
        <f>'Inputs Yr 2'!$E$2</f>
        <v>2017</v>
      </c>
      <c r="E13" s="696" t="s">
        <v>946</v>
      </c>
      <c r="F13" s="696" t="s">
        <v>32</v>
      </c>
      <c r="G13" s="696" t="s">
        <v>462</v>
      </c>
      <c r="H13" s="696" t="s">
        <v>725</v>
      </c>
      <c r="I13" s="696" t="s">
        <v>1299</v>
      </c>
      <c r="J13" s="820">
        <v>5698</v>
      </c>
      <c r="K13" s="821">
        <v>716442.60000000033</v>
      </c>
      <c r="L13" s="786">
        <v>0</v>
      </c>
      <c r="M13" s="786">
        <v>0</v>
      </c>
      <c r="N13" s="786">
        <v>3597.038841</v>
      </c>
      <c r="O13" s="786">
        <v>89925.971025000006</v>
      </c>
      <c r="P13" s="786">
        <v>0</v>
      </c>
      <c r="Q13" s="786">
        <v>0</v>
      </c>
      <c r="R13" s="786">
        <v>0</v>
      </c>
      <c r="S13" s="786">
        <v>0</v>
      </c>
      <c r="T13" s="786">
        <v>0</v>
      </c>
      <c r="U13" s="822">
        <v>0</v>
      </c>
      <c r="V13" s="821">
        <v>0</v>
      </c>
      <c r="W13" s="821">
        <v>842902.66434003203</v>
      </c>
      <c r="X13" s="821">
        <v>0</v>
      </c>
      <c r="Y13" s="821">
        <v>0</v>
      </c>
      <c r="Z13" s="821">
        <v>0</v>
      </c>
      <c r="AA13" s="821">
        <v>5169925.0445061103</v>
      </c>
      <c r="AB13" s="823">
        <v>6012827.7088461425</v>
      </c>
    </row>
    <row r="14" spans="1:28">
      <c r="A14" s="696" t="str">
        <f t="shared" si="0"/>
        <v>National Grid</v>
      </c>
      <c r="B14" s="696" t="str">
        <f>'Lookups-Assumptions'!$D$4</f>
        <v>Gas</v>
      </c>
      <c r="C14" s="696" t="str">
        <f>'Lookups-Assumptions'!$D$6</f>
        <v>Evaluated</v>
      </c>
      <c r="D14" s="819">
        <f>'Inputs Yr 2'!$E$2</f>
        <v>2017</v>
      </c>
      <c r="E14" s="696" t="s">
        <v>947</v>
      </c>
      <c r="F14" s="696" t="s">
        <v>32</v>
      </c>
      <c r="G14" s="696" t="s">
        <v>462</v>
      </c>
      <c r="H14" s="696" t="s">
        <v>725</v>
      </c>
      <c r="I14" s="696" t="s">
        <v>1300</v>
      </c>
      <c r="J14" s="820">
        <v>0</v>
      </c>
      <c r="K14" s="821">
        <v>0</v>
      </c>
      <c r="L14" s="786">
        <v>0</v>
      </c>
      <c r="M14" s="786">
        <v>0</v>
      </c>
      <c r="N14" s="786">
        <v>0</v>
      </c>
      <c r="O14" s="786">
        <v>0</v>
      </c>
      <c r="P14" s="786">
        <v>0</v>
      </c>
      <c r="Q14" s="786">
        <v>0</v>
      </c>
      <c r="R14" s="786">
        <v>0</v>
      </c>
      <c r="S14" s="786">
        <v>0</v>
      </c>
      <c r="T14" s="786">
        <v>0</v>
      </c>
      <c r="U14" s="822">
        <v>0</v>
      </c>
      <c r="V14" s="821">
        <v>0</v>
      </c>
      <c r="W14" s="821">
        <v>0</v>
      </c>
      <c r="X14" s="821">
        <v>0</v>
      </c>
      <c r="Y14" s="821">
        <v>0</v>
      </c>
      <c r="Z14" s="821">
        <v>0</v>
      </c>
      <c r="AA14" s="821">
        <v>0</v>
      </c>
      <c r="AB14" s="823">
        <v>0</v>
      </c>
    </row>
    <row r="15" spans="1:28">
      <c r="A15" s="696" t="str">
        <f t="shared" si="0"/>
        <v>National Grid</v>
      </c>
      <c r="B15" s="696" t="str">
        <f>'Lookups-Assumptions'!$D$4</f>
        <v>Gas</v>
      </c>
      <c r="C15" s="696" t="str">
        <f>'Lookups-Assumptions'!$D$6</f>
        <v>Evaluated</v>
      </c>
      <c r="D15" s="819">
        <f>'Inputs Yr 2'!$E$2</f>
        <v>2017</v>
      </c>
      <c r="E15" s="696" t="s">
        <v>948</v>
      </c>
      <c r="F15" s="696" t="s">
        <v>32</v>
      </c>
      <c r="G15" s="696" t="s">
        <v>462</v>
      </c>
      <c r="H15" s="696" t="s">
        <v>725</v>
      </c>
      <c r="I15" s="696" t="s">
        <v>727</v>
      </c>
      <c r="J15" s="820">
        <v>0</v>
      </c>
      <c r="K15" s="821">
        <v>0</v>
      </c>
      <c r="L15" s="786">
        <v>0</v>
      </c>
      <c r="M15" s="786">
        <v>0</v>
      </c>
      <c r="N15" s="786">
        <v>0</v>
      </c>
      <c r="O15" s="786">
        <v>0</v>
      </c>
      <c r="P15" s="786">
        <v>0</v>
      </c>
      <c r="Q15" s="786">
        <v>0</v>
      </c>
      <c r="R15" s="786">
        <v>0</v>
      </c>
      <c r="S15" s="786">
        <v>0</v>
      </c>
      <c r="T15" s="786">
        <v>0</v>
      </c>
      <c r="U15" s="822">
        <v>0</v>
      </c>
      <c r="V15" s="821">
        <v>0</v>
      </c>
      <c r="W15" s="821">
        <v>0</v>
      </c>
      <c r="X15" s="821">
        <v>0</v>
      </c>
      <c r="Y15" s="821">
        <v>0</v>
      </c>
      <c r="Z15" s="821">
        <v>0</v>
      </c>
      <c r="AA15" s="821">
        <v>0</v>
      </c>
      <c r="AB15" s="823">
        <v>0</v>
      </c>
    </row>
    <row r="16" spans="1:28">
      <c r="A16" s="696" t="str">
        <f t="shared" si="0"/>
        <v>National Grid</v>
      </c>
      <c r="B16" s="696" t="str">
        <f>'Lookups-Assumptions'!$D$4</f>
        <v>Gas</v>
      </c>
      <c r="C16" s="696" t="str">
        <f>'Lookups-Assumptions'!$D$6</f>
        <v>Evaluated</v>
      </c>
      <c r="D16" s="819">
        <f>'Inputs Yr 2'!$E$2</f>
        <v>2017</v>
      </c>
      <c r="E16" s="696" t="s">
        <v>949</v>
      </c>
      <c r="F16" s="696" t="s">
        <v>32</v>
      </c>
      <c r="G16" s="696" t="s">
        <v>462</v>
      </c>
      <c r="H16" s="696" t="s">
        <v>725</v>
      </c>
      <c r="I16" s="696" t="s">
        <v>728</v>
      </c>
      <c r="J16" s="820">
        <v>0</v>
      </c>
      <c r="K16" s="821">
        <v>0</v>
      </c>
      <c r="L16" s="786">
        <v>0</v>
      </c>
      <c r="M16" s="786">
        <v>0</v>
      </c>
      <c r="N16" s="786">
        <v>0</v>
      </c>
      <c r="O16" s="786">
        <v>0</v>
      </c>
      <c r="P16" s="786">
        <v>0</v>
      </c>
      <c r="Q16" s="786">
        <v>0</v>
      </c>
      <c r="R16" s="786">
        <v>0</v>
      </c>
      <c r="S16" s="786">
        <v>0</v>
      </c>
      <c r="T16" s="786">
        <v>0</v>
      </c>
      <c r="U16" s="822">
        <v>0</v>
      </c>
      <c r="V16" s="821">
        <v>0</v>
      </c>
      <c r="W16" s="821">
        <v>0</v>
      </c>
      <c r="X16" s="821">
        <v>0</v>
      </c>
      <c r="Y16" s="821">
        <v>0</v>
      </c>
      <c r="Z16" s="821">
        <v>0</v>
      </c>
      <c r="AA16" s="821">
        <v>0</v>
      </c>
      <c r="AB16" s="823">
        <v>0</v>
      </c>
    </row>
    <row r="17" spans="1:28">
      <c r="A17" s="696" t="str">
        <f t="shared" si="0"/>
        <v>National Grid</v>
      </c>
      <c r="B17" s="696" t="str">
        <f>'Lookups-Assumptions'!$D$4</f>
        <v>Gas</v>
      </c>
      <c r="C17" s="696" t="str">
        <f>'Lookups-Assumptions'!$D$6</f>
        <v>Evaluated</v>
      </c>
      <c r="D17" s="819">
        <f>'Inputs Yr 2'!$E$2</f>
        <v>2017</v>
      </c>
      <c r="E17" s="696" t="s">
        <v>950</v>
      </c>
      <c r="F17" s="696" t="s">
        <v>32</v>
      </c>
      <c r="G17" s="696" t="s">
        <v>462</v>
      </c>
      <c r="H17" s="696" t="s">
        <v>725</v>
      </c>
      <c r="I17" s="696" t="s">
        <v>1301</v>
      </c>
      <c r="J17" s="820">
        <v>10</v>
      </c>
      <c r="K17" s="821">
        <v>900</v>
      </c>
      <c r="L17" s="786">
        <v>0</v>
      </c>
      <c r="M17" s="786">
        <v>0</v>
      </c>
      <c r="N17" s="786">
        <v>0</v>
      </c>
      <c r="O17" s="786">
        <v>0</v>
      </c>
      <c r="P17" s="786">
        <v>0</v>
      </c>
      <c r="Q17" s="786">
        <v>0</v>
      </c>
      <c r="R17" s="786">
        <v>0</v>
      </c>
      <c r="S17" s="786">
        <v>0</v>
      </c>
      <c r="T17" s="786">
        <v>0</v>
      </c>
      <c r="U17" s="822">
        <v>0</v>
      </c>
      <c r="V17" s="821">
        <v>0</v>
      </c>
      <c r="W17" s="821">
        <v>0</v>
      </c>
      <c r="X17" s="821">
        <v>0</v>
      </c>
      <c r="Y17" s="821">
        <v>0</v>
      </c>
      <c r="Z17" s="821">
        <v>0</v>
      </c>
      <c r="AA17" s="821">
        <v>44.038239777907947</v>
      </c>
      <c r="AB17" s="823">
        <v>44.038239777907947</v>
      </c>
    </row>
    <row r="18" spans="1:28">
      <c r="A18" s="696" t="str">
        <f t="shared" si="0"/>
        <v>National Grid</v>
      </c>
      <c r="B18" s="696" t="str">
        <f>'Lookups-Assumptions'!$D$4</f>
        <v>Gas</v>
      </c>
      <c r="C18" s="696" t="str">
        <f>'Lookups-Assumptions'!$D$6</f>
        <v>Evaluated</v>
      </c>
      <c r="D18" s="819">
        <f>'Inputs Yr 2'!$E$2</f>
        <v>2017</v>
      </c>
      <c r="E18" s="696" t="s">
        <v>951</v>
      </c>
      <c r="F18" s="696" t="s">
        <v>32</v>
      </c>
      <c r="G18" s="696" t="s">
        <v>462</v>
      </c>
      <c r="H18" s="696" t="s">
        <v>725</v>
      </c>
      <c r="I18" s="696" t="s">
        <v>729</v>
      </c>
      <c r="J18" s="820">
        <v>97</v>
      </c>
      <c r="K18" s="821">
        <v>239.05999999999989</v>
      </c>
      <c r="L18" s="786">
        <v>0</v>
      </c>
      <c r="M18" s="786">
        <v>0</v>
      </c>
      <c r="N18" s="786">
        <v>9.4820000000000011</v>
      </c>
      <c r="O18" s="786">
        <v>189.64000000000001</v>
      </c>
      <c r="P18" s="786">
        <v>0</v>
      </c>
      <c r="Q18" s="786">
        <v>0</v>
      </c>
      <c r="R18" s="786">
        <v>0</v>
      </c>
      <c r="S18" s="786">
        <v>0</v>
      </c>
      <c r="T18" s="786">
        <v>0</v>
      </c>
      <c r="U18" s="822">
        <v>0</v>
      </c>
      <c r="V18" s="821">
        <v>0</v>
      </c>
      <c r="W18" s="821">
        <v>1746.0155761294436</v>
      </c>
      <c r="X18" s="821">
        <v>0</v>
      </c>
      <c r="Y18" s="821">
        <v>0</v>
      </c>
      <c r="Z18" s="821">
        <v>0</v>
      </c>
      <c r="AA18" s="821">
        <v>2450.9578083698539</v>
      </c>
      <c r="AB18" s="823">
        <v>4196.973384499297</v>
      </c>
    </row>
    <row r="19" spans="1:28">
      <c r="A19" s="696" t="str">
        <f t="shared" si="0"/>
        <v>National Grid</v>
      </c>
      <c r="B19" s="696" t="str">
        <f>'Lookups-Assumptions'!$D$4</f>
        <v>Gas</v>
      </c>
      <c r="C19" s="696" t="str">
        <f>'Lookups-Assumptions'!$D$6</f>
        <v>Evaluated</v>
      </c>
      <c r="D19" s="819">
        <f>'Inputs Yr 2'!$E$2</f>
        <v>2017</v>
      </c>
      <c r="E19" s="696" t="s">
        <v>952</v>
      </c>
      <c r="F19" s="696" t="s">
        <v>32</v>
      </c>
      <c r="G19" s="696" t="s">
        <v>462</v>
      </c>
      <c r="H19" s="696" t="s">
        <v>725</v>
      </c>
      <c r="I19" s="696" t="s">
        <v>1302</v>
      </c>
      <c r="J19" s="820">
        <v>294</v>
      </c>
      <c r="K19" s="821">
        <v>3481.4999999999995</v>
      </c>
      <c r="L19" s="786">
        <v>0</v>
      </c>
      <c r="M19" s="786">
        <v>0</v>
      </c>
      <c r="N19" s="786">
        <v>288.90792000000005</v>
      </c>
      <c r="O19" s="786">
        <v>4333.6188000000011</v>
      </c>
      <c r="P19" s="786">
        <v>0</v>
      </c>
      <c r="Q19" s="786">
        <v>0</v>
      </c>
      <c r="R19" s="786">
        <v>0</v>
      </c>
      <c r="S19" s="786">
        <v>0</v>
      </c>
      <c r="T19" s="786">
        <v>0</v>
      </c>
      <c r="U19" s="822">
        <v>0</v>
      </c>
      <c r="V19" s="821">
        <v>0</v>
      </c>
      <c r="W19" s="821">
        <v>37699.229721428506</v>
      </c>
      <c r="X19" s="821">
        <v>0</v>
      </c>
      <c r="Y19" s="821">
        <v>0</v>
      </c>
      <c r="Z19" s="821">
        <v>0</v>
      </c>
      <c r="AA19" s="821">
        <v>0</v>
      </c>
      <c r="AB19" s="823">
        <v>37699.229721428506</v>
      </c>
    </row>
    <row r="20" spans="1:28">
      <c r="A20" s="696" t="str">
        <f t="shared" si="0"/>
        <v>National Grid</v>
      </c>
      <c r="B20" s="696" t="str">
        <f>'Lookups-Assumptions'!$D$4</f>
        <v>Gas</v>
      </c>
      <c r="C20" s="696" t="str">
        <f>'Lookups-Assumptions'!$D$6</f>
        <v>Evaluated</v>
      </c>
      <c r="D20" s="819">
        <f>'Inputs Yr 2'!$E$2</f>
        <v>2017</v>
      </c>
      <c r="E20" s="696" t="s">
        <v>953</v>
      </c>
      <c r="F20" s="696" t="s">
        <v>32</v>
      </c>
      <c r="G20" s="696" t="s">
        <v>462</v>
      </c>
      <c r="H20" s="696" t="s">
        <v>725</v>
      </c>
      <c r="I20" s="696" t="s">
        <v>1303</v>
      </c>
      <c r="J20" s="820">
        <v>367</v>
      </c>
      <c r="K20" s="821">
        <v>2316</v>
      </c>
      <c r="L20" s="786">
        <v>0</v>
      </c>
      <c r="M20" s="786">
        <v>0</v>
      </c>
      <c r="N20" s="786">
        <v>50.616639999999997</v>
      </c>
      <c r="O20" s="786">
        <v>759.24959999999999</v>
      </c>
      <c r="P20" s="786">
        <v>0</v>
      </c>
      <c r="Q20" s="786">
        <v>0</v>
      </c>
      <c r="R20" s="786">
        <v>0</v>
      </c>
      <c r="S20" s="786">
        <v>0</v>
      </c>
      <c r="T20" s="786">
        <v>0</v>
      </c>
      <c r="U20" s="822">
        <v>0</v>
      </c>
      <c r="V20" s="821">
        <v>0</v>
      </c>
      <c r="W20" s="821">
        <v>6897.3349535287443</v>
      </c>
      <c r="X20" s="821">
        <v>0</v>
      </c>
      <c r="Y20" s="821">
        <v>0</v>
      </c>
      <c r="Z20" s="821">
        <v>0</v>
      </c>
      <c r="AA20" s="821">
        <v>9919.6463081315014</v>
      </c>
      <c r="AB20" s="823">
        <v>16816.981261660247</v>
      </c>
    </row>
    <row r="21" spans="1:28">
      <c r="A21" s="696" t="str">
        <f t="shared" si="0"/>
        <v>National Grid</v>
      </c>
      <c r="B21" s="696" t="str">
        <f>'Lookups-Assumptions'!$D$4</f>
        <v>Gas</v>
      </c>
      <c r="C21" s="696" t="str">
        <f>'Lookups-Assumptions'!$D$6</f>
        <v>Evaluated</v>
      </c>
      <c r="D21" s="819">
        <f>'Inputs Yr 2'!$E$2</f>
        <v>2017</v>
      </c>
      <c r="E21" s="696" t="s">
        <v>954</v>
      </c>
      <c r="F21" s="696" t="s">
        <v>32</v>
      </c>
      <c r="G21" s="696" t="s">
        <v>462</v>
      </c>
      <c r="H21" s="696" t="s">
        <v>725</v>
      </c>
      <c r="I21" s="696" t="s">
        <v>1304</v>
      </c>
      <c r="J21" s="820">
        <v>1774</v>
      </c>
      <c r="K21" s="821">
        <v>6679.6200000000163</v>
      </c>
      <c r="L21" s="786">
        <v>0</v>
      </c>
      <c r="M21" s="786">
        <v>0</v>
      </c>
      <c r="N21" s="786">
        <v>1296.7940000000001</v>
      </c>
      <c r="O21" s="786">
        <v>9077.5580000000009</v>
      </c>
      <c r="P21" s="786">
        <v>0</v>
      </c>
      <c r="Q21" s="786">
        <v>0</v>
      </c>
      <c r="R21" s="786">
        <v>0</v>
      </c>
      <c r="S21" s="786">
        <v>0</v>
      </c>
      <c r="T21" s="786">
        <v>500622.79999999993</v>
      </c>
      <c r="U21" s="822">
        <v>3504359.5999999996</v>
      </c>
      <c r="V21" s="821">
        <v>0</v>
      </c>
      <c r="W21" s="821">
        <v>80848.635869920399</v>
      </c>
      <c r="X21" s="821">
        <v>0</v>
      </c>
      <c r="Y21" s="821">
        <v>0</v>
      </c>
      <c r="Z21" s="821">
        <v>37385.902881018941</v>
      </c>
      <c r="AA21" s="821">
        <v>6028.9523677617735</v>
      </c>
      <c r="AB21" s="823">
        <v>124263.4911187011</v>
      </c>
    </row>
    <row r="22" spans="1:28">
      <c r="A22" s="696" t="str">
        <f t="shared" si="0"/>
        <v>National Grid</v>
      </c>
      <c r="B22" s="696" t="str">
        <f>'Lookups-Assumptions'!$D$4</f>
        <v>Gas</v>
      </c>
      <c r="C22" s="696" t="str">
        <f>'Lookups-Assumptions'!$D$6</f>
        <v>Evaluated</v>
      </c>
      <c r="D22" s="819">
        <f>'Inputs Yr 2'!$E$2</f>
        <v>2017</v>
      </c>
      <c r="E22" s="696" t="s">
        <v>955</v>
      </c>
      <c r="F22" s="696" t="s">
        <v>32</v>
      </c>
      <c r="G22" s="696" t="s">
        <v>462</v>
      </c>
      <c r="H22" s="696" t="s">
        <v>725</v>
      </c>
      <c r="I22" s="696" t="s">
        <v>1305</v>
      </c>
      <c r="J22" s="820">
        <v>2122</v>
      </c>
      <c r="K22" s="821">
        <v>27334.75</v>
      </c>
      <c r="L22" s="786">
        <v>0</v>
      </c>
      <c r="M22" s="786">
        <v>0</v>
      </c>
      <c r="N22" s="786">
        <v>2056.2180000000003</v>
      </c>
      <c r="O22" s="786">
        <v>14393.526000000002</v>
      </c>
      <c r="P22" s="786">
        <v>0</v>
      </c>
      <c r="Q22" s="786">
        <v>0</v>
      </c>
      <c r="R22" s="786">
        <v>0</v>
      </c>
      <c r="S22" s="786">
        <v>0</v>
      </c>
      <c r="T22" s="786">
        <v>3905010.5</v>
      </c>
      <c r="U22" s="822">
        <v>27335073.5</v>
      </c>
      <c r="V22" s="821">
        <v>0</v>
      </c>
      <c r="W22" s="821">
        <v>128194.93331336819</v>
      </c>
      <c r="X22" s="821">
        <v>0</v>
      </c>
      <c r="Y22" s="821">
        <v>0</v>
      </c>
      <c r="Z22" s="821">
        <v>291621.44293539814</v>
      </c>
      <c r="AA22" s="821">
        <v>7211.6329900735536</v>
      </c>
      <c r="AB22" s="823">
        <v>427028.00923883985</v>
      </c>
    </row>
    <row r="23" spans="1:28">
      <c r="A23" s="696" t="str">
        <f t="shared" si="0"/>
        <v>National Grid</v>
      </c>
      <c r="B23" s="696" t="str">
        <f>'Lookups-Assumptions'!$D$4</f>
        <v>Gas</v>
      </c>
      <c r="C23" s="696" t="str">
        <f>'Lookups-Assumptions'!$D$6</f>
        <v>Evaluated</v>
      </c>
      <c r="D23" s="819">
        <f>'Inputs Yr 2'!$E$2</f>
        <v>2017</v>
      </c>
      <c r="E23" s="696" t="s">
        <v>956</v>
      </c>
      <c r="F23" s="696" t="s">
        <v>32</v>
      </c>
      <c r="G23" s="696" t="s">
        <v>462</v>
      </c>
      <c r="H23" s="696" t="s">
        <v>725</v>
      </c>
      <c r="I23" s="696" t="s">
        <v>1306</v>
      </c>
      <c r="J23" s="820">
        <v>177</v>
      </c>
      <c r="K23" s="821">
        <v>6170.75</v>
      </c>
      <c r="L23" s="786">
        <v>0</v>
      </c>
      <c r="M23" s="786">
        <v>0</v>
      </c>
      <c r="N23" s="786">
        <v>293.81999999999994</v>
      </c>
      <c r="O23" s="786">
        <v>2056.7399999999998</v>
      </c>
      <c r="P23" s="786">
        <v>0</v>
      </c>
      <c r="Q23" s="786">
        <v>0</v>
      </c>
      <c r="R23" s="786">
        <v>0</v>
      </c>
      <c r="S23" s="786">
        <v>0</v>
      </c>
      <c r="T23" s="786">
        <v>481971</v>
      </c>
      <c r="U23" s="822">
        <v>3373797</v>
      </c>
      <c r="V23" s="821">
        <v>0</v>
      </c>
      <c r="W23" s="821">
        <v>18318.21105842563</v>
      </c>
      <c r="X23" s="821">
        <v>0</v>
      </c>
      <c r="Y23" s="821">
        <v>0</v>
      </c>
      <c r="Z23" s="821">
        <v>35993.009102796721</v>
      </c>
      <c r="AA23" s="821">
        <v>707.68921619061871</v>
      </c>
      <c r="AB23" s="823">
        <v>55018.909377412972</v>
      </c>
    </row>
    <row r="24" spans="1:28">
      <c r="A24" s="696" t="str">
        <f t="shared" si="0"/>
        <v>National Grid</v>
      </c>
      <c r="B24" s="696" t="str">
        <f>'Lookups-Assumptions'!$D$4</f>
        <v>Gas</v>
      </c>
      <c r="C24" s="696" t="str">
        <f>'Lookups-Assumptions'!$D$6</f>
        <v>Evaluated</v>
      </c>
      <c r="D24" s="819">
        <f>'Inputs Yr 2'!$E$2</f>
        <v>2017</v>
      </c>
      <c r="E24" s="696" t="s">
        <v>957</v>
      </c>
      <c r="F24" s="696" t="s">
        <v>32</v>
      </c>
      <c r="G24" s="696" t="s">
        <v>462</v>
      </c>
      <c r="H24" s="696" t="s">
        <v>725</v>
      </c>
      <c r="I24" s="696" t="s">
        <v>1307</v>
      </c>
      <c r="J24" s="820">
        <v>0</v>
      </c>
      <c r="K24" s="821">
        <v>0</v>
      </c>
      <c r="L24" s="786">
        <v>0</v>
      </c>
      <c r="M24" s="786">
        <v>0</v>
      </c>
      <c r="N24" s="786">
        <v>0</v>
      </c>
      <c r="O24" s="786">
        <v>0</v>
      </c>
      <c r="P24" s="786">
        <v>0</v>
      </c>
      <c r="Q24" s="786">
        <v>0</v>
      </c>
      <c r="R24" s="786">
        <v>0</v>
      </c>
      <c r="S24" s="786">
        <v>0</v>
      </c>
      <c r="T24" s="786">
        <v>0</v>
      </c>
      <c r="U24" s="822">
        <v>0</v>
      </c>
      <c r="V24" s="821">
        <v>0</v>
      </c>
      <c r="W24" s="821">
        <v>0</v>
      </c>
      <c r="X24" s="821">
        <v>0</v>
      </c>
      <c r="Y24" s="821">
        <v>0</v>
      </c>
      <c r="Z24" s="821">
        <v>0</v>
      </c>
      <c r="AA24" s="821">
        <v>0</v>
      </c>
      <c r="AB24" s="823">
        <v>0</v>
      </c>
    </row>
    <row r="25" spans="1:28">
      <c r="A25" s="696" t="str">
        <f t="shared" si="0"/>
        <v>National Grid</v>
      </c>
      <c r="B25" s="696" t="str">
        <f>'Lookups-Assumptions'!$D$4</f>
        <v>Gas</v>
      </c>
      <c r="C25" s="696" t="str">
        <f>'Lookups-Assumptions'!$D$6</f>
        <v>Evaluated</v>
      </c>
      <c r="D25" s="819">
        <f>'Inputs Yr 2'!$E$2</f>
        <v>2017</v>
      </c>
      <c r="E25" s="696" t="s">
        <v>958</v>
      </c>
      <c r="F25" s="696" t="s">
        <v>32</v>
      </c>
      <c r="G25" s="696" t="s">
        <v>462</v>
      </c>
      <c r="H25" s="696" t="s">
        <v>725</v>
      </c>
      <c r="I25" s="696" t="s">
        <v>1308</v>
      </c>
      <c r="J25" s="820">
        <v>0</v>
      </c>
      <c r="K25" s="821">
        <v>0</v>
      </c>
      <c r="L25" s="786">
        <v>0</v>
      </c>
      <c r="M25" s="786">
        <v>0</v>
      </c>
      <c r="N25" s="786">
        <v>0</v>
      </c>
      <c r="O25" s="786">
        <v>0</v>
      </c>
      <c r="P25" s="786">
        <v>0</v>
      </c>
      <c r="Q25" s="786">
        <v>0</v>
      </c>
      <c r="R25" s="786">
        <v>0</v>
      </c>
      <c r="S25" s="786">
        <v>0</v>
      </c>
      <c r="T25" s="786">
        <v>0</v>
      </c>
      <c r="U25" s="822">
        <v>0</v>
      </c>
      <c r="V25" s="821">
        <v>0</v>
      </c>
      <c r="W25" s="821">
        <v>0</v>
      </c>
      <c r="X25" s="821">
        <v>0</v>
      </c>
      <c r="Y25" s="821">
        <v>0</v>
      </c>
      <c r="Z25" s="821">
        <v>0</v>
      </c>
      <c r="AA25" s="821">
        <v>0</v>
      </c>
      <c r="AB25" s="823">
        <v>0</v>
      </c>
    </row>
    <row r="26" spans="1:28">
      <c r="A26" s="696" t="str">
        <f t="shared" si="0"/>
        <v>National Grid</v>
      </c>
      <c r="B26" s="696" t="str">
        <f>'Lookups-Assumptions'!$D$4</f>
        <v>Gas</v>
      </c>
      <c r="C26" s="696" t="str">
        <f>'Lookups-Assumptions'!$D$6</f>
        <v>Evaluated</v>
      </c>
      <c r="D26" s="819">
        <f>'Inputs Yr 2'!$E$2</f>
        <v>2017</v>
      </c>
      <c r="E26" s="696" t="s">
        <v>959</v>
      </c>
      <c r="F26" s="696" t="s">
        <v>32</v>
      </c>
      <c r="G26" s="696" t="s">
        <v>462</v>
      </c>
      <c r="H26" s="696" t="s">
        <v>725</v>
      </c>
      <c r="I26" s="696" t="s">
        <v>1309</v>
      </c>
      <c r="J26" s="820">
        <v>1042</v>
      </c>
      <c r="K26" s="821">
        <v>99496.75</v>
      </c>
      <c r="L26" s="786">
        <v>0</v>
      </c>
      <c r="M26" s="786">
        <v>0</v>
      </c>
      <c r="N26" s="786">
        <v>1821.4159999999999</v>
      </c>
      <c r="O26" s="786">
        <v>18214.16</v>
      </c>
      <c r="P26" s="786">
        <v>0</v>
      </c>
      <c r="Q26" s="786">
        <v>0</v>
      </c>
      <c r="R26" s="786">
        <v>0</v>
      </c>
      <c r="S26" s="786">
        <v>0</v>
      </c>
      <c r="T26" s="786">
        <v>0</v>
      </c>
      <c r="U26" s="822">
        <v>0</v>
      </c>
      <c r="V26" s="821">
        <v>0</v>
      </c>
      <c r="W26" s="821">
        <v>165981.17184283619</v>
      </c>
      <c r="X26" s="821">
        <v>0</v>
      </c>
      <c r="Y26" s="821">
        <v>0</v>
      </c>
      <c r="Z26" s="821">
        <v>0</v>
      </c>
      <c r="AA26" s="821">
        <v>111181.93349649721</v>
      </c>
      <c r="AB26" s="823">
        <v>277163.10533933342</v>
      </c>
    </row>
    <row r="27" spans="1:28">
      <c r="A27" s="696" t="str">
        <f t="shared" si="0"/>
        <v>National Grid</v>
      </c>
      <c r="B27" s="696" t="str">
        <f>'Lookups-Assumptions'!$D$4</f>
        <v>Gas</v>
      </c>
      <c r="C27" s="696" t="str">
        <f>'Lookups-Assumptions'!$D$6</f>
        <v>Evaluated</v>
      </c>
      <c r="D27" s="819">
        <f>'Inputs Yr 2'!$E$2</f>
        <v>2017</v>
      </c>
      <c r="E27" s="696" t="s">
        <v>960</v>
      </c>
      <c r="F27" s="696" t="s">
        <v>32</v>
      </c>
      <c r="G27" s="696" t="s">
        <v>462</v>
      </c>
      <c r="H27" s="696" t="s">
        <v>725</v>
      </c>
      <c r="I27" s="696" t="s">
        <v>1310</v>
      </c>
      <c r="J27" s="820">
        <v>0</v>
      </c>
      <c r="K27" s="821">
        <v>0</v>
      </c>
      <c r="L27" s="786">
        <v>0</v>
      </c>
      <c r="M27" s="786">
        <v>0</v>
      </c>
      <c r="N27" s="786">
        <v>0</v>
      </c>
      <c r="O27" s="786">
        <v>0</v>
      </c>
      <c r="P27" s="786">
        <v>0</v>
      </c>
      <c r="Q27" s="786">
        <v>0</v>
      </c>
      <c r="R27" s="786">
        <v>0</v>
      </c>
      <c r="S27" s="786">
        <v>0</v>
      </c>
      <c r="T27" s="786">
        <v>0</v>
      </c>
      <c r="U27" s="822">
        <v>0</v>
      </c>
      <c r="V27" s="821">
        <v>0</v>
      </c>
      <c r="W27" s="821">
        <v>0</v>
      </c>
      <c r="X27" s="821">
        <v>0</v>
      </c>
      <c r="Y27" s="821">
        <v>0</v>
      </c>
      <c r="Z27" s="821">
        <v>0</v>
      </c>
      <c r="AA27" s="821">
        <v>0</v>
      </c>
      <c r="AB27" s="823">
        <v>0</v>
      </c>
    </row>
    <row r="28" spans="1:28">
      <c r="A28" s="696" t="str">
        <f t="shared" si="0"/>
        <v>National Grid</v>
      </c>
      <c r="B28" s="696" t="str">
        <f>'Lookups-Assumptions'!$D$4</f>
        <v>Gas</v>
      </c>
      <c r="C28" s="696" t="str">
        <f>'Lookups-Assumptions'!$D$6</f>
        <v>Evaluated</v>
      </c>
      <c r="D28" s="819">
        <f>'Inputs Yr 2'!$E$2</f>
        <v>2017</v>
      </c>
      <c r="E28" s="696" t="s">
        <v>961</v>
      </c>
      <c r="F28" s="696" t="s">
        <v>32</v>
      </c>
      <c r="G28" s="696" t="s">
        <v>462</v>
      </c>
      <c r="H28" s="696" t="s">
        <v>725</v>
      </c>
      <c r="I28" s="696" t="s">
        <v>737</v>
      </c>
      <c r="J28" s="820">
        <v>0</v>
      </c>
      <c r="K28" s="821">
        <v>0</v>
      </c>
      <c r="L28" s="786">
        <v>0</v>
      </c>
      <c r="M28" s="786">
        <v>0</v>
      </c>
      <c r="N28" s="786">
        <v>0</v>
      </c>
      <c r="O28" s="786">
        <v>0</v>
      </c>
      <c r="P28" s="786">
        <v>0</v>
      </c>
      <c r="Q28" s="786">
        <v>0</v>
      </c>
      <c r="R28" s="786">
        <v>0</v>
      </c>
      <c r="S28" s="786">
        <v>0</v>
      </c>
      <c r="T28" s="786">
        <v>0</v>
      </c>
      <c r="U28" s="822">
        <v>0</v>
      </c>
      <c r="V28" s="821">
        <v>0</v>
      </c>
      <c r="W28" s="821">
        <v>0</v>
      </c>
      <c r="X28" s="821">
        <v>0</v>
      </c>
      <c r="Y28" s="821">
        <v>0</v>
      </c>
      <c r="Z28" s="821">
        <v>0</v>
      </c>
      <c r="AA28" s="821">
        <v>0</v>
      </c>
      <c r="AB28" s="823">
        <v>0</v>
      </c>
    </row>
    <row r="29" spans="1:28">
      <c r="A29" s="696" t="str">
        <f t="shared" si="0"/>
        <v>National Grid</v>
      </c>
      <c r="B29" s="696" t="str">
        <f>'Lookups-Assumptions'!$D$4</f>
        <v>Gas</v>
      </c>
      <c r="C29" s="696" t="str">
        <f>'Lookups-Assumptions'!$D$6</f>
        <v>Evaluated</v>
      </c>
      <c r="D29" s="819">
        <f>'Inputs Yr 2'!$E$2</f>
        <v>2017</v>
      </c>
      <c r="E29" s="696" t="s">
        <v>962</v>
      </c>
      <c r="F29" s="696" t="s">
        <v>32</v>
      </c>
      <c r="G29" s="696" t="s">
        <v>462</v>
      </c>
      <c r="H29" s="696" t="s">
        <v>725</v>
      </c>
      <c r="I29" s="696" t="s">
        <v>738</v>
      </c>
      <c r="J29" s="820">
        <v>1</v>
      </c>
      <c r="K29" s="821">
        <v>300</v>
      </c>
      <c r="L29" s="786">
        <v>7.4799999999999991E-2</v>
      </c>
      <c r="M29" s="786">
        <v>1.1219999999999999</v>
      </c>
      <c r="N29" s="786">
        <v>4.7</v>
      </c>
      <c r="O29" s="786">
        <v>70.5</v>
      </c>
      <c r="P29" s="786">
        <v>0</v>
      </c>
      <c r="Q29" s="786">
        <v>0</v>
      </c>
      <c r="R29" s="786">
        <v>0</v>
      </c>
      <c r="S29" s="786">
        <v>0</v>
      </c>
      <c r="T29" s="786">
        <v>0</v>
      </c>
      <c r="U29" s="822">
        <v>0</v>
      </c>
      <c r="V29" s="821">
        <v>728.29404065246149</v>
      </c>
      <c r="W29" s="821">
        <v>640.45093237293304</v>
      </c>
      <c r="X29" s="821">
        <v>0</v>
      </c>
      <c r="Y29" s="821">
        <v>0</v>
      </c>
      <c r="Z29" s="821">
        <v>0</v>
      </c>
      <c r="AA29" s="821">
        <v>208.31522264686231</v>
      </c>
      <c r="AB29" s="823">
        <v>1577.0601956722569</v>
      </c>
    </row>
    <row r="30" spans="1:28">
      <c r="A30" s="696" t="str">
        <f t="shared" si="0"/>
        <v>National Grid</v>
      </c>
      <c r="B30" s="696" t="str">
        <f>'Lookups-Assumptions'!$D$4</f>
        <v>Gas</v>
      </c>
      <c r="C30" s="696" t="str">
        <f>'Lookups-Assumptions'!$D$6</f>
        <v>Evaluated</v>
      </c>
      <c r="D30" s="819">
        <f>'Inputs Yr 2'!$E$2</f>
        <v>2017</v>
      </c>
      <c r="E30" s="696" t="s">
        <v>963</v>
      </c>
      <c r="F30" s="696" t="s">
        <v>32</v>
      </c>
      <c r="G30" s="696" t="s">
        <v>462</v>
      </c>
      <c r="H30" s="696" t="s">
        <v>725</v>
      </c>
      <c r="I30" s="696" t="s">
        <v>739</v>
      </c>
      <c r="J30" s="820">
        <v>0</v>
      </c>
      <c r="K30" s="821">
        <v>0</v>
      </c>
      <c r="L30" s="786">
        <v>0</v>
      </c>
      <c r="M30" s="786">
        <v>0</v>
      </c>
      <c r="N30" s="786">
        <v>0</v>
      </c>
      <c r="O30" s="786">
        <v>0</v>
      </c>
      <c r="P30" s="786">
        <v>0</v>
      </c>
      <c r="Q30" s="786">
        <v>0</v>
      </c>
      <c r="R30" s="786">
        <v>0</v>
      </c>
      <c r="S30" s="786">
        <v>0</v>
      </c>
      <c r="T30" s="786">
        <v>0</v>
      </c>
      <c r="U30" s="822">
        <v>0</v>
      </c>
      <c r="V30" s="821">
        <v>0</v>
      </c>
      <c r="W30" s="821">
        <v>0</v>
      </c>
      <c r="X30" s="821">
        <v>0</v>
      </c>
      <c r="Y30" s="821">
        <v>0</v>
      </c>
      <c r="Z30" s="821">
        <v>0</v>
      </c>
      <c r="AA30" s="821">
        <v>0</v>
      </c>
      <c r="AB30" s="823">
        <v>0</v>
      </c>
    </row>
    <row r="31" spans="1:28">
      <c r="A31" s="696" t="str">
        <f t="shared" si="0"/>
        <v>National Grid</v>
      </c>
      <c r="B31" s="696" t="str">
        <f>'Lookups-Assumptions'!$D$4</f>
        <v>Gas</v>
      </c>
      <c r="C31" s="696" t="str">
        <f>'Lookups-Assumptions'!$D$6</f>
        <v>Evaluated</v>
      </c>
      <c r="D31" s="819">
        <f>'Inputs Yr 2'!$E$2</f>
        <v>2017</v>
      </c>
      <c r="E31" s="696" t="s">
        <v>964</v>
      </c>
      <c r="F31" s="696" t="s">
        <v>32</v>
      </c>
      <c r="G31" s="696" t="s">
        <v>462</v>
      </c>
      <c r="H31" s="696" t="s">
        <v>725</v>
      </c>
      <c r="I31" s="696" t="s">
        <v>1413</v>
      </c>
      <c r="J31" s="820">
        <v>0</v>
      </c>
      <c r="K31" s="821">
        <v>0</v>
      </c>
      <c r="L31" s="786">
        <v>0</v>
      </c>
      <c r="M31" s="786">
        <v>0</v>
      </c>
      <c r="N31" s="786">
        <v>0</v>
      </c>
      <c r="O31" s="786">
        <v>0</v>
      </c>
      <c r="P31" s="786">
        <v>0</v>
      </c>
      <c r="Q31" s="786">
        <v>0</v>
      </c>
      <c r="R31" s="786">
        <v>0</v>
      </c>
      <c r="S31" s="786">
        <v>0</v>
      </c>
      <c r="T31" s="786">
        <v>0</v>
      </c>
      <c r="U31" s="822">
        <v>0</v>
      </c>
      <c r="V31" s="821">
        <v>0</v>
      </c>
      <c r="W31" s="821">
        <v>0</v>
      </c>
      <c r="X31" s="821">
        <v>0</v>
      </c>
      <c r="Y31" s="821">
        <v>0</v>
      </c>
      <c r="Z31" s="821">
        <v>0</v>
      </c>
      <c r="AA31" s="821">
        <v>0</v>
      </c>
      <c r="AB31" s="823">
        <v>0</v>
      </c>
    </row>
    <row r="32" spans="1:28">
      <c r="A32" s="696" t="str">
        <f t="shared" si="0"/>
        <v>National Grid</v>
      </c>
      <c r="B32" s="696" t="str">
        <f>'Lookups-Assumptions'!$D$4</f>
        <v>Gas</v>
      </c>
      <c r="C32" s="696" t="str">
        <f>'Lookups-Assumptions'!$D$6</f>
        <v>Evaluated</v>
      </c>
      <c r="D32" s="819">
        <f>'Inputs Yr 2'!$E$2</f>
        <v>2017</v>
      </c>
      <c r="E32" s="696" t="s">
        <v>966</v>
      </c>
      <c r="F32" s="696" t="s">
        <v>32</v>
      </c>
      <c r="G32" s="696" t="s">
        <v>462</v>
      </c>
      <c r="H32" s="696" t="s">
        <v>741</v>
      </c>
      <c r="I32" s="696" t="s">
        <v>1299</v>
      </c>
      <c r="J32" s="820">
        <v>6480</v>
      </c>
      <c r="K32" s="821">
        <v>10784554.159999995</v>
      </c>
      <c r="L32" s="786">
        <v>1665.8136</v>
      </c>
      <c r="M32" s="786">
        <v>41645.339999999997</v>
      </c>
      <c r="N32" s="786">
        <v>89233.734813000003</v>
      </c>
      <c r="O32" s="786">
        <v>2230843.370325</v>
      </c>
      <c r="P32" s="786">
        <v>0</v>
      </c>
      <c r="Q32" s="786">
        <v>0</v>
      </c>
      <c r="R32" s="786">
        <v>0</v>
      </c>
      <c r="S32" s="786">
        <v>0</v>
      </c>
      <c r="T32" s="786">
        <v>0</v>
      </c>
      <c r="U32" s="822">
        <v>0</v>
      </c>
      <c r="V32" s="821">
        <v>12342216.38153046</v>
      </c>
      <c r="W32" s="821">
        <v>20910353.251003321</v>
      </c>
      <c r="X32" s="821">
        <v>0</v>
      </c>
      <c r="Y32" s="821">
        <v>0</v>
      </c>
      <c r="Z32" s="821">
        <v>0</v>
      </c>
      <c r="AA32" s="821">
        <v>8928055.8859143779</v>
      </c>
      <c r="AB32" s="823">
        <v>42180625.518448159</v>
      </c>
    </row>
    <row r="33" spans="1:28">
      <c r="A33" s="696" t="str">
        <f t="shared" si="0"/>
        <v>National Grid</v>
      </c>
      <c r="B33" s="696" t="str">
        <f>'Lookups-Assumptions'!$D$4</f>
        <v>Gas</v>
      </c>
      <c r="C33" s="696" t="str">
        <f>'Lookups-Assumptions'!$D$6</f>
        <v>Evaluated</v>
      </c>
      <c r="D33" s="819">
        <f>'Inputs Yr 2'!$E$2</f>
        <v>2017</v>
      </c>
      <c r="E33" s="696" t="s">
        <v>967</v>
      </c>
      <c r="F33" s="696" t="s">
        <v>32</v>
      </c>
      <c r="G33" s="696" t="s">
        <v>462</v>
      </c>
      <c r="H33" s="696" t="s">
        <v>741</v>
      </c>
      <c r="I33" s="696" t="s">
        <v>1298</v>
      </c>
      <c r="J33" s="820">
        <v>5578</v>
      </c>
      <c r="K33" s="821">
        <v>4215545.25</v>
      </c>
      <c r="L33" s="786">
        <v>0</v>
      </c>
      <c r="M33" s="786">
        <v>0</v>
      </c>
      <c r="N33" s="786">
        <v>27501.862593999998</v>
      </c>
      <c r="O33" s="786">
        <v>412527.93890999997</v>
      </c>
      <c r="P33" s="786">
        <v>0</v>
      </c>
      <c r="Q33" s="786">
        <v>0</v>
      </c>
      <c r="R33" s="786">
        <v>0</v>
      </c>
      <c r="S33" s="786">
        <v>0</v>
      </c>
      <c r="T33" s="786">
        <v>0</v>
      </c>
      <c r="U33" s="822">
        <v>0</v>
      </c>
      <c r="V33" s="821">
        <v>0</v>
      </c>
      <c r="W33" s="821">
        <v>3747573.0936850193</v>
      </c>
      <c r="X33" s="821">
        <v>0</v>
      </c>
      <c r="Y33" s="821">
        <v>0</v>
      </c>
      <c r="Z33" s="821">
        <v>0</v>
      </c>
      <c r="AA33" s="821">
        <v>1998318.0687519254</v>
      </c>
      <c r="AB33" s="823">
        <v>5745891.1624369444</v>
      </c>
    </row>
    <row r="34" spans="1:28">
      <c r="A34" s="696" t="str">
        <f t="shared" si="0"/>
        <v>National Grid</v>
      </c>
      <c r="B34" s="696" t="str">
        <f>'Lookups-Assumptions'!$D$4</f>
        <v>Gas</v>
      </c>
      <c r="C34" s="696" t="str">
        <f>'Lookups-Assumptions'!$D$6</f>
        <v>Evaluated</v>
      </c>
      <c r="D34" s="819">
        <f>'Inputs Yr 2'!$E$2</f>
        <v>2017</v>
      </c>
      <c r="E34" s="696" t="s">
        <v>968</v>
      </c>
      <c r="F34" s="696" t="s">
        <v>32</v>
      </c>
      <c r="G34" s="696" t="s">
        <v>462</v>
      </c>
      <c r="H34" s="696" t="s">
        <v>741</v>
      </c>
      <c r="I34" s="696" t="s">
        <v>1301</v>
      </c>
      <c r="J34" s="820">
        <v>52</v>
      </c>
      <c r="K34" s="821">
        <v>16802.440000000002</v>
      </c>
      <c r="L34" s="786">
        <v>0</v>
      </c>
      <c r="M34" s="786">
        <v>0</v>
      </c>
      <c r="N34" s="786">
        <v>97.070808</v>
      </c>
      <c r="O34" s="786">
        <v>1941.41616</v>
      </c>
      <c r="P34" s="786">
        <v>0</v>
      </c>
      <c r="Q34" s="786">
        <v>0</v>
      </c>
      <c r="R34" s="786">
        <v>0</v>
      </c>
      <c r="S34" s="786">
        <v>0</v>
      </c>
      <c r="T34" s="786">
        <v>0</v>
      </c>
      <c r="U34" s="822">
        <v>0</v>
      </c>
      <c r="V34" s="821">
        <v>0</v>
      </c>
      <c r="W34" s="821">
        <v>17874.619569233346</v>
      </c>
      <c r="X34" s="821">
        <v>0</v>
      </c>
      <c r="Y34" s="821">
        <v>0</v>
      </c>
      <c r="Z34" s="821">
        <v>0</v>
      </c>
      <c r="AA34" s="821">
        <v>228.99884684512134</v>
      </c>
      <c r="AB34" s="823">
        <v>18103.618416078469</v>
      </c>
    </row>
    <row r="35" spans="1:28">
      <c r="A35" s="696" t="str">
        <f t="shared" si="0"/>
        <v>National Grid</v>
      </c>
      <c r="B35" s="696" t="str">
        <f>'Lookups-Assumptions'!$D$4</f>
        <v>Gas</v>
      </c>
      <c r="C35" s="696" t="str">
        <f>'Lookups-Assumptions'!$D$6</f>
        <v>Evaluated</v>
      </c>
      <c r="D35" s="819">
        <f>'Inputs Yr 2'!$E$2</f>
        <v>2017</v>
      </c>
      <c r="E35" s="696" t="s">
        <v>969</v>
      </c>
      <c r="F35" s="696" t="s">
        <v>32</v>
      </c>
      <c r="G35" s="696" t="s">
        <v>462</v>
      </c>
      <c r="H35" s="696" t="s">
        <v>741</v>
      </c>
      <c r="I35" s="696" t="s">
        <v>1312</v>
      </c>
      <c r="J35" s="820">
        <v>13</v>
      </c>
      <c r="K35" s="821">
        <v>5386.69</v>
      </c>
      <c r="L35" s="786">
        <v>0</v>
      </c>
      <c r="M35" s="786">
        <v>0</v>
      </c>
      <c r="N35" s="786">
        <v>49.999999999999993</v>
      </c>
      <c r="O35" s="786">
        <v>999.99999999999989</v>
      </c>
      <c r="P35" s="786">
        <v>0</v>
      </c>
      <c r="Q35" s="786">
        <v>0</v>
      </c>
      <c r="R35" s="786">
        <v>0</v>
      </c>
      <c r="S35" s="786">
        <v>0</v>
      </c>
      <c r="T35" s="786">
        <v>0</v>
      </c>
      <c r="U35" s="822">
        <v>0</v>
      </c>
      <c r="V35" s="821">
        <v>0</v>
      </c>
      <c r="W35" s="821">
        <v>9207.0005069048893</v>
      </c>
      <c r="X35" s="821">
        <v>0</v>
      </c>
      <c r="Y35" s="821">
        <v>0</v>
      </c>
      <c r="Z35" s="821">
        <v>0</v>
      </c>
      <c r="AA35" s="821">
        <v>0</v>
      </c>
      <c r="AB35" s="823">
        <v>9207.0005069048893</v>
      </c>
    </row>
    <row r="36" spans="1:28">
      <c r="A36" s="696" t="str">
        <f t="shared" si="0"/>
        <v>National Grid</v>
      </c>
      <c r="B36" s="696" t="str">
        <f>'Lookups-Assumptions'!$D$4</f>
        <v>Gas</v>
      </c>
      <c r="C36" s="696" t="str">
        <f>'Lookups-Assumptions'!$D$6</f>
        <v>Evaluated</v>
      </c>
      <c r="D36" s="819">
        <f>'Inputs Yr 2'!$E$2</f>
        <v>2017</v>
      </c>
      <c r="E36" s="696" t="s">
        <v>970</v>
      </c>
      <c r="F36" s="696" t="s">
        <v>32</v>
      </c>
      <c r="G36" s="696" t="s">
        <v>462</v>
      </c>
      <c r="H36" s="696" t="s">
        <v>741</v>
      </c>
      <c r="I36" s="696" t="s">
        <v>1302</v>
      </c>
      <c r="J36" s="820">
        <v>883</v>
      </c>
      <c r="K36" s="821">
        <v>3090.5</v>
      </c>
      <c r="L36" s="786">
        <v>0</v>
      </c>
      <c r="M36" s="786">
        <v>0</v>
      </c>
      <c r="N36" s="786">
        <v>264.89999999999998</v>
      </c>
      <c r="O36" s="786">
        <v>3973.4999999999995</v>
      </c>
      <c r="P36" s="786">
        <v>0</v>
      </c>
      <c r="Q36" s="786">
        <v>0</v>
      </c>
      <c r="R36" s="786">
        <v>0</v>
      </c>
      <c r="S36" s="786">
        <v>0</v>
      </c>
      <c r="T36" s="786">
        <v>0</v>
      </c>
      <c r="U36" s="822">
        <v>0</v>
      </c>
      <c r="V36" s="821">
        <v>0</v>
      </c>
      <c r="W36" s="821">
        <v>34566.466551717967</v>
      </c>
      <c r="X36" s="821">
        <v>0</v>
      </c>
      <c r="Y36" s="821">
        <v>0</v>
      </c>
      <c r="Z36" s="821">
        <v>0</v>
      </c>
      <c r="AA36" s="821">
        <v>0</v>
      </c>
      <c r="AB36" s="823">
        <v>34566.466551717967</v>
      </c>
    </row>
    <row r="37" spans="1:28">
      <c r="A37" s="696" t="str">
        <f t="shared" si="0"/>
        <v>National Grid</v>
      </c>
      <c r="B37" s="696" t="str">
        <f>'Lookups-Assumptions'!$D$4</f>
        <v>Gas</v>
      </c>
      <c r="C37" s="696" t="str">
        <f>'Lookups-Assumptions'!$D$6</f>
        <v>Evaluated</v>
      </c>
      <c r="D37" s="819">
        <f>'Inputs Yr 2'!$E$2</f>
        <v>2017</v>
      </c>
      <c r="E37" s="696" t="s">
        <v>971</v>
      </c>
      <c r="F37" s="696" t="s">
        <v>32</v>
      </c>
      <c r="G37" s="696" t="s">
        <v>462</v>
      </c>
      <c r="H37" s="696" t="s">
        <v>741</v>
      </c>
      <c r="I37" s="696" t="s">
        <v>1303</v>
      </c>
      <c r="J37" s="820">
        <v>0</v>
      </c>
      <c r="K37" s="821">
        <v>0</v>
      </c>
      <c r="L37" s="786">
        <v>0</v>
      </c>
      <c r="M37" s="786">
        <v>0</v>
      </c>
      <c r="N37" s="786">
        <v>0</v>
      </c>
      <c r="O37" s="786">
        <v>0</v>
      </c>
      <c r="P37" s="786">
        <v>0</v>
      </c>
      <c r="Q37" s="786">
        <v>0</v>
      </c>
      <c r="R37" s="786">
        <v>0</v>
      </c>
      <c r="S37" s="786">
        <v>0</v>
      </c>
      <c r="T37" s="786">
        <v>0</v>
      </c>
      <c r="U37" s="822">
        <v>0</v>
      </c>
      <c r="V37" s="821">
        <v>0</v>
      </c>
      <c r="W37" s="821">
        <v>0</v>
      </c>
      <c r="X37" s="821">
        <v>0</v>
      </c>
      <c r="Y37" s="821">
        <v>0</v>
      </c>
      <c r="Z37" s="821">
        <v>0</v>
      </c>
      <c r="AA37" s="821">
        <v>0</v>
      </c>
      <c r="AB37" s="823">
        <v>0</v>
      </c>
    </row>
    <row r="38" spans="1:28">
      <c r="A38" s="696" t="str">
        <f t="shared" si="0"/>
        <v>National Grid</v>
      </c>
      <c r="B38" s="696" t="str">
        <f>'Lookups-Assumptions'!$D$4</f>
        <v>Gas</v>
      </c>
      <c r="C38" s="696" t="str">
        <f>'Lookups-Assumptions'!$D$6</f>
        <v>Evaluated</v>
      </c>
      <c r="D38" s="819">
        <f>'Inputs Yr 2'!$E$2</f>
        <v>2017</v>
      </c>
      <c r="E38" s="696" t="s">
        <v>972</v>
      </c>
      <c r="F38" s="696" t="s">
        <v>32</v>
      </c>
      <c r="G38" s="696" t="s">
        <v>462</v>
      </c>
      <c r="H38" s="696" t="s">
        <v>741</v>
      </c>
      <c r="I38" s="696" t="s">
        <v>1304</v>
      </c>
      <c r="J38" s="820">
        <v>11922</v>
      </c>
      <c r="K38" s="821">
        <v>24836</v>
      </c>
      <c r="L38" s="786">
        <v>0</v>
      </c>
      <c r="M38" s="786">
        <v>0</v>
      </c>
      <c r="N38" s="786">
        <v>2384.4</v>
      </c>
      <c r="O38" s="786">
        <v>16690.8</v>
      </c>
      <c r="P38" s="786">
        <v>0</v>
      </c>
      <c r="Q38" s="786">
        <v>0</v>
      </c>
      <c r="R38" s="786">
        <v>0</v>
      </c>
      <c r="S38" s="786">
        <v>0</v>
      </c>
      <c r="T38" s="786">
        <v>3958104</v>
      </c>
      <c r="U38" s="822">
        <v>27706728</v>
      </c>
      <c r="V38" s="821">
        <v>0</v>
      </c>
      <c r="W38" s="821">
        <v>148655.44363116904</v>
      </c>
      <c r="X38" s="821">
        <v>0</v>
      </c>
      <c r="Y38" s="821">
        <v>0</v>
      </c>
      <c r="Z38" s="821">
        <v>295586.4010527939</v>
      </c>
      <c r="AA38" s="821">
        <v>0</v>
      </c>
      <c r="AB38" s="823">
        <v>444241.84468396293</v>
      </c>
    </row>
    <row r="39" spans="1:28">
      <c r="A39" s="696" t="str">
        <f t="shared" si="0"/>
        <v>National Grid</v>
      </c>
      <c r="B39" s="696" t="str">
        <f>'Lookups-Assumptions'!$D$4</f>
        <v>Gas</v>
      </c>
      <c r="C39" s="696" t="str">
        <f>'Lookups-Assumptions'!$D$6</f>
        <v>Evaluated</v>
      </c>
      <c r="D39" s="819">
        <f>'Inputs Yr 2'!$E$2</f>
        <v>2017</v>
      </c>
      <c r="E39" s="696" t="s">
        <v>973</v>
      </c>
      <c r="F39" s="696" t="s">
        <v>32</v>
      </c>
      <c r="G39" s="696" t="s">
        <v>462</v>
      </c>
      <c r="H39" s="696" t="s">
        <v>741</v>
      </c>
      <c r="I39" s="696" t="s">
        <v>1305</v>
      </c>
      <c r="J39" s="820">
        <v>9433</v>
      </c>
      <c r="K39" s="821">
        <v>96007.000000000015</v>
      </c>
      <c r="L39" s="786">
        <v>0</v>
      </c>
      <c r="M39" s="786">
        <v>0</v>
      </c>
      <c r="N39" s="786">
        <v>11319.6</v>
      </c>
      <c r="O39" s="786">
        <v>79237.2</v>
      </c>
      <c r="P39" s="786">
        <v>0</v>
      </c>
      <c r="Q39" s="786">
        <v>0</v>
      </c>
      <c r="R39" s="786">
        <v>0</v>
      </c>
      <c r="S39" s="786">
        <v>0</v>
      </c>
      <c r="T39" s="786">
        <v>22648633</v>
      </c>
      <c r="U39" s="822">
        <v>158540431</v>
      </c>
      <c r="V39" s="821">
        <v>0</v>
      </c>
      <c r="W39" s="821">
        <v>705720.58368033089</v>
      </c>
      <c r="X39" s="821">
        <v>0</v>
      </c>
      <c r="Y39" s="821">
        <v>0</v>
      </c>
      <c r="Z39" s="821">
        <v>1691372.4139728372</v>
      </c>
      <c r="AA39" s="821">
        <v>283.61189466670822</v>
      </c>
      <c r="AB39" s="823">
        <v>2397376.6095478348</v>
      </c>
    </row>
    <row r="40" spans="1:28">
      <c r="A40" s="696" t="str">
        <f t="shared" si="0"/>
        <v>National Grid</v>
      </c>
      <c r="B40" s="696" t="str">
        <f>'Lookups-Assumptions'!$D$4</f>
        <v>Gas</v>
      </c>
      <c r="C40" s="696" t="str">
        <f>'Lookups-Assumptions'!$D$6</f>
        <v>Evaluated</v>
      </c>
      <c r="D40" s="819">
        <f>'Inputs Yr 2'!$E$2</f>
        <v>2017</v>
      </c>
      <c r="E40" s="696" t="s">
        <v>974</v>
      </c>
      <c r="F40" s="696" t="s">
        <v>32</v>
      </c>
      <c r="G40" s="696" t="s">
        <v>462</v>
      </c>
      <c r="H40" s="696" t="s">
        <v>741</v>
      </c>
      <c r="I40" s="696" t="s">
        <v>1309</v>
      </c>
      <c r="J40" s="820">
        <v>10635</v>
      </c>
      <c r="K40" s="821">
        <v>369782.00000000006</v>
      </c>
      <c r="L40" s="786">
        <v>0</v>
      </c>
      <c r="M40" s="786">
        <v>0</v>
      </c>
      <c r="N40" s="786">
        <v>30288.48</v>
      </c>
      <c r="O40" s="786">
        <v>454327.2</v>
      </c>
      <c r="P40" s="786">
        <v>0</v>
      </c>
      <c r="Q40" s="786">
        <v>0</v>
      </c>
      <c r="R40" s="786">
        <v>0</v>
      </c>
      <c r="S40" s="786">
        <v>0</v>
      </c>
      <c r="T40" s="786">
        <v>0</v>
      </c>
      <c r="U40" s="822">
        <v>0</v>
      </c>
      <c r="V40" s="821">
        <v>0</v>
      </c>
      <c r="W40" s="821">
        <v>4127294.7353529651</v>
      </c>
      <c r="X40" s="821">
        <v>0</v>
      </c>
      <c r="Y40" s="821">
        <v>0</v>
      </c>
      <c r="Z40" s="821">
        <v>0</v>
      </c>
      <c r="AA40" s="821">
        <v>440498.25052330078</v>
      </c>
      <c r="AB40" s="823">
        <v>4567792.9858762659</v>
      </c>
    </row>
    <row r="41" spans="1:28">
      <c r="A41" s="696" t="str">
        <f t="shared" si="0"/>
        <v>National Grid</v>
      </c>
      <c r="B41" s="696" t="str">
        <f>'Lookups-Assumptions'!$D$4</f>
        <v>Gas</v>
      </c>
      <c r="C41" s="696" t="str">
        <f>'Lookups-Assumptions'!$D$6</f>
        <v>Evaluated</v>
      </c>
      <c r="D41" s="819">
        <f>'Inputs Yr 2'!$E$2</f>
        <v>2017</v>
      </c>
      <c r="E41" s="696" t="s">
        <v>975</v>
      </c>
      <c r="F41" s="696" t="s">
        <v>32</v>
      </c>
      <c r="G41" s="696" t="s">
        <v>462</v>
      </c>
      <c r="H41" s="696" t="s">
        <v>741</v>
      </c>
      <c r="I41" s="696" t="s">
        <v>737</v>
      </c>
      <c r="J41" s="820">
        <v>1802</v>
      </c>
      <c r="K41" s="821">
        <v>103367.30164461247</v>
      </c>
      <c r="L41" s="786">
        <v>0</v>
      </c>
      <c r="M41" s="786">
        <v>0</v>
      </c>
      <c r="N41" s="786">
        <v>11893.199999999999</v>
      </c>
      <c r="O41" s="786">
        <v>178397.99999999997</v>
      </c>
      <c r="P41" s="786">
        <v>0</v>
      </c>
      <c r="Q41" s="786">
        <v>0</v>
      </c>
      <c r="R41" s="786">
        <v>0</v>
      </c>
      <c r="S41" s="786">
        <v>0</v>
      </c>
      <c r="T41" s="786">
        <v>0</v>
      </c>
      <c r="U41" s="822">
        <v>0</v>
      </c>
      <c r="V41" s="821">
        <v>0</v>
      </c>
      <c r="W41" s="821">
        <v>1620640.6444463332</v>
      </c>
      <c r="X41" s="821">
        <v>0</v>
      </c>
      <c r="Y41" s="821">
        <v>0</v>
      </c>
      <c r="Z41" s="821">
        <v>0</v>
      </c>
      <c r="AA41" s="821">
        <v>83863.208448147998</v>
      </c>
      <c r="AB41" s="823">
        <v>1704503.8528944813</v>
      </c>
    </row>
    <row r="42" spans="1:28">
      <c r="A42" s="696" t="str">
        <f t="shared" si="0"/>
        <v>National Grid</v>
      </c>
      <c r="B42" s="696" t="str">
        <f>'Lookups-Assumptions'!$D$4</f>
        <v>Gas</v>
      </c>
      <c r="C42" s="696" t="str">
        <f>'Lookups-Assumptions'!$D$6</f>
        <v>Evaluated</v>
      </c>
      <c r="D42" s="819">
        <f>'Inputs Yr 2'!$E$2</f>
        <v>2017</v>
      </c>
      <c r="E42" s="696" t="s">
        <v>976</v>
      </c>
      <c r="F42" s="696" t="s">
        <v>32</v>
      </c>
      <c r="G42" s="696" t="s">
        <v>462</v>
      </c>
      <c r="H42" s="696" t="s">
        <v>741</v>
      </c>
      <c r="I42" s="696" t="s">
        <v>1384</v>
      </c>
      <c r="J42" s="820">
        <v>288</v>
      </c>
      <c r="K42" s="821">
        <v>16520.41224952741</v>
      </c>
      <c r="L42" s="786">
        <v>29.952000000000002</v>
      </c>
      <c r="M42" s="786">
        <v>449.28000000000003</v>
      </c>
      <c r="N42" s="786">
        <v>1900.8</v>
      </c>
      <c r="O42" s="786">
        <v>28512</v>
      </c>
      <c r="P42" s="786">
        <v>0</v>
      </c>
      <c r="Q42" s="786">
        <v>0</v>
      </c>
      <c r="R42" s="786">
        <v>0</v>
      </c>
      <c r="S42" s="786">
        <v>0</v>
      </c>
      <c r="T42" s="786">
        <v>0</v>
      </c>
      <c r="U42" s="822">
        <v>0</v>
      </c>
      <c r="V42" s="821">
        <v>308938.56122524914</v>
      </c>
      <c r="W42" s="821">
        <v>259014.70899031303</v>
      </c>
      <c r="X42" s="821">
        <v>0</v>
      </c>
      <c r="Y42" s="821">
        <v>0</v>
      </c>
      <c r="Z42" s="821">
        <v>0</v>
      </c>
      <c r="AA42" s="821">
        <v>13403.22088405473</v>
      </c>
      <c r="AB42" s="823">
        <v>581356.49109961698</v>
      </c>
    </row>
    <row r="43" spans="1:28">
      <c r="A43" s="696" t="str">
        <f t="shared" si="0"/>
        <v>National Grid</v>
      </c>
      <c r="B43" s="696" t="str">
        <f>'Lookups-Assumptions'!$D$4</f>
        <v>Gas</v>
      </c>
      <c r="C43" s="696" t="str">
        <f>'Lookups-Assumptions'!$D$6</f>
        <v>Evaluated</v>
      </c>
      <c r="D43" s="819">
        <f>'Inputs Yr 2'!$E$2</f>
        <v>2017</v>
      </c>
      <c r="E43" s="696" t="s">
        <v>977</v>
      </c>
      <c r="F43" s="696" t="s">
        <v>32</v>
      </c>
      <c r="G43" s="696" t="s">
        <v>462</v>
      </c>
      <c r="H43" s="696" t="s">
        <v>741</v>
      </c>
      <c r="I43" s="696" t="s">
        <v>1413</v>
      </c>
      <c r="J43" s="820">
        <v>338</v>
      </c>
      <c r="K43" s="821">
        <v>2588.2099999999996</v>
      </c>
      <c r="L43" s="786">
        <v>10.968776</v>
      </c>
      <c r="M43" s="786">
        <v>54.843879999999999</v>
      </c>
      <c r="N43" s="786">
        <v>0</v>
      </c>
      <c r="O43" s="786">
        <v>0</v>
      </c>
      <c r="P43" s="786">
        <v>0</v>
      </c>
      <c r="Q43" s="786">
        <v>0</v>
      </c>
      <c r="R43" s="786">
        <v>0</v>
      </c>
      <c r="S43" s="786">
        <v>0</v>
      </c>
      <c r="T43" s="786">
        <v>0</v>
      </c>
      <c r="U43" s="822">
        <v>0</v>
      </c>
      <c r="V43" s="821">
        <v>6181.9947129354041</v>
      </c>
      <c r="W43" s="821">
        <v>0</v>
      </c>
      <c r="X43" s="821">
        <v>0</v>
      </c>
      <c r="Y43" s="821">
        <v>0</v>
      </c>
      <c r="Z43" s="821">
        <v>0</v>
      </c>
      <c r="AA43" s="821">
        <v>772.33354714283894</v>
      </c>
      <c r="AB43" s="823">
        <v>6954.3282600782431</v>
      </c>
    </row>
    <row r="44" spans="1:28">
      <c r="A44" s="696" t="str">
        <f t="shared" si="0"/>
        <v>National Grid</v>
      </c>
      <c r="B44" s="696" t="str">
        <f>'Lookups-Assumptions'!$D$4</f>
        <v>Gas</v>
      </c>
      <c r="C44" s="696" t="str">
        <f>'Lookups-Assumptions'!$D$6</f>
        <v>Evaluated</v>
      </c>
      <c r="D44" s="819">
        <f>'Inputs Yr 2'!$E$2</f>
        <v>2017</v>
      </c>
      <c r="E44" s="696" t="s">
        <v>979</v>
      </c>
      <c r="F44" s="696" t="s">
        <v>32</v>
      </c>
      <c r="G44" s="696" t="s">
        <v>462</v>
      </c>
      <c r="H44" s="696" t="s">
        <v>741</v>
      </c>
      <c r="I44" s="696" t="s">
        <v>742</v>
      </c>
      <c r="J44" s="820">
        <v>1127</v>
      </c>
      <c r="K44" s="821">
        <v>3425000</v>
      </c>
      <c r="L44" s="786">
        <v>0</v>
      </c>
      <c r="M44" s="786">
        <v>0</v>
      </c>
      <c r="N44" s="786">
        <v>12847.800000000001</v>
      </c>
      <c r="O44" s="786">
        <v>256956.00000000003</v>
      </c>
      <c r="P44" s="786">
        <v>0</v>
      </c>
      <c r="Q44" s="786">
        <v>0</v>
      </c>
      <c r="R44" s="786">
        <v>0</v>
      </c>
      <c r="S44" s="786">
        <v>0</v>
      </c>
      <c r="T44" s="786">
        <v>0</v>
      </c>
      <c r="U44" s="822">
        <v>0</v>
      </c>
      <c r="V44" s="821">
        <v>0</v>
      </c>
      <c r="W44" s="821">
        <v>2365794.0222522537</v>
      </c>
      <c r="X44" s="821">
        <v>0</v>
      </c>
      <c r="Y44" s="821">
        <v>0</v>
      </c>
      <c r="Z44" s="821">
        <v>0</v>
      </c>
      <c r="AA44" s="821">
        <v>665488.26422783372</v>
      </c>
      <c r="AB44" s="823">
        <v>3031282.2864800873</v>
      </c>
    </row>
    <row r="45" spans="1:28">
      <c r="A45" s="696" t="str">
        <f t="shared" si="0"/>
        <v>National Grid</v>
      </c>
      <c r="B45" s="696" t="str">
        <f>'Lookups-Assumptions'!$D$4</f>
        <v>Gas</v>
      </c>
      <c r="C45" s="696" t="str">
        <f>'Lookups-Assumptions'!$D$6</f>
        <v>Evaluated</v>
      </c>
      <c r="D45" s="819">
        <f>'Inputs Yr 2'!$E$2</f>
        <v>2017</v>
      </c>
      <c r="E45" s="696" t="s">
        <v>980</v>
      </c>
      <c r="F45" s="696" t="s">
        <v>32</v>
      </c>
      <c r="G45" s="696" t="s">
        <v>462</v>
      </c>
      <c r="H45" s="696" t="s">
        <v>741</v>
      </c>
      <c r="I45" s="696" t="s">
        <v>743</v>
      </c>
      <c r="J45" s="820">
        <v>1127</v>
      </c>
      <c r="K45" s="821">
        <v>0</v>
      </c>
      <c r="L45" s="786">
        <v>0</v>
      </c>
      <c r="M45" s="786">
        <v>0</v>
      </c>
      <c r="N45" s="786">
        <v>7889</v>
      </c>
      <c r="O45" s="786">
        <v>78890</v>
      </c>
      <c r="P45" s="786">
        <v>0</v>
      </c>
      <c r="Q45" s="786">
        <v>0</v>
      </c>
      <c r="R45" s="786">
        <v>0</v>
      </c>
      <c r="S45" s="786">
        <v>0</v>
      </c>
      <c r="T45" s="786">
        <v>0</v>
      </c>
      <c r="U45" s="822">
        <v>0</v>
      </c>
      <c r="V45" s="821">
        <v>0</v>
      </c>
      <c r="W45" s="821">
        <v>718905.21696753229</v>
      </c>
      <c r="X45" s="821">
        <v>0</v>
      </c>
      <c r="Y45" s="821">
        <v>0</v>
      </c>
      <c r="Z45" s="821">
        <v>0</v>
      </c>
      <c r="AA45" s="821">
        <v>1534512.9338254852</v>
      </c>
      <c r="AB45" s="823">
        <v>2253418.1507930174</v>
      </c>
    </row>
    <row r="46" spans="1:28">
      <c r="A46" s="696" t="str">
        <f t="shared" si="0"/>
        <v>National Grid</v>
      </c>
      <c r="B46" s="696" t="str">
        <f>'Lookups-Assumptions'!$D$4</f>
        <v>Gas</v>
      </c>
      <c r="C46" s="696" t="str">
        <f>'Lookups-Assumptions'!$D$6</f>
        <v>Evaluated</v>
      </c>
      <c r="D46" s="819">
        <f>'Inputs Yr 2'!$E$2</f>
        <v>2017</v>
      </c>
      <c r="E46" s="696" t="s">
        <v>981</v>
      </c>
      <c r="F46" s="696" t="s">
        <v>32</v>
      </c>
      <c r="G46" s="696" t="s">
        <v>462</v>
      </c>
      <c r="H46" s="696" t="s">
        <v>741</v>
      </c>
      <c r="I46" s="696" t="s">
        <v>744</v>
      </c>
      <c r="J46" s="820">
        <v>132</v>
      </c>
      <c r="K46" s="821">
        <v>250800</v>
      </c>
      <c r="L46" s="786">
        <v>0</v>
      </c>
      <c r="M46" s="786">
        <v>0</v>
      </c>
      <c r="N46" s="786">
        <v>382.8</v>
      </c>
      <c r="O46" s="786">
        <v>7656</v>
      </c>
      <c r="P46" s="786">
        <v>0</v>
      </c>
      <c r="Q46" s="786">
        <v>0</v>
      </c>
      <c r="R46" s="786">
        <v>0</v>
      </c>
      <c r="S46" s="786">
        <v>0</v>
      </c>
      <c r="T46" s="786">
        <v>0</v>
      </c>
      <c r="U46" s="822">
        <v>0</v>
      </c>
      <c r="V46" s="821">
        <v>0</v>
      </c>
      <c r="W46" s="821">
        <v>70488.79588086385</v>
      </c>
      <c r="X46" s="821">
        <v>0</v>
      </c>
      <c r="Y46" s="821">
        <v>0</v>
      </c>
      <c r="Z46" s="821">
        <v>0</v>
      </c>
      <c r="AA46" s="821">
        <v>77945.386759604298</v>
      </c>
      <c r="AB46" s="823">
        <v>148434.18264046815</v>
      </c>
    </row>
    <row r="47" spans="1:28">
      <c r="A47" s="696" t="str">
        <f t="shared" si="0"/>
        <v>National Grid</v>
      </c>
      <c r="B47" s="696" t="str">
        <f>'Lookups-Assumptions'!$D$4</f>
        <v>Gas</v>
      </c>
      <c r="C47" s="696" t="str">
        <f>'Lookups-Assumptions'!$D$6</f>
        <v>Evaluated</v>
      </c>
      <c r="D47" s="819">
        <f>'Inputs Yr 2'!$E$2</f>
        <v>2017</v>
      </c>
      <c r="E47" s="696" t="s">
        <v>982</v>
      </c>
      <c r="F47" s="696" t="s">
        <v>32</v>
      </c>
      <c r="G47" s="696" t="s">
        <v>462</v>
      </c>
      <c r="H47" s="696" t="s">
        <v>741</v>
      </c>
      <c r="I47" s="696" t="s">
        <v>745</v>
      </c>
      <c r="J47" s="820">
        <v>132</v>
      </c>
      <c r="K47" s="821">
        <v>0</v>
      </c>
      <c r="L47" s="786">
        <v>0</v>
      </c>
      <c r="M47" s="786">
        <v>0</v>
      </c>
      <c r="N47" s="786">
        <v>1056</v>
      </c>
      <c r="O47" s="786">
        <v>10560</v>
      </c>
      <c r="P47" s="786">
        <v>0</v>
      </c>
      <c r="Q47" s="786">
        <v>0</v>
      </c>
      <c r="R47" s="786">
        <v>0</v>
      </c>
      <c r="S47" s="786">
        <v>0</v>
      </c>
      <c r="T47" s="786">
        <v>0</v>
      </c>
      <c r="U47" s="822">
        <v>0</v>
      </c>
      <c r="V47" s="821">
        <v>0</v>
      </c>
      <c r="W47" s="821">
        <v>96230.689455915082</v>
      </c>
      <c r="X47" s="821">
        <v>0</v>
      </c>
      <c r="Y47" s="821">
        <v>0</v>
      </c>
      <c r="Z47" s="821">
        <v>0</v>
      </c>
      <c r="AA47" s="821">
        <v>179729.99757317128</v>
      </c>
      <c r="AB47" s="823">
        <v>275960.68702908634</v>
      </c>
    </row>
    <row r="48" spans="1:28">
      <c r="A48" s="696" t="str">
        <f t="shared" si="0"/>
        <v>National Grid</v>
      </c>
      <c r="B48" s="696" t="str">
        <f>'Lookups-Assumptions'!$D$4</f>
        <v>Gas</v>
      </c>
      <c r="C48" s="696" t="str">
        <f>'Lookups-Assumptions'!$D$6</f>
        <v>Evaluated</v>
      </c>
      <c r="D48" s="819">
        <f>'Inputs Yr 2'!$E$2</f>
        <v>2017</v>
      </c>
      <c r="E48" s="696" t="s">
        <v>983</v>
      </c>
      <c r="F48" s="696" t="s">
        <v>32</v>
      </c>
      <c r="G48" s="696" t="s">
        <v>462</v>
      </c>
      <c r="H48" s="696" t="s">
        <v>741</v>
      </c>
      <c r="I48" s="696" t="s">
        <v>746</v>
      </c>
      <c r="J48" s="820">
        <v>1073</v>
      </c>
      <c r="K48" s="821">
        <v>1073000</v>
      </c>
      <c r="L48" s="786">
        <v>0</v>
      </c>
      <c r="M48" s="786">
        <v>0</v>
      </c>
      <c r="N48" s="786">
        <v>7725.6</v>
      </c>
      <c r="O48" s="786">
        <v>139060.80000000002</v>
      </c>
      <c r="P48" s="786">
        <v>0</v>
      </c>
      <c r="Q48" s="786">
        <v>0</v>
      </c>
      <c r="R48" s="786">
        <v>0</v>
      </c>
      <c r="S48" s="786">
        <v>0</v>
      </c>
      <c r="T48" s="786">
        <v>0</v>
      </c>
      <c r="U48" s="822">
        <v>0</v>
      </c>
      <c r="V48" s="821">
        <v>0</v>
      </c>
      <c r="W48" s="821">
        <v>1272550.3226556904</v>
      </c>
      <c r="X48" s="821">
        <v>0</v>
      </c>
      <c r="Y48" s="821">
        <v>0</v>
      </c>
      <c r="Z48" s="821">
        <v>0</v>
      </c>
      <c r="AA48" s="821">
        <v>572715.47117931163</v>
      </c>
      <c r="AB48" s="823">
        <v>1845265.793835002</v>
      </c>
    </row>
    <row r="49" spans="1:28">
      <c r="A49" s="696" t="str">
        <f t="shared" si="0"/>
        <v>National Grid</v>
      </c>
      <c r="B49" s="696" t="str">
        <f>'Lookups-Assumptions'!$D$4</f>
        <v>Gas</v>
      </c>
      <c r="C49" s="696" t="str">
        <f>'Lookups-Assumptions'!$D$6</f>
        <v>Evaluated</v>
      </c>
      <c r="D49" s="819">
        <f>'Inputs Yr 2'!$E$2</f>
        <v>2017</v>
      </c>
      <c r="E49" s="696" t="s">
        <v>984</v>
      </c>
      <c r="F49" s="696" t="s">
        <v>32</v>
      </c>
      <c r="G49" s="696" t="s">
        <v>462</v>
      </c>
      <c r="H49" s="696" t="s">
        <v>741</v>
      </c>
      <c r="I49" s="696" t="s">
        <v>747</v>
      </c>
      <c r="J49" s="820">
        <v>1073</v>
      </c>
      <c r="K49" s="821">
        <v>0</v>
      </c>
      <c r="L49" s="786">
        <v>0</v>
      </c>
      <c r="M49" s="786">
        <v>0</v>
      </c>
      <c r="N49" s="786">
        <v>6652.6</v>
      </c>
      <c r="O49" s="786">
        <v>39915.600000000006</v>
      </c>
      <c r="P49" s="786">
        <v>0</v>
      </c>
      <c r="Q49" s="786">
        <v>0</v>
      </c>
      <c r="R49" s="786">
        <v>0</v>
      </c>
      <c r="S49" s="786">
        <v>0</v>
      </c>
      <c r="T49" s="786">
        <v>0</v>
      </c>
      <c r="U49" s="822">
        <v>0</v>
      </c>
      <c r="V49" s="821">
        <v>0</v>
      </c>
      <c r="W49" s="821">
        <v>377005.82116764999</v>
      </c>
      <c r="X49" s="821">
        <v>0</v>
      </c>
      <c r="Y49" s="821">
        <v>0</v>
      </c>
      <c r="Z49" s="821">
        <v>0</v>
      </c>
      <c r="AA49" s="821">
        <v>884277.74533315771</v>
      </c>
      <c r="AB49" s="823">
        <v>1261283.5665008076</v>
      </c>
    </row>
    <row r="50" spans="1:28">
      <c r="A50" s="696" t="str">
        <f t="shared" si="0"/>
        <v>National Grid</v>
      </c>
      <c r="B50" s="696" t="str">
        <f>'Lookups-Assumptions'!$D$4</f>
        <v>Gas</v>
      </c>
      <c r="C50" s="696" t="str">
        <f>'Lookups-Assumptions'!$D$6</f>
        <v>Evaluated</v>
      </c>
      <c r="D50" s="819">
        <f>'Inputs Yr 2'!$E$2</f>
        <v>2017</v>
      </c>
      <c r="E50" s="696" t="s">
        <v>990</v>
      </c>
      <c r="F50" s="696" t="s">
        <v>32</v>
      </c>
      <c r="G50" s="696" t="s">
        <v>462</v>
      </c>
      <c r="H50" s="696" t="s">
        <v>741</v>
      </c>
      <c r="I50" s="696" t="s">
        <v>916</v>
      </c>
      <c r="J50" s="820">
        <v>5726</v>
      </c>
      <c r="K50" s="821">
        <v>119661.75999999999</v>
      </c>
      <c r="L50" s="786">
        <v>326.81717599999996</v>
      </c>
      <c r="M50" s="786">
        <v>1634.0858799999999</v>
      </c>
      <c r="N50" s="786">
        <v>0</v>
      </c>
      <c r="O50" s="786">
        <v>0</v>
      </c>
      <c r="P50" s="786">
        <v>0</v>
      </c>
      <c r="Q50" s="786">
        <v>0</v>
      </c>
      <c r="R50" s="786">
        <v>0</v>
      </c>
      <c r="S50" s="786">
        <v>0</v>
      </c>
      <c r="T50" s="786">
        <v>0</v>
      </c>
      <c r="U50" s="822">
        <v>0</v>
      </c>
      <c r="V50" s="821">
        <v>192126.69989349946</v>
      </c>
      <c r="W50" s="821">
        <v>0</v>
      </c>
      <c r="X50" s="821">
        <v>0</v>
      </c>
      <c r="Y50" s="821">
        <v>0</v>
      </c>
      <c r="Z50" s="821">
        <v>0</v>
      </c>
      <c r="AA50" s="821">
        <v>0</v>
      </c>
      <c r="AB50" s="823">
        <v>192126.69989349946</v>
      </c>
    </row>
    <row r="51" spans="1:28">
      <c r="A51" s="696" t="str">
        <f t="shared" si="0"/>
        <v>National Grid</v>
      </c>
      <c r="B51" s="696" t="str">
        <f>'Lookups-Assumptions'!$D$4</f>
        <v>Gas</v>
      </c>
      <c r="C51" s="696" t="str">
        <f>'Lookups-Assumptions'!$D$6</f>
        <v>Evaluated</v>
      </c>
      <c r="D51" s="819">
        <f>'Inputs Yr 2'!$E$2</f>
        <v>2017</v>
      </c>
      <c r="E51" s="696" t="s">
        <v>991</v>
      </c>
      <c r="F51" s="696" t="s">
        <v>32</v>
      </c>
      <c r="G51" s="696" t="s">
        <v>462</v>
      </c>
      <c r="H51" s="696" t="s">
        <v>741</v>
      </c>
      <c r="I51" s="696" t="s">
        <v>927</v>
      </c>
      <c r="J51" s="820">
        <v>0</v>
      </c>
      <c r="K51" s="821">
        <v>0</v>
      </c>
      <c r="L51" s="786">
        <v>0</v>
      </c>
      <c r="M51" s="786">
        <v>0</v>
      </c>
      <c r="N51" s="786">
        <v>0</v>
      </c>
      <c r="O51" s="786">
        <v>0</v>
      </c>
      <c r="P51" s="786">
        <v>0</v>
      </c>
      <c r="Q51" s="786">
        <v>0</v>
      </c>
      <c r="R51" s="786">
        <v>0</v>
      </c>
      <c r="S51" s="786">
        <v>0</v>
      </c>
      <c r="T51" s="786">
        <v>0</v>
      </c>
      <c r="U51" s="822">
        <v>0</v>
      </c>
      <c r="V51" s="821">
        <v>0</v>
      </c>
      <c r="W51" s="821">
        <v>0</v>
      </c>
      <c r="X51" s="821">
        <v>0</v>
      </c>
      <c r="Y51" s="821">
        <v>0</v>
      </c>
      <c r="Z51" s="821">
        <v>0</v>
      </c>
      <c r="AA51" s="821">
        <v>0</v>
      </c>
      <c r="AB51" s="823">
        <v>0</v>
      </c>
    </row>
    <row r="52" spans="1:28">
      <c r="A52" s="696" t="str">
        <f t="shared" si="0"/>
        <v>National Grid</v>
      </c>
      <c r="B52" s="696" t="str">
        <f>'Lookups-Assumptions'!$D$4</f>
        <v>Gas</v>
      </c>
      <c r="C52" s="696" t="str">
        <f>'Lookups-Assumptions'!$D$6</f>
        <v>Evaluated</v>
      </c>
      <c r="D52" s="819">
        <f>'Inputs Yr 2'!$E$2</f>
        <v>2017</v>
      </c>
      <c r="E52" s="696" t="s">
        <v>992</v>
      </c>
      <c r="F52" s="696" t="s">
        <v>32</v>
      </c>
      <c r="G52" s="696" t="s">
        <v>462</v>
      </c>
      <c r="H52" s="696" t="s">
        <v>741</v>
      </c>
      <c r="I52" s="696" t="s">
        <v>929</v>
      </c>
      <c r="J52" s="820">
        <v>358</v>
      </c>
      <c r="K52" s="821">
        <v>17900</v>
      </c>
      <c r="L52" s="786">
        <v>0</v>
      </c>
      <c r="M52" s="786">
        <v>0</v>
      </c>
      <c r="N52" s="786">
        <v>293.56</v>
      </c>
      <c r="O52" s="786">
        <v>3522.7200000000003</v>
      </c>
      <c r="P52" s="786">
        <v>0</v>
      </c>
      <c r="Q52" s="786">
        <v>0</v>
      </c>
      <c r="R52" s="786">
        <v>0</v>
      </c>
      <c r="S52" s="786">
        <v>0</v>
      </c>
      <c r="T52" s="786">
        <v>0</v>
      </c>
      <c r="U52" s="822">
        <v>0</v>
      </c>
      <c r="V52" s="821">
        <v>0</v>
      </c>
      <c r="W52" s="821">
        <v>30555.343056030531</v>
      </c>
      <c r="X52" s="821">
        <v>0</v>
      </c>
      <c r="Y52" s="821">
        <v>0</v>
      </c>
      <c r="Z52" s="821">
        <v>0</v>
      </c>
      <c r="AA52" s="821">
        <v>0</v>
      </c>
      <c r="AB52" s="823">
        <v>30555.343056030531</v>
      </c>
    </row>
    <row r="53" spans="1:28">
      <c r="A53" s="696" t="str">
        <f t="shared" si="0"/>
        <v>National Grid</v>
      </c>
      <c r="B53" s="696" t="str">
        <f>'Lookups-Assumptions'!$D$4</f>
        <v>Gas</v>
      </c>
      <c r="C53" s="696" t="str">
        <f>'Lookups-Assumptions'!$D$6</f>
        <v>Evaluated</v>
      </c>
      <c r="D53" s="819">
        <f>'Inputs Yr 2'!$E$2</f>
        <v>2017</v>
      </c>
      <c r="E53" s="696" t="s">
        <v>993</v>
      </c>
      <c r="F53" s="696" t="s">
        <v>32</v>
      </c>
      <c r="G53" s="696" t="s">
        <v>462</v>
      </c>
      <c r="H53" s="696" t="s">
        <v>741</v>
      </c>
      <c r="I53" s="696" t="s">
        <v>930</v>
      </c>
      <c r="J53" s="820">
        <v>358</v>
      </c>
      <c r="K53" s="821">
        <v>0</v>
      </c>
      <c r="L53" s="786">
        <v>0</v>
      </c>
      <c r="M53" s="786">
        <v>0</v>
      </c>
      <c r="N53" s="786">
        <v>125.3</v>
      </c>
      <c r="O53" s="786">
        <v>501.2</v>
      </c>
      <c r="P53" s="786">
        <v>0</v>
      </c>
      <c r="Q53" s="786">
        <v>0</v>
      </c>
      <c r="R53" s="786">
        <v>0</v>
      </c>
      <c r="S53" s="786">
        <v>0</v>
      </c>
      <c r="T53" s="786">
        <v>0</v>
      </c>
      <c r="U53" s="822">
        <v>0</v>
      </c>
      <c r="V53" s="821">
        <v>0</v>
      </c>
      <c r="W53" s="821">
        <v>4800.9727518153722</v>
      </c>
      <c r="X53" s="821">
        <v>0</v>
      </c>
      <c r="Y53" s="821">
        <v>0</v>
      </c>
      <c r="Z53" s="821">
        <v>0</v>
      </c>
      <c r="AA53" s="821">
        <v>0</v>
      </c>
      <c r="AB53" s="823">
        <v>4800.9727518153722</v>
      </c>
    </row>
    <row r="54" spans="1:28">
      <c r="A54" s="696" t="str">
        <f t="shared" si="0"/>
        <v>National Grid</v>
      </c>
      <c r="B54" s="696" t="str">
        <f>'Lookups-Assumptions'!$D$4</f>
        <v>Gas</v>
      </c>
      <c r="C54" s="696" t="str">
        <f>'Lookups-Assumptions'!$D$6</f>
        <v>Evaluated</v>
      </c>
      <c r="D54" s="819">
        <f>'Inputs Yr 2'!$E$2</f>
        <v>2017</v>
      </c>
      <c r="E54" s="696" t="s">
        <v>994</v>
      </c>
      <c r="F54" s="696" t="s">
        <v>32</v>
      </c>
      <c r="G54" s="696" t="s">
        <v>462</v>
      </c>
      <c r="H54" s="696" t="s">
        <v>741</v>
      </c>
      <c r="I54" s="696" t="s">
        <v>931</v>
      </c>
      <c r="J54" s="820">
        <v>10</v>
      </c>
      <c r="K54" s="821">
        <v>500</v>
      </c>
      <c r="L54" s="786">
        <v>0</v>
      </c>
      <c r="M54" s="786">
        <v>0</v>
      </c>
      <c r="N54" s="786">
        <v>3.2</v>
      </c>
      <c r="O54" s="786">
        <v>38.400000000000006</v>
      </c>
      <c r="P54" s="786">
        <v>0</v>
      </c>
      <c r="Q54" s="786">
        <v>0</v>
      </c>
      <c r="R54" s="786">
        <v>0</v>
      </c>
      <c r="S54" s="786">
        <v>0</v>
      </c>
      <c r="T54" s="786">
        <v>0</v>
      </c>
      <c r="U54" s="822">
        <v>0</v>
      </c>
      <c r="V54" s="821">
        <v>0</v>
      </c>
      <c r="W54" s="821">
        <v>288.41715814384941</v>
      </c>
      <c r="X54" s="821">
        <v>0</v>
      </c>
      <c r="Y54" s="821">
        <v>0</v>
      </c>
      <c r="Z54" s="821">
        <v>0</v>
      </c>
      <c r="AA54" s="821">
        <v>0</v>
      </c>
      <c r="AB54" s="823">
        <v>288.41715814384941</v>
      </c>
    </row>
    <row r="55" spans="1:28">
      <c r="A55" s="696" t="str">
        <f t="shared" si="0"/>
        <v>National Grid</v>
      </c>
      <c r="B55" s="696" t="str">
        <f>'Lookups-Assumptions'!$D$4</f>
        <v>Gas</v>
      </c>
      <c r="C55" s="696" t="str">
        <f>'Lookups-Assumptions'!$D$6</f>
        <v>Evaluated</v>
      </c>
      <c r="D55" s="819">
        <f>'Inputs Yr 2'!$E$2</f>
        <v>2017</v>
      </c>
      <c r="E55" s="696" t="s">
        <v>995</v>
      </c>
      <c r="F55" s="696" t="s">
        <v>32</v>
      </c>
      <c r="G55" s="696" t="s">
        <v>462</v>
      </c>
      <c r="H55" s="696" t="s">
        <v>741</v>
      </c>
      <c r="I55" s="696" t="s">
        <v>932</v>
      </c>
      <c r="J55" s="820">
        <v>10</v>
      </c>
      <c r="K55" s="821">
        <v>0</v>
      </c>
      <c r="L55" s="786">
        <v>0</v>
      </c>
      <c r="M55" s="786">
        <v>0</v>
      </c>
      <c r="N55" s="786">
        <v>6.3</v>
      </c>
      <c r="O55" s="786">
        <v>25.2</v>
      </c>
      <c r="P55" s="786">
        <v>0</v>
      </c>
      <c r="Q55" s="786">
        <v>0</v>
      </c>
      <c r="R55" s="786">
        <v>0</v>
      </c>
      <c r="S55" s="786">
        <v>0</v>
      </c>
      <c r="T55" s="786">
        <v>0</v>
      </c>
      <c r="U55" s="822">
        <v>0</v>
      </c>
      <c r="V55" s="821">
        <v>0</v>
      </c>
      <c r="W55" s="821">
        <v>211.05918056602883</v>
      </c>
      <c r="X55" s="821">
        <v>0</v>
      </c>
      <c r="Y55" s="821">
        <v>0</v>
      </c>
      <c r="Z55" s="821">
        <v>0</v>
      </c>
      <c r="AA55" s="821">
        <v>0</v>
      </c>
      <c r="AB55" s="823">
        <v>211.05918056602883</v>
      </c>
    </row>
    <row r="56" spans="1:28">
      <c r="A56" s="696" t="str">
        <f t="shared" si="0"/>
        <v>National Grid</v>
      </c>
      <c r="B56" s="696" t="str">
        <f>'Lookups-Assumptions'!$D$4</f>
        <v>Gas</v>
      </c>
      <c r="C56" s="696" t="str">
        <f>'Lookups-Assumptions'!$D$6</f>
        <v>Evaluated</v>
      </c>
      <c r="D56" s="819">
        <f>'Inputs Yr 2'!$E$2</f>
        <v>2017</v>
      </c>
      <c r="E56" s="696" t="s">
        <v>996</v>
      </c>
      <c r="F56" s="696" t="s">
        <v>32</v>
      </c>
      <c r="G56" s="696" t="s">
        <v>462</v>
      </c>
      <c r="H56" s="696" t="s">
        <v>741</v>
      </c>
      <c r="I56" s="696" t="s">
        <v>933</v>
      </c>
      <c r="J56" s="820">
        <v>59</v>
      </c>
      <c r="K56" s="821">
        <v>20650</v>
      </c>
      <c r="L56" s="786">
        <v>0</v>
      </c>
      <c r="M56" s="786">
        <v>0</v>
      </c>
      <c r="N56" s="786">
        <v>67.259999999999991</v>
      </c>
      <c r="O56" s="786">
        <v>807.11999999999989</v>
      </c>
      <c r="P56" s="786">
        <v>0</v>
      </c>
      <c r="Q56" s="786">
        <v>0</v>
      </c>
      <c r="R56" s="786">
        <v>0</v>
      </c>
      <c r="S56" s="786">
        <v>0</v>
      </c>
      <c r="T56" s="786">
        <v>0</v>
      </c>
      <c r="U56" s="822">
        <v>0</v>
      </c>
      <c r="V56" s="821">
        <v>0</v>
      </c>
      <c r="W56" s="821">
        <v>6737.3183288749715</v>
      </c>
      <c r="X56" s="821">
        <v>0</v>
      </c>
      <c r="Y56" s="821">
        <v>0</v>
      </c>
      <c r="Z56" s="821">
        <v>0</v>
      </c>
      <c r="AA56" s="821">
        <v>0</v>
      </c>
      <c r="AB56" s="823">
        <v>6737.3183288749715</v>
      </c>
    </row>
    <row r="57" spans="1:28">
      <c r="A57" s="696" t="str">
        <f t="shared" si="0"/>
        <v>National Grid</v>
      </c>
      <c r="B57" s="696" t="str">
        <f>'Lookups-Assumptions'!$D$4</f>
        <v>Gas</v>
      </c>
      <c r="C57" s="696" t="str">
        <f>'Lookups-Assumptions'!$D$6</f>
        <v>Evaluated</v>
      </c>
      <c r="D57" s="819">
        <f>'Inputs Yr 2'!$E$2</f>
        <v>2017</v>
      </c>
      <c r="E57" s="696" t="s">
        <v>997</v>
      </c>
      <c r="F57" s="696" t="s">
        <v>32</v>
      </c>
      <c r="G57" s="696" t="s">
        <v>462</v>
      </c>
      <c r="H57" s="696" t="s">
        <v>741</v>
      </c>
      <c r="I57" s="696" t="s">
        <v>934</v>
      </c>
      <c r="J57" s="820">
        <v>59</v>
      </c>
      <c r="K57" s="821">
        <v>0</v>
      </c>
      <c r="L57" s="786">
        <v>0</v>
      </c>
      <c r="M57" s="786">
        <v>0</v>
      </c>
      <c r="N57" s="786">
        <v>57.82</v>
      </c>
      <c r="O57" s="786">
        <v>231.28</v>
      </c>
      <c r="P57" s="786">
        <v>0</v>
      </c>
      <c r="Q57" s="786">
        <v>0</v>
      </c>
      <c r="R57" s="786">
        <v>0</v>
      </c>
      <c r="S57" s="786">
        <v>0</v>
      </c>
      <c r="T57" s="786">
        <v>0</v>
      </c>
      <c r="U57" s="822">
        <v>0</v>
      </c>
      <c r="V57" s="821">
        <v>0</v>
      </c>
      <c r="W57" s="821">
        <v>2036.4709317002041</v>
      </c>
      <c r="X57" s="821">
        <v>0</v>
      </c>
      <c r="Y57" s="821">
        <v>0</v>
      </c>
      <c r="Z57" s="821">
        <v>0</v>
      </c>
      <c r="AA57" s="821">
        <v>0</v>
      </c>
      <c r="AB57" s="823">
        <v>2036.4709317002041</v>
      </c>
    </row>
    <row r="58" spans="1:28">
      <c r="A58" s="696" t="str">
        <f t="shared" si="0"/>
        <v>National Grid</v>
      </c>
      <c r="B58" s="696" t="str">
        <f>'Lookups-Assumptions'!$D$4</f>
        <v>Gas</v>
      </c>
      <c r="C58" s="696" t="str">
        <f>'Lookups-Assumptions'!$D$6</f>
        <v>Evaluated</v>
      </c>
      <c r="D58" s="819">
        <f>'Inputs Yr 2'!$E$2</f>
        <v>2017</v>
      </c>
      <c r="E58" s="696" t="s">
        <v>1236</v>
      </c>
      <c r="F58" s="696" t="s">
        <v>32</v>
      </c>
      <c r="G58" s="696" t="s">
        <v>462</v>
      </c>
      <c r="H58" s="696" t="s">
        <v>748</v>
      </c>
      <c r="I58" s="696" t="s">
        <v>1383</v>
      </c>
      <c r="J58" s="820">
        <v>437964</v>
      </c>
      <c r="K58" s="821">
        <v>2314375.5574484128</v>
      </c>
      <c r="L58" s="786">
        <v>0</v>
      </c>
      <c r="M58" s="786">
        <v>0</v>
      </c>
      <c r="N58" s="786">
        <v>444648.54</v>
      </c>
      <c r="O58" s="786">
        <v>444648.54</v>
      </c>
      <c r="P58" s="786">
        <v>0</v>
      </c>
      <c r="Q58" s="786">
        <v>0</v>
      </c>
      <c r="R58" s="786">
        <v>0</v>
      </c>
      <c r="S58" s="786">
        <v>0</v>
      </c>
      <c r="T58" s="786">
        <v>0</v>
      </c>
      <c r="U58" s="822">
        <v>0</v>
      </c>
      <c r="V58" s="821">
        <v>0</v>
      </c>
      <c r="W58" s="821">
        <v>5141263.8204280455</v>
      </c>
      <c r="X58" s="821">
        <v>0</v>
      </c>
      <c r="Y58" s="821">
        <v>0</v>
      </c>
      <c r="Z58" s="821">
        <v>0</v>
      </c>
      <c r="AA58" s="821">
        <v>0</v>
      </c>
      <c r="AB58" s="823">
        <v>5141263.8204280455</v>
      </c>
    </row>
    <row r="59" spans="1:28">
      <c r="A59" s="696" t="str">
        <f t="shared" si="0"/>
        <v>National Grid</v>
      </c>
      <c r="B59" s="696" t="str">
        <f>'Lookups-Assumptions'!$D$4</f>
        <v>Gas</v>
      </c>
      <c r="C59" s="696" t="str">
        <f>'Lookups-Assumptions'!$D$6</f>
        <v>Evaluated</v>
      </c>
      <c r="D59" s="819">
        <f>'Inputs Yr 2'!$E$2</f>
        <v>2017</v>
      </c>
      <c r="E59" s="696" t="s">
        <v>998</v>
      </c>
      <c r="F59" s="696" t="s">
        <v>32</v>
      </c>
      <c r="G59" s="696" t="s">
        <v>465</v>
      </c>
      <c r="H59" s="696" t="s">
        <v>910</v>
      </c>
      <c r="I59" s="696" t="s">
        <v>1313</v>
      </c>
      <c r="J59" s="820">
        <v>163</v>
      </c>
      <c r="K59" s="821">
        <v>163000</v>
      </c>
      <c r="L59" s="786">
        <v>0</v>
      </c>
      <c r="M59" s="786">
        <v>0</v>
      </c>
      <c r="N59" s="786">
        <v>1412.232</v>
      </c>
      <c r="O59" s="786">
        <v>28244.639999999999</v>
      </c>
      <c r="P59" s="786">
        <v>0</v>
      </c>
      <c r="Q59" s="786">
        <v>0</v>
      </c>
      <c r="R59" s="786">
        <v>0</v>
      </c>
      <c r="S59" s="786">
        <v>0</v>
      </c>
      <c r="T59" s="786">
        <v>0</v>
      </c>
      <c r="U59" s="822">
        <v>0</v>
      </c>
      <c r="V59" s="821">
        <v>0</v>
      </c>
      <c r="W59" s="821">
        <v>260048.41479734619</v>
      </c>
      <c r="X59" s="821">
        <v>0</v>
      </c>
      <c r="Y59" s="821">
        <v>0</v>
      </c>
      <c r="Z59" s="821">
        <v>0</v>
      </c>
      <c r="AA59" s="821">
        <v>76922.122909750309</v>
      </c>
      <c r="AB59" s="823">
        <v>336970.53770709649</v>
      </c>
    </row>
    <row r="60" spans="1:28">
      <c r="A60" s="696" t="str">
        <f t="shared" si="0"/>
        <v>National Grid</v>
      </c>
      <c r="B60" s="696" t="str">
        <f>'Lookups-Assumptions'!$D$4</f>
        <v>Gas</v>
      </c>
      <c r="C60" s="696" t="str">
        <f>'Lookups-Assumptions'!$D$6</f>
        <v>Evaluated</v>
      </c>
      <c r="D60" s="819">
        <f>'Inputs Yr 2'!$E$2</f>
        <v>2017</v>
      </c>
      <c r="E60" s="696" t="s">
        <v>999</v>
      </c>
      <c r="F60" s="696" t="s">
        <v>32</v>
      </c>
      <c r="G60" s="696" t="s">
        <v>465</v>
      </c>
      <c r="H60" s="696" t="s">
        <v>910</v>
      </c>
      <c r="I60" s="696" t="s">
        <v>1314</v>
      </c>
      <c r="J60" s="820">
        <v>1334</v>
      </c>
      <c r="K60" s="821">
        <v>1988746.4788732394</v>
      </c>
      <c r="L60" s="786">
        <v>0</v>
      </c>
      <c r="M60" s="786">
        <v>0</v>
      </c>
      <c r="N60" s="786">
        <v>14483.238000000003</v>
      </c>
      <c r="O60" s="786">
        <v>289664.76000000007</v>
      </c>
      <c r="P60" s="786">
        <v>0</v>
      </c>
      <c r="Q60" s="786">
        <v>0</v>
      </c>
      <c r="R60" s="786">
        <v>0</v>
      </c>
      <c r="S60" s="786">
        <v>0</v>
      </c>
      <c r="T60" s="786">
        <v>0</v>
      </c>
      <c r="U60" s="822">
        <v>0</v>
      </c>
      <c r="V60" s="821">
        <v>0</v>
      </c>
      <c r="W60" s="821">
        <v>2666943.5921524838</v>
      </c>
      <c r="X60" s="821">
        <v>0</v>
      </c>
      <c r="Y60" s="821">
        <v>0</v>
      </c>
      <c r="Z60" s="821">
        <v>0</v>
      </c>
      <c r="AA60" s="821">
        <v>637816.30780450779</v>
      </c>
      <c r="AB60" s="823">
        <v>3304759.8999569914</v>
      </c>
    </row>
    <row r="61" spans="1:28">
      <c r="A61" s="696" t="str">
        <f t="shared" si="0"/>
        <v>National Grid</v>
      </c>
      <c r="B61" s="696" t="str">
        <f>'Lookups-Assumptions'!$D$4</f>
        <v>Gas</v>
      </c>
      <c r="C61" s="696" t="str">
        <f>'Lookups-Assumptions'!$D$6</f>
        <v>Evaluated</v>
      </c>
      <c r="D61" s="819">
        <f>'Inputs Yr 2'!$E$2</f>
        <v>2017</v>
      </c>
      <c r="E61" s="696" t="s">
        <v>1000</v>
      </c>
      <c r="F61" s="696" t="s">
        <v>32</v>
      </c>
      <c r="G61" s="696" t="s">
        <v>465</v>
      </c>
      <c r="H61" s="696" t="s">
        <v>910</v>
      </c>
      <c r="I61" s="696" t="s">
        <v>1315</v>
      </c>
      <c r="J61" s="820">
        <v>939</v>
      </c>
      <c r="K61" s="821">
        <v>196988.7232059646</v>
      </c>
      <c r="L61" s="786">
        <v>0</v>
      </c>
      <c r="M61" s="786">
        <v>0</v>
      </c>
      <c r="N61" s="786">
        <v>6160.7790000000005</v>
      </c>
      <c r="O61" s="786">
        <v>104733.243</v>
      </c>
      <c r="P61" s="786">
        <v>0</v>
      </c>
      <c r="Q61" s="786">
        <v>0</v>
      </c>
      <c r="R61" s="786">
        <v>0</v>
      </c>
      <c r="S61" s="786">
        <v>0</v>
      </c>
      <c r="T61" s="786">
        <v>0</v>
      </c>
      <c r="U61" s="822">
        <v>0</v>
      </c>
      <c r="V61" s="821">
        <v>0</v>
      </c>
      <c r="W61" s="821">
        <v>955812.60679797118</v>
      </c>
      <c r="X61" s="821">
        <v>0</v>
      </c>
      <c r="Y61" s="821">
        <v>0</v>
      </c>
      <c r="Z61" s="821">
        <v>0</v>
      </c>
      <c r="AA61" s="821">
        <v>401188.86283989454</v>
      </c>
      <c r="AB61" s="823">
        <v>1357001.4696378657</v>
      </c>
    </row>
    <row r="62" spans="1:28">
      <c r="A62" s="696" t="str">
        <f t="shared" si="0"/>
        <v>National Grid</v>
      </c>
      <c r="B62" s="696" t="str">
        <f>'Lookups-Assumptions'!$D$4</f>
        <v>Gas</v>
      </c>
      <c r="C62" s="696" t="str">
        <f>'Lookups-Assumptions'!$D$6</f>
        <v>Evaluated</v>
      </c>
      <c r="D62" s="819">
        <f>'Inputs Yr 2'!$E$2</f>
        <v>2017</v>
      </c>
      <c r="E62" s="696" t="s">
        <v>1001</v>
      </c>
      <c r="F62" s="696" t="s">
        <v>32</v>
      </c>
      <c r="G62" s="696" t="s">
        <v>465</v>
      </c>
      <c r="H62" s="696" t="s">
        <v>910</v>
      </c>
      <c r="I62" s="696" t="s">
        <v>1316</v>
      </c>
      <c r="J62" s="820">
        <v>0</v>
      </c>
      <c r="K62" s="821">
        <v>0</v>
      </c>
      <c r="L62" s="786">
        <v>0</v>
      </c>
      <c r="M62" s="786">
        <v>0</v>
      </c>
      <c r="N62" s="786">
        <v>0</v>
      </c>
      <c r="O62" s="786">
        <v>0</v>
      </c>
      <c r="P62" s="786">
        <v>0</v>
      </c>
      <c r="Q62" s="786">
        <v>0</v>
      </c>
      <c r="R62" s="786">
        <v>0</v>
      </c>
      <c r="S62" s="786">
        <v>0</v>
      </c>
      <c r="T62" s="786">
        <v>0</v>
      </c>
      <c r="U62" s="822">
        <v>0</v>
      </c>
      <c r="V62" s="821">
        <v>0</v>
      </c>
      <c r="W62" s="821">
        <v>0</v>
      </c>
      <c r="X62" s="821">
        <v>0</v>
      </c>
      <c r="Y62" s="821">
        <v>0</v>
      </c>
      <c r="Z62" s="821">
        <v>0</v>
      </c>
      <c r="AA62" s="821">
        <v>0</v>
      </c>
      <c r="AB62" s="823">
        <v>0</v>
      </c>
    </row>
    <row r="63" spans="1:28">
      <c r="A63" s="696" t="str">
        <f t="shared" si="0"/>
        <v>National Grid</v>
      </c>
      <c r="B63" s="696" t="str">
        <f>'Lookups-Assumptions'!$D$4</f>
        <v>Gas</v>
      </c>
      <c r="C63" s="696" t="str">
        <f>'Lookups-Assumptions'!$D$6</f>
        <v>Evaluated</v>
      </c>
      <c r="D63" s="819">
        <f>'Inputs Yr 2'!$E$2</f>
        <v>2017</v>
      </c>
      <c r="E63" s="696" t="s">
        <v>1002</v>
      </c>
      <c r="F63" s="696" t="s">
        <v>32</v>
      </c>
      <c r="G63" s="696" t="s">
        <v>465</v>
      </c>
      <c r="H63" s="696" t="s">
        <v>910</v>
      </c>
      <c r="I63" s="696" t="s">
        <v>1317</v>
      </c>
      <c r="J63" s="820">
        <v>917</v>
      </c>
      <c r="K63" s="821">
        <v>473825.20547945204</v>
      </c>
      <c r="L63" s="786">
        <v>0</v>
      </c>
      <c r="M63" s="786">
        <v>0</v>
      </c>
      <c r="N63" s="786">
        <v>6833.4840000000004</v>
      </c>
      <c r="O63" s="786">
        <v>116169.228</v>
      </c>
      <c r="P63" s="786">
        <v>0</v>
      </c>
      <c r="Q63" s="786">
        <v>0</v>
      </c>
      <c r="R63" s="786">
        <v>0</v>
      </c>
      <c r="S63" s="786">
        <v>0</v>
      </c>
      <c r="T63" s="786">
        <v>0</v>
      </c>
      <c r="U63" s="822">
        <v>0</v>
      </c>
      <c r="V63" s="821">
        <v>0</v>
      </c>
      <c r="W63" s="821">
        <v>1060179.2655688878</v>
      </c>
      <c r="X63" s="821">
        <v>0</v>
      </c>
      <c r="Y63" s="821">
        <v>0</v>
      </c>
      <c r="Z63" s="821">
        <v>0</v>
      </c>
      <c r="AA63" s="821">
        <v>391789.33676696842</v>
      </c>
      <c r="AB63" s="823">
        <v>1451968.6023358563</v>
      </c>
    </row>
    <row r="64" spans="1:28">
      <c r="A64" s="696" t="str">
        <f t="shared" si="0"/>
        <v>National Grid</v>
      </c>
      <c r="B64" s="696" t="str">
        <f>'Lookups-Assumptions'!$D$4</f>
        <v>Gas</v>
      </c>
      <c r="C64" s="696" t="str">
        <f>'Lookups-Assumptions'!$D$6</f>
        <v>Evaluated</v>
      </c>
      <c r="D64" s="819">
        <f>'Inputs Yr 2'!$E$2</f>
        <v>2017</v>
      </c>
      <c r="E64" s="696" t="s">
        <v>1003</v>
      </c>
      <c r="F64" s="696" t="s">
        <v>32</v>
      </c>
      <c r="G64" s="696" t="s">
        <v>465</v>
      </c>
      <c r="H64" s="696" t="s">
        <v>910</v>
      </c>
      <c r="I64" s="696" t="s">
        <v>1318</v>
      </c>
      <c r="J64" s="820">
        <v>0</v>
      </c>
      <c r="K64" s="821">
        <v>0</v>
      </c>
      <c r="L64" s="786">
        <v>0</v>
      </c>
      <c r="M64" s="786">
        <v>0</v>
      </c>
      <c r="N64" s="786">
        <v>0</v>
      </c>
      <c r="O64" s="786">
        <v>0</v>
      </c>
      <c r="P64" s="786">
        <v>0</v>
      </c>
      <c r="Q64" s="786">
        <v>0</v>
      </c>
      <c r="R64" s="786">
        <v>0</v>
      </c>
      <c r="S64" s="786">
        <v>0</v>
      </c>
      <c r="T64" s="786">
        <v>0</v>
      </c>
      <c r="U64" s="822">
        <v>0</v>
      </c>
      <c r="V64" s="821">
        <v>0</v>
      </c>
      <c r="W64" s="821">
        <v>0</v>
      </c>
      <c r="X64" s="821">
        <v>0</v>
      </c>
      <c r="Y64" s="821">
        <v>0</v>
      </c>
      <c r="Z64" s="821">
        <v>0</v>
      </c>
      <c r="AA64" s="821">
        <v>0</v>
      </c>
      <c r="AB64" s="823">
        <v>0</v>
      </c>
    </row>
    <row r="65" spans="1:28">
      <c r="A65" s="696" t="str">
        <f t="shared" si="0"/>
        <v>National Grid</v>
      </c>
      <c r="B65" s="696" t="str">
        <f>'Lookups-Assumptions'!$D$4</f>
        <v>Gas</v>
      </c>
      <c r="C65" s="696" t="str">
        <f>'Lookups-Assumptions'!$D$6</f>
        <v>Evaluated</v>
      </c>
      <c r="D65" s="819">
        <f>'Inputs Yr 2'!$E$2</f>
        <v>2017</v>
      </c>
      <c r="E65" s="696" t="s">
        <v>1004</v>
      </c>
      <c r="F65" s="696" t="s">
        <v>32</v>
      </c>
      <c r="G65" s="696" t="s">
        <v>465</v>
      </c>
      <c r="H65" s="696" t="s">
        <v>910</v>
      </c>
      <c r="I65" s="696" t="s">
        <v>756</v>
      </c>
      <c r="J65" s="820">
        <v>54</v>
      </c>
      <c r="K65" s="821">
        <v>60912</v>
      </c>
      <c r="L65" s="786">
        <v>0</v>
      </c>
      <c r="M65" s="786">
        <v>0</v>
      </c>
      <c r="N65" s="786">
        <v>411.58799999999997</v>
      </c>
      <c r="O65" s="786">
        <v>7820.1719999999996</v>
      </c>
      <c r="P65" s="786">
        <v>0</v>
      </c>
      <c r="Q65" s="786">
        <v>0</v>
      </c>
      <c r="R65" s="786">
        <v>0</v>
      </c>
      <c r="S65" s="786">
        <v>0</v>
      </c>
      <c r="T65" s="786">
        <v>0</v>
      </c>
      <c r="U65" s="822">
        <v>0</v>
      </c>
      <c r="V65" s="821">
        <v>0</v>
      </c>
      <c r="W65" s="821">
        <v>59902.114641690023</v>
      </c>
      <c r="X65" s="821">
        <v>0</v>
      </c>
      <c r="Y65" s="821">
        <v>0</v>
      </c>
      <c r="Z65" s="821">
        <v>0</v>
      </c>
      <c r="AA65" s="821">
        <v>978.06388567101146</v>
      </c>
      <c r="AB65" s="823">
        <v>60880.178527361037</v>
      </c>
    </row>
    <row r="66" spans="1:28">
      <c r="A66" s="696" t="str">
        <f t="shared" si="0"/>
        <v>National Grid</v>
      </c>
      <c r="B66" s="696" t="str">
        <f>'Lookups-Assumptions'!$D$4</f>
        <v>Gas</v>
      </c>
      <c r="C66" s="696" t="str">
        <f>'Lookups-Assumptions'!$D$6</f>
        <v>Evaluated</v>
      </c>
      <c r="D66" s="819">
        <f>'Inputs Yr 2'!$E$2</f>
        <v>2017</v>
      </c>
      <c r="E66" s="696" t="s">
        <v>1005</v>
      </c>
      <c r="F66" s="696" t="s">
        <v>32</v>
      </c>
      <c r="G66" s="696" t="s">
        <v>465</v>
      </c>
      <c r="H66" s="696" t="s">
        <v>910</v>
      </c>
      <c r="I66" s="696" t="s">
        <v>757</v>
      </c>
      <c r="J66" s="820">
        <v>1659</v>
      </c>
      <c r="K66" s="821">
        <v>2639637.7118644067</v>
      </c>
      <c r="L66" s="786">
        <v>0</v>
      </c>
      <c r="M66" s="786">
        <v>0</v>
      </c>
      <c r="N66" s="786">
        <v>15714.048000000001</v>
      </c>
      <c r="O66" s="786">
        <v>298566.91200000001</v>
      </c>
      <c r="P66" s="786">
        <v>0</v>
      </c>
      <c r="Q66" s="786">
        <v>0</v>
      </c>
      <c r="R66" s="786">
        <v>0</v>
      </c>
      <c r="S66" s="786">
        <v>0</v>
      </c>
      <c r="T66" s="786">
        <v>0</v>
      </c>
      <c r="U66" s="822">
        <v>0</v>
      </c>
      <c r="V66" s="821">
        <v>0</v>
      </c>
      <c r="W66" s="821">
        <v>2287007.1643998856</v>
      </c>
      <c r="X66" s="821">
        <v>0</v>
      </c>
      <c r="Y66" s="821">
        <v>0</v>
      </c>
      <c r="Z66" s="821">
        <v>0</v>
      </c>
      <c r="AA66" s="821">
        <v>30048.296043114962</v>
      </c>
      <c r="AB66" s="823">
        <v>2317055.4604430003</v>
      </c>
    </row>
    <row r="67" spans="1:28">
      <c r="A67" s="696" t="str">
        <f t="shared" ref="A67:A130" si="1">PA</f>
        <v>National Grid</v>
      </c>
      <c r="B67" s="696" t="str">
        <f>'Lookups-Assumptions'!$D$4</f>
        <v>Gas</v>
      </c>
      <c r="C67" s="696" t="str">
        <f>'Lookups-Assumptions'!$D$6</f>
        <v>Evaluated</v>
      </c>
      <c r="D67" s="819">
        <f>'Inputs Yr 2'!$E$2</f>
        <v>2017</v>
      </c>
      <c r="E67" s="696" t="s">
        <v>1006</v>
      </c>
      <c r="F67" s="696" t="s">
        <v>32</v>
      </c>
      <c r="G67" s="696" t="s">
        <v>465</v>
      </c>
      <c r="H67" s="696" t="s">
        <v>910</v>
      </c>
      <c r="I67" s="696" t="s">
        <v>1319</v>
      </c>
      <c r="J67" s="820">
        <v>106</v>
      </c>
      <c r="K67" s="821">
        <v>23850</v>
      </c>
      <c r="L67" s="786">
        <v>0</v>
      </c>
      <c r="M67" s="786">
        <v>0</v>
      </c>
      <c r="N67" s="786">
        <v>477</v>
      </c>
      <c r="O67" s="786">
        <v>7155</v>
      </c>
      <c r="P67" s="786">
        <v>0</v>
      </c>
      <c r="Q67" s="786">
        <v>0</v>
      </c>
      <c r="R67" s="786">
        <v>0</v>
      </c>
      <c r="S67" s="786">
        <v>0</v>
      </c>
      <c r="T67" s="786">
        <v>0</v>
      </c>
      <c r="U67" s="822">
        <v>0</v>
      </c>
      <c r="V67" s="821">
        <v>0</v>
      </c>
      <c r="W67" s="821">
        <v>64998.956328061504</v>
      </c>
      <c r="X67" s="821">
        <v>0</v>
      </c>
      <c r="Y67" s="821">
        <v>0</v>
      </c>
      <c r="Z67" s="821">
        <v>0</v>
      </c>
      <c r="AA67" s="821">
        <v>0</v>
      </c>
      <c r="AB67" s="823">
        <v>64998.956328061504</v>
      </c>
    </row>
    <row r="68" spans="1:28">
      <c r="A68" s="696" t="str">
        <f t="shared" si="1"/>
        <v>National Grid</v>
      </c>
      <c r="B68" s="696" t="str">
        <f>'Lookups-Assumptions'!$D$4</f>
        <v>Gas</v>
      </c>
      <c r="C68" s="696" t="str">
        <f>'Lookups-Assumptions'!$D$6</f>
        <v>Evaluated</v>
      </c>
      <c r="D68" s="819">
        <f>'Inputs Yr 2'!$E$2</f>
        <v>2017</v>
      </c>
      <c r="E68" s="696" t="s">
        <v>1007</v>
      </c>
      <c r="F68" s="696" t="s">
        <v>32</v>
      </c>
      <c r="G68" s="696" t="s">
        <v>465</v>
      </c>
      <c r="H68" s="696" t="s">
        <v>910</v>
      </c>
      <c r="I68" s="696" t="s">
        <v>758</v>
      </c>
      <c r="J68" s="820">
        <v>26</v>
      </c>
      <c r="K68" s="821">
        <v>13000</v>
      </c>
      <c r="L68" s="786">
        <v>-3.4580000000000002</v>
      </c>
      <c r="M68" s="786">
        <v>-69.16</v>
      </c>
      <c r="N68" s="786">
        <v>200.20000000000002</v>
      </c>
      <c r="O68" s="786">
        <v>4004.0000000000005</v>
      </c>
      <c r="P68" s="786">
        <v>0</v>
      </c>
      <c r="Q68" s="786">
        <v>0</v>
      </c>
      <c r="R68" s="786">
        <v>0</v>
      </c>
      <c r="S68" s="786">
        <v>0</v>
      </c>
      <c r="T68" s="786">
        <v>0</v>
      </c>
      <c r="U68" s="822">
        <v>0</v>
      </c>
      <c r="V68" s="821">
        <v>-6223.924718293234</v>
      </c>
      <c r="W68" s="821">
        <v>36864.830029647186</v>
      </c>
      <c r="X68" s="821">
        <v>0</v>
      </c>
      <c r="Y68" s="821">
        <v>0</v>
      </c>
      <c r="Z68" s="821">
        <v>0</v>
      </c>
      <c r="AA68" s="821">
        <v>0</v>
      </c>
      <c r="AB68" s="823">
        <v>30640.905311353952</v>
      </c>
    </row>
    <row r="69" spans="1:28">
      <c r="A69" s="696" t="str">
        <f t="shared" si="1"/>
        <v>National Grid</v>
      </c>
      <c r="B69" s="696" t="str">
        <f>'Lookups-Assumptions'!$D$4</f>
        <v>Gas</v>
      </c>
      <c r="C69" s="696" t="str">
        <f>'Lookups-Assumptions'!$D$6</f>
        <v>Evaluated</v>
      </c>
      <c r="D69" s="819">
        <f>'Inputs Yr 2'!$E$2</f>
        <v>2017</v>
      </c>
      <c r="E69" s="696" t="s">
        <v>1008</v>
      </c>
      <c r="F69" s="696" t="s">
        <v>32</v>
      </c>
      <c r="G69" s="696" t="s">
        <v>465</v>
      </c>
      <c r="H69" s="696" t="s">
        <v>910</v>
      </c>
      <c r="I69" s="696" t="s">
        <v>1320</v>
      </c>
      <c r="J69" s="820">
        <v>25</v>
      </c>
      <c r="K69" s="821">
        <v>12500</v>
      </c>
      <c r="L69" s="786">
        <v>0</v>
      </c>
      <c r="M69" s="786">
        <v>0</v>
      </c>
      <c r="N69" s="786">
        <v>212.5</v>
      </c>
      <c r="O69" s="786">
        <v>3187.5</v>
      </c>
      <c r="P69" s="786">
        <v>0</v>
      </c>
      <c r="Q69" s="786">
        <v>0</v>
      </c>
      <c r="R69" s="786">
        <v>0</v>
      </c>
      <c r="S69" s="786">
        <v>0</v>
      </c>
      <c r="T69" s="786">
        <v>0</v>
      </c>
      <c r="U69" s="822">
        <v>0</v>
      </c>
      <c r="V69" s="821">
        <v>0</v>
      </c>
      <c r="W69" s="821">
        <v>27728.856709098032</v>
      </c>
      <c r="X69" s="821">
        <v>0</v>
      </c>
      <c r="Y69" s="821">
        <v>0</v>
      </c>
      <c r="Z69" s="821">
        <v>0</v>
      </c>
      <c r="AA69" s="821">
        <v>255.09541811581801</v>
      </c>
      <c r="AB69" s="823">
        <v>27983.952127213852</v>
      </c>
    </row>
    <row r="70" spans="1:28">
      <c r="A70" s="696" t="str">
        <f t="shared" si="1"/>
        <v>National Grid</v>
      </c>
      <c r="B70" s="696" t="str">
        <f>'Lookups-Assumptions'!$D$4</f>
        <v>Gas</v>
      </c>
      <c r="C70" s="696" t="str">
        <f>'Lookups-Assumptions'!$D$6</f>
        <v>Evaluated</v>
      </c>
      <c r="D70" s="819">
        <f>'Inputs Yr 2'!$E$2</f>
        <v>2017</v>
      </c>
      <c r="E70" s="696" t="s">
        <v>1009</v>
      </c>
      <c r="F70" s="696" t="s">
        <v>32</v>
      </c>
      <c r="G70" s="696" t="s">
        <v>465</v>
      </c>
      <c r="H70" s="696" t="s">
        <v>910</v>
      </c>
      <c r="I70" s="696" t="s">
        <v>1321</v>
      </c>
      <c r="J70" s="820">
        <v>285</v>
      </c>
      <c r="K70" s="821">
        <v>28500</v>
      </c>
      <c r="L70" s="786">
        <v>0</v>
      </c>
      <c r="M70" s="786">
        <v>0</v>
      </c>
      <c r="N70" s="786">
        <v>1026</v>
      </c>
      <c r="O70" s="786">
        <v>11286</v>
      </c>
      <c r="P70" s="786">
        <v>0</v>
      </c>
      <c r="Q70" s="786">
        <v>0</v>
      </c>
      <c r="R70" s="786">
        <v>0</v>
      </c>
      <c r="S70" s="786">
        <v>0</v>
      </c>
      <c r="T70" s="786">
        <v>0</v>
      </c>
      <c r="U70" s="822">
        <v>0</v>
      </c>
      <c r="V70" s="821">
        <v>0</v>
      </c>
      <c r="W70" s="821">
        <v>98103.788322998298</v>
      </c>
      <c r="X70" s="821">
        <v>0</v>
      </c>
      <c r="Y70" s="821">
        <v>0</v>
      </c>
      <c r="Z70" s="821">
        <v>0</v>
      </c>
      <c r="AA70" s="821">
        <v>3970.3486368446288</v>
      </c>
      <c r="AB70" s="823">
        <v>102074.13695984293</v>
      </c>
    </row>
    <row r="71" spans="1:28">
      <c r="A71" s="696" t="str">
        <f t="shared" si="1"/>
        <v>National Grid</v>
      </c>
      <c r="B71" s="696" t="str">
        <f>'Lookups-Assumptions'!$D$4</f>
        <v>Gas</v>
      </c>
      <c r="C71" s="696" t="str">
        <f>'Lookups-Assumptions'!$D$6</f>
        <v>Evaluated</v>
      </c>
      <c r="D71" s="819">
        <f>'Inputs Yr 2'!$E$2</f>
        <v>2017</v>
      </c>
      <c r="E71" s="696" t="s">
        <v>1010</v>
      </c>
      <c r="F71" s="696" t="s">
        <v>32</v>
      </c>
      <c r="G71" s="696" t="s">
        <v>465</v>
      </c>
      <c r="H71" s="696" t="s">
        <v>910</v>
      </c>
      <c r="I71" s="696" t="s">
        <v>1322</v>
      </c>
      <c r="J71" s="820">
        <v>140</v>
      </c>
      <c r="K71" s="821">
        <v>70000</v>
      </c>
      <c r="L71" s="786">
        <v>0</v>
      </c>
      <c r="M71" s="786">
        <v>0</v>
      </c>
      <c r="N71" s="786">
        <v>1158.08</v>
      </c>
      <c r="O71" s="786">
        <v>22003.519999999997</v>
      </c>
      <c r="P71" s="786">
        <v>0</v>
      </c>
      <c r="Q71" s="786">
        <v>0</v>
      </c>
      <c r="R71" s="786">
        <v>0</v>
      </c>
      <c r="S71" s="786">
        <v>0</v>
      </c>
      <c r="T71" s="786">
        <v>0</v>
      </c>
      <c r="U71" s="822">
        <v>0</v>
      </c>
      <c r="V71" s="821">
        <v>0</v>
      </c>
      <c r="W71" s="821">
        <v>193580.5178834823</v>
      </c>
      <c r="X71" s="821">
        <v>0</v>
      </c>
      <c r="Y71" s="821">
        <v>0</v>
      </c>
      <c r="Z71" s="821">
        <v>0</v>
      </c>
      <c r="AA71" s="821">
        <v>2751.6282573463955</v>
      </c>
      <c r="AB71" s="823">
        <v>196332.1461408287</v>
      </c>
    </row>
    <row r="72" spans="1:28">
      <c r="A72" s="696" t="str">
        <f t="shared" si="1"/>
        <v>National Grid</v>
      </c>
      <c r="B72" s="696" t="str">
        <f>'Lookups-Assumptions'!$D$4</f>
        <v>Gas</v>
      </c>
      <c r="C72" s="696" t="str">
        <f>'Lookups-Assumptions'!$D$6</f>
        <v>Evaluated</v>
      </c>
      <c r="D72" s="819">
        <f>'Inputs Yr 2'!$E$2</f>
        <v>2017</v>
      </c>
      <c r="E72" s="696" t="s">
        <v>1011</v>
      </c>
      <c r="F72" s="696" t="s">
        <v>32</v>
      </c>
      <c r="G72" s="696" t="s">
        <v>465</v>
      </c>
      <c r="H72" s="696" t="s">
        <v>910</v>
      </c>
      <c r="I72" s="696" t="s">
        <v>1323</v>
      </c>
      <c r="J72" s="820">
        <v>2235</v>
      </c>
      <c r="K72" s="821">
        <v>1732038.3303342962</v>
      </c>
      <c r="L72" s="786">
        <v>0</v>
      </c>
      <c r="M72" s="786">
        <v>0</v>
      </c>
      <c r="N72" s="786">
        <v>21462.704999999998</v>
      </c>
      <c r="O72" s="786">
        <v>407791.39499999996</v>
      </c>
      <c r="P72" s="786">
        <v>0</v>
      </c>
      <c r="Q72" s="786">
        <v>0</v>
      </c>
      <c r="R72" s="786">
        <v>0</v>
      </c>
      <c r="S72" s="786">
        <v>0</v>
      </c>
      <c r="T72" s="786">
        <v>0</v>
      </c>
      <c r="U72" s="822">
        <v>0</v>
      </c>
      <c r="V72" s="821">
        <v>0</v>
      </c>
      <c r="W72" s="821">
        <v>3587629.135362328</v>
      </c>
      <c r="X72" s="821">
        <v>0</v>
      </c>
      <c r="Y72" s="821">
        <v>0</v>
      </c>
      <c r="Z72" s="821">
        <v>0</v>
      </c>
      <c r="AA72" s="821">
        <v>48420.39351066653</v>
      </c>
      <c r="AB72" s="823">
        <v>3636049.5288729947</v>
      </c>
    </row>
    <row r="73" spans="1:28">
      <c r="A73" s="696" t="str">
        <f t="shared" si="1"/>
        <v>National Grid</v>
      </c>
      <c r="B73" s="696" t="str">
        <f>'Lookups-Assumptions'!$D$4</f>
        <v>Gas</v>
      </c>
      <c r="C73" s="696" t="str">
        <f>'Lookups-Assumptions'!$D$6</f>
        <v>Evaluated</v>
      </c>
      <c r="D73" s="819">
        <f>'Inputs Yr 2'!$E$2</f>
        <v>2017</v>
      </c>
      <c r="E73" s="696" t="s">
        <v>1012</v>
      </c>
      <c r="F73" s="696" t="s">
        <v>32</v>
      </c>
      <c r="G73" s="696" t="s">
        <v>465</v>
      </c>
      <c r="H73" s="696" t="s">
        <v>910</v>
      </c>
      <c r="I73" s="696" t="s">
        <v>1324</v>
      </c>
      <c r="J73" s="820">
        <v>1449</v>
      </c>
      <c r="K73" s="821">
        <v>579600</v>
      </c>
      <c r="L73" s="786">
        <v>0</v>
      </c>
      <c r="M73" s="786">
        <v>0</v>
      </c>
      <c r="N73" s="786">
        <v>3941.28</v>
      </c>
      <c r="O73" s="786">
        <v>78825.600000000006</v>
      </c>
      <c r="P73" s="786">
        <v>0</v>
      </c>
      <c r="Q73" s="786">
        <v>0</v>
      </c>
      <c r="R73" s="786">
        <v>0</v>
      </c>
      <c r="S73" s="786">
        <v>0</v>
      </c>
      <c r="T73" s="786">
        <v>0</v>
      </c>
      <c r="U73" s="822">
        <v>0</v>
      </c>
      <c r="V73" s="821">
        <v>0</v>
      </c>
      <c r="W73" s="821">
        <v>695863.04455631529</v>
      </c>
      <c r="X73" s="821">
        <v>0</v>
      </c>
      <c r="Y73" s="821">
        <v>0</v>
      </c>
      <c r="Z73" s="821">
        <v>0</v>
      </c>
      <c r="AA73" s="821">
        <v>6630.449346084758</v>
      </c>
      <c r="AB73" s="823">
        <v>702493.49390240002</v>
      </c>
    </row>
    <row r="74" spans="1:28">
      <c r="A74" s="696" t="str">
        <f t="shared" si="1"/>
        <v>National Grid</v>
      </c>
      <c r="B74" s="696" t="str">
        <f>'Lookups-Assumptions'!$D$4</f>
        <v>Gas</v>
      </c>
      <c r="C74" s="696" t="str">
        <f>'Lookups-Assumptions'!$D$6</f>
        <v>Evaluated</v>
      </c>
      <c r="D74" s="819">
        <f>'Inputs Yr 2'!$E$2</f>
        <v>2017</v>
      </c>
      <c r="E74" s="696" t="s">
        <v>1013</v>
      </c>
      <c r="F74" s="696" t="s">
        <v>32</v>
      </c>
      <c r="G74" s="696" t="s">
        <v>465</v>
      </c>
      <c r="H74" s="696" t="s">
        <v>910</v>
      </c>
      <c r="I74" s="696" t="s">
        <v>1309</v>
      </c>
      <c r="J74" s="820">
        <v>1355</v>
      </c>
      <c r="K74" s="821">
        <v>33677.176166097837</v>
      </c>
      <c r="L74" s="786">
        <v>0</v>
      </c>
      <c r="M74" s="786">
        <v>0</v>
      </c>
      <c r="N74" s="786">
        <v>1821.1200000000001</v>
      </c>
      <c r="O74" s="786">
        <v>27316.800000000003</v>
      </c>
      <c r="P74" s="786">
        <v>0</v>
      </c>
      <c r="Q74" s="786">
        <v>0</v>
      </c>
      <c r="R74" s="786">
        <v>0</v>
      </c>
      <c r="S74" s="786">
        <v>0</v>
      </c>
      <c r="T74" s="786">
        <v>0</v>
      </c>
      <c r="U74" s="822">
        <v>0</v>
      </c>
      <c r="V74" s="821">
        <v>0</v>
      </c>
      <c r="W74" s="821">
        <v>248157.02169425445</v>
      </c>
      <c r="X74" s="821">
        <v>0</v>
      </c>
      <c r="Y74" s="821">
        <v>0</v>
      </c>
      <c r="Z74" s="821">
        <v>0</v>
      </c>
      <c r="AA74" s="821">
        <v>34634.65306809944</v>
      </c>
      <c r="AB74" s="823">
        <v>282791.67476235388</v>
      </c>
    </row>
    <row r="75" spans="1:28">
      <c r="A75" s="696" t="str">
        <f t="shared" si="1"/>
        <v>National Grid</v>
      </c>
      <c r="B75" s="696" t="str">
        <f>'Lookups-Assumptions'!$D$4</f>
        <v>Gas</v>
      </c>
      <c r="C75" s="696" t="str">
        <f>'Lookups-Assumptions'!$D$6</f>
        <v>Evaluated</v>
      </c>
      <c r="D75" s="819">
        <f>'Inputs Yr 2'!$E$2</f>
        <v>2017</v>
      </c>
      <c r="E75" s="696" t="s">
        <v>1014</v>
      </c>
      <c r="F75" s="696" t="s">
        <v>32</v>
      </c>
      <c r="G75" s="696" t="s">
        <v>465</v>
      </c>
      <c r="H75" s="696" t="s">
        <v>910</v>
      </c>
      <c r="I75" s="696" t="s">
        <v>1385</v>
      </c>
      <c r="J75" s="820">
        <v>9355</v>
      </c>
      <c r="K75" s="821">
        <v>931293.73033069237</v>
      </c>
      <c r="L75" s="786">
        <v>0</v>
      </c>
      <c r="M75" s="786">
        <v>0</v>
      </c>
      <c r="N75" s="786">
        <v>61743</v>
      </c>
      <c r="O75" s="786">
        <v>926145</v>
      </c>
      <c r="P75" s="786">
        <v>0</v>
      </c>
      <c r="Q75" s="786">
        <v>0</v>
      </c>
      <c r="R75" s="786">
        <v>0</v>
      </c>
      <c r="S75" s="786">
        <v>0</v>
      </c>
      <c r="T75" s="786">
        <v>0</v>
      </c>
      <c r="U75" s="822">
        <v>0</v>
      </c>
      <c r="V75" s="821">
        <v>0</v>
      </c>
      <c r="W75" s="821">
        <v>8413481.2590429801</v>
      </c>
      <c r="X75" s="821">
        <v>0</v>
      </c>
      <c r="Y75" s="821">
        <v>0</v>
      </c>
      <c r="Z75" s="821">
        <v>0</v>
      </c>
      <c r="AA75" s="821">
        <v>569332.59436315275</v>
      </c>
      <c r="AB75" s="823">
        <v>8982813.8534061331</v>
      </c>
    </row>
    <row r="76" spans="1:28">
      <c r="A76" s="696" t="str">
        <f t="shared" si="1"/>
        <v>National Grid</v>
      </c>
      <c r="B76" s="696" t="str">
        <f>'Lookups-Assumptions'!$D$4</f>
        <v>Gas</v>
      </c>
      <c r="C76" s="696" t="str">
        <f>'Lookups-Assumptions'!$D$6</f>
        <v>Evaluated</v>
      </c>
      <c r="D76" s="819">
        <f>'Inputs Yr 2'!$E$2</f>
        <v>2017</v>
      </c>
      <c r="E76" s="696" t="s">
        <v>1015</v>
      </c>
      <c r="F76" s="696" t="s">
        <v>32</v>
      </c>
      <c r="G76" s="696" t="s">
        <v>465</v>
      </c>
      <c r="H76" s="696" t="s">
        <v>910</v>
      </c>
      <c r="I76" s="696" t="s">
        <v>1386</v>
      </c>
      <c r="J76" s="820">
        <v>12952</v>
      </c>
      <c r="K76" s="821">
        <v>1289578.5230593726</v>
      </c>
      <c r="L76" s="786">
        <v>1347.008</v>
      </c>
      <c r="M76" s="786">
        <v>20205.12</v>
      </c>
      <c r="N76" s="786">
        <v>85483.199999999997</v>
      </c>
      <c r="O76" s="786">
        <v>1282248</v>
      </c>
      <c r="P76" s="786">
        <v>0</v>
      </c>
      <c r="Q76" s="786">
        <v>0</v>
      </c>
      <c r="R76" s="786">
        <v>0</v>
      </c>
      <c r="S76" s="786">
        <v>0</v>
      </c>
      <c r="T76" s="786">
        <v>0</v>
      </c>
      <c r="U76" s="822">
        <v>0</v>
      </c>
      <c r="V76" s="821">
        <v>13946218.916297363</v>
      </c>
      <c r="W76" s="821">
        <v>11648467.051536577</v>
      </c>
      <c r="X76" s="821">
        <v>0</v>
      </c>
      <c r="Y76" s="821">
        <v>0</v>
      </c>
      <c r="Z76" s="821">
        <v>0</v>
      </c>
      <c r="AA76" s="821">
        <v>788241.12904238957</v>
      </c>
      <c r="AB76" s="823">
        <v>26382927.096876331</v>
      </c>
    </row>
    <row r="77" spans="1:28">
      <c r="A77" s="696" t="str">
        <f t="shared" si="1"/>
        <v>National Grid</v>
      </c>
      <c r="B77" s="696" t="str">
        <f>'Lookups-Assumptions'!$D$4</f>
        <v>Gas</v>
      </c>
      <c r="C77" s="696" t="str">
        <f>'Lookups-Assumptions'!$D$6</f>
        <v>Evaluated</v>
      </c>
      <c r="D77" s="819">
        <f>'Inputs Yr 2'!$E$2</f>
        <v>2017</v>
      </c>
      <c r="E77" s="696" t="s">
        <v>1016</v>
      </c>
      <c r="F77" s="696" t="s">
        <v>79</v>
      </c>
      <c r="G77" s="696" t="s">
        <v>872</v>
      </c>
      <c r="H77" s="696" t="s">
        <v>761</v>
      </c>
      <c r="I77" s="696" t="s">
        <v>762</v>
      </c>
      <c r="J77" s="820">
        <v>0</v>
      </c>
      <c r="K77" s="821">
        <v>0</v>
      </c>
      <c r="L77" s="786">
        <v>0</v>
      </c>
      <c r="M77" s="786">
        <v>0</v>
      </c>
      <c r="N77" s="786">
        <v>0</v>
      </c>
      <c r="O77" s="786">
        <v>0</v>
      </c>
      <c r="P77" s="786">
        <v>0</v>
      </c>
      <c r="Q77" s="786">
        <v>0</v>
      </c>
      <c r="R77" s="786">
        <v>0</v>
      </c>
      <c r="S77" s="786">
        <v>0</v>
      </c>
      <c r="T77" s="786">
        <v>0</v>
      </c>
      <c r="U77" s="822">
        <v>0</v>
      </c>
      <c r="V77" s="821">
        <v>0</v>
      </c>
      <c r="W77" s="821">
        <v>0</v>
      </c>
      <c r="X77" s="821">
        <v>0</v>
      </c>
      <c r="Y77" s="821">
        <v>0</v>
      </c>
      <c r="Z77" s="821">
        <v>0</v>
      </c>
      <c r="AA77" s="821">
        <v>0</v>
      </c>
      <c r="AB77" s="823">
        <v>0</v>
      </c>
    </row>
    <row r="78" spans="1:28">
      <c r="A78" s="696" t="str">
        <f t="shared" si="1"/>
        <v>National Grid</v>
      </c>
      <c r="B78" s="696" t="str">
        <f>'Lookups-Assumptions'!$D$4</f>
        <v>Gas</v>
      </c>
      <c r="C78" s="696" t="str">
        <f>'Lookups-Assumptions'!$D$6</f>
        <v>Evaluated</v>
      </c>
      <c r="D78" s="819">
        <f>'Inputs Yr 2'!$E$2</f>
        <v>2017</v>
      </c>
      <c r="E78" s="696" t="s">
        <v>1017</v>
      </c>
      <c r="F78" s="696" t="s">
        <v>79</v>
      </c>
      <c r="G78" s="696" t="s">
        <v>872</v>
      </c>
      <c r="H78" s="696" t="s">
        <v>761</v>
      </c>
      <c r="I78" s="696" t="s">
        <v>1325</v>
      </c>
      <c r="J78" s="820">
        <v>1115</v>
      </c>
      <c r="K78" s="821">
        <v>5286415.7</v>
      </c>
      <c r="L78" s="786">
        <v>383.56</v>
      </c>
      <c r="M78" s="786">
        <v>7671.2</v>
      </c>
      <c r="N78" s="786">
        <v>29324.5</v>
      </c>
      <c r="O78" s="786">
        <v>586490</v>
      </c>
      <c r="P78" s="786">
        <v>0</v>
      </c>
      <c r="Q78" s="786">
        <v>0</v>
      </c>
      <c r="R78" s="786">
        <v>0</v>
      </c>
      <c r="S78" s="786">
        <v>0</v>
      </c>
      <c r="T78" s="786">
        <v>0</v>
      </c>
      <c r="U78" s="822">
        <v>0</v>
      </c>
      <c r="V78" s="821">
        <v>2611282.0343045574</v>
      </c>
      <c r="W78" s="821">
        <v>5399813.7272946499</v>
      </c>
      <c r="X78" s="821">
        <v>0</v>
      </c>
      <c r="Y78" s="821">
        <v>0</v>
      </c>
      <c r="Z78" s="821">
        <v>0</v>
      </c>
      <c r="AA78" s="821">
        <v>12669467.060897589</v>
      </c>
      <c r="AB78" s="823">
        <v>20680562.822496794</v>
      </c>
    </row>
    <row r="79" spans="1:28">
      <c r="A79" s="696" t="str">
        <f t="shared" si="1"/>
        <v>National Grid</v>
      </c>
      <c r="B79" s="696" t="str">
        <f>'Lookups-Assumptions'!$D$4</f>
        <v>Gas</v>
      </c>
      <c r="C79" s="696" t="str">
        <f>'Lookups-Assumptions'!$D$6</f>
        <v>Evaluated</v>
      </c>
      <c r="D79" s="819">
        <f>'Inputs Yr 2'!$E$2</f>
        <v>2017</v>
      </c>
      <c r="E79" s="696" t="s">
        <v>1018</v>
      </c>
      <c r="F79" s="696" t="s">
        <v>79</v>
      </c>
      <c r="G79" s="696" t="s">
        <v>872</v>
      </c>
      <c r="H79" s="696" t="s">
        <v>761</v>
      </c>
      <c r="I79" s="696" t="s">
        <v>1298</v>
      </c>
      <c r="J79" s="820">
        <v>0</v>
      </c>
      <c r="K79" s="821">
        <v>0</v>
      </c>
      <c r="L79" s="786">
        <v>0</v>
      </c>
      <c r="M79" s="786">
        <v>0</v>
      </c>
      <c r="N79" s="786">
        <v>0</v>
      </c>
      <c r="O79" s="786">
        <v>0</v>
      </c>
      <c r="P79" s="786">
        <v>0</v>
      </c>
      <c r="Q79" s="786">
        <v>0</v>
      </c>
      <c r="R79" s="786">
        <v>0</v>
      </c>
      <c r="S79" s="786">
        <v>0</v>
      </c>
      <c r="T79" s="786">
        <v>0</v>
      </c>
      <c r="U79" s="822">
        <v>0</v>
      </c>
      <c r="V79" s="821">
        <v>0</v>
      </c>
      <c r="W79" s="821">
        <v>0</v>
      </c>
      <c r="X79" s="821">
        <v>0</v>
      </c>
      <c r="Y79" s="821">
        <v>0</v>
      </c>
      <c r="Z79" s="821">
        <v>0</v>
      </c>
      <c r="AA79" s="821">
        <v>0</v>
      </c>
      <c r="AB79" s="823">
        <v>0</v>
      </c>
    </row>
    <row r="80" spans="1:28">
      <c r="A80" s="696" t="str">
        <f t="shared" si="1"/>
        <v>National Grid</v>
      </c>
      <c r="B80" s="696" t="str">
        <f>'Lookups-Assumptions'!$D$4</f>
        <v>Gas</v>
      </c>
      <c r="C80" s="696" t="str">
        <f>'Lookups-Assumptions'!$D$6</f>
        <v>Evaluated</v>
      </c>
      <c r="D80" s="819">
        <f>'Inputs Yr 2'!$E$2</f>
        <v>2017</v>
      </c>
      <c r="E80" s="696" t="s">
        <v>1019</v>
      </c>
      <c r="F80" s="696" t="s">
        <v>79</v>
      </c>
      <c r="G80" s="696" t="s">
        <v>872</v>
      </c>
      <c r="H80" s="696" t="s">
        <v>761</v>
      </c>
      <c r="I80" s="696" t="s">
        <v>1299</v>
      </c>
      <c r="J80" s="820">
        <v>0</v>
      </c>
      <c r="K80" s="821">
        <v>0</v>
      </c>
      <c r="L80" s="786">
        <v>0</v>
      </c>
      <c r="M80" s="786">
        <v>0</v>
      </c>
      <c r="N80" s="786">
        <v>0</v>
      </c>
      <c r="O80" s="786">
        <v>0</v>
      </c>
      <c r="P80" s="786">
        <v>0</v>
      </c>
      <c r="Q80" s="786">
        <v>0</v>
      </c>
      <c r="R80" s="786">
        <v>0</v>
      </c>
      <c r="S80" s="786">
        <v>0</v>
      </c>
      <c r="T80" s="786">
        <v>0</v>
      </c>
      <c r="U80" s="822">
        <v>0</v>
      </c>
      <c r="V80" s="821">
        <v>0</v>
      </c>
      <c r="W80" s="821">
        <v>0</v>
      </c>
      <c r="X80" s="821">
        <v>0</v>
      </c>
      <c r="Y80" s="821">
        <v>0</v>
      </c>
      <c r="Z80" s="821">
        <v>0</v>
      </c>
      <c r="AA80" s="821">
        <v>0</v>
      </c>
      <c r="AB80" s="823">
        <v>0</v>
      </c>
    </row>
    <row r="81" spans="1:28">
      <c r="A81" s="696" t="str">
        <f t="shared" si="1"/>
        <v>National Grid</v>
      </c>
      <c r="B81" s="696" t="str">
        <f>'Lookups-Assumptions'!$D$4</f>
        <v>Gas</v>
      </c>
      <c r="C81" s="696" t="str">
        <f>'Lookups-Assumptions'!$D$6</f>
        <v>Evaluated</v>
      </c>
      <c r="D81" s="819">
        <f>'Inputs Yr 2'!$E$2</f>
        <v>2017</v>
      </c>
      <c r="E81" s="696" t="s">
        <v>1020</v>
      </c>
      <c r="F81" s="696" t="s">
        <v>79</v>
      </c>
      <c r="G81" s="696" t="s">
        <v>872</v>
      </c>
      <c r="H81" s="696" t="s">
        <v>761</v>
      </c>
      <c r="I81" s="696" t="s">
        <v>1326</v>
      </c>
      <c r="J81" s="820">
        <v>357</v>
      </c>
      <c r="K81" s="821">
        <v>1692601.26</v>
      </c>
      <c r="L81" s="786">
        <v>0</v>
      </c>
      <c r="M81" s="786">
        <v>0</v>
      </c>
      <c r="N81" s="786">
        <v>6925.7999999999993</v>
      </c>
      <c r="O81" s="786">
        <v>138516</v>
      </c>
      <c r="P81" s="786">
        <v>0</v>
      </c>
      <c r="Q81" s="786">
        <v>0</v>
      </c>
      <c r="R81" s="786">
        <v>0</v>
      </c>
      <c r="S81" s="786">
        <v>0</v>
      </c>
      <c r="T81" s="786">
        <v>0</v>
      </c>
      <c r="U81" s="822">
        <v>0</v>
      </c>
      <c r="V81" s="821">
        <v>0</v>
      </c>
      <c r="W81" s="821">
        <v>1275316.8822144377</v>
      </c>
      <c r="X81" s="821">
        <v>0</v>
      </c>
      <c r="Y81" s="821">
        <v>0</v>
      </c>
      <c r="Z81" s="821">
        <v>0</v>
      </c>
      <c r="AA81" s="821">
        <v>2302276.8290987643</v>
      </c>
      <c r="AB81" s="823">
        <v>3577593.711313202</v>
      </c>
    </row>
    <row r="82" spans="1:28">
      <c r="A82" s="696" t="str">
        <f t="shared" si="1"/>
        <v>National Grid</v>
      </c>
      <c r="B82" s="696" t="str">
        <f>'Lookups-Assumptions'!$D$4</f>
        <v>Gas</v>
      </c>
      <c r="C82" s="696" t="str">
        <f>'Lookups-Assumptions'!$D$6</f>
        <v>Evaluated</v>
      </c>
      <c r="D82" s="819">
        <f>'Inputs Yr 2'!$E$2</f>
        <v>2017</v>
      </c>
      <c r="E82" s="696" t="s">
        <v>1021</v>
      </c>
      <c r="F82" s="696" t="s">
        <v>79</v>
      </c>
      <c r="G82" s="696" t="s">
        <v>872</v>
      </c>
      <c r="H82" s="696" t="s">
        <v>761</v>
      </c>
      <c r="I82" s="696" t="s">
        <v>1327</v>
      </c>
      <c r="J82" s="820">
        <v>153</v>
      </c>
      <c r="K82" s="821">
        <v>608791.59000000008</v>
      </c>
      <c r="L82" s="786">
        <v>26.315999999999999</v>
      </c>
      <c r="M82" s="786">
        <v>473.68799999999999</v>
      </c>
      <c r="N82" s="786">
        <v>3167.1</v>
      </c>
      <c r="O82" s="786">
        <v>57007.799999999996</v>
      </c>
      <c r="P82" s="786">
        <v>0</v>
      </c>
      <c r="Q82" s="786">
        <v>0</v>
      </c>
      <c r="R82" s="786">
        <v>0</v>
      </c>
      <c r="S82" s="786">
        <v>0</v>
      </c>
      <c r="T82" s="786">
        <v>0</v>
      </c>
      <c r="U82" s="822">
        <v>0</v>
      </c>
      <c r="V82" s="821">
        <v>41488.422929480163</v>
      </c>
      <c r="W82" s="821">
        <v>521680.40370752267</v>
      </c>
      <c r="X82" s="821">
        <v>0</v>
      </c>
      <c r="Y82" s="821">
        <v>0</v>
      </c>
      <c r="Z82" s="821">
        <v>0</v>
      </c>
      <c r="AA82" s="821">
        <v>896717.77113999124</v>
      </c>
      <c r="AB82" s="823">
        <v>1459886.5977769941</v>
      </c>
    </row>
    <row r="83" spans="1:28">
      <c r="A83" s="696" t="str">
        <f t="shared" si="1"/>
        <v>National Grid</v>
      </c>
      <c r="B83" s="696" t="str">
        <f>'Lookups-Assumptions'!$D$4</f>
        <v>Gas</v>
      </c>
      <c r="C83" s="696" t="str">
        <f>'Lookups-Assumptions'!$D$6</f>
        <v>Evaluated</v>
      </c>
      <c r="D83" s="819">
        <f>'Inputs Yr 2'!$E$2</f>
        <v>2017</v>
      </c>
      <c r="E83" s="696" t="s">
        <v>1022</v>
      </c>
      <c r="F83" s="696" t="s">
        <v>79</v>
      </c>
      <c r="G83" s="696" t="s">
        <v>872</v>
      </c>
      <c r="H83" s="696" t="s">
        <v>761</v>
      </c>
      <c r="I83" s="696" t="s">
        <v>1301</v>
      </c>
      <c r="J83" s="820">
        <v>0</v>
      </c>
      <c r="K83" s="821">
        <v>0</v>
      </c>
      <c r="L83" s="786">
        <v>0</v>
      </c>
      <c r="M83" s="786">
        <v>0</v>
      </c>
      <c r="N83" s="786">
        <v>0</v>
      </c>
      <c r="O83" s="786">
        <v>0</v>
      </c>
      <c r="P83" s="786">
        <v>0</v>
      </c>
      <c r="Q83" s="786">
        <v>0</v>
      </c>
      <c r="R83" s="786">
        <v>0</v>
      </c>
      <c r="S83" s="786">
        <v>0</v>
      </c>
      <c r="T83" s="786">
        <v>0</v>
      </c>
      <c r="U83" s="822">
        <v>0</v>
      </c>
      <c r="V83" s="821">
        <v>0</v>
      </c>
      <c r="W83" s="821">
        <v>0</v>
      </c>
      <c r="X83" s="821">
        <v>0</v>
      </c>
      <c r="Y83" s="821">
        <v>0</v>
      </c>
      <c r="Z83" s="821">
        <v>0</v>
      </c>
      <c r="AA83" s="821">
        <v>0</v>
      </c>
      <c r="AB83" s="823">
        <v>0</v>
      </c>
    </row>
    <row r="84" spans="1:28">
      <c r="A84" s="696" t="str">
        <f t="shared" si="1"/>
        <v>National Grid</v>
      </c>
      <c r="B84" s="696" t="str">
        <f>'Lookups-Assumptions'!$D$4</f>
        <v>Gas</v>
      </c>
      <c r="C84" s="696" t="str">
        <f>'Lookups-Assumptions'!$D$6</f>
        <v>Evaluated</v>
      </c>
      <c r="D84" s="819">
        <f>'Inputs Yr 2'!$E$2</f>
        <v>2017</v>
      </c>
      <c r="E84" s="696" t="s">
        <v>1023</v>
      </c>
      <c r="F84" s="696" t="s">
        <v>79</v>
      </c>
      <c r="G84" s="696" t="s">
        <v>872</v>
      </c>
      <c r="H84" s="696" t="s">
        <v>761</v>
      </c>
      <c r="I84" s="696" t="s">
        <v>1312</v>
      </c>
      <c r="J84" s="820">
        <v>0</v>
      </c>
      <c r="K84" s="821">
        <v>0</v>
      </c>
      <c r="L84" s="786">
        <v>0</v>
      </c>
      <c r="M84" s="786">
        <v>0</v>
      </c>
      <c r="N84" s="786">
        <v>0</v>
      </c>
      <c r="O84" s="786">
        <v>0</v>
      </c>
      <c r="P84" s="786">
        <v>0</v>
      </c>
      <c r="Q84" s="786">
        <v>0</v>
      </c>
      <c r="R84" s="786">
        <v>0</v>
      </c>
      <c r="S84" s="786">
        <v>0</v>
      </c>
      <c r="T84" s="786">
        <v>0</v>
      </c>
      <c r="U84" s="822">
        <v>0</v>
      </c>
      <c r="V84" s="821">
        <v>0</v>
      </c>
      <c r="W84" s="821">
        <v>0</v>
      </c>
      <c r="X84" s="821">
        <v>0</v>
      </c>
      <c r="Y84" s="821">
        <v>0</v>
      </c>
      <c r="Z84" s="821">
        <v>0</v>
      </c>
      <c r="AA84" s="821">
        <v>0</v>
      </c>
      <c r="AB84" s="823">
        <v>0</v>
      </c>
    </row>
    <row r="85" spans="1:28">
      <c r="A85" s="696" t="str">
        <f t="shared" si="1"/>
        <v>National Grid</v>
      </c>
      <c r="B85" s="696" t="str">
        <f>'Lookups-Assumptions'!$D$4</f>
        <v>Gas</v>
      </c>
      <c r="C85" s="696" t="str">
        <f>'Lookups-Assumptions'!$D$6</f>
        <v>Evaluated</v>
      </c>
      <c r="D85" s="819">
        <f>'Inputs Yr 2'!$E$2</f>
        <v>2017</v>
      </c>
      <c r="E85" s="696" t="s">
        <v>1024</v>
      </c>
      <c r="F85" s="696" t="s">
        <v>79</v>
      </c>
      <c r="G85" s="696" t="s">
        <v>872</v>
      </c>
      <c r="H85" s="696" t="s">
        <v>761</v>
      </c>
      <c r="I85" s="696" t="s">
        <v>1302</v>
      </c>
      <c r="J85" s="820">
        <v>0</v>
      </c>
      <c r="K85" s="821">
        <v>0</v>
      </c>
      <c r="L85" s="786">
        <v>0</v>
      </c>
      <c r="M85" s="786">
        <v>0</v>
      </c>
      <c r="N85" s="786">
        <v>0</v>
      </c>
      <c r="O85" s="786">
        <v>0</v>
      </c>
      <c r="P85" s="786">
        <v>0</v>
      </c>
      <c r="Q85" s="786">
        <v>0</v>
      </c>
      <c r="R85" s="786">
        <v>0</v>
      </c>
      <c r="S85" s="786">
        <v>0</v>
      </c>
      <c r="T85" s="786">
        <v>0</v>
      </c>
      <c r="U85" s="822">
        <v>0</v>
      </c>
      <c r="V85" s="821">
        <v>0</v>
      </c>
      <c r="W85" s="821">
        <v>0</v>
      </c>
      <c r="X85" s="821">
        <v>0</v>
      </c>
      <c r="Y85" s="821">
        <v>0</v>
      </c>
      <c r="Z85" s="821">
        <v>0</v>
      </c>
      <c r="AA85" s="821">
        <v>0</v>
      </c>
      <c r="AB85" s="823">
        <v>0</v>
      </c>
    </row>
    <row r="86" spans="1:28">
      <c r="A86" s="696" t="str">
        <f t="shared" si="1"/>
        <v>National Grid</v>
      </c>
      <c r="B86" s="696" t="str">
        <f>'Lookups-Assumptions'!$D$4</f>
        <v>Gas</v>
      </c>
      <c r="C86" s="696" t="str">
        <f>'Lookups-Assumptions'!$D$6</f>
        <v>Evaluated</v>
      </c>
      <c r="D86" s="819">
        <f>'Inputs Yr 2'!$E$2</f>
        <v>2017</v>
      </c>
      <c r="E86" s="696" t="s">
        <v>1025</v>
      </c>
      <c r="F86" s="696" t="s">
        <v>79</v>
      </c>
      <c r="G86" s="696" t="s">
        <v>872</v>
      </c>
      <c r="H86" s="696" t="s">
        <v>761</v>
      </c>
      <c r="I86" s="696" t="s">
        <v>1304</v>
      </c>
      <c r="J86" s="820">
        <v>0</v>
      </c>
      <c r="K86" s="821">
        <v>0</v>
      </c>
      <c r="L86" s="786">
        <v>0</v>
      </c>
      <c r="M86" s="786">
        <v>0</v>
      </c>
      <c r="N86" s="786">
        <v>0</v>
      </c>
      <c r="O86" s="786">
        <v>0</v>
      </c>
      <c r="P86" s="786">
        <v>0</v>
      </c>
      <c r="Q86" s="786">
        <v>0</v>
      </c>
      <c r="R86" s="786">
        <v>0</v>
      </c>
      <c r="S86" s="786">
        <v>0</v>
      </c>
      <c r="T86" s="786">
        <v>0</v>
      </c>
      <c r="U86" s="822">
        <v>0</v>
      </c>
      <c r="V86" s="821">
        <v>0</v>
      </c>
      <c r="W86" s="821">
        <v>0</v>
      </c>
      <c r="X86" s="821">
        <v>0</v>
      </c>
      <c r="Y86" s="821">
        <v>0</v>
      </c>
      <c r="Z86" s="821">
        <v>0</v>
      </c>
      <c r="AA86" s="821">
        <v>0</v>
      </c>
      <c r="AB86" s="823">
        <v>0</v>
      </c>
    </row>
    <row r="87" spans="1:28">
      <c r="A87" s="696" t="str">
        <f t="shared" si="1"/>
        <v>National Grid</v>
      </c>
      <c r="B87" s="696" t="str">
        <f>'Lookups-Assumptions'!$D$4</f>
        <v>Gas</v>
      </c>
      <c r="C87" s="696" t="str">
        <f>'Lookups-Assumptions'!$D$6</f>
        <v>Evaluated</v>
      </c>
      <c r="D87" s="819">
        <f>'Inputs Yr 2'!$E$2</f>
        <v>2017</v>
      </c>
      <c r="E87" s="696" t="s">
        <v>1026</v>
      </c>
      <c r="F87" s="696" t="s">
        <v>79</v>
      </c>
      <c r="G87" s="696" t="s">
        <v>872</v>
      </c>
      <c r="H87" s="696" t="s">
        <v>761</v>
      </c>
      <c r="I87" s="696" t="s">
        <v>1394</v>
      </c>
      <c r="J87" s="820">
        <v>0</v>
      </c>
      <c r="K87" s="821">
        <v>0</v>
      </c>
      <c r="L87" s="786">
        <v>0</v>
      </c>
      <c r="M87" s="786">
        <v>0</v>
      </c>
      <c r="N87" s="786">
        <v>0</v>
      </c>
      <c r="O87" s="786">
        <v>0</v>
      </c>
      <c r="P87" s="786">
        <v>0</v>
      </c>
      <c r="Q87" s="786">
        <v>0</v>
      </c>
      <c r="R87" s="786">
        <v>0</v>
      </c>
      <c r="S87" s="786">
        <v>0</v>
      </c>
      <c r="T87" s="786">
        <v>0</v>
      </c>
      <c r="U87" s="822">
        <v>0</v>
      </c>
      <c r="V87" s="821">
        <v>0</v>
      </c>
      <c r="W87" s="821">
        <v>0</v>
      </c>
      <c r="X87" s="821">
        <v>0</v>
      </c>
      <c r="Y87" s="821">
        <v>0</v>
      </c>
      <c r="Z87" s="821">
        <v>0</v>
      </c>
      <c r="AA87" s="821">
        <v>0</v>
      </c>
      <c r="AB87" s="823">
        <v>0</v>
      </c>
    </row>
    <row r="88" spans="1:28">
      <c r="A88" s="696" t="str">
        <f t="shared" si="1"/>
        <v>National Grid</v>
      </c>
      <c r="B88" s="696" t="str">
        <f>'Lookups-Assumptions'!$D$4</f>
        <v>Gas</v>
      </c>
      <c r="C88" s="696" t="str">
        <f>'Lookups-Assumptions'!$D$6</f>
        <v>Evaluated</v>
      </c>
      <c r="D88" s="819">
        <f>'Inputs Yr 2'!$E$2</f>
        <v>2017</v>
      </c>
      <c r="E88" s="696" t="s">
        <v>1027</v>
      </c>
      <c r="F88" s="696" t="s">
        <v>79</v>
      </c>
      <c r="G88" s="696" t="s">
        <v>872</v>
      </c>
      <c r="H88" s="696" t="s">
        <v>761</v>
      </c>
      <c r="I88" s="696" t="s">
        <v>759</v>
      </c>
      <c r="J88" s="820">
        <v>0</v>
      </c>
      <c r="K88" s="821">
        <v>0</v>
      </c>
      <c r="L88" s="786">
        <v>0</v>
      </c>
      <c r="M88" s="786">
        <v>0</v>
      </c>
      <c r="N88" s="786">
        <v>0</v>
      </c>
      <c r="O88" s="786">
        <v>0</v>
      </c>
      <c r="P88" s="786">
        <v>0</v>
      </c>
      <c r="Q88" s="786">
        <v>0</v>
      </c>
      <c r="R88" s="786">
        <v>0</v>
      </c>
      <c r="S88" s="786">
        <v>0</v>
      </c>
      <c r="T88" s="786">
        <v>0</v>
      </c>
      <c r="U88" s="822">
        <v>0</v>
      </c>
      <c r="V88" s="821">
        <v>0</v>
      </c>
      <c r="W88" s="821">
        <v>0</v>
      </c>
      <c r="X88" s="821">
        <v>0</v>
      </c>
      <c r="Y88" s="821">
        <v>0</v>
      </c>
      <c r="Z88" s="821">
        <v>0</v>
      </c>
      <c r="AA88" s="821">
        <v>0</v>
      </c>
      <c r="AB88" s="823">
        <v>0</v>
      </c>
    </row>
    <row r="89" spans="1:28">
      <c r="A89" s="696" t="str">
        <f t="shared" si="1"/>
        <v>National Grid</v>
      </c>
      <c r="B89" s="696" t="str">
        <f>'Lookups-Assumptions'!$D$4</f>
        <v>Gas</v>
      </c>
      <c r="C89" s="696" t="str">
        <f>'Lookups-Assumptions'!$D$6</f>
        <v>Evaluated</v>
      </c>
      <c r="D89" s="819">
        <f>'Inputs Yr 2'!$E$2</f>
        <v>2017</v>
      </c>
      <c r="E89" s="696" t="s">
        <v>1028</v>
      </c>
      <c r="F89" s="696" t="s">
        <v>79</v>
      </c>
      <c r="G89" s="696" t="s">
        <v>872</v>
      </c>
      <c r="H89" s="696" t="s">
        <v>761</v>
      </c>
      <c r="I89" s="696" t="s">
        <v>760</v>
      </c>
      <c r="J89" s="820">
        <v>0</v>
      </c>
      <c r="K89" s="821">
        <v>0</v>
      </c>
      <c r="L89" s="786">
        <v>0</v>
      </c>
      <c r="M89" s="786">
        <v>0</v>
      </c>
      <c r="N89" s="786">
        <v>0</v>
      </c>
      <c r="O89" s="786">
        <v>0</v>
      </c>
      <c r="P89" s="786">
        <v>0</v>
      </c>
      <c r="Q89" s="786">
        <v>0</v>
      </c>
      <c r="R89" s="786">
        <v>0</v>
      </c>
      <c r="S89" s="786">
        <v>0</v>
      </c>
      <c r="T89" s="786">
        <v>0</v>
      </c>
      <c r="U89" s="822">
        <v>0</v>
      </c>
      <c r="V89" s="821">
        <v>0</v>
      </c>
      <c r="W89" s="821">
        <v>0</v>
      </c>
      <c r="X89" s="821">
        <v>0</v>
      </c>
      <c r="Y89" s="821">
        <v>0</v>
      </c>
      <c r="Z89" s="821">
        <v>0</v>
      </c>
      <c r="AA89" s="821">
        <v>0</v>
      </c>
      <c r="AB89" s="823">
        <v>0</v>
      </c>
    </row>
    <row r="90" spans="1:28">
      <c r="A90" s="696" t="str">
        <f t="shared" si="1"/>
        <v>National Grid</v>
      </c>
      <c r="B90" s="696" t="str">
        <f>'Lookups-Assumptions'!$D$4</f>
        <v>Gas</v>
      </c>
      <c r="C90" s="696" t="str">
        <f>'Lookups-Assumptions'!$D$6</f>
        <v>Evaluated</v>
      </c>
      <c r="D90" s="819">
        <f>'Inputs Yr 2'!$E$2</f>
        <v>2017</v>
      </c>
      <c r="E90" s="696" t="s">
        <v>1029</v>
      </c>
      <c r="F90" s="696" t="s">
        <v>79</v>
      </c>
      <c r="G90" s="696" t="s">
        <v>872</v>
      </c>
      <c r="H90" s="696" t="s">
        <v>765</v>
      </c>
      <c r="I90" s="696" t="s">
        <v>660</v>
      </c>
      <c r="J90" s="820">
        <v>0</v>
      </c>
      <c r="K90" s="821">
        <v>0</v>
      </c>
      <c r="L90" s="786">
        <v>0</v>
      </c>
      <c r="M90" s="786">
        <v>0</v>
      </c>
      <c r="N90" s="786">
        <v>0</v>
      </c>
      <c r="O90" s="786">
        <v>0</v>
      </c>
      <c r="P90" s="786">
        <v>0</v>
      </c>
      <c r="Q90" s="786">
        <v>0</v>
      </c>
      <c r="R90" s="786">
        <v>0</v>
      </c>
      <c r="S90" s="786">
        <v>0</v>
      </c>
      <c r="T90" s="786">
        <v>0</v>
      </c>
      <c r="U90" s="822">
        <v>0</v>
      </c>
      <c r="V90" s="821">
        <v>0</v>
      </c>
      <c r="W90" s="821">
        <v>0</v>
      </c>
      <c r="X90" s="821">
        <v>0</v>
      </c>
      <c r="Y90" s="821">
        <v>0</v>
      </c>
      <c r="Z90" s="821">
        <v>0</v>
      </c>
      <c r="AA90" s="821">
        <v>202778.52167617893</v>
      </c>
      <c r="AB90" s="823">
        <v>202778.52167617893</v>
      </c>
    </row>
    <row r="91" spans="1:28">
      <c r="A91" s="696" t="str">
        <f t="shared" si="1"/>
        <v>National Grid</v>
      </c>
      <c r="B91" s="696" t="str">
        <f>'Lookups-Assumptions'!$D$4</f>
        <v>Gas</v>
      </c>
      <c r="C91" s="696" t="str">
        <f>'Lookups-Assumptions'!$D$6</f>
        <v>Evaluated</v>
      </c>
      <c r="D91" s="819">
        <f>'Inputs Yr 2'!$E$2</f>
        <v>2017</v>
      </c>
      <c r="E91" s="696" t="s">
        <v>1030</v>
      </c>
      <c r="F91" s="696" t="s">
        <v>79</v>
      </c>
      <c r="G91" s="696" t="s">
        <v>872</v>
      </c>
      <c r="H91" s="696" t="s">
        <v>765</v>
      </c>
      <c r="I91" s="696" t="s">
        <v>1298</v>
      </c>
      <c r="J91" s="820">
        <v>3492</v>
      </c>
      <c r="K91" s="821">
        <v>710219.35000000009</v>
      </c>
      <c r="L91" s="786">
        <v>0</v>
      </c>
      <c r="M91" s="786">
        <v>0</v>
      </c>
      <c r="N91" s="786">
        <v>10513.832315</v>
      </c>
      <c r="O91" s="786">
        <v>157707.48472499999</v>
      </c>
      <c r="P91" s="786">
        <v>0</v>
      </c>
      <c r="Q91" s="786">
        <v>0</v>
      </c>
      <c r="R91" s="786">
        <v>0</v>
      </c>
      <c r="S91" s="786">
        <v>0</v>
      </c>
      <c r="T91" s="786">
        <v>0</v>
      </c>
      <c r="U91" s="822">
        <v>0</v>
      </c>
      <c r="V91" s="821">
        <v>0</v>
      </c>
      <c r="W91" s="821">
        <v>1432679.5125434941</v>
      </c>
      <c r="X91" s="821">
        <v>0</v>
      </c>
      <c r="Y91" s="821">
        <v>0</v>
      </c>
      <c r="Z91" s="821">
        <v>0</v>
      </c>
      <c r="AA91" s="821">
        <v>3068033.7809104435</v>
      </c>
      <c r="AB91" s="823">
        <v>4500713.2934539374</v>
      </c>
    </row>
    <row r="92" spans="1:28">
      <c r="A92" s="696" t="str">
        <f t="shared" si="1"/>
        <v>National Grid</v>
      </c>
      <c r="B92" s="696" t="str">
        <f>'Lookups-Assumptions'!$D$4</f>
        <v>Gas</v>
      </c>
      <c r="C92" s="696" t="str">
        <f>'Lookups-Assumptions'!$D$6</f>
        <v>Evaluated</v>
      </c>
      <c r="D92" s="819">
        <f>'Inputs Yr 2'!$E$2</f>
        <v>2017</v>
      </c>
      <c r="E92" s="696" t="s">
        <v>1031</v>
      </c>
      <c r="F92" s="696" t="s">
        <v>79</v>
      </c>
      <c r="G92" s="696" t="s">
        <v>872</v>
      </c>
      <c r="H92" s="696" t="s">
        <v>765</v>
      </c>
      <c r="I92" s="696" t="s">
        <v>1299</v>
      </c>
      <c r="J92" s="820">
        <v>1992</v>
      </c>
      <c r="K92" s="821">
        <v>2303976.9600000009</v>
      </c>
      <c r="L92" s="786">
        <v>0</v>
      </c>
      <c r="M92" s="786">
        <v>0</v>
      </c>
      <c r="N92" s="786">
        <v>17678.327802</v>
      </c>
      <c r="O92" s="786">
        <v>441958.19504999998</v>
      </c>
      <c r="P92" s="786">
        <v>0</v>
      </c>
      <c r="Q92" s="786">
        <v>0</v>
      </c>
      <c r="R92" s="786">
        <v>0</v>
      </c>
      <c r="S92" s="786">
        <v>0</v>
      </c>
      <c r="T92" s="786">
        <v>0</v>
      </c>
      <c r="U92" s="822">
        <v>0</v>
      </c>
      <c r="V92" s="821">
        <v>0</v>
      </c>
      <c r="W92" s="821">
        <v>4142604.587844722</v>
      </c>
      <c r="X92" s="821">
        <v>0</v>
      </c>
      <c r="Y92" s="821">
        <v>0</v>
      </c>
      <c r="Z92" s="821">
        <v>0</v>
      </c>
      <c r="AA92" s="821">
        <v>3049054.4189533144</v>
      </c>
      <c r="AB92" s="823">
        <v>7191659.0067980364</v>
      </c>
    </row>
    <row r="93" spans="1:28">
      <c r="A93" s="696" t="str">
        <f t="shared" si="1"/>
        <v>National Grid</v>
      </c>
      <c r="B93" s="696" t="str">
        <f>'Lookups-Assumptions'!$D$4</f>
        <v>Gas</v>
      </c>
      <c r="C93" s="696" t="str">
        <f>'Lookups-Assumptions'!$D$6</f>
        <v>Evaluated</v>
      </c>
      <c r="D93" s="819">
        <f>'Inputs Yr 2'!$E$2</f>
        <v>2017</v>
      </c>
      <c r="E93" s="696" t="s">
        <v>1032</v>
      </c>
      <c r="F93" s="696" t="s">
        <v>79</v>
      </c>
      <c r="G93" s="696" t="s">
        <v>872</v>
      </c>
      <c r="H93" s="696" t="s">
        <v>765</v>
      </c>
      <c r="I93" s="696" t="s">
        <v>1326</v>
      </c>
      <c r="J93" s="820">
        <v>420</v>
      </c>
      <c r="K93" s="821">
        <v>0</v>
      </c>
      <c r="L93" s="786">
        <v>0</v>
      </c>
      <c r="M93" s="786">
        <v>0</v>
      </c>
      <c r="N93" s="786">
        <v>0</v>
      </c>
      <c r="O93" s="786">
        <v>0</v>
      </c>
      <c r="P93" s="786">
        <v>0</v>
      </c>
      <c r="Q93" s="786">
        <v>0</v>
      </c>
      <c r="R93" s="786">
        <v>0</v>
      </c>
      <c r="S93" s="786">
        <v>0</v>
      </c>
      <c r="T93" s="786">
        <v>0</v>
      </c>
      <c r="U93" s="822">
        <v>0</v>
      </c>
      <c r="V93" s="821">
        <v>0</v>
      </c>
      <c r="W93" s="821">
        <v>0</v>
      </c>
      <c r="X93" s="821">
        <v>0</v>
      </c>
      <c r="Y93" s="821">
        <v>0</v>
      </c>
      <c r="Z93" s="821">
        <v>0</v>
      </c>
      <c r="AA93" s="821">
        <v>0</v>
      </c>
      <c r="AB93" s="823">
        <v>0</v>
      </c>
    </row>
    <row r="94" spans="1:28">
      <c r="A94" s="696" t="str">
        <f t="shared" si="1"/>
        <v>National Grid</v>
      </c>
      <c r="B94" s="696" t="str">
        <f>'Lookups-Assumptions'!$D$4</f>
        <v>Gas</v>
      </c>
      <c r="C94" s="696" t="str">
        <f>'Lookups-Assumptions'!$D$6</f>
        <v>Evaluated</v>
      </c>
      <c r="D94" s="819">
        <f>'Inputs Yr 2'!$E$2</f>
        <v>2017</v>
      </c>
      <c r="E94" s="696" t="s">
        <v>1033</v>
      </c>
      <c r="F94" s="696" t="s">
        <v>79</v>
      </c>
      <c r="G94" s="696" t="s">
        <v>872</v>
      </c>
      <c r="H94" s="696" t="s">
        <v>765</v>
      </c>
      <c r="I94" s="696" t="s">
        <v>1327</v>
      </c>
      <c r="J94" s="820">
        <v>5</v>
      </c>
      <c r="K94" s="821">
        <v>44920</v>
      </c>
      <c r="L94" s="786">
        <v>0</v>
      </c>
      <c r="M94" s="786">
        <v>0</v>
      </c>
      <c r="N94" s="786">
        <v>180.63145400000002</v>
      </c>
      <c r="O94" s="786">
        <v>3251.3661720000005</v>
      </c>
      <c r="P94" s="786">
        <v>0</v>
      </c>
      <c r="Q94" s="786">
        <v>0</v>
      </c>
      <c r="R94" s="786">
        <v>0</v>
      </c>
      <c r="S94" s="786">
        <v>0</v>
      </c>
      <c r="T94" s="786">
        <v>0</v>
      </c>
      <c r="U94" s="822">
        <v>0</v>
      </c>
      <c r="V94" s="821">
        <v>0</v>
      </c>
      <c r="W94" s="821">
        <v>29753.367384988418</v>
      </c>
      <c r="X94" s="821">
        <v>0</v>
      </c>
      <c r="Y94" s="821">
        <v>0</v>
      </c>
      <c r="Z94" s="821">
        <v>0</v>
      </c>
      <c r="AA94" s="821">
        <v>15049.330170972988</v>
      </c>
      <c r="AB94" s="823">
        <v>44802.697555961407</v>
      </c>
    </row>
    <row r="95" spans="1:28">
      <c r="A95" s="696" t="str">
        <f t="shared" si="1"/>
        <v>National Grid</v>
      </c>
      <c r="B95" s="696" t="str">
        <f>'Lookups-Assumptions'!$D$4</f>
        <v>Gas</v>
      </c>
      <c r="C95" s="696" t="str">
        <f>'Lookups-Assumptions'!$D$6</f>
        <v>Evaluated</v>
      </c>
      <c r="D95" s="819">
        <f>'Inputs Yr 2'!$E$2</f>
        <v>2017</v>
      </c>
      <c r="E95" s="696" t="s">
        <v>1034</v>
      </c>
      <c r="F95" s="696" t="s">
        <v>79</v>
      </c>
      <c r="G95" s="696" t="s">
        <v>872</v>
      </c>
      <c r="H95" s="696" t="s">
        <v>765</v>
      </c>
      <c r="I95" s="696" t="s">
        <v>1328</v>
      </c>
      <c r="J95" s="820">
        <v>420</v>
      </c>
      <c r="K95" s="821">
        <v>8137645.0500000007</v>
      </c>
      <c r="L95" s="786">
        <v>0</v>
      </c>
      <c r="M95" s="786">
        <v>0</v>
      </c>
      <c r="N95" s="786">
        <v>31275.369087000006</v>
      </c>
      <c r="O95" s="786">
        <v>625507.3817400001</v>
      </c>
      <c r="P95" s="786">
        <v>0</v>
      </c>
      <c r="Q95" s="786">
        <v>0</v>
      </c>
      <c r="R95" s="786">
        <v>0</v>
      </c>
      <c r="S95" s="786">
        <v>0</v>
      </c>
      <c r="T95" s="786">
        <v>0</v>
      </c>
      <c r="U95" s="822">
        <v>0</v>
      </c>
      <c r="V95" s="821">
        <v>0</v>
      </c>
      <c r="W95" s="821">
        <v>5759046.7807529327</v>
      </c>
      <c r="X95" s="821">
        <v>0</v>
      </c>
      <c r="Y95" s="821">
        <v>0</v>
      </c>
      <c r="Z95" s="821">
        <v>0</v>
      </c>
      <c r="AA95" s="821">
        <v>1822710.7477818255</v>
      </c>
      <c r="AB95" s="823">
        <v>7581757.5285347579</v>
      </c>
    </row>
    <row r="96" spans="1:28">
      <c r="A96" s="696" t="str">
        <f t="shared" si="1"/>
        <v>National Grid</v>
      </c>
      <c r="B96" s="696" t="str">
        <f>'Lookups-Assumptions'!$D$4</f>
        <v>Gas</v>
      </c>
      <c r="C96" s="696" t="str">
        <f>'Lookups-Assumptions'!$D$6</f>
        <v>Evaluated</v>
      </c>
      <c r="D96" s="819">
        <f>'Inputs Yr 2'!$E$2</f>
        <v>2017</v>
      </c>
      <c r="E96" s="696" t="s">
        <v>1035</v>
      </c>
      <c r="F96" s="696" t="s">
        <v>79</v>
      </c>
      <c r="G96" s="696" t="s">
        <v>872</v>
      </c>
      <c r="H96" s="696" t="s">
        <v>765</v>
      </c>
      <c r="I96" s="696" t="s">
        <v>1311</v>
      </c>
      <c r="J96" s="820">
        <v>134</v>
      </c>
      <c r="K96" s="821">
        <v>10271.099999999999</v>
      </c>
      <c r="L96" s="786">
        <v>0</v>
      </c>
      <c r="M96" s="786">
        <v>0</v>
      </c>
      <c r="N96" s="786">
        <v>5.2587949999999992</v>
      </c>
      <c r="O96" s="786">
        <v>105.17589999999998</v>
      </c>
      <c r="P96" s="786">
        <v>0</v>
      </c>
      <c r="Q96" s="786">
        <v>0</v>
      </c>
      <c r="R96" s="786">
        <v>0</v>
      </c>
      <c r="S96" s="786">
        <v>0</v>
      </c>
      <c r="T96" s="786">
        <v>0</v>
      </c>
      <c r="U96" s="822">
        <v>0</v>
      </c>
      <c r="V96" s="821">
        <v>0</v>
      </c>
      <c r="W96" s="821">
        <v>968.354564614178</v>
      </c>
      <c r="X96" s="821">
        <v>0</v>
      </c>
      <c r="Y96" s="821">
        <v>0</v>
      </c>
      <c r="Z96" s="821">
        <v>0</v>
      </c>
      <c r="AA96" s="821">
        <v>2807.2650829736535</v>
      </c>
      <c r="AB96" s="823">
        <v>3775.6196475878314</v>
      </c>
    </row>
    <row r="97" spans="1:28">
      <c r="A97" s="696" t="str">
        <f t="shared" si="1"/>
        <v>National Grid</v>
      </c>
      <c r="B97" s="696" t="str">
        <f>'Lookups-Assumptions'!$D$4</f>
        <v>Gas</v>
      </c>
      <c r="C97" s="696" t="str">
        <f>'Lookups-Assumptions'!$D$6</f>
        <v>Evaluated</v>
      </c>
      <c r="D97" s="819">
        <f>'Inputs Yr 2'!$E$2</f>
        <v>2017</v>
      </c>
      <c r="E97" s="696" t="s">
        <v>1036</v>
      </c>
      <c r="F97" s="696" t="s">
        <v>79</v>
      </c>
      <c r="G97" s="696" t="s">
        <v>872</v>
      </c>
      <c r="H97" s="696" t="s">
        <v>765</v>
      </c>
      <c r="I97" s="696" t="s">
        <v>1312</v>
      </c>
      <c r="J97" s="820">
        <v>2277</v>
      </c>
      <c r="K97" s="821">
        <v>8371.08</v>
      </c>
      <c r="L97" s="786">
        <v>0</v>
      </c>
      <c r="M97" s="786">
        <v>0</v>
      </c>
      <c r="N97" s="786">
        <v>28.874999999999996</v>
      </c>
      <c r="O97" s="786">
        <v>577.49999999999989</v>
      </c>
      <c r="P97" s="786">
        <v>0</v>
      </c>
      <c r="Q97" s="786">
        <v>0</v>
      </c>
      <c r="R97" s="786">
        <v>0</v>
      </c>
      <c r="S97" s="786">
        <v>0</v>
      </c>
      <c r="T97" s="786">
        <v>0</v>
      </c>
      <c r="U97" s="822">
        <v>0</v>
      </c>
      <c r="V97" s="821">
        <v>0</v>
      </c>
      <c r="W97" s="821">
        <v>5317.042792737574</v>
      </c>
      <c r="X97" s="821">
        <v>0</v>
      </c>
      <c r="Y97" s="821">
        <v>0</v>
      </c>
      <c r="Z97" s="821">
        <v>0</v>
      </c>
      <c r="AA97" s="821">
        <v>8226.6045025454605</v>
      </c>
      <c r="AB97" s="823">
        <v>13543.647295283034</v>
      </c>
    </row>
    <row r="98" spans="1:28">
      <c r="A98" s="696" t="str">
        <f t="shared" si="1"/>
        <v>National Grid</v>
      </c>
      <c r="B98" s="696" t="str">
        <f>'Lookups-Assumptions'!$D$4</f>
        <v>Gas</v>
      </c>
      <c r="C98" s="696" t="str">
        <f>'Lookups-Assumptions'!$D$6</f>
        <v>Evaluated</v>
      </c>
      <c r="D98" s="819">
        <f>'Inputs Yr 2'!$E$2</f>
        <v>2017</v>
      </c>
      <c r="E98" s="696" t="s">
        <v>1037</v>
      </c>
      <c r="F98" s="696" t="s">
        <v>79</v>
      </c>
      <c r="G98" s="696" t="s">
        <v>872</v>
      </c>
      <c r="H98" s="696" t="s">
        <v>765</v>
      </c>
      <c r="I98" s="696" t="s">
        <v>1302</v>
      </c>
      <c r="J98" s="820">
        <v>49</v>
      </c>
      <c r="K98" s="821">
        <v>780.06</v>
      </c>
      <c r="L98" s="786">
        <v>0</v>
      </c>
      <c r="M98" s="786">
        <v>0</v>
      </c>
      <c r="N98" s="786">
        <v>41.895000000000003</v>
      </c>
      <c r="O98" s="786">
        <v>628.42500000000007</v>
      </c>
      <c r="P98" s="786">
        <v>0</v>
      </c>
      <c r="Q98" s="786">
        <v>0</v>
      </c>
      <c r="R98" s="786">
        <v>0</v>
      </c>
      <c r="S98" s="786">
        <v>0</v>
      </c>
      <c r="T98" s="786">
        <v>0</v>
      </c>
      <c r="U98" s="822">
        <v>0</v>
      </c>
      <c r="V98" s="821">
        <v>0</v>
      </c>
      <c r="W98" s="821">
        <v>5466.825655659587</v>
      </c>
      <c r="X98" s="821">
        <v>0</v>
      </c>
      <c r="Y98" s="821">
        <v>0</v>
      </c>
      <c r="Z98" s="821">
        <v>0</v>
      </c>
      <c r="AA98" s="821">
        <v>5548.6968086171782</v>
      </c>
      <c r="AB98" s="823">
        <v>11015.522464276764</v>
      </c>
    </row>
    <row r="99" spans="1:28">
      <c r="A99" s="696" t="str">
        <f t="shared" si="1"/>
        <v>National Grid</v>
      </c>
      <c r="B99" s="696" t="str">
        <f>'Lookups-Assumptions'!$D$4</f>
        <v>Gas</v>
      </c>
      <c r="C99" s="696" t="str">
        <f>'Lookups-Assumptions'!$D$6</f>
        <v>Evaluated</v>
      </c>
      <c r="D99" s="819">
        <f>'Inputs Yr 2'!$E$2</f>
        <v>2017</v>
      </c>
      <c r="E99" s="696" t="s">
        <v>1038</v>
      </c>
      <c r="F99" s="696" t="s">
        <v>79</v>
      </c>
      <c r="G99" s="696" t="s">
        <v>872</v>
      </c>
      <c r="H99" s="696" t="s">
        <v>765</v>
      </c>
      <c r="I99" s="696" t="s">
        <v>1303</v>
      </c>
      <c r="J99" s="820">
        <v>58228</v>
      </c>
      <c r="K99" s="821">
        <v>345755.89</v>
      </c>
      <c r="L99" s="786">
        <v>0</v>
      </c>
      <c r="M99" s="786">
        <v>0</v>
      </c>
      <c r="N99" s="786">
        <v>6987.3600000000006</v>
      </c>
      <c r="O99" s="786">
        <v>104810.40000000001</v>
      </c>
      <c r="P99" s="786">
        <v>0</v>
      </c>
      <c r="Q99" s="786">
        <v>0</v>
      </c>
      <c r="R99" s="786">
        <v>0</v>
      </c>
      <c r="S99" s="786">
        <v>0</v>
      </c>
      <c r="T99" s="786">
        <v>0</v>
      </c>
      <c r="U99" s="822">
        <v>0</v>
      </c>
      <c r="V99" s="821">
        <v>0</v>
      </c>
      <c r="W99" s="821">
        <v>952140.68655858247</v>
      </c>
      <c r="X99" s="821">
        <v>0</v>
      </c>
      <c r="Y99" s="821">
        <v>0</v>
      </c>
      <c r="Z99" s="821">
        <v>0</v>
      </c>
      <c r="AA99" s="821">
        <v>7097903.7934791446</v>
      </c>
      <c r="AB99" s="823">
        <v>8050044.4800377274</v>
      </c>
    </row>
    <row r="100" spans="1:28">
      <c r="A100" s="696" t="str">
        <f t="shared" si="1"/>
        <v>National Grid</v>
      </c>
      <c r="B100" s="696" t="str">
        <f>'Lookups-Assumptions'!$D$4</f>
        <v>Gas</v>
      </c>
      <c r="C100" s="696" t="str">
        <f>'Lookups-Assumptions'!$D$6</f>
        <v>Evaluated</v>
      </c>
      <c r="D100" s="819">
        <f>'Inputs Yr 2'!$E$2</f>
        <v>2017</v>
      </c>
      <c r="E100" s="696" t="s">
        <v>1039</v>
      </c>
      <c r="F100" s="696" t="s">
        <v>79</v>
      </c>
      <c r="G100" s="696" t="s">
        <v>872</v>
      </c>
      <c r="H100" s="696" t="s">
        <v>765</v>
      </c>
      <c r="I100" s="696" t="s">
        <v>1329</v>
      </c>
      <c r="J100" s="820">
        <v>45</v>
      </c>
      <c r="K100" s="821">
        <v>905200</v>
      </c>
      <c r="L100" s="786">
        <v>0</v>
      </c>
      <c r="M100" s="786">
        <v>0</v>
      </c>
      <c r="N100" s="786">
        <v>8636.7753599999996</v>
      </c>
      <c r="O100" s="786">
        <v>172735.50719999999</v>
      </c>
      <c r="P100" s="786">
        <v>0</v>
      </c>
      <c r="Q100" s="786">
        <v>0</v>
      </c>
      <c r="R100" s="786">
        <v>0</v>
      </c>
      <c r="S100" s="786">
        <v>0</v>
      </c>
      <c r="T100" s="786">
        <v>0</v>
      </c>
      <c r="U100" s="822">
        <v>0</v>
      </c>
      <c r="V100" s="821">
        <v>0</v>
      </c>
      <c r="W100" s="821">
        <v>1524888.5634003587</v>
      </c>
      <c r="X100" s="821">
        <v>0</v>
      </c>
      <c r="Y100" s="821">
        <v>0</v>
      </c>
      <c r="Z100" s="821">
        <v>0</v>
      </c>
      <c r="AA100" s="821">
        <v>228672.38841720711</v>
      </c>
      <c r="AB100" s="823">
        <v>1753560.9518175658</v>
      </c>
    </row>
    <row r="101" spans="1:28">
      <c r="A101" s="696" t="str">
        <f t="shared" si="1"/>
        <v>National Grid</v>
      </c>
      <c r="B101" s="696" t="str">
        <f>'Lookups-Assumptions'!$D$4</f>
        <v>Gas</v>
      </c>
      <c r="C101" s="696" t="str">
        <f>'Lookups-Assumptions'!$D$6</f>
        <v>Evaluated</v>
      </c>
      <c r="D101" s="819">
        <f>'Inputs Yr 2'!$E$2</f>
        <v>2017</v>
      </c>
      <c r="E101" s="696" t="s">
        <v>1040</v>
      </c>
      <c r="F101" s="696" t="s">
        <v>79</v>
      </c>
      <c r="G101" s="696" t="s">
        <v>872</v>
      </c>
      <c r="H101" s="696" t="s">
        <v>765</v>
      </c>
      <c r="I101" s="696" t="s">
        <v>1324</v>
      </c>
      <c r="J101" s="820">
        <v>157</v>
      </c>
      <c r="K101" s="821">
        <v>1552309.49</v>
      </c>
      <c r="L101" s="786">
        <v>0</v>
      </c>
      <c r="M101" s="786">
        <v>0</v>
      </c>
      <c r="N101" s="786">
        <v>12490.642795999998</v>
      </c>
      <c r="O101" s="786">
        <v>249812.85591999997</v>
      </c>
      <c r="P101" s="786">
        <v>0</v>
      </c>
      <c r="Q101" s="786">
        <v>0</v>
      </c>
      <c r="R101" s="786">
        <v>0</v>
      </c>
      <c r="S101" s="786">
        <v>0</v>
      </c>
      <c r="T101" s="786">
        <v>0</v>
      </c>
      <c r="U101" s="822">
        <v>0</v>
      </c>
      <c r="V101" s="821">
        <v>0</v>
      </c>
      <c r="W101" s="821">
        <v>2205318.2530776719</v>
      </c>
      <c r="X101" s="821">
        <v>0</v>
      </c>
      <c r="Y101" s="821">
        <v>0</v>
      </c>
      <c r="Z101" s="821">
        <v>0</v>
      </c>
      <c r="AA101" s="821">
        <v>331730.47090122825</v>
      </c>
      <c r="AB101" s="823">
        <v>2537048.7239789004</v>
      </c>
    </row>
    <row r="102" spans="1:28">
      <c r="A102" s="696" t="str">
        <f t="shared" si="1"/>
        <v>National Grid</v>
      </c>
      <c r="B102" s="696" t="str">
        <f>'Lookups-Assumptions'!$D$4</f>
        <v>Gas</v>
      </c>
      <c r="C102" s="696" t="str">
        <f>'Lookups-Assumptions'!$D$6</f>
        <v>Evaluated</v>
      </c>
      <c r="D102" s="819">
        <f>'Inputs Yr 2'!$E$2</f>
        <v>2017</v>
      </c>
      <c r="E102" s="696" t="s">
        <v>1041</v>
      </c>
      <c r="F102" s="696" t="s">
        <v>79</v>
      </c>
      <c r="G102" s="696" t="s">
        <v>872</v>
      </c>
      <c r="H102" s="696" t="s">
        <v>765</v>
      </c>
      <c r="I102" s="696" t="s">
        <v>1321</v>
      </c>
      <c r="J102" s="820">
        <v>4</v>
      </c>
      <c r="K102" s="821">
        <v>40000</v>
      </c>
      <c r="L102" s="786">
        <v>0</v>
      </c>
      <c r="M102" s="786">
        <v>0</v>
      </c>
      <c r="N102" s="786">
        <v>265.289063</v>
      </c>
      <c r="O102" s="786">
        <v>3448.7578189999999</v>
      </c>
      <c r="P102" s="786">
        <v>0</v>
      </c>
      <c r="Q102" s="786">
        <v>0</v>
      </c>
      <c r="R102" s="786">
        <v>0</v>
      </c>
      <c r="S102" s="786">
        <v>0</v>
      </c>
      <c r="T102" s="786">
        <v>0</v>
      </c>
      <c r="U102" s="822">
        <v>0</v>
      </c>
      <c r="V102" s="821">
        <v>0</v>
      </c>
      <c r="W102" s="821">
        <v>29898.962145707628</v>
      </c>
      <c r="X102" s="821">
        <v>0</v>
      </c>
      <c r="Y102" s="821">
        <v>0</v>
      </c>
      <c r="Z102" s="821">
        <v>0</v>
      </c>
      <c r="AA102" s="821">
        <v>4723.3034059590955</v>
      </c>
      <c r="AB102" s="823">
        <v>34622.265551666722</v>
      </c>
    </row>
    <row r="103" spans="1:28">
      <c r="A103" s="696" t="str">
        <f t="shared" si="1"/>
        <v>National Grid</v>
      </c>
      <c r="B103" s="696" t="str">
        <f>'Lookups-Assumptions'!$D$4</f>
        <v>Gas</v>
      </c>
      <c r="C103" s="696" t="str">
        <f>'Lookups-Assumptions'!$D$6</f>
        <v>Evaluated</v>
      </c>
      <c r="D103" s="819">
        <f>'Inputs Yr 2'!$E$2</f>
        <v>2017</v>
      </c>
      <c r="E103" s="696" t="s">
        <v>1042</v>
      </c>
      <c r="F103" s="696" t="s">
        <v>79</v>
      </c>
      <c r="G103" s="696" t="s">
        <v>872</v>
      </c>
      <c r="H103" s="696" t="s">
        <v>765</v>
      </c>
      <c r="I103" s="696" t="s">
        <v>1304</v>
      </c>
      <c r="J103" s="820">
        <v>1167</v>
      </c>
      <c r="K103" s="821">
        <v>11848.5</v>
      </c>
      <c r="L103" s="786">
        <v>0</v>
      </c>
      <c r="M103" s="786">
        <v>0</v>
      </c>
      <c r="N103" s="786">
        <v>350.09999999999997</v>
      </c>
      <c r="O103" s="786">
        <v>2450.6999999999998</v>
      </c>
      <c r="P103" s="786">
        <v>0</v>
      </c>
      <c r="Q103" s="786">
        <v>0</v>
      </c>
      <c r="R103" s="786">
        <v>0</v>
      </c>
      <c r="S103" s="786">
        <v>0</v>
      </c>
      <c r="T103" s="786">
        <v>826236</v>
      </c>
      <c r="U103" s="822">
        <v>5783652</v>
      </c>
      <c r="V103" s="821">
        <v>0</v>
      </c>
      <c r="W103" s="821">
        <v>21826.988263408937</v>
      </c>
      <c r="X103" s="821">
        <v>0</v>
      </c>
      <c r="Y103" s="821">
        <v>0</v>
      </c>
      <c r="Z103" s="821">
        <v>61702.301319080099</v>
      </c>
      <c r="AA103" s="821">
        <v>8166.5983403249138</v>
      </c>
      <c r="AB103" s="823">
        <v>91695.887922813941</v>
      </c>
    </row>
    <row r="104" spans="1:28">
      <c r="A104" s="696" t="str">
        <f t="shared" si="1"/>
        <v>National Grid</v>
      </c>
      <c r="B104" s="696" t="str">
        <f>'Lookups-Assumptions'!$D$4</f>
        <v>Gas</v>
      </c>
      <c r="C104" s="696" t="str">
        <f>'Lookups-Assumptions'!$D$6</f>
        <v>Evaluated</v>
      </c>
      <c r="D104" s="819">
        <f>'Inputs Yr 2'!$E$2</f>
        <v>2017</v>
      </c>
      <c r="E104" s="696" t="s">
        <v>1044</v>
      </c>
      <c r="F104" s="696" t="s">
        <v>79</v>
      </c>
      <c r="G104" s="696" t="s">
        <v>872</v>
      </c>
      <c r="H104" s="696" t="s">
        <v>765</v>
      </c>
      <c r="I104" s="696" t="s">
        <v>1309</v>
      </c>
      <c r="J104" s="820">
        <v>26</v>
      </c>
      <c r="K104" s="821">
        <v>2980.9</v>
      </c>
      <c r="L104" s="786">
        <v>0</v>
      </c>
      <c r="M104" s="786">
        <v>0</v>
      </c>
      <c r="N104" s="786">
        <v>44.849999999999994</v>
      </c>
      <c r="O104" s="786">
        <v>672.74999999999989</v>
      </c>
      <c r="P104" s="786">
        <v>0</v>
      </c>
      <c r="Q104" s="786">
        <v>0</v>
      </c>
      <c r="R104" s="786">
        <v>0</v>
      </c>
      <c r="S104" s="786">
        <v>0</v>
      </c>
      <c r="T104" s="786">
        <v>0</v>
      </c>
      <c r="U104" s="822">
        <v>0</v>
      </c>
      <c r="V104" s="821">
        <v>0</v>
      </c>
      <c r="W104" s="821">
        <v>6111.5370887076697</v>
      </c>
      <c r="X104" s="821">
        <v>0</v>
      </c>
      <c r="Y104" s="821">
        <v>0</v>
      </c>
      <c r="Z104" s="821">
        <v>0</v>
      </c>
      <c r="AA104" s="821">
        <v>6953.115130079259</v>
      </c>
      <c r="AB104" s="823">
        <v>13064.652218786929</v>
      </c>
    </row>
    <row r="105" spans="1:28">
      <c r="A105" s="696" t="str">
        <f t="shared" si="1"/>
        <v>National Grid</v>
      </c>
      <c r="B105" s="696" t="str">
        <f>'Lookups-Assumptions'!$D$4</f>
        <v>Gas</v>
      </c>
      <c r="C105" s="696" t="str">
        <f>'Lookups-Assumptions'!$D$6</f>
        <v>Evaluated</v>
      </c>
      <c r="D105" s="819">
        <f>'Inputs Yr 2'!$E$2</f>
        <v>2017</v>
      </c>
      <c r="E105" s="696" t="s">
        <v>1045</v>
      </c>
      <c r="F105" s="696" t="s">
        <v>79</v>
      </c>
      <c r="G105" s="696" t="s">
        <v>872</v>
      </c>
      <c r="H105" s="696" t="s">
        <v>765</v>
      </c>
      <c r="I105" s="696" t="s">
        <v>759</v>
      </c>
      <c r="J105" s="820">
        <v>0</v>
      </c>
      <c r="K105" s="821">
        <v>0</v>
      </c>
      <c r="L105" s="786">
        <v>0</v>
      </c>
      <c r="M105" s="786">
        <v>0</v>
      </c>
      <c r="N105" s="786">
        <v>0</v>
      </c>
      <c r="O105" s="786">
        <v>0</v>
      </c>
      <c r="P105" s="786">
        <v>0</v>
      </c>
      <c r="Q105" s="786">
        <v>0</v>
      </c>
      <c r="R105" s="786">
        <v>0</v>
      </c>
      <c r="S105" s="786">
        <v>0</v>
      </c>
      <c r="T105" s="786">
        <v>0</v>
      </c>
      <c r="U105" s="822">
        <v>0</v>
      </c>
      <c r="V105" s="821">
        <v>0</v>
      </c>
      <c r="W105" s="821">
        <v>0</v>
      </c>
      <c r="X105" s="821">
        <v>0</v>
      </c>
      <c r="Y105" s="821">
        <v>0</v>
      </c>
      <c r="Z105" s="821">
        <v>0</v>
      </c>
      <c r="AA105" s="821">
        <v>0</v>
      </c>
      <c r="AB105" s="823">
        <v>0</v>
      </c>
    </row>
    <row r="106" spans="1:28">
      <c r="A106" s="696" t="str">
        <f t="shared" si="1"/>
        <v>National Grid</v>
      </c>
      <c r="B106" s="696" t="str">
        <f>'Lookups-Assumptions'!$D$4</f>
        <v>Gas</v>
      </c>
      <c r="C106" s="696" t="str">
        <f>'Lookups-Assumptions'!$D$6</f>
        <v>Evaluated</v>
      </c>
      <c r="D106" s="819">
        <f>'Inputs Yr 2'!$E$2</f>
        <v>2017</v>
      </c>
      <c r="E106" s="696" t="s">
        <v>1046</v>
      </c>
      <c r="F106" s="696" t="s">
        <v>79</v>
      </c>
      <c r="G106" s="696" t="s">
        <v>872</v>
      </c>
      <c r="H106" s="696" t="s">
        <v>765</v>
      </c>
      <c r="I106" s="696" t="s">
        <v>760</v>
      </c>
      <c r="J106" s="820">
        <v>0</v>
      </c>
      <c r="K106" s="821">
        <v>0</v>
      </c>
      <c r="L106" s="786">
        <v>0</v>
      </c>
      <c r="M106" s="786">
        <v>0</v>
      </c>
      <c r="N106" s="786">
        <v>0</v>
      </c>
      <c r="O106" s="786">
        <v>0</v>
      </c>
      <c r="P106" s="786">
        <v>0</v>
      </c>
      <c r="Q106" s="786">
        <v>0</v>
      </c>
      <c r="R106" s="786">
        <v>0</v>
      </c>
      <c r="S106" s="786">
        <v>0</v>
      </c>
      <c r="T106" s="786">
        <v>0</v>
      </c>
      <c r="U106" s="822">
        <v>0</v>
      </c>
      <c r="V106" s="821">
        <v>0</v>
      </c>
      <c r="W106" s="821">
        <v>0</v>
      </c>
      <c r="X106" s="821">
        <v>0</v>
      </c>
      <c r="Y106" s="821">
        <v>0</v>
      </c>
      <c r="Z106" s="821">
        <v>0</v>
      </c>
      <c r="AA106" s="821">
        <v>0</v>
      </c>
      <c r="AB106" s="823">
        <v>0</v>
      </c>
    </row>
    <row r="107" spans="1:28">
      <c r="A107" s="696" t="str">
        <f t="shared" si="1"/>
        <v>National Grid</v>
      </c>
      <c r="B107" s="696" t="str">
        <f>'Lookups-Assumptions'!$D$4</f>
        <v>Gas</v>
      </c>
      <c r="C107" s="696" t="str">
        <f>'Lookups-Assumptions'!$D$6</f>
        <v>Evaluated</v>
      </c>
      <c r="D107" s="819">
        <f>'Inputs Yr 2'!$E$2</f>
        <v>2017</v>
      </c>
      <c r="E107" s="696" t="s">
        <v>1047</v>
      </c>
      <c r="F107" s="696" t="s">
        <v>79</v>
      </c>
      <c r="G107" s="696" t="s">
        <v>872</v>
      </c>
      <c r="H107" s="696" t="s">
        <v>765</v>
      </c>
      <c r="I107" s="696" t="s">
        <v>1319</v>
      </c>
      <c r="J107" s="820">
        <v>0</v>
      </c>
      <c r="K107" s="821">
        <v>0</v>
      </c>
      <c r="L107" s="786">
        <v>0</v>
      </c>
      <c r="M107" s="786">
        <v>0</v>
      </c>
      <c r="N107" s="786">
        <v>0</v>
      </c>
      <c r="O107" s="786">
        <v>0</v>
      </c>
      <c r="P107" s="786">
        <v>0</v>
      </c>
      <c r="Q107" s="786">
        <v>0</v>
      </c>
      <c r="R107" s="786">
        <v>0</v>
      </c>
      <c r="S107" s="786">
        <v>0</v>
      </c>
      <c r="T107" s="786">
        <v>0</v>
      </c>
      <c r="U107" s="822">
        <v>0</v>
      </c>
      <c r="V107" s="821">
        <v>0</v>
      </c>
      <c r="W107" s="821">
        <v>0</v>
      </c>
      <c r="X107" s="821">
        <v>0</v>
      </c>
      <c r="Y107" s="821">
        <v>0</v>
      </c>
      <c r="Z107" s="821">
        <v>0</v>
      </c>
      <c r="AA107" s="821">
        <v>0</v>
      </c>
      <c r="AB107" s="823">
        <v>0</v>
      </c>
    </row>
    <row r="108" spans="1:28">
      <c r="A108" s="696" t="str">
        <f t="shared" si="1"/>
        <v>National Grid</v>
      </c>
      <c r="B108" s="696" t="str">
        <f>'Lookups-Assumptions'!$D$4</f>
        <v>Gas</v>
      </c>
      <c r="C108" s="696" t="str">
        <f>'Lookups-Assumptions'!$D$6</f>
        <v>Evaluated</v>
      </c>
      <c r="D108" s="819">
        <f>'Inputs Yr 2'!$E$2</f>
        <v>2017</v>
      </c>
      <c r="E108" s="696" t="s">
        <v>1048</v>
      </c>
      <c r="F108" s="696" t="s">
        <v>79</v>
      </c>
      <c r="G108" s="696" t="s">
        <v>872</v>
      </c>
      <c r="H108" s="696" t="s">
        <v>765</v>
      </c>
      <c r="I108" s="696" t="s">
        <v>1308</v>
      </c>
      <c r="J108" s="820">
        <v>0</v>
      </c>
      <c r="K108" s="821">
        <v>0</v>
      </c>
      <c r="L108" s="786">
        <v>0</v>
      </c>
      <c r="M108" s="786">
        <v>0</v>
      </c>
      <c r="N108" s="786">
        <v>0</v>
      </c>
      <c r="O108" s="786">
        <v>0</v>
      </c>
      <c r="P108" s="786">
        <v>0</v>
      </c>
      <c r="Q108" s="786">
        <v>0</v>
      </c>
      <c r="R108" s="786">
        <v>0</v>
      </c>
      <c r="S108" s="786">
        <v>0</v>
      </c>
      <c r="T108" s="786">
        <v>0</v>
      </c>
      <c r="U108" s="822">
        <v>0</v>
      </c>
      <c r="V108" s="821">
        <v>0</v>
      </c>
      <c r="W108" s="821">
        <v>0</v>
      </c>
      <c r="X108" s="821">
        <v>0</v>
      </c>
      <c r="Y108" s="821">
        <v>0</v>
      </c>
      <c r="Z108" s="821">
        <v>0</v>
      </c>
      <c r="AA108" s="821">
        <v>0</v>
      </c>
      <c r="AB108" s="823">
        <v>0</v>
      </c>
    </row>
    <row r="109" spans="1:28">
      <c r="A109" s="696" t="str">
        <f t="shared" si="1"/>
        <v>National Grid</v>
      </c>
      <c r="B109" s="696" t="str">
        <f>'Lookups-Assumptions'!$D$4</f>
        <v>Gas</v>
      </c>
      <c r="C109" s="696" t="str">
        <f>'Lookups-Assumptions'!$D$6</f>
        <v>Evaluated</v>
      </c>
      <c r="D109" s="819">
        <f>'Inputs Yr 2'!$E$2</f>
        <v>2017</v>
      </c>
      <c r="E109" s="696" t="s">
        <v>1049</v>
      </c>
      <c r="F109" s="696" t="s">
        <v>83</v>
      </c>
      <c r="G109" s="696" t="s">
        <v>873</v>
      </c>
      <c r="H109" s="696" t="s">
        <v>661</v>
      </c>
      <c r="I109" s="696" t="s">
        <v>1342</v>
      </c>
      <c r="J109" s="820">
        <v>1</v>
      </c>
      <c r="K109" s="821">
        <v>197476.41999999998</v>
      </c>
      <c r="L109" s="786">
        <v>0</v>
      </c>
      <c r="M109" s="786">
        <v>0</v>
      </c>
      <c r="N109" s="786">
        <v>10782.0963694</v>
      </c>
      <c r="O109" s="786">
        <v>172513.5419104</v>
      </c>
      <c r="P109" s="786">
        <v>0</v>
      </c>
      <c r="Q109" s="786">
        <v>0</v>
      </c>
      <c r="R109" s="786">
        <v>0</v>
      </c>
      <c r="S109" s="786">
        <v>0</v>
      </c>
      <c r="T109" s="786">
        <v>0</v>
      </c>
      <c r="U109" s="822">
        <v>0</v>
      </c>
      <c r="V109" s="821">
        <v>0</v>
      </c>
      <c r="W109" s="821">
        <v>1467271.9919180106</v>
      </c>
      <c r="X109" s="821">
        <v>0</v>
      </c>
      <c r="Y109" s="821">
        <v>0</v>
      </c>
      <c r="Z109" s="821">
        <v>0</v>
      </c>
      <c r="AA109" s="821">
        <v>-6663.746847297356</v>
      </c>
      <c r="AB109" s="823">
        <v>1460608.2450707133</v>
      </c>
    </row>
    <row r="110" spans="1:28">
      <c r="A110" s="696" t="str">
        <f t="shared" si="1"/>
        <v>National Grid</v>
      </c>
      <c r="B110" s="696" t="str">
        <f>'Lookups-Assumptions'!$D$4</f>
        <v>Gas</v>
      </c>
      <c r="C110" s="696" t="str">
        <f>'Lookups-Assumptions'!$D$6</f>
        <v>Evaluated</v>
      </c>
      <c r="D110" s="819">
        <f>'Inputs Yr 2'!$E$2</f>
        <v>2017</v>
      </c>
      <c r="E110"/>
      <c r="F110" s="696" t="s">
        <v>83</v>
      </c>
      <c r="G110" s="696" t="s">
        <v>873</v>
      </c>
      <c r="H110" s="696" t="s">
        <v>661</v>
      </c>
      <c r="I110" s="696" t="s">
        <v>1343</v>
      </c>
      <c r="J110" s="820">
        <v>1</v>
      </c>
      <c r="K110" s="821">
        <v>620306.92000000004</v>
      </c>
      <c r="L110" s="786">
        <v>0</v>
      </c>
      <c r="M110" s="786">
        <v>0</v>
      </c>
      <c r="N110" s="786">
        <v>33350.757762400004</v>
      </c>
      <c r="O110" s="786">
        <v>566962.88196080003</v>
      </c>
      <c r="P110" s="786">
        <v>0</v>
      </c>
      <c r="Q110" s="786">
        <v>0</v>
      </c>
      <c r="R110" s="786">
        <v>0</v>
      </c>
      <c r="S110" s="786">
        <v>0</v>
      </c>
      <c r="T110" s="786">
        <v>0</v>
      </c>
      <c r="U110" s="822">
        <v>0</v>
      </c>
      <c r="V110" s="821">
        <v>0</v>
      </c>
      <c r="W110" s="821">
        <v>4835761.8588167652</v>
      </c>
      <c r="X110" s="821">
        <v>0</v>
      </c>
      <c r="Y110" s="821">
        <v>0</v>
      </c>
      <c r="Z110" s="821">
        <v>0</v>
      </c>
      <c r="AA110" s="821">
        <v>-21852.849902721064</v>
      </c>
      <c r="AB110" s="823">
        <v>4813909.0089140441</v>
      </c>
    </row>
    <row r="111" spans="1:28">
      <c r="A111" s="696" t="str">
        <f t="shared" si="1"/>
        <v>National Grid</v>
      </c>
      <c r="B111" s="696" t="str">
        <f>'Lookups-Assumptions'!$D$4</f>
        <v>Gas</v>
      </c>
      <c r="C111" s="696" t="str">
        <f>'Lookups-Assumptions'!$D$6</f>
        <v>Evaluated</v>
      </c>
      <c r="D111" s="819">
        <f>'Inputs Yr 2'!$E$2</f>
        <v>2017</v>
      </c>
      <c r="E111"/>
      <c r="F111" s="696" t="s">
        <v>83</v>
      </c>
      <c r="G111" s="696" t="s">
        <v>873</v>
      </c>
      <c r="H111" s="696" t="s">
        <v>661</v>
      </c>
      <c r="I111" s="696" t="s">
        <v>1344</v>
      </c>
      <c r="J111" s="820">
        <v>1</v>
      </c>
      <c r="K111" s="821">
        <v>225508.94</v>
      </c>
      <c r="L111" s="786">
        <v>0</v>
      </c>
      <c r="M111" s="786">
        <v>0</v>
      </c>
      <c r="N111" s="786">
        <v>12312.65197732</v>
      </c>
      <c r="O111" s="786">
        <v>221627.73559175999</v>
      </c>
      <c r="P111" s="786">
        <v>0</v>
      </c>
      <c r="Q111" s="786">
        <v>0</v>
      </c>
      <c r="R111" s="786">
        <v>0</v>
      </c>
      <c r="S111" s="786">
        <v>0</v>
      </c>
      <c r="T111" s="786">
        <v>0</v>
      </c>
      <c r="U111" s="822">
        <v>0</v>
      </c>
      <c r="V111" s="821">
        <v>0</v>
      </c>
      <c r="W111" s="821">
        <v>1896194.6050093898</v>
      </c>
      <c r="X111" s="821">
        <v>0</v>
      </c>
      <c r="Y111" s="821">
        <v>0</v>
      </c>
      <c r="Z111" s="821">
        <v>0</v>
      </c>
      <c r="AA111" s="821">
        <v>-8523.8621833855013</v>
      </c>
      <c r="AB111" s="823">
        <v>1887670.7428260043</v>
      </c>
    </row>
    <row r="112" spans="1:28">
      <c r="A112" s="696" t="str">
        <f t="shared" si="1"/>
        <v>National Grid</v>
      </c>
      <c r="B112" s="696" t="str">
        <f>'Lookups-Assumptions'!$D$4</f>
        <v>Gas</v>
      </c>
      <c r="C112" s="696" t="str">
        <f>'Lookups-Assumptions'!$D$6</f>
        <v>Evaluated</v>
      </c>
      <c r="D112" s="819">
        <f>'Inputs Yr 2'!$E$2</f>
        <v>2017</v>
      </c>
      <c r="E112"/>
      <c r="F112" s="696" t="s">
        <v>83</v>
      </c>
      <c r="G112" s="696" t="s">
        <v>873</v>
      </c>
      <c r="H112" s="696" t="s">
        <v>661</v>
      </c>
      <c r="I112" s="696" t="s">
        <v>1345</v>
      </c>
      <c r="J112" s="820">
        <v>1</v>
      </c>
      <c r="K112" s="821">
        <v>15952.8</v>
      </c>
      <c r="L112" s="786">
        <v>0</v>
      </c>
      <c r="M112" s="786">
        <v>0</v>
      </c>
      <c r="N112" s="786">
        <v>871.01349600000003</v>
      </c>
      <c r="O112" s="786">
        <v>16549.256423999999</v>
      </c>
      <c r="P112" s="786">
        <v>0</v>
      </c>
      <c r="Q112" s="786">
        <v>0</v>
      </c>
      <c r="R112" s="786">
        <v>0</v>
      </c>
      <c r="S112" s="786">
        <v>0</v>
      </c>
      <c r="T112" s="786">
        <v>0</v>
      </c>
      <c r="U112" s="822">
        <v>0</v>
      </c>
      <c r="V112" s="821">
        <v>0</v>
      </c>
      <c r="W112" s="821">
        <v>142066.85172638766</v>
      </c>
      <c r="X112" s="821">
        <v>0</v>
      </c>
      <c r="Y112" s="821">
        <v>0</v>
      </c>
      <c r="Z112" s="821">
        <v>0</v>
      </c>
      <c r="AA112" s="821">
        <v>-635.11204209039943</v>
      </c>
      <c r="AB112" s="823">
        <v>141431.73968429727</v>
      </c>
    </row>
    <row r="113" spans="1:28">
      <c r="A113" s="696" t="str">
        <f t="shared" si="1"/>
        <v>National Grid</v>
      </c>
      <c r="B113" s="696" t="str">
        <f>'Lookups-Assumptions'!$D$4</f>
        <v>Gas</v>
      </c>
      <c r="C113" s="696" t="str">
        <f>'Lookups-Assumptions'!$D$6</f>
        <v>Evaluated</v>
      </c>
      <c r="D113" s="819">
        <f>'Inputs Yr 2'!$E$2</f>
        <v>2017</v>
      </c>
      <c r="E113"/>
      <c r="F113" s="696" t="s">
        <v>83</v>
      </c>
      <c r="G113" s="696" t="s">
        <v>873</v>
      </c>
      <c r="H113" s="696" t="s">
        <v>661</v>
      </c>
      <c r="I113" s="696" t="s">
        <v>1346</v>
      </c>
      <c r="J113" s="820">
        <v>1</v>
      </c>
      <c r="K113" s="821">
        <v>108754.09999999999</v>
      </c>
      <c r="L113" s="786">
        <v>0</v>
      </c>
      <c r="M113" s="786">
        <v>0</v>
      </c>
      <c r="N113" s="786">
        <v>5937.9098870000007</v>
      </c>
      <c r="O113" s="786">
        <v>118758.19774000002</v>
      </c>
      <c r="P113" s="786">
        <v>0</v>
      </c>
      <c r="Q113" s="786">
        <v>0</v>
      </c>
      <c r="R113" s="786">
        <v>0</v>
      </c>
      <c r="S113" s="786">
        <v>0</v>
      </c>
      <c r="T113" s="786">
        <v>0</v>
      </c>
      <c r="U113" s="822">
        <v>0</v>
      </c>
      <c r="V113" s="821">
        <v>0</v>
      </c>
      <c r="W113" s="821">
        <v>1023116.8908634741</v>
      </c>
      <c r="X113" s="821">
        <v>0</v>
      </c>
      <c r="Y113" s="821">
        <v>0</v>
      </c>
      <c r="Z113" s="821">
        <v>0</v>
      </c>
      <c r="AA113" s="821">
        <v>-4547.7408588402841</v>
      </c>
      <c r="AB113" s="823">
        <v>1018569.1500046338</v>
      </c>
    </row>
    <row r="114" spans="1:28">
      <c r="A114" s="696" t="str">
        <f t="shared" si="1"/>
        <v>National Grid</v>
      </c>
      <c r="B114" s="696" t="str">
        <f>'Lookups-Assumptions'!$D$4</f>
        <v>Gas</v>
      </c>
      <c r="C114" s="696" t="str">
        <f>'Lookups-Assumptions'!$D$6</f>
        <v>Evaluated</v>
      </c>
      <c r="D114" s="819">
        <f>'Inputs Yr 2'!$E$2</f>
        <v>2017</v>
      </c>
      <c r="E114"/>
      <c r="F114" s="696" t="s">
        <v>83</v>
      </c>
      <c r="G114" s="696" t="s">
        <v>873</v>
      </c>
      <c r="H114" s="696" t="s">
        <v>661</v>
      </c>
      <c r="I114" s="696" t="s">
        <v>1506</v>
      </c>
      <c r="J114" s="820">
        <v>1</v>
      </c>
      <c r="K114" s="821">
        <v>42527.4</v>
      </c>
      <c r="L114" s="786">
        <v>0</v>
      </c>
      <c r="M114" s="786">
        <v>0</v>
      </c>
      <c r="N114" s="786">
        <v>1492.3438819999999</v>
      </c>
      <c r="O114" s="786">
        <v>22385.158229999997</v>
      </c>
      <c r="P114" s="786">
        <v>0</v>
      </c>
      <c r="Q114" s="786">
        <v>0</v>
      </c>
      <c r="R114" s="786">
        <v>0</v>
      </c>
      <c r="S114" s="786">
        <v>0</v>
      </c>
      <c r="T114" s="786">
        <v>0</v>
      </c>
      <c r="U114" s="822">
        <v>0</v>
      </c>
      <c r="V114" s="821">
        <v>0</v>
      </c>
      <c r="W114" s="821">
        <v>189921.4592807251</v>
      </c>
      <c r="X114" s="821">
        <v>0</v>
      </c>
      <c r="Y114" s="821">
        <v>0</v>
      </c>
      <c r="Z114" s="821">
        <v>0</v>
      </c>
      <c r="AA114" s="821">
        <v>-866.55874019376392</v>
      </c>
      <c r="AB114" s="823">
        <v>189054.90054053135</v>
      </c>
    </row>
    <row r="115" spans="1:28">
      <c r="A115" s="696" t="str">
        <f t="shared" si="1"/>
        <v>National Grid</v>
      </c>
      <c r="B115" s="696" t="str">
        <f>'Lookups-Assumptions'!$D$4</f>
        <v>Gas</v>
      </c>
      <c r="C115" s="696" t="str">
        <f>'Lookups-Assumptions'!$D$6</f>
        <v>Evaluated</v>
      </c>
      <c r="D115" s="819">
        <f>'Inputs Yr 2'!$E$2</f>
        <v>2017</v>
      </c>
      <c r="E115" s="696" t="s">
        <v>1050</v>
      </c>
      <c r="F115" s="696" t="s">
        <v>83</v>
      </c>
      <c r="G115" s="696" t="s">
        <v>873</v>
      </c>
      <c r="H115" s="696" t="s">
        <v>661</v>
      </c>
      <c r="I115" s="696" t="s">
        <v>1348</v>
      </c>
      <c r="J115" s="820">
        <v>1</v>
      </c>
      <c r="K115" s="821">
        <v>2226</v>
      </c>
      <c r="L115" s="786">
        <v>0</v>
      </c>
      <c r="M115" s="786">
        <v>0</v>
      </c>
      <c r="N115" s="786">
        <v>106.23970840000001</v>
      </c>
      <c r="O115" s="786">
        <v>2655.9927100000004</v>
      </c>
      <c r="P115" s="786">
        <v>0</v>
      </c>
      <c r="Q115" s="786">
        <v>0</v>
      </c>
      <c r="R115" s="786">
        <v>0</v>
      </c>
      <c r="S115" s="786">
        <v>0</v>
      </c>
      <c r="T115" s="786">
        <v>0</v>
      </c>
      <c r="U115" s="822">
        <v>0</v>
      </c>
      <c r="V115" s="821">
        <v>0</v>
      </c>
      <c r="W115" s="821">
        <v>23347.679665514097</v>
      </c>
      <c r="X115" s="821">
        <v>0</v>
      </c>
      <c r="Y115" s="821">
        <v>0</v>
      </c>
      <c r="Z115" s="821">
        <v>0</v>
      </c>
      <c r="AA115" s="821">
        <v>0</v>
      </c>
      <c r="AB115" s="823">
        <v>23347.679665514097</v>
      </c>
    </row>
    <row r="116" spans="1:28">
      <c r="A116" s="696" t="str">
        <f t="shared" si="1"/>
        <v>National Grid</v>
      </c>
      <c r="B116" s="696" t="str">
        <f>'Lookups-Assumptions'!$D$4</f>
        <v>Gas</v>
      </c>
      <c r="C116" s="696" t="str">
        <f>'Lookups-Assumptions'!$D$6</f>
        <v>Evaluated</v>
      </c>
      <c r="D116" s="819">
        <f>'Inputs Yr 2'!$E$2</f>
        <v>2017</v>
      </c>
      <c r="E116" s="696" t="s">
        <v>1051</v>
      </c>
      <c r="F116" s="696" t="s">
        <v>83</v>
      </c>
      <c r="G116" s="696" t="s">
        <v>873</v>
      </c>
      <c r="H116" s="696" t="s">
        <v>661</v>
      </c>
      <c r="I116" s="696" t="s">
        <v>1402</v>
      </c>
      <c r="J116" s="820">
        <v>0</v>
      </c>
      <c r="K116" s="821">
        <v>0</v>
      </c>
      <c r="L116" s="786">
        <v>0</v>
      </c>
      <c r="M116" s="786">
        <v>0</v>
      </c>
      <c r="N116" s="786">
        <v>0</v>
      </c>
      <c r="O116" s="786">
        <v>0</v>
      </c>
      <c r="P116" s="786">
        <v>0</v>
      </c>
      <c r="Q116" s="786">
        <v>0</v>
      </c>
      <c r="R116" s="786">
        <v>0</v>
      </c>
      <c r="S116" s="786">
        <v>0</v>
      </c>
      <c r="T116" s="786">
        <v>0</v>
      </c>
      <c r="U116" s="822">
        <v>0</v>
      </c>
      <c r="V116" s="821">
        <v>0</v>
      </c>
      <c r="W116" s="821">
        <v>0</v>
      </c>
      <c r="X116" s="821">
        <v>0</v>
      </c>
      <c r="Y116" s="821">
        <v>0</v>
      </c>
      <c r="Z116" s="821">
        <v>0</v>
      </c>
      <c r="AA116" s="821">
        <v>0</v>
      </c>
      <c r="AB116" s="823">
        <v>0</v>
      </c>
    </row>
    <row r="117" spans="1:28">
      <c r="A117" s="696" t="str">
        <f t="shared" si="1"/>
        <v>National Grid</v>
      </c>
      <c r="B117" s="696" t="str">
        <f>'Lookups-Assumptions'!$D$4</f>
        <v>Gas</v>
      </c>
      <c r="C117" s="696" t="str">
        <f>'Lookups-Assumptions'!$D$6</f>
        <v>Evaluated</v>
      </c>
      <c r="D117" s="819">
        <f>'Inputs Yr 2'!$E$2</f>
        <v>2017</v>
      </c>
      <c r="E117" s="696" t="s">
        <v>1053</v>
      </c>
      <c r="F117" s="696" t="s">
        <v>83</v>
      </c>
      <c r="G117" s="696" t="s">
        <v>873</v>
      </c>
      <c r="H117" s="696" t="s">
        <v>661</v>
      </c>
      <c r="I117" s="696" t="s">
        <v>1350</v>
      </c>
      <c r="J117" s="820">
        <v>1</v>
      </c>
      <c r="K117" s="821">
        <v>475450</v>
      </c>
      <c r="L117" s="786">
        <v>0</v>
      </c>
      <c r="M117" s="786">
        <v>0</v>
      </c>
      <c r="N117" s="786">
        <v>13615.005218000002</v>
      </c>
      <c r="O117" s="786">
        <v>204225.07827000003</v>
      </c>
      <c r="P117" s="786">
        <v>0</v>
      </c>
      <c r="Q117" s="786">
        <v>0</v>
      </c>
      <c r="R117" s="786">
        <v>0</v>
      </c>
      <c r="S117" s="786">
        <v>0</v>
      </c>
      <c r="T117" s="786">
        <v>0</v>
      </c>
      <c r="U117" s="822">
        <v>0</v>
      </c>
      <c r="V117" s="821">
        <v>0</v>
      </c>
      <c r="W117" s="821">
        <v>1732698.2676753099</v>
      </c>
      <c r="X117" s="821">
        <v>0</v>
      </c>
      <c r="Y117" s="821">
        <v>0</v>
      </c>
      <c r="Z117" s="821">
        <v>0</v>
      </c>
      <c r="AA117" s="821">
        <v>0</v>
      </c>
      <c r="AB117" s="823">
        <v>1732698.2676753099</v>
      </c>
    </row>
    <row r="118" spans="1:28">
      <c r="A118" s="696" t="str">
        <f t="shared" si="1"/>
        <v>National Grid</v>
      </c>
      <c r="B118" s="696" t="str">
        <f>'Lookups-Assumptions'!$D$4</f>
        <v>Gas</v>
      </c>
      <c r="C118" s="696" t="str">
        <f>'Lookups-Assumptions'!$D$6</f>
        <v>Evaluated</v>
      </c>
      <c r="D118" s="819">
        <f>'Inputs Yr 2'!$E$2</f>
        <v>2017</v>
      </c>
      <c r="E118"/>
      <c r="F118" s="696" t="s">
        <v>83</v>
      </c>
      <c r="G118" s="696" t="s">
        <v>873</v>
      </c>
      <c r="H118" s="696" t="s">
        <v>661</v>
      </c>
      <c r="I118" s="696" t="s">
        <v>1351</v>
      </c>
      <c r="J118" s="820">
        <v>1</v>
      </c>
      <c r="K118" s="821">
        <v>104419</v>
      </c>
      <c r="L118" s="786">
        <v>0</v>
      </c>
      <c r="M118" s="786">
        <v>0</v>
      </c>
      <c r="N118" s="786">
        <v>1792.2581535000002</v>
      </c>
      <c r="O118" s="786">
        <v>35845.163070000002</v>
      </c>
      <c r="P118" s="786">
        <v>0</v>
      </c>
      <c r="Q118" s="786">
        <v>0</v>
      </c>
      <c r="R118" s="786">
        <v>0</v>
      </c>
      <c r="S118" s="786">
        <v>0</v>
      </c>
      <c r="T118" s="786">
        <v>0</v>
      </c>
      <c r="U118" s="822">
        <v>0</v>
      </c>
      <c r="V118" s="821">
        <v>0</v>
      </c>
      <c r="W118" s="821">
        <v>308810.61257735977</v>
      </c>
      <c r="X118" s="821">
        <v>0</v>
      </c>
      <c r="Y118" s="821">
        <v>0</v>
      </c>
      <c r="Z118" s="821">
        <v>0</v>
      </c>
      <c r="AA118" s="821">
        <v>0</v>
      </c>
      <c r="AB118" s="823">
        <v>308810.61257735977</v>
      </c>
    </row>
    <row r="119" spans="1:28">
      <c r="A119" s="696" t="str">
        <f t="shared" si="1"/>
        <v>National Grid</v>
      </c>
      <c r="B119" s="696" t="str">
        <f>'Lookups-Assumptions'!$D$4</f>
        <v>Gas</v>
      </c>
      <c r="C119" s="696" t="str">
        <f>'Lookups-Assumptions'!$D$6</f>
        <v>Evaluated</v>
      </c>
      <c r="D119" s="819">
        <f>'Inputs Yr 2'!$E$2</f>
        <v>2017</v>
      </c>
      <c r="E119" s="696" t="s">
        <v>1054</v>
      </c>
      <c r="F119" s="696" t="s">
        <v>83</v>
      </c>
      <c r="G119" s="696" t="s">
        <v>873</v>
      </c>
      <c r="H119" s="696" t="s">
        <v>661</v>
      </c>
      <c r="I119" s="696" t="s">
        <v>1353</v>
      </c>
      <c r="J119" s="820">
        <v>1</v>
      </c>
      <c r="K119" s="821">
        <v>160157.20000000001</v>
      </c>
      <c r="L119" s="786">
        <v>0</v>
      </c>
      <c r="M119" s="786">
        <v>0</v>
      </c>
      <c r="N119" s="786">
        <v>6001.1833127000009</v>
      </c>
      <c r="O119" s="786">
        <v>90017.749690500015</v>
      </c>
      <c r="P119" s="786">
        <v>0</v>
      </c>
      <c r="Q119" s="786">
        <v>0</v>
      </c>
      <c r="R119" s="786">
        <v>0</v>
      </c>
      <c r="S119" s="786">
        <v>0</v>
      </c>
      <c r="T119" s="786">
        <v>0</v>
      </c>
      <c r="U119" s="822">
        <v>0</v>
      </c>
      <c r="V119" s="821">
        <v>0</v>
      </c>
      <c r="W119" s="821">
        <v>763733.81893163442</v>
      </c>
      <c r="X119" s="821">
        <v>0</v>
      </c>
      <c r="Y119" s="821">
        <v>0</v>
      </c>
      <c r="Z119" s="821">
        <v>0</v>
      </c>
      <c r="AA119" s="821">
        <v>0</v>
      </c>
      <c r="AB119" s="823">
        <v>763733.81893163442</v>
      </c>
    </row>
    <row r="120" spans="1:28">
      <c r="A120" s="696" t="str">
        <f t="shared" si="1"/>
        <v>National Grid</v>
      </c>
      <c r="B120" s="696" t="str">
        <f>'Lookups-Assumptions'!$D$4</f>
        <v>Gas</v>
      </c>
      <c r="C120" s="696" t="str">
        <f>'Lookups-Assumptions'!$D$6</f>
        <v>Evaluated</v>
      </c>
      <c r="D120" s="819">
        <f>'Inputs Yr 2'!$E$2</f>
        <v>2017</v>
      </c>
      <c r="E120"/>
      <c r="F120" s="696" t="s">
        <v>83</v>
      </c>
      <c r="G120" s="696" t="s">
        <v>873</v>
      </c>
      <c r="H120" s="696" t="s">
        <v>661</v>
      </c>
      <c r="I120" s="696" t="s">
        <v>1355</v>
      </c>
      <c r="J120" s="820">
        <v>1</v>
      </c>
      <c r="K120" s="821">
        <v>68903.5</v>
      </c>
      <c r="L120" s="786">
        <v>0</v>
      </c>
      <c r="M120" s="786">
        <v>0</v>
      </c>
      <c r="N120" s="786">
        <v>1842.9439443000003</v>
      </c>
      <c r="O120" s="786">
        <v>36858.878886000006</v>
      </c>
      <c r="P120" s="786">
        <v>0</v>
      </c>
      <c r="Q120" s="786">
        <v>0</v>
      </c>
      <c r="R120" s="786">
        <v>0</v>
      </c>
      <c r="S120" s="786">
        <v>0</v>
      </c>
      <c r="T120" s="786">
        <v>0</v>
      </c>
      <c r="U120" s="822">
        <v>0</v>
      </c>
      <c r="V120" s="821">
        <v>0</v>
      </c>
      <c r="W120" s="821">
        <v>317543.90251963143</v>
      </c>
      <c r="X120" s="821">
        <v>0</v>
      </c>
      <c r="Y120" s="821">
        <v>0</v>
      </c>
      <c r="Z120" s="821">
        <v>0</v>
      </c>
      <c r="AA120" s="821">
        <v>0</v>
      </c>
      <c r="AB120" s="823">
        <v>317543.90251963143</v>
      </c>
    </row>
    <row r="121" spans="1:28">
      <c r="A121" s="696" t="str">
        <f t="shared" si="1"/>
        <v>National Grid</v>
      </c>
      <c r="B121" s="696" t="str">
        <f>'Lookups-Assumptions'!$D$4</f>
        <v>Gas</v>
      </c>
      <c r="C121" s="696" t="str">
        <f>'Lookups-Assumptions'!$D$6</f>
        <v>Evaluated</v>
      </c>
      <c r="D121" s="819">
        <f>'Inputs Yr 2'!$E$2</f>
        <v>2017</v>
      </c>
      <c r="E121"/>
      <c r="F121" s="696" t="s">
        <v>83</v>
      </c>
      <c r="G121" s="696" t="s">
        <v>873</v>
      </c>
      <c r="H121" s="696" t="s">
        <v>661</v>
      </c>
      <c r="I121" s="696" t="s">
        <v>1356</v>
      </c>
      <c r="J121" s="820">
        <v>1</v>
      </c>
      <c r="K121" s="821">
        <v>73749</v>
      </c>
      <c r="L121" s="786">
        <v>0</v>
      </c>
      <c r="M121" s="786">
        <v>0</v>
      </c>
      <c r="N121" s="786">
        <v>2755.3597688</v>
      </c>
      <c r="O121" s="786">
        <v>68883.994219999993</v>
      </c>
      <c r="P121" s="786">
        <v>0</v>
      </c>
      <c r="Q121" s="786">
        <v>0</v>
      </c>
      <c r="R121" s="786">
        <v>0</v>
      </c>
      <c r="S121" s="786">
        <v>0</v>
      </c>
      <c r="T121" s="786">
        <v>0</v>
      </c>
      <c r="U121" s="822">
        <v>0</v>
      </c>
      <c r="V121" s="821">
        <v>0</v>
      </c>
      <c r="W121" s="821">
        <v>605529.30927648698</v>
      </c>
      <c r="X121" s="821">
        <v>0</v>
      </c>
      <c r="Y121" s="821">
        <v>0</v>
      </c>
      <c r="Z121" s="821">
        <v>0</v>
      </c>
      <c r="AA121" s="821">
        <v>0</v>
      </c>
      <c r="AB121" s="823">
        <v>605529.30927648698</v>
      </c>
    </row>
    <row r="122" spans="1:28">
      <c r="A122" s="696" t="str">
        <f t="shared" si="1"/>
        <v>National Grid</v>
      </c>
      <c r="B122" s="696" t="str">
        <f>'Lookups-Assumptions'!$D$4</f>
        <v>Gas</v>
      </c>
      <c r="C122" s="696" t="str">
        <f>'Lookups-Assumptions'!$D$6</f>
        <v>Evaluated</v>
      </c>
      <c r="D122" s="819">
        <f>'Inputs Yr 2'!$E$2</f>
        <v>2017</v>
      </c>
      <c r="E122" s="696" t="s">
        <v>1056</v>
      </c>
      <c r="F122" s="696" t="s">
        <v>83</v>
      </c>
      <c r="G122" s="696" t="s">
        <v>873</v>
      </c>
      <c r="H122" s="696" t="s">
        <v>661</v>
      </c>
      <c r="I122" s="696" t="s">
        <v>1403</v>
      </c>
      <c r="J122" s="820">
        <v>0</v>
      </c>
      <c r="K122" s="821">
        <v>0</v>
      </c>
      <c r="L122" s="786">
        <v>0</v>
      </c>
      <c r="M122" s="786">
        <v>0</v>
      </c>
      <c r="N122" s="786">
        <v>0</v>
      </c>
      <c r="O122" s="786">
        <v>0</v>
      </c>
      <c r="P122" s="786">
        <v>0</v>
      </c>
      <c r="Q122" s="786">
        <v>0</v>
      </c>
      <c r="R122" s="786">
        <v>0</v>
      </c>
      <c r="S122" s="786">
        <v>0</v>
      </c>
      <c r="T122" s="786">
        <v>0</v>
      </c>
      <c r="U122" s="822">
        <v>0</v>
      </c>
      <c r="V122" s="821">
        <v>0</v>
      </c>
      <c r="W122" s="821">
        <v>0</v>
      </c>
      <c r="X122" s="821">
        <v>0</v>
      </c>
      <c r="Y122" s="821">
        <v>0</v>
      </c>
      <c r="Z122" s="821">
        <v>0</v>
      </c>
      <c r="AA122" s="821">
        <v>0</v>
      </c>
      <c r="AB122" s="823">
        <v>0</v>
      </c>
    </row>
    <row r="123" spans="1:28">
      <c r="A123" s="696" t="str">
        <f t="shared" si="1"/>
        <v>National Grid</v>
      </c>
      <c r="B123" s="696" t="str">
        <f>'Lookups-Assumptions'!$D$4</f>
        <v>Gas</v>
      </c>
      <c r="C123" s="696" t="str">
        <f>'Lookups-Assumptions'!$D$6</f>
        <v>Evaluated</v>
      </c>
      <c r="D123" s="819">
        <f>'Inputs Yr 2'!$E$2</f>
        <v>2017</v>
      </c>
      <c r="E123" s="696" t="s">
        <v>1058</v>
      </c>
      <c r="F123" s="696" t="s">
        <v>83</v>
      </c>
      <c r="G123" s="696" t="s">
        <v>873</v>
      </c>
      <c r="H123" s="696" t="s">
        <v>661</v>
      </c>
      <c r="I123" s="696" t="s">
        <v>772</v>
      </c>
      <c r="J123" s="820">
        <v>15</v>
      </c>
      <c r="K123" s="821">
        <v>93847.410999999993</v>
      </c>
      <c r="L123" s="786">
        <v>0</v>
      </c>
      <c r="M123" s="786">
        <v>0</v>
      </c>
      <c r="N123" s="786">
        <v>5362.7091999999993</v>
      </c>
      <c r="O123" s="786">
        <v>80440.637999999992</v>
      </c>
      <c r="P123" s="786">
        <v>0</v>
      </c>
      <c r="Q123" s="786">
        <v>0</v>
      </c>
      <c r="R123" s="786">
        <v>0</v>
      </c>
      <c r="S123" s="786">
        <v>0</v>
      </c>
      <c r="T123" s="786">
        <v>0</v>
      </c>
      <c r="U123" s="822">
        <v>0</v>
      </c>
      <c r="V123" s="821">
        <v>0</v>
      </c>
      <c r="W123" s="821">
        <v>619166.87621172005</v>
      </c>
      <c r="X123" s="821">
        <v>0</v>
      </c>
      <c r="Y123" s="821">
        <v>0</v>
      </c>
      <c r="Z123" s="821">
        <v>0</v>
      </c>
      <c r="AA123" s="821">
        <v>0</v>
      </c>
      <c r="AB123" s="823">
        <v>619166.87621172005</v>
      </c>
    </row>
    <row r="124" spans="1:28">
      <c r="A124" s="696" t="str">
        <f t="shared" si="1"/>
        <v>National Grid</v>
      </c>
      <c r="B124" s="696" t="str">
        <f>'Lookups-Assumptions'!$D$4</f>
        <v>Gas</v>
      </c>
      <c r="C124" s="696" t="str">
        <f>'Lookups-Assumptions'!$D$6</f>
        <v>Evaluated</v>
      </c>
      <c r="D124" s="819">
        <f>'Inputs Yr 2'!$E$2</f>
        <v>2017</v>
      </c>
      <c r="E124" s="696" t="s">
        <v>1060</v>
      </c>
      <c r="F124" s="696" t="s">
        <v>83</v>
      </c>
      <c r="G124" s="696" t="s">
        <v>873</v>
      </c>
      <c r="H124" s="696" t="s">
        <v>661</v>
      </c>
      <c r="I124" s="696" t="s">
        <v>84</v>
      </c>
      <c r="J124" s="820">
        <v>0</v>
      </c>
      <c r="K124" s="821">
        <v>0</v>
      </c>
      <c r="L124" s="786">
        <v>0</v>
      </c>
      <c r="M124" s="786">
        <v>0</v>
      </c>
      <c r="N124" s="786">
        <v>0</v>
      </c>
      <c r="O124" s="786">
        <v>0</v>
      </c>
      <c r="P124" s="786">
        <v>0</v>
      </c>
      <c r="Q124" s="786">
        <v>0</v>
      </c>
      <c r="R124" s="786">
        <v>0</v>
      </c>
      <c r="S124" s="786">
        <v>0</v>
      </c>
      <c r="T124" s="786">
        <v>0</v>
      </c>
      <c r="U124" s="822">
        <v>0</v>
      </c>
      <c r="V124" s="821">
        <v>0</v>
      </c>
      <c r="W124" s="821">
        <v>0</v>
      </c>
      <c r="X124" s="821">
        <v>0</v>
      </c>
      <c r="Y124" s="821">
        <v>0</v>
      </c>
      <c r="Z124" s="821">
        <v>0</v>
      </c>
      <c r="AA124" s="821">
        <v>0</v>
      </c>
      <c r="AB124" s="823">
        <v>0</v>
      </c>
    </row>
    <row r="125" spans="1:28">
      <c r="A125" s="696" t="str">
        <f t="shared" si="1"/>
        <v>National Grid</v>
      </c>
      <c r="B125" s="696" t="str">
        <f>'Lookups-Assumptions'!$D$4</f>
        <v>Gas</v>
      </c>
      <c r="C125" s="696" t="str">
        <f>'Lookups-Assumptions'!$D$6</f>
        <v>Evaluated</v>
      </c>
      <c r="D125" s="819">
        <f>'Inputs Yr 2'!$E$2</f>
        <v>2017</v>
      </c>
      <c r="E125" s="696" t="s">
        <v>1062</v>
      </c>
      <c r="F125" s="696" t="s">
        <v>83</v>
      </c>
      <c r="G125" s="696" t="s">
        <v>873</v>
      </c>
      <c r="H125" s="696" t="s">
        <v>661</v>
      </c>
      <c r="I125" s="696" t="s">
        <v>720</v>
      </c>
      <c r="J125" s="820">
        <v>15</v>
      </c>
      <c r="K125" s="821">
        <v>59734.743250000007</v>
      </c>
      <c r="L125" s="786">
        <v>0</v>
      </c>
      <c r="M125" s="786">
        <v>0</v>
      </c>
      <c r="N125" s="786">
        <v>3413.4139000000005</v>
      </c>
      <c r="O125" s="786">
        <v>85335.347500000018</v>
      </c>
      <c r="P125" s="786">
        <v>0</v>
      </c>
      <c r="Q125" s="786">
        <v>0</v>
      </c>
      <c r="R125" s="786">
        <v>0</v>
      </c>
      <c r="S125" s="786">
        <v>0</v>
      </c>
      <c r="T125" s="786">
        <v>0</v>
      </c>
      <c r="U125" s="822">
        <v>0</v>
      </c>
      <c r="V125" s="821">
        <v>0</v>
      </c>
      <c r="W125" s="821">
        <v>750146.01887793932</v>
      </c>
      <c r="X125" s="821">
        <v>0</v>
      </c>
      <c r="Y125" s="821">
        <v>0</v>
      </c>
      <c r="Z125" s="821">
        <v>0</v>
      </c>
      <c r="AA125" s="821">
        <v>36020.165852830491</v>
      </c>
      <c r="AB125" s="823">
        <v>786166.18473076983</v>
      </c>
    </row>
    <row r="126" spans="1:28">
      <c r="A126" s="696" t="str">
        <f t="shared" si="1"/>
        <v>National Grid</v>
      </c>
      <c r="B126" s="696" t="str">
        <f>'Lookups-Assumptions'!$D$4</f>
        <v>Gas</v>
      </c>
      <c r="C126" s="696" t="str">
        <f>'Lookups-Assumptions'!$D$6</f>
        <v>Evaluated</v>
      </c>
      <c r="D126" s="819">
        <f>'Inputs Yr 2'!$E$2</f>
        <v>2017</v>
      </c>
      <c r="E126" s="696" t="s">
        <v>1064</v>
      </c>
      <c r="F126" s="696" t="s">
        <v>83</v>
      </c>
      <c r="G126" s="696" t="s">
        <v>873</v>
      </c>
      <c r="H126" s="696" t="s">
        <v>661</v>
      </c>
      <c r="I126" s="696" t="s">
        <v>1362</v>
      </c>
      <c r="J126" s="820">
        <v>1</v>
      </c>
      <c r="K126" s="821">
        <v>24851.5</v>
      </c>
      <c r="L126" s="786">
        <v>0</v>
      </c>
      <c r="M126" s="786">
        <v>0</v>
      </c>
      <c r="N126" s="786">
        <v>846.05180180000002</v>
      </c>
      <c r="O126" s="786">
        <v>12690.777027</v>
      </c>
      <c r="P126" s="786">
        <v>0</v>
      </c>
      <c r="Q126" s="786">
        <v>0</v>
      </c>
      <c r="R126" s="786">
        <v>0</v>
      </c>
      <c r="S126" s="786">
        <v>0</v>
      </c>
      <c r="T126" s="786">
        <v>0</v>
      </c>
      <c r="U126" s="822">
        <v>0</v>
      </c>
      <c r="V126" s="821">
        <v>0</v>
      </c>
      <c r="W126" s="821">
        <v>104164.06923921571</v>
      </c>
      <c r="X126" s="821">
        <v>0</v>
      </c>
      <c r="Y126" s="821">
        <v>0</v>
      </c>
      <c r="Z126" s="821">
        <v>0</v>
      </c>
      <c r="AA126" s="821">
        <v>-3684.5742744824952</v>
      </c>
      <c r="AB126" s="823">
        <v>100479.49496473321</v>
      </c>
    </row>
    <row r="127" spans="1:28">
      <c r="A127" s="696" t="str">
        <f t="shared" si="1"/>
        <v>National Grid</v>
      </c>
      <c r="B127" s="696" t="str">
        <f>'Lookups-Assumptions'!$D$4</f>
        <v>Gas</v>
      </c>
      <c r="C127" s="696" t="str">
        <f>'Lookups-Assumptions'!$D$6</f>
        <v>Evaluated</v>
      </c>
      <c r="D127" s="819">
        <f>'Inputs Yr 2'!$E$2</f>
        <v>2017</v>
      </c>
      <c r="E127"/>
      <c r="F127" s="696" t="s">
        <v>83</v>
      </c>
      <c r="G127" s="696" t="s">
        <v>873</v>
      </c>
      <c r="H127" s="696" t="s">
        <v>661</v>
      </c>
      <c r="I127" s="696" t="s">
        <v>1509</v>
      </c>
      <c r="J127" s="820">
        <v>1</v>
      </c>
      <c r="K127" s="821">
        <v>134849</v>
      </c>
      <c r="L127" s="786">
        <v>0</v>
      </c>
      <c r="M127" s="786">
        <v>0</v>
      </c>
      <c r="N127" s="786">
        <v>9148.2841087000015</v>
      </c>
      <c r="O127" s="786">
        <v>91482.841087000008</v>
      </c>
      <c r="P127" s="786">
        <v>0</v>
      </c>
      <c r="Q127" s="786">
        <v>0</v>
      </c>
      <c r="R127" s="786">
        <v>0</v>
      </c>
      <c r="S127" s="786">
        <v>0</v>
      </c>
      <c r="T127" s="786">
        <v>0</v>
      </c>
      <c r="U127" s="822">
        <v>0</v>
      </c>
      <c r="V127" s="821">
        <v>0</v>
      </c>
      <c r="W127" s="821">
        <v>752259.23780164158</v>
      </c>
      <c r="X127" s="821">
        <v>0</v>
      </c>
      <c r="Y127" s="821">
        <v>0</v>
      </c>
      <c r="Z127" s="821">
        <v>0</v>
      </c>
      <c r="AA127" s="821">
        <v>-26851.089260605619</v>
      </c>
      <c r="AB127" s="823">
        <v>725408.14854103595</v>
      </c>
    </row>
    <row r="128" spans="1:28">
      <c r="A128" s="696" t="str">
        <f t="shared" si="1"/>
        <v>National Grid</v>
      </c>
      <c r="B128" s="696" t="str">
        <f>'Lookups-Assumptions'!$D$4</f>
        <v>Gas</v>
      </c>
      <c r="C128" s="696" t="str">
        <f>'Lookups-Assumptions'!$D$6</f>
        <v>Evaluated</v>
      </c>
      <c r="D128" s="819">
        <f>'Inputs Yr 2'!$E$2</f>
        <v>2017</v>
      </c>
      <c r="E128"/>
      <c r="F128" s="696" t="s">
        <v>83</v>
      </c>
      <c r="G128" s="696" t="s">
        <v>873</v>
      </c>
      <c r="H128" s="696" t="s">
        <v>661</v>
      </c>
      <c r="I128" s="696" t="s">
        <v>1510</v>
      </c>
      <c r="J128" s="820">
        <v>1</v>
      </c>
      <c r="K128" s="821">
        <v>159024</v>
      </c>
      <c r="L128" s="786">
        <v>0</v>
      </c>
      <c r="M128" s="786">
        <v>0</v>
      </c>
      <c r="N128" s="786">
        <v>1098.1921340000001</v>
      </c>
      <c r="O128" s="786">
        <v>21963.842680000002</v>
      </c>
      <c r="P128" s="786">
        <v>0</v>
      </c>
      <c r="Q128" s="786">
        <v>0</v>
      </c>
      <c r="R128" s="786">
        <v>0</v>
      </c>
      <c r="S128" s="786">
        <v>0</v>
      </c>
      <c r="T128" s="786">
        <v>0</v>
      </c>
      <c r="U128" s="822">
        <v>0</v>
      </c>
      <c r="V128" s="821">
        <v>0</v>
      </c>
      <c r="W128" s="821">
        <v>183285.5589887409</v>
      </c>
      <c r="X128" s="821">
        <v>0</v>
      </c>
      <c r="Y128" s="821">
        <v>0</v>
      </c>
      <c r="Z128" s="821">
        <v>0</v>
      </c>
      <c r="AA128" s="821">
        <v>-6308.145459039707</v>
      </c>
      <c r="AB128" s="823">
        <v>176977.41352970118</v>
      </c>
    </row>
    <row r="129" spans="1:28">
      <c r="A129" s="696" t="str">
        <f t="shared" si="1"/>
        <v>National Grid</v>
      </c>
      <c r="B129" s="696" t="str">
        <f>'Lookups-Assumptions'!$D$4</f>
        <v>Gas</v>
      </c>
      <c r="C129" s="696" t="str">
        <f>'Lookups-Assumptions'!$D$6</f>
        <v>Evaluated</v>
      </c>
      <c r="D129" s="819">
        <f>'Inputs Yr 2'!$E$2</f>
        <v>2017</v>
      </c>
      <c r="E129" s="696" t="s">
        <v>1065</v>
      </c>
      <c r="F129" s="696" t="s">
        <v>83</v>
      </c>
      <c r="G129" s="696" t="s">
        <v>873</v>
      </c>
      <c r="H129" s="696" t="s">
        <v>661</v>
      </c>
      <c r="I129" s="696" t="s">
        <v>719</v>
      </c>
      <c r="J129" s="820">
        <v>1</v>
      </c>
      <c r="K129" s="821">
        <v>0</v>
      </c>
      <c r="L129" s="786">
        <v>0</v>
      </c>
      <c r="M129" s="786">
        <v>0</v>
      </c>
      <c r="N129" s="786">
        <v>3123.3</v>
      </c>
      <c r="O129" s="786">
        <v>62466</v>
      </c>
      <c r="P129" s="786">
        <v>0</v>
      </c>
      <c r="Q129" s="786">
        <v>0</v>
      </c>
      <c r="R129" s="786">
        <v>0</v>
      </c>
      <c r="S129" s="786">
        <v>0</v>
      </c>
      <c r="T129" s="786">
        <v>0</v>
      </c>
      <c r="U129" s="822">
        <v>0</v>
      </c>
      <c r="V129" s="821">
        <v>0</v>
      </c>
      <c r="W129" s="821">
        <v>538152.48901467351</v>
      </c>
      <c r="X129" s="821">
        <v>0</v>
      </c>
      <c r="Y129" s="821">
        <v>0</v>
      </c>
      <c r="Z129" s="821">
        <v>0</v>
      </c>
      <c r="AA129" s="821">
        <v>0</v>
      </c>
      <c r="AB129" s="823">
        <v>538152.48901467351</v>
      </c>
    </row>
    <row r="130" spans="1:28">
      <c r="A130" s="696" t="str">
        <f t="shared" si="1"/>
        <v>National Grid</v>
      </c>
      <c r="B130" s="696" t="str">
        <f>'Lookups-Assumptions'!$D$4</f>
        <v>Gas</v>
      </c>
      <c r="C130" s="696" t="str">
        <f>'Lookups-Assumptions'!$D$6</f>
        <v>Evaluated</v>
      </c>
      <c r="D130" s="819">
        <f>'Inputs Yr 2'!$E$2</f>
        <v>2017</v>
      </c>
      <c r="E130" s="696" t="s">
        <v>1066</v>
      </c>
      <c r="F130" s="696" t="s">
        <v>83</v>
      </c>
      <c r="G130" s="696" t="s">
        <v>873</v>
      </c>
      <c r="H130" s="696" t="s">
        <v>661</v>
      </c>
      <c r="I130" s="696" t="s">
        <v>1359</v>
      </c>
      <c r="J130" s="820">
        <v>1</v>
      </c>
      <c r="K130" s="821">
        <v>3067.5</v>
      </c>
      <c r="L130" s="786">
        <v>0</v>
      </c>
      <c r="M130" s="786">
        <v>0</v>
      </c>
      <c r="N130" s="786">
        <v>146.40175450000001</v>
      </c>
      <c r="O130" s="786">
        <v>1464.0175450000002</v>
      </c>
      <c r="P130" s="786">
        <v>0</v>
      </c>
      <c r="Q130" s="786">
        <v>0</v>
      </c>
      <c r="R130" s="786">
        <v>0</v>
      </c>
      <c r="S130" s="786">
        <v>0</v>
      </c>
      <c r="T130" s="786">
        <v>0</v>
      </c>
      <c r="U130" s="822">
        <v>0</v>
      </c>
      <c r="V130" s="821">
        <v>0</v>
      </c>
      <c r="W130" s="821">
        <v>12038.549627930519</v>
      </c>
      <c r="X130" s="821">
        <v>0</v>
      </c>
      <c r="Y130" s="821">
        <v>0</v>
      </c>
      <c r="Z130" s="821">
        <v>0</v>
      </c>
      <c r="AA130" s="821">
        <v>0</v>
      </c>
      <c r="AB130" s="823">
        <v>12038.549627930519</v>
      </c>
    </row>
    <row r="131" spans="1:28">
      <c r="A131" s="696" t="str">
        <f t="shared" ref="A131:A194" si="2">PA</f>
        <v>National Grid</v>
      </c>
      <c r="B131" s="696" t="str">
        <f>'Lookups-Assumptions'!$D$4</f>
        <v>Gas</v>
      </c>
      <c r="C131" s="696" t="str">
        <f>'Lookups-Assumptions'!$D$6</f>
        <v>Evaluated</v>
      </c>
      <c r="D131" s="819">
        <f>'Inputs Yr 2'!$E$2</f>
        <v>2017</v>
      </c>
      <c r="E131"/>
      <c r="F131" s="696" t="s">
        <v>83</v>
      </c>
      <c r="G131" s="696" t="s">
        <v>873</v>
      </c>
      <c r="H131" s="696" t="s">
        <v>661</v>
      </c>
      <c r="I131" s="696" t="s">
        <v>1361</v>
      </c>
      <c r="J131" s="820">
        <v>1</v>
      </c>
      <c r="K131" s="821">
        <v>297881</v>
      </c>
      <c r="L131" s="786">
        <v>0</v>
      </c>
      <c r="M131" s="786">
        <v>0</v>
      </c>
      <c r="N131" s="786">
        <v>31456.818802180005</v>
      </c>
      <c r="O131" s="786">
        <v>629136.37604360015</v>
      </c>
      <c r="P131" s="786">
        <v>0</v>
      </c>
      <c r="Q131" s="786">
        <v>0</v>
      </c>
      <c r="R131" s="786">
        <v>0</v>
      </c>
      <c r="S131" s="786">
        <v>0</v>
      </c>
      <c r="T131" s="786">
        <v>0</v>
      </c>
      <c r="U131" s="822">
        <v>0</v>
      </c>
      <c r="V131" s="821">
        <v>0</v>
      </c>
      <c r="W131" s="821">
        <v>5250065.4845931511</v>
      </c>
      <c r="X131" s="821">
        <v>0</v>
      </c>
      <c r="Y131" s="821">
        <v>0</v>
      </c>
      <c r="Z131" s="821">
        <v>0</v>
      </c>
      <c r="AA131" s="821">
        <v>0</v>
      </c>
      <c r="AB131" s="823">
        <v>5250065.4845931511</v>
      </c>
    </row>
    <row r="132" spans="1:28">
      <c r="A132" s="696" t="str">
        <f t="shared" si="2"/>
        <v>National Grid</v>
      </c>
      <c r="B132" s="696" t="str">
        <f>'Lookups-Assumptions'!$D$4</f>
        <v>Gas</v>
      </c>
      <c r="C132" s="696" t="str">
        <f>'Lookups-Assumptions'!$D$6</f>
        <v>Evaluated</v>
      </c>
      <c r="D132" s="819">
        <f>'Inputs Yr 2'!$E$2</f>
        <v>2017</v>
      </c>
      <c r="E132" s="696" t="s">
        <v>1067</v>
      </c>
      <c r="F132" s="696" t="s">
        <v>83</v>
      </c>
      <c r="G132" s="696" t="s">
        <v>873</v>
      </c>
      <c r="H132" s="696" t="s">
        <v>661</v>
      </c>
      <c r="I132" s="696" t="s">
        <v>752</v>
      </c>
      <c r="J132" s="820">
        <v>0</v>
      </c>
      <c r="K132" s="821">
        <v>0</v>
      </c>
      <c r="L132" s="786">
        <v>0</v>
      </c>
      <c r="M132" s="786">
        <v>0</v>
      </c>
      <c r="N132" s="786">
        <v>0</v>
      </c>
      <c r="O132" s="786">
        <v>0</v>
      </c>
      <c r="P132" s="786">
        <v>0</v>
      </c>
      <c r="Q132" s="786">
        <v>0</v>
      </c>
      <c r="R132" s="786">
        <v>0</v>
      </c>
      <c r="S132" s="786">
        <v>0</v>
      </c>
      <c r="T132" s="786">
        <v>0</v>
      </c>
      <c r="U132" s="822">
        <v>0</v>
      </c>
      <c r="V132" s="821">
        <v>0</v>
      </c>
      <c r="W132" s="821">
        <v>0</v>
      </c>
      <c r="X132" s="821">
        <v>0</v>
      </c>
      <c r="Y132" s="821">
        <v>0</v>
      </c>
      <c r="Z132" s="821">
        <v>0</v>
      </c>
      <c r="AA132" s="821">
        <v>0</v>
      </c>
      <c r="AB132" s="823">
        <v>0</v>
      </c>
    </row>
    <row r="133" spans="1:28">
      <c r="A133" s="696" t="str">
        <f t="shared" si="2"/>
        <v>National Grid</v>
      </c>
      <c r="B133" s="696" t="str">
        <f>'Lookups-Assumptions'!$D$4</f>
        <v>Gas</v>
      </c>
      <c r="C133" s="696" t="str">
        <f>'Lookups-Assumptions'!$D$6</f>
        <v>Evaluated</v>
      </c>
      <c r="D133" s="819">
        <f>'Inputs Yr 2'!$E$2</f>
        <v>2017</v>
      </c>
      <c r="E133" s="696" t="s">
        <v>1068</v>
      </c>
      <c r="F133" s="696" t="s">
        <v>83</v>
      </c>
      <c r="G133" s="696" t="s">
        <v>873</v>
      </c>
      <c r="H133" s="696" t="s">
        <v>661</v>
      </c>
      <c r="I133" s="696" t="s">
        <v>753</v>
      </c>
      <c r="J133" s="820">
        <v>0</v>
      </c>
      <c r="K133" s="821">
        <v>0</v>
      </c>
      <c r="L133" s="786">
        <v>0</v>
      </c>
      <c r="M133" s="786">
        <v>0</v>
      </c>
      <c r="N133" s="786">
        <v>0</v>
      </c>
      <c r="O133" s="786">
        <v>0</v>
      </c>
      <c r="P133" s="786">
        <v>0</v>
      </c>
      <c r="Q133" s="786">
        <v>0</v>
      </c>
      <c r="R133" s="786">
        <v>0</v>
      </c>
      <c r="S133" s="786">
        <v>0</v>
      </c>
      <c r="T133" s="786">
        <v>0</v>
      </c>
      <c r="U133" s="822">
        <v>0</v>
      </c>
      <c r="V133" s="821">
        <v>0</v>
      </c>
      <c r="W133" s="821">
        <v>0</v>
      </c>
      <c r="X133" s="821">
        <v>0</v>
      </c>
      <c r="Y133" s="821">
        <v>0</v>
      </c>
      <c r="Z133" s="821">
        <v>0</v>
      </c>
      <c r="AA133" s="821">
        <v>0</v>
      </c>
      <c r="AB133" s="823">
        <v>0</v>
      </c>
    </row>
    <row r="134" spans="1:28">
      <c r="A134" s="696" t="str">
        <f t="shared" si="2"/>
        <v>National Grid</v>
      </c>
      <c r="B134" s="696" t="str">
        <f>'Lookups-Assumptions'!$D$4</f>
        <v>Gas</v>
      </c>
      <c r="C134" s="696" t="str">
        <f>'Lookups-Assumptions'!$D$6</f>
        <v>Evaluated</v>
      </c>
      <c r="D134" s="819">
        <f>'Inputs Yr 2'!$E$2</f>
        <v>2017</v>
      </c>
      <c r="E134" s="696" t="s">
        <v>1069</v>
      </c>
      <c r="F134" s="696" t="s">
        <v>83</v>
      </c>
      <c r="G134" s="696" t="s">
        <v>873</v>
      </c>
      <c r="H134" s="696" t="s">
        <v>661</v>
      </c>
      <c r="I134" s="696" t="s">
        <v>754</v>
      </c>
      <c r="J134" s="820">
        <v>0</v>
      </c>
      <c r="K134" s="821">
        <v>0</v>
      </c>
      <c r="L134" s="786">
        <v>0</v>
      </c>
      <c r="M134" s="786">
        <v>0</v>
      </c>
      <c r="N134" s="786">
        <v>0</v>
      </c>
      <c r="O134" s="786">
        <v>0</v>
      </c>
      <c r="P134" s="786">
        <v>0</v>
      </c>
      <c r="Q134" s="786">
        <v>0</v>
      </c>
      <c r="R134" s="786">
        <v>0</v>
      </c>
      <c r="S134" s="786">
        <v>0</v>
      </c>
      <c r="T134" s="786">
        <v>0</v>
      </c>
      <c r="U134" s="822">
        <v>0</v>
      </c>
      <c r="V134" s="821">
        <v>0</v>
      </c>
      <c r="W134" s="821">
        <v>0</v>
      </c>
      <c r="X134" s="821">
        <v>0</v>
      </c>
      <c r="Y134" s="821">
        <v>0</v>
      </c>
      <c r="Z134" s="821">
        <v>0</v>
      </c>
      <c r="AA134" s="821">
        <v>0</v>
      </c>
      <c r="AB134" s="823">
        <v>0</v>
      </c>
    </row>
    <row r="135" spans="1:28">
      <c r="A135" s="696" t="str">
        <f t="shared" si="2"/>
        <v>National Grid</v>
      </c>
      <c r="B135" s="696" t="str">
        <f>'Lookups-Assumptions'!$D$4</f>
        <v>Gas</v>
      </c>
      <c r="C135" s="696" t="str">
        <f>'Lookups-Assumptions'!$D$6</f>
        <v>Evaluated</v>
      </c>
      <c r="D135" s="819">
        <f>'Inputs Yr 2'!$E$2</f>
        <v>2017</v>
      </c>
      <c r="E135" s="696" t="s">
        <v>1070</v>
      </c>
      <c r="F135" s="696" t="s">
        <v>83</v>
      </c>
      <c r="G135" s="696" t="s">
        <v>873</v>
      </c>
      <c r="H135" s="696" t="s">
        <v>661</v>
      </c>
      <c r="I135" s="696" t="s">
        <v>755</v>
      </c>
      <c r="J135" s="820">
        <v>0</v>
      </c>
      <c r="K135" s="821">
        <v>0</v>
      </c>
      <c r="L135" s="786">
        <v>0</v>
      </c>
      <c r="M135" s="786">
        <v>0</v>
      </c>
      <c r="N135" s="786">
        <v>0</v>
      </c>
      <c r="O135" s="786">
        <v>0</v>
      </c>
      <c r="P135" s="786">
        <v>0</v>
      </c>
      <c r="Q135" s="786">
        <v>0</v>
      </c>
      <c r="R135" s="786">
        <v>0</v>
      </c>
      <c r="S135" s="786">
        <v>0</v>
      </c>
      <c r="T135" s="786">
        <v>0</v>
      </c>
      <c r="U135" s="822">
        <v>0</v>
      </c>
      <c r="V135" s="821">
        <v>0</v>
      </c>
      <c r="W135" s="821">
        <v>0</v>
      </c>
      <c r="X135" s="821">
        <v>0</v>
      </c>
      <c r="Y135" s="821">
        <v>0</v>
      </c>
      <c r="Z135" s="821">
        <v>0</v>
      </c>
      <c r="AA135" s="821">
        <v>0</v>
      </c>
      <c r="AB135" s="823">
        <v>0</v>
      </c>
    </row>
    <row r="136" spans="1:28">
      <c r="A136" s="696" t="str">
        <f t="shared" si="2"/>
        <v>National Grid</v>
      </c>
      <c r="B136" s="696" t="str">
        <f>'Lookups-Assumptions'!$D$4</f>
        <v>Gas</v>
      </c>
      <c r="C136" s="696" t="str">
        <f>'Lookups-Assumptions'!$D$6</f>
        <v>Evaluated</v>
      </c>
      <c r="D136" s="819">
        <f>'Inputs Yr 2'!$E$2</f>
        <v>2017</v>
      </c>
      <c r="E136" s="696" t="s">
        <v>1071</v>
      </c>
      <c r="F136" s="696" t="s">
        <v>83</v>
      </c>
      <c r="G136" s="696" t="s">
        <v>873</v>
      </c>
      <c r="H136" s="696" t="s">
        <v>661</v>
      </c>
      <c r="I136" s="696" t="s">
        <v>775</v>
      </c>
      <c r="J136" s="820">
        <v>0</v>
      </c>
      <c r="K136" s="821">
        <v>0</v>
      </c>
      <c r="L136" s="786">
        <v>0</v>
      </c>
      <c r="M136" s="786">
        <v>0</v>
      </c>
      <c r="N136" s="786">
        <v>0</v>
      </c>
      <c r="O136" s="786">
        <v>0</v>
      </c>
      <c r="P136" s="786">
        <v>0</v>
      </c>
      <c r="Q136" s="786">
        <v>0</v>
      </c>
      <c r="R136" s="786">
        <v>0</v>
      </c>
      <c r="S136" s="786">
        <v>0</v>
      </c>
      <c r="T136" s="786">
        <v>0</v>
      </c>
      <c r="U136" s="822">
        <v>0</v>
      </c>
      <c r="V136" s="821">
        <v>0</v>
      </c>
      <c r="W136" s="821">
        <v>0</v>
      </c>
      <c r="X136" s="821">
        <v>0</v>
      </c>
      <c r="Y136" s="821">
        <v>0</v>
      </c>
      <c r="Z136" s="821">
        <v>0</v>
      </c>
      <c r="AA136" s="821">
        <v>0</v>
      </c>
      <c r="AB136" s="823">
        <v>0</v>
      </c>
    </row>
    <row r="137" spans="1:28">
      <c r="A137" s="696" t="str">
        <f t="shared" si="2"/>
        <v>National Grid</v>
      </c>
      <c r="B137" s="696" t="str">
        <f>'Lookups-Assumptions'!$D$4</f>
        <v>Gas</v>
      </c>
      <c r="C137" s="696" t="str">
        <f>'Lookups-Assumptions'!$D$6</f>
        <v>Evaluated</v>
      </c>
      <c r="D137" s="819">
        <f>'Inputs Yr 2'!$E$2</f>
        <v>2017</v>
      </c>
      <c r="E137" s="696" t="s">
        <v>1072</v>
      </c>
      <c r="F137" s="696" t="s">
        <v>83</v>
      </c>
      <c r="G137" s="696" t="s">
        <v>873</v>
      </c>
      <c r="H137" s="696" t="s">
        <v>661</v>
      </c>
      <c r="I137" s="696" t="s">
        <v>776</v>
      </c>
      <c r="J137" s="820">
        <v>2</v>
      </c>
      <c r="K137" s="821">
        <v>3000</v>
      </c>
      <c r="L137" s="786">
        <v>0</v>
      </c>
      <c r="M137" s="786">
        <v>0</v>
      </c>
      <c r="N137" s="786">
        <v>24.872400000000003</v>
      </c>
      <c r="O137" s="786">
        <v>621.81000000000006</v>
      </c>
      <c r="P137" s="786">
        <v>0</v>
      </c>
      <c r="Q137" s="786">
        <v>0</v>
      </c>
      <c r="R137" s="786">
        <v>0</v>
      </c>
      <c r="S137" s="786">
        <v>0</v>
      </c>
      <c r="T137" s="786">
        <v>0</v>
      </c>
      <c r="U137" s="822">
        <v>0</v>
      </c>
      <c r="V137" s="821">
        <v>0</v>
      </c>
      <c r="W137" s="821">
        <v>5466.0619504536662</v>
      </c>
      <c r="X137" s="821">
        <v>0</v>
      </c>
      <c r="Y137" s="821">
        <v>0</v>
      </c>
      <c r="Z137" s="821">
        <v>0</v>
      </c>
      <c r="AA137" s="821">
        <v>-471.11997166267849</v>
      </c>
      <c r="AB137" s="823">
        <v>4994.9419787909874</v>
      </c>
    </row>
    <row r="138" spans="1:28">
      <c r="A138" s="696" t="str">
        <f t="shared" si="2"/>
        <v>National Grid</v>
      </c>
      <c r="B138" s="696" t="str">
        <f>'Lookups-Assumptions'!$D$4</f>
        <v>Gas</v>
      </c>
      <c r="C138" s="696" t="str">
        <f>'Lookups-Assumptions'!$D$6</f>
        <v>Evaluated</v>
      </c>
      <c r="D138" s="819">
        <f>'Inputs Yr 2'!$E$2</f>
        <v>2017</v>
      </c>
      <c r="E138" s="696" t="s">
        <v>1073</v>
      </c>
      <c r="F138" s="696" t="s">
        <v>83</v>
      </c>
      <c r="G138" s="696" t="s">
        <v>873</v>
      </c>
      <c r="H138" s="696" t="s">
        <v>661</v>
      </c>
      <c r="I138" s="696" t="s">
        <v>777</v>
      </c>
      <c r="J138" s="820">
        <v>0</v>
      </c>
      <c r="K138" s="821">
        <v>0</v>
      </c>
      <c r="L138" s="786">
        <v>0</v>
      </c>
      <c r="M138" s="786">
        <v>0</v>
      </c>
      <c r="N138" s="786">
        <v>0</v>
      </c>
      <c r="O138" s="786">
        <v>0</v>
      </c>
      <c r="P138" s="786">
        <v>0</v>
      </c>
      <c r="Q138" s="786">
        <v>0</v>
      </c>
      <c r="R138" s="786">
        <v>0</v>
      </c>
      <c r="S138" s="786">
        <v>0</v>
      </c>
      <c r="T138" s="786">
        <v>0</v>
      </c>
      <c r="U138" s="822">
        <v>0</v>
      </c>
      <c r="V138" s="821">
        <v>0</v>
      </c>
      <c r="W138" s="821">
        <v>0</v>
      </c>
      <c r="X138" s="821">
        <v>0</v>
      </c>
      <c r="Y138" s="821">
        <v>0</v>
      </c>
      <c r="Z138" s="821">
        <v>0</v>
      </c>
      <c r="AA138" s="821">
        <v>0</v>
      </c>
      <c r="AB138" s="823">
        <v>0</v>
      </c>
    </row>
    <row r="139" spans="1:28">
      <c r="A139" s="696" t="str">
        <f t="shared" si="2"/>
        <v>National Grid</v>
      </c>
      <c r="B139" s="696" t="str">
        <f>'Lookups-Assumptions'!$D$4</f>
        <v>Gas</v>
      </c>
      <c r="C139" s="696" t="str">
        <f>'Lookups-Assumptions'!$D$6</f>
        <v>Evaluated</v>
      </c>
      <c r="D139" s="819">
        <f>'Inputs Yr 2'!$E$2</f>
        <v>2017</v>
      </c>
      <c r="E139" s="696" t="s">
        <v>1074</v>
      </c>
      <c r="F139" s="696" t="s">
        <v>83</v>
      </c>
      <c r="G139" s="696" t="s">
        <v>873</v>
      </c>
      <c r="H139" s="696" t="s">
        <v>661</v>
      </c>
      <c r="I139" s="696" t="s">
        <v>778</v>
      </c>
      <c r="J139" s="820">
        <v>4</v>
      </c>
      <c r="K139" s="821">
        <v>16000</v>
      </c>
      <c r="L139" s="786">
        <v>0</v>
      </c>
      <c r="M139" s="786">
        <v>0</v>
      </c>
      <c r="N139" s="786">
        <v>173.9376</v>
      </c>
      <c r="O139" s="786">
        <v>4348.4400000000005</v>
      </c>
      <c r="P139" s="786">
        <v>0</v>
      </c>
      <c r="Q139" s="786">
        <v>0</v>
      </c>
      <c r="R139" s="786">
        <v>0</v>
      </c>
      <c r="S139" s="786">
        <v>0</v>
      </c>
      <c r="T139" s="786">
        <v>0</v>
      </c>
      <c r="U139" s="822">
        <v>0</v>
      </c>
      <c r="V139" s="821">
        <v>0</v>
      </c>
      <c r="W139" s="821">
        <v>38225.24955827462</v>
      </c>
      <c r="X139" s="821">
        <v>0</v>
      </c>
      <c r="Y139" s="821">
        <v>0</v>
      </c>
      <c r="Z139" s="821">
        <v>0</v>
      </c>
      <c r="AA139" s="821">
        <v>-3294.6349038723365</v>
      </c>
      <c r="AB139" s="823">
        <v>34930.614654402285</v>
      </c>
    </row>
    <row r="140" spans="1:28">
      <c r="A140" s="696" t="str">
        <f t="shared" si="2"/>
        <v>National Grid</v>
      </c>
      <c r="B140" s="696" t="str">
        <f>'Lookups-Assumptions'!$D$4</f>
        <v>Gas</v>
      </c>
      <c r="C140" s="696" t="str">
        <f>'Lookups-Assumptions'!$D$6</f>
        <v>Evaluated</v>
      </c>
      <c r="D140" s="819">
        <f>'Inputs Yr 2'!$E$2</f>
        <v>2017</v>
      </c>
      <c r="E140" s="696" t="s">
        <v>1075</v>
      </c>
      <c r="F140" s="696" t="s">
        <v>83</v>
      </c>
      <c r="G140" s="696" t="s">
        <v>873</v>
      </c>
      <c r="H140" s="696" t="s">
        <v>661</v>
      </c>
      <c r="I140" s="696" t="s">
        <v>779</v>
      </c>
      <c r="J140" s="820">
        <v>0</v>
      </c>
      <c r="K140" s="821">
        <v>0</v>
      </c>
      <c r="L140" s="786">
        <v>0</v>
      </c>
      <c r="M140" s="786">
        <v>0</v>
      </c>
      <c r="N140" s="786">
        <v>0</v>
      </c>
      <c r="O140" s="786">
        <v>0</v>
      </c>
      <c r="P140" s="786">
        <v>0</v>
      </c>
      <c r="Q140" s="786">
        <v>0</v>
      </c>
      <c r="R140" s="786">
        <v>0</v>
      </c>
      <c r="S140" s="786">
        <v>0</v>
      </c>
      <c r="T140" s="786">
        <v>0</v>
      </c>
      <c r="U140" s="822">
        <v>0</v>
      </c>
      <c r="V140" s="821">
        <v>0</v>
      </c>
      <c r="W140" s="821">
        <v>0</v>
      </c>
      <c r="X140" s="821">
        <v>0</v>
      </c>
      <c r="Y140" s="821">
        <v>0</v>
      </c>
      <c r="Z140" s="821">
        <v>0</v>
      </c>
      <c r="AA140" s="821">
        <v>0</v>
      </c>
      <c r="AB140" s="823">
        <v>0</v>
      </c>
    </row>
    <row r="141" spans="1:28">
      <c r="A141" s="696" t="str">
        <f t="shared" si="2"/>
        <v>National Grid</v>
      </c>
      <c r="B141" s="696" t="str">
        <f>'Lookups-Assumptions'!$D$4</f>
        <v>Gas</v>
      </c>
      <c r="C141" s="696" t="str">
        <f>'Lookups-Assumptions'!$D$6</f>
        <v>Evaluated</v>
      </c>
      <c r="D141" s="819">
        <f>'Inputs Yr 2'!$E$2</f>
        <v>2017</v>
      </c>
      <c r="E141" s="696" t="s">
        <v>1076</v>
      </c>
      <c r="F141" s="696" t="s">
        <v>83</v>
      </c>
      <c r="G141" s="696" t="s">
        <v>873</v>
      </c>
      <c r="H141" s="696" t="s">
        <v>661</v>
      </c>
      <c r="I141" s="696" t="s">
        <v>780</v>
      </c>
      <c r="J141" s="820">
        <v>0</v>
      </c>
      <c r="K141" s="821">
        <v>0</v>
      </c>
      <c r="L141" s="786">
        <v>0</v>
      </c>
      <c r="M141" s="786">
        <v>0</v>
      </c>
      <c r="N141" s="786">
        <v>0</v>
      </c>
      <c r="O141" s="786">
        <v>0</v>
      </c>
      <c r="P141" s="786">
        <v>0</v>
      </c>
      <c r="Q141" s="786">
        <v>0</v>
      </c>
      <c r="R141" s="786">
        <v>0</v>
      </c>
      <c r="S141" s="786">
        <v>0</v>
      </c>
      <c r="T141" s="786">
        <v>0</v>
      </c>
      <c r="U141" s="822">
        <v>0</v>
      </c>
      <c r="V141" s="821">
        <v>0</v>
      </c>
      <c r="W141" s="821">
        <v>0</v>
      </c>
      <c r="X141" s="821">
        <v>0</v>
      </c>
      <c r="Y141" s="821">
        <v>0</v>
      </c>
      <c r="Z141" s="821">
        <v>0</v>
      </c>
      <c r="AA141" s="821">
        <v>0</v>
      </c>
      <c r="AB141" s="823">
        <v>0</v>
      </c>
    </row>
    <row r="142" spans="1:28">
      <c r="A142" s="696" t="str">
        <f t="shared" si="2"/>
        <v>National Grid</v>
      </c>
      <c r="B142" s="696" t="str">
        <f>'Lookups-Assumptions'!$D$4</f>
        <v>Gas</v>
      </c>
      <c r="C142" s="696" t="str">
        <f>'Lookups-Assumptions'!$D$6</f>
        <v>Evaluated</v>
      </c>
      <c r="D142" s="819">
        <f>'Inputs Yr 2'!$E$2</f>
        <v>2017</v>
      </c>
      <c r="E142" s="696" t="s">
        <v>1077</v>
      </c>
      <c r="F142" s="696" t="s">
        <v>83</v>
      </c>
      <c r="G142" s="696" t="s">
        <v>873</v>
      </c>
      <c r="H142" s="696" t="s">
        <v>661</v>
      </c>
      <c r="I142" s="696" t="s">
        <v>781</v>
      </c>
      <c r="J142" s="820">
        <v>0</v>
      </c>
      <c r="K142" s="821">
        <v>0</v>
      </c>
      <c r="L142" s="786">
        <v>0</v>
      </c>
      <c r="M142" s="786">
        <v>0</v>
      </c>
      <c r="N142" s="786">
        <v>0</v>
      </c>
      <c r="O142" s="786">
        <v>0</v>
      </c>
      <c r="P142" s="786">
        <v>0</v>
      </c>
      <c r="Q142" s="786">
        <v>0</v>
      </c>
      <c r="R142" s="786">
        <v>0</v>
      </c>
      <c r="S142" s="786">
        <v>0</v>
      </c>
      <c r="T142" s="786">
        <v>0</v>
      </c>
      <c r="U142" s="822">
        <v>0</v>
      </c>
      <c r="V142" s="821">
        <v>0</v>
      </c>
      <c r="W142" s="821">
        <v>0</v>
      </c>
      <c r="X142" s="821">
        <v>0</v>
      </c>
      <c r="Y142" s="821">
        <v>0</v>
      </c>
      <c r="Z142" s="821">
        <v>0</v>
      </c>
      <c r="AA142" s="821">
        <v>0</v>
      </c>
      <c r="AB142" s="823">
        <v>0</v>
      </c>
    </row>
    <row r="143" spans="1:28">
      <c r="A143" s="696" t="str">
        <f t="shared" si="2"/>
        <v>National Grid</v>
      </c>
      <c r="B143" s="696" t="str">
        <f>'Lookups-Assumptions'!$D$4</f>
        <v>Gas</v>
      </c>
      <c r="C143" s="696" t="str">
        <f>'Lookups-Assumptions'!$D$6</f>
        <v>Evaluated</v>
      </c>
      <c r="D143" s="819">
        <f>'Inputs Yr 2'!$E$2</f>
        <v>2017</v>
      </c>
      <c r="E143" s="696" t="s">
        <v>1078</v>
      </c>
      <c r="F143" s="696" t="s">
        <v>83</v>
      </c>
      <c r="G143" s="696" t="s">
        <v>873</v>
      </c>
      <c r="H143" s="696" t="s">
        <v>661</v>
      </c>
      <c r="I143" s="696" t="s">
        <v>782</v>
      </c>
      <c r="J143" s="820">
        <v>0</v>
      </c>
      <c r="K143" s="821">
        <v>0</v>
      </c>
      <c r="L143" s="786">
        <v>0</v>
      </c>
      <c r="M143" s="786">
        <v>0</v>
      </c>
      <c r="N143" s="786">
        <v>0</v>
      </c>
      <c r="O143" s="786">
        <v>0</v>
      </c>
      <c r="P143" s="786">
        <v>0</v>
      </c>
      <c r="Q143" s="786">
        <v>0</v>
      </c>
      <c r="R143" s="786">
        <v>0</v>
      </c>
      <c r="S143" s="786">
        <v>0</v>
      </c>
      <c r="T143" s="786">
        <v>0</v>
      </c>
      <c r="U143" s="822">
        <v>0</v>
      </c>
      <c r="V143" s="821">
        <v>0</v>
      </c>
      <c r="W143" s="821">
        <v>0</v>
      </c>
      <c r="X143" s="821">
        <v>0</v>
      </c>
      <c r="Y143" s="821">
        <v>0</v>
      </c>
      <c r="Z143" s="821">
        <v>0</v>
      </c>
      <c r="AA143" s="821">
        <v>0</v>
      </c>
      <c r="AB143" s="823">
        <v>0</v>
      </c>
    </row>
    <row r="144" spans="1:28">
      <c r="A144" s="696" t="str">
        <f t="shared" si="2"/>
        <v>National Grid</v>
      </c>
      <c r="B144" s="696" t="str">
        <f>'Lookups-Assumptions'!$D$4</f>
        <v>Gas</v>
      </c>
      <c r="C144" s="696" t="str">
        <f>'Lookups-Assumptions'!$D$6</f>
        <v>Evaluated</v>
      </c>
      <c r="D144" s="819">
        <f>'Inputs Yr 2'!$E$2</f>
        <v>2017</v>
      </c>
      <c r="E144" s="696" t="s">
        <v>1079</v>
      </c>
      <c r="F144" s="696" t="s">
        <v>83</v>
      </c>
      <c r="G144" s="696" t="s">
        <v>873</v>
      </c>
      <c r="H144" s="696" t="s">
        <v>661</v>
      </c>
      <c r="I144" s="696" t="s">
        <v>756</v>
      </c>
      <c r="J144" s="820">
        <v>0</v>
      </c>
      <c r="K144" s="821">
        <v>0</v>
      </c>
      <c r="L144" s="786">
        <v>0</v>
      </c>
      <c r="M144" s="786">
        <v>0</v>
      </c>
      <c r="N144" s="786">
        <v>0</v>
      </c>
      <c r="O144" s="786">
        <v>0</v>
      </c>
      <c r="P144" s="786">
        <v>0</v>
      </c>
      <c r="Q144" s="786">
        <v>0</v>
      </c>
      <c r="R144" s="786">
        <v>0</v>
      </c>
      <c r="S144" s="786">
        <v>0</v>
      </c>
      <c r="T144" s="786">
        <v>0</v>
      </c>
      <c r="U144" s="822">
        <v>0</v>
      </c>
      <c r="V144" s="821">
        <v>0</v>
      </c>
      <c r="W144" s="821">
        <v>0</v>
      </c>
      <c r="X144" s="821">
        <v>0</v>
      </c>
      <c r="Y144" s="821">
        <v>0</v>
      </c>
      <c r="Z144" s="821">
        <v>0</v>
      </c>
      <c r="AA144" s="821">
        <v>0</v>
      </c>
      <c r="AB144" s="823">
        <v>0</v>
      </c>
    </row>
    <row r="145" spans="1:28">
      <c r="A145" s="696" t="str">
        <f t="shared" si="2"/>
        <v>National Grid</v>
      </c>
      <c r="B145" s="696" t="str">
        <f>'Lookups-Assumptions'!$D$4</f>
        <v>Gas</v>
      </c>
      <c r="C145" s="696" t="str">
        <f>'Lookups-Assumptions'!$D$6</f>
        <v>Evaluated</v>
      </c>
      <c r="D145" s="819">
        <f>'Inputs Yr 2'!$E$2</f>
        <v>2017</v>
      </c>
      <c r="E145" s="696" t="s">
        <v>1080</v>
      </c>
      <c r="F145" s="696" t="s">
        <v>83</v>
      </c>
      <c r="G145" s="696" t="s">
        <v>873</v>
      </c>
      <c r="H145" s="696" t="s">
        <v>661</v>
      </c>
      <c r="I145" s="696" t="s">
        <v>757</v>
      </c>
      <c r="J145" s="820">
        <v>0</v>
      </c>
      <c r="K145" s="821">
        <v>0</v>
      </c>
      <c r="L145" s="786">
        <v>0</v>
      </c>
      <c r="M145" s="786">
        <v>0</v>
      </c>
      <c r="N145" s="786">
        <v>0</v>
      </c>
      <c r="O145" s="786">
        <v>0</v>
      </c>
      <c r="P145" s="786">
        <v>0</v>
      </c>
      <c r="Q145" s="786">
        <v>0</v>
      </c>
      <c r="R145" s="786">
        <v>0</v>
      </c>
      <c r="S145" s="786">
        <v>0</v>
      </c>
      <c r="T145" s="786">
        <v>0</v>
      </c>
      <c r="U145" s="822">
        <v>0</v>
      </c>
      <c r="V145" s="821">
        <v>0</v>
      </c>
      <c r="W145" s="821">
        <v>0</v>
      </c>
      <c r="X145" s="821">
        <v>0</v>
      </c>
      <c r="Y145" s="821">
        <v>0</v>
      </c>
      <c r="Z145" s="821">
        <v>0</v>
      </c>
      <c r="AA145" s="821">
        <v>0</v>
      </c>
      <c r="AB145" s="823">
        <v>0</v>
      </c>
    </row>
    <row r="146" spans="1:28">
      <c r="A146" s="696" t="str">
        <f t="shared" si="2"/>
        <v>National Grid</v>
      </c>
      <c r="B146" s="696" t="str">
        <f>'Lookups-Assumptions'!$D$4</f>
        <v>Gas</v>
      </c>
      <c r="C146" s="696" t="str">
        <f>'Lookups-Assumptions'!$D$6</f>
        <v>Evaluated</v>
      </c>
      <c r="D146" s="819">
        <f>'Inputs Yr 2'!$E$2</f>
        <v>2017</v>
      </c>
      <c r="E146" s="696" t="s">
        <v>1081</v>
      </c>
      <c r="F146" s="696" t="s">
        <v>83</v>
      </c>
      <c r="G146" s="696" t="s">
        <v>873</v>
      </c>
      <c r="H146" s="696" t="s">
        <v>661</v>
      </c>
      <c r="I146" s="696" t="s">
        <v>783</v>
      </c>
      <c r="J146" s="820">
        <v>0</v>
      </c>
      <c r="K146" s="821">
        <v>0</v>
      </c>
      <c r="L146" s="786">
        <v>0</v>
      </c>
      <c r="M146" s="786">
        <v>0</v>
      </c>
      <c r="N146" s="786">
        <v>0</v>
      </c>
      <c r="O146" s="786">
        <v>0</v>
      </c>
      <c r="P146" s="786">
        <v>0</v>
      </c>
      <c r="Q146" s="786">
        <v>0</v>
      </c>
      <c r="R146" s="786">
        <v>0</v>
      </c>
      <c r="S146" s="786">
        <v>0</v>
      </c>
      <c r="T146" s="786">
        <v>0</v>
      </c>
      <c r="U146" s="822">
        <v>0</v>
      </c>
      <c r="V146" s="821">
        <v>0</v>
      </c>
      <c r="W146" s="821">
        <v>0</v>
      </c>
      <c r="X146" s="821">
        <v>0</v>
      </c>
      <c r="Y146" s="821">
        <v>0</v>
      </c>
      <c r="Z146" s="821">
        <v>0</v>
      </c>
      <c r="AA146" s="821">
        <v>0</v>
      </c>
      <c r="AB146" s="823">
        <v>0</v>
      </c>
    </row>
    <row r="147" spans="1:28">
      <c r="A147" s="696" t="str">
        <f t="shared" si="2"/>
        <v>National Grid</v>
      </c>
      <c r="B147" s="696" t="str">
        <f>'Lookups-Assumptions'!$D$4</f>
        <v>Gas</v>
      </c>
      <c r="C147" s="696" t="str">
        <f>'Lookups-Assumptions'!$D$6</f>
        <v>Evaluated</v>
      </c>
      <c r="D147" s="819">
        <f>'Inputs Yr 2'!$E$2</f>
        <v>2017</v>
      </c>
      <c r="E147" s="696" t="s">
        <v>1082</v>
      </c>
      <c r="F147" s="696" t="s">
        <v>83</v>
      </c>
      <c r="G147" s="696" t="s">
        <v>873</v>
      </c>
      <c r="H147" s="696" t="s">
        <v>661</v>
      </c>
      <c r="I147" s="696" t="s">
        <v>784</v>
      </c>
      <c r="J147" s="820">
        <v>0</v>
      </c>
      <c r="K147" s="821">
        <v>0</v>
      </c>
      <c r="L147" s="786">
        <v>0</v>
      </c>
      <c r="M147" s="786">
        <v>0</v>
      </c>
      <c r="N147" s="786">
        <v>0</v>
      </c>
      <c r="O147" s="786">
        <v>0</v>
      </c>
      <c r="P147" s="786">
        <v>0</v>
      </c>
      <c r="Q147" s="786">
        <v>0</v>
      </c>
      <c r="R147" s="786">
        <v>0</v>
      </c>
      <c r="S147" s="786">
        <v>0</v>
      </c>
      <c r="T147" s="786">
        <v>0</v>
      </c>
      <c r="U147" s="822">
        <v>0</v>
      </c>
      <c r="V147" s="821">
        <v>0</v>
      </c>
      <c r="W147" s="821">
        <v>0</v>
      </c>
      <c r="X147" s="821">
        <v>0</v>
      </c>
      <c r="Y147" s="821">
        <v>0</v>
      </c>
      <c r="Z147" s="821">
        <v>0</v>
      </c>
      <c r="AA147" s="821">
        <v>0</v>
      </c>
      <c r="AB147" s="823">
        <v>0</v>
      </c>
    </row>
    <row r="148" spans="1:28">
      <c r="A148" s="696" t="str">
        <f t="shared" si="2"/>
        <v>National Grid</v>
      </c>
      <c r="B148" s="696" t="str">
        <f>'Lookups-Assumptions'!$D$4</f>
        <v>Gas</v>
      </c>
      <c r="C148" s="696" t="str">
        <f>'Lookups-Assumptions'!$D$6</f>
        <v>Evaluated</v>
      </c>
      <c r="D148" s="819">
        <f>'Inputs Yr 2'!$E$2</f>
        <v>2017</v>
      </c>
      <c r="E148" s="696" t="s">
        <v>1083</v>
      </c>
      <c r="F148" s="696" t="s">
        <v>83</v>
      </c>
      <c r="G148" s="696" t="s">
        <v>873</v>
      </c>
      <c r="H148" s="696" t="s">
        <v>661</v>
      </c>
      <c r="I148" s="696" t="s">
        <v>785</v>
      </c>
      <c r="J148" s="820">
        <v>0</v>
      </c>
      <c r="K148" s="821">
        <v>0</v>
      </c>
      <c r="L148" s="786">
        <v>0</v>
      </c>
      <c r="M148" s="786">
        <v>0</v>
      </c>
      <c r="N148" s="786">
        <v>0</v>
      </c>
      <c r="O148" s="786">
        <v>0</v>
      </c>
      <c r="P148" s="786">
        <v>0</v>
      </c>
      <c r="Q148" s="786">
        <v>0</v>
      </c>
      <c r="R148" s="786">
        <v>0</v>
      </c>
      <c r="S148" s="786">
        <v>0</v>
      </c>
      <c r="T148" s="786">
        <v>0</v>
      </c>
      <c r="U148" s="822">
        <v>0</v>
      </c>
      <c r="V148" s="821">
        <v>0</v>
      </c>
      <c r="W148" s="821">
        <v>0</v>
      </c>
      <c r="X148" s="821">
        <v>0</v>
      </c>
      <c r="Y148" s="821">
        <v>0</v>
      </c>
      <c r="Z148" s="821">
        <v>0</v>
      </c>
      <c r="AA148" s="821">
        <v>0</v>
      </c>
      <c r="AB148" s="823">
        <v>0</v>
      </c>
    </row>
    <row r="149" spans="1:28">
      <c r="A149" s="696" t="str">
        <f t="shared" si="2"/>
        <v>National Grid</v>
      </c>
      <c r="B149" s="696" t="str">
        <f>'Lookups-Assumptions'!$D$4</f>
        <v>Gas</v>
      </c>
      <c r="C149" s="696" t="str">
        <f>'Lookups-Assumptions'!$D$6</f>
        <v>Evaluated</v>
      </c>
      <c r="D149" s="819">
        <f>'Inputs Yr 2'!$E$2</f>
        <v>2017</v>
      </c>
      <c r="E149" s="696" t="s">
        <v>1084</v>
      </c>
      <c r="F149" s="696" t="s">
        <v>83</v>
      </c>
      <c r="G149" s="696" t="s">
        <v>873</v>
      </c>
      <c r="H149" s="696" t="s">
        <v>661</v>
      </c>
      <c r="I149" s="696" t="s">
        <v>786</v>
      </c>
      <c r="J149" s="820">
        <v>0</v>
      </c>
      <c r="K149" s="821">
        <v>0</v>
      </c>
      <c r="L149" s="786">
        <v>0</v>
      </c>
      <c r="M149" s="786">
        <v>0</v>
      </c>
      <c r="N149" s="786">
        <v>0</v>
      </c>
      <c r="O149" s="786">
        <v>0</v>
      </c>
      <c r="P149" s="786">
        <v>0</v>
      </c>
      <c r="Q149" s="786">
        <v>0</v>
      </c>
      <c r="R149" s="786">
        <v>0</v>
      </c>
      <c r="S149" s="786">
        <v>0</v>
      </c>
      <c r="T149" s="786">
        <v>0</v>
      </c>
      <c r="U149" s="822">
        <v>0</v>
      </c>
      <c r="V149" s="821">
        <v>0</v>
      </c>
      <c r="W149" s="821">
        <v>0</v>
      </c>
      <c r="X149" s="821">
        <v>0</v>
      </c>
      <c r="Y149" s="821">
        <v>0</v>
      </c>
      <c r="Z149" s="821">
        <v>0</v>
      </c>
      <c r="AA149" s="821">
        <v>0</v>
      </c>
      <c r="AB149" s="823">
        <v>0</v>
      </c>
    </row>
    <row r="150" spans="1:28">
      <c r="A150" s="696" t="str">
        <f t="shared" si="2"/>
        <v>National Grid</v>
      </c>
      <c r="B150" s="696" t="str">
        <f>'Lookups-Assumptions'!$D$4</f>
        <v>Gas</v>
      </c>
      <c r="C150" s="696" t="str">
        <f>'Lookups-Assumptions'!$D$6</f>
        <v>Evaluated</v>
      </c>
      <c r="D150" s="819">
        <f>'Inputs Yr 2'!$E$2</f>
        <v>2017</v>
      </c>
      <c r="E150" s="696" t="s">
        <v>1085</v>
      </c>
      <c r="F150" s="696" t="s">
        <v>83</v>
      </c>
      <c r="G150" s="696" t="s">
        <v>873</v>
      </c>
      <c r="H150" s="696" t="s">
        <v>661</v>
      </c>
      <c r="I150" s="696" t="s">
        <v>787</v>
      </c>
      <c r="J150" s="820">
        <v>0</v>
      </c>
      <c r="K150" s="821">
        <v>0</v>
      </c>
      <c r="L150" s="786">
        <v>0</v>
      </c>
      <c r="M150" s="786">
        <v>0</v>
      </c>
      <c r="N150" s="786">
        <v>0</v>
      </c>
      <c r="O150" s="786">
        <v>0</v>
      </c>
      <c r="P150" s="786">
        <v>0</v>
      </c>
      <c r="Q150" s="786">
        <v>0</v>
      </c>
      <c r="R150" s="786">
        <v>0</v>
      </c>
      <c r="S150" s="786">
        <v>0</v>
      </c>
      <c r="T150" s="786">
        <v>0</v>
      </c>
      <c r="U150" s="822">
        <v>0</v>
      </c>
      <c r="V150" s="821">
        <v>0</v>
      </c>
      <c r="W150" s="821">
        <v>0</v>
      </c>
      <c r="X150" s="821">
        <v>0</v>
      </c>
      <c r="Y150" s="821">
        <v>0</v>
      </c>
      <c r="Z150" s="821">
        <v>0</v>
      </c>
      <c r="AA150" s="821">
        <v>0</v>
      </c>
      <c r="AB150" s="823">
        <v>0</v>
      </c>
    </row>
    <row r="151" spans="1:28">
      <c r="A151" s="696" t="str">
        <f t="shared" si="2"/>
        <v>National Grid</v>
      </c>
      <c r="B151" s="696" t="str">
        <f>'Lookups-Assumptions'!$D$4</f>
        <v>Gas</v>
      </c>
      <c r="C151" s="696" t="str">
        <f>'Lookups-Assumptions'!$D$6</f>
        <v>Evaluated</v>
      </c>
      <c r="D151" s="819">
        <f>'Inputs Yr 2'!$E$2</f>
        <v>2017</v>
      </c>
      <c r="E151" s="696" t="s">
        <v>1086</v>
      </c>
      <c r="F151" s="696" t="s">
        <v>83</v>
      </c>
      <c r="G151" s="696" t="s">
        <v>873</v>
      </c>
      <c r="H151" s="696" t="s">
        <v>661</v>
      </c>
      <c r="I151" s="696" t="s">
        <v>788</v>
      </c>
      <c r="J151" s="820">
        <v>0</v>
      </c>
      <c r="K151" s="821">
        <v>0</v>
      </c>
      <c r="L151" s="786">
        <v>0</v>
      </c>
      <c r="M151" s="786">
        <v>0</v>
      </c>
      <c r="N151" s="786">
        <v>0</v>
      </c>
      <c r="O151" s="786">
        <v>0</v>
      </c>
      <c r="P151" s="786">
        <v>0</v>
      </c>
      <c r="Q151" s="786">
        <v>0</v>
      </c>
      <c r="R151" s="786">
        <v>0</v>
      </c>
      <c r="S151" s="786">
        <v>0</v>
      </c>
      <c r="T151" s="786">
        <v>0</v>
      </c>
      <c r="U151" s="822">
        <v>0</v>
      </c>
      <c r="V151" s="821">
        <v>0</v>
      </c>
      <c r="W151" s="821">
        <v>0</v>
      </c>
      <c r="X151" s="821">
        <v>0</v>
      </c>
      <c r="Y151" s="821">
        <v>0</v>
      </c>
      <c r="Z151" s="821">
        <v>0</v>
      </c>
      <c r="AA151" s="821">
        <v>0</v>
      </c>
      <c r="AB151" s="823">
        <v>0</v>
      </c>
    </row>
    <row r="152" spans="1:28">
      <c r="A152" s="696" t="str">
        <f t="shared" si="2"/>
        <v>National Grid</v>
      </c>
      <c r="B152" s="696" t="str">
        <f>'Lookups-Assumptions'!$D$4</f>
        <v>Gas</v>
      </c>
      <c r="C152" s="696" t="str">
        <f>'Lookups-Assumptions'!$D$6</f>
        <v>Evaluated</v>
      </c>
      <c r="D152" s="819">
        <f>'Inputs Yr 2'!$E$2</f>
        <v>2017</v>
      </c>
      <c r="E152" s="696" t="s">
        <v>1087</v>
      </c>
      <c r="F152" s="696" t="s">
        <v>83</v>
      </c>
      <c r="G152" s="696" t="s">
        <v>873</v>
      </c>
      <c r="H152" s="696" t="s">
        <v>661</v>
      </c>
      <c r="I152" s="696" t="s">
        <v>789</v>
      </c>
      <c r="J152" s="820">
        <v>0</v>
      </c>
      <c r="K152" s="821">
        <v>0</v>
      </c>
      <c r="L152" s="786">
        <v>0</v>
      </c>
      <c r="M152" s="786">
        <v>0</v>
      </c>
      <c r="N152" s="786">
        <v>0</v>
      </c>
      <c r="O152" s="786">
        <v>0</v>
      </c>
      <c r="P152" s="786">
        <v>0</v>
      </c>
      <c r="Q152" s="786">
        <v>0</v>
      </c>
      <c r="R152" s="786">
        <v>0</v>
      </c>
      <c r="S152" s="786">
        <v>0</v>
      </c>
      <c r="T152" s="786">
        <v>0</v>
      </c>
      <c r="U152" s="822">
        <v>0</v>
      </c>
      <c r="V152" s="821">
        <v>0</v>
      </c>
      <c r="W152" s="821">
        <v>0</v>
      </c>
      <c r="X152" s="821">
        <v>0</v>
      </c>
      <c r="Y152" s="821">
        <v>0</v>
      </c>
      <c r="Z152" s="821">
        <v>0</v>
      </c>
      <c r="AA152" s="821">
        <v>0</v>
      </c>
      <c r="AB152" s="823">
        <v>0</v>
      </c>
    </row>
    <row r="153" spans="1:28">
      <c r="A153" s="696" t="str">
        <f t="shared" si="2"/>
        <v>National Grid</v>
      </c>
      <c r="B153" s="696" t="str">
        <f>'Lookups-Assumptions'!$D$4</f>
        <v>Gas</v>
      </c>
      <c r="C153" s="696" t="str">
        <f>'Lookups-Assumptions'!$D$6</f>
        <v>Evaluated</v>
      </c>
      <c r="D153" s="819">
        <f>'Inputs Yr 2'!$E$2</f>
        <v>2017</v>
      </c>
      <c r="E153" s="696" t="s">
        <v>1088</v>
      </c>
      <c r="F153" s="696" t="s">
        <v>83</v>
      </c>
      <c r="G153" s="696" t="s">
        <v>873</v>
      </c>
      <c r="H153" s="696" t="s">
        <v>911</v>
      </c>
      <c r="I153" s="696" t="s">
        <v>1402</v>
      </c>
      <c r="J153" s="820">
        <v>0</v>
      </c>
      <c r="K153" s="821">
        <v>0</v>
      </c>
      <c r="L153" s="786">
        <v>0</v>
      </c>
      <c r="M153" s="786">
        <v>0</v>
      </c>
      <c r="N153" s="786">
        <v>0</v>
      </c>
      <c r="O153" s="786">
        <v>0</v>
      </c>
      <c r="P153" s="786">
        <v>0</v>
      </c>
      <c r="Q153" s="786">
        <v>0</v>
      </c>
      <c r="R153" s="786">
        <v>0</v>
      </c>
      <c r="S153" s="786">
        <v>0</v>
      </c>
      <c r="T153" s="786">
        <v>0</v>
      </c>
      <c r="U153" s="822">
        <v>0</v>
      </c>
      <c r="V153" s="821">
        <v>0</v>
      </c>
      <c r="W153" s="821">
        <v>0</v>
      </c>
      <c r="X153" s="821">
        <v>0</v>
      </c>
      <c r="Y153" s="821">
        <v>0</v>
      </c>
      <c r="Z153" s="821">
        <v>0</v>
      </c>
      <c r="AA153" s="821">
        <v>0</v>
      </c>
      <c r="AB153" s="823">
        <v>0</v>
      </c>
    </row>
    <row r="154" spans="1:28">
      <c r="A154" s="696" t="str">
        <f t="shared" si="2"/>
        <v>National Grid</v>
      </c>
      <c r="B154" s="696" t="str">
        <f>'Lookups-Assumptions'!$D$4</f>
        <v>Gas</v>
      </c>
      <c r="C154" s="696" t="str">
        <f>'Lookups-Assumptions'!$D$6</f>
        <v>Evaluated</v>
      </c>
      <c r="D154" s="819">
        <f>'Inputs Yr 2'!$E$2</f>
        <v>2017</v>
      </c>
      <c r="E154" s="696" t="s">
        <v>1090</v>
      </c>
      <c r="F154" s="696" t="s">
        <v>83</v>
      </c>
      <c r="G154" s="696" t="s">
        <v>873</v>
      </c>
      <c r="H154" s="696" t="s">
        <v>911</v>
      </c>
      <c r="I154" s="696" t="s">
        <v>1350</v>
      </c>
      <c r="J154" s="820">
        <v>1</v>
      </c>
      <c r="K154" s="821">
        <v>50000</v>
      </c>
      <c r="L154" s="786">
        <v>0</v>
      </c>
      <c r="M154" s="786">
        <v>0</v>
      </c>
      <c r="N154" s="786">
        <v>3386.6412706000006</v>
      </c>
      <c r="O154" s="786">
        <v>50799.619059000011</v>
      </c>
      <c r="P154" s="786">
        <v>0</v>
      </c>
      <c r="Q154" s="786">
        <v>0</v>
      </c>
      <c r="R154" s="786">
        <v>0</v>
      </c>
      <c r="S154" s="786">
        <v>0</v>
      </c>
      <c r="T154" s="786">
        <v>0</v>
      </c>
      <c r="U154" s="822">
        <v>0</v>
      </c>
      <c r="V154" s="821">
        <v>0</v>
      </c>
      <c r="W154" s="821">
        <v>430997.07777183835</v>
      </c>
      <c r="X154" s="821">
        <v>0</v>
      </c>
      <c r="Y154" s="821">
        <v>0</v>
      </c>
      <c r="Z154" s="821">
        <v>0</v>
      </c>
      <c r="AA154" s="821">
        <v>0</v>
      </c>
      <c r="AB154" s="823">
        <v>430997.07777183835</v>
      </c>
    </row>
    <row r="155" spans="1:28">
      <c r="A155" s="696" t="str">
        <f t="shared" si="2"/>
        <v>National Grid</v>
      </c>
      <c r="B155" s="696" t="str">
        <f>'Lookups-Assumptions'!$D$4</f>
        <v>Gas</v>
      </c>
      <c r="C155" s="696" t="str">
        <f>'Lookups-Assumptions'!$D$6</f>
        <v>Evaluated</v>
      </c>
      <c r="D155" s="819">
        <f>'Inputs Yr 2'!$E$2</f>
        <v>2017</v>
      </c>
      <c r="E155"/>
      <c r="F155" s="696" t="s">
        <v>83</v>
      </c>
      <c r="G155" s="696" t="s">
        <v>873</v>
      </c>
      <c r="H155" s="696" t="s">
        <v>911</v>
      </c>
      <c r="I155" s="696" t="s">
        <v>1351</v>
      </c>
      <c r="J155" s="820">
        <v>1</v>
      </c>
      <c r="K155" s="821">
        <v>54464.600000000006</v>
      </c>
      <c r="L155" s="786">
        <v>0</v>
      </c>
      <c r="M155" s="786">
        <v>0</v>
      </c>
      <c r="N155" s="786">
        <v>2293.6036238000002</v>
      </c>
      <c r="O155" s="786">
        <v>45872.072476000001</v>
      </c>
      <c r="P155" s="786">
        <v>0</v>
      </c>
      <c r="Q155" s="786">
        <v>0</v>
      </c>
      <c r="R155" s="786">
        <v>0</v>
      </c>
      <c r="S155" s="786">
        <v>0</v>
      </c>
      <c r="T155" s="786">
        <v>0</v>
      </c>
      <c r="U155" s="822">
        <v>0</v>
      </c>
      <c r="V155" s="821">
        <v>0</v>
      </c>
      <c r="W155" s="821">
        <v>395193.70504307776</v>
      </c>
      <c r="X155" s="821">
        <v>0</v>
      </c>
      <c r="Y155" s="821">
        <v>0</v>
      </c>
      <c r="Z155" s="821">
        <v>0</v>
      </c>
      <c r="AA155" s="821">
        <v>0</v>
      </c>
      <c r="AB155" s="823">
        <v>395193.70504307776</v>
      </c>
    </row>
    <row r="156" spans="1:28">
      <c r="A156" s="696" t="str">
        <f t="shared" si="2"/>
        <v>National Grid</v>
      </c>
      <c r="B156" s="696" t="str">
        <f>'Lookups-Assumptions'!$D$4</f>
        <v>Gas</v>
      </c>
      <c r="C156" s="696" t="str">
        <f>'Lookups-Assumptions'!$D$6</f>
        <v>Evaluated</v>
      </c>
      <c r="D156" s="819">
        <f>'Inputs Yr 2'!$E$2</f>
        <v>2017</v>
      </c>
      <c r="E156" s="696" t="s">
        <v>1091</v>
      </c>
      <c r="F156" s="696" t="s">
        <v>83</v>
      </c>
      <c r="G156" s="696" t="s">
        <v>873</v>
      </c>
      <c r="H156" s="696" t="s">
        <v>911</v>
      </c>
      <c r="I156" s="696" t="s">
        <v>1355</v>
      </c>
      <c r="J156" s="820">
        <v>1</v>
      </c>
      <c r="K156" s="821">
        <v>119561.65</v>
      </c>
      <c r="L156" s="786">
        <v>0</v>
      </c>
      <c r="M156" s="786">
        <v>0</v>
      </c>
      <c r="N156" s="786">
        <v>4544.2531876000003</v>
      </c>
      <c r="O156" s="786">
        <v>90885.063752000002</v>
      </c>
      <c r="P156" s="786">
        <v>0</v>
      </c>
      <c r="Q156" s="786">
        <v>0</v>
      </c>
      <c r="R156" s="786">
        <v>0</v>
      </c>
      <c r="S156" s="786">
        <v>0</v>
      </c>
      <c r="T156" s="786">
        <v>0</v>
      </c>
      <c r="U156" s="822">
        <v>0</v>
      </c>
      <c r="V156" s="821">
        <v>0</v>
      </c>
      <c r="W156" s="821">
        <v>782986.31691473897</v>
      </c>
      <c r="X156" s="821">
        <v>0</v>
      </c>
      <c r="Y156" s="821">
        <v>0</v>
      </c>
      <c r="Z156" s="821">
        <v>0</v>
      </c>
      <c r="AA156" s="821">
        <v>0</v>
      </c>
      <c r="AB156" s="823">
        <v>782986.31691473897</v>
      </c>
    </row>
    <row r="157" spans="1:28">
      <c r="A157" s="696" t="str">
        <f t="shared" si="2"/>
        <v>National Grid</v>
      </c>
      <c r="B157" s="696" t="str">
        <f>'Lookups-Assumptions'!$D$4</f>
        <v>Gas</v>
      </c>
      <c r="C157" s="696" t="str">
        <f>'Lookups-Assumptions'!$D$6</f>
        <v>Evaluated</v>
      </c>
      <c r="D157" s="819">
        <f>'Inputs Yr 2'!$E$2</f>
        <v>2017</v>
      </c>
      <c r="E157"/>
      <c r="F157" s="696" t="s">
        <v>83</v>
      </c>
      <c r="G157" s="696" t="s">
        <v>873</v>
      </c>
      <c r="H157" s="696" t="s">
        <v>911</v>
      </c>
      <c r="I157" s="696" t="s">
        <v>1356</v>
      </c>
      <c r="J157" s="820">
        <v>1</v>
      </c>
      <c r="K157" s="821">
        <v>71500.3</v>
      </c>
      <c r="L157" s="786">
        <v>0</v>
      </c>
      <c r="M157" s="786">
        <v>0</v>
      </c>
      <c r="N157" s="786">
        <v>2947.7939576000008</v>
      </c>
      <c r="O157" s="786">
        <v>73694.848940000025</v>
      </c>
      <c r="P157" s="786">
        <v>0</v>
      </c>
      <c r="Q157" s="786">
        <v>0</v>
      </c>
      <c r="R157" s="786">
        <v>0</v>
      </c>
      <c r="S157" s="786">
        <v>0</v>
      </c>
      <c r="T157" s="786">
        <v>0</v>
      </c>
      <c r="U157" s="822">
        <v>0</v>
      </c>
      <c r="V157" s="821">
        <v>0</v>
      </c>
      <c r="W157" s="821">
        <v>647819.44602911628</v>
      </c>
      <c r="X157" s="821">
        <v>0</v>
      </c>
      <c r="Y157" s="821">
        <v>0</v>
      </c>
      <c r="Z157" s="821">
        <v>0</v>
      </c>
      <c r="AA157" s="821">
        <v>0</v>
      </c>
      <c r="AB157" s="823">
        <v>647819.44602911628</v>
      </c>
    </row>
    <row r="158" spans="1:28">
      <c r="A158" s="696" t="str">
        <f t="shared" si="2"/>
        <v>National Grid</v>
      </c>
      <c r="B158" s="696" t="str">
        <f>'Lookups-Assumptions'!$D$4</f>
        <v>Gas</v>
      </c>
      <c r="C158" s="696" t="str">
        <f>'Lookups-Assumptions'!$D$6</f>
        <v>Evaluated</v>
      </c>
      <c r="D158" s="819">
        <f>'Inputs Yr 2'!$E$2</f>
        <v>2017</v>
      </c>
      <c r="E158" s="696" t="s">
        <v>1093</v>
      </c>
      <c r="F158" s="696" t="s">
        <v>83</v>
      </c>
      <c r="G158" s="696" t="s">
        <v>873</v>
      </c>
      <c r="H158" s="696" t="s">
        <v>911</v>
      </c>
      <c r="I158" s="696" t="s">
        <v>1403</v>
      </c>
      <c r="J158" s="820">
        <v>0</v>
      </c>
      <c r="K158" s="821">
        <v>0</v>
      </c>
      <c r="L158" s="786">
        <v>0</v>
      </c>
      <c r="M158" s="786">
        <v>0</v>
      </c>
      <c r="N158" s="786">
        <v>0</v>
      </c>
      <c r="O158" s="786">
        <v>0</v>
      </c>
      <c r="P158" s="786">
        <v>0</v>
      </c>
      <c r="Q158" s="786">
        <v>0</v>
      </c>
      <c r="R158" s="786">
        <v>0</v>
      </c>
      <c r="S158" s="786">
        <v>0</v>
      </c>
      <c r="T158" s="786">
        <v>0</v>
      </c>
      <c r="U158" s="822">
        <v>0</v>
      </c>
      <c r="V158" s="821">
        <v>0</v>
      </c>
      <c r="W158" s="821">
        <v>0</v>
      </c>
      <c r="X158" s="821">
        <v>0</v>
      </c>
      <c r="Y158" s="821">
        <v>0</v>
      </c>
      <c r="Z158" s="821">
        <v>0</v>
      </c>
      <c r="AA158" s="821">
        <v>0</v>
      </c>
      <c r="AB158" s="823">
        <v>0</v>
      </c>
    </row>
    <row r="159" spans="1:28">
      <c r="A159" s="696" t="str">
        <f t="shared" si="2"/>
        <v>National Grid</v>
      </c>
      <c r="B159" s="696" t="str">
        <f>'Lookups-Assumptions'!$D$4</f>
        <v>Gas</v>
      </c>
      <c r="C159" s="696" t="str">
        <f>'Lookups-Assumptions'!$D$6</f>
        <v>Evaluated</v>
      </c>
      <c r="D159" s="819">
        <f>'Inputs Yr 2'!$E$2</f>
        <v>2017</v>
      </c>
      <c r="E159" s="696" t="s">
        <v>1095</v>
      </c>
      <c r="F159" s="696" t="s">
        <v>83</v>
      </c>
      <c r="G159" s="696" t="s">
        <v>873</v>
      </c>
      <c r="H159" s="696" t="s">
        <v>911</v>
      </c>
      <c r="I159" s="696" t="s">
        <v>84</v>
      </c>
      <c r="J159" s="820">
        <v>0</v>
      </c>
      <c r="K159" s="821">
        <v>0</v>
      </c>
      <c r="L159" s="786">
        <v>0</v>
      </c>
      <c r="M159" s="786">
        <v>0</v>
      </c>
      <c r="N159" s="786">
        <v>0</v>
      </c>
      <c r="O159" s="786">
        <v>0</v>
      </c>
      <c r="P159" s="786">
        <v>0</v>
      </c>
      <c r="Q159" s="786">
        <v>0</v>
      </c>
      <c r="R159" s="786">
        <v>0</v>
      </c>
      <c r="S159" s="786">
        <v>0</v>
      </c>
      <c r="T159" s="786">
        <v>0</v>
      </c>
      <c r="U159" s="822">
        <v>0</v>
      </c>
      <c r="V159" s="821">
        <v>0</v>
      </c>
      <c r="W159" s="821">
        <v>0</v>
      </c>
      <c r="X159" s="821">
        <v>0</v>
      </c>
      <c r="Y159" s="821">
        <v>0</v>
      </c>
      <c r="Z159" s="821">
        <v>0</v>
      </c>
      <c r="AA159" s="821">
        <v>0</v>
      </c>
      <c r="AB159" s="823">
        <v>0</v>
      </c>
    </row>
    <row r="160" spans="1:28">
      <c r="A160" s="696" t="str">
        <f t="shared" si="2"/>
        <v>National Grid</v>
      </c>
      <c r="B160" s="696" t="str">
        <f>'Lookups-Assumptions'!$D$4</f>
        <v>Gas</v>
      </c>
      <c r="C160" s="696" t="str">
        <f>'Lookups-Assumptions'!$D$6</f>
        <v>Evaluated</v>
      </c>
      <c r="D160" s="819">
        <f>'Inputs Yr 2'!$E$2</f>
        <v>2017</v>
      </c>
      <c r="E160" s="696" t="s">
        <v>1097</v>
      </c>
      <c r="F160" s="696" t="s">
        <v>83</v>
      </c>
      <c r="G160" s="696" t="s">
        <v>873</v>
      </c>
      <c r="H160" s="696" t="s">
        <v>911</v>
      </c>
      <c r="I160" s="696" t="s">
        <v>1510</v>
      </c>
      <c r="J160" s="820">
        <v>1</v>
      </c>
      <c r="K160" s="821">
        <v>87048.1</v>
      </c>
      <c r="L160" s="786">
        <v>0</v>
      </c>
      <c r="M160" s="786">
        <v>0</v>
      </c>
      <c r="N160" s="786">
        <v>3116.0306926000007</v>
      </c>
      <c r="O160" s="786">
        <v>62320.613852000017</v>
      </c>
      <c r="P160" s="786">
        <v>0</v>
      </c>
      <c r="Q160" s="786">
        <v>0</v>
      </c>
      <c r="R160" s="786">
        <v>0</v>
      </c>
      <c r="S160" s="786">
        <v>0</v>
      </c>
      <c r="T160" s="786">
        <v>0</v>
      </c>
      <c r="U160" s="822">
        <v>0</v>
      </c>
      <c r="V160" s="821">
        <v>0</v>
      </c>
      <c r="W160" s="821">
        <v>520057.83836661914</v>
      </c>
      <c r="X160" s="821">
        <v>0</v>
      </c>
      <c r="Y160" s="821">
        <v>0</v>
      </c>
      <c r="Z160" s="821">
        <v>0</v>
      </c>
      <c r="AA160" s="821">
        <v>0</v>
      </c>
      <c r="AB160" s="823">
        <v>520057.83836661914</v>
      </c>
    </row>
    <row r="161" spans="1:28">
      <c r="A161" s="696" t="str">
        <f t="shared" si="2"/>
        <v>National Grid</v>
      </c>
      <c r="B161" s="696" t="str">
        <f>'Lookups-Assumptions'!$D$4</f>
        <v>Gas</v>
      </c>
      <c r="C161" s="696" t="str">
        <f>'Lookups-Assumptions'!$D$6</f>
        <v>Evaluated</v>
      </c>
      <c r="D161" s="819">
        <f>'Inputs Yr 2'!$E$2</f>
        <v>2017</v>
      </c>
      <c r="E161" s="696" t="s">
        <v>1098</v>
      </c>
      <c r="F161" s="696" t="s">
        <v>83</v>
      </c>
      <c r="G161" s="696" t="s">
        <v>873</v>
      </c>
      <c r="H161" s="696" t="s">
        <v>911</v>
      </c>
      <c r="I161" s="696" t="s">
        <v>1511</v>
      </c>
      <c r="J161" s="820">
        <v>1</v>
      </c>
      <c r="K161" s="821">
        <v>1989</v>
      </c>
      <c r="L161" s="786">
        <v>0</v>
      </c>
      <c r="M161" s="786">
        <v>0</v>
      </c>
      <c r="N161" s="786">
        <v>94.928472600000006</v>
      </c>
      <c r="O161" s="786">
        <v>949.28472600000009</v>
      </c>
      <c r="P161" s="786">
        <v>0</v>
      </c>
      <c r="Q161" s="786">
        <v>0</v>
      </c>
      <c r="R161" s="786">
        <v>0</v>
      </c>
      <c r="S161" s="786">
        <v>0</v>
      </c>
      <c r="T161" s="786">
        <v>0</v>
      </c>
      <c r="U161" s="822">
        <v>0</v>
      </c>
      <c r="V161" s="821">
        <v>0</v>
      </c>
      <c r="W161" s="821">
        <v>7805.9250888194947</v>
      </c>
      <c r="X161" s="821">
        <v>0</v>
      </c>
      <c r="Y161" s="821">
        <v>0</v>
      </c>
      <c r="Z161" s="821">
        <v>0</v>
      </c>
      <c r="AA161" s="821">
        <v>0</v>
      </c>
      <c r="AB161" s="823">
        <v>7805.9250888194947</v>
      </c>
    </row>
    <row r="162" spans="1:28">
      <c r="A162" s="696" t="str">
        <f t="shared" si="2"/>
        <v>National Grid</v>
      </c>
      <c r="B162" s="696" t="str">
        <f>'Lookups-Assumptions'!$D$4</f>
        <v>Gas</v>
      </c>
      <c r="C162" s="696" t="str">
        <f>'Lookups-Assumptions'!$D$6</f>
        <v>Evaluated</v>
      </c>
      <c r="D162" s="819">
        <f>'Inputs Yr 2'!$E$2</f>
        <v>2017</v>
      </c>
      <c r="E162" s="696" t="s">
        <v>1099</v>
      </c>
      <c r="F162" s="696" t="s">
        <v>83</v>
      </c>
      <c r="G162" s="696" t="s">
        <v>873</v>
      </c>
      <c r="H162" s="696" t="s">
        <v>911</v>
      </c>
      <c r="I162" s="696" t="s">
        <v>752</v>
      </c>
      <c r="J162" s="820">
        <v>21</v>
      </c>
      <c r="K162" s="821">
        <v>4299.96</v>
      </c>
      <c r="L162" s="786">
        <v>0</v>
      </c>
      <c r="M162" s="786">
        <v>0</v>
      </c>
      <c r="N162" s="786">
        <v>101.26620000000001</v>
      </c>
      <c r="O162" s="786">
        <v>1822.7916000000002</v>
      </c>
      <c r="P162" s="786">
        <v>0</v>
      </c>
      <c r="Q162" s="786">
        <v>0</v>
      </c>
      <c r="R162" s="786">
        <v>0</v>
      </c>
      <c r="S162" s="786">
        <v>0</v>
      </c>
      <c r="T162" s="786">
        <v>0</v>
      </c>
      <c r="U162" s="822">
        <v>0</v>
      </c>
      <c r="V162" s="821">
        <v>0</v>
      </c>
      <c r="W162" s="821">
        <v>15595.374779008209</v>
      </c>
      <c r="X162" s="821">
        <v>0</v>
      </c>
      <c r="Y162" s="821">
        <v>0</v>
      </c>
      <c r="Z162" s="821">
        <v>0</v>
      </c>
      <c r="AA162" s="821">
        <v>0</v>
      </c>
      <c r="AB162" s="823">
        <v>15595.374779008209</v>
      </c>
    </row>
    <row r="163" spans="1:28">
      <c r="A163" s="696" t="str">
        <f t="shared" si="2"/>
        <v>National Grid</v>
      </c>
      <c r="B163" s="696" t="str">
        <f>'Lookups-Assumptions'!$D$4</f>
        <v>Gas</v>
      </c>
      <c r="C163" s="696" t="str">
        <f>'Lookups-Assumptions'!$D$6</f>
        <v>Evaluated</v>
      </c>
      <c r="D163" s="819">
        <f>'Inputs Yr 2'!$E$2</f>
        <v>2017</v>
      </c>
      <c r="E163" s="696" t="s">
        <v>1100</v>
      </c>
      <c r="F163" s="696" t="s">
        <v>83</v>
      </c>
      <c r="G163" s="696" t="s">
        <v>873</v>
      </c>
      <c r="H163" s="696" t="s">
        <v>911</v>
      </c>
      <c r="I163" s="696" t="s">
        <v>753</v>
      </c>
      <c r="J163" s="820">
        <v>0</v>
      </c>
      <c r="K163" s="821">
        <v>0</v>
      </c>
      <c r="L163" s="786">
        <v>0</v>
      </c>
      <c r="M163" s="786">
        <v>0</v>
      </c>
      <c r="N163" s="786">
        <v>0</v>
      </c>
      <c r="O163" s="786">
        <v>0</v>
      </c>
      <c r="P163" s="786">
        <v>0</v>
      </c>
      <c r="Q163" s="786">
        <v>0</v>
      </c>
      <c r="R163" s="786">
        <v>0</v>
      </c>
      <c r="S163" s="786">
        <v>0</v>
      </c>
      <c r="T163" s="786">
        <v>0</v>
      </c>
      <c r="U163" s="822">
        <v>0</v>
      </c>
      <c r="V163" s="821">
        <v>0</v>
      </c>
      <c r="W163" s="821">
        <v>0</v>
      </c>
      <c r="X163" s="821">
        <v>0</v>
      </c>
      <c r="Y163" s="821">
        <v>0</v>
      </c>
      <c r="Z163" s="821">
        <v>0</v>
      </c>
      <c r="AA163" s="821">
        <v>0</v>
      </c>
      <c r="AB163" s="823">
        <v>0</v>
      </c>
    </row>
    <row r="164" spans="1:28">
      <c r="A164" s="696" t="str">
        <f t="shared" si="2"/>
        <v>National Grid</v>
      </c>
      <c r="B164" s="696" t="str">
        <f>'Lookups-Assumptions'!$D$4</f>
        <v>Gas</v>
      </c>
      <c r="C164" s="696" t="str">
        <f>'Lookups-Assumptions'!$D$6</f>
        <v>Evaluated</v>
      </c>
      <c r="D164" s="819">
        <f>'Inputs Yr 2'!$E$2</f>
        <v>2017</v>
      </c>
      <c r="E164" s="696" t="s">
        <v>1101</v>
      </c>
      <c r="F164" s="696" t="s">
        <v>83</v>
      </c>
      <c r="G164" s="696" t="s">
        <v>873</v>
      </c>
      <c r="H164" s="696" t="s">
        <v>911</v>
      </c>
      <c r="I164" s="696" t="s">
        <v>754</v>
      </c>
      <c r="J164" s="820">
        <v>15</v>
      </c>
      <c r="K164" s="821">
        <v>7699.9500000000007</v>
      </c>
      <c r="L164" s="786">
        <v>0</v>
      </c>
      <c r="M164" s="786">
        <v>0</v>
      </c>
      <c r="N164" s="786">
        <v>85.022999999999996</v>
      </c>
      <c r="O164" s="786">
        <v>1530.414</v>
      </c>
      <c r="P164" s="786">
        <v>0</v>
      </c>
      <c r="Q164" s="786">
        <v>0</v>
      </c>
      <c r="R164" s="786">
        <v>0</v>
      </c>
      <c r="S164" s="786">
        <v>0</v>
      </c>
      <c r="T164" s="786">
        <v>0</v>
      </c>
      <c r="U164" s="822">
        <v>0</v>
      </c>
      <c r="V164" s="821">
        <v>0</v>
      </c>
      <c r="W164" s="821">
        <v>13093.861029994359</v>
      </c>
      <c r="X164" s="821">
        <v>0</v>
      </c>
      <c r="Y164" s="821">
        <v>0</v>
      </c>
      <c r="Z164" s="821">
        <v>0</v>
      </c>
      <c r="AA164" s="821">
        <v>0</v>
      </c>
      <c r="AB164" s="823">
        <v>13093.861029994359</v>
      </c>
    </row>
    <row r="165" spans="1:28">
      <c r="A165" s="696" t="str">
        <f t="shared" si="2"/>
        <v>National Grid</v>
      </c>
      <c r="B165" s="696" t="str">
        <f>'Lookups-Assumptions'!$D$4</f>
        <v>Gas</v>
      </c>
      <c r="C165" s="696" t="str">
        <f>'Lookups-Assumptions'!$D$6</f>
        <v>Evaluated</v>
      </c>
      <c r="D165" s="819">
        <f>'Inputs Yr 2'!$E$2</f>
        <v>2017</v>
      </c>
      <c r="E165" s="696" t="s">
        <v>1102</v>
      </c>
      <c r="F165" s="696" t="s">
        <v>83</v>
      </c>
      <c r="G165" s="696" t="s">
        <v>873</v>
      </c>
      <c r="H165" s="696" t="s">
        <v>911</v>
      </c>
      <c r="I165" s="696" t="s">
        <v>755</v>
      </c>
      <c r="J165" s="820">
        <v>0</v>
      </c>
      <c r="K165" s="821">
        <v>0</v>
      </c>
      <c r="L165" s="786">
        <v>0</v>
      </c>
      <c r="M165" s="786">
        <v>0</v>
      </c>
      <c r="N165" s="786">
        <v>0</v>
      </c>
      <c r="O165" s="786">
        <v>0</v>
      </c>
      <c r="P165" s="786">
        <v>0</v>
      </c>
      <c r="Q165" s="786">
        <v>0</v>
      </c>
      <c r="R165" s="786">
        <v>0</v>
      </c>
      <c r="S165" s="786">
        <v>0</v>
      </c>
      <c r="T165" s="786">
        <v>0</v>
      </c>
      <c r="U165" s="822">
        <v>0</v>
      </c>
      <c r="V165" s="821">
        <v>0</v>
      </c>
      <c r="W165" s="821">
        <v>0</v>
      </c>
      <c r="X165" s="821">
        <v>0</v>
      </c>
      <c r="Y165" s="821">
        <v>0</v>
      </c>
      <c r="Z165" s="821">
        <v>0</v>
      </c>
      <c r="AA165" s="821">
        <v>0</v>
      </c>
      <c r="AB165" s="823">
        <v>0</v>
      </c>
    </row>
    <row r="166" spans="1:28">
      <c r="A166" s="696" t="str">
        <f t="shared" si="2"/>
        <v>National Grid</v>
      </c>
      <c r="B166" s="696" t="str">
        <f>'Lookups-Assumptions'!$D$4</f>
        <v>Gas</v>
      </c>
      <c r="C166" s="696" t="str">
        <f>'Lookups-Assumptions'!$D$6</f>
        <v>Evaluated</v>
      </c>
      <c r="D166" s="819">
        <f>'Inputs Yr 2'!$E$2</f>
        <v>2017</v>
      </c>
      <c r="E166" s="696" t="s">
        <v>1103</v>
      </c>
      <c r="F166" s="696" t="s">
        <v>83</v>
      </c>
      <c r="G166" s="696" t="s">
        <v>873</v>
      </c>
      <c r="H166" s="696" t="s">
        <v>911</v>
      </c>
      <c r="I166" s="696" t="s">
        <v>775</v>
      </c>
      <c r="J166" s="820">
        <v>75</v>
      </c>
      <c r="K166" s="821">
        <v>106500</v>
      </c>
      <c r="L166" s="786">
        <v>0</v>
      </c>
      <c r="M166" s="786">
        <v>0</v>
      </c>
      <c r="N166" s="786">
        <v>1123.0650000000001</v>
      </c>
      <c r="O166" s="786">
        <v>28076.625</v>
      </c>
      <c r="P166" s="786">
        <v>0</v>
      </c>
      <c r="Q166" s="786">
        <v>0</v>
      </c>
      <c r="R166" s="786">
        <v>0</v>
      </c>
      <c r="S166" s="786">
        <v>0</v>
      </c>
      <c r="T166" s="786">
        <v>0</v>
      </c>
      <c r="U166" s="822">
        <v>0</v>
      </c>
      <c r="V166" s="821">
        <v>0</v>
      </c>
      <c r="W166" s="821">
        <v>246809.42990568851</v>
      </c>
      <c r="X166" s="821">
        <v>0</v>
      </c>
      <c r="Y166" s="821">
        <v>0</v>
      </c>
      <c r="Z166" s="821">
        <v>0</v>
      </c>
      <c r="AA166" s="821">
        <v>0</v>
      </c>
      <c r="AB166" s="823">
        <v>246809.42990568851</v>
      </c>
    </row>
    <row r="167" spans="1:28">
      <c r="A167" s="696" t="str">
        <f t="shared" si="2"/>
        <v>National Grid</v>
      </c>
      <c r="B167" s="696" t="str">
        <f>'Lookups-Assumptions'!$D$4</f>
        <v>Gas</v>
      </c>
      <c r="C167" s="696" t="str">
        <f>'Lookups-Assumptions'!$D$6</f>
        <v>Evaluated</v>
      </c>
      <c r="D167" s="819">
        <f>'Inputs Yr 2'!$E$2</f>
        <v>2017</v>
      </c>
      <c r="E167" s="696" t="s">
        <v>1104</v>
      </c>
      <c r="F167" s="696" t="s">
        <v>83</v>
      </c>
      <c r="G167" s="696" t="s">
        <v>873</v>
      </c>
      <c r="H167" s="696" t="s">
        <v>911</v>
      </c>
      <c r="I167" s="696" t="s">
        <v>776</v>
      </c>
      <c r="J167" s="820">
        <v>11</v>
      </c>
      <c r="K167" s="821">
        <v>14000.03</v>
      </c>
      <c r="L167" s="786">
        <v>0</v>
      </c>
      <c r="M167" s="786">
        <v>0</v>
      </c>
      <c r="N167" s="786">
        <v>136.79819999999998</v>
      </c>
      <c r="O167" s="786">
        <v>3419.9549999999995</v>
      </c>
      <c r="P167" s="786">
        <v>0</v>
      </c>
      <c r="Q167" s="786">
        <v>0</v>
      </c>
      <c r="R167" s="786">
        <v>0</v>
      </c>
      <c r="S167" s="786">
        <v>0</v>
      </c>
      <c r="T167" s="786">
        <v>0</v>
      </c>
      <c r="U167" s="822">
        <v>0</v>
      </c>
      <c r="V167" s="821">
        <v>0</v>
      </c>
      <c r="W167" s="821">
        <v>30063.340727495161</v>
      </c>
      <c r="X167" s="821">
        <v>0</v>
      </c>
      <c r="Y167" s="821">
        <v>0</v>
      </c>
      <c r="Z167" s="821">
        <v>0</v>
      </c>
      <c r="AA167" s="821">
        <v>0</v>
      </c>
      <c r="AB167" s="823">
        <v>30063.340727495161</v>
      </c>
    </row>
    <row r="168" spans="1:28">
      <c r="A168" s="696" t="str">
        <f t="shared" si="2"/>
        <v>National Grid</v>
      </c>
      <c r="B168" s="696" t="str">
        <f>'Lookups-Assumptions'!$D$4</f>
        <v>Gas</v>
      </c>
      <c r="C168" s="696" t="str">
        <f>'Lookups-Assumptions'!$D$6</f>
        <v>Evaluated</v>
      </c>
      <c r="D168" s="819">
        <f>'Inputs Yr 2'!$E$2</f>
        <v>2017</v>
      </c>
      <c r="E168" s="696" t="s">
        <v>1105</v>
      </c>
      <c r="F168" s="696" t="s">
        <v>83</v>
      </c>
      <c r="G168" s="696" t="s">
        <v>873</v>
      </c>
      <c r="H168" s="696" t="s">
        <v>911</v>
      </c>
      <c r="I168" s="696" t="s">
        <v>777</v>
      </c>
      <c r="J168" s="820">
        <v>48</v>
      </c>
      <c r="K168" s="821">
        <v>96000</v>
      </c>
      <c r="L168" s="786">
        <v>0</v>
      </c>
      <c r="M168" s="786">
        <v>0</v>
      </c>
      <c r="N168" s="786">
        <v>1137.0240000000001</v>
      </c>
      <c r="O168" s="786">
        <v>28425.600000000002</v>
      </c>
      <c r="P168" s="786">
        <v>0</v>
      </c>
      <c r="Q168" s="786">
        <v>0</v>
      </c>
      <c r="R168" s="786">
        <v>0</v>
      </c>
      <c r="S168" s="786">
        <v>0</v>
      </c>
      <c r="T168" s="786">
        <v>0</v>
      </c>
      <c r="U168" s="822">
        <v>0</v>
      </c>
      <c r="V168" s="821">
        <v>0</v>
      </c>
      <c r="W168" s="821">
        <v>249877.11773502477</v>
      </c>
      <c r="X168" s="821">
        <v>0</v>
      </c>
      <c r="Y168" s="821">
        <v>0</v>
      </c>
      <c r="Z168" s="821">
        <v>0</v>
      </c>
      <c r="AA168" s="821">
        <v>0</v>
      </c>
      <c r="AB168" s="823">
        <v>249877.11773502477</v>
      </c>
    </row>
    <row r="169" spans="1:28">
      <c r="A169" s="696" t="str">
        <f t="shared" si="2"/>
        <v>National Grid</v>
      </c>
      <c r="B169" s="696" t="str">
        <f>'Lookups-Assumptions'!$D$4</f>
        <v>Gas</v>
      </c>
      <c r="C169" s="696" t="str">
        <f>'Lookups-Assumptions'!$D$6</f>
        <v>Evaluated</v>
      </c>
      <c r="D169" s="819">
        <f>'Inputs Yr 2'!$E$2</f>
        <v>2017</v>
      </c>
      <c r="E169" s="696" t="s">
        <v>1106</v>
      </c>
      <c r="F169" s="696" t="s">
        <v>83</v>
      </c>
      <c r="G169" s="696" t="s">
        <v>873</v>
      </c>
      <c r="H169" s="696" t="s">
        <v>911</v>
      </c>
      <c r="I169" s="696" t="s">
        <v>778</v>
      </c>
      <c r="J169" s="820">
        <v>99</v>
      </c>
      <c r="K169" s="821">
        <v>379999.62</v>
      </c>
      <c r="L169" s="786">
        <v>0</v>
      </c>
      <c r="M169" s="786">
        <v>0</v>
      </c>
      <c r="N169" s="786">
        <v>4304.9555999999993</v>
      </c>
      <c r="O169" s="786">
        <v>107623.88999999998</v>
      </c>
      <c r="P169" s="786">
        <v>0</v>
      </c>
      <c r="Q169" s="786">
        <v>0</v>
      </c>
      <c r="R169" s="786">
        <v>0</v>
      </c>
      <c r="S169" s="786">
        <v>0</v>
      </c>
      <c r="T169" s="786">
        <v>0</v>
      </c>
      <c r="U169" s="822">
        <v>0</v>
      </c>
      <c r="V169" s="821">
        <v>0</v>
      </c>
      <c r="W169" s="821">
        <v>946074.92656729661</v>
      </c>
      <c r="X169" s="821">
        <v>0</v>
      </c>
      <c r="Y169" s="821">
        <v>0</v>
      </c>
      <c r="Z169" s="821">
        <v>0</v>
      </c>
      <c r="AA169" s="821">
        <v>0</v>
      </c>
      <c r="AB169" s="823">
        <v>946074.92656729661</v>
      </c>
    </row>
    <row r="170" spans="1:28">
      <c r="A170" s="696" t="str">
        <f t="shared" si="2"/>
        <v>National Grid</v>
      </c>
      <c r="B170" s="696" t="str">
        <f>'Lookups-Assumptions'!$D$4</f>
        <v>Gas</v>
      </c>
      <c r="C170" s="696" t="str">
        <f>'Lookups-Assumptions'!$D$6</f>
        <v>Evaluated</v>
      </c>
      <c r="D170" s="819">
        <f>'Inputs Yr 2'!$E$2</f>
        <v>2017</v>
      </c>
      <c r="E170" s="696" t="s">
        <v>1107</v>
      </c>
      <c r="F170" s="696" t="s">
        <v>83</v>
      </c>
      <c r="G170" s="696" t="s">
        <v>873</v>
      </c>
      <c r="H170" s="696" t="s">
        <v>911</v>
      </c>
      <c r="I170" s="696" t="s">
        <v>779</v>
      </c>
      <c r="J170" s="820">
        <v>26</v>
      </c>
      <c r="K170" s="821">
        <v>195000</v>
      </c>
      <c r="L170" s="786">
        <v>0</v>
      </c>
      <c r="M170" s="786">
        <v>0</v>
      </c>
      <c r="N170" s="786">
        <v>2078.6220000000003</v>
      </c>
      <c r="O170" s="786">
        <v>51965.55000000001</v>
      </c>
      <c r="P170" s="786">
        <v>0</v>
      </c>
      <c r="Q170" s="786">
        <v>0</v>
      </c>
      <c r="R170" s="786">
        <v>0</v>
      </c>
      <c r="S170" s="786">
        <v>0</v>
      </c>
      <c r="T170" s="786">
        <v>0</v>
      </c>
      <c r="U170" s="822">
        <v>0</v>
      </c>
      <c r="V170" s="821">
        <v>0</v>
      </c>
      <c r="W170" s="821">
        <v>456806.60585934221</v>
      </c>
      <c r="X170" s="821">
        <v>0</v>
      </c>
      <c r="Y170" s="821">
        <v>0</v>
      </c>
      <c r="Z170" s="821">
        <v>0</v>
      </c>
      <c r="AA170" s="821">
        <v>0</v>
      </c>
      <c r="AB170" s="823">
        <v>456806.60585934221</v>
      </c>
    </row>
    <row r="171" spans="1:28">
      <c r="A171" s="696" t="str">
        <f t="shared" si="2"/>
        <v>National Grid</v>
      </c>
      <c r="B171" s="696" t="str">
        <f>'Lookups-Assumptions'!$D$4</f>
        <v>Gas</v>
      </c>
      <c r="C171" s="696" t="str">
        <f>'Lookups-Assumptions'!$D$6</f>
        <v>Evaluated</v>
      </c>
      <c r="D171" s="819">
        <f>'Inputs Yr 2'!$E$2</f>
        <v>2017</v>
      </c>
      <c r="E171" s="696" t="s">
        <v>1108</v>
      </c>
      <c r="F171" s="696" t="s">
        <v>83</v>
      </c>
      <c r="G171" s="696" t="s">
        <v>873</v>
      </c>
      <c r="H171" s="696" t="s">
        <v>911</v>
      </c>
      <c r="I171" s="696" t="s">
        <v>780</v>
      </c>
      <c r="J171" s="820">
        <v>25</v>
      </c>
      <c r="K171" s="821">
        <v>250000</v>
      </c>
      <c r="L171" s="786">
        <v>0</v>
      </c>
      <c r="M171" s="786">
        <v>0</v>
      </c>
      <c r="N171" s="786">
        <v>3496.0950000000003</v>
      </c>
      <c r="O171" s="786">
        <v>87402.375</v>
      </c>
      <c r="P171" s="786">
        <v>0</v>
      </c>
      <c r="Q171" s="786">
        <v>0</v>
      </c>
      <c r="R171" s="786">
        <v>0</v>
      </c>
      <c r="S171" s="786">
        <v>0</v>
      </c>
      <c r="T171" s="786">
        <v>0</v>
      </c>
      <c r="U171" s="822">
        <v>0</v>
      </c>
      <c r="V171" s="821">
        <v>0</v>
      </c>
      <c r="W171" s="821">
        <v>768316.36089284963</v>
      </c>
      <c r="X171" s="821">
        <v>0</v>
      </c>
      <c r="Y171" s="821">
        <v>0</v>
      </c>
      <c r="Z171" s="821">
        <v>0</v>
      </c>
      <c r="AA171" s="821">
        <v>0</v>
      </c>
      <c r="AB171" s="823">
        <v>768316.36089284963</v>
      </c>
    </row>
    <row r="172" spans="1:28">
      <c r="A172" s="696" t="str">
        <f t="shared" si="2"/>
        <v>National Grid</v>
      </c>
      <c r="B172" s="696" t="str">
        <f>'Lookups-Assumptions'!$D$4</f>
        <v>Gas</v>
      </c>
      <c r="C172" s="696" t="str">
        <f>'Lookups-Assumptions'!$D$6</f>
        <v>Evaluated</v>
      </c>
      <c r="D172" s="819">
        <f>'Inputs Yr 2'!$E$2</f>
        <v>2017</v>
      </c>
      <c r="E172" s="696" t="s">
        <v>1109</v>
      </c>
      <c r="F172" s="696" t="s">
        <v>83</v>
      </c>
      <c r="G172" s="696" t="s">
        <v>873</v>
      </c>
      <c r="H172" s="696" t="s">
        <v>911</v>
      </c>
      <c r="I172" s="696" t="s">
        <v>781</v>
      </c>
      <c r="J172" s="820">
        <v>7</v>
      </c>
      <c r="K172" s="821">
        <v>5250</v>
      </c>
      <c r="L172" s="786">
        <v>0</v>
      </c>
      <c r="M172" s="786">
        <v>0</v>
      </c>
      <c r="N172" s="786">
        <v>242.20979999999997</v>
      </c>
      <c r="O172" s="786">
        <v>4359.7763999999997</v>
      </c>
      <c r="P172" s="786">
        <v>0</v>
      </c>
      <c r="Q172" s="786">
        <v>0</v>
      </c>
      <c r="R172" s="786">
        <v>0</v>
      </c>
      <c r="S172" s="786">
        <v>0</v>
      </c>
      <c r="T172" s="786">
        <v>0</v>
      </c>
      <c r="U172" s="822">
        <v>0</v>
      </c>
      <c r="V172" s="821">
        <v>0</v>
      </c>
      <c r="W172" s="821">
        <v>37301.218038680447</v>
      </c>
      <c r="X172" s="821">
        <v>0</v>
      </c>
      <c r="Y172" s="821">
        <v>0</v>
      </c>
      <c r="Z172" s="821">
        <v>0</v>
      </c>
      <c r="AA172" s="821">
        <v>0</v>
      </c>
      <c r="AB172" s="823">
        <v>37301.218038680447</v>
      </c>
    </row>
    <row r="173" spans="1:28">
      <c r="A173" s="696" t="str">
        <f t="shared" si="2"/>
        <v>National Grid</v>
      </c>
      <c r="B173" s="696" t="str">
        <f>'Lookups-Assumptions'!$D$4</f>
        <v>Gas</v>
      </c>
      <c r="C173" s="696" t="str">
        <f>'Lookups-Assumptions'!$D$6</f>
        <v>Evaluated</v>
      </c>
      <c r="D173" s="819">
        <f>'Inputs Yr 2'!$E$2</f>
        <v>2017</v>
      </c>
      <c r="E173" s="696" t="s">
        <v>1110</v>
      </c>
      <c r="F173" s="696" t="s">
        <v>83</v>
      </c>
      <c r="G173" s="696" t="s">
        <v>873</v>
      </c>
      <c r="H173" s="696" t="s">
        <v>911</v>
      </c>
      <c r="I173" s="696" t="s">
        <v>782</v>
      </c>
      <c r="J173" s="820">
        <v>195</v>
      </c>
      <c r="K173" s="821">
        <v>146250</v>
      </c>
      <c r="L173" s="786">
        <v>0</v>
      </c>
      <c r="M173" s="786">
        <v>0</v>
      </c>
      <c r="N173" s="786">
        <v>1979.64</v>
      </c>
      <c r="O173" s="786">
        <v>33653.880000000005</v>
      </c>
      <c r="P173" s="786">
        <v>0</v>
      </c>
      <c r="Q173" s="786">
        <v>0</v>
      </c>
      <c r="R173" s="786">
        <v>0</v>
      </c>
      <c r="S173" s="786">
        <v>0</v>
      </c>
      <c r="T173" s="786">
        <v>0</v>
      </c>
      <c r="U173" s="822">
        <v>0</v>
      </c>
      <c r="V173" s="821">
        <v>0</v>
      </c>
      <c r="W173" s="821">
        <v>287041.98190605431</v>
      </c>
      <c r="X173" s="821">
        <v>0</v>
      </c>
      <c r="Y173" s="821">
        <v>0</v>
      </c>
      <c r="Z173" s="821">
        <v>0</v>
      </c>
      <c r="AA173" s="821">
        <v>0</v>
      </c>
      <c r="AB173" s="823">
        <v>287041.98190605431</v>
      </c>
    </row>
    <row r="174" spans="1:28">
      <c r="A174" s="696" t="str">
        <f t="shared" si="2"/>
        <v>National Grid</v>
      </c>
      <c r="B174" s="696" t="str">
        <f>'Lookups-Assumptions'!$D$4</f>
        <v>Gas</v>
      </c>
      <c r="C174" s="696" t="str">
        <f>'Lookups-Assumptions'!$D$6</f>
        <v>Evaluated</v>
      </c>
      <c r="D174" s="819">
        <f>'Inputs Yr 2'!$E$2</f>
        <v>2017</v>
      </c>
      <c r="E174" s="696" t="s">
        <v>1111</v>
      </c>
      <c r="F174" s="696" t="s">
        <v>83</v>
      </c>
      <c r="G174" s="696" t="s">
        <v>873</v>
      </c>
      <c r="H174" s="696" t="s">
        <v>911</v>
      </c>
      <c r="I174" s="696" t="s">
        <v>790</v>
      </c>
      <c r="J174" s="820">
        <v>16</v>
      </c>
      <c r="K174" s="821">
        <v>1593.6</v>
      </c>
      <c r="L174" s="786">
        <v>0</v>
      </c>
      <c r="M174" s="786">
        <v>0</v>
      </c>
      <c r="N174" s="786">
        <v>85.27679999999998</v>
      </c>
      <c r="O174" s="786">
        <v>1705.5359999999996</v>
      </c>
      <c r="P174" s="786">
        <v>0</v>
      </c>
      <c r="Q174" s="786">
        <v>0</v>
      </c>
      <c r="R174" s="786">
        <v>0</v>
      </c>
      <c r="S174" s="786">
        <v>0</v>
      </c>
      <c r="T174" s="786">
        <v>0</v>
      </c>
      <c r="U174" s="822">
        <v>0</v>
      </c>
      <c r="V174" s="821">
        <v>0</v>
      </c>
      <c r="W174" s="821">
        <v>13374.572512433235</v>
      </c>
      <c r="X174" s="821">
        <v>0</v>
      </c>
      <c r="Y174" s="821">
        <v>0</v>
      </c>
      <c r="Z174" s="821">
        <v>0</v>
      </c>
      <c r="AA174" s="821">
        <v>0</v>
      </c>
      <c r="AB174" s="823">
        <v>13374.572512433235</v>
      </c>
    </row>
    <row r="175" spans="1:28">
      <c r="A175" s="696" t="str">
        <f t="shared" si="2"/>
        <v>National Grid</v>
      </c>
      <c r="B175" s="696" t="str">
        <f>'Lookups-Assumptions'!$D$4</f>
        <v>Gas</v>
      </c>
      <c r="C175" s="696" t="str">
        <f>'Lookups-Assumptions'!$D$6</f>
        <v>Evaluated</v>
      </c>
      <c r="D175" s="819">
        <f>'Inputs Yr 2'!$E$2</f>
        <v>2017</v>
      </c>
      <c r="E175" s="696" t="s">
        <v>1112</v>
      </c>
      <c r="F175" s="696" t="s">
        <v>83</v>
      </c>
      <c r="G175" s="696" t="s">
        <v>873</v>
      </c>
      <c r="H175" s="696" t="s">
        <v>911</v>
      </c>
      <c r="I175" s="696" t="s">
        <v>1274</v>
      </c>
      <c r="J175" s="820">
        <v>1891</v>
      </c>
      <c r="K175" s="821">
        <v>743976.13</v>
      </c>
      <c r="L175" s="786">
        <v>0</v>
      </c>
      <c r="M175" s="786">
        <v>0</v>
      </c>
      <c r="N175" s="786">
        <v>14238.095400000002</v>
      </c>
      <c r="O175" s="786">
        <v>284761.90800000005</v>
      </c>
      <c r="P175" s="786">
        <v>0</v>
      </c>
      <c r="Q175" s="786">
        <v>0</v>
      </c>
      <c r="R175" s="786">
        <v>0</v>
      </c>
      <c r="S175" s="786">
        <v>0</v>
      </c>
      <c r="T175" s="786">
        <v>0</v>
      </c>
      <c r="U175" s="822">
        <v>0</v>
      </c>
      <c r="V175" s="821">
        <v>0</v>
      </c>
      <c r="W175" s="821">
        <v>2233062.6778472243</v>
      </c>
      <c r="X175" s="821">
        <v>0</v>
      </c>
      <c r="Y175" s="821">
        <v>0</v>
      </c>
      <c r="Z175" s="821">
        <v>0</v>
      </c>
      <c r="AA175" s="821">
        <v>0</v>
      </c>
      <c r="AB175" s="823">
        <v>2233062.6778472243</v>
      </c>
    </row>
    <row r="176" spans="1:28">
      <c r="A176" s="696" t="str">
        <f t="shared" si="2"/>
        <v>National Grid</v>
      </c>
      <c r="B176" s="696" t="str">
        <f>'Lookups-Assumptions'!$D$4</f>
        <v>Gas</v>
      </c>
      <c r="C176" s="696" t="str">
        <f>'Lookups-Assumptions'!$D$6</f>
        <v>Evaluated</v>
      </c>
      <c r="D176" s="819">
        <f>'Inputs Yr 2'!$E$2</f>
        <v>2017</v>
      </c>
      <c r="E176" s="696" t="s">
        <v>1113</v>
      </c>
      <c r="F176" s="696" t="s">
        <v>83</v>
      </c>
      <c r="G176" s="696" t="s">
        <v>873</v>
      </c>
      <c r="H176" s="696" t="s">
        <v>911</v>
      </c>
      <c r="I176" s="696" t="s">
        <v>791</v>
      </c>
      <c r="J176" s="820">
        <v>328</v>
      </c>
      <c r="K176" s="821">
        <v>133090.43000000014</v>
      </c>
      <c r="L176" s="786">
        <v>0</v>
      </c>
      <c r="M176" s="786">
        <v>0</v>
      </c>
      <c r="N176" s="786">
        <v>5272.2719999999999</v>
      </c>
      <c r="O176" s="786">
        <v>79084.08</v>
      </c>
      <c r="P176" s="786">
        <v>0</v>
      </c>
      <c r="Q176" s="786">
        <v>0</v>
      </c>
      <c r="R176" s="786">
        <v>0</v>
      </c>
      <c r="S176" s="786">
        <v>0</v>
      </c>
      <c r="T176" s="786">
        <v>0</v>
      </c>
      <c r="U176" s="822">
        <v>0</v>
      </c>
      <c r="V176" s="821">
        <v>0</v>
      </c>
      <c r="W176" s="821">
        <v>608725.19150926895</v>
      </c>
      <c r="X176" s="821">
        <v>0</v>
      </c>
      <c r="Y176" s="821">
        <v>0</v>
      </c>
      <c r="Z176" s="821">
        <v>0</v>
      </c>
      <c r="AA176" s="821">
        <v>0</v>
      </c>
      <c r="AB176" s="823">
        <v>608725.19150926895</v>
      </c>
    </row>
    <row r="177" spans="1:28">
      <c r="A177" s="696" t="str">
        <f t="shared" si="2"/>
        <v>National Grid</v>
      </c>
      <c r="B177" s="696" t="str">
        <f>'Lookups-Assumptions'!$D$4</f>
        <v>Gas</v>
      </c>
      <c r="C177" s="696" t="str">
        <f>'Lookups-Assumptions'!$D$6</f>
        <v>Evaluated</v>
      </c>
      <c r="D177" s="819">
        <f>'Inputs Yr 2'!$E$2</f>
        <v>2017</v>
      </c>
      <c r="E177" s="696" t="s">
        <v>1114</v>
      </c>
      <c r="F177" s="696" t="s">
        <v>83</v>
      </c>
      <c r="G177" s="696" t="s">
        <v>873</v>
      </c>
      <c r="H177" s="696" t="s">
        <v>911</v>
      </c>
      <c r="I177" s="696" t="s">
        <v>792</v>
      </c>
      <c r="J177" s="820">
        <v>0</v>
      </c>
      <c r="K177" s="821">
        <v>0</v>
      </c>
      <c r="L177" s="786">
        <v>0</v>
      </c>
      <c r="M177" s="786">
        <v>0</v>
      </c>
      <c r="N177" s="786">
        <v>0</v>
      </c>
      <c r="O177" s="786">
        <v>0</v>
      </c>
      <c r="P177" s="786">
        <v>0</v>
      </c>
      <c r="Q177" s="786">
        <v>0</v>
      </c>
      <c r="R177" s="786">
        <v>0</v>
      </c>
      <c r="S177" s="786">
        <v>0</v>
      </c>
      <c r="T177" s="786">
        <v>0</v>
      </c>
      <c r="U177" s="822">
        <v>0</v>
      </c>
      <c r="V177" s="821">
        <v>0</v>
      </c>
      <c r="W177" s="821">
        <v>0</v>
      </c>
      <c r="X177" s="821">
        <v>0</v>
      </c>
      <c r="Y177" s="821">
        <v>0</v>
      </c>
      <c r="Z177" s="821">
        <v>0</v>
      </c>
      <c r="AA177" s="821">
        <v>0</v>
      </c>
      <c r="AB177" s="823">
        <v>0</v>
      </c>
    </row>
    <row r="178" spans="1:28">
      <c r="A178" s="696" t="str">
        <f t="shared" si="2"/>
        <v>National Grid</v>
      </c>
      <c r="B178" s="696" t="str">
        <f>'Lookups-Assumptions'!$D$4</f>
        <v>Gas</v>
      </c>
      <c r="C178" s="696" t="str">
        <f>'Lookups-Assumptions'!$D$6</f>
        <v>Evaluated</v>
      </c>
      <c r="D178" s="819">
        <f>'Inputs Yr 2'!$E$2</f>
        <v>2017</v>
      </c>
      <c r="E178" s="696" t="s">
        <v>1115</v>
      </c>
      <c r="F178" s="696" t="s">
        <v>83</v>
      </c>
      <c r="G178" s="696" t="s">
        <v>873</v>
      </c>
      <c r="H178" s="696" t="s">
        <v>911</v>
      </c>
      <c r="I178" s="696" t="s">
        <v>1273</v>
      </c>
      <c r="J178" s="820">
        <v>864</v>
      </c>
      <c r="K178" s="821">
        <v>489974.4</v>
      </c>
      <c r="L178" s="786">
        <v>0</v>
      </c>
      <c r="M178" s="786">
        <v>0</v>
      </c>
      <c r="N178" s="786">
        <v>16884.806400000001</v>
      </c>
      <c r="O178" s="786">
        <v>253272.09600000002</v>
      </c>
      <c r="P178" s="786">
        <v>0</v>
      </c>
      <c r="Q178" s="786">
        <v>0</v>
      </c>
      <c r="R178" s="786">
        <v>0</v>
      </c>
      <c r="S178" s="786">
        <v>0</v>
      </c>
      <c r="T178" s="786">
        <v>0</v>
      </c>
      <c r="U178" s="822">
        <v>0</v>
      </c>
      <c r="V178" s="821">
        <v>0</v>
      </c>
      <c r="W178" s="821">
        <v>1949483.4502918154</v>
      </c>
      <c r="X178" s="821">
        <v>0</v>
      </c>
      <c r="Y178" s="821">
        <v>0</v>
      </c>
      <c r="Z178" s="821">
        <v>0</v>
      </c>
      <c r="AA178" s="821">
        <v>0</v>
      </c>
      <c r="AB178" s="823">
        <v>1949483.4502918154</v>
      </c>
    </row>
    <row r="179" spans="1:28">
      <c r="A179" s="696" t="str">
        <f t="shared" si="2"/>
        <v>National Grid</v>
      </c>
      <c r="B179" s="696" t="str">
        <f>'Lookups-Assumptions'!$D$4</f>
        <v>Gas</v>
      </c>
      <c r="C179" s="696" t="str">
        <f>'Lookups-Assumptions'!$D$6</f>
        <v>Evaluated</v>
      </c>
      <c r="D179" s="819">
        <f>'Inputs Yr 2'!$E$2</f>
        <v>2017</v>
      </c>
      <c r="E179" s="696" t="s">
        <v>1116</v>
      </c>
      <c r="F179" s="696" t="s">
        <v>83</v>
      </c>
      <c r="G179" s="696" t="s">
        <v>873</v>
      </c>
      <c r="H179" s="696" t="s">
        <v>911</v>
      </c>
      <c r="I179" s="696" t="s">
        <v>756</v>
      </c>
      <c r="J179" s="820">
        <v>1</v>
      </c>
      <c r="K179" s="821">
        <v>1200</v>
      </c>
      <c r="L179" s="786">
        <v>0</v>
      </c>
      <c r="M179" s="786">
        <v>0</v>
      </c>
      <c r="N179" s="786">
        <v>20.811600000000002</v>
      </c>
      <c r="O179" s="786">
        <v>416.23200000000003</v>
      </c>
      <c r="P179" s="786">
        <v>0</v>
      </c>
      <c r="Q179" s="786">
        <v>0</v>
      </c>
      <c r="R179" s="786">
        <v>0</v>
      </c>
      <c r="S179" s="786">
        <v>0</v>
      </c>
      <c r="T179" s="786">
        <v>0</v>
      </c>
      <c r="U179" s="822">
        <v>0</v>
      </c>
      <c r="V179" s="821">
        <v>0</v>
      </c>
      <c r="W179" s="821">
        <v>3585.8913137955942</v>
      </c>
      <c r="X179" s="821">
        <v>0</v>
      </c>
      <c r="Y179" s="821">
        <v>0</v>
      </c>
      <c r="Z179" s="821">
        <v>0</v>
      </c>
      <c r="AA179" s="821">
        <v>0</v>
      </c>
      <c r="AB179" s="823">
        <v>3585.8913137955942</v>
      </c>
    </row>
    <row r="180" spans="1:28">
      <c r="A180" s="696" t="str">
        <f t="shared" si="2"/>
        <v>National Grid</v>
      </c>
      <c r="B180" s="696" t="str">
        <f>'Lookups-Assumptions'!$D$4</f>
        <v>Gas</v>
      </c>
      <c r="C180" s="696" t="str">
        <f>'Lookups-Assumptions'!$D$6</f>
        <v>Evaluated</v>
      </c>
      <c r="D180" s="819">
        <f>'Inputs Yr 2'!$E$2</f>
        <v>2017</v>
      </c>
      <c r="E180" s="696" t="s">
        <v>1117</v>
      </c>
      <c r="F180" s="696" t="s">
        <v>83</v>
      </c>
      <c r="G180" s="696" t="s">
        <v>873</v>
      </c>
      <c r="H180" s="696" t="s">
        <v>911</v>
      </c>
      <c r="I180" s="696" t="s">
        <v>757</v>
      </c>
      <c r="J180" s="820">
        <v>17</v>
      </c>
      <c r="K180" s="821">
        <v>27200</v>
      </c>
      <c r="L180" s="786">
        <v>0</v>
      </c>
      <c r="M180" s="786">
        <v>0</v>
      </c>
      <c r="N180" s="786">
        <v>438.65099999999984</v>
      </c>
      <c r="O180" s="786">
        <v>8773.0199999999968</v>
      </c>
      <c r="P180" s="786">
        <v>0</v>
      </c>
      <c r="Q180" s="786">
        <v>0</v>
      </c>
      <c r="R180" s="786">
        <v>0</v>
      </c>
      <c r="S180" s="786">
        <v>0</v>
      </c>
      <c r="T180" s="786">
        <v>0</v>
      </c>
      <c r="U180" s="822">
        <v>0</v>
      </c>
      <c r="V180" s="821">
        <v>0</v>
      </c>
      <c r="W180" s="821">
        <v>75580.67667491929</v>
      </c>
      <c r="X180" s="821">
        <v>0</v>
      </c>
      <c r="Y180" s="821">
        <v>0</v>
      </c>
      <c r="Z180" s="821">
        <v>0</v>
      </c>
      <c r="AA180" s="821">
        <v>0</v>
      </c>
      <c r="AB180" s="823">
        <v>75580.67667491929</v>
      </c>
    </row>
    <row r="181" spans="1:28">
      <c r="A181" s="696" t="str">
        <f t="shared" si="2"/>
        <v>National Grid</v>
      </c>
      <c r="B181" s="696" t="str">
        <f>'Lookups-Assumptions'!$D$4</f>
        <v>Gas</v>
      </c>
      <c r="C181" s="696" t="str">
        <f>'Lookups-Assumptions'!$D$6</f>
        <v>Evaluated</v>
      </c>
      <c r="D181" s="819">
        <f>'Inputs Yr 2'!$E$2</f>
        <v>2017</v>
      </c>
      <c r="E181" s="696" t="s">
        <v>1118</v>
      </c>
      <c r="F181" s="696" t="s">
        <v>83</v>
      </c>
      <c r="G181" s="696" t="s">
        <v>873</v>
      </c>
      <c r="H181" s="696" t="s">
        <v>911</v>
      </c>
      <c r="I181" s="696" t="s">
        <v>783</v>
      </c>
      <c r="J181" s="820">
        <v>4</v>
      </c>
      <c r="K181" s="821">
        <v>4000</v>
      </c>
      <c r="L181" s="786">
        <v>0</v>
      </c>
      <c r="M181" s="786">
        <v>0</v>
      </c>
      <c r="N181" s="786">
        <v>379.00800000000004</v>
      </c>
      <c r="O181" s="786">
        <v>4548.0960000000005</v>
      </c>
      <c r="P181" s="786">
        <v>0</v>
      </c>
      <c r="Q181" s="786">
        <v>0</v>
      </c>
      <c r="R181" s="786">
        <v>0</v>
      </c>
      <c r="S181" s="786">
        <v>0</v>
      </c>
      <c r="T181" s="786">
        <v>222328.80000000002</v>
      </c>
      <c r="U181" s="822">
        <v>2667945.6</v>
      </c>
      <c r="V181" s="821">
        <v>0</v>
      </c>
      <c r="W181" s="821">
        <v>37193.423331771402</v>
      </c>
      <c r="X181" s="821">
        <v>0</v>
      </c>
      <c r="Y181" s="821">
        <v>0</v>
      </c>
      <c r="Z181" s="821">
        <v>28154.158611308078</v>
      </c>
      <c r="AA181" s="821">
        <v>0</v>
      </c>
      <c r="AB181" s="823">
        <v>65347.58194307948</v>
      </c>
    </row>
    <row r="182" spans="1:28">
      <c r="A182" s="696" t="str">
        <f t="shared" si="2"/>
        <v>National Grid</v>
      </c>
      <c r="B182" s="696" t="str">
        <f>'Lookups-Assumptions'!$D$4</f>
        <v>Gas</v>
      </c>
      <c r="C182" s="696" t="str">
        <f>'Lookups-Assumptions'!$D$6</f>
        <v>Evaluated</v>
      </c>
      <c r="D182" s="819">
        <f>'Inputs Yr 2'!$E$2</f>
        <v>2017</v>
      </c>
      <c r="E182" s="696" t="s">
        <v>1119</v>
      </c>
      <c r="F182" s="696" t="s">
        <v>83</v>
      </c>
      <c r="G182" s="696" t="s">
        <v>873</v>
      </c>
      <c r="H182" s="696" t="s">
        <v>911</v>
      </c>
      <c r="I182" s="696" t="s">
        <v>784</v>
      </c>
      <c r="J182" s="820">
        <v>183</v>
      </c>
      <c r="K182" s="821">
        <v>197495.43</v>
      </c>
      <c r="L182" s="786">
        <v>0</v>
      </c>
      <c r="M182" s="786">
        <v>0</v>
      </c>
      <c r="N182" s="786">
        <v>1997.1522000000004</v>
      </c>
      <c r="O182" s="786">
        <v>23965.826400000005</v>
      </c>
      <c r="P182" s="786">
        <v>0</v>
      </c>
      <c r="Q182" s="786">
        <v>0</v>
      </c>
      <c r="R182" s="786">
        <v>0</v>
      </c>
      <c r="S182" s="786">
        <v>0</v>
      </c>
      <c r="T182" s="786">
        <v>0</v>
      </c>
      <c r="U182" s="822">
        <v>0</v>
      </c>
      <c r="V182" s="821">
        <v>0</v>
      </c>
      <c r="W182" s="821">
        <v>195987.75548953741</v>
      </c>
      <c r="X182" s="821">
        <v>0</v>
      </c>
      <c r="Y182" s="821">
        <v>0</v>
      </c>
      <c r="Z182" s="821">
        <v>0</v>
      </c>
      <c r="AA182" s="821">
        <v>0</v>
      </c>
      <c r="AB182" s="823">
        <v>195987.75548953741</v>
      </c>
    </row>
    <row r="183" spans="1:28">
      <c r="A183" s="696" t="str">
        <f t="shared" si="2"/>
        <v>National Grid</v>
      </c>
      <c r="B183" s="696" t="str">
        <f>'Lookups-Assumptions'!$D$4</f>
        <v>Gas</v>
      </c>
      <c r="C183" s="696" t="str">
        <f>'Lookups-Assumptions'!$D$6</f>
        <v>Evaluated</v>
      </c>
      <c r="D183" s="819">
        <f>'Inputs Yr 2'!$E$2</f>
        <v>2017</v>
      </c>
      <c r="E183" s="696" t="s">
        <v>1120</v>
      </c>
      <c r="F183" s="696" t="s">
        <v>83</v>
      </c>
      <c r="G183" s="696" t="s">
        <v>873</v>
      </c>
      <c r="H183" s="696" t="s">
        <v>911</v>
      </c>
      <c r="I183" s="696" t="s">
        <v>785</v>
      </c>
      <c r="J183" s="820">
        <v>2</v>
      </c>
      <c r="K183" s="821">
        <v>2000</v>
      </c>
      <c r="L183" s="786">
        <v>0</v>
      </c>
      <c r="M183" s="786">
        <v>0</v>
      </c>
      <c r="N183" s="786">
        <v>149.5728</v>
      </c>
      <c r="O183" s="786">
        <v>1794.8735999999999</v>
      </c>
      <c r="P183" s="786">
        <v>0</v>
      </c>
      <c r="Q183" s="786">
        <v>0</v>
      </c>
      <c r="R183" s="786">
        <v>0</v>
      </c>
      <c r="S183" s="786">
        <v>0</v>
      </c>
      <c r="T183" s="786">
        <v>0</v>
      </c>
      <c r="U183" s="822">
        <v>0</v>
      </c>
      <c r="V183" s="821">
        <v>0</v>
      </c>
      <c r="W183" s="821">
        <v>14678.118850574068</v>
      </c>
      <c r="X183" s="821">
        <v>0</v>
      </c>
      <c r="Y183" s="821">
        <v>0</v>
      </c>
      <c r="Z183" s="821">
        <v>0</v>
      </c>
      <c r="AA183" s="821">
        <v>0</v>
      </c>
      <c r="AB183" s="823">
        <v>14678.118850574068</v>
      </c>
    </row>
    <row r="184" spans="1:28">
      <c r="A184" s="696" t="str">
        <f t="shared" si="2"/>
        <v>National Grid</v>
      </c>
      <c r="B184" s="696" t="str">
        <f>'Lookups-Assumptions'!$D$4</f>
        <v>Gas</v>
      </c>
      <c r="C184" s="696" t="str">
        <f>'Lookups-Assumptions'!$D$6</f>
        <v>Evaluated</v>
      </c>
      <c r="D184" s="819">
        <f>'Inputs Yr 2'!$E$2</f>
        <v>2017</v>
      </c>
      <c r="E184" s="696" t="s">
        <v>1121</v>
      </c>
      <c r="F184" s="696" t="s">
        <v>83</v>
      </c>
      <c r="G184" s="696" t="s">
        <v>873</v>
      </c>
      <c r="H184" s="696" t="s">
        <v>911</v>
      </c>
      <c r="I184" s="696" t="s">
        <v>786</v>
      </c>
      <c r="J184" s="820">
        <v>3</v>
      </c>
      <c r="K184" s="821">
        <v>3000</v>
      </c>
      <c r="L184" s="786">
        <v>0</v>
      </c>
      <c r="M184" s="786">
        <v>0</v>
      </c>
      <c r="N184" s="786">
        <v>536.27940000000012</v>
      </c>
      <c r="O184" s="786">
        <v>6435.3528000000015</v>
      </c>
      <c r="P184" s="786">
        <v>0</v>
      </c>
      <c r="Q184" s="786">
        <v>0</v>
      </c>
      <c r="R184" s="786">
        <v>0</v>
      </c>
      <c r="S184" s="786">
        <v>0</v>
      </c>
      <c r="T184" s="786">
        <v>0</v>
      </c>
      <c r="U184" s="822">
        <v>0</v>
      </c>
      <c r="V184" s="821">
        <v>0</v>
      </c>
      <c r="W184" s="821">
        <v>52627.033593772088</v>
      </c>
      <c r="X184" s="821">
        <v>0</v>
      </c>
      <c r="Y184" s="821">
        <v>0</v>
      </c>
      <c r="Z184" s="821">
        <v>0</v>
      </c>
      <c r="AA184" s="821">
        <v>0</v>
      </c>
      <c r="AB184" s="823">
        <v>52627.033593772088</v>
      </c>
    </row>
    <row r="185" spans="1:28">
      <c r="A185" s="696" t="str">
        <f t="shared" si="2"/>
        <v>National Grid</v>
      </c>
      <c r="B185" s="696" t="str">
        <f>'Lookups-Assumptions'!$D$4</f>
        <v>Gas</v>
      </c>
      <c r="C185" s="696" t="str">
        <f>'Lookups-Assumptions'!$D$6</f>
        <v>Evaluated</v>
      </c>
      <c r="D185" s="819">
        <f>'Inputs Yr 2'!$E$2</f>
        <v>2017</v>
      </c>
      <c r="E185" s="696" t="s">
        <v>1122</v>
      </c>
      <c r="F185" s="696" t="s">
        <v>83</v>
      </c>
      <c r="G185" s="696" t="s">
        <v>873</v>
      </c>
      <c r="H185" s="696" t="s">
        <v>911</v>
      </c>
      <c r="I185" s="696" t="s">
        <v>787</v>
      </c>
      <c r="J185" s="820">
        <v>1</v>
      </c>
      <c r="K185" s="821">
        <v>500</v>
      </c>
      <c r="L185" s="786">
        <v>0</v>
      </c>
      <c r="M185" s="786">
        <v>0</v>
      </c>
      <c r="N185" s="786">
        <v>11.082600000000001</v>
      </c>
      <c r="O185" s="786">
        <v>132.99120000000002</v>
      </c>
      <c r="P185" s="786">
        <v>0</v>
      </c>
      <c r="Q185" s="786">
        <v>0</v>
      </c>
      <c r="R185" s="786">
        <v>0</v>
      </c>
      <c r="S185" s="786">
        <v>0</v>
      </c>
      <c r="T185" s="786">
        <v>0</v>
      </c>
      <c r="U185" s="822">
        <v>0</v>
      </c>
      <c r="V185" s="821">
        <v>0</v>
      </c>
      <c r="W185" s="821">
        <v>1087.5755483174225</v>
      </c>
      <c r="X185" s="821">
        <v>0</v>
      </c>
      <c r="Y185" s="821">
        <v>0</v>
      </c>
      <c r="Z185" s="821">
        <v>0</v>
      </c>
      <c r="AA185" s="821">
        <v>0</v>
      </c>
      <c r="AB185" s="823">
        <v>1087.5755483174225</v>
      </c>
    </row>
    <row r="186" spans="1:28">
      <c r="A186" s="696" t="str">
        <f t="shared" si="2"/>
        <v>National Grid</v>
      </c>
      <c r="B186" s="696" t="str">
        <f>'Lookups-Assumptions'!$D$4</f>
        <v>Gas</v>
      </c>
      <c r="C186" s="696" t="str">
        <f>'Lookups-Assumptions'!$D$6</f>
        <v>Evaluated</v>
      </c>
      <c r="D186" s="819">
        <f>'Inputs Yr 2'!$E$2</f>
        <v>2017</v>
      </c>
      <c r="E186" s="696" t="s">
        <v>1123</v>
      </c>
      <c r="F186" s="696" t="s">
        <v>83</v>
      </c>
      <c r="G186" s="696" t="s">
        <v>873</v>
      </c>
      <c r="H186" s="696" t="s">
        <v>911</v>
      </c>
      <c r="I186" s="696" t="s">
        <v>788</v>
      </c>
      <c r="J186" s="820">
        <v>178</v>
      </c>
      <c r="K186" s="821">
        <v>193165.6</v>
      </c>
      <c r="L186" s="786">
        <v>0</v>
      </c>
      <c r="M186" s="786">
        <v>0</v>
      </c>
      <c r="N186" s="786">
        <v>7649.8704000000007</v>
      </c>
      <c r="O186" s="786">
        <v>91798.444800000012</v>
      </c>
      <c r="P186" s="786">
        <v>0</v>
      </c>
      <c r="Q186" s="786">
        <v>0</v>
      </c>
      <c r="R186" s="786">
        <v>0</v>
      </c>
      <c r="S186" s="786">
        <v>0</v>
      </c>
      <c r="T186" s="786">
        <v>0</v>
      </c>
      <c r="U186" s="822">
        <v>0</v>
      </c>
      <c r="V186" s="821">
        <v>0</v>
      </c>
      <c r="W186" s="821">
        <v>750709.39985537878</v>
      </c>
      <c r="X186" s="821">
        <v>0</v>
      </c>
      <c r="Y186" s="821">
        <v>0</v>
      </c>
      <c r="Z186" s="821">
        <v>0</v>
      </c>
      <c r="AA186" s="821">
        <v>0</v>
      </c>
      <c r="AB186" s="823">
        <v>750709.39985537878</v>
      </c>
    </row>
    <row r="187" spans="1:28">
      <c r="A187" s="696" t="str">
        <f t="shared" si="2"/>
        <v>National Grid</v>
      </c>
      <c r="B187" s="696" t="str">
        <f>'Lookups-Assumptions'!$D$4</f>
        <v>Gas</v>
      </c>
      <c r="C187" s="696" t="str">
        <f>'Lookups-Assumptions'!$D$6</f>
        <v>Evaluated</v>
      </c>
      <c r="D187" s="819">
        <f>'Inputs Yr 2'!$E$2</f>
        <v>2017</v>
      </c>
      <c r="E187" s="696" t="s">
        <v>1124</v>
      </c>
      <c r="F187" s="696" t="s">
        <v>83</v>
      </c>
      <c r="G187" s="696" t="s">
        <v>873</v>
      </c>
      <c r="H187" s="696" t="s">
        <v>911</v>
      </c>
      <c r="I187" s="696" t="s">
        <v>789</v>
      </c>
      <c r="J187" s="820">
        <v>1</v>
      </c>
      <c r="K187" s="821">
        <v>1000</v>
      </c>
      <c r="L187" s="786">
        <v>0</v>
      </c>
      <c r="M187" s="786">
        <v>0</v>
      </c>
      <c r="N187" s="786">
        <v>89.168400000000005</v>
      </c>
      <c r="O187" s="786">
        <v>1070.0208</v>
      </c>
      <c r="P187" s="786">
        <v>0</v>
      </c>
      <c r="Q187" s="786">
        <v>0</v>
      </c>
      <c r="R187" s="786">
        <v>0</v>
      </c>
      <c r="S187" s="786">
        <v>0</v>
      </c>
      <c r="T187" s="786">
        <v>137102.76</v>
      </c>
      <c r="U187" s="822">
        <v>1645233.12</v>
      </c>
      <c r="V187" s="821">
        <v>0</v>
      </c>
      <c r="W187" s="821">
        <v>8750.4170070730015</v>
      </c>
      <c r="X187" s="821">
        <v>0</v>
      </c>
      <c r="Y187" s="821">
        <v>0</v>
      </c>
      <c r="Z187" s="821">
        <v>17361.731143639983</v>
      </c>
      <c r="AA187" s="821">
        <v>0</v>
      </c>
      <c r="AB187" s="823">
        <v>26112.148150712987</v>
      </c>
    </row>
    <row r="188" spans="1:28">
      <c r="A188" s="696" t="str">
        <f t="shared" si="2"/>
        <v>National Grid</v>
      </c>
      <c r="B188" s="696" t="str">
        <f>'Lookups-Assumptions'!$D$4</f>
        <v>Gas</v>
      </c>
      <c r="C188" s="696" t="str">
        <f>'Lookups-Assumptions'!$D$6</f>
        <v>Evaluated</v>
      </c>
      <c r="D188" s="819">
        <f>'Inputs Yr 2'!$E$2</f>
        <v>2017</v>
      </c>
      <c r="E188" s="696" t="s">
        <v>1125</v>
      </c>
      <c r="F188" s="696" t="s">
        <v>83</v>
      </c>
      <c r="G188" s="696" t="s">
        <v>870</v>
      </c>
      <c r="H188" s="696" t="s">
        <v>841</v>
      </c>
      <c r="I188" s="696" t="s">
        <v>1338</v>
      </c>
      <c r="J188" s="820">
        <v>1</v>
      </c>
      <c r="K188" s="821">
        <v>9802.75</v>
      </c>
      <c r="L188" s="786">
        <v>0</v>
      </c>
      <c r="M188" s="786">
        <v>0</v>
      </c>
      <c r="N188" s="786">
        <v>479.86844029999997</v>
      </c>
      <c r="O188" s="786">
        <v>4798.6844029999993</v>
      </c>
      <c r="P188" s="786">
        <v>0</v>
      </c>
      <c r="Q188" s="786">
        <v>0</v>
      </c>
      <c r="R188" s="786">
        <v>0</v>
      </c>
      <c r="S188" s="786">
        <v>0</v>
      </c>
      <c r="T188" s="786">
        <v>0</v>
      </c>
      <c r="U188" s="822">
        <v>0</v>
      </c>
      <c r="V188" s="821">
        <v>0</v>
      </c>
      <c r="W188" s="821">
        <v>40809.628961824128</v>
      </c>
      <c r="X188" s="821">
        <v>0</v>
      </c>
      <c r="Y188" s="821">
        <v>0</v>
      </c>
      <c r="Z188" s="821">
        <v>0</v>
      </c>
      <c r="AA188" s="821">
        <v>11737.164925086237</v>
      </c>
      <c r="AB188" s="823">
        <v>52546.793886910367</v>
      </c>
    </row>
    <row r="189" spans="1:28">
      <c r="A189" s="696" t="str">
        <f t="shared" si="2"/>
        <v>National Grid</v>
      </c>
      <c r="B189" s="696" t="str">
        <f>'Lookups-Assumptions'!$D$4</f>
        <v>Gas</v>
      </c>
      <c r="C189" s="696" t="str">
        <f>'Lookups-Assumptions'!$D$6</f>
        <v>Evaluated</v>
      </c>
      <c r="D189" s="819">
        <f>'Inputs Yr 2'!$E$2</f>
        <v>2017</v>
      </c>
      <c r="E189"/>
      <c r="F189" s="696" t="s">
        <v>83</v>
      </c>
      <c r="G189" s="696" t="s">
        <v>870</v>
      </c>
      <c r="H189" s="696" t="s">
        <v>841</v>
      </c>
      <c r="I189" s="696" t="s">
        <v>1347</v>
      </c>
      <c r="J189" s="820">
        <v>1</v>
      </c>
      <c r="K189" s="821">
        <v>56224.17</v>
      </c>
      <c r="L189" s="786">
        <v>0</v>
      </c>
      <c r="M189" s="786">
        <v>0</v>
      </c>
      <c r="N189" s="786">
        <v>2314.5079330000003</v>
      </c>
      <c r="O189" s="786">
        <v>34717.618995000004</v>
      </c>
      <c r="P189" s="786">
        <v>0</v>
      </c>
      <c r="Q189" s="786">
        <v>0</v>
      </c>
      <c r="R189" s="786">
        <v>0</v>
      </c>
      <c r="S189" s="786">
        <v>0</v>
      </c>
      <c r="T189" s="786">
        <v>0</v>
      </c>
      <c r="U189" s="822">
        <v>0</v>
      </c>
      <c r="V189" s="821">
        <v>0</v>
      </c>
      <c r="W189" s="821">
        <v>294553.23900485213</v>
      </c>
      <c r="X189" s="821">
        <v>0</v>
      </c>
      <c r="Y189" s="821">
        <v>0</v>
      </c>
      <c r="Z189" s="821">
        <v>0</v>
      </c>
      <c r="AA189" s="821">
        <v>83997.776198749852</v>
      </c>
      <c r="AB189" s="823">
        <v>378551.01520360197</v>
      </c>
    </row>
    <row r="190" spans="1:28">
      <c r="A190" s="696" t="str">
        <f t="shared" si="2"/>
        <v>National Grid</v>
      </c>
      <c r="B190" s="696" t="str">
        <f>'Lookups-Assumptions'!$D$4</f>
        <v>Gas</v>
      </c>
      <c r="C190" s="696" t="str">
        <f>'Lookups-Assumptions'!$D$6</f>
        <v>Evaluated</v>
      </c>
      <c r="D190" s="819">
        <f>'Inputs Yr 2'!$E$2</f>
        <v>2017</v>
      </c>
      <c r="E190"/>
      <c r="F190" s="696" t="s">
        <v>83</v>
      </c>
      <c r="G190" s="696" t="s">
        <v>870</v>
      </c>
      <c r="H190" s="696" t="s">
        <v>841</v>
      </c>
      <c r="I190" s="696" t="s">
        <v>1340</v>
      </c>
      <c r="J190" s="820">
        <v>1</v>
      </c>
      <c r="K190" s="821">
        <v>7560.5</v>
      </c>
      <c r="L190" s="786">
        <v>0</v>
      </c>
      <c r="M190" s="786">
        <v>0</v>
      </c>
      <c r="N190" s="786">
        <v>348.42901670000003</v>
      </c>
      <c r="O190" s="786">
        <v>6968.5803340000002</v>
      </c>
      <c r="P190" s="786">
        <v>0</v>
      </c>
      <c r="Q190" s="786">
        <v>0</v>
      </c>
      <c r="R190" s="786">
        <v>0</v>
      </c>
      <c r="S190" s="786">
        <v>0</v>
      </c>
      <c r="T190" s="786">
        <v>0</v>
      </c>
      <c r="U190" s="822">
        <v>0</v>
      </c>
      <c r="V190" s="821">
        <v>0</v>
      </c>
      <c r="W190" s="821">
        <v>60035.200775474739</v>
      </c>
      <c r="X190" s="821">
        <v>0</v>
      </c>
      <c r="Y190" s="821">
        <v>0</v>
      </c>
      <c r="Z190" s="821">
        <v>0</v>
      </c>
      <c r="AA190" s="821">
        <v>16678.478894581844</v>
      </c>
      <c r="AB190" s="823">
        <v>76713.67967005659</v>
      </c>
    </row>
    <row r="191" spans="1:28">
      <c r="A191" s="696" t="str">
        <f t="shared" si="2"/>
        <v>National Grid</v>
      </c>
      <c r="B191" s="696" t="str">
        <f>'Lookups-Assumptions'!$D$4</f>
        <v>Gas</v>
      </c>
      <c r="C191" s="696" t="str">
        <f>'Lookups-Assumptions'!$D$6</f>
        <v>Evaluated</v>
      </c>
      <c r="D191" s="819">
        <f>'Inputs Yr 2'!$E$2</f>
        <v>2017</v>
      </c>
      <c r="E191"/>
      <c r="F191" s="696" t="s">
        <v>83</v>
      </c>
      <c r="G191" s="696" t="s">
        <v>870</v>
      </c>
      <c r="H191" s="696" t="s">
        <v>841</v>
      </c>
      <c r="I191" s="696" t="s">
        <v>1348</v>
      </c>
      <c r="J191" s="820">
        <v>1</v>
      </c>
      <c r="K191" s="821">
        <v>7223.5</v>
      </c>
      <c r="L191" s="786">
        <v>0</v>
      </c>
      <c r="M191" s="786">
        <v>0</v>
      </c>
      <c r="N191" s="786">
        <v>348.78696719999999</v>
      </c>
      <c r="O191" s="786">
        <v>8719.67418</v>
      </c>
      <c r="P191" s="786">
        <v>0</v>
      </c>
      <c r="Q191" s="786">
        <v>0</v>
      </c>
      <c r="R191" s="786">
        <v>0</v>
      </c>
      <c r="S191" s="786">
        <v>0</v>
      </c>
      <c r="T191" s="786">
        <v>0</v>
      </c>
      <c r="U191" s="822">
        <v>0</v>
      </c>
      <c r="V191" s="821">
        <v>0</v>
      </c>
      <c r="W191" s="821">
        <v>76650.87286414062</v>
      </c>
      <c r="X191" s="821">
        <v>0</v>
      </c>
      <c r="Y191" s="821">
        <v>0</v>
      </c>
      <c r="Z191" s="821">
        <v>0</v>
      </c>
      <c r="AA191" s="821">
        <v>20645.437576336568</v>
      </c>
      <c r="AB191" s="823">
        <v>97296.310440477188</v>
      </c>
    </row>
    <row r="192" spans="1:28">
      <c r="A192" s="696" t="str">
        <f t="shared" si="2"/>
        <v>National Grid</v>
      </c>
      <c r="B192" s="696" t="str">
        <f>'Lookups-Assumptions'!$D$4</f>
        <v>Gas</v>
      </c>
      <c r="C192" s="696" t="str">
        <f>'Lookups-Assumptions'!$D$6</f>
        <v>Evaluated</v>
      </c>
      <c r="D192" s="819">
        <f>'Inputs Yr 2'!$E$2</f>
        <v>2017</v>
      </c>
      <c r="E192"/>
      <c r="F192" s="696" t="s">
        <v>83</v>
      </c>
      <c r="G192" s="696" t="s">
        <v>870</v>
      </c>
      <c r="H192" s="696" t="s">
        <v>841</v>
      </c>
      <c r="I192" s="696" t="s">
        <v>1339</v>
      </c>
      <c r="J192" s="820">
        <v>1</v>
      </c>
      <c r="K192" s="821">
        <v>478427.8</v>
      </c>
      <c r="L192" s="786">
        <v>0</v>
      </c>
      <c r="M192" s="786">
        <v>0</v>
      </c>
      <c r="N192" s="786">
        <v>20266.903165145002</v>
      </c>
      <c r="O192" s="786">
        <v>364804.25697261002</v>
      </c>
      <c r="P192" s="786">
        <v>0</v>
      </c>
      <c r="Q192" s="786">
        <v>0</v>
      </c>
      <c r="R192" s="786">
        <v>0</v>
      </c>
      <c r="S192" s="786">
        <v>0</v>
      </c>
      <c r="T192" s="786">
        <v>0</v>
      </c>
      <c r="U192" s="822">
        <v>0</v>
      </c>
      <c r="V192" s="821">
        <v>0</v>
      </c>
      <c r="W192" s="821">
        <v>3121179.1345019755</v>
      </c>
      <c r="X192" s="821">
        <v>0</v>
      </c>
      <c r="Y192" s="821">
        <v>0</v>
      </c>
      <c r="Z192" s="821">
        <v>0</v>
      </c>
      <c r="AA192" s="821">
        <v>876904.35101799376</v>
      </c>
      <c r="AB192" s="823">
        <v>3998083.4855199694</v>
      </c>
    </row>
    <row r="193" spans="1:28">
      <c r="A193" s="696" t="str">
        <f t="shared" si="2"/>
        <v>National Grid</v>
      </c>
      <c r="B193" s="696" t="str">
        <f>'Lookups-Assumptions'!$D$4</f>
        <v>Gas</v>
      </c>
      <c r="C193" s="696" t="str">
        <f>'Lookups-Assumptions'!$D$6</f>
        <v>Evaluated</v>
      </c>
      <c r="D193" s="819">
        <f>'Inputs Yr 2'!$E$2</f>
        <v>2017</v>
      </c>
      <c r="E193" s="696" t="s">
        <v>1126</v>
      </c>
      <c r="F193" s="696" t="s">
        <v>83</v>
      </c>
      <c r="G193" s="696" t="s">
        <v>870</v>
      </c>
      <c r="H193" s="696" t="s">
        <v>841</v>
      </c>
      <c r="I193" s="696" t="s">
        <v>604</v>
      </c>
      <c r="J193" s="820">
        <v>0</v>
      </c>
      <c r="K193" s="821">
        <v>0</v>
      </c>
      <c r="L193" s="786">
        <v>0</v>
      </c>
      <c r="M193" s="786">
        <v>0</v>
      </c>
      <c r="N193" s="786">
        <v>0</v>
      </c>
      <c r="O193" s="786">
        <v>0</v>
      </c>
      <c r="P193" s="786">
        <v>0</v>
      </c>
      <c r="Q193" s="786">
        <v>0</v>
      </c>
      <c r="R193" s="786">
        <v>0</v>
      </c>
      <c r="S193" s="786">
        <v>0</v>
      </c>
      <c r="T193" s="786">
        <v>0</v>
      </c>
      <c r="U193" s="822">
        <v>0</v>
      </c>
      <c r="V193" s="821">
        <v>0</v>
      </c>
      <c r="W193" s="821">
        <v>0</v>
      </c>
      <c r="X193" s="821">
        <v>0</v>
      </c>
      <c r="Y193" s="821">
        <v>0</v>
      </c>
      <c r="Z193" s="821">
        <v>0</v>
      </c>
      <c r="AA193" s="821">
        <v>0</v>
      </c>
      <c r="AB193" s="823">
        <v>0</v>
      </c>
    </row>
    <row r="194" spans="1:28">
      <c r="A194" s="696" t="str">
        <f t="shared" si="2"/>
        <v>National Grid</v>
      </c>
      <c r="B194" s="696" t="str">
        <f>'Lookups-Assumptions'!$D$4</f>
        <v>Gas</v>
      </c>
      <c r="C194" s="696" t="str">
        <f>'Lookups-Assumptions'!$D$6</f>
        <v>Evaluated</v>
      </c>
      <c r="D194" s="819">
        <f>'Inputs Yr 2'!$E$2</f>
        <v>2017</v>
      </c>
      <c r="E194" s="696" t="s">
        <v>1128</v>
      </c>
      <c r="F194" s="696" t="s">
        <v>83</v>
      </c>
      <c r="G194" s="696" t="s">
        <v>870</v>
      </c>
      <c r="H194" s="696" t="s">
        <v>841</v>
      </c>
      <c r="I194" s="696" t="s">
        <v>1372</v>
      </c>
      <c r="J194" s="820">
        <v>1</v>
      </c>
      <c r="K194" s="821">
        <v>836553</v>
      </c>
      <c r="L194" s="786">
        <v>0</v>
      </c>
      <c r="M194" s="786">
        <v>0</v>
      </c>
      <c r="N194" s="786">
        <v>39925.941950200002</v>
      </c>
      <c r="O194" s="786">
        <v>718666.95510360005</v>
      </c>
      <c r="P194" s="786">
        <v>0</v>
      </c>
      <c r="Q194" s="786">
        <v>0</v>
      </c>
      <c r="R194" s="786">
        <v>0</v>
      </c>
      <c r="S194" s="786">
        <v>0</v>
      </c>
      <c r="T194" s="786">
        <v>0</v>
      </c>
      <c r="U194" s="822">
        <v>0</v>
      </c>
      <c r="V194" s="821">
        <v>0</v>
      </c>
      <c r="W194" s="821">
        <v>6148744.8735935073</v>
      </c>
      <c r="X194" s="821">
        <v>0</v>
      </c>
      <c r="Y194" s="821">
        <v>0</v>
      </c>
      <c r="Z194" s="821">
        <v>0</v>
      </c>
      <c r="AA194" s="821">
        <v>1727507.7464639246</v>
      </c>
      <c r="AB194" s="823">
        <v>7876252.620057432</v>
      </c>
    </row>
    <row r="195" spans="1:28">
      <c r="A195" s="696" t="str">
        <f t="shared" ref="A195:A258" si="3">PA</f>
        <v>National Grid</v>
      </c>
      <c r="B195" s="696" t="str">
        <f>'Lookups-Assumptions'!$D$4</f>
        <v>Gas</v>
      </c>
      <c r="C195" s="696" t="str">
        <f>'Lookups-Assumptions'!$D$6</f>
        <v>Evaluated</v>
      </c>
      <c r="D195" s="819">
        <f>'Inputs Yr 2'!$E$2</f>
        <v>2017</v>
      </c>
      <c r="E195"/>
      <c r="F195" s="696" t="s">
        <v>83</v>
      </c>
      <c r="G195" s="696" t="s">
        <v>870</v>
      </c>
      <c r="H195" s="696" t="s">
        <v>841</v>
      </c>
      <c r="I195" s="696" t="s">
        <v>1512</v>
      </c>
      <c r="J195" s="820">
        <v>1</v>
      </c>
      <c r="K195" s="821">
        <v>19747.400000000001</v>
      </c>
      <c r="L195" s="786">
        <v>0</v>
      </c>
      <c r="M195" s="786">
        <v>0</v>
      </c>
      <c r="N195" s="786">
        <v>572.50602970000011</v>
      </c>
      <c r="O195" s="786">
        <v>8587.5904455000018</v>
      </c>
      <c r="P195" s="786">
        <v>0</v>
      </c>
      <c r="Q195" s="786">
        <v>0</v>
      </c>
      <c r="R195" s="786">
        <v>0</v>
      </c>
      <c r="S195" s="786">
        <v>0</v>
      </c>
      <c r="T195" s="786">
        <v>0</v>
      </c>
      <c r="U195" s="822">
        <v>0</v>
      </c>
      <c r="V195" s="821">
        <v>0</v>
      </c>
      <c r="W195" s="821">
        <v>72859.333508252472</v>
      </c>
      <c r="X195" s="821">
        <v>0</v>
      </c>
      <c r="Y195" s="821">
        <v>0</v>
      </c>
      <c r="Z195" s="821">
        <v>0</v>
      </c>
      <c r="AA195" s="821">
        <v>20777.303317705002</v>
      </c>
      <c r="AB195" s="823">
        <v>93636.636825957481</v>
      </c>
    </row>
    <row r="196" spans="1:28">
      <c r="A196" s="696" t="str">
        <f t="shared" si="3"/>
        <v>National Grid</v>
      </c>
      <c r="B196" s="696" t="str">
        <f>'Lookups-Assumptions'!$D$4</f>
        <v>Gas</v>
      </c>
      <c r="C196" s="696" t="str">
        <f>'Lookups-Assumptions'!$D$6</f>
        <v>Evaluated</v>
      </c>
      <c r="D196" s="819">
        <f>'Inputs Yr 2'!$E$2</f>
        <v>2017</v>
      </c>
      <c r="E196" s="696" t="s">
        <v>1129</v>
      </c>
      <c r="F196" s="696" t="s">
        <v>83</v>
      </c>
      <c r="G196" s="696" t="s">
        <v>870</v>
      </c>
      <c r="H196" s="696" t="s">
        <v>841</v>
      </c>
      <c r="I196" s="696" t="s">
        <v>1352</v>
      </c>
      <c r="J196" s="820">
        <v>1</v>
      </c>
      <c r="K196" s="821">
        <v>285</v>
      </c>
      <c r="L196" s="786">
        <v>0</v>
      </c>
      <c r="M196" s="786">
        <v>0</v>
      </c>
      <c r="N196" s="786">
        <v>20.403178499999999</v>
      </c>
      <c r="O196" s="786">
        <v>204.03178499999999</v>
      </c>
      <c r="P196" s="786">
        <v>0</v>
      </c>
      <c r="Q196" s="786">
        <v>0</v>
      </c>
      <c r="R196" s="786">
        <v>0</v>
      </c>
      <c r="S196" s="786">
        <v>0</v>
      </c>
      <c r="T196" s="786">
        <v>0</v>
      </c>
      <c r="U196" s="822">
        <v>0</v>
      </c>
      <c r="V196" s="821">
        <v>0</v>
      </c>
      <c r="W196" s="821">
        <v>1735.1550431329074</v>
      </c>
      <c r="X196" s="821">
        <v>0</v>
      </c>
      <c r="Y196" s="821">
        <v>0</v>
      </c>
      <c r="Z196" s="821">
        <v>0</v>
      </c>
      <c r="AA196" s="821">
        <v>499.04401068918071</v>
      </c>
      <c r="AB196" s="823">
        <v>2234.199053822088</v>
      </c>
    </row>
    <row r="197" spans="1:28">
      <c r="A197" s="696" t="str">
        <f t="shared" si="3"/>
        <v>National Grid</v>
      </c>
      <c r="B197" s="696" t="str">
        <f>'Lookups-Assumptions'!$D$4</f>
        <v>Gas</v>
      </c>
      <c r="C197" s="696" t="str">
        <f>'Lookups-Assumptions'!$D$6</f>
        <v>Evaluated</v>
      </c>
      <c r="D197" s="819">
        <f>'Inputs Yr 2'!$E$2</f>
        <v>2017</v>
      </c>
      <c r="E197"/>
      <c r="F197" s="696" t="s">
        <v>83</v>
      </c>
      <c r="G197" s="696" t="s">
        <v>870</v>
      </c>
      <c r="H197" s="696" t="s">
        <v>841</v>
      </c>
      <c r="I197" s="696" t="s">
        <v>1353</v>
      </c>
      <c r="J197" s="820">
        <v>1</v>
      </c>
      <c r="K197" s="821">
        <v>149680.74</v>
      </c>
      <c r="L197" s="786">
        <v>0</v>
      </c>
      <c r="M197" s="786">
        <v>0</v>
      </c>
      <c r="N197" s="786">
        <v>14277.571593500001</v>
      </c>
      <c r="O197" s="786">
        <v>214163.57390250001</v>
      </c>
      <c r="P197" s="786">
        <v>0</v>
      </c>
      <c r="Q197" s="786">
        <v>0</v>
      </c>
      <c r="R197" s="786">
        <v>0</v>
      </c>
      <c r="S197" s="786">
        <v>0</v>
      </c>
      <c r="T197" s="786">
        <v>0</v>
      </c>
      <c r="U197" s="822">
        <v>0</v>
      </c>
      <c r="V197" s="821">
        <v>0</v>
      </c>
      <c r="W197" s="821">
        <v>1817019.0294133215</v>
      </c>
      <c r="X197" s="821">
        <v>0</v>
      </c>
      <c r="Y197" s="821">
        <v>0</v>
      </c>
      <c r="Z197" s="821">
        <v>0</v>
      </c>
      <c r="AA197" s="821">
        <v>518159.495706702</v>
      </c>
      <c r="AB197" s="823">
        <v>2335178.5251200236</v>
      </c>
    </row>
    <row r="198" spans="1:28">
      <c r="A198" s="696" t="str">
        <f t="shared" si="3"/>
        <v>National Grid</v>
      </c>
      <c r="B198" s="696" t="str">
        <f>'Lookups-Assumptions'!$D$4</f>
        <v>Gas</v>
      </c>
      <c r="C198" s="696" t="str">
        <f>'Lookups-Assumptions'!$D$6</f>
        <v>Evaluated</v>
      </c>
      <c r="D198" s="819">
        <f>'Inputs Yr 2'!$E$2</f>
        <v>2017</v>
      </c>
      <c r="E198"/>
      <c r="F198" s="696" t="s">
        <v>83</v>
      </c>
      <c r="G198" s="696" t="s">
        <v>870</v>
      </c>
      <c r="H198" s="696" t="s">
        <v>841</v>
      </c>
      <c r="I198" s="696" t="s">
        <v>1354</v>
      </c>
      <c r="J198" s="820">
        <v>1</v>
      </c>
      <c r="K198" s="821">
        <v>102815.5</v>
      </c>
      <c r="L198" s="786">
        <v>0</v>
      </c>
      <c r="M198" s="786">
        <v>0</v>
      </c>
      <c r="N198" s="786">
        <v>7871.1167247000012</v>
      </c>
      <c r="O198" s="786">
        <v>141680.10104460001</v>
      </c>
      <c r="P198" s="786">
        <v>0</v>
      </c>
      <c r="Q198" s="786">
        <v>0</v>
      </c>
      <c r="R198" s="786">
        <v>0</v>
      </c>
      <c r="S198" s="786">
        <v>0</v>
      </c>
      <c r="T198" s="786">
        <v>0</v>
      </c>
      <c r="U198" s="822">
        <v>0</v>
      </c>
      <c r="V198" s="821">
        <v>0</v>
      </c>
      <c r="W198" s="821">
        <v>1212181.5102276581</v>
      </c>
      <c r="X198" s="821">
        <v>0</v>
      </c>
      <c r="Y198" s="821">
        <v>0</v>
      </c>
      <c r="Z198" s="821">
        <v>0</v>
      </c>
      <c r="AA198" s="821">
        <v>340565.91907590278</v>
      </c>
      <c r="AB198" s="823">
        <v>1552747.4293035609</v>
      </c>
    </row>
    <row r="199" spans="1:28">
      <c r="A199" s="696" t="str">
        <f t="shared" si="3"/>
        <v>National Grid</v>
      </c>
      <c r="B199" s="696" t="str">
        <f>'Lookups-Assumptions'!$D$4</f>
        <v>Gas</v>
      </c>
      <c r="C199" s="696" t="str">
        <f>'Lookups-Assumptions'!$D$6</f>
        <v>Evaluated</v>
      </c>
      <c r="D199" s="819">
        <f>'Inputs Yr 2'!$E$2</f>
        <v>2017</v>
      </c>
      <c r="E199"/>
      <c r="F199" s="696" t="s">
        <v>83</v>
      </c>
      <c r="G199" s="696" t="s">
        <v>870</v>
      </c>
      <c r="H199" s="696" t="s">
        <v>841</v>
      </c>
      <c r="I199" s="696" t="s">
        <v>1368</v>
      </c>
      <c r="J199" s="820">
        <v>1</v>
      </c>
      <c r="K199" s="821">
        <v>14449.8</v>
      </c>
      <c r="L199" s="786">
        <v>0</v>
      </c>
      <c r="M199" s="786">
        <v>0</v>
      </c>
      <c r="N199" s="786">
        <v>873.25603980000005</v>
      </c>
      <c r="O199" s="786">
        <v>1746.5120796000001</v>
      </c>
      <c r="P199" s="786">
        <v>0</v>
      </c>
      <c r="Q199" s="786">
        <v>0</v>
      </c>
      <c r="R199" s="786">
        <v>0</v>
      </c>
      <c r="S199" s="786">
        <v>0</v>
      </c>
      <c r="T199" s="786">
        <v>0</v>
      </c>
      <c r="U199" s="822">
        <v>0</v>
      </c>
      <c r="V199" s="821">
        <v>0</v>
      </c>
      <c r="W199" s="821">
        <v>17788.292610422082</v>
      </c>
      <c r="X199" s="821">
        <v>0</v>
      </c>
      <c r="Y199" s="821">
        <v>0</v>
      </c>
      <c r="Z199" s="821">
        <v>0</v>
      </c>
      <c r="AA199" s="821">
        <v>4347.1632010124713</v>
      </c>
      <c r="AB199" s="823">
        <v>22135.455811434553</v>
      </c>
    </row>
    <row r="200" spans="1:28">
      <c r="A200" s="696" t="str">
        <f t="shared" si="3"/>
        <v>National Grid</v>
      </c>
      <c r="B200" s="696" t="str">
        <f>'Lookups-Assumptions'!$D$4</f>
        <v>Gas</v>
      </c>
      <c r="C200" s="696" t="str">
        <f>'Lookups-Assumptions'!$D$6</f>
        <v>Evaluated</v>
      </c>
      <c r="D200" s="819">
        <f>'Inputs Yr 2'!$E$2</f>
        <v>2017</v>
      </c>
      <c r="E200"/>
      <c r="F200" s="696" t="s">
        <v>83</v>
      </c>
      <c r="G200" s="696" t="s">
        <v>870</v>
      </c>
      <c r="H200" s="696" t="s">
        <v>841</v>
      </c>
      <c r="I200" s="696" t="s">
        <v>1369</v>
      </c>
      <c r="J200" s="820">
        <v>1</v>
      </c>
      <c r="K200" s="821">
        <v>18491.099999999999</v>
      </c>
      <c r="L200" s="786">
        <v>0</v>
      </c>
      <c r="M200" s="786">
        <v>0</v>
      </c>
      <c r="N200" s="786">
        <v>690.62969470000007</v>
      </c>
      <c r="O200" s="786">
        <v>3453.1484735000004</v>
      </c>
      <c r="P200" s="786">
        <v>0</v>
      </c>
      <c r="Q200" s="786">
        <v>0</v>
      </c>
      <c r="R200" s="786">
        <v>0</v>
      </c>
      <c r="S200" s="786">
        <v>0</v>
      </c>
      <c r="T200" s="786">
        <v>0</v>
      </c>
      <c r="U200" s="822">
        <v>0</v>
      </c>
      <c r="V200" s="821">
        <v>0</v>
      </c>
      <c r="W200" s="821">
        <v>31209.867091507589</v>
      </c>
      <c r="X200" s="821">
        <v>0</v>
      </c>
      <c r="Y200" s="821">
        <v>0</v>
      </c>
      <c r="Z200" s="821">
        <v>0</v>
      </c>
      <c r="AA200" s="821">
        <v>8538.800592460022</v>
      </c>
      <c r="AB200" s="823">
        <v>39748.667683967607</v>
      </c>
    </row>
    <row r="201" spans="1:28">
      <c r="A201" s="696" t="str">
        <f t="shared" si="3"/>
        <v>National Grid</v>
      </c>
      <c r="B201" s="696" t="str">
        <f>'Lookups-Assumptions'!$D$4</f>
        <v>Gas</v>
      </c>
      <c r="C201" s="696" t="str">
        <f>'Lookups-Assumptions'!$D$6</f>
        <v>Evaluated</v>
      </c>
      <c r="D201" s="819">
        <f>'Inputs Yr 2'!$E$2</f>
        <v>2017</v>
      </c>
      <c r="E201"/>
      <c r="F201" s="696" t="s">
        <v>83</v>
      </c>
      <c r="G201" s="696" t="s">
        <v>870</v>
      </c>
      <c r="H201" s="696" t="s">
        <v>841</v>
      </c>
      <c r="I201" s="696" t="s">
        <v>1370</v>
      </c>
      <c r="J201" s="820">
        <v>1</v>
      </c>
      <c r="K201" s="821">
        <v>100220</v>
      </c>
      <c r="L201" s="786">
        <v>0</v>
      </c>
      <c r="M201" s="786">
        <v>0</v>
      </c>
      <c r="N201" s="786">
        <v>3314.9079904</v>
      </c>
      <c r="O201" s="786">
        <v>43093.803875199999</v>
      </c>
      <c r="P201" s="786">
        <v>0</v>
      </c>
      <c r="Q201" s="786">
        <v>0</v>
      </c>
      <c r="R201" s="786">
        <v>0</v>
      </c>
      <c r="S201" s="786">
        <v>0</v>
      </c>
      <c r="T201" s="786">
        <v>0</v>
      </c>
      <c r="U201" s="822">
        <v>0</v>
      </c>
      <c r="V201" s="821">
        <v>0</v>
      </c>
      <c r="W201" s="821">
        <v>364299.98459571565</v>
      </c>
      <c r="X201" s="821">
        <v>0</v>
      </c>
      <c r="Y201" s="821">
        <v>0</v>
      </c>
      <c r="Z201" s="821">
        <v>0</v>
      </c>
      <c r="AA201" s="821">
        <v>104717.64318941682</v>
      </c>
      <c r="AB201" s="823">
        <v>469017.6277851325</v>
      </c>
    </row>
    <row r="202" spans="1:28">
      <c r="A202" s="696" t="str">
        <f t="shared" si="3"/>
        <v>National Grid</v>
      </c>
      <c r="B202" s="696" t="str">
        <f>'Lookups-Assumptions'!$D$4</f>
        <v>Gas</v>
      </c>
      <c r="C202" s="696" t="str">
        <f>'Lookups-Assumptions'!$D$6</f>
        <v>Evaluated</v>
      </c>
      <c r="D202" s="819">
        <f>'Inputs Yr 2'!$E$2</f>
        <v>2017</v>
      </c>
      <c r="E202" s="696" t="s">
        <v>1131</v>
      </c>
      <c r="F202" s="696" t="s">
        <v>83</v>
      </c>
      <c r="G202" s="696" t="s">
        <v>870</v>
      </c>
      <c r="H202" s="696" t="s">
        <v>841</v>
      </c>
      <c r="I202" s="696" t="s">
        <v>1358</v>
      </c>
      <c r="J202" s="820">
        <v>1</v>
      </c>
      <c r="K202" s="821">
        <v>13567.5</v>
      </c>
      <c r="L202" s="786">
        <v>0</v>
      </c>
      <c r="M202" s="786">
        <v>0</v>
      </c>
      <c r="N202" s="786">
        <v>647.53245450000009</v>
      </c>
      <c r="O202" s="786">
        <v>12950.649090000003</v>
      </c>
      <c r="P202" s="786">
        <v>0</v>
      </c>
      <c r="Q202" s="786">
        <v>0</v>
      </c>
      <c r="R202" s="786">
        <v>0</v>
      </c>
      <c r="S202" s="786">
        <v>0</v>
      </c>
      <c r="T202" s="786">
        <v>0</v>
      </c>
      <c r="U202" s="822">
        <v>0</v>
      </c>
      <c r="V202" s="821">
        <v>0</v>
      </c>
      <c r="W202" s="821">
        <v>101557.16170006528</v>
      </c>
      <c r="X202" s="821">
        <v>0</v>
      </c>
      <c r="Y202" s="821">
        <v>0</v>
      </c>
      <c r="Z202" s="821">
        <v>0</v>
      </c>
      <c r="AA202" s="821">
        <v>30995.858147008992</v>
      </c>
      <c r="AB202" s="823">
        <v>132553.01984707426</v>
      </c>
    </row>
    <row r="203" spans="1:28">
      <c r="A203" s="696" t="str">
        <f t="shared" si="3"/>
        <v>National Grid</v>
      </c>
      <c r="B203" s="696" t="str">
        <f>'Lookups-Assumptions'!$D$4</f>
        <v>Gas</v>
      </c>
      <c r="C203" s="696" t="str">
        <f>'Lookups-Assumptions'!$D$6</f>
        <v>Evaluated</v>
      </c>
      <c r="D203" s="819">
        <f>'Inputs Yr 2'!$E$2</f>
        <v>2017</v>
      </c>
      <c r="E203" s="696" t="s">
        <v>1133</v>
      </c>
      <c r="F203" s="696" t="s">
        <v>83</v>
      </c>
      <c r="G203" s="696" t="s">
        <v>870</v>
      </c>
      <c r="H203" s="696" t="s">
        <v>841</v>
      </c>
      <c r="I203" s="696" t="s">
        <v>84</v>
      </c>
      <c r="J203" s="820">
        <v>0</v>
      </c>
      <c r="K203" s="821">
        <v>0</v>
      </c>
      <c r="L203" s="786">
        <v>0</v>
      </c>
      <c r="M203" s="786">
        <v>0</v>
      </c>
      <c r="N203" s="786">
        <v>0</v>
      </c>
      <c r="O203" s="786">
        <v>0</v>
      </c>
      <c r="P203" s="786">
        <v>0</v>
      </c>
      <c r="Q203" s="786">
        <v>0</v>
      </c>
      <c r="R203" s="786">
        <v>0</v>
      </c>
      <c r="S203" s="786">
        <v>0</v>
      </c>
      <c r="T203" s="786">
        <v>0</v>
      </c>
      <c r="U203" s="822">
        <v>0</v>
      </c>
      <c r="V203" s="821">
        <v>0</v>
      </c>
      <c r="W203" s="821">
        <v>0</v>
      </c>
      <c r="X203" s="821">
        <v>0</v>
      </c>
      <c r="Y203" s="821">
        <v>0</v>
      </c>
      <c r="Z203" s="821">
        <v>0</v>
      </c>
      <c r="AA203" s="821">
        <v>0</v>
      </c>
      <c r="AB203" s="823">
        <v>0</v>
      </c>
    </row>
    <row r="204" spans="1:28">
      <c r="A204" s="696" t="str">
        <f t="shared" si="3"/>
        <v>National Grid</v>
      </c>
      <c r="B204" s="696" t="str">
        <f>'Lookups-Assumptions'!$D$4</f>
        <v>Gas</v>
      </c>
      <c r="C204" s="696" t="str">
        <f>'Lookups-Assumptions'!$D$6</f>
        <v>Evaluated</v>
      </c>
      <c r="D204" s="819">
        <f>'Inputs Yr 2'!$E$2</f>
        <v>2017</v>
      </c>
      <c r="E204" s="696" t="s">
        <v>1135</v>
      </c>
      <c r="F204" s="696" t="s">
        <v>83</v>
      </c>
      <c r="G204" s="696" t="s">
        <v>870</v>
      </c>
      <c r="H204" s="696" t="s">
        <v>841</v>
      </c>
      <c r="I204" s="696" t="s">
        <v>1374</v>
      </c>
      <c r="J204" s="820">
        <v>1</v>
      </c>
      <c r="K204" s="821">
        <v>200814.4</v>
      </c>
      <c r="L204" s="786">
        <v>0</v>
      </c>
      <c r="M204" s="786">
        <v>0</v>
      </c>
      <c r="N204" s="786">
        <v>32367.645326460002</v>
      </c>
      <c r="O204" s="786">
        <v>323676.45326460002</v>
      </c>
      <c r="P204" s="786">
        <v>0</v>
      </c>
      <c r="Q204" s="786">
        <v>0</v>
      </c>
      <c r="R204" s="786">
        <v>0</v>
      </c>
      <c r="S204" s="786">
        <v>0</v>
      </c>
      <c r="T204" s="786">
        <v>0</v>
      </c>
      <c r="U204" s="822">
        <v>0</v>
      </c>
      <c r="V204" s="821">
        <v>0</v>
      </c>
      <c r="W204" s="821">
        <v>2661576.7408842221</v>
      </c>
      <c r="X204" s="821">
        <v>0</v>
      </c>
      <c r="Y204" s="821">
        <v>0</v>
      </c>
      <c r="Z204" s="821">
        <v>0</v>
      </c>
      <c r="AA204" s="821">
        <v>791684.46917628625</v>
      </c>
      <c r="AB204" s="823">
        <v>3453261.2100605085</v>
      </c>
    </row>
    <row r="205" spans="1:28">
      <c r="A205" s="696" t="str">
        <f t="shared" si="3"/>
        <v>National Grid</v>
      </c>
      <c r="B205" s="696" t="str">
        <f>'Lookups-Assumptions'!$D$4</f>
        <v>Gas</v>
      </c>
      <c r="C205" s="696" t="str">
        <f>'Lookups-Assumptions'!$D$6</f>
        <v>Evaluated</v>
      </c>
      <c r="D205" s="819">
        <f>'Inputs Yr 2'!$E$2</f>
        <v>2017</v>
      </c>
      <c r="E205"/>
      <c r="F205" s="696" t="s">
        <v>83</v>
      </c>
      <c r="G205" s="696" t="s">
        <v>870</v>
      </c>
      <c r="H205" s="696" t="s">
        <v>841</v>
      </c>
      <c r="I205" s="696" t="s">
        <v>1375</v>
      </c>
      <c r="J205" s="820">
        <v>1</v>
      </c>
      <c r="K205" s="821">
        <v>5141.3500000000004</v>
      </c>
      <c r="L205" s="786">
        <v>0</v>
      </c>
      <c r="M205" s="786">
        <v>0</v>
      </c>
      <c r="N205" s="786">
        <v>237.46436170000001</v>
      </c>
      <c r="O205" s="786">
        <v>2849.5723404</v>
      </c>
      <c r="P205" s="786">
        <v>0</v>
      </c>
      <c r="Q205" s="786">
        <v>0</v>
      </c>
      <c r="R205" s="786">
        <v>0</v>
      </c>
      <c r="S205" s="786">
        <v>0</v>
      </c>
      <c r="T205" s="786">
        <v>0</v>
      </c>
      <c r="U205" s="822">
        <v>0</v>
      </c>
      <c r="V205" s="821">
        <v>0</v>
      </c>
      <c r="W205" s="821">
        <v>23303.235105636246</v>
      </c>
      <c r="X205" s="821">
        <v>0</v>
      </c>
      <c r="Y205" s="821">
        <v>0</v>
      </c>
      <c r="Z205" s="821">
        <v>0</v>
      </c>
      <c r="AA205" s="821">
        <v>6939.518656291646</v>
      </c>
      <c r="AB205" s="823">
        <v>30242.753761927892</v>
      </c>
    </row>
    <row r="206" spans="1:28">
      <c r="A206" s="696" t="str">
        <f t="shared" si="3"/>
        <v>National Grid</v>
      </c>
      <c r="B206" s="696" t="str">
        <f>'Lookups-Assumptions'!$D$4</f>
        <v>Gas</v>
      </c>
      <c r="C206" s="696" t="str">
        <f>'Lookups-Assumptions'!$D$6</f>
        <v>Evaluated</v>
      </c>
      <c r="D206" s="819">
        <f>'Inputs Yr 2'!$E$2</f>
        <v>2017</v>
      </c>
      <c r="E206"/>
      <c r="F206" s="696" t="s">
        <v>83</v>
      </c>
      <c r="G206" s="696" t="s">
        <v>870</v>
      </c>
      <c r="H206" s="696" t="s">
        <v>841</v>
      </c>
      <c r="I206" s="696" t="s">
        <v>1376</v>
      </c>
      <c r="J206" s="820">
        <v>1</v>
      </c>
      <c r="K206" s="821">
        <v>2453.25</v>
      </c>
      <c r="L206" s="786">
        <v>0</v>
      </c>
      <c r="M206" s="786">
        <v>0</v>
      </c>
      <c r="N206" s="786">
        <v>115.26006100000002</v>
      </c>
      <c r="O206" s="786">
        <v>1498.3807930000003</v>
      </c>
      <c r="P206" s="786">
        <v>0</v>
      </c>
      <c r="Q206" s="786">
        <v>0</v>
      </c>
      <c r="R206" s="786">
        <v>0</v>
      </c>
      <c r="S206" s="786">
        <v>0</v>
      </c>
      <c r="T206" s="786">
        <v>0</v>
      </c>
      <c r="U206" s="822">
        <v>0</v>
      </c>
      <c r="V206" s="821">
        <v>0</v>
      </c>
      <c r="W206" s="821">
        <v>12249.361049548976</v>
      </c>
      <c r="X206" s="821">
        <v>0</v>
      </c>
      <c r="Y206" s="821">
        <v>0</v>
      </c>
      <c r="Z206" s="821">
        <v>0</v>
      </c>
      <c r="AA206" s="821">
        <v>3641.0548880217925</v>
      </c>
      <c r="AB206" s="823">
        <v>15890.415937570768</v>
      </c>
    </row>
    <row r="207" spans="1:28">
      <c r="A207" s="696" t="str">
        <f t="shared" si="3"/>
        <v>National Grid</v>
      </c>
      <c r="B207" s="696" t="str">
        <f>'Lookups-Assumptions'!$D$4</f>
        <v>Gas</v>
      </c>
      <c r="C207" s="696" t="str">
        <f>'Lookups-Assumptions'!$D$6</f>
        <v>Evaluated</v>
      </c>
      <c r="D207" s="819">
        <f>'Inputs Yr 2'!$E$2</f>
        <v>2017</v>
      </c>
      <c r="E207"/>
      <c r="F207" s="696" t="s">
        <v>83</v>
      </c>
      <c r="G207" s="696" t="s">
        <v>870</v>
      </c>
      <c r="H207" s="696" t="s">
        <v>841</v>
      </c>
      <c r="I207" s="696" t="s">
        <v>1377</v>
      </c>
      <c r="J207" s="820">
        <v>1</v>
      </c>
      <c r="K207" s="821">
        <v>141958.78</v>
      </c>
      <c r="L207" s="786">
        <v>0</v>
      </c>
      <c r="M207" s="786">
        <v>0</v>
      </c>
      <c r="N207" s="786">
        <v>14122.865387400001</v>
      </c>
      <c r="O207" s="786">
        <v>211842.98081100002</v>
      </c>
      <c r="P207" s="786">
        <v>0</v>
      </c>
      <c r="Q207" s="786">
        <v>0</v>
      </c>
      <c r="R207" s="786">
        <v>0</v>
      </c>
      <c r="S207" s="786">
        <v>0</v>
      </c>
      <c r="T207" s="786">
        <v>0</v>
      </c>
      <c r="U207" s="822">
        <v>0</v>
      </c>
      <c r="V207" s="821">
        <v>0</v>
      </c>
      <c r="W207" s="821">
        <v>1738776.6623030161</v>
      </c>
      <c r="X207" s="821">
        <v>0</v>
      </c>
      <c r="Y207" s="821">
        <v>0</v>
      </c>
      <c r="Z207" s="821">
        <v>0</v>
      </c>
      <c r="AA207" s="821">
        <v>512544.92118256044</v>
      </c>
      <c r="AB207" s="823">
        <v>2251321.5834855763</v>
      </c>
    </row>
    <row r="208" spans="1:28">
      <c r="A208" s="696" t="str">
        <f t="shared" si="3"/>
        <v>National Grid</v>
      </c>
      <c r="B208" s="696" t="str">
        <f>'Lookups-Assumptions'!$D$4</f>
        <v>Gas</v>
      </c>
      <c r="C208" s="696" t="str">
        <f>'Lookups-Assumptions'!$D$6</f>
        <v>Evaluated</v>
      </c>
      <c r="D208" s="819">
        <f>'Inputs Yr 2'!$E$2</f>
        <v>2017</v>
      </c>
      <c r="E208"/>
      <c r="F208" s="696" t="s">
        <v>83</v>
      </c>
      <c r="G208" s="696" t="s">
        <v>870</v>
      </c>
      <c r="H208" s="696" t="s">
        <v>841</v>
      </c>
      <c r="I208" s="696" t="s">
        <v>1378</v>
      </c>
      <c r="J208" s="820">
        <v>1</v>
      </c>
      <c r="K208" s="821">
        <v>18274</v>
      </c>
      <c r="L208" s="786">
        <v>0</v>
      </c>
      <c r="M208" s="786">
        <v>0</v>
      </c>
      <c r="N208" s="786">
        <v>523.2520409</v>
      </c>
      <c r="O208" s="786">
        <v>9418.5367361999997</v>
      </c>
      <c r="P208" s="786">
        <v>0</v>
      </c>
      <c r="Q208" s="786">
        <v>0</v>
      </c>
      <c r="R208" s="786">
        <v>0</v>
      </c>
      <c r="S208" s="786">
        <v>0</v>
      </c>
      <c r="T208" s="786">
        <v>0</v>
      </c>
      <c r="U208" s="822">
        <v>0</v>
      </c>
      <c r="V208" s="821">
        <v>0</v>
      </c>
      <c r="W208" s="821">
        <v>78013.154789683613</v>
      </c>
      <c r="X208" s="821">
        <v>0</v>
      </c>
      <c r="Y208" s="821">
        <v>0</v>
      </c>
      <c r="Z208" s="821">
        <v>0</v>
      </c>
      <c r="AA208" s="821">
        <v>22639.965642771273</v>
      </c>
      <c r="AB208" s="823">
        <v>100653.12043245489</v>
      </c>
    </row>
    <row r="209" spans="1:28">
      <c r="A209" s="696" t="str">
        <f t="shared" si="3"/>
        <v>National Grid</v>
      </c>
      <c r="B209" s="696" t="str">
        <f>'Lookups-Assumptions'!$D$4</f>
        <v>Gas</v>
      </c>
      <c r="C209" s="696" t="str">
        <f>'Lookups-Assumptions'!$D$6</f>
        <v>Evaluated</v>
      </c>
      <c r="D209" s="819">
        <f>'Inputs Yr 2'!$E$2</f>
        <v>2017</v>
      </c>
      <c r="E209"/>
      <c r="F209" s="696" t="s">
        <v>83</v>
      </c>
      <c r="G209" s="696" t="s">
        <v>870</v>
      </c>
      <c r="H209" s="696" t="s">
        <v>841</v>
      </c>
      <c r="I209" s="696" t="s">
        <v>1379</v>
      </c>
      <c r="J209" s="820">
        <v>1</v>
      </c>
      <c r="K209" s="821">
        <v>22810</v>
      </c>
      <c r="L209" s="786">
        <v>0</v>
      </c>
      <c r="M209" s="786">
        <v>0</v>
      </c>
      <c r="N209" s="786">
        <v>3986.3515383000004</v>
      </c>
      <c r="O209" s="786">
        <v>99658.788457500006</v>
      </c>
      <c r="P209" s="786">
        <v>0</v>
      </c>
      <c r="Q209" s="786">
        <v>0</v>
      </c>
      <c r="R209" s="786">
        <v>0</v>
      </c>
      <c r="S209" s="786">
        <v>0</v>
      </c>
      <c r="T209" s="786">
        <v>0</v>
      </c>
      <c r="U209" s="822">
        <v>0</v>
      </c>
      <c r="V209" s="821">
        <v>0</v>
      </c>
      <c r="W209" s="821">
        <v>849832.71586414485</v>
      </c>
      <c r="X209" s="821">
        <v>0</v>
      </c>
      <c r="Y209" s="821">
        <v>0</v>
      </c>
      <c r="Z209" s="821">
        <v>0</v>
      </c>
      <c r="AA209" s="821">
        <v>235960.57072314227</v>
      </c>
      <c r="AB209" s="823">
        <v>1085793.2865872872</v>
      </c>
    </row>
    <row r="210" spans="1:28">
      <c r="A210" s="696" t="str">
        <f t="shared" si="3"/>
        <v>National Grid</v>
      </c>
      <c r="B210" s="696" t="str">
        <f>'Lookups-Assumptions'!$D$4</f>
        <v>Gas</v>
      </c>
      <c r="C210" s="696" t="str">
        <f>'Lookups-Assumptions'!$D$6</f>
        <v>Evaluated</v>
      </c>
      <c r="D210" s="819">
        <f>'Inputs Yr 2'!$E$2</f>
        <v>2017</v>
      </c>
      <c r="E210"/>
      <c r="F210" s="696" t="s">
        <v>83</v>
      </c>
      <c r="G210" s="696" t="s">
        <v>870</v>
      </c>
      <c r="H210" s="696" t="s">
        <v>841</v>
      </c>
      <c r="I210" s="696" t="s">
        <v>1513</v>
      </c>
      <c r="J210" s="820">
        <v>1</v>
      </c>
      <c r="K210" s="821">
        <v>24476</v>
      </c>
      <c r="L210" s="786">
        <v>0</v>
      </c>
      <c r="M210" s="786">
        <v>0</v>
      </c>
      <c r="N210" s="786">
        <v>717.69075250000003</v>
      </c>
      <c r="O210" s="786">
        <v>4306.144515</v>
      </c>
      <c r="P210" s="786">
        <v>0</v>
      </c>
      <c r="Q210" s="786">
        <v>0</v>
      </c>
      <c r="R210" s="786">
        <v>0</v>
      </c>
      <c r="S210" s="786">
        <v>0</v>
      </c>
      <c r="T210" s="786">
        <v>0</v>
      </c>
      <c r="U210" s="822">
        <v>0</v>
      </c>
      <c r="V210" s="821">
        <v>0</v>
      </c>
      <c r="W210" s="821">
        <v>36791.432364975612</v>
      </c>
      <c r="X210" s="821">
        <v>0</v>
      </c>
      <c r="Y210" s="821">
        <v>0</v>
      </c>
      <c r="Z210" s="821">
        <v>0</v>
      </c>
      <c r="AA210" s="821">
        <v>10624.798565586603</v>
      </c>
      <c r="AB210" s="823">
        <v>47416.230930562218</v>
      </c>
    </row>
    <row r="211" spans="1:28">
      <c r="A211" s="696" t="str">
        <f t="shared" si="3"/>
        <v>National Grid</v>
      </c>
      <c r="B211" s="696" t="str">
        <f>'Lookups-Assumptions'!$D$4</f>
        <v>Gas</v>
      </c>
      <c r="C211" s="696" t="str">
        <f>'Lookups-Assumptions'!$D$6</f>
        <v>Evaluated</v>
      </c>
      <c r="D211" s="819">
        <f>'Inputs Yr 2'!$E$2</f>
        <v>2017</v>
      </c>
      <c r="E211"/>
      <c r="F211" s="696" t="s">
        <v>83</v>
      </c>
      <c r="G211" s="696" t="s">
        <v>870</v>
      </c>
      <c r="H211" s="696" t="s">
        <v>841</v>
      </c>
      <c r="I211" s="696" t="s">
        <v>1514</v>
      </c>
      <c r="J211" s="820">
        <v>1</v>
      </c>
      <c r="K211" s="821">
        <v>4174.5</v>
      </c>
      <c r="L211" s="786">
        <v>0</v>
      </c>
      <c r="M211" s="786">
        <v>0</v>
      </c>
      <c r="N211" s="786">
        <v>199.23524830000002</v>
      </c>
      <c r="O211" s="786">
        <v>3187.7639728000004</v>
      </c>
      <c r="P211" s="786">
        <v>0</v>
      </c>
      <c r="Q211" s="786">
        <v>0</v>
      </c>
      <c r="R211" s="786">
        <v>0</v>
      </c>
      <c r="S211" s="786">
        <v>0</v>
      </c>
      <c r="T211" s="786">
        <v>0</v>
      </c>
      <c r="U211" s="822">
        <v>0</v>
      </c>
      <c r="V211" s="821">
        <v>0</v>
      </c>
      <c r="W211" s="821">
        <v>26235.321878676237</v>
      </c>
      <c r="X211" s="821">
        <v>0</v>
      </c>
      <c r="Y211" s="821">
        <v>0</v>
      </c>
      <c r="Z211" s="821">
        <v>0</v>
      </c>
      <c r="AA211" s="821">
        <v>7695.9364640440062</v>
      </c>
      <c r="AB211" s="823">
        <v>33931.258342720241</v>
      </c>
    </row>
    <row r="212" spans="1:28">
      <c r="A212" s="696" t="str">
        <f t="shared" si="3"/>
        <v>National Grid</v>
      </c>
      <c r="B212" s="696" t="str">
        <f>'Lookups-Assumptions'!$D$4</f>
        <v>Gas</v>
      </c>
      <c r="C212" s="696" t="str">
        <f>'Lookups-Assumptions'!$D$6</f>
        <v>Evaluated</v>
      </c>
      <c r="D212" s="819">
        <f>'Inputs Yr 2'!$E$2</f>
        <v>2017</v>
      </c>
      <c r="E212" s="696" t="s">
        <v>1136</v>
      </c>
      <c r="F212" s="696" t="s">
        <v>83</v>
      </c>
      <c r="G212" s="696" t="s">
        <v>870</v>
      </c>
      <c r="H212" s="696" t="s">
        <v>841</v>
      </c>
      <c r="I212" s="696" t="s">
        <v>1359</v>
      </c>
      <c r="J212" s="820">
        <v>1</v>
      </c>
      <c r="K212" s="821">
        <v>12041.5</v>
      </c>
      <c r="L212" s="786">
        <v>0</v>
      </c>
      <c r="M212" s="786">
        <v>0</v>
      </c>
      <c r="N212" s="786">
        <v>464.83451930000001</v>
      </c>
      <c r="O212" s="786">
        <v>4648.3451930000001</v>
      </c>
      <c r="P212" s="786">
        <v>0</v>
      </c>
      <c r="Q212" s="786">
        <v>0</v>
      </c>
      <c r="R212" s="786">
        <v>0</v>
      </c>
      <c r="S212" s="786">
        <v>0</v>
      </c>
      <c r="T212" s="786">
        <v>0</v>
      </c>
      <c r="U212" s="822">
        <v>0</v>
      </c>
      <c r="V212" s="821">
        <v>0</v>
      </c>
      <c r="W212" s="821">
        <v>38223.130921346135</v>
      </c>
      <c r="X212" s="821">
        <v>0</v>
      </c>
      <c r="Y212" s="821">
        <v>0</v>
      </c>
      <c r="Z212" s="821">
        <v>0</v>
      </c>
      <c r="AA212" s="821">
        <v>0</v>
      </c>
      <c r="AB212" s="823">
        <v>38223.130921346135</v>
      </c>
    </row>
    <row r="213" spans="1:28">
      <c r="A213" s="696" t="str">
        <f t="shared" si="3"/>
        <v>National Grid</v>
      </c>
      <c r="B213" s="696" t="str">
        <f>'Lookups-Assumptions'!$D$4</f>
        <v>Gas</v>
      </c>
      <c r="C213" s="696" t="str">
        <f>'Lookups-Assumptions'!$D$6</f>
        <v>Evaluated</v>
      </c>
      <c r="D213" s="819">
        <f>'Inputs Yr 2'!$E$2</f>
        <v>2017</v>
      </c>
      <c r="E213"/>
      <c r="F213" s="696" t="s">
        <v>83</v>
      </c>
      <c r="G213" s="696" t="s">
        <v>870</v>
      </c>
      <c r="H213" s="696" t="s">
        <v>841</v>
      </c>
      <c r="I213" s="696" t="s">
        <v>1360</v>
      </c>
      <c r="J213" s="820">
        <v>1</v>
      </c>
      <c r="K213" s="821">
        <v>7968</v>
      </c>
      <c r="L213" s="786">
        <v>0</v>
      </c>
      <c r="M213" s="786">
        <v>0</v>
      </c>
      <c r="N213" s="786">
        <v>380.2866112000001</v>
      </c>
      <c r="O213" s="786">
        <v>5704.2991680000014</v>
      </c>
      <c r="P213" s="786">
        <v>0</v>
      </c>
      <c r="Q213" s="786">
        <v>0</v>
      </c>
      <c r="R213" s="786">
        <v>0</v>
      </c>
      <c r="S213" s="786">
        <v>0</v>
      </c>
      <c r="T213" s="786">
        <v>0</v>
      </c>
      <c r="U213" s="822">
        <v>0</v>
      </c>
      <c r="V213" s="821">
        <v>0</v>
      </c>
      <c r="W213" s="821">
        <v>46820.065645516494</v>
      </c>
      <c r="X213" s="821">
        <v>0</v>
      </c>
      <c r="Y213" s="821">
        <v>0</v>
      </c>
      <c r="Z213" s="821">
        <v>0</v>
      </c>
      <c r="AA213" s="821">
        <v>0</v>
      </c>
      <c r="AB213" s="823">
        <v>46820.065645516494</v>
      </c>
    </row>
    <row r="214" spans="1:28">
      <c r="A214" s="696" t="str">
        <f t="shared" si="3"/>
        <v>National Grid</v>
      </c>
      <c r="B214" s="696" t="str">
        <f>'Lookups-Assumptions'!$D$4</f>
        <v>Gas</v>
      </c>
      <c r="C214" s="696" t="str">
        <f>'Lookups-Assumptions'!$D$6</f>
        <v>Evaluated</v>
      </c>
      <c r="D214" s="819">
        <f>'Inputs Yr 2'!$E$2</f>
        <v>2017</v>
      </c>
      <c r="E214"/>
      <c r="F214" s="696" t="s">
        <v>83</v>
      </c>
      <c r="G214" s="696" t="s">
        <v>870</v>
      </c>
      <c r="H214" s="696" t="s">
        <v>841</v>
      </c>
      <c r="I214" s="696" t="s">
        <v>1380</v>
      </c>
      <c r="J214" s="820">
        <v>1</v>
      </c>
      <c r="K214" s="821">
        <v>232955.8</v>
      </c>
      <c r="L214" s="786">
        <v>0</v>
      </c>
      <c r="M214" s="786">
        <v>0</v>
      </c>
      <c r="N214" s="786">
        <v>12417.57488738</v>
      </c>
      <c r="O214" s="786">
        <v>223516.34797284001</v>
      </c>
      <c r="P214" s="786">
        <v>0</v>
      </c>
      <c r="Q214" s="786">
        <v>0</v>
      </c>
      <c r="R214" s="786">
        <v>0</v>
      </c>
      <c r="S214" s="786">
        <v>0</v>
      </c>
      <c r="T214" s="786">
        <v>0</v>
      </c>
      <c r="U214" s="822">
        <v>0</v>
      </c>
      <c r="V214" s="821">
        <v>0</v>
      </c>
      <c r="W214" s="821">
        <v>1851372.0273989355</v>
      </c>
      <c r="X214" s="821">
        <v>0</v>
      </c>
      <c r="Y214" s="821">
        <v>0</v>
      </c>
      <c r="Z214" s="821">
        <v>0</v>
      </c>
      <c r="AA214" s="821">
        <v>0</v>
      </c>
      <c r="AB214" s="823">
        <v>1851372.0273989355</v>
      </c>
    </row>
    <row r="215" spans="1:28">
      <c r="A215" s="696" t="str">
        <f t="shared" si="3"/>
        <v>National Grid</v>
      </c>
      <c r="B215" s="696" t="str">
        <f>'Lookups-Assumptions'!$D$4</f>
        <v>Gas</v>
      </c>
      <c r="C215" s="696" t="str">
        <f>'Lookups-Assumptions'!$D$6</f>
        <v>Evaluated</v>
      </c>
      <c r="D215" s="819">
        <f>'Inputs Yr 2'!$E$2</f>
        <v>2017</v>
      </c>
      <c r="E215" s="696" t="s">
        <v>1137</v>
      </c>
      <c r="F215" s="696" t="s">
        <v>83</v>
      </c>
      <c r="G215" s="696" t="s">
        <v>870</v>
      </c>
      <c r="H215" s="696" t="s">
        <v>841</v>
      </c>
      <c r="I215" s="696" t="s">
        <v>1404</v>
      </c>
      <c r="J215" s="820">
        <v>1</v>
      </c>
      <c r="K215" s="821">
        <v>364926.75</v>
      </c>
      <c r="L215" s="786">
        <v>0</v>
      </c>
      <c r="M215" s="786">
        <v>0</v>
      </c>
      <c r="N215" s="786">
        <v>31929.385052280002</v>
      </c>
      <c r="O215" s="786">
        <v>191576.31031368001</v>
      </c>
      <c r="P215" s="786">
        <v>0</v>
      </c>
      <c r="Q215" s="786">
        <v>0</v>
      </c>
      <c r="R215" s="786">
        <v>0</v>
      </c>
      <c r="S215" s="786">
        <v>0</v>
      </c>
      <c r="T215" s="786">
        <v>0</v>
      </c>
      <c r="U215" s="822">
        <v>0</v>
      </c>
      <c r="V215" s="821">
        <v>0</v>
      </c>
      <c r="W215" s="821">
        <v>1691539.2796683116</v>
      </c>
      <c r="X215" s="821">
        <v>0</v>
      </c>
      <c r="Y215" s="821">
        <v>0</v>
      </c>
      <c r="Z215" s="821">
        <v>0</v>
      </c>
      <c r="AA215" s="821">
        <v>2552511.2730486868</v>
      </c>
      <c r="AB215" s="823">
        <v>4244050.5527169984</v>
      </c>
    </row>
    <row r="216" spans="1:28">
      <c r="A216" s="696" t="str">
        <f t="shared" si="3"/>
        <v>National Grid</v>
      </c>
      <c r="B216" s="696" t="str">
        <f>'Lookups-Assumptions'!$D$4</f>
        <v>Gas</v>
      </c>
      <c r="C216" s="696" t="str">
        <f>'Lookups-Assumptions'!$D$6</f>
        <v>Evaluated</v>
      </c>
      <c r="D216" s="819">
        <f>'Inputs Yr 2'!$E$2</f>
        <v>2017</v>
      </c>
      <c r="E216" s="696" t="s">
        <v>1139</v>
      </c>
      <c r="F216" s="696" t="s">
        <v>83</v>
      </c>
      <c r="G216" s="696" t="s">
        <v>870</v>
      </c>
      <c r="H216" s="696" t="s">
        <v>841</v>
      </c>
      <c r="I216" s="696" t="s">
        <v>796</v>
      </c>
      <c r="J216" s="820">
        <v>0</v>
      </c>
      <c r="K216" s="821">
        <v>0</v>
      </c>
      <c r="L216" s="786">
        <v>0</v>
      </c>
      <c r="M216" s="786">
        <v>0</v>
      </c>
      <c r="N216" s="786">
        <v>0</v>
      </c>
      <c r="O216" s="786">
        <v>0</v>
      </c>
      <c r="P216" s="786">
        <v>0</v>
      </c>
      <c r="Q216" s="786">
        <v>0</v>
      </c>
      <c r="R216" s="786">
        <v>0</v>
      </c>
      <c r="S216" s="786">
        <v>0</v>
      </c>
      <c r="T216" s="786">
        <v>0</v>
      </c>
      <c r="U216" s="822">
        <v>0</v>
      </c>
      <c r="V216" s="821">
        <v>0</v>
      </c>
      <c r="W216" s="821">
        <v>0</v>
      </c>
      <c r="X216" s="821">
        <v>0</v>
      </c>
      <c r="Y216" s="821">
        <v>0</v>
      </c>
      <c r="Z216" s="821">
        <v>0</v>
      </c>
      <c r="AA216" s="821">
        <v>0</v>
      </c>
      <c r="AB216" s="823">
        <v>0</v>
      </c>
    </row>
    <row r="217" spans="1:28">
      <c r="A217" s="696" t="str">
        <f t="shared" si="3"/>
        <v>National Grid</v>
      </c>
      <c r="B217" s="696" t="str">
        <f>'Lookups-Assumptions'!$D$4</f>
        <v>Gas</v>
      </c>
      <c r="C217" s="696" t="str">
        <f>'Lookups-Assumptions'!$D$6</f>
        <v>Evaluated</v>
      </c>
      <c r="D217" s="819">
        <f>'Inputs Yr 2'!$E$2</f>
        <v>2017</v>
      </c>
      <c r="E217" s="696" t="s">
        <v>1140</v>
      </c>
      <c r="F217" s="696" t="s">
        <v>83</v>
      </c>
      <c r="G217" s="696" t="s">
        <v>870</v>
      </c>
      <c r="H217" s="696" t="s">
        <v>841</v>
      </c>
      <c r="I217" s="696" t="s">
        <v>1319</v>
      </c>
      <c r="J217" s="820">
        <v>0</v>
      </c>
      <c r="K217" s="821">
        <v>0</v>
      </c>
      <c r="L217" s="786">
        <v>0</v>
      </c>
      <c r="M217" s="786">
        <v>0</v>
      </c>
      <c r="N217" s="786">
        <v>0</v>
      </c>
      <c r="O217" s="786">
        <v>0</v>
      </c>
      <c r="P217" s="786">
        <v>0</v>
      </c>
      <c r="Q217" s="786">
        <v>0</v>
      </c>
      <c r="R217" s="786">
        <v>0</v>
      </c>
      <c r="S217" s="786">
        <v>0</v>
      </c>
      <c r="T217" s="786">
        <v>0</v>
      </c>
      <c r="U217" s="822">
        <v>0</v>
      </c>
      <c r="V217" s="821">
        <v>0</v>
      </c>
      <c r="W217" s="821">
        <v>0</v>
      </c>
      <c r="X217" s="821">
        <v>0</v>
      </c>
      <c r="Y217" s="821">
        <v>0</v>
      </c>
      <c r="Z217" s="821">
        <v>0</v>
      </c>
      <c r="AA217" s="821">
        <v>0</v>
      </c>
      <c r="AB217" s="823">
        <v>0</v>
      </c>
    </row>
    <row r="218" spans="1:28">
      <c r="A218" s="696" t="str">
        <f t="shared" si="3"/>
        <v>National Grid</v>
      </c>
      <c r="B218" s="696" t="str">
        <f>'Lookups-Assumptions'!$D$4</f>
        <v>Gas</v>
      </c>
      <c r="C218" s="696" t="str">
        <f>'Lookups-Assumptions'!$D$6</f>
        <v>Evaluated</v>
      </c>
      <c r="D218" s="819">
        <f>'Inputs Yr 2'!$E$2</f>
        <v>2017</v>
      </c>
      <c r="E218" s="696" t="s">
        <v>1141</v>
      </c>
      <c r="F218" s="696" t="s">
        <v>83</v>
      </c>
      <c r="G218" s="696" t="s">
        <v>870</v>
      </c>
      <c r="H218" s="696" t="s">
        <v>841</v>
      </c>
      <c r="I218" s="696" t="s">
        <v>1309</v>
      </c>
      <c r="J218" s="820">
        <v>39</v>
      </c>
      <c r="K218" s="821">
        <v>973.60714285714289</v>
      </c>
      <c r="L218" s="786">
        <v>0</v>
      </c>
      <c r="M218" s="786">
        <v>0</v>
      </c>
      <c r="N218" s="786">
        <v>105.58080000000002</v>
      </c>
      <c r="O218" s="786">
        <v>1583.7120000000004</v>
      </c>
      <c r="P218" s="786">
        <v>0</v>
      </c>
      <c r="Q218" s="786">
        <v>0</v>
      </c>
      <c r="R218" s="786">
        <v>0</v>
      </c>
      <c r="S218" s="786">
        <v>0</v>
      </c>
      <c r="T218" s="786">
        <v>0</v>
      </c>
      <c r="U218" s="822">
        <v>0</v>
      </c>
      <c r="V218" s="821">
        <v>0</v>
      </c>
      <c r="W218" s="821">
        <v>13436.621310869145</v>
      </c>
      <c r="X218" s="821">
        <v>0</v>
      </c>
      <c r="Y218" s="821">
        <v>0</v>
      </c>
      <c r="Z218" s="821">
        <v>0</v>
      </c>
      <c r="AA218" s="821">
        <v>20691.302167223479</v>
      </c>
      <c r="AB218" s="823">
        <v>34127.92347809262</v>
      </c>
    </row>
    <row r="219" spans="1:28">
      <c r="A219" s="696" t="str">
        <f t="shared" si="3"/>
        <v>National Grid</v>
      </c>
      <c r="B219" s="696" t="str">
        <f>'Lookups-Assumptions'!$D$4</f>
        <v>Gas</v>
      </c>
      <c r="C219" s="696" t="str">
        <f>'Lookups-Assumptions'!$D$6</f>
        <v>Evaluated</v>
      </c>
      <c r="D219" s="819">
        <f>'Inputs Yr 2'!$E$2</f>
        <v>2017</v>
      </c>
      <c r="E219" s="696" t="s">
        <v>1142</v>
      </c>
      <c r="F219" s="696" t="s">
        <v>83</v>
      </c>
      <c r="G219" s="696" t="s">
        <v>870</v>
      </c>
      <c r="H219" s="696" t="s">
        <v>841</v>
      </c>
      <c r="I219" s="696" t="s">
        <v>1385</v>
      </c>
      <c r="J219" s="820">
        <v>115</v>
      </c>
      <c r="K219" s="821">
        <v>11496.55</v>
      </c>
      <c r="L219" s="786">
        <v>0</v>
      </c>
      <c r="M219" s="786">
        <v>0</v>
      </c>
      <c r="N219" s="786">
        <v>642.11400000000015</v>
      </c>
      <c r="O219" s="786">
        <v>9631.7100000000028</v>
      </c>
      <c r="P219" s="786">
        <v>0</v>
      </c>
      <c r="Q219" s="786">
        <v>0</v>
      </c>
      <c r="R219" s="786">
        <v>0</v>
      </c>
      <c r="S219" s="786">
        <v>0</v>
      </c>
      <c r="T219" s="786">
        <v>0</v>
      </c>
      <c r="U219" s="822">
        <v>0</v>
      </c>
      <c r="V219" s="821">
        <v>0</v>
      </c>
      <c r="W219" s="821">
        <v>81717.913260814748</v>
      </c>
      <c r="X219" s="821">
        <v>0</v>
      </c>
      <c r="Y219" s="821">
        <v>0</v>
      </c>
      <c r="Z219" s="821">
        <v>0</v>
      </c>
      <c r="AA219" s="821">
        <v>125838.92904585434</v>
      </c>
      <c r="AB219" s="823">
        <v>207556.8423066691</v>
      </c>
    </row>
    <row r="220" spans="1:28">
      <c r="A220" s="696" t="str">
        <f t="shared" si="3"/>
        <v>National Grid</v>
      </c>
      <c r="B220" s="696" t="str">
        <f>'Lookups-Assumptions'!$D$4</f>
        <v>Gas</v>
      </c>
      <c r="C220" s="696" t="str">
        <f>'Lookups-Assumptions'!$D$6</f>
        <v>Evaluated</v>
      </c>
      <c r="D220" s="819">
        <f>'Inputs Yr 2'!$E$2</f>
        <v>2017</v>
      </c>
      <c r="E220" s="696" t="s">
        <v>1143</v>
      </c>
      <c r="F220" s="696" t="s">
        <v>83</v>
      </c>
      <c r="G220" s="696" t="s">
        <v>870</v>
      </c>
      <c r="H220" s="696" t="s">
        <v>841</v>
      </c>
      <c r="I220" s="696" t="s">
        <v>1386</v>
      </c>
      <c r="J220" s="820">
        <v>35</v>
      </c>
      <c r="K220" s="821">
        <v>3458.1999999999994</v>
      </c>
      <c r="L220" s="786">
        <v>0</v>
      </c>
      <c r="M220" s="786">
        <v>0</v>
      </c>
      <c r="N220" s="786">
        <v>195.42600000000004</v>
      </c>
      <c r="O220" s="786">
        <v>2931.3900000000008</v>
      </c>
      <c r="P220" s="786">
        <v>0</v>
      </c>
      <c r="Q220" s="786">
        <v>0</v>
      </c>
      <c r="R220" s="786">
        <v>0</v>
      </c>
      <c r="S220" s="786">
        <v>0</v>
      </c>
      <c r="T220" s="786">
        <v>0</v>
      </c>
      <c r="U220" s="822">
        <v>0</v>
      </c>
      <c r="V220" s="821">
        <v>0</v>
      </c>
      <c r="W220" s="821">
        <v>24870.669253291446</v>
      </c>
      <c r="X220" s="821">
        <v>0</v>
      </c>
      <c r="Y220" s="821">
        <v>0</v>
      </c>
      <c r="Z220" s="821">
        <v>0</v>
      </c>
      <c r="AA220" s="821">
        <v>38298.804492216543</v>
      </c>
      <c r="AB220" s="823">
        <v>63169.473745507988</v>
      </c>
    </row>
    <row r="221" spans="1:28">
      <c r="A221" s="696" t="str">
        <f t="shared" si="3"/>
        <v>National Grid</v>
      </c>
      <c r="B221" s="696" t="str">
        <f>'Lookups-Assumptions'!$D$4</f>
        <v>Gas</v>
      </c>
      <c r="C221" s="696" t="str">
        <f>'Lookups-Assumptions'!$D$6</f>
        <v>Evaluated</v>
      </c>
      <c r="D221" s="819">
        <f>'Inputs Yr 2'!$E$2</f>
        <v>2017</v>
      </c>
      <c r="E221" s="696" t="s">
        <v>1144</v>
      </c>
      <c r="F221" s="696" t="s">
        <v>83</v>
      </c>
      <c r="G221" s="696" t="s">
        <v>870</v>
      </c>
      <c r="H221" s="696" t="s">
        <v>841</v>
      </c>
      <c r="I221" s="696" t="s">
        <v>1312</v>
      </c>
      <c r="J221" s="820">
        <v>0</v>
      </c>
      <c r="K221" s="821">
        <v>0</v>
      </c>
      <c r="L221" s="786">
        <v>0</v>
      </c>
      <c r="M221" s="786">
        <v>0</v>
      </c>
      <c r="N221" s="786">
        <v>0</v>
      </c>
      <c r="O221" s="786">
        <v>0</v>
      </c>
      <c r="P221" s="786">
        <v>0</v>
      </c>
      <c r="Q221" s="786">
        <v>0</v>
      </c>
      <c r="R221" s="786">
        <v>0</v>
      </c>
      <c r="S221" s="786">
        <v>0</v>
      </c>
      <c r="T221" s="786">
        <v>0</v>
      </c>
      <c r="U221" s="822">
        <v>0</v>
      </c>
      <c r="V221" s="821">
        <v>0</v>
      </c>
      <c r="W221" s="821">
        <v>0</v>
      </c>
      <c r="X221" s="821">
        <v>0</v>
      </c>
      <c r="Y221" s="821">
        <v>0</v>
      </c>
      <c r="Z221" s="821">
        <v>0</v>
      </c>
      <c r="AA221" s="821">
        <v>0</v>
      </c>
      <c r="AB221" s="823">
        <v>0</v>
      </c>
    </row>
    <row r="222" spans="1:28">
      <c r="A222" s="696" t="str">
        <f t="shared" si="3"/>
        <v>National Grid</v>
      </c>
      <c r="B222" s="696" t="str">
        <f>'Lookups-Assumptions'!$D$4</f>
        <v>Gas</v>
      </c>
      <c r="C222" s="696" t="str">
        <f>'Lookups-Assumptions'!$D$6</f>
        <v>Evaluated</v>
      </c>
      <c r="D222" s="819">
        <f>'Inputs Yr 2'!$E$2</f>
        <v>2017</v>
      </c>
      <c r="E222" s="696" t="s">
        <v>1145</v>
      </c>
      <c r="F222" s="696" t="s">
        <v>83</v>
      </c>
      <c r="G222" s="696" t="s">
        <v>870</v>
      </c>
      <c r="H222" s="696" t="s">
        <v>841</v>
      </c>
      <c r="I222" s="696" t="s">
        <v>1301</v>
      </c>
      <c r="J222" s="820">
        <v>0</v>
      </c>
      <c r="K222" s="821">
        <v>0</v>
      </c>
      <c r="L222" s="786">
        <v>0</v>
      </c>
      <c r="M222" s="786">
        <v>0</v>
      </c>
      <c r="N222" s="786">
        <v>0</v>
      </c>
      <c r="O222" s="786">
        <v>0</v>
      </c>
      <c r="P222" s="786">
        <v>0</v>
      </c>
      <c r="Q222" s="786">
        <v>0</v>
      </c>
      <c r="R222" s="786">
        <v>0</v>
      </c>
      <c r="S222" s="786">
        <v>0</v>
      </c>
      <c r="T222" s="786">
        <v>0</v>
      </c>
      <c r="U222" s="822">
        <v>0</v>
      </c>
      <c r="V222" s="821">
        <v>0</v>
      </c>
      <c r="W222" s="821">
        <v>0</v>
      </c>
      <c r="X222" s="821">
        <v>0</v>
      </c>
      <c r="Y222" s="821">
        <v>0</v>
      </c>
      <c r="Z222" s="821">
        <v>0</v>
      </c>
      <c r="AA222" s="821">
        <v>0</v>
      </c>
      <c r="AB222" s="823">
        <v>0</v>
      </c>
    </row>
    <row r="223" spans="1:28">
      <c r="A223" s="696" t="str">
        <f t="shared" si="3"/>
        <v>National Grid</v>
      </c>
      <c r="B223" s="696" t="str">
        <f>'Lookups-Assumptions'!$D$4</f>
        <v>Gas</v>
      </c>
      <c r="C223" s="696" t="str">
        <f>'Lookups-Assumptions'!$D$6</f>
        <v>Evaluated</v>
      </c>
      <c r="D223" s="819">
        <f>'Inputs Yr 2'!$E$2</f>
        <v>2017</v>
      </c>
      <c r="E223" s="696" t="s">
        <v>1146</v>
      </c>
      <c r="F223" s="696" t="s">
        <v>83</v>
      </c>
      <c r="G223" s="696" t="s">
        <v>870</v>
      </c>
      <c r="H223" s="696" t="s">
        <v>841</v>
      </c>
      <c r="I223" s="696" t="s">
        <v>1304</v>
      </c>
      <c r="J223" s="820">
        <v>4619</v>
      </c>
      <c r="K223" s="821">
        <v>58199.4</v>
      </c>
      <c r="L223" s="786">
        <v>0</v>
      </c>
      <c r="M223" s="786">
        <v>0</v>
      </c>
      <c r="N223" s="786">
        <v>6643.045799999999</v>
      </c>
      <c r="O223" s="786">
        <v>66430.457999999984</v>
      </c>
      <c r="P223" s="786">
        <v>0</v>
      </c>
      <c r="Q223" s="786">
        <v>0</v>
      </c>
      <c r="R223" s="786">
        <v>0</v>
      </c>
      <c r="S223" s="786">
        <v>0</v>
      </c>
      <c r="T223" s="786">
        <v>21335900.040000003</v>
      </c>
      <c r="U223" s="822">
        <v>213359000.40000004</v>
      </c>
      <c r="V223" s="821">
        <v>0</v>
      </c>
      <c r="W223" s="821">
        <v>511816.41133155522</v>
      </c>
      <c r="X223" s="821">
        <v>0</v>
      </c>
      <c r="Y223" s="821">
        <v>0</v>
      </c>
      <c r="Z223" s="821">
        <v>2261350.6415762547</v>
      </c>
      <c r="AA223" s="821">
        <v>0</v>
      </c>
      <c r="AB223" s="823">
        <v>2773167.0529078101</v>
      </c>
    </row>
    <row r="224" spans="1:28">
      <c r="A224" s="696" t="str">
        <f t="shared" si="3"/>
        <v>National Grid</v>
      </c>
      <c r="B224" s="696" t="str">
        <f>'Lookups-Assumptions'!$D$4</f>
        <v>Gas</v>
      </c>
      <c r="C224" s="696" t="str">
        <f>'Lookups-Assumptions'!$D$6</f>
        <v>Evaluated</v>
      </c>
      <c r="D224" s="819">
        <f>'Inputs Yr 2'!$E$2</f>
        <v>2017</v>
      </c>
      <c r="E224" s="696" t="s">
        <v>1147</v>
      </c>
      <c r="F224" s="696" t="s">
        <v>83</v>
      </c>
      <c r="G224" s="696" t="s">
        <v>870</v>
      </c>
      <c r="H224" s="696" t="s">
        <v>841</v>
      </c>
      <c r="I224" s="696" t="s">
        <v>1305</v>
      </c>
      <c r="J224" s="820">
        <v>2088</v>
      </c>
      <c r="K224" s="821">
        <v>81202.320000000007</v>
      </c>
      <c r="L224" s="786">
        <v>0</v>
      </c>
      <c r="M224" s="786">
        <v>0</v>
      </c>
      <c r="N224" s="786">
        <v>3444.5736000000002</v>
      </c>
      <c r="O224" s="786">
        <v>34445.736000000004</v>
      </c>
      <c r="P224" s="786">
        <v>0</v>
      </c>
      <c r="Q224" s="786">
        <v>0</v>
      </c>
      <c r="R224" s="786">
        <v>0</v>
      </c>
      <c r="S224" s="786">
        <v>0</v>
      </c>
      <c r="T224" s="786">
        <v>12895070.4</v>
      </c>
      <c r="U224" s="822">
        <v>128950704</v>
      </c>
      <c r="V224" s="821">
        <v>0</v>
      </c>
      <c r="W224" s="821">
        <v>265388.70144767273</v>
      </c>
      <c r="X224" s="821">
        <v>0</v>
      </c>
      <c r="Y224" s="821">
        <v>0</v>
      </c>
      <c r="Z224" s="821">
        <v>1366723.4879963831</v>
      </c>
      <c r="AA224" s="821">
        <v>0</v>
      </c>
      <c r="AB224" s="823">
        <v>1632112.1894440558</v>
      </c>
    </row>
    <row r="225" spans="1:28">
      <c r="A225" s="696" t="str">
        <f t="shared" si="3"/>
        <v>National Grid</v>
      </c>
      <c r="B225" s="696" t="str">
        <f>'Lookups-Assumptions'!$D$4</f>
        <v>Gas</v>
      </c>
      <c r="C225" s="696" t="str">
        <f>'Lookups-Assumptions'!$D$6</f>
        <v>Evaluated</v>
      </c>
      <c r="D225" s="819">
        <f>'Inputs Yr 2'!$E$2</f>
        <v>2017</v>
      </c>
      <c r="E225" s="696" t="s">
        <v>1148</v>
      </c>
      <c r="F225" s="696" t="s">
        <v>83</v>
      </c>
      <c r="G225" s="696" t="s">
        <v>870</v>
      </c>
      <c r="H225" s="696" t="s">
        <v>841</v>
      </c>
      <c r="I225" s="696" t="s">
        <v>797</v>
      </c>
      <c r="J225" s="820">
        <v>273</v>
      </c>
      <c r="K225" s="821">
        <v>17540.25</v>
      </c>
      <c r="L225" s="786">
        <v>0</v>
      </c>
      <c r="M225" s="786">
        <v>0</v>
      </c>
      <c r="N225" s="786">
        <v>2632.9212000000007</v>
      </c>
      <c r="O225" s="786">
        <v>21063.369600000005</v>
      </c>
      <c r="P225" s="786">
        <v>0</v>
      </c>
      <c r="Q225" s="786">
        <v>0</v>
      </c>
      <c r="R225" s="786">
        <v>0</v>
      </c>
      <c r="S225" s="786">
        <v>0</v>
      </c>
      <c r="T225" s="786">
        <v>1480440.7800000003</v>
      </c>
      <c r="U225" s="822">
        <v>11843526.240000002</v>
      </c>
      <c r="V225" s="821">
        <v>0</v>
      </c>
      <c r="W225" s="821">
        <v>164233.35242701313</v>
      </c>
      <c r="X225" s="821">
        <v>0</v>
      </c>
      <c r="Y225" s="821">
        <v>0</v>
      </c>
      <c r="Z225" s="821">
        <v>126075.91098997286</v>
      </c>
      <c r="AA225" s="821">
        <v>0</v>
      </c>
      <c r="AB225" s="823">
        <v>290309.26341698598</v>
      </c>
    </row>
    <row r="226" spans="1:28">
      <c r="A226" s="696" t="str">
        <f t="shared" si="3"/>
        <v>National Grid</v>
      </c>
      <c r="B226" s="696" t="str">
        <f>'Lookups-Assumptions'!$D$4</f>
        <v>Gas</v>
      </c>
      <c r="C226" s="696" t="str">
        <f>'Lookups-Assumptions'!$D$6</f>
        <v>Evaluated</v>
      </c>
      <c r="D226" s="819">
        <f>'Inputs Yr 2'!$E$2</f>
        <v>2017</v>
      </c>
      <c r="E226" s="696" t="s">
        <v>1149</v>
      </c>
      <c r="F226" s="696" t="s">
        <v>83</v>
      </c>
      <c r="G226" s="696" t="s">
        <v>870</v>
      </c>
      <c r="H226" s="696" t="s">
        <v>841</v>
      </c>
      <c r="I226" s="696" t="s">
        <v>798</v>
      </c>
      <c r="J226" s="820">
        <v>0</v>
      </c>
      <c r="K226" s="821">
        <v>0</v>
      </c>
      <c r="L226" s="786">
        <v>0</v>
      </c>
      <c r="M226" s="786">
        <v>0</v>
      </c>
      <c r="N226" s="786">
        <v>0</v>
      </c>
      <c r="O226" s="786">
        <v>0</v>
      </c>
      <c r="P226" s="786">
        <v>0</v>
      </c>
      <c r="Q226" s="786">
        <v>0</v>
      </c>
      <c r="R226" s="786">
        <v>0</v>
      </c>
      <c r="S226" s="786">
        <v>0</v>
      </c>
      <c r="T226" s="786">
        <v>0</v>
      </c>
      <c r="U226" s="822">
        <v>0</v>
      </c>
      <c r="V226" s="821">
        <v>0</v>
      </c>
      <c r="W226" s="821">
        <v>0</v>
      </c>
      <c r="X226" s="821">
        <v>0</v>
      </c>
      <c r="Y226" s="821">
        <v>0</v>
      </c>
      <c r="Z226" s="821">
        <v>0</v>
      </c>
      <c r="AA226" s="821">
        <v>0</v>
      </c>
      <c r="AB226" s="823">
        <v>0</v>
      </c>
    </row>
    <row r="227" spans="1:28">
      <c r="A227" s="696" t="str">
        <f t="shared" si="3"/>
        <v>National Grid</v>
      </c>
      <c r="B227" s="696" t="str">
        <f>'Lookups-Assumptions'!$D$4</f>
        <v>Gas</v>
      </c>
      <c r="C227" s="696" t="str">
        <f>'Lookups-Assumptions'!$D$6</f>
        <v>Evaluated</v>
      </c>
      <c r="D227" s="819">
        <f>'Inputs Yr 2'!$E$2</f>
        <v>2017</v>
      </c>
      <c r="E227" s="696" t="s">
        <v>1150</v>
      </c>
      <c r="F227" s="696" t="s">
        <v>83</v>
      </c>
      <c r="G227" s="696" t="s">
        <v>870</v>
      </c>
      <c r="H227" s="696" t="s">
        <v>841</v>
      </c>
      <c r="I227" s="696" t="s">
        <v>799</v>
      </c>
      <c r="J227" s="820">
        <v>0</v>
      </c>
      <c r="K227" s="821">
        <v>0</v>
      </c>
      <c r="L227" s="786">
        <v>0</v>
      </c>
      <c r="M227" s="786">
        <v>0</v>
      </c>
      <c r="N227" s="786">
        <v>0</v>
      </c>
      <c r="O227" s="786">
        <v>0</v>
      </c>
      <c r="P227" s="786">
        <v>0</v>
      </c>
      <c r="Q227" s="786">
        <v>0</v>
      </c>
      <c r="R227" s="786">
        <v>0</v>
      </c>
      <c r="S227" s="786">
        <v>0</v>
      </c>
      <c r="T227" s="786">
        <v>0</v>
      </c>
      <c r="U227" s="822">
        <v>0</v>
      </c>
      <c r="V227" s="821">
        <v>0</v>
      </c>
      <c r="W227" s="821">
        <v>0</v>
      </c>
      <c r="X227" s="821">
        <v>0</v>
      </c>
      <c r="Y227" s="821">
        <v>0</v>
      </c>
      <c r="Z227" s="821">
        <v>0</v>
      </c>
      <c r="AA227" s="821">
        <v>0</v>
      </c>
      <c r="AB227" s="823">
        <v>0</v>
      </c>
    </row>
    <row r="228" spans="1:28">
      <c r="A228" s="696" t="str">
        <f t="shared" si="3"/>
        <v>National Grid</v>
      </c>
      <c r="B228" s="696" t="str">
        <f>'Lookups-Assumptions'!$D$4</f>
        <v>Gas</v>
      </c>
      <c r="C228" s="696" t="str">
        <f>'Lookups-Assumptions'!$D$6</f>
        <v>Evaluated</v>
      </c>
      <c r="D228" s="819">
        <f>'Inputs Yr 2'!$E$2</f>
        <v>2017</v>
      </c>
      <c r="E228" s="696" t="s">
        <v>1151</v>
      </c>
      <c r="F228" s="696" t="s">
        <v>83</v>
      </c>
      <c r="G228" s="696" t="s">
        <v>870</v>
      </c>
      <c r="H228" s="696" t="s">
        <v>841</v>
      </c>
      <c r="I228" s="696" t="s">
        <v>800</v>
      </c>
      <c r="J228" s="820">
        <v>0</v>
      </c>
      <c r="K228" s="821">
        <v>0</v>
      </c>
      <c r="L228" s="786">
        <v>0</v>
      </c>
      <c r="M228" s="786">
        <v>0</v>
      </c>
      <c r="N228" s="786">
        <v>0</v>
      </c>
      <c r="O228" s="786">
        <v>0</v>
      </c>
      <c r="P228" s="786">
        <v>0</v>
      </c>
      <c r="Q228" s="786">
        <v>0</v>
      </c>
      <c r="R228" s="786">
        <v>0</v>
      </c>
      <c r="S228" s="786">
        <v>0</v>
      </c>
      <c r="T228" s="786">
        <v>0</v>
      </c>
      <c r="U228" s="822">
        <v>0</v>
      </c>
      <c r="V228" s="821">
        <v>0</v>
      </c>
      <c r="W228" s="821">
        <v>0</v>
      </c>
      <c r="X228" s="821">
        <v>0</v>
      </c>
      <c r="Y228" s="821">
        <v>0</v>
      </c>
      <c r="Z228" s="821">
        <v>0</v>
      </c>
      <c r="AA228" s="821">
        <v>0</v>
      </c>
      <c r="AB228" s="823">
        <v>0</v>
      </c>
    </row>
    <row r="229" spans="1:28">
      <c r="A229" s="696" t="str">
        <f t="shared" si="3"/>
        <v>National Grid</v>
      </c>
      <c r="B229" s="696" t="str">
        <f>'Lookups-Assumptions'!$D$4</f>
        <v>Gas</v>
      </c>
      <c r="C229" s="696" t="str">
        <f>'Lookups-Assumptions'!$D$6</f>
        <v>Evaluated</v>
      </c>
      <c r="D229" s="819">
        <f>'Inputs Yr 2'!$E$2</f>
        <v>2017</v>
      </c>
      <c r="E229" s="696" t="s">
        <v>1152</v>
      </c>
      <c r="F229" s="696" t="s">
        <v>83</v>
      </c>
      <c r="G229" s="696" t="s">
        <v>870</v>
      </c>
      <c r="H229" s="696" t="s">
        <v>841</v>
      </c>
      <c r="I229" s="696" t="s">
        <v>801</v>
      </c>
      <c r="J229" s="820">
        <v>0</v>
      </c>
      <c r="K229" s="821">
        <v>0</v>
      </c>
      <c r="L229" s="786">
        <v>0</v>
      </c>
      <c r="M229" s="786">
        <v>0</v>
      </c>
      <c r="N229" s="786">
        <v>0</v>
      </c>
      <c r="O229" s="786">
        <v>0</v>
      </c>
      <c r="P229" s="786">
        <v>0</v>
      </c>
      <c r="Q229" s="786">
        <v>0</v>
      </c>
      <c r="R229" s="786">
        <v>0</v>
      </c>
      <c r="S229" s="786">
        <v>0</v>
      </c>
      <c r="T229" s="786">
        <v>0</v>
      </c>
      <c r="U229" s="822">
        <v>0</v>
      </c>
      <c r="V229" s="821">
        <v>0</v>
      </c>
      <c r="W229" s="821">
        <v>0</v>
      </c>
      <c r="X229" s="821">
        <v>0</v>
      </c>
      <c r="Y229" s="821">
        <v>0</v>
      </c>
      <c r="Z229" s="821">
        <v>0</v>
      </c>
      <c r="AA229" s="821">
        <v>0</v>
      </c>
      <c r="AB229" s="823">
        <v>0</v>
      </c>
    </row>
    <row r="230" spans="1:28">
      <c r="A230" s="696" t="str">
        <f t="shared" si="3"/>
        <v>National Grid</v>
      </c>
      <c r="B230" s="696" t="str">
        <f>'Lookups-Assumptions'!$D$4</f>
        <v>Gas</v>
      </c>
      <c r="C230" s="696" t="str">
        <f>'Lookups-Assumptions'!$D$6</f>
        <v>Evaluated</v>
      </c>
      <c r="D230" s="819">
        <f>'Inputs Yr 2'!$E$2</f>
        <v>2017</v>
      </c>
      <c r="E230" s="696" t="s">
        <v>1154</v>
      </c>
      <c r="F230" s="696" t="s">
        <v>83</v>
      </c>
      <c r="G230" s="696" t="s">
        <v>870</v>
      </c>
      <c r="H230" s="696" t="s">
        <v>659</v>
      </c>
      <c r="I230" s="696" t="s">
        <v>1347</v>
      </c>
      <c r="J230" s="820">
        <v>1</v>
      </c>
      <c r="K230" s="821">
        <v>2124.5</v>
      </c>
      <c r="L230" s="786">
        <v>0</v>
      </c>
      <c r="M230" s="786">
        <v>0</v>
      </c>
      <c r="N230" s="786">
        <v>111.89532630000002</v>
      </c>
      <c r="O230" s="786">
        <v>1678.4298945000003</v>
      </c>
      <c r="P230" s="786">
        <v>0</v>
      </c>
      <c r="Q230" s="786">
        <v>0</v>
      </c>
      <c r="R230" s="786">
        <v>0</v>
      </c>
      <c r="S230" s="786">
        <v>0</v>
      </c>
      <c r="T230" s="786">
        <v>0</v>
      </c>
      <c r="U230" s="822">
        <v>0</v>
      </c>
      <c r="V230" s="821">
        <v>0</v>
      </c>
      <c r="W230" s="821">
        <v>14240.232371314072</v>
      </c>
      <c r="X230" s="821">
        <v>0</v>
      </c>
      <c r="Y230" s="821">
        <v>0</v>
      </c>
      <c r="Z230" s="821">
        <v>0</v>
      </c>
      <c r="AA230" s="821">
        <v>0</v>
      </c>
      <c r="AB230" s="823">
        <v>14240.232371314072</v>
      </c>
    </row>
    <row r="231" spans="1:28">
      <c r="A231" s="696" t="str">
        <f t="shared" si="3"/>
        <v>National Grid</v>
      </c>
      <c r="B231" s="696" t="str">
        <f>'Lookups-Assumptions'!$D$4</f>
        <v>Gas</v>
      </c>
      <c r="C231" s="696" t="str">
        <f>'Lookups-Assumptions'!$D$6</f>
        <v>Evaluated</v>
      </c>
      <c r="D231" s="819">
        <f>'Inputs Yr 2'!$E$2</f>
        <v>2017</v>
      </c>
      <c r="E231"/>
      <c r="F231" s="696" t="s">
        <v>83</v>
      </c>
      <c r="G231" s="696" t="s">
        <v>870</v>
      </c>
      <c r="H231" s="696" t="s">
        <v>659</v>
      </c>
      <c r="I231" s="696" t="s">
        <v>1340</v>
      </c>
      <c r="J231" s="820">
        <v>1</v>
      </c>
      <c r="K231" s="821">
        <v>35166.559999999998</v>
      </c>
      <c r="L231" s="786">
        <v>0</v>
      </c>
      <c r="M231" s="786">
        <v>0</v>
      </c>
      <c r="N231" s="786">
        <v>698.71937600000001</v>
      </c>
      <c r="O231" s="786">
        <v>13974.38752</v>
      </c>
      <c r="P231" s="786">
        <v>0</v>
      </c>
      <c r="Q231" s="786">
        <v>0</v>
      </c>
      <c r="R231" s="786">
        <v>0</v>
      </c>
      <c r="S231" s="786">
        <v>0</v>
      </c>
      <c r="T231" s="786">
        <v>0</v>
      </c>
      <c r="U231" s="822">
        <v>0</v>
      </c>
      <c r="V231" s="821">
        <v>0</v>
      </c>
      <c r="W231" s="821">
        <v>120391.11558837752</v>
      </c>
      <c r="X231" s="821">
        <v>0</v>
      </c>
      <c r="Y231" s="821">
        <v>0</v>
      </c>
      <c r="Z231" s="821">
        <v>0</v>
      </c>
      <c r="AA231" s="821">
        <v>0</v>
      </c>
      <c r="AB231" s="823">
        <v>120391.11558837752</v>
      </c>
    </row>
    <row r="232" spans="1:28">
      <c r="A232" s="696" t="str">
        <f t="shared" si="3"/>
        <v>National Grid</v>
      </c>
      <c r="B232" s="696" t="str">
        <f>'Lookups-Assumptions'!$D$4</f>
        <v>Gas</v>
      </c>
      <c r="C232" s="696" t="str">
        <f>'Lookups-Assumptions'!$D$6</f>
        <v>Evaluated</v>
      </c>
      <c r="D232" s="819">
        <f>'Inputs Yr 2'!$E$2</f>
        <v>2017</v>
      </c>
      <c r="E232"/>
      <c r="F232" s="696" t="s">
        <v>83</v>
      </c>
      <c r="G232" s="696" t="s">
        <v>870</v>
      </c>
      <c r="H232" s="696" t="s">
        <v>659</v>
      </c>
      <c r="I232" s="696" t="s">
        <v>1339</v>
      </c>
      <c r="J232" s="820">
        <v>1</v>
      </c>
      <c r="K232" s="821">
        <v>34288.639999999999</v>
      </c>
      <c r="L232" s="786">
        <v>0</v>
      </c>
      <c r="M232" s="786">
        <v>0</v>
      </c>
      <c r="N232" s="786">
        <v>253.14259360000003</v>
      </c>
      <c r="O232" s="786">
        <v>4556.5666848000001</v>
      </c>
      <c r="P232" s="786">
        <v>0</v>
      </c>
      <c r="Q232" s="786">
        <v>0</v>
      </c>
      <c r="R232" s="786">
        <v>0</v>
      </c>
      <c r="S232" s="786">
        <v>0</v>
      </c>
      <c r="T232" s="786">
        <v>0</v>
      </c>
      <c r="U232" s="822">
        <v>0</v>
      </c>
      <c r="V232" s="821">
        <v>0</v>
      </c>
      <c r="W232" s="821">
        <v>38984.909275969323</v>
      </c>
      <c r="X232" s="821">
        <v>0</v>
      </c>
      <c r="Y232" s="821">
        <v>0</v>
      </c>
      <c r="Z232" s="821">
        <v>0</v>
      </c>
      <c r="AA232" s="821">
        <v>0</v>
      </c>
      <c r="AB232" s="823">
        <v>38984.909275969323</v>
      </c>
    </row>
    <row r="233" spans="1:28">
      <c r="A233" s="696" t="str">
        <f t="shared" si="3"/>
        <v>National Grid</v>
      </c>
      <c r="B233" s="696" t="str">
        <f>'Lookups-Assumptions'!$D$4</f>
        <v>Gas</v>
      </c>
      <c r="C233" s="696" t="str">
        <f>'Lookups-Assumptions'!$D$6</f>
        <v>Evaluated</v>
      </c>
      <c r="D233" s="819">
        <f>'Inputs Yr 2'!$E$2</f>
        <v>2017</v>
      </c>
      <c r="E233" s="696" t="s">
        <v>1155</v>
      </c>
      <c r="F233" s="696" t="s">
        <v>83</v>
      </c>
      <c r="G233" s="696" t="s">
        <v>870</v>
      </c>
      <c r="H233" s="696" t="s">
        <v>659</v>
      </c>
      <c r="I233" s="696" t="s">
        <v>604</v>
      </c>
      <c r="J233" s="820">
        <v>0</v>
      </c>
      <c r="K233" s="821">
        <v>0</v>
      </c>
      <c r="L233" s="786">
        <v>0</v>
      </c>
      <c r="M233" s="786">
        <v>0</v>
      </c>
      <c r="N233" s="786">
        <v>0</v>
      </c>
      <c r="O233" s="786">
        <v>0</v>
      </c>
      <c r="P233" s="786">
        <v>0</v>
      </c>
      <c r="Q233" s="786">
        <v>0</v>
      </c>
      <c r="R233" s="786">
        <v>0</v>
      </c>
      <c r="S233" s="786">
        <v>0</v>
      </c>
      <c r="T233" s="786">
        <v>0</v>
      </c>
      <c r="U233" s="822">
        <v>0</v>
      </c>
      <c r="V233" s="821">
        <v>0</v>
      </c>
      <c r="W233" s="821">
        <v>0</v>
      </c>
      <c r="X233" s="821">
        <v>0</v>
      </c>
      <c r="Y233" s="821">
        <v>0</v>
      </c>
      <c r="Z233" s="821">
        <v>0</v>
      </c>
      <c r="AA233" s="821">
        <v>0</v>
      </c>
      <c r="AB233" s="823">
        <v>0</v>
      </c>
    </row>
    <row r="234" spans="1:28">
      <c r="A234" s="696" t="str">
        <f t="shared" si="3"/>
        <v>National Grid</v>
      </c>
      <c r="B234" s="696" t="str">
        <f>'Lookups-Assumptions'!$D$4</f>
        <v>Gas</v>
      </c>
      <c r="C234" s="696" t="str">
        <f>'Lookups-Assumptions'!$D$6</f>
        <v>Evaluated</v>
      </c>
      <c r="D234" s="819">
        <f>'Inputs Yr 2'!$E$2</f>
        <v>2017</v>
      </c>
      <c r="E234" s="696" t="s">
        <v>1157</v>
      </c>
      <c r="F234" s="696" t="s">
        <v>83</v>
      </c>
      <c r="G234" s="696" t="s">
        <v>870</v>
      </c>
      <c r="H234" s="696" t="s">
        <v>659</v>
      </c>
      <c r="I234" s="696" t="s">
        <v>793</v>
      </c>
      <c r="J234" s="820">
        <v>0</v>
      </c>
      <c r="K234" s="821">
        <v>0</v>
      </c>
      <c r="L234" s="786">
        <v>0</v>
      </c>
      <c r="M234" s="786">
        <v>0</v>
      </c>
      <c r="N234" s="786">
        <v>0</v>
      </c>
      <c r="O234" s="786">
        <v>0</v>
      </c>
      <c r="P234" s="786">
        <v>0</v>
      </c>
      <c r="Q234" s="786">
        <v>0</v>
      </c>
      <c r="R234" s="786">
        <v>0</v>
      </c>
      <c r="S234" s="786">
        <v>0</v>
      </c>
      <c r="T234" s="786">
        <v>0</v>
      </c>
      <c r="U234" s="822">
        <v>0</v>
      </c>
      <c r="V234" s="821">
        <v>0</v>
      </c>
      <c r="W234" s="821">
        <v>0</v>
      </c>
      <c r="X234" s="821">
        <v>0</v>
      </c>
      <c r="Y234" s="821">
        <v>0</v>
      </c>
      <c r="Z234" s="821">
        <v>0</v>
      </c>
      <c r="AA234" s="821">
        <v>0</v>
      </c>
      <c r="AB234" s="823">
        <v>0</v>
      </c>
    </row>
    <row r="235" spans="1:28">
      <c r="A235" s="696" t="str">
        <f t="shared" si="3"/>
        <v>National Grid</v>
      </c>
      <c r="B235" s="696" t="str">
        <f>'Lookups-Assumptions'!$D$4</f>
        <v>Gas</v>
      </c>
      <c r="C235" s="696" t="str">
        <f>'Lookups-Assumptions'!$D$6</f>
        <v>Evaluated</v>
      </c>
      <c r="D235" s="819">
        <f>'Inputs Yr 2'!$E$2</f>
        <v>2017</v>
      </c>
      <c r="E235" s="696" t="s">
        <v>1158</v>
      </c>
      <c r="F235" s="696" t="s">
        <v>83</v>
      </c>
      <c r="G235" s="696" t="s">
        <v>870</v>
      </c>
      <c r="H235" s="696" t="s">
        <v>659</v>
      </c>
      <c r="I235" s="696" t="s">
        <v>1353</v>
      </c>
      <c r="J235" s="820">
        <v>1</v>
      </c>
      <c r="K235" s="821">
        <v>28840</v>
      </c>
      <c r="L235" s="786">
        <v>0</v>
      </c>
      <c r="M235" s="786">
        <v>0</v>
      </c>
      <c r="N235" s="786">
        <v>407.49084920000007</v>
      </c>
      <c r="O235" s="786">
        <v>6112.3627380000007</v>
      </c>
      <c r="P235" s="786">
        <v>0</v>
      </c>
      <c r="Q235" s="786">
        <v>0</v>
      </c>
      <c r="R235" s="786">
        <v>0</v>
      </c>
      <c r="S235" s="786">
        <v>0</v>
      </c>
      <c r="T235" s="786">
        <v>0</v>
      </c>
      <c r="U235" s="822">
        <v>0</v>
      </c>
      <c r="V235" s="821">
        <v>0</v>
      </c>
      <c r="W235" s="821">
        <v>51858.862864695897</v>
      </c>
      <c r="X235" s="821">
        <v>0</v>
      </c>
      <c r="Y235" s="821">
        <v>0</v>
      </c>
      <c r="Z235" s="821">
        <v>0</v>
      </c>
      <c r="AA235" s="821">
        <v>0</v>
      </c>
      <c r="AB235" s="823">
        <v>51858.862864695897</v>
      </c>
    </row>
    <row r="236" spans="1:28">
      <c r="A236" s="696" t="str">
        <f t="shared" si="3"/>
        <v>National Grid</v>
      </c>
      <c r="B236" s="696" t="str">
        <f>'Lookups-Assumptions'!$D$4</f>
        <v>Gas</v>
      </c>
      <c r="C236" s="696" t="str">
        <f>'Lookups-Assumptions'!$D$6</f>
        <v>Evaluated</v>
      </c>
      <c r="D236" s="819">
        <f>'Inputs Yr 2'!$E$2</f>
        <v>2017</v>
      </c>
      <c r="E236" s="696" t="s">
        <v>1160</v>
      </c>
      <c r="F236" s="696" t="s">
        <v>83</v>
      </c>
      <c r="G236" s="696" t="s">
        <v>870</v>
      </c>
      <c r="H236" s="696" t="s">
        <v>659</v>
      </c>
      <c r="I236" s="696" t="s">
        <v>1515</v>
      </c>
      <c r="J236" s="820">
        <v>1</v>
      </c>
      <c r="K236" s="821">
        <v>10220</v>
      </c>
      <c r="L236" s="786">
        <v>0</v>
      </c>
      <c r="M236" s="786">
        <v>0</v>
      </c>
      <c r="N236" s="786">
        <v>225.00768430000002</v>
      </c>
      <c r="O236" s="786">
        <v>3375.1152645000002</v>
      </c>
      <c r="P236" s="786">
        <v>0</v>
      </c>
      <c r="Q236" s="786">
        <v>0</v>
      </c>
      <c r="R236" s="786">
        <v>0</v>
      </c>
      <c r="S236" s="786">
        <v>0</v>
      </c>
      <c r="T236" s="786">
        <v>0</v>
      </c>
      <c r="U236" s="822">
        <v>0</v>
      </c>
      <c r="V236" s="821">
        <v>0</v>
      </c>
      <c r="W236" s="821">
        <v>25978.90353846968</v>
      </c>
      <c r="X236" s="821">
        <v>0</v>
      </c>
      <c r="Y236" s="821">
        <v>0</v>
      </c>
      <c r="Z236" s="821">
        <v>0</v>
      </c>
      <c r="AA236" s="821">
        <v>0</v>
      </c>
      <c r="AB236" s="823">
        <v>25978.90353846968</v>
      </c>
    </row>
    <row r="237" spans="1:28">
      <c r="A237" s="696" t="str">
        <f t="shared" si="3"/>
        <v>National Grid</v>
      </c>
      <c r="B237" s="696" t="str">
        <f>'Lookups-Assumptions'!$D$4</f>
        <v>Gas</v>
      </c>
      <c r="C237" s="696" t="str">
        <f>'Lookups-Assumptions'!$D$6</f>
        <v>Evaluated</v>
      </c>
      <c r="D237" s="819">
        <f>'Inputs Yr 2'!$E$2</f>
        <v>2017</v>
      </c>
      <c r="E237" s="696" t="s">
        <v>1162</v>
      </c>
      <c r="F237" s="696" t="s">
        <v>83</v>
      </c>
      <c r="G237" s="696" t="s">
        <v>870</v>
      </c>
      <c r="H237" s="696" t="s">
        <v>659</v>
      </c>
      <c r="I237" s="696" t="s">
        <v>84</v>
      </c>
      <c r="J237" s="820">
        <v>0</v>
      </c>
      <c r="K237" s="821">
        <v>0</v>
      </c>
      <c r="L237" s="786">
        <v>0</v>
      </c>
      <c r="M237" s="786">
        <v>0</v>
      </c>
      <c r="N237" s="786">
        <v>0</v>
      </c>
      <c r="O237" s="786">
        <v>0</v>
      </c>
      <c r="P237" s="786">
        <v>0</v>
      </c>
      <c r="Q237" s="786">
        <v>0</v>
      </c>
      <c r="R237" s="786">
        <v>0</v>
      </c>
      <c r="S237" s="786">
        <v>0</v>
      </c>
      <c r="T237" s="786">
        <v>0</v>
      </c>
      <c r="U237" s="822">
        <v>0</v>
      </c>
      <c r="V237" s="821">
        <v>0</v>
      </c>
      <c r="W237" s="821">
        <v>0</v>
      </c>
      <c r="X237" s="821">
        <v>0</v>
      </c>
      <c r="Y237" s="821">
        <v>0</v>
      </c>
      <c r="Z237" s="821">
        <v>0</v>
      </c>
      <c r="AA237" s="821">
        <v>0</v>
      </c>
      <c r="AB237" s="823">
        <v>0</v>
      </c>
    </row>
    <row r="238" spans="1:28">
      <c r="A238" s="696" t="str">
        <f t="shared" si="3"/>
        <v>National Grid</v>
      </c>
      <c r="B238" s="696" t="str">
        <f>'Lookups-Assumptions'!$D$4</f>
        <v>Gas</v>
      </c>
      <c r="C238" s="696" t="str">
        <f>'Lookups-Assumptions'!$D$6</f>
        <v>Evaluated</v>
      </c>
      <c r="D238" s="819">
        <f>'Inputs Yr 2'!$E$2</f>
        <v>2017</v>
      </c>
      <c r="E238" s="696" t="s">
        <v>1164</v>
      </c>
      <c r="F238" s="696" t="s">
        <v>83</v>
      </c>
      <c r="G238" s="696" t="s">
        <v>870</v>
      </c>
      <c r="H238" s="696" t="s">
        <v>659</v>
      </c>
      <c r="I238" s="696" t="s">
        <v>1377</v>
      </c>
      <c r="J238" s="820">
        <v>1</v>
      </c>
      <c r="K238" s="821">
        <v>4830</v>
      </c>
      <c r="L238" s="786">
        <v>0</v>
      </c>
      <c r="M238" s="786">
        <v>0</v>
      </c>
      <c r="N238" s="786">
        <v>451.51876070000003</v>
      </c>
      <c r="O238" s="786">
        <v>6772.7814105000007</v>
      </c>
      <c r="P238" s="786">
        <v>0</v>
      </c>
      <c r="Q238" s="786">
        <v>0</v>
      </c>
      <c r="R238" s="786">
        <v>0</v>
      </c>
      <c r="S238" s="786">
        <v>0</v>
      </c>
      <c r="T238" s="786">
        <v>0</v>
      </c>
      <c r="U238" s="822">
        <v>0</v>
      </c>
      <c r="V238" s="821">
        <v>0</v>
      </c>
      <c r="W238" s="821">
        <v>55590.013935668772</v>
      </c>
      <c r="X238" s="821">
        <v>0</v>
      </c>
      <c r="Y238" s="821">
        <v>0</v>
      </c>
      <c r="Z238" s="821">
        <v>0</v>
      </c>
      <c r="AA238" s="821">
        <v>0</v>
      </c>
      <c r="AB238" s="823">
        <v>55590.013935668772</v>
      </c>
    </row>
    <row r="239" spans="1:28">
      <c r="A239" s="696" t="str">
        <f t="shared" si="3"/>
        <v>National Grid</v>
      </c>
      <c r="B239" s="696" t="str">
        <f>'Lookups-Assumptions'!$D$4</f>
        <v>Gas</v>
      </c>
      <c r="C239" s="696" t="str">
        <f>'Lookups-Assumptions'!$D$6</f>
        <v>Evaluated</v>
      </c>
      <c r="D239" s="819">
        <f>'Inputs Yr 2'!$E$2</f>
        <v>2017</v>
      </c>
      <c r="E239" s="696" t="s">
        <v>1166</v>
      </c>
      <c r="F239" s="696" t="s">
        <v>83</v>
      </c>
      <c r="G239" s="696" t="s">
        <v>870</v>
      </c>
      <c r="H239" s="696" t="s">
        <v>659</v>
      </c>
      <c r="I239" s="696" t="s">
        <v>606</v>
      </c>
      <c r="J239" s="820">
        <v>0</v>
      </c>
      <c r="K239" s="821">
        <v>0</v>
      </c>
      <c r="L239" s="786">
        <v>0</v>
      </c>
      <c r="M239" s="786">
        <v>0</v>
      </c>
      <c r="N239" s="786">
        <v>0</v>
      </c>
      <c r="O239" s="786">
        <v>0</v>
      </c>
      <c r="P239" s="786">
        <v>0</v>
      </c>
      <c r="Q239" s="786">
        <v>0</v>
      </c>
      <c r="R239" s="786">
        <v>0</v>
      </c>
      <c r="S239" s="786">
        <v>0</v>
      </c>
      <c r="T239" s="786">
        <v>0</v>
      </c>
      <c r="U239" s="822">
        <v>0</v>
      </c>
      <c r="V239" s="821">
        <v>0</v>
      </c>
      <c r="W239" s="821">
        <v>0</v>
      </c>
      <c r="X239" s="821">
        <v>0</v>
      </c>
      <c r="Y239" s="821">
        <v>0</v>
      </c>
      <c r="Z239" s="821">
        <v>0</v>
      </c>
      <c r="AA239" s="821">
        <v>0</v>
      </c>
      <c r="AB239" s="823">
        <v>0</v>
      </c>
    </row>
    <row r="240" spans="1:28">
      <c r="A240" s="696" t="str">
        <f t="shared" si="3"/>
        <v>National Grid</v>
      </c>
      <c r="B240" s="696" t="str">
        <f>'Lookups-Assumptions'!$D$4</f>
        <v>Gas</v>
      </c>
      <c r="C240" s="696" t="str">
        <f>'Lookups-Assumptions'!$D$6</f>
        <v>Evaluated</v>
      </c>
      <c r="D240" s="819">
        <f>'Inputs Yr 2'!$E$2</f>
        <v>2017</v>
      </c>
      <c r="E240" s="696" t="s">
        <v>1167</v>
      </c>
      <c r="F240" s="696" t="s">
        <v>83</v>
      </c>
      <c r="G240" s="696" t="s">
        <v>870</v>
      </c>
      <c r="H240" s="696" t="s">
        <v>659</v>
      </c>
      <c r="I240" s="696" t="s">
        <v>1381</v>
      </c>
      <c r="J240" s="820">
        <v>1</v>
      </c>
      <c r="K240" s="821">
        <v>9170</v>
      </c>
      <c r="L240" s="786">
        <v>0</v>
      </c>
      <c r="M240" s="786">
        <v>0</v>
      </c>
      <c r="N240" s="786">
        <v>244.62337170000001</v>
      </c>
      <c r="O240" s="786">
        <v>1467.7402302</v>
      </c>
      <c r="P240" s="786">
        <v>0</v>
      </c>
      <c r="Q240" s="786">
        <v>0</v>
      </c>
      <c r="R240" s="786">
        <v>0</v>
      </c>
      <c r="S240" s="786">
        <v>0</v>
      </c>
      <c r="T240" s="786">
        <v>0</v>
      </c>
      <c r="U240" s="822">
        <v>0</v>
      </c>
      <c r="V240" s="821">
        <v>0</v>
      </c>
      <c r="W240" s="821">
        <v>12959.536842877715</v>
      </c>
      <c r="X240" s="821">
        <v>0</v>
      </c>
      <c r="Y240" s="821">
        <v>0</v>
      </c>
      <c r="Z240" s="821">
        <v>0</v>
      </c>
      <c r="AA240" s="821">
        <v>0</v>
      </c>
      <c r="AB240" s="823">
        <v>12959.536842877715</v>
      </c>
    </row>
    <row r="241" spans="1:28">
      <c r="A241" s="696" t="str">
        <f t="shared" si="3"/>
        <v>National Grid</v>
      </c>
      <c r="B241" s="696" t="str">
        <f>'Lookups-Assumptions'!$D$4</f>
        <v>Gas</v>
      </c>
      <c r="C241" s="696" t="str">
        <f>'Lookups-Assumptions'!$D$6</f>
        <v>Evaluated</v>
      </c>
      <c r="D241" s="819">
        <f>'Inputs Yr 2'!$E$2</f>
        <v>2017</v>
      </c>
      <c r="E241" s="696" t="s">
        <v>1169</v>
      </c>
      <c r="F241" s="696" t="s">
        <v>83</v>
      </c>
      <c r="G241" s="696" t="s">
        <v>870</v>
      </c>
      <c r="H241" s="696" t="s">
        <v>659</v>
      </c>
      <c r="I241" s="696" t="s">
        <v>1309</v>
      </c>
      <c r="J241" s="820">
        <v>35</v>
      </c>
      <c r="K241" s="821">
        <v>4517.1000000000004</v>
      </c>
      <c r="L241" s="786">
        <v>0</v>
      </c>
      <c r="M241" s="786">
        <v>0</v>
      </c>
      <c r="N241" s="786">
        <v>94.75200000000001</v>
      </c>
      <c r="O241" s="786">
        <v>1421.2800000000002</v>
      </c>
      <c r="P241" s="786">
        <v>0</v>
      </c>
      <c r="Q241" s="786">
        <v>0</v>
      </c>
      <c r="R241" s="786">
        <v>0</v>
      </c>
      <c r="S241" s="786">
        <v>0</v>
      </c>
      <c r="T241" s="786">
        <v>0</v>
      </c>
      <c r="U241" s="822">
        <v>0</v>
      </c>
      <c r="V241" s="821">
        <v>0</v>
      </c>
      <c r="W241" s="821">
        <v>12058.506304626153</v>
      </c>
      <c r="X241" s="821">
        <v>0</v>
      </c>
      <c r="Y241" s="821">
        <v>0</v>
      </c>
      <c r="Z241" s="821">
        <v>0</v>
      </c>
      <c r="AA241" s="821">
        <v>18569.117329559533</v>
      </c>
      <c r="AB241" s="823">
        <v>30627.623634185686</v>
      </c>
    </row>
    <row r="242" spans="1:28">
      <c r="A242" s="696" t="str">
        <f t="shared" si="3"/>
        <v>National Grid</v>
      </c>
      <c r="B242" s="696" t="str">
        <f>'Lookups-Assumptions'!$D$4</f>
        <v>Gas</v>
      </c>
      <c r="C242" s="696" t="str">
        <f>'Lookups-Assumptions'!$D$6</f>
        <v>Evaluated</v>
      </c>
      <c r="D242" s="819">
        <f>'Inputs Yr 2'!$E$2</f>
        <v>2017</v>
      </c>
      <c r="E242" s="696" t="s">
        <v>1170</v>
      </c>
      <c r="F242" s="696" t="s">
        <v>83</v>
      </c>
      <c r="G242" s="696" t="s">
        <v>870</v>
      </c>
      <c r="H242" s="696" t="s">
        <v>659</v>
      </c>
      <c r="I242" s="696" t="s">
        <v>759</v>
      </c>
      <c r="J242" s="820">
        <v>0</v>
      </c>
      <c r="K242" s="821">
        <v>0</v>
      </c>
      <c r="L242" s="786">
        <v>0</v>
      </c>
      <c r="M242" s="786">
        <v>0</v>
      </c>
      <c r="N242" s="786">
        <v>0</v>
      </c>
      <c r="O242" s="786">
        <v>0</v>
      </c>
      <c r="P242" s="786">
        <v>0</v>
      </c>
      <c r="Q242" s="786">
        <v>0</v>
      </c>
      <c r="R242" s="786">
        <v>0</v>
      </c>
      <c r="S242" s="786">
        <v>0</v>
      </c>
      <c r="T242" s="786">
        <v>0</v>
      </c>
      <c r="U242" s="822">
        <v>0</v>
      </c>
      <c r="V242" s="821">
        <v>0</v>
      </c>
      <c r="W242" s="821">
        <v>0</v>
      </c>
      <c r="X242" s="821">
        <v>0</v>
      </c>
      <c r="Y242" s="821">
        <v>0</v>
      </c>
      <c r="Z242" s="821">
        <v>0</v>
      </c>
      <c r="AA242" s="821">
        <v>0</v>
      </c>
      <c r="AB242" s="823">
        <v>0</v>
      </c>
    </row>
    <row r="243" spans="1:28">
      <c r="A243" s="696" t="str">
        <f t="shared" si="3"/>
        <v>National Grid</v>
      </c>
      <c r="B243" s="696" t="str">
        <f>'Lookups-Assumptions'!$D$4</f>
        <v>Gas</v>
      </c>
      <c r="C243" s="696" t="str">
        <f>'Lookups-Assumptions'!$D$6</f>
        <v>Evaluated</v>
      </c>
      <c r="D243" s="819">
        <f>'Inputs Yr 2'!$E$2</f>
        <v>2017</v>
      </c>
      <c r="E243" s="696" t="s">
        <v>1171</v>
      </c>
      <c r="F243" s="696" t="s">
        <v>83</v>
      </c>
      <c r="G243" s="696" t="s">
        <v>870</v>
      </c>
      <c r="H243" s="696" t="s">
        <v>659</v>
      </c>
      <c r="I243" s="696" t="s">
        <v>760</v>
      </c>
      <c r="J243" s="820">
        <v>0</v>
      </c>
      <c r="K243" s="821">
        <v>0</v>
      </c>
      <c r="L243" s="786">
        <v>0</v>
      </c>
      <c r="M243" s="786">
        <v>0</v>
      </c>
      <c r="N243" s="786">
        <v>0</v>
      </c>
      <c r="O243" s="786">
        <v>0</v>
      </c>
      <c r="P243" s="786">
        <v>0</v>
      </c>
      <c r="Q243" s="786">
        <v>0</v>
      </c>
      <c r="R243" s="786">
        <v>0</v>
      </c>
      <c r="S243" s="786">
        <v>0</v>
      </c>
      <c r="T243" s="786">
        <v>0</v>
      </c>
      <c r="U243" s="822">
        <v>0</v>
      </c>
      <c r="V243" s="821">
        <v>0</v>
      </c>
      <c r="W243" s="821">
        <v>0</v>
      </c>
      <c r="X243" s="821">
        <v>0</v>
      </c>
      <c r="Y243" s="821">
        <v>0</v>
      </c>
      <c r="Z243" s="821">
        <v>0</v>
      </c>
      <c r="AA243" s="821">
        <v>0</v>
      </c>
      <c r="AB243" s="823">
        <v>0</v>
      </c>
    </row>
    <row r="244" spans="1:28">
      <c r="A244" s="696" t="str">
        <f t="shared" si="3"/>
        <v>National Grid</v>
      </c>
      <c r="B244" s="696" t="str">
        <f>'Lookups-Assumptions'!$D$4</f>
        <v>Gas</v>
      </c>
      <c r="C244" s="696" t="str">
        <f>'Lookups-Assumptions'!$D$6</f>
        <v>Evaluated</v>
      </c>
      <c r="D244" s="819">
        <f>'Inputs Yr 2'!$E$2</f>
        <v>2017</v>
      </c>
      <c r="E244" s="696" t="s">
        <v>1172</v>
      </c>
      <c r="F244" s="696" t="s">
        <v>83</v>
      </c>
      <c r="G244" s="696" t="s">
        <v>870</v>
      </c>
      <c r="H244" s="696" t="s">
        <v>659</v>
      </c>
      <c r="I244" s="696" t="s">
        <v>1301</v>
      </c>
      <c r="J244" s="820">
        <v>0</v>
      </c>
      <c r="K244" s="821">
        <v>0</v>
      </c>
      <c r="L244" s="786">
        <v>0</v>
      </c>
      <c r="M244" s="786">
        <v>0</v>
      </c>
      <c r="N244" s="786">
        <v>0</v>
      </c>
      <c r="O244" s="786">
        <v>0</v>
      </c>
      <c r="P244" s="786">
        <v>0</v>
      </c>
      <c r="Q244" s="786">
        <v>0</v>
      </c>
      <c r="R244" s="786">
        <v>0</v>
      </c>
      <c r="S244" s="786">
        <v>0</v>
      </c>
      <c r="T244" s="786">
        <v>0</v>
      </c>
      <c r="U244" s="822">
        <v>0</v>
      </c>
      <c r="V244" s="821">
        <v>0</v>
      </c>
      <c r="W244" s="821">
        <v>0</v>
      </c>
      <c r="X244" s="821">
        <v>0</v>
      </c>
      <c r="Y244" s="821">
        <v>0</v>
      </c>
      <c r="Z244" s="821">
        <v>0</v>
      </c>
      <c r="AA244" s="821">
        <v>0</v>
      </c>
      <c r="AB244" s="823">
        <v>0</v>
      </c>
    </row>
    <row r="245" spans="1:28">
      <c r="A245" s="696" t="str">
        <f t="shared" si="3"/>
        <v>National Grid</v>
      </c>
      <c r="B245" s="696" t="str">
        <f>'Lookups-Assumptions'!$D$4</f>
        <v>Gas</v>
      </c>
      <c r="C245" s="696" t="str">
        <f>'Lookups-Assumptions'!$D$6</f>
        <v>Evaluated</v>
      </c>
      <c r="D245" s="819">
        <f>'Inputs Yr 2'!$E$2</f>
        <v>2017</v>
      </c>
      <c r="E245" s="696" t="s">
        <v>1173</v>
      </c>
      <c r="F245" s="696" t="s">
        <v>83</v>
      </c>
      <c r="G245" s="696" t="s">
        <v>870</v>
      </c>
      <c r="H245" s="696" t="s">
        <v>659</v>
      </c>
      <c r="I245" s="696" t="s">
        <v>1312</v>
      </c>
      <c r="J245" s="820">
        <v>0</v>
      </c>
      <c r="K245" s="821">
        <v>0</v>
      </c>
      <c r="L245" s="786">
        <v>0</v>
      </c>
      <c r="M245" s="786">
        <v>0</v>
      </c>
      <c r="N245" s="786">
        <v>0</v>
      </c>
      <c r="O245" s="786">
        <v>0</v>
      </c>
      <c r="P245" s="786">
        <v>0</v>
      </c>
      <c r="Q245" s="786">
        <v>0</v>
      </c>
      <c r="R245" s="786">
        <v>0</v>
      </c>
      <c r="S245" s="786">
        <v>0</v>
      </c>
      <c r="T245" s="786">
        <v>0</v>
      </c>
      <c r="U245" s="822">
        <v>0</v>
      </c>
      <c r="V245" s="821">
        <v>0</v>
      </c>
      <c r="W245" s="821">
        <v>0</v>
      </c>
      <c r="X245" s="821">
        <v>0</v>
      </c>
      <c r="Y245" s="821">
        <v>0</v>
      </c>
      <c r="Z245" s="821">
        <v>0</v>
      </c>
      <c r="AA245" s="821">
        <v>0</v>
      </c>
      <c r="AB245" s="823">
        <v>0</v>
      </c>
    </row>
    <row r="246" spans="1:28">
      <c r="A246" s="696" t="str">
        <f t="shared" si="3"/>
        <v>National Grid</v>
      </c>
      <c r="B246" s="696" t="str">
        <f>'Lookups-Assumptions'!$D$4</f>
        <v>Gas</v>
      </c>
      <c r="C246" s="696" t="str">
        <f>'Lookups-Assumptions'!$D$6</f>
        <v>Evaluated</v>
      </c>
      <c r="D246" s="819">
        <f>'Inputs Yr 2'!$E$2</f>
        <v>2017</v>
      </c>
      <c r="E246" s="696" t="s">
        <v>1174</v>
      </c>
      <c r="F246" s="696" t="s">
        <v>83</v>
      </c>
      <c r="G246" s="696" t="s">
        <v>870</v>
      </c>
      <c r="H246" s="696" t="s">
        <v>659</v>
      </c>
      <c r="I246" s="696" t="s">
        <v>1304</v>
      </c>
      <c r="J246" s="820">
        <v>1829</v>
      </c>
      <c r="K246" s="821">
        <v>18326.579999999998</v>
      </c>
      <c r="L246" s="786">
        <v>0</v>
      </c>
      <c r="M246" s="786">
        <v>0</v>
      </c>
      <c r="N246" s="786">
        <v>2630.4678000000013</v>
      </c>
      <c r="O246" s="786">
        <v>26304.678000000014</v>
      </c>
      <c r="P246" s="786">
        <v>0</v>
      </c>
      <c r="Q246" s="786">
        <v>0</v>
      </c>
      <c r="R246" s="786">
        <v>0</v>
      </c>
      <c r="S246" s="786">
        <v>0</v>
      </c>
      <c r="T246" s="786">
        <v>8448443.6400000006</v>
      </c>
      <c r="U246" s="822">
        <v>84484436.400000006</v>
      </c>
      <c r="V246" s="821">
        <v>0</v>
      </c>
      <c r="W246" s="821">
        <v>202665.55884940791</v>
      </c>
      <c r="X246" s="821">
        <v>0</v>
      </c>
      <c r="Y246" s="821">
        <v>0</v>
      </c>
      <c r="Z246" s="821">
        <v>895434.14666442294</v>
      </c>
      <c r="AA246" s="821">
        <v>0</v>
      </c>
      <c r="AB246" s="823">
        <v>1098099.7055138308</v>
      </c>
    </row>
    <row r="247" spans="1:28">
      <c r="A247" s="696" t="str">
        <f t="shared" si="3"/>
        <v>National Grid</v>
      </c>
      <c r="B247" s="696" t="str">
        <f>'Lookups-Assumptions'!$D$4</f>
        <v>Gas</v>
      </c>
      <c r="C247" s="696" t="str">
        <f>'Lookups-Assumptions'!$D$6</f>
        <v>Evaluated</v>
      </c>
      <c r="D247" s="819">
        <f>'Inputs Yr 2'!$E$2</f>
        <v>2017</v>
      </c>
      <c r="E247" s="696" t="s">
        <v>1175</v>
      </c>
      <c r="F247" s="696" t="s">
        <v>83</v>
      </c>
      <c r="G247" s="696" t="s">
        <v>870</v>
      </c>
      <c r="H247" s="696" t="s">
        <v>659</v>
      </c>
      <c r="I247" s="696" t="s">
        <v>1305</v>
      </c>
      <c r="J247" s="820">
        <v>1336</v>
      </c>
      <c r="K247" s="821">
        <v>49111.360000000001</v>
      </c>
      <c r="L247" s="786">
        <v>0</v>
      </c>
      <c r="M247" s="786">
        <v>0</v>
      </c>
      <c r="N247" s="786">
        <v>2203.9992000000002</v>
      </c>
      <c r="O247" s="786">
        <v>22039.992000000002</v>
      </c>
      <c r="P247" s="786">
        <v>0</v>
      </c>
      <c r="Q247" s="786">
        <v>0</v>
      </c>
      <c r="R247" s="786">
        <v>0</v>
      </c>
      <c r="S247" s="786">
        <v>0</v>
      </c>
      <c r="T247" s="786">
        <v>8250868.8000000007</v>
      </c>
      <c r="U247" s="822">
        <v>82508688</v>
      </c>
      <c r="V247" s="821">
        <v>0</v>
      </c>
      <c r="W247" s="821">
        <v>169808.09632858756</v>
      </c>
      <c r="X247" s="821">
        <v>0</v>
      </c>
      <c r="Y247" s="821">
        <v>0</v>
      </c>
      <c r="Z247" s="821">
        <v>874493.57277929503</v>
      </c>
      <c r="AA247" s="821">
        <v>0</v>
      </c>
      <c r="AB247" s="823">
        <v>1044301.6691078825</v>
      </c>
    </row>
    <row r="248" spans="1:28">
      <c r="A248" s="696" t="str">
        <f t="shared" si="3"/>
        <v>National Grid</v>
      </c>
      <c r="B248" s="696" t="str">
        <f>'Lookups-Assumptions'!$D$4</f>
        <v>Gas</v>
      </c>
      <c r="C248" s="696" t="str">
        <f>'Lookups-Assumptions'!$D$6</f>
        <v>Evaluated</v>
      </c>
      <c r="D248" s="819">
        <f>'Inputs Yr 2'!$E$2</f>
        <v>2017</v>
      </c>
      <c r="E248" s="696" t="s">
        <v>1176</v>
      </c>
      <c r="F248" s="696" t="s">
        <v>83</v>
      </c>
      <c r="G248" s="696" t="s">
        <v>870</v>
      </c>
      <c r="H248" s="696" t="s">
        <v>659</v>
      </c>
      <c r="I248" s="696" t="s">
        <v>797</v>
      </c>
      <c r="J248" s="820">
        <v>244</v>
      </c>
      <c r="K248" s="821">
        <v>34628.479999999996</v>
      </c>
      <c r="L248" s="786">
        <v>0</v>
      </c>
      <c r="M248" s="786">
        <v>0</v>
      </c>
      <c r="N248" s="786">
        <v>2353.2336000000005</v>
      </c>
      <c r="O248" s="786">
        <v>18825.868800000004</v>
      </c>
      <c r="P248" s="786">
        <v>0</v>
      </c>
      <c r="Q248" s="786">
        <v>0</v>
      </c>
      <c r="R248" s="786">
        <v>0</v>
      </c>
      <c r="S248" s="786">
        <v>0</v>
      </c>
      <c r="T248" s="786">
        <v>1323177.8400000003</v>
      </c>
      <c r="U248" s="822">
        <v>10585422.720000003</v>
      </c>
      <c r="V248" s="821">
        <v>0</v>
      </c>
      <c r="W248" s="821">
        <v>146787.31865271501</v>
      </c>
      <c r="X248" s="821">
        <v>0</v>
      </c>
      <c r="Y248" s="821">
        <v>0</v>
      </c>
      <c r="Z248" s="821">
        <v>112683.23180056183</v>
      </c>
      <c r="AA248" s="821">
        <v>0</v>
      </c>
      <c r="AB248" s="823">
        <v>259470.55045327684</v>
      </c>
    </row>
    <row r="249" spans="1:28">
      <c r="A249" s="696" t="str">
        <f t="shared" si="3"/>
        <v>National Grid</v>
      </c>
      <c r="B249" s="696" t="str">
        <f>'Lookups-Assumptions'!$D$4</f>
        <v>Gas</v>
      </c>
      <c r="C249" s="696" t="str">
        <f>'Lookups-Assumptions'!$D$6</f>
        <v>Evaluated</v>
      </c>
      <c r="D249" s="819">
        <f>'Inputs Yr 2'!$E$2</f>
        <v>2017</v>
      </c>
      <c r="E249" s="696" t="s">
        <v>1177</v>
      </c>
      <c r="F249" s="696" t="s">
        <v>83</v>
      </c>
      <c r="G249" s="696" t="s">
        <v>870</v>
      </c>
      <c r="H249" s="696" t="s">
        <v>659</v>
      </c>
      <c r="I249" s="696" t="s">
        <v>798</v>
      </c>
      <c r="J249" s="820">
        <v>21</v>
      </c>
      <c r="K249" s="821">
        <v>1195.1099999999999</v>
      </c>
      <c r="L249" s="786">
        <v>0</v>
      </c>
      <c r="M249" s="786">
        <v>0</v>
      </c>
      <c r="N249" s="786">
        <v>3.7308599999999998</v>
      </c>
      <c r="O249" s="786">
        <v>55.962899999999998</v>
      </c>
      <c r="P249" s="786">
        <v>0</v>
      </c>
      <c r="Q249" s="786">
        <v>0</v>
      </c>
      <c r="R249" s="786">
        <v>0</v>
      </c>
      <c r="S249" s="786">
        <v>0</v>
      </c>
      <c r="T249" s="786">
        <v>0</v>
      </c>
      <c r="U249" s="822">
        <v>0</v>
      </c>
      <c r="V249" s="821">
        <v>0</v>
      </c>
      <c r="W249" s="821">
        <v>430.75707550639851</v>
      </c>
      <c r="X249" s="821">
        <v>0</v>
      </c>
      <c r="Y249" s="821">
        <v>0</v>
      </c>
      <c r="Z249" s="821">
        <v>0</v>
      </c>
      <c r="AA249" s="821">
        <v>0</v>
      </c>
      <c r="AB249" s="823">
        <v>430.75707550639851</v>
      </c>
    </row>
    <row r="250" spans="1:28">
      <c r="A250" s="696" t="str">
        <f t="shared" si="3"/>
        <v>National Grid</v>
      </c>
      <c r="B250" s="696" t="str">
        <f>'Lookups-Assumptions'!$D$4</f>
        <v>Gas</v>
      </c>
      <c r="C250" s="696" t="str">
        <f>'Lookups-Assumptions'!$D$6</f>
        <v>Evaluated</v>
      </c>
      <c r="D250" s="819">
        <f>'Inputs Yr 2'!$E$2</f>
        <v>2017</v>
      </c>
      <c r="E250" s="696" t="s">
        <v>1178</v>
      </c>
      <c r="F250" s="696" t="s">
        <v>83</v>
      </c>
      <c r="G250" s="696" t="s">
        <v>870</v>
      </c>
      <c r="H250" s="696" t="s">
        <v>659</v>
      </c>
      <c r="I250" s="696" t="s">
        <v>799</v>
      </c>
      <c r="J250" s="820">
        <v>4</v>
      </c>
      <c r="K250" s="821">
        <v>22.4</v>
      </c>
      <c r="L250" s="786">
        <v>0</v>
      </c>
      <c r="M250" s="786">
        <v>0</v>
      </c>
      <c r="N250" s="786">
        <v>1.21824</v>
      </c>
      <c r="O250" s="786">
        <v>18.273599999999998</v>
      </c>
      <c r="P250" s="786">
        <v>0</v>
      </c>
      <c r="Q250" s="786">
        <v>0</v>
      </c>
      <c r="R250" s="786">
        <v>0</v>
      </c>
      <c r="S250" s="786">
        <v>0</v>
      </c>
      <c r="T250" s="786">
        <v>0</v>
      </c>
      <c r="U250" s="822">
        <v>0</v>
      </c>
      <c r="V250" s="821">
        <v>0</v>
      </c>
      <c r="W250" s="821">
        <v>140.65537159392608</v>
      </c>
      <c r="X250" s="821">
        <v>0</v>
      </c>
      <c r="Y250" s="821">
        <v>0</v>
      </c>
      <c r="Z250" s="821">
        <v>0</v>
      </c>
      <c r="AA250" s="821">
        <v>0</v>
      </c>
      <c r="AB250" s="823">
        <v>140.65537159392608</v>
      </c>
    </row>
    <row r="251" spans="1:28">
      <c r="A251" s="696" t="str">
        <f t="shared" si="3"/>
        <v>National Grid</v>
      </c>
      <c r="B251" s="696" t="str">
        <f>'Lookups-Assumptions'!$D$4</f>
        <v>Gas</v>
      </c>
      <c r="C251" s="696" t="str">
        <f>'Lookups-Assumptions'!$D$6</f>
        <v>Evaluated</v>
      </c>
      <c r="D251" s="819">
        <f>'Inputs Yr 2'!$E$2</f>
        <v>2017</v>
      </c>
      <c r="E251" s="696" t="s">
        <v>1179</v>
      </c>
      <c r="F251" s="696" t="s">
        <v>83</v>
      </c>
      <c r="G251" s="696" t="s">
        <v>870</v>
      </c>
      <c r="H251" s="696" t="s">
        <v>659</v>
      </c>
      <c r="I251" s="696" t="s">
        <v>800</v>
      </c>
      <c r="J251" s="820">
        <v>0</v>
      </c>
      <c r="K251" s="821">
        <v>0</v>
      </c>
      <c r="L251" s="786">
        <v>0</v>
      </c>
      <c r="M251" s="786">
        <v>0</v>
      </c>
      <c r="N251" s="786">
        <v>0</v>
      </c>
      <c r="O251" s="786">
        <v>0</v>
      </c>
      <c r="P251" s="786">
        <v>0</v>
      </c>
      <c r="Q251" s="786">
        <v>0</v>
      </c>
      <c r="R251" s="786">
        <v>0</v>
      </c>
      <c r="S251" s="786">
        <v>0</v>
      </c>
      <c r="T251" s="786">
        <v>0</v>
      </c>
      <c r="U251" s="822">
        <v>0</v>
      </c>
      <c r="V251" s="821">
        <v>0</v>
      </c>
      <c r="W251" s="821">
        <v>0</v>
      </c>
      <c r="X251" s="821">
        <v>0</v>
      </c>
      <c r="Y251" s="821">
        <v>0</v>
      </c>
      <c r="Z251" s="821">
        <v>0</v>
      </c>
      <c r="AA251" s="821">
        <v>0</v>
      </c>
      <c r="AB251" s="823">
        <v>0</v>
      </c>
    </row>
    <row r="252" spans="1:28">
      <c r="A252" s="696" t="str">
        <f t="shared" si="3"/>
        <v>National Grid</v>
      </c>
      <c r="B252" s="696" t="str">
        <f>'Lookups-Assumptions'!$D$4</f>
        <v>Gas</v>
      </c>
      <c r="C252" s="696" t="str">
        <f>'Lookups-Assumptions'!$D$6</f>
        <v>Evaluated</v>
      </c>
      <c r="D252" s="819">
        <f>'Inputs Yr 2'!$E$2</f>
        <v>2017</v>
      </c>
      <c r="E252" s="696" t="s">
        <v>1180</v>
      </c>
      <c r="F252" s="696" t="s">
        <v>83</v>
      </c>
      <c r="G252" s="696" t="s">
        <v>870</v>
      </c>
      <c r="H252" s="696" t="s">
        <v>659</v>
      </c>
      <c r="I252" s="696" t="s">
        <v>801</v>
      </c>
      <c r="J252" s="820">
        <v>0</v>
      </c>
      <c r="K252" s="821">
        <v>0</v>
      </c>
      <c r="L252" s="786">
        <v>0</v>
      </c>
      <c r="M252" s="786">
        <v>0</v>
      </c>
      <c r="N252" s="786">
        <v>0</v>
      </c>
      <c r="O252" s="786">
        <v>0</v>
      </c>
      <c r="P252" s="786">
        <v>0</v>
      </c>
      <c r="Q252" s="786">
        <v>0</v>
      </c>
      <c r="R252" s="786">
        <v>0</v>
      </c>
      <c r="S252" s="786">
        <v>0</v>
      </c>
      <c r="T252" s="786">
        <v>0</v>
      </c>
      <c r="U252" s="822">
        <v>0</v>
      </c>
      <c r="V252" s="821">
        <v>0</v>
      </c>
      <c r="W252" s="821">
        <v>0</v>
      </c>
      <c r="X252" s="821">
        <v>0</v>
      </c>
      <c r="Y252" s="821">
        <v>0</v>
      </c>
      <c r="Z252" s="821">
        <v>0</v>
      </c>
      <c r="AA252" s="821">
        <v>0</v>
      </c>
      <c r="AB252" s="823">
        <v>0</v>
      </c>
    </row>
    <row r="253" spans="1:28">
      <c r="A253" s="696" t="str">
        <f t="shared" si="3"/>
        <v>National Grid</v>
      </c>
      <c r="B253" s="696" t="str">
        <f>'Lookups-Assumptions'!$D$4</f>
        <v>Gas</v>
      </c>
      <c r="C253" s="696" t="str">
        <f>'Lookups-Assumptions'!$D$6</f>
        <v>Evaluated</v>
      </c>
      <c r="D253" s="819">
        <f>'Inputs Yr 2'!$E$2</f>
        <v>2017</v>
      </c>
      <c r="E253" s="696" t="s">
        <v>1181</v>
      </c>
      <c r="F253" s="696" t="s">
        <v>83</v>
      </c>
      <c r="G253" s="696" t="s">
        <v>870</v>
      </c>
      <c r="H253" s="696" t="s">
        <v>659</v>
      </c>
      <c r="I253" s="696" t="s">
        <v>1319</v>
      </c>
      <c r="J253" s="820">
        <v>0</v>
      </c>
      <c r="K253" s="821">
        <v>0</v>
      </c>
      <c r="L253" s="786">
        <v>0</v>
      </c>
      <c r="M253" s="786">
        <v>0</v>
      </c>
      <c r="N253" s="786">
        <v>0</v>
      </c>
      <c r="O253" s="786">
        <v>0</v>
      </c>
      <c r="P253" s="786">
        <v>0</v>
      </c>
      <c r="Q253" s="786">
        <v>0</v>
      </c>
      <c r="R253" s="786">
        <v>0</v>
      </c>
      <c r="S253" s="786">
        <v>0</v>
      </c>
      <c r="T253" s="786">
        <v>0</v>
      </c>
      <c r="U253" s="822">
        <v>0</v>
      </c>
      <c r="V253" s="821">
        <v>0</v>
      </c>
      <c r="W253" s="821">
        <v>0</v>
      </c>
      <c r="X253" s="821">
        <v>0</v>
      </c>
      <c r="Y253" s="821">
        <v>0</v>
      </c>
      <c r="Z253" s="821">
        <v>0</v>
      </c>
      <c r="AA253" s="821">
        <v>0</v>
      </c>
      <c r="AB253" s="823">
        <v>0</v>
      </c>
    </row>
    <row r="254" spans="1:28">
      <c r="A254" s="696" t="str">
        <f t="shared" si="3"/>
        <v>National Grid</v>
      </c>
      <c r="B254" s="696" t="str">
        <f>'Lookups-Assumptions'!$D$4</f>
        <v>Gas</v>
      </c>
      <c r="C254" s="696" t="str">
        <f>'Lookups-Assumptions'!$D$6</f>
        <v>Evaluated</v>
      </c>
      <c r="D254" s="819">
        <f>'Inputs Yr 2'!$E$2</f>
        <v>2017</v>
      </c>
      <c r="E254" s="696" t="s">
        <v>1182</v>
      </c>
      <c r="F254" s="696" t="s">
        <v>83</v>
      </c>
      <c r="G254" s="696" t="s">
        <v>870</v>
      </c>
      <c r="H254" s="696" t="s">
        <v>912</v>
      </c>
      <c r="I254" s="696" t="s">
        <v>767</v>
      </c>
      <c r="J254" s="820">
        <v>38500</v>
      </c>
      <c r="K254" s="821">
        <v>81705</v>
      </c>
      <c r="L254" s="786">
        <v>0</v>
      </c>
      <c r="M254" s="786">
        <v>0</v>
      </c>
      <c r="N254" s="786">
        <v>449.15628699999991</v>
      </c>
      <c r="O254" s="786">
        <v>8533.9694529999979</v>
      </c>
      <c r="P254" s="786">
        <v>0</v>
      </c>
      <c r="Q254" s="786">
        <v>0</v>
      </c>
      <c r="R254" s="786">
        <v>0</v>
      </c>
      <c r="S254" s="786">
        <v>0</v>
      </c>
      <c r="T254" s="786">
        <v>0</v>
      </c>
      <c r="U254" s="822">
        <v>0</v>
      </c>
      <c r="V254" s="821">
        <v>0</v>
      </c>
      <c r="W254" s="821">
        <v>78325.409494554333</v>
      </c>
      <c r="X254" s="821">
        <v>0</v>
      </c>
      <c r="Y254" s="821">
        <v>0</v>
      </c>
      <c r="Z254" s="821">
        <v>0</v>
      </c>
      <c r="AA254" s="821">
        <v>39055.421907637858</v>
      </c>
      <c r="AB254" s="823">
        <v>117380.83140219218</v>
      </c>
    </row>
    <row r="255" spans="1:28">
      <c r="A255" s="696" t="str">
        <f t="shared" si="3"/>
        <v>National Grid</v>
      </c>
      <c r="B255" s="696" t="str">
        <f>'Lookups-Assumptions'!$D$4</f>
        <v>Gas</v>
      </c>
      <c r="C255" s="696" t="str">
        <f>'Lookups-Assumptions'!$D$6</f>
        <v>Evaluated</v>
      </c>
      <c r="D255" s="819">
        <f>'Inputs Yr 2'!$E$2</f>
        <v>2017</v>
      </c>
      <c r="E255" s="696" t="s">
        <v>1183</v>
      </c>
      <c r="F255" s="696" t="s">
        <v>83</v>
      </c>
      <c r="G255" s="696" t="s">
        <v>870</v>
      </c>
      <c r="H255" s="696" t="s">
        <v>912</v>
      </c>
      <c r="I255" s="696" t="s">
        <v>84</v>
      </c>
      <c r="J255" s="820">
        <v>0</v>
      </c>
      <c r="K255" s="821">
        <v>0</v>
      </c>
      <c r="L255" s="786">
        <v>0</v>
      </c>
      <c r="M255" s="786">
        <v>0</v>
      </c>
      <c r="N255" s="786">
        <v>0</v>
      </c>
      <c r="O255" s="786">
        <v>0</v>
      </c>
      <c r="P255" s="786">
        <v>0</v>
      </c>
      <c r="Q255" s="786">
        <v>0</v>
      </c>
      <c r="R255" s="786">
        <v>0</v>
      </c>
      <c r="S255" s="786">
        <v>0</v>
      </c>
      <c r="T255" s="786">
        <v>0</v>
      </c>
      <c r="U255" s="822">
        <v>0</v>
      </c>
      <c r="V255" s="821">
        <v>0</v>
      </c>
      <c r="W255" s="821">
        <v>0</v>
      </c>
      <c r="X255" s="821">
        <v>0</v>
      </c>
      <c r="Y255" s="821">
        <v>0</v>
      </c>
      <c r="Z255" s="821">
        <v>0</v>
      </c>
      <c r="AA255" s="821">
        <v>0</v>
      </c>
      <c r="AB255" s="823">
        <v>0</v>
      </c>
    </row>
    <row r="256" spans="1:28">
      <c r="A256" s="696" t="str">
        <f t="shared" si="3"/>
        <v>National Grid</v>
      </c>
      <c r="B256" s="696" t="str">
        <f>'Lookups-Assumptions'!$D$4</f>
        <v>Gas</v>
      </c>
      <c r="C256" s="696" t="str">
        <f>'Lookups-Assumptions'!$D$6</f>
        <v>Evaluated</v>
      </c>
      <c r="D256" s="819">
        <f>'Inputs Yr 2'!$E$2</f>
        <v>2017</v>
      </c>
      <c r="E256" s="696" t="s">
        <v>1184</v>
      </c>
      <c r="F256" s="696" t="s">
        <v>83</v>
      </c>
      <c r="G256" s="696" t="s">
        <v>870</v>
      </c>
      <c r="H256" s="696" t="s">
        <v>912</v>
      </c>
      <c r="I256" s="696" t="s">
        <v>768</v>
      </c>
      <c r="J256" s="820">
        <v>1716</v>
      </c>
      <c r="K256" s="821">
        <v>91275</v>
      </c>
      <c r="L256" s="786">
        <v>0</v>
      </c>
      <c r="M256" s="786">
        <v>0</v>
      </c>
      <c r="N256" s="786">
        <v>757.85279800000012</v>
      </c>
      <c r="O256" s="786">
        <v>15157.055960000002</v>
      </c>
      <c r="P256" s="786">
        <v>0</v>
      </c>
      <c r="Q256" s="786">
        <v>0</v>
      </c>
      <c r="R256" s="786">
        <v>0</v>
      </c>
      <c r="S256" s="786">
        <v>0</v>
      </c>
      <c r="T256" s="786">
        <v>0</v>
      </c>
      <c r="U256" s="822">
        <v>0</v>
      </c>
      <c r="V256" s="821">
        <v>0</v>
      </c>
      <c r="W256" s="821">
        <v>139551.02190690581</v>
      </c>
      <c r="X256" s="821">
        <v>0</v>
      </c>
      <c r="Y256" s="821">
        <v>0</v>
      </c>
      <c r="Z256" s="821">
        <v>0</v>
      </c>
      <c r="AA256" s="821">
        <v>33229.396698879478</v>
      </c>
      <c r="AB256" s="823">
        <v>172780.41860578529</v>
      </c>
    </row>
    <row r="257" spans="1:28">
      <c r="A257" s="696" t="str">
        <f t="shared" si="3"/>
        <v>National Grid</v>
      </c>
      <c r="B257" s="696" t="str">
        <f>'Lookups-Assumptions'!$D$4</f>
        <v>Gas</v>
      </c>
      <c r="C257" s="696" t="str">
        <f>'Lookups-Assumptions'!$D$6</f>
        <v>Evaluated</v>
      </c>
      <c r="D257" s="819">
        <f>'Inputs Yr 2'!$E$2</f>
        <v>2017</v>
      </c>
      <c r="E257" s="696" t="s">
        <v>1185</v>
      </c>
      <c r="F257" s="696" t="s">
        <v>83</v>
      </c>
      <c r="G257" s="696" t="s">
        <v>870</v>
      </c>
      <c r="H257" s="696" t="s">
        <v>912</v>
      </c>
      <c r="I257" s="696" t="s">
        <v>770</v>
      </c>
      <c r="J257" s="820">
        <v>8487</v>
      </c>
      <c r="K257" s="821">
        <v>66072.12999999999</v>
      </c>
      <c r="L257" s="786">
        <v>0</v>
      </c>
      <c r="M257" s="786">
        <v>0</v>
      </c>
      <c r="N257" s="786">
        <v>2058.3299199999997</v>
      </c>
      <c r="O257" s="786">
        <v>37049.938559999995</v>
      </c>
      <c r="P257" s="786">
        <v>0</v>
      </c>
      <c r="Q257" s="786">
        <v>0</v>
      </c>
      <c r="R257" s="786">
        <v>0</v>
      </c>
      <c r="S257" s="786">
        <v>0</v>
      </c>
      <c r="T257" s="786">
        <v>0</v>
      </c>
      <c r="U257" s="822">
        <v>0</v>
      </c>
      <c r="V257" s="821">
        <v>0</v>
      </c>
      <c r="W257" s="821">
        <v>324907.25737841148</v>
      </c>
      <c r="X257" s="821">
        <v>0</v>
      </c>
      <c r="Y257" s="821">
        <v>0</v>
      </c>
      <c r="Z257" s="821">
        <v>0</v>
      </c>
      <c r="AA257" s="821">
        <v>0</v>
      </c>
      <c r="AB257" s="823">
        <v>324907.25737841148</v>
      </c>
    </row>
    <row r="258" spans="1:28">
      <c r="A258" s="696" t="str">
        <f t="shared" si="3"/>
        <v>National Grid</v>
      </c>
      <c r="B258" s="696" t="str">
        <f>'Lookups-Assumptions'!$D$4</f>
        <v>Gas</v>
      </c>
      <c r="C258" s="696" t="str">
        <f>'Lookups-Assumptions'!$D$6</f>
        <v>Evaluated</v>
      </c>
      <c r="D258" s="819">
        <f>'Inputs Yr 2'!$E$2</f>
        <v>2017</v>
      </c>
      <c r="E258" s="696" t="s">
        <v>1186</v>
      </c>
      <c r="F258" s="696" t="s">
        <v>83</v>
      </c>
      <c r="G258" s="696" t="s">
        <v>870</v>
      </c>
      <c r="H258" s="696" t="s">
        <v>912</v>
      </c>
      <c r="I258" s="696" t="s">
        <v>1312</v>
      </c>
      <c r="J258" s="820">
        <v>0</v>
      </c>
      <c r="K258" s="821">
        <v>0</v>
      </c>
      <c r="L258" s="786">
        <v>0</v>
      </c>
      <c r="M258" s="786">
        <v>0</v>
      </c>
      <c r="N258" s="786">
        <v>0</v>
      </c>
      <c r="O258" s="786">
        <v>0</v>
      </c>
      <c r="P258" s="786">
        <v>0</v>
      </c>
      <c r="Q258" s="786">
        <v>0</v>
      </c>
      <c r="R258" s="786">
        <v>0</v>
      </c>
      <c r="S258" s="786">
        <v>0</v>
      </c>
      <c r="T258" s="786">
        <v>0</v>
      </c>
      <c r="U258" s="822">
        <v>0</v>
      </c>
      <c r="V258" s="821">
        <v>0</v>
      </c>
      <c r="W258" s="821">
        <v>0</v>
      </c>
      <c r="X258" s="821">
        <v>0</v>
      </c>
      <c r="Y258" s="821">
        <v>0</v>
      </c>
      <c r="Z258" s="821">
        <v>0</v>
      </c>
      <c r="AA258" s="821">
        <v>0</v>
      </c>
      <c r="AB258" s="823">
        <v>0</v>
      </c>
    </row>
    <row r="259" spans="1:28">
      <c r="A259" s="696" t="str">
        <f t="shared" ref="A259:A300" si="4">PA</f>
        <v>National Grid</v>
      </c>
      <c r="B259" s="696" t="str">
        <f>'Lookups-Assumptions'!$D$4</f>
        <v>Gas</v>
      </c>
      <c r="C259" s="696" t="str">
        <f>'Lookups-Assumptions'!$D$6</f>
        <v>Evaluated</v>
      </c>
      <c r="D259" s="819">
        <f>'Inputs Yr 2'!$E$2</f>
        <v>2017</v>
      </c>
      <c r="E259" s="696" t="s">
        <v>1187</v>
      </c>
      <c r="F259" s="696" t="s">
        <v>83</v>
      </c>
      <c r="G259" s="696" t="s">
        <v>870</v>
      </c>
      <c r="H259" s="696" t="s">
        <v>912</v>
      </c>
      <c r="I259" s="696" t="s">
        <v>1301</v>
      </c>
      <c r="J259" s="820">
        <v>1</v>
      </c>
      <c r="K259" s="821">
        <v>80</v>
      </c>
      <c r="L259" s="786">
        <v>0</v>
      </c>
      <c r="M259" s="786">
        <v>0</v>
      </c>
      <c r="N259" s="786">
        <v>1.7005539999999999</v>
      </c>
      <c r="O259" s="786">
        <v>34.01108</v>
      </c>
      <c r="P259" s="786">
        <v>0</v>
      </c>
      <c r="Q259" s="786">
        <v>0</v>
      </c>
      <c r="R259" s="786">
        <v>0</v>
      </c>
      <c r="S259" s="786">
        <v>0</v>
      </c>
      <c r="T259" s="786">
        <v>0</v>
      </c>
      <c r="U259" s="822">
        <v>0</v>
      </c>
      <c r="V259" s="821">
        <v>0</v>
      </c>
      <c r="W259" s="821">
        <v>313.14003080038282</v>
      </c>
      <c r="X259" s="821">
        <v>0</v>
      </c>
      <c r="Y259" s="821">
        <v>0</v>
      </c>
      <c r="Z259" s="821">
        <v>0</v>
      </c>
      <c r="AA259" s="821">
        <v>4.403823977790795</v>
      </c>
      <c r="AB259" s="823">
        <v>317.54385477817362</v>
      </c>
    </row>
    <row r="260" spans="1:28">
      <c r="A260" s="696" t="str">
        <f t="shared" si="4"/>
        <v>National Grid</v>
      </c>
      <c r="B260" s="696" t="str">
        <f>'Lookups-Assumptions'!$D$4</f>
        <v>Gas</v>
      </c>
      <c r="C260" s="696" t="str">
        <f>'Lookups-Assumptions'!$D$6</f>
        <v>Evaluated</v>
      </c>
      <c r="D260" s="819">
        <f>'Inputs Yr 2'!$E$2</f>
        <v>2017</v>
      </c>
      <c r="E260" s="696" t="s">
        <v>1188</v>
      </c>
      <c r="F260" s="696" t="s">
        <v>83</v>
      </c>
      <c r="G260" s="696" t="s">
        <v>870</v>
      </c>
      <c r="H260" s="696" t="s">
        <v>912</v>
      </c>
      <c r="I260" s="696" t="s">
        <v>730</v>
      </c>
      <c r="J260" s="820">
        <v>3</v>
      </c>
      <c r="K260" s="821">
        <v>45</v>
      </c>
      <c r="L260" s="786">
        <v>0</v>
      </c>
      <c r="M260" s="786">
        <v>0</v>
      </c>
      <c r="N260" s="786">
        <v>2.9480400000000002</v>
      </c>
      <c r="O260" s="786">
        <v>44.220600000000005</v>
      </c>
      <c r="P260" s="786">
        <v>0</v>
      </c>
      <c r="Q260" s="786">
        <v>0</v>
      </c>
      <c r="R260" s="786">
        <v>0</v>
      </c>
      <c r="S260" s="786">
        <v>0</v>
      </c>
      <c r="T260" s="786">
        <v>0</v>
      </c>
      <c r="U260" s="822">
        <v>0</v>
      </c>
      <c r="V260" s="821">
        <v>0</v>
      </c>
      <c r="W260" s="821">
        <v>384.68601756559701</v>
      </c>
      <c r="X260" s="821">
        <v>0</v>
      </c>
      <c r="Y260" s="821">
        <v>0</v>
      </c>
      <c r="Z260" s="821">
        <v>0</v>
      </c>
      <c r="AA260" s="821">
        <v>0</v>
      </c>
      <c r="AB260" s="823">
        <v>384.68601756559701</v>
      </c>
    </row>
    <row r="261" spans="1:28">
      <c r="A261" s="696" t="str">
        <f t="shared" si="4"/>
        <v>National Grid</v>
      </c>
      <c r="B261" s="696" t="str">
        <f>'Lookups-Assumptions'!$D$4</f>
        <v>Gas</v>
      </c>
      <c r="C261" s="696" t="str">
        <f>'Lookups-Assumptions'!$D$6</f>
        <v>Evaluated</v>
      </c>
      <c r="D261" s="819">
        <f>'Inputs Yr 2'!$E$2</f>
        <v>2017</v>
      </c>
      <c r="E261" s="696" t="s">
        <v>1189</v>
      </c>
      <c r="F261" s="696" t="s">
        <v>83</v>
      </c>
      <c r="G261" s="696" t="s">
        <v>870</v>
      </c>
      <c r="H261" s="696" t="s">
        <v>912</v>
      </c>
      <c r="I261" s="696" t="s">
        <v>731</v>
      </c>
      <c r="J261" s="820">
        <v>16718</v>
      </c>
      <c r="K261" s="821">
        <v>101841.61000000002</v>
      </c>
      <c r="L261" s="786">
        <v>0</v>
      </c>
      <c r="M261" s="786">
        <v>0</v>
      </c>
      <c r="N261" s="786">
        <v>2305.7465599999996</v>
      </c>
      <c r="O261" s="786">
        <v>34586.198399999994</v>
      </c>
      <c r="P261" s="786">
        <v>0</v>
      </c>
      <c r="Q261" s="786">
        <v>0</v>
      </c>
      <c r="R261" s="786">
        <v>0</v>
      </c>
      <c r="S261" s="786">
        <v>0</v>
      </c>
      <c r="T261" s="786">
        <v>0</v>
      </c>
      <c r="U261" s="822">
        <v>0</v>
      </c>
      <c r="V261" s="821">
        <v>0</v>
      </c>
      <c r="W261" s="821">
        <v>314195.22003567719</v>
      </c>
      <c r="X261" s="821">
        <v>0</v>
      </c>
      <c r="Y261" s="821">
        <v>0</v>
      </c>
      <c r="Z261" s="821">
        <v>0</v>
      </c>
      <c r="AA261" s="821">
        <v>451870.97269575589</v>
      </c>
      <c r="AB261" s="823">
        <v>766066.19273143308</v>
      </c>
    </row>
    <row r="262" spans="1:28">
      <c r="A262" s="696" t="str">
        <f t="shared" si="4"/>
        <v>National Grid</v>
      </c>
      <c r="B262" s="696" t="str">
        <f>'Lookups-Assumptions'!$D$4</f>
        <v>Gas</v>
      </c>
      <c r="C262" s="696" t="str">
        <f>'Lookups-Assumptions'!$D$6</f>
        <v>Evaluated</v>
      </c>
      <c r="D262" s="819">
        <f>'Inputs Yr 2'!$E$2</f>
        <v>2017</v>
      </c>
      <c r="E262" s="696" t="s">
        <v>1190</v>
      </c>
      <c r="F262" s="696" t="s">
        <v>83</v>
      </c>
      <c r="G262" s="696" t="s">
        <v>870</v>
      </c>
      <c r="H262" s="696" t="s">
        <v>912</v>
      </c>
      <c r="I262" s="696" t="s">
        <v>1304</v>
      </c>
      <c r="J262" s="820">
        <v>722</v>
      </c>
      <c r="K262" s="821">
        <v>2578.5099999999993</v>
      </c>
      <c r="L262" s="786">
        <v>0</v>
      </c>
      <c r="M262" s="786">
        <v>0</v>
      </c>
      <c r="N262" s="786">
        <v>527.78199999999993</v>
      </c>
      <c r="O262" s="786">
        <v>3694.4739999999993</v>
      </c>
      <c r="P262" s="786">
        <v>0</v>
      </c>
      <c r="Q262" s="786">
        <v>0</v>
      </c>
      <c r="R262" s="786">
        <v>0</v>
      </c>
      <c r="S262" s="786">
        <v>0</v>
      </c>
      <c r="T262" s="786">
        <v>203748.39999999997</v>
      </c>
      <c r="U262" s="822">
        <v>1426238.7999999998</v>
      </c>
      <c r="V262" s="821">
        <v>0</v>
      </c>
      <c r="W262" s="821">
        <v>32904.574463406156</v>
      </c>
      <c r="X262" s="821">
        <v>0</v>
      </c>
      <c r="Y262" s="821">
        <v>0</v>
      </c>
      <c r="Z262" s="821">
        <v>15215.683134214023</v>
      </c>
      <c r="AA262" s="821">
        <v>2453.7224405434049</v>
      </c>
      <c r="AB262" s="823">
        <v>50573.98003816358</v>
      </c>
    </row>
    <row r="263" spans="1:28">
      <c r="A263" s="696" t="str">
        <f t="shared" si="4"/>
        <v>National Grid</v>
      </c>
      <c r="B263" s="696" t="str">
        <f>'Lookups-Assumptions'!$D$4</f>
        <v>Gas</v>
      </c>
      <c r="C263" s="696" t="str">
        <f>'Lookups-Assumptions'!$D$6</f>
        <v>Evaluated</v>
      </c>
      <c r="D263" s="819">
        <f>'Inputs Yr 2'!$E$2</f>
        <v>2017</v>
      </c>
      <c r="E263" s="696" t="s">
        <v>1191</v>
      </c>
      <c r="F263" s="696" t="s">
        <v>83</v>
      </c>
      <c r="G263" s="696" t="s">
        <v>870</v>
      </c>
      <c r="H263" s="696" t="s">
        <v>912</v>
      </c>
      <c r="I263" s="696" t="s">
        <v>1305</v>
      </c>
      <c r="J263" s="820">
        <v>486</v>
      </c>
      <c r="K263" s="821">
        <v>7701.25</v>
      </c>
      <c r="L263" s="786">
        <v>0</v>
      </c>
      <c r="M263" s="786">
        <v>0</v>
      </c>
      <c r="N263" s="786">
        <v>470.93400000000003</v>
      </c>
      <c r="O263" s="786">
        <v>3296.538</v>
      </c>
      <c r="P263" s="786">
        <v>0</v>
      </c>
      <c r="Q263" s="786">
        <v>0</v>
      </c>
      <c r="R263" s="786">
        <v>0</v>
      </c>
      <c r="S263" s="786">
        <v>0</v>
      </c>
      <c r="T263" s="786">
        <v>894361.49999999988</v>
      </c>
      <c r="U263" s="822">
        <v>6260530.4999999991</v>
      </c>
      <c r="V263" s="821">
        <v>0</v>
      </c>
      <c r="W263" s="821">
        <v>29360.385292317125</v>
      </c>
      <c r="X263" s="821">
        <v>0</v>
      </c>
      <c r="Y263" s="821">
        <v>0</v>
      </c>
      <c r="Z263" s="821">
        <v>66789.830945618989</v>
      </c>
      <c r="AA263" s="821">
        <v>1651.6746621940372</v>
      </c>
      <c r="AB263" s="823">
        <v>97801.890900130151</v>
      </c>
    </row>
    <row r="264" spans="1:28">
      <c r="A264" s="696" t="str">
        <f t="shared" si="4"/>
        <v>National Grid</v>
      </c>
      <c r="B264" s="696" t="str">
        <f>'Lookups-Assumptions'!$D$4</f>
        <v>Gas</v>
      </c>
      <c r="C264" s="696" t="str">
        <f>'Lookups-Assumptions'!$D$6</f>
        <v>Evaluated</v>
      </c>
      <c r="D264" s="819">
        <f>'Inputs Yr 2'!$E$2</f>
        <v>2017</v>
      </c>
      <c r="E264" s="696" t="s">
        <v>1192</v>
      </c>
      <c r="F264" s="696" t="s">
        <v>83</v>
      </c>
      <c r="G264" s="696" t="s">
        <v>870</v>
      </c>
      <c r="H264" s="696" t="s">
        <v>912</v>
      </c>
      <c r="I264" s="696" t="s">
        <v>1309</v>
      </c>
      <c r="J264" s="820">
        <v>1033</v>
      </c>
      <c r="K264" s="821">
        <v>91090</v>
      </c>
      <c r="L264" s="786">
        <v>0</v>
      </c>
      <c r="M264" s="786">
        <v>0</v>
      </c>
      <c r="N264" s="786">
        <v>1805.6839999999997</v>
      </c>
      <c r="O264" s="786">
        <v>18056.839999999997</v>
      </c>
      <c r="P264" s="786">
        <v>0</v>
      </c>
      <c r="Q264" s="786">
        <v>0</v>
      </c>
      <c r="R264" s="786">
        <v>0</v>
      </c>
      <c r="S264" s="786">
        <v>0</v>
      </c>
      <c r="T264" s="786">
        <v>0</v>
      </c>
      <c r="U264" s="822">
        <v>0</v>
      </c>
      <c r="V264" s="821">
        <v>0</v>
      </c>
      <c r="W264" s="821">
        <v>164547.55327605543</v>
      </c>
      <c r="X264" s="821">
        <v>0</v>
      </c>
      <c r="Y264" s="821">
        <v>0</v>
      </c>
      <c r="Z264" s="821">
        <v>0</v>
      </c>
      <c r="AA264" s="821">
        <v>110221.62888856203</v>
      </c>
      <c r="AB264" s="823">
        <v>274769.18216461746</v>
      </c>
    </row>
    <row r="265" spans="1:28">
      <c r="A265" s="696" t="str">
        <f t="shared" si="4"/>
        <v>National Grid</v>
      </c>
      <c r="B265" s="696" t="str">
        <f>'Lookups-Assumptions'!$D$4</f>
        <v>Gas</v>
      </c>
      <c r="C265" s="696" t="str">
        <f>'Lookups-Assumptions'!$D$6</f>
        <v>Evaluated</v>
      </c>
      <c r="D265" s="819">
        <f>'Inputs Yr 2'!$E$2</f>
        <v>2017</v>
      </c>
      <c r="E265" s="696" t="s">
        <v>1193</v>
      </c>
      <c r="F265" s="696" t="s">
        <v>83</v>
      </c>
      <c r="G265" s="696" t="s">
        <v>870</v>
      </c>
      <c r="H265" s="696" t="s">
        <v>912</v>
      </c>
      <c r="I265" s="696" t="s">
        <v>759</v>
      </c>
      <c r="J265" s="820">
        <v>0</v>
      </c>
      <c r="K265" s="821">
        <v>0</v>
      </c>
      <c r="L265" s="786">
        <v>0</v>
      </c>
      <c r="M265" s="786">
        <v>0</v>
      </c>
      <c r="N265" s="786">
        <v>0</v>
      </c>
      <c r="O265" s="786">
        <v>0</v>
      </c>
      <c r="P265" s="786">
        <v>0</v>
      </c>
      <c r="Q265" s="786">
        <v>0</v>
      </c>
      <c r="R265" s="786">
        <v>0</v>
      </c>
      <c r="S265" s="786">
        <v>0</v>
      </c>
      <c r="T265" s="786">
        <v>0</v>
      </c>
      <c r="U265" s="822">
        <v>0</v>
      </c>
      <c r="V265" s="821">
        <v>0</v>
      </c>
      <c r="W265" s="821">
        <v>0</v>
      </c>
      <c r="X265" s="821">
        <v>0</v>
      </c>
      <c r="Y265" s="821">
        <v>0</v>
      </c>
      <c r="Z265" s="821">
        <v>0</v>
      </c>
      <c r="AA265" s="821">
        <v>0</v>
      </c>
      <c r="AB265" s="823">
        <v>0</v>
      </c>
    </row>
    <row r="266" spans="1:28">
      <c r="A266" s="696" t="str">
        <f t="shared" si="4"/>
        <v>National Grid</v>
      </c>
      <c r="B266" s="696" t="str">
        <f>'Lookups-Assumptions'!$D$4</f>
        <v>Gas</v>
      </c>
      <c r="C266" s="696" t="str">
        <f>'Lookups-Assumptions'!$D$6</f>
        <v>Evaluated</v>
      </c>
      <c r="D266" s="819">
        <f>'Inputs Yr 2'!$E$2</f>
        <v>2017</v>
      </c>
      <c r="E266" s="696" t="s">
        <v>1194</v>
      </c>
      <c r="F266" s="696" t="s">
        <v>83</v>
      </c>
      <c r="G266" s="696" t="s">
        <v>870</v>
      </c>
      <c r="H266" s="696" t="s">
        <v>912</v>
      </c>
      <c r="I266" s="696" t="s">
        <v>1395</v>
      </c>
      <c r="J266" s="820">
        <v>0</v>
      </c>
      <c r="K266" s="821">
        <v>0</v>
      </c>
      <c r="L266" s="786">
        <v>0</v>
      </c>
      <c r="M266" s="786">
        <v>0</v>
      </c>
      <c r="N266" s="786">
        <v>0</v>
      </c>
      <c r="O266" s="786">
        <v>0</v>
      </c>
      <c r="P266" s="786">
        <v>0</v>
      </c>
      <c r="Q266" s="786">
        <v>0</v>
      </c>
      <c r="R266" s="786">
        <v>0</v>
      </c>
      <c r="S266" s="786">
        <v>0</v>
      </c>
      <c r="T266" s="786">
        <v>0</v>
      </c>
      <c r="U266" s="822">
        <v>0</v>
      </c>
      <c r="V266" s="821">
        <v>0</v>
      </c>
      <c r="W266" s="821">
        <v>0</v>
      </c>
      <c r="X266" s="821">
        <v>0</v>
      </c>
      <c r="Y266" s="821">
        <v>0</v>
      </c>
      <c r="Z266" s="821">
        <v>0</v>
      </c>
      <c r="AA266" s="821">
        <v>0</v>
      </c>
      <c r="AB266" s="823">
        <v>0</v>
      </c>
    </row>
    <row r="267" spans="1:28">
      <c r="A267" s="696" t="str">
        <f t="shared" si="4"/>
        <v>National Grid</v>
      </c>
      <c r="B267" s="696" t="str">
        <f>'Lookups-Assumptions'!$D$4</f>
        <v>Gas</v>
      </c>
      <c r="C267" s="696" t="str">
        <f>'Lookups-Assumptions'!$D$6</f>
        <v>Evaluated</v>
      </c>
      <c r="D267" s="819">
        <f>'Inputs Yr 2'!$E$2</f>
        <v>2017</v>
      </c>
      <c r="E267" s="696" t="s">
        <v>1195</v>
      </c>
      <c r="F267" s="696" t="s">
        <v>83</v>
      </c>
      <c r="G267" s="696" t="s">
        <v>870</v>
      </c>
      <c r="H267" s="696" t="s">
        <v>912</v>
      </c>
      <c r="I267" s="696" t="s">
        <v>1308</v>
      </c>
      <c r="J267" s="820">
        <v>0</v>
      </c>
      <c r="K267" s="821">
        <v>0</v>
      </c>
      <c r="L267" s="786">
        <v>0</v>
      </c>
      <c r="M267" s="786">
        <v>0</v>
      </c>
      <c r="N267" s="786">
        <v>0</v>
      </c>
      <c r="O267" s="786">
        <v>0</v>
      </c>
      <c r="P267" s="786">
        <v>0</v>
      </c>
      <c r="Q267" s="786">
        <v>0</v>
      </c>
      <c r="R267" s="786">
        <v>0</v>
      </c>
      <c r="S267" s="786">
        <v>0</v>
      </c>
      <c r="T267" s="786">
        <v>0</v>
      </c>
      <c r="U267" s="822">
        <v>0</v>
      </c>
      <c r="V267" s="821">
        <v>0</v>
      </c>
      <c r="W267" s="821">
        <v>0</v>
      </c>
      <c r="X267" s="821">
        <v>0</v>
      </c>
      <c r="Y267" s="821">
        <v>0</v>
      </c>
      <c r="Z267" s="821">
        <v>0</v>
      </c>
      <c r="AA267" s="821">
        <v>0</v>
      </c>
      <c r="AB267" s="823">
        <v>0</v>
      </c>
    </row>
    <row r="268" spans="1:28">
      <c r="A268" s="696" t="str">
        <f t="shared" si="4"/>
        <v>National Grid</v>
      </c>
      <c r="B268" s="696" t="str">
        <f>'Lookups-Assumptions'!$D$4</f>
        <v>Gas</v>
      </c>
      <c r="C268" s="696" t="str">
        <f>'Lookups-Assumptions'!$D$6</f>
        <v>Evaluated</v>
      </c>
      <c r="D268" s="819">
        <f>'Inputs Yr 2'!$E$2</f>
        <v>2017</v>
      </c>
      <c r="E268" s="696" t="s">
        <v>1196</v>
      </c>
      <c r="F268" s="696" t="s">
        <v>83</v>
      </c>
      <c r="G268" s="696" t="s">
        <v>870</v>
      </c>
      <c r="H268" s="696" t="s">
        <v>912</v>
      </c>
      <c r="I268" s="696" t="s">
        <v>1413</v>
      </c>
      <c r="J268" s="820">
        <v>0</v>
      </c>
      <c r="K268" s="821">
        <v>0</v>
      </c>
      <c r="L268" s="786">
        <v>0</v>
      </c>
      <c r="M268" s="786">
        <v>0</v>
      </c>
      <c r="N268" s="786">
        <v>0</v>
      </c>
      <c r="O268" s="786">
        <v>0</v>
      </c>
      <c r="P268" s="786">
        <v>0</v>
      </c>
      <c r="Q268" s="786">
        <v>0</v>
      </c>
      <c r="R268" s="786">
        <v>0</v>
      </c>
      <c r="S268" s="786">
        <v>0</v>
      </c>
      <c r="T268" s="786">
        <v>0</v>
      </c>
      <c r="U268" s="822">
        <v>0</v>
      </c>
      <c r="V268" s="821">
        <v>0</v>
      </c>
      <c r="W268" s="821">
        <v>0</v>
      </c>
      <c r="X268" s="821">
        <v>0</v>
      </c>
      <c r="Y268" s="821">
        <v>0</v>
      </c>
      <c r="Z268" s="821">
        <v>0</v>
      </c>
      <c r="AA268" s="821">
        <v>0</v>
      </c>
      <c r="AB268" s="823">
        <v>0</v>
      </c>
    </row>
    <row r="269" spans="1:28">
      <c r="A269" s="696" t="str">
        <f t="shared" si="4"/>
        <v>National Grid</v>
      </c>
      <c r="B269" s="696" t="str">
        <f>'Lookups-Assumptions'!$D$4</f>
        <v>Gas</v>
      </c>
      <c r="C269" s="696" t="str">
        <f>'Lookups-Assumptions'!$D$6</f>
        <v>Evaluated</v>
      </c>
      <c r="D269" s="819">
        <f>'Inputs Yr 2'!$E$2</f>
        <v>2017</v>
      </c>
      <c r="E269"/>
      <c r="F269"/>
      <c r="G269"/>
      <c r="H269"/>
      <c r="I269"/>
      <c r="J269"/>
      <c r="K269"/>
      <c r="L269"/>
      <c r="M269"/>
      <c r="N269"/>
      <c r="O269"/>
      <c r="P269"/>
      <c r="Q269"/>
      <c r="R269"/>
      <c r="S269"/>
      <c r="T269"/>
      <c r="U269"/>
      <c r="V269"/>
      <c r="W269"/>
      <c r="X269"/>
      <c r="Y269"/>
      <c r="Z269"/>
      <c r="AA269"/>
      <c r="AB269"/>
    </row>
    <row r="270" spans="1:28">
      <c r="A270" s="696" t="str">
        <f t="shared" si="4"/>
        <v>National Grid</v>
      </c>
      <c r="B270" s="696" t="str">
        <f>'Lookups-Assumptions'!$D$4</f>
        <v>Gas</v>
      </c>
      <c r="C270" s="696" t="str">
        <f>'Lookups-Assumptions'!$D$6</f>
        <v>Evaluated</v>
      </c>
      <c r="D270" s="819">
        <f>'Inputs Yr 2'!$E$2</f>
        <v>2017</v>
      </c>
      <c r="E270"/>
      <c r="F270"/>
      <c r="G270"/>
      <c r="H270"/>
      <c r="I270"/>
      <c r="J270"/>
      <c r="K270"/>
      <c r="L270"/>
      <c r="M270"/>
      <c r="N270"/>
      <c r="O270"/>
      <c r="P270"/>
      <c r="Q270"/>
      <c r="R270"/>
      <c r="S270"/>
      <c r="T270"/>
      <c r="U270"/>
      <c r="V270"/>
      <c r="W270"/>
      <c r="X270"/>
      <c r="Y270"/>
      <c r="Z270"/>
      <c r="AA270"/>
      <c r="AB270"/>
    </row>
    <row r="271" spans="1:28">
      <c r="A271" s="696" t="str">
        <f t="shared" si="4"/>
        <v>National Grid</v>
      </c>
      <c r="B271" s="696" t="str">
        <f>'Lookups-Assumptions'!$D$4</f>
        <v>Gas</v>
      </c>
      <c r="C271" s="696" t="str">
        <f>'Lookups-Assumptions'!$D$6</f>
        <v>Evaluated</v>
      </c>
      <c r="D271" s="819">
        <f>'Inputs Yr 2'!$E$2</f>
        <v>2017</v>
      </c>
      <c r="E271"/>
      <c r="F271"/>
      <c r="G271"/>
      <c r="H271"/>
      <c r="I271"/>
      <c r="J271"/>
      <c r="K271"/>
      <c r="L271"/>
      <c r="M271"/>
      <c r="N271"/>
      <c r="O271"/>
      <c r="P271"/>
      <c r="Q271"/>
      <c r="R271"/>
      <c r="S271"/>
      <c r="T271"/>
      <c r="U271"/>
      <c r="V271"/>
      <c r="W271"/>
      <c r="X271"/>
      <c r="Y271"/>
      <c r="Z271"/>
      <c r="AA271"/>
      <c r="AB271"/>
    </row>
    <row r="272" spans="1:28">
      <c r="A272" s="696" t="str">
        <f t="shared" si="4"/>
        <v>National Grid</v>
      </c>
      <c r="B272" s="696" t="str">
        <f>'Lookups-Assumptions'!$D$4</f>
        <v>Gas</v>
      </c>
      <c r="C272" s="696" t="str">
        <f>'Lookups-Assumptions'!$D$6</f>
        <v>Evaluated</v>
      </c>
      <c r="D272" s="819">
        <f>'Inputs Yr 2'!$E$2</f>
        <v>2017</v>
      </c>
      <c r="E272"/>
      <c r="F272"/>
      <c r="G272"/>
      <c r="H272"/>
      <c r="I272"/>
      <c r="J272"/>
      <c r="K272"/>
      <c r="L272"/>
      <c r="M272"/>
      <c r="N272"/>
      <c r="O272"/>
      <c r="P272"/>
      <c r="Q272"/>
      <c r="R272"/>
      <c r="S272"/>
      <c r="T272"/>
      <c r="U272"/>
      <c r="V272"/>
      <c r="W272"/>
      <c r="X272"/>
      <c r="Y272"/>
      <c r="Z272"/>
      <c r="AA272"/>
      <c r="AB272"/>
    </row>
    <row r="273" spans="1:28">
      <c r="A273" s="696" t="str">
        <f t="shared" si="4"/>
        <v>National Grid</v>
      </c>
      <c r="B273" s="696" t="str">
        <f>'Lookups-Assumptions'!$D$4</f>
        <v>Gas</v>
      </c>
      <c r="C273" s="696" t="str">
        <f>'Lookups-Assumptions'!$D$6</f>
        <v>Evaluated</v>
      </c>
      <c r="D273" s="819">
        <f>'Inputs Yr 2'!$E$2</f>
        <v>2017</v>
      </c>
      <c r="E273"/>
      <c r="F273"/>
      <c r="G273"/>
      <c r="H273"/>
      <c r="I273"/>
      <c r="J273"/>
      <c r="K273"/>
      <c r="L273"/>
      <c r="M273"/>
      <c r="N273"/>
      <c r="O273"/>
      <c r="P273"/>
      <c r="Q273"/>
      <c r="R273"/>
      <c r="S273"/>
      <c r="T273"/>
      <c r="U273"/>
      <c r="V273"/>
      <c r="W273"/>
      <c r="X273"/>
      <c r="Y273"/>
      <c r="Z273"/>
      <c r="AA273"/>
      <c r="AB273"/>
    </row>
    <row r="274" spans="1:28">
      <c r="A274" s="696" t="str">
        <f t="shared" si="4"/>
        <v>National Grid</v>
      </c>
      <c r="B274" s="696" t="str">
        <f>'Lookups-Assumptions'!$D$4</f>
        <v>Gas</v>
      </c>
      <c r="C274" s="696" t="str">
        <f>'Lookups-Assumptions'!$D$6</f>
        <v>Evaluated</v>
      </c>
      <c r="D274" s="819">
        <f>'Inputs Yr 2'!$E$2</f>
        <v>2017</v>
      </c>
      <c r="E274"/>
      <c r="F274"/>
      <c r="G274"/>
      <c r="H274"/>
      <c r="I274"/>
      <c r="J274"/>
      <c r="K274"/>
      <c r="L274"/>
      <c r="M274"/>
      <c r="N274"/>
      <c r="O274"/>
      <c r="P274"/>
      <c r="Q274"/>
      <c r="R274"/>
      <c r="S274"/>
      <c r="T274"/>
      <c r="U274"/>
      <c r="V274"/>
      <c r="W274"/>
      <c r="X274"/>
      <c r="Y274"/>
      <c r="Z274"/>
      <c r="AA274"/>
      <c r="AB274"/>
    </row>
    <row r="275" spans="1:28">
      <c r="A275" s="696" t="str">
        <f t="shared" si="4"/>
        <v>National Grid</v>
      </c>
      <c r="B275" s="696" t="str">
        <f>'Lookups-Assumptions'!$D$4</f>
        <v>Gas</v>
      </c>
      <c r="C275" s="696" t="str">
        <f>'Lookups-Assumptions'!$D$6</f>
        <v>Evaluated</v>
      </c>
      <c r="D275" s="819">
        <f>'Inputs Yr 2'!$E$2</f>
        <v>2017</v>
      </c>
      <c r="E275"/>
      <c r="F275"/>
      <c r="G275"/>
      <c r="H275"/>
      <c r="I275"/>
      <c r="J275"/>
      <c r="K275"/>
      <c r="L275"/>
      <c r="M275"/>
      <c r="N275"/>
      <c r="O275"/>
      <c r="P275"/>
      <c r="Q275"/>
      <c r="R275"/>
      <c r="S275"/>
      <c r="T275"/>
      <c r="U275"/>
      <c r="V275"/>
      <c r="W275"/>
      <c r="X275"/>
      <c r="Y275"/>
      <c r="Z275"/>
      <c r="AA275"/>
      <c r="AB275"/>
    </row>
    <row r="276" spans="1:28">
      <c r="A276" s="696" t="str">
        <f t="shared" si="4"/>
        <v>National Grid</v>
      </c>
      <c r="B276" s="696" t="str">
        <f>'Lookups-Assumptions'!$D$4</f>
        <v>Gas</v>
      </c>
      <c r="C276" s="696" t="str">
        <f>'Lookups-Assumptions'!$D$6</f>
        <v>Evaluated</v>
      </c>
      <c r="D276" s="819">
        <f>'Inputs Yr 2'!$E$2</f>
        <v>2017</v>
      </c>
      <c r="E276"/>
      <c r="F276"/>
      <c r="G276"/>
      <c r="H276"/>
      <c r="I276"/>
      <c r="J276"/>
      <c r="K276"/>
      <c r="L276"/>
      <c r="M276"/>
      <c r="N276"/>
      <c r="O276"/>
      <c r="P276"/>
      <c r="Q276"/>
      <c r="R276"/>
      <c r="S276"/>
      <c r="T276"/>
      <c r="U276"/>
      <c r="V276"/>
      <c r="W276"/>
      <c r="X276"/>
      <c r="Y276"/>
      <c r="Z276"/>
      <c r="AA276"/>
      <c r="AB276"/>
    </row>
    <row r="277" spans="1:28">
      <c r="A277" s="696" t="str">
        <f t="shared" si="4"/>
        <v>National Grid</v>
      </c>
      <c r="B277" s="696" t="str">
        <f>'Lookups-Assumptions'!$D$4</f>
        <v>Gas</v>
      </c>
      <c r="C277" s="696" t="str">
        <f>'Lookups-Assumptions'!$D$6</f>
        <v>Evaluated</v>
      </c>
      <c r="D277" s="819">
        <f>'Inputs Yr 2'!$E$2</f>
        <v>2017</v>
      </c>
      <c r="E277"/>
      <c r="F277"/>
      <c r="G277"/>
      <c r="H277"/>
      <c r="I277"/>
      <c r="J277"/>
      <c r="K277"/>
      <c r="L277"/>
      <c r="M277"/>
      <c r="N277"/>
      <c r="O277"/>
      <c r="P277"/>
      <c r="Q277"/>
      <c r="R277"/>
      <c r="S277"/>
      <c r="T277"/>
      <c r="U277"/>
      <c r="V277"/>
      <c r="W277"/>
      <c r="X277"/>
      <c r="Y277"/>
      <c r="Z277"/>
      <c r="AA277"/>
      <c r="AB277"/>
    </row>
    <row r="278" spans="1:28">
      <c r="A278" s="696" t="str">
        <f t="shared" si="4"/>
        <v>National Grid</v>
      </c>
      <c r="B278" s="696" t="str">
        <f>'Lookups-Assumptions'!$D$4</f>
        <v>Gas</v>
      </c>
      <c r="C278" s="696" t="str">
        <f>'Lookups-Assumptions'!$D$6</f>
        <v>Evaluated</v>
      </c>
      <c r="D278" s="819">
        <f>'Inputs Yr 2'!$E$2</f>
        <v>2017</v>
      </c>
      <c r="E278"/>
      <c r="F278"/>
      <c r="G278"/>
      <c r="H278"/>
      <c r="I278"/>
      <c r="J278"/>
      <c r="K278"/>
      <c r="L278"/>
      <c r="M278"/>
      <c r="N278"/>
      <c r="O278"/>
      <c r="P278"/>
      <c r="Q278"/>
      <c r="R278"/>
      <c r="S278"/>
      <c r="T278"/>
      <c r="U278"/>
      <c r="V278"/>
      <c r="W278"/>
      <c r="X278"/>
      <c r="Y278"/>
      <c r="Z278"/>
      <c r="AA278"/>
      <c r="AB278"/>
    </row>
    <row r="279" spans="1:28">
      <c r="A279" s="696" t="str">
        <f t="shared" si="4"/>
        <v>National Grid</v>
      </c>
      <c r="B279" s="696" t="str">
        <f>'Lookups-Assumptions'!$D$4</f>
        <v>Gas</v>
      </c>
      <c r="C279" s="696" t="str">
        <f>'Lookups-Assumptions'!$D$6</f>
        <v>Evaluated</v>
      </c>
      <c r="D279" s="819">
        <f>'Inputs Yr 2'!$E$2</f>
        <v>2017</v>
      </c>
      <c r="E279"/>
      <c r="F279"/>
      <c r="G279"/>
      <c r="H279"/>
      <c r="I279"/>
      <c r="J279"/>
      <c r="K279"/>
      <c r="L279"/>
      <c r="M279"/>
      <c r="N279"/>
      <c r="O279"/>
      <c r="P279"/>
      <c r="Q279"/>
      <c r="R279"/>
      <c r="S279"/>
      <c r="T279"/>
      <c r="U279"/>
      <c r="V279"/>
      <c r="W279"/>
      <c r="X279"/>
      <c r="Y279"/>
      <c r="Z279"/>
      <c r="AA279"/>
      <c r="AB279"/>
    </row>
    <row r="280" spans="1:28">
      <c r="A280" s="696" t="str">
        <f t="shared" si="4"/>
        <v>National Grid</v>
      </c>
      <c r="B280" s="696" t="str">
        <f>'Lookups-Assumptions'!$D$4</f>
        <v>Gas</v>
      </c>
      <c r="C280" s="696" t="str">
        <f>'Lookups-Assumptions'!$D$6</f>
        <v>Evaluated</v>
      </c>
      <c r="D280" s="819">
        <f>'Inputs Yr 2'!$E$2</f>
        <v>2017</v>
      </c>
      <c r="E280"/>
      <c r="F280"/>
      <c r="G280"/>
      <c r="H280"/>
      <c r="I280"/>
      <c r="J280"/>
      <c r="K280"/>
      <c r="L280"/>
      <c r="M280"/>
      <c r="N280"/>
      <c r="O280"/>
      <c r="P280"/>
      <c r="Q280"/>
      <c r="R280"/>
      <c r="S280"/>
      <c r="T280"/>
      <c r="U280"/>
      <c r="V280"/>
      <c r="W280"/>
      <c r="X280"/>
      <c r="Y280"/>
      <c r="Z280"/>
      <c r="AA280"/>
      <c r="AB280"/>
    </row>
    <row r="281" spans="1:28">
      <c r="A281" s="696" t="str">
        <f t="shared" si="4"/>
        <v>National Grid</v>
      </c>
      <c r="B281" s="696" t="str">
        <f>'Lookups-Assumptions'!$D$4</f>
        <v>Gas</v>
      </c>
      <c r="C281" s="696" t="str">
        <f>'Lookups-Assumptions'!$D$6</f>
        <v>Evaluated</v>
      </c>
      <c r="D281" s="819">
        <f>'Inputs Yr 2'!$E$2</f>
        <v>2017</v>
      </c>
      <c r="E281"/>
      <c r="F281"/>
      <c r="G281"/>
      <c r="H281"/>
      <c r="I281"/>
      <c r="J281"/>
      <c r="K281"/>
      <c r="L281"/>
      <c r="M281"/>
      <c r="N281"/>
      <c r="O281"/>
      <c r="P281"/>
      <c r="Q281"/>
      <c r="R281"/>
      <c r="S281"/>
      <c r="T281"/>
      <c r="U281"/>
      <c r="V281"/>
      <c r="W281"/>
      <c r="X281"/>
      <c r="Y281"/>
      <c r="Z281"/>
      <c r="AA281"/>
      <c r="AB281"/>
    </row>
    <row r="282" spans="1:28">
      <c r="A282" s="696" t="str">
        <f t="shared" si="4"/>
        <v>National Grid</v>
      </c>
      <c r="B282" s="696" t="str">
        <f>'Lookups-Assumptions'!$D$4</f>
        <v>Gas</v>
      </c>
      <c r="C282" s="696" t="str">
        <f>'Lookups-Assumptions'!$D$6</f>
        <v>Evaluated</v>
      </c>
      <c r="D282" s="819">
        <f>'Inputs Yr 2'!$E$2</f>
        <v>2017</v>
      </c>
      <c r="E282"/>
      <c r="F282"/>
      <c r="G282"/>
      <c r="H282"/>
      <c r="I282"/>
      <c r="J282"/>
      <c r="K282"/>
      <c r="L282"/>
      <c r="M282"/>
      <c r="N282"/>
      <c r="O282"/>
      <c r="P282"/>
      <c r="Q282"/>
      <c r="R282"/>
      <c r="S282"/>
      <c r="T282"/>
      <c r="U282"/>
      <c r="V282"/>
      <c r="W282"/>
      <c r="X282"/>
      <c r="Y282"/>
      <c r="Z282"/>
      <c r="AA282"/>
      <c r="AB282"/>
    </row>
    <row r="283" spans="1:28">
      <c r="A283" s="696" t="str">
        <f t="shared" si="4"/>
        <v>National Grid</v>
      </c>
      <c r="B283" s="696" t="str">
        <f>'Lookups-Assumptions'!$D$4</f>
        <v>Gas</v>
      </c>
      <c r="C283" s="696" t="str">
        <f>'Lookups-Assumptions'!$D$6</f>
        <v>Evaluated</v>
      </c>
      <c r="D283" s="819">
        <f>'Inputs Yr 2'!$E$2</f>
        <v>2017</v>
      </c>
      <c r="E283"/>
      <c r="F283"/>
      <c r="G283"/>
      <c r="H283"/>
      <c r="I283"/>
      <c r="J283"/>
      <c r="K283"/>
      <c r="L283"/>
      <c r="M283"/>
      <c r="N283"/>
      <c r="O283"/>
      <c r="P283"/>
      <c r="Q283"/>
      <c r="R283"/>
      <c r="S283"/>
      <c r="T283"/>
      <c r="U283"/>
      <c r="V283"/>
      <c r="W283"/>
      <c r="X283"/>
      <c r="Y283"/>
      <c r="Z283"/>
      <c r="AA283"/>
      <c r="AB283"/>
    </row>
    <row r="284" spans="1:28">
      <c r="A284" s="696" t="str">
        <f t="shared" si="4"/>
        <v>National Grid</v>
      </c>
      <c r="B284" s="696" t="str">
        <f>'Lookups-Assumptions'!$D$4</f>
        <v>Gas</v>
      </c>
      <c r="C284" s="696" t="str">
        <f>'Lookups-Assumptions'!$D$6</f>
        <v>Evaluated</v>
      </c>
      <c r="D284" s="819">
        <f>'Inputs Yr 2'!$E$2</f>
        <v>2017</v>
      </c>
      <c r="E284"/>
      <c r="F284"/>
      <c r="G284"/>
      <c r="H284"/>
      <c r="I284"/>
      <c r="J284"/>
      <c r="K284"/>
      <c r="L284"/>
      <c r="M284"/>
      <c r="N284"/>
      <c r="O284"/>
      <c r="P284"/>
      <c r="Q284"/>
      <c r="R284"/>
      <c r="S284"/>
      <c r="T284"/>
      <c r="U284"/>
      <c r="V284"/>
      <c r="W284"/>
      <c r="X284"/>
      <c r="Y284"/>
      <c r="Z284"/>
      <c r="AA284"/>
      <c r="AB284"/>
    </row>
    <row r="285" spans="1:28">
      <c r="A285" s="696" t="str">
        <f t="shared" si="4"/>
        <v>National Grid</v>
      </c>
      <c r="B285" s="696" t="str">
        <f>'Lookups-Assumptions'!$D$4</f>
        <v>Gas</v>
      </c>
      <c r="C285" s="696" t="str">
        <f>'Lookups-Assumptions'!$D$6</f>
        <v>Evaluated</v>
      </c>
      <c r="D285" s="819">
        <f>'Inputs Yr 2'!$E$2</f>
        <v>2017</v>
      </c>
      <c r="E285"/>
      <c r="F285"/>
      <c r="G285"/>
      <c r="H285"/>
      <c r="I285"/>
      <c r="J285"/>
      <c r="K285"/>
      <c r="L285"/>
      <c r="M285"/>
      <c r="N285"/>
      <c r="O285"/>
      <c r="P285"/>
      <c r="Q285"/>
      <c r="R285"/>
      <c r="S285"/>
      <c r="T285"/>
      <c r="U285"/>
      <c r="V285"/>
      <c r="W285"/>
      <c r="X285"/>
      <c r="Y285"/>
      <c r="Z285"/>
      <c r="AA285"/>
      <c r="AB285"/>
    </row>
    <row r="286" spans="1:28">
      <c r="A286" s="696" t="str">
        <f t="shared" si="4"/>
        <v>National Grid</v>
      </c>
      <c r="B286" s="696" t="str">
        <f>'Lookups-Assumptions'!$D$4</f>
        <v>Gas</v>
      </c>
      <c r="C286" s="696" t="str">
        <f>'Lookups-Assumptions'!$D$6</f>
        <v>Evaluated</v>
      </c>
      <c r="D286" s="819">
        <f>'Inputs Yr 2'!$E$2</f>
        <v>2017</v>
      </c>
      <c r="E286"/>
      <c r="F286"/>
      <c r="G286"/>
      <c r="H286"/>
      <c r="I286"/>
      <c r="J286"/>
      <c r="K286"/>
      <c r="L286"/>
      <c r="M286"/>
      <c r="N286"/>
      <c r="O286"/>
      <c r="P286"/>
      <c r="Q286"/>
      <c r="R286"/>
      <c r="S286"/>
      <c r="T286"/>
      <c r="U286"/>
      <c r="V286"/>
      <c r="W286"/>
      <c r="X286"/>
      <c r="Y286"/>
      <c r="Z286"/>
      <c r="AA286"/>
      <c r="AB286"/>
    </row>
    <row r="287" spans="1:28">
      <c r="A287" s="696" t="str">
        <f t="shared" si="4"/>
        <v>National Grid</v>
      </c>
      <c r="B287" s="696" t="str">
        <f>'Lookups-Assumptions'!$D$4</f>
        <v>Gas</v>
      </c>
      <c r="C287" s="696" t="str">
        <f>'Lookups-Assumptions'!$D$6</f>
        <v>Evaluated</v>
      </c>
      <c r="D287" s="819">
        <f>'Inputs Yr 2'!$E$2</f>
        <v>2017</v>
      </c>
      <c r="E287"/>
      <c r="F287"/>
      <c r="G287"/>
      <c r="H287"/>
      <c r="I287"/>
      <c r="J287"/>
      <c r="K287"/>
      <c r="L287"/>
      <c r="M287"/>
      <c r="N287"/>
      <c r="O287"/>
      <c r="P287"/>
      <c r="Q287"/>
      <c r="R287"/>
      <c r="S287"/>
      <c r="T287"/>
      <c r="U287"/>
      <c r="V287"/>
      <c r="W287"/>
      <c r="X287"/>
      <c r="Y287"/>
      <c r="Z287"/>
      <c r="AA287"/>
      <c r="AB287"/>
    </row>
    <row r="288" spans="1:28">
      <c r="A288" s="696" t="str">
        <f t="shared" si="4"/>
        <v>National Grid</v>
      </c>
      <c r="B288" s="696" t="str">
        <f>'Lookups-Assumptions'!$D$4</f>
        <v>Gas</v>
      </c>
      <c r="C288" s="696" t="str">
        <f>'Lookups-Assumptions'!$D$6</f>
        <v>Evaluated</v>
      </c>
      <c r="D288" s="819">
        <f>'Inputs Yr 2'!$E$2</f>
        <v>2017</v>
      </c>
      <c r="E288"/>
      <c r="F288"/>
      <c r="G288"/>
      <c r="H288"/>
      <c r="I288"/>
      <c r="J288"/>
      <c r="K288"/>
      <c r="L288"/>
      <c r="M288"/>
      <c r="N288"/>
      <c r="O288"/>
      <c r="P288"/>
      <c r="Q288"/>
      <c r="R288"/>
      <c r="S288"/>
      <c r="T288"/>
      <c r="U288"/>
      <c r="V288"/>
      <c r="W288"/>
      <c r="X288"/>
      <c r="Y288"/>
      <c r="Z288"/>
      <c r="AA288"/>
      <c r="AB288"/>
    </row>
    <row r="289" spans="1:28">
      <c r="A289" s="696" t="str">
        <f t="shared" si="4"/>
        <v>National Grid</v>
      </c>
      <c r="B289" s="696" t="str">
        <f>'Lookups-Assumptions'!$D$4</f>
        <v>Gas</v>
      </c>
      <c r="C289" s="696" t="str">
        <f>'Lookups-Assumptions'!$D$6</f>
        <v>Evaluated</v>
      </c>
      <c r="D289" s="819">
        <f>'Inputs Yr 2'!$E$2</f>
        <v>2017</v>
      </c>
      <c r="E289"/>
      <c r="F289"/>
      <c r="G289"/>
      <c r="H289"/>
      <c r="I289"/>
      <c r="J289"/>
      <c r="K289"/>
      <c r="L289"/>
      <c r="M289"/>
      <c r="N289"/>
      <c r="O289"/>
      <c r="P289"/>
      <c r="Q289"/>
      <c r="R289"/>
      <c r="S289"/>
      <c r="T289"/>
      <c r="U289"/>
      <c r="V289"/>
      <c r="W289"/>
      <c r="X289"/>
      <c r="Y289"/>
      <c r="Z289"/>
      <c r="AA289"/>
      <c r="AB289"/>
    </row>
    <row r="290" spans="1:28">
      <c r="A290" s="696" t="str">
        <f t="shared" si="4"/>
        <v>National Grid</v>
      </c>
      <c r="B290" s="696" t="str">
        <f>'Lookups-Assumptions'!$D$4</f>
        <v>Gas</v>
      </c>
      <c r="C290" s="696" t="str">
        <f>'Lookups-Assumptions'!$D$6</f>
        <v>Evaluated</v>
      </c>
      <c r="D290" s="819">
        <f>'Inputs Yr 2'!$E$2</f>
        <v>2017</v>
      </c>
      <c r="E290"/>
      <c r="F290"/>
      <c r="G290"/>
      <c r="H290"/>
      <c r="I290"/>
      <c r="J290"/>
      <c r="K290"/>
      <c r="L290"/>
      <c r="M290"/>
      <c r="N290"/>
      <c r="O290"/>
      <c r="P290"/>
      <c r="Q290"/>
      <c r="R290"/>
      <c r="S290"/>
      <c r="T290"/>
      <c r="U290"/>
      <c r="V290"/>
      <c r="W290"/>
      <c r="X290"/>
      <c r="Y290"/>
      <c r="Z290"/>
      <c r="AA290"/>
      <c r="AB290"/>
    </row>
    <row r="291" spans="1:28">
      <c r="A291" s="696" t="str">
        <f t="shared" si="4"/>
        <v>National Grid</v>
      </c>
      <c r="B291" s="696" t="str">
        <f>'Lookups-Assumptions'!$D$4</f>
        <v>Gas</v>
      </c>
      <c r="C291" s="696" t="str">
        <f>'Lookups-Assumptions'!$D$6</f>
        <v>Evaluated</v>
      </c>
      <c r="D291" s="819">
        <f>'Inputs Yr 2'!$E$2</f>
        <v>2017</v>
      </c>
      <c r="E291"/>
      <c r="F291"/>
      <c r="G291"/>
      <c r="H291"/>
      <c r="I291"/>
      <c r="J291"/>
      <c r="K291"/>
      <c r="L291"/>
      <c r="M291"/>
      <c r="N291"/>
      <c r="O291"/>
      <c r="P291"/>
      <c r="Q291"/>
      <c r="R291"/>
      <c r="S291"/>
      <c r="T291"/>
      <c r="U291"/>
      <c r="V291"/>
      <c r="W291"/>
      <c r="X291"/>
      <c r="Y291"/>
      <c r="Z291"/>
      <c r="AA291"/>
      <c r="AB291"/>
    </row>
    <row r="292" spans="1:28">
      <c r="A292" s="696" t="str">
        <f t="shared" si="4"/>
        <v>National Grid</v>
      </c>
      <c r="B292" s="696" t="str">
        <f>'Lookups-Assumptions'!$D$4</f>
        <v>Gas</v>
      </c>
      <c r="C292" s="696" t="str">
        <f>'Lookups-Assumptions'!$D$6</f>
        <v>Evaluated</v>
      </c>
      <c r="D292" s="819">
        <f>'Inputs Yr 2'!$E$2</f>
        <v>2017</v>
      </c>
      <c r="E292"/>
      <c r="F292"/>
      <c r="G292"/>
      <c r="H292"/>
      <c r="I292"/>
      <c r="J292"/>
      <c r="K292"/>
      <c r="L292"/>
      <c r="M292"/>
      <c r="N292"/>
      <c r="O292"/>
      <c r="P292"/>
      <c r="Q292"/>
      <c r="R292"/>
      <c r="S292"/>
      <c r="T292"/>
      <c r="U292"/>
      <c r="V292"/>
      <c r="W292"/>
      <c r="X292"/>
      <c r="Y292"/>
      <c r="Z292"/>
      <c r="AA292"/>
      <c r="AB292"/>
    </row>
    <row r="293" spans="1:28">
      <c r="A293" s="696" t="str">
        <f t="shared" si="4"/>
        <v>National Grid</v>
      </c>
      <c r="B293" s="696" t="str">
        <f>'Lookups-Assumptions'!$D$4</f>
        <v>Gas</v>
      </c>
      <c r="C293" s="696" t="str">
        <f>'Lookups-Assumptions'!$D$6</f>
        <v>Evaluated</v>
      </c>
      <c r="D293" s="819">
        <f>'Inputs Yr 2'!$E$2</f>
        <v>2017</v>
      </c>
      <c r="E293"/>
      <c r="F293"/>
      <c r="G293"/>
      <c r="H293"/>
      <c r="I293"/>
      <c r="J293"/>
      <c r="K293"/>
      <c r="L293"/>
      <c r="M293"/>
      <c r="N293"/>
      <c r="O293"/>
      <c r="P293"/>
      <c r="Q293"/>
      <c r="R293"/>
      <c r="S293"/>
      <c r="T293"/>
      <c r="U293"/>
      <c r="V293"/>
      <c r="W293"/>
      <c r="X293"/>
      <c r="Y293"/>
      <c r="Z293"/>
      <c r="AA293"/>
      <c r="AB293"/>
    </row>
    <row r="294" spans="1:28">
      <c r="A294" s="696" t="str">
        <f t="shared" si="4"/>
        <v>National Grid</v>
      </c>
      <c r="B294" s="696" t="str">
        <f>'Lookups-Assumptions'!$D$4</f>
        <v>Gas</v>
      </c>
      <c r="C294" s="696" t="str">
        <f>'Lookups-Assumptions'!$D$6</f>
        <v>Evaluated</v>
      </c>
      <c r="D294" s="819">
        <f>'Inputs Yr 2'!$E$2</f>
        <v>2017</v>
      </c>
      <c r="E294"/>
      <c r="F294"/>
      <c r="G294"/>
      <c r="H294"/>
      <c r="I294"/>
      <c r="J294"/>
      <c r="K294"/>
      <c r="L294"/>
      <c r="M294"/>
      <c r="N294"/>
      <c r="O294"/>
      <c r="P294"/>
      <c r="Q294"/>
      <c r="R294"/>
      <c r="S294"/>
      <c r="T294"/>
      <c r="U294"/>
      <c r="V294"/>
      <c r="W294"/>
      <c r="X294"/>
      <c r="Y294"/>
      <c r="Z294"/>
      <c r="AA294"/>
      <c r="AB294"/>
    </row>
    <row r="295" spans="1:28">
      <c r="A295" s="696" t="str">
        <f t="shared" si="4"/>
        <v>National Grid</v>
      </c>
      <c r="B295" s="696" t="str">
        <f>'Lookups-Assumptions'!$D$4</f>
        <v>Gas</v>
      </c>
      <c r="C295" s="696" t="str">
        <f>'Lookups-Assumptions'!$D$6</f>
        <v>Evaluated</v>
      </c>
      <c r="D295" s="819">
        <f>'Inputs Yr 2'!$E$2</f>
        <v>2017</v>
      </c>
      <c r="E295"/>
      <c r="F295"/>
      <c r="G295"/>
      <c r="H295"/>
      <c r="I295"/>
      <c r="J295"/>
      <c r="K295"/>
      <c r="L295"/>
      <c r="M295"/>
      <c r="N295"/>
      <c r="O295"/>
      <c r="P295"/>
      <c r="Q295"/>
      <c r="R295"/>
      <c r="S295"/>
      <c r="T295"/>
      <c r="U295"/>
      <c r="V295"/>
      <c r="W295"/>
      <c r="X295"/>
      <c r="Y295"/>
      <c r="Z295"/>
      <c r="AA295"/>
      <c r="AB295"/>
    </row>
    <row r="296" spans="1:28">
      <c r="A296" s="696" t="str">
        <f t="shared" si="4"/>
        <v>National Grid</v>
      </c>
      <c r="B296" s="696" t="str">
        <f>'Lookups-Assumptions'!$D$4</f>
        <v>Gas</v>
      </c>
      <c r="C296" s="696" t="str">
        <f>'Lookups-Assumptions'!$D$6</f>
        <v>Evaluated</v>
      </c>
      <c r="D296" s="819">
        <f>'Inputs Yr 2'!$E$2</f>
        <v>2017</v>
      </c>
      <c r="E296"/>
      <c r="F296"/>
      <c r="G296"/>
      <c r="H296"/>
      <c r="I296"/>
      <c r="J296"/>
      <c r="K296"/>
      <c r="L296"/>
      <c r="M296"/>
      <c r="N296"/>
      <c r="O296"/>
      <c r="P296"/>
      <c r="Q296"/>
      <c r="R296"/>
      <c r="S296"/>
      <c r="T296"/>
      <c r="U296"/>
      <c r="V296"/>
      <c r="W296"/>
      <c r="X296"/>
      <c r="Y296"/>
      <c r="Z296"/>
      <c r="AA296"/>
      <c r="AB296"/>
    </row>
    <row r="297" spans="1:28">
      <c r="A297" s="696" t="str">
        <f t="shared" si="4"/>
        <v>National Grid</v>
      </c>
      <c r="B297" s="696" t="str">
        <f>'Lookups-Assumptions'!$D$4</f>
        <v>Gas</v>
      </c>
      <c r="C297" s="696" t="str">
        <f>'Lookups-Assumptions'!$D$6</f>
        <v>Evaluated</v>
      </c>
      <c r="D297" s="819">
        <f>'Inputs Yr 2'!$E$2</f>
        <v>2017</v>
      </c>
      <c r="E297"/>
      <c r="F297"/>
      <c r="G297"/>
      <c r="H297"/>
      <c r="I297"/>
      <c r="J297"/>
      <c r="K297"/>
      <c r="L297"/>
      <c r="M297"/>
      <c r="N297"/>
      <c r="O297"/>
      <c r="P297"/>
      <c r="Q297"/>
      <c r="R297"/>
      <c r="S297"/>
      <c r="T297"/>
      <c r="U297"/>
      <c r="V297"/>
      <c r="W297"/>
      <c r="X297"/>
      <c r="Y297"/>
      <c r="Z297"/>
      <c r="AA297"/>
      <c r="AB297"/>
    </row>
    <row r="298" spans="1:28">
      <c r="A298" s="696" t="str">
        <f t="shared" si="4"/>
        <v>National Grid</v>
      </c>
      <c r="B298" s="696" t="str">
        <f>'Lookups-Assumptions'!$D$4</f>
        <v>Gas</v>
      </c>
      <c r="C298" s="696" t="str">
        <f>'Lookups-Assumptions'!$D$6</f>
        <v>Evaluated</v>
      </c>
      <c r="D298" s="819">
        <f>'Inputs Yr 2'!$E$2</f>
        <v>2017</v>
      </c>
      <c r="E298"/>
      <c r="F298"/>
      <c r="G298"/>
      <c r="H298"/>
      <c r="I298"/>
      <c r="J298"/>
      <c r="K298"/>
      <c r="L298"/>
      <c r="M298"/>
      <c r="N298"/>
      <c r="O298"/>
      <c r="P298"/>
      <c r="Q298"/>
      <c r="R298"/>
      <c r="S298"/>
      <c r="T298"/>
      <c r="U298"/>
      <c r="V298"/>
      <c r="W298"/>
      <c r="X298"/>
      <c r="Y298"/>
      <c r="Z298"/>
      <c r="AA298"/>
      <c r="AB298"/>
    </row>
    <row r="299" spans="1:28">
      <c r="A299" s="696" t="str">
        <f t="shared" si="4"/>
        <v>National Grid</v>
      </c>
      <c r="B299" s="696" t="str">
        <f>'Lookups-Assumptions'!$D$4</f>
        <v>Gas</v>
      </c>
      <c r="C299" s="696" t="str">
        <f>'Lookups-Assumptions'!$D$6</f>
        <v>Evaluated</v>
      </c>
      <c r="D299" s="819">
        <f>'Inputs Yr 2'!$E$2</f>
        <v>2017</v>
      </c>
      <c r="E299"/>
      <c r="F299"/>
      <c r="G299"/>
      <c r="H299"/>
      <c r="I299"/>
      <c r="J299"/>
      <c r="K299"/>
      <c r="L299"/>
      <c r="M299"/>
      <c r="N299"/>
      <c r="O299"/>
      <c r="P299"/>
      <c r="Q299"/>
      <c r="R299"/>
      <c r="S299"/>
      <c r="T299"/>
      <c r="U299"/>
      <c r="V299"/>
      <c r="W299"/>
      <c r="X299"/>
      <c r="Y299"/>
      <c r="Z299"/>
      <c r="AA299"/>
      <c r="AB299"/>
    </row>
    <row r="300" spans="1:28">
      <c r="A300" s="696" t="str">
        <f t="shared" si="4"/>
        <v>National Grid</v>
      </c>
      <c r="B300" s="696" t="str">
        <f>'Lookups-Assumptions'!$D$4</f>
        <v>Gas</v>
      </c>
      <c r="C300" s="696" t="str">
        <f>'Lookups-Assumptions'!$D$6</f>
        <v>Evaluated</v>
      </c>
      <c r="D300" s="819">
        <f>'Inputs Yr 2'!$E$2</f>
        <v>2017</v>
      </c>
      <c r="E300"/>
      <c r="F300"/>
      <c r="G300"/>
      <c r="H300"/>
      <c r="I300"/>
      <c r="J300"/>
      <c r="K300"/>
      <c r="L300"/>
      <c r="M300"/>
      <c r="N300"/>
      <c r="O300"/>
      <c r="P300"/>
      <c r="Q300"/>
      <c r="R300"/>
      <c r="S300"/>
      <c r="T300"/>
      <c r="U300"/>
      <c r="V300"/>
      <c r="W300"/>
      <c r="X300"/>
      <c r="Y300"/>
      <c r="Z300"/>
      <c r="AA300"/>
      <c r="AB300"/>
    </row>
    <row r="301" spans="1:28">
      <c r="J301" s="820"/>
      <c r="K301" s="824"/>
      <c r="L301" s="825"/>
      <c r="M301" s="825"/>
      <c r="N301" s="825"/>
      <c r="O301" s="825"/>
      <c r="P301" s="825"/>
      <c r="Q301" s="825"/>
      <c r="R301" s="825"/>
      <c r="S301" s="825"/>
      <c r="T301" s="825"/>
      <c r="W301" s="824"/>
      <c r="X301" s="824"/>
      <c r="Y301" s="824"/>
      <c r="Z301" s="824"/>
    </row>
    <row r="302" spans="1:28">
      <c r="J302" s="820"/>
      <c r="K302" s="824"/>
      <c r="L302" s="825"/>
      <c r="M302" s="825"/>
      <c r="N302" s="825"/>
      <c r="O302" s="825"/>
      <c r="P302" s="825"/>
      <c r="Q302" s="825"/>
      <c r="R302" s="825"/>
      <c r="S302" s="825"/>
      <c r="T302" s="825"/>
      <c r="W302" s="824"/>
      <c r="X302" s="824"/>
      <c r="Y302" s="824"/>
      <c r="Z302" s="824"/>
    </row>
    <row r="303" spans="1:28">
      <c r="J303" s="820"/>
      <c r="K303" s="824"/>
      <c r="L303" s="825"/>
      <c r="M303" s="825"/>
      <c r="N303" s="825"/>
      <c r="O303" s="825"/>
      <c r="P303" s="825"/>
      <c r="Q303" s="825"/>
      <c r="R303" s="825"/>
      <c r="S303" s="825"/>
      <c r="T303" s="825"/>
      <c r="W303" s="824"/>
      <c r="X303" s="824"/>
      <c r="Y303" s="824"/>
      <c r="Z303" s="824"/>
    </row>
    <row r="304" spans="1:28">
      <c r="J304" s="820"/>
      <c r="K304" s="824"/>
      <c r="L304" s="825"/>
      <c r="M304" s="825"/>
      <c r="N304" s="825"/>
      <c r="O304" s="825"/>
      <c r="P304" s="825"/>
      <c r="Q304" s="825"/>
      <c r="R304" s="825"/>
      <c r="S304" s="825"/>
      <c r="T304" s="825"/>
      <c r="W304" s="824"/>
      <c r="X304" s="824"/>
      <c r="Y304" s="824"/>
      <c r="Z304" s="824"/>
    </row>
    <row r="305" spans="10:27">
      <c r="J305" s="820"/>
      <c r="K305" s="824"/>
      <c r="L305" s="825"/>
      <c r="M305" s="825"/>
      <c r="N305" s="825"/>
      <c r="O305" s="825"/>
      <c r="P305" s="825"/>
      <c r="Q305" s="825"/>
      <c r="R305" s="825"/>
      <c r="S305" s="825"/>
      <c r="T305" s="825"/>
      <c r="W305" s="824"/>
      <c r="X305" s="824"/>
      <c r="Y305" s="824"/>
      <c r="Z305" s="824"/>
    </row>
    <row r="306" spans="10:27">
      <c r="J306" s="820"/>
      <c r="K306" s="824"/>
      <c r="L306" s="825"/>
      <c r="M306" s="825"/>
      <c r="N306" s="825"/>
      <c r="O306" s="825"/>
      <c r="P306" s="825"/>
      <c r="Q306" s="825"/>
      <c r="R306" s="825"/>
      <c r="S306" s="825"/>
      <c r="T306" s="825"/>
      <c r="W306" s="824"/>
      <c r="X306" s="824"/>
      <c r="Y306" s="824"/>
      <c r="Z306" s="824"/>
    </row>
    <row r="307" spans="10:27">
      <c r="J307" s="820"/>
      <c r="K307" s="824"/>
      <c r="L307" s="825"/>
      <c r="M307" s="825"/>
      <c r="N307" s="825"/>
      <c r="O307" s="825"/>
      <c r="P307" s="825"/>
      <c r="Q307" s="825"/>
      <c r="R307" s="825"/>
      <c r="S307" s="825"/>
      <c r="T307" s="825"/>
      <c r="W307" s="824"/>
      <c r="X307" s="824"/>
      <c r="Y307" s="824"/>
      <c r="Z307" s="824"/>
      <c r="AA307" s="696"/>
    </row>
    <row r="308" spans="10:27">
      <c r="J308" s="820"/>
      <c r="K308" s="824"/>
      <c r="L308" s="825"/>
      <c r="M308" s="825"/>
      <c r="N308" s="825"/>
      <c r="O308" s="825"/>
      <c r="P308" s="825"/>
      <c r="Q308" s="825"/>
      <c r="R308" s="825"/>
      <c r="S308" s="825"/>
      <c r="T308" s="825"/>
      <c r="W308" s="824"/>
      <c r="X308" s="824"/>
      <c r="Y308" s="824"/>
      <c r="Z308" s="824"/>
      <c r="AA308" s="696"/>
    </row>
    <row r="309" spans="10:27">
      <c r="J309" s="820"/>
      <c r="K309" s="824"/>
      <c r="L309" s="825"/>
      <c r="M309" s="825"/>
      <c r="N309" s="825"/>
      <c r="O309" s="825"/>
      <c r="P309" s="825"/>
      <c r="Q309" s="825"/>
      <c r="R309" s="825"/>
      <c r="S309" s="825"/>
      <c r="T309" s="825"/>
      <c r="W309" s="824"/>
      <c r="X309" s="824"/>
      <c r="Y309" s="824"/>
      <c r="Z309" s="824"/>
      <c r="AA309" s="696"/>
    </row>
    <row r="310" spans="10:27">
      <c r="J310" s="820"/>
      <c r="K310" s="824"/>
      <c r="L310" s="825"/>
      <c r="M310" s="825"/>
      <c r="N310" s="825"/>
      <c r="O310" s="825"/>
      <c r="P310" s="825"/>
      <c r="Q310" s="825"/>
      <c r="R310" s="825"/>
      <c r="S310" s="825"/>
      <c r="T310" s="825"/>
      <c r="W310" s="824"/>
      <c r="X310" s="824"/>
      <c r="Y310" s="824"/>
      <c r="Z310" s="824"/>
      <c r="AA310" s="696"/>
    </row>
    <row r="311" spans="10:27">
      <c r="J311" s="820"/>
      <c r="K311" s="824"/>
      <c r="L311" s="825"/>
      <c r="M311" s="825"/>
      <c r="N311" s="825"/>
      <c r="O311" s="825"/>
      <c r="P311" s="825"/>
      <c r="Q311" s="825"/>
      <c r="R311" s="825"/>
      <c r="S311" s="825"/>
      <c r="T311" s="825"/>
      <c r="W311" s="824"/>
      <c r="X311" s="824"/>
      <c r="Y311" s="824"/>
      <c r="Z311" s="824"/>
      <c r="AA311" s="696"/>
    </row>
    <row r="312" spans="10:27">
      <c r="J312" s="820"/>
      <c r="K312" s="824"/>
      <c r="L312" s="825"/>
      <c r="M312" s="825"/>
      <c r="N312" s="825"/>
      <c r="O312" s="825"/>
      <c r="P312" s="825"/>
      <c r="Q312" s="825"/>
      <c r="R312" s="825"/>
      <c r="S312" s="825"/>
      <c r="T312" s="825"/>
      <c r="W312" s="824"/>
      <c r="X312" s="824"/>
      <c r="Y312" s="824"/>
      <c r="Z312" s="824"/>
      <c r="AA312" s="696"/>
    </row>
    <row r="313" spans="10:27">
      <c r="J313" s="820"/>
      <c r="K313" s="824"/>
      <c r="L313" s="825"/>
      <c r="M313" s="825"/>
      <c r="N313" s="825"/>
      <c r="O313" s="825"/>
      <c r="P313" s="825"/>
      <c r="Q313" s="825"/>
      <c r="R313" s="825"/>
      <c r="S313" s="825"/>
      <c r="T313" s="825"/>
      <c r="W313" s="824"/>
      <c r="X313" s="824"/>
      <c r="Y313" s="824"/>
      <c r="Z313" s="824"/>
      <c r="AA313" s="696"/>
    </row>
    <row r="314" spans="10:27">
      <c r="J314" s="820"/>
      <c r="K314" s="824"/>
      <c r="L314" s="825"/>
      <c r="M314" s="825"/>
      <c r="N314" s="825"/>
      <c r="O314" s="825"/>
      <c r="P314" s="825"/>
      <c r="Q314" s="825"/>
      <c r="R314" s="825"/>
      <c r="S314" s="825"/>
      <c r="T314" s="825"/>
      <c r="W314" s="824"/>
      <c r="X314" s="824"/>
      <c r="Y314" s="824"/>
      <c r="Z314" s="824"/>
      <c r="AA314" s="696"/>
    </row>
    <row r="315" spans="10:27">
      <c r="J315" s="820"/>
      <c r="K315" s="824"/>
      <c r="L315" s="825"/>
      <c r="M315" s="825"/>
      <c r="N315" s="825"/>
      <c r="O315" s="825"/>
      <c r="P315" s="825"/>
      <c r="Q315" s="825"/>
      <c r="R315" s="825"/>
      <c r="S315" s="825"/>
      <c r="T315" s="825"/>
      <c r="W315" s="824"/>
      <c r="X315" s="824"/>
      <c r="Y315" s="824"/>
      <c r="Z315" s="824"/>
      <c r="AA315" s="696"/>
    </row>
    <row r="316" spans="10:27">
      <c r="J316" s="820"/>
      <c r="K316" s="824"/>
      <c r="L316" s="825"/>
      <c r="M316" s="825"/>
      <c r="N316" s="825"/>
      <c r="O316" s="825"/>
      <c r="P316" s="825"/>
      <c r="Q316" s="825"/>
      <c r="R316" s="825"/>
      <c r="S316" s="825"/>
      <c r="T316" s="825"/>
      <c r="W316" s="824"/>
      <c r="X316" s="824"/>
      <c r="Y316" s="824"/>
      <c r="Z316" s="824"/>
      <c r="AA316" s="696"/>
    </row>
    <row r="317" spans="10:27">
      <c r="J317" s="820"/>
      <c r="K317" s="824"/>
      <c r="L317" s="825"/>
      <c r="M317" s="825"/>
      <c r="N317" s="825"/>
      <c r="O317" s="825"/>
      <c r="P317" s="825"/>
      <c r="Q317" s="825"/>
      <c r="R317" s="825"/>
      <c r="S317" s="825"/>
      <c r="T317" s="825"/>
      <c r="W317" s="824"/>
      <c r="X317" s="824"/>
      <c r="Y317" s="824"/>
      <c r="Z317" s="824"/>
      <c r="AA317" s="696"/>
    </row>
    <row r="318" spans="10:27">
      <c r="J318" s="820"/>
      <c r="K318" s="824"/>
      <c r="L318" s="825"/>
      <c r="M318" s="825"/>
      <c r="N318" s="825"/>
      <c r="O318" s="825"/>
      <c r="P318" s="825"/>
      <c r="Q318" s="825"/>
      <c r="R318" s="825"/>
      <c r="S318" s="825"/>
      <c r="T318" s="825"/>
      <c r="W318" s="824"/>
      <c r="X318" s="824"/>
      <c r="Y318" s="824"/>
      <c r="Z318" s="824"/>
      <c r="AA318" s="696"/>
    </row>
    <row r="319" spans="10:27">
      <c r="J319" s="820"/>
      <c r="K319" s="824"/>
      <c r="L319" s="825"/>
      <c r="M319" s="825"/>
      <c r="N319" s="825"/>
      <c r="O319" s="825"/>
      <c r="P319" s="825"/>
      <c r="Q319" s="825"/>
      <c r="R319" s="825"/>
      <c r="S319" s="825"/>
      <c r="T319" s="825"/>
      <c r="W319" s="824"/>
      <c r="X319" s="824"/>
      <c r="Y319" s="824"/>
      <c r="Z319" s="824"/>
      <c r="AA319" s="696"/>
    </row>
    <row r="320" spans="10:27">
      <c r="J320" s="820"/>
      <c r="K320" s="824"/>
      <c r="L320" s="825"/>
      <c r="M320" s="825"/>
      <c r="N320" s="825"/>
      <c r="O320" s="825"/>
      <c r="P320" s="825"/>
      <c r="Q320" s="825"/>
      <c r="R320" s="825"/>
      <c r="S320" s="825"/>
      <c r="T320" s="825"/>
      <c r="W320" s="824"/>
      <c r="X320" s="824"/>
      <c r="Y320" s="824"/>
      <c r="Z320" s="824"/>
      <c r="AA320" s="696"/>
    </row>
    <row r="321" spans="1:28">
      <c r="J321" s="820"/>
      <c r="K321" s="824"/>
      <c r="L321" s="825"/>
      <c r="M321" s="825"/>
      <c r="N321" s="825"/>
      <c r="O321" s="825"/>
      <c r="P321" s="825"/>
      <c r="Q321" s="825"/>
      <c r="R321" s="825"/>
      <c r="S321" s="825"/>
      <c r="T321" s="825"/>
      <c r="W321" s="824"/>
      <c r="X321" s="824"/>
      <c r="Y321" s="824"/>
      <c r="Z321" s="824"/>
      <c r="AA321" s="696"/>
    </row>
    <row r="322" spans="1:28">
      <c r="J322" s="820"/>
      <c r="K322" s="824"/>
      <c r="L322" s="825"/>
      <c r="M322" s="825"/>
      <c r="N322" s="825"/>
      <c r="O322" s="825"/>
      <c r="P322" s="825"/>
      <c r="Q322" s="825"/>
      <c r="R322" s="825"/>
      <c r="S322" s="825"/>
      <c r="T322" s="825"/>
      <c r="W322" s="824"/>
      <c r="X322" s="824"/>
      <c r="Y322" s="824"/>
      <c r="Z322" s="824"/>
      <c r="AA322" s="696"/>
    </row>
    <row r="323" spans="1:28">
      <c r="J323" s="820"/>
      <c r="K323" s="824"/>
      <c r="L323" s="825"/>
      <c r="M323" s="825"/>
      <c r="N323" s="825"/>
      <c r="O323" s="825"/>
      <c r="P323" s="825"/>
      <c r="Q323" s="825"/>
      <c r="R323" s="825"/>
      <c r="S323" s="825"/>
      <c r="T323" s="825"/>
      <c r="W323" s="824"/>
      <c r="X323" s="824"/>
      <c r="Y323" s="824"/>
      <c r="Z323" s="824"/>
    </row>
    <row r="324" spans="1:28">
      <c r="J324" s="820"/>
      <c r="K324" s="824"/>
      <c r="L324" s="825"/>
      <c r="M324" s="825"/>
      <c r="N324" s="825"/>
      <c r="O324" s="825"/>
      <c r="P324" s="825"/>
      <c r="Q324" s="825"/>
      <c r="R324" s="825"/>
      <c r="S324" s="825"/>
      <c r="T324" s="825"/>
      <c r="W324" s="824"/>
      <c r="X324" s="824"/>
      <c r="Y324" s="824"/>
      <c r="Z324" s="824"/>
    </row>
    <row r="325" spans="1:28">
      <c r="J325" s="820"/>
      <c r="K325" s="824"/>
      <c r="L325" s="825"/>
      <c r="M325" s="825"/>
      <c r="N325" s="825"/>
      <c r="O325" s="825"/>
      <c r="P325" s="825"/>
      <c r="Q325" s="825"/>
      <c r="R325" s="825"/>
      <c r="S325" s="825"/>
      <c r="T325" s="825"/>
      <c r="W325" s="824"/>
      <c r="X325" s="824"/>
      <c r="Y325" s="824"/>
      <c r="Z325" s="824"/>
    </row>
    <row r="326" spans="1:28" ht="18">
      <c r="A326" s="817" t="e">
        <f>"YEAR = "&amp;#REF!</f>
        <v>#REF!</v>
      </c>
      <c r="B326" s="129" t="s">
        <v>293</v>
      </c>
      <c r="C326" s="129"/>
      <c r="D326" s="129"/>
      <c r="E326"/>
      <c r="F326"/>
      <c r="G326"/>
      <c r="H326"/>
      <c r="I326"/>
      <c r="J326" s="829" t="s">
        <v>1205</v>
      </c>
      <c r="K326"/>
      <c r="L326"/>
      <c r="M326"/>
      <c r="N326"/>
      <c r="O326"/>
      <c r="P326"/>
      <c r="Q326"/>
      <c r="R326"/>
      <c r="S326"/>
      <c r="T326"/>
      <c r="U326"/>
      <c r="V326"/>
      <c r="W326"/>
      <c r="X326"/>
      <c r="Y326"/>
      <c r="Z326"/>
      <c r="AA326"/>
      <c r="AB326"/>
    </row>
    <row r="327" spans="1:28" ht="38.25">
      <c r="A327" s="696" t="s">
        <v>619</v>
      </c>
      <c r="B327" s="696" t="s">
        <v>614</v>
      </c>
      <c r="C327" s="696" t="s">
        <v>620</v>
      </c>
      <c r="D327" s="696" t="s">
        <v>280</v>
      </c>
      <c r="E327" s="829" t="s">
        <v>715</v>
      </c>
      <c r="F327" s="828" t="s">
        <v>7</v>
      </c>
      <c r="G327" s="829" t="s">
        <v>8</v>
      </c>
      <c r="H327" s="829" t="s">
        <v>905</v>
      </c>
      <c r="I327" s="829" t="s">
        <v>9</v>
      </c>
      <c r="J327" s="129" t="s">
        <v>1206</v>
      </c>
      <c r="K327" s="129" t="s">
        <v>1207</v>
      </c>
      <c r="L327" s="129" t="s">
        <v>1208</v>
      </c>
      <c r="M327" s="129" t="s">
        <v>1209</v>
      </c>
      <c r="N327" s="129" t="s">
        <v>1210</v>
      </c>
      <c r="O327" s="129" t="s">
        <v>1211</v>
      </c>
      <c r="P327" s="129" t="s">
        <v>1212</v>
      </c>
      <c r="Q327" s="129" t="s">
        <v>1213</v>
      </c>
      <c r="R327" s="129" t="s">
        <v>1214</v>
      </c>
      <c r="S327" s="129" t="s">
        <v>1215</v>
      </c>
      <c r="T327" s="129" t="s">
        <v>1216</v>
      </c>
      <c r="U327" s="818" t="s">
        <v>1217</v>
      </c>
      <c r="V327" s="129" t="s">
        <v>1218</v>
      </c>
      <c r="W327" s="129" t="s">
        <v>1219</v>
      </c>
      <c r="X327" s="129" t="s">
        <v>1220</v>
      </c>
      <c r="Y327" s="129" t="s">
        <v>1221</v>
      </c>
      <c r="Z327" s="129" t="s">
        <v>1222</v>
      </c>
      <c r="AA327" s="129" t="s">
        <v>1223</v>
      </c>
      <c r="AB327" s="696" t="s">
        <v>1224</v>
      </c>
    </row>
    <row r="328" spans="1:28">
      <c r="A328" s="696" t="str">
        <f t="shared" ref="A328:A391" si="5">PA</f>
        <v>National Grid</v>
      </c>
      <c r="B328" s="696" t="str">
        <f>'Lookups-Assumptions'!$D$4</f>
        <v>Gas</v>
      </c>
      <c r="C328" s="696" t="str">
        <f>'Lookups-Assumptions'!$D$6</f>
        <v>Evaluated</v>
      </c>
      <c r="D328" s="696" t="e">
        <f>#REF!</f>
        <v>#REF!</v>
      </c>
      <c r="E328" s="696" t="s">
        <v>935</v>
      </c>
      <c r="F328" s="696" t="s">
        <v>32</v>
      </c>
      <c r="G328" s="696" t="s">
        <v>462</v>
      </c>
      <c r="H328" s="696" t="s">
        <v>615</v>
      </c>
      <c r="I328" s="696" t="s">
        <v>1291</v>
      </c>
      <c r="J328" s="820">
        <v>1600</v>
      </c>
      <c r="K328" s="821">
        <v>4000000</v>
      </c>
      <c r="L328" s="786">
        <v>407.44469714655878</v>
      </c>
      <c r="M328" s="786">
        <v>10186.117428663969</v>
      </c>
      <c r="N328" s="786">
        <v>45715.199999999997</v>
      </c>
      <c r="O328" s="786">
        <v>1142880</v>
      </c>
      <c r="P328" s="786">
        <v>0</v>
      </c>
      <c r="Q328" s="786">
        <v>0</v>
      </c>
      <c r="R328" s="786">
        <v>0</v>
      </c>
      <c r="S328" s="786">
        <v>0</v>
      </c>
      <c r="T328" s="786">
        <v>0</v>
      </c>
      <c r="U328" s="822">
        <v>0</v>
      </c>
      <c r="V328" s="821">
        <v>985862.05510200013</v>
      </c>
      <c r="W328" s="821">
        <v>10712551.513656959</v>
      </c>
      <c r="X328" s="821">
        <v>0</v>
      </c>
      <c r="Y328" s="821">
        <v>0</v>
      </c>
      <c r="Z328" s="821">
        <v>0</v>
      </c>
      <c r="AA328" s="821">
        <v>8591853.586553406</v>
      </c>
      <c r="AB328" s="823">
        <v>20290267.155312367</v>
      </c>
    </row>
    <row r="329" spans="1:28">
      <c r="A329" s="696" t="str">
        <f t="shared" si="5"/>
        <v>National Grid</v>
      </c>
      <c r="B329" s="696" t="str">
        <f>'Lookups-Assumptions'!$D$4</f>
        <v>Gas</v>
      </c>
      <c r="C329" s="696" t="str">
        <f>'Lookups-Assumptions'!$D$6</f>
        <v>Evaluated</v>
      </c>
      <c r="D329" s="696" t="e">
        <f>#REF!</f>
        <v>#REF!</v>
      </c>
      <c r="E329" s="696" t="s">
        <v>936</v>
      </c>
      <c r="F329" s="696" t="s">
        <v>32</v>
      </c>
      <c r="G329" s="696" t="s">
        <v>462</v>
      </c>
      <c r="H329" s="696" t="s">
        <v>615</v>
      </c>
      <c r="I329" s="696" t="s">
        <v>1292</v>
      </c>
      <c r="J329" s="820">
        <v>1600</v>
      </c>
      <c r="K329" s="821">
        <v>0</v>
      </c>
      <c r="L329" s="786">
        <v>49.168175179479825</v>
      </c>
      <c r="M329" s="786">
        <v>1229.2043794869955</v>
      </c>
      <c r="N329" s="786">
        <v>0</v>
      </c>
      <c r="O329" s="786">
        <v>0</v>
      </c>
      <c r="P329" s="786">
        <v>0</v>
      </c>
      <c r="Q329" s="786">
        <v>0</v>
      </c>
      <c r="R329" s="786">
        <v>0</v>
      </c>
      <c r="S329" s="786">
        <v>0</v>
      </c>
      <c r="T329" s="786">
        <v>0</v>
      </c>
      <c r="U329" s="822">
        <v>0</v>
      </c>
      <c r="V329" s="821">
        <v>966119.74181157444</v>
      </c>
      <c r="W329" s="821">
        <v>0</v>
      </c>
      <c r="X329" s="821">
        <v>0</v>
      </c>
      <c r="Y329" s="821">
        <v>0</v>
      </c>
      <c r="Z329" s="821">
        <v>0</v>
      </c>
      <c r="AA329" s="821">
        <v>0</v>
      </c>
      <c r="AB329" s="823">
        <v>966119.74181157444</v>
      </c>
    </row>
    <row r="330" spans="1:28">
      <c r="A330" s="696" t="str">
        <f t="shared" si="5"/>
        <v>National Grid</v>
      </c>
      <c r="B330" s="696" t="str">
        <f>'Lookups-Assumptions'!$D$4</f>
        <v>Gas</v>
      </c>
      <c r="C330" s="696" t="str">
        <f>'Lookups-Assumptions'!$D$6</f>
        <v>Evaluated</v>
      </c>
      <c r="D330" s="696" t="e">
        <f>#REF!</f>
        <v>#REF!</v>
      </c>
      <c r="E330" s="696" t="s">
        <v>937</v>
      </c>
      <c r="F330" s="696" t="s">
        <v>32</v>
      </c>
      <c r="G330" s="696" t="s">
        <v>462</v>
      </c>
      <c r="H330" s="696" t="s">
        <v>615</v>
      </c>
      <c r="I330" s="696" t="s">
        <v>1293</v>
      </c>
      <c r="J330" s="820">
        <v>1600</v>
      </c>
      <c r="K330" s="821">
        <v>0</v>
      </c>
      <c r="L330" s="786">
        <v>92.647961620718036</v>
      </c>
      <c r="M330" s="786">
        <v>1389.7194243107706</v>
      </c>
      <c r="N330" s="786">
        <v>3628.7999999999997</v>
      </c>
      <c r="O330" s="786">
        <v>54431.999999999993</v>
      </c>
      <c r="P330" s="786">
        <v>0</v>
      </c>
      <c r="Q330" s="786">
        <v>0</v>
      </c>
      <c r="R330" s="786">
        <v>0</v>
      </c>
      <c r="S330" s="786">
        <v>0</v>
      </c>
      <c r="T330" s="786">
        <v>0</v>
      </c>
      <c r="U330" s="822">
        <v>0</v>
      </c>
      <c r="V330" s="821">
        <v>178229.41699907513</v>
      </c>
      <c r="W330" s="821">
        <v>473517.53047517617</v>
      </c>
      <c r="X330" s="821">
        <v>0</v>
      </c>
      <c r="Y330" s="821">
        <v>0</v>
      </c>
      <c r="Z330" s="821">
        <v>0</v>
      </c>
      <c r="AA330" s="821">
        <v>0</v>
      </c>
      <c r="AB330" s="823">
        <v>651746.94747425127</v>
      </c>
    </row>
    <row r="331" spans="1:28">
      <c r="A331" s="696" t="str">
        <f t="shared" si="5"/>
        <v>National Grid</v>
      </c>
      <c r="B331" s="696" t="str">
        <f>'Lookups-Assumptions'!$D$4</f>
        <v>Gas</v>
      </c>
      <c r="C331" s="696" t="str">
        <f>'Lookups-Assumptions'!$D$6</f>
        <v>Evaluated</v>
      </c>
      <c r="D331" s="696" t="e">
        <f>#REF!</f>
        <v>#REF!</v>
      </c>
      <c r="E331" s="696" t="s">
        <v>938</v>
      </c>
      <c r="F331" s="696" t="s">
        <v>32</v>
      </c>
      <c r="G331" s="696" t="s">
        <v>462</v>
      </c>
      <c r="H331" s="696" t="s">
        <v>615</v>
      </c>
      <c r="I331" s="696" t="s">
        <v>413</v>
      </c>
      <c r="J331" s="820">
        <v>500</v>
      </c>
      <c r="K331" s="821">
        <v>0</v>
      </c>
      <c r="L331" s="786">
        <v>11.05241022879042</v>
      </c>
      <c r="M331" s="786">
        <v>44.209640915161678</v>
      </c>
      <c r="N331" s="786">
        <v>0</v>
      </c>
      <c r="O331" s="786">
        <v>0</v>
      </c>
      <c r="P331" s="786">
        <v>0</v>
      </c>
      <c r="Q331" s="786">
        <v>0</v>
      </c>
      <c r="R331" s="786">
        <v>0</v>
      </c>
      <c r="S331" s="786">
        <v>0</v>
      </c>
      <c r="T331" s="786">
        <v>0</v>
      </c>
      <c r="U331" s="822">
        <v>0</v>
      </c>
      <c r="V331" s="821">
        <v>5258.7335571377889</v>
      </c>
      <c r="W331" s="821">
        <v>0</v>
      </c>
      <c r="X331" s="821">
        <v>0</v>
      </c>
      <c r="Y331" s="821">
        <v>0</v>
      </c>
      <c r="Z331" s="821">
        <v>0</v>
      </c>
      <c r="AA331" s="821">
        <v>803.66224365961091</v>
      </c>
      <c r="AB331" s="823">
        <v>6062.3958007973997</v>
      </c>
    </row>
    <row r="332" spans="1:28">
      <c r="A332" s="696" t="str">
        <f t="shared" si="5"/>
        <v>National Grid</v>
      </c>
      <c r="B332" s="696" t="str">
        <f>'Lookups-Assumptions'!$D$4</f>
        <v>Gas</v>
      </c>
      <c r="C332" s="696" t="str">
        <f>'Lookups-Assumptions'!$D$6</f>
        <v>Evaluated</v>
      </c>
      <c r="D332" s="696" t="e">
        <f>#REF!</f>
        <v>#REF!</v>
      </c>
      <c r="E332" s="696" t="s">
        <v>939</v>
      </c>
      <c r="F332" s="696" t="s">
        <v>32</v>
      </c>
      <c r="G332" s="696" t="s">
        <v>462</v>
      </c>
      <c r="H332" s="696" t="s">
        <v>615</v>
      </c>
      <c r="I332" s="696" t="s">
        <v>414</v>
      </c>
      <c r="J332" s="820">
        <v>9500</v>
      </c>
      <c r="K332" s="821">
        <v>0</v>
      </c>
      <c r="L332" s="786">
        <v>232.50040020404668</v>
      </c>
      <c r="M332" s="786">
        <v>2092.5036018364203</v>
      </c>
      <c r="N332" s="786">
        <v>0</v>
      </c>
      <c r="O332" s="786">
        <v>0</v>
      </c>
      <c r="P332" s="786">
        <v>0</v>
      </c>
      <c r="Q332" s="786">
        <v>0</v>
      </c>
      <c r="R332" s="786">
        <v>0</v>
      </c>
      <c r="S332" s="786">
        <v>0</v>
      </c>
      <c r="T332" s="786">
        <v>0</v>
      </c>
      <c r="U332" s="822">
        <v>0</v>
      </c>
      <c r="V332" s="821">
        <v>248525.87475610807</v>
      </c>
      <c r="W332" s="821">
        <v>0</v>
      </c>
      <c r="X332" s="821">
        <v>0</v>
      </c>
      <c r="Y332" s="821">
        <v>0</v>
      </c>
      <c r="Z332" s="821">
        <v>0</v>
      </c>
      <c r="AA332" s="821">
        <v>22850.104945054409</v>
      </c>
      <c r="AB332" s="823">
        <v>271375.97970116249</v>
      </c>
    </row>
    <row r="333" spans="1:28">
      <c r="A333" s="696" t="str">
        <f t="shared" si="5"/>
        <v>National Grid</v>
      </c>
      <c r="B333" s="696" t="str">
        <f>'Lookups-Assumptions'!$D$4</f>
        <v>Gas</v>
      </c>
      <c r="C333" s="696" t="str">
        <f>'Lookups-Assumptions'!$D$6</f>
        <v>Evaluated</v>
      </c>
      <c r="D333" s="696" t="e">
        <f>#REF!</f>
        <v>#REF!</v>
      </c>
      <c r="E333" s="696" t="s">
        <v>940</v>
      </c>
      <c r="F333" s="696" t="s">
        <v>32</v>
      </c>
      <c r="G333" s="696" t="s">
        <v>462</v>
      </c>
      <c r="H333" s="696" t="s">
        <v>615</v>
      </c>
      <c r="I333" s="696" t="s">
        <v>1294</v>
      </c>
      <c r="J333" s="820">
        <v>1100</v>
      </c>
      <c r="K333" s="821">
        <v>605000</v>
      </c>
      <c r="L333" s="786">
        <v>0</v>
      </c>
      <c r="M333" s="786">
        <v>0</v>
      </c>
      <c r="N333" s="786">
        <v>17039</v>
      </c>
      <c r="O333" s="786">
        <v>425975</v>
      </c>
      <c r="P333" s="786">
        <v>0</v>
      </c>
      <c r="Q333" s="786">
        <v>0</v>
      </c>
      <c r="R333" s="786">
        <v>0</v>
      </c>
      <c r="S333" s="786">
        <v>0</v>
      </c>
      <c r="T333" s="786">
        <v>0</v>
      </c>
      <c r="U333" s="822">
        <v>0</v>
      </c>
      <c r="V333" s="821">
        <v>0</v>
      </c>
      <c r="W333" s="821">
        <v>3992789.3838635935</v>
      </c>
      <c r="X333" s="821">
        <v>0</v>
      </c>
      <c r="Y333" s="821">
        <v>0</v>
      </c>
      <c r="Z333" s="821">
        <v>0</v>
      </c>
      <c r="AA333" s="821">
        <v>49721.37492218407</v>
      </c>
      <c r="AB333" s="823">
        <v>4042510.7587857777</v>
      </c>
    </row>
    <row r="334" spans="1:28">
      <c r="A334" s="696" t="str">
        <f t="shared" si="5"/>
        <v>National Grid</v>
      </c>
      <c r="B334" s="696" t="str">
        <f>'Lookups-Assumptions'!$D$4</f>
        <v>Gas</v>
      </c>
      <c r="C334" s="696" t="str">
        <f>'Lookups-Assumptions'!$D$6</f>
        <v>Evaluated</v>
      </c>
      <c r="D334" s="696" t="e">
        <f>#REF!</f>
        <v>#REF!</v>
      </c>
      <c r="E334" s="696" t="s">
        <v>941</v>
      </c>
      <c r="F334" s="696" t="s">
        <v>32</v>
      </c>
      <c r="G334" s="696" t="s">
        <v>462</v>
      </c>
      <c r="H334" s="696" t="s">
        <v>615</v>
      </c>
      <c r="I334" s="696" t="s">
        <v>1295</v>
      </c>
      <c r="J334" s="820">
        <v>0</v>
      </c>
      <c r="K334" s="821">
        <v>0</v>
      </c>
      <c r="L334" s="786">
        <v>0</v>
      </c>
      <c r="M334" s="786">
        <v>0</v>
      </c>
      <c r="N334" s="786">
        <v>0</v>
      </c>
      <c r="O334" s="786">
        <v>0</v>
      </c>
      <c r="P334" s="786">
        <v>0</v>
      </c>
      <c r="Q334" s="786">
        <v>0</v>
      </c>
      <c r="R334" s="786">
        <v>0</v>
      </c>
      <c r="S334" s="786">
        <v>0</v>
      </c>
      <c r="T334" s="786">
        <v>0</v>
      </c>
      <c r="U334" s="822">
        <v>0</v>
      </c>
      <c r="V334" s="821">
        <v>0</v>
      </c>
      <c r="W334" s="821">
        <v>0</v>
      </c>
      <c r="X334" s="821">
        <v>0</v>
      </c>
      <c r="Y334" s="821">
        <v>0</v>
      </c>
      <c r="Z334" s="821">
        <v>0</v>
      </c>
      <c r="AA334" s="821">
        <v>0</v>
      </c>
      <c r="AB334" s="823">
        <v>0</v>
      </c>
    </row>
    <row r="335" spans="1:28">
      <c r="A335" s="696" t="str">
        <f t="shared" si="5"/>
        <v>National Grid</v>
      </c>
      <c r="B335" s="696" t="str">
        <f>'Lookups-Assumptions'!$D$4</f>
        <v>Gas</v>
      </c>
      <c r="C335" s="696" t="str">
        <f>'Lookups-Assumptions'!$D$6</f>
        <v>Evaluated</v>
      </c>
      <c r="D335" s="696" t="e">
        <f>#REF!</f>
        <v>#REF!</v>
      </c>
      <c r="E335" s="696" t="s">
        <v>942</v>
      </c>
      <c r="F335" s="696" t="s">
        <v>32</v>
      </c>
      <c r="G335" s="696" t="s">
        <v>462</v>
      </c>
      <c r="H335" s="696" t="s">
        <v>615</v>
      </c>
      <c r="I335" s="696" t="s">
        <v>1296</v>
      </c>
      <c r="J335" s="820">
        <v>1100</v>
      </c>
      <c r="K335" s="821">
        <v>0</v>
      </c>
      <c r="L335" s="786">
        <v>0</v>
      </c>
      <c r="M335" s="786">
        <v>0</v>
      </c>
      <c r="N335" s="786">
        <v>132</v>
      </c>
      <c r="O335" s="786">
        <v>1980</v>
      </c>
      <c r="P335" s="786">
        <v>0</v>
      </c>
      <c r="Q335" s="786">
        <v>0</v>
      </c>
      <c r="R335" s="786">
        <v>0</v>
      </c>
      <c r="S335" s="786">
        <v>0</v>
      </c>
      <c r="T335" s="786">
        <v>0</v>
      </c>
      <c r="U335" s="822">
        <v>0</v>
      </c>
      <c r="V335" s="821">
        <v>0</v>
      </c>
      <c r="W335" s="821">
        <v>14942.728933482906</v>
      </c>
      <c r="X335" s="821">
        <v>0</v>
      </c>
      <c r="Y335" s="821">
        <v>0</v>
      </c>
      <c r="Z335" s="821">
        <v>0</v>
      </c>
      <c r="AA335" s="821">
        <v>0</v>
      </c>
      <c r="AB335" s="823">
        <v>14942.728933482906</v>
      </c>
    </row>
    <row r="336" spans="1:28">
      <c r="A336" s="696" t="str">
        <f t="shared" si="5"/>
        <v>National Grid</v>
      </c>
      <c r="B336" s="696" t="str">
        <f>'Lookups-Assumptions'!$D$4</f>
        <v>Gas</v>
      </c>
      <c r="C336" s="696" t="str">
        <f>'Lookups-Assumptions'!$D$6</f>
        <v>Evaluated</v>
      </c>
      <c r="D336" s="696" t="e">
        <f>#REF!</f>
        <v>#REF!</v>
      </c>
      <c r="E336" s="696" t="s">
        <v>943</v>
      </c>
      <c r="F336" s="696" t="s">
        <v>32</v>
      </c>
      <c r="G336" s="696" t="s">
        <v>462</v>
      </c>
      <c r="H336" s="696" t="s">
        <v>615</v>
      </c>
      <c r="I336" s="696" t="s">
        <v>1297</v>
      </c>
      <c r="J336" s="820">
        <v>0</v>
      </c>
      <c r="K336" s="821">
        <v>0</v>
      </c>
      <c r="L336" s="786">
        <v>0</v>
      </c>
      <c r="M336" s="786">
        <v>0</v>
      </c>
      <c r="N336" s="786">
        <v>0</v>
      </c>
      <c r="O336" s="786">
        <v>0</v>
      </c>
      <c r="P336" s="786">
        <v>0</v>
      </c>
      <c r="Q336" s="786">
        <v>0</v>
      </c>
      <c r="R336" s="786">
        <v>0</v>
      </c>
      <c r="S336" s="786">
        <v>0</v>
      </c>
      <c r="T336" s="786">
        <v>0</v>
      </c>
      <c r="U336" s="822">
        <v>0</v>
      </c>
      <c r="V336" s="821">
        <v>0</v>
      </c>
      <c r="W336" s="821">
        <v>0</v>
      </c>
      <c r="X336" s="821">
        <v>0</v>
      </c>
      <c r="Y336" s="821">
        <v>0</v>
      </c>
      <c r="Z336" s="821">
        <v>0</v>
      </c>
      <c r="AA336" s="821">
        <v>0</v>
      </c>
      <c r="AB336" s="823">
        <v>0</v>
      </c>
    </row>
    <row r="337" spans="1:28">
      <c r="A337" s="696" t="str">
        <f t="shared" si="5"/>
        <v>National Grid</v>
      </c>
      <c r="B337" s="696" t="str">
        <f>'Lookups-Assumptions'!$D$4</f>
        <v>Gas</v>
      </c>
      <c r="C337" s="696" t="str">
        <f>'Lookups-Assumptions'!$D$6</f>
        <v>Evaluated</v>
      </c>
      <c r="D337" s="696" t="e">
        <f>#REF!</f>
        <v>#REF!</v>
      </c>
      <c r="E337" s="696" t="s">
        <v>944</v>
      </c>
      <c r="F337" s="696" t="s">
        <v>32</v>
      </c>
      <c r="G337" s="696" t="s">
        <v>462</v>
      </c>
      <c r="H337" s="696" t="s">
        <v>615</v>
      </c>
      <c r="I337" s="696" t="s">
        <v>724</v>
      </c>
      <c r="J337" s="820">
        <v>1</v>
      </c>
      <c r="K337" s="821">
        <v>0</v>
      </c>
      <c r="L337" s="786">
        <v>0</v>
      </c>
      <c r="M337" s="786">
        <v>0</v>
      </c>
      <c r="N337" s="786">
        <v>7437.7852063074342</v>
      </c>
      <c r="O337" s="786">
        <v>148755.70412614869</v>
      </c>
      <c r="P337" s="786">
        <v>0</v>
      </c>
      <c r="Q337" s="786">
        <v>0</v>
      </c>
      <c r="R337" s="786">
        <v>0</v>
      </c>
      <c r="S337" s="786">
        <v>0</v>
      </c>
      <c r="T337" s="786">
        <v>0</v>
      </c>
      <c r="U337" s="822">
        <v>0</v>
      </c>
      <c r="V337" s="821">
        <v>0</v>
      </c>
      <c r="W337" s="821">
        <v>1347429.2603496348</v>
      </c>
      <c r="X337" s="821">
        <v>0</v>
      </c>
      <c r="Y337" s="821">
        <v>0</v>
      </c>
      <c r="Z337" s="821">
        <v>0</v>
      </c>
      <c r="AA337" s="821">
        <v>0</v>
      </c>
      <c r="AB337" s="823">
        <v>1347429.2603496348</v>
      </c>
    </row>
    <row r="338" spans="1:28">
      <c r="A338" s="696" t="str">
        <f t="shared" si="5"/>
        <v>National Grid</v>
      </c>
      <c r="B338" s="696" t="str">
        <f>'Lookups-Assumptions'!$D$4</f>
        <v>Gas</v>
      </c>
      <c r="C338" s="696" t="str">
        <f>'Lookups-Assumptions'!$D$6</f>
        <v>Evaluated</v>
      </c>
      <c r="D338" s="696" t="e">
        <f>#REF!</f>
        <v>#REF!</v>
      </c>
      <c r="E338" s="696" t="s">
        <v>945</v>
      </c>
      <c r="F338" s="696" t="s">
        <v>32</v>
      </c>
      <c r="G338" s="696" t="s">
        <v>462</v>
      </c>
      <c r="H338" s="696" t="s">
        <v>725</v>
      </c>
      <c r="I338" s="696" t="s">
        <v>1298</v>
      </c>
      <c r="J338" s="820">
        <v>2708.3644363636363</v>
      </c>
      <c r="K338" s="821">
        <v>1489600.44</v>
      </c>
      <c r="L338" s="786">
        <v>0</v>
      </c>
      <c r="M338" s="786">
        <v>0</v>
      </c>
      <c r="N338" s="786">
        <v>14939.609067425456</v>
      </c>
      <c r="O338" s="786">
        <v>224094.13601138184</v>
      </c>
      <c r="P338" s="786">
        <v>0</v>
      </c>
      <c r="Q338" s="786">
        <v>0</v>
      </c>
      <c r="R338" s="786">
        <v>0</v>
      </c>
      <c r="S338" s="786">
        <v>0</v>
      </c>
      <c r="T338" s="786">
        <v>0</v>
      </c>
      <c r="U338" s="822">
        <v>0</v>
      </c>
      <c r="V338" s="821">
        <v>0</v>
      </c>
      <c r="W338" s="821">
        <v>2035763.0971318632</v>
      </c>
      <c r="X338" s="821">
        <v>0</v>
      </c>
      <c r="Y338" s="821">
        <v>0</v>
      </c>
      <c r="Z338" s="821">
        <v>0</v>
      </c>
      <c r="AA338" s="821">
        <v>912635.16069445037</v>
      </c>
      <c r="AB338" s="823">
        <v>2948398.2578263134</v>
      </c>
    </row>
    <row r="339" spans="1:28">
      <c r="A339" s="696" t="str">
        <f t="shared" si="5"/>
        <v>National Grid</v>
      </c>
      <c r="B339" s="696" t="str">
        <f>'Lookups-Assumptions'!$D$4</f>
        <v>Gas</v>
      </c>
      <c r="C339" s="696" t="str">
        <f>'Lookups-Assumptions'!$D$6</f>
        <v>Evaluated</v>
      </c>
      <c r="D339" s="696" t="e">
        <f>#REF!</f>
        <v>#REF!</v>
      </c>
      <c r="E339" s="696" t="s">
        <v>946</v>
      </c>
      <c r="F339" s="696" t="s">
        <v>32</v>
      </c>
      <c r="G339" s="696" t="s">
        <v>462</v>
      </c>
      <c r="H339" s="696" t="s">
        <v>725</v>
      </c>
      <c r="I339" s="696" t="s">
        <v>1299</v>
      </c>
      <c r="J339" s="820">
        <v>1203.8337000000001</v>
      </c>
      <c r="K339" s="821">
        <v>963066.96000000008</v>
      </c>
      <c r="L339" s="786">
        <v>0</v>
      </c>
      <c r="M339" s="786">
        <v>0</v>
      </c>
      <c r="N339" s="786">
        <v>1554.5128644774002</v>
      </c>
      <c r="O339" s="786">
        <v>38862.821611935004</v>
      </c>
      <c r="P339" s="786">
        <v>0</v>
      </c>
      <c r="Q339" s="786">
        <v>0</v>
      </c>
      <c r="R339" s="786">
        <v>0</v>
      </c>
      <c r="S339" s="786">
        <v>0</v>
      </c>
      <c r="T339" s="786">
        <v>0</v>
      </c>
      <c r="U339" s="822">
        <v>0</v>
      </c>
      <c r="V339" s="821">
        <v>0</v>
      </c>
      <c r="W339" s="821">
        <v>364272.69571951102</v>
      </c>
      <c r="X339" s="821">
        <v>0</v>
      </c>
      <c r="Y339" s="821">
        <v>0</v>
      </c>
      <c r="Z339" s="821">
        <v>0</v>
      </c>
      <c r="AA339" s="821">
        <v>1461714.3786064212</v>
      </c>
      <c r="AB339" s="823">
        <v>1825987.0743259322</v>
      </c>
    </row>
    <row r="340" spans="1:28">
      <c r="A340" s="696" t="str">
        <f t="shared" si="5"/>
        <v>National Grid</v>
      </c>
      <c r="B340" s="696" t="str">
        <f>'Lookups-Assumptions'!$D$4</f>
        <v>Gas</v>
      </c>
      <c r="C340" s="696" t="str">
        <f>'Lookups-Assumptions'!$D$6</f>
        <v>Evaluated</v>
      </c>
      <c r="D340" s="696" t="e">
        <f>#REF!</f>
        <v>#REF!</v>
      </c>
      <c r="E340" s="696" t="s">
        <v>947</v>
      </c>
      <c r="F340" s="696" t="s">
        <v>32</v>
      </c>
      <c r="G340" s="696" t="s">
        <v>462</v>
      </c>
      <c r="H340" s="696" t="s">
        <v>725</v>
      </c>
      <c r="I340" s="696" t="s">
        <v>1300</v>
      </c>
      <c r="J340" s="820">
        <v>0</v>
      </c>
      <c r="K340" s="821">
        <v>0</v>
      </c>
      <c r="L340" s="786">
        <v>0</v>
      </c>
      <c r="M340" s="786">
        <v>0</v>
      </c>
      <c r="N340" s="786">
        <v>0</v>
      </c>
      <c r="O340" s="786">
        <v>0</v>
      </c>
      <c r="P340" s="786">
        <v>0</v>
      </c>
      <c r="Q340" s="786">
        <v>0</v>
      </c>
      <c r="R340" s="786">
        <v>0</v>
      </c>
      <c r="S340" s="786">
        <v>0</v>
      </c>
      <c r="T340" s="786">
        <v>0</v>
      </c>
      <c r="U340" s="822">
        <v>0</v>
      </c>
      <c r="V340" s="821">
        <v>0</v>
      </c>
      <c r="W340" s="821">
        <v>0</v>
      </c>
      <c r="X340" s="821">
        <v>0</v>
      </c>
      <c r="Y340" s="821">
        <v>0</v>
      </c>
      <c r="Z340" s="821">
        <v>0</v>
      </c>
      <c r="AA340" s="821">
        <v>0</v>
      </c>
      <c r="AB340" s="823">
        <v>0</v>
      </c>
    </row>
    <row r="341" spans="1:28">
      <c r="A341" s="696" t="str">
        <f t="shared" si="5"/>
        <v>National Grid</v>
      </c>
      <c r="B341" s="696" t="str">
        <f>'Lookups-Assumptions'!$D$4</f>
        <v>Gas</v>
      </c>
      <c r="C341" s="696" t="str">
        <f>'Lookups-Assumptions'!$D$6</f>
        <v>Evaluated</v>
      </c>
      <c r="D341" s="696" t="e">
        <f>#REF!</f>
        <v>#REF!</v>
      </c>
      <c r="E341" s="696" t="s">
        <v>948</v>
      </c>
      <c r="F341" s="696" t="s">
        <v>32</v>
      </c>
      <c r="G341" s="696" t="s">
        <v>462</v>
      </c>
      <c r="H341" s="696" t="s">
        <v>725</v>
      </c>
      <c r="I341" s="696" t="s">
        <v>727</v>
      </c>
      <c r="J341" s="820">
        <v>0</v>
      </c>
      <c r="K341" s="821">
        <v>0</v>
      </c>
      <c r="L341" s="786">
        <v>0</v>
      </c>
      <c r="M341" s="786">
        <v>0</v>
      </c>
      <c r="N341" s="786">
        <v>0</v>
      </c>
      <c r="O341" s="786">
        <v>0</v>
      </c>
      <c r="P341" s="786">
        <v>0</v>
      </c>
      <c r="Q341" s="786">
        <v>0</v>
      </c>
      <c r="R341" s="786">
        <v>0</v>
      </c>
      <c r="S341" s="786">
        <v>0</v>
      </c>
      <c r="T341" s="786">
        <v>0</v>
      </c>
      <c r="U341" s="822">
        <v>0</v>
      </c>
      <c r="V341" s="821">
        <v>0</v>
      </c>
      <c r="W341" s="821">
        <v>0</v>
      </c>
      <c r="X341" s="821">
        <v>0</v>
      </c>
      <c r="Y341" s="821">
        <v>0</v>
      </c>
      <c r="Z341" s="821">
        <v>0</v>
      </c>
      <c r="AA341" s="821">
        <v>0</v>
      </c>
      <c r="AB341" s="823">
        <v>0</v>
      </c>
    </row>
    <row r="342" spans="1:28">
      <c r="A342" s="696" t="str">
        <f t="shared" si="5"/>
        <v>National Grid</v>
      </c>
      <c r="B342" s="696" t="str">
        <f>'Lookups-Assumptions'!$D$4</f>
        <v>Gas</v>
      </c>
      <c r="C342" s="696" t="str">
        <f>'Lookups-Assumptions'!$D$6</f>
        <v>Evaluated</v>
      </c>
      <c r="D342" s="696" t="e">
        <f>#REF!</f>
        <v>#REF!</v>
      </c>
      <c r="E342" s="696" t="s">
        <v>949</v>
      </c>
      <c r="F342" s="696" t="s">
        <v>32</v>
      </c>
      <c r="G342" s="696" t="s">
        <v>462</v>
      </c>
      <c r="H342" s="696" t="s">
        <v>725</v>
      </c>
      <c r="I342" s="696" t="s">
        <v>728</v>
      </c>
      <c r="J342" s="820">
        <v>0</v>
      </c>
      <c r="K342" s="821">
        <v>0</v>
      </c>
      <c r="L342" s="786">
        <v>0</v>
      </c>
      <c r="M342" s="786">
        <v>0</v>
      </c>
      <c r="N342" s="786">
        <v>0</v>
      </c>
      <c r="O342" s="786">
        <v>0</v>
      </c>
      <c r="P342" s="786">
        <v>0</v>
      </c>
      <c r="Q342" s="786">
        <v>0</v>
      </c>
      <c r="R342" s="786">
        <v>0</v>
      </c>
      <c r="S342" s="786">
        <v>0</v>
      </c>
      <c r="T342" s="786">
        <v>0</v>
      </c>
      <c r="U342" s="822">
        <v>0</v>
      </c>
      <c r="V342" s="821">
        <v>0</v>
      </c>
      <c r="W342" s="821">
        <v>0</v>
      </c>
      <c r="X342" s="821">
        <v>0</v>
      </c>
      <c r="Y342" s="821">
        <v>0</v>
      </c>
      <c r="Z342" s="821">
        <v>0</v>
      </c>
      <c r="AA342" s="821">
        <v>0</v>
      </c>
      <c r="AB342" s="823">
        <v>0</v>
      </c>
    </row>
    <row r="343" spans="1:28">
      <c r="A343" s="696" t="str">
        <f t="shared" si="5"/>
        <v>National Grid</v>
      </c>
      <c r="B343" s="696" t="str">
        <f>'Lookups-Assumptions'!$D$4</f>
        <v>Gas</v>
      </c>
      <c r="C343" s="696" t="str">
        <f>'Lookups-Assumptions'!$D$6</f>
        <v>Evaluated</v>
      </c>
      <c r="D343" s="696" t="e">
        <f>#REF!</f>
        <v>#REF!</v>
      </c>
      <c r="E343" s="696" t="s">
        <v>950</v>
      </c>
      <c r="F343" s="696" t="s">
        <v>32</v>
      </c>
      <c r="G343" s="696" t="s">
        <v>462</v>
      </c>
      <c r="H343" s="696" t="s">
        <v>725</v>
      </c>
      <c r="I343" s="696" t="s">
        <v>1301</v>
      </c>
      <c r="J343" s="820">
        <v>0</v>
      </c>
      <c r="K343" s="821">
        <v>0</v>
      </c>
      <c r="L343" s="786">
        <v>0</v>
      </c>
      <c r="M343" s="786">
        <v>0</v>
      </c>
      <c r="N343" s="786">
        <v>0</v>
      </c>
      <c r="O343" s="786">
        <v>0</v>
      </c>
      <c r="P343" s="786">
        <v>0</v>
      </c>
      <c r="Q343" s="786">
        <v>0</v>
      </c>
      <c r="R343" s="786">
        <v>0</v>
      </c>
      <c r="S343" s="786">
        <v>0</v>
      </c>
      <c r="T343" s="786">
        <v>0</v>
      </c>
      <c r="U343" s="822">
        <v>0</v>
      </c>
      <c r="V343" s="821">
        <v>0</v>
      </c>
      <c r="W343" s="821">
        <v>0</v>
      </c>
      <c r="X343" s="821">
        <v>0</v>
      </c>
      <c r="Y343" s="821">
        <v>0</v>
      </c>
      <c r="Z343" s="821">
        <v>0</v>
      </c>
      <c r="AA343" s="821">
        <v>0</v>
      </c>
      <c r="AB343" s="823">
        <v>0</v>
      </c>
    </row>
    <row r="344" spans="1:28">
      <c r="A344" s="696" t="str">
        <f t="shared" si="5"/>
        <v>National Grid</v>
      </c>
      <c r="B344" s="696" t="str">
        <f>'Lookups-Assumptions'!$D$4</f>
        <v>Gas</v>
      </c>
      <c r="C344" s="696" t="str">
        <f>'Lookups-Assumptions'!$D$6</f>
        <v>Evaluated</v>
      </c>
      <c r="D344" s="696" t="e">
        <f>#REF!</f>
        <v>#REF!</v>
      </c>
      <c r="E344" s="696" t="s">
        <v>951</v>
      </c>
      <c r="F344" s="696" t="s">
        <v>32</v>
      </c>
      <c r="G344" s="696" t="s">
        <v>462</v>
      </c>
      <c r="H344" s="696" t="s">
        <v>725</v>
      </c>
      <c r="I344" s="696" t="s">
        <v>729</v>
      </c>
      <c r="J344" s="820">
        <v>0</v>
      </c>
      <c r="K344" s="821">
        <v>0</v>
      </c>
      <c r="L344" s="786">
        <v>0</v>
      </c>
      <c r="M344" s="786">
        <v>0</v>
      </c>
      <c r="N344" s="786">
        <v>0</v>
      </c>
      <c r="O344" s="786">
        <v>0</v>
      </c>
      <c r="P344" s="786">
        <v>0</v>
      </c>
      <c r="Q344" s="786">
        <v>0</v>
      </c>
      <c r="R344" s="786">
        <v>0</v>
      </c>
      <c r="S344" s="786">
        <v>0</v>
      </c>
      <c r="T344" s="786">
        <v>0</v>
      </c>
      <c r="U344" s="822">
        <v>0</v>
      </c>
      <c r="V344" s="821">
        <v>0</v>
      </c>
      <c r="W344" s="821">
        <v>0</v>
      </c>
      <c r="X344" s="821">
        <v>0</v>
      </c>
      <c r="Y344" s="821">
        <v>0</v>
      </c>
      <c r="Z344" s="821">
        <v>0</v>
      </c>
      <c r="AA344" s="821">
        <v>0</v>
      </c>
      <c r="AB344" s="823">
        <v>0</v>
      </c>
    </row>
    <row r="345" spans="1:28">
      <c r="A345" s="696" t="str">
        <f t="shared" si="5"/>
        <v>National Grid</v>
      </c>
      <c r="B345" s="696" t="str">
        <f>'Lookups-Assumptions'!$D$4</f>
        <v>Gas</v>
      </c>
      <c r="C345" s="696" t="str">
        <f>'Lookups-Assumptions'!$D$6</f>
        <v>Evaluated</v>
      </c>
      <c r="D345" s="696" t="e">
        <f>#REF!</f>
        <v>#REF!</v>
      </c>
      <c r="E345" s="696" t="s">
        <v>952</v>
      </c>
      <c r="F345" s="696" t="s">
        <v>32</v>
      </c>
      <c r="G345" s="696" t="s">
        <v>462</v>
      </c>
      <c r="H345" s="696" t="s">
        <v>725</v>
      </c>
      <c r="I345" s="696" t="s">
        <v>1302</v>
      </c>
      <c r="J345" s="820">
        <v>0</v>
      </c>
      <c r="K345" s="821">
        <v>0</v>
      </c>
      <c r="L345" s="786">
        <v>0</v>
      </c>
      <c r="M345" s="786">
        <v>0</v>
      </c>
      <c r="N345" s="786">
        <v>0</v>
      </c>
      <c r="O345" s="786">
        <v>0</v>
      </c>
      <c r="P345" s="786">
        <v>0</v>
      </c>
      <c r="Q345" s="786">
        <v>0</v>
      </c>
      <c r="R345" s="786">
        <v>0</v>
      </c>
      <c r="S345" s="786">
        <v>0</v>
      </c>
      <c r="T345" s="786">
        <v>0</v>
      </c>
      <c r="U345" s="822">
        <v>0</v>
      </c>
      <c r="V345" s="821">
        <v>0</v>
      </c>
      <c r="W345" s="821">
        <v>0</v>
      </c>
      <c r="X345" s="821">
        <v>0</v>
      </c>
      <c r="Y345" s="821">
        <v>0</v>
      </c>
      <c r="Z345" s="821">
        <v>0</v>
      </c>
      <c r="AA345" s="821">
        <v>0</v>
      </c>
      <c r="AB345" s="823">
        <v>0</v>
      </c>
    </row>
    <row r="346" spans="1:28">
      <c r="A346" s="696" t="str">
        <f t="shared" si="5"/>
        <v>National Grid</v>
      </c>
      <c r="B346" s="696" t="str">
        <f>'Lookups-Assumptions'!$D$4</f>
        <v>Gas</v>
      </c>
      <c r="C346" s="696" t="str">
        <f>'Lookups-Assumptions'!$D$6</f>
        <v>Evaluated</v>
      </c>
      <c r="D346" s="696" t="e">
        <f>#REF!</f>
        <v>#REF!</v>
      </c>
      <c r="E346" s="696" t="s">
        <v>953</v>
      </c>
      <c r="F346" s="696" t="s">
        <v>32</v>
      </c>
      <c r="G346" s="696" t="s">
        <v>462</v>
      </c>
      <c r="H346" s="696" t="s">
        <v>725</v>
      </c>
      <c r="I346" s="696" t="s">
        <v>1303</v>
      </c>
      <c r="J346" s="820">
        <v>0</v>
      </c>
      <c r="K346" s="821">
        <v>0</v>
      </c>
      <c r="L346" s="786">
        <v>0</v>
      </c>
      <c r="M346" s="786">
        <v>0</v>
      </c>
      <c r="N346" s="786">
        <v>0</v>
      </c>
      <c r="O346" s="786">
        <v>0</v>
      </c>
      <c r="P346" s="786">
        <v>0</v>
      </c>
      <c r="Q346" s="786">
        <v>0</v>
      </c>
      <c r="R346" s="786">
        <v>0</v>
      </c>
      <c r="S346" s="786">
        <v>0</v>
      </c>
      <c r="T346" s="786">
        <v>0</v>
      </c>
      <c r="U346" s="822">
        <v>0</v>
      </c>
      <c r="V346" s="821">
        <v>0</v>
      </c>
      <c r="W346" s="821">
        <v>0</v>
      </c>
      <c r="X346" s="821">
        <v>0</v>
      </c>
      <c r="Y346" s="821">
        <v>0</v>
      </c>
      <c r="Z346" s="821">
        <v>0</v>
      </c>
      <c r="AA346" s="821">
        <v>0</v>
      </c>
      <c r="AB346" s="823">
        <v>0</v>
      </c>
    </row>
    <row r="347" spans="1:28">
      <c r="A347" s="696" t="str">
        <f t="shared" si="5"/>
        <v>National Grid</v>
      </c>
      <c r="B347" s="696" t="str">
        <f>'Lookups-Assumptions'!$D$4</f>
        <v>Gas</v>
      </c>
      <c r="C347" s="696" t="str">
        <f>'Lookups-Assumptions'!$D$6</f>
        <v>Evaluated</v>
      </c>
      <c r="D347" s="696" t="e">
        <f>#REF!</f>
        <v>#REF!</v>
      </c>
      <c r="E347" s="696" t="s">
        <v>954</v>
      </c>
      <c r="F347" s="696" t="s">
        <v>32</v>
      </c>
      <c r="G347" s="696" t="s">
        <v>462</v>
      </c>
      <c r="H347" s="696" t="s">
        <v>725</v>
      </c>
      <c r="I347" s="696" t="s">
        <v>1304</v>
      </c>
      <c r="J347" s="820">
        <v>1442</v>
      </c>
      <c r="K347" s="821">
        <v>4599.9799999999996</v>
      </c>
      <c r="L347" s="786">
        <v>0</v>
      </c>
      <c r="M347" s="786">
        <v>0</v>
      </c>
      <c r="N347" s="786">
        <v>632.46119999999985</v>
      </c>
      <c r="O347" s="786">
        <v>4427.2283999999991</v>
      </c>
      <c r="P347" s="786">
        <v>0</v>
      </c>
      <c r="Q347" s="786">
        <v>0</v>
      </c>
      <c r="R347" s="786">
        <v>0</v>
      </c>
      <c r="S347" s="786">
        <v>0</v>
      </c>
      <c r="T347" s="786">
        <v>406932.4</v>
      </c>
      <c r="U347" s="822">
        <v>2848526.8000000003</v>
      </c>
      <c r="V347" s="821">
        <v>0</v>
      </c>
      <c r="W347" s="821">
        <v>39430.800312657899</v>
      </c>
      <c r="X347" s="821">
        <v>0</v>
      </c>
      <c r="Y347" s="821">
        <v>0</v>
      </c>
      <c r="Z347" s="821">
        <v>18233.530537011044</v>
      </c>
      <c r="AA347" s="821">
        <v>0</v>
      </c>
      <c r="AB347" s="823">
        <v>57664.330849668942</v>
      </c>
    </row>
    <row r="348" spans="1:28">
      <c r="A348" s="696" t="str">
        <f t="shared" si="5"/>
        <v>National Grid</v>
      </c>
      <c r="B348" s="696" t="str">
        <f>'Lookups-Assumptions'!$D$4</f>
        <v>Gas</v>
      </c>
      <c r="C348" s="696" t="str">
        <f>'Lookups-Assumptions'!$D$6</f>
        <v>Evaluated</v>
      </c>
      <c r="D348" s="696" t="e">
        <f>#REF!</f>
        <v>#REF!</v>
      </c>
      <c r="E348" s="696" t="s">
        <v>955</v>
      </c>
      <c r="F348" s="696" t="s">
        <v>32</v>
      </c>
      <c r="G348" s="696" t="s">
        <v>462</v>
      </c>
      <c r="H348" s="696" t="s">
        <v>725</v>
      </c>
      <c r="I348" s="696" t="s">
        <v>1305</v>
      </c>
      <c r="J348" s="820">
        <v>927</v>
      </c>
      <c r="K348" s="821">
        <v>13905</v>
      </c>
      <c r="L348" s="786">
        <v>0</v>
      </c>
      <c r="M348" s="786">
        <v>0</v>
      </c>
      <c r="N348" s="786">
        <v>538.95779999999991</v>
      </c>
      <c r="O348" s="786">
        <v>3772.7045999999991</v>
      </c>
      <c r="P348" s="786">
        <v>0</v>
      </c>
      <c r="Q348" s="786">
        <v>0</v>
      </c>
      <c r="R348" s="786">
        <v>0</v>
      </c>
      <c r="S348" s="786">
        <v>0</v>
      </c>
      <c r="T348" s="786">
        <v>1705911.7499999998</v>
      </c>
      <c r="U348" s="822">
        <v>11941382.249999998</v>
      </c>
      <c r="V348" s="821">
        <v>0</v>
      </c>
      <c r="W348" s="821">
        <v>33601.329834540702</v>
      </c>
      <c r="X348" s="821">
        <v>0</v>
      </c>
      <c r="Y348" s="821">
        <v>0</v>
      </c>
      <c r="Z348" s="821">
        <v>76437.250971097295</v>
      </c>
      <c r="AA348" s="821">
        <v>23.690447620336339</v>
      </c>
      <c r="AB348" s="823">
        <v>110062.27125325832</v>
      </c>
    </row>
    <row r="349" spans="1:28">
      <c r="A349" s="696" t="str">
        <f t="shared" si="5"/>
        <v>National Grid</v>
      </c>
      <c r="B349" s="696" t="str">
        <f>'Lookups-Assumptions'!$D$4</f>
        <v>Gas</v>
      </c>
      <c r="C349" s="696" t="str">
        <f>'Lookups-Assumptions'!$D$6</f>
        <v>Evaluated</v>
      </c>
      <c r="D349" s="696" t="e">
        <f>#REF!</f>
        <v>#REF!</v>
      </c>
      <c r="E349" s="696" t="s">
        <v>956</v>
      </c>
      <c r="F349" s="696" t="s">
        <v>32</v>
      </c>
      <c r="G349" s="696" t="s">
        <v>462</v>
      </c>
      <c r="H349" s="696" t="s">
        <v>725</v>
      </c>
      <c r="I349" s="696" t="s">
        <v>1306</v>
      </c>
      <c r="J349" s="820">
        <v>0</v>
      </c>
      <c r="K349" s="821">
        <v>0</v>
      </c>
      <c r="L349" s="786">
        <v>0</v>
      </c>
      <c r="M349" s="786">
        <v>0</v>
      </c>
      <c r="N349" s="786">
        <v>0</v>
      </c>
      <c r="O349" s="786">
        <v>0</v>
      </c>
      <c r="P349" s="786">
        <v>0</v>
      </c>
      <c r="Q349" s="786">
        <v>0</v>
      </c>
      <c r="R349" s="786">
        <v>0</v>
      </c>
      <c r="S349" s="786">
        <v>0</v>
      </c>
      <c r="T349" s="786">
        <v>0</v>
      </c>
      <c r="U349" s="822">
        <v>0</v>
      </c>
      <c r="V349" s="821">
        <v>0</v>
      </c>
      <c r="W349" s="821">
        <v>0</v>
      </c>
      <c r="X349" s="821">
        <v>0</v>
      </c>
      <c r="Y349" s="821">
        <v>0</v>
      </c>
      <c r="Z349" s="821">
        <v>0</v>
      </c>
      <c r="AA349" s="821">
        <v>0</v>
      </c>
      <c r="AB349" s="823">
        <v>0</v>
      </c>
    </row>
    <row r="350" spans="1:28">
      <c r="A350" s="696" t="str">
        <f t="shared" si="5"/>
        <v>National Grid</v>
      </c>
      <c r="B350" s="696" t="str">
        <f>'Lookups-Assumptions'!$D$4</f>
        <v>Gas</v>
      </c>
      <c r="C350" s="696" t="str">
        <f>'Lookups-Assumptions'!$D$6</f>
        <v>Evaluated</v>
      </c>
      <c r="D350" s="696" t="e">
        <f>#REF!</f>
        <v>#REF!</v>
      </c>
      <c r="E350" s="696" t="s">
        <v>957</v>
      </c>
      <c r="F350" s="696" t="s">
        <v>32</v>
      </c>
      <c r="G350" s="696" t="s">
        <v>462</v>
      </c>
      <c r="H350" s="696" t="s">
        <v>725</v>
      </c>
      <c r="I350" s="696" t="s">
        <v>1307</v>
      </c>
      <c r="J350" s="820">
        <v>0</v>
      </c>
      <c r="K350" s="821">
        <v>0</v>
      </c>
      <c r="L350" s="786">
        <v>0</v>
      </c>
      <c r="M350" s="786">
        <v>0</v>
      </c>
      <c r="N350" s="786">
        <v>0</v>
      </c>
      <c r="O350" s="786">
        <v>0</v>
      </c>
      <c r="P350" s="786">
        <v>0</v>
      </c>
      <c r="Q350" s="786">
        <v>0</v>
      </c>
      <c r="R350" s="786">
        <v>0</v>
      </c>
      <c r="S350" s="786">
        <v>0</v>
      </c>
      <c r="T350" s="786">
        <v>0</v>
      </c>
      <c r="U350" s="822">
        <v>0</v>
      </c>
      <c r="V350" s="821">
        <v>0</v>
      </c>
      <c r="W350" s="821">
        <v>0</v>
      </c>
      <c r="X350" s="821">
        <v>0</v>
      </c>
      <c r="Y350" s="821">
        <v>0</v>
      </c>
      <c r="Z350" s="821">
        <v>0</v>
      </c>
      <c r="AA350" s="821">
        <v>0</v>
      </c>
      <c r="AB350" s="823">
        <v>0</v>
      </c>
    </row>
    <row r="351" spans="1:28">
      <c r="A351" s="696" t="str">
        <f t="shared" si="5"/>
        <v>National Grid</v>
      </c>
      <c r="B351" s="696" t="str">
        <f>'Lookups-Assumptions'!$D$4</f>
        <v>Gas</v>
      </c>
      <c r="C351" s="696" t="str">
        <f>'Lookups-Assumptions'!$D$6</f>
        <v>Evaluated</v>
      </c>
      <c r="D351" s="696" t="e">
        <f>#REF!</f>
        <v>#REF!</v>
      </c>
      <c r="E351" s="696" t="s">
        <v>958</v>
      </c>
      <c r="F351" s="696" t="s">
        <v>32</v>
      </c>
      <c r="G351" s="696" t="s">
        <v>462</v>
      </c>
      <c r="H351" s="696" t="s">
        <v>725</v>
      </c>
      <c r="I351" s="696" t="s">
        <v>1308</v>
      </c>
      <c r="J351" s="820">
        <v>0</v>
      </c>
      <c r="K351" s="821">
        <v>0</v>
      </c>
      <c r="L351" s="786">
        <v>0</v>
      </c>
      <c r="M351" s="786">
        <v>0</v>
      </c>
      <c r="N351" s="786">
        <v>0</v>
      </c>
      <c r="O351" s="786">
        <v>0</v>
      </c>
      <c r="P351" s="786">
        <v>0</v>
      </c>
      <c r="Q351" s="786">
        <v>0</v>
      </c>
      <c r="R351" s="786">
        <v>0</v>
      </c>
      <c r="S351" s="786">
        <v>0</v>
      </c>
      <c r="T351" s="786">
        <v>0</v>
      </c>
      <c r="U351" s="822">
        <v>0</v>
      </c>
      <c r="V351" s="821">
        <v>0</v>
      </c>
      <c r="W351" s="821">
        <v>0</v>
      </c>
      <c r="X351" s="821">
        <v>0</v>
      </c>
      <c r="Y351" s="821">
        <v>0</v>
      </c>
      <c r="Z351" s="821">
        <v>0</v>
      </c>
      <c r="AA351" s="821">
        <v>0</v>
      </c>
      <c r="AB351" s="823">
        <v>0</v>
      </c>
    </row>
    <row r="352" spans="1:28">
      <c r="A352" s="696" t="str">
        <f t="shared" si="5"/>
        <v>National Grid</v>
      </c>
      <c r="B352" s="696" t="str">
        <f>'Lookups-Assumptions'!$D$4</f>
        <v>Gas</v>
      </c>
      <c r="C352" s="696" t="str">
        <f>'Lookups-Assumptions'!$D$6</f>
        <v>Evaluated</v>
      </c>
      <c r="D352" s="696" t="e">
        <f>#REF!</f>
        <v>#REF!</v>
      </c>
      <c r="E352" s="696" t="s">
        <v>959</v>
      </c>
      <c r="F352" s="696" t="s">
        <v>32</v>
      </c>
      <c r="G352" s="696" t="s">
        <v>462</v>
      </c>
      <c r="H352" s="696" t="s">
        <v>725</v>
      </c>
      <c r="I352" s="696" t="s">
        <v>1309</v>
      </c>
      <c r="J352" s="820">
        <v>1300</v>
      </c>
      <c r="K352" s="821">
        <v>137707.55555555556</v>
      </c>
      <c r="L352" s="786">
        <v>0</v>
      </c>
      <c r="M352" s="786">
        <v>0</v>
      </c>
      <c r="N352" s="786">
        <v>1404.9360000000001</v>
      </c>
      <c r="O352" s="786">
        <v>14049.36</v>
      </c>
      <c r="P352" s="786">
        <v>0</v>
      </c>
      <c r="Q352" s="786">
        <v>0</v>
      </c>
      <c r="R352" s="786">
        <v>0</v>
      </c>
      <c r="S352" s="786">
        <v>0</v>
      </c>
      <c r="T352" s="786">
        <v>0</v>
      </c>
      <c r="U352" s="822">
        <v>0</v>
      </c>
      <c r="V352" s="821">
        <v>0</v>
      </c>
      <c r="W352" s="821">
        <v>128028.37113772302</v>
      </c>
      <c r="X352" s="821">
        <v>0</v>
      </c>
      <c r="Y352" s="821">
        <v>0</v>
      </c>
      <c r="Z352" s="821">
        <v>0</v>
      </c>
      <c r="AA352" s="821">
        <v>103664.97000259362</v>
      </c>
      <c r="AB352" s="823">
        <v>231693.34114031662</v>
      </c>
    </row>
    <row r="353" spans="1:28">
      <c r="A353" s="696" t="str">
        <f t="shared" si="5"/>
        <v>National Grid</v>
      </c>
      <c r="B353" s="696" t="str">
        <f>'Lookups-Assumptions'!$D$4</f>
        <v>Gas</v>
      </c>
      <c r="C353" s="696" t="str">
        <f>'Lookups-Assumptions'!$D$6</f>
        <v>Evaluated</v>
      </c>
      <c r="D353" s="696" t="e">
        <f>#REF!</f>
        <v>#REF!</v>
      </c>
      <c r="E353" s="696" t="s">
        <v>960</v>
      </c>
      <c r="F353" s="696" t="s">
        <v>32</v>
      </c>
      <c r="G353" s="696" t="s">
        <v>462</v>
      </c>
      <c r="H353" s="696" t="s">
        <v>725</v>
      </c>
      <c r="I353" s="696" t="s">
        <v>1310</v>
      </c>
      <c r="J353" s="820">
        <v>0</v>
      </c>
      <c r="K353" s="821">
        <v>0</v>
      </c>
      <c r="L353" s="786">
        <v>0</v>
      </c>
      <c r="M353" s="786">
        <v>0</v>
      </c>
      <c r="N353" s="786">
        <v>0</v>
      </c>
      <c r="O353" s="786">
        <v>0</v>
      </c>
      <c r="P353" s="786">
        <v>0</v>
      </c>
      <c r="Q353" s="786">
        <v>0</v>
      </c>
      <c r="R353" s="786">
        <v>0</v>
      </c>
      <c r="S353" s="786">
        <v>0</v>
      </c>
      <c r="T353" s="786">
        <v>0</v>
      </c>
      <c r="U353" s="822">
        <v>0</v>
      </c>
      <c r="V353" s="821">
        <v>0</v>
      </c>
      <c r="W353" s="821">
        <v>0</v>
      </c>
      <c r="X353" s="821">
        <v>0</v>
      </c>
      <c r="Y353" s="821">
        <v>0</v>
      </c>
      <c r="Z353" s="821">
        <v>0</v>
      </c>
      <c r="AA353" s="821">
        <v>0</v>
      </c>
      <c r="AB353" s="823">
        <v>0</v>
      </c>
    </row>
    <row r="354" spans="1:28">
      <c r="A354" s="696" t="str">
        <f t="shared" si="5"/>
        <v>National Grid</v>
      </c>
      <c r="B354" s="696" t="str">
        <f>'Lookups-Assumptions'!$D$4</f>
        <v>Gas</v>
      </c>
      <c r="C354" s="696" t="str">
        <f>'Lookups-Assumptions'!$D$6</f>
        <v>Evaluated</v>
      </c>
      <c r="D354" s="696" t="e">
        <f>#REF!</f>
        <v>#REF!</v>
      </c>
      <c r="E354" s="696" t="s">
        <v>961</v>
      </c>
      <c r="F354" s="696" t="s">
        <v>32</v>
      </c>
      <c r="G354" s="696" t="s">
        <v>462</v>
      </c>
      <c r="H354" s="696" t="s">
        <v>725</v>
      </c>
      <c r="I354" s="696" t="s">
        <v>737</v>
      </c>
      <c r="J354" s="820">
        <v>250</v>
      </c>
      <c r="K354" s="821">
        <v>25000</v>
      </c>
      <c r="L354" s="786">
        <v>0</v>
      </c>
      <c r="M354" s="786">
        <v>0</v>
      </c>
      <c r="N354" s="786">
        <v>705</v>
      </c>
      <c r="O354" s="786">
        <v>10575</v>
      </c>
      <c r="P354" s="786">
        <v>0</v>
      </c>
      <c r="Q354" s="786">
        <v>0</v>
      </c>
      <c r="R354" s="786">
        <v>0</v>
      </c>
      <c r="S354" s="786">
        <v>0</v>
      </c>
      <c r="T354" s="786">
        <v>0</v>
      </c>
      <c r="U354" s="822">
        <v>0</v>
      </c>
      <c r="V354" s="821">
        <v>0</v>
      </c>
      <c r="W354" s="821">
        <v>96067.639855939968</v>
      </c>
      <c r="X354" s="821">
        <v>0</v>
      </c>
      <c r="Y354" s="821">
        <v>0</v>
      </c>
      <c r="Z354" s="821">
        <v>0</v>
      </c>
      <c r="AA354" s="821">
        <v>32679.847013156621</v>
      </c>
      <c r="AB354" s="823">
        <v>128747.48686909658</v>
      </c>
    </row>
    <row r="355" spans="1:28">
      <c r="A355" s="696" t="str">
        <f t="shared" si="5"/>
        <v>National Grid</v>
      </c>
      <c r="B355" s="696" t="str">
        <f>'Lookups-Assumptions'!$D$4</f>
        <v>Gas</v>
      </c>
      <c r="C355" s="696" t="str">
        <f>'Lookups-Assumptions'!$D$6</f>
        <v>Evaluated</v>
      </c>
      <c r="D355" s="696" t="e">
        <f>#REF!</f>
        <v>#REF!</v>
      </c>
      <c r="E355" s="696" t="s">
        <v>962</v>
      </c>
      <c r="F355" s="696" t="s">
        <v>32</v>
      </c>
      <c r="G355" s="696" t="s">
        <v>462</v>
      </c>
      <c r="H355" s="696" t="s">
        <v>725</v>
      </c>
      <c r="I355" s="696" t="s">
        <v>738</v>
      </c>
      <c r="J355" s="820">
        <v>0</v>
      </c>
      <c r="K355" s="821">
        <v>0</v>
      </c>
      <c r="L355" s="786">
        <v>0</v>
      </c>
      <c r="M355" s="786">
        <v>0</v>
      </c>
      <c r="N355" s="786">
        <v>0</v>
      </c>
      <c r="O355" s="786">
        <v>0</v>
      </c>
      <c r="P355" s="786">
        <v>0</v>
      </c>
      <c r="Q355" s="786">
        <v>0</v>
      </c>
      <c r="R355" s="786">
        <v>0</v>
      </c>
      <c r="S355" s="786">
        <v>0</v>
      </c>
      <c r="T355" s="786">
        <v>0</v>
      </c>
      <c r="U355" s="822">
        <v>0</v>
      </c>
      <c r="V355" s="821">
        <v>0</v>
      </c>
      <c r="W355" s="821">
        <v>0</v>
      </c>
      <c r="X355" s="821">
        <v>0</v>
      </c>
      <c r="Y355" s="821">
        <v>0</v>
      </c>
      <c r="Z355" s="821">
        <v>0</v>
      </c>
      <c r="AA355" s="821">
        <v>0</v>
      </c>
      <c r="AB355" s="823">
        <v>0</v>
      </c>
    </row>
    <row r="356" spans="1:28">
      <c r="A356" s="696" t="str">
        <f t="shared" si="5"/>
        <v>National Grid</v>
      </c>
      <c r="B356" s="696" t="str">
        <f>'Lookups-Assumptions'!$D$4</f>
        <v>Gas</v>
      </c>
      <c r="C356" s="696" t="str">
        <f>'Lookups-Assumptions'!$D$6</f>
        <v>Evaluated</v>
      </c>
      <c r="D356" s="696" t="e">
        <f>#REF!</f>
        <v>#REF!</v>
      </c>
      <c r="E356" s="696" t="s">
        <v>963</v>
      </c>
      <c r="F356" s="696" t="s">
        <v>32</v>
      </c>
      <c r="G356" s="696" t="s">
        <v>462</v>
      </c>
      <c r="H356" s="696" t="s">
        <v>725</v>
      </c>
      <c r="I356" s="696" t="s">
        <v>739</v>
      </c>
      <c r="J356" s="820">
        <v>0</v>
      </c>
      <c r="K356" s="821">
        <v>0</v>
      </c>
      <c r="L356" s="786">
        <v>0</v>
      </c>
      <c r="M356" s="786">
        <v>0</v>
      </c>
      <c r="N356" s="786">
        <v>0</v>
      </c>
      <c r="O356" s="786">
        <v>0</v>
      </c>
      <c r="P356" s="786">
        <v>0</v>
      </c>
      <c r="Q356" s="786">
        <v>0</v>
      </c>
      <c r="R356" s="786">
        <v>0</v>
      </c>
      <c r="S356" s="786">
        <v>0</v>
      </c>
      <c r="T356" s="786">
        <v>0</v>
      </c>
      <c r="U356" s="822">
        <v>0</v>
      </c>
      <c r="V356" s="821">
        <v>0</v>
      </c>
      <c r="W356" s="821">
        <v>0</v>
      </c>
      <c r="X356" s="821">
        <v>0</v>
      </c>
      <c r="Y356" s="821">
        <v>0</v>
      </c>
      <c r="Z356" s="821">
        <v>0</v>
      </c>
      <c r="AA356" s="821">
        <v>0</v>
      </c>
      <c r="AB356" s="823">
        <v>0</v>
      </c>
    </row>
    <row r="357" spans="1:28">
      <c r="A357" s="696" t="str">
        <f t="shared" si="5"/>
        <v>National Grid</v>
      </c>
      <c r="B357" s="696" t="str">
        <f>'Lookups-Assumptions'!$D$4</f>
        <v>Gas</v>
      </c>
      <c r="C357" s="696" t="str">
        <f>'Lookups-Assumptions'!$D$6</f>
        <v>Evaluated</v>
      </c>
      <c r="D357" s="696" t="e">
        <f>#REF!</f>
        <v>#REF!</v>
      </c>
      <c r="E357" s="696" t="s">
        <v>964</v>
      </c>
      <c r="F357" s="696" t="s">
        <v>32</v>
      </c>
      <c r="G357" s="696" t="s">
        <v>462</v>
      </c>
      <c r="H357" s="696" t="s">
        <v>725</v>
      </c>
      <c r="I357" s="696" t="s">
        <v>413</v>
      </c>
      <c r="J357" s="820">
        <v>0</v>
      </c>
      <c r="K357" s="821">
        <v>0</v>
      </c>
      <c r="L357" s="786">
        <v>0</v>
      </c>
      <c r="M357" s="786">
        <v>0</v>
      </c>
      <c r="N357" s="786">
        <v>0</v>
      </c>
      <c r="O357" s="786">
        <v>0</v>
      </c>
      <c r="P357" s="786">
        <v>0</v>
      </c>
      <c r="Q357" s="786">
        <v>0</v>
      </c>
      <c r="R357" s="786">
        <v>0</v>
      </c>
      <c r="S357" s="786">
        <v>0</v>
      </c>
      <c r="T357" s="786">
        <v>0</v>
      </c>
      <c r="U357" s="822">
        <v>0</v>
      </c>
      <c r="V357" s="821">
        <v>0</v>
      </c>
      <c r="W357" s="821">
        <v>0</v>
      </c>
      <c r="X357" s="821">
        <v>0</v>
      </c>
      <c r="Y357" s="821">
        <v>0</v>
      </c>
      <c r="Z357" s="821">
        <v>0</v>
      </c>
      <c r="AA357" s="821">
        <v>0</v>
      </c>
      <c r="AB357" s="823">
        <v>0</v>
      </c>
    </row>
    <row r="358" spans="1:28">
      <c r="A358" s="696" t="str">
        <f t="shared" si="5"/>
        <v>National Grid</v>
      </c>
      <c r="B358" s="696" t="str">
        <f>'Lookups-Assumptions'!$D$4</f>
        <v>Gas</v>
      </c>
      <c r="C358" s="696" t="str">
        <f>'Lookups-Assumptions'!$D$6</f>
        <v>Evaluated</v>
      </c>
      <c r="D358" s="696" t="e">
        <f>#REF!</f>
        <v>#REF!</v>
      </c>
      <c r="E358" s="696" t="s">
        <v>965</v>
      </c>
      <c r="F358" s="696" t="s">
        <v>32</v>
      </c>
      <c r="G358" s="696" t="s">
        <v>462</v>
      </c>
      <c r="H358" s="696" t="s">
        <v>725</v>
      </c>
      <c r="I358" s="696" t="s">
        <v>414</v>
      </c>
      <c r="J358" s="820">
        <v>0</v>
      </c>
      <c r="K358" s="821">
        <v>0</v>
      </c>
      <c r="L358" s="786">
        <v>0</v>
      </c>
      <c r="M358" s="786">
        <v>0</v>
      </c>
      <c r="N358" s="786">
        <v>0</v>
      </c>
      <c r="O358" s="786">
        <v>0</v>
      </c>
      <c r="P358" s="786">
        <v>0</v>
      </c>
      <c r="Q358" s="786">
        <v>0</v>
      </c>
      <c r="R358" s="786">
        <v>0</v>
      </c>
      <c r="S358" s="786">
        <v>0</v>
      </c>
      <c r="T358" s="786">
        <v>0</v>
      </c>
      <c r="U358" s="822">
        <v>0</v>
      </c>
      <c r="V358" s="821">
        <v>0</v>
      </c>
      <c r="W358" s="821">
        <v>0</v>
      </c>
      <c r="X358" s="821">
        <v>0</v>
      </c>
      <c r="Y358" s="821">
        <v>0</v>
      </c>
      <c r="Z358" s="821">
        <v>0</v>
      </c>
      <c r="AA358" s="821">
        <v>0</v>
      </c>
      <c r="AB358" s="823">
        <v>0</v>
      </c>
    </row>
    <row r="359" spans="1:28">
      <c r="A359" s="696" t="str">
        <f t="shared" si="5"/>
        <v>National Grid</v>
      </c>
      <c r="B359" s="696" t="str">
        <f>'Lookups-Assumptions'!$D$4</f>
        <v>Gas</v>
      </c>
      <c r="C359" s="696" t="str">
        <f>'Lookups-Assumptions'!$D$6</f>
        <v>Evaluated</v>
      </c>
      <c r="D359" s="696" t="e">
        <f>#REF!</f>
        <v>#REF!</v>
      </c>
      <c r="E359" s="696" t="s">
        <v>966</v>
      </c>
      <c r="F359" s="696" t="s">
        <v>32</v>
      </c>
      <c r="G359" s="696" t="s">
        <v>462</v>
      </c>
      <c r="H359" s="696" t="s">
        <v>741</v>
      </c>
      <c r="I359" s="696" t="s">
        <v>1299</v>
      </c>
      <c r="J359" s="820">
        <v>7545.5999999999995</v>
      </c>
      <c r="K359" s="821">
        <v>15091199.999999998</v>
      </c>
      <c r="L359" s="786">
        <v>1939.7473919999998</v>
      </c>
      <c r="M359" s="786">
        <v>48493.684799999995</v>
      </c>
      <c r="N359" s="786">
        <v>96838.872191999995</v>
      </c>
      <c r="O359" s="786">
        <v>2420971.8048</v>
      </c>
      <c r="P359" s="786">
        <v>0</v>
      </c>
      <c r="Q359" s="786">
        <v>0</v>
      </c>
      <c r="R359" s="786">
        <v>0</v>
      </c>
      <c r="S359" s="786">
        <v>0</v>
      </c>
      <c r="T359" s="786">
        <v>0</v>
      </c>
      <c r="U359" s="822">
        <v>0</v>
      </c>
      <c r="V359" s="821">
        <v>15411852.537265971</v>
      </c>
      <c r="W359" s="821">
        <v>22692483.175863661</v>
      </c>
      <c r="X359" s="821">
        <v>0</v>
      </c>
      <c r="Y359" s="821">
        <v>0</v>
      </c>
      <c r="Z359" s="821">
        <v>0</v>
      </c>
      <c r="AA359" s="821">
        <v>13912651.095681116</v>
      </c>
      <c r="AB359" s="823">
        <v>52016986.808810748</v>
      </c>
    </row>
    <row r="360" spans="1:28">
      <c r="A360" s="696" t="str">
        <f t="shared" si="5"/>
        <v>National Grid</v>
      </c>
      <c r="B360" s="696" t="str">
        <f>'Lookups-Assumptions'!$D$4</f>
        <v>Gas</v>
      </c>
      <c r="C360" s="696" t="str">
        <f>'Lookups-Assumptions'!$D$6</f>
        <v>Evaluated</v>
      </c>
      <c r="D360" s="696" t="e">
        <f>#REF!</f>
        <v>#REF!</v>
      </c>
      <c r="E360" s="696" t="s">
        <v>967</v>
      </c>
      <c r="F360" s="696" t="s">
        <v>32</v>
      </c>
      <c r="G360" s="696" t="s">
        <v>462</v>
      </c>
      <c r="H360" s="696" t="s">
        <v>741</v>
      </c>
      <c r="I360" s="696" t="s">
        <v>1298</v>
      </c>
      <c r="J360" s="820">
        <v>6539.52</v>
      </c>
      <c r="K360" s="821">
        <v>4806547.2</v>
      </c>
      <c r="L360" s="786">
        <v>0</v>
      </c>
      <c r="M360" s="786">
        <v>0</v>
      </c>
      <c r="N360" s="786">
        <v>27254.626713600006</v>
      </c>
      <c r="O360" s="786">
        <v>408819.40070400009</v>
      </c>
      <c r="P360" s="786">
        <v>0</v>
      </c>
      <c r="Q360" s="786">
        <v>0</v>
      </c>
      <c r="R360" s="786">
        <v>0</v>
      </c>
      <c r="S360" s="786">
        <v>0</v>
      </c>
      <c r="T360" s="786">
        <v>0</v>
      </c>
      <c r="U360" s="822">
        <v>0</v>
      </c>
      <c r="V360" s="821">
        <v>0</v>
      </c>
      <c r="W360" s="821">
        <v>3713883.2106811423</v>
      </c>
      <c r="X360" s="821">
        <v>0</v>
      </c>
      <c r="Y360" s="821">
        <v>0</v>
      </c>
      <c r="Z360" s="821">
        <v>0</v>
      </c>
      <c r="AA360" s="821">
        <v>3482257.7796282922</v>
      </c>
      <c r="AB360" s="823">
        <v>7196140.990309434</v>
      </c>
    </row>
    <row r="361" spans="1:28">
      <c r="A361" s="696" t="str">
        <f t="shared" si="5"/>
        <v>National Grid</v>
      </c>
      <c r="B361" s="696" t="str">
        <f>'Lookups-Assumptions'!$D$4</f>
        <v>Gas</v>
      </c>
      <c r="C361" s="696" t="str">
        <f>'Lookups-Assumptions'!$D$6</f>
        <v>Evaluated</v>
      </c>
      <c r="D361" s="696" t="e">
        <f>#REF!</f>
        <v>#REF!</v>
      </c>
      <c r="E361" s="696" t="s">
        <v>968</v>
      </c>
      <c r="F361" s="696" t="s">
        <v>32</v>
      </c>
      <c r="G361" s="696" t="s">
        <v>462</v>
      </c>
      <c r="H361" s="696" t="s">
        <v>741</v>
      </c>
      <c r="I361" s="696" t="s">
        <v>453</v>
      </c>
      <c r="J361" s="820">
        <v>1307.9040000000002</v>
      </c>
      <c r="K361" s="821">
        <v>218419.96800000005</v>
      </c>
      <c r="L361" s="786">
        <v>0</v>
      </c>
      <c r="M361" s="786">
        <v>0</v>
      </c>
      <c r="N361" s="786">
        <v>4708.4544000000005</v>
      </c>
      <c r="O361" s="786">
        <v>94169.088000000018</v>
      </c>
      <c r="P361" s="786">
        <v>0</v>
      </c>
      <c r="Q361" s="786">
        <v>0</v>
      </c>
      <c r="R361" s="786">
        <v>0</v>
      </c>
      <c r="S361" s="786">
        <v>0</v>
      </c>
      <c r="T361" s="786">
        <v>0</v>
      </c>
      <c r="U361" s="822">
        <v>0</v>
      </c>
      <c r="V361" s="821">
        <v>0</v>
      </c>
      <c r="W361" s="821">
        <v>867014.84095077147</v>
      </c>
      <c r="X361" s="821">
        <v>0</v>
      </c>
      <c r="Y361" s="821">
        <v>0</v>
      </c>
      <c r="Z361" s="821">
        <v>0</v>
      </c>
      <c r="AA361" s="821">
        <v>0</v>
      </c>
      <c r="AB361" s="823">
        <v>867014.84095077147</v>
      </c>
    </row>
    <row r="362" spans="1:28">
      <c r="A362" s="696" t="str">
        <f t="shared" si="5"/>
        <v>National Grid</v>
      </c>
      <c r="B362" s="696" t="str">
        <f>'Lookups-Assumptions'!$D$4</f>
        <v>Gas</v>
      </c>
      <c r="C362" s="696" t="str">
        <f>'Lookups-Assumptions'!$D$6</f>
        <v>Evaluated</v>
      </c>
      <c r="D362" s="696" t="e">
        <f>#REF!</f>
        <v>#REF!</v>
      </c>
      <c r="E362" s="696" t="s">
        <v>969</v>
      </c>
      <c r="F362" s="696" t="s">
        <v>32</v>
      </c>
      <c r="G362" s="696" t="s">
        <v>462</v>
      </c>
      <c r="H362" s="696" t="s">
        <v>741</v>
      </c>
      <c r="I362" s="696" t="s">
        <v>1301</v>
      </c>
      <c r="J362" s="820">
        <v>1307.9040000000002</v>
      </c>
      <c r="K362" s="821">
        <v>654278.97600000014</v>
      </c>
      <c r="L362" s="786">
        <v>0</v>
      </c>
      <c r="M362" s="786">
        <v>0</v>
      </c>
      <c r="N362" s="786">
        <v>8893.7472000000016</v>
      </c>
      <c r="O362" s="786">
        <v>177874.94400000002</v>
      </c>
      <c r="P362" s="786">
        <v>0</v>
      </c>
      <c r="Q362" s="786">
        <v>0</v>
      </c>
      <c r="R362" s="786">
        <v>0</v>
      </c>
      <c r="S362" s="786">
        <v>0</v>
      </c>
      <c r="T362" s="786">
        <v>0</v>
      </c>
      <c r="U362" s="822">
        <v>0</v>
      </c>
      <c r="V362" s="821">
        <v>0</v>
      </c>
      <c r="W362" s="821">
        <v>1637694.6995736794</v>
      </c>
      <c r="X362" s="821">
        <v>0</v>
      </c>
      <c r="Y362" s="821">
        <v>0</v>
      </c>
      <c r="Z362" s="821">
        <v>0</v>
      </c>
      <c r="AA362" s="821">
        <v>9049.8323546959346</v>
      </c>
      <c r="AB362" s="823">
        <v>1646744.5319283754</v>
      </c>
    </row>
    <row r="363" spans="1:28">
      <c r="A363" s="696" t="str">
        <f t="shared" si="5"/>
        <v>National Grid</v>
      </c>
      <c r="B363" s="696" t="str">
        <f>'Lookups-Assumptions'!$D$4</f>
        <v>Gas</v>
      </c>
      <c r="C363" s="696" t="str">
        <f>'Lookups-Assumptions'!$D$6</f>
        <v>Evaluated</v>
      </c>
      <c r="D363" s="696" t="e">
        <f>#REF!</f>
        <v>#REF!</v>
      </c>
      <c r="E363" s="696" t="s">
        <v>970</v>
      </c>
      <c r="F363" s="696" t="s">
        <v>32</v>
      </c>
      <c r="G363" s="696" t="s">
        <v>462</v>
      </c>
      <c r="H363" s="696" t="s">
        <v>741</v>
      </c>
      <c r="I363" s="696" t="s">
        <v>1312</v>
      </c>
      <c r="J363" s="820">
        <v>0</v>
      </c>
      <c r="K363" s="821">
        <v>0</v>
      </c>
      <c r="L363" s="786">
        <v>0</v>
      </c>
      <c r="M363" s="786">
        <v>0</v>
      </c>
      <c r="N363" s="786">
        <v>0</v>
      </c>
      <c r="O363" s="786">
        <v>0</v>
      </c>
      <c r="P363" s="786">
        <v>0</v>
      </c>
      <c r="Q363" s="786">
        <v>0</v>
      </c>
      <c r="R363" s="786">
        <v>0</v>
      </c>
      <c r="S363" s="786">
        <v>0</v>
      </c>
      <c r="T363" s="786">
        <v>0</v>
      </c>
      <c r="U363" s="822">
        <v>0</v>
      </c>
      <c r="V363" s="821">
        <v>0</v>
      </c>
      <c r="W363" s="821">
        <v>0</v>
      </c>
      <c r="X363" s="821">
        <v>0</v>
      </c>
      <c r="Y363" s="821">
        <v>0</v>
      </c>
      <c r="Z363" s="821">
        <v>0</v>
      </c>
      <c r="AA363" s="821">
        <v>0</v>
      </c>
      <c r="AB363" s="823">
        <v>0</v>
      </c>
    </row>
    <row r="364" spans="1:28">
      <c r="A364" s="696" t="str">
        <f t="shared" si="5"/>
        <v>National Grid</v>
      </c>
      <c r="B364" s="696" t="str">
        <f>'Lookups-Assumptions'!$D$4</f>
        <v>Gas</v>
      </c>
      <c r="C364" s="696" t="str">
        <f>'Lookups-Assumptions'!$D$6</f>
        <v>Evaluated</v>
      </c>
      <c r="D364" s="696" t="e">
        <f>#REF!</f>
        <v>#REF!</v>
      </c>
      <c r="E364" s="696" t="s">
        <v>971</v>
      </c>
      <c r="F364" s="696" t="s">
        <v>32</v>
      </c>
      <c r="G364" s="696" t="s">
        <v>462</v>
      </c>
      <c r="H364" s="696" t="s">
        <v>741</v>
      </c>
      <c r="I364" s="696" t="s">
        <v>1302</v>
      </c>
      <c r="J364" s="820">
        <v>0</v>
      </c>
      <c r="K364" s="821">
        <v>0</v>
      </c>
      <c r="L364" s="786">
        <v>0</v>
      </c>
      <c r="M364" s="786">
        <v>0</v>
      </c>
      <c r="N364" s="786">
        <v>0</v>
      </c>
      <c r="O364" s="786">
        <v>0</v>
      </c>
      <c r="P364" s="786">
        <v>0</v>
      </c>
      <c r="Q364" s="786">
        <v>0</v>
      </c>
      <c r="R364" s="786">
        <v>0</v>
      </c>
      <c r="S364" s="786">
        <v>0</v>
      </c>
      <c r="T364" s="786">
        <v>0</v>
      </c>
      <c r="U364" s="822">
        <v>0</v>
      </c>
      <c r="V364" s="821">
        <v>0</v>
      </c>
      <c r="W364" s="821">
        <v>0</v>
      </c>
      <c r="X364" s="821">
        <v>0</v>
      </c>
      <c r="Y364" s="821">
        <v>0</v>
      </c>
      <c r="Z364" s="821">
        <v>0</v>
      </c>
      <c r="AA364" s="821">
        <v>0</v>
      </c>
      <c r="AB364" s="823">
        <v>0</v>
      </c>
    </row>
    <row r="365" spans="1:28">
      <c r="A365" s="696" t="str">
        <f t="shared" si="5"/>
        <v>National Grid</v>
      </c>
      <c r="B365" s="696" t="str">
        <f>'Lookups-Assumptions'!$D$4</f>
        <v>Gas</v>
      </c>
      <c r="C365" s="696" t="str">
        <f>'Lookups-Assumptions'!$D$6</f>
        <v>Evaluated</v>
      </c>
      <c r="D365" s="696" t="e">
        <f>#REF!</f>
        <v>#REF!</v>
      </c>
      <c r="E365" s="696" t="s">
        <v>972</v>
      </c>
      <c r="F365" s="696" t="s">
        <v>32</v>
      </c>
      <c r="G365" s="696" t="s">
        <v>462</v>
      </c>
      <c r="H365" s="696" t="s">
        <v>741</v>
      </c>
      <c r="I365" s="696" t="s">
        <v>1303</v>
      </c>
      <c r="J365" s="820">
        <v>8551.68</v>
      </c>
      <c r="K365" s="821">
        <v>42758.400000000001</v>
      </c>
      <c r="L365" s="786">
        <v>0</v>
      </c>
      <c r="M365" s="786">
        <v>0</v>
      </c>
      <c r="N365" s="786">
        <v>1710.3360000000002</v>
      </c>
      <c r="O365" s="786">
        <v>11972.352000000003</v>
      </c>
      <c r="P365" s="786">
        <v>0</v>
      </c>
      <c r="Q365" s="786">
        <v>0</v>
      </c>
      <c r="R365" s="786">
        <v>0</v>
      </c>
      <c r="S365" s="786">
        <v>0</v>
      </c>
      <c r="T365" s="786">
        <v>2839157.7600000002</v>
      </c>
      <c r="U365" s="822">
        <v>19874104.32</v>
      </c>
      <c r="V365" s="821">
        <v>0</v>
      </c>
      <c r="W365" s="821">
        <v>106630.91630530077</v>
      </c>
      <c r="X365" s="821">
        <v>0</v>
      </c>
      <c r="Y365" s="821">
        <v>0</v>
      </c>
      <c r="Z365" s="821">
        <v>212024.85439986218</v>
      </c>
      <c r="AA365" s="821">
        <v>0</v>
      </c>
      <c r="AB365" s="823">
        <v>318655.77070516295</v>
      </c>
    </row>
    <row r="366" spans="1:28">
      <c r="A366" s="696" t="str">
        <f t="shared" si="5"/>
        <v>National Grid</v>
      </c>
      <c r="B366" s="696" t="str">
        <f>'Lookups-Assumptions'!$D$4</f>
        <v>Gas</v>
      </c>
      <c r="C366" s="696" t="str">
        <f>'Lookups-Assumptions'!$D$6</f>
        <v>Evaluated</v>
      </c>
      <c r="D366" s="696" t="e">
        <f>#REF!</f>
        <v>#REF!</v>
      </c>
      <c r="E366" s="696" t="s">
        <v>973</v>
      </c>
      <c r="F366" s="696" t="s">
        <v>32</v>
      </c>
      <c r="G366" s="696" t="s">
        <v>462</v>
      </c>
      <c r="H366" s="696" t="s">
        <v>741</v>
      </c>
      <c r="I366" s="696" t="s">
        <v>1304</v>
      </c>
      <c r="J366" s="820">
        <v>8048.64</v>
      </c>
      <c r="K366" s="821">
        <v>80486.400000000009</v>
      </c>
      <c r="L366" s="786">
        <v>0</v>
      </c>
      <c r="M366" s="786">
        <v>0</v>
      </c>
      <c r="N366" s="786">
        <v>9658.3680000000004</v>
      </c>
      <c r="O366" s="786">
        <v>67608.576000000001</v>
      </c>
      <c r="P366" s="786">
        <v>0</v>
      </c>
      <c r="Q366" s="786">
        <v>0</v>
      </c>
      <c r="R366" s="786">
        <v>0</v>
      </c>
      <c r="S366" s="786">
        <v>0</v>
      </c>
      <c r="T366" s="786">
        <v>19324784.640000001</v>
      </c>
      <c r="U366" s="822">
        <v>135273492.48000002</v>
      </c>
      <c r="V366" s="821">
        <v>0</v>
      </c>
      <c r="W366" s="821">
        <v>602151.05678287486</v>
      </c>
      <c r="X366" s="821">
        <v>0</v>
      </c>
      <c r="Y366" s="821">
        <v>0</v>
      </c>
      <c r="Z366" s="821">
        <v>1443151.4540441362</v>
      </c>
      <c r="AA366" s="821">
        <v>0</v>
      </c>
      <c r="AB366" s="823">
        <v>2045302.510827011</v>
      </c>
    </row>
    <row r="367" spans="1:28">
      <c r="A367" s="696" t="str">
        <f t="shared" si="5"/>
        <v>National Grid</v>
      </c>
      <c r="B367" s="696" t="str">
        <f>'Lookups-Assumptions'!$D$4</f>
        <v>Gas</v>
      </c>
      <c r="C367" s="696" t="str">
        <f>'Lookups-Assumptions'!$D$6</f>
        <v>Evaluated</v>
      </c>
      <c r="D367" s="696" t="e">
        <f>#REF!</f>
        <v>#REF!</v>
      </c>
      <c r="E367" s="696" t="s">
        <v>974</v>
      </c>
      <c r="F367" s="696" t="s">
        <v>32</v>
      </c>
      <c r="G367" s="696" t="s">
        <v>462</v>
      </c>
      <c r="H367" s="696" t="s">
        <v>741</v>
      </c>
      <c r="I367" s="696" t="s">
        <v>1305</v>
      </c>
      <c r="J367" s="820">
        <v>11901.9264</v>
      </c>
      <c r="K367" s="821">
        <v>999761.81760000007</v>
      </c>
      <c r="L367" s="786">
        <v>0</v>
      </c>
      <c r="M367" s="786">
        <v>0</v>
      </c>
      <c r="N367" s="786">
        <v>33896.686387200003</v>
      </c>
      <c r="O367" s="786">
        <v>508450.29580800002</v>
      </c>
      <c r="P367" s="786">
        <v>0</v>
      </c>
      <c r="Q367" s="786">
        <v>0</v>
      </c>
      <c r="R367" s="786">
        <v>0</v>
      </c>
      <c r="S367" s="786">
        <v>0</v>
      </c>
      <c r="T367" s="786">
        <v>0</v>
      </c>
      <c r="U367" s="822">
        <v>0</v>
      </c>
      <c r="V367" s="821">
        <v>0</v>
      </c>
      <c r="W367" s="821">
        <v>4618971.1491564149</v>
      </c>
      <c r="X367" s="821">
        <v>0</v>
      </c>
      <c r="Y367" s="821">
        <v>0</v>
      </c>
      <c r="Z367" s="821">
        <v>0</v>
      </c>
      <c r="AA367" s="821">
        <v>318.47978669289358</v>
      </c>
      <c r="AB367" s="823">
        <v>4619289.628943108</v>
      </c>
    </row>
    <row r="368" spans="1:28">
      <c r="A368" s="696" t="str">
        <f t="shared" si="5"/>
        <v>National Grid</v>
      </c>
      <c r="B368" s="696" t="str">
        <f>'Lookups-Assumptions'!$D$4</f>
        <v>Gas</v>
      </c>
      <c r="C368" s="696" t="str">
        <f>'Lookups-Assumptions'!$D$6</f>
        <v>Evaluated</v>
      </c>
      <c r="D368" s="696" t="e">
        <f>#REF!</f>
        <v>#REF!</v>
      </c>
      <c r="E368" s="696" t="s">
        <v>975</v>
      </c>
      <c r="F368" s="696" t="s">
        <v>32</v>
      </c>
      <c r="G368" s="696" t="s">
        <v>462</v>
      </c>
      <c r="H368" s="696" t="s">
        <v>741</v>
      </c>
      <c r="I368" s="696" t="s">
        <v>1309</v>
      </c>
      <c r="J368" s="820">
        <v>4577.6639999999998</v>
      </c>
      <c r="K368" s="821">
        <v>1295478.912</v>
      </c>
      <c r="L368" s="786">
        <v>0</v>
      </c>
      <c r="M368" s="786">
        <v>0</v>
      </c>
      <c r="N368" s="786">
        <v>30212.582399999996</v>
      </c>
      <c r="O368" s="786">
        <v>453188.73599999992</v>
      </c>
      <c r="P368" s="786">
        <v>0</v>
      </c>
      <c r="Q368" s="786">
        <v>0</v>
      </c>
      <c r="R368" s="786">
        <v>0</v>
      </c>
      <c r="S368" s="786">
        <v>0</v>
      </c>
      <c r="T368" s="786">
        <v>0</v>
      </c>
      <c r="U368" s="822">
        <v>0</v>
      </c>
      <c r="V368" s="821">
        <v>0</v>
      </c>
      <c r="W368" s="821">
        <v>4116952.4611646943</v>
      </c>
      <c r="X368" s="821">
        <v>0</v>
      </c>
      <c r="Y368" s="821">
        <v>0</v>
      </c>
      <c r="Z368" s="821">
        <v>0</v>
      </c>
      <c r="AA368" s="821">
        <v>351993.78634737548</v>
      </c>
      <c r="AB368" s="823">
        <v>4468946.2475120695</v>
      </c>
    </row>
    <row r="369" spans="1:28">
      <c r="A369" s="696" t="str">
        <f t="shared" si="5"/>
        <v>National Grid</v>
      </c>
      <c r="B369" s="696" t="str">
        <f>'Lookups-Assumptions'!$D$4</f>
        <v>Gas</v>
      </c>
      <c r="C369" s="696" t="str">
        <f>'Lookups-Assumptions'!$D$6</f>
        <v>Evaluated</v>
      </c>
      <c r="D369" s="696" t="e">
        <f>#REF!</f>
        <v>#REF!</v>
      </c>
      <c r="E369" s="696" t="s">
        <v>976</v>
      </c>
      <c r="F369" s="696" t="s">
        <v>32</v>
      </c>
      <c r="G369" s="696" t="s">
        <v>462</v>
      </c>
      <c r="H369" s="696" t="s">
        <v>741</v>
      </c>
      <c r="I369" s="696" t="s">
        <v>737</v>
      </c>
      <c r="J369" s="820">
        <v>2263.6799999999998</v>
      </c>
      <c r="K369" s="821">
        <v>778705.91999999993</v>
      </c>
      <c r="L369" s="786">
        <v>235.42271999999997</v>
      </c>
      <c r="M369" s="786">
        <v>3531.3407999999995</v>
      </c>
      <c r="N369" s="786">
        <v>14940.287999999999</v>
      </c>
      <c r="O369" s="786">
        <v>224104.31999999998</v>
      </c>
      <c r="P369" s="786">
        <v>0</v>
      </c>
      <c r="Q369" s="786">
        <v>0</v>
      </c>
      <c r="R369" s="786">
        <v>0</v>
      </c>
      <c r="S369" s="786">
        <v>0</v>
      </c>
      <c r="T369" s="786">
        <v>0</v>
      </c>
      <c r="U369" s="822">
        <v>0</v>
      </c>
      <c r="V369" s="821">
        <v>2679228.9911159333</v>
      </c>
      <c r="W369" s="821">
        <v>2035855.61266386</v>
      </c>
      <c r="X369" s="821">
        <v>0</v>
      </c>
      <c r="Y369" s="821">
        <v>0</v>
      </c>
      <c r="Z369" s="821">
        <v>0</v>
      </c>
      <c r="AA369" s="821">
        <v>174062.86138057031</v>
      </c>
      <c r="AB369" s="823">
        <v>4889147.4651603634</v>
      </c>
    </row>
    <row r="370" spans="1:28">
      <c r="A370" s="696" t="str">
        <f t="shared" si="5"/>
        <v>National Grid</v>
      </c>
      <c r="B370" s="696" t="str">
        <f>'Lookups-Assumptions'!$D$4</f>
        <v>Gas</v>
      </c>
      <c r="C370" s="696" t="str">
        <f>'Lookups-Assumptions'!$D$6</f>
        <v>Evaluated</v>
      </c>
      <c r="D370" s="696" t="e">
        <f>#REF!</f>
        <v>#REF!</v>
      </c>
      <c r="E370" s="696" t="s">
        <v>977</v>
      </c>
      <c r="F370" s="696" t="s">
        <v>32</v>
      </c>
      <c r="G370" s="696" t="s">
        <v>462</v>
      </c>
      <c r="H370" s="696" t="s">
        <v>741</v>
      </c>
      <c r="I370" s="696" t="s">
        <v>1384</v>
      </c>
      <c r="J370" s="820">
        <v>14400</v>
      </c>
      <c r="K370" s="821">
        <v>100800</v>
      </c>
      <c r="L370" s="786">
        <v>452.51618983869201</v>
      </c>
      <c r="M370" s="786">
        <v>1810.0647593547681</v>
      </c>
      <c r="N370" s="786">
        <v>0</v>
      </c>
      <c r="O370" s="786">
        <v>0</v>
      </c>
      <c r="P370" s="786">
        <v>0</v>
      </c>
      <c r="Q370" s="786">
        <v>0</v>
      </c>
      <c r="R370" s="786">
        <v>0</v>
      </c>
      <c r="S370" s="786">
        <v>0</v>
      </c>
      <c r="T370" s="786">
        <v>0</v>
      </c>
      <c r="U370" s="822">
        <v>0</v>
      </c>
      <c r="V370" s="821">
        <v>215307.07089156739</v>
      </c>
      <c r="W370" s="821">
        <v>0</v>
      </c>
      <c r="X370" s="821">
        <v>0</v>
      </c>
      <c r="Y370" s="821">
        <v>0</v>
      </c>
      <c r="Z370" s="821">
        <v>0</v>
      </c>
      <c r="AA370" s="821">
        <v>471318.37744136859</v>
      </c>
      <c r="AB370" s="823">
        <v>686625.44833293604</v>
      </c>
    </row>
    <row r="371" spans="1:28">
      <c r="A371" s="696" t="str">
        <f t="shared" si="5"/>
        <v>National Grid</v>
      </c>
      <c r="B371" s="696" t="str">
        <f>'Lookups-Assumptions'!$D$4</f>
        <v>Gas</v>
      </c>
      <c r="C371" s="696" t="str">
        <f>'Lookups-Assumptions'!$D$6</f>
        <v>Evaluated</v>
      </c>
      <c r="D371" s="696" t="e">
        <f>#REF!</f>
        <v>#REF!</v>
      </c>
      <c r="E371" s="696" t="s">
        <v>978</v>
      </c>
      <c r="F371" s="696" t="s">
        <v>32</v>
      </c>
      <c r="G371" s="696" t="s">
        <v>462</v>
      </c>
      <c r="H371" s="696" t="s">
        <v>741</v>
      </c>
      <c r="I371" s="696" t="s">
        <v>413</v>
      </c>
      <c r="J371" s="820">
        <v>31200</v>
      </c>
      <c r="K371" s="821">
        <v>436800</v>
      </c>
      <c r="L371" s="786">
        <v>1352.4451263736551</v>
      </c>
      <c r="M371" s="786">
        <v>12172.006137362896</v>
      </c>
      <c r="N371" s="786">
        <v>0</v>
      </c>
      <c r="O371" s="786">
        <v>0</v>
      </c>
      <c r="P371" s="786">
        <v>0</v>
      </c>
      <c r="Q371" s="786">
        <v>0</v>
      </c>
      <c r="R371" s="786">
        <v>0</v>
      </c>
      <c r="S371" s="786">
        <v>0</v>
      </c>
      <c r="T371" s="786">
        <v>0</v>
      </c>
      <c r="U371" s="822">
        <v>0</v>
      </c>
      <c r="V371" s="821">
        <v>1445664.6431432576</v>
      </c>
      <c r="W371" s="821">
        <v>0</v>
      </c>
      <c r="X371" s="821">
        <v>0</v>
      </c>
      <c r="Y371" s="821">
        <v>0</v>
      </c>
      <c r="Z371" s="821">
        <v>0</v>
      </c>
      <c r="AA371" s="821">
        <v>89115.409285712187</v>
      </c>
      <c r="AB371" s="823">
        <v>1534780.0524289699</v>
      </c>
    </row>
    <row r="372" spans="1:28">
      <c r="A372" s="696" t="str">
        <f t="shared" si="5"/>
        <v>National Grid</v>
      </c>
      <c r="B372" s="696" t="str">
        <f>'Lookups-Assumptions'!$D$4</f>
        <v>Gas</v>
      </c>
      <c r="C372" s="696" t="str">
        <f>'Lookups-Assumptions'!$D$6</f>
        <v>Evaluated</v>
      </c>
      <c r="D372" s="696" t="e">
        <f>#REF!</f>
        <v>#REF!</v>
      </c>
      <c r="E372" s="696" t="s">
        <v>979</v>
      </c>
      <c r="F372" s="696" t="s">
        <v>32</v>
      </c>
      <c r="G372" s="696" t="s">
        <v>462</v>
      </c>
      <c r="H372" s="696" t="s">
        <v>741</v>
      </c>
      <c r="I372" s="696" t="s">
        <v>414</v>
      </c>
      <c r="J372" s="820">
        <v>1833</v>
      </c>
      <c r="K372" s="821">
        <v>5636475</v>
      </c>
      <c r="L372" s="786">
        <v>0</v>
      </c>
      <c r="M372" s="786">
        <v>0</v>
      </c>
      <c r="N372" s="786">
        <v>20896.2</v>
      </c>
      <c r="O372" s="786">
        <v>417924</v>
      </c>
      <c r="P372" s="786">
        <v>0</v>
      </c>
      <c r="Q372" s="786">
        <v>0</v>
      </c>
      <c r="R372" s="786">
        <v>0</v>
      </c>
      <c r="S372" s="786">
        <v>0</v>
      </c>
      <c r="T372" s="786">
        <v>0</v>
      </c>
      <c r="U372" s="822">
        <v>0</v>
      </c>
      <c r="V372" s="821">
        <v>0</v>
      </c>
      <c r="W372" s="821">
        <v>3847826.4798477199</v>
      </c>
      <c r="X372" s="821">
        <v>0</v>
      </c>
      <c r="Y372" s="821">
        <v>0</v>
      </c>
      <c r="Z372" s="821">
        <v>0</v>
      </c>
      <c r="AA372" s="821">
        <v>5511.0845216164116</v>
      </c>
      <c r="AB372" s="823">
        <v>3853337.5643693362</v>
      </c>
    </row>
    <row r="373" spans="1:28">
      <c r="A373" s="696" t="str">
        <f t="shared" si="5"/>
        <v>National Grid</v>
      </c>
      <c r="B373" s="696" t="str">
        <f>'Lookups-Assumptions'!$D$4</f>
        <v>Gas</v>
      </c>
      <c r="C373" s="696" t="str">
        <f>'Lookups-Assumptions'!$D$6</f>
        <v>Evaluated</v>
      </c>
      <c r="D373" s="696" t="e">
        <f>#REF!</f>
        <v>#REF!</v>
      </c>
      <c r="E373" s="696" t="s">
        <v>980</v>
      </c>
      <c r="F373" s="696" t="s">
        <v>32</v>
      </c>
      <c r="G373" s="696" t="s">
        <v>462</v>
      </c>
      <c r="H373" s="696" t="s">
        <v>741</v>
      </c>
      <c r="I373" s="696" t="s">
        <v>742</v>
      </c>
      <c r="J373" s="820">
        <v>1833</v>
      </c>
      <c r="K373" s="821">
        <v>0</v>
      </c>
      <c r="L373" s="786">
        <v>0</v>
      </c>
      <c r="M373" s="786">
        <v>0</v>
      </c>
      <c r="N373" s="786">
        <v>12831</v>
      </c>
      <c r="O373" s="786">
        <v>128310</v>
      </c>
      <c r="P373" s="786">
        <v>0</v>
      </c>
      <c r="Q373" s="786">
        <v>0</v>
      </c>
      <c r="R373" s="786">
        <v>0</v>
      </c>
      <c r="S373" s="786">
        <v>0</v>
      </c>
      <c r="T373" s="786">
        <v>0</v>
      </c>
      <c r="U373" s="822">
        <v>0</v>
      </c>
      <c r="V373" s="821">
        <v>0</v>
      </c>
      <c r="W373" s="821">
        <v>1169257.553417468</v>
      </c>
      <c r="X373" s="821">
        <v>0</v>
      </c>
      <c r="Y373" s="821">
        <v>0</v>
      </c>
      <c r="Z373" s="821">
        <v>0</v>
      </c>
      <c r="AA373" s="821">
        <v>1176297.3034108656</v>
      </c>
      <c r="AB373" s="823">
        <v>2345554.8568283338</v>
      </c>
    </row>
    <row r="374" spans="1:28">
      <c r="A374" s="696" t="str">
        <f t="shared" si="5"/>
        <v>National Grid</v>
      </c>
      <c r="B374" s="696" t="str">
        <f>'Lookups-Assumptions'!$D$4</f>
        <v>Gas</v>
      </c>
      <c r="C374" s="696" t="str">
        <f>'Lookups-Assumptions'!$D$6</f>
        <v>Evaluated</v>
      </c>
      <c r="D374" s="696" t="e">
        <f>#REF!</f>
        <v>#REF!</v>
      </c>
      <c r="E374" s="696" t="s">
        <v>981</v>
      </c>
      <c r="F374" s="696" t="s">
        <v>32</v>
      </c>
      <c r="G374" s="696" t="s">
        <v>462</v>
      </c>
      <c r="H374" s="696" t="s">
        <v>741</v>
      </c>
      <c r="I374" s="696" t="s">
        <v>743</v>
      </c>
      <c r="J374" s="820">
        <v>246</v>
      </c>
      <c r="K374" s="821">
        <v>467400</v>
      </c>
      <c r="L374" s="786">
        <v>0</v>
      </c>
      <c r="M374" s="786">
        <v>0</v>
      </c>
      <c r="N374" s="786">
        <v>713.4</v>
      </c>
      <c r="O374" s="786">
        <v>14268</v>
      </c>
      <c r="P374" s="786">
        <v>0</v>
      </c>
      <c r="Q374" s="786">
        <v>0</v>
      </c>
      <c r="R374" s="786">
        <v>0</v>
      </c>
      <c r="S374" s="786">
        <v>0</v>
      </c>
      <c r="T374" s="786">
        <v>0</v>
      </c>
      <c r="U374" s="822">
        <v>0</v>
      </c>
      <c r="V374" s="821">
        <v>0</v>
      </c>
      <c r="W374" s="821">
        <v>131365.48323251898</v>
      </c>
      <c r="X374" s="821">
        <v>0</v>
      </c>
      <c r="Y374" s="821">
        <v>0</v>
      </c>
      <c r="Z374" s="821">
        <v>0</v>
      </c>
      <c r="AA374" s="821">
        <v>739156.69214045594</v>
      </c>
      <c r="AB374" s="823">
        <v>870522.17537297495</v>
      </c>
    </row>
    <row r="375" spans="1:28">
      <c r="A375" s="696" t="str">
        <f t="shared" si="5"/>
        <v>National Grid</v>
      </c>
      <c r="B375" s="696" t="str">
        <f>'Lookups-Assumptions'!$D$4</f>
        <v>Gas</v>
      </c>
      <c r="C375" s="696" t="str">
        <f>'Lookups-Assumptions'!$D$6</f>
        <v>Evaluated</v>
      </c>
      <c r="D375" s="696" t="e">
        <f>#REF!</f>
        <v>#REF!</v>
      </c>
      <c r="E375" s="696" t="s">
        <v>982</v>
      </c>
      <c r="F375" s="696" t="s">
        <v>32</v>
      </c>
      <c r="G375" s="696" t="s">
        <v>462</v>
      </c>
      <c r="H375" s="696" t="s">
        <v>741</v>
      </c>
      <c r="I375" s="696" t="s">
        <v>744</v>
      </c>
      <c r="J375" s="820">
        <v>246</v>
      </c>
      <c r="K375" s="821">
        <v>0</v>
      </c>
      <c r="L375" s="786">
        <v>0</v>
      </c>
      <c r="M375" s="786">
        <v>0</v>
      </c>
      <c r="N375" s="786">
        <v>1968</v>
      </c>
      <c r="O375" s="786">
        <v>19680</v>
      </c>
      <c r="P375" s="786">
        <v>0</v>
      </c>
      <c r="Q375" s="786">
        <v>0</v>
      </c>
      <c r="R375" s="786">
        <v>0</v>
      </c>
      <c r="S375" s="786">
        <v>0</v>
      </c>
      <c r="T375" s="786">
        <v>0</v>
      </c>
      <c r="U375" s="822">
        <v>0</v>
      </c>
      <c r="V375" s="821">
        <v>0</v>
      </c>
      <c r="W375" s="821">
        <v>179339.01216784172</v>
      </c>
      <c r="X375" s="821">
        <v>0</v>
      </c>
      <c r="Y375" s="821">
        <v>0</v>
      </c>
      <c r="Z375" s="821">
        <v>0</v>
      </c>
      <c r="AA375" s="821">
        <v>157866.41387838131</v>
      </c>
      <c r="AB375" s="823">
        <v>337205.42604622303</v>
      </c>
    </row>
    <row r="376" spans="1:28">
      <c r="A376" s="696" t="str">
        <f t="shared" si="5"/>
        <v>National Grid</v>
      </c>
      <c r="B376" s="696" t="str">
        <f>'Lookups-Assumptions'!$D$4</f>
        <v>Gas</v>
      </c>
      <c r="C376" s="696" t="str">
        <f>'Lookups-Assumptions'!$D$6</f>
        <v>Evaluated</v>
      </c>
      <c r="D376" s="696" t="e">
        <f>#REF!</f>
        <v>#REF!</v>
      </c>
      <c r="E376" s="696" t="s">
        <v>983</v>
      </c>
      <c r="F376" s="696" t="s">
        <v>32</v>
      </c>
      <c r="G376" s="696" t="s">
        <v>462</v>
      </c>
      <c r="H376" s="696" t="s">
        <v>741</v>
      </c>
      <c r="I376" s="696" t="s">
        <v>745</v>
      </c>
      <c r="J376" s="820">
        <v>867</v>
      </c>
      <c r="K376" s="821">
        <v>867000</v>
      </c>
      <c r="L376" s="786">
        <v>145.65600000000001</v>
      </c>
      <c r="M376" s="786">
        <v>2621.808</v>
      </c>
      <c r="N376" s="786">
        <v>6242.4000000000005</v>
      </c>
      <c r="O376" s="786">
        <v>112363.20000000001</v>
      </c>
      <c r="P376" s="786">
        <v>0</v>
      </c>
      <c r="Q376" s="786">
        <v>0</v>
      </c>
      <c r="R376" s="786">
        <v>0</v>
      </c>
      <c r="S376" s="786">
        <v>0</v>
      </c>
      <c r="T376" s="786">
        <v>0</v>
      </c>
      <c r="U376" s="822">
        <v>0</v>
      </c>
      <c r="V376" s="821">
        <v>229633.59667944838</v>
      </c>
      <c r="W376" s="821">
        <v>1028239.6362930883</v>
      </c>
      <c r="X376" s="821">
        <v>0</v>
      </c>
      <c r="Y376" s="821">
        <v>0</v>
      </c>
      <c r="Z376" s="821">
        <v>0</v>
      </c>
      <c r="AA376" s="821">
        <v>2383068.7543350514</v>
      </c>
      <c r="AB376" s="823">
        <v>3640941.9873075881</v>
      </c>
    </row>
    <row r="377" spans="1:28">
      <c r="A377" s="696" t="str">
        <f t="shared" si="5"/>
        <v>National Grid</v>
      </c>
      <c r="B377" s="696" t="str">
        <f>'Lookups-Assumptions'!$D$4</f>
        <v>Gas</v>
      </c>
      <c r="C377" s="696" t="str">
        <f>'Lookups-Assumptions'!$D$6</f>
        <v>Evaluated</v>
      </c>
      <c r="D377" s="696" t="e">
        <f>#REF!</f>
        <v>#REF!</v>
      </c>
      <c r="E377" s="696" t="s">
        <v>984</v>
      </c>
      <c r="F377" s="696" t="s">
        <v>32</v>
      </c>
      <c r="G377" s="696" t="s">
        <v>462</v>
      </c>
      <c r="H377" s="696" t="s">
        <v>741</v>
      </c>
      <c r="I377" s="696" t="s">
        <v>746</v>
      </c>
      <c r="J377" s="820">
        <v>867</v>
      </c>
      <c r="K377" s="821">
        <v>0</v>
      </c>
      <c r="L377" s="786">
        <v>0</v>
      </c>
      <c r="M377" s="786">
        <v>0</v>
      </c>
      <c r="N377" s="786">
        <v>5375.4000000000005</v>
      </c>
      <c r="O377" s="786">
        <v>32252.400000000001</v>
      </c>
      <c r="P377" s="786">
        <v>0</v>
      </c>
      <c r="Q377" s="786">
        <v>0</v>
      </c>
      <c r="R377" s="786">
        <v>0</v>
      </c>
      <c r="S377" s="786">
        <v>0</v>
      </c>
      <c r="T377" s="786">
        <v>0</v>
      </c>
      <c r="U377" s="822">
        <v>0</v>
      </c>
      <c r="V377" s="821">
        <v>0</v>
      </c>
      <c r="W377" s="821">
        <v>304626.32521188498</v>
      </c>
      <c r="X377" s="821">
        <v>0</v>
      </c>
      <c r="Y377" s="821">
        <v>0</v>
      </c>
      <c r="Z377" s="821">
        <v>0</v>
      </c>
      <c r="AA377" s="821">
        <v>453119.77288662258</v>
      </c>
      <c r="AB377" s="823">
        <v>757746.09809850762</v>
      </c>
    </row>
    <row r="378" spans="1:28">
      <c r="A378" s="696" t="str">
        <f t="shared" si="5"/>
        <v>National Grid</v>
      </c>
      <c r="B378" s="696" t="str">
        <f>'Lookups-Assumptions'!$D$4</f>
        <v>Gas</v>
      </c>
      <c r="C378" s="696" t="str">
        <f>'Lookups-Assumptions'!$D$6</f>
        <v>Evaluated</v>
      </c>
      <c r="D378" s="696" t="e">
        <f>#REF!</f>
        <v>#REF!</v>
      </c>
      <c r="E378" s="696" t="s">
        <v>990</v>
      </c>
      <c r="F378" s="696" t="s">
        <v>32</v>
      </c>
      <c r="G378" s="696" t="s">
        <v>462</v>
      </c>
      <c r="H378" s="696" t="s">
        <v>741</v>
      </c>
      <c r="I378" s="696" t="s">
        <v>747</v>
      </c>
      <c r="J378" s="820">
        <v>3360</v>
      </c>
      <c r="K378" s="821">
        <v>71232</v>
      </c>
      <c r="L378" s="786">
        <v>265.44</v>
      </c>
      <c r="M378" s="786">
        <v>1327.2</v>
      </c>
      <c r="N378" s="786">
        <v>0</v>
      </c>
      <c r="O378" s="786">
        <v>0</v>
      </c>
      <c r="P378" s="786">
        <v>0</v>
      </c>
      <c r="Q378" s="786">
        <v>0</v>
      </c>
      <c r="R378" s="786">
        <v>0</v>
      </c>
      <c r="S378" s="786">
        <v>0</v>
      </c>
      <c r="T378" s="786">
        <v>0</v>
      </c>
      <c r="U378" s="822">
        <v>0</v>
      </c>
      <c r="V378" s="821">
        <v>162676.97342795884</v>
      </c>
      <c r="W378" s="821">
        <v>0</v>
      </c>
      <c r="X378" s="821">
        <v>0</v>
      </c>
      <c r="Y378" s="821">
        <v>0</v>
      </c>
      <c r="Z378" s="821">
        <v>0</v>
      </c>
      <c r="AA378" s="821">
        <v>3454997.3502713935</v>
      </c>
      <c r="AB378" s="823">
        <v>3617674.3236993523</v>
      </c>
    </row>
    <row r="379" spans="1:28">
      <c r="A379" s="696" t="str">
        <f t="shared" si="5"/>
        <v>National Grid</v>
      </c>
      <c r="B379" s="696" t="str">
        <f>'Lookups-Assumptions'!$D$4</f>
        <v>Gas</v>
      </c>
      <c r="C379" s="696" t="str">
        <f>'Lookups-Assumptions'!$D$6</f>
        <v>Evaluated</v>
      </c>
      <c r="D379" s="696" t="e">
        <f>#REF!</f>
        <v>#REF!</v>
      </c>
      <c r="E379" s="696" t="s">
        <v>991</v>
      </c>
      <c r="F379" s="696" t="s">
        <v>32</v>
      </c>
      <c r="G379" s="696" t="s">
        <v>462</v>
      </c>
      <c r="H379" s="696" t="s">
        <v>741</v>
      </c>
      <c r="I379" s="696" t="s">
        <v>916</v>
      </c>
      <c r="J379" s="820">
        <v>1</v>
      </c>
      <c r="K379" s="821">
        <v>480176.2751159555</v>
      </c>
      <c r="L379" s="786">
        <v>0</v>
      </c>
      <c r="M379" s="786">
        <v>0</v>
      </c>
      <c r="N379" s="786">
        <v>381.5</v>
      </c>
      <c r="O379" s="786">
        <v>9537.5</v>
      </c>
      <c r="P379" s="786">
        <v>0</v>
      </c>
      <c r="Q379" s="786">
        <v>0</v>
      </c>
      <c r="R379" s="786">
        <v>0</v>
      </c>
      <c r="S379" s="786">
        <v>0</v>
      </c>
      <c r="T379" s="786">
        <v>0</v>
      </c>
      <c r="U379" s="822">
        <v>0</v>
      </c>
      <c r="V379" s="821">
        <v>0</v>
      </c>
      <c r="W379" s="821">
        <v>89397.802097773398</v>
      </c>
      <c r="X379" s="821">
        <v>0</v>
      </c>
      <c r="Y379" s="821">
        <v>0</v>
      </c>
      <c r="Z379" s="821">
        <v>0</v>
      </c>
      <c r="AA379" s="821">
        <v>0</v>
      </c>
      <c r="AB379" s="823">
        <v>89397.802097773398</v>
      </c>
    </row>
    <row r="380" spans="1:28">
      <c r="A380" s="696" t="str">
        <f t="shared" si="5"/>
        <v>National Grid</v>
      </c>
      <c r="B380" s="696" t="str">
        <f>'Lookups-Assumptions'!$D$4</f>
        <v>Gas</v>
      </c>
      <c r="C380" s="696" t="str">
        <f>'Lookups-Assumptions'!$D$6</f>
        <v>Evaluated</v>
      </c>
      <c r="D380" s="696" t="e">
        <f>#REF!</f>
        <v>#REF!</v>
      </c>
      <c r="E380" s="696" t="s">
        <v>992</v>
      </c>
      <c r="F380" s="696" t="s">
        <v>32</v>
      </c>
      <c r="G380" s="696" t="s">
        <v>462</v>
      </c>
      <c r="H380" s="696" t="s">
        <v>741</v>
      </c>
      <c r="I380" s="696" t="s">
        <v>927</v>
      </c>
      <c r="J380" s="820">
        <v>3018.24</v>
      </c>
      <c r="K380" s="821">
        <v>150912</v>
      </c>
      <c r="L380" s="786">
        <v>0</v>
      </c>
      <c r="M380" s="786">
        <v>0</v>
      </c>
      <c r="N380" s="786">
        <v>2474.9567999999995</v>
      </c>
      <c r="O380" s="786">
        <v>29699.481599999992</v>
      </c>
      <c r="P380" s="786">
        <v>0</v>
      </c>
      <c r="Q380" s="786">
        <v>0</v>
      </c>
      <c r="R380" s="786">
        <v>0</v>
      </c>
      <c r="S380" s="786">
        <v>0</v>
      </c>
      <c r="T380" s="786">
        <v>0</v>
      </c>
      <c r="U380" s="822">
        <v>0</v>
      </c>
      <c r="V380" s="821">
        <v>0</v>
      </c>
      <c r="W380" s="821">
        <v>257607.14699841783</v>
      </c>
      <c r="X380" s="821">
        <v>0</v>
      </c>
      <c r="Y380" s="821">
        <v>0</v>
      </c>
      <c r="Z380" s="821">
        <v>0</v>
      </c>
      <c r="AA380" s="821">
        <v>0</v>
      </c>
      <c r="AB380" s="823">
        <v>257607.14699841783</v>
      </c>
    </row>
    <row r="381" spans="1:28">
      <c r="A381" s="696" t="str">
        <f t="shared" si="5"/>
        <v>National Grid</v>
      </c>
      <c r="B381" s="696" t="str">
        <f>'Lookups-Assumptions'!$D$4</f>
        <v>Gas</v>
      </c>
      <c r="C381" s="696" t="str">
        <f>'Lookups-Assumptions'!$D$6</f>
        <v>Evaluated</v>
      </c>
      <c r="D381" s="696" t="e">
        <f>#REF!</f>
        <v>#REF!</v>
      </c>
      <c r="E381" s="696" t="s">
        <v>993</v>
      </c>
      <c r="F381" s="696" t="s">
        <v>32</v>
      </c>
      <c r="G381" s="696" t="s">
        <v>462</v>
      </c>
      <c r="H381" s="696" t="s">
        <v>741</v>
      </c>
      <c r="I381" s="696" t="s">
        <v>929</v>
      </c>
      <c r="J381" s="820">
        <v>3018.24</v>
      </c>
      <c r="K381" s="821">
        <v>0</v>
      </c>
      <c r="L381" s="786">
        <v>0</v>
      </c>
      <c r="M381" s="786">
        <v>0</v>
      </c>
      <c r="N381" s="786">
        <v>1056.3839999999998</v>
      </c>
      <c r="O381" s="786">
        <v>4225.5359999999991</v>
      </c>
      <c r="P381" s="786">
        <v>0</v>
      </c>
      <c r="Q381" s="786">
        <v>0</v>
      </c>
      <c r="R381" s="786">
        <v>0</v>
      </c>
      <c r="S381" s="786">
        <v>0</v>
      </c>
      <c r="T381" s="786">
        <v>0</v>
      </c>
      <c r="U381" s="822">
        <v>0</v>
      </c>
      <c r="V381" s="821">
        <v>0</v>
      </c>
      <c r="W381" s="821">
        <v>40476.223459327448</v>
      </c>
      <c r="X381" s="821">
        <v>0</v>
      </c>
      <c r="Y381" s="821">
        <v>0</v>
      </c>
      <c r="Z381" s="821">
        <v>0</v>
      </c>
      <c r="AA381" s="821">
        <v>0</v>
      </c>
      <c r="AB381" s="823">
        <v>40476.223459327448</v>
      </c>
    </row>
    <row r="382" spans="1:28">
      <c r="A382" s="696" t="str">
        <f t="shared" si="5"/>
        <v>National Grid</v>
      </c>
      <c r="B382" s="696" t="str">
        <f>'Lookups-Assumptions'!$D$4</f>
        <v>Gas</v>
      </c>
      <c r="C382" s="696" t="str">
        <f>'Lookups-Assumptions'!$D$6</f>
        <v>Evaluated</v>
      </c>
      <c r="D382" s="696" t="e">
        <f>#REF!</f>
        <v>#REF!</v>
      </c>
      <c r="E382" s="696" t="s">
        <v>994</v>
      </c>
      <c r="F382" s="696" t="s">
        <v>32</v>
      </c>
      <c r="G382" s="696" t="s">
        <v>462</v>
      </c>
      <c r="H382" s="696" t="s">
        <v>741</v>
      </c>
      <c r="I382" s="696" t="s">
        <v>930</v>
      </c>
      <c r="J382" s="820">
        <v>251.52</v>
      </c>
      <c r="K382" s="821">
        <v>12576</v>
      </c>
      <c r="L382" s="786">
        <v>0</v>
      </c>
      <c r="M382" s="786">
        <v>0</v>
      </c>
      <c r="N382" s="786">
        <v>80.486400000000003</v>
      </c>
      <c r="O382" s="786">
        <v>965.83680000000004</v>
      </c>
      <c r="P382" s="786">
        <v>0</v>
      </c>
      <c r="Q382" s="786">
        <v>0</v>
      </c>
      <c r="R382" s="786">
        <v>0</v>
      </c>
      <c r="S382" s="786">
        <v>0</v>
      </c>
      <c r="T382" s="786">
        <v>0</v>
      </c>
      <c r="U382" s="822">
        <v>0</v>
      </c>
      <c r="V382" s="821">
        <v>0</v>
      </c>
      <c r="W382" s="821">
        <v>7254.2683616340992</v>
      </c>
      <c r="X382" s="821">
        <v>0</v>
      </c>
      <c r="Y382" s="821">
        <v>0</v>
      </c>
      <c r="Z382" s="821">
        <v>0</v>
      </c>
      <c r="AA382" s="821">
        <v>0</v>
      </c>
      <c r="AB382" s="823">
        <v>7254.2683616340992</v>
      </c>
    </row>
    <row r="383" spans="1:28">
      <c r="A383" s="696" t="str">
        <f t="shared" si="5"/>
        <v>National Grid</v>
      </c>
      <c r="B383" s="696" t="str">
        <f>'Lookups-Assumptions'!$D$4</f>
        <v>Gas</v>
      </c>
      <c r="C383" s="696" t="str">
        <f>'Lookups-Assumptions'!$D$6</f>
        <v>Evaluated</v>
      </c>
      <c r="D383" s="696" t="e">
        <f>#REF!</f>
        <v>#REF!</v>
      </c>
      <c r="E383" s="696" t="s">
        <v>995</v>
      </c>
      <c r="F383" s="696" t="s">
        <v>32</v>
      </c>
      <c r="G383" s="696" t="s">
        <v>462</v>
      </c>
      <c r="H383" s="696" t="s">
        <v>741</v>
      </c>
      <c r="I383" s="696" t="s">
        <v>931</v>
      </c>
      <c r="J383" s="820">
        <v>251.52</v>
      </c>
      <c r="K383" s="821">
        <v>0</v>
      </c>
      <c r="L383" s="786">
        <v>0</v>
      </c>
      <c r="M383" s="786">
        <v>0</v>
      </c>
      <c r="N383" s="786">
        <v>158.45760000000001</v>
      </c>
      <c r="O383" s="786">
        <v>633.83040000000005</v>
      </c>
      <c r="P383" s="786">
        <v>0</v>
      </c>
      <c r="Q383" s="786">
        <v>0</v>
      </c>
      <c r="R383" s="786">
        <v>0</v>
      </c>
      <c r="S383" s="786">
        <v>0</v>
      </c>
      <c r="T383" s="786">
        <v>0</v>
      </c>
      <c r="U383" s="822">
        <v>0</v>
      </c>
      <c r="V383" s="821">
        <v>0</v>
      </c>
      <c r="W383" s="821">
        <v>5308.5605095967585</v>
      </c>
      <c r="X383" s="821">
        <v>0</v>
      </c>
      <c r="Y383" s="821">
        <v>0</v>
      </c>
      <c r="Z383" s="821">
        <v>0</v>
      </c>
      <c r="AA383" s="821">
        <v>0</v>
      </c>
      <c r="AB383" s="823">
        <v>5308.5605095967585</v>
      </c>
    </row>
    <row r="384" spans="1:28">
      <c r="A384" s="696" t="str">
        <f t="shared" si="5"/>
        <v>National Grid</v>
      </c>
      <c r="B384" s="696" t="str">
        <f>'Lookups-Assumptions'!$D$4</f>
        <v>Gas</v>
      </c>
      <c r="C384" s="696" t="str">
        <f>'Lookups-Assumptions'!$D$6</f>
        <v>Evaluated</v>
      </c>
      <c r="D384" s="696" t="e">
        <f>#REF!</f>
        <v>#REF!</v>
      </c>
      <c r="E384" s="696" t="s">
        <v>996</v>
      </c>
      <c r="F384" s="696" t="s">
        <v>32</v>
      </c>
      <c r="G384" s="696" t="s">
        <v>462</v>
      </c>
      <c r="H384" s="696" t="s">
        <v>741</v>
      </c>
      <c r="I384" s="696" t="s">
        <v>932</v>
      </c>
      <c r="J384" s="820">
        <v>251.52</v>
      </c>
      <c r="K384" s="821">
        <v>12576</v>
      </c>
      <c r="L384" s="786">
        <v>0</v>
      </c>
      <c r="M384" s="786">
        <v>0</v>
      </c>
      <c r="N384" s="786">
        <v>286.7328</v>
      </c>
      <c r="O384" s="786">
        <v>3440.7936</v>
      </c>
      <c r="P384" s="786">
        <v>0</v>
      </c>
      <c r="Q384" s="786">
        <v>0</v>
      </c>
      <c r="R384" s="786">
        <v>0</v>
      </c>
      <c r="S384" s="786">
        <v>0</v>
      </c>
      <c r="T384" s="786">
        <v>0</v>
      </c>
      <c r="U384" s="822">
        <v>0</v>
      </c>
      <c r="V384" s="821">
        <v>0</v>
      </c>
      <c r="W384" s="821">
        <v>28721.530611502254</v>
      </c>
      <c r="X384" s="821">
        <v>0</v>
      </c>
      <c r="Y384" s="821">
        <v>0</v>
      </c>
      <c r="Z384" s="821">
        <v>0</v>
      </c>
      <c r="AA384" s="821">
        <v>0</v>
      </c>
      <c r="AB384" s="823">
        <v>28721.530611502254</v>
      </c>
    </row>
    <row r="385" spans="1:28">
      <c r="A385" s="696" t="str">
        <f t="shared" si="5"/>
        <v>National Grid</v>
      </c>
      <c r="B385" s="696" t="str">
        <f>'Lookups-Assumptions'!$D$4</f>
        <v>Gas</v>
      </c>
      <c r="C385" s="696" t="str">
        <f>'Lookups-Assumptions'!$D$6</f>
        <v>Evaluated</v>
      </c>
      <c r="D385" s="696" t="e">
        <f>#REF!</f>
        <v>#REF!</v>
      </c>
      <c r="E385" s="696" t="s">
        <v>997</v>
      </c>
      <c r="F385" s="696" t="s">
        <v>32</v>
      </c>
      <c r="G385" s="696" t="s">
        <v>462</v>
      </c>
      <c r="H385" s="696" t="s">
        <v>741</v>
      </c>
      <c r="I385" s="696" t="s">
        <v>933</v>
      </c>
      <c r="J385" s="820">
        <v>251.52</v>
      </c>
      <c r="K385" s="821">
        <v>0</v>
      </c>
      <c r="L385" s="786">
        <v>0</v>
      </c>
      <c r="M385" s="786">
        <v>0</v>
      </c>
      <c r="N385" s="786">
        <v>246.4896</v>
      </c>
      <c r="O385" s="786">
        <v>985.95839999999998</v>
      </c>
      <c r="P385" s="786">
        <v>0</v>
      </c>
      <c r="Q385" s="786">
        <v>0</v>
      </c>
      <c r="R385" s="786">
        <v>0</v>
      </c>
      <c r="S385" s="786">
        <v>0</v>
      </c>
      <c r="T385" s="786">
        <v>0</v>
      </c>
      <c r="U385" s="822">
        <v>0</v>
      </c>
      <c r="V385" s="821">
        <v>0</v>
      </c>
      <c r="W385" s="821">
        <v>8681.5791312073798</v>
      </c>
      <c r="X385" s="821">
        <v>0</v>
      </c>
      <c r="Y385" s="821">
        <v>0</v>
      </c>
      <c r="Z385" s="821">
        <v>0</v>
      </c>
      <c r="AA385" s="821">
        <v>0</v>
      </c>
      <c r="AB385" s="823">
        <v>8681.5791312073798</v>
      </c>
    </row>
    <row r="386" spans="1:28">
      <c r="A386" s="696" t="str">
        <f t="shared" si="5"/>
        <v>National Grid</v>
      </c>
      <c r="B386" s="696" t="str">
        <f>'Lookups-Assumptions'!$D$4</f>
        <v>Gas</v>
      </c>
      <c r="C386" s="696" t="str">
        <f>'Lookups-Assumptions'!$D$6</f>
        <v>Evaluated</v>
      </c>
      <c r="D386" s="696" t="e">
        <f>#REF!</f>
        <v>#REF!</v>
      </c>
      <c r="E386" s="696" t="s">
        <v>1236</v>
      </c>
      <c r="F386" s="696" t="s">
        <v>32</v>
      </c>
      <c r="G386" s="696" t="s">
        <v>462</v>
      </c>
      <c r="H386" s="696" t="s">
        <v>748</v>
      </c>
      <c r="I386" s="696" t="s">
        <v>1383</v>
      </c>
      <c r="J386" s="820">
        <v>402686.93323225883</v>
      </c>
      <c r="K386" s="821">
        <v>2355225</v>
      </c>
      <c r="L386" s="786">
        <v>0</v>
      </c>
      <c r="M386" s="786">
        <v>0</v>
      </c>
      <c r="N386" s="786">
        <v>478306.95510522911</v>
      </c>
      <c r="O386" s="786">
        <v>478306.95510522911</v>
      </c>
      <c r="P386" s="786">
        <v>0</v>
      </c>
      <c r="Q386" s="786">
        <v>0</v>
      </c>
      <c r="R386" s="786">
        <v>0</v>
      </c>
      <c r="S386" s="786">
        <v>0</v>
      </c>
      <c r="T386" s="786">
        <v>0</v>
      </c>
      <c r="U386" s="822">
        <v>0</v>
      </c>
      <c r="V386" s="821">
        <v>0</v>
      </c>
      <c r="W386" s="821">
        <v>5448992.7998120766</v>
      </c>
      <c r="X386" s="821">
        <v>0</v>
      </c>
      <c r="Y386" s="821">
        <v>0</v>
      </c>
      <c r="Z386" s="821">
        <v>0</v>
      </c>
      <c r="AA386" s="821">
        <v>0</v>
      </c>
      <c r="AB386" s="823">
        <v>5448992.7998120766</v>
      </c>
    </row>
    <row r="387" spans="1:28">
      <c r="A387" s="696" t="str">
        <f t="shared" si="5"/>
        <v>National Grid</v>
      </c>
      <c r="B387" s="696" t="str">
        <f>'Lookups-Assumptions'!$D$4</f>
        <v>Gas</v>
      </c>
      <c r="C387" s="696" t="str">
        <f>'Lookups-Assumptions'!$D$6</f>
        <v>Evaluated</v>
      </c>
      <c r="D387" s="696" t="e">
        <f>#REF!</f>
        <v>#REF!</v>
      </c>
      <c r="E387" s="696" t="s">
        <v>998</v>
      </c>
      <c r="F387" s="696" t="s">
        <v>32</v>
      </c>
      <c r="G387" s="696" t="s">
        <v>465</v>
      </c>
      <c r="H387" s="696" t="s">
        <v>910</v>
      </c>
      <c r="I387" s="696" t="s">
        <v>1313</v>
      </c>
      <c r="J387" s="820">
        <v>400</v>
      </c>
      <c r="K387" s="821">
        <v>400000</v>
      </c>
      <c r="L387" s="786">
        <v>0</v>
      </c>
      <c r="M387" s="786">
        <v>0</v>
      </c>
      <c r="N387" s="786">
        <v>3465.5999999999995</v>
      </c>
      <c r="O387" s="786">
        <v>69311.999999999985</v>
      </c>
      <c r="P387" s="786">
        <v>0</v>
      </c>
      <c r="Q387" s="786">
        <v>0</v>
      </c>
      <c r="R387" s="786">
        <v>0</v>
      </c>
      <c r="S387" s="786">
        <v>0</v>
      </c>
      <c r="T387" s="786">
        <v>0</v>
      </c>
      <c r="U387" s="822">
        <v>0</v>
      </c>
      <c r="V387" s="821">
        <v>0</v>
      </c>
      <c r="W387" s="821">
        <v>638155.61913459178</v>
      </c>
      <c r="X387" s="821">
        <v>0</v>
      </c>
      <c r="Y387" s="821">
        <v>0</v>
      </c>
      <c r="Z387" s="821">
        <v>0</v>
      </c>
      <c r="AA387" s="821">
        <v>406660.07574778481</v>
      </c>
      <c r="AB387" s="823">
        <v>1044815.6948823766</v>
      </c>
    </row>
    <row r="388" spans="1:28">
      <c r="A388" s="696" t="str">
        <f t="shared" si="5"/>
        <v>National Grid</v>
      </c>
      <c r="B388" s="696" t="str">
        <f>'Lookups-Assumptions'!$D$4</f>
        <v>Gas</v>
      </c>
      <c r="C388" s="696" t="str">
        <f>'Lookups-Assumptions'!$D$6</f>
        <v>Evaluated</v>
      </c>
      <c r="D388" s="696" t="e">
        <f>#REF!</f>
        <v>#REF!</v>
      </c>
      <c r="E388" s="696" t="s">
        <v>999</v>
      </c>
      <c r="F388" s="696" t="s">
        <v>32</v>
      </c>
      <c r="G388" s="696" t="s">
        <v>465</v>
      </c>
      <c r="H388" s="696" t="s">
        <v>910</v>
      </c>
      <c r="I388" s="696" t="s">
        <v>1314</v>
      </c>
      <c r="J388" s="820">
        <v>3100</v>
      </c>
      <c r="K388" s="821">
        <v>4650000</v>
      </c>
      <c r="L388" s="786">
        <v>0</v>
      </c>
      <c r="M388" s="786">
        <v>0</v>
      </c>
      <c r="N388" s="786">
        <v>33656.699999999997</v>
      </c>
      <c r="O388" s="786">
        <v>673134</v>
      </c>
      <c r="P388" s="786">
        <v>0</v>
      </c>
      <c r="Q388" s="786">
        <v>0</v>
      </c>
      <c r="R388" s="786">
        <v>0</v>
      </c>
      <c r="S388" s="786">
        <v>0</v>
      </c>
      <c r="T388" s="786">
        <v>0</v>
      </c>
      <c r="U388" s="822">
        <v>0</v>
      </c>
      <c r="V388" s="821">
        <v>0</v>
      </c>
      <c r="W388" s="821">
        <v>6197545.0792149166</v>
      </c>
      <c r="X388" s="821">
        <v>0</v>
      </c>
      <c r="Y388" s="821">
        <v>0</v>
      </c>
      <c r="Z388" s="821">
        <v>0</v>
      </c>
      <c r="AA388" s="821">
        <v>3162174.706427698</v>
      </c>
      <c r="AB388" s="823">
        <v>9359719.7856426146</v>
      </c>
    </row>
    <row r="389" spans="1:28">
      <c r="A389" s="696" t="str">
        <f t="shared" si="5"/>
        <v>National Grid</v>
      </c>
      <c r="B389" s="696" t="str">
        <f>'Lookups-Assumptions'!$D$4</f>
        <v>Gas</v>
      </c>
      <c r="C389" s="696" t="str">
        <f>'Lookups-Assumptions'!$D$6</f>
        <v>Evaluated</v>
      </c>
      <c r="D389" s="696" t="e">
        <f>#REF!</f>
        <v>#REF!</v>
      </c>
      <c r="E389" s="696" t="s">
        <v>1000</v>
      </c>
      <c r="F389" s="696" t="s">
        <v>32</v>
      </c>
      <c r="G389" s="696" t="s">
        <v>465</v>
      </c>
      <c r="H389" s="696" t="s">
        <v>910</v>
      </c>
      <c r="I389" s="696" t="s">
        <v>1315</v>
      </c>
      <c r="J389" s="820">
        <v>1000</v>
      </c>
      <c r="K389" s="821">
        <v>200000</v>
      </c>
      <c r="L389" s="786">
        <v>0</v>
      </c>
      <c r="M389" s="786">
        <v>0</v>
      </c>
      <c r="N389" s="786">
        <v>6561</v>
      </c>
      <c r="O389" s="786">
        <v>111537</v>
      </c>
      <c r="P389" s="786">
        <v>0</v>
      </c>
      <c r="Q389" s="786">
        <v>0</v>
      </c>
      <c r="R389" s="786">
        <v>0</v>
      </c>
      <c r="S389" s="786">
        <v>0</v>
      </c>
      <c r="T389" s="786">
        <v>0</v>
      </c>
      <c r="U389" s="822">
        <v>0</v>
      </c>
      <c r="V389" s="821">
        <v>0</v>
      </c>
      <c r="W389" s="821">
        <v>1017904.7995718544</v>
      </c>
      <c r="X389" s="821">
        <v>0</v>
      </c>
      <c r="Y389" s="821">
        <v>0</v>
      </c>
      <c r="Z389" s="821">
        <v>0</v>
      </c>
      <c r="AA389" s="821">
        <v>933611.75365624367</v>
      </c>
      <c r="AB389" s="823">
        <v>1951516.553228098</v>
      </c>
    </row>
    <row r="390" spans="1:28">
      <c r="A390" s="696" t="str">
        <f t="shared" si="5"/>
        <v>National Grid</v>
      </c>
      <c r="B390" s="696" t="str">
        <f>'Lookups-Assumptions'!$D$4</f>
        <v>Gas</v>
      </c>
      <c r="C390" s="696" t="str">
        <f>'Lookups-Assumptions'!$D$6</f>
        <v>Evaluated</v>
      </c>
      <c r="D390" s="696" t="e">
        <f>#REF!</f>
        <v>#REF!</v>
      </c>
      <c r="E390" s="696" t="s">
        <v>1001</v>
      </c>
      <c r="F390" s="696" t="s">
        <v>32</v>
      </c>
      <c r="G390" s="696" t="s">
        <v>465</v>
      </c>
      <c r="H390" s="696" t="s">
        <v>910</v>
      </c>
      <c r="I390" s="696" t="s">
        <v>1316</v>
      </c>
      <c r="J390" s="820">
        <v>0</v>
      </c>
      <c r="K390" s="821">
        <v>0</v>
      </c>
      <c r="L390" s="786">
        <v>0</v>
      </c>
      <c r="M390" s="786">
        <v>0</v>
      </c>
      <c r="N390" s="786">
        <v>0</v>
      </c>
      <c r="O390" s="786">
        <v>0</v>
      </c>
      <c r="P390" s="786">
        <v>0</v>
      </c>
      <c r="Q390" s="786">
        <v>0</v>
      </c>
      <c r="R390" s="786">
        <v>0</v>
      </c>
      <c r="S390" s="786">
        <v>0</v>
      </c>
      <c r="T390" s="786">
        <v>0</v>
      </c>
      <c r="U390" s="822">
        <v>0</v>
      </c>
      <c r="V390" s="821">
        <v>0</v>
      </c>
      <c r="W390" s="821">
        <v>0</v>
      </c>
      <c r="X390" s="821">
        <v>0</v>
      </c>
      <c r="Y390" s="821">
        <v>0</v>
      </c>
      <c r="Z390" s="821">
        <v>0</v>
      </c>
      <c r="AA390" s="821">
        <v>0</v>
      </c>
      <c r="AB390" s="823">
        <v>0</v>
      </c>
    </row>
    <row r="391" spans="1:28">
      <c r="A391" s="696" t="str">
        <f t="shared" si="5"/>
        <v>National Grid</v>
      </c>
      <c r="B391" s="696" t="str">
        <f>'Lookups-Assumptions'!$D$4</f>
        <v>Gas</v>
      </c>
      <c r="C391" s="696" t="str">
        <f>'Lookups-Assumptions'!$D$6</f>
        <v>Evaluated</v>
      </c>
      <c r="D391" s="696" t="e">
        <f>#REF!</f>
        <v>#REF!</v>
      </c>
      <c r="E391" s="696" t="s">
        <v>1002</v>
      </c>
      <c r="F391" s="696" t="s">
        <v>32</v>
      </c>
      <c r="G391" s="696" t="s">
        <v>465</v>
      </c>
      <c r="H391" s="696" t="s">
        <v>910</v>
      </c>
      <c r="I391" s="696" t="s">
        <v>1317</v>
      </c>
      <c r="J391" s="820">
        <v>1600</v>
      </c>
      <c r="K391" s="821">
        <v>800000</v>
      </c>
      <c r="L391" s="786">
        <v>0</v>
      </c>
      <c r="M391" s="786">
        <v>0</v>
      </c>
      <c r="N391" s="786">
        <v>11923.199999999999</v>
      </c>
      <c r="O391" s="786">
        <v>202694.39999999999</v>
      </c>
      <c r="P391" s="786">
        <v>0</v>
      </c>
      <c r="Q391" s="786">
        <v>0</v>
      </c>
      <c r="R391" s="786">
        <v>0</v>
      </c>
      <c r="S391" s="786">
        <v>0</v>
      </c>
      <c r="T391" s="786">
        <v>0</v>
      </c>
      <c r="U391" s="822">
        <v>0</v>
      </c>
      <c r="V391" s="821">
        <v>0</v>
      </c>
      <c r="W391" s="821">
        <v>1849822.0555182339</v>
      </c>
      <c r="X391" s="821">
        <v>0</v>
      </c>
      <c r="Y391" s="821">
        <v>0</v>
      </c>
      <c r="Z391" s="821">
        <v>0</v>
      </c>
      <c r="AA391" s="821">
        <v>1493778.8058499901</v>
      </c>
      <c r="AB391" s="823">
        <v>3343600.861368224</v>
      </c>
    </row>
    <row r="392" spans="1:28">
      <c r="A392" s="696" t="str">
        <f t="shared" ref="A392:A455" si="6">PA</f>
        <v>National Grid</v>
      </c>
      <c r="B392" s="696" t="str">
        <f>'Lookups-Assumptions'!$D$4</f>
        <v>Gas</v>
      </c>
      <c r="C392" s="696" t="str">
        <f>'Lookups-Assumptions'!$D$6</f>
        <v>Evaluated</v>
      </c>
      <c r="D392" s="696" t="e">
        <f>#REF!</f>
        <v>#REF!</v>
      </c>
      <c r="E392" s="696" t="s">
        <v>1003</v>
      </c>
      <c r="F392" s="696" t="s">
        <v>32</v>
      </c>
      <c r="G392" s="696" t="s">
        <v>465</v>
      </c>
      <c r="H392" s="696" t="s">
        <v>910</v>
      </c>
      <c r="I392" s="696" t="s">
        <v>1318</v>
      </c>
      <c r="J392" s="820">
        <v>0</v>
      </c>
      <c r="K392" s="821">
        <v>0</v>
      </c>
      <c r="L392" s="786">
        <v>0</v>
      </c>
      <c r="M392" s="786">
        <v>0</v>
      </c>
      <c r="N392" s="786">
        <v>0</v>
      </c>
      <c r="O392" s="786">
        <v>0</v>
      </c>
      <c r="P392" s="786">
        <v>0</v>
      </c>
      <c r="Q392" s="786">
        <v>0</v>
      </c>
      <c r="R392" s="786">
        <v>0</v>
      </c>
      <c r="S392" s="786">
        <v>0</v>
      </c>
      <c r="T392" s="786">
        <v>0</v>
      </c>
      <c r="U392" s="822">
        <v>0</v>
      </c>
      <c r="V392" s="821">
        <v>0</v>
      </c>
      <c r="W392" s="821">
        <v>0</v>
      </c>
      <c r="X392" s="821">
        <v>0</v>
      </c>
      <c r="Y392" s="821">
        <v>0</v>
      </c>
      <c r="Z392" s="821">
        <v>0</v>
      </c>
      <c r="AA392" s="821">
        <v>0</v>
      </c>
      <c r="AB392" s="823">
        <v>0</v>
      </c>
    </row>
    <row r="393" spans="1:28">
      <c r="A393" s="696" t="str">
        <f t="shared" si="6"/>
        <v>National Grid</v>
      </c>
      <c r="B393" s="696" t="str">
        <f>'Lookups-Assumptions'!$D$4</f>
        <v>Gas</v>
      </c>
      <c r="C393" s="696" t="str">
        <f>'Lookups-Assumptions'!$D$6</f>
        <v>Evaluated</v>
      </c>
      <c r="D393" s="696" t="e">
        <f>#REF!</f>
        <v>#REF!</v>
      </c>
      <c r="E393" s="696" t="s">
        <v>1004</v>
      </c>
      <c r="F393" s="696" t="s">
        <v>32</v>
      </c>
      <c r="G393" s="696" t="s">
        <v>465</v>
      </c>
      <c r="H393" s="696" t="s">
        <v>910</v>
      </c>
      <c r="I393" s="696" t="s">
        <v>756</v>
      </c>
      <c r="J393" s="820">
        <v>1200</v>
      </c>
      <c r="K393" s="821">
        <v>1440000</v>
      </c>
      <c r="L393" s="786">
        <v>0</v>
      </c>
      <c r="M393" s="786">
        <v>0</v>
      </c>
      <c r="N393" s="786">
        <v>9146.3999999999978</v>
      </c>
      <c r="O393" s="786">
        <v>173781.59999999995</v>
      </c>
      <c r="P393" s="786">
        <v>0</v>
      </c>
      <c r="Q393" s="786">
        <v>0</v>
      </c>
      <c r="R393" s="786">
        <v>0</v>
      </c>
      <c r="S393" s="786">
        <v>0</v>
      </c>
      <c r="T393" s="786">
        <v>0</v>
      </c>
      <c r="U393" s="822">
        <v>0</v>
      </c>
      <c r="V393" s="821">
        <v>0</v>
      </c>
      <c r="W393" s="821">
        <v>1568906.6926748613</v>
      </c>
      <c r="X393" s="821">
        <v>0</v>
      </c>
      <c r="Y393" s="821">
        <v>0</v>
      </c>
      <c r="Z393" s="821">
        <v>0</v>
      </c>
      <c r="AA393" s="821">
        <v>61471.383801080687</v>
      </c>
      <c r="AB393" s="823">
        <v>1630378.076475942</v>
      </c>
    </row>
    <row r="394" spans="1:28">
      <c r="A394" s="696" t="str">
        <f t="shared" si="6"/>
        <v>National Grid</v>
      </c>
      <c r="B394" s="696" t="str">
        <f>'Lookups-Assumptions'!$D$4</f>
        <v>Gas</v>
      </c>
      <c r="C394" s="696" t="str">
        <f>'Lookups-Assumptions'!$D$6</f>
        <v>Evaluated</v>
      </c>
      <c r="D394" s="696" t="e">
        <f>#REF!</f>
        <v>#REF!</v>
      </c>
      <c r="E394" s="696" t="s">
        <v>1005</v>
      </c>
      <c r="F394" s="696" t="s">
        <v>32</v>
      </c>
      <c r="G394" s="696" t="s">
        <v>465</v>
      </c>
      <c r="H394" s="696" t="s">
        <v>910</v>
      </c>
      <c r="I394" s="696" t="s">
        <v>757</v>
      </c>
      <c r="J394" s="820">
        <v>850</v>
      </c>
      <c r="K394" s="821">
        <v>1360000</v>
      </c>
      <c r="L394" s="786">
        <v>0</v>
      </c>
      <c r="M394" s="786">
        <v>0</v>
      </c>
      <c r="N394" s="786">
        <v>8051.1999999999989</v>
      </c>
      <c r="O394" s="786">
        <v>152972.79999999999</v>
      </c>
      <c r="P394" s="786">
        <v>0</v>
      </c>
      <c r="Q394" s="786">
        <v>0</v>
      </c>
      <c r="R394" s="786">
        <v>0</v>
      </c>
      <c r="S394" s="786">
        <v>0</v>
      </c>
      <c r="T394" s="786">
        <v>0</v>
      </c>
      <c r="U394" s="822">
        <v>0</v>
      </c>
      <c r="V394" s="821">
        <v>0</v>
      </c>
      <c r="W394" s="821">
        <v>1381044.0789888746</v>
      </c>
      <c r="X394" s="821">
        <v>0</v>
      </c>
      <c r="Y394" s="821">
        <v>0</v>
      </c>
      <c r="Z394" s="821">
        <v>0</v>
      </c>
      <c r="AA394" s="821">
        <v>43542.230192432151</v>
      </c>
      <c r="AB394" s="823">
        <v>1424586.3091813067</v>
      </c>
    </row>
    <row r="395" spans="1:28">
      <c r="A395" s="696" t="str">
        <f t="shared" si="6"/>
        <v>National Grid</v>
      </c>
      <c r="B395" s="696" t="str">
        <f>'Lookups-Assumptions'!$D$4</f>
        <v>Gas</v>
      </c>
      <c r="C395" s="696" t="str">
        <f>'Lookups-Assumptions'!$D$6</f>
        <v>Evaluated</v>
      </c>
      <c r="D395" s="696" t="e">
        <f>#REF!</f>
        <v>#REF!</v>
      </c>
      <c r="E395" s="696" t="s">
        <v>1006</v>
      </c>
      <c r="F395" s="696" t="s">
        <v>32</v>
      </c>
      <c r="G395" s="696" t="s">
        <v>465</v>
      </c>
      <c r="H395" s="696" t="s">
        <v>910</v>
      </c>
      <c r="I395" s="696" t="s">
        <v>1319</v>
      </c>
      <c r="J395" s="820">
        <v>51.1875</v>
      </c>
      <c r="K395" s="821">
        <v>11517.1875</v>
      </c>
      <c r="L395" s="786">
        <v>0</v>
      </c>
      <c r="M395" s="786">
        <v>0</v>
      </c>
      <c r="N395" s="786">
        <v>230.34375</v>
      </c>
      <c r="O395" s="786">
        <v>3455.15625</v>
      </c>
      <c r="P395" s="786">
        <v>0</v>
      </c>
      <c r="Q395" s="786">
        <v>0</v>
      </c>
      <c r="R395" s="786">
        <v>0</v>
      </c>
      <c r="S395" s="786">
        <v>0</v>
      </c>
      <c r="T395" s="786">
        <v>0</v>
      </c>
      <c r="U395" s="822">
        <v>0</v>
      </c>
      <c r="V395" s="821">
        <v>0</v>
      </c>
      <c r="W395" s="821">
        <v>31388.057330591022</v>
      </c>
      <c r="X395" s="821">
        <v>0</v>
      </c>
      <c r="Y395" s="821">
        <v>0</v>
      </c>
      <c r="Z395" s="821">
        <v>0</v>
      </c>
      <c r="AA395" s="821">
        <v>0</v>
      </c>
      <c r="AB395" s="823">
        <v>31388.057330591022</v>
      </c>
    </row>
    <row r="396" spans="1:28">
      <c r="A396" s="696" t="str">
        <f t="shared" si="6"/>
        <v>National Grid</v>
      </c>
      <c r="B396" s="696" t="str">
        <f>'Lookups-Assumptions'!$D$4</f>
        <v>Gas</v>
      </c>
      <c r="C396" s="696" t="str">
        <f>'Lookups-Assumptions'!$D$6</f>
        <v>Evaluated</v>
      </c>
      <c r="D396" s="696" t="e">
        <f>#REF!</f>
        <v>#REF!</v>
      </c>
      <c r="E396" s="696" t="s">
        <v>1007</v>
      </c>
      <c r="F396" s="696" t="s">
        <v>32</v>
      </c>
      <c r="G396" s="696" t="s">
        <v>465</v>
      </c>
      <c r="H396" s="696" t="s">
        <v>910</v>
      </c>
      <c r="I396" s="696" t="s">
        <v>758</v>
      </c>
      <c r="J396" s="820">
        <v>40</v>
      </c>
      <c r="K396" s="821">
        <v>20000</v>
      </c>
      <c r="L396" s="786">
        <v>-5.32</v>
      </c>
      <c r="M396" s="786">
        <v>-106.4</v>
      </c>
      <c r="N396" s="786">
        <v>308</v>
      </c>
      <c r="O396" s="786">
        <v>6160</v>
      </c>
      <c r="P396" s="786">
        <v>0</v>
      </c>
      <c r="Q396" s="786">
        <v>0</v>
      </c>
      <c r="R396" s="786">
        <v>0</v>
      </c>
      <c r="S396" s="786">
        <v>0</v>
      </c>
      <c r="T396" s="786">
        <v>0</v>
      </c>
      <c r="U396" s="822">
        <v>0</v>
      </c>
      <c r="V396" s="821">
        <v>-9575.2051813571034</v>
      </c>
      <c r="W396" s="821">
        <v>56715.123122534133</v>
      </c>
      <c r="X396" s="821">
        <v>0</v>
      </c>
      <c r="Y396" s="821">
        <v>0</v>
      </c>
      <c r="Z396" s="821">
        <v>0</v>
      </c>
      <c r="AA396" s="821">
        <v>0</v>
      </c>
      <c r="AB396" s="823">
        <v>47139.917941177031</v>
      </c>
    </row>
    <row r="397" spans="1:28">
      <c r="A397" s="696" t="str">
        <f t="shared" si="6"/>
        <v>National Grid</v>
      </c>
      <c r="B397" s="696" t="str">
        <f>'Lookups-Assumptions'!$D$4</f>
        <v>Gas</v>
      </c>
      <c r="C397" s="696" t="str">
        <f>'Lookups-Assumptions'!$D$6</f>
        <v>Evaluated</v>
      </c>
      <c r="D397" s="696" t="e">
        <f>#REF!</f>
        <v>#REF!</v>
      </c>
      <c r="E397" s="696" t="s">
        <v>1008</v>
      </c>
      <c r="F397" s="696" t="s">
        <v>32</v>
      </c>
      <c r="G397" s="696" t="s">
        <v>465</v>
      </c>
      <c r="H397" s="696" t="s">
        <v>910</v>
      </c>
      <c r="I397" s="696" t="s">
        <v>1320</v>
      </c>
      <c r="J397" s="820">
        <v>350</v>
      </c>
      <c r="K397" s="821">
        <v>175000</v>
      </c>
      <c r="L397" s="786">
        <v>0</v>
      </c>
      <c r="M397" s="786">
        <v>0</v>
      </c>
      <c r="N397" s="786">
        <v>2975</v>
      </c>
      <c r="O397" s="786">
        <v>44625</v>
      </c>
      <c r="P397" s="786">
        <v>0</v>
      </c>
      <c r="Q397" s="786">
        <v>0</v>
      </c>
      <c r="R397" s="786">
        <v>0</v>
      </c>
      <c r="S397" s="786">
        <v>0</v>
      </c>
      <c r="T397" s="786">
        <v>0</v>
      </c>
      <c r="U397" s="822">
        <v>0</v>
      </c>
      <c r="V397" s="821">
        <v>0</v>
      </c>
      <c r="W397" s="821">
        <v>388203.99392737244</v>
      </c>
      <c r="X397" s="821">
        <v>0</v>
      </c>
      <c r="Y397" s="821">
        <v>0</v>
      </c>
      <c r="Z397" s="821">
        <v>0</v>
      </c>
      <c r="AA397" s="821">
        <v>18051.086566171718</v>
      </c>
      <c r="AB397" s="823">
        <v>406255.08049354417</v>
      </c>
    </row>
    <row r="398" spans="1:28">
      <c r="A398" s="696" t="str">
        <f t="shared" si="6"/>
        <v>National Grid</v>
      </c>
      <c r="B398" s="696" t="str">
        <f>'Lookups-Assumptions'!$D$4</f>
        <v>Gas</v>
      </c>
      <c r="C398" s="696" t="str">
        <f>'Lookups-Assumptions'!$D$6</f>
        <v>Evaluated</v>
      </c>
      <c r="D398" s="696" t="e">
        <f>#REF!</f>
        <v>#REF!</v>
      </c>
      <c r="E398" s="696" t="s">
        <v>1009</v>
      </c>
      <c r="F398" s="696" t="s">
        <v>32</v>
      </c>
      <c r="G398" s="696" t="s">
        <v>465</v>
      </c>
      <c r="H398" s="696" t="s">
        <v>910</v>
      </c>
      <c r="I398" s="696" t="s">
        <v>1321</v>
      </c>
      <c r="J398" s="820">
        <v>180</v>
      </c>
      <c r="K398" s="821">
        <v>18000</v>
      </c>
      <c r="L398" s="786">
        <v>0</v>
      </c>
      <c r="M398" s="786">
        <v>0</v>
      </c>
      <c r="N398" s="786">
        <v>648</v>
      </c>
      <c r="O398" s="786">
        <v>7128</v>
      </c>
      <c r="P398" s="786">
        <v>0</v>
      </c>
      <c r="Q398" s="786">
        <v>0</v>
      </c>
      <c r="R398" s="786">
        <v>0</v>
      </c>
      <c r="S398" s="786">
        <v>0</v>
      </c>
      <c r="T398" s="786">
        <v>0</v>
      </c>
      <c r="U398" s="822">
        <v>0</v>
      </c>
      <c r="V398" s="821">
        <v>0</v>
      </c>
      <c r="W398" s="821">
        <v>61960.287361893665</v>
      </c>
      <c r="X398" s="821">
        <v>0</v>
      </c>
      <c r="Y398" s="821">
        <v>0</v>
      </c>
      <c r="Z398" s="821">
        <v>0</v>
      </c>
      <c r="AA398" s="821">
        <v>6852.7549479987028</v>
      </c>
      <c r="AB398" s="823">
        <v>68813.042309892364</v>
      </c>
    </row>
    <row r="399" spans="1:28">
      <c r="A399" s="696" t="str">
        <f t="shared" si="6"/>
        <v>National Grid</v>
      </c>
      <c r="B399" s="696" t="str">
        <f>'Lookups-Assumptions'!$D$4</f>
        <v>Gas</v>
      </c>
      <c r="C399" s="696" t="str">
        <f>'Lookups-Assumptions'!$D$6</f>
        <v>Evaluated</v>
      </c>
      <c r="D399" s="696" t="e">
        <f>#REF!</f>
        <v>#REF!</v>
      </c>
      <c r="E399" s="696" t="s">
        <v>1010</v>
      </c>
      <c r="F399" s="696" t="s">
        <v>32</v>
      </c>
      <c r="G399" s="696" t="s">
        <v>465</v>
      </c>
      <c r="H399" s="696" t="s">
        <v>910</v>
      </c>
      <c r="I399" s="696" t="s">
        <v>1322</v>
      </c>
      <c r="J399" s="820">
        <v>350</v>
      </c>
      <c r="K399" s="821">
        <v>175000</v>
      </c>
      <c r="L399" s="786">
        <v>0</v>
      </c>
      <c r="M399" s="786">
        <v>0</v>
      </c>
      <c r="N399" s="786">
        <v>2895.2</v>
      </c>
      <c r="O399" s="786">
        <v>55008.799999999996</v>
      </c>
      <c r="P399" s="786">
        <v>0</v>
      </c>
      <c r="Q399" s="786">
        <v>0</v>
      </c>
      <c r="R399" s="786">
        <v>0</v>
      </c>
      <c r="S399" s="786">
        <v>0</v>
      </c>
      <c r="T399" s="786">
        <v>0</v>
      </c>
      <c r="U399" s="822">
        <v>0</v>
      </c>
      <c r="V399" s="821">
        <v>0</v>
      </c>
      <c r="W399" s="821">
        <v>483951.29470870574</v>
      </c>
      <c r="X399" s="821">
        <v>0</v>
      </c>
      <c r="Y399" s="821">
        <v>0</v>
      </c>
      <c r="Z399" s="821">
        <v>0</v>
      </c>
      <c r="AA399" s="821">
        <v>24284.889379908414</v>
      </c>
      <c r="AB399" s="823">
        <v>508236.18408861413</v>
      </c>
    </row>
    <row r="400" spans="1:28">
      <c r="A400" s="696" t="str">
        <f t="shared" si="6"/>
        <v>National Grid</v>
      </c>
      <c r="B400" s="696" t="str">
        <f>'Lookups-Assumptions'!$D$4</f>
        <v>Gas</v>
      </c>
      <c r="C400" s="696" t="str">
        <f>'Lookups-Assumptions'!$D$6</f>
        <v>Evaluated</v>
      </c>
      <c r="D400" s="696" t="e">
        <f>#REF!</f>
        <v>#REF!</v>
      </c>
      <c r="E400" s="696" t="s">
        <v>1011</v>
      </c>
      <c r="F400" s="696" t="s">
        <v>32</v>
      </c>
      <c r="G400" s="696" t="s">
        <v>465</v>
      </c>
      <c r="H400" s="696" t="s">
        <v>910</v>
      </c>
      <c r="I400" s="696" t="s">
        <v>1323</v>
      </c>
      <c r="J400" s="820">
        <v>1160</v>
      </c>
      <c r="K400" s="821">
        <v>928000</v>
      </c>
      <c r="L400" s="786">
        <v>0</v>
      </c>
      <c r="M400" s="786">
        <v>0</v>
      </c>
      <c r="N400" s="786">
        <v>11139.48</v>
      </c>
      <c r="O400" s="786">
        <v>211650.12</v>
      </c>
      <c r="P400" s="786">
        <v>0</v>
      </c>
      <c r="Q400" s="786">
        <v>0</v>
      </c>
      <c r="R400" s="786">
        <v>0</v>
      </c>
      <c r="S400" s="786">
        <v>0</v>
      </c>
      <c r="T400" s="786">
        <v>0</v>
      </c>
      <c r="U400" s="822">
        <v>0</v>
      </c>
      <c r="V400" s="821">
        <v>0</v>
      </c>
      <c r="W400" s="821">
        <v>1862035.7033647876</v>
      </c>
      <c r="X400" s="821">
        <v>0</v>
      </c>
      <c r="Y400" s="821">
        <v>0</v>
      </c>
      <c r="Z400" s="821">
        <v>0</v>
      </c>
      <c r="AA400" s="821">
        <v>88718.693280106963</v>
      </c>
      <c r="AB400" s="823">
        <v>1950754.3966448945</v>
      </c>
    </row>
    <row r="401" spans="1:28">
      <c r="A401" s="696" t="str">
        <f t="shared" si="6"/>
        <v>National Grid</v>
      </c>
      <c r="B401" s="696" t="str">
        <f>'Lookups-Assumptions'!$D$4</f>
        <v>Gas</v>
      </c>
      <c r="C401" s="696" t="str">
        <f>'Lookups-Assumptions'!$D$6</f>
        <v>Evaluated</v>
      </c>
      <c r="D401" s="696" t="e">
        <f>#REF!</f>
        <v>#REF!</v>
      </c>
      <c r="E401" s="696" t="s">
        <v>1012</v>
      </c>
      <c r="F401" s="696" t="s">
        <v>32</v>
      </c>
      <c r="G401" s="696" t="s">
        <v>465</v>
      </c>
      <c r="H401" s="696" t="s">
        <v>910</v>
      </c>
      <c r="I401" s="696" t="s">
        <v>1324</v>
      </c>
      <c r="J401" s="820">
        <v>2700</v>
      </c>
      <c r="K401" s="821">
        <v>1080000</v>
      </c>
      <c r="L401" s="786">
        <v>0</v>
      </c>
      <c r="M401" s="786">
        <v>0</v>
      </c>
      <c r="N401" s="786">
        <v>7343.9999999999991</v>
      </c>
      <c r="O401" s="786">
        <v>146879.99999999997</v>
      </c>
      <c r="P401" s="786">
        <v>0</v>
      </c>
      <c r="Q401" s="786">
        <v>0</v>
      </c>
      <c r="R401" s="786">
        <v>0</v>
      </c>
      <c r="S401" s="786">
        <v>0</v>
      </c>
      <c r="T401" s="786">
        <v>0</v>
      </c>
      <c r="U401" s="822">
        <v>0</v>
      </c>
      <c r="V401" s="821">
        <v>0</v>
      </c>
      <c r="W401" s="821">
        <v>1296639.2134589725</v>
      </c>
      <c r="X401" s="821">
        <v>0</v>
      </c>
      <c r="Y401" s="821">
        <v>0</v>
      </c>
      <c r="Z401" s="821">
        <v>0</v>
      </c>
      <c r="AA401" s="821">
        <v>50333.192141125175</v>
      </c>
      <c r="AB401" s="823">
        <v>1346972.4056000977</v>
      </c>
    </row>
    <row r="402" spans="1:28">
      <c r="A402" s="696" t="str">
        <f t="shared" si="6"/>
        <v>National Grid</v>
      </c>
      <c r="B402" s="696" t="str">
        <f>'Lookups-Assumptions'!$D$4</f>
        <v>Gas</v>
      </c>
      <c r="C402" s="696" t="str">
        <f>'Lookups-Assumptions'!$D$6</f>
        <v>Evaluated</v>
      </c>
      <c r="D402" s="696" t="e">
        <f>#REF!</f>
        <v>#REF!</v>
      </c>
      <c r="E402" s="696" t="s">
        <v>1013</v>
      </c>
      <c r="F402" s="696" t="s">
        <v>32</v>
      </c>
      <c r="G402" s="696" t="s">
        <v>465</v>
      </c>
      <c r="H402" s="696" t="s">
        <v>910</v>
      </c>
      <c r="I402" s="696" t="s">
        <v>1309</v>
      </c>
      <c r="J402" s="820">
        <v>871.25</v>
      </c>
      <c r="K402" s="821">
        <v>21781.25</v>
      </c>
      <c r="L402" s="786">
        <v>0</v>
      </c>
      <c r="M402" s="786">
        <v>0</v>
      </c>
      <c r="N402" s="786">
        <v>1170.96</v>
      </c>
      <c r="O402" s="786">
        <v>17564.400000000001</v>
      </c>
      <c r="P402" s="786">
        <v>0</v>
      </c>
      <c r="Q402" s="786">
        <v>0</v>
      </c>
      <c r="R402" s="786">
        <v>0</v>
      </c>
      <c r="S402" s="786">
        <v>0</v>
      </c>
      <c r="T402" s="786">
        <v>0</v>
      </c>
      <c r="U402" s="822">
        <v>0</v>
      </c>
      <c r="V402" s="821">
        <v>0</v>
      </c>
      <c r="W402" s="821">
        <v>159562.21782370421</v>
      </c>
      <c r="X402" s="821">
        <v>0</v>
      </c>
      <c r="Y402" s="821">
        <v>0</v>
      </c>
      <c r="Z402" s="821">
        <v>0</v>
      </c>
      <c r="AA402" s="821">
        <v>36794.993902428731</v>
      </c>
      <c r="AB402" s="823">
        <v>196357.21172613295</v>
      </c>
    </row>
    <row r="403" spans="1:28">
      <c r="A403" s="696" t="str">
        <f t="shared" si="6"/>
        <v>National Grid</v>
      </c>
      <c r="B403" s="696" t="str">
        <f>'Lookups-Assumptions'!$D$4</f>
        <v>Gas</v>
      </c>
      <c r="C403" s="696" t="str">
        <f>'Lookups-Assumptions'!$D$6</f>
        <v>Evaluated</v>
      </c>
      <c r="D403" s="696" t="e">
        <f>#REF!</f>
        <v>#REF!</v>
      </c>
      <c r="E403" s="696" t="s">
        <v>1014</v>
      </c>
      <c r="F403" s="696" t="s">
        <v>32</v>
      </c>
      <c r="G403" s="696" t="s">
        <v>465</v>
      </c>
      <c r="H403" s="696" t="s">
        <v>910</v>
      </c>
      <c r="I403" s="696" t="s">
        <v>1385</v>
      </c>
      <c r="J403" s="820">
        <v>5800</v>
      </c>
      <c r="K403" s="821">
        <v>580000</v>
      </c>
      <c r="L403" s="786">
        <v>0</v>
      </c>
      <c r="M403" s="786">
        <v>0</v>
      </c>
      <c r="N403" s="786">
        <v>38280</v>
      </c>
      <c r="O403" s="786">
        <v>574200</v>
      </c>
      <c r="P403" s="786">
        <v>0</v>
      </c>
      <c r="Q403" s="786">
        <v>0</v>
      </c>
      <c r="R403" s="786">
        <v>0</v>
      </c>
      <c r="S403" s="786">
        <v>0</v>
      </c>
      <c r="T403" s="786">
        <v>0</v>
      </c>
      <c r="U403" s="822">
        <v>0</v>
      </c>
      <c r="V403" s="821">
        <v>0</v>
      </c>
      <c r="W403" s="821">
        <v>5216268.4449438043</v>
      </c>
      <c r="X403" s="821">
        <v>0</v>
      </c>
      <c r="Y403" s="821">
        <v>0</v>
      </c>
      <c r="Z403" s="821">
        <v>0</v>
      </c>
      <c r="AA403" s="821">
        <v>583209.57746556436</v>
      </c>
      <c r="AB403" s="823">
        <v>5799478.0224093683</v>
      </c>
    </row>
    <row r="404" spans="1:28">
      <c r="A404" s="696" t="str">
        <f t="shared" si="6"/>
        <v>National Grid</v>
      </c>
      <c r="B404" s="696" t="str">
        <f>'Lookups-Assumptions'!$D$4</f>
        <v>Gas</v>
      </c>
      <c r="C404" s="696" t="str">
        <f>'Lookups-Assumptions'!$D$6</f>
        <v>Evaluated</v>
      </c>
      <c r="D404" s="696" t="e">
        <f>#REF!</f>
        <v>#REF!</v>
      </c>
      <c r="E404" s="696" t="s">
        <v>1015</v>
      </c>
      <c r="F404" s="696" t="s">
        <v>32</v>
      </c>
      <c r="G404" s="696" t="s">
        <v>465</v>
      </c>
      <c r="H404" s="696" t="s">
        <v>910</v>
      </c>
      <c r="I404" s="696" t="s">
        <v>1386</v>
      </c>
      <c r="J404" s="820">
        <v>2100</v>
      </c>
      <c r="K404" s="821">
        <v>210000</v>
      </c>
      <c r="L404" s="786">
        <v>218.4</v>
      </c>
      <c r="M404" s="786">
        <v>3276</v>
      </c>
      <c r="N404" s="786">
        <v>13860</v>
      </c>
      <c r="O404" s="786">
        <v>207900</v>
      </c>
      <c r="P404" s="786">
        <v>0</v>
      </c>
      <c r="Q404" s="786">
        <v>0</v>
      </c>
      <c r="R404" s="786">
        <v>0</v>
      </c>
      <c r="S404" s="786">
        <v>0</v>
      </c>
      <c r="T404" s="786">
        <v>0</v>
      </c>
      <c r="U404" s="822">
        <v>0</v>
      </c>
      <c r="V404" s="821">
        <v>2485501.873649748</v>
      </c>
      <c r="W404" s="821">
        <v>1888648.9197210323</v>
      </c>
      <c r="X404" s="821">
        <v>0</v>
      </c>
      <c r="Y404" s="821">
        <v>0</v>
      </c>
      <c r="Z404" s="821">
        <v>0</v>
      </c>
      <c r="AA404" s="821">
        <v>211162.08839270432</v>
      </c>
      <c r="AB404" s="823">
        <v>4585312.8817634853</v>
      </c>
    </row>
    <row r="405" spans="1:28">
      <c r="A405" s="696" t="str">
        <f t="shared" si="6"/>
        <v>National Grid</v>
      </c>
      <c r="B405" s="696" t="str">
        <f>'Lookups-Assumptions'!$D$4</f>
        <v>Gas</v>
      </c>
      <c r="C405" s="696" t="str">
        <f>'Lookups-Assumptions'!$D$6</f>
        <v>Evaluated</v>
      </c>
      <c r="D405" s="696" t="e">
        <f>#REF!</f>
        <v>#REF!</v>
      </c>
      <c r="E405" s="696" t="s">
        <v>1016</v>
      </c>
      <c r="F405" s="696" t="s">
        <v>79</v>
      </c>
      <c r="G405" s="696" t="s">
        <v>872</v>
      </c>
      <c r="H405" s="696" t="s">
        <v>761</v>
      </c>
      <c r="I405" s="696" t="s">
        <v>762</v>
      </c>
      <c r="J405" s="820">
        <v>1600</v>
      </c>
      <c r="K405" s="821">
        <v>0</v>
      </c>
      <c r="L405" s="786">
        <v>0</v>
      </c>
      <c r="M405" s="786">
        <v>0</v>
      </c>
      <c r="N405" s="786">
        <v>0</v>
      </c>
      <c r="O405" s="786">
        <v>0</v>
      </c>
      <c r="P405" s="786">
        <v>0</v>
      </c>
      <c r="Q405" s="786">
        <v>0</v>
      </c>
      <c r="R405" s="786">
        <v>0</v>
      </c>
      <c r="S405" s="786">
        <v>0</v>
      </c>
      <c r="T405" s="786">
        <v>0</v>
      </c>
      <c r="U405" s="822">
        <v>0</v>
      </c>
      <c r="V405" s="821">
        <v>0</v>
      </c>
      <c r="W405" s="821">
        <v>0</v>
      </c>
      <c r="X405" s="821">
        <v>0</v>
      </c>
      <c r="Y405" s="821">
        <v>0</v>
      </c>
      <c r="Z405" s="821">
        <v>0</v>
      </c>
      <c r="AA405" s="821">
        <v>60928.757686739205</v>
      </c>
      <c r="AB405" s="823">
        <v>60928.757686739205</v>
      </c>
    </row>
    <row r="406" spans="1:28">
      <c r="A406" s="696" t="str">
        <f t="shared" si="6"/>
        <v>National Grid</v>
      </c>
      <c r="B406" s="696" t="str">
        <f>'Lookups-Assumptions'!$D$4</f>
        <v>Gas</v>
      </c>
      <c r="C406" s="696" t="str">
        <f>'Lookups-Assumptions'!$D$6</f>
        <v>Evaluated</v>
      </c>
      <c r="D406" s="696" t="e">
        <f>#REF!</f>
        <v>#REF!</v>
      </c>
      <c r="E406" s="696" t="s">
        <v>1017</v>
      </c>
      <c r="F406" s="696" t="s">
        <v>79</v>
      </c>
      <c r="G406" s="696" t="s">
        <v>872</v>
      </c>
      <c r="H406" s="696" t="s">
        <v>761</v>
      </c>
      <c r="I406" s="696" t="s">
        <v>1325</v>
      </c>
      <c r="J406" s="820">
        <v>1232</v>
      </c>
      <c r="K406" s="821">
        <v>6468000</v>
      </c>
      <c r="L406" s="786">
        <v>423.80799999999999</v>
      </c>
      <c r="M406" s="786">
        <v>8476.16</v>
      </c>
      <c r="N406" s="786">
        <v>32401.600000000002</v>
      </c>
      <c r="O406" s="786">
        <v>648032</v>
      </c>
      <c r="P406" s="786">
        <v>0</v>
      </c>
      <c r="Q406" s="786">
        <v>0</v>
      </c>
      <c r="R406" s="786">
        <v>0</v>
      </c>
      <c r="S406" s="786">
        <v>0</v>
      </c>
      <c r="T406" s="786">
        <v>0</v>
      </c>
      <c r="U406" s="822">
        <v>0</v>
      </c>
      <c r="V406" s="821">
        <v>3093483.949250855</v>
      </c>
      <c r="W406" s="821">
        <v>5966430.9524905905</v>
      </c>
      <c r="X406" s="821">
        <v>0</v>
      </c>
      <c r="Y406" s="821">
        <v>0</v>
      </c>
      <c r="Z406" s="821">
        <v>0</v>
      </c>
      <c r="AA406" s="821">
        <v>14478788.480756287</v>
      </c>
      <c r="AB406" s="823">
        <v>23538703.382497732</v>
      </c>
    </row>
    <row r="407" spans="1:28">
      <c r="A407" s="696" t="str">
        <f t="shared" si="6"/>
        <v>National Grid</v>
      </c>
      <c r="B407" s="696" t="str">
        <f>'Lookups-Assumptions'!$D$4</f>
        <v>Gas</v>
      </c>
      <c r="C407" s="696" t="str">
        <f>'Lookups-Assumptions'!$D$6</f>
        <v>Evaluated</v>
      </c>
      <c r="D407" s="696" t="e">
        <f>#REF!</f>
        <v>#REF!</v>
      </c>
      <c r="E407" s="696" t="s">
        <v>1018</v>
      </c>
      <c r="F407" s="696" t="s">
        <v>79</v>
      </c>
      <c r="G407" s="696" t="s">
        <v>872</v>
      </c>
      <c r="H407" s="696" t="s">
        <v>761</v>
      </c>
      <c r="I407" s="696" t="s">
        <v>1298</v>
      </c>
      <c r="J407" s="820">
        <v>0</v>
      </c>
      <c r="K407" s="821">
        <v>0</v>
      </c>
      <c r="L407" s="786">
        <v>0</v>
      </c>
      <c r="M407" s="786">
        <v>0</v>
      </c>
      <c r="N407" s="786">
        <v>0</v>
      </c>
      <c r="O407" s="786">
        <v>0</v>
      </c>
      <c r="P407" s="786">
        <v>0</v>
      </c>
      <c r="Q407" s="786">
        <v>0</v>
      </c>
      <c r="R407" s="786">
        <v>0</v>
      </c>
      <c r="S407" s="786">
        <v>0</v>
      </c>
      <c r="T407" s="786">
        <v>0</v>
      </c>
      <c r="U407" s="822">
        <v>0</v>
      </c>
      <c r="V407" s="821">
        <v>0</v>
      </c>
      <c r="W407" s="821">
        <v>0</v>
      </c>
      <c r="X407" s="821">
        <v>0</v>
      </c>
      <c r="Y407" s="821">
        <v>0</v>
      </c>
      <c r="Z407" s="821">
        <v>0</v>
      </c>
      <c r="AA407" s="821">
        <v>0</v>
      </c>
      <c r="AB407" s="823">
        <v>0</v>
      </c>
    </row>
    <row r="408" spans="1:28">
      <c r="A408" s="696" t="str">
        <f t="shared" si="6"/>
        <v>National Grid</v>
      </c>
      <c r="B408" s="696" t="str">
        <f>'Lookups-Assumptions'!$D$4</f>
        <v>Gas</v>
      </c>
      <c r="C408" s="696" t="str">
        <f>'Lookups-Assumptions'!$D$6</f>
        <v>Evaluated</v>
      </c>
      <c r="D408" s="696" t="e">
        <f>#REF!</f>
        <v>#REF!</v>
      </c>
      <c r="E408" s="696" t="s">
        <v>1019</v>
      </c>
      <c r="F408" s="696" t="s">
        <v>79</v>
      </c>
      <c r="G408" s="696" t="s">
        <v>872</v>
      </c>
      <c r="H408" s="696" t="s">
        <v>761</v>
      </c>
      <c r="I408" s="696" t="s">
        <v>1299</v>
      </c>
      <c r="J408" s="820">
        <v>0</v>
      </c>
      <c r="K408" s="821">
        <v>0</v>
      </c>
      <c r="L408" s="786">
        <v>0</v>
      </c>
      <c r="M408" s="786">
        <v>0</v>
      </c>
      <c r="N408" s="786">
        <v>0</v>
      </c>
      <c r="O408" s="786">
        <v>0</v>
      </c>
      <c r="P408" s="786">
        <v>0</v>
      </c>
      <c r="Q408" s="786">
        <v>0</v>
      </c>
      <c r="R408" s="786">
        <v>0</v>
      </c>
      <c r="S408" s="786">
        <v>0</v>
      </c>
      <c r="T408" s="786">
        <v>0</v>
      </c>
      <c r="U408" s="822">
        <v>0</v>
      </c>
      <c r="V408" s="821">
        <v>0</v>
      </c>
      <c r="W408" s="821">
        <v>0</v>
      </c>
      <c r="X408" s="821">
        <v>0</v>
      </c>
      <c r="Y408" s="821">
        <v>0</v>
      </c>
      <c r="Z408" s="821">
        <v>0</v>
      </c>
      <c r="AA408" s="821">
        <v>0</v>
      </c>
      <c r="AB408" s="823">
        <v>0</v>
      </c>
    </row>
    <row r="409" spans="1:28">
      <c r="A409" s="696" t="str">
        <f t="shared" si="6"/>
        <v>National Grid</v>
      </c>
      <c r="B409" s="696" t="str">
        <f>'Lookups-Assumptions'!$D$4</f>
        <v>Gas</v>
      </c>
      <c r="C409" s="696" t="str">
        <f>'Lookups-Assumptions'!$D$6</f>
        <v>Evaluated</v>
      </c>
      <c r="D409" s="696" t="e">
        <f>#REF!</f>
        <v>#REF!</v>
      </c>
      <c r="E409" s="696" t="s">
        <v>1020</v>
      </c>
      <c r="F409" s="696" t="s">
        <v>79</v>
      </c>
      <c r="G409" s="696" t="s">
        <v>872</v>
      </c>
      <c r="H409" s="696" t="s">
        <v>761</v>
      </c>
      <c r="I409" s="696" t="s">
        <v>1326</v>
      </c>
      <c r="J409" s="820">
        <v>392</v>
      </c>
      <c r="K409" s="821">
        <v>2058000</v>
      </c>
      <c r="L409" s="786">
        <v>0</v>
      </c>
      <c r="M409" s="786">
        <v>0</v>
      </c>
      <c r="N409" s="786">
        <v>7604.7999999999993</v>
      </c>
      <c r="O409" s="786">
        <v>152096</v>
      </c>
      <c r="P409" s="786">
        <v>0</v>
      </c>
      <c r="Q409" s="786">
        <v>0</v>
      </c>
      <c r="R409" s="786">
        <v>0</v>
      </c>
      <c r="S409" s="786">
        <v>0</v>
      </c>
      <c r="T409" s="786">
        <v>0</v>
      </c>
      <c r="U409" s="822">
        <v>0</v>
      </c>
      <c r="V409" s="821">
        <v>0</v>
      </c>
      <c r="W409" s="821">
        <v>1400347.9490982064</v>
      </c>
      <c r="X409" s="821">
        <v>0</v>
      </c>
      <c r="Y409" s="821">
        <v>0</v>
      </c>
      <c r="Z409" s="821">
        <v>0</v>
      </c>
      <c r="AA409" s="821">
        <v>2631715.70062452</v>
      </c>
      <c r="AB409" s="823">
        <v>4032063.6497227261</v>
      </c>
    </row>
    <row r="410" spans="1:28">
      <c r="A410" s="696" t="str">
        <f t="shared" si="6"/>
        <v>National Grid</v>
      </c>
      <c r="B410" s="696" t="str">
        <f>'Lookups-Assumptions'!$D$4</f>
        <v>Gas</v>
      </c>
      <c r="C410" s="696" t="str">
        <f>'Lookups-Assumptions'!$D$6</f>
        <v>Evaluated</v>
      </c>
      <c r="D410" s="696" t="e">
        <f>#REF!</f>
        <v>#REF!</v>
      </c>
      <c r="E410" s="696" t="s">
        <v>1021</v>
      </c>
      <c r="F410" s="696" t="s">
        <v>79</v>
      </c>
      <c r="G410" s="696" t="s">
        <v>872</v>
      </c>
      <c r="H410" s="696" t="s">
        <v>761</v>
      </c>
      <c r="I410" s="696" t="s">
        <v>1327</v>
      </c>
      <c r="J410" s="820">
        <v>168</v>
      </c>
      <c r="K410" s="821">
        <v>882000</v>
      </c>
      <c r="L410" s="786">
        <v>28.896000000000001</v>
      </c>
      <c r="M410" s="786">
        <v>520.12800000000004</v>
      </c>
      <c r="N410" s="786">
        <v>3477.6</v>
      </c>
      <c r="O410" s="786">
        <v>62596.799999999996</v>
      </c>
      <c r="P410" s="786">
        <v>0</v>
      </c>
      <c r="Q410" s="786">
        <v>0</v>
      </c>
      <c r="R410" s="786">
        <v>0</v>
      </c>
      <c r="S410" s="786">
        <v>0</v>
      </c>
      <c r="T410" s="786">
        <v>0</v>
      </c>
      <c r="U410" s="822">
        <v>0</v>
      </c>
      <c r="V410" s="821">
        <v>45555.915373546857</v>
      </c>
      <c r="W410" s="821">
        <v>572825.54132590722</v>
      </c>
      <c r="X410" s="821">
        <v>0</v>
      </c>
      <c r="Y410" s="821">
        <v>0</v>
      </c>
      <c r="Z410" s="821">
        <v>0</v>
      </c>
      <c r="AA410" s="821">
        <v>1028996.3710675202</v>
      </c>
      <c r="AB410" s="823">
        <v>1647377.8277669745</v>
      </c>
    </row>
    <row r="411" spans="1:28">
      <c r="A411" s="696" t="str">
        <f t="shared" si="6"/>
        <v>National Grid</v>
      </c>
      <c r="B411" s="696" t="str">
        <f>'Lookups-Assumptions'!$D$4</f>
        <v>Gas</v>
      </c>
      <c r="C411" s="696" t="str">
        <f>'Lookups-Assumptions'!$D$6</f>
        <v>Evaluated</v>
      </c>
      <c r="D411" s="696" t="e">
        <f>#REF!</f>
        <v>#REF!</v>
      </c>
      <c r="E411" s="696" t="s">
        <v>1022</v>
      </c>
      <c r="F411" s="696" t="s">
        <v>79</v>
      </c>
      <c r="G411" s="696" t="s">
        <v>872</v>
      </c>
      <c r="H411" s="696" t="s">
        <v>761</v>
      </c>
      <c r="I411" s="696" t="s">
        <v>1301</v>
      </c>
      <c r="J411" s="820">
        <v>0</v>
      </c>
      <c r="K411" s="821">
        <v>0</v>
      </c>
      <c r="L411" s="786">
        <v>0</v>
      </c>
      <c r="M411" s="786">
        <v>0</v>
      </c>
      <c r="N411" s="786">
        <v>0</v>
      </c>
      <c r="O411" s="786">
        <v>0</v>
      </c>
      <c r="P411" s="786">
        <v>0</v>
      </c>
      <c r="Q411" s="786">
        <v>0</v>
      </c>
      <c r="R411" s="786">
        <v>0</v>
      </c>
      <c r="S411" s="786">
        <v>0</v>
      </c>
      <c r="T411" s="786">
        <v>0</v>
      </c>
      <c r="U411" s="822">
        <v>0</v>
      </c>
      <c r="V411" s="821">
        <v>0</v>
      </c>
      <c r="W411" s="821">
        <v>0</v>
      </c>
      <c r="X411" s="821">
        <v>0</v>
      </c>
      <c r="Y411" s="821">
        <v>0</v>
      </c>
      <c r="Z411" s="821">
        <v>0</v>
      </c>
      <c r="AA411" s="821">
        <v>0</v>
      </c>
      <c r="AB411" s="823">
        <v>0</v>
      </c>
    </row>
    <row r="412" spans="1:28">
      <c r="A412" s="696" t="str">
        <f t="shared" si="6"/>
        <v>National Grid</v>
      </c>
      <c r="B412" s="696" t="str">
        <f>'Lookups-Assumptions'!$D$4</f>
        <v>Gas</v>
      </c>
      <c r="C412" s="696" t="str">
        <f>'Lookups-Assumptions'!$D$6</f>
        <v>Evaluated</v>
      </c>
      <c r="D412" s="696" t="e">
        <f>#REF!</f>
        <v>#REF!</v>
      </c>
      <c r="E412" s="696" t="s">
        <v>1023</v>
      </c>
      <c r="F412" s="696" t="s">
        <v>79</v>
      </c>
      <c r="G412" s="696" t="s">
        <v>872</v>
      </c>
      <c r="H412" s="696" t="s">
        <v>761</v>
      </c>
      <c r="I412" s="696" t="s">
        <v>1312</v>
      </c>
      <c r="J412" s="820">
        <v>0</v>
      </c>
      <c r="K412" s="821">
        <v>0</v>
      </c>
      <c r="L412" s="786">
        <v>0</v>
      </c>
      <c r="M412" s="786">
        <v>0</v>
      </c>
      <c r="N412" s="786">
        <v>0</v>
      </c>
      <c r="O412" s="786">
        <v>0</v>
      </c>
      <c r="P412" s="786">
        <v>0</v>
      </c>
      <c r="Q412" s="786">
        <v>0</v>
      </c>
      <c r="R412" s="786">
        <v>0</v>
      </c>
      <c r="S412" s="786">
        <v>0</v>
      </c>
      <c r="T412" s="786">
        <v>0</v>
      </c>
      <c r="U412" s="822">
        <v>0</v>
      </c>
      <c r="V412" s="821">
        <v>0</v>
      </c>
      <c r="W412" s="821">
        <v>0</v>
      </c>
      <c r="X412" s="821">
        <v>0</v>
      </c>
      <c r="Y412" s="821">
        <v>0</v>
      </c>
      <c r="Z412" s="821">
        <v>0</v>
      </c>
      <c r="AA412" s="821">
        <v>0</v>
      </c>
      <c r="AB412" s="823">
        <v>0</v>
      </c>
    </row>
    <row r="413" spans="1:28">
      <c r="A413" s="696" t="str">
        <f t="shared" si="6"/>
        <v>National Grid</v>
      </c>
      <c r="B413" s="696" t="str">
        <f>'Lookups-Assumptions'!$D$4</f>
        <v>Gas</v>
      </c>
      <c r="C413" s="696" t="str">
        <f>'Lookups-Assumptions'!$D$6</f>
        <v>Evaluated</v>
      </c>
      <c r="D413" s="696" t="e">
        <f>#REF!</f>
        <v>#REF!</v>
      </c>
      <c r="E413" s="696" t="s">
        <v>1024</v>
      </c>
      <c r="F413" s="696" t="s">
        <v>79</v>
      </c>
      <c r="G413" s="696" t="s">
        <v>872</v>
      </c>
      <c r="H413" s="696" t="s">
        <v>761</v>
      </c>
      <c r="I413" s="696" t="s">
        <v>1302</v>
      </c>
      <c r="J413" s="820">
        <v>0</v>
      </c>
      <c r="K413" s="821">
        <v>0</v>
      </c>
      <c r="L413" s="786">
        <v>0</v>
      </c>
      <c r="M413" s="786">
        <v>0</v>
      </c>
      <c r="N413" s="786">
        <v>0</v>
      </c>
      <c r="O413" s="786">
        <v>0</v>
      </c>
      <c r="P413" s="786">
        <v>0</v>
      </c>
      <c r="Q413" s="786">
        <v>0</v>
      </c>
      <c r="R413" s="786">
        <v>0</v>
      </c>
      <c r="S413" s="786">
        <v>0</v>
      </c>
      <c r="T413" s="786">
        <v>0</v>
      </c>
      <c r="U413" s="822">
        <v>0</v>
      </c>
      <c r="V413" s="821">
        <v>0</v>
      </c>
      <c r="W413" s="821">
        <v>0</v>
      </c>
      <c r="X413" s="821">
        <v>0</v>
      </c>
      <c r="Y413" s="821">
        <v>0</v>
      </c>
      <c r="Z413" s="821">
        <v>0</v>
      </c>
      <c r="AA413" s="821">
        <v>0</v>
      </c>
      <c r="AB413" s="823">
        <v>0</v>
      </c>
    </row>
    <row r="414" spans="1:28">
      <c r="A414" s="696" t="str">
        <f t="shared" si="6"/>
        <v>National Grid</v>
      </c>
      <c r="B414" s="696" t="str">
        <f>'Lookups-Assumptions'!$D$4</f>
        <v>Gas</v>
      </c>
      <c r="C414" s="696" t="str">
        <f>'Lookups-Assumptions'!$D$6</f>
        <v>Evaluated</v>
      </c>
      <c r="D414" s="696" t="e">
        <f>#REF!</f>
        <v>#REF!</v>
      </c>
      <c r="E414" s="696" t="s">
        <v>1025</v>
      </c>
      <c r="F414" s="696" t="s">
        <v>79</v>
      </c>
      <c r="G414" s="696" t="s">
        <v>872</v>
      </c>
      <c r="H414" s="696" t="s">
        <v>761</v>
      </c>
      <c r="I414" s="696" t="s">
        <v>1304</v>
      </c>
      <c r="J414" s="820">
        <v>0</v>
      </c>
      <c r="K414" s="821">
        <v>0</v>
      </c>
      <c r="L414" s="786">
        <v>0</v>
      </c>
      <c r="M414" s="786">
        <v>0</v>
      </c>
      <c r="N414" s="786">
        <v>0</v>
      </c>
      <c r="O414" s="786">
        <v>0</v>
      </c>
      <c r="P414" s="786">
        <v>0</v>
      </c>
      <c r="Q414" s="786">
        <v>0</v>
      </c>
      <c r="R414" s="786">
        <v>0</v>
      </c>
      <c r="S414" s="786">
        <v>0</v>
      </c>
      <c r="T414" s="786">
        <v>0</v>
      </c>
      <c r="U414" s="822">
        <v>0</v>
      </c>
      <c r="V414" s="821">
        <v>0</v>
      </c>
      <c r="W414" s="821">
        <v>0</v>
      </c>
      <c r="X414" s="821">
        <v>0</v>
      </c>
      <c r="Y414" s="821">
        <v>0</v>
      </c>
      <c r="Z414" s="821">
        <v>0</v>
      </c>
      <c r="AA414" s="821">
        <v>0</v>
      </c>
      <c r="AB414" s="823">
        <v>0</v>
      </c>
    </row>
    <row r="415" spans="1:28">
      <c r="A415" s="696" t="str">
        <f t="shared" si="6"/>
        <v>National Grid</v>
      </c>
      <c r="B415" s="696" t="str">
        <f>'Lookups-Assumptions'!$D$4</f>
        <v>Gas</v>
      </c>
      <c r="C415" s="696" t="str">
        <f>'Lookups-Assumptions'!$D$6</f>
        <v>Evaluated</v>
      </c>
      <c r="D415" s="696" t="e">
        <f>#REF!</f>
        <v>#REF!</v>
      </c>
      <c r="E415" s="696" t="s">
        <v>1026</v>
      </c>
      <c r="F415" s="696" t="s">
        <v>79</v>
      </c>
      <c r="G415" s="696" t="s">
        <v>872</v>
      </c>
      <c r="H415" s="696" t="s">
        <v>761</v>
      </c>
      <c r="I415" s="696" t="s">
        <v>1394</v>
      </c>
      <c r="J415" s="820">
        <v>0</v>
      </c>
      <c r="K415" s="821">
        <v>0</v>
      </c>
      <c r="L415" s="786">
        <v>0</v>
      </c>
      <c r="M415" s="786">
        <v>0</v>
      </c>
      <c r="N415" s="786">
        <v>0</v>
      </c>
      <c r="O415" s="786">
        <v>0</v>
      </c>
      <c r="P415" s="786">
        <v>0</v>
      </c>
      <c r="Q415" s="786">
        <v>0</v>
      </c>
      <c r="R415" s="786">
        <v>0</v>
      </c>
      <c r="S415" s="786">
        <v>0</v>
      </c>
      <c r="T415" s="786">
        <v>0</v>
      </c>
      <c r="U415" s="822">
        <v>0</v>
      </c>
      <c r="V415" s="821">
        <v>0</v>
      </c>
      <c r="W415" s="821">
        <v>0</v>
      </c>
      <c r="X415" s="821">
        <v>0</v>
      </c>
      <c r="Y415" s="821">
        <v>0</v>
      </c>
      <c r="Z415" s="821">
        <v>0</v>
      </c>
      <c r="AA415" s="821">
        <v>0</v>
      </c>
      <c r="AB415" s="823">
        <v>0</v>
      </c>
    </row>
    <row r="416" spans="1:28">
      <c r="A416" s="696" t="str">
        <f t="shared" si="6"/>
        <v>National Grid</v>
      </c>
      <c r="B416" s="696" t="str">
        <f>'Lookups-Assumptions'!$D$4</f>
        <v>Gas</v>
      </c>
      <c r="C416" s="696" t="str">
        <f>'Lookups-Assumptions'!$D$6</f>
        <v>Evaluated</v>
      </c>
      <c r="D416" s="696" t="e">
        <f>#REF!</f>
        <v>#REF!</v>
      </c>
      <c r="E416" s="696" t="s">
        <v>1027</v>
      </c>
      <c r="F416" s="696" t="s">
        <v>79</v>
      </c>
      <c r="G416" s="696" t="s">
        <v>872</v>
      </c>
      <c r="H416" s="696" t="s">
        <v>761</v>
      </c>
      <c r="I416" s="696" t="s">
        <v>759</v>
      </c>
      <c r="J416" s="820">
        <v>0</v>
      </c>
      <c r="K416" s="821">
        <v>0</v>
      </c>
      <c r="L416" s="786">
        <v>0</v>
      </c>
      <c r="M416" s="786">
        <v>0</v>
      </c>
      <c r="N416" s="786">
        <v>0</v>
      </c>
      <c r="O416" s="786">
        <v>0</v>
      </c>
      <c r="P416" s="786">
        <v>0</v>
      </c>
      <c r="Q416" s="786">
        <v>0</v>
      </c>
      <c r="R416" s="786">
        <v>0</v>
      </c>
      <c r="S416" s="786">
        <v>0</v>
      </c>
      <c r="T416" s="786">
        <v>0</v>
      </c>
      <c r="U416" s="822">
        <v>0</v>
      </c>
      <c r="V416" s="821">
        <v>0</v>
      </c>
      <c r="W416" s="821">
        <v>0</v>
      </c>
      <c r="X416" s="821">
        <v>0</v>
      </c>
      <c r="Y416" s="821">
        <v>0</v>
      </c>
      <c r="Z416" s="821">
        <v>0</v>
      </c>
      <c r="AA416" s="821">
        <v>0</v>
      </c>
      <c r="AB416" s="823">
        <v>0</v>
      </c>
    </row>
    <row r="417" spans="1:28">
      <c r="A417" s="696" t="str">
        <f t="shared" si="6"/>
        <v>National Grid</v>
      </c>
      <c r="B417" s="696" t="str">
        <f>'Lookups-Assumptions'!$D$4</f>
        <v>Gas</v>
      </c>
      <c r="C417" s="696" t="str">
        <f>'Lookups-Assumptions'!$D$6</f>
        <v>Evaluated</v>
      </c>
      <c r="D417" s="696" t="e">
        <f>#REF!</f>
        <v>#REF!</v>
      </c>
      <c r="E417" s="696" t="s">
        <v>1028</v>
      </c>
      <c r="F417" s="696" t="s">
        <v>79</v>
      </c>
      <c r="G417" s="696" t="s">
        <v>872</v>
      </c>
      <c r="H417" s="696" t="s">
        <v>761</v>
      </c>
      <c r="I417" s="696" t="s">
        <v>760</v>
      </c>
      <c r="J417" s="820">
        <v>0</v>
      </c>
      <c r="K417" s="821">
        <v>0</v>
      </c>
      <c r="L417" s="786">
        <v>0</v>
      </c>
      <c r="M417" s="786">
        <v>0</v>
      </c>
      <c r="N417" s="786">
        <v>0</v>
      </c>
      <c r="O417" s="786">
        <v>0</v>
      </c>
      <c r="P417" s="786">
        <v>0</v>
      </c>
      <c r="Q417" s="786">
        <v>0</v>
      </c>
      <c r="R417" s="786">
        <v>0</v>
      </c>
      <c r="S417" s="786">
        <v>0</v>
      </c>
      <c r="T417" s="786">
        <v>0</v>
      </c>
      <c r="U417" s="822">
        <v>0</v>
      </c>
      <c r="V417" s="821">
        <v>0</v>
      </c>
      <c r="W417" s="821">
        <v>0</v>
      </c>
      <c r="X417" s="821">
        <v>0</v>
      </c>
      <c r="Y417" s="821">
        <v>0</v>
      </c>
      <c r="Z417" s="821">
        <v>0</v>
      </c>
      <c r="AA417" s="821">
        <v>0</v>
      </c>
      <c r="AB417" s="823">
        <v>0</v>
      </c>
    </row>
    <row r="418" spans="1:28">
      <c r="A418" s="696" t="str">
        <f t="shared" si="6"/>
        <v>National Grid</v>
      </c>
      <c r="B418" s="696" t="str">
        <f>'Lookups-Assumptions'!$D$4</f>
        <v>Gas</v>
      </c>
      <c r="C418" s="696" t="str">
        <f>'Lookups-Assumptions'!$D$6</f>
        <v>Evaluated</v>
      </c>
      <c r="D418" s="696" t="e">
        <f>#REF!</f>
        <v>#REF!</v>
      </c>
      <c r="E418" s="696" t="s">
        <v>1029</v>
      </c>
      <c r="F418" s="696" t="s">
        <v>79</v>
      </c>
      <c r="G418" s="696" t="s">
        <v>872</v>
      </c>
      <c r="H418" s="696" t="s">
        <v>765</v>
      </c>
      <c r="I418" s="696" t="s">
        <v>660</v>
      </c>
      <c r="J418" s="820">
        <v>5500</v>
      </c>
      <c r="K418" s="821">
        <v>0</v>
      </c>
      <c r="L418" s="786">
        <v>0</v>
      </c>
      <c r="M418" s="786">
        <v>0</v>
      </c>
      <c r="N418" s="786">
        <v>0</v>
      </c>
      <c r="O418" s="786">
        <v>0</v>
      </c>
      <c r="P418" s="786">
        <v>0</v>
      </c>
      <c r="Q418" s="786">
        <v>0</v>
      </c>
      <c r="R418" s="786">
        <v>0</v>
      </c>
      <c r="S418" s="786">
        <v>0</v>
      </c>
      <c r="T418" s="786">
        <v>0</v>
      </c>
      <c r="U418" s="822">
        <v>0</v>
      </c>
      <c r="V418" s="821">
        <v>0</v>
      </c>
      <c r="W418" s="821">
        <v>0</v>
      </c>
      <c r="X418" s="821">
        <v>0</v>
      </c>
      <c r="Y418" s="821">
        <v>0</v>
      </c>
      <c r="Z418" s="821">
        <v>0</v>
      </c>
      <c r="AA418" s="821">
        <v>209442.60454816604</v>
      </c>
      <c r="AB418" s="823">
        <v>209442.60454816604</v>
      </c>
    </row>
    <row r="419" spans="1:28">
      <c r="A419" s="696" t="str">
        <f t="shared" si="6"/>
        <v>National Grid</v>
      </c>
      <c r="B419" s="696" t="str">
        <f>'Lookups-Assumptions'!$D$4</f>
        <v>Gas</v>
      </c>
      <c r="C419" s="696" t="str">
        <f>'Lookups-Assumptions'!$D$6</f>
        <v>Evaluated</v>
      </c>
      <c r="D419" s="696" t="e">
        <f>#REF!</f>
        <v>#REF!</v>
      </c>
      <c r="E419" s="696" t="s">
        <v>1030</v>
      </c>
      <c r="F419" s="696" t="s">
        <v>79</v>
      </c>
      <c r="G419" s="696" t="s">
        <v>872</v>
      </c>
      <c r="H419" s="696" t="s">
        <v>765</v>
      </c>
      <c r="I419" s="696" t="s">
        <v>1298</v>
      </c>
      <c r="J419" s="820">
        <v>4778.0012703789962</v>
      </c>
      <c r="K419" s="821">
        <v>387734.80309125554</v>
      </c>
      <c r="L419" s="786">
        <v>0</v>
      </c>
      <c r="M419" s="786">
        <v>0</v>
      </c>
      <c r="N419" s="786">
        <v>22934.406097819185</v>
      </c>
      <c r="O419" s="786">
        <v>344016.09146728774</v>
      </c>
      <c r="P419" s="786">
        <v>0</v>
      </c>
      <c r="Q419" s="786">
        <v>0</v>
      </c>
      <c r="R419" s="786">
        <v>0</v>
      </c>
      <c r="S419" s="786">
        <v>0</v>
      </c>
      <c r="T419" s="786">
        <v>0</v>
      </c>
      <c r="U419" s="822">
        <v>0</v>
      </c>
      <c r="V419" s="821">
        <v>0</v>
      </c>
      <c r="W419" s="821">
        <v>3125183.3550569736</v>
      </c>
      <c r="X419" s="821">
        <v>0</v>
      </c>
      <c r="Y419" s="821">
        <v>0</v>
      </c>
      <c r="Z419" s="821">
        <v>0</v>
      </c>
      <c r="AA419" s="821">
        <v>5806319.807762837</v>
      </c>
      <c r="AB419" s="823">
        <v>8931503.1628198102</v>
      </c>
    </row>
    <row r="420" spans="1:28">
      <c r="A420" s="696" t="str">
        <f t="shared" si="6"/>
        <v>National Grid</v>
      </c>
      <c r="B420" s="696" t="str">
        <f>'Lookups-Assumptions'!$D$4</f>
        <v>Gas</v>
      </c>
      <c r="C420" s="696" t="str">
        <f>'Lookups-Assumptions'!$D$6</f>
        <v>Evaluated</v>
      </c>
      <c r="D420" s="696" t="e">
        <f>#REF!</f>
        <v>#REF!</v>
      </c>
      <c r="E420" s="696" t="s">
        <v>1031</v>
      </c>
      <c r="F420" s="696" t="s">
        <v>79</v>
      </c>
      <c r="G420" s="696" t="s">
        <v>872</v>
      </c>
      <c r="H420" s="696" t="s">
        <v>765</v>
      </c>
      <c r="I420" s="696" t="s">
        <v>1299</v>
      </c>
      <c r="J420" s="820">
        <v>4023.3961465170441</v>
      </c>
      <c r="K420" s="821">
        <v>2130066.3878890532</v>
      </c>
      <c r="L420" s="786">
        <v>0</v>
      </c>
      <c r="M420" s="786">
        <v>0</v>
      </c>
      <c r="N420" s="786">
        <v>17200.018526360367</v>
      </c>
      <c r="O420" s="786">
        <v>430000.46315900917</v>
      </c>
      <c r="P420" s="786">
        <v>0</v>
      </c>
      <c r="Q420" s="786">
        <v>0</v>
      </c>
      <c r="R420" s="786">
        <v>0</v>
      </c>
      <c r="S420" s="786">
        <v>0</v>
      </c>
      <c r="T420" s="786">
        <v>0</v>
      </c>
      <c r="U420" s="822">
        <v>0</v>
      </c>
      <c r="V420" s="821">
        <v>0</v>
      </c>
      <c r="W420" s="821">
        <v>4030521.2380015724</v>
      </c>
      <c r="X420" s="821">
        <v>0</v>
      </c>
      <c r="Y420" s="821">
        <v>0</v>
      </c>
      <c r="Z420" s="821">
        <v>0</v>
      </c>
      <c r="AA420" s="821">
        <v>6458896.4858281054</v>
      </c>
      <c r="AB420" s="823">
        <v>10489417.723829677</v>
      </c>
    </row>
    <row r="421" spans="1:28">
      <c r="A421" s="696" t="str">
        <f t="shared" si="6"/>
        <v>National Grid</v>
      </c>
      <c r="B421" s="696" t="str">
        <f>'Lookups-Assumptions'!$D$4</f>
        <v>Gas</v>
      </c>
      <c r="C421" s="696" t="str">
        <f>'Lookups-Assumptions'!$D$6</f>
        <v>Evaluated</v>
      </c>
      <c r="D421" s="696" t="e">
        <f>#REF!</f>
        <v>#REF!</v>
      </c>
      <c r="E421" s="696" t="s">
        <v>1032</v>
      </c>
      <c r="F421" s="696" t="s">
        <v>79</v>
      </c>
      <c r="G421" s="696" t="s">
        <v>872</v>
      </c>
      <c r="H421" s="696" t="s">
        <v>765</v>
      </c>
      <c r="I421" s="696" t="s">
        <v>1326</v>
      </c>
      <c r="J421" s="820">
        <v>192.5</v>
      </c>
      <c r="K421" s="821">
        <v>5226477.0249999994</v>
      </c>
      <c r="L421" s="786">
        <v>0</v>
      </c>
      <c r="M421" s="786">
        <v>0</v>
      </c>
      <c r="N421" s="786">
        <v>20062.350000000002</v>
      </c>
      <c r="O421" s="786">
        <v>401247.00000000006</v>
      </c>
      <c r="P421" s="786">
        <v>0</v>
      </c>
      <c r="Q421" s="786">
        <v>0</v>
      </c>
      <c r="R421" s="786">
        <v>0</v>
      </c>
      <c r="S421" s="786">
        <v>0</v>
      </c>
      <c r="T421" s="786">
        <v>0</v>
      </c>
      <c r="U421" s="822">
        <v>0</v>
      </c>
      <c r="V421" s="821">
        <v>0</v>
      </c>
      <c r="W421" s="821">
        <v>3694281.3323940677</v>
      </c>
      <c r="X421" s="821">
        <v>0</v>
      </c>
      <c r="Y421" s="821">
        <v>0</v>
      </c>
      <c r="Z421" s="821">
        <v>0</v>
      </c>
      <c r="AA421" s="821">
        <v>1034806.8781170744</v>
      </c>
      <c r="AB421" s="823">
        <v>4729088.2105111424</v>
      </c>
    </row>
    <row r="422" spans="1:28">
      <c r="A422" s="696" t="str">
        <f t="shared" si="6"/>
        <v>National Grid</v>
      </c>
      <c r="B422" s="696" t="str">
        <f>'Lookups-Assumptions'!$D$4</f>
        <v>Gas</v>
      </c>
      <c r="C422" s="696" t="str">
        <f>'Lookups-Assumptions'!$D$6</f>
        <v>Evaluated</v>
      </c>
      <c r="D422" s="696" t="e">
        <f>#REF!</f>
        <v>#REF!</v>
      </c>
      <c r="E422" s="696" t="s">
        <v>1033</v>
      </c>
      <c r="F422" s="696" t="s">
        <v>79</v>
      </c>
      <c r="G422" s="696" t="s">
        <v>872</v>
      </c>
      <c r="H422" s="696" t="s">
        <v>765</v>
      </c>
      <c r="I422" s="696" t="s">
        <v>1327</v>
      </c>
      <c r="J422" s="820">
        <v>82.5</v>
      </c>
      <c r="K422" s="821">
        <v>378970.35</v>
      </c>
      <c r="L422" s="786">
        <v>0</v>
      </c>
      <c r="M422" s="786">
        <v>0</v>
      </c>
      <c r="N422" s="786">
        <v>1890.8999999999999</v>
      </c>
      <c r="O422" s="786">
        <v>34036.199999999997</v>
      </c>
      <c r="P422" s="786">
        <v>0</v>
      </c>
      <c r="Q422" s="786">
        <v>0</v>
      </c>
      <c r="R422" s="786">
        <v>0</v>
      </c>
      <c r="S422" s="786">
        <v>0</v>
      </c>
      <c r="T422" s="786">
        <v>0</v>
      </c>
      <c r="U422" s="822">
        <v>0</v>
      </c>
      <c r="V422" s="821">
        <v>0</v>
      </c>
      <c r="W422" s="821">
        <v>311466.47575717675</v>
      </c>
      <c r="X422" s="821">
        <v>0</v>
      </c>
      <c r="Y422" s="821">
        <v>0</v>
      </c>
      <c r="Z422" s="821">
        <v>0</v>
      </c>
      <c r="AA422" s="821">
        <v>242820.64863368054</v>
      </c>
      <c r="AB422" s="823">
        <v>554287.12439085729</v>
      </c>
    </row>
    <row r="423" spans="1:28">
      <c r="A423" s="696" t="str">
        <f t="shared" si="6"/>
        <v>National Grid</v>
      </c>
      <c r="B423" s="696" t="str">
        <f>'Lookups-Assumptions'!$D$4</f>
        <v>Gas</v>
      </c>
      <c r="C423" s="696" t="str">
        <f>'Lookups-Assumptions'!$D$6</f>
        <v>Evaluated</v>
      </c>
      <c r="D423" s="696" t="e">
        <f>#REF!</f>
        <v>#REF!</v>
      </c>
      <c r="E423" s="696" t="s">
        <v>1034</v>
      </c>
      <c r="F423" s="696" t="s">
        <v>79</v>
      </c>
      <c r="G423" s="696" t="s">
        <v>872</v>
      </c>
      <c r="H423" s="696" t="s">
        <v>765</v>
      </c>
      <c r="I423" s="696" t="s">
        <v>1328</v>
      </c>
      <c r="J423" s="820">
        <v>0</v>
      </c>
      <c r="K423" s="821">
        <v>0</v>
      </c>
      <c r="L423" s="786">
        <v>0</v>
      </c>
      <c r="M423" s="786">
        <v>0</v>
      </c>
      <c r="N423" s="786">
        <v>0</v>
      </c>
      <c r="O423" s="786">
        <v>0</v>
      </c>
      <c r="P423" s="786">
        <v>0</v>
      </c>
      <c r="Q423" s="786">
        <v>0</v>
      </c>
      <c r="R423" s="786">
        <v>0</v>
      </c>
      <c r="S423" s="786">
        <v>0</v>
      </c>
      <c r="T423" s="786">
        <v>0</v>
      </c>
      <c r="U423" s="822">
        <v>0</v>
      </c>
      <c r="V423" s="821">
        <v>0</v>
      </c>
      <c r="W423" s="821">
        <v>0</v>
      </c>
      <c r="X423" s="821">
        <v>0</v>
      </c>
      <c r="Y423" s="821">
        <v>0</v>
      </c>
      <c r="Z423" s="821">
        <v>0</v>
      </c>
      <c r="AA423" s="821">
        <v>0</v>
      </c>
      <c r="AB423" s="823">
        <v>0</v>
      </c>
    </row>
    <row r="424" spans="1:28">
      <c r="A424" s="696" t="str">
        <f t="shared" si="6"/>
        <v>National Grid</v>
      </c>
      <c r="B424" s="696" t="str">
        <f>'Lookups-Assumptions'!$D$4</f>
        <v>Gas</v>
      </c>
      <c r="C424" s="696" t="str">
        <f>'Lookups-Assumptions'!$D$6</f>
        <v>Evaluated</v>
      </c>
      <c r="D424" s="696" t="e">
        <f>#REF!</f>
        <v>#REF!</v>
      </c>
      <c r="E424" s="696" t="s">
        <v>1035</v>
      </c>
      <c r="F424" s="696" t="s">
        <v>79</v>
      </c>
      <c r="G424" s="696" t="s">
        <v>872</v>
      </c>
      <c r="H424" s="696" t="s">
        <v>765</v>
      </c>
      <c r="I424" s="696" t="s">
        <v>1311</v>
      </c>
      <c r="J424" s="820">
        <v>0</v>
      </c>
      <c r="K424" s="821">
        <v>0</v>
      </c>
      <c r="L424" s="786">
        <v>0</v>
      </c>
      <c r="M424" s="786">
        <v>0</v>
      </c>
      <c r="N424" s="786">
        <v>0</v>
      </c>
      <c r="O424" s="786">
        <v>0</v>
      </c>
      <c r="P424" s="786">
        <v>0</v>
      </c>
      <c r="Q424" s="786">
        <v>0</v>
      </c>
      <c r="R424" s="786">
        <v>0</v>
      </c>
      <c r="S424" s="786">
        <v>0</v>
      </c>
      <c r="T424" s="786">
        <v>0</v>
      </c>
      <c r="U424" s="822">
        <v>0</v>
      </c>
      <c r="V424" s="821">
        <v>0</v>
      </c>
      <c r="W424" s="821">
        <v>0</v>
      </c>
      <c r="X424" s="821">
        <v>0</v>
      </c>
      <c r="Y424" s="821">
        <v>0</v>
      </c>
      <c r="Z424" s="821">
        <v>0</v>
      </c>
      <c r="AA424" s="821">
        <v>0</v>
      </c>
      <c r="AB424" s="823">
        <v>0</v>
      </c>
    </row>
    <row r="425" spans="1:28">
      <c r="A425" s="696" t="str">
        <f t="shared" si="6"/>
        <v>National Grid</v>
      </c>
      <c r="B425" s="696" t="str">
        <f>'Lookups-Assumptions'!$D$4</f>
        <v>Gas</v>
      </c>
      <c r="C425" s="696" t="str">
        <f>'Lookups-Assumptions'!$D$6</f>
        <v>Evaluated</v>
      </c>
      <c r="D425" s="696" t="e">
        <f>#REF!</f>
        <v>#REF!</v>
      </c>
      <c r="E425" s="696" t="s">
        <v>1036</v>
      </c>
      <c r="F425" s="696" t="s">
        <v>79</v>
      </c>
      <c r="G425" s="696" t="s">
        <v>872</v>
      </c>
      <c r="H425" s="696" t="s">
        <v>765</v>
      </c>
      <c r="I425" s="696" t="s">
        <v>1312</v>
      </c>
      <c r="J425" s="820">
        <v>0</v>
      </c>
      <c r="K425" s="821">
        <v>0</v>
      </c>
      <c r="L425" s="786">
        <v>0</v>
      </c>
      <c r="M425" s="786">
        <v>0</v>
      </c>
      <c r="N425" s="786">
        <v>0</v>
      </c>
      <c r="O425" s="786">
        <v>0</v>
      </c>
      <c r="P425" s="786">
        <v>0</v>
      </c>
      <c r="Q425" s="786">
        <v>0</v>
      </c>
      <c r="R425" s="786">
        <v>0</v>
      </c>
      <c r="S425" s="786">
        <v>0</v>
      </c>
      <c r="T425" s="786">
        <v>0</v>
      </c>
      <c r="U425" s="822">
        <v>0</v>
      </c>
      <c r="V425" s="821">
        <v>0</v>
      </c>
      <c r="W425" s="821">
        <v>0</v>
      </c>
      <c r="X425" s="821">
        <v>0</v>
      </c>
      <c r="Y425" s="821">
        <v>0</v>
      </c>
      <c r="Z425" s="821">
        <v>0</v>
      </c>
      <c r="AA425" s="821">
        <v>0</v>
      </c>
      <c r="AB425" s="823">
        <v>0</v>
      </c>
    </row>
    <row r="426" spans="1:28">
      <c r="A426" s="696" t="str">
        <f t="shared" si="6"/>
        <v>National Grid</v>
      </c>
      <c r="B426" s="696" t="str">
        <f>'Lookups-Assumptions'!$D$4</f>
        <v>Gas</v>
      </c>
      <c r="C426" s="696" t="str">
        <f>'Lookups-Assumptions'!$D$6</f>
        <v>Evaluated</v>
      </c>
      <c r="D426" s="696" t="e">
        <f>#REF!</f>
        <v>#REF!</v>
      </c>
      <c r="E426" s="696" t="s">
        <v>1037</v>
      </c>
      <c r="F426" s="696" t="s">
        <v>79</v>
      </c>
      <c r="G426" s="696" t="s">
        <v>872</v>
      </c>
      <c r="H426" s="696" t="s">
        <v>765</v>
      </c>
      <c r="I426" s="696" t="s">
        <v>1302</v>
      </c>
      <c r="J426" s="820">
        <v>1856.2354435739996</v>
      </c>
      <c r="K426" s="821">
        <v>7424.9417742959986</v>
      </c>
      <c r="L426" s="786">
        <v>0</v>
      </c>
      <c r="M426" s="786">
        <v>0</v>
      </c>
      <c r="N426" s="786">
        <v>1587.0813042557695</v>
      </c>
      <c r="O426" s="786">
        <v>23806.219563836541</v>
      </c>
      <c r="P426" s="786">
        <v>0</v>
      </c>
      <c r="Q426" s="786">
        <v>0</v>
      </c>
      <c r="R426" s="786">
        <v>0</v>
      </c>
      <c r="S426" s="786">
        <v>0</v>
      </c>
      <c r="T426" s="786">
        <v>0</v>
      </c>
      <c r="U426" s="822">
        <v>0</v>
      </c>
      <c r="V426" s="821">
        <v>0</v>
      </c>
      <c r="W426" s="821">
        <v>207096.2356301019</v>
      </c>
      <c r="X426" s="821">
        <v>0</v>
      </c>
      <c r="Y426" s="821">
        <v>0</v>
      </c>
      <c r="Z426" s="821">
        <v>0</v>
      </c>
      <c r="AA426" s="821">
        <v>219499.28118843806</v>
      </c>
      <c r="AB426" s="823">
        <v>426595.51681853994</v>
      </c>
    </row>
    <row r="427" spans="1:28">
      <c r="A427" s="696" t="str">
        <f t="shared" si="6"/>
        <v>National Grid</v>
      </c>
      <c r="B427" s="696" t="str">
        <f>'Lookups-Assumptions'!$D$4</f>
        <v>Gas</v>
      </c>
      <c r="C427" s="696" t="str">
        <f>'Lookups-Assumptions'!$D$6</f>
        <v>Evaluated</v>
      </c>
      <c r="D427" s="696" t="e">
        <f>#REF!</f>
        <v>#REF!</v>
      </c>
      <c r="E427" s="696" t="s">
        <v>1038</v>
      </c>
      <c r="F427" s="696" t="s">
        <v>79</v>
      </c>
      <c r="G427" s="696" t="s">
        <v>872</v>
      </c>
      <c r="H427" s="696" t="s">
        <v>765</v>
      </c>
      <c r="I427" s="696" t="s">
        <v>1303</v>
      </c>
      <c r="J427" s="820">
        <v>0</v>
      </c>
      <c r="K427" s="821">
        <v>0</v>
      </c>
      <c r="L427" s="786">
        <v>0</v>
      </c>
      <c r="M427" s="786">
        <v>0</v>
      </c>
      <c r="N427" s="786">
        <v>0</v>
      </c>
      <c r="O427" s="786">
        <v>0</v>
      </c>
      <c r="P427" s="786">
        <v>0</v>
      </c>
      <c r="Q427" s="786">
        <v>0</v>
      </c>
      <c r="R427" s="786">
        <v>0</v>
      </c>
      <c r="S427" s="786">
        <v>0</v>
      </c>
      <c r="T427" s="786">
        <v>0</v>
      </c>
      <c r="U427" s="822">
        <v>0</v>
      </c>
      <c r="V427" s="821">
        <v>0</v>
      </c>
      <c r="W427" s="821">
        <v>0</v>
      </c>
      <c r="X427" s="821">
        <v>0</v>
      </c>
      <c r="Y427" s="821">
        <v>0</v>
      </c>
      <c r="Z427" s="821">
        <v>0</v>
      </c>
      <c r="AA427" s="821">
        <v>0</v>
      </c>
      <c r="AB427" s="823">
        <v>0</v>
      </c>
    </row>
    <row r="428" spans="1:28">
      <c r="A428" s="696" t="str">
        <f t="shared" si="6"/>
        <v>National Grid</v>
      </c>
      <c r="B428" s="696" t="str">
        <f>'Lookups-Assumptions'!$D$4</f>
        <v>Gas</v>
      </c>
      <c r="C428" s="696" t="str">
        <f>'Lookups-Assumptions'!$D$6</f>
        <v>Evaluated</v>
      </c>
      <c r="D428" s="696" t="e">
        <f>#REF!</f>
        <v>#REF!</v>
      </c>
      <c r="E428" s="696" t="s">
        <v>1039</v>
      </c>
      <c r="F428" s="696" t="s">
        <v>79</v>
      </c>
      <c r="G428" s="696" t="s">
        <v>872</v>
      </c>
      <c r="H428" s="696" t="s">
        <v>765</v>
      </c>
      <c r="I428" s="696" t="s">
        <v>1329</v>
      </c>
      <c r="J428" s="820">
        <v>0</v>
      </c>
      <c r="K428" s="821">
        <v>0</v>
      </c>
      <c r="L428" s="786">
        <v>0</v>
      </c>
      <c r="M428" s="786">
        <v>0</v>
      </c>
      <c r="N428" s="786">
        <v>0</v>
      </c>
      <c r="O428" s="786">
        <v>0</v>
      </c>
      <c r="P428" s="786">
        <v>0</v>
      </c>
      <c r="Q428" s="786">
        <v>0</v>
      </c>
      <c r="R428" s="786">
        <v>0</v>
      </c>
      <c r="S428" s="786">
        <v>0</v>
      </c>
      <c r="T428" s="786">
        <v>0</v>
      </c>
      <c r="U428" s="822">
        <v>0</v>
      </c>
      <c r="V428" s="821">
        <v>0</v>
      </c>
      <c r="W428" s="821">
        <v>0</v>
      </c>
      <c r="X428" s="821">
        <v>0</v>
      </c>
      <c r="Y428" s="821">
        <v>0</v>
      </c>
      <c r="Z428" s="821">
        <v>0</v>
      </c>
      <c r="AA428" s="821">
        <v>0</v>
      </c>
      <c r="AB428" s="823">
        <v>0</v>
      </c>
    </row>
    <row r="429" spans="1:28">
      <c r="A429" s="696" t="str">
        <f t="shared" si="6"/>
        <v>National Grid</v>
      </c>
      <c r="B429" s="696" t="str">
        <f>'Lookups-Assumptions'!$D$4</f>
        <v>Gas</v>
      </c>
      <c r="C429" s="696" t="str">
        <f>'Lookups-Assumptions'!$D$6</f>
        <v>Evaluated</v>
      </c>
      <c r="D429" s="696" t="e">
        <f>#REF!</f>
        <v>#REF!</v>
      </c>
      <c r="E429" s="696" t="s">
        <v>1040</v>
      </c>
      <c r="F429" s="696" t="s">
        <v>79</v>
      </c>
      <c r="G429" s="696" t="s">
        <v>872</v>
      </c>
      <c r="H429" s="696" t="s">
        <v>765</v>
      </c>
      <c r="I429" s="696" t="s">
        <v>1324</v>
      </c>
      <c r="J429" s="820">
        <v>185.15773872538639</v>
      </c>
      <c r="K429" s="821">
        <v>2290473.4395511323</v>
      </c>
      <c r="L429" s="786">
        <v>0</v>
      </c>
      <c r="M429" s="786">
        <v>0</v>
      </c>
      <c r="N429" s="786">
        <v>16223.98396146517</v>
      </c>
      <c r="O429" s="786">
        <v>324479.67922930338</v>
      </c>
      <c r="P429" s="786">
        <v>0</v>
      </c>
      <c r="Q429" s="786">
        <v>0</v>
      </c>
      <c r="R429" s="786">
        <v>0</v>
      </c>
      <c r="S429" s="786">
        <v>0</v>
      </c>
      <c r="T429" s="786">
        <v>0</v>
      </c>
      <c r="U429" s="822">
        <v>0</v>
      </c>
      <c r="V429" s="821">
        <v>0</v>
      </c>
      <c r="W429" s="821">
        <v>2864468.1104255426</v>
      </c>
      <c r="X429" s="821">
        <v>0</v>
      </c>
      <c r="Y429" s="821">
        <v>0</v>
      </c>
      <c r="Z429" s="821">
        <v>0</v>
      </c>
      <c r="AA429" s="821">
        <v>431720.08206495806</v>
      </c>
      <c r="AB429" s="823">
        <v>3296188.1924905004</v>
      </c>
    </row>
    <row r="430" spans="1:28">
      <c r="A430" s="696" t="str">
        <f t="shared" si="6"/>
        <v>National Grid</v>
      </c>
      <c r="B430" s="696" t="str">
        <f>'Lookups-Assumptions'!$D$4</f>
        <v>Gas</v>
      </c>
      <c r="C430" s="696" t="str">
        <f>'Lookups-Assumptions'!$D$6</f>
        <v>Evaluated</v>
      </c>
      <c r="D430" s="696" t="e">
        <f>#REF!</f>
        <v>#REF!</v>
      </c>
      <c r="E430" s="696" t="s">
        <v>1041</v>
      </c>
      <c r="F430" s="696" t="s">
        <v>79</v>
      </c>
      <c r="G430" s="696" t="s">
        <v>872</v>
      </c>
      <c r="H430" s="696" t="s">
        <v>765</v>
      </c>
      <c r="I430" s="696" t="s">
        <v>1321</v>
      </c>
      <c r="J430" s="820">
        <v>0</v>
      </c>
      <c r="K430" s="821">
        <v>0</v>
      </c>
      <c r="L430" s="786">
        <v>0</v>
      </c>
      <c r="M430" s="786">
        <v>0</v>
      </c>
      <c r="N430" s="786">
        <v>0</v>
      </c>
      <c r="O430" s="786">
        <v>0</v>
      </c>
      <c r="P430" s="786">
        <v>0</v>
      </c>
      <c r="Q430" s="786">
        <v>0</v>
      </c>
      <c r="R430" s="786">
        <v>0</v>
      </c>
      <c r="S430" s="786">
        <v>0</v>
      </c>
      <c r="T430" s="786">
        <v>0</v>
      </c>
      <c r="U430" s="822">
        <v>0</v>
      </c>
      <c r="V430" s="821">
        <v>0</v>
      </c>
      <c r="W430" s="821">
        <v>0</v>
      </c>
      <c r="X430" s="821">
        <v>0</v>
      </c>
      <c r="Y430" s="821">
        <v>0</v>
      </c>
      <c r="Z430" s="821">
        <v>0</v>
      </c>
      <c r="AA430" s="821">
        <v>0</v>
      </c>
      <c r="AB430" s="823">
        <v>0</v>
      </c>
    </row>
    <row r="431" spans="1:28">
      <c r="A431" s="696" t="str">
        <f t="shared" si="6"/>
        <v>National Grid</v>
      </c>
      <c r="B431" s="696" t="str">
        <f>'Lookups-Assumptions'!$D$4</f>
        <v>Gas</v>
      </c>
      <c r="C431" s="696" t="str">
        <f>'Lookups-Assumptions'!$D$6</f>
        <v>Evaluated</v>
      </c>
      <c r="D431" s="696" t="e">
        <f>#REF!</f>
        <v>#REF!</v>
      </c>
      <c r="E431" s="696" t="s">
        <v>1042</v>
      </c>
      <c r="F431" s="696" t="s">
        <v>79</v>
      </c>
      <c r="G431" s="696" t="s">
        <v>872</v>
      </c>
      <c r="H431" s="696" t="s">
        <v>765</v>
      </c>
      <c r="I431" s="696" t="s">
        <v>1304</v>
      </c>
      <c r="J431" s="820">
        <v>3335.1683252170233</v>
      </c>
      <c r="K431" s="821">
        <v>53362.693203472372</v>
      </c>
      <c r="L431" s="786">
        <v>0</v>
      </c>
      <c r="M431" s="786">
        <v>0</v>
      </c>
      <c r="N431" s="786">
        <v>1234.0122803302986</v>
      </c>
      <c r="O431" s="786">
        <v>8638.0859623120905</v>
      </c>
      <c r="P431" s="786">
        <v>0</v>
      </c>
      <c r="Q431" s="786">
        <v>0</v>
      </c>
      <c r="R431" s="786">
        <v>0</v>
      </c>
      <c r="S431" s="786">
        <v>0</v>
      </c>
      <c r="T431" s="786">
        <v>2774860.0465805633</v>
      </c>
      <c r="U431" s="822">
        <v>19424020.326063942</v>
      </c>
      <c r="V431" s="821">
        <v>0</v>
      </c>
      <c r="W431" s="821">
        <v>76934.508882239155</v>
      </c>
      <c r="X431" s="821">
        <v>0</v>
      </c>
      <c r="Y431" s="821">
        <v>0</v>
      </c>
      <c r="Z431" s="821">
        <v>207223.17922771527</v>
      </c>
      <c r="AA431" s="821">
        <v>115185.7841347269</v>
      </c>
      <c r="AB431" s="823">
        <v>399343.47224468132</v>
      </c>
    </row>
    <row r="432" spans="1:28">
      <c r="A432" s="696" t="str">
        <f t="shared" si="6"/>
        <v>National Grid</v>
      </c>
      <c r="B432" s="696" t="str">
        <f>'Lookups-Assumptions'!$D$4</f>
        <v>Gas</v>
      </c>
      <c r="C432" s="696" t="str">
        <f>'Lookups-Assumptions'!$D$6</f>
        <v>Evaluated</v>
      </c>
      <c r="D432" s="696" t="e">
        <f>#REF!</f>
        <v>#REF!</v>
      </c>
      <c r="E432" s="696" t="s">
        <v>1043</v>
      </c>
      <c r="F432" s="696" t="s">
        <v>79</v>
      </c>
      <c r="G432" s="696" t="s">
        <v>872</v>
      </c>
      <c r="H432" s="696" t="s">
        <v>765</v>
      </c>
      <c r="I432" s="696" t="s">
        <v>1306</v>
      </c>
      <c r="J432" s="820">
        <v>1752.5936904509847</v>
      </c>
      <c r="K432" s="821">
        <v>47320.029642176589</v>
      </c>
      <c r="L432" s="786">
        <v>0</v>
      </c>
      <c r="M432" s="786">
        <v>0</v>
      </c>
      <c r="N432" s="786">
        <v>1875.2752487825537</v>
      </c>
      <c r="O432" s="786">
        <v>13126.926741477877</v>
      </c>
      <c r="P432" s="786">
        <v>0</v>
      </c>
      <c r="Q432" s="786">
        <v>0</v>
      </c>
      <c r="R432" s="786">
        <v>0</v>
      </c>
      <c r="S432" s="786">
        <v>0</v>
      </c>
      <c r="T432" s="786">
        <v>3082812.301503282</v>
      </c>
      <c r="U432" s="822">
        <v>21579686.110522974</v>
      </c>
      <c r="V432" s="821">
        <v>0</v>
      </c>
      <c r="W432" s="821">
        <v>116914.05554366774</v>
      </c>
      <c r="X432" s="821">
        <v>0</v>
      </c>
      <c r="Y432" s="821">
        <v>0</v>
      </c>
      <c r="Z432" s="821">
        <v>230220.67973015254</v>
      </c>
      <c r="AA432" s="821">
        <v>18750.863856170927</v>
      </c>
      <c r="AB432" s="823">
        <v>365885.5991299912</v>
      </c>
    </row>
    <row r="433" spans="1:28">
      <c r="A433" s="696" t="str">
        <f t="shared" si="6"/>
        <v>National Grid</v>
      </c>
      <c r="B433" s="696" t="str">
        <f>'Lookups-Assumptions'!$D$4</f>
        <v>Gas</v>
      </c>
      <c r="C433" s="696" t="str">
        <f>'Lookups-Assumptions'!$D$6</f>
        <v>Evaluated</v>
      </c>
      <c r="D433" s="696" t="e">
        <f>#REF!</f>
        <v>#REF!</v>
      </c>
      <c r="E433" s="696" t="s">
        <v>1044</v>
      </c>
      <c r="F433" s="696" t="s">
        <v>79</v>
      </c>
      <c r="G433" s="696" t="s">
        <v>872</v>
      </c>
      <c r="H433" s="696" t="s">
        <v>765</v>
      </c>
      <c r="I433" s="696" t="s">
        <v>1309</v>
      </c>
      <c r="J433" s="820">
        <v>199.13190768579292</v>
      </c>
      <c r="K433" s="821">
        <v>17447.937751429177</v>
      </c>
      <c r="L433" s="786">
        <v>0</v>
      </c>
      <c r="M433" s="786">
        <v>0</v>
      </c>
      <c r="N433" s="786">
        <v>343.50254075799273</v>
      </c>
      <c r="O433" s="786">
        <v>5152.5381113698913</v>
      </c>
      <c r="P433" s="786">
        <v>0</v>
      </c>
      <c r="Q433" s="786">
        <v>0</v>
      </c>
      <c r="R433" s="786">
        <v>0</v>
      </c>
      <c r="S433" s="786">
        <v>0</v>
      </c>
      <c r="T433" s="786">
        <v>0</v>
      </c>
      <c r="U433" s="822">
        <v>0</v>
      </c>
      <c r="V433" s="821">
        <v>0</v>
      </c>
      <c r="W433" s="821">
        <v>46807.770744878282</v>
      </c>
      <c r="X433" s="821">
        <v>0</v>
      </c>
      <c r="Y433" s="821">
        <v>0</v>
      </c>
      <c r="Z433" s="821">
        <v>0</v>
      </c>
      <c r="AA433" s="821">
        <v>65362.15907088152</v>
      </c>
      <c r="AB433" s="823">
        <v>112169.9298157598</v>
      </c>
    </row>
    <row r="434" spans="1:28">
      <c r="A434" s="696" t="str">
        <f t="shared" si="6"/>
        <v>National Grid</v>
      </c>
      <c r="B434" s="696" t="str">
        <f>'Lookups-Assumptions'!$D$4</f>
        <v>Gas</v>
      </c>
      <c r="C434" s="696" t="str">
        <f>'Lookups-Assumptions'!$D$6</f>
        <v>Evaluated</v>
      </c>
      <c r="D434" s="696" t="e">
        <f>#REF!</f>
        <v>#REF!</v>
      </c>
      <c r="E434" s="696" t="s">
        <v>1045</v>
      </c>
      <c r="F434" s="696" t="s">
        <v>79</v>
      </c>
      <c r="G434" s="696" t="s">
        <v>872</v>
      </c>
      <c r="H434" s="696" t="s">
        <v>765</v>
      </c>
      <c r="I434" s="696" t="s">
        <v>759</v>
      </c>
      <c r="J434" s="820">
        <v>0</v>
      </c>
      <c r="K434" s="821">
        <v>0</v>
      </c>
      <c r="L434" s="786">
        <v>0</v>
      </c>
      <c r="M434" s="786">
        <v>0</v>
      </c>
      <c r="N434" s="786">
        <v>0</v>
      </c>
      <c r="O434" s="786">
        <v>0</v>
      </c>
      <c r="P434" s="786">
        <v>0</v>
      </c>
      <c r="Q434" s="786">
        <v>0</v>
      </c>
      <c r="R434" s="786">
        <v>0</v>
      </c>
      <c r="S434" s="786">
        <v>0</v>
      </c>
      <c r="T434" s="786">
        <v>0</v>
      </c>
      <c r="U434" s="822">
        <v>0</v>
      </c>
      <c r="V434" s="821">
        <v>0</v>
      </c>
      <c r="W434" s="821">
        <v>0</v>
      </c>
      <c r="X434" s="821">
        <v>0</v>
      </c>
      <c r="Y434" s="821">
        <v>0</v>
      </c>
      <c r="Z434" s="821">
        <v>0</v>
      </c>
      <c r="AA434" s="821">
        <v>0</v>
      </c>
      <c r="AB434" s="823">
        <v>0</v>
      </c>
    </row>
    <row r="435" spans="1:28">
      <c r="A435" s="696" t="str">
        <f t="shared" si="6"/>
        <v>National Grid</v>
      </c>
      <c r="B435" s="696" t="str">
        <f>'Lookups-Assumptions'!$D$4</f>
        <v>Gas</v>
      </c>
      <c r="C435" s="696" t="str">
        <f>'Lookups-Assumptions'!$D$6</f>
        <v>Evaluated</v>
      </c>
      <c r="D435" s="696" t="e">
        <f>#REF!</f>
        <v>#REF!</v>
      </c>
      <c r="E435" s="696" t="s">
        <v>1046</v>
      </c>
      <c r="F435" s="696" t="s">
        <v>79</v>
      </c>
      <c r="G435" s="696" t="s">
        <v>872</v>
      </c>
      <c r="H435" s="696" t="s">
        <v>765</v>
      </c>
      <c r="I435" s="696" t="s">
        <v>760</v>
      </c>
      <c r="J435" s="820">
        <v>0</v>
      </c>
      <c r="K435" s="821">
        <v>0</v>
      </c>
      <c r="L435" s="786">
        <v>0</v>
      </c>
      <c r="M435" s="786">
        <v>0</v>
      </c>
      <c r="N435" s="786">
        <v>0</v>
      </c>
      <c r="O435" s="786">
        <v>0</v>
      </c>
      <c r="P435" s="786">
        <v>0</v>
      </c>
      <c r="Q435" s="786">
        <v>0</v>
      </c>
      <c r="R435" s="786">
        <v>0</v>
      </c>
      <c r="S435" s="786">
        <v>0</v>
      </c>
      <c r="T435" s="786">
        <v>0</v>
      </c>
      <c r="U435" s="822">
        <v>0</v>
      </c>
      <c r="V435" s="821">
        <v>0</v>
      </c>
      <c r="W435" s="821">
        <v>0</v>
      </c>
      <c r="X435" s="821">
        <v>0</v>
      </c>
      <c r="Y435" s="821">
        <v>0</v>
      </c>
      <c r="Z435" s="821">
        <v>0</v>
      </c>
      <c r="AA435" s="821">
        <v>0</v>
      </c>
      <c r="AB435" s="823">
        <v>0</v>
      </c>
    </row>
    <row r="436" spans="1:28">
      <c r="A436" s="696" t="str">
        <f t="shared" si="6"/>
        <v>National Grid</v>
      </c>
      <c r="B436" s="696" t="str">
        <f>'Lookups-Assumptions'!$D$4</f>
        <v>Gas</v>
      </c>
      <c r="C436" s="696" t="str">
        <f>'Lookups-Assumptions'!$D$6</f>
        <v>Evaluated</v>
      </c>
      <c r="D436" s="696" t="e">
        <f>#REF!</f>
        <v>#REF!</v>
      </c>
      <c r="E436" s="696" t="s">
        <v>1047</v>
      </c>
      <c r="F436" s="696" t="s">
        <v>79</v>
      </c>
      <c r="G436" s="696" t="s">
        <v>872</v>
      </c>
      <c r="H436" s="696" t="s">
        <v>765</v>
      </c>
      <c r="I436" s="696" t="s">
        <v>1319</v>
      </c>
      <c r="J436" s="820">
        <v>0</v>
      </c>
      <c r="K436" s="821">
        <v>0</v>
      </c>
      <c r="L436" s="786">
        <v>0</v>
      </c>
      <c r="M436" s="786">
        <v>0</v>
      </c>
      <c r="N436" s="786">
        <v>0</v>
      </c>
      <c r="O436" s="786">
        <v>0</v>
      </c>
      <c r="P436" s="786">
        <v>0</v>
      </c>
      <c r="Q436" s="786">
        <v>0</v>
      </c>
      <c r="R436" s="786">
        <v>0</v>
      </c>
      <c r="S436" s="786">
        <v>0</v>
      </c>
      <c r="T436" s="786">
        <v>0</v>
      </c>
      <c r="U436" s="822">
        <v>0</v>
      </c>
      <c r="V436" s="821">
        <v>0</v>
      </c>
      <c r="W436" s="821">
        <v>0</v>
      </c>
      <c r="X436" s="821">
        <v>0</v>
      </c>
      <c r="Y436" s="821">
        <v>0</v>
      </c>
      <c r="Z436" s="821">
        <v>0</v>
      </c>
      <c r="AA436" s="821">
        <v>0</v>
      </c>
      <c r="AB436" s="823">
        <v>0</v>
      </c>
    </row>
    <row r="437" spans="1:28">
      <c r="A437" s="696" t="str">
        <f t="shared" si="6"/>
        <v>National Grid</v>
      </c>
      <c r="B437" s="696" t="str">
        <f>'Lookups-Assumptions'!$D$4</f>
        <v>Gas</v>
      </c>
      <c r="C437" s="696" t="str">
        <f>'Lookups-Assumptions'!$D$6</f>
        <v>Evaluated</v>
      </c>
      <c r="D437" s="696" t="e">
        <f>#REF!</f>
        <v>#REF!</v>
      </c>
      <c r="E437" s="696" t="s">
        <v>1048</v>
      </c>
      <c r="F437" s="696" t="s">
        <v>79</v>
      </c>
      <c r="G437" s="696" t="s">
        <v>872</v>
      </c>
      <c r="H437" s="696" t="s">
        <v>765</v>
      </c>
      <c r="I437" s="696" t="s">
        <v>1308</v>
      </c>
      <c r="J437" s="820">
        <v>0</v>
      </c>
      <c r="K437" s="821">
        <v>0</v>
      </c>
      <c r="L437" s="786">
        <v>0</v>
      </c>
      <c r="M437" s="786">
        <v>0</v>
      </c>
      <c r="N437" s="786">
        <v>0</v>
      </c>
      <c r="O437" s="786">
        <v>0</v>
      </c>
      <c r="P437" s="786">
        <v>0</v>
      </c>
      <c r="Q437" s="786">
        <v>0</v>
      </c>
      <c r="R437" s="786">
        <v>0</v>
      </c>
      <c r="S437" s="786">
        <v>0</v>
      </c>
      <c r="T437" s="786">
        <v>0</v>
      </c>
      <c r="U437" s="822">
        <v>0</v>
      </c>
      <c r="V437" s="821">
        <v>0</v>
      </c>
      <c r="W437" s="821">
        <v>0</v>
      </c>
      <c r="X437" s="821">
        <v>0</v>
      </c>
      <c r="Y437" s="821">
        <v>0</v>
      </c>
      <c r="Z437" s="821">
        <v>0</v>
      </c>
      <c r="AA437" s="821">
        <v>0</v>
      </c>
      <c r="AB437" s="823">
        <v>0</v>
      </c>
    </row>
    <row r="438" spans="1:28">
      <c r="A438" s="696" t="str">
        <f t="shared" si="6"/>
        <v>National Grid</v>
      </c>
      <c r="B438" s="696" t="str">
        <f>'Lookups-Assumptions'!$D$4</f>
        <v>Gas</v>
      </c>
      <c r="C438" s="696" t="str">
        <f>'Lookups-Assumptions'!$D$6</f>
        <v>Evaluated</v>
      </c>
      <c r="D438" s="696" t="e">
        <f>#REF!</f>
        <v>#REF!</v>
      </c>
      <c r="E438" s="696" t="s">
        <v>1049</v>
      </c>
      <c r="F438" s="696" t="s">
        <v>83</v>
      </c>
      <c r="G438" s="696" t="s">
        <v>873</v>
      </c>
      <c r="H438" s="696" t="s">
        <v>661</v>
      </c>
      <c r="I438" s="696" t="s">
        <v>1341</v>
      </c>
      <c r="J438" s="820">
        <v>1</v>
      </c>
      <c r="K438" s="821">
        <v>2486713.7355584078</v>
      </c>
      <c r="L438" s="786">
        <v>0</v>
      </c>
      <c r="M438" s="786">
        <v>0</v>
      </c>
      <c r="N438" s="786">
        <v>104720.05</v>
      </c>
      <c r="O438" s="786">
        <v>1675520.8</v>
      </c>
      <c r="P438" s="786">
        <v>0</v>
      </c>
      <c r="Q438" s="786">
        <v>0</v>
      </c>
      <c r="R438" s="786">
        <v>0</v>
      </c>
      <c r="S438" s="786">
        <v>0</v>
      </c>
      <c r="T438" s="786">
        <v>0</v>
      </c>
      <c r="U438" s="822">
        <v>0</v>
      </c>
      <c r="V438" s="821">
        <v>0</v>
      </c>
      <c r="W438" s="821">
        <v>13789548.999704134</v>
      </c>
      <c r="X438" s="821">
        <v>0</v>
      </c>
      <c r="Y438" s="821">
        <v>0</v>
      </c>
      <c r="Z438" s="821">
        <v>0</v>
      </c>
      <c r="AA438" s="821">
        <v>-64720.985523444557</v>
      </c>
      <c r="AB438" s="823">
        <v>13724828.01418069</v>
      </c>
    </row>
    <row r="439" spans="1:28">
      <c r="A439" s="696" t="str">
        <f t="shared" si="6"/>
        <v>National Grid</v>
      </c>
      <c r="B439" s="696" t="str">
        <f>'Lookups-Assumptions'!$D$4</f>
        <v>Gas</v>
      </c>
      <c r="C439" s="696" t="str">
        <f>'Lookups-Assumptions'!$D$6</f>
        <v>Evaluated</v>
      </c>
      <c r="D439" s="696" t="e">
        <f>#REF!</f>
        <v>#REF!</v>
      </c>
      <c r="E439" s="696" t="s">
        <v>1050</v>
      </c>
      <c r="F439" s="696" t="s">
        <v>83</v>
      </c>
      <c r="G439" s="696" t="s">
        <v>873</v>
      </c>
      <c r="H439" s="696" t="s">
        <v>661</v>
      </c>
      <c r="I439" s="696" t="s">
        <v>1347</v>
      </c>
      <c r="J439" s="820">
        <v>0</v>
      </c>
      <c r="K439" s="821">
        <v>0</v>
      </c>
      <c r="L439" s="786">
        <v>0</v>
      </c>
      <c r="M439" s="786">
        <v>0</v>
      </c>
      <c r="N439" s="786">
        <v>0</v>
      </c>
      <c r="O439" s="786">
        <v>0</v>
      </c>
      <c r="P439" s="786">
        <v>0</v>
      </c>
      <c r="Q439" s="786">
        <v>0</v>
      </c>
      <c r="R439" s="786">
        <v>0</v>
      </c>
      <c r="S439" s="786">
        <v>0</v>
      </c>
      <c r="T439" s="786">
        <v>0</v>
      </c>
      <c r="U439" s="822">
        <v>0</v>
      </c>
      <c r="V439" s="821">
        <v>0</v>
      </c>
      <c r="W439" s="821">
        <v>0</v>
      </c>
      <c r="X439" s="821">
        <v>0</v>
      </c>
      <c r="Y439" s="821">
        <v>0</v>
      </c>
      <c r="Z439" s="821">
        <v>0</v>
      </c>
      <c r="AA439" s="821">
        <v>0</v>
      </c>
      <c r="AB439" s="823">
        <v>0</v>
      </c>
    </row>
    <row r="440" spans="1:28">
      <c r="A440" s="696" t="str">
        <f t="shared" si="6"/>
        <v>National Grid</v>
      </c>
      <c r="B440" s="696" t="str">
        <f>'Lookups-Assumptions'!$D$4</f>
        <v>Gas</v>
      </c>
      <c r="C440" s="696" t="str">
        <f>'Lookups-Assumptions'!$D$6</f>
        <v>Evaluated</v>
      </c>
      <c r="D440" s="696" t="e">
        <f>#REF!</f>
        <v>#REF!</v>
      </c>
      <c r="E440" s="696" t="s">
        <v>1051</v>
      </c>
      <c r="F440" s="696" t="s">
        <v>83</v>
      </c>
      <c r="G440" s="696" t="s">
        <v>873</v>
      </c>
      <c r="H440" s="696" t="s">
        <v>661</v>
      </c>
      <c r="I440" s="696" t="s">
        <v>1349</v>
      </c>
      <c r="J440" s="820">
        <v>0</v>
      </c>
      <c r="K440" s="821">
        <v>0</v>
      </c>
      <c r="L440" s="786">
        <v>0</v>
      </c>
      <c r="M440" s="786">
        <v>0</v>
      </c>
      <c r="N440" s="786">
        <v>0</v>
      </c>
      <c r="O440" s="786">
        <v>0</v>
      </c>
      <c r="P440" s="786">
        <v>0</v>
      </c>
      <c r="Q440" s="786">
        <v>0</v>
      </c>
      <c r="R440" s="786">
        <v>0</v>
      </c>
      <c r="S440" s="786">
        <v>0</v>
      </c>
      <c r="T440" s="786">
        <v>0</v>
      </c>
      <c r="U440" s="822">
        <v>0</v>
      </c>
      <c r="V440" s="821">
        <v>0</v>
      </c>
      <c r="W440" s="821">
        <v>0</v>
      </c>
      <c r="X440" s="821">
        <v>0</v>
      </c>
      <c r="Y440" s="821">
        <v>0</v>
      </c>
      <c r="Z440" s="821">
        <v>0</v>
      </c>
      <c r="AA440" s="821">
        <v>0</v>
      </c>
      <c r="AB440" s="823">
        <v>0</v>
      </c>
    </row>
    <row r="441" spans="1:28">
      <c r="A441" s="696" t="str">
        <f t="shared" si="6"/>
        <v>National Grid</v>
      </c>
      <c r="B441" s="696" t="str">
        <f>'Lookups-Assumptions'!$D$4</f>
        <v>Gas</v>
      </c>
      <c r="C441" s="696" t="str">
        <f>'Lookups-Assumptions'!$D$6</f>
        <v>Evaluated</v>
      </c>
      <c r="D441" s="696" t="e">
        <f>#REF!</f>
        <v>#REF!</v>
      </c>
      <c r="E441" s="696" t="s">
        <v>1053</v>
      </c>
      <c r="F441" s="696" t="s">
        <v>83</v>
      </c>
      <c r="G441" s="696" t="s">
        <v>873</v>
      </c>
      <c r="H441" s="696" t="s">
        <v>661</v>
      </c>
      <c r="I441" s="696" t="s">
        <v>1350</v>
      </c>
      <c r="J441" s="820">
        <v>1</v>
      </c>
      <c r="K441" s="821">
        <v>14200.865542456351</v>
      </c>
      <c r="L441" s="786">
        <v>0</v>
      </c>
      <c r="M441" s="786">
        <v>0</v>
      </c>
      <c r="N441" s="786">
        <v>677.76092284733647</v>
      </c>
      <c r="O441" s="786">
        <v>10166.413842710048</v>
      </c>
      <c r="P441" s="786">
        <v>0</v>
      </c>
      <c r="Q441" s="786">
        <v>0</v>
      </c>
      <c r="R441" s="786">
        <v>0</v>
      </c>
      <c r="S441" s="786">
        <v>0</v>
      </c>
      <c r="T441" s="786">
        <v>0</v>
      </c>
      <c r="U441" s="822">
        <v>0</v>
      </c>
      <c r="V441" s="821">
        <v>0</v>
      </c>
      <c r="W441" s="821">
        <v>86254.478651467463</v>
      </c>
      <c r="X441" s="821">
        <v>0</v>
      </c>
      <c r="Y441" s="821">
        <v>0</v>
      </c>
      <c r="Z441" s="821">
        <v>0</v>
      </c>
      <c r="AA441" s="821">
        <v>0</v>
      </c>
      <c r="AB441" s="823">
        <v>86254.478651467463</v>
      </c>
    </row>
    <row r="442" spans="1:28">
      <c r="A442" s="696" t="str">
        <f t="shared" si="6"/>
        <v>National Grid</v>
      </c>
      <c r="B442" s="696" t="str">
        <f>'Lookups-Assumptions'!$D$4</f>
        <v>Gas</v>
      </c>
      <c r="C442" s="696" t="str">
        <f>'Lookups-Assumptions'!$D$6</f>
        <v>Evaluated</v>
      </c>
      <c r="D442" s="696" t="e">
        <f>#REF!</f>
        <v>#REF!</v>
      </c>
      <c r="E442" s="696" t="s">
        <v>1054</v>
      </c>
      <c r="F442" s="696" t="s">
        <v>83</v>
      </c>
      <c r="G442" s="696" t="s">
        <v>873</v>
      </c>
      <c r="H442" s="696" t="s">
        <v>661</v>
      </c>
      <c r="I442" s="696" t="s">
        <v>1352</v>
      </c>
      <c r="J442" s="820">
        <v>1</v>
      </c>
      <c r="K442" s="821">
        <v>295851.36546784063</v>
      </c>
      <c r="L442" s="786">
        <v>0</v>
      </c>
      <c r="M442" s="786">
        <v>0</v>
      </c>
      <c r="N442" s="786">
        <v>8472.0115355917042</v>
      </c>
      <c r="O442" s="786">
        <v>169440.2307118341</v>
      </c>
      <c r="P442" s="786">
        <v>0</v>
      </c>
      <c r="Q442" s="786">
        <v>0</v>
      </c>
      <c r="R442" s="786">
        <v>0</v>
      </c>
      <c r="S442" s="786">
        <v>0</v>
      </c>
      <c r="T442" s="786">
        <v>0</v>
      </c>
      <c r="U442" s="822">
        <v>0</v>
      </c>
      <c r="V442" s="821">
        <v>0</v>
      </c>
      <c r="W442" s="821">
        <v>1459749.0138122183</v>
      </c>
      <c r="X442" s="821">
        <v>0</v>
      </c>
      <c r="Y442" s="821">
        <v>0</v>
      </c>
      <c r="Z442" s="821">
        <v>0</v>
      </c>
      <c r="AA442" s="821">
        <v>0</v>
      </c>
      <c r="AB442" s="823">
        <v>1459749.0138122183</v>
      </c>
    </row>
    <row r="443" spans="1:28">
      <c r="A443" s="696" t="str">
        <f t="shared" si="6"/>
        <v>National Grid</v>
      </c>
      <c r="B443" s="696" t="str">
        <f>'Lookups-Assumptions'!$D$4</f>
        <v>Gas</v>
      </c>
      <c r="C443" s="696" t="str">
        <f>'Lookups-Assumptions'!$D$6</f>
        <v>Evaluated</v>
      </c>
      <c r="D443" s="696" t="e">
        <f>#REF!</f>
        <v>#REF!</v>
      </c>
      <c r="E443" s="696" t="s">
        <v>1056</v>
      </c>
      <c r="F443" s="696" t="s">
        <v>83</v>
      </c>
      <c r="G443" s="696" t="s">
        <v>873</v>
      </c>
      <c r="H443" s="696" t="s">
        <v>661</v>
      </c>
      <c r="I443" s="696" t="s">
        <v>1357</v>
      </c>
      <c r="J443" s="820">
        <v>0</v>
      </c>
      <c r="K443" s="821">
        <v>0</v>
      </c>
      <c r="L443" s="786">
        <v>0</v>
      </c>
      <c r="M443" s="786">
        <v>0</v>
      </c>
      <c r="N443" s="786">
        <v>0</v>
      </c>
      <c r="O443" s="786">
        <v>0</v>
      </c>
      <c r="P443" s="786">
        <v>0</v>
      </c>
      <c r="Q443" s="786">
        <v>0</v>
      </c>
      <c r="R443" s="786">
        <v>0</v>
      </c>
      <c r="S443" s="786">
        <v>0</v>
      </c>
      <c r="T443" s="786">
        <v>0</v>
      </c>
      <c r="U443" s="822">
        <v>0</v>
      </c>
      <c r="V443" s="821">
        <v>0</v>
      </c>
      <c r="W443" s="821">
        <v>0</v>
      </c>
      <c r="X443" s="821">
        <v>0</v>
      </c>
      <c r="Y443" s="821">
        <v>0</v>
      </c>
      <c r="Z443" s="821">
        <v>0</v>
      </c>
      <c r="AA443" s="821">
        <v>0</v>
      </c>
      <c r="AB443" s="823">
        <v>0</v>
      </c>
    </row>
    <row r="444" spans="1:28">
      <c r="A444" s="696" t="str">
        <f t="shared" si="6"/>
        <v>National Grid</v>
      </c>
      <c r="B444" s="696" t="str">
        <f>'Lookups-Assumptions'!$D$4</f>
        <v>Gas</v>
      </c>
      <c r="C444" s="696" t="str">
        <f>'Lookups-Assumptions'!$D$6</f>
        <v>Evaluated</v>
      </c>
      <c r="D444" s="696" t="e">
        <f>#REF!</f>
        <v>#REF!</v>
      </c>
      <c r="E444" s="696" t="s">
        <v>1058</v>
      </c>
      <c r="F444" s="696" t="s">
        <v>83</v>
      </c>
      <c r="G444" s="696" t="s">
        <v>873</v>
      </c>
      <c r="H444" s="696" t="s">
        <v>661</v>
      </c>
      <c r="I444" s="696" t="s">
        <v>772</v>
      </c>
      <c r="J444" s="820">
        <v>1</v>
      </c>
      <c r="K444" s="821">
        <v>84000</v>
      </c>
      <c r="L444" s="786">
        <v>0</v>
      </c>
      <c r="M444" s="786">
        <v>0</v>
      </c>
      <c r="N444" s="786">
        <v>5600</v>
      </c>
      <c r="O444" s="786">
        <v>84000</v>
      </c>
      <c r="P444" s="786">
        <v>0</v>
      </c>
      <c r="Q444" s="786">
        <v>0</v>
      </c>
      <c r="R444" s="786">
        <v>0</v>
      </c>
      <c r="S444" s="786">
        <v>0</v>
      </c>
      <c r="T444" s="786">
        <v>0</v>
      </c>
      <c r="U444" s="822">
        <v>0</v>
      </c>
      <c r="V444" s="821">
        <v>0</v>
      </c>
      <c r="W444" s="821">
        <v>646563.96188434621</v>
      </c>
      <c r="X444" s="821">
        <v>0</v>
      </c>
      <c r="Y444" s="821">
        <v>0</v>
      </c>
      <c r="Z444" s="821">
        <v>0</v>
      </c>
      <c r="AA444" s="821">
        <v>0</v>
      </c>
      <c r="AB444" s="823">
        <v>646563.96188434621</v>
      </c>
    </row>
    <row r="445" spans="1:28">
      <c r="A445" s="696" t="str">
        <f t="shared" si="6"/>
        <v>National Grid</v>
      </c>
      <c r="B445" s="696" t="str">
        <f>'Lookups-Assumptions'!$D$4</f>
        <v>Gas</v>
      </c>
      <c r="C445" s="696" t="str">
        <f>'Lookups-Assumptions'!$D$6</f>
        <v>Evaluated</v>
      </c>
      <c r="D445" s="696" t="e">
        <f>#REF!</f>
        <v>#REF!</v>
      </c>
      <c r="E445" s="696" t="s">
        <v>1060</v>
      </c>
      <c r="F445" s="696" t="s">
        <v>83</v>
      </c>
      <c r="G445" s="696" t="s">
        <v>873</v>
      </c>
      <c r="H445" s="696" t="s">
        <v>661</v>
      </c>
      <c r="I445" s="696" t="s">
        <v>84</v>
      </c>
      <c r="J445" s="820">
        <v>0</v>
      </c>
      <c r="K445" s="821">
        <v>0</v>
      </c>
      <c r="L445" s="786">
        <v>0</v>
      </c>
      <c r="M445" s="786">
        <v>0</v>
      </c>
      <c r="N445" s="786">
        <v>0</v>
      </c>
      <c r="O445" s="786">
        <v>0</v>
      </c>
      <c r="P445" s="786">
        <v>0</v>
      </c>
      <c r="Q445" s="786">
        <v>0</v>
      </c>
      <c r="R445" s="786">
        <v>0</v>
      </c>
      <c r="S445" s="786">
        <v>0</v>
      </c>
      <c r="T445" s="786">
        <v>0</v>
      </c>
      <c r="U445" s="822">
        <v>0</v>
      </c>
      <c r="V445" s="821">
        <v>0</v>
      </c>
      <c r="W445" s="821">
        <v>0</v>
      </c>
      <c r="X445" s="821">
        <v>0</v>
      </c>
      <c r="Y445" s="821">
        <v>0</v>
      </c>
      <c r="Z445" s="821">
        <v>0</v>
      </c>
      <c r="AA445" s="821">
        <v>0</v>
      </c>
      <c r="AB445" s="823">
        <v>0</v>
      </c>
    </row>
    <row r="446" spans="1:28">
      <c r="A446" s="696" t="str">
        <f t="shared" si="6"/>
        <v>National Grid</v>
      </c>
      <c r="B446" s="696" t="str">
        <f>'Lookups-Assumptions'!$D$4</f>
        <v>Gas</v>
      </c>
      <c r="C446" s="696" t="str">
        <f>'Lookups-Assumptions'!$D$6</f>
        <v>Evaluated</v>
      </c>
      <c r="D446" s="696" t="e">
        <f>#REF!</f>
        <v>#REF!</v>
      </c>
      <c r="E446" s="696" t="s">
        <v>1062</v>
      </c>
      <c r="F446" s="696" t="s">
        <v>83</v>
      </c>
      <c r="G446" s="696" t="s">
        <v>873</v>
      </c>
      <c r="H446" s="696" t="s">
        <v>661</v>
      </c>
      <c r="I446" s="696" t="s">
        <v>720</v>
      </c>
      <c r="J446" s="820">
        <v>1</v>
      </c>
      <c r="K446" s="821">
        <v>465000</v>
      </c>
      <c r="L446" s="786">
        <v>0</v>
      </c>
      <c r="M446" s="786">
        <v>0</v>
      </c>
      <c r="N446" s="786">
        <v>31000</v>
      </c>
      <c r="O446" s="786">
        <v>775000</v>
      </c>
      <c r="P446" s="786">
        <v>0</v>
      </c>
      <c r="Q446" s="786">
        <v>0</v>
      </c>
      <c r="R446" s="786">
        <v>0</v>
      </c>
      <c r="S446" s="786">
        <v>0</v>
      </c>
      <c r="T446" s="786">
        <v>0</v>
      </c>
      <c r="U446" s="822">
        <v>0</v>
      </c>
      <c r="V446" s="821">
        <v>0</v>
      </c>
      <c r="W446" s="821">
        <v>6812688.7821064172</v>
      </c>
      <c r="X446" s="821">
        <v>0</v>
      </c>
      <c r="Y446" s="821">
        <v>0</v>
      </c>
      <c r="Z446" s="821">
        <v>0</v>
      </c>
      <c r="AA446" s="821">
        <v>4474.923742996566</v>
      </c>
      <c r="AB446" s="823">
        <v>6817163.7058494138</v>
      </c>
    </row>
    <row r="447" spans="1:28">
      <c r="A447" s="696" t="str">
        <f t="shared" si="6"/>
        <v>National Grid</v>
      </c>
      <c r="B447" s="696" t="str">
        <f>'Lookups-Assumptions'!$D$4</f>
        <v>Gas</v>
      </c>
      <c r="C447" s="696" t="str">
        <f>'Lookups-Assumptions'!$D$6</f>
        <v>Evaluated</v>
      </c>
      <c r="D447" s="696" t="e">
        <f>#REF!</f>
        <v>#REF!</v>
      </c>
      <c r="E447" s="696" t="s">
        <v>1064</v>
      </c>
      <c r="F447" s="696" t="s">
        <v>83</v>
      </c>
      <c r="G447" s="696" t="s">
        <v>873</v>
      </c>
      <c r="H447" s="696" t="s">
        <v>661</v>
      </c>
      <c r="I447" s="696" t="s">
        <v>774</v>
      </c>
      <c r="J447" s="820">
        <v>1</v>
      </c>
      <c r="K447" s="821">
        <v>53253.245784211314</v>
      </c>
      <c r="L447" s="786">
        <v>0</v>
      </c>
      <c r="M447" s="786">
        <v>0</v>
      </c>
      <c r="N447" s="786">
        <v>1694.402307118341</v>
      </c>
      <c r="O447" s="786">
        <v>30499.241528130136</v>
      </c>
      <c r="P447" s="786">
        <v>0</v>
      </c>
      <c r="Q447" s="786">
        <v>0</v>
      </c>
      <c r="R447" s="786">
        <v>0</v>
      </c>
      <c r="S447" s="786">
        <v>0</v>
      </c>
      <c r="T447" s="786">
        <v>0</v>
      </c>
      <c r="U447" s="822">
        <v>0</v>
      </c>
      <c r="V447" s="821">
        <v>0</v>
      </c>
      <c r="W447" s="821">
        <v>252623.32323417056</v>
      </c>
      <c r="X447" s="821">
        <v>0</v>
      </c>
      <c r="Y447" s="821">
        <v>0</v>
      </c>
      <c r="Z447" s="821">
        <v>0</v>
      </c>
      <c r="AA447" s="821">
        <v>-8797.5676010076968</v>
      </c>
      <c r="AB447" s="823">
        <v>243825.75563316286</v>
      </c>
    </row>
    <row r="448" spans="1:28">
      <c r="A448" s="696" t="str">
        <f t="shared" si="6"/>
        <v>National Grid</v>
      </c>
      <c r="B448" s="696" t="str">
        <f>'Lookups-Assumptions'!$D$4</f>
        <v>Gas</v>
      </c>
      <c r="C448" s="696" t="str">
        <f>'Lookups-Assumptions'!$D$6</f>
        <v>Evaluated</v>
      </c>
      <c r="D448" s="696" t="e">
        <f>#REF!</f>
        <v>#REF!</v>
      </c>
      <c r="E448" s="696" t="s">
        <v>1065</v>
      </c>
      <c r="F448" s="696" t="s">
        <v>83</v>
      </c>
      <c r="G448" s="696" t="s">
        <v>873</v>
      </c>
      <c r="H448" s="696" t="s">
        <v>661</v>
      </c>
      <c r="I448" s="696" t="s">
        <v>719</v>
      </c>
      <c r="J448" s="820">
        <v>1</v>
      </c>
      <c r="K448" s="821">
        <v>0</v>
      </c>
      <c r="L448" s="786">
        <v>0</v>
      </c>
      <c r="M448" s="786">
        <v>0</v>
      </c>
      <c r="N448" s="786">
        <v>3123.2803828761075</v>
      </c>
      <c r="O448" s="786">
        <v>62465.607657522152</v>
      </c>
      <c r="P448" s="786">
        <v>0</v>
      </c>
      <c r="Q448" s="786">
        <v>0</v>
      </c>
      <c r="R448" s="786">
        <v>0</v>
      </c>
      <c r="S448" s="786">
        <v>0</v>
      </c>
      <c r="T448" s="786">
        <v>0</v>
      </c>
      <c r="U448" s="822">
        <v>0</v>
      </c>
      <c r="V448" s="821">
        <v>0</v>
      </c>
      <c r="W448" s="821">
        <v>521267.79379574035</v>
      </c>
      <c r="X448" s="821">
        <v>0</v>
      </c>
      <c r="Y448" s="821">
        <v>0</v>
      </c>
      <c r="Z448" s="821">
        <v>0</v>
      </c>
      <c r="AA448" s="821">
        <v>0</v>
      </c>
      <c r="AB448" s="823">
        <v>521267.79379574035</v>
      </c>
    </row>
    <row r="449" spans="1:28">
      <c r="A449" s="696" t="str">
        <f t="shared" si="6"/>
        <v>National Grid</v>
      </c>
      <c r="B449" s="696" t="str">
        <f>'Lookups-Assumptions'!$D$4</f>
        <v>Gas</v>
      </c>
      <c r="C449" s="696" t="str">
        <f>'Lookups-Assumptions'!$D$6</f>
        <v>Evaluated</v>
      </c>
      <c r="D449" s="696" t="e">
        <f>#REF!</f>
        <v>#REF!</v>
      </c>
      <c r="E449" s="696" t="s">
        <v>1066</v>
      </c>
      <c r="F449" s="696" t="s">
        <v>83</v>
      </c>
      <c r="G449" s="696" t="s">
        <v>873</v>
      </c>
      <c r="H449" s="696" t="s">
        <v>661</v>
      </c>
      <c r="I449" s="696" t="s">
        <v>1359</v>
      </c>
      <c r="J449" s="820">
        <v>0</v>
      </c>
      <c r="K449" s="821">
        <v>0</v>
      </c>
      <c r="L449" s="786">
        <v>0</v>
      </c>
      <c r="M449" s="786">
        <v>0</v>
      </c>
      <c r="N449" s="786">
        <v>0</v>
      </c>
      <c r="O449" s="786">
        <v>0</v>
      </c>
      <c r="P449" s="786">
        <v>0</v>
      </c>
      <c r="Q449" s="786">
        <v>0</v>
      </c>
      <c r="R449" s="786">
        <v>0</v>
      </c>
      <c r="S449" s="786">
        <v>0</v>
      </c>
      <c r="T449" s="786">
        <v>0</v>
      </c>
      <c r="U449" s="822">
        <v>0</v>
      </c>
      <c r="V449" s="821">
        <v>0</v>
      </c>
      <c r="W449" s="821">
        <v>0</v>
      </c>
      <c r="X449" s="821">
        <v>0</v>
      </c>
      <c r="Y449" s="821">
        <v>0</v>
      </c>
      <c r="Z449" s="821">
        <v>0</v>
      </c>
      <c r="AA449" s="821">
        <v>0</v>
      </c>
      <c r="AB449" s="823">
        <v>0</v>
      </c>
    </row>
    <row r="450" spans="1:28">
      <c r="A450" s="696" t="str">
        <f t="shared" si="6"/>
        <v>National Grid</v>
      </c>
      <c r="B450" s="696" t="str">
        <f>'Lookups-Assumptions'!$D$4</f>
        <v>Gas</v>
      </c>
      <c r="C450" s="696" t="str">
        <f>'Lookups-Assumptions'!$D$6</f>
        <v>Evaluated</v>
      </c>
      <c r="D450" s="696" t="e">
        <f>#REF!</f>
        <v>#REF!</v>
      </c>
      <c r="E450" s="696" t="s">
        <v>1067</v>
      </c>
      <c r="F450" s="696" t="s">
        <v>83</v>
      </c>
      <c r="G450" s="696" t="s">
        <v>873</v>
      </c>
      <c r="H450" s="696" t="s">
        <v>661</v>
      </c>
      <c r="I450" s="696" t="s">
        <v>752</v>
      </c>
      <c r="J450" s="820">
        <v>0</v>
      </c>
      <c r="K450" s="821">
        <v>0</v>
      </c>
      <c r="L450" s="786">
        <v>0</v>
      </c>
      <c r="M450" s="786">
        <v>0</v>
      </c>
      <c r="N450" s="786">
        <v>0</v>
      </c>
      <c r="O450" s="786">
        <v>0</v>
      </c>
      <c r="P450" s="786">
        <v>0</v>
      </c>
      <c r="Q450" s="786">
        <v>0</v>
      </c>
      <c r="R450" s="786">
        <v>0</v>
      </c>
      <c r="S450" s="786">
        <v>0</v>
      </c>
      <c r="T450" s="786">
        <v>0</v>
      </c>
      <c r="U450" s="822">
        <v>0</v>
      </c>
      <c r="V450" s="821">
        <v>0</v>
      </c>
      <c r="W450" s="821">
        <v>0</v>
      </c>
      <c r="X450" s="821">
        <v>0</v>
      </c>
      <c r="Y450" s="821">
        <v>0</v>
      </c>
      <c r="Z450" s="821">
        <v>0</v>
      </c>
      <c r="AA450" s="821">
        <v>0</v>
      </c>
      <c r="AB450" s="823">
        <v>0</v>
      </c>
    </row>
    <row r="451" spans="1:28">
      <c r="A451" s="696" t="str">
        <f t="shared" si="6"/>
        <v>National Grid</v>
      </c>
      <c r="B451" s="696" t="str">
        <f>'Lookups-Assumptions'!$D$4</f>
        <v>Gas</v>
      </c>
      <c r="C451" s="696" t="str">
        <f>'Lookups-Assumptions'!$D$6</f>
        <v>Evaluated</v>
      </c>
      <c r="D451" s="696" t="e">
        <f>#REF!</f>
        <v>#REF!</v>
      </c>
      <c r="E451" s="696" t="s">
        <v>1068</v>
      </c>
      <c r="F451" s="696" t="s">
        <v>83</v>
      </c>
      <c r="G451" s="696" t="s">
        <v>873</v>
      </c>
      <c r="H451" s="696" t="s">
        <v>661</v>
      </c>
      <c r="I451" s="696" t="s">
        <v>753</v>
      </c>
      <c r="J451" s="820">
        <v>0</v>
      </c>
      <c r="K451" s="821">
        <v>0</v>
      </c>
      <c r="L451" s="786">
        <v>0</v>
      </c>
      <c r="M451" s="786">
        <v>0</v>
      </c>
      <c r="N451" s="786">
        <v>0</v>
      </c>
      <c r="O451" s="786">
        <v>0</v>
      </c>
      <c r="P451" s="786">
        <v>0</v>
      </c>
      <c r="Q451" s="786">
        <v>0</v>
      </c>
      <c r="R451" s="786">
        <v>0</v>
      </c>
      <c r="S451" s="786">
        <v>0</v>
      </c>
      <c r="T451" s="786">
        <v>0</v>
      </c>
      <c r="U451" s="822">
        <v>0</v>
      </c>
      <c r="V451" s="821">
        <v>0</v>
      </c>
      <c r="W451" s="821">
        <v>0</v>
      </c>
      <c r="X451" s="821">
        <v>0</v>
      </c>
      <c r="Y451" s="821">
        <v>0</v>
      </c>
      <c r="Z451" s="821">
        <v>0</v>
      </c>
      <c r="AA451" s="821">
        <v>0</v>
      </c>
      <c r="AB451" s="823">
        <v>0</v>
      </c>
    </row>
    <row r="452" spans="1:28">
      <c r="A452" s="696" t="str">
        <f t="shared" si="6"/>
        <v>National Grid</v>
      </c>
      <c r="B452" s="696" t="str">
        <f>'Lookups-Assumptions'!$D$4</f>
        <v>Gas</v>
      </c>
      <c r="C452" s="696" t="str">
        <f>'Lookups-Assumptions'!$D$6</f>
        <v>Evaluated</v>
      </c>
      <c r="D452" s="696" t="e">
        <f>#REF!</f>
        <v>#REF!</v>
      </c>
      <c r="E452" s="696" t="s">
        <v>1069</v>
      </c>
      <c r="F452" s="696" t="s">
        <v>83</v>
      </c>
      <c r="G452" s="696" t="s">
        <v>873</v>
      </c>
      <c r="H452" s="696" t="s">
        <v>661</v>
      </c>
      <c r="I452" s="696" t="s">
        <v>754</v>
      </c>
      <c r="J452" s="820">
        <v>0</v>
      </c>
      <c r="K452" s="821">
        <v>0</v>
      </c>
      <c r="L452" s="786">
        <v>0</v>
      </c>
      <c r="M452" s="786">
        <v>0</v>
      </c>
      <c r="N452" s="786">
        <v>0</v>
      </c>
      <c r="O452" s="786">
        <v>0</v>
      </c>
      <c r="P452" s="786">
        <v>0</v>
      </c>
      <c r="Q452" s="786">
        <v>0</v>
      </c>
      <c r="R452" s="786">
        <v>0</v>
      </c>
      <c r="S452" s="786">
        <v>0</v>
      </c>
      <c r="T452" s="786">
        <v>0</v>
      </c>
      <c r="U452" s="822">
        <v>0</v>
      </c>
      <c r="V452" s="821">
        <v>0</v>
      </c>
      <c r="W452" s="821">
        <v>0</v>
      </c>
      <c r="X452" s="821">
        <v>0</v>
      </c>
      <c r="Y452" s="821">
        <v>0</v>
      </c>
      <c r="Z452" s="821">
        <v>0</v>
      </c>
      <c r="AA452" s="821">
        <v>0</v>
      </c>
      <c r="AB452" s="823">
        <v>0</v>
      </c>
    </row>
    <row r="453" spans="1:28">
      <c r="A453" s="696" t="str">
        <f t="shared" si="6"/>
        <v>National Grid</v>
      </c>
      <c r="B453" s="696" t="str">
        <f>'Lookups-Assumptions'!$D$4</f>
        <v>Gas</v>
      </c>
      <c r="C453" s="696" t="str">
        <f>'Lookups-Assumptions'!$D$6</f>
        <v>Evaluated</v>
      </c>
      <c r="D453" s="696" t="e">
        <f>#REF!</f>
        <v>#REF!</v>
      </c>
      <c r="E453" s="696" t="s">
        <v>1070</v>
      </c>
      <c r="F453" s="696" t="s">
        <v>83</v>
      </c>
      <c r="G453" s="696" t="s">
        <v>873</v>
      </c>
      <c r="H453" s="696" t="s">
        <v>661</v>
      </c>
      <c r="I453" s="696" t="s">
        <v>755</v>
      </c>
      <c r="J453" s="820">
        <v>0</v>
      </c>
      <c r="K453" s="821">
        <v>0</v>
      </c>
      <c r="L453" s="786">
        <v>0</v>
      </c>
      <c r="M453" s="786">
        <v>0</v>
      </c>
      <c r="N453" s="786">
        <v>0</v>
      </c>
      <c r="O453" s="786">
        <v>0</v>
      </c>
      <c r="P453" s="786">
        <v>0</v>
      </c>
      <c r="Q453" s="786">
        <v>0</v>
      </c>
      <c r="R453" s="786">
        <v>0</v>
      </c>
      <c r="S453" s="786">
        <v>0</v>
      </c>
      <c r="T453" s="786">
        <v>0</v>
      </c>
      <c r="U453" s="822">
        <v>0</v>
      </c>
      <c r="V453" s="821">
        <v>0</v>
      </c>
      <c r="W453" s="821">
        <v>0</v>
      </c>
      <c r="X453" s="821">
        <v>0</v>
      </c>
      <c r="Y453" s="821">
        <v>0</v>
      </c>
      <c r="Z453" s="821">
        <v>0</v>
      </c>
      <c r="AA453" s="821">
        <v>0</v>
      </c>
      <c r="AB453" s="823">
        <v>0</v>
      </c>
    </row>
    <row r="454" spans="1:28">
      <c r="A454" s="696" t="str">
        <f t="shared" si="6"/>
        <v>National Grid</v>
      </c>
      <c r="B454" s="696" t="str">
        <f>'Lookups-Assumptions'!$D$4</f>
        <v>Gas</v>
      </c>
      <c r="C454" s="696" t="str">
        <f>'Lookups-Assumptions'!$D$6</f>
        <v>Evaluated</v>
      </c>
      <c r="D454" s="696" t="e">
        <f>#REF!</f>
        <v>#REF!</v>
      </c>
      <c r="E454" s="696" t="s">
        <v>1071</v>
      </c>
      <c r="F454" s="696" t="s">
        <v>83</v>
      </c>
      <c r="G454" s="696" t="s">
        <v>873</v>
      </c>
      <c r="H454" s="696" t="s">
        <v>661</v>
      </c>
      <c r="I454" s="696" t="s">
        <v>775</v>
      </c>
      <c r="J454" s="820">
        <v>0</v>
      </c>
      <c r="K454" s="821">
        <v>0</v>
      </c>
      <c r="L454" s="786">
        <v>0</v>
      </c>
      <c r="M454" s="786">
        <v>0</v>
      </c>
      <c r="N454" s="786">
        <v>0</v>
      </c>
      <c r="O454" s="786">
        <v>0</v>
      </c>
      <c r="P454" s="786">
        <v>0</v>
      </c>
      <c r="Q454" s="786">
        <v>0</v>
      </c>
      <c r="R454" s="786">
        <v>0</v>
      </c>
      <c r="S454" s="786">
        <v>0</v>
      </c>
      <c r="T454" s="786">
        <v>0</v>
      </c>
      <c r="U454" s="822">
        <v>0</v>
      </c>
      <c r="V454" s="821">
        <v>0</v>
      </c>
      <c r="W454" s="821">
        <v>0</v>
      </c>
      <c r="X454" s="821">
        <v>0</v>
      </c>
      <c r="Y454" s="821">
        <v>0</v>
      </c>
      <c r="Z454" s="821">
        <v>0</v>
      </c>
      <c r="AA454" s="821">
        <v>0</v>
      </c>
      <c r="AB454" s="823">
        <v>0</v>
      </c>
    </row>
    <row r="455" spans="1:28">
      <c r="A455" s="696" t="str">
        <f t="shared" si="6"/>
        <v>National Grid</v>
      </c>
      <c r="B455" s="696" t="str">
        <f>'Lookups-Assumptions'!$D$4</f>
        <v>Gas</v>
      </c>
      <c r="C455" s="696" t="str">
        <f>'Lookups-Assumptions'!$D$6</f>
        <v>Evaluated</v>
      </c>
      <c r="D455" s="696" t="e">
        <f>#REF!</f>
        <v>#REF!</v>
      </c>
      <c r="E455" s="696" t="s">
        <v>1072</v>
      </c>
      <c r="F455" s="696" t="s">
        <v>83</v>
      </c>
      <c r="G455" s="696" t="s">
        <v>873</v>
      </c>
      <c r="H455" s="696" t="s">
        <v>661</v>
      </c>
      <c r="I455" s="696" t="s">
        <v>776</v>
      </c>
      <c r="J455" s="820">
        <v>0</v>
      </c>
      <c r="K455" s="821">
        <v>0</v>
      </c>
      <c r="L455" s="786">
        <v>0</v>
      </c>
      <c r="M455" s="786">
        <v>0</v>
      </c>
      <c r="N455" s="786">
        <v>0</v>
      </c>
      <c r="O455" s="786">
        <v>0</v>
      </c>
      <c r="P455" s="786">
        <v>0</v>
      </c>
      <c r="Q455" s="786">
        <v>0</v>
      </c>
      <c r="R455" s="786">
        <v>0</v>
      </c>
      <c r="S455" s="786">
        <v>0</v>
      </c>
      <c r="T455" s="786">
        <v>0</v>
      </c>
      <c r="U455" s="822">
        <v>0</v>
      </c>
      <c r="V455" s="821">
        <v>0</v>
      </c>
      <c r="W455" s="821">
        <v>0</v>
      </c>
      <c r="X455" s="821">
        <v>0</v>
      </c>
      <c r="Y455" s="821">
        <v>0</v>
      </c>
      <c r="Z455" s="821">
        <v>0</v>
      </c>
      <c r="AA455" s="821">
        <v>0</v>
      </c>
      <c r="AB455" s="823">
        <v>0</v>
      </c>
    </row>
    <row r="456" spans="1:28">
      <c r="A456" s="696" t="str">
        <f t="shared" ref="A456:A519" si="7">PA</f>
        <v>National Grid</v>
      </c>
      <c r="B456" s="696" t="str">
        <f>'Lookups-Assumptions'!$D$4</f>
        <v>Gas</v>
      </c>
      <c r="C456" s="696" t="str">
        <f>'Lookups-Assumptions'!$D$6</f>
        <v>Evaluated</v>
      </c>
      <c r="D456" s="696" t="e">
        <f>#REF!</f>
        <v>#REF!</v>
      </c>
      <c r="E456" s="696" t="s">
        <v>1073</v>
      </c>
      <c r="F456" s="696" t="s">
        <v>83</v>
      </c>
      <c r="G456" s="696" t="s">
        <v>873</v>
      </c>
      <c r="H456" s="696" t="s">
        <v>661</v>
      </c>
      <c r="I456" s="696" t="s">
        <v>777</v>
      </c>
      <c r="J456" s="820">
        <v>0</v>
      </c>
      <c r="K456" s="821">
        <v>0</v>
      </c>
      <c r="L456" s="786">
        <v>0</v>
      </c>
      <c r="M456" s="786">
        <v>0</v>
      </c>
      <c r="N456" s="786">
        <v>0</v>
      </c>
      <c r="O456" s="786">
        <v>0</v>
      </c>
      <c r="P456" s="786">
        <v>0</v>
      </c>
      <c r="Q456" s="786">
        <v>0</v>
      </c>
      <c r="R456" s="786">
        <v>0</v>
      </c>
      <c r="S456" s="786">
        <v>0</v>
      </c>
      <c r="T456" s="786">
        <v>0</v>
      </c>
      <c r="U456" s="822">
        <v>0</v>
      </c>
      <c r="V456" s="821">
        <v>0</v>
      </c>
      <c r="W456" s="821">
        <v>0</v>
      </c>
      <c r="X456" s="821">
        <v>0</v>
      </c>
      <c r="Y456" s="821">
        <v>0</v>
      </c>
      <c r="Z456" s="821">
        <v>0</v>
      </c>
      <c r="AA456" s="821">
        <v>0</v>
      </c>
      <c r="AB456" s="823">
        <v>0</v>
      </c>
    </row>
    <row r="457" spans="1:28">
      <c r="A457" s="696" t="str">
        <f t="shared" si="7"/>
        <v>National Grid</v>
      </c>
      <c r="B457" s="696" t="str">
        <f>'Lookups-Assumptions'!$D$4</f>
        <v>Gas</v>
      </c>
      <c r="C457" s="696" t="str">
        <f>'Lookups-Assumptions'!$D$6</f>
        <v>Evaluated</v>
      </c>
      <c r="D457" s="696" t="e">
        <f>#REF!</f>
        <v>#REF!</v>
      </c>
      <c r="E457" s="696" t="s">
        <v>1074</v>
      </c>
      <c r="F457" s="696" t="s">
        <v>83</v>
      </c>
      <c r="G457" s="696" t="s">
        <v>873</v>
      </c>
      <c r="H457" s="696" t="s">
        <v>661</v>
      </c>
      <c r="I457" s="696" t="s">
        <v>778</v>
      </c>
      <c r="J457" s="820">
        <v>0</v>
      </c>
      <c r="K457" s="821">
        <v>0</v>
      </c>
      <c r="L457" s="786">
        <v>0</v>
      </c>
      <c r="M457" s="786">
        <v>0</v>
      </c>
      <c r="N457" s="786">
        <v>0</v>
      </c>
      <c r="O457" s="786">
        <v>0</v>
      </c>
      <c r="P457" s="786">
        <v>0</v>
      </c>
      <c r="Q457" s="786">
        <v>0</v>
      </c>
      <c r="R457" s="786">
        <v>0</v>
      </c>
      <c r="S457" s="786">
        <v>0</v>
      </c>
      <c r="T457" s="786">
        <v>0</v>
      </c>
      <c r="U457" s="822">
        <v>0</v>
      </c>
      <c r="V457" s="821">
        <v>0</v>
      </c>
      <c r="W457" s="821">
        <v>0</v>
      </c>
      <c r="X457" s="821">
        <v>0</v>
      </c>
      <c r="Y457" s="821">
        <v>0</v>
      </c>
      <c r="Z457" s="821">
        <v>0</v>
      </c>
      <c r="AA457" s="821">
        <v>0</v>
      </c>
      <c r="AB457" s="823">
        <v>0</v>
      </c>
    </row>
    <row r="458" spans="1:28">
      <c r="A458" s="696" t="str">
        <f t="shared" si="7"/>
        <v>National Grid</v>
      </c>
      <c r="B458" s="696" t="str">
        <f>'Lookups-Assumptions'!$D$4</f>
        <v>Gas</v>
      </c>
      <c r="C458" s="696" t="str">
        <f>'Lookups-Assumptions'!$D$6</f>
        <v>Evaluated</v>
      </c>
      <c r="D458" s="696" t="e">
        <f>#REF!</f>
        <v>#REF!</v>
      </c>
      <c r="E458" s="696" t="s">
        <v>1075</v>
      </c>
      <c r="F458" s="696" t="s">
        <v>83</v>
      </c>
      <c r="G458" s="696" t="s">
        <v>873</v>
      </c>
      <c r="H458" s="696" t="s">
        <v>661</v>
      </c>
      <c r="I458" s="696" t="s">
        <v>779</v>
      </c>
      <c r="J458" s="820">
        <v>0</v>
      </c>
      <c r="K458" s="821">
        <v>0</v>
      </c>
      <c r="L458" s="786">
        <v>0</v>
      </c>
      <c r="M458" s="786">
        <v>0</v>
      </c>
      <c r="N458" s="786">
        <v>0</v>
      </c>
      <c r="O458" s="786">
        <v>0</v>
      </c>
      <c r="P458" s="786">
        <v>0</v>
      </c>
      <c r="Q458" s="786">
        <v>0</v>
      </c>
      <c r="R458" s="786">
        <v>0</v>
      </c>
      <c r="S458" s="786">
        <v>0</v>
      </c>
      <c r="T458" s="786">
        <v>0</v>
      </c>
      <c r="U458" s="822">
        <v>0</v>
      </c>
      <c r="V458" s="821">
        <v>0</v>
      </c>
      <c r="W458" s="821">
        <v>0</v>
      </c>
      <c r="X458" s="821">
        <v>0</v>
      </c>
      <c r="Y458" s="821">
        <v>0</v>
      </c>
      <c r="Z458" s="821">
        <v>0</v>
      </c>
      <c r="AA458" s="821">
        <v>0</v>
      </c>
      <c r="AB458" s="823">
        <v>0</v>
      </c>
    </row>
    <row r="459" spans="1:28">
      <c r="A459" s="696" t="str">
        <f t="shared" si="7"/>
        <v>National Grid</v>
      </c>
      <c r="B459" s="696" t="str">
        <f>'Lookups-Assumptions'!$D$4</f>
        <v>Gas</v>
      </c>
      <c r="C459" s="696" t="str">
        <f>'Lookups-Assumptions'!$D$6</f>
        <v>Evaluated</v>
      </c>
      <c r="D459" s="696" t="e">
        <f>#REF!</f>
        <v>#REF!</v>
      </c>
      <c r="E459" s="696" t="s">
        <v>1076</v>
      </c>
      <c r="F459" s="696" t="s">
        <v>83</v>
      </c>
      <c r="G459" s="696" t="s">
        <v>873</v>
      </c>
      <c r="H459" s="696" t="s">
        <v>661</v>
      </c>
      <c r="I459" s="696" t="s">
        <v>780</v>
      </c>
      <c r="J459" s="820">
        <v>0</v>
      </c>
      <c r="K459" s="821">
        <v>0</v>
      </c>
      <c r="L459" s="786">
        <v>0</v>
      </c>
      <c r="M459" s="786">
        <v>0</v>
      </c>
      <c r="N459" s="786">
        <v>0</v>
      </c>
      <c r="O459" s="786">
        <v>0</v>
      </c>
      <c r="P459" s="786">
        <v>0</v>
      </c>
      <c r="Q459" s="786">
        <v>0</v>
      </c>
      <c r="R459" s="786">
        <v>0</v>
      </c>
      <c r="S459" s="786">
        <v>0</v>
      </c>
      <c r="T459" s="786">
        <v>0</v>
      </c>
      <c r="U459" s="822">
        <v>0</v>
      </c>
      <c r="V459" s="821">
        <v>0</v>
      </c>
      <c r="W459" s="821">
        <v>0</v>
      </c>
      <c r="X459" s="821">
        <v>0</v>
      </c>
      <c r="Y459" s="821">
        <v>0</v>
      </c>
      <c r="Z459" s="821">
        <v>0</v>
      </c>
      <c r="AA459" s="821">
        <v>0</v>
      </c>
      <c r="AB459" s="823">
        <v>0</v>
      </c>
    </row>
    <row r="460" spans="1:28">
      <c r="A460" s="696" t="str">
        <f t="shared" si="7"/>
        <v>National Grid</v>
      </c>
      <c r="B460" s="696" t="str">
        <f>'Lookups-Assumptions'!$D$4</f>
        <v>Gas</v>
      </c>
      <c r="C460" s="696" t="str">
        <f>'Lookups-Assumptions'!$D$6</f>
        <v>Evaluated</v>
      </c>
      <c r="D460" s="696" t="e">
        <f>#REF!</f>
        <v>#REF!</v>
      </c>
      <c r="E460" s="696" t="s">
        <v>1077</v>
      </c>
      <c r="F460" s="696" t="s">
        <v>83</v>
      </c>
      <c r="G460" s="696" t="s">
        <v>873</v>
      </c>
      <c r="H460" s="696" t="s">
        <v>661</v>
      </c>
      <c r="I460" s="696" t="s">
        <v>781</v>
      </c>
      <c r="J460" s="820">
        <v>0</v>
      </c>
      <c r="K460" s="821">
        <v>0</v>
      </c>
      <c r="L460" s="786">
        <v>0</v>
      </c>
      <c r="M460" s="786">
        <v>0</v>
      </c>
      <c r="N460" s="786">
        <v>0</v>
      </c>
      <c r="O460" s="786">
        <v>0</v>
      </c>
      <c r="P460" s="786">
        <v>0</v>
      </c>
      <c r="Q460" s="786">
        <v>0</v>
      </c>
      <c r="R460" s="786">
        <v>0</v>
      </c>
      <c r="S460" s="786">
        <v>0</v>
      </c>
      <c r="T460" s="786">
        <v>0</v>
      </c>
      <c r="U460" s="822">
        <v>0</v>
      </c>
      <c r="V460" s="821">
        <v>0</v>
      </c>
      <c r="W460" s="821">
        <v>0</v>
      </c>
      <c r="X460" s="821">
        <v>0</v>
      </c>
      <c r="Y460" s="821">
        <v>0</v>
      </c>
      <c r="Z460" s="821">
        <v>0</v>
      </c>
      <c r="AA460" s="821">
        <v>0</v>
      </c>
      <c r="AB460" s="823">
        <v>0</v>
      </c>
    </row>
    <row r="461" spans="1:28">
      <c r="A461" s="696" t="str">
        <f t="shared" si="7"/>
        <v>National Grid</v>
      </c>
      <c r="B461" s="696" t="str">
        <f>'Lookups-Assumptions'!$D$4</f>
        <v>Gas</v>
      </c>
      <c r="C461" s="696" t="str">
        <f>'Lookups-Assumptions'!$D$6</f>
        <v>Evaluated</v>
      </c>
      <c r="D461" s="696" t="e">
        <f>#REF!</f>
        <v>#REF!</v>
      </c>
      <c r="E461" s="696" t="s">
        <v>1078</v>
      </c>
      <c r="F461" s="696" t="s">
        <v>83</v>
      </c>
      <c r="G461" s="696" t="s">
        <v>873</v>
      </c>
      <c r="H461" s="696" t="s">
        <v>661</v>
      </c>
      <c r="I461" s="696" t="s">
        <v>782</v>
      </c>
      <c r="J461" s="820">
        <v>0</v>
      </c>
      <c r="K461" s="821">
        <v>0</v>
      </c>
      <c r="L461" s="786">
        <v>0</v>
      </c>
      <c r="M461" s="786">
        <v>0</v>
      </c>
      <c r="N461" s="786">
        <v>0</v>
      </c>
      <c r="O461" s="786">
        <v>0</v>
      </c>
      <c r="P461" s="786">
        <v>0</v>
      </c>
      <c r="Q461" s="786">
        <v>0</v>
      </c>
      <c r="R461" s="786">
        <v>0</v>
      </c>
      <c r="S461" s="786">
        <v>0</v>
      </c>
      <c r="T461" s="786">
        <v>0</v>
      </c>
      <c r="U461" s="822">
        <v>0</v>
      </c>
      <c r="V461" s="821">
        <v>0</v>
      </c>
      <c r="W461" s="821">
        <v>0</v>
      </c>
      <c r="X461" s="821">
        <v>0</v>
      </c>
      <c r="Y461" s="821">
        <v>0</v>
      </c>
      <c r="Z461" s="821">
        <v>0</v>
      </c>
      <c r="AA461" s="821">
        <v>0</v>
      </c>
      <c r="AB461" s="823">
        <v>0</v>
      </c>
    </row>
    <row r="462" spans="1:28">
      <c r="A462" s="696" t="str">
        <f t="shared" si="7"/>
        <v>National Grid</v>
      </c>
      <c r="B462" s="696" t="str">
        <f>'Lookups-Assumptions'!$D$4</f>
        <v>Gas</v>
      </c>
      <c r="C462" s="696" t="str">
        <f>'Lookups-Assumptions'!$D$6</f>
        <v>Evaluated</v>
      </c>
      <c r="D462" s="696" t="e">
        <f>#REF!</f>
        <v>#REF!</v>
      </c>
      <c r="E462" s="696" t="s">
        <v>1079</v>
      </c>
      <c r="F462" s="696" t="s">
        <v>83</v>
      </c>
      <c r="G462" s="696" t="s">
        <v>873</v>
      </c>
      <c r="H462" s="696" t="s">
        <v>661</v>
      </c>
      <c r="I462" s="696" t="s">
        <v>756</v>
      </c>
      <c r="J462" s="820">
        <v>0</v>
      </c>
      <c r="K462" s="821">
        <v>0</v>
      </c>
      <c r="L462" s="786">
        <v>0</v>
      </c>
      <c r="M462" s="786">
        <v>0</v>
      </c>
      <c r="N462" s="786">
        <v>0</v>
      </c>
      <c r="O462" s="786">
        <v>0</v>
      </c>
      <c r="P462" s="786">
        <v>0</v>
      </c>
      <c r="Q462" s="786">
        <v>0</v>
      </c>
      <c r="R462" s="786">
        <v>0</v>
      </c>
      <c r="S462" s="786">
        <v>0</v>
      </c>
      <c r="T462" s="786">
        <v>0</v>
      </c>
      <c r="U462" s="822">
        <v>0</v>
      </c>
      <c r="V462" s="821">
        <v>0</v>
      </c>
      <c r="W462" s="821">
        <v>0</v>
      </c>
      <c r="X462" s="821">
        <v>0</v>
      </c>
      <c r="Y462" s="821">
        <v>0</v>
      </c>
      <c r="Z462" s="821">
        <v>0</v>
      </c>
      <c r="AA462" s="821">
        <v>0</v>
      </c>
      <c r="AB462" s="823">
        <v>0</v>
      </c>
    </row>
    <row r="463" spans="1:28">
      <c r="A463" s="696" t="str">
        <f t="shared" si="7"/>
        <v>National Grid</v>
      </c>
      <c r="B463" s="696" t="str">
        <f>'Lookups-Assumptions'!$D$4</f>
        <v>Gas</v>
      </c>
      <c r="C463" s="696" t="str">
        <f>'Lookups-Assumptions'!$D$6</f>
        <v>Evaluated</v>
      </c>
      <c r="D463" s="696" t="e">
        <f>#REF!</f>
        <v>#REF!</v>
      </c>
      <c r="E463" s="696" t="s">
        <v>1080</v>
      </c>
      <c r="F463" s="696" t="s">
        <v>83</v>
      </c>
      <c r="G463" s="696" t="s">
        <v>873</v>
      </c>
      <c r="H463" s="696" t="s">
        <v>661</v>
      </c>
      <c r="I463" s="696" t="s">
        <v>757</v>
      </c>
      <c r="J463" s="820">
        <v>0</v>
      </c>
      <c r="K463" s="821">
        <v>0</v>
      </c>
      <c r="L463" s="786">
        <v>0</v>
      </c>
      <c r="M463" s="786">
        <v>0</v>
      </c>
      <c r="N463" s="786">
        <v>0</v>
      </c>
      <c r="O463" s="786">
        <v>0</v>
      </c>
      <c r="P463" s="786">
        <v>0</v>
      </c>
      <c r="Q463" s="786">
        <v>0</v>
      </c>
      <c r="R463" s="786">
        <v>0</v>
      </c>
      <c r="S463" s="786">
        <v>0</v>
      </c>
      <c r="T463" s="786">
        <v>0</v>
      </c>
      <c r="U463" s="822">
        <v>0</v>
      </c>
      <c r="V463" s="821">
        <v>0</v>
      </c>
      <c r="W463" s="821">
        <v>0</v>
      </c>
      <c r="X463" s="821">
        <v>0</v>
      </c>
      <c r="Y463" s="821">
        <v>0</v>
      </c>
      <c r="Z463" s="821">
        <v>0</v>
      </c>
      <c r="AA463" s="821">
        <v>0</v>
      </c>
      <c r="AB463" s="823">
        <v>0</v>
      </c>
    </row>
    <row r="464" spans="1:28">
      <c r="A464" s="696" t="str">
        <f t="shared" si="7"/>
        <v>National Grid</v>
      </c>
      <c r="B464" s="696" t="str">
        <f>'Lookups-Assumptions'!$D$4</f>
        <v>Gas</v>
      </c>
      <c r="C464" s="696" t="str">
        <f>'Lookups-Assumptions'!$D$6</f>
        <v>Evaluated</v>
      </c>
      <c r="D464" s="696" t="e">
        <f>#REF!</f>
        <v>#REF!</v>
      </c>
      <c r="E464" s="696" t="s">
        <v>1081</v>
      </c>
      <c r="F464" s="696" t="s">
        <v>83</v>
      </c>
      <c r="G464" s="696" t="s">
        <v>873</v>
      </c>
      <c r="H464" s="696" t="s">
        <v>661</v>
      </c>
      <c r="I464" s="696" t="s">
        <v>783</v>
      </c>
      <c r="J464" s="820">
        <v>0</v>
      </c>
      <c r="K464" s="821">
        <v>0</v>
      </c>
      <c r="L464" s="786">
        <v>0</v>
      </c>
      <c r="M464" s="786">
        <v>0</v>
      </c>
      <c r="N464" s="786">
        <v>0</v>
      </c>
      <c r="O464" s="786">
        <v>0</v>
      </c>
      <c r="P464" s="786">
        <v>0</v>
      </c>
      <c r="Q464" s="786">
        <v>0</v>
      </c>
      <c r="R464" s="786">
        <v>0</v>
      </c>
      <c r="S464" s="786">
        <v>0</v>
      </c>
      <c r="T464" s="786">
        <v>0</v>
      </c>
      <c r="U464" s="822">
        <v>0</v>
      </c>
      <c r="V464" s="821">
        <v>0</v>
      </c>
      <c r="W464" s="821">
        <v>0</v>
      </c>
      <c r="X464" s="821">
        <v>0</v>
      </c>
      <c r="Y464" s="821">
        <v>0</v>
      </c>
      <c r="Z464" s="821">
        <v>0</v>
      </c>
      <c r="AA464" s="821">
        <v>0</v>
      </c>
      <c r="AB464" s="823">
        <v>0</v>
      </c>
    </row>
    <row r="465" spans="1:28">
      <c r="A465" s="696" t="str">
        <f t="shared" si="7"/>
        <v>National Grid</v>
      </c>
      <c r="B465" s="696" t="str">
        <f>'Lookups-Assumptions'!$D$4</f>
        <v>Gas</v>
      </c>
      <c r="C465" s="696" t="str">
        <f>'Lookups-Assumptions'!$D$6</f>
        <v>Evaluated</v>
      </c>
      <c r="D465" s="696" t="e">
        <f>#REF!</f>
        <v>#REF!</v>
      </c>
      <c r="E465" s="696" t="s">
        <v>1082</v>
      </c>
      <c r="F465" s="696" t="s">
        <v>83</v>
      </c>
      <c r="G465" s="696" t="s">
        <v>873</v>
      </c>
      <c r="H465" s="696" t="s">
        <v>661</v>
      </c>
      <c r="I465" s="696" t="s">
        <v>784</v>
      </c>
      <c r="J465" s="820">
        <v>0</v>
      </c>
      <c r="K465" s="821">
        <v>0</v>
      </c>
      <c r="L465" s="786">
        <v>0</v>
      </c>
      <c r="M465" s="786">
        <v>0</v>
      </c>
      <c r="N465" s="786">
        <v>0</v>
      </c>
      <c r="O465" s="786">
        <v>0</v>
      </c>
      <c r="P465" s="786">
        <v>0</v>
      </c>
      <c r="Q465" s="786">
        <v>0</v>
      </c>
      <c r="R465" s="786">
        <v>0</v>
      </c>
      <c r="S465" s="786">
        <v>0</v>
      </c>
      <c r="T465" s="786">
        <v>0</v>
      </c>
      <c r="U465" s="822">
        <v>0</v>
      </c>
      <c r="V465" s="821">
        <v>0</v>
      </c>
      <c r="W465" s="821">
        <v>0</v>
      </c>
      <c r="X465" s="821">
        <v>0</v>
      </c>
      <c r="Y465" s="821">
        <v>0</v>
      </c>
      <c r="Z465" s="821">
        <v>0</v>
      </c>
      <c r="AA465" s="821">
        <v>0</v>
      </c>
      <c r="AB465" s="823">
        <v>0</v>
      </c>
    </row>
    <row r="466" spans="1:28">
      <c r="A466" s="696" t="str">
        <f t="shared" si="7"/>
        <v>National Grid</v>
      </c>
      <c r="B466" s="696" t="str">
        <f>'Lookups-Assumptions'!$D$4</f>
        <v>Gas</v>
      </c>
      <c r="C466" s="696" t="str">
        <f>'Lookups-Assumptions'!$D$6</f>
        <v>Evaluated</v>
      </c>
      <c r="D466" s="696" t="e">
        <f>#REF!</f>
        <v>#REF!</v>
      </c>
      <c r="E466" s="696" t="s">
        <v>1083</v>
      </c>
      <c r="F466" s="696" t="s">
        <v>83</v>
      </c>
      <c r="G466" s="696" t="s">
        <v>873</v>
      </c>
      <c r="H466" s="696" t="s">
        <v>661</v>
      </c>
      <c r="I466" s="696" t="s">
        <v>785</v>
      </c>
      <c r="J466" s="820">
        <v>0</v>
      </c>
      <c r="K466" s="821">
        <v>0</v>
      </c>
      <c r="L466" s="786">
        <v>0</v>
      </c>
      <c r="M466" s="786">
        <v>0</v>
      </c>
      <c r="N466" s="786">
        <v>0</v>
      </c>
      <c r="O466" s="786">
        <v>0</v>
      </c>
      <c r="P466" s="786">
        <v>0</v>
      </c>
      <c r="Q466" s="786">
        <v>0</v>
      </c>
      <c r="R466" s="786">
        <v>0</v>
      </c>
      <c r="S466" s="786">
        <v>0</v>
      </c>
      <c r="T466" s="786">
        <v>0</v>
      </c>
      <c r="U466" s="822">
        <v>0</v>
      </c>
      <c r="V466" s="821">
        <v>0</v>
      </c>
      <c r="W466" s="821">
        <v>0</v>
      </c>
      <c r="X466" s="821">
        <v>0</v>
      </c>
      <c r="Y466" s="821">
        <v>0</v>
      </c>
      <c r="Z466" s="821">
        <v>0</v>
      </c>
      <c r="AA466" s="821">
        <v>0</v>
      </c>
      <c r="AB466" s="823">
        <v>0</v>
      </c>
    </row>
    <row r="467" spans="1:28">
      <c r="A467" s="696" t="str">
        <f t="shared" si="7"/>
        <v>National Grid</v>
      </c>
      <c r="B467" s="696" t="str">
        <f>'Lookups-Assumptions'!$D$4</f>
        <v>Gas</v>
      </c>
      <c r="C467" s="696" t="str">
        <f>'Lookups-Assumptions'!$D$6</f>
        <v>Evaluated</v>
      </c>
      <c r="D467" s="696" t="e">
        <f>#REF!</f>
        <v>#REF!</v>
      </c>
      <c r="E467" s="696" t="s">
        <v>1084</v>
      </c>
      <c r="F467" s="696" t="s">
        <v>83</v>
      </c>
      <c r="G467" s="696" t="s">
        <v>873</v>
      </c>
      <c r="H467" s="696" t="s">
        <v>661</v>
      </c>
      <c r="I467" s="696" t="s">
        <v>786</v>
      </c>
      <c r="J467" s="820">
        <v>0</v>
      </c>
      <c r="K467" s="821">
        <v>0</v>
      </c>
      <c r="L467" s="786">
        <v>0</v>
      </c>
      <c r="M467" s="786">
        <v>0</v>
      </c>
      <c r="N467" s="786">
        <v>0</v>
      </c>
      <c r="O467" s="786">
        <v>0</v>
      </c>
      <c r="P467" s="786">
        <v>0</v>
      </c>
      <c r="Q467" s="786">
        <v>0</v>
      </c>
      <c r="R467" s="786">
        <v>0</v>
      </c>
      <c r="S467" s="786">
        <v>0</v>
      </c>
      <c r="T467" s="786">
        <v>0</v>
      </c>
      <c r="U467" s="822">
        <v>0</v>
      </c>
      <c r="V467" s="821">
        <v>0</v>
      </c>
      <c r="W467" s="821">
        <v>0</v>
      </c>
      <c r="X467" s="821">
        <v>0</v>
      </c>
      <c r="Y467" s="821">
        <v>0</v>
      </c>
      <c r="Z467" s="821">
        <v>0</v>
      </c>
      <c r="AA467" s="821">
        <v>0</v>
      </c>
      <c r="AB467" s="823">
        <v>0</v>
      </c>
    </row>
    <row r="468" spans="1:28">
      <c r="A468" s="696" t="str">
        <f t="shared" si="7"/>
        <v>National Grid</v>
      </c>
      <c r="B468" s="696" t="str">
        <f>'Lookups-Assumptions'!$D$4</f>
        <v>Gas</v>
      </c>
      <c r="C468" s="696" t="str">
        <f>'Lookups-Assumptions'!$D$6</f>
        <v>Evaluated</v>
      </c>
      <c r="D468" s="696" t="e">
        <f>#REF!</f>
        <v>#REF!</v>
      </c>
      <c r="E468" s="696" t="s">
        <v>1085</v>
      </c>
      <c r="F468" s="696" t="s">
        <v>83</v>
      </c>
      <c r="G468" s="696" t="s">
        <v>873</v>
      </c>
      <c r="H468" s="696" t="s">
        <v>661</v>
      </c>
      <c r="I468" s="696" t="s">
        <v>787</v>
      </c>
      <c r="J468" s="820">
        <v>0</v>
      </c>
      <c r="K468" s="821">
        <v>0</v>
      </c>
      <c r="L468" s="786">
        <v>0</v>
      </c>
      <c r="M468" s="786">
        <v>0</v>
      </c>
      <c r="N468" s="786">
        <v>0</v>
      </c>
      <c r="O468" s="786">
        <v>0</v>
      </c>
      <c r="P468" s="786">
        <v>0</v>
      </c>
      <c r="Q468" s="786">
        <v>0</v>
      </c>
      <c r="R468" s="786">
        <v>0</v>
      </c>
      <c r="S468" s="786">
        <v>0</v>
      </c>
      <c r="T468" s="786">
        <v>0</v>
      </c>
      <c r="U468" s="822">
        <v>0</v>
      </c>
      <c r="V468" s="821">
        <v>0</v>
      </c>
      <c r="W468" s="821">
        <v>0</v>
      </c>
      <c r="X468" s="821">
        <v>0</v>
      </c>
      <c r="Y468" s="821">
        <v>0</v>
      </c>
      <c r="Z468" s="821">
        <v>0</v>
      </c>
      <c r="AA468" s="821">
        <v>0</v>
      </c>
      <c r="AB468" s="823">
        <v>0</v>
      </c>
    </row>
    <row r="469" spans="1:28">
      <c r="A469" s="696" t="str">
        <f t="shared" si="7"/>
        <v>National Grid</v>
      </c>
      <c r="B469" s="696" t="str">
        <f>'Lookups-Assumptions'!$D$4</f>
        <v>Gas</v>
      </c>
      <c r="C469" s="696" t="str">
        <f>'Lookups-Assumptions'!$D$6</f>
        <v>Evaluated</v>
      </c>
      <c r="D469" s="696" t="e">
        <f>#REF!</f>
        <v>#REF!</v>
      </c>
      <c r="E469" s="696" t="s">
        <v>1086</v>
      </c>
      <c r="F469" s="696" t="s">
        <v>83</v>
      </c>
      <c r="G469" s="696" t="s">
        <v>873</v>
      </c>
      <c r="H469" s="696" t="s">
        <v>661</v>
      </c>
      <c r="I469" s="696" t="s">
        <v>788</v>
      </c>
      <c r="J469" s="820">
        <v>0</v>
      </c>
      <c r="K469" s="821">
        <v>0</v>
      </c>
      <c r="L469" s="786">
        <v>0</v>
      </c>
      <c r="M469" s="786">
        <v>0</v>
      </c>
      <c r="N469" s="786">
        <v>0</v>
      </c>
      <c r="O469" s="786">
        <v>0</v>
      </c>
      <c r="P469" s="786">
        <v>0</v>
      </c>
      <c r="Q469" s="786">
        <v>0</v>
      </c>
      <c r="R469" s="786">
        <v>0</v>
      </c>
      <c r="S469" s="786">
        <v>0</v>
      </c>
      <c r="T469" s="786">
        <v>0</v>
      </c>
      <c r="U469" s="822">
        <v>0</v>
      </c>
      <c r="V469" s="821">
        <v>0</v>
      </c>
      <c r="W469" s="821">
        <v>0</v>
      </c>
      <c r="X469" s="821">
        <v>0</v>
      </c>
      <c r="Y469" s="821">
        <v>0</v>
      </c>
      <c r="Z469" s="821">
        <v>0</v>
      </c>
      <c r="AA469" s="821">
        <v>0</v>
      </c>
      <c r="AB469" s="823">
        <v>0</v>
      </c>
    </row>
    <row r="470" spans="1:28">
      <c r="A470" s="696" t="str">
        <f t="shared" si="7"/>
        <v>National Grid</v>
      </c>
      <c r="B470" s="696" t="str">
        <f>'Lookups-Assumptions'!$D$4</f>
        <v>Gas</v>
      </c>
      <c r="C470" s="696" t="str">
        <f>'Lookups-Assumptions'!$D$6</f>
        <v>Evaluated</v>
      </c>
      <c r="D470" s="696" t="e">
        <f>#REF!</f>
        <v>#REF!</v>
      </c>
      <c r="E470" s="696" t="s">
        <v>1087</v>
      </c>
      <c r="F470" s="696" t="s">
        <v>83</v>
      </c>
      <c r="G470" s="696" t="s">
        <v>873</v>
      </c>
      <c r="H470" s="696" t="s">
        <v>661</v>
      </c>
      <c r="I470" s="696" t="s">
        <v>789</v>
      </c>
      <c r="J470" s="820">
        <v>0</v>
      </c>
      <c r="K470" s="821">
        <v>0</v>
      </c>
      <c r="L470" s="786">
        <v>0</v>
      </c>
      <c r="M470" s="786">
        <v>0</v>
      </c>
      <c r="N470" s="786">
        <v>0</v>
      </c>
      <c r="O470" s="786">
        <v>0</v>
      </c>
      <c r="P470" s="786">
        <v>0</v>
      </c>
      <c r="Q470" s="786">
        <v>0</v>
      </c>
      <c r="R470" s="786">
        <v>0</v>
      </c>
      <c r="S470" s="786">
        <v>0</v>
      </c>
      <c r="T470" s="786">
        <v>0</v>
      </c>
      <c r="U470" s="822">
        <v>0</v>
      </c>
      <c r="V470" s="821">
        <v>0</v>
      </c>
      <c r="W470" s="821">
        <v>0</v>
      </c>
      <c r="X470" s="821">
        <v>0</v>
      </c>
      <c r="Y470" s="821">
        <v>0</v>
      </c>
      <c r="Z470" s="821">
        <v>0</v>
      </c>
      <c r="AA470" s="821">
        <v>0</v>
      </c>
      <c r="AB470" s="823">
        <v>0</v>
      </c>
    </row>
    <row r="471" spans="1:28">
      <c r="A471" s="696" t="str">
        <f t="shared" si="7"/>
        <v>National Grid</v>
      </c>
      <c r="B471" s="696" t="str">
        <f>'Lookups-Assumptions'!$D$4</f>
        <v>Gas</v>
      </c>
      <c r="C471" s="696" t="str">
        <f>'Lookups-Assumptions'!$D$6</f>
        <v>Evaluated</v>
      </c>
      <c r="D471" s="696" t="e">
        <f>#REF!</f>
        <v>#REF!</v>
      </c>
      <c r="E471" s="696" t="s">
        <v>1088</v>
      </c>
      <c r="F471" s="696" t="s">
        <v>83</v>
      </c>
      <c r="G471" s="696" t="s">
        <v>873</v>
      </c>
      <c r="H471" s="696" t="s">
        <v>911</v>
      </c>
      <c r="I471" s="696" t="s">
        <v>1363</v>
      </c>
      <c r="J471" s="820">
        <v>0</v>
      </c>
      <c r="K471" s="821">
        <v>0</v>
      </c>
      <c r="L471" s="786">
        <v>0</v>
      </c>
      <c r="M471" s="786">
        <v>0</v>
      </c>
      <c r="N471" s="786">
        <v>0</v>
      </c>
      <c r="O471" s="786">
        <v>0</v>
      </c>
      <c r="P471" s="786">
        <v>0</v>
      </c>
      <c r="Q471" s="786">
        <v>0</v>
      </c>
      <c r="R471" s="786">
        <v>0</v>
      </c>
      <c r="S471" s="786">
        <v>0</v>
      </c>
      <c r="T471" s="786">
        <v>0</v>
      </c>
      <c r="U471" s="822">
        <v>0</v>
      </c>
      <c r="V471" s="821">
        <v>0</v>
      </c>
      <c r="W471" s="821">
        <v>0</v>
      </c>
      <c r="X471" s="821">
        <v>0</v>
      </c>
      <c r="Y471" s="821">
        <v>0</v>
      </c>
      <c r="Z471" s="821">
        <v>0</v>
      </c>
      <c r="AA471" s="821">
        <v>0</v>
      </c>
      <c r="AB471" s="823">
        <v>0</v>
      </c>
    </row>
    <row r="472" spans="1:28">
      <c r="A472" s="696" t="str">
        <f t="shared" si="7"/>
        <v>National Grid</v>
      </c>
      <c r="B472" s="696" t="str">
        <f>'Lookups-Assumptions'!$D$4</f>
        <v>Gas</v>
      </c>
      <c r="C472" s="696" t="str">
        <f>'Lookups-Assumptions'!$D$6</f>
        <v>Evaluated</v>
      </c>
      <c r="D472" s="696" t="e">
        <f>#REF!</f>
        <v>#REF!</v>
      </c>
      <c r="E472" s="696" t="s">
        <v>1090</v>
      </c>
      <c r="F472" s="696" t="s">
        <v>83</v>
      </c>
      <c r="G472" s="696" t="s">
        <v>873</v>
      </c>
      <c r="H472" s="696" t="s">
        <v>911</v>
      </c>
      <c r="I472" s="696" t="s">
        <v>1350</v>
      </c>
      <c r="J472" s="820">
        <v>1</v>
      </c>
      <c r="K472" s="821">
        <v>15799.134457543652</v>
      </c>
      <c r="L472" s="786">
        <v>0</v>
      </c>
      <c r="M472" s="786">
        <v>0</v>
      </c>
      <c r="N472" s="786">
        <v>754.04107715266389</v>
      </c>
      <c r="O472" s="786">
        <v>11310.616157289958</v>
      </c>
      <c r="P472" s="786">
        <v>0</v>
      </c>
      <c r="Q472" s="786">
        <v>0</v>
      </c>
      <c r="R472" s="786">
        <v>0</v>
      </c>
      <c r="S472" s="786">
        <v>0</v>
      </c>
      <c r="T472" s="786">
        <v>0</v>
      </c>
      <c r="U472" s="822">
        <v>0</v>
      </c>
      <c r="V472" s="821">
        <v>0</v>
      </c>
      <c r="W472" s="821">
        <v>95962.18636854623</v>
      </c>
      <c r="X472" s="821">
        <v>0</v>
      </c>
      <c r="Y472" s="821">
        <v>0</v>
      </c>
      <c r="Z472" s="821">
        <v>0</v>
      </c>
      <c r="AA472" s="821">
        <v>0</v>
      </c>
      <c r="AB472" s="823">
        <v>95962.18636854623</v>
      </c>
    </row>
    <row r="473" spans="1:28">
      <c r="A473" s="696" t="str">
        <f t="shared" si="7"/>
        <v>National Grid</v>
      </c>
      <c r="B473" s="696" t="str">
        <f>'Lookups-Assumptions'!$D$4</f>
        <v>Gas</v>
      </c>
      <c r="C473" s="696" t="str">
        <f>'Lookups-Assumptions'!$D$6</f>
        <v>Evaluated</v>
      </c>
      <c r="D473" s="696" t="e">
        <f>#REF!</f>
        <v>#REF!</v>
      </c>
      <c r="E473" s="696" t="s">
        <v>1091</v>
      </c>
      <c r="F473" s="696" t="s">
        <v>83</v>
      </c>
      <c r="G473" s="696" t="s">
        <v>873</v>
      </c>
      <c r="H473" s="696" t="s">
        <v>911</v>
      </c>
      <c r="I473" s="696" t="s">
        <v>1352</v>
      </c>
      <c r="J473" s="820">
        <v>1</v>
      </c>
      <c r="K473" s="821">
        <v>329148.63453215943</v>
      </c>
      <c r="L473" s="786">
        <v>0</v>
      </c>
      <c r="M473" s="786">
        <v>0</v>
      </c>
      <c r="N473" s="786">
        <v>9425.5134644083009</v>
      </c>
      <c r="O473" s="786">
        <v>188510.26928816602</v>
      </c>
      <c r="P473" s="786">
        <v>0</v>
      </c>
      <c r="Q473" s="786">
        <v>0</v>
      </c>
      <c r="R473" s="786">
        <v>0</v>
      </c>
      <c r="S473" s="786">
        <v>0</v>
      </c>
      <c r="T473" s="786">
        <v>0</v>
      </c>
      <c r="U473" s="822">
        <v>0</v>
      </c>
      <c r="V473" s="821">
        <v>0</v>
      </c>
      <c r="W473" s="821">
        <v>1624039.8076113868</v>
      </c>
      <c r="X473" s="821">
        <v>0</v>
      </c>
      <c r="Y473" s="821">
        <v>0</v>
      </c>
      <c r="Z473" s="821">
        <v>0</v>
      </c>
      <c r="AA473" s="821">
        <v>0</v>
      </c>
      <c r="AB473" s="823">
        <v>1624039.8076113868</v>
      </c>
    </row>
    <row r="474" spans="1:28">
      <c r="A474" s="696" t="str">
        <f t="shared" si="7"/>
        <v>National Grid</v>
      </c>
      <c r="B474" s="696" t="str">
        <f>'Lookups-Assumptions'!$D$4</f>
        <v>Gas</v>
      </c>
      <c r="C474" s="696" t="str">
        <f>'Lookups-Assumptions'!$D$6</f>
        <v>Evaluated</v>
      </c>
      <c r="D474" s="696" t="e">
        <f>#REF!</f>
        <v>#REF!</v>
      </c>
      <c r="E474" s="696" t="s">
        <v>1093</v>
      </c>
      <c r="F474" s="696" t="s">
        <v>83</v>
      </c>
      <c r="G474" s="696" t="s">
        <v>873</v>
      </c>
      <c r="H474" s="696" t="s">
        <v>911</v>
      </c>
      <c r="I474" s="696" t="s">
        <v>1364</v>
      </c>
      <c r="J474" s="820">
        <v>1</v>
      </c>
      <c r="K474" s="821">
        <v>16000</v>
      </c>
      <c r="L474" s="786">
        <v>0</v>
      </c>
      <c r="M474" s="786">
        <v>0</v>
      </c>
      <c r="N474" s="786">
        <v>572.72080000000005</v>
      </c>
      <c r="O474" s="786">
        <v>7445.3704000000007</v>
      </c>
      <c r="P474" s="786">
        <v>0</v>
      </c>
      <c r="Q474" s="786">
        <v>0</v>
      </c>
      <c r="R474" s="786">
        <v>0</v>
      </c>
      <c r="S474" s="786">
        <v>0</v>
      </c>
      <c r="T474" s="786">
        <v>0</v>
      </c>
      <c r="U474" s="822">
        <v>0</v>
      </c>
      <c r="V474" s="821">
        <v>0</v>
      </c>
      <c r="W474" s="821">
        <v>57042.603581509269</v>
      </c>
      <c r="X474" s="821">
        <v>0</v>
      </c>
      <c r="Y474" s="821">
        <v>0</v>
      </c>
      <c r="Z474" s="821">
        <v>0</v>
      </c>
      <c r="AA474" s="821">
        <v>0</v>
      </c>
      <c r="AB474" s="823">
        <v>57042.603581509269</v>
      </c>
    </row>
    <row r="475" spans="1:28">
      <c r="A475" s="696" t="str">
        <f t="shared" si="7"/>
        <v>National Grid</v>
      </c>
      <c r="B475" s="696" t="str">
        <f>'Lookups-Assumptions'!$D$4</f>
        <v>Gas</v>
      </c>
      <c r="C475" s="696" t="str">
        <f>'Lookups-Assumptions'!$D$6</f>
        <v>Evaluated</v>
      </c>
      <c r="D475" s="696" t="e">
        <f>#REF!</f>
        <v>#REF!</v>
      </c>
      <c r="E475" s="696" t="s">
        <v>1095</v>
      </c>
      <c r="F475" s="696" t="s">
        <v>83</v>
      </c>
      <c r="G475" s="696" t="s">
        <v>873</v>
      </c>
      <c r="H475" s="696" t="s">
        <v>911</v>
      </c>
      <c r="I475" s="696" t="s">
        <v>84</v>
      </c>
      <c r="J475" s="820">
        <v>0</v>
      </c>
      <c r="K475" s="821">
        <v>0</v>
      </c>
      <c r="L475" s="786">
        <v>0</v>
      </c>
      <c r="M475" s="786">
        <v>0</v>
      </c>
      <c r="N475" s="786">
        <v>0</v>
      </c>
      <c r="O475" s="786">
        <v>0</v>
      </c>
      <c r="P475" s="786">
        <v>0</v>
      </c>
      <c r="Q475" s="786">
        <v>0</v>
      </c>
      <c r="R475" s="786">
        <v>0</v>
      </c>
      <c r="S475" s="786">
        <v>0</v>
      </c>
      <c r="T475" s="786">
        <v>0</v>
      </c>
      <c r="U475" s="822">
        <v>0</v>
      </c>
      <c r="V475" s="821">
        <v>0</v>
      </c>
      <c r="W475" s="821">
        <v>0</v>
      </c>
      <c r="X475" s="821">
        <v>0</v>
      </c>
      <c r="Y475" s="821">
        <v>0</v>
      </c>
      <c r="Z475" s="821">
        <v>0</v>
      </c>
      <c r="AA475" s="821">
        <v>0</v>
      </c>
      <c r="AB475" s="823">
        <v>0</v>
      </c>
    </row>
    <row r="476" spans="1:28">
      <c r="A476" s="696" t="str">
        <f t="shared" si="7"/>
        <v>National Grid</v>
      </c>
      <c r="B476" s="696" t="str">
        <f>'Lookups-Assumptions'!$D$4</f>
        <v>Gas</v>
      </c>
      <c r="C476" s="696" t="str">
        <f>'Lookups-Assumptions'!$D$6</f>
        <v>Evaluated</v>
      </c>
      <c r="D476" s="696" t="e">
        <f>#REF!</f>
        <v>#REF!</v>
      </c>
      <c r="E476" s="696" t="s">
        <v>1097</v>
      </c>
      <c r="F476" s="696" t="s">
        <v>83</v>
      </c>
      <c r="G476" s="696" t="s">
        <v>873</v>
      </c>
      <c r="H476" s="696" t="s">
        <v>911</v>
      </c>
      <c r="I476" s="696" t="s">
        <v>1365</v>
      </c>
      <c r="J476" s="820">
        <v>1</v>
      </c>
      <c r="K476" s="821">
        <v>59246.754215788693</v>
      </c>
      <c r="L476" s="786">
        <v>0</v>
      </c>
      <c r="M476" s="786">
        <v>0</v>
      </c>
      <c r="N476" s="786">
        <v>1885.1026928816598</v>
      </c>
      <c r="O476" s="786">
        <v>33931.848471869875</v>
      </c>
      <c r="P476" s="786">
        <v>0</v>
      </c>
      <c r="Q476" s="786">
        <v>0</v>
      </c>
      <c r="R476" s="786">
        <v>0</v>
      </c>
      <c r="S476" s="786">
        <v>0</v>
      </c>
      <c r="T476" s="786">
        <v>0</v>
      </c>
      <c r="U476" s="822">
        <v>0</v>
      </c>
      <c r="V476" s="821">
        <v>0</v>
      </c>
      <c r="W476" s="821">
        <v>281055.39334596088</v>
      </c>
      <c r="X476" s="821">
        <v>0</v>
      </c>
      <c r="Y476" s="821">
        <v>0</v>
      </c>
      <c r="Z476" s="821">
        <v>0</v>
      </c>
      <c r="AA476" s="821">
        <v>0</v>
      </c>
      <c r="AB476" s="823">
        <v>281055.39334596088</v>
      </c>
    </row>
    <row r="477" spans="1:28">
      <c r="A477" s="696" t="str">
        <f t="shared" si="7"/>
        <v>National Grid</v>
      </c>
      <c r="B477" s="696" t="str">
        <f>'Lookups-Assumptions'!$D$4</f>
        <v>Gas</v>
      </c>
      <c r="C477" s="696" t="str">
        <f>'Lookups-Assumptions'!$D$6</f>
        <v>Evaluated</v>
      </c>
      <c r="D477" s="696" t="e">
        <f>#REF!</f>
        <v>#REF!</v>
      </c>
      <c r="E477" s="696" t="s">
        <v>1098</v>
      </c>
      <c r="F477" s="696" t="s">
        <v>83</v>
      </c>
      <c r="G477" s="696" t="s">
        <v>873</v>
      </c>
      <c r="H477" s="696" t="s">
        <v>911</v>
      </c>
      <c r="I477" s="696" t="s">
        <v>1359</v>
      </c>
      <c r="J477" s="820">
        <v>1</v>
      </c>
      <c r="K477" s="821">
        <v>200000</v>
      </c>
      <c r="L477" s="786">
        <v>0</v>
      </c>
      <c r="M477" s="786">
        <v>0</v>
      </c>
      <c r="N477" s="786">
        <v>7159.01</v>
      </c>
      <c r="O477" s="786">
        <v>85908.12</v>
      </c>
      <c r="P477" s="786">
        <v>0</v>
      </c>
      <c r="Q477" s="786">
        <v>0</v>
      </c>
      <c r="R477" s="786">
        <v>0</v>
      </c>
      <c r="S477" s="786">
        <v>0</v>
      </c>
      <c r="T477" s="786">
        <v>0</v>
      </c>
      <c r="U477" s="822">
        <v>0</v>
      </c>
      <c r="V477" s="821">
        <v>0</v>
      </c>
      <c r="W477" s="821">
        <v>702539.49670293182</v>
      </c>
      <c r="X477" s="821">
        <v>0</v>
      </c>
      <c r="Y477" s="821">
        <v>0</v>
      </c>
      <c r="Z477" s="821">
        <v>0</v>
      </c>
      <c r="AA477" s="821">
        <v>0</v>
      </c>
      <c r="AB477" s="823">
        <v>702539.49670293182</v>
      </c>
    </row>
    <row r="478" spans="1:28">
      <c r="A478" s="696" t="str">
        <f t="shared" si="7"/>
        <v>National Grid</v>
      </c>
      <c r="B478" s="696" t="str">
        <f>'Lookups-Assumptions'!$D$4</f>
        <v>Gas</v>
      </c>
      <c r="C478" s="696" t="str">
        <f>'Lookups-Assumptions'!$D$6</f>
        <v>Evaluated</v>
      </c>
      <c r="D478" s="696" t="e">
        <f>#REF!</f>
        <v>#REF!</v>
      </c>
      <c r="E478" s="696" t="s">
        <v>1099</v>
      </c>
      <c r="F478" s="696" t="s">
        <v>83</v>
      </c>
      <c r="G478" s="696" t="s">
        <v>873</v>
      </c>
      <c r="H478" s="696" t="s">
        <v>911</v>
      </c>
      <c r="I478" s="696" t="s">
        <v>752</v>
      </c>
      <c r="J478" s="820">
        <v>0</v>
      </c>
      <c r="K478" s="821">
        <v>0</v>
      </c>
      <c r="L478" s="786">
        <v>0</v>
      </c>
      <c r="M478" s="786">
        <v>0</v>
      </c>
      <c r="N478" s="786">
        <v>0</v>
      </c>
      <c r="O478" s="786">
        <v>0</v>
      </c>
      <c r="P478" s="786">
        <v>0</v>
      </c>
      <c r="Q478" s="786">
        <v>0</v>
      </c>
      <c r="R478" s="786">
        <v>0</v>
      </c>
      <c r="S478" s="786">
        <v>0</v>
      </c>
      <c r="T478" s="786">
        <v>0</v>
      </c>
      <c r="U478" s="822">
        <v>0</v>
      </c>
      <c r="V478" s="821">
        <v>0</v>
      </c>
      <c r="W478" s="821">
        <v>0</v>
      </c>
      <c r="X478" s="821">
        <v>0</v>
      </c>
      <c r="Y478" s="821">
        <v>0</v>
      </c>
      <c r="Z478" s="821">
        <v>0</v>
      </c>
      <c r="AA478" s="821">
        <v>0</v>
      </c>
      <c r="AB478" s="823">
        <v>0</v>
      </c>
    </row>
    <row r="479" spans="1:28">
      <c r="A479" s="696" t="str">
        <f t="shared" si="7"/>
        <v>National Grid</v>
      </c>
      <c r="B479" s="696" t="str">
        <f>'Lookups-Assumptions'!$D$4</f>
        <v>Gas</v>
      </c>
      <c r="C479" s="696" t="str">
        <f>'Lookups-Assumptions'!$D$6</f>
        <v>Evaluated</v>
      </c>
      <c r="D479" s="696" t="e">
        <f>#REF!</f>
        <v>#REF!</v>
      </c>
      <c r="E479" s="696" t="s">
        <v>1100</v>
      </c>
      <c r="F479" s="696" t="s">
        <v>83</v>
      </c>
      <c r="G479" s="696" t="s">
        <v>873</v>
      </c>
      <c r="H479" s="696" t="s">
        <v>911</v>
      </c>
      <c r="I479" s="696" t="s">
        <v>753</v>
      </c>
      <c r="J479" s="820">
        <v>0</v>
      </c>
      <c r="K479" s="821">
        <v>0</v>
      </c>
      <c r="L479" s="786">
        <v>0</v>
      </c>
      <c r="M479" s="786">
        <v>0</v>
      </c>
      <c r="N479" s="786">
        <v>0</v>
      </c>
      <c r="O479" s="786">
        <v>0</v>
      </c>
      <c r="P479" s="786">
        <v>0</v>
      </c>
      <c r="Q479" s="786">
        <v>0</v>
      </c>
      <c r="R479" s="786">
        <v>0</v>
      </c>
      <c r="S479" s="786">
        <v>0</v>
      </c>
      <c r="T479" s="786">
        <v>0</v>
      </c>
      <c r="U479" s="822">
        <v>0</v>
      </c>
      <c r="V479" s="821">
        <v>0</v>
      </c>
      <c r="W479" s="821">
        <v>0</v>
      </c>
      <c r="X479" s="821">
        <v>0</v>
      </c>
      <c r="Y479" s="821">
        <v>0</v>
      </c>
      <c r="Z479" s="821">
        <v>0</v>
      </c>
      <c r="AA479" s="821">
        <v>0</v>
      </c>
      <c r="AB479" s="823">
        <v>0</v>
      </c>
    </row>
    <row r="480" spans="1:28">
      <c r="A480" s="696" t="str">
        <f t="shared" si="7"/>
        <v>National Grid</v>
      </c>
      <c r="B480" s="696" t="str">
        <f>'Lookups-Assumptions'!$D$4</f>
        <v>Gas</v>
      </c>
      <c r="C480" s="696" t="str">
        <f>'Lookups-Assumptions'!$D$6</f>
        <v>Evaluated</v>
      </c>
      <c r="D480" s="696" t="e">
        <f>#REF!</f>
        <v>#REF!</v>
      </c>
      <c r="E480" s="696" t="s">
        <v>1101</v>
      </c>
      <c r="F480" s="696" t="s">
        <v>83</v>
      </c>
      <c r="G480" s="696" t="s">
        <v>873</v>
      </c>
      <c r="H480" s="696" t="s">
        <v>911</v>
      </c>
      <c r="I480" s="696" t="s">
        <v>754</v>
      </c>
      <c r="J480" s="820">
        <v>0</v>
      </c>
      <c r="K480" s="821">
        <v>0</v>
      </c>
      <c r="L480" s="786">
        <v>0</v>
      </c>
      <c r="M480" s="786">
        <v>0</v>
      </c>
      <c r="N480" s="786">
        <v>0</v>
      </c>
      <c r="O480" s="786">
        <v>0</v>
      </c>
      <c r="P480" s="786">
        <v>0</v>
      </c>
      <c r="Q480" s="786">
        <v>0</v>
      </c>
      <c r="R480" s="786">
        <v>0</v>
      </c>
      <c r="S480" s="786">
        <v>0</v>
      </c>
      <c r="T480" s="786">
        <v>0</v>
      </c>
      <c r="U480" s="822">
        <v>0</v>
      </c>
      <c r="V480" s="821">
        <v>0</v>
      </c>
      <c r="W480" s="821">
        <v>0</v>
      </c>
      <c r="X480" s="821">
        <v>0</v>
      </c>
      <c r="Y480" s="821">
        <v>0</v>
      </c>
      <c r="Z480" s="821">
        <v>0</v>
      </c>
      <c r="AA480" s="821">
        <v>0</v>
      </c>
      <c r="AB480" s="823">
        <v>0</v>
      </c>
    </row>
    <row r="481" spans="1:28">
      <c r="A481" s="696" t="str">
        <f t="shared" si="7"/>
        <v>National Grid</v>
      </c>
      <c r="B481" s="696" t="str">
        <f>'Lookups-Assumptions'!$D$4</f>
        <v>Gas</v>
      </c>
      <c r="C481" s="696" t="str">
        <f>'Lookups-Assumptions'!$D$6</f>
        <v>Evaluated</v>
      </c>
      <c r="D481" s="696" t="e">
        <f>#REF!</f>
        <v>#REF!</v>
      </c>
      <c r="E481" s="696" t="s">
        <v>1102</v>
      </c>
      <c r="F481" s="696" t="s">
        <v>83</v>
      </c>
      <c r="G481" s="696" t="s">
        <v>873</v>
      </c>
      <c r="H481" s="696" t="s">
        <v>911</v>
      </c>
      <c r="I481" s="696" t="s">
        <v>755</v>
      </c>
      <c r="J481" s="820">
        <v>0</v>
      </c>
      <c r="K481" s="821">
        <v>0</v>
      </c>
      <c r="L481" s="786">
        <v>0</v>
      </c>
      <c r="M481" s="786">
        <v>0</v>
      </c>
      <c r="N481" s="786">
        <v>0</v>
      </c>
      <c r="O481" s="786">
        <v>0</v>
      </c>
      <c r="P481" s="786">
        <v>0</v>
      </c>
      <c r="Q481" s="786">
        <v>0</v>
      </c>
      <c r="R481" s="786">
        <v>0</v>
      </c>
      <c r="S481" s="786">
        <v>0</v>
      </c>
      <c r="T481" s="786">
        <v>0</v>
      </c>
      <c r="U481" s="822">
        <v>0</v>
      </c>
      <c r="V481" s="821">
        <v>0</v>
      </c>
      <c r="W481" s="821">
        <v>0</v>
      </c>
      <c r="X481" s="821">
        <v>0</v>
      </c>
      <c r="Y481" s="821">
        <v>0</v>
      </c>
      <c r="Z481" s="821">
        <v>0</v>
      </c>
      <c r="AA481" s="821">
        <v>0</v>
      </c>
      <c r="AB481" s="823">
        <v>0</v>
      </c>
    </row>
    <row r="482" spans="1:28">
      <c r="A482" s="696" t="str">
        <f t="shared" si="7"/>
        <v>National Grid</v>
      </c>
      <c r="B482" s="696" t="str">
        <f>'Lookups-Assumptions'!$D$4</f>
        <v>Gas</v>
      </c>
      <c r="C482" s="696" t="str">
        <f>'Lookups-Assumptions'!$D$6</f>
        <v>Evaluated</v>
      </c>
      <c r="D482" s="696" t="e">
        <f>#REF!</f>
        <v>#REF!</v>
      </c>
      <c r="E482" s="696" t="s">
        <v>1103</v>
      </c>
      <c r="F482" s="696" t="s">
        <v>83</v>
      </c>
      <c r="G482" s="696" t="s">
        <v>873</v>
      </c>
      <c r="H482" s="696" t="s">
        <v>911</v>
      </c>
      <c r="I482" s="696" t="s">
        <v>775</v>
      </c>
      <c r="J482" s="820">
        <v>0</v>
      </c>
      <c r="K482" s="821">
        <v>0</v>
      </c>
      <c r="L482" s="786">
        <v>0</v>
      </c>
      <c r="M482" s="786">
        <v>0</v>
      </c>
      <c r="N482" s="786">
        <v>0</v>
      </c>
      <c r="O482" s="786">
        <v>0</v>
      </c>
      <c r="P482" s="786">
        <v>0</v>
      </c>
      <c r="Q482" s="786">
        <v>0</v>
      </c>
      <c r="R482" s="786">
        <v>0</v>
      </c>
      <c r="S482" s="786">
        <v>0</v>
      </c>
      <c r="T482" s="786">
        <v>0</v>
      </c>
      <c r="U482" s="822">
        <v>0</v>
      </c>
      <c r="V482" s="821">
        <v>0</v>
      </c>
      <c r="W482" s="821">
        <v>0</v>
      </c>
      <c r="X482" s="821">
        <v>0</v>
      </c>
      <c r="Y482" s="821">
        <v>0</v>
      </c>
      <c r="Z482" s="821">
        <v>0</v>
      </c>
      <c r="AA482" s="821">
        <v>0</v>
      </c>
      <c r="AB482" s="823">
        <v>0</v>
      </c>
    </row>
    <row r="483" spans="1:28">
      <c r="A483" s="696" t="str">
        <f t="shared" si="7"/>
        <v>National Grid</v>
      </c>
      <c r="B483" s="696" t="str">
        <f>'Lookups-Assumptions'!$D$4</f>
        <v>Gas</v>
      </c>
      <c r="C483" s="696" t="str">
        <f>'Lookups-Assumptions'!$D$6</f>
        <v>Evaluated</v>
      </c>
      <c r="D483" s="696" t="e">
        <f>#REF!</f>
        <v>#REF!</v>
      </c>
      <c r="E483" s="696" t="s">
        <v>1104</v>
      </c>
      <c r="F483" s="696" t="s">
        <v>83</v>
      </c>
      <c r="G483" s="696" t="s">
        <v>873</v>
      </c>
      <c r="H483" s="696" t="s">
        <v>911</v>
      </c>
      <c r="I483" s="696" t="s">
        <v>776</v>
      </c>
      <c r="J483" s="820">
        <v>0</v>
      </c>
      <c r="K483" s="821">
        <v>0</v>
      </c>
      <c r="L483" s="786">
        <v>0</v>
      </c>
      <c r="M483" s="786">
        <v>0</v>
      </c>
      <c r="N483" s="786">
        <v>0</v>
      </c>
      <c r="O483" s="786">
        <v>0</v>
      </c>
      <c r="P483" s="786">
        <v>0</v>
      </c>
      <c r="Q483" s="786">
        <v>0</v>
      </c>
      <c r="R483" s="786">
        <v>0</v>
      </c>
      <c r="S483" s="786">
        <v>0</v>
      </c>
      <c r="T483" s="786">
        <v>0</v>
      </c>
      <c r="U483" s="822">
        <v>0</v>
      </c>
      <c r="V483" s="821">
        <v>0</v>
      </c>
      <c r="W483" s="821">
        <v>0</v>
      </c>
      <c r="X483" s="821">
        <v>0</v>
      </c>
      <c r="Y483" s="821">
        <v>0</v>
      </c>
      <c r="Z483" s="821">
        <v>0</v>
      </c>
      <c r="AA483" s="821">
        <v>0</v>
      </c>
      <c r="AB483" s="823">
        <v>0</v>
      </c>
    </row>
    <row r="484" spans="1:28">
      <c r="A484" s="696" t="str">
        <f t="shared" si="7"/>
        <v>National Grid</v>
      </c>
      <c r="B484" s="696" t="str">
        <f>'Lookups-Assumptions'!$D$4</f>
        <v>Gas</v>
      </c>
      <c r="C484" s="696" t="str">
        <f>'Lookups-Assumptions'!$D$6</f>
        <v>Evaluated</v>
      </c>
      <c r="D484" s="696" t="e">
        <f>#REF!</f>
        <v>#REF!</v>
      </c>
      <c r="E484" s="696" t="s">
        <v>1105</v>
      </c>
      <c r="F484" s="696" t="s">
        <v>83</v>
      </c>
      <c r="G484" s="696" t="s">
        <v>873</v>
      </c>
      <c r="H484" s="696" t="s">
        <v>911</v>
      </c>
      <c r="I484" s="696" t="s">
        <v>777</v>
      </c>
      <c r="J484" s="820">
        <v>0</v>
      </c>
      <c r="K484" s="821">
        <v>0</v>
      </c>
      <c r="L484" s="786">
        <v>0</v>
      </c>
      <c r="M484" s="786">
        <v>0</v>
      </c>
      <c r="N484" s="786">
        <v>0</v>
      </c>
      <c r="O484" s="786">
        <v>0</v>
      </c>
      <c r="P484" s="786">
        <v>0</v>
      </c>
      <c r="Q484" s="786">
        <v>0</v>
      </c>
      <c r="R484" s="786">
        <v>0</v>
      </c>
      <c r="S484" s="786">
        <v>0</v>
      </c>
      <c r="T484" s="786">
        <v>0</v>
      </c>
      <c r="U484" s="822">
        <v>0</v>
      </c>
      <c r="V484" s="821">
        <v>0</v>
      </c>
      <c r="W484" s="821">
        <v>0</v>
      </c>
      <c r="X484" s="821">
        <v>0</v>
      </c>
      <c r="Y484" s="821">
        <v>0</v>
      </c>
      <c r="Z484" s="821">
        <v>0</v>
      </c>
      <c r="AA484" s="821">
        <v>0</v>
      </c>
      <c r="AB484" s="823">
        <v>0</v>
      </c>
    </row>
    <row r="485" spans="1:28">
      <c r="A485" s="696" t="str">
        <f t="shared" si="7"/>
        <v>National Grid</v>
      </c>
      <c r="B485" s="696" t="str">
        <f>'Lookups-Assumptions'!$D$4</f>
        <v>Gas</v>
      </c>
      <c r="C485" s="696" t="str">
        <f>'Lookups-Assumptions'!$D$6</f>
        <v>Evaluated</v>
      </c>
      <c r="D485" s="696" t="e">
        <f>#REF!</f>
        <v>#REF!</v>
      </c>
      <c r="E485" s="696" t="s">
        <v>1106</v>
      </c>
      <c r="F485" s="696" t="s">
        <v>83</v>
      </c>
      <c r="G485" s="696" t="s">
        <v>873</v>
      </c>
      <c r="H485" s="696" t="s">
        <v>911</v>
      </c>
      <c r="I485" s="696" t="s">
        <v>778</v>
      </c>
      <c r="J485" s="820">
        <v>0</v>
      </c>
      <c r="K485" s="821">
        <v>0</v>
      </c>
      <c r="L485" s="786">
        <v>0</v>
      </c>
      <c r="M485" s="786">
        <v>0</v>
      </c>
      <c r="N485" s="786">
        <v>0</v>
      </c>
      <c r="O485" s="786">
        <v>0</v>
      </c>
      <c r="P485" s="786">
        <v>0</v>
      </c>
      <c r="Q485" s="786">
        <v>0</v>
      </c>
      <c r="R485" s="786">
        <v>0</v>
      </c>
      <c r="S485" s="786">
        <v>0</v>
      </c>
      <c r="T485" s="786">
        <v>0</v>
      </c>
      <c r="U485" s="822">
        <v>0</v>
      </c>
      <c r="V485" s="821">
        <v>0</v>
      </c>
      <c r="W485" s="821">
        <v>0</v>
      </c>
      <c r="X485" s="821">
        <v>0</v>
      </c>
      <c r="Y485" s="821">
        <v>0</v>
      </c>
      <c r="Z485" s="821">
        <v>0</v>
      </c>
      <c r="AA485" s="821">
        <v>0</v>
      </c>
      <c r="AB485" s="823">
        <v>0</v>
      </c>
    </row>
    <row r="486" spans="1:28">
      <c r="A486" s="696" t="str">
        <f t="shared" si="7"/>
        <v>National Grid</v>
      </c>
      <c r="B486" s="696" t="str">
        <f>'Lookups-Assumptions'!$D$4</f>
        <v>Gas</v>
      </c>
      <c r="C486" s="696" t="str">
        <f>'Lookups-Assumptions'!$D$6</f>
        <v>Evaluated</v>
      </c>
      <c r="D486" s="696" t="e">
        <f>#REF!</f>
        <v>#REF!</v>
      </c>
      <c r="E486" s="696" t="s">
        <v>1107</v>
      </c>
      <c r="F486" s="696" t="s">
        <v>83</v>
      </c>
      <c r="G486" s="696" t="s">
        <v>873</v>
      </c>
      <c r="H486" s="696" t="s">
        <v>911</v>
      </c>
      <c r="I486" s="696" t="s">
        <v>779</v>
      </c>
      <c r="J486" s="820">
        <v>0</v>
      </c>
      <c r="K486" s="821">
        <v>0</v>
      </c>
      <c r="L486" s="786">
        <v>0</v>
      </c>
      <c r="M486" s="786">
        <v>0</v>
      </c>
      <c r="N486" s="786">
        <v>0</v>
      </c>
      <c r="O486" s="786">
        <v>0</v>
      </c>
      <c r="P486" s="786">
        <v>0</v>
      </c>
      <c r="Q486" s="786">
        <v>0</v>
      </c>
      <c r="R486" s="786">
        <v>0</v>
      </c>
      <c r="S486" s="786">
        <v>0</v>
      </c>
      <c r="T486" s="786">
        <v>0</v>
      </c>
      <c r="U486" s="822">
        <v>0</v>
      </c>
      <c r="V486" s="821">
        <v>0</v>
      </c>
      <c r="W486" s="821">
        <v>0</v>
      </c>
      <c r="X486" s="821">
        <v>0</v>
      </c>
      <c r="Y486" s="821">
        <v>0</v>
      </c>
      <c r="Z486" s="821">
        <v>0</v>
      </c>
      <c r="AA486" s="821">
        <v>0</v>
      </c>
      <c r="AB486" s="823">
        <v>0</v>
      </c>
    </row>
    <row r="487" spans="1:28">
      <c r="A487" s="696" t="str">
        <f t="shared" si="7"/>
        <v>National Grid</v>
      </c>
      <c r="B487" s="696" t="str">
        <f>'Lookups-Assumptions'!$D$4</f>
        <v>Gas</v>
      </c>
      <c r="C487" s="696" t="str">
        <f>'Lookups-Assumptions'!$D$6</f>
        <v>Evaluated</v>
      </c>
      <c r="D487" s="696" t="e">
        <f>#REF!</f>
        <v>#REF!</v>
      </c>
      <c r="E487" s="696" t="s">
        <v>1108</v>
      </c>
      <c r="F487" s="696" t="s">
        <v>83</v>
      </c>
      <c r="G487" s="696" t="s">
        <v>873</v>
      </c>
      <c r="H487" s="696" t="s">
        <v>911</v>
      </c>
      <c r="I487" s="696" t="s">
        <v>780</v>
      </c>
      <c r="J487" s="820">
        <v>0</v>
      </c>
      <c r="K487" s="821">
        <v>0</v>
      </c>
      <c r="L487" s="786">
        <v>0</v>
      </c>
      <c r="M487" s="786">
        <v>0</v>
      </c>
      <c r="N487" s="786">
        <v>0</v>
      </c>
      <c r="O487" s="786">
        <v>0</v>
      </c>
      <c r="P487" s="786">
        <v>0</v>
      </c>
      <c r="Q487" s="786">
        <v>0</v>
      </c>
      <c r="R487" s="786">
        <v>0</v>
      </c>
      <c r="S487" s="786">
        <v>0</v>
      </c>
      <c r="T487" s="786">
        <v>0</v>
      </c>
      <c r="U487" s="822">
        <v>0</v>
      </c>
      <c r="V487" s="821">
        <v>0</v>
      </c>
      <c r="W487" s="821">
        <v>0</v>
      </c>
      <c r="X487" s="821">
        <v>0</v>
      </c>
      <c r="Y487" s="821">
        <v>0</v>
      </c>
      <c r="Z487" s="821">
        <v>0</v>
      </c>
      <c r="AA487" s="821">
        <v>0</v>
      </c>
      <c r="AB487" s="823">
        <v>0</v>
      </c>
    </row>
    <row r="488" spans="1:28">
      <c r="A488" s="696" t="str">
        <f t="shared" si="7"/>
        <v>National Grid</v>
      </c>
      <c r="B488" s="696" t="str">
        <f>'Lookups-Assumptions'!$D$4</f>
        <v>Gas</v>
      </c>
      <c r="C488" s="696" t="str">
        <f>'Lookups-Assumptions'!$D$6</f>
        <v>Evaluated</v>
      </c>
      <c r="D488" s="696" t="e">
        <f>#REF!</f>
        <v>#REF!</v>
      </c>
      <c r="E488" s="696" t="s">
        <v>1109</v>
      </c>
      <c r="F488" s="696" t="s">
        <v>83</v>
      </c>
      <c r="G488" s="696" t="s">
        <v>873</v>
      </c>
      <c r="H488" s="696" t="s">
        <v>911</v>
      </c>
      <c r="I488" s="696" t="s">
        <v>781</v>
      </c>
      <c r="J488" s="820">
        <v>0</v>
      </c>
      <c r="K488" s="821">
        <v>0</v>
      </c>
      <c r="L488" s="786">
        <v>0</v>
      </c>
      <c r="M488" s="786">
        <v>0</v>
      </c>
      <c r="N488" s="786">
        <v>0</v>
      </c>
      <c r="O488" s="786">
        <v>0</v>
      </c>
      <c r="P488" s="786">
        <v>0</v>
      </c>
      <c r="Q488" s="786">
        <v>0</v>
      </c>
      <c r="R488" s="786">
        <v>0</v>
      </c>
      <c r="S488" s="786">
        <v>0</v>
      </c>
      <c r="T488" s="786">
        <v>0</v>
      </c>
      <c r="U488" s="822">
        <v>0</v>
      </c>
      <c r="V488" s="821">
        <v>0</v>
      </c>
      <c r="W488" s="821">
        <v>0</v>
      </c>
      <c r="X488" s="821">
        <v>0</v>
      </c>
      <c r="Y488" s="821">
        <v>0</v>
      </c>
      <c r="Z488" s="821">
        <v>0</v>
      </c>
      <c r="AA488" s="821">
        <v>0</v>
      </c>
      <c r="AB488" s="823">
        <v>0</v>
      </c>
    </row>
    <row r="489" spans="1:28">
      <c r="A489" s="696" t="str">
        <f t="shared" si="7"/>
        <v>National Grid</v>
      </c>
      <c r="B489" s="696" t="str">
        <f>'Lookups-Assumptions'!$D$4</f>
        <v>Gas</v>
      </c>
      <c r="C489" s="696" t="str">
        <f>'Lookups-Assumptions'!$D$6</f>
        <v>Evaluated</v>
      </c>
      <c r="D489" s="696" t="e">
        <f>#REF!</f>
        <v>#REF!</v>
      </c>
      <c r="E489" s="696" t="s">
        <v>1110</v>
      </c>
      <c r="F489" s="696" t="s">
        <v>83</v>
      </c>
      <c r="G489" s="696" t="s">
        <v>873</v>
      </c>
      <c r="H489" s="696" t="s">
        <v>911</v>
      </c>
      <c r="I489" s="696" t="s">
        <v>782</v>
      </c>
      <c r="J489" s="820">
        <v>0</v>
      </c>
      <c r="K489" s="821">
        <v>0</v>
      </c>
      <c r="L489" s="786">
        <v>0</v>
      </c>
      <c r="M489" s="786">
        <v>0</v>
      </c>
      <c r="N489" s="786">
        <v>0</v>
      </c>
      <c r="O489" s="786">
        <v>0</v>
      </c>
      <c r="P489" s="786">
        <v>0</v>
      </c>
      <c r="Q489" s="786">
        <v>0</v>
      </c>
      <c r="R489" s="786">
        <v>0</v>
      </c>
      <c r="S489" s="786">
        <v>0</v>
      </c>
      <c r="T489" s="786">
        <v>0</v>
      </c>
      <c r="U489" s="822">
        <v>0</v>
      </c>
      <c r="V489" s="821">
        <v>0</v>
      </c>
      <c r="W489" s="821">
        <v>0</v>
      </c>
      <c r="X489" s="821">
        <v>0</v>
      </c>
      <c r="Y489" s="821">
        <v>0</v>
      </c>
      <c r="Z489" s="821">
        <v>0</v>
      </c>
      <c r="AA489" s="821">
        <v>0</v>
      </c>
      <c r="AB489" s="823">
        <v>0</v>
      </c>
    </row>
    <row r="490" spans="1:28">
      <c r="A490" s="696" t="str">
        <f t="shared" si="7"/>
        <v>National Grid</v>
      </c>
      <c r="B490" s="696" t="str">
        <f>'Lookups-Assumptions'!$D$4</f>
        <v>Gas</v>
      </c>
      <c r="C490" s="696" t="str">
        <f>'Lookups-Assumptions'!$D$6</f>
        <v>Evaluated</v>
      </c>
      <c r="D490" s="696" t="e">
        <f>#REF!</f>
        <v>#REF!</v>
      </c>
      <c r="E490" s="696" t="s">
        <v>1111</v>
      </c>
      <c r="F490" s="696" t="s">
        <v>83</v>
      </c>
      <c r="G490" s="696" t="s">
        <v>873</v>
      </c>
      <c r="H490" s="696" t="s">
        <v>911</v>
      </c>
      <c r="I490" s="696" t="s">
        <v>790</v>
      </c>
      <c r="J490" s="820">
        <v>0</v>
      </c>
      <c r="K490" s="821">
        <v>0</v>
      </c>
      <c r="L490" s="786">
        <v>0</v>
      </c>
      <c r="M490" s="786">
        <v>0</v>
      </c>
      <c r="N490" s="786">
        <v>0</v>
      </c>
      <c r="O490" s="786">
        <v>0</v>
      </c>
      <c r="P490" s="786">
        <v>0</v>
      </c>
      <c r="Q490" s="786">
        <v>0</v>
      </c>
      <c r="R490" s="786">
        <v>0</v>
      </c>
      <c r="S490" s="786">
        <v>0</v>
      </c>
      <c r="T490" s="786">
        <v>0</v>
      </c>
      <c r="U490" s="822">
        <v>0</v>
      </c>
      <c r="V490" s="821">
        <v>0</v>
      </c>
      <c r="W490" s="821">
        <v>0</v>
      </c>
      <c r="X490" s="821">
        <v>0</v>
      </c>
      <c r="Y490" s="821">
        <v>0</v>
      </c>
      <c r="Z490" s="821">
        <v>0</v>
      </c>
      <c r="AA490" s="821">
        <v>0</v>
      </c>
      <c r="AB490" s="823">
        <v>0</v>
      </c>
    </row>
    <row r="491" spans="1:28">
      <c r="A491" s="696" t="str">
        <f t="shared" si="7"/>
        <v>National Grid</v>
      </c>
      <c r="B491" s="696" t="str">
        <f>'Lookups-Assumptions'!$D$4</f>
        <v>Gas</v>
      </c>
      <c r="C491" s="696" t="str">
        <f>'Lookups-Assumptions'!$D$6</f>
        <v>Evaluated</v>
      </c>
      <c r="D491" s="696" t="e">
        <f>#REF!</f>
        <v>#REF!</v>
      </c>
      <c r="E491" s="696" t="s">
        <v>1112</v>
      </c>
      <c r="F491" s="696" t="s">
        <v>83</v>
      </c>
      <c r="G491" s="696" t="s">
        <v>873</v>
      </c>
      <c r="H491" s="696" t="s">
        <v>911</v>
      </c>
      <c r="I491" s="696" t="s">
        <v>1274</v>
      </c>
      <c r="J491" s="820">
        <v>0</v>
      </c>
      <c r="K491" s="821">
        <v>0</v>
      </c>
      <c r="L491" s="786">
        <v>0</v>
      </c>
      <c r="M491" s="786">
        <v>0</v>
      </c>
      <c r="N491" s="786">
        <v>0</v>
      </c>
      <c r="O491" s="786">
        <v>0</v>
      </c>
      <c r="P491" s="786">
        <v>0</v>
      </c>
      <c r="Q491" s="786">
        <v>0</v>
      </c>
      <c r="R491" s="786">
        <v>0</v>
      </c>
      <c r="S491" s="786">
        <v>0</v>
      </c>
      <c r="T491" s="786">
        <v>0</v>
      </c>
      <c r="U491" s="822">
        <v>0</v>
      </c>
      <c r="V491" s="821">
        <v>0</v>
      </c>
      <c r="W491" s="821">
        <v>0</v>
      </c>
      <c r="X491" s="821">
        <v>0</v>
      </c>
      <c r="Y491" s="821">
        <v>0</v>
      </c>
      <c r="Z491" s="821">
        <v>0</v>
      </c>
      <c r="AA491" s="821">
        <v>0</v>
      </c>
      <c r="AB491" s="823">
        <v>0</v>
      </c>
    </row>
    <row r="492" spans="1:28">
      <c r="A492" s="696" t="str">
        <f t="shared" si="7"/>
        <v>National Grid</v>
      </c>
      <c r="B492" s="696" t="str">
        <f>'Lookups-Assumptions'!$D$4</f>
        <v>Gas</v>
      </c>
      <c r="C492" s="696" t="str">
        <f>'Lookups-Assumptions'!$D$6</f>
        <v>Evaluated</v>
      </c>
      <c r="D492" s="696" t="e">
        <f>#REF!</f>
        <v>#REF!</v>
      </c>
      <c r="E492" s="696" t="s">
        <v>1113</v>
      </c>
      <c r="F492" s="696" t="s">
        <v>83</v>
      </c>
      <c r="G492" s="696" t="s">
        <v>873</v>
      </c>
      <c r="H492" s="696" t="s">
        <v>911</v>
      </c>
      <c r="I492" s="696" t="s">
        <v>791</v>
      </c>
      <c r="J492" s="820">
        <v>0</v>
      </c>
      <c r="K492" s="821">
        <v>0</v>
      </c>
      <c r="L492" s="786">
        <v>0</v>
      </c>
      <c r="M492" s="786">
        <v>0</v>
      </c>
      <c r="N492" s="786">
        <v>0</v>
      </c>
      <c r="O492" s="786">
        <v>0</v>
      </c>
      <c r="P492" s="786">
        <v>0</v>
      </c>
      <c r="Q492" s="786">
        <v>0</v>
      </c>
      <c r="R492" s="786">
        <v>0</v>
      </c>
      <c r="S492" s="786">
        <v>0</v>
      </c>
      <c r="T492" s="786">
        <v>0</v>
      </c>
      <c r="U492" s="822">
        <v>0</v>
      </c>
      <c r="V492" s="821">
        <v>0</v>
      </c>
      <c r="W492" s="821">
        <v>0</v>
      </c>
      <c r="X492" s="821">
        <v>0</v>
      </c>
      <c r="Y492" s="821">
        <v>0</v>
      </c>
      <c r="Z492" s="821">
        <v>0</v>
      </c>
      <c r="AA492" s="821">
        <v>0</v>
      </c>
      <c r="AB492" s="823">
        <v>0</v>
      </c>
    </row>
    <row r="493" spans="1:28">
      <c r="A493" s="696" t="str">
        <f t="shared" si="7"/>
        <v>National Grid</v>
      </c>
      <c r="B493" s="696" t="str">
        <f>'Lookups-Assumptions'!$D$4</f>
        <v>Gas</v>
      </c>
      <c r="C493" s="696" t="str">
        <f>'Lookups-Assumptions'!$D$6</f>
        <v>Evaluated</v>
      </c>
      <c r="D493" s="696" t="e">
        <f>#REF!</f>
        <v>#REF!</v>
      </c>
      <c r="E493" s="696" t="s">
        <v>1114</v>
      </c>
      <c r="F493" s="696" t="s">
        <v>83</v>
      </c>
      <c r="G493" s="696" t="s">
        <v>873</v>
      </c>
      <c r="H493" s="696" t="s">
        <v>911</v>
      </c>
      <c r="I493" s="696" t="s">
        <v>792</v>
      </c>
      <c r="J493" s="820">
        <v>0</v>
      </c>
      <c r="K493" s="821">
        <v>0</v>
      </c>
      <c r="L493" s="786">
        <v>0</v>
      </c>
      <c r="M493" s="786">
        <v>0</v>
      </c>
      <c r="N493" s="786">
        <v>0</v>
      </c>
      <c r="O493" s="786">
        <v>0</v>
      </c>
      <c r="P493" s="786">
        <v>0</v>
      </c>
      <c r="Q493" s="786">
        <v>0</v>
      </c>
      <c r="R493" s="786">
        <v>0</v>
      </c>
      <c r="S493" s="786">
        <v>0</v>
      </c>
      <c r="T493" s="786">
        <v>0</v>
      </c>
      <c r="U493" s="822">
        <v>0</v>
      </c>
      <c r="V493" s="821">
        <v>0</v>
      </c>
      <c r="W493" s="821">
        <v>0</v>
      </c>
      <c r="X493" s="821">
        <v>0</v>
      </c>
      <c r="Y493" s="821">
        <v>0</v>
      </c>
      <c r="Z493" s="821">
        <v>0</v>
      </c>
      <c r="AA493" s="821">
        <v>0</v>
      </c>
      <c r="AB493" s="823">
        <v>0</v>
      </c>
    </row>
    <row r="494" spans="1:28">
      <c r="A494" s="696" t="str">
        <f t="shared" si="7"/>
        <v>National Grid</v>
      </c>
      <c r="B494" s="696" t="str">
        <f>'Lookups-Assumptions'!$D$4</f>
        <v>Gas</v>
      </c>
      <c r="C494" s="696" t="str">
        <f>'Lookups-Assumptions'!$D$6</f>
        <v>Evaluated</v>
      </c>
      <c r="D494" s="696" t="e">
        <f>#REF!</f>
        <v>#REF!</v>
      </c>
      <c r="E494" s="696" t="s">
        <v>1115</v>
      </c>
      <c r="F494" s="696" t="s">
        <v>83</v>
      </c>
      <c r="G494" s="696" t="s">
        <v>873</v>
      </c>
      <c r="H494" s="696" t="s">
        <v>911</v>
      </c>
      <c r="I494" s="696" t="s">
        <v>1273</v>
      </c>
      <c r="J494" s="820">
        <v>0</v>
      </c>
      <c r="K494" s="821">
        <v>0</v>
      </c>
      <c r="L494" s="786">
        <v>0</v>
      </c>
      <c r="M494" s="786">
        <v>0</v>
      </c>
      <c r="N494" s="786">
        <v>0</v>
      </c>
      <c r="O494" s="786">
        <v>0</v>
      </c>
      <c r="P494" s="786">
        <v>0</v>
      </c>
      <c r="Q494" s="786">
        <v>0</v>
      </c>
      <c r="R494" s="786">
        <v>0</v>
      </c>
      <c r="S494" s="786">
        <v>0</v>
      </c>
      <c r="T494" s="786">
        <v>0</v>
      </c>
      <c r="U494" s="822">
        <v>0</v>
      </c>
      <c r="V494" s="821">
        <v>0</v>
      </c>
      <c r="W494" s="821">
        <v>0</v>
      </c>
      <c r="X494" s="821">
        <v>0</v>
      </c>
      <c r="Y494" s="821">
        <v>0</v>
      </c>
      <c r="Z494" s="821">
        <v>0</v>
      </c>
      <c r="AA494" s="821">
        <v>0</v>
      </c>
      <c r="AB494" s="823">
        <v>0</v>
      </c>
    </row>
    <row r="495" spans="1:28">
      <c r="A495" s="696" t="str">
        <f t="shared" si="7"/>
        <v>National Grid</v>
      </c>
      <c r="B495" s="696" t="str">
        <f>'Lookups-Assumptions'!$D$4</f>
        <v>Gas</v>
      </c>
      <c r="C495" s="696" t="str">
        <f>'Lookups-Assumptions'!$D$6</f>
        <v>Evaluated</v>
      </c>
      <c r="D495" s="696" t="e">
        <f>#REF!</f>
        <v>#REF!</v>
      </c>
      <c r="E495" s="696" t="s">
        <v>1116</v>
      </c>
      <c r="F495" s="696" t="s">
        <v>83</v>
      </c>
      <c r="G495" s="696" t="s">
        <v>873</v>
      </c>
      <c r="H495" s="696" t="s">
        <v>911</v>
      </c>
      <c r="I495" s="696" t="s">
        <v>756</v>
      </c>
      <c r="J495" s="820">
        <v>0</v>
      </c>
      <c r="K495" s="821">
        <v>0</v>
      </c>
      <c r="L495" s="786">
        <v>0</v>
      </c>
      <c r="M495" s="786">
        <v>0</v>
      </c>
      <c r="N495" s="786">
        <v>0</v>
      </c>
      <c r="O495" s="786">
        <v>0</v>
      </c>
      <c r="P495" s="786">
        <v>0</v>
      </c>
      <c r="Q495" s="786">
        <v>0</v>
      </c>
      <c r="R495" s="786">
        <v>0</v>
      </c>
      <c r="S495" s="786">
        <v>0</v>
      </c>
      <c r="T495" s="786">
        <v>0</v>
      </c>
      <c r="U495" s="822">
        <v>0</v>
      </c>
      <c r="V495" s="821">
        <v>0</v>
      </c>
      <c r="W495" s="821">
        <v>0</v>
      </c>
      <c r="X495" s="821">
        <v>0</v>
      </c>
      <c r="Y495" s="821">
        <v>0</v>
      </c>
      <c r="Z495" s="821">
        <v>0</v>
      </c>
      <c r="AA495" s="821">
        <v>0</v>
      </c>
      <c r="AB495" s="823">
        <v>0</v>
      </c>
    </row>
    <row r="496" spans="1:28">
      <c r="A496" s="696" t="str">
        <f t="shared" si="7"/>
        <v>National Grid</v>
      </c>
      <c r="B496" s="696" t="str">
        <f>'Lookups-Assumptions'!$D$4</f>
        <v>Gas</v>
      </c>
      <c r="C496" s="696" t="str">
        <f>'Lookups-Assumptions'!$D$6</f>
        <v>Evaluated</v>
      </c>
      <c r="D496" s="696" t="e">
        <f>#REF!</f>
        <v>#REF!</v>
      </c>
      <c r="E496" s="696" t="s">
        <v>1117</v>
      </c>
      <c r="F496" s="696" t="s">
        <v>83</v>
      </c>
      <c r="G496" s="696" t="s">
        <v>873</v>
      </c>
      <c r="H496" s="696" t="s">
        <v>911</v>
      </c>
      <c r="I496" s="696" t="s">
        <v>757</v>
      </c>
      <c r="J496" s="820">
        <v>0</v>
      </c>
      <c r="K496" s="821">
        <v>0</v>
      </c>
      <c r="L496" s="786">
        <v>0</v>
      </c>
      <c r="M496" s="786">
        <v>0</v>
      </c>
      <c r="N496" s="786">
        <v>0</v>
      </c>
      <c r="O496" s="786">
        <v>0</v>
      </c>
      <c r="P496" s="786">
        <v>0</v>
      </c>
      <c r="Q496" s="786">
        <v>0</v>
      </c>
      <c r="R496" s="786">
        <v>0</v>
      </c>
      <c r="S496" s="786">
        <v>0</v>
      </c>
      <c r="T496" s="786">
        <v>0</v>
      </c>
      <c r="U496" s="822">
        <v>0</v>
      </c>
      <c r="V496" s="821">
        <v>0</v>
      </c>
      <c r="W496" s="821">
        <v>0</v>
      </c>
      <c r="X496" s="821">
        <v>0</v>
      </c>
      <c r="Y496" s="821">
        <v>0</v>
      </c>
      <c r="Z496" s="821">
        <v>0</v>
      </c>
      <c r="AA496" s="821">
        <v>0</v>
      </c>
      <c r="AB496" s="823">
        <v>0</v>
      </c>
    </row>
    <row r="497" spans="1:28">
      <c r="A497" s="696" t="str">
        <f t="shared" si="7"/>
        <v>National Grid</v>
      </c>
      <c r="B497" s="696" t="str">
        <f>'Lookups-Assumptions'!$D$4</f>
        <v>Gas</v>
      </c>
      <c r="C497" s="696" t="str">
        <f>'Lookups-Assumptions'!$D$6</f>
        <v>Evaluated</v>
      </c>
      <c r="D497" s="696" t="e">
        <f>#REF!</f>
        <v>#REF!</v>
      </c>
      <c r="E497" s="696" t="s">
        <v>1118</v>
      </c>
      <c r="F497" s="696" t="s">
        <v>83</v>
      </c>
      <c r="G497" s="696" t="s">
        <v>873</v>
      </c>
      <c r="H497" s="696" t="s">
        <v>911</v>
      </c>
      <c r="I497" s="696" t="s">
        <v>783</v>
      </c>
      <c r="J497" s="820">
        <v>0</v>
      </c>
      <c r="K497" s="821">
        <v>0</v>
      </c>
      <c r="L497" s="786">
        <v>0</v>
      </c>
      <c r="M497" s="786">
        <v>0</v>
      </c>
      <c r="N497" s="786">
        <v>0</v>
      </c>
      <c r="O497" s="786">
        <v>0</v>
      </c>
      <c r="P497" s="786">
        <v>0</v>
      </c>
      <c r="Q497" s="786">
        <v>0</v>
      </c>
      <c r="R497" s="786">
        <v>0</v>
      </c>
      <c r="S497" s="786">
        <v>0</v>
      </c>
      <c r="T497" s="786">
        <v>0</v>
      </c>
      <c r="U497" s="822">
        <v>0</v>
      </c>
      <c r="V497" s="821">
        <v>0</v>
      </c>
      <c r="W497" s="821">
        <v>0</v>
      </c>
      <c r="X497" s="821">
        <v>0</v>
      </c>
      <c r="Y497" s="821">
        <v>0</v>
      </c>
      <c r="Z497" s="821">
        <v>0</v>
      </c>
      <c r="AA497" s="821">
        <v>0</v>
      </c>
      <c r="AB497" s="823">
        <v>0</v>
      </c>
    </row>
    <row r="498" spans="1:28">
      <c r="A498" s="696" t="str">
        <f t="shared" si="7"/>
        <v>National Grid</v>
      </c>
      <c r="B498" s="696" t="str">
        <f>'Lookups-Assumptions'!$D$4</f>
        <v>Gas</v>
      </c>
      <c r="C498" s="696" t="str">
        <f>'Lookups-Assumptions'!$D$6</f>
        <v>Evaluated</v>
      </c>
      <c r="D498" s="696" t="e">
        <f>#REF!</f>
        <v>#REF!</v>
      </c>
      <c r="E498" s="696" t="s">
        <v>1119</v>
      </c>
      <c r="F498" s="696" t="s">
        <v>83</v>
      </c>
      <c r="G498" s="696" t="s">
        <v>873</v>
      </c>
      <c r="H498" s="696" t="s">
        <v>911</v>
      </c>
      <c r="I498" s="696" t="s">
        <v>784</v>
      </c>
      <c r="J498" s="820">
        <v>0</v>
      </c>
      <c r="K498" s="821">
        <v>0</v>
      </c>
      <c r="L498" s="786">
        <v>0</v>
      </c>
      <c r="M498" s="786">
        <v>0</v>
      </c>
      <c r="N498" s="786">
        <v>0</v>
      </c>
      <c r="O498" s="786">
        <v>0</v>
      </c>
      <c r="P498" s="786">
        <v>0</v>
      </c>
      <c r="Q498" s="786">
        <v>0</v>
      </c>
      <c r="R498" s="786">
        <v>0</v>
      </c>
      <c r="S498" s="786">
        <v>0</v>
      </c>
      <c r="T498" s="786">
        <v>0</v>
      </c>
      <c r="U498" s="822">
        <v>0</v>
      </c>
      <c r="V498" s="821">
        <v>0</v>
      </c>
      <c r="W498" s="821">
        <v>0</v>
      </c>
      <c r="X498" s="821">
        <v>0</v>
      </c>
      <c r="Y498" s="821">
        <v>0</v>
      </c>
      <c r="Z498" s="821">
        <v>0</v>
      </c>
      <c r="AA498" s="821">
        <v>0</v>
      </c>
      <c r="AB498" s="823">
        <v>0</v>
      </c>
    </row>
    <row r="499" spans="1:28">
      <c r="A499" s="696" t="str">
        <f t="shared" si="7"/>
        <v>National Grid</v>
      </c>
      <c r="B499" s="696" t="str">
        <f>'Lookups-Assumptions'!$D$4</f>
        <v>Gas</v>
      </c>
      <c r="C499" s="696" t="str">
        <f>'Lookups-Assumptions'!$D$6</f>
        <v>Evaluated</v>
      </c>
      <c r="D499" s="696" t="e">
        <f>#REF!</f>
        <v>#REF!</v>
      </c>
      <c r="E499" s="696" t="s">
        <v>1120</v>
      </c>
      <c r="F499" s="696" t="s">
        <v>83</v>
      </c>
      <c r="G499" s="696" t="s">
        <v>873</v>
      </c>
      <c r="H499" s="696" t="s">
        <v>911</v>
      </c>
      <c r="I499" s="696" t="s">
        <v>785</v>
      </c>
      <c r="J499" s="820">
        <v>0</v>
      </c>
      <c r="K499" s="821">
        <v>0</v>
      </c>
      <c r="L499" s="786">
        <v>0</v>
      </c>
      <c r="M499" s="786">
        <v>0</v>
      </c>
      <c r="N499" s="786">
        <v>0</v>
      </c>
      <c r="O499" s="786">
        <v>0</v>
      </c>
      <c r="P499" s="786">
        <v>0</v>
      </c>
      <c r="Q499" s="786">
        <v>0</v>
      </c>
      <c r="R499" s="786">
        <v>0</v>
      </c>
      <c r="S499" s="786">
        <v>0</v>
      </c>
      <c r="T499" s="786">
        <v>0</v>
      </c>
      <c r="U499" s="822">
        <v>0</v>
      </c>
      <c r="V499" s="821">
        <v>0</v>
      </c>
      <c r="W499" s="821">
        <v>0</v>
      </c>
      <c r="X499" s="821">
        <v>0</v>
      </c>
      <c r="Y499" s="821">
        <v>0</v>
      </c>
      <c r="Z499" s="821">
        <v>0</v>
      </c>
      <c r="AA499" s="821">
        <v>0</v>
      </c>
      <c r="AB499" s="823">
        <v>0</v>
      </c>
    </row>
    <row r="500" spans="1:28">
      <c r="A500" s="696" t="str">
        <f t="shared" si="7"/>
        <v>National Grid</v>
      </c>
      <c r="B500" s="696" t="str">
        <f>'Lookups-Assumptions'!$D$4</f>
        <v>Gas</v>
      </c>
      <c r="C500" s="696" t="str">
        <f>'Lookups-Assumptions'!$D$6</f>
        <v>Evaluated</v>
      </c>
      <c r="D500" s="696" t="e">
        <f>#REF!</f>
        <v>#REF!</v>
      </c>
      <c r="E500" s="696" t="s">
        <v>1121</v>
      </c>
      <c r="F500" s="696" t="s">
        <v>83</v>
      </c>
      <c r="G500" s="696" t="s">
        <v>873</v>
      </c>
      <c r="H500" s="696" t="s">
        <v>911</v>
      </c>
      <c r="I500" s="696" t="s">
        <v>786</v>
      </c>
      <c r="J500" s="820">
        <v>0</v>
      </c>
      <c r="K500" s="821">
        <v>0</v>
      </c>
      <c r="L500" s="786">
        <v>0</v>
      </c>
      <c r="M500" s="786">
        <v>0</v>
      </c>
      <c r="N500" s="786">
        <v>0</v>
      </c>
      <c r="O500" s="786">
        <v>0</v>
      </c>
      <c r="P500" s="786">
        <v>0</v>
      </c>
      <c r="Q500" s="786">
        <v>0</v>
      </c>
      <c r="R500" s="786">
        <v>0</v>
      </c>
      <c r="S500" s="786">
        <v>0</v>
      </c>
      <c r="T500" s="786">
        <v>0</v>
      </c>
      <c r="U500" s="822">
        <v>0</v>
      </c>
      <c r="V500" s="821">
        <v>0</v>
      </c>
      <c r="W500" s="821">
        <v>0</v>
      </c>
      <c r="X500" s="821">
        <v>0</v>
      </c>
      <c r="Y500" s="821">
        <v>0</v>
      </c>
      <c r="Z500" s="821">
        <v>0</v>
      </c>
      <c r="AA500" s="821">
        <v>0</v>
      </c>
      <c r="AB500" s="823">
        <v>0</v>
      </c>
    </row>
    <row r="501" spans="1:28">
      <c r="A501" s="696" t="str">
        <f t="shared" si="7"/>
        <v>National Grid</v>
      </c>
      <c r="B501" s="696" t="str">
        <f>'Lookups-Assumptions'!$D$4</f>
        <v>Gas</v>
      </c>
      <c r="C501" s="696" t="str">
        <f>'Lookups-Assumptions'!$D$6</f>
        <v>Evaluated</v>
      </c>
      <c r="D501" s="696" t="e">
        <f>#REF!</f>
        <v>#REF!</v>
      </c>
      <c r="E501" s="696" t="s">
        <v>1122</v>
      </c>
      <c r="F501" s="696" t="s">
        <v>83</v>
      </c>
      <c r="G501" s="696" t="s">
        <v>873</v>
      </c>
      <c r="H501" s="696" t="s">
        <v>911</v>
      </c>
      <c r="I501" s="696" t="s">
        <v>787</v>
      </c>
      <c r="J501" s="820">
        <v>0</v>
      </c>
      <c r="K501" s="821">
        <v>0</v>
      </c>
      <c r="L501" s="786">
        <v>0</v>
      </c>
      <c r="M501" s="786">
        <v>0</v>
      </c>
      <c r="N501" s="786">
        <v>0</v>
      </c>
      <c r="O501" s="786">
        <v>0</v>
      </c>
      <c r="P501" s="786">
        <v>0</v>
      </c>
      <c r="Q501" s="786">
        <v>0</v>
      </c>
      <c r="R501" s="786">
        <v>0</v>
      </c>
      <c r="S501" s="786">
        <v>0</v>
      </c>
      <c r="T501" s="786">
        <v>0</v>
      </c>
      <c r="U501" s="822">
        <v>0</v>
      </c>
      <c r="V501" s="821">
        <v>0</v>
      </c>
      <c r="W501" s="821">
        <v>0</v>
      </c>
      <c r="X501" s="821">
        <v>0</v>
      </c>
      <c r="Y501" s="821">
        <v>0</v>
      </c>
      <c r="Z501" s="821">
        <v>0</v>
      </c>
      <c r="AA501" s="821">
        <v>0</v>
      </c>
      <c r="AB501" s="823">
        <v>0</v>
      </c>
    </row>
    <row r="502" spans="1:28">
      <c r="A502" s="696" t="str">
        <f t="shared" si="7"/>
        <v>National Grid</v>
      </c>
      <c r="B502" s="696" t="str">
        <f>'Lookups-Assumptions'!$D$4</f>
        <v>Gas</v>
      </c>
      <c r="C502" s="696" t="str">
        <f>'Lookups-Assumptions'!$D$6</f>
        <v>Evaluated</v>
      </c>
      <c r="D502" s="696" t="e">
        <f>#REF!</f>
        <v>#REF!</v>
      </c>
      <c r="E502" s="696" t="s">
        <v>1123</v>
      </c>
      <c r="F502" s="696" t="s">
        <v>83</v>
      </c>
      <c r="G502" s="696" t="s">
        <v>873</v>
      </c>
      <c r="H502" s="696" t="s">
        <v>911</v>
      </c>
      <c r="I502" s="696" t="s">
        <v>788</v>
      </c>
      <c r="J502" s="820">
        <v>0</v>
      </c>
      <c r="K502" s="821">
        <v>0</v>
      </c>
      <c r="L502" s="786">
        <v>0</v>
      </c>
      <c r="M502" s="786">
        <v>0</v>
      </c>
      <c r="N502" s="786">
        <v>0</v>
      </c>
      <c r="O502" s="786">
        <v>0</v>
      </c>
      <c r="P502" s="786">
        <v>0</v>
      </c>
      <c r="Q502" s="786">
        <v>0</v>
      </c>
      <c r="R502" s="786">
        <v>0</v>
      </c>
      <c r="S502" s="786">
        <v>0</v>
      </c>
      <c r="T502" s="786">
        <v>0</v>
      </c>
      <c r="U502" s="822">
        <v>0</v>
      </c>
      <c r="V502" s="821">
        <v>0</v>
      </c>
      <c r="W502" s="821">
        <v>0</v>
      </c>
      <c r="X502" s="821">
        <v>0</v>
      </c>
      <c r="Y502" s="821">
        <v>0</v>
      </c>
      <c r="Z502" s="821">
        <v>0</v>
      </c>
      <c r="AA502" s="821">
        <v>0</v>
      </c>
      <c r="AB502" s="823">
        <v>0</v>
      </c>
    </row>
    <row r="503" spans="1:28">
      <c r="A503" s="696" t="str">
        <f t="shared" si="7"/>
        <v>National Grid</v>
      </c>
      <c r="B503" s="696" t="str">
        <f>'Lookups-Assumptions'!$D$4</f>
        <v>Gas</v>
      </c>
      <c r="C503" s="696" t="str">
        <f>'Lookups-Assumptions'!$D$6</f>
        <v>Evaluated</v>
      </c>
      <c r="D503" s="696" t="e">
        <f>#REF!</f>
        <v>#REF!</v>
      </c>
      <c r="E503" s="696" t="s">
        <v>1124</v>
      </c>
      <c r="F503" s="696" t="s">
        <v>83</v>
      </c>
      <c r="G503" s="696" t="s">
        <v>873</v>
      </c>
      <c r="H503" s="696" t="s">
        <v>911</v>
      </c>
      <c r="I503" s="696" t="s">
        <v>789</v>
      </c>
      <c r="J503" s="820">
        <v>0</v>
      </c>
      <c r="K503" s="821">
        <v>0</v>
      </c>
      <c r="L503" s="786">
        <v>0</v>
      </c>
      <c r="M503" s="786">
        <v>0</v>
      </c>
      <c r="N503" s="786">
        <v>0</v>
      </c>
      <c r="O503" s="786">
        <v>0</v>
      </c>
      <c r="P503" s="786">
        <v>0</v>
      </c>
      <c r="Q503" s="786">
        <v>0</v>
      </c>
      <c r="R503" s="786">
        <v>0</v>
      </c>
      <c r="S503" s="786">
        <v>0</v>
      </c>
      <c r="T503" s="786">
        <v>0</v>
      </c>
      <c r="U503" s="822">
        <v>0</v>
      </c>
      <c r="V503" s="821">
        <v>0</v>
      </c>
      <c r="W503" s="821">
        <v>0</v>
      </c>
      <c r="X503" s="821">
        <v>0</v>
      </c>
      <c r="Y503" s="821">
        <v>0</v>
      </c>
      <c r="Z503" s="821">
        <v>0</v>
      </c>
      <c r="AA503" s="821">
        <v>0</v>
      </c>
      <c r="AB503" s="823">
        <v>0</v>
      </c>
    </row>
    <row r="504" spans="1:28">
      <c r="A504" s="696" t="str">
        <f t="shared" si="7"/>
        <v>National Grid</v>
      </c>
      <c r="B504" s="696" t="str">
        <f>'Lookups-Assumptions'!$D$4</f>
        <v>Gas</v>
      </c>
      <c r="C504" s="696" t="str">
        <f>'Lookups-Assumptions'!$D$6</f>
        <v>Evaluated</v>
      </c>
      <c r="D504" s="696" t="e">
        <f>#REF!</f>
        <v>#REF!</v>
      </c>
      <c r="E504" s="696" t="s">
        <v>1125</v>
      </c>
      <c r="F504" s="696" t="s">
        <v>83</v>
      </c>
      <c r="G504" s="696" t="s">
        <v>870</v>
      </c>
      <c r="H504" s="696" t="s">
        <v>841</v>
      </c>
      <c r="I504" s="696" t="s">
        <v>1366</v>
      </c>
      <c r="J504" s="820">
        <v>1</v>
      </c>
      <c r="K504" s="821">
        <v>250000</v>
      </c>
      <c r="L504" s="786">
        <v>0</v>
      </c>
      <c r="M504" s="786">
        <v>0</v>
      </c>
      <c r="N504" s="786">
        <v>7159.01</v>
      </c>
      <c r="O504" s="786">
        <v>136021.19</v>
      </c>
      <c r="P504" s="786">
        <v>0</v>
      </c>
      <c r="Q504" s="786">
        <v>0</v>
      </c>
      <c r="R504" s="786">
        <v>0</v>
      </c>
      <c r="S504" s="786">
        <v>0</v>
      </c>
      <c r="T504" s="786">
        <v>0</v>
      </c>
      <c r="U504" s="822">
        <v>0</v>
      </c>
      <c r="V504" s="821">
        <v>0</v>
      </c>
      <c r="W504" s="821">
        <v>1167671.932580166</v>
      </c>
      <c r="X504" s="821">
        <v>0</v>
      </c>
      <c r="Y504" s="821">
        <v>0</v>
      </c>
      <c r="Z504" s="821">
        <v>0</v>
      </c>
      <c r="AA504" s="821">
        <v>326255.95651832403</v>
      </c>
      <c r="AB504" s="823">
        <v>1493927.8890984901</v>
      </c>
    </row>
    <row r="505" spans="1:28">
      <c r="A505" s="696" t="str">
        <f t="shared" si="7"/>
        <v>National Grid</v>
      </c>
      <c r="B505" s="696" t="str">
        <f>'Lookups-Assumptions'!$D$4</f>
        <v>Gas</v>
      </c>
      <c r="C505" s="696" t="str">
        <f>'Lookups-Assumptions'!$D$6</f>
        <v>Evaluated</v>
      </c>
      <c r="D505" s="696" t="e">
        <f>#REF!</f>
        <v>#REF!</v>
      </c>
      <c r="E505" s="696" t="s">
        <v>1126</v>
      </c>
      <c r="F505" s="696" t="s">
        <v>83</v>
      </c>
      <c r="G505" s="696" t="s">
        <v>870</v>
      </c>
      <c r="H505" s="696" t="s">
        <v>841</v>
      </c>
      <c r="I505" s="696" t="s">
        <v>604</v>
      </c>
      <c r="J505" s="820">
        <v>0</v>
      </c>
      <c r="K505" s="821">
        <v>0</v>
      </c>
      <c r="L505" s="786">
        <v>0</v>
      </c>
      <c r="M505" s="786">
        <v>0</v>
      </c>
      <c r="N505" s="786">
        <v>0</v>
      </c>
      <c r="O505" s="786">
        <v>0</v>
      </c>
      <c r="P505" s="786">
        <v>0</v>
      </c>
      <c r="Q505" s="786">
        <v>0</v>
      </c>
      <c r="R505" s="786">
        <v>0</v>
      </c>
      <c r="S505" s="786">
        <v>0</v>
      </c>
      <c r="T505" s="786">
        <v>0</v>
      </c>
      <c r="U505" s="822">
        <v>0</v>
      </c>
      <c r="V505" s="821">
        <v>0</v>
      </c>
      <c r="W505" s="821">
        <v>0</v>
      </c>
      <c r="X505" s="821">
        <v>0</v>
      </c>
      <c r="Y505" s="821">
        <v>0</v>
      </c>
      <c r="Z505" s="821">
        <v>0</v>
      </c>
      <c r="AA505" s="821">
        <v>0</v>
      </c>
      <c r="AB505" s="823">
        <v>0</v>
      </c>
    </row>
    <row r="506" spans="1:28">
      <c r="A506" s="696" t="str">
        <f t="shared" si="7"/>
        <v>National Grid</v>
      </c>
      <c r="B506" s="696" t="str">
        <f>'Lookups-Assumptions'!$D$4</f>
        <v>Gas</v>
      </c>
      <c r="C506" s="696" t="str">
        <f>'Lookups-Assumptions'!$D$6</f>
        <v>Evaluated</v>
      </c>
      <c r="D506" s="696" t="e">
        <f>#REF!</f>
        <v>#REF!</v>
      </c>
      <c r="E506" s="696" t="s">
        <v>1128</v>
      </c>
      <c r="F506" s="696" t="s">
        <v>83</v>
      </c>
      <c r="G506" s="696" t="s">
        <v>870</v>
      </c>
      <c r="H506" s="696" t="s">
        <v>841</v>
      </c>
      <c r="I506" s="696" t="s">
        <v>1371</v>
      </c>
      <c r="J506" s="820">
        <v>1</v>
      </c>
      <c r="K506" s="821">
        <v>131250</v>
      </c>
      <c r="L506" s="786">
        <v>0</v>
      </c>
      <c r="M506" s="786">
        <v>0</v>
      </c>
      <c r="N506" s="786">
        <v>5369.2575000000006</v>
      </c>
      <c r="O506" s="786">
        <v>80538.862500000003</v>
      </c>
      <c r="P506" s="786">
        <v>0</v>
      </c>
      <c r="Q506" s="786">
        <v>0</v>
      </c>
      <c r="R506" s="786">
        <v>0</v>
      </c>
      <c r="S506" s="786">
        <v>0</v>
      </c>
      <c r="T506" s="786">
        <v>0</v>
      </c>
      <c r="U506" s="822">
        <v>0</v>
      </c>
      <c r="V506" s="821">
        <v>0</v>
      </c>
      <c r="W506" s="821">
        <v>683312.49382505124</v>
      </c>
      <c r="X506" s="821">
        <v>0</v>
      </c>
      <c r="Y506" s="821">
        <v>0</v>
      </c>
      <c r="Z506" s="821">
        <v>0</v>
      </c>
      <c r="AA506" s="821">
        <v>194860.29121268913</v>
      </c>
      <c r="AB506" s="823">
        <v>878172.78503774037</v>
      </c>
    </row>
    <row r="507" spans="1:28">
      <c r="A507" s="696" t="str">
        <f t="shared" si="7"/>
        <v>National Grid</v>
      </c>
      <c r="B507" s="696" t="str">
        <f>'Lookups-Assumptions'!$D$4</f>
        <v>Gas</v>
      </c>
      <c r="C507" s="696" t="str">
        <f>'Lookups-Assumptions'!$D$6</f>
        <v>Evaluated</v>
      </c>
      <c r="D507" s="696" t="e">
        <f>#REF!</f>
        <v>#REF!</v>
      </c>
      <c r="E507" s="696" t="s">
        <v>1129</v>
      </c>
      <c r="F507" s="696" t="s">
        <v>83</v>
      </c>
      <c r="G507" s="696" t="s">
        <v>870</v>
      </c>
      <c r="H507" s="696" t="s">
        <v>841</v>
      </c>
      <c r="I507" s="696" t="s">
        <v>1368</v>
      </c>
      <c r="J507" s="820">
        <v>1</v>
      </c>
      <c r="K507" s="821">
        <v>1965000</v>
      </c>
      <c r="L507" s="786">
        <v>0</v>
      </c>
      <c r="M507" s="786">
        <v>0</v>
      </c>
      <c r="N507" s="786">
        <v>46891.515500000001</v>
      </c>
      <c r="O507" s="786">
        <v>468915.15500000003</v>
      </c>
      <c r="P507" s="786">
        <v>0</v>
      </c>
      <c r="Q507" s="786">
        <v>0</v>
      </c>
      <c r="R507" s="786">
        <v>0</v>
      </c>
      <c r="S507" s="786">
        <v>0</v>
      </c>
      <c r="T507" s="786">
        <v>0</v>
      </c>
      <c r="U507" s="822">
        <v>0</v>
      </c>
      <c r="V507" s="821">
        <v>0</v>
      </c>
      <c r="W507" s="821">
        <v>3987812.4675510675</v>
      </c>
      <c r="X507" s="821">
        <v>0</v>
      </c>
      <c r="Y507" s="821">
        <v>0</v>
      </c>
      <c r="Z507" s="821">
        <v>0</v>
      </c>
      <c r="AA507" s="821">
        <v>1146925.7087768889</v>
      </c>
      <c r="AB507" s="823">
        <v>5134738.1763279568</v>
      </c>
    </row>
    <row r="508" spans="1:28">
      <c r="A508" s="696" t="str">
        <f t="shared" si="7"/>
        <v>National Grid</v>
      </c>
      <c r="B508" s="696" t="str">
        <f>'Lookups-Assumptions'!$D$4</f>
        <v>Gas</v>
      </c>
      <c r="C508" s="696" t="str">
        <f>'Lookups-Assumptions'!$D$6</f>
        <v>Evaluated</v>
      </c>
      <c r="D508" s="696" t="e">
        <f>#REF!</f>
        <v>#REF!</v>
      </c>
      <c r="E508" s="696" t="s">
        <v>1131</v>
      </c>
      <c r="F508" s="696" t="s">
        <v>83</v>
      </c>
      <c r="G508" s="696" t="s">
        <v>870</v>
      </c>
      <c r="H508" s="696" t="s">
        <v>841</v>
      </c>
      <c r="I508" s="696" t="s">
        <v>1367</v>
      </c>
      <c r="J508" s="820">
        <v>1</v>
      </c>
      <c r="K508" s="821">
        <v>172500</v>
      </c>
      <c r="L508" s="786">
        <v>0</v>
      </c>
      <c r="M508" s="786">
        <v>0</v>
      </c>
      <c r="N508" s="786">
        <v>8232.8615000000009</v>
      </c>
      <c r="O508" s="786">
        <v>82328.615000000005</v>
      </c>
      <c r="P508" s="786">
        <v>0</v>
      </c>
      <c r="Q508" s="786">
        <v>0</v>
      </c>
      <c r="R508" s="786">
        <v>0</v>
      </c>
      <c r="S508" s="786">
        <v>0</v>
      </c>
      <c r="T508" s="786">
        <v>0</v>
      </c>
      <c r="U508" s="822">
        <v>0</v>
      </c>
      <c r="V508" s="821">
        <v>0</v>
      </c>
      <c r="W508" s="821">
        <v>634304.46737545077</v>
      </c>
      <c r="X508" s="821">
        <v>0</v>
      </c>
      <c r="Y508" s="821">
        <v>0</v>
      </c>
      <c r="Z508" s="821">
        <v>0</v>
      </c>
      <c r="AA508" s="821">
        <v>201368.63589212557</v>
      </c>
      <c r="AB508" s="823">
        <v>835673.10326757631</v>
      </c>
    </row>
    <row r="509" spans="1:28">
      <c r="A509" s="696" t="str">
        <f t="shared" si="7"/>
        <v>National Grid</v>
      </c>
      <c r="B509" s="696" t="str">
        <f>'Lookups-Assumptions'!$D$4</f>
        <v>Gas</v>
      </c>
      <c r="C509" s="696" t="str">
        <f>'Lookups-Assumptions'!$D$6</f>
        <v>Evaluated</v>
      </c>
      <c r="D509" s="696" t="e">
        <f>#REF!</f>
        <v>#REF!</v>
      </c>
      <c r="E509" s="696" t="s">
        <v>1133</v>
      </c>
      <c r="F509" s="696" t="s">
        <v>83</v>
      </c>
      <c r="G509" s="696" t="s">
        <v>870</v>
      </c>
      <c r="H509" s="696" t="s">
        <v>841</v>
      </c>
      <c r="I509" s="696" t="s">
        <v>84</v>
      </c>
      <c r="J509" s="820">
        <v>0</v>
      </c>
      <c r="K509" s="821">
        <v>0</v>
      </c>
      <c r="L509" s="786">
        <v>0</v>
      </c>
      <c r="M509" s="786">
        <v>0</v>
      </c>
      <c r="N509" s="786">
        <v>0</v>
      </c>
      <c r="O509" s="786">
        <v>0</v>
      </c>
      <c r="P509" s="786">
        <v>0</v>
      </c>
      <c r="Q509" s="786">
        <v>0</v>
      </c>
      <c r="R509" s="786">
        <v>0</v>
      </c>
      <c r="S509" s="786">
        <v>0</v>
      </c>
      <c r="T509" s="786">
        <v>0</v>
      </c>
      <c r="U509" s="822">
        <v>0</v>
      </c>
      <c r="V509" s="821">
        <v>0</v>
      </c>
      <c r="W509" s="821">
        <v>0</v>
      </c>
      <c r="X509" s="821">
        <v>0</v>
      </c>
      <c r="Y509" s="821">
        <v>0</v>
      </c>
      <c r="Z509" s="821">
        <v>0</v>
      </c>
      <c r="AA509" s="821">
        <v>0</v>
      </c>
      <c r="AB509" s="823">
        <v>0</v>
      </c>
    </row>
    <row r="510" spans="1:28">
      <c r="A510" s="696" t="str">
        <f t="shared" si="7"/>
        <v>National Grid</v>
      </c>
      <c r="B510" s="696" t="str">
        <f>'Lookups-Assumptions'!$D$4</f>
        <v>Gas</v>
      </c>
      <c r="C510" s="696" t="str">
        <f>'Lookups-Assumptions'!$D$6</f>
        <v>Evaluated</v>
      </c>
      <c r="D510" s="696" t="e">
        <f>#REF!</f>
        <v>#REF!</v>
      </c>
      <c r="E510" s="696" t="s">
        <v>1135</v>
      </c>
      <c r="F510" s="696" t="s">
        <v>83</v>
      </c>
      <c r="G510" s="696" t="s">
        <v>870</v>
      </c>
      <c r="H510" s="696" t="s">
        <v>841</v>
      </c>
      <c r="I510" s="696" t="s">
        <v>1373</v>
      </c>
      <c r="J510" s="820">
        <v>1</v>
      </c>
      <c r="K510" s="821">
        <v>1875000</v>
      </c>
      <c r="L510" s="786">
        <v>0</v>
      </c>
      <c r="M510" s="786">
        <v>0</v>
      </c>
      <c r="N510" s="786">
        <v>89487.625</v>
      </c>
      <c r="O510" s="786">
        <v>894876.25</v>
      </c>
      <c r="P510" s="786">
        <v>0</v>
      </c>
      <c r="Q510" s="786">
        <v>0</v>
      </c>
      <c r="R510" s="786">
        <v>0</v>
      </c>
      <c r="S510" s="786">
        <v>0</v>
      </c>
      <c r="T510" s="786">
        <v>0</v>
      </c>
      <c r="U510" s="822">
        <v>0</v>
      </c>
      <c r="V510" s="821">
        <v>0</v>
      </c>
      <c r="W510" s="821">
        <v>7358526.6674391925</v>
      </c>
      <c r="X510" s="821">
        <v>0</v>
      </c>
      <c r="Y510" s="821">
        <v>0</v>
      </c>
      <c r="Z510" s="821">
        <v>0</v>
      </c>
      <c r="AA510" s="821">
        <v>2188789.5205665817</v>
      </c>
      <c r="AB510" s="823">
        <v>9547316.1880057752</v>
      </c>
    </row>
    <row r="511" spans="1:28">
      <c r="A511" s="696" t="str">
        <f t="shared" si="7"/>
        <v>National Grid</v>
      </c>
      <c r="B511" s="696" t="str">
        <f>'Lookups-Assumptions'!$D$4</f>
        <v>Gas</v>
      </c>
      <c r="C511" s="696" t="str">
        <f>'Lookups-Assumptions'!$D$6</f>
        <v>Evaluated</v>
      </c>
      <c r="D511" s="696" t="e">
        <f>#REF!</f>
        <v>#REF!</v>
      </c>
      <c r="E511" s="696" t="s">
        <v>1136</v>
      </c>
      <c r="F511" s="696" t="s">
        <v>83</v>
      </c>
      <c r="G511" s="696" t="s">
        <v>870</v>
      </c>
      <c r="H511" s="696" t="s">
        <v>841</v>
      </c>
      <c r="I511" s="696" t="s">
        <v>1359</v>
      </c>
      <c r="J511" s="820">
        <v>1</v>
      </c>
      <c r="K511" s="821">
        <v>725000</v>
      </c>
      <c r="L511" s="786">
        <v>0</v>
      </c>
      <c r="M511" s="786">
        <v>0</v>
      </c>
      <c r="N511" s="786">
        <v>20761.129000000001</v>
      </c>
      <c r="O511" s="786">
        <v>269894.67700000003</v>
      </c>
      <c r="P511" s="786">
        <v>0</v>
      </c>
      <c r="Q511" s="786">
        <v>0</v>
      </c>
      <c r="R511" s="786">
        <v>0</v>
      </c>
      <c r="S511" s="786">
        <v>0</v>
      </c>
      <c r="T511" s="786">
        <v>0</v>
      </c>
      <c r="U511" s="822">
        <v>0</v>
      </c>
      <c r="V511" s="821">
        <v>0</v>
      </c>
      <c r="W511" s="821">
        <v>2206406.6486765235</v>
      </c>
      <c r="X511" s="821">
        <v>0</v>
      </c>
      <c r="Y511" s="821">
        <v>0</v>
      </c>
      <c r="Z511" s="821">
        <v>0</v>
      </c>
      <c r="AA511" s="821">
        <v>0</v>
      </c>
      <c r="AB511" s="823">
        <v>2206406.6486765235</v>
      </c>
    </row>
    <row r="512" spans="1:28">
      <c r="A512" s="696" t="str">
        <f t="shared" si="7"/>
        <v>National Grid</v>
      </c>
      <c r="B512" s="696" t="str">
        <f>'Lookups-Assumptions'!$D$4</f>
        <v>Gas</v>
      </c>
      <c r="C512" s="696" t="str">
        <f>'Lookups-Assumptions'!$D$6</f>
        <v>Evaluated</v>
      </c>
      <c r="D512" s="696" t="e">
        <f>#REF!</f>
        <v>#REF!</v>
      </c>
      <c r="E512" s="696" t="s">
        <v>1137</v>
      </c>
      <c r="F512" s="696" t="s">
        <v>83</v>
      </c>
      <c r="G512" s="696" t="s">
        <v>870</v>
      </c>
      <c r="H512" s="696" t="s">
        <v>841</v>
      </c>
      <c r="I512" s="696" t="s">
        <v>1381</v>
      </c>
      <c r="J512" s="820">
        <v>1</v>
      </c>
      <c r="K512" s="821">
        <v>665000</v>
      </c>
      <c r="L512" s="786">
        <v>0</v>
      </c>
      <c r="M512" s="786">
        <v>0</v>
      </c>
      <c r="N512" s="786">
        <v>47607.416499999999</v>
      </c>
      <c r="O512" s="786">
        <v>285644.49900000001</v>
      </c>
      <c r="P512" s="786">
        <v>0</v>
      </c>
      <c r="Q512" s="786">
        <v>0</v>
      </c>
      <c r="R512" s="786">
        <v>0</v>
      </c>
      <c r="S512" s="786">
        <v>0</v>
      </c>
      <c r="T512" s="786">
        <v>0</v>
      </c>
      <c r="U512" s="822">
        <v>0</v>
      </c>
      <c r="V512" s="821">
        <v>0</v>
      </c>
      <c r="W512" s="821">
        <v>2522122.3296791576</v>
      </c>
      <c r="X512" s="821">
        <v>0</v>
      </c>
      <c r="Y512" s="821">
        <v>0</v>
      </c>
      <c r="Z512" s="821">
        <v>0</v>
      </c>
      <c r="AA512" s="821">
        <v>3805850.538555759</v>
      </c>
      <c r="AB512" s="823">
        <v>6327972.8682349166</v>
      </c>
    </row>
    <row r="513" spans="1:28">
      <c r="A513" s="696" t="str">
        <f t="shared" si="7"/>
        <v>National Grid</v>
      </c>
      <c r="B513" s="696" t="str">
        <f>'Lookups-Assumptions'!$D$4</f>
        <v>Gas</v>
      </c>
      <c r="C513" s="696" t="str">
        <f>'Lookups-Assumptions'!$D$6</f>
        <v>Evaluated</v>
      </c>
      <c r="D513" s="696" t="e">
        <f>#REF!</f>
        <v>#REF!</v>
      </c>
      <c r="E513" s="696" t="s">
        <v>1139</v>
      </c>
      <c r="F513" s="696" t="s">
        <v>83</v>
      </c>
      <c r="G513" s="696" t="s">
        <v>870</v>
      </c>
      <c r="H513" s="696" t="s">
        <v>841</v>
      </c>
      <c r="I513" s="696" t="s">
        <v>796</v>
      </c>
      <c r="J513" s="820">
        <v>0</v>
      </c>
      <c r="K513" s="821">
        <v>0</v>
      </c>
      <c r="L513" s="786">
        <v>0</v>
      </c>
      <c r="M513" s="786">
        <v>0</v>
      </c>
      <c r="N513" s="786">
        <v>0</v>
      </c>
      <c r="O513" s="786">
        <v>0</v>
      </c>
      <c r="P513" s="786">
        <v>0</v>
      </c>
      <c r="Q513" s="786">
        <v>0</v>
      </c>
      <c r="R513" s="786">
        <v>0</v>
      </c>
      <c r="S513" s="786">
        <v>0</v>
      </c>
      <c r="T513" s="786">
        <v>0</v>
      </c>
      <c r="U513" s="822">
        <v>0</v>
      </c>
      <c r="V513" s="821">
        <v>0</v>
      </c>
      <c r="W513" s="821">
        <v>0</v>
      </c>
      <c r="X513" s="821">
        <v>0</v>
      </c>
      <c r="Y513" s="821">
        <v>0</v>
      </c>
      <c r="Z513" s="821">
        <v>0</v>
      </c>
      <c r="AA513" s="821">
        <v>0</v>
      </c>
      <c r="AB513" s="823">
        <v>0</v>
      </c>
    </row>
    <row r="514" spans="1:28">
      <c r="A514" s="696" t="str">
        <f t="shared" si="7"/>
        <v>National Grid</v>
      </c>
      <c r="B514" s="696" t="str">
        <f>'Lookups-Assumptions'!$D$4</f>
        <v>Gas</v>
      </c>
      <c r="C514" s="696" t="str">
        <f>'Lookups-Assumptions'!$D$6</f>
        <v>Evaluated</v>
      </c>
      <c r="D514" s="696" t="e">
        <f>#REF!</f>
        <v>#REF!</v>
      </c>
      <c r="E514" s="696" t="s">
        <v>1140</v>
      </c>
      <c r="F514" s="696" t="s">
        <v>83</v>
      </c>
      <c r="G514" s="696" t="s">
        <v>870</v>
      </c>
      <c r="H514" s="696" t="s">
        <v>841</v>
      </c>
      <c r="I514" s="696" t="s">
        <v>1319</v>
      </c>
      <c r="J514" s="820">
        <v>0</v>
      </c>
      <c r="K514" s="821">
        <v>0</v>
      </c>
      <c r="L514" s="786">
        <v>0</v>
      </c>
      <c r="M514" s="786">
        <v>0</v>
      </c>
      <c r="N514" s="786">
        <v>0</v>
      </c>
      <c r="O514" s="786">
        <v>0</v>
      </c>
      <c r="P514" s="786">
        <v>0</v>
      </c>
      <c r="Q514" s="786">
        <v>0</v>
      </c>
      <c r="R514" s="786">
        <v>0</v>
      </c>
      <c r="S514" s="786">
        <v>0</v>
      </c>
      <c r="T514" s="786">
        <v>0</v>
      </c>
      <c r="U514" s="822">
        <v>0</v>
      </c>
      <c r="V514" s="821">
        <v>0</v>
      </c>
      <c r="W514" s="821">
        <v>0</v>
      </c>
      <c r="X514" s="821">
        <v>0</v>
      </c>
      <c r="Y514" s="821">
        <v>0</v>
      </c>
      <c r="Z514" s="821">
        <v>0</v>
      </c>
      <c r="AA514" s="821">
        <v>0</v>
      </c>
      <c r="AB514" s="823">
        <v>0</v>
      </c>
    </row>
    <row r="515" spans="1:28">
      <c r="A515" s="696" t="str">
        <f t="shared" si="7"/>
        <v>National Grid</v>
      </c>
      <c r="B515" s="696" t="str">
        <f>'Lookups-Assumptions'!$D$4</f>
        <v>Gas</v>
      </c>
      <c r="C515" s="696" t="str">
        <f>'Lookups-Assumptions'!$D$6</f>
        <v>Evaluated</v>
      </c>
      <c r="D515" s="696" t="e">
        <f>#REF!</f>
        <v>#REF!</v>
      </c>
      <c r="E515" s="696" t="s">
        <v>1141</v>
      </c>
      <c r="F515" s="696" t="s">
        <v>83</v>
      </c>
      <c r="G515" s="696" t="s">
        <v>870</v>
      </c>
      <c r="H515" s="696" t="s">
        <v>841</v>
      </c>
      <c r="I515" s="696" t="s">
        <v>1309</v>
      </c>
      <c r="J515" s="820">
        <v>0</v>
      </c>
      <c r="K515" s="821">
        <v>0</v>
      </c>
      <c r="L515" s="786">
        <v>0</v>
      </c>
      <c r="M515" s="786">
        <v>0</v>
      </c>
      <c r="N515" s="786">
        <v>0</v>
      </c>
      <c r="O515" s="786">
        <v>0</v>
      </c>
      <c r="P515" s="786">
        <v>0</v>
      </c>
      <c r="Q515" s="786">
        <v>0</v>
      </c>
      <c r="R515" s="786">
        <v>0</v>
      </c>
      <c r="S515" s="786">
        <v>0</v>
      </c>
      <c r="T515" s="786">
        <v>0</v>
      </c>
      <c r="U515" s="822">
        <v>0</v>
      </c>
      <c r="V515" s="821">
        <v>0</v>
      </c>
      <c r="W515" s="821">
        <v>0</v>
      </c>
      <c r="X515" s="821">
        <v>0</v>
      </c>
      <c r="Y515" s="821">
        <v>0</v>
      </c>
      <c r="Z515" s="821">
        <v>0</v>
      </c>
      <c r="AA515" s="821">
        <v>0</v>
      </c>
      <c r="AB515" s="823">
        <v>0</v>
      </c>
    </row>
    <row r="516" spans="1:28">
      <c r="A516" s="696" t="str">
        <f t="shared" si="7"/>
        <v>National Grid</v>
      </c>
      <c r="B516" s="696" t="str">
        <f>'Lookups-Assumptions'!$D$4</f>
        <v>Gas</v>
      </c>
      <c r="C516" s="696" t="str">
        <f>'Lookups-Assumptions'!$D$6</f>
        <v>Evaluated</v>
      </c>
      <c r="D516" s="696" t="e">
        <f>#REF!</f>
        <v>#REF!</v>
      </c>
      <c r="E516" s="696" t="s">
        <v>1142</v>
      </c>
      <c r="F516" s="696" t="s">
        <v>83</v>
      </c>
      <c r="G516" s="696" t="s">
        <v>870</v>
      </c>
      <c r="H516" s="696" t="s">
        <v>841</v>
      </c>
      <c r="I516" s="696" t="s">
        <v>1385</v>
      </c>
      <c r="J516" s="820">
        <v>0</v>
      </c>
      <c r="K516" s="821">
        <v>0</v>
      </c>
      <c r="L516" s="786">
        <v>0</v>
      </c>
      <c r="M516" s="786">
        <v>0</v>
      </c>
      <c r="N516" s="786">
        <v>0</v>
      </c>
      <c r="O516" s="786">
        <v>0</v>
      </c>
      <c r="P516" s="786">
        <v>0</v>
      </c>
      <c r="Q516" s="786">
        <v>0</v>
      </c>
      <c r="R516" s="786">
        <v>0</v>
      </c>
      <c r="S516" s="786">
        <v>0</v>
      </c>
      <c r="T516" s="786">
        <v>0</v>
      </c>
      <c r="U516" s="822">
        <v>0</v>
      </c>
      <c r="V516" s="821">
        <v>0</v>
      </c>
      <c r="W516" s="821">
        <v>0</v>
      </c>
      <c r="X516" s="821">
        <v>0</v>
      </c>
      <c r="Y516" s="821">
        <v>0</v>
      </c>
      <c r="Z516" s="821">
        <v>0</v>
      </c>
      <c r="AA516" s="821">
        <v>0</v>
      </c>
      <c r="AB516" s="823">
        <v>0</v>
      </c>
    </row>
    <row r="517" spans="1:28">
      <c r="A517" s="696" t="str">
        <f t="shared" si="7"/>
        <v>National Grid</v>
      </c>
      <c r="B517" s="696" t="str">
        <f>'Lookups-Assumptions'!$D$4</f>
        <v>Gas</v>
      </c>
      <c r="C517" s="696" t="str">
        <f>'Lookups-Assumptions'!$D$6</f>
        <v>Evaluated</v>
      </c>
      <c r="D517" s="696" t="e">
        <f>#REF!</f>
        <v>#REF!</v>
      </c>
      <c r="E517" s="696" t="s">
        <v>1143</v>
      </c>
      <c r="F517" s="696" t="s">
        <v>83</v>
      </c>
      <c r="G517" s="696" t="s">
        <v>870</v>
      </c>
      <c r="H517" s="696" t="s">
        <v>841</v>
      </c>
      <c r="I517" s="696" t="s">
        <v>1386</v>
      </c>
      <c r="J517" s="820">
        <v>0</v>
      </c>
      <c r="K517" s="821">
        <v>0</v>
      </c>
      <c r="L517" s="786">
        <v>0</v>
      </c>
      <c r="M517" s="786">
        <v>0</v>
      </c>
      <c r="N517" s="786">
        <v>0</v>
      </c>
      <c r="O517" s="786">
        <v>0</v>
      </c>
      <c r="P517" s="786">
        <v>0</v>
      </c>
      <c r="Q517" s="786">
        <v>0</v>
      </c>
      <c r="R517" s="786">
        <v>0</v>
      </c>
      <c r="S517" s="786">
        <v>0</v>
      </c>
      <c r="T517" s="786">
        <v>0</v>
      </c>
      <c r="U517" s="822">
        <v>0</v>
      </c>
      <c r="V517" s="821">
        <v>0</v>
      </c>
      <c r="W517" s="821">
        <v>0</v>
      </c>
      <c r="X517" s="821">
        <v>0</v>
      </c>
      <c r="Y517" s="821">
        <v>0</v>
      </c>
      <c r="Z517" s="821">
        <v>0</v>
      </c>
      <c r="AA517" s="821">
        <v>0</v>
      </c>
      <c r="AB517" s="823">
        <v>0</v>
      </c>
    </row>
    <row r="518" spans="1:28">
      <c r="A518" s="696" t="str">
        <f t="shared" si="7"/>
        <v>National Grid</v>
      </c>
      <c r="B518" s="696" t="str">
        <f>'Lookups-Assumptions'!$D$4</f>
        <v>Gas</v>
      </c>
      <c r="C518" s="696" t="str">
        <f>'Lookups-Assumptions'!$D$6</f>
        <v>Evaluated</v>
      </c>
      <c r="D518" s="696" t="e">
        <f>#REF!</f>
        <v>#REF!</v>
      </c>
      <c r="E518" s="696" t="s">
        <v>1144</v>
      </c>
      <c r="F518" s="696" t="s">
        <v>83</v>
      </c>
      <c r="G518" s="696" t="s">
        <v>870</v>
      </c>
      <c r="H518" s="696" t="s">
        <v>841</v>
      </c>
      <c r="I518" s="696" t="s">
        <v>1312</v>
      </c>
      <c r="J518" s="820">
        <v>0</v>
      </c>
      <c r="K518" s="821">
        <v>0</v>
      </c>
      <c r="L518" s="786">
        <v>0</v>
      </c>
      <c r="M518" s="786">
        <v>0</v>
      </c>
      <c r="N518" s="786">
        <v>0</v>
      </c>
      <c r="O518" s="786">
        <v>0</v>
      </c>
      <c r="P518" s="786">
        <v>0</v>
      </c>
      <c r="Q518" s="786">
        <v>0</v>
      </c>
      <c r="R518" s="786">
        <v>0</v>
      </c>
      <c r="S518" s="786">
        <v>0</v>
      </c>
      <c r="T518" s="786">
        <v>0</v>
      </c>
      <c r="U518" s="822">
        <v>0</v>
      </c>
      <c r="V518" s="821">
        <v>0</v>
      </c>
      <c r="W518" s="821">
        <v>0</v>
      </c>
      <c r="X518" s="821">
        <v>0</v>
      </c>
      <c r="Y518" s="821">
        <v>0</v>
      </c>
      <c r="Z518" s="821">
        <v>0</v>
      </c>
      <c r="AA518" s="821">
        <v>0</v>
      </c>
      <c r="AB518" s="823">
        <v>0</v>
      </c>
    </row>
    <row r="519" spans="1:28">
      <c r="A519" s="696" t="str">
        <f t="shared" si="7"/>
        <v>National Grid</v>
      </c>
      <c r="B519" s="696" t="str">
        <f>'Lookups-Assumptions'!$D$4</f>
        <v>Gas</v>
      </c>
      <c r="C519" s="696" t="str">
        <f>'Lookups-Assumptions'!$D$6</f>
        <v>Evaluated</v>
      </c>
      <c r="D519" s="696" t="e">
        <f>#REF!</f>
        <v>#REF!</v>
      </c>
      <c r="E519" s="696" t="s">
        <v>1145</v>
      </c>
      <c r="F519" s="696" t="s">
        <v>83</v>
      </c>
      <c r="G519" s="696" t="s">
        <v>870</v>
      </c>
      <c r="H519" s="696" t="s">
        <v>841</v>
      </c>
      <c r="I519" s="696" t="s">
        <v>1301</v>
      </c>
      <c r="J519" s="820">
        <v>0</v>
      </c>
      <c r="K519" s="821">
        <v>0</v>
      </c>
      <c r="L519" s="786">
        <v>0</v>
      </c>
      <c r="M519" s="786">
        <v>0</v>
      </c>
      <c r="N519" s="786">
        <v>0</v>
      </c>
      <c r="O519" s="786">
        <v>0</v>
      </c>
      <c r="P519" s="786">
        <v>0</v>
      </c>
      <c r="Q519" s="786">
        <v>0</v>
      </c>
      <c r="R519" s="786">
        <v>0</v>
      </c>
      <c r="S519" s="786">
        <v>0</v>
      </c>
      <c r="T519" s="786">
        <v>0</v>
      </c>
      <c r="U519" s="822">
        <v>0</v>
      </c>
      <c r="V519" s="821">
        <v>0</v>
      </c>
      <c r="W519" s="821">
        <v>0</v>
      </c>
      <c r="X519" s="821">
        <v>0</v>
      </c>
      <c r="Y519" s="821">
        <v>0</v>
      </c>
      <c r="Z519" s="821">
        <v>0</v>
      </c>
      <c r="AA519" s="821">
        <v>0</v>
      </c>
      <c r="AB519" s="823">
        <v>0</v>
      </c>
    </row>
    <row r="520" spans="1:28">
      <c r="A520" s="696" t="str">
        <f t="shared" ref="A520:A564" si="8">PA</f>
        <v>National Grid</v>
      </c>
      <c r="B520" s="696" t="str">
        <f>'Lookups-Assumptions'!$D$4</f>
        <v>Gas</v>
      </c>
      <c r="C520" s="696" t="str">
        <f>'Lookups-Assumptions'!$D$6</f>
        <v>Evaluated</v>
      </c>
      <c r="D520" s="696" t="e">
        <f>#REF!</f>
        <v>#REF!</v>
      </c>
      <c r="E520" s="696" t="s">
        <v>1146</v>
      </c>
      <c r="F520" s="696" t="s">
        <v>83</v>
      </c>
      <c r="G520" s="696" t="s">
        <v>870</v>
      </c>
      <c r="H520" s="696" t="s">
        <v>841</v>
      </c>
      <c r="I520" s="696" t="s">
        <v>1304</v>
      </c>
      <c r="J520" s="820">
        <v>0</v>
      </c>
      <c r="K520" s="821">
        <v>0</v>
      </c>
      <c r="L520" s="786">
        <v>0</v>
      </c>
      <c r="M520" s="786">
        <v>0</v>
      </c>
      <c r="N520" s="786">
        <v>0</v>
      </c>
      <c r="O520" s="786">
        <v>0</v>
      </c>
      <c r="P520" s="786">
        <v>0</v>
      </c>
      <c r="Q520" s="786">
        <v>0</v>
      </c>
      <c r="R520" s="786">
        <v>0</v>
      </c>
      <c r="S520" s="786">
        <v>0</v>
      </c>
      <c r="T520" s="786">
        <v>0</v>
      </c>
      <c r="U520" s="822">
        <v>0</v>
      </c>
      <c r="V520" s="821">
        <v>0</v>
      </c>
      <c r="W520" s="821">
        <v>0</v>
      </c>
      <c r="X520" s="821">
        <v>0</v>
      </c>
      <c r="Y520" s="821">
        <v>0</v>
      </c>
      <c r="Z520" s="821">
        <v>0</v>
      </c>
      <c r="AA520" s="821">
        <v>0</v>
      </c>
      <c r="AB520" s="823">
        <v>0</v>
      </c>
    </row>
    <row r="521" spans="1:28">
      <c r="A521" s="696" t="str">
        <f t="shared" si="8"/>
        <v>National Grid</v>
      </c>
      <c r="B521" s="696" t="str">
        <f>'Lookups-Assumptions'!$D$4</f>
        <v>Gas</v>
      </c>
      <c r="C521" s="696" t="str">
        <f>'Lookups-Assumptions'!$D$6</f>
        <v>Evaluated</v>
      </c>
      <c r="D521" s="696" t="e">
        <f>#REF!</f>
        <v>#REF!</v>
      </c>
      <c r="E521" s="696" t="s">
        <v>1147</v>
      </c>
      <c r="F521" s="696" t="s">
        <v>83</v>
      </c>
      <c r="G521" s="696" t="s">
        <v>870</v>
      </c>
      <c r="H521" s="696" t="s">
        <v>841</v>
      </c>
      <c r="I521" s="696" t="s">
        <v>1305</v>
      </c>
      <c r="J521" s="820">
        <v>0</v>
      </c>
      <c r="K521" s="821">
        <v>0</v>
      </c>
      <c r="L521" s="786">
        <v>0</v>
      </c>
      <c r="M521" s="786">
        <v>0</v>
      </c>
      <c r="N521" s="786">
        <v>0</v>
      </c>
      <c r="O521" s="786">
        <v>0</v>
      </c>
      <c r="P521" s="786">
        <v>0</v>
      </c>
      <c r="Q521" s="786">
        <v>0</v>
      </c>
      <c r="R521" s="786">
        <v>0</v>
      </c>
      <c r="S521" s="786">
        <v>0</v>
      </c>
      <c r="T521" s="786">
        <v>0</v>
      </c>
      <c r="U521" s="822">
        <v>0</v>
      </c>
      <c r="V521" s="821">
        <v>0</v>
      </c>
      <c r="W521" s="821">
        <v>0</v>
      </c>
      <c r="X521" s="821">
        <v>0</v>
      </c>
      <c r="Y521" s="821">
        <v>0</v>
      </c>
      <c r="Z521" s="821">
        <v>0</v>
      </c>
      <c r="AA521" s="821">
        <v>0</v>
      </c>
      <c r="AB521" s="823">
        <v>0</v>
      </c>
    </row>
    <row r="522" spans="1:28">
      <c r="A522" s="696" t="str">
        <f t="shared" si="8"/>
        <v>National Grid</v>
      </c>
      <c r="B522" s="696" t="str">
        <f>'Lookups-Assumptions'!$D$4</f>
        <v>Gas</v>
      </c>
      <c r="C522" s="696" t="str">
        <f>'Lookups-Assumptions'!$D$6</f>
        <v>Evaluated</v>
      </c>
      <c r="D522" s="696" t="e">
        <f>#REF!</f>
        <v>#REF!</v>
      </c>
      <c r="E522" s="696" t="s">
        <v>1148</v>
      </c>
      <c r="F522" s="696" t="s">
        <v>83</v>
      </c>
      <c r="G522" s="696" t="s">
        <v>870</v>
      </c>
      <c r="H522" s="696" t="s">
        <v>841</v>
      </c>
      <c r="I522" s="696" t="s">
        <v>797</v>
      </c>
      <c r="J522" s="820">
        <v>0</v>
      </c>
      <c r="K522" s="821">
        <v>0</v>
      </c>
      <c r="L522" s="786">
        <v>0</v>
      </c>
      <c r="M522" s="786">
        <v>0</v>
      </c>
      <c r="N522" s="786">
        <v>0</v>
      </c>
      <c r="O522" s="786">
        <v>0</v>
      </c>
      <c r="P522" s="786">
        <v>0</v>
      </c>
      <c r="Q522" s="786">
        <v>0</v>
      </c>
      <c r="R522" s="786">
        <v>0</v>
      </c>
      <c r="S522" s="786">
        <v>0</v>
      </c>
      <c r="T522" s="786">
        <v>0</v>
      </c>
      <c r="U522" s="822">
        <v>0</v>
      </c>
      <c r="V522" s="821">
        <v>0</v>
      </c>
      <c r="W522" s="821">
        <v>0</v>
      </c>
      <c r="X522" s="821">
        <v>0</v>
      </c>
      <c r="Y522" s="821">
        <v>0</v>
      </c>
      <c r="Z522" s="821">
        <v>0</v>
      </c>
      <c r="AA522" s="821">
        <v>0</v>
      </c>
      <c r="AB522" s="823">
        <v>0</v>
      </c>
    </row>
    <row r="523" spans="1:28">
      <c r="A523" s="696" t="str">
        <f t="shared" si="8"/>
        <v>National Grid</v>
      </c>
      <c r="B523" s="696" t="str">
        <f>'Lookups-Assumptions'!$D$4</f>
        <v>Gas</v>
      </c>
      <c r="C523" s="696" t="str">
        <f>'Lookups-Assumptions'!$D$6</f>
        <v>Evaluated</v>
      </c>
      <c r="D523" s="696" t="e">
        <f>#REF!</f>
        <v>#REF!</v>
      </c>
      <c r="E523" s="696" t="s">
        <v>1149</v>
      </c>
      <c r="F523" s="696" t="s">
        <v>83</v>
      </c>
      <c r="G523" s="696" t="s">
        <v>870</v>
      </c>
      <c r="H523" s="696" t="s">
        <v>841</v>
      </c>
      <c r="I523" s="696" t="s">
        <v>798</v>
      </c>
      <c r="J523" s="820">
        <v>0</v>
      </c>
      <c r="K523" s="821">
        <v>0</v>
      </c>
      <c r="L523" s="786">
        <v>0</v>
      </c>
      <c r="M523" s="786">
        <v>0</v>
      </c>
      <c r="N523" s="786">
        <v>0</v>
      </c>
      <c r="O523" s="786">
        <v>0</v>
      </c>
      <c r="P523" s="786">
        <v>0</v>
      </c>
      <c r="Q523" s="786">
        <v>0</v>
      </c>
      <c r="R523" s="786">
        <v>0</v>
      </c>
      <c r="S523" s="786">
        <v>0</v>
      </c>
      <c r="T523" s="786">
        <v>0</v>
      </c>
      <c r="U523" s="822">
        <v>0</v>
      </c>
      <c r="V523" s="821">
        <v>0</v>
      </c>
      <c r="W523" s="821">
        <v>0</v>
      </c>
      <c r="X523" s="821">
        <v>0</v>
      </c>
      <c r="Y523" s="821">
        <v>0</v>
      </c>
      <c r="Z523" s="821">
        <v>0</v>
      </c>
      <c r="AA523" s="821">
        <v>0</v>
      </c>
      <c r="AB523" s="823">
        <v>0</v>
      </c>
    </row>
    <row r="524" spans="1:28">
      <c r="A524" s="696" t="str">
        <f t="shared" si="8"/>
        <v>National Grid</v>
      </c>
      <c r="B524" s="696" t="str">
        <f>'Lookups-Assumptions'!$D$4</f>
        <v>Gas</v>
      </c>
      <c r="C524" s="696" t="str">
        <f>'Lookups-Assumptions'!$D$6</f>
        <v>Evaluated</v>
      </c>
      <c r="D524" s="696" t="e">
        <f>#REF!</f>
        <v>#REF!</v>
      </c>
      <c r="E524" s="696" t="s">
        <v>1150</v>
      </c>
      <c r="F524" s="696" t="s">
        <v>83</v>
      </c>
      <c r="G524" s="696" t="s">
        <v>870</v>
      </c>
      <c r="H524" s="696" t="s">
        <v>841</v>
      </c>
      <c r="I524" s="696" t="s">
        <v>799</v>
      </c>
      <c r="J524" s="820">
        <v>0</v>
      </c>
      <c r="K524" s="821">
        <v>0</v>
      </c>
      <c r="L524" s="786">
        <v>0</v>
      </c>
      <c r="M524" s="786">
        <v>0</v>
      </c>
      <c r="N524" s="786">
        <v>0</v>
      </c>
      <c r="O524" s="786">
        <v>0</v>
      </c>
      <c r="P524" s="786">
        <v>0</v>
      </c>
      <c r="Q524" s="786">
        <v>0</v>
      </c>
      <c r="R524" s="786">
        <v>0</v>
      </c>
      <c r="S524" s="786">
        <v>0</v>
      </c>
      <c r="T524" s="786">
        <v>0</v>
      </c>
      <c r="U524" s="822">
        <v>0</v>
      </c>
      <c r="V524" s="821">
        <v>0</v>
      </c>
      <c r="W524" s="821">
        <v>0</v>
      </c>
      <c r="X524" s="821">
        <v>0</v>
      </c>
      <c r="Y524" s="821">
        <v>0</v>
      </c>
      <c r="Z524" s="821">
        <v>0</v>
      </c>
      <c r="AA524" s="821">
        <v>0</v>
      </c>
      <c r="AB524" s="823">
        <v>0</v>
      </c>
    </row>
    <row r="525" spans="1:28">
      <c r="A525" s="696" t="str">
        <f t="shared" si="8"/>
        <v>National Grid</v>
      </c>
      <c r="B525" s="696" t="str">
        <f>'Lookups-Assumptions'!$D$4</f>
        <v>Gas</v>
      </c>
      <c r="C525" s="696" t="str">
        <f>'Lookups-Assumptions'!$D$6</f>
        <v>Evaluated</v>
      </c>
      <c r="D525" s="696" t="e">
        <f>#REF!</f>
        <v>#REF!</v>
      </c>
      <c r="E525" s="696" t="s">
        <v>1151</v>
      </c>
      <c r="F525" s="696" t="s">
        <v>83</v>
      </c>
      <c r="G525" s="696" t="s">
        <v>870</v>
      </c>
      <c r="H525" s="696" t="s">
        <v>841</v>
      </c>
      <c r="I525" s="696" t="s">
        <v>800</v>
      </c>
      <c r="J525" s="820">
        <v>0</v>
      </c>
      <c r="K525" s="821">
        <v>0</v>
      </c>
      <c r="L525" s="786">
        <v>0</v>
      </c>
      <c r="M525" s="786">
        <v>0</v>
      </c>
      <c r="N525" s="786">
        <v>0</v>
      </c>
      <c r="O525" s="786">
        <v>0</v>
      </c>
      <c r="P525" s="786">
        <v>0</v>
      </c>
      <c r="Q525" s="786">
        <v>0</v>
      </c>
      <c r="R525" s="786">
        <v>0</v>
      </c>
      <c r="S525" s="786">
        <v>0</v>
      </c>
      <c r="T525" s="786">
        <v>0</v>
      </c>
      <c r="U525" s="822">
        <v>0</v>
      </c>
      <c r="V525" s="821">
        <v>0</v>
      </c>
      <c r="W525" s="821">
        <v>0</v>
      </c>
      <c r="X525" s="821">
        <v>0</v>
      </c>
      <c r="Y525" s="821">
        <v>0</v>
      </c>
      <c r="Z525" s="821">
        <v>0</v>
      </c>
      <c r="AA525" s="821">
        <v>0</v>
      </c>
      <c r="AB525" s="823">
        <v>0</v>
      </c>
    </row>
    <row r="526" spans="1:28">
      <c r="A526" s="696" t="str">
        <f t="shared" si="8"/>
        <v>National Grid</v>
      </c>
      <c r="B526" s="696" t="str">
        <f>'Lookups-Assumptions'!$D$4</f>
        <v>Gas</v>
      </c>
      <c r="C526" s="696" t="str">
        <f>'Lookups-Assumptions'!$D$6</f>
        <v>Evaluated</v>
      </c>
      <c r="D526" s="696" t="e">
        <f>#REF!</f>
        <v>#REF!</v>
      </c>
      <c r="E526" s="696" t="s">
        <v>1152</v>
      </c>
      <c r="F526" s="696" t="s">
        <v>83</v>
      </c>
      <c r="G526" s="696" t="s">
        <v>870</v>
      </c>
      <c r="H526" s="696" t="s">
        <v>841</v>
      </c>
      <c r="I526" s="696" t="s">
        <v>801</v>
      </c>
      <c r="J526" s="820">
        <v>0</v>
      </c>
      <c r="K526" s="821">
        <v>0</v>
      </c>
      <c r="L526" s="786">
        <v>0</v>
      </c>
      <c r="M526" s="786">
        <v>0</v>
      </c>
      <c r="N526" s="786">
        <v>0</v>
      </c>
      <c r="O526" s="786">
        <v>0</v>
      </c>
      <c r="P526" s="786">
        <v>0</v>
      </c>
      <c r="Q526" s="786">
        <v>0</v>
      </c>
      <c r="R526" s="786">
        <v>0</v>
      </c>
      <c r="S526" s="786">
        <v>0</v>
      </c>
      <c r="T526" s="786">
        <v>0</v>
      </c>
      <c r="U526" s="822">
        <v>0</v>
      </c>
      <c r="V526" s="821">
        <v>0</v>
      </c>
      <c r="W526" s="821">
        <v>0</v>
      </c>
      <c r="X526" s="821">
        <v>0</v>
      </c>
      <c r="Y526" s="821">
        <v>0</v>
      </c>
      <c r="Z526" s="821">
        <v>0</v>
      </c>
      <c r="AA526" s="821">
        <v>0</v>
      </c>
      <c r="AB526" s="823">
        <v>0</v>
      </c>
    </row>
    <row r="527" spans="1:28">
      <c r="A527" s="696" t="str">
        <f t="shared" si="8"/>
        <v>National Grid</v>
      </c>
      <c r="B527" s="696" t="str">
        <f>'Lookups-Assumptions'!$D$4</f>
        <v>Gas</v>
      </c>
      <c r="C527" s="696" t="str">
        <f>'Lookups-Assumptions'!$D$6</f>
        <v>Evaluated</v>
      </c>
      <c r="D527" s="696" t="e">
        <f>#REF!</f>
        <v>#REF!</v>
      </c>
      <c r="E527" s="696" t="s">
        <v>1154</v>
      </c>
      <c r="F527" s="696" t="s">
        <v>83</v>
      </c>
      <c r="G527" s="696" t="s">
        <v>870</v>
      </c>
      <c r="H527" s="696" t="s">
        <v>659</v>
      </c>
      <c r="I527" s="696" t="s">
        <v>1338</v>
      </c>
      <c r="J527" s="820">
        <v>1</v>
      </c>
      <c r="K527" s="821">
        <v>144000</v>
      </c>
      <c r="L527" s="786">
        <v>0</v>
      </c>
      <c r="M527" s="786">
        <v>0</v>
      </c>
      <c r="N527" s="786">
        <v>1288.6218000000001</v>
      </c>
      <c r="O527" s="786">
        <v>24483.814200000001</v>
      </c>
      <c r="P527" s="786">
        <v>0</v>
      </c>
      <c r="Q527" s="786">
        <v>0</v>
      </c>
      <c r="R527" s="786">
        <v>0</v>
      </c>
      <c r="S527" s="786">
        <v>0</v>
      </c>
      <c r="T527" s="786">
        <v>0</v>
      </c>
      <c r="U527" s="822">
        <v>0</v>
      </c>
      <c r="V527" s="821">
        <v>0</v>
      </c>
      <c r="W527" s="821">
        <v>210180.94786442985</v>
      </c>
      <c r="X527" s="821">
        <v>0</v>
      </c>
      <c r="Y527" s="821">
        <v>0</v>
      </c>
      <c r="Z527" s="821">
        <v>0</v>
      </c>
      <c r="AA527" s="821">
        <v>0</v>
      </c>
      <c r="AB527" s="823">
        <v>210180.94786442985</v>
      </c>
    </row>
    <row r="528" spans="1:28">
      <c r="A528" s="696" t="str">
        <f t="shared" si="8"/>
        <v>National Grid</v>
      </c>
      <c r="B528" s="696" t="str">
        <f>'Lookups-Assumptions'!$D$4</f>
        <v>Gas</v>
      </c>
      <c r="C528" s="696" t="str">
        <f>'Lookups-Assumptions'!$D$6</f>
        <v>Evaluated</v>
      </c>
      <c r="D528" s="696" t="e">
        <f>#REF!</f>
        <v>#REF!</v>
      </c>
      <c r="E528" s="696" t="s">
        <v>1155</v>
      </c>
      <c r="F528" s="696" t="s">
        <v>83</v>
      </c>
      <c r="G528" s="696" t="s">
        <v>870</v>
      </c>
      <c r="H528" s="696" t="s">
        <v>659</v>
      </c>
      <c r="I528" s="696" t="s">
        <v>604</v>
      </c>
      <c r="J528" s="820">
        <v>0</v>
      </c>
      <c r="K528" s="821">
        <v>0</v>
      </c>
      <c r="L528" s="786">
        <v>0</v>
      </c>
      <c r="M528" s="786">
        <v>0</v>
      </c>
      <c r="N528" s="786">
        <v>0</v>
      </c>
      <c r="O528" s="786">
        <v>0</v>
      </c>
      <c r="P528" s="786">
        <v>0</v>
      </c>
      <c r="Q528" s="786">
        <v>0</v>
      </c>
      <c r="R528" s="786">
        <v>0</v>
      </c>
      <c r="S528" s="786">
        <v>0</v>
      </c>
      <c r="T528" s="786">
        <v>0</v>
      </c>
      <c r="U528" s="822">
        <v>0</v>
      </c>
      <c r="V528" s="821">
        <v>0</v>
      </c>
      <c r="W528" s="821">
        <v>0</v>
      </c>
      <c r="X528" s="821">
        <v>0</v>
      </c>
      <c r="Y528" s="821">
        <v>0</v>
      </c>
      <c r="Z528" s="821">
        <v>0</v>
      </c>
      <c r="AA528" s="821">
        <v>0</v>
      </c>
      <c r="AB528" s="823">
        <v>0</v>
      </c>
    </row>
    <row r="529" spans="1:28">
      <c r="A529" s="696" t="str">
        <f t="shared" si="8"/>
        <v>National Grid</v>
      </c>
      <c r="B529" s="696" t="str">
        <f>'Lookups-Assumptions'!$D$4</f>
        <v>Gas</v>
      </c>
      <c r="C529" s="696" t="str">
        <f>'Lookups-Assumptions'!$D$6</f>
        <v>Evaluated</v>
      </c>
      <c r="D529" s="696" t="e">
        <f>#REF!</f>
        <v>#REF!</v>
      </c>
      <c r="E529" s="696" t="s">
        <v>1157</v>
      </c>
      <c r="F529" s="696" t="s">
        <v>83</v>
      </c>
      <c r="G529" s="696" t="s">
        <v>870</v>
      </c>
      <c r="H529" s="696" t="s">
        <v>659</v>
      </c>
      <c r="I529" s="696" t="s">
        <v>793</v>
      </c>
      <c r="J529" s="820">
        <v>0</v>
      </c>
      <c r="K529" s="821">
        <v>0</v>
      </c>
      <c r="L529" s="786">
        <v>0</v>
      </c>
      <c r="M529" s="786">
        <v>0</v>
      </c>
      <c r="N529" s="786">
        <v>0</v>
      </c>
      <c r="O529" s="786">
        <v>0</v>
      </c>
      <c r="P529" s="786">
        <v>0</v>
      </c>
      <c r="Q529" s="786">
        <v>0</v>
      </c>
      <c r="R529" s="786">
        <v>0</v>
      </c>
      <c r="S529" s="786">
        <v>0</v>
      </c>
      <c r="T529" s="786">
        <v>0</v>
      </c>
      <c r="U529" s="822">
        <v>0</v>
      </c>
      <c r="V529" s="821">
        <v>0</v>
      </c>
      <c r="W529" s="821">
        <v>0</v>
      </c>
      <c r="X529" s="821">
        <v>0</v>
      </c>
      <c r="Y529" s="821">
        <v>0</v>
      </c>
      <c r="Z529" s="821">
        <v>0</v>
      </c>
      <c r="AA529" s="821">
        <v>0</v>
      </c>
      <c r="AB529" s="823">
        <v>0</v>
      </c>
    </row>
    <row r="530" spans="1:28">
      <c r="A530" s="696" t="str">
        <f t="shared" si="8"/>
        <v>National Grid</v>
      </c>
      <c r="B530" s="696" t="str">
        <f>'Lookups-Assumptions'!$D$4</f>
        <v>Gas</v>
      </c>
      <c r="C530" s="696" t="str">
        <f>'Lookups-Assumptions'!$D$6</f>
        <v>Evaluated</v>
      </c>
      <c r="D530" s="696" t="e">
        <f>#REF!</f>
        <v>#REF!</v>
      </c>
      <c r="E530" s="696" t="s">
        <v>1158</v>
      </c>
      <c r="F530" s="696" t="s">
        <v>83</v>
      </c>
      <c r="G530" s="696" t="s">
        <v>870</v>
      </c>
      <c r="H530" s="696" t="s">
        <v>659</v>
      </c>
      <c r="I530" s="696" t="s">
        <v>768</v>
      </c>
      <c r="J530" s="820">
        <v>0</v>
      </c>
      <c r="K530" s="821">
        <v>0</v>
      </c>
      <c r="L530" s="786">
        <v>0</v>
      </c>
      <c r="M530" s="786">
        <v>0</v>
      </c>
      <c r="N530" s="786">
        <v>0</v>
      </c>
      <c r="O530" s="786">
        <v>0</v>
      </c>
      <c r="P530" s="786">
        <v>0</v>
      </c>
      <c r="Q530" s="786">
        <v>0</v>
      </c>
      <c r="R530" s="786">
        <v>0</v>
      </c>
      <c r="S530" s="786">
        <v>0</v>
      </c>
      <c r="T530" s="786">
        <v>0</v>
      </c>
      <c r="U530" s="822">
        <v>0</v>
      </c>
      <c r="V530" s="821">
        <v>0</v>
      </c>
      <c r="W530" s="821">
        <v>0</v>
      </c>
      <c r="X530" s="821">
        <v>0</v>
      </c>
      <c r="Y530" s="821">
        <v>0</v>
      </c>
      <c r="Z530" s="821">
        <v>0</v>
      </c>
      <c r="AA530" s="821">
        <v>0</v>
      </c>
      <c r="AB530" s="823">
        <v>0</v>
      </c>
    </row>
    <row r="531" spans="1:28">
      <c r="A531" s="696" t="str">
        <f t="shared" si="8"/>
        <v>National Grid</v>
      </c>
      <c r="B531" s="696" t="str">
        <f>'Lookups-Assumptions'!$D$4</f>
        <v>Gas</v>
      </c>
      <c r="C531" s="696" t="str">
        <f>'Lookups-Assumptions'!$D$6</f>
        <v>Evaluated</v>
      </c>
      <c r="D531" s="696" t="e">
        <f>#REF!</f>
        <v>#REF!</v>
      </c>
      <c r="E531" s="696" t="s">
        <v>1160</v>
      </c>
      <c r="F531" s="696" t="s">
        <v>83</v>
      </c>
      <c r="G531" s="696" t="s">
        <v>870</v>
      </c>
      <c r="H531" s="696" t="s">
        <v>659</v>
      </c>
      <c r="I531" s="696" t="s">
        <v>770</v>
      </c>
      <c r="J531" s="820">
        <v>0</v>
      </c>
      <c r="K531" s="821">
        <v>0</v>
      </c>
      <c r="L531" s="786">
        <v>0</v>
      </c>
      <c r="M531" s="786">
        <v>0</v>
      </c>
      <c r="N531" s="786">
        <v>0</v>
      </c>
      <c r="O531" s="786">
        <v>0</v>
      </c>
      <c r="P531" s="786">
        <v>0</v>
      </c>
      <c r="Q531" s="786">
        <v>0</v>
      </c>
      <c r="R531" s="786">
        <v>0</v>
      </c>
      <c r="S531" s="786">
        <v>0</v>
      </c>
      <c r="T531" s="786">
        <v>0</v>
      </c>
      <c r="U531" s="822">
        <v>0</v>
      </c>
      <c r="V531" s="821">
        <v>0</v>
      </c>
      <c r="W531" s="821">
        <v>0</v>
      </c>
      <c r="X531" s="821">
        <v>0</v>
      </c>
      <c r="Y531" s="821">
        <v>0</v>
      </c>
      <c r="Z531" s="821">
        <v>0</v>
      </c>
      <c r="AA531" s="821">
        <v>0</v>
      </c>
      <c r="AB531" s="823">
        <v>0</v>
      </c>
    </row>
    <row r="532" spans="1:28">
      <c r="A532" s="696" t="str">
        <f t="shared" si="8"/>
        <v>National Grid</v>
      </c>
      <c r="B532" s="696" t="str">
        <f>'Lookups-Assumptions'!$D$4</f>
        <v>Gas</v>
      </c>
      <c r="C532" s="696" t="str">
        <f>'Lookups-Assumptions'!$D$6</f>
        <v>Evaluated</v>
      </c>
      <c r="D532" s="696" t="e">
        <f>#REF!</f>
        <v>#REF!</v>
      </c>
      <c r="E532" s="696" t="s">
        <v>1162</v>
      </c>
      <c r="F532" s="696" t="s">
        <v>83</v>
      </c>
      <c r="G532" s="696" t="s">
        <v>870</v>
      </c>
      <c r="H532" s="696" t="s">
        <v>659</v>
      </c>
      <c r="I532" s="696" t="s">
        <v>84</v>
      </c>
      <c r="J532" s="820">
        <v>0</v>
      </c>
      <c r="K532" s="821">
        <v>0</v>
      </c>
      <c r="L532" s="786">
        <v>0</v>
      </c>
      <c r="M532" s="786">
        <v>0</v>
      </c>
      <c r="N532" s="786">
        <v>0</v>
      </c>
      <c r="O532" s="786">
        <v>0</v>
      </c>
      <c r="P532" s="786">
        <v>0</v>
      </c>
      <c r="Q532" s="786">
        <v>0</v>
      </c>
      <c r="R532" s="786">
        <v>0</v>
      </c>
      <c r="S532" s="786">
        <v>0</v>
      </c>
      <c r="T532" s="786">
        <v>0</v>
      </c>
      <c r="U532" s="822">
        <v>0</v>
      </c>
      <c r="V532" s="821">
        <v>0</v>
      </c>
      <c r="W532" s="821">
        <v>0</v>
      </c>
      <c r="X532" s="821">
        <v>0</v>
      </c>
      <c r="Y532" s="821">
        <v>0</v>
      </c>
      <c r="Z532" s="821">
        <v>0</v>
      </c>
      <c r="AA532" s="821">
        <v>0</v>
      </c>
      <c r="AB532" s="823">
        <v>0</v>
      </c>
    </row>
    <row r="533" spans="1:28">
      <c r="A533" s="696" t="str">
        <f t="shared" si="8"/>
        <v>National Grid</v>
      </c>
      <c r="B533" s="696" t="str">
        <f>'Lookups-Assumptions'!$D$4</f>
        <v>Gas</v>
      </c>
      <c r="C533" s="696" t="str">
        <f>'Lookups-Assumptions'!$D$6</f>
        <v>Evaluated</v>
      </c>
      <c r="D533" s="696" t="e">
        <f>#REF!</f>
        <v>#REF!</v>
      </c>
      <c r="E533" s="696" t="s">
        <v>1164</v>
      </c>
      <c r="F533" s="696" t="s">
        <v>83</v>
      </c>
      <c r="G533" s="696" t="s">
        <v>870</v>
      </c>
      <c r="H533" s="696" t="s">
        <v>659</v>
      </c>
      <c r="I533" s="696" t="s">
        <v>607</v>
      </c>
      <c r="J533" s="820">
        <v>0</v>
      </c>
      <c r="K533" s="821">
        <v>0</v>
      </c>
      <c r="L533" s="786">
        <v>0</v>
      </c>
      <c r="M533" s="786">
        <v>0</v>
      </c>
      <c r="N533" s="786">
        <v>0</v>
      </c>
      <c r="O533" s="786">
        <v>0</v>
      </c>
      <c r="P533" s="786">
        <v>0</v>
      </c>
      <c r="Q533" s="786">
        <v>0</v>
      </c>
      <c r="R533" s="786">
        <v>0</v>
      </c>
      <c r="S533" s="786">
        <v>0</v>
      </c>
      <c r="T533" s="786">
        <v>0</v>
      </c>
      <c r="U533" s="822">
        <v>0</v>
      </c>
      <c r="V533" s="821">
        <v>0</v>
      </c>
      <c r="W533" s="821">
        <v>0</v>
      </c>
      <c r="X533" s="821">
        <v>0</v>
      </c>
      <c r="Y533" s="821">
        <v>0</v>
      </c>
      <c r="Z533" s="821">
        <v>0</v>
      </c>
      <c r="AA533" s="821">
        <v>0</v>
      </c>
      <c r="AB533" s="823">
        <v>0</v>
      </c>
    </row>
    <row r="534" spans="1:28">
      <c r="A534" s="696" t="str">
        <f t="shared" si="8"/>
        <v>National Grid</v>
      </c>
      <c r="B534" s="696" t="str">
        <f>'Lookups-Assumptions'!$D$4</f>
        <v>Gas</v>
      </c>
      <c r="C534" s="696" t="str">
        <f>'Lookups-Assumptions'!$D$6</f>
        <v>Evaluated</v>
      </c>
      <c r="D534" s="696" t="e">
        <f>#REF!</f>
        <v>#REF!</v>
      </c>
      <c r="E534" s="696" t="s">
        <v>1166</v>
      </c>
      <c r="F534" s="696" t="s">
        <v>83</v>
      </c>
      <c r="G534" s="696" t="s">
        <v>870</v>
      </c>
      <c r="H534" s="696" t="s">
        <v>659</v>
      </c>
      <c r="I534" s="696" t="s">
        <v>606</v>
      </c>
      <c r="J534" s="820">
        <v>0</v>
      </c>
      <c r="K534" s="821">
        <v>0</v>
      </c>
      <c r="L534" s="786">
        <v>0</v>
      </c>
      <c r="M534" s="786">
        <v>0</v>
      </c>
      <c r="N534" s="786">
        <v>0</v>
      </c>
      <c r="O534" s="786">
        <v>0</v>
      </c>
      <c r="P534" s="786">
        <v>0</v>
      </c>
      <c r="Q534" s="786">
        <v>0</v>
      </c>
      <c r="R534" s="786">
        <v>0</v>
      </c>
      <c r="S534" s="786">
        <v>0</v>
      </c>
      <c r="T534" s="786">
        <v>0</v>
      </c>
      <c r="U534" s="822">
        <v>0</v>
      </c>
      <c r="V534" s="821">
        <v>0</v>
      </c>
      <c r="W534" s="821">
        <v>0</v>
      </c>
      <c r="X534" s="821">
        <v>0</v>
      </c>
      <c r="Y534" s="821">
        <v>0</v>
      </c>
      <c r="Z534" s="821">
        <v>0</v>
      </c>
      <c r="AA534" s="821">
        <v>0</v>
      </c>
      <c r="AB534" s="823">
        <v>0</v>
      </c>
    </row>
    <row r="535" spans="1:28">
      <c r="A535" s="696" t="str">
        <f t="shared" si="8"/>
        <v>National Grid</v>
      </c>
      <c r="B535" s="696" t="str">
        <f>'Lookups-Assumptions'!$D$4</f>
        <v>Gas</v>
      </c>
      <c r="C535" s="696" t="str">
        <f>'Lookups-Assumptions'!$D$6</f>
        <v>Evaluated</v>
      </c>
      <c r="D535" s="696" t="e">
        <f>#REF!</f>
        <v>#REF!</v>
      </c>
      <c r="E535" s="696" t="s">
        <v>1167</v>
      </c>
      <c r="F535" s="696" t="s">
        <v>83</v>
      </c>
      <c r="G535" s="696" t="s">
        <v>870</v>
      </c>
      <c r="H535" s="696" t="s">
        <v>659</v>
      </c>
      <c r="I535" s="696" t="s">
        <v>794</v>
      </c>
      <c r="J535" s="820">
        <v>0</v>
      </c>
      <c r="K535" s="821">
        <v>0</v>
      </c>
      <c r="L535" s="786">
        <v>0</v>
      </c>
      <c r="M535" s="786">
        <v>0</v>
      </c>
      <c r="N535" s="786">
        <v>0</v>
      </c>
      <c r="O535" s="786">
        <v>0</v>
      </c>
      <c r="P535" s="786">
        <v>0</v>
      </c>
      <c r="Q535" s="786">
        <v>0</v>
      </c>
      <c r="R535" s="786">
        <v>0</v>
      </c>
      <c r="S535" s="786">
        <v>0</v>
      </c>
      <c r="T535" s="786">
        <v>0</v>
      </c>
      <c r="U535" s="822">
        <v>0</v>
      </c>
      <c r="V535" s="821">
        <v>0</v>
      </c>
      <c r="W535" s="821">
        <v>0</v>
      </c>
      <c r="X535" s="821">
        <v>0</v>
      </c>
      <c r="Y535" s="821">
        <v>0</v>
      </c>
      <c r="Z535" s="821">
        <v>0</v>
      </c>
      <c r="AA535" s="821">
        <v>0</v>
      </c>
      <c r="AB535" s="823">
        <v>0</v>
      </c>
    </row>
    <row r="536" spans="1:28">
      <c r="A536" s="696" t="str">
        <f t="shared" si="8"/>
        <v>National Grid</v>
      </c>
      <c r="B536" s="696" t="str">
        <f>'Lookups-Assumptions'!$D$4</f>
        <v>Gas</v>
      </c>
      <c r="C536" s="696" t="str">
        <f>'Lookups-Assumptions'!$D$6</f>
        <v>Evaluated</v>
      </c>
      <c r="D536" s="696" t="e">
        <f>#REF!</f>
        <v>#REF!</v>
      </c>
      <c r="E536" s="696" t="s">
        <v>1169</v>
      </c>
      <c r="F536" s="696" t="s">
        <v>83</v>
      </c>
      <c r="G536" s="696" t="s">
        <v>870</v>
      </c>
      <c r="H536" s="696" t="s">
        <v>659</v>
      </c>
      <c r="I536" s="696" t="s">
        <v>1309</v>
      </c>
      <c r="J536" s="820">
        <v>0</v>
      </c>
      <c r="K536" s="821">
        <v>0</v>
      </c>
      <c r="L536" s="786">
        <v>0</v>
      </c>
      <c r="M536" s="786">
        <v>0</v>
      </c>
      <c r="N536" s="786">
        <v>0</v>
      </c>
      <c r="O536" s="786">
        <v>0</v>
      </c>
      <c r="P536" s="786">
        <v>0</v>
      </c>
      <c r="Q536" s="786">
        <v>0</v>
      </c>
      <c r="R536" s="786">
        <v>0</v>
      </c>
      <c r="S536" s="786">
        <v>0</v>
      </c>
      <c r="T536" s="786">
        <v>0</v>
      </c>
      <c r="U536" s="822">
        <v>0</v>
      </c>
      <c r="V536" s="821">
        <v>0</v>
      </c>
      <c r="W536" s="821">
        <v>0</v>
      </c>
      <c r="X536" s="821">
        <v>0</v>
      </c>
      <c r="Y536" s="821">
        <v>0</v>
      </c>
      <c r="Z536" s="821">
        <v>0</v>
      </c>
      <c r="AA536" s="821">
        <v>0</v>
      </c>
      <c r="AB536" s="823">
        <v>0</v>
      </c>
    </row>
    <row r="537" spans="1:28">
      <c r="A537" s="696" t="str">
        <f t="shared" si="8"/>
        <v>National Grid</v>
      </c>
      <c r="B537" s="696" t="str">
        <f>'Lookups-Assumptions'!$D$4</f>
        <v>Gas</v>
      </c>
      <c r="C537" s="696" t="str">
        <f>'Lookups-Assumptions'!$D$6</f>
        <v>Evaluated</v>
      </c>
      <c r="D537" s="696" t="e">
        <f>#REF!</f>
        <v>#REF!</v>
      </c>
      <c r="E537" s="696" t="s">
        <v>1170</v>
      </c>
      <c r="F537" s="696" t="s">
        <v>83</v>
      </c>
      <c r="G537" s="696" t="s">
        <v>870</v>
      </c>
      <c r="H537" s="696" t="s">
        <v>659</v>
      </c>
      <c r="I537" s="696" t="s">
        <v>759</v>
      </c>
      <c r="J537" s="820">
        <v>0</v>
      </c>
      <c r="K537" s="821">
        <v>0</v>
      </c>
      <c r="L537" s="786">
        <v>0</v>
      </c>
      <c r="M537" s="786">
        <v>0</v>
      </c>
      <c r="N537" s="786">
        <v>0</v>
      </c>
      <c r="O537" s="786">
        <v>0</v>
      </c>
      <c r="P537" s="786">
        <v>0</v>
      </c>
      <c r="Q537" s="786">
        <v>0</v>
      </c>
      <c r="R537" s="786">
        <v>0</v>
      </c>
      <c r="S537" s="786">
        <v>0</v>
      </c>
      <c r="T537" s="786">
        <v>0</v>
      </c>
      <c r="U537" s="822">
        <v>0</v>
      </c>
      <c r="V537" s="821">
        <v>0</v>
      </c>
      <c r="W537" s="821">
        <v>0</v>
      </c>
      <c r="X537" s="821">
        <v>0</v>
      </c>
      <c r="Y537" s="821">
        <v>0</v>
      </c>
      <c r="Z537" s="821">
        <v>0</v>
      </c>
      <c r="AA537" s="821">
        <v>0</v>
      </c>
      <c r="AB537" s="823">
        <v>0</v>
      </c>
    </row>
    <row r="538" spans="1:28">
      <c r="A538" s="696" t="str">
        <f t="shared" si="8"/>
        <v>National Grid</v>
      </c>
      <c r="B538" s="696" t="str">
        <f>'Lookups-Assumptions'!$D$4</f>
        <v>Gas</v>
      </c>
      <c r="C538" s="696" t="str">
        <f>'Lookups-Assumptions'!$D$6</f>
        <v>Evaluated</v>
      </c>
      <c r="D538" s="696" t="e">
        <f>#REF!</f>
        <v>#REF!</v>
      </c>
      <c r="E538" s="696" t="s">
        <v>1171</v>
      </c>
      <c r="F538" s="696" t="s">
        <v>83</v>
      </c>
      <c r="G538" s="696" t="s">
        <v>870</v>
      </c>
      <c r="H538" s="696" t="s">
        <v>659</v>
      </c>
      <c r="I538" s="696" t="s">
        <v>760</v>
      </c>
      <c r="J538" s="820">
        <v>0</v>
      </c>
      <c r="K538" s="821">
        <v>0</v>
      </c>
      <c r="L538" s="786">
        <v>0</v>
      </c>
      <c r="M538" s="786">
        <v>0</v>
      </c>
      <c r="N538" s="786">
        <v>0</v>
      </c>
      <c r="O538" s="786">
        <v>0</v>
      </c>
      <c r="P538" s="786">
        <v>0</v>
      </c>
      <c r="Q538" s="786">
        <v>0</v>
      </c>
      <c r="R538" s="786">
        <v>0</v>
      </c>
      <c r="S538" s="786">
        <v>0</v>
      </c>
      <c r="T538" s="786">
        <v>0</v>
      </c>
      <c r="U538" s="822">
        <v>0</v>
      </c>
      <c r="V538" s="821">
        <v>0</v>
      </c>
      <c r="W538" s="821">
        <v>0</v>
      </c>
      <c r="X538" s="821">
        <v>0</v>
      </c>
      <c r="Y538" s="821">
        <v>0</v>
      </c>
      <c r="Z538" s="821">
        <v>0</v>
      </c>
      <c r="AA538" s="821">
        <v>0</v>
      </c>
      <c r="AB538" s="823">
        <v>0</v>
      </c>
    </row>
    <row r="539" spans="1:28">
      <c r="A539" s="696" t="str">
        <f t="shared" si="8"/>
        <v>National Grid</v>
      </c>
      <c r="B539" s="696" t="str">
        <f>'Lookups-Assumptions'!$D$4</f>
        <v>Gas</v>
      </c>
      <c r="C539" s="696" t="str">
        <f>'Lookups-Assumptions'!$D$6</f>
        <v>Evaluated</v>
      </c>
      <c r="D539" s="696" t="e">
        <f>#REF!</f>
        <v>#REF!</v>
      </c>
      <c r="E539" s="696" t="s">
        <v>1172</v>
      </c>
      <c r="F539" s="696" t="s">
        <v>83</v>
      </c>
      <c r="G539" s="696" t="s">
        <v>870</v>
      </c>
      <c r="H539" s="696" t="s">
        <v>659</v>
      </c>
      <c r="I539" s="696" t="s">
        <v>1301</v>
      </c>
      <c r="J539" s="820">
        <v>0</v>
      </c>
      <c r="K539" s="821">
        <v>0</v>
      </c>
      <c r="L539" s="786">
        <v>0</v>
      </c>
      <c r="M539" s="786">
        <v>0</v>
      </c>
      <c r="N539" s="786">
        <v>0</v>
      </c>
      <c r="O539" s="786">
        <v>0</v>
      </c>
      <c r="P539" s="786">
        <v>0</v>
      </c>
      <c r="Q539" s="786">
        <v>0</v>
      </c>
      <c r="R539" s="786">
        <v>0</v>
      </c>
      <c r="S539" s="786">
        <v>0</v>
      </c>
      <c r="T539" s="786">
        <v>0</v>
      </c>
      <c r="U539" s="822">
        <v>0</v>
      </c>
      <c r="V539" s="821">
        <v>0</v>
      </c>
      <c r="W539" s="821">
        <v>0</v>
      </c>
      <c r="X539" s="821">
        <v>0</v>
      </c>
      <c r="Y539" s="821">
        <v>0</v>
      </c>
      <c r="Z539" s="821">
        <v>0</v>
      </c>
      <c r="AA539" s="821">
        <v>0</v>
      </c>
      <c r="AB539" s="823">
        <v>0</v>
      </c>
    </row>
    <row r="540" spans="1:28">
      <c r="A540" s="696" t="str">
        <f t="shared" si="8"/>
        <v>National Grid</v>
      </c>
      <c r="B540" s="696" t="str">
        <f>'Lookups-Assumptions'!$D$4</f>
        <v>Gas</v>
      </c>
      <c r="C540" s="696" t="str">
        <f>'Lookups-Assumptions'!$D$6</f>
        <v>Evaluated</v>
      </c>
      <c r="D540" s="696" t="e">
        <f>#REF!</f>
        <v>#REF!</v>
      </c>
      <c r="E540" s="696" t="s">
        <v>1173</v>
      </c>
      <c r="F540" s="696" t="s">
        <v>83</v>
      </c>
      <c r="G540" s="696" t="s">
        <v>870</v>
      </c>
      <c r="H540" s="696" t="s">
        <v>659</v>
      </c>
      <c r="I540" s="696" t="s">
        <v>1312</v>
      </c>
      <c r="J540" s="820">
        <v>0</v>
      </c>
      <c r="K540" s="821">
        <v>0</v>
      </c>
      <c r="L540" s="786">
        <v>0</v>
      </c>
      <c r="M540" s="786">
        <v>0</v>
      </c>
      <c r="N540" s="786">
        <v>0</v>
      </c>
      <c r="O540" s="786">
        <v>0</v>
      </c>
      <c r="P540" s="786">
        <v>0</v>
      </c>
      <c r="Q540" s="786">
        <v>0</v>
      </c>
      <c r="R540" s="786">
        <v>0</v>
      </c>
      <c r="S540" s="786">
        <v>0</v>
      </c>
      <c r="T540" s="786">
        <v>0</v>
      </c>
      <c r="U540" s="822">
        <v>0</v>
      </c>
      <c r="V540" s="821">
        <v>0</v>
      </c>
      <c r="W540" s="821">
        <v>0</v>
      </c>
      <c r="X540" s="821">
        <v>0</v>
      </c>
      <c r="Y540" s="821">
        <v>0</v>
      </c>
      <c r="Z540" s="821">
        <v>0</v>
      </c>
      <c r="AA540" s="821">
        <v>0</v>
      </c>
      <c r="AB540" s="823">
        <v>0</v>
      </c>
    </row>
    <row r="541" spans="1:28">
      <c r="A541" s="696" t="str">
        <f t="shared" si="8"/>
        <v>National Grid</v>
      </c>
      <c r="B541" s="696" t="str">
        <f>'Lookups-Assumptions'!$D$4</f>
        <v>Gas</v>
      </c>
      <c r="C541" s="696" t="str">
        <f>'Lookups-Assumptions'!$D$6</f>
        <v>Evaluated</v>
      </c>
      <c r="D541" s="696" t="e">
        <f>#REF!</f>
        <v>#REF!</v>
      </c>
      <c r="E541" s="696" t="s">
        <v>1174</v>
      </c>
      <c r="F541" s="696" t="s">
        <v>83</v>
      </c>
      <c r="G541" s="696" t="s">
        <v>870</v>
      </c>
      <c r="H541" s="696" t="s">
        <v>659</v>
      </c>
      <c r="I541" s="696" t="s">
        <v>1304</v>
      </c>
      <c r="J541" s="820">
        <v>0</v>
      </c>
      <c r="K541" s="821">
        <v>0</v>
      </c>
      <c r="L541" s="786">
        <v>0</v>
      </c>
      <c r="M541" s="786">
        <v>0</v>
      </c>
      <c r="N541" s="786">
        <v>0</v>
      </c>
      <c r="O541" s="786">
        <v>0</v>
      </c>
      <c r="P541" s="786">
        <v>0</v>
      </c>
      <c r="Q541" s="786">
        <v>0</v>
      </c>
      <c r="R541" s="786">
        <v>0</v>
      </c>
      <c r="S541" s="786">
        <v>0</v>
      </c>
      <c r="T541" s="786">
        <v>0</v>
      </c>
      <c r="U541" s="822">
        <v>0</v>
      </c>
      <c r="V541" s="821">
        <v>0</v>
      </c>
      <c r="W541" s="821">
        <v>0</v>
      </c>
      <c r="X541" s="821">
        <v>0</v>
      </c>
      <c r="Y541" s="821">
        <v>0</v>
      </c>
      <c r="Z541" s="821">
        <v>0</v>
      </c>
      <c r="AA541" s="821">
        <v>0</v>
      </c>
      <c r="AB541" s="823">
        <v>0</v>
      </c>
    </row>
    <row r="542" spans="1:28">
      <c r="A542" s="696" t="str">
        <f t="shared" si="8"/>
        <v>National Grid</v>
      </c>
      <c r="B542" s="696" t="str">
        <f>'Lookups-Assumptions'!$D$4</f>
        <v>Gas</v>
      </c>
      <c r="C542" s="696" t="str">
        <f>'Lookups-Assumptions'!$D$6</f>
        <v>Evaluated</v>
      </c>
      <c r="D542" s="696" t="e">
        <f>#REF!</f>
        <v>#REF!</v>
      </c>
      <c r="E542" s="696" t="s">
        <v>1175</v>
      </c>
      <c r="F542" s="696" t="s">
        <v>83</v>
      </c>
      <c r="G542" s="696" t="s">
        <v>870</v>
      </c>
      <c r="H542" s="696" t="s">
        <v>659</v>
      </c>
      <c r="I542" s="696" t="s">
        <v>1305</v>
      </c>
      <c r="J542" s="820">
        <v>0</v>
      </c>
      <c r="K542" s="821">
        <v>0</v>
      </c>
      <c r="L542" s="786">
        <v>0</v>
      </c>
      <c r="M542" s="786">
        <v>0</v>
      </c>
      <c r="N542" s="786">
        <v>0</v>
      </c>
      <c r="O542" s="786">
        <v>0</v>
      </c>
      <c r="P542" s="786">
        <v>0</v>
      </c>
      <c r="Q542" s="786">
        <v>0</v>
      </c>
      <c r="R542" s="786">
        <v>0</v>
      </c>
      <c r="S542" s="786">
        <v>0</v>
      </c>
      <c r="T542" s="786">
        <v>0</v>
      </c>
      <c r="U542" s="822">
        <v>0</v>
      </c>
      <c r="V542" s="821">
        <v>0</v>
      </c>
      <c r="W542" s="821">
        <v>0</v>
      </c>
      <c r="X542" s="821">
        <v>0</v>
      </c>
      <c r="Y542" s="821">
        <v>0</v>
      </c>
      <c r="Z542" s="821">
        <v>0</v>
      </c>
      <c r="AA542" s="821">
        <v>0</v>
      </c>
      <c r="AB542" s="823">
        <v>0</v>
      </c>
    </row>
    <row r="543" spans="1:28">
      <c r="A543" s="696" t="str">
        <f t="shared" si="8"/>
        <v>National Grid</v>
      </c>
      <c r="B543" s="696" t="str">
        <f>'Lookups-Assumptions'!$D$4</f>
        <v>Gas</v>
      </c>
      <c r="C543" s="696" t="str">
        <f>'Lookups-Assumptions'!$D$6</f>
        <v>Evaluated</v>
      </c>
      <c r="D543" s="696" t="e">
        <f>#REF!</f>
        <v>#REF!</v>
      </c>
      <c r="E543" s="696" t="s">
        <v>1176</v>
      </c>
      <c r="F543" s="696" t="s">
        <v>83</v>
      </c>
      <c r="G543" s="696" t="s">
        <v>870</v>
      </c>
      <c r="H543" s="696" t="s">
        <v>659</v>
      </c>
      <c r="I543" s="696" t="s">
        <v>797</v>
      </c>
      <c r="J543" s="820">
        <v>0</v>
      </c>
      <c r="K543" s="821">
        <v>0</v>
      </c>
      <c r="L543" s="786">
        <v>0</v>
      </c>
      <c r="M543" s="786">
        <v>0</v>
      </c>
      <c r="N543" s="786">
        <v>0</v>
      </c>
      <c r="O543" s="786">
        <v>0</v>
      </c>
      <c r="P543" s="786">
        <v>0</v>
      </c>
      <c r="Q543" s="786">
        <v>0</v>
      </c>
      <c r="R543" s="786">
        <v>0</v>
      </c>
      <c r="S543" s="786">
        <v>0</v>
      </c>
      <c r="T543" s="786">
        <v>0</v>
      </c>
      <c r="U543" s="822">
        <v>0</v>
      </c>
      <c r="V543" s="821">
        <v>0</v>
      </c>
      <c r="W543" s="821">
        <v>0</v>
      </c>
      <c r="X543" s="821">
        <v>0</v>
      </c>
      <c r="Y543" s="821">
        <v>0</v>
      </c>
      <c r="Z543" s="821">
        <v>0</v>
      </c>
      <c r="AA543" s="821">
        <v>0</v>
      </c>
      <c r="AB543" s="823">
        <v>0</v>
      </c>
    </row>
    <row r="544" spans="1:28">
      <c r="A544" s="696" t="str">
        <f t="shared" si="8"/>
        <v>National Grid</v>
      </c>
      <c r="B544" s="696" t="str">
        <f>'Lookups-Assumptions'!$D$4</f>
        <v>Gas</v>
      </c>
      <c r="C544" s="696" t="str">
        <f>'Lookups-Assumptions'!$D$6</f>
        <v>Evaluated</v>
      </c>
      <c r="D544" s="696" t="e">
        <f>#REF!</f>
        <v>#REF!</v>
      </c>
      <c r="E544" s="696" t="s">
        <v>1177</v>
      </c>
      <c r="F544" s="696" t="s">
        <v>83</v>
      </c>
      <c r="G544" s="696" t="s">
        <v>870</v>
      </c>
      <c r="H544" s="696" t="s">
        <v>659</v>
      </c>
      <c r="I544" s="696" t="s">
        <v>798</v>
      </c>
      <c r="J544" s="820">
        <v>0</v>
      </c>
      <c r="K544" s="821">
        <v>0</v>
      </c>
      <c r="L544" s="786">
        <v>0</v>
      </c>
      <c r="M544" s="786">
        <v>0</v>
      </c>
      <c r="N544" s="786">
        <v>0</v>
      </c>
      <c r="O544" s="786">
        <v>0</v>
      </c>
      <c r="P544" s="786">
        <v>0</v>
      </c>
      <c r="Q544" s="786">
        <v>0</v>
      </c>
      <c r="R544" s="786">
        <v>0</v>
      </c>
      <c r="S544" s="786">
        <v>0</v>
      </c>
      <c r="T544" s="786">
        <v>0</v>
      </c>
      <c r="U544" s="822">
        <v>0</v>
      </c>
      <c r="V544" s="821">
        <v>0</v>
      </c>
      <c r="W544" s="821">
        <v>0</v>
      </c>
      <c r="X544" s="821">
        <v>0</v>
      </c>
      <c r="Y544" s="821">
        <v>0</v>
      </c>
      <c r="Z544" s="821">
        <v>0</v>
      </c>
      <c r="AA544" s="821">
        <v>0</v>
      </c>
      <c r="AB544" s="823">
        <v>0</v>
      </c>
    </row>
    <row r="545" spans="1:28">
      <c r="A545" s="696" t="str">
        <f t="shared" si="8"/>
        <v>National Grid</v>
      </c>
      <c r="B545" s="696" t="str">
        <f>'Lookups-Assumptions'!$D$4</f>
        <v>Gas</v>
      </c>
      <c r="C545" s="696" t="str">
        <f>'Lookups-Assumptions'!$D$6</f>
        <v>Evaluated</v>
      </c>
      <c r="D545" s="696" t="e">
        <f>#REF!</f>
        <v>#REF!</v>
      </c>
      <c r="E545" s="696" t="s">
        <v>1178</v>
      </c>
      <c r="F545" s="696" t="s">
        <v>83</v>
      </c>
      <c r="G545" s="696" t="s">
        <v>870</v>
      </c>
      <c r="H545" s="696" t="s">
        <v>659</v>
      </c>
      <c r="I545" s="696" t="s">
        <v>799</v>
      </c>
      <c r="J545" s="820">
        <v>0</v>
      </c>
      <c r="K545" s="821">
        <v>0</v>
      </c>
      <c r="L545" s="786">
        <v>0</v>
      </c>
      <c r="M545" s="786">
        <v>0</v>
      </c>
      <c r="N545" s="786">
        <v>0</v>
      </c>
      <c r="O545" s="786">
        <v>0</v>
      </c>
      <c r="P545" s="786">
        <v>0</v>
      </c>
      <c r="Q545" s="786">
        <v>0</v>
      </c>
      <c r="R545" s="786">
        <v>0</v>
      </c>
      <c r="S545" s="786">
        <v>0</v>
      </c>
      <c r="T545" s="786">
        <v>0</v>
      </c>
      <c r="U545" s="822">
        <v>0</v>
      </c>
      <c r="V545" s="821">
        <v>0</v>
      </c>
      <c r="W545" s="821">
        <v>0</v>
      </c>
      <c r="X545" s="821">
        <v>0</v>
      </c>
      <c r="Y545" s="821">
        <v>0</v>
      </c>
      <c r="Z545" s="821">
        <v>0</v>
      </c>
      <c r="AA545" s="821">
        <v>0</v>
      </c>
      <c r="AB545" s="823">
        <v>0</v>
      </c>
    </row>
    <row r="546" spans="1:28">
      <c r="A546" s="696" t="str">
        <f t="shared" si="8"/>
        <v>National Grid</v>
      </c>
      <c r="B546" s="696" t="str">
        <f>'Lookups-Assumptions'!$D$4</f>
        <v>Gas</v>
      </c>
      <c r="C546" s="696" t="str">
        <f>'Lookups-Assumptions'!$D$6</f>
        <v>Evaluated</v>
      </c>
      <c r="D546" s="696" t="e">
        <f>#REF!</f>
        <v>#REF!</v>
      </c>
      <c r="E546" s="696" t="s">
        <v>1179</v>
      </c>
      <c r="F546" s="696" t="s">
        <v>83</v>
      </c>
      <c r="G546" s="696" t="s">
        <v>870</v>
      </c>
      <c r="H546" s="696" t="s">
        <v>659</v>
      </c>
      <c r="I546" s="696" t="s">
        <v>800</v>
      </c>
      <c r="J546" s="820">
        <v>0</v>
      </c>
      <c r="K546" s="821">
        <v>0</v>
      </c>
      <c r="L546" s="786">
        <v>0</v>
      </c>
      <c r="M546" s="786">
        <v>0</v>
      </c>
      <c r="N546" s="786">
        <v>0</v>
      </c>
      <c r="O546" s="786">
        <v>0</v>
      </c>
      <c r="P546" s="786">
        <v>0</v>
      </c>
      <c r="Q546" s="786">
        <v>0</v>
      </c>
      <c r="R546" s="786">
        <v>0</v>
      </c>
      <c r="S546" s="786">
        <v>0</v>
      </c>
      <c r="T546" s="786">
        <v>0</v>
      </c>
      <c r="U546" s="822">
        <v>0</v>
      </c>
      <c r="V546" s="821">
        <v>0</v>
      </c>
      <c r="W546" s="821">
        <v>0</v>
      </c>
      <c r="X546" s="821">
        <v>0</v>
      </c>
      <c r="Y546" s="821">
        <v>0</v>
      </c>
      <c r="Z546" s="821">
        <v>0</v>
      </c>
      <c r="AA546" s="821">
        <v>0</v>
      </c>
      <c r="AB546" s="823">
        <v>0</v>
      </c>
    </row>
    <row r="547" spans="1:28">
      <c r="A547" s="696" t="str">
        <f t="shared" si="8"/>
        <v>National Grid</v>
      </c>
      <c r="B547" s="696" t="str">
        <f>'Lookups-Assumptions'!$D$4</f>
        <v>Gas</v>
      </c>
      <c r="C547" s="696" t="str">
        <f>'Lookups-Assumptions'!$D$6</f>
        <v>Evaluated</v>
      </c>
      <c r="D547" s="696" t="e">
        <f>#REF!</f>
        <v>#REF!</v>
      </c>
      <c r="E547" s="696" t="s">
        <v>1180</v>
      </c>
      <c r="F547" s="696" t="s">
        <v>83</v>
      </c>
      <c r="G547" s="696" t="s">
        <v>870</v>
      </c>
      <c r="H547" s="696" t="s">
        <v>659</v>
      </c>
      <c r="I547" s="696" t="s">
        <v>801</v>
      </c>
      <c r="J547" s="820">
        <v>0</v>
      </c>
      <c r="K547" s="821">
        <v>0</v>
      </c>
      <c r="L547" s="786">
        <v>0</v>
      </c>
      <c r="M547" s="786">
        <v>0</v>
      </c>
      <c r="N547" s="786">
        <v>0</v>
      </c>
      <c r="O547" s="786">
        <v>0</v>
      </c>
      <c r="P547" s="786">
        <v>0</v>
      </c>
      <c r="Q547" s="786">
        <v>0</v>
      </c>
      <c r="R547" s="786">
        <v>0</v>
      </c>
      <c r="S547" s="786">
        <v>0</v>
      </c>
      <c r="T547" s="786">
        <v>0</v>
      </c>
      <c r="U547" s="822">
        <v>0</v>
      </c>
      <c r="V547" s="821">
        <v>0</v>
      </c>
      <c r="W547" s="821">
        <v>0</v>
      </c>
      <c r="X547" s="821">
        <v>0</v>
      </c>
      <c r="Y547" s="821">
        <v>0</v>
      </c>
      <c r="Z547" s="821">
        <v>0</v>
      </c>
      <c r="AA547" s="821">
        <v>0</v>
      </c>
      <c r="AB547" s="823">
        <v>0</v>
      </c>
    </row>
    <row r="548" spans="1:28">
      <c r="A548" s="696" t="str">
        <f t="shared" si="8"/>
        <v>National Grid</v>
      </c>
      <c r="B548" s="696" t="str">
        <f>'Lookups-Assumptions'!$D$4</f>
        <v>Gas</v>
      </c>
      <c r="C548" s="696" t="str">
        <f>'Lookups-Assumptions'!$D$6</f>
        <v>Evaluated</v>
      </c>
      <c r="D548" s="696" t="e">
        <f>#REF!</f>
        <v>#REF!</v>
      </c>
      <c r="E548" s="696" t="s">
        <v>1181</v>
      </c>
      <c r="F548" s="696" t="s">
        <v>83</v>
      </c>
      <c r="G548" s="696" t="s">
        <v>870</v>
      </c>
      <c r="H548" s="696" t="s">
        <v>659</v>
      </c>
      <c r="I548" s="696" t="s">
        <v>1319</v>
      </c>
      <c r="J548" s="820">
        <v>0</v>
      </c>
      <c r="K548" s="821">
        <v>0</v>
      </c>
      <c r="L548" s="786">
        <v>0</v>
      </c>
      <c r="M548" s="786">
        <v>0</v>
      </c>
      <c r="N548" s="786">
        <v>0</v>
      </c>
      <c r="O548" s="786">
        <v>0</v>
      </c>
      <c r="P548" s="786">
        <v>0</v>
      </c>
      <c r="Q548" s="786">
        <v>0</v>
      </c>
      <c r="R548" s="786">
        <v>0</v>
      </c>
      <c r="S548" s="786">
        <v>0</v>
      </c>
      <c r="T548" s="786">
        <v>0</v>
      </c>
      <c r="U548" s="822">
        <v>0</v>
      </c>
      <c r="V548" s="821">
        <v>0</v>
      </c>
      <c r="W548" s="821">
        <v>0</v>
      </c>
      <c r="X548" s="821">
        <v>0</v>
      </c>
      <c r="Y548" s="821">
        <v>0</v>
      </c>
      <c r="Z548" s="821">
        <v>0</v>
      </c>
      <c r="AA548" s="821">
        <v>0</v>
      </c>
      <c r="AB548" s="823">
        <v>0</v>
      </c>
    </row>
    <row r="549" spans="1:28">
      <c r="A549" s="696" t="str">
        <f t="shared" si="8"/>
        <v>National Grid</v>
      </c>
      <c r="B549" s="696" t="str">
        <f>'Lookups-Assumptions'!$D$4</f>
        <v>Gas</v>
      </c>
      <c r="C549" s="696" t="str">
        <f>'Lookups-Assumptions'!$D$6</f>
        <v>Evaluated</v>
      </c>
      <c r="D549" s="696" t="e">
        <f>#REF!</f>
        <v>#REF!</v>
      </c>
      <c r="E549" s="696" t="s">
        <v>1182</v>
      </c>
      <c r="F549" s="696" t="s">
        <v>83</v>
      </c>
      <c r="G549" s="696" t="s">
        <v>870</v>
      </c>
      <c r="H549" s="696" t="s">
        <v>912</v>
      </c>
      <c r="I549" s="696" t="s">
        <v>767</v>
      </c>
      <c r="J549" s="820">
        <v>2280.42</v>
      </c>
      <c r="K549" s="821">
        <v>1809349.6977399755</v>
      </c>
      <c r="L549" s="786">
        <v>0</v>
      </c>
      <c r="M549" s="786">
        <v>0</v>
      </c>
      <c r="N549" s="786">
        <v>14692.99462578</v>
      </c>
      <c r="O549" s="786">
        <v>279166.89788981999</v>
      </c>
      <c r="P549" s="786">
        <v>0</v>
      </c>
      <c r="Q549" s="786">
        <v>0</v>
      </c>
      <c r="R549" s="786">
        <v>0</v>
      </c>
      <c r="S549" s="786">
        <v>0</v>
      </c>
      <c r="T549" s="786">
        <v>0</v>
      </c>
      <c r="U549" s="822">
        <v>0</v>
      </c>
      <c r="V549" s="821">
        <v>0</v>
      </c>
      <c r="W549" s="821">
        <v>2396504.1856450159</v>
      </c>
      <c r="X549" s="821">
        <v>0</v>
      </c>
      <c r="Y549" s="821">
        <v>0</v>
      </c>
      <c r="Z549" s="821">
        <v>0</v>
      </c>
      <c r="AA549" s="821">
        <v>0</v>
      </c>
      <c r="AB549" s="823">
        <v>2396504.1856450159</v>
      </c>
    </row>
    <row r="550" spans="1:28">
      <c r="A550" s="696" t="str">
        <f t="shared" si="8"/>
        <v>National Grid</v>
      </c>
      <c r="B550" s="696" t="str">
        <f>'Lookups-Assumptions'!$D$4</f>
        <v>Gas</v>
      </c>
      <c r="C550" s="696" t="str">
        <f>'Lookups-Assumptions'!$D$6</f>
        <v>Evaluated</v>
      </c>
      <c r="D550" s="696" t="e">
        <f>#REF!</f>
        <v>#REF!</v>
      </c>
      <c r="E550" s="696" t="s">
        <v>1183</v>
      </c>
      <c r="F550" s="696" t="s">
        <v>83</v>
      </c>
      <c r="G550" s="696" t="s">
        <v>870</v>
      </c>
      <c r="H550" s="696" t="s">
        <v>912</v>
      </c>
      <c r="I550" s="696" t="s">
        <v>84</v>
      </c>
      <c r="J550" s="820">
        <v>0</v>
      </c>
      <c r="K550" s="821">
        <v>0</v>
      </c>
      <c r="L550" s="786">
        <v>0</v>
      </c>
      <c r="M550" s="786">
        <v>0</v>
      </c>
      <c r="N550" s="786">
        <v>0</v>
      </c>
      <c r="O550" s="786">
        <v>0</v>
      </c>
      <c r="P550" s="786">
        <v>0</v>
      </c>
      <c r="Q550" s="786">
        <v>0</v>
      </c>
      <c r="R550" s="786">
        <v>0</v>
      </c>
      <c r="S550" s="786">
        <v>0</v>
      </c>
      <c r="T550" s="786">
        <v>0</v>
      </c>
      <c r="U550" s="822">
        <v>0</v>
      </c>
      <c r="V550" s="821">
        <v>0</v>
      </c>
      <c r="W550" s="821">
        <v>0</v>
      </c>
      <c r="X550" s="821">
        <v>0</v>
      </c>
      <c r="Y550" s="821">
        <v>0</v>
      </c>
      <c r="Z550" s="821">
        <v>0</v>
      </c>
      <c r="AA550" s="821">
        <v>0</v>
      </c>
      <c r="AB550" s="823">
        <v>0</v>
      </c>
    </row>
    <row r="551" spans="1:28">
      <c r="A551" s="696" t="str">
        <f t="shared" si="8"/>
        <v>National Grid</v>
      </c>
      <c r="B551" s="696" t="str">
        <f>'Lookups-Assumptions'!$D$4</f>
        <v>Gas</v>
      </c>
      <c r="C551" s="696" t="str">
        <f>'Lookups-Assumptions'!$D$6</f>
        <v>Evaluated</v>
      </c>
      <c r="D551" s="696" t="e">
        <f>#REF!</f>
        <v>#REF!</v>
      </c>
      <c r="E551" s="696" t="s">
        <v>1184</v>
      </c>
      <c r="F551" s="696" t="s">
        <v>83</v>
      </c>
      <c r="G551" s="696" t="s">
        <v>870</v>
      </c>
      <c r="H551" s="696" t="s">
        <v>912</v>
      </c>
      <c r="I551" s="696" t="s">
        <v>768</v>
      </c>
      <c r="J551" s="820">
        <v>0</v>
      </c>
      <c r="K551" s="821">
        <v>0</v>
      </c>
      <c r="L551" s="786">
        <v>0</v>
      </c>
      <c r="M551" s="786">
        <v>0</v>
      </c>
      <c r="N551" s="786">
        <v>0</v>
      </c>
      <c r="O551" s="786">
        <v>0</v>
      </c>
      <c r="P551" s="786">
        <v>0</v>
      </c>
      <c r="Q551" s="786">
        <v>0</v>
      </c>
      <c r="R551" s="786">
        <v>0</v>
      </c>
      <c r="S551" s="786">
        <v>0</v>
      </c>
      <c r="T551" s="786">
        <v>0</v>
      </c>
      <c r="U551" s="822">
        <v>0</v>
      </c>
      <c r="V551" s="821">
        <v>0</v>
      </c>
      <c r="W551" s="821">
        <v>0</v>
      </c>
      <c r="X551" s="821">
        <v>0</v>
      </c>
      <c r="Y551" s="821">
        <v>0</v>
      </c>
      <c r="Z551" s="821">
        <v>0</v>
      </c>
      <c r="AA551" s="821">
        <v>0</v>
      </c>
      <c r="AB551" s="823">
        <v>0</v>
      </c>
    </row>
    <row r="552" spans="1:28">
      <c r="A552" s="696" t="str">
        <f t="shared" si="8"/>
        <v>National Grid</v>
      </c>
      <c r="B552" s="696" t="str">
        <f>'Lookups-Assumptions'!$D$4</f>
        <v>Gas</v>
      </c>
      <c r="C552" s="696" t="str">
        <f>'Lookups-Assumptions'!$D$6</f>
        <v>Evaluated</v>
      </c>
      <c r="D552" s="696" t="e">
        <f>#REF!</f>
        <v>#REF!</v>
      </c>
      <c r="E552" s="696" t="s">
        <v>1185</v>
      </c>
      <c r="F552" s="696" t="s">
        <v>83</v>
      </c>
      <c r="G552" s="696" t="s">
        <v>870</v>
      </c>
      <c r="H552" s="696" t="s">
        <v>912</v>
      </c>
      <c r="I552" s="696" t="s">
        <v>770</v>
      </c>
      <c r="J552" s="820">
        <v>0</v>
      </c>
      <c r="K552" s="821">
        <v>0</v>
      </c>
      <c r="L552" s="786">
        <v>0</v>
      </c>
      <c r="M552" s="786">
        <v>0</v>
      </c>
      <c r="N552" s="786">
        <v>0</v>
      </c>
      <c r="O552" s="786">
        <v>0</v>
      </c>
      <c r="P552" s="786">
        <v>0</v>
      </c>
      <c r="Q552" s="786">
        <v>0</v>
      </c>
      <c r="R552" s="786">
        <v>0</v>
      </c>
      <c r="S552" s="786">
        <v>0</v>
      </c>
      <c r="T552" s="786">
        <v>0</v>
      </c>
      <c r="U552" s="822">
        <v>0</v>
      </c>
      <c r="V552" s="821">
        <v>0</v>
      </c>
      <c r="W552" s="821">
        <v>0</v>
      </c>
      <c r="X552" s="821">
        <v>0</v>
      </c>
      <c r="Y552" s="821">
        <v>0</v>
      </c>
      <c r="Z552" s="821">
        <v>0</v>
      </c>
      <c r="AA552" s="821">
        <v>0</v>
      </c>
      <c r="AB552" s="823">
        <v>0</v>
      </c>
    </row>
    <row r="553" spans="1:28">
      <c r="A553" s="696" t="str">
        <f t="shared" si="8"/>
        <v>National Grid</v>
      </c>
      <c r="B553" s="696" t="str">
        <f>'Lookups-Assumptions'!$D$4</f>
        <v>Gas</v>
      </c>
      <c r="C553" s="696" t="str">
        <f>'Lookups-Assumptions'!$D$6</f>
        <v>Evaluated</v>
      </c>
      <c r="D553" s="696" t="e">
        <f>#REF!</f>
        <v>#REF!</v>
      </c>
      <c r="E553" s="696" t="s">
        <v>1186</v>
      </c>
      <c r="F553" s="696" t="s">
        <v>83</v>
      </c>
      <c r="G553" s="696" t="s">
        <v>870</v>
      </c>
      <c r="H553" s="696" t="s">
        <v>912</v>
      </c>
      <c r="I553" s="696" t="s">
        <v>1312</v>
      </c>
      <c r="J553" s="820">
        <v>0</v>
      </c>
      <c r="K553" s="821">
        <v>0</v>
      </c>
      <c r="L553" s="786">
        <v>0</v>
      </c>
      <c r="M553" s="786">
        <v>0</v>
      </c>
      <c r="N553" s="786">
        <v>0</v>
      </c>
      <c r="O553" s="786">
        <v>0</v>
      </c>
      <c r="P553" s="786">
        <v>0</v>
      </c>
      <c r="Q553" s="786">
        <v>0</v>
      </c>
      <c r="R553" s="786">
        <v>0</v>
      </c>
      <c r="S553" s="786">
        <v>0</v>
      </c>
      <c r="T553" s="786">
        <v>0</v>
      </c>
      <c r="U553" s="822">
        <v>0</v>
      </c>
      <c r="V553" s="821">
        <v>0</v>
      </c>
      <c r="W553" s="821">
        <v>0</v>
      </c>
      <c r="X553" s="821">
        <v>0</v>
      </c>
      <c r="Y553" s="821">
        <v>0</v>
      </c>
      <c r="Z553" s="821">
        <v>0</v>
      </c>
      <c r="AA553" s="821">
        <v>0</v>
      </c>
      <c r="AB553" s="823">
        <v>0</v>
      </c>
    </row>
    <row r="554" spans="1:28">
      <c r="A554" s="696" t="str">
        <f t="shared" si="8"/>
        <v>National Grid</v>
      </c>
      <c r="B554" s="696" t="str">
        <f>'Lookups-Assumptions'!$D$4</f>
        <v>Gas</v>
      </c>
      <c r="C554" s="696" t="str">
        <f>'Lookups-Assumptions'!$D$6</f>
        <v>Evaluated</v>
      </c>
      <c r="D554" s="696" t="e">
        <f>#REF!</f>
        <v>#REF!</v>
      </c>
      <c r="E554" s="696" t="s">
        <v>1187</v>
      </c>
      <c r="F554" s="696" t="s">
        <v>83</v>
      </c>
      <c r="G554" s="696" t="s">
        <v>870</v>
      </c>
      <c r="H554" s="696" t="s">
        <v>912</v>
      </c>
      <c r="I554" s="696" t="s">
        <v>1301</v>
      </c>
      <c r="J554" s="820">
        <v>0</v>
      </c>
      <c r="K554" s="821">
        <v>0</v>
      </c>
      <c r="L554" s="786">
        <v>0</v>
      </c>
      <c r="M554" s="786">
        <v>0</v>
      </c>
      <c r="N554" s="786">
        <v>0</v>
      </c>
      <c r="O554" s="786">
        <v>0</v>
      </c>
      <c r="P554" s="786">
        <v>0</v>
      </c>
      <c r="Q554" s="786">
        <v>0</v>
      </c>
      <c r="R554" s="786">
        <v>0</v>
      </c>
      <c r="S554" s="786">
        <v>0</v>
      </c>
      <c r="T554" s="786">
        <v>0</v>
      </c>
      <c r="U554" s="822">
        <v>0</v>
      </c>
      <c r="V554" s="821">
        <v>0</v>
      </c>
      <c r="W554" s="821">
        <v>0</v>
      </c>
      <c r="X554" s="821">
        <v>0</v>
      </c>
      <c r="Y554" s="821">
        <v>0</v>
      </c>
      <c r="Z554" s="821">
        <v>0</v>
      </c>
      <c r="AA554" s="821">
        <v>0</v>
      </c>
      <c r="AB554" s="823">
        <v>0</v>
      </c>
    </row>
    <row r="555" spans="1:28">
      <c r="A555" s="696" t="str">
        <f t="shared" si="8"/>
        <v>National Grid</v>
      </c>
      <c r="B555" s="696" t="str">
        <f>'Lookups-Assumptions'!$D$4</f>
        <v>Gas</v>
      </c>
      <c r="C555" s="696" t="str">
        <f>'Lookups-Assumptions'!$D$6</f>
        <v>Evaluated</v>
      </c>
      <c r="D555" s="696" t="e">
        <f>#REF!</f>
        <v>#REF!</v>
      </c>
      <c r="E555" s="696" t="s">
        <v>1188</v>
      </c>
      <c r="F555" s="696" t="s">
        <v>83</v>
      </c>
      <c r="G555" s="696" t="s">
        <v>870</v>
      </c>
      <c r="H555" s="696" t="s">
        <v>912</v>
      </c>
      <c r="I555" s="696" t="s">
        <v>730</v>
      </c>
      <c r="J555" s="820">
        <v>1030</v>
      </c>
      <c r="K555" s="821">
        <v>4336.1022600243014</v>
      </c>
      <c r="L555" s="786">
        <v>0</v>
      </c>
      <c r="M555" s="786">
        <v>0</v>
      </c>
      <c r="N555" s="786">
        <v>52.282800000000009</v>
      </c>
      <c r="O555" s="786">
        <v>784.24200000000019</v>
      </c>
      <c r="P555" s="786">
        <v>0</v>
      </c>
      <c r="Q555" s="786">
        <v>0</v>
      </c>
      <c r="R555" s="786">
        <v>0</v>
      </c>
      <c r="S555" s="786">
        <v>0</v>
      </c>
      <c r="T555" s="786">
        <v>0</v>
      </c>
      <c r="U555" s="822">
        <v>0</v>
      </c>
      <c r="V555" s="821">
        <v>0</v>
      </c>
      <c r="W555" s="821">
        <v>6036.4596975726599</v>
      </c>
      <c r="X555" s="821">
        <v>0</v>
      </c>
      <c r="Y555" s="821">
        <v>0</v>
      </c>
      <c r="Z555" s="821">
        <v>0</v>
      </c>
      <c r="AA555" s="821">
        <v>0</v>
      </c>
      <c r="AB555" s="823">
        <v>6036.4596975726599</v>
      </c>
    </row>
    <row r="556" spans="1:28">
      <c r="A556" s="696" t="str">
        <f t="shared" si="8"/>
        <v>National Grid</v>
      </c>
      <c r="B556" s="696" t="str">
        <f>'Lookups-Assumptions'!$D$4</f>
        <v>Gas</v>
      </c>
      <c r="C556" s="696" t="str">
        <f>'Lookups-Assumptions'!$D$6</f>
        <v>Evaluated</v>
      </c>
      <c r="D556" s="696" t="e">
        <f>#REF!</f>
        <v>#REF!</v>
      </c>
      <c r="E556" s="696" t="s">
        <v>1189</v>
      </c>
      <c r="F556" s="696" t="s">
        <v>83</v>
      </c>
      <c r="G556" s="696" t="s">
        <v>870</v>
      </c>
      <c r="H556" s="696" t="s">
        <v>912</v>
      </c>
      <c r="I556" s="696" t="s">
        <v>731</v>
      </c>
      <c r="J556" s="820">
        <v>0</v>
      </c>
      <c r="K556" s="821">
        <v>0</v>
      </c>
      <c r="L556" s="786">
        <v>0</v>
      </c>
      <c r="M556" s="786">
        <v>0</v>
      </c>
      <c r="N556" s="786">
        <v>0</v>
      </c>
      <c r="O556" s="786">
        <v>0</v>
      </c>
      <c r="P556" s="786">
        <v>0</v>
      </c>
      <c r="Q556" s="786">
        <v>0</v>
      </c>
      <c r="R556" s="786">
        <v>0</v>
      </c>
      <c r="S556" s="786">
        <v>0</v>
      </c>
      <c r="T556" s="786">
        <v>0</v>
      </c>
      <c r="U556" s="822">
        <v>0</v>
      </c>
      <c r="V556" s="821">
        <v>0</v>
      </c>
      <c r="W556" s="821">
        <v>0</v>
      </c>
      <c r="X556" s="821">
        <v>0</v>
      </c>
      <c r="Y556" s="821">
        <v>0</v>
      </c>
      <c r="Z556" s="821">
        <v>0</v>
      </c>
      <c r="AA556" s="821">
        <v>0</v>
      </c>
      <c r="AB556" s="823">
        <v>0</v>
      </c>
    </row>
    <row r="557" spans="1:28">
      <c r="A557" s="696" t="str">
        <f t="shared" si="8"/>
        <v>National Grid</v>
      </c>
      <c r="B557" s="696" t="str">
        <f>'Lookups-Assumptions'!$D$4</f>
        <v>Gas</v>
      </c>
      <c r="C557" s="696" t="str">
        <f>'Lookups-Assumptions'!$D$6</f>
        <v>Evaluated</v>
      </c>
      <c r="D557" s="696" t="e">
        <f>#REF!</f>
        <v>#REF!</v>
      </c>
      <c r="E557" s="696" t="s">
        <v>1190</v>
      </c>
      <c r="F557" s="696" t="s">
        <v>83</v>
      </c>
      <c r="G557" s="696" t="s">
        <v>870</v>
      </c>
      <c r="H557" s="696" t="s">
        <v>912</v>
      </c>
      <c r="I557" s="696" t="s">
        <v>1304</v>
      </c>
      <c r="J557" s="820">
        <v>5356</v>
      </c>
      <c r="K557" s="821">
        <v>17085.64</v>
      </c>
      <c r="L557" s="786">
        <v>0</v>
      </c>
      <c r="M557" s="786">
        <v>0</v>
      </c>
      <c r="N557" s="786">
        <v>2338.086816</v>
      </c>
      <c r="O557" s="786">
        <v>16366.607712000001</v>
      </c>
      <c r="P557" s="786">
        <v>0</v>
      </c>
      <c r="Q557" s="786">
        <v>0</v>
      </c>
      <c r="R557" s="786">
        <v>0</v>
      </c>
      <c r="S557" s="786">
        <v>0</v>
      </c>
      <c r="T557" s="786">
        <v>1504350.432</v>
      </c>
      <c r="U557" s="822">
        <v>10530453.024</v>
      </c>
      <c r="V557" s="821">
        <v>0</v>
      </c>
      <c r="W557" s="821">
        <v>128970.42166295202</v>
      </c>
      <c r="X557" s="821">
        <v>0</v>
      </c>
      <c r="Y557" s="821">
        <v>0</v>
      </c>
      <c r="Z557" s="821">
        <v>67405.838267578991</v>
      </c>
      <c r="AA557" s="821">
        <v>0</v>
      </c>
      <c r="AB557" s="823">
        <v>196376.25993053103</v>
      </c>
    </row>
    <row r="558" spans="1:28">
      <c r="A558" s="696" t="str">
        <f t="shared" si="8"/>
        <v>National Grid</v>
      </c>
      <c r="B558" s="696" t="str">
        <f>'Lookups-Assumptions'!$D$4</f>
        <v>Gas</v>
      </c>
      <c r="C558" s="696" t="str">
        <f>'Lookups-Assumptions'!$D$6</f>
        <v>Evaluated</v>
      </c>
      <c r="D558" s="696" t="e">
        <f>#REF!</f>
        <v>#REF!</v>
      </c>
      <c r="E558" s="696" t="s">
        <v>1191</v>
      </c>
      <c r="F558" s="696" t="s">
        <v>83</v>
      </c>
      <c r="G558" s="696" t="s">
        <v>870</v>
      </c>
      <c r="H558" s="696" t="s">
        <v>912</v>
      </c>
      <c r="I558" s="696" t="s">
        <v>1305</v>
      </c>
      <c r="J558" s="820">
        <v>2678</v>
      </c>
      <c r="K558" s="821">
        <v>40223.56</v>
      </c>
      <c r="L558" s="786">
        <v>0</v>
      </c>
      <c r="M558" s="786">
        <v>0</v>
      </c>
      <c r="N558" s="786">
        <v>1549.662192</v>
      </c>
      <c r="O558" s="786">
        <v>10847.635344</v>
      </c>
      <c r="P558" s="786">
        <v>0</v>
      </c>
      <c r="Q558" s="786">
        <v>0</v>
      </c>
      <c r="R558" s="786">
        <v>0</v>
      </c>
      <c r="S558" s="786">
        <v>0</v>
      </c>
      <c r="T558" s="786">
        <v>4904998.0200000005</v>
      </c>
      <c r="U558" s="822">
        <v>34334986.140000001</v>
      </c>
      <c r="V558" s="821">
        <v>0</v>
      </c>
      <c r="W558" s="821">
        <v>85480.395753351913</v>
      </c>
      <c r="X558" s="821">
        <v>0</v>
      </c>
      <c r="Y558" s="821">
        <v>0</v>
      </c>
      <c r="Z558" s="821">
        <v>219779.578086308</v>
      </c>
      <c r="AA558" s="821">
        <v>68.117004687178849</v>
      </c>
      <c r="AB558" s="823">
        <v>305328.09084434714</v>
      </c>
    </row>
    <row r="559" spans="1:28">
      <c r="A559" s="696" t="str">
        <f t="shared" si="8"/>
        <v>National Grid</v>
      </c>
      <c r="B559" s="696" t="str">
        <f>'Lookups-Assumptions'!$D$4</f>
        <v>Gas</v>
      </c>
      <c r="C559" s="696" t="str">
        <f>'Lookups-Assumptions'!$D$6</f>
        <v>Evaluated</v>
      </c>
      <c r="D559" s="696" t="e">
        <f>#REF!</f>
        <v>#REF!</v>
      </c>
      <c r="E559" s="696" t="s">
        <v>1192</v>
      </c>
      <c r="F559" s="696" t="s">
        <v>83</v>
      </c>
      <c r="G559" s="696" t="s">
        <v>870</v>
      </c>
      <c r="H559" s="696" t="s">
        <v>912</v>
      </c>
      <c r="I559" s="696" t="s">
        <v>1309</v>
      </c>
      <c r="J559" s="820">
        <v>1287.5</v>
      </c>
      <c r="K559" s="821">
        <v>136475</v>
      </c>
      <c r="L559" s="786">
        <v>0</v>
      </c>
      <c r="M559" s="786">
        <v>0</v>
      </c>
      <c r="N559" s="786">
        <v>1503.1305</v>
      </c>
      <c r="O559" s="786">
        <v>22546.9575</v>
      </c>
      <c r="P559" s="786">
        <v>0</v>
      </c>
      <c r="Q559" s="786">
        <v>0</v>
      </c>
      <c r="R559" s="786">
        <v>0</v>
      </c>
      <c r="S559" s="786">
        <v>0</v>
      </c>
      <c r="T559" s="786">
        <v>0</v>
      </c>
      <c r="U559" s="822">
        <v>0</v>
      </c>
      <c r="V559" s="821">
        <v>0</v>
      </c>
      <c r="W559" s="821">
        <v>191294.20604236174</v>
      </c>
      <c r="X559" s="821">
        <v>0</v>
      </c>
      <c r="Y559" s="821">
        <v>0</v>
      </c>
      <c r="Z559" s="821">
        <v>0</v>
      </c>
      <c r="AA559" s="821">
        <v>142382.82545162211</v>
      </c>
      <c r="AB559" s="823">
        <v>333677.03149398381</v>
      </c>
    </row>
    <row r="560" spans="1:28">
      <c r="A560" s="696" t="str">
        <f t="shared" si="8"/>
        <v>National Grid</v>
      </c>
      <c r="B560" s="696" t="str">
        <f>'Lookups-Assumptions'!$D$4</f>
        <v>Gas</v>
      </c>
      <c r="C560" s="696" t="str">
        <f>'Lookups-Assumptions'!$D$6</f>
        <v>Evaluated</v>
      </c>
      <c r="D560" s="696" t="e">
        <f>#REF!</f>
        <v>#REF!</v>
      </c>
      <c r="E560" s="696" t="s">
        <v>1193</v>
      </c>
      <c r="F560" s="696" t="s">
        <v>83</v>
      </c>
      <c r="G560" s="696" t="s">
        <v>870</v>
      </c>
      <c r="H560" s="696" t="s">
        <v>912</v>
      </c>
      <c r="I560" s="696" t="s">
        <v>759</v>
      </c>
      <c r="J560" s="820">
        <v>0</v>
      </c>
      <c r="K560" s="821">
        <v>0</v>
      </c>
      <c r="L560" s="786">
        <v>0</v>
      </c>
      <c r="M560" s="786">
        <v>0</v>
      </c>
      <c r="N560" s="786">
        <v>0</v>
      </c>
      <c r="O560" s="786">
        <v>0</v>
      </c>
      <c r="P560" s="786">
        <v>0</v>
      </c>
      <c r="Q560" s="786">
        <v>0</v>
      </c>
      <c r="R560" s="786">
        <v>0</v>
      </c>
      <c r="S560" s="786">
        <v>0</v>
      </c>
      <c r="T560" s="786">
        <v>0</v>
      </c>
      <c r="U560" s="822">
        <v>0</v>
      </c>
      <c r="V560" s="821">
        <v>0</v>
      </c>
      <c r="W560" s="821">
        <v>0</v>
      </c>
      <c r="X560" s="821">
        <v>0</v>
      </c>
      <c r="Y560" s="821">
        <v>0</v>
      </c>
      <c r="Z560" s="821">
        <v>0</v>
      </c>
      <c r="AA560" s="821">
        <v>0</v>
      </c>
      <c r="AB560" s="823">
        <v>0</v>
      </c>
    </row>
    <row r="561" spans="1:28">
      <c r="A561" s="696" t="str">
        <f t="shared" si="8"/>
        <v>National Grid</v>
      </c>
      <c r="B561" s="696" t="str">
        <f>'Lookups-Assumptions'!$D$4</f>
        <v>Gas</v>
      </c>
      <c r="C561" s="696" t="str">
        <f>'Lookups-Assumptions'!$D$6</f>
        <v>Evaluated</v>
      </c>
      <c r="D561" s="696" t="e">
        <f>#REF!</f>
        <v>#REF!</v>
      </c>
      <c r="E561" s="696" t="s">
        <v>1194</v>
      </c>
      <c r="F561" s="696" t="s">
        <v>83</v>
      </c>
      <c r="G561" s="696" t="s">
        <v>870</v>
      </c>
      <c r="H561" s="696" t="s">
        <v>912</v>
      </c>
      <c r="I561" s="696" t="s">
        <v>1395</v>
      </c>
      <c r="J561" s="820">
        <v>0</v>
      </c>
      <c r="K561" s="821">
        <v>0</v>
      </c>
      <c r="L561" s="786">
        <v>0</v>
      </c>
      <c r="M561" s="786">
        <v>0</v>
      </c>
      <c r="N561" s="786">
        <v>0</v>
      </c>
      <c r="O561" s="786">
        <v>0</v>
      </c>
      <c r="P561" s="786">
        <v>0</v>
      </c>
      <c r="Q561" s="786">
        <v>0</v>
      </c>
      <c r="R561" s="786">
        <v>0</v>
      </c>
      <c r="S561" s="786">
        <v>0</v>
      </c>
      <c r="T561" s="786">
        <v>0</v>
      </c>
      <c r="U561" s="822">
        <v>0</v>
      </c>
      <c r="V561" s="821">
        <v>0</v>
      </c>
      <c r="W561" s="821">
        <v>0</v>
      </c>
      <c r="X561" s="821">
        <v>0</v>
      </c>
      <c r="Y561" s="821">
        <v>0</v>
      </c>
      <c r="Z561" s="821">
        <v>0</v>
      </c>
      <c r="AA561" s="821">
        <v>0</v>
      </c>
      <c r="AB561" s="823">
        <v>0</v>
      </c>
    </row>
    <row r="562" spans="1:28">
      <c r="A562" s="696" t="str">
        <f t="shared" si="8"/>
        <v>National Grid</v>
      </c>
      <c r="B562" s="696" t="str">
        <f>'Lookups-Assumptions'!$D$4</f>
        <v>Gas</v>
      </c>
      <c r="C562" s="696" t="str">
        <f>'Lookups-Assumptions'!$D$6</f>
        <v>Evaluated</v>
      </c>
      <c r="D562" s="696" t="e">
        <f>#REF!</f>
        <v>#REF!</v>
      </c>
      <c r="E562" s="696" t="s">
        <v>1195</v>
      </c>
      <c r="F562" s="696" t="s">
        <v>83</v>
      </c>
      <c r="G562" s="696" t="s">
        <v>870</v>
      </c>
      <c r="H562" s="696" t="s">
        <v>912</v>
      </c>
      <c r="I562" s="696" t="s">
        <v>1308</v>
      </c>
      <c r="J562" s="820">
        <v>12.36</v>
      </c>
      <c r="K562" s="821">
        <v>27810</v>
      </c>
      <c r="L562" s="786">
        <v>0</v>
      </c>
      <c r="M562" s="786">
        <v>0</v>
      </c>
      <c r="N562" s="786">
        <v>730.913544</v>
      </c>
      <c r="O562" s="786">
        <v>10963.703160000001</v>
      </c>
      <c r="P562" s="786">
        <v>0</v>
      </c>
      <c r="Q562" s="786">
        <v>0</v>
      </c>
      <c r="R562" s="786">
        <v>0</v>
      </c>
      <c r="S562" s="786">
        <v>0</v>
      </c>
      <c r="T562" s="786">
        <v>0</v>
      </c>
      <c r="U562" s="822">
        <v>0</v>
      </c>
      <c r="V562" s="821">
        <v>0</v>
      </c>
      <c r="W562" s="821">
        <v>84389.70657206577</v>
      </c>
      <c r="X562" s="821">
        <v>0</v>
      </c>
      <c r="Y562" s="821">
        <v>0</v>
      </c>
      <c r="Z562" s="821">
        <v>0</v>
      </c>
      <c r="AA562" s="821">
        <v>0</v>
      </c>
      <c r="AB562" s="823">
        <v>84389.70657206577</v>
      </c>
    </row>
    <row r="563" spans="1:28">
      <c r="A563" s="696" t="str">
        <f t="shared" si="8"/>
        <v>National Grid</v>
      </c>
      <c r="B563" s="696" t="str">
        <f>'Lookups-Assumptions'!$D$4</f>
        <v>Gas</v>
      </c>
      <c r="C563" s="696" t="str">
        <f>'Lookups-Assumptions'!$D$6</f>
        <v>Evaluated</v>
      </c>
      <c r="D563" s="696" t="e">
        <f>#REF!</f>
        <v>#REF!</v>
      </c>
      <c r="E563" s="696" t="s">
        <v>1196</v>
      </c>
      <c r="F563" s="696" t="s">
        <v>83</v>
      </c>
      <c r="G563" s="696" t="s">
        <v>870</v>
      </c>
      <c r="H563" s="696" t="s">
        <v>912</v>
      </c>
      <c r="I563" s="696" t="s">
        <v>413</v>
      </c>
      <c r="J563" s="820">
        <v>0</v>
      </c>
      <c r="K563" s="821">
        <v>0</v>
      </c>
      <c r="L563" s="786">
        <v>0</v>
      </c>
      <c r="M563" s="786">
        <v>0</v>
      </c>
      <c r="N563" s="786">
        <v>0</v>
      </c>
      <c r="O563" s="786">
        <v>0</v>
      </c>
      <c r="P563" s="786">
        <v>0</v>
      </c>
      <c r="Q563" s="786">
        <v>0</v>
      </c>
      <c r="R563" s="786">
        <v>0</v>
      </c>
      <c r="S563" s="786">
        <v>0</v>
      </c>
      <c r="T563" s="786">
        <v>0</v>
      </c>
      <c r="U563" s="822">
        <v>0</v>
      </c>
      <c r="V563" s="821">
        <v>0</v>
      </c>
      <c r="W563" s="821">
        <v>0</v>
      </c>
      <c r="X563" s="821">
        <v>0</v>
      </c>
      <c r="Y563" s="821">
        <v>0</v>
      </c>
      <c r="Z563" s="821">
        <v>0</v>
      </c>
      <c r="AA563" s="821">
        <v>0</v>
      </c>
      <c r="AB563" s="823">
        <v>0</v>
      </c>
    </row>
    <row r="564" spans="1:28">
      <c r="A564" s="696" t="str">
        <f t="shared" si="8"/>
        <v>National Grid</v>
      </c>
      <c r="B564" s="696" t="str">
        <f>'Lookups-Assumptions'!$D$4</f>
        <v>Gas</v>
      </c>
      <c r="C564" s="696" t="str">
        <f>'Lookups-Assumptions'!$D$6</f>
        <v>Evaluated</v>
      </c>
      <c r="D564" s="696" t="e">
        <f>#REF!</f>
        <v>#REF!</v>
      </c>
      <c r="E564" s="696" t="s">
        <v>1197</v>
      </c>
      <c r="F564" s="696" t="s">
        <v>83</v>
      </c>
      <c r="G564" s="696" t="s">
        <v>870</v>
      </c>
      <c r="H564" s="696" t="s">
        <v>912</v>
      </c>
      <c r="I564" s="696" t="s">
        <v>414</v>
      </c>
      <c r="J564" s="820">
        <v>0</v>
      </c>
      <c r="K564" s="821">
        <v>0</v>
      </c>
      <c r="L564" s="786">
        <v>0</v>
      </c>
      <c r="M564" s="786">
        <v>0</v>
      </c>
      <c r="N564" s="786">
        <v>0</v>
      </c>
      <c r="O564" s="786">
        <v>0</v>
      </c>
      <c r="P564" s="786">
        <v>0</v>
      </c>
      <c r="Q564" s="786">
        <v>0</v>
      </c>
      <c r="R564" s="786">
        <v>0</v>
      </c>
      <c r="S564" s="786">
        <v>0</v>
      </c>
      <c r="T564" s="786">
        <v>0</v>
      </c>
      <c r="U564" s="822">
        <v>0</v>
      </c>
      <c r="V564" s="821">
        <v>0</v>
      </c>
      <c r="W564" s="821">
        <v>0</v>
      </c>
      <c r="X564" s="821">
        <v>0</v>
      </c>
      <c r="Y564" s="821">
        <v>0</v>
      </c>
      <c r="Z564" s="821">
        <v>0</v>
      </c>
      <c r="AA564" s="821">
        <v>0</v>
      </c>
      <c r="AB564" s="823">
        <v>0</v>
      </c>
    </row>
  </sheetData>
  <pageMargins left="0.7" right="0.7" top="1.3958333333333333" bottom="0.75" header="0.3" footer="0.3"/>
  <pageSetup orientation="portrait" r:id="rId3"/>
  <headerFooter>
    <oddHeader>&amp;RBoston Gas Company and Colonial Gas Company 
d/b/a National Grid 
D.P.U. 18-51
2017 Energy Efficiency Plan-Year Report
Appendix 2, BCR Model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Y331"/>
  <sheetViews>
    <sheetView zoomScale="80" zoomScaleNormal="80" workbookViewId="0">
      <selection activeCell="N15" sqref="N15"/>
    </sheetView>
  </sheetViews>
  <sheetFormatPr defaultRowHeight="21" customHeight="1" outlineLevelRow="1"/>
  <cols>
    <col min="1" max="1" width="7.42578125" style="684" customWidth="1"/>
    <col min="2" max="2" width="41.7109375" style="681" customWidth="1"/>
    <col min="3" max="3" width="40" style="681" customWidth="1"/>
    <col min="4" max="4" width="28.140625" style="681" customWidth="1"/>
    <col min="5" max="5" width="10.5703125" style="683" bestFit="1" customWidth="1"/>
    <col min="6" max="6" width="11.5703125" style="683" bestFit="1" customWidth="1"/>
    <col min="7" max="7" width="13.5703125" style="683" customWidth="1"/>
    <col min="8" max="8" width="11.42578125" style="683" customWidth="1"/>
    <col min="9" max="9" width="13.140625" style="683" customWidth="1"/>
    <col min="10" max="10" width="12.42578125" style="683" customWidth="1"/>
    <col min="11" max="11" width="2.7109375" style="681" customWidth="1"/>
    <col min="12" max="13" width="10.5703125" style="682" bestFit="1" customWidth="1"/>
    <col min="14" max="14" width="11" style="682" customWidth="1"/>
    <col min="15" max="15" width="10.5703125" style="682" customWidth="1"/>
    <col min="16" max="16" width="11.140625" style="682" customWidth="1"/>
    <col min="17" max="17" width="10.85546875" style="682" customWidth="1"/>
    <col min="18" max="18" width="12.7109375" style="682" customWidth="1"/>
    <col min="19" max="19" width="11.7109375" style="681" customWidth="1"/>
    <col min="20" max="20" width="11.85546875" style="681" customWidth="1"/>
    <col min="21" max="252" width="9.140625" style="681"/>
    <col min="253" max="253" width="14" style="681" bestFit="1" customWidth="1"/>
    <col min="254" max="254" width="38.42578125" style="681" bestFit="1" customWidth="1"/>
    <col min="255" max="255" width="67.42578125" style="681" bestFit="1" customWidth="1"/>
    <col min="256" max="256" width="35.42578125" style="681" bestFit="1" customWidth="1"/>
    <col min="257" max="257" width="10.5703125" style="681" bestFit="1" customWidth="1"/>
    <col min="258" max="258" width="11.5703125" style="681" bestFit="1" customWidth="1"/>
    <col min="259" max="259" width="13.5703125" style="681" bestFit="1" customWidth="1"/>
    <col min="260" max="260" width="11.42578125" style="681" bestFit="1" customWidth="1"/>
    <col min="261" max="261" width="13.140625" style="681" bestFit="1" customWidth="1"/>
    <col min="262" max="262" width="12.42578125" style="681" bestFit="1" customWidth="1"/>
    <col min="263" max="508" width="9.140625" style="681"/>
    <col min="509" max="509" width="14" style="681" bestFit="1" customWidth="1"/>
    <col min="510" max="510" width="38.42578125" style="681" bestFit="1" customWidth="1"/>
    <col min="511" max="511" width="67.42578125" style="681" bestFit="1" customWidth="1"/>
    <col min="512" max="512" width="35.42578125" style="681" bestFit="1" customWidth="1"/>
    <col min="513" max="513" width="10.5703125" style="681" bestFit="1" customWidth="1"/>
    <col min="514" max="514" width="11.5703125" style="681" bestFit="1" customWidth="1"/>
    <col min="515" max="515" width="13.5703125" style="681" bestFit="1" customWidth="1"/>
    <col min="516" max="516" width="11.42578125" style="681" bestFit="1" customWidth="1"/>
    <col min="517" max="517" width="13.140625" style="681" bestFit="1" customWidth="1"/>
    <col min="518" max="518" width="12.42578125" style="681" bestFit="1" customWidth="1"/>
    <col min="519" max="764" width="9.140625" style="681"/>
    <col min="765" max="765" width="14" style="681" bestFit="1" customWidth="1"/>
    <col min="766" max="766" width="38.42578125" style="681" bestFit="1" customWidth="1"/>
    <col min="767" max="767" width="67.42578125" style="681" bestFit="1" customWidth="1"/>
    <col min="768" max="768" width="35.42578125" style="681" bestFit="1" customWidth="1"/>
    <col min="769" max="769" width="10.5703125" style="681" bestFit="1" customWidth="1"/>
    <col min="770" max="770" width="11.5703125" style="681" bestFit="1" customWidth="1"/>
    <col min="771" max="771" width="13.5703125" style="681" bestFit="1" customWidth="1"/>
    <col min="772" max="772" width="11.42578125" style="681" bestFit="1" customWidth="1"/>
    <col min="773" max="773" width="13.140625" style="681" bestFit="1" customWidth="1"/>
    <col min="774" max="774" width="12.42578125" style="681" bestFit="1" customWidth="1"/>
    <col min="775" max="1020" width="9.140625" style="681"/>
    <col min="1021" max="1021" width="14" style="681" bestFit="1" customWidth="1"/>
    <col min="1022" max="1022" width="38.42578125" style="681" bestFit="1" customWidth="1"/>
    <col min="1023" max="1023" width="67.42578125" style="681" bestFit="1" customWidth="1"/>
    <col min="1024" max="1024" width="35.42578125" style="681" bestFit="1" customWidth="1"/>
    <col min="1025" max="1025" width="10.5703125" style="681" bestFit="1" customWidth="1"/>
    <col min="1026" max="1026" width="11.5703125" style="681" bestFit="1" customWidth="1"/>
    <col min="1027" max="1027" width="13.5703125" style="681" bestFit="1" customWidth="1"/>
    <col min="1028" max="1028" width="11.42578125" style="681" bestFit="1" customWidth="1"/>
    <col min="1029" max="1029" width="13.140625" style="681" bestFit="1" customWidth="1"/>
    <col min="1030" max="1030" width="12.42578125" style="681" bestFit="1" customWidth="1"/>
    <col min="1031" max="1276" width="9.140625" style="681"/>
    <col min="1277" max="1277" width="14" style="681" bestFit="1" customWidth="1"/>
    <col min="1278" max="1278" width="38.42578125" style="681" bestFit="1" customWidth="1"/>
    <col min="1279" max="1279" width="67.42578125" style="681" bestFit="1" customWidth="1"/>
    <col min="1280" max="1280" width="35.42578125" style="681" bestFit="1" customWidth="1"/>
    <col min="1281" max="1281" width="10.5703125" style="681" bestFit="1" customWidth="1"/>
    <col min="1282" max="1282" width="11.5703125" style="681" bestFit="1" customWidth="1"/>
    <col min="1283" max="1283" width="13.5703125" style="681" bestFit="1" customWidth="1"/>
    <col min="1284" max="1284" width="11.42578125" style="681" bestFit="1" customWidth="1"/>
    <col min="1285" max="1285" width="13.140625" style="681" bestFit="1" customWidth="1"/>
    <col min="1286" max="1286" width="12.42578125" style="681" bestFit="1" customWidth="1"/>
    <col min="1287" max="1532" width="9.140625" style="681"/>
    <col min="1533" max="1533" width="14" style="681" bestFit="1" customWidth="1"/>
    <col min="1534" max="1534" width="38.42578125" style="681" bestFit="1" customWidth="1"/>
    <col min="1535" max="1535" width="67.42578125" style="681" bestFit="1" customWidth="1"/>
    <col min="1536" max="1536" width="35.42578125" style="681" bestFit="1" customWidth="1"/>
    <col min="1537" max="1537" width="10.5703125" style="681" bestFit="1" customWidth="1"/>
    <col min="1538" max="1538" width="11.5703125" style="681" bestFit="1" customWidth="1"/>
    <col min="1539" max="1539" width="13.5703125" style="681" bestFit="1" customWidth="1"/>
    <col min="1540" max="1540" width="11.42578125" style="681" bestFit="1" customWidth="1"/>
    <col min="1541" max="1541" width="13.140625" style="681" bestFit="1" customWidth="1"/>
    <col min="1542" max="1542" width="12.42578125" style="681" bestFit="1" customWidth="1"/>
    <col min="1543" max="1788" width="9.140625" style="681"/>
    <col min="1789" max="1789" width="14" style="681" bestFit="1" customWidth="1"/>
    <col min="1790" max="1790" width="38.42578125" style="681" bestFit="1" customWidth="1"/>
    <col min="1791" max="1791" width="67.42578125" style="681" bestFit="1" customWidth="1"/>
    <col min="1792" max="1792" width="35.42578125" style="681" bestFit="1" customWidth="1"/>
    <col min="1793" max="1793" width="10.5703125" style="681" bestFit="1" customWidth="1"/>
    <col min="1794" max="1794" width="11.5703125" style="681" bestFit="1" customWidth="1"/>
    <col min="1795" max="1795" width="13.5703125" style="681" bestFit="1" customWidth="1"/>
    <col min="1796" max="1796" width="11.42578125" style="681" bestFit="1" customWidth="1"/>
    <col min="1797" max="1797" width="13.140625" style="681" bestFit="1" customWidth="1"/>
    <col min="1798" max="1798" width="12.42578125" style="681" bestFit="1" customWidth="1"/>
    <col min="1799" max="2044" width="9.140625" style="681"/>
    <col min="2045" max="2045" width="14" style="681" bestFit="1" customWidth="1"/>
    <col min="2046" max="2046" width="38.42578125" style="681" bestFit="1" customWidth="1"/>
    <col min="2047" max="2047" width="67.42578125" style="681" bestFit="1" customWidth="1"/>
    <col min="2048" max="2048" width="35.42578125" style="681" bestFit="1" customWidth="1"/>
    <col min="2049" max="2049" width="10.5703125" style="681" bestFit="1" customWidth="1"/>
    <col min="2050" max="2050" width="11.5703125" style="681" bestFit="1" customWidth="1"/>
    <col min="2051" max="2051" width="13.5703125" style="681" bestFit="1" customWidth="1"/>
    <col min="2052" max="2052" width="11.42578125" style="681" bestFit="1" customWidth="1"/>
    <col min="2053" max="2053" width="13.140625" style="681" bestFit="1" customWidth="1"/>
    <col min="2054" max="2054" width="12.42578125" style="681" bestFit="1" customWidth="1"/>
    <col min="2055" max="2300" width="9.140625" style="681"/>
    <col min="2301" max="2301" width="14" style="681" bestFit="1" customWidth="1"/>
    <col min="2302" max="2302" width="38.42578125" style="681" bestFit="1" customWidth="1"/>
    <col min="2303" max="2303" width="67.42578125" style="681" bestFit="1" customWidth="1"/>
    <col min="2304" max="2304" width="35.42578125" style="681" bestFit="1" customWidth="1"/>
    <col min="2305" max="2305" width="10.5703125" style="681" bestFit="1" customWidth="1"/>
    <col min="2306" max="2306" width="11.5703125" style="681" bestFit="1" customWidth="1"/>
    <col min="2307" max="2307" width="13.5703125" style="681" bestFit="1" customWidth="1"/>
    <col min="2308" max="2308" width="11.42578125" style="681" bestFit="1" customWidth="1"/>
    <col min="2309" max="2309" width="13.140625" style="681" bestFit="1" customWidth="1"/>
    <col min="2310" max="2310" width="12.42578125" style="681" bestFit="1" customWidth="1"/>
    <col min="2311" max="2556" width="9.140625" style="681"/>
    <col min="2557" max="2557" width="14" style="681" bestFit="1" customWidth="1"/>
    <col min="2558" max="2558" width="38.42578125" style="681" bestFit="1" customWidth="1"/>
    <col min="2559" max="2559" width="67.42578125" style="681" bestFit="1" customWidth="1"/>
    <col min="2560" max="2560" width="35.42578125" style="681" bestFit="1" customWidth="1"/>
    <col min="2561" max="2561" width="10.5703125" style="681" bestFit="1" customWidth="1"/>
    <col min="2562" max="2562" width="11.5703125" style="681" bestFit="1" customWidth="1"/>
    <col min="2563" max="2563" width="13.5703125" style="681" bestFit="1" customWidth="1"/>
    <col min="2564" max="2564" width="11.42578125" style="681" bestFit="1" customWidth="1"/>
    <col min="2565" max="2565" width="13.140625" style="681" bestFit="1" customWidth="1"/>
    <col min="2566" max="2566" width="12.42578125" style="681" bestFit="1" customWidth="1"/>
    <col min="2567" max="2812" width="9.140625" style="681"/>
    <col min="2813" max="2813" width="14" style="681" bestFit="1" customWidth="1"/>
    <col min="2814" max="2814" width="38.42578125" style="681" bestFit="1" customWidth="1"/>
    <col min="2815" max="2815" width="67.42578125" style="681" bestFit="1" customWidth="1"/>
    <col min="2816" max="2816" width="35.42578125" style="681" bestFit="1" customWidth="1"/>
    <col min="2817" max="2817" width="10.5703125" style="681" bestFit="1" customWidth="1"/>
    <col min="2818" max="2818" width="11.5703125" style="681" bestFit="1" customWidth="1"/>
    <col min="2819" max="2819" width="13.5703125" style="681" bestFit="1" customWidth="1"/>
    <col min="2820" max="2820" width="11.42578125" style="681" bestFit="1" customWidth="1"/>
    <col min="2821" max="2821" width="13.140625" style="681" bestFit="1" customWidth="1"/>
    <col min="2822" max="2822" width="12.42578125" style="681" bestFit="1" customWidth="1"/>
    <col min="2823" max="3068" width="9.140625" style="681"/>
    <col min="3069" max="3069" width="14" style="681" bestFit="1" customWidth="1"/>
    <col min="3070" max="3070" width="38.42578125" style="681" bestFit="1" customWidth="1"/>
    <col min="3071" max="3071" width="67.42578125" style="681" bestFit="1" customWidth="1"/>
    <col min="3072" max="3072" width="35.42578125" style="681" bestFit="1" customWidth="1"/>
    <col min="3073" max="3073" width="10.5703125" style="681" bestFit="1" customWidth="1"/>
    <col min="3074" max="3074" width="11.5703125" style="681" bestFit="1" customWidth="1"/>
    <col min="3075" max="3075" width="13.5703125" style="681" bestFit="1" customWidth="1"/>
    <col min="3076" max="3076" width="11.42578125" style="681" bestFit="1" customWidth="1"/>
    <col min="3077" max="3077" width="13.140625" style="681" bestFit="1" customWidth="1"/>
    <col min="3078" max="3078" width="12.42578125" style="681" bestFit="1" customWidth="1"/>
    <col min="3079" max="3324" width="9.140625" style="681"/>
    <col min="3325" max="3325" width="14" style="681" bestFit="1" customWidth="1"/>
    <col min="3326" max="3326" width="38.42578125" style="681" bestFit="1" customWidth="1"/>
    <col min="3327" max="3327" width="67.42578125" style="681" bestFit="1" customWidth="1"/>
    <col min="3328" max="3328" width="35.42578125" style="681" bestFit="1" customWidth="1"/>
    <col min="3329" max="3329" width="10.5703125" style="681" bestFit="1" customWidth="1"/>
    <col min="3330" max="3330" width="11.5703125" style="681" bestFit="1" customWidth="1"/>
    <col min="3331" max="3331" width="13.5703125" style="681" bestFit="1" customWidth="1"/>
    <col min="3332" max="3332" width="11.42578125" style="681" bestFit="1" customWidth="1"/>
    <col min="3333" max="3333" width="13.140625" style="681" bestFit="1" customWidth="1"/>
    <col min="3334" max="3334" width="12.42578125" style="681" bestFit="1" customWidth="1"/>
    <col min="3335" max="3580" width="9.140625" style="681"/>
    <col min="3581" max="3581" width="14" style="681" bestFit="1" customWidth="1"/>
    <col min="3582" max="3582" width="38.42578125" style="681" bestFit="1" customWidth="1"/>
    <col min="3583" max="3583" width="67.42578125" style="681" bestFit="1" customWidth="1"/>
    <col min="3584" max="3584" width="35.42578125" style="681" bestFit="1" customWidth="1"/>
    <col min="3585" max="3585" width="10.5703125" style="681" bestFit="1" customWidth="1"/>
    <col min="3586" max="3586" width="11.5703125" style="681" bestFit="1" customWidth="1"/>
    <col min="3587" max="3587" width="13.5703125" style="681" bestFit="1" customWidth="1"/>
    <col min="3588" max="3588" width="11.42578125" style="681" bestFit="1" customWidth="1"/>
    <col min="3589" max="3589" width="13.140625" style="681" bestFit="1" customWidth="1"/>
    <col min="3590" max="3590" width="12.42578125" style="681" bestFit="1" customWidth="1"/>
    <col min="3591" max="3836" width="9.140625" style="681"/>
    <col min="3837" max="3837" width="14" style="681" bestFit="1" customWidth="1"/>
    <col min="3838" max="3838" width="38.42578125" style="681" bestFit="1" customWidth="1"/>
    <col min="3839" max="3839" width="67.42578125" style="681" bestFit="1" customWidth="1"/>
    <col min="3840" max="3840" width="35.42578125" style="681" bestFit="1" customWidth="1"/>
    <col min="3841" max="3841" width="10.5703125" style="681" bestFit="1" customWidth="1"/>
    <col min="3842" max="3842" width="11.5703125" style="681" bestFit="1" customWidth="1"/>
    <col min="3843" max="3843" width="13.5703125" style="681" bestFit="1" customWidth="1"/>
    <col min="3844" max="3844" width="11.42578125" style="681" bestFit="1" customWidth="1"/>
    <col min="3845" max="3845" width="13.140625" style="681" bestFit="1" customWidth="1"/>
    <col min="3846" max="3846" width="12.42578125" style="681" bestFit="1" customWidth="1"/>
    <col min="3847" max="4092" width="9.140625" style="681"/>
    <col min="4093" max="4093" width="14" style="681" bestFit="1" customWidth="1"/>
    <col min="4094" max="4094" width="38.42578125" style="681" bestFit="1" customWidth="1"/>
    <col min="4095" max="4095" width="67.42578125" style="681" bestFit="1" customWidth="1"/>
    <col min="4096" max="4096" width="35.42578125" style="681" bestFit="1" customWidth="1"/>
    <col min="4097" max="4097" width="10.5703125" style="681" bestFit="1" customWidth="1"/>
    <col min="4098" max="4098" width="11.5703125" style="681" bestFit="1" customWidth="1"/>
    <col min="4099" max="4099" width="13.5703125" style="681" bestFit="1" customWidth="1"/>
    <col min="4100" max="4100" width="11.42578125" style="681" bestFit="1" customWidth="1"/>
    <col min="4101" max="4101" width="13.140625" style="681" bestFit="1" customWidth="1"/>
    <col min="4102" max="4102" width="12.42578125" style="681" bestFit="1" customWidth="1"/>
    <col min="4103" max="4348" width="9.140625" style="681"/>
    <col min="4349" max="4349" width="14" style="681" bestFit="1" customWidth="1"/>
    <col min="4350" max="4350" width="38.42578125" style="681" bestFit="1" customWidth="1"/>
    <col min="4351" max="4351" width="67.42578125" style="681" bestFit="1" customWidth="1"/>
    <col min="4352" max="4352" width="35.42578125" style="681" bestFit="1" customWidth="1"/>
    <col min="4353" max="4353" width="10.5703125" style="681" bestFit="1" customWidth="1"/>
    <col min="4354" max="4354" width="11.5703125" style="681" bestFit="1" customWidth="1"/>
    <col min="4355" max="4355" width="13.5703125" style="681" bestFit="1" customWidth="1"/>
    <col min="4356" max="4356" width="11.42578125" style="681" bestFit="1" customWidth="1"/>
    <col min="4357" max="4357" width="13.140625" style="681" bestFit="1" customWidth="1"/>
    <col min="4358" max="4358" width="12.42578125" style="681" bestFit="1" customWidth="1"/>
    <col min="4359" max="4604" width="9.140625" style="681"/>
    <col min="4605" max="4605" width="14" style="681" bestFit="1" customWidth="1"/>
    <col min="4606" max="4606" width="38.42578125" style="681" bestFit="1" customWidth="1"/>
    <col min="4607" max="4607" width="67.42578125" style="681" bestFit="1" customWidth="1"/>
    <col min="4608" max="4608" width="35.42578125" style="681" bestFit="1" customWidth="1"/>
    <col min="4609" max="4609" width="10.5703125" style="681" bestFit="1" customWidth="1"/>
    <col min="4610" max="4610" width="11.5703125" style="681" bestFit="1" customWidth="1"/>
    <col min="4611" max="4611" width="13.5703125" style="681" bestFit="1" customWidth="1"/>
    <col min="4612" max="4612" width="11.42578125" style="681" bestFit="1" customWidth="1"/>
    <col min="4613" max="4613" width="13.140625" style="681" bestFit="1" customWidth="1"/>
    <col min="4614" max="4614" width="12.42578125" style="681" bestFit="1" customWidth="1"/>
    <col min="4615" max="4860" width="9.140625" style="681"/>
    <col min="4861" max="4861" width="14" style="681" bestFit="1" customWidth="1"/>
    <col min="4862" max="4862" width="38.42578125" style="681" bestFit="1" customWidth="1"/>
    <col min="4863" max="4863" width="67.42578125" style="681" bestFit="1" customWidth="1"/>
    <col min="4864" max="4864" width="35.42578125" style="681" bestFit="1" customWidth="1"/>
    <col min="4865" max="4865" width="10.5703125" style="681" bestFit="1" customWidth="1"/>
    <col min="4866" max="4866" width="11.5703125" style="681" bestFit="1" customWidth="1"/>
    <col min="4867" max="4867" width="13.5703125" style="681" bestFit="1" customWidth="1"/>
    <col min="4868" max="4868" width="11.42578125" style="681" bestFit="1" customWidth="1"/>
    <col min="4869" max="4869" width="13.140625" style="681" bestFit="1" customWidth="1"/>
    <col min="4870" max="4870" width="12.42578125" style="681" bestFit="1" customWidth="1"/>
    <col min="4871" max="5116" width="9.140625" style="681"/>
    <col min="5117" max="5117" width="14" style="681" bestFit="1" customWidth="1"/>
    <col min="5118" max="5118" width="38.42578125" style="681" bestFit="1" customWidth="1"/>
    <col min="5119" max="5119" width="67.42578125" style="681" bestFit="1" customWidth="1"/>
    <col min="5120" max="5120" width="35.42578125" style="681" bestFit="1" customWidth="1"/>
    <col min="5121" max="5121" width="10.5703125" style="681" bestFit="1" customWidth="1"/>
    <col min="5122" max="5122" width="11.5703125" style="681" bestFit="1" customWidth="1"/>
    <col min="5123" max="5123" width="13.5703125" style="681" bestFit="1" customWidth="1"/>
    <col min="5124" max="5124" width="11.42578125" style="681" bestFit="1" customWidth="1"/>
    <col min="5125" max="5125" width="13.140625" style="681" bestFit="1" customWidth="1"/>
    <col min="5126" max="5126" width="12.42578125" style="681" bestFit="1" customWidth="1"/>
    <col min="5127" max="5372" width="9.140625" style="681"/>
    <col min="5373" max="5373" width="14" style="681" bestFit="1" customWidth="1"/>
    <col min="5374" max="5374" width="38.42578125" style="681" bestFit="1" customWidth="1"/>
    <col min="5375" max="5375" width="67.42578125" style="681" bestFit="1" customWidth="1"/>
    <col min="5376" max="5376" width="35.42578125" style="681" bestFit="1" customWidth="1"/>
    <col min="5377" max="5377" width="10.5703125" style="681" bestFit="1" customWidth="1"/>
    <col min="5378" max="5378" width="11.5703125" style="681" bestFit="1" customWidth="1"/>
    <col min="5379" max="5379" width="13.5703125" style="681" bestFit="1" customWidth="1"/>
    <col min="5380" max="5380" width="11.42578125" style="681" bestFit="1" customWidth="1"/>
    <col min="5381" max="5381" width="13.140625" style="681" bestFit="1" customWidth="1"/>
    <col min="5382" max="5382" width="12.42578125" style="681" bestFit="1" customWidth="1"/>
    <col min="5383" max="5628" width="9.140625" style="681"/>
    <col min="5629" max="5629" width="14" style="681" bestFit="1" customWidth="1"/>
    <col min="5630" max="5630" width="38.42578125" style="681" bestFit="1" customWidth="1"/>
    <col min="5631" max="5631" width="67.42578125" style="681" bestFit="1" customWidth="1"/>
    <col min="5632" max="5632" width="35.42578125" style="681" bestFit="1" customWidth="1"/>
    <col min="5633" max="5633" width="10.5703125" style="681" bestFit="1" customWidth="1"/>
    <col min="5634" max="5634" width="11.5703125" style="681" bestFit="1" customWidth="1"/>
    <col min="5635" max="5635" width="13.5703125" style="681" bestFit="1" customWidth="1"/>
    <col min="5636" max="5636" width="11.42578125" style="681" bestFit="1" customWidth="1"/>
    <col min="5637" max="5637" width="13.140625" style="681" bestFit="1" customWidth="1"/>
    <col min="5638" max="5638" width="12.42578125" style="681" bestFit="1" customWidth="1"/>
    <col min="5639" max="5884" width="9.140625" style="681"/>
    <col min="5885" max="5885" width="14" style="681" bestFit="1" customWidth="1"/>
    <col min="5886" max="5886" width="38.42578125" style="681" bestFit="1" customWidth="1"/>
    <col min="5887" max="5887" width="67.42578125" style="681" bestFit="1" customWidth="1"/>
    <col min="5888" max="5888" width="35.42578125" style="681" bestFit="1" customWidth="1"/>
    <col min="5889" max="5889" width="10.5703125" style="681" bestFit="1" customWidth="1"/>
    <col min="5890" max="5890" width="11.5703125" style="681" bestFit="1" customWidth="1"/>
    <col min="5891" max="5891" width="13.5703125" style="681" bestFit="1" customWidth="1"/>
    <col min="5892" max="5892" width="11.42578125" style="681" bestFit="1" customWidth="1"/>
    <col min="5893" max="5893" width="13.140625" style="681" bestFit="1" customWidth="1"/>
    <col min="5894" max="5894" width="12.42578125" style="681" bestFit="1" customWidth="1"/>
    <col min="5895" max="6140" width="9.140625" style="681"/>
    <col min="6141" max="6141" width="14" style="681" bestFit="1" customWidth="1"/>
    <col min="6142" max="6142" width="38.42578125" style="681" bestFit="1" customWidth="1"/>
    <col min="6143" max="6143" width="67.42578125" style="681" bestFit="1" customWidth="1"/>
    <col min="6144" max="6144" width="35.42578125" style="681" bestFit="1" customWidth="1"/>
    <col min="6145" max="6145" width="10.5703125" style="681" bestFit="1" customWidth="1"/>
    <col min="6146" max="6146" width="11.5703125" style="681" bestFit="1" customWidth="1"/>
    <col min="6147" max="6147" width="13.5703125" style="681" bestFit="1" customWidth="1"/>
    <col min="6148" max="6148" width="11.42578125" style="681" bestFit="1" customWidth="1"/>
    <col min="6149" max="6149" width="13.140625" style="681" bestFit="1" customWidth="1"/>
    <col min="6150" max="6150" width="12.42578125" style="681" bestFit="1" customWidth="1"/>
    <col min="6151" max="6396" width="9.140625" style="681"/>
    <col min="6397" max="6397" width="14" style="681" bestFit="1" customWidth="1"/>
    <col min="6398" max="6398" width="38.42578125" style="681" bestFit="1" customWidth="1"/>
    <col min="6399" max="6399" width="67.42578125" style="681" bestFit="1" customWidth="1"/>
    <col min="6400" max="6400" width="35.42578125" style="681" bestFit="1" customWidth="1"/>
    <col min="6401" max="6401" width="10.5703125" style="681" bestFit="1" customWidth="1"/>
    <col min="6402" max="6402" width="11.5703125" style="681" bestFit="1" customWidth="1"/>
    <col min="6403" max="6403" width="13.5703125" style="681" bestFit="1" customWidth="1"/>
    <col min="6404" max="6404" width="11.42578125" style="681" bestFit="1" customWidth="1"/>
    <col min="6405" max="6405" width="13.140625" style="681" bestFit="1" customWidth="1"/>
    <col min="6406" max="6406" width="12.42578125" style="681" bestFit="1" customWidth="1"/>
    <col min="6407" max="6652" width="9.140625" style="681"/>
    <col min="6653" max="6653" width="14" style="681" bestFit="1" customWidth="1"/>
    <col min="6654" max="6654" width="38.42578125" style="681" bestFit="1" customWidth="1"/>
    <col min="6655" max="6655" width="67.42578125" style="681" bestFit="1" customWidth="1"/>
    <col min="6656" max="6656" width="35.42578125" style="681" bestFit="1" customWidth="1"/>
    <col min="6657" max="6657" width="10.5703125" style="681" bestFit="1" customWidth="1"/>
    <col min="6658" max="6658" width="11.5703125" style="681" bestFit="1" customWidth="1"/>
    <col min="6659" max="6659" width="13.5703125" style="681" bestFit="1" customWidth="1"/>
    <col min="6660" max="6660" width="11.42578125" style="681" bestFit="1" customWidth="1"/>
    <col min="6661" max="6661" width="13.140625" style="681" bestFit="1" customWidth="1"/>
    <col min="6662" max="6662" width="12.42578125" style="681" bestFit="1" customWidth="1"/>
    <col min="6663" max="6908" width="9.140625" style="681"/>
    <col min="6909" max="6909" width="14" style="681" bestFit="1" customWidth="1"/>
    <col min="6910" max="6910" width="38.42578125" style="681" bestFit="1" customWidth="1"/>
    <col min="6911" max="6911" width="67.42578125" style="681" bestFit="1" customWidth="1"/>
    <col min="6912" max="6912" width="35.42578125" style="681" bestFit="1" customWidth="1"/>
    <col min="6913" max="6913" width="10.5703125" style="681" bestFit="1" customWidth="1"/>
    <col min="6914" max="6914" width="11.5703125" style="681" bestFit="1" customWidth="1"/>
    <col min="6915" max="6915" width="13.5703125" style="681" bestFit="1" customWidth="1"/>
    <col min="6916" max="6916" width="11.42578125" style="681" bestFit="1" customWidth="1"/>
    <col min="6917" max="6917" width="13.140625" style="681" bestFit="1" customWidth="1"/>
    <col min="6918" max="6918" width="12.42578125" style="681" bestFit="1" customWidth="1"/>
    <col min="6919" max="7164" width="9.140625" style="681"/>
    <col min="7165" max="7165" width="14" style="681" bestFit="1" customWidth="1"/>
    <col min="7166" max="7166" width="38.42578125" style="681" bestFit="1" customWidth="1"/>
    <col min="7167" max="7167" width="67.42578125" style="681" bestFit="1" customWidth="1"/>
    <col min="7168" max="7168" width="35.42578125" style="681" bestFit="1" customWidth="1"/>
    <col min="7169" max="7169" width="10.5703125" style="681" bestFit="1" customWidth="1"/>
    <col min="7170" max="7170" width="11.5703125" style="681" bestFit="1" customWidth="1"/>
    <col min="7171" max="7171" width="13.5703125" style="681" bestFit="1" customWidth="1"/>
    <col min="7172" max="7172" width="11.42578125" style="681" bestFit="1" customWidth="1"/>
    <col min="7173" max="7173" width="13.140625" style="681" bestFit="1" customWidth="1"/>
    <col min="7174" max="7174" width="12.42578125" style="681" bestFit="1" customWidth="1"/>
    <col min="7175" max="7420" width="9.140625" style="681"/>
    <col min="7421" max="7421" width="14" style="681" bestFit="1" customWidth="1"/>
    <col min="7422" max="7422" width="38.42578125" style="681" bestFit="1" customWidth="1"/>
    <col min="7423" max="7423" width="67.42578125" style="681" bestFit="1" customWidth="1"/>
    <col min="7424" max="7424" width="35.42578125" style="681" bestFit="1" customWidth="1"/>
    <col min="7425" max="7425" width="10.5703125" style="681" bestFit="1" customWidth="1"/>
    <col min="7426" max="7426" width="11.5703125" style="681" bestFit="1" customWidth="1"/>
    <col min="7427" max="7427" width="13.5703125" style="681" bestFit="1" customWidth="1"/>
    <col min="7428" max="7428" width="11.42578125" style="681" bestFit="1" customWidth="1"/>
    <col min="7429" max="7429" width="13.140625" style="681" bestFit="1" customWidth="1"/>
    <col min="7430" max="7430" width="12.42578125" style="681" bestFit="1" customWidth="1"/>
    <col min="7431" max="7676" width="9.140625" style="681"/>
    <col min="7677" max="7677" width="14" style="681" bestFit="1" customWidth="1"/>
    <col min="7678" max="7678" width="38.42578125" style="681" bestFit="1" customWidth="1"/>
    <col min="7679" max="7679" width="67.42578125" style="681" bestFit="1" customWidth="1"/>
    <col min="7680" max="7680" width="35.42578125" style="681" bestFit="1" customWidth="1"/>
    <col min="7681" max="7681" width="10.5703125" style="681" bestFit="1" customWidth="1"/>
    <col min="7682" max="7682" width="11.5703125" style="681" bestFit="1" customWidth="1"/>
    <col min="7683" max="7683" width="13.5703125" style="681" bestFit="1" customWidth="1"/>
    <col min="7684" max="7684" width="11.42578125" style="681" bestFit="1" customWidth="1"/>
    <col min="7685" max="7685" width="13.140625" style="681" bestFit="1" customWidth="1"/>
    <col min="7686" max="7686" width="12.42578125" style="681" bestFit="1" customWidth="1"/>
    <col min="7687" max="7932" width="9.140625" style="681"/>
    <col min="7933" max="7933" width="14" style="681" bestFit="1" customWidth="1"/>
    <col min="7934" max="7934" width="38.42578125" style="681" bestFit="1" customWidth="1"/>
    <col min="7935" max="7935" width="67.42578125" style="681" bestFit="1" customWidth="1"/>
    <col min="7936" max="7936" width="35.42578125" style="681" bestFit="1" customWidth="1"/>
    <col min="7937" max="7937" width="10.5703125" style="681" bestFit="1" customWidth="1"/>
    <col min="7938" max="7938" width="11.5703125" style="681" bestFit="1" customWidth="1"/>
    <col min="7939" max="7939" width="13.5703125" style="681" bestFit="1" customWidth="1"/>
    <col min="7940" max="7940" width="11.42578125" style="681" bestFit="1" customWidth="1"/>
    <col min="7941" max="7941" width="13.140625" style="681" bestFit="1" customWidth="1"/>
    <col min="7942" max="7942" width="12.42578125" style="681" bestFit="1" customWidth="1"/>
    <col min="7943" max="8188" width="9.140625" style="681"/>
    <col min="8189" max="8189" width="14" style="681" bestFit="1" customWidth="1"/>
    <col min="8190" max="8190" width="38.42578125" style="681" bestFit="1" customWidth="1"/>
    <col min="8191" max="8191" width="67.42578125" style="681" bestFit="1" customWidth="1"/>
    <col min="8192" max="8192" width="35.42578125" style="681" bestFit="1" customWidth="1"/>
    <col min="8193" max="8193" width="10.5703125" style="681" bestFit="1" customWidth="1"/>
    <col min="8194" max="8194" width="11.5703125" style="681" bestFit="1" customWidth="1"/>
    <col min="8195" max="8195" width="13.5703125" style="681" bestFit="1" customWidth="1"/>
    <col min="8196" max="8196" width="11.42578125" style="681" bestFit="1" customWidth="1"/>
    <col min="8197" max="8197" width="13.140625" style="681" bestFit="1" customWidth="1"/>
    <col min="8198" max="8198" width="12.42578125" style="681" bestFit="1" customWidth="1"/>
    <col min="8199" max="8444" width="9.140625" style="681"/>
    <col min="8445" max="8445" width="14" style="681" bestFit="1" customWidth="1"/>
    <col min="8446" max="8446" width="38.42578125" style="681" bestFit="1" customWidth="1"/>
    <col min="8447" max="8447" width="67.42578125" style="681" bestFit="1" customWidth="1"/>
    <col min="8448" max="8448" width="35.42578125" style="681" bestFit="1" customWidth="1"/>
    <col min="8449" max="8449" width="10.5703125" style="681" bestFit="1" customWidth="1"/>
    <col min="8450" max="8450" width="11.5703125" style="681" bestFit="1" customWidth="1"/>
    <col min="8451" max="8451" width="13.5703125" style="681" bestFit="1" customWidth="1"/>
    <col min="8452" max="8452" width="11.42578125" style="681" bestFit="1" customWidth="1"/>
    <col min="8453" max="8453" width="13.140625" style="681" bestFit="1" customWidth="1"/>
    <col min="8454" max="8454" width="12.42578125" style="681" bestFit="1" customWidth="1"/>
    <col min="8455" max="8700" width="9.140625" style="681"/>
    <col min="8701" max="8701" width="14" style="681" bestFit="1" customWidth="1"/>
    <col min="8702" max="8702" width="38.42578125" style="681" bestFit="1" customWidth="1"/>
    <col min="8703" max="8703" width="67.42578125" style="681" bestFit="1" customWidth="1"/>
    <col min="8704" max="8704" width="35.42578125" style="681" bestFit="1" customWidth="1"/>
    <col min="8705" max="8705" width="10.5703125" style="681" bestFit="1" customWidth="1"/>
    <col min="8706" max="8706" width="11.5703125" style="681" bestFit="1" customWidth="1"/>
    <col min="8707" max="8707" width="13.5703125" style="681" bestFit="1" customWidth="1"/>
    <col min="8708" max="8708" width="11.42578125" style="681" bestFit="1" customWidth="1"/>
    <col min="8709" max="8709" width="13.140625" style="681" bestFit="1" customWidth="1"/>
    <col min="8710" max="8710" width="12.42578125" style="681" bestFit="1" customWidth="1"/>
    <col min="8711" max="8956" width="9.140625" style="681"/>
    <col min="8957" max="8957" width="14" style="681" bestFit="1" customWidth="1"/>
    <col min="8958" max="8958" width="38.42578125" style="681" bestFit="1" customWidth="1"/>
    <col min="8959" max="8959" width="67.42578125" style="681" bestFit="1" customWidth="1"/>
    <col min="8960" max="8960" width="35.42578125" style="681" bestFit="1" customWidth="1"/>
    <col min="8961" max="8961" width="10.5703125" style="681" bestFit="1" customWidth="1"/>
    <col min="8962" max="8962" width="11.5703125" style="681" bestFit="1" customWidth="1"/>
    <col min="8963" max="8963" width="13.5703125" style="681" bestFit="1" customWidth="1"/>
    <col min="8964" max="8964" width="11.42578125" style="681" bestFit="1" customWidth="1"/>
    <col min="8965" max="8965" width="13.140625" style="681" bestFit="1" customWidth="1"/>
    <col min="8966" max="8966" width="12.42578125" style="681" bestFit="1" customWidth="1"/>
    <col min="8967" max="9212" width="9.140625" style="681"/>
    <col min="9213" max="9213" width="14" style="681" bestFit="1" customWidth="1"/>
    <col min="9214" max="9214" width="38.42578125" style="681" bestFit="1" customWidth="1"/>
    <col min="9215" max="9215" width="67.42578125" style="681" bestFit="1" customWidth="1"/>
    <col min="9216" max="9216" width="35.42578125" style="681" bestFit="1" customWidth="1"/>
    <col min="9217" max="9217" width="10.5703125" style="681" bestFit="1" customWidth="1"/>
    <col min="9218" max="9218" width="11.5703125" style="681" bestFit="1" customWidth="1"/>
    <col min="9219" max="9219" width="13.5703125" style="681" bestFit="1" customWidth="1"/>
    <col min="9220" max="9220" width="11.42578125" style="681" bestFit="1" customWidth="1"/>
    <col min="9221" max="9221" width="13.140625" style="681" bestFit="1" customWidth="1"/>
    <col min="9222" max="9222" width="12.42578125" style="681" bestFit="1" customWidth="1"/>
    <col min="9223" max="9468" width="9.140625" style="681"/>
    <col min="9469" max="9469" width="14" style="681" bestFit="1" customWidth="1"/>
    <col min="9470" max="9470" width="38.42578125" style="681" bestFit="1" customWidth="1"/>
    <col min="9471" max="9471" width="67.42578125" style="681" bestFit="1" customWidth="1"/>
    <col min="9472" max="9472" width="35.42578125" style="681" bestFit="1" customWidth="1"/>
    <col min="9473" max="9473" width="10.5703125" style="681" bestFit="1" customWidth="1"/>
    <col min="9474" max="9474" width="11.5703125" style="681" bestFit="1" customWidth="1"/>
    <col min="9475" max="9475" width="13.5703125" style="681" bestFit="1" customWidth="1"/>
    <col min="9476" max="9476" width="11.42578125" style="681" bestFit="1" customWidth="1"/>
    <col min="9477" max="9477" width="13.140625" style="681" bestFit="1" customWidth="1"/>
    <col min="9478" max="9478" width="12.42578125" style="681" bestFit="1" customWidth="1"/>
    <col min="9479" max="9724" width="9.140625" style="681"/>
    <col min="9725" max="9725" width="14" style="681" bestFit="1" customWidth="1"/>
    <col min="9726" max="9726" width="38.42578125" style="681" bestFit="1" customWidth="1"/>
    <col min="9727" max="9727" width="67.42578125" style="681" bestFit="1" customWidth="1"/>
    <col min="9728" max="9728" width="35.42578125" style="681" bestFit="1" customWidth="1"/>
    <col min="9729" max="9729" width="10.5703125" style="681" bestFit="1" customWidth="1"/>
    <col min="9730" max="9730" width="11.5703125" style="681" bestFit="1" customWidth="1"/>
    <col min="9731" max="9731" width="13.5703125" style="681" bestFit="1" customWidth="1"/>
    <col min="9732" max="9732" width="11.42578125" style="681" bestFit="1" customWidth="1"/>
    <col min="9733" max="9733" width="13.140625" style="681" bestFit="1" customWidth="1"/>
    <col min="9734" max="9734" width="12.42578125" style="681" bestFit="1" customWidth="1"/>
    <col min="9735" max="9980" width="9.140625" style="681"/>
    <col min="9981" max="9981" width="14" style="681" bestFit="1" customWidth="1"/>
    <col min="9982" max="9982" width="38.42578125" style="681" bestFit="1" customWidth="1"/>
    <col min="9983" max="9983" width="67.42578125" style="681" bestFit="1" customWidth="1"/>
    <col min="9984" max="9984" width="35.42578125" style="681" bestFit="1" customWidth="1"/>
    <col min="9985" max="9985" width="10.5703125" style="681" bestFit="1" customWidth="1"/>
    <col min="9986" max="9986" width="11.5703125" style="681" bestFit="1" customWidth="1"/>
    <col min="9987" max="9987" width="13.5703125" style="681" bestFit="1" customWidth="1"/>
    <col min="9988" max="9988" width="11.42578125" style="681" bestFit="1" customWidth="1"/>
    <col min="9989" max="9989" width="13.140625" style="681" bestFit="1" customWidth="1"/>
    <col min="9990" max="9990" width="12.42578125" style="681" bestFit="1" customWidth="1"/>
    <col min="9991" max="10236" width="9.140625" style="681"/>
    <col min="10237" max="10237" width="14" style="681" bestFit="1" customWidth="1"/>
    <col min="10238" max="10238" width="38.42578125" style="681" bestFit="1" customWidth="1"/>
    <col min="10239" max="10239" width="67.42578125" style="681" bestFit="1" customWidth="1"/>
    <col min="10240" max="10240" width="35.42578125" style="681" bestFit="1" customWidth="1"/>
    <col min="10241" max="10241" width="10.5703125" style="681" bestFit="1" customWidth="1"/>
    <col min="10242" max="10242" width="11.5703125" style="681" bestFit="1" customWidth="1"/>
    <col min="10243" max="10243" width="13.5703125" style="681" bestFit="1" customWidth="1"/>
    <col min="10244" max="10244" width="11.42578125" style="681" bestFit="1" customWidth="1"/>
    <col min="10245" max="10245" width="13.140625" style="681" bestFit="1" customWidth="1"/>
    <col min="10246" max="10246" width="12.42578125" style="681" bestFit="1" customWidth="1"/>
    <col min="10247" max="10492" width="9.140625" style="681"/>
    <col min="10493" max="10493" width="14" style="681" bestFit="1" customWidth="1"/>
    <col min="10494" max="10494" width="38.42578125" style="681" bestFit="1" customWidth="1"/>
    <col min="10495" max="10495" width="67.42578125" style="681" bestFit="1" customWidth="1"/>
    <col min="10496" max="10496" width="35.42578125" style="681" bestFit="1" customWidth="1"/>
    <col min="10497" max="10497" width="10.5703125" style="681" bestFit="1" customWidth="1"/>
    <col min="10498" max="10498" width="11.5703125" style="681" bestFit="1" customWidth="1"/>
    <col min="10499" max="10499" width="13.5703125" style="681" bestFit="1" customWidth="1"/>
    <col min="10500" max="10500" width="11.42578125" style="681" bestFit="1" customWidth="1"/>
    <col min="10501" max="10501" width="13.140625" style="681" bestFit="1" customWidth="1"/>
    <col min="10502" max="10502" width="12.42578125" style="681" bestFit="1" customWidth="1"/>
    <col min="10503" max="10748" width="9.140625" style="681"/>
    <col min="10749" max="10749" width="14" style="681" bestFit="1" customWidth="1"/>
    <col min="10750" max="10750" width="38.42578125" style="681" bestFit="1" customWidth="1"/>
    <col min="10751" max="10751" width="67.42578125" style="681" bestFit="1" customWidth="1"/>
    <col min="10752" max="10752" width="35.42578125" style="681" bestFit="1" customWidth="1"/>
    <col min="10753" max="10753" width="10.5703125" style="681" bestFit="1" customWidth="1"/>
    <col min="10754" max="10754" width="11.5703125" style="681" bestFit="1" customWidth="1"/>
    <col min="10755" max="10755" width="13.5703125" style="681" bestFit="1" customWidth="1"/>
    <col min="10756" max="10756" width="11.42578125" style="681" bestFit="1" customWidth="1"/>
    <col min="10757" max="10757" width="13.140625" style="681" bestFit="1" customWidth="1"/>
    <col min="10758" max="10758" width="12.42578125" style="681" bestFit="1" customWidth="1"/>
    <col min="10759" max="11004" width="9.140625" style="681"/>
    <col min="11005" max="11005" width="14" style="681" bestFit="1" customWidth="1"/>
    <col min="11006" max="11006" width="38.42578125" style="681" bestFit="1" customWidth="1"/>
    <col min="11007" max="11007" width="67.42578125" style="681" bestFit="1" customWidth="1"/>
    <col min="11008" max="11008" width="35.42578125" style="681" bestFit="1" customWidth="1"/>
    <col min="11009" max="11009" width="10.5703125" style="681" bestFit="1" customWidth="1"/>
    <col min="11010" max="11010" width="11.5703125" style="681" bestFit="1" customWidth="1"/>
    <col min="11011" max="11011" width="13.5703125" style="681" bestFit="1" customWidth="1"/>
    <col min="11012" max="11012" width="11.42578125" style="681" bestFit="1" customWidth="1"/>
    <col min="11013" max="11013" width="13.140625" style="681" bestFit="1" customWidth="1"/>
    <col min="11014" max="11014" width="12.42578125" style="681" bestFit="1" customWidth="1"/>
    <col min="11015" max="11260" width="9.140625" style="681"/>
    <col min="11261" max="11261" width="14" style="681" bestFit="1" customWidth="1"/>
    <col min="11262" max="11262" width="38.42578125" style="681" bestFit="1" customWidth="1"/>
    <col min="11263" max="11263" width="67.42578125" style="681" bestFit="1" customWidth="1"/>
    <col min="11264" max="11264" width="35.42578125" style="681" bestFit="1" customWidth="1"/>
    <col min="11265" max="11265" width="10.5703125" style="681" bestFit="1" customWidth="1"/>
    <col min="11266" max="11266" width="11.5703125" style="681" bestFit="1" customWidth="1"/>
    <col min="11267" max="11267" width="13.5703125" style="681" bestFit="1" customWidth="1"/>
    <col min="11268" max="11268" width="11.42578125" style="681" bestFit="1" customWidth="1"/>
    <col min="11269" max="11269" width="13.140625" style="681" bestFit="1" customWidth="1"/>
    <col min="11270" max="11270" width="12.42578125" style="681" bestFit="1" customWidth="1"/>
    <col min="11271" max="11516" width="9.140625" style="681"/>
    <col min="11517" max="11517" width="14" style="681" bestFit="1" customWidth="1"/>
    <col min="11518" max="11518" width="38.42578125" style="681" bestFit="1" customWidth="1"/>
    <col min="11519" max="11519" width="67.42578125" style="681" bestFit="1" customWidth="1"/>
    <col min="11520" max="11520" width="35.42578125" style="681" bestFit="1" customWidth="1"/>
    <col min="11521" max="11521" width="10.5703125" style="681" bestFit="1" customWidth="1"/>
    <col min="11522" max="11522" width="11.5703125" style="681" bestFit="1" customWidth="1"/>
    <col min="11523" max="11523" width="13.5703125" style="681" bestFit="1" customWidth="1"/>
    <col min="11524" max="11524" width="11.42578125" style="681" bestFit="1" customWidth="1"/>
    <col min="11525" max="11525" width="13.140625" style="681" bestFit="1" customWidth="1"/>
    <col min="11526" max="11526" width="12.42578125" style="681" bestFit="1" customWidth="1"/>
    <col min="11527" max="11772" width="9.140625" style="681"/>
    <col min="11773" max="11773" width="14" style="681" bestFit="1" customWidth="1"/>
    <col min="11774" max="11774" width="38.42578125" style="681" bestFit="1" customWidth="1"/>
    <col min="11775" max="11775" width="67.42578125" style="681" bestFit="1" customWidth="1"/>
    <col min="11776" max="11776" width="35.42578125" style="681" bestFit="1" customWidth="1"/>
    <col min="11777" max="11777" width="10.5703125" style="681" bestFit="1" customWidth="1"/>
    <col min="11778" max="11778" width="11.5703125" style="681" bestFit="1" customWidth="1"/>
    <col min="11779" max="11779" width="13.5703125" style="681" bestFit="1" customWidth="1"/>
    <col min="11780" max="11780" width="11.42578125" style="681" bestFit="1" customWidth="1"/>
    <col min="11781" max="11781" width="13.140625" style="681" bestFit="1" customWidth="1"/>
    <col min="11782" max="11782" width="12.42578125" style="681" bestFit="1" customWidth="1"/>
    <col min="11783" max="12028" width="9.140625" style="681"/>
    <col min="12029" max="12029" width="14" style="681" bestFit="1" customWidth="1"/>
    <col min="12030" max="12030" width="38.42578125" style="681" bestFit="1" customWidth="1"/>
    <col min="12031" max="12031" width="67.42578125" style="681" bestFit="1" customWidth="1"/>
    <col min="12032" max="12032" width="35.42578125" style="681" bestFit="1" customWidth="1"/>
    <col min="12033" max="12033" width="10.5703125" style="681" bestFit="1" customWidth="1"/>
    <col min="12034" max="12034" width="11.5703125" style="681" bestFit="1" customWidth="1"/>
    <col min="12035" max="12035" width="13.5703125" style="681" bestFit="1" customWidth="1"/>
    <col min="12036" max="12036" width="11.42578125" style="681" bestFit="1" customWidth="1"/>
    <col min="12037" max="12037" width="13.140625" style="681" bestFit="1" customWidth="1"/>
    <col min="12038" max="12038" width="12.42578125" style="681" bestFit="1" customWidth="1"/>
    <col min="12039" max="12284" width="9.140625" style="681"/>
    <col min="12285" max="12285" width="14" style="681" bestFit="1" customWidth="1"/>
    <col min="12286" max="12286" width="38.42578125" style="681" bestFit="1" customWidth="1"/>
    <col min="12287" max="12287" width="67.42578125" style="681" bestFit="1" customWidth="1"/>
    <col min="12288" max="12288" width="35.42578125" style="681" bestFit="1" customWidth="1"/>
    <col min="12289" max="12289" width="10.5703125" style="681" bestFit="1" customWidth="1"/>
    <col min="12290" max="12290" width="11.5703125" style="681" bestFit="1" customWidth="1"/>
    <col min="12291" max="12291" width="13.5703125" style="681" bestFit="1" customWidth="1"/>
    <col min="12292" max="12292" width="11.42578125" style="681" bestFit="1" customWidth="1"/>
    <col min="12293" max="12293" width="13.140625" style="681" bestFit="1" customWidth="1"/>
    <col min="12294" max="12294" width="12.42578125" style="681" bestFit="1" customWidth="1"/>
    <col min="12295" max="12540" width="9.140625" style="681"/>
    <col min="12541" max="12541" width="14" style="681" bestFit="1" customWidth="1"/>
    <col min="12542" max="12542" width="38.42578125" style="681" bestFit="1" customWidth="1"/>
    <col min="12543" max="12543" width="67.42578125" style="681" bestFit="1" customWidth="1"/>
    <col min="12544" max="12544" width="35.42578125" style="681" bestFit="1" customWidth="1"/>
    <col min="12545" max="12545" width="10.5703125" style="681" bestFit="1" customWidth="1"/>
    <col min="12546" max="12546" width="11.5703125" style="681" bestFit="1" customWidth="1"/>
    <col min="12547" max="12547" width="13.5703125" style="681" bestFit="1" customWidth="1"/>
    <col min="12548" max="12548" width="11.42578125" style="681" bestFit="1" customWidth="1"/>
    <col min="12549" max="12549" width="13.140625" style="681" bestFit="1" customWidth="1"/>
    <col min="12550" max="12550" width="12.42578125" style="681" bestFit="1" customWidth="1"/>
    <col min="12551" max="12796" width="9.140625" style="681"/>
    <col min="12797" max="12797" width="14" style="681" bestFit="1" customWidth="1"/>
    <col min="12798" max="12798" width="38.42578125" style="681" bestFit="1" customWidth="1"/>
    <col min="12799" max="12799" width="67.42578125" style="681" bestFit="1" customWidth="1"/>
    <col min="12800" max="12800" width="35.42578125" style="681" bestFit="1" customWidth="1"/>
    <col min="12801" max="12801" width="10.5703125" style="681" bestFit="1" customWidth="1"/>
    <col min="12802" max="12802" width="11.5703125" style="681" bestFit="1" customWidth="1"/>
    <col min="12803" max="12803" width="13.5703125" style="681" bestFit="1" customWidth="1"/>
    <col min="12804" max="12804" width="11.42578125" style="681" bestFit="1" customWidth="1"/>
    <col min="12805" max="12805" width="13.140625" style="681" bestFit="1" customWidth="1"/>
    <col min="12806" max="12806" width="12.42578125" style="681" bestFit="1" customWidth="1"/>
    <col min="12807" max="13052" width="9.140625" style="681"/>
    <col min="13053" max="13053" width="14" style="681" bestFit="1" customWidth="1"/>
    <col min="13054" max="13054" width="38.42578125" style="681" bestFit="1" customWidth="1"/>
    <col min="13055" max="13055" width="67.42578125" style="681" bestFit="1" customWidth="1"/>
    <col min="13056" max="13056" width="35.42578125" style="681" bestFit="1" customWidth="1"/>
    <col min="13057" max="13057" width="10.5703125" style="681" bestFit="1" customWidth="1"/>
    <col min="13058" max="13058" width="11.5703125" style="681" bestFit="1" customWidth="1"/>
    <col min="13059" max="13059" width="13.5703125" style="681" bestFit="1" customWidth="1"/>
    <col min="13060" max="13060" width="11.42578125" style="681" bestFit="1" customWidth="1"/>
    <col min="13061" max="13061" width="13.140625" style="681" bestFit="1" customWidth="1"/>
    <col min="13062" max="13062" width="12.42578125" style="681" bestFit="1" customWidth="1"/>
    <col min="13063" max="13308" width="9.140625" style="681"/>
    <col min="13309" max="13309" width="14" style="681" bestFit="1" customWidth="1"/>
    <col min="13310" max="13310" width="38.42578125" style="681" bestFit="1" customWidth="1"/>
    <col min="13311" max="13311" width="67.42578125" style="681" bestFit="1" customWidth="1"/>
    <col min="13312" max="13312" width="35.42578125" style="681" bestFit="1" customWidth="1"/>
    <col min="13313" max="13313" width="10.5703125" style="681" bestFit="1" customWidth="1"/>
    <col min="13314" max="13314" width="11.5703125" style="681" bestFit="1" customWidth="1"/>
    <col min="13315" max="13315" width="13.5703125" style="681" bestFit="1" customWidth="1"/>
    <col min="13316" max="13316" width="11.42578125" style="681" bestFit="1" customWidth="1"/>
    <col min="13317" max="13317" width="13.140625" style="681" bestFit="1" customWidth="1"/>
    <col min="13318" max="13318" width="12.42578125" style="681" bestFit="1" customWidth="1"/>
    <col min="13319" max="13564" width="9.140625" style="681"/>
    <col min="13565" max="13565" width="14" style="681" bestFit="1" customWidth="1"/>
    <col min="13566" max="13566" width="38.42578125" style="681" bestFit="1" customWidth="1"/>
    <col min="13567" max="13567" width="67.42578125" style="681" bestFit="1" customWidth="1"/>
    <col min="13568" max="13568" width="35.42578125" style="681" bestFit="1" customWidth="1"/>
    <col min="13569" max="13569" width="10.5703125" style="681" bestFit="1" customWidth="1"/>
    <col min="13570" max="13570" width="11.5703125" style="681" bestFit="1" customWidth="1"/>
    <col min="13571" max="13571" width="13.5703125" style="681" bestFit="1" customWidth="1"/>
    <col min="13572" max="13572" width="11.42578125" style="681" bestFit="1" customWidth="1"/>
    <col min="13573" max="13573" width="13.140625" style="681" bestFit="1" customWidth="1"/>
    <col min="13574" max="13574" width="12.42578125" style="681" bestFit="1" customWidth="1"/>
    <col min="13575" max="13820" width="9.140625" style="681"/>
    <col min="13821" max="13821" width="14" style="681" bestFit="1" customWidth="1"/>
    <col min="13822" max="13822" width="38.42578125" style="681" bestFit="1" customWidth="1"/>
    <col min="13823" max="13823" width="67.42578125" style="681" bestFit="1" customWidth="1"/>
    <col min="13824" max="13824" width="35.42578125" style="681" bestFit="1" customWidth="1"/>
    <col min="13825" max="13825" width="10.5703125" style="681" bestFit="1" customWidth="1"/>
    <col min="13826" max="13826" width="11.5703125" style="681" bestFit="1" customWidth="1"/>
    <col min="13827" max="13827" width="13.5703125" style="681" bestFit="1" customWidth="1"/>
    <col min="13828" max="13828" width="11.42578125" style="681" bestFit="1" customWidth="1"/>
    <col min="13829" max="13829" width="13.140625" style="681" bestFit="1" customWidth="1"/>
    <col min="13830" max="13830" width="12.42578125" style="681" bestFit="1" customWidth="1"/>
    <col min="13831" max="14076" width="9.140625" style="681"/>
    <col min="14077" max="14077" width="14" style="681" bestFit="1" customWidth="1"/>
    <col min="14078" max="14078" width="38.42578125" style="681" bestFit="1" customWidth="1"/>
    <col min="14079" max="14079" width="67.42578125" style="681" bestFit="1" customWidth="1"/>
    <col min="14080" max="14080" width="35.42578125" style="681" bestFit="1" customWidth="1"/>
    <col min="14081" max="14081" width="10.5703125" style="681" bestFit="1" customWidth="1"/>
    <col min="14082" max="14082" width="11.5703125" style="681" bestFit="1" customWidth="1"/>
    <col min="14083" max="14083" width="13.5703125" style="681" bestFit="1" customWidth="1"/>
    <col min="14084" max="14084" width="11.42578125" style="681" bestFit="1" customWidth="1"/>
    <col min="14085" max="14085" width="13.140625" style="681" bestFit="1" customWidth="1"/>
    <col min="14086" max="14086" width="12.42578125" style="681" bestFit="1" customWidth="1"/>
    <col min="14087" max="14332" width="9.140625" style="681"/>
    <col min="14333" max="14333" width="14" style="681" bestFit="1" customWidth="1"/>
    <col min="14334" max="14334" width="38.42578125" style="681" bestFit="1" customWidth="1"/>
    <col min="14335" max="14335" width="67.42578125" style="681" bestFit="1" customWidth="1"/>
    <col min="14336" max="14336" width="35.42578125" style="681" bestFit="1" customWidth="1"/>
    <col min="14337" max="14337" width="10.5703125" style="681" bestFit="1" customWidth="1"/>
    <col min="14338" max="14338" width="11.5703125" style="681" bestFit="1" customWidth="1"/>
    <col min="14339" max="14339" width="13.5703125" style="681" bestFit="1" customWidth="1"/>
    <col min="14340" max="14340" width="11.42578125" style="681" bestFit="1" customWidth="1"/>
    <col min="14341" max="14341" width="13.140625" style="681" bestFit="1" customWidth="1"/>
    <col min="14342" max="14342" width="12.42578125" style="681" bestFit="1" customWidth="1"/>
    <col min="14343" max="14588" width="9.140625" style="681"/>
    <col min="14589" max="14589" width="14" style="681" bestFit="1" customWidth="1"/>
    <col min="14590" max="14590" width="38.42578125" style="681" bestFit="1" customWidth="1"/>
    <col min="14591" max="14591" width="67.42578125" style="681" bestFit="1" customWidth="1"/>
    <col min="14592" max="14592" width="35.42578125" style="681" bestFit="1" customWidth="1"/>
    <col min="14593" max="14593" width="10.5703125" style="681" bestFit="1" customWidth="1"/>
    <col min="14594" max="14594" width="11.5703125" style="681" bestFit="1" customWidth="1"/>
    <col min="14595" max="14595" width="13.5703125" style="681" bestFit="1" customWidth="1"/>
    <col min="14596" max="14596" width="11.42578125" style="681" bestFit="1" customWidth="1"/>
    <col min="14597" max="14597" width="13.140625" style="681" bestFit="1" customWidth="1"/>
    <col min="14598" max="14598" width="12.42578125" style="681" bestFit="1" customWidth="1"/>
    <col min="14599" max="14844" width="9.140625" style="681"/>
    <col min="14845" max="14845" width="14" style="681" bestFit="1" customWidth="1"/>
    <col min="14846" max="14846" width="38.42578125" style="681" bestFit="1" customWidth="1"/>
    <col min="14847" max="14847" width="67.42578125" style="681" bestFit="1" customWidth="1"/>
    <col min="14848" max="14848" width="35.42578125" style="681" bestFit="1" customWidth="1"/>
    <col min="14849" max="14849" width="10.5703125" style="681" bestFit="1" customWidth="1"/>
    <col min="14850" max="14850" width="11.5703125" style="681" bestFit="1" customWidth="1"/>
    <col min="14851" max="14851" width="13.5703125" style="681" bestFit="1" customWidth="1"/>
    <col min="14852" max="14852" width="11.42578125" style="681" bestFit="1" customWidth="1"/>
    <col min="14853" max="14853" width="13.140625" style="681" bestFit="1" customWidth="1"/>
    <col min="14854" max="14854" width="12.42578125" style="681" bestFit="1" customWidth="1"/>
    <col min="14855" max="15100" width="9.140625" style="681"/>
    <col min="15101" max="15101" width="14" style="681" bestFit="1" customWidth="1"/>
    <col min="15102" max="15102" width="38.42578125" style="681" bestFit="1" customWidth="1"/>
    <col min="15103" max="15103" width="67.42578125" style="681" bestFit="1" customWidth="1"/>
    <col min="15104" max="15104" width="35.42578125" style="681" bestFit="1" customWidth="1"/>
    <col min="15105" max="15105" width="10.5703125" style="681" bestFit="1" customWidth="1"/>
    <col min="15106" max="15106" width="11.5703125" style="681" bestFit="1" customWidth="1"/>
    <col min="15107" max="15107" width="13.5703125" style="681" bestFit="1" customWidth="1"/>
    <col min="15108" max="15108" width="11.42578125" style="681" bestFit="1" customWidth="1"/>
    <col min="15109" max="15109" width="13.140625" style="681" bestFit="1" customWidth="1"/>
    <col min="15110" max="15110" width="12.42578125" style="681" bestFit="1" customWidth="1"/>
    <col min="15111" max="15356" width="9.140625" style="681"/>
    <col min="15357" max="15357" width="14" style="681" bestFit="1" customWidth="1"/>
    <col min="15358" max="15358" width="38.42578125" style="681" bestFit="1" customWidth="1"/>
    <col min="15359" max="15359" width="67.42578125" style="681" bestFit="1" customWidth="1"/>
    <col min="15360" max="15360" width="35.42578125" style="681" bestFit="1" customWidth="1"/>
    <col min="15361" max="15361" width="10.5703125" style="681" bestFit="1" customWidth="1"/>
    <col min="15362" max="15362" width="11.5703125" style="681" bestFit="1" customWidth="1"/>
    <col min="15363" max="15363" width="13.5703125" style="681" bestFit="1" customWidth="1"/>
    <col min="15364" max="15364" width="11.42578125" style="681" bestFit="1" customWidth="1"/>
    <col min="15365" max="15365" width="13.140625" style="681" bestFit="1" customWidth="1"/>
    <col min="15366" max="15366" width="12.42578125" style="681" bestFit="1" customWidth="1"/>
    <col min="15367" max="15612" width="9.140625" style="681"/>
    <col min="15613" max="15613" width="14" style="681" bestFit="1" customWidth="1"/>
    <col min="15614" max="15614" width="38.42578125" style="681" bestFit="1" customWidth="1"/>
    <col min="15615" max="15615" width="67.42578125" style="681" bestFit="1" customWidth="1"/>
    <col min="15616" max="15616" width="35.42578125" style="681" bestFit="1" customWidth="1"/>
    <col min="15617" max="15617" width="10.5703125" style="681" bestFit="1" customWidth="1"/>
    <col min="15618" max="15618" width="11.5703125" style="681" bestFit="1" customWidth="1"/>
    <col min="15619" max="15619" width="13.5703125" style="681" bestFit="1" customWidth="1"/>
    <col min="15620" max="15620" width="11.42578125" style="681" bestFit="1" customWidth="1"/>
    <col min="15621" max="15621" width="13.140625" style="681" bestFit="1" customWidth="1"/>
    <col min="15622" max="15622" width="12.42578125" style="681" bestFit="1" customWidth="1"/>
    <col min="15623" max="15868" width="9.140625" style="681"/>
    <col min="15869" max="15869" width="14" style="681" bestFit="1" customWidth="1"/>
    <col min="15870" max="15870" width="38.42578125" style="681" bestFit="1" customWidth="1"/>
    <col min="15871" max="15871" width="67.42578125" style="681" bestFit="1" customWidth="1"/>
    <col min="15872" max="15872" width="35.42578125" style="681" bestFit="1" customWidth="1"/>
    <col min="15873" max="15873" width="10.5703125" style="681" bestFit="1" customWidth="1"/>
    <col min="15874" max="15874" width="11.5703125" style="681" bestFit="1" customWidth="1"/>
    <col min="15875" max="15875" width="13.5703125" style="681" bestFit="1" customWidth="1"/>
    <col min="15876" max="15876" width="11.42578125" style="681" bestFit="1" customWidth="1"/>
    <col min="15877" max="15877" width="13.140625" style="681" bestFit="1" customWidth="1"/>
    <col min="15878" max="15878" width="12.42578125" style="681" bestFit="1" customWidth="1"/>
    <col min="15879" max="16124" width="9.140625" style="681"/>
    <col min="16125" max="16125" width="14" style="681" bestFit="1" customWidth="1"/>
    <col min="16126" max="16126" width="38.42578125" style="681" bestFit="1" customWidth="1"/>
    <col min="16127" max="16127" width="67.42578125" style="681" bestFit="1" customWidth="1"/>
    <col min="16128" max="16128" width="35.42578125" style="681" bestFit="1" customWidth="1"/>
    <col min="16129" max="16129" width="10.5703125" style="681" bestFit="1" customWidth="1"/>
    <col min="16130" max="16130" width="11.5703125" style="681" bestFit="1" customWidth="1"/>
    <col min="16131" max="16131" width="13.5703125" style="681" bestFit="1" customWidth="1"/>
    <col min="16132" max="16132" width="11.42578125" style="681" bestFit="1" customWidth="1"/>
    <col min="16133" max="16133" width="13.140625" style="681" bestFit="1" customWidth="1"/>
    <col min="16134" max="16134" width="12.42578125" style="681" bestFit="1" customWidth="1"/>
    <col min="16135" max="16384" width="9.140625" style="681"/>
  </cols>
  <sheetData>
    <row r="1" spans="1:18" s="692" customFormat="1" ht="21" customHeight="1">
      <c r="A1" s="695"/>
      <c r="E1" s="694"/>
      <c r="F1" s="694"/>
      <c r="G1" s="694"/>
      <c r="H1" s="694"/>
      <c r="I1" s="694"/>
      <c r="J1" s="694"/>
      <c r="L1" s="693"/>
      <c r="M1" s="693"/>
      <c r="N1" s="693"/>
      <c r="O1" s="693"/>
      <c r="P1" s="693"/>
      <c r="Q1" s="693"/>
      <c r="R1" s="693"/>
    </row>
    <row r="2" spans="1:18" ht="32.25" customHeight="1">
      <c r="A2" s="684" t="s">
        <v>7</v>
      </c>
      <c r="B2" s="769" t="s">
        <v>905</v>
      </c>
      <c r="C2" s="681" t="s">
        <v>9</v>
      </c>
      <c r="D2" s="681" t="s">
        <v>282</v>
      </c>
      <c r="E2" s="691" t="s">
        <v>497</v>
      </c>
      <c r="F2" s="691" t="s">
        <v>498</v>
      </c>
      <c r="G2" s="691" t="s">
        <v>507</v>
      </c>
      <c r="H2" s="691" t="s">
        <v>508</v>
      </c>
      <c r="I2" s="691" t="s">
        <v>499</v>
      </c>
      <c r="J2" s="691" t="s">
        <v>500</v>
      </c>
      <c r="L2" s="1037" t="s">
        <v>655</v>
      </c>
      <c r="M2" s="1037"/>
      <c r="N2" s="1037"/>
      <c r="O2" s="1037"/>
      <c r="P2" s="1037"/>
      <c r="Q2" s="1037"/>
      <c r="R2" s="1037"/>
    </row>
    <row r="3" spans="1:18" ht="15" customHeight="1" collapsed="1">
      <c r="A3" s="658" t="s">
        <v>32</v>
      </c>
      <c r="B3" s="847" t="s">
        <v>615</v>
      </c>
      <c r="C3" s="659" t="s">
        <v>413</v>
      </c>
      <c r="D3" s="660" t="s">
        <v>478</v>
      </c>
      <c r="E3" s="661"/>
      <c r="F3" s="661">
        <v>3</v>
      </c>
      <c r="G3" s="662"/>
      <c r="H3" s="662"/>
      <c r="I3" s="662"/>
      <c r="J3" s="663"/>
      <c r="L3" s="690" t="s">
        <v>938</v>
      </c>
    </row>
    <row r="4" spans="1:18" ht="15" customHeight="1">
      <c r="A4" s="658" t="s">
        <v>32</v>
      </c>
      <c r="B4" s="847" t="s">
        <v>615</v>
      </c>
      <c r="C4" s="659" t="s">
        <v>414</v>
      </c>
      <c r="D4" s="660" t="s">
        <v>478</v>
      </c>
      <c r="E4" s="661"/>
      <c r="F4" s="661">
        <v>3</v>
      </c>
      <c r="G4" s="662"/>
      <c r="H4" s="662"/>
      <c r="I4" s="662"/>
      <c r="J4" s="663"/>
      <c r="L4" s="690" t="s">
        <v>1396</v>
      </c>
    </row>
    <row r="5" spans="1:18" ht="15" customHeight="1">
      <c r="A5" s="658" t="s">
        <v>32</v>
      </c>
      <c r="B5" s="847" t="s">
        <v>615</v>
      </c>
      <c r="C5" s="659" t="s">
        <v>277</v>
      </c>
      <c r="D5" s="660"/>
      <c r="E5" s="661">
        <f>SUM(E6:E7)</f>
        <v>117</v>
      </c>
      <c r="F5" s="661"/>
      <c r="G5" s="662"/>
      <c r="H5" s="662"/>
      <c r="I5" s="662"/>
      <c r="J5" s="663"/>
      <c r="L5" s="690" t="s">
        <v>935</v>
      </c>
      <c r="M5" s="690" t="s">
        <v>1062</v>
      </c>
      <c r="N5" s="690"/>
    </row>
    <row r="6" spans="1:18" s="685" customFormat="1" ht="15" customHeight="1" outlineLevel="1">
      <c r="A6" s="664" t="s">
        <v>32</v>
      </c>
      <c r="B6" s="848" t="s">
        <v>615</v>
      </c>
      <c r="C6" s="665" t="s">
        <v>277</v>
      </c>
      <c r="D6" s="666" t="s">
        <v>480</v>
      </c>
      <c r="E6" s="667">
        <v>77</v>
      </c>
      <c r="F6" s="667"/>
      <c r="G6" s="668"/>
      <c r="H6" s="668"/>
      <c r="I6" s="668"/>
      <c r="J6" s="668"/>
      <c r="L6" s="686"/>
      <c r="M6" s="686"/>
      <c r="N6" s="686"/>
      <c r="O6" s="686"/>
      <c r="P6" s="686"/>
      <c r="Q6" s="686"/>
      <c r="R6" s="686"/>
    </row>
    <row r="7" spans="1:18" s="685" customFormat="1" ht="15" customHeight="1" outlineLevel="1">
      <c r="A7" s="664" t="s">
        <v>32</v>
      </c>
      <c r="B7" s="848" t="s">
        <v>615</v>
      </c>
      <c r="C7" s="665" t="s">
        <v>277</v>
      </c>
      <c r="D7" s="666" t="s">
        <v>481</v>
      </c>
      <c r="E7" s="667">
        <v>40</v>
      </c>
      <c r="F7" s="667"/>
      <c r="G7" s="668"/>
      <c r="H7" s="668"/>
      <c r="I7" s="668"/>
      <c r="J7" s="668"/>
      <c r="L7" s="686"/>
      <c r="M7" s="686"/>
      <c r="N7" s="686"/>
      <c r="O7" s="686"/>
      <c r="P7" s="686"/>
      <c r="Q7" s="686"/>
      <c r="R7" s="686"/>
    </row>
    <row r="8" spans="1:18" s="685" customFormat="1" ht="15" customHeight="1">
      <c r="A8" s="658" t="s">
        <v>32</v>
      </c>
      <c r="B8" s="690" t="s">
        <v>615</v>
      </c>
      <c r="C8" s="936" t="s">
        <v>451</v>
      </c>
      <c r="D8" s="666"/>
      <c r="E8" s="661">
        <f>SUM(E9:E10)/84.75</f>
        <v>1.3805309734513274</v>
      </c>
      <c r="F8" s="667"/>
      <c r="G8" s="668"/>
      <c r="H8" s="668"/>
      <c r="I8" s="668"/>
      <c r="J8" s="668"/>
      <c r="L8" s="132" t="s">
        <v>940</v>
      </c>
      <c r="N8" s="686"/>
      <c r="O8" s="686"/>
      <c r="P8" s="686"/>
      <c r="Q8" s="686"/>
      <c r="R8" s="686"/>
    </row>
    <row r="9" spans="1:18" s="685" customFormat="1" ht="15" customHeight="1" outlineLevel="1">
      <c r="A9" s="664" t="s">
        <v>32</v>
      </c>
      <c r="B9" s="849" t="s">
        <v>615</v>
      </c>
      <c r="C9" s="803" t="s">
        <v>451</v>
      </c>
      <c r="D9" s="666" t="s">
        <v>480</v>
      </c>
      <c r="E9" s="667">
        <v>77</v>
      </c>
      <c r="F9" s="667"/>
      <c r="G9" s="668"/>
      <c r="H9" s="668"/>
      <c r="I9" s="668"/>
      <c r="J9" s="668"/>
      <c r="L9" s="686"/>
      <c r="M9" s="686"/>
      <c r="N9" s="686"/>
      <c r="O9" s="686"/>
      <c r="P9" s="686"/>
      <c r="Q9" s="686"/>
      <c r="R9" s="686"/>
    </row>
    <row r="10" spans="1:18" s="685" customFormat="1" ht="15" customHeight="1" outlineLevel="1">
      <c r="A10" s="664" t="s">
        <v>32</v>
      </c>
      <c r="B10" s="849" t="s">
        <v>615</v>
      </c>
      <c r="C10" s="803" t="s">
        <v>451</v>
      </c>
      <c r="D10" s="666" t="s">
        <v>481</v>
      </c>
      <c r="E10" s="667">
        <v>40</v>
      </c>
      <c r="F10" s="667"/>
      <c r="G10" s="668"/>
      <c r="H10" s="668"/>
      <c r="I10" s="668"/>
      <c r="J10" s="668"/>
      <c r="L10" s="686"/>
      <c r="M10" s="686"/>
      <c r="N10" s="686"/>
      <c r="O10" s="686"/>
      <c r="P10" s="686"/>
      <c r="Q10" s="686"/>
      <c r="R10" s="686"/>
    </row>
    <row r="11" spans="1:18" ht="30" customHeight="1">
      <c r="A11" s="658" t="s">
        <v>32</v>
      </c>
      <c r="B11" s="659" t="s">
        <v>741</v>
      </c>
      <c r="C11" s="659" t="s">
        <v>413</v>
      </c>
      <c r="D11" s="660" t="s">
        <v>478</v>
      </c>
      <c r="E11" s="661"/>
      <c r="F11" s="661">
        <v>3</v>
      </c>
      <c r="G11" s="662"/>
      <c r="H11" s="662"/>
      <c r="I11" s="662"/>
      <c r="J11" s="663"/>
      <c r="L11" s="690" t="s">
        <v>977</v>
      </c>
      <c r="M11" s="936" t="s">
        <v>989</v>
      </c>
      <c r="N11" s="689"/>
      <c r="O11" s="689"/>
    </row>
    <row r="12" spans="1:18" s="685" customFormat="1" ht="30" customHeight="1">
      <c r="A12" s="658" t="s">
        <v>32</v>
      </c>
      <c r="B12" s="659" t="s">
        <v>741</v>
      </c>
      <c r="C12" s="659" t="s">
        <v>414</v>
      </c>
      <c r="D12" s="660" t="s">
        <v>478</v>
      </c>
      <c r="E12" s="661"/>
      <c r="F12" s="661">
        <v>3</v>
      </c>
      <c r="G12" s="662"/>
      <c r="H12" s="662"/>
      <c r="I12" s="662"/>
      <c r="J12" s="663"/>
      <c r="L12" s="690" t="s">
        <v>1399</v>
      </c>
      <c r="M12" s="98" t="s">
        <v>1400</v>
      </c>
      <c r="N12" s="98" t="s">
        <v>1401</v>
      </c>
      <c r="O12" s="686"/>
      <c r="P12" s="686"/>
      <c r="Q12" s="686"/>
    </row>
    <row r="13" spans="1:18" s="685" customFormat="1" ht="30" customHeight="1">
      <c r="A13" s="658" t="s">
        <v>32</v>
      </c>
      <c r="B13" s="659" t="s">
        <v>741</v>
      </c>
      <c r="C13" s="659" t="s">
        <v>493</v>
      </c>
      <c r="D13" s="660"/>
      <c r="E13" s="661">
        <f>SUM(E14:E17)</f>
        <v>47.309999999999995</v>
      </c>
      <c r="F13" s="661">
        <f>SUM(F14:F17)</f>
        <v>0</v>
      </c>
      <c r="G13" s="662"/>
      <c r="H13" s="662"/>
      <c r="I13" s="662"/>
      <c r="J13" s="663"/>
      <c r="L13" s="690" t="s">
        <v>966</v>
      </c>
      <c r="M13" s="686"/>
      <c r="N13" s="686"/>
      <c r="O13" s="686"/>
      <c r="P13" s="686"/>
      <c r="Q13" s="686"/>
      <c r="R13" s="686"/>
    </row>
    <row r="14" spans="1:18" s="685" customFormat="1" ht="30" customHeight="1" outlineLevel="1">
      <c r="A14" s="664" t="s">
        <v>32</v>
      </c>
      <c r="B14" s="665" t="s">
        <v>741</v>
      </c>
      <c r="C14" s="665" t="s">
        <v>493</v>
      </c>
      <c r="D14" s="666" t="s">
        <v>480</v>
      </c>
      <c r="E14" s="667">
        <v>25.15</v>
      </c>
      <c r="F14" s="667"/>
      <c r="G14" s="668"/>
      <c r="H14" s="668"/>
      <c r="I14" s="668"/>
      <c r="J14" s="668"/>
      <c r="L14" s="686"/>
      <c r="M14" s="686"/>
      <c r="N14" s="686"/>
      <c r="O14" s="686"/>
      <c r="P14" s="686"/>
      <c r="Q14" s="686"/>
      <c r="R14" s="686"/>
    </row>
    <row r="15" spans="1:18" s="685" customFormat="1" ht="30" customHeight="1" outlineLevel="1">
      <c r="A15" s="664" t="s">
        <v>32</v>
      </c>
      <c r="B15" s="665" t="s">
        <v>741</v>
      </c>
      <c r="C15" s="665" t="s">
        <v>493</v>
      </c>
      <c r="D15" s="666" t="s">
        <v>481</v>
      </c>
      <c r="E15" s="667">
        <v>11.54</v>
      </c>
      <c r="F15" s="667"/>
      <c r="G15" s="668"/>
      <c r="H15" s="668"/>
      <c r="I15" s="668"/>
      <c r="J15" s="668"/>
      <c r="L15" s="686"/>
      <c r="M15" s="686"/>
      <c r="N15" s="686"/>
      <c r="O15" s="686"/>
      <c r="P15" s="686"/>
      <c r="Q15" s="686"/>
      <c r="R15" s="686"/>
    </row>
    <row r="16" spans="1:18" s="685" customFormat="1" ht="30" customHeight="1" outlineLevel="1">
      <c r="A16" s="664" t="s">
        <v>32</v>
      </c>
      <c r="B16" s="665" t="s">
        <v>741</v>
      </c>
      <c r="C16" s="665" t="s">
        <v>493</v>
      </c>
      <c r="D16" s="666" t="s">
        <v>482</v>
      </c>
      <c r="E16" s="667">
        <v>9.82</v>
      </c>
      <c r="F16" s="667"/>
      <c r="G16" s="668"/>
      <c r="H16" s="668"/>
      <c r="I16" s="668"/>
      <c r="J16" s="668"/>
      <c r="L16" s="686"/>
      <c r="M16" s="686"/>
      <c r="N16" s="686"/>
      <c r="O16" s="686"/>
      <c r="P16" s="686"/>
      <c r="Q16" s="686"/>
      <c r="R16" s="686"/>
    </row>
    <row r="17" spans="1:18" s="685" customFormat="1" ht="30" customHeight="1" outlineLevel="1">
      <c r="A17" s="664" t="s">
        <v>32</v>
      </c>
      <c r="B17" s="665" t="s">
        <v>741</v>
      </c>
      <c r="C17" s="665" t="s">
        <v>493</v>
      </c>
      <c r="D17" s="666" t="s">
        <v>484</v>
      </c>
      <c r="E17" s="667">
        <v>0.8</v>
      </c>
      <c r="F17" s="667"/>
      <c r="G17" s="668"/>
      <c r="H17" s="668"/>
      <c r="I17" s="668"/>
      <c r="J17" s="668"/>
      <c r="L17" s="686"/>
      <c r="M17" s="686"/>
      <c r="N17" s="686"/>
      <c r="O17" s="686"/>
      <c r="P17" s="686"/>
      <c r="Q17" s="686"/>
      <c r="R17" s="686"/>
    </row>
    <row r="18" spans="1:18" s="685" customFormat="1" ht="30" customHeight="1">
      <c r="A18" s="658" t="s">
        <v>32</v>
      </c>
      <c r="B18" s="659" t="s">
        <v>741</v>
      </c>
      <c r="C18" s="659" t="s">
        <v>495</v>
      </c>
      <c r="D18" s="666"/>
      <c r="E18" s="661">
        <f>SUM(E19:E22)</f>
        <v>19.28</v>
      </c>
      <c r="F18" s="661">
        <f>SUM(F19:F22)</f>
        <v>0</v>
      </c>
      <c r="G18" s="668"/>
      <c r="H18" s="668"/>
      <c r="I18" s="668"/>
      <c r="J18" s="668"/>
      <c r="L18" s="690" t="s">
        <v>967</v>
      </c>
      <c r="M18" s="688"/>
      <c r="N18" s="688"/>
      <c r="O18" s="688"/>
      <c r="P18" s="686"/>
      <c r="Q18" s="686"/>
      <c r="R18" s="686"/>
    </row>
    <row r="19" spans="1:18" s="685" customFormat="1" ht="30" customHeight="1" outlineLevel="1">
      <c r="A19" s="664" t="s">
        <v>32</v>
      </c>
      <c r="B19" s="665" t="s">
        <v>741</v>
      </c>
      <c r="C19" s="665" t="s">
        <v>495</v>
      </c>
      <c r="D19" s="666" t="s">
        <v>480</v>
      </c>
      <c r="E19" s="667">
        <v>10.130000000000001</v>
      </c>
      <c r="F19" s="667"/>
      <c r="G19" s="668"/>
      <c r="H19" s="668"/>
      <c r="I19" s="668"/>
      <c r="J19" s="668"/>
      <c r="L19" s="686"/>
      <c r="M19" s="686"/>
      <c r="N19" s="686"/>
      <c r="O19" s="686"/>
      <c r="P19" s="686"/>
      <c r="Q19" s="686"/>
      <c r="R19" s="686"/>
    </row>
    <row r="20" spans="1:18" s="685" customFormat="1" ht="30" customHeight="1" outlineLevel="1">
      <c r="A20" s="664" t="s">
        <v>32</v>
      </c>
      <c r="B20" s="665" t="s">
        <v>741</v>
      </c>
      <c r="C20" s="665" t="s">
        <v>495</v>
      </c>
      <c r="D20" s="666" t="s">
        <v>481</v>
      </c>
      <c r="E20" s="667">
        <v>4.88</v>
      </c>
      <c r="F20" s="667"/>
      <c r="G20" s="668"/>
      <c r="H20" s="668"/>
      <c r="I20" s="668"/>
      <c r="J20" s="668"/>
      <c r="L20" s="686"/>
      <c r="M20" s="686"/>
      <c r="N20" s="686"/>
      <c r="O20" s="686"/>
      <c r="P20" s="686"/>
      <c r="Q20" s="686"/>
      <c r="R20" s="686"/>
    </row>
    <row r="21" spans="1:18" s="685" customFormat="1" ht="30" customHeight="1" outlineLevel="1">
      <c r="A21" s="664" t="s">
        <v>32</v>
      </c>
      <c r="B21" s="665" t="s">
        <v>741</v>
      </c>
      <c r="C21" s="665" t="s">
        <v>495</v>
      </c>
      <c r="D21" s="666" t="s">
        <v>482</v>
      </c>
      <c r="E21" s="667">
        <v>3.95</v>
      </c>
      <c r="F21" s="667"/>
      <c r="G21" s="668"/>
      <c r="H21" s="668"/>
      <c r="I21" s="668"/>
      <c r="J21" s="668"/>
      <c r="L21" s="686"/>
      <c r="M21" s="686"/>
      <c r="N21" s="686"/>
      <c r="O21" s="686"/>
      <c r="P21" s="686"/>
      <c r="Q21" s="686"/>
      <c r="R21" s="686"/>
    </row>
    <row r="22" spans="1:18" s="685" customFormat="1" ht="30" customHeight="1" outlineLevel="1">
      <c r="A22" s="664" t="s">
        <v>32</v>
      </c>
      <c r="B22" s="665" t="s">
        <v>741</v>
      </c>
      <c r="C22" s="665" t="s">
        <v>495</v>
      </c>
      <c r="D22" s="666" t="s">
        <v>484</v>
      </c>
      <c r="E22" s="667">
        <v>0.32</v>
      </c>
      <c r="F22" s="667"/>
      <c r="G22" s="668"/>
      <c r="H22" s="668"/>
      <c r="I22" s="668"/>
      <c r="J22" s="668"/>
      <c r="L22" s="686"/>
      <c r="M22" s="686"/>
      <c r="N22" s="686"/>
      <c r="O22" s="686"/>
      <c r="P22" s="686"/>
      <c r="Q22" s="686"/>
      <c r="R22" s="686"/>
    </row>
    <row r="23" spans="1:18" s="685" customFormat="1" ht="30" customHeight="1">
      <c r="A23" s="658" t="s">
        <v>32</v>
      </c>
      <c r="B23" s="659" t="s">
        <v>741</v>
      </c>
      <c r="C23" s="659" t="s">
        <v>452</v>
      </c>
      <c r="D23" s="666"/>
      <c r="E23" s="661">
        <f>SUM(E24:E26)</f>
        <v>0.23</v>
      </c>
      <c r="F23" s="661">
        <f>SUM(F24:F26)</f>
        <v>0</v>
      </c>
      <c r="G23" s="668"/>
      <c r="H23" s="668"/>
      <c r="I23" s="668"/>
      <c r="J23" s="668"/>
      <c r="L23" s="690" t="s">
        <v>968</v>
      </c>
      <c r="M23" s="686"/>
      <c r="N23" s="686"/>
      <c r="O23" s="686"/>
      <c r="P23" s="686"/>
      <c r="Q23" s="686"/>
      <c r="R23" s="686"/>
    </row>
    <row r="24" spans="1:18" s="685" customFormat="1" ht="30" customHeight="1" outlineLevel="1">
      <c r="A24" s="658" t="s">
        <v>32</v>
      </c>
      <c r="B24" s="659" t="s">
        <v>741</v>
      </c>
      <c r="C24" s="665" t="s">
        <v>452</v>
      </c>
      <c r="D24" s="666" t="s">
        <v>480</v>
      </c>
      <c r="E24" s="667">
        <v>0.16</v>
      </c>
      <c r="F24" s="667"/>
      <c r="G24" s="668"/>
      <c r="H24" s="668"/>
      <c r="I24" s="668"/>
      <c r="J24" s="668"/>
      <c r="L24" s="686"/>
      <c r="M24" s="686"/>
      <c r="N24" s="686"/>
      <c r="O24" s="686"/>
      <c r="P24" s="686"/>
      <c r="Q24" s="686"/>
      <c r="R24" s="686"/>
    </row>
    <row r="25" spans="1:18" s="685" customFormat="1" ht="30" customHeight="1" outlineLevel="1">
      <c r="A25" s="658" t="s">
        <v>32</v>
      </c>
      <c r="B25" s="659" t="s">
        <v>741</v>
      </c>
      <c r="C25" s="665" t="s">
        <v>452</v>
      </c>
      <c r="D25" s="666" t="s">
        <v>482</v>
      </c>
      <c r="E25" s="667">
        <v>0.06</v>
      </c>
      <c r="F25" s="667"/>
      <c r="G25" s="668"/>
      <c r="H25" s="668"/>
      <c r="I25" s="668"/>
      <c r="J25" s="668"/>
      <c r="L25" s="686"/>
      <c r="M25" s="686"/>
      <c r="N25" s="686"/>
      <c r="O25" s="686"/>
      <c r="P25" s="686"/>
      <c r="Q25" s="686"/>
      <c r="R25" s="686"/>
    </row>
    <row r="26" spans="1:18" s="685" customFormat="1" ht="30" customHeight="1" outlineLevel="1">
      <c r="A26" s="658" t="s">
        <v>32</v>
      </c>
      <c r="B26" s="659" t="s">
        <v>741</v>
      </c>
      <c r="C26" s="665" t="s">
        <v>452</v>
      </c>
      <c r="D26" s="666" t="s">
        <v>484</v>
      </c>
      <c r="E26" s="667">
        <v>0.01</v>
      </c>
      <c r="F26" s="667"/>
      <c r="G26" s="668"/>
      <c r="H26" s="668"/>
      <c r="I26" s="668"/>
      <c r="J26" s="668"/>
      <c r="L26" s="686"/>
      <c r="M26" s="686"/>
      <c r="N26" s="686"/>
      <c r="O26" s="686"/>
      <c r="P26" s="686"/>
      <c r="Q26" s="686"/>
      <c r="R26" s="686"/>
    </row>
    <row r="27" spans="1:18" s="685" customFormat="1" ht="30" customHeight="1">
      <c r="A27" s="658" t="s">
        <v>32</v>
      </c>
      <c r="B27" s="659" t="s">
        <v>741</v>
      </c>
      <c r="C27" s="659" t="s">
        <v>733</v>
      </c>
      <c r="D27" s="660" t="s">
        <v>485</v>
      </c>
      <c r="E27" s="661"/>
      <c r="F27" s="661">
        <v>0.03</v>
      </c>
      <c r="G27" s="668"/>
      <c r="H27" s="668"/>
      <c r="I27" s="668"/>
      <c r="J27" s="668"/>
      <c r="L27" s="690" t="s">
        <v>973</v>
      </c>
      <c r="M27" s="690" t="s">
        <v>985</v>
      </c>
      <c r="N27" s="690"/>
      <c r="O27" s="690"/>
      <c r="P27" s="690"/>
      <c r="Q27" s="690"/>
      <c r="R27" s="686"/>
    </row>
    <row r="28" spans="1:18" s="685" customFormat="1" ht="30" customHeight="1">
      <c r="A28" s="658" t="s">
        <v>32</v>
      </c>
      <c r="B28" s="659" t="s">
        <v>741</v>
      </c>
      <c r="C28" s="659" t="s">
        <v>803</v>
      </c>
      <c r="D28" s="666"/>
      <c r="E28" s="661">
        <f>SUM(E29:E31)/'Lookups-Assumptions'!E20</f>
        <v>3.2058823529411766</v>
      </c>
      <c r="F28" s="661">
        <f>SUM(F29:F31)/'Lookups-Assumptions'!E20</f>
        <v>0</v>
      </c>
      <c r="G28" s="668"/>
      <c r="H28" s="668"/>
      <c r="I28" s="668"/>
      <c r="J28" s="668"/>
      <c r="L28" s="690" t="s">
        <v>974</v>
      </c>
      <c r="M28" s="690" t="s">
        <v>975</v>
      </c>
      <c r="N28" s="690" t="s">
        <v>976</v>
      </c>
      <c r="O28" s="690" t="s">
        <v>986</v>
      </c>
      <c r="P28" s="690" t="s">
        <v>987</v>
      </c>
      <c r="Q28" s="690" t="s">
        <v>988</v>
      </c>
      <c r="R28" s="690" t="s">
        <v>1382</v>
      </c>
    </row>
    <row r="29" spans="1:18" s="685" customFormat="1" ht="30" customHeight="1" outlineLevel="1">
      <c r="A29" s="664" t="s">
        <v>32</v>
      </c>
      <c r="B29" s="665" t="s">
        <v>741</v>
      </c>
      <c r="C29" s="665" t="s">
        <v>803</v>
      </c>
      <c r="D29" s="666" t="s">
        <v>480</v>
      </c>
      <c r="E29" s="667">
        <v>3.99</v>
      </c>
      <c r="F29" s="667"/>
      <c r="G29" s="668"/>
      <c r="H29" s="668"/>
      <c r="I29" s="668"/>
      <c r="J29" s="668"/>
      <c r="L29" s="688"/>
      <c r="M29" s="688"/>
      <c r="N29" s="688"/>
      <c r="O29" s="688"/>
      <c r="P29" s="688"/>
      <c r="Q29" s="688"/>
      <c r="R29" s="688"/>
    </row>
    <row r="30" spans="1:18" s="685" customFormat="1" ht="30" customHeight="1" outlineLevel="1">
      <c r="A30" s="664" t="s">
        <v>32</v>
      </c>
      <c r="B30" s="665" t="s">
        <v>741</v>
      </c>
      <c r="C30" s="665" t="s">
        <v>803</v>
      </c>
      <c r="D30" s="666" t="s">
        <v>482</v>
      </c>
      <c r="E30" s="667">
        <v>1.33</v>
      </c>
      <c r="F30" s="667"/>
      <c r="G30" s="668"/>
      <c r="H30" s="668"/>
      <c r="I30" s="668"/>
      <c r="J30" s="668"/>
      <c r="L30" s="686"/>
      <c r="M30" s="686"/>
      <c r="N30" s="686"/>
      <c r="O30" s="686"/>
      <c r="P30" s="686"/>
      <c r="Q30" s="686"/>
      <c r="R30" s="686"/>
    </row>
    <row r="31" spans="1:18" s="685" customFormat="1" ht="30" customHeight="1" outlineLevel="1">
      <c r="A31" s="664" t="s">
        <v>32</v>
      </c>
      <c r="B31" s="665" t="s">
        <v>741</v>
      </c>
      <c r="C31" s="665" t="s">
        <v>803</v>
      </c>
      <c r="D31" s="666" t="s">
        <v>484</v>
      </c>
      <c r="E31" s="667">
        <v>0.13</v>
      </c>
      <c r="F31" s="667"/>
      <c r="G31" s="668"/>
      <c r="H31" s="668"/>
      <c r="I31" s="668"/>
      <c r="J31" s="668"/>
      <c r="L31" s="686"/>
      <c r="M31" s="686"/>
      <c r="N31" s="686"/>
      <c r="O31" s="686"/>
      <c r="P31" s="686"/>
      <c r="Q31" s="686"/>
      <c r="R31" s="686"/>
    </row>
    <row r="32" spans="1:18" s="685" customFormat="1" ht="30" customHeight="1">
      <c r="A32" s="658" t="s">
        <v>32</v>
      </c>
      <c r="B32" s="659" t="s">
        <v>741</v>
      </c>
      <c r="C32" s="659" t="s">
        <v>804</v>
      </c>
      <c r="D32" s="666"/>
      <c r="E32" s="661">
        <f>ROUND(SUM(E33:E36),2)</f>
        <v>139.16999999999999</v>
      </c>
      <c r="F32" s="661">
        <f>ROUND(SUM(F33:F36),2)</f>
        <v>0</v>
      </c>
      <c r="G32" s="668"/>
      <c r="H32" s="668"/>
      <c r="I32" s="668"/>
      <c r="J32" s="668"/>
      <c r="L32" s="690" t="s">
        <v>980</v>
      </c>
      <c r="M32" s="686"/>
      <c r="N32" s="686"/>
      <c r="O32" s="686"/>
      <c r="P32" s="686"/>
      <c r="Q32" s="686"/>
      <c r="R32" s="686"/>
    </row>
    <row r="33" spans="1:18" s="685" customFormat="1" ht="30" customHeight="1" outlineLevel="1">
      <c r="A33" s="664" t="s">
        <v>32</v>
      </c>
      <c r="B33" s="665" t="s">
        <v>741</v>
      </c>
      <c r="C33" s="665" t="s">
        <v>804</v>
      </c>
      <c r="D33" s="666" t="s">
        <v>480</v>
      </c>
      <c r="E33" s="669">
        <v>24.315000000000001</v>
      </c>
      <c r="F33" s="669"/>
      <c r="G33" s="668"/>
      <c r="H33" s="668"/>
      <c r="I33" s="668"/>
      <c r="J33" s="668"/>
      <c r="L33" s="690"/>
      <c r="M33" s="686"/>
      <c r="N33" s="686"/>
      <c r="O33" s="686"/>
      <c r="P33" s="686"/>
      <c r="Q33" s="686"/>
      <c r="R33" s="686"/>
    </row>
    <row r="34" spans="1:18" s="685" customFormat="1" ht="30" customHeight="1" outlineLevel="1">
      <c r="A34" s="664" t="s">
        <v>32</v>
      </c>
      <c r="B34" s="665" t="s">
        <v>741</v>
      </c>
      <c r="C34" s="665" t="s">
        <v>804</v>
      </c>
      <c r="D34" s="666" t="s">
        <v>482</v>
      </c>
      <c r="E34" s="669">
        <v>11.67</v>
      </c>
      <c r="F34" s="669"/>
      <c r="G34" s="668"/>
      <c r="H34" s="668"/>
      <c r="I34" s="668"/>
      <c r="J34" s="668"/>
      <c r="L34" s="688"/>
      <c r="M34" s="688"/>
      <c r="N34" s="688"/>
      <c r="O34" s="688"/>
      <c r="P34" s="686"/>
      <c r="Q34" s="686"/>
      <c r="R34" s="686"/>
    </row>
    <row r="35" spans="1:18" s="685" customFormat="1" ht="30" customHeight="1" outlineLevel="1" collapsed="1">
      <c r="A35" s="664" t="s">
        <v>32</v>
      </c>
      <c r="B35" s="665" t="s">
        <v>741</v>
      </c>
      <c r="C35" s="665" t="s">
        <v>804</v>
      </c>
      <c r="D35" s="666" t="s">
        <v>484</v>
      </c>
      <c r="E35" s="669">
        <v>0.78</v>
      </c>
      <c r="F35" s="669"/>
      <c r="G35" s="668"/>
      <c r="H35" s="668"/>
      <c r="I35" s="668"/>
      <c r="J35" s="668"/>
      <c r="L35" s="686"/>
      <c r="M35" s="686"/>
      <c r="N35" s="686"/>
      <c r="O35" s="686"/>
      <c r="P35" s="686"/>
      <c r="Q35" s="686"/>
      <c r="R35" s="686"/>
    </row>
    <row r="36" spans="1:18" s="685" customFormat="1" ht="30" customHeight="1" outlineLevel="1">
      <c r="A36" s="664" t="s">
        <v>32</v>
      </c>
      <c r="B36" s="665" t="s">
        <v>741</v>
      </c>
      <c r="C36" s="665" t="s">
        <v>804</v>
      </c>
      <c r="D36" s="666" t="s">
        <v>483</v>
      </c>
      <c r="E36" s="669">
        <v>102.4</v>
      </c>
      <c r="F36" s="669"/>
      <c r="G36" s="668"/>
      <c r="H36" s="668"/>
      <c r="I36" s="668"/>
      <c r="J36" s="668"/>
      <c r="L36" s="688"/>
      <c r="M36" s="688"/>
      <c r="N36" s="686"/>
      <c r="O36" s="686"/>
      <c r="P36" s="686"/>
      <c r="Q36" s="686"/>
      <c r="R36" s="686"/>
    </row>
    <row r="37" spans="1:18" ht="30" customHeight="1">
      <c r="A37" s="658" t="s">
        <v>32</v>
      </c>
      <c r="B37" s="659" t="s">
        <v>741</v>
      </c>
      <c r="C37" s="659" t="s">
        <v>805</v>
      </c>
      <c r="D37" s="660"/>
      <c r="E37" s="661">
        <f>ROUND(SUM(E38:E40),2)</f>
        <v>30.84</v>
      </c>
      <c r="F37" s="661">
        <f>ROUND(SUM(F38:F40),2)</f>
        <v>0</v>
      </c>
      <c r="G37" s="662"/>
      <c r="H37" s="662"/>
      <c r="I37" s="662"/>
      <c r="J37" s="663"/>
      <c r="L37" s="690" t="s">
        <v>979</v>
      </c>
    </row>
    <row r="38" spans="1:18" s="685" customFormat="1" ht="30" customHeight="1" outlineLevel="1">
      <c r="A38" s="664" t="s">
        <v>32</v>
      </c>
      <c r="B38" s="665" t="s">
        <v>741</v>
      </c>
      <c r="C38" s="665" t="s">
        <v>805</v>
      </c>
      <c r="D38" s="666" t="s">
        <v>480</v>
      </c>
      <c r="E38" s="669">
        <v>24.315000000000001</v>
      </c>
      <c r="F38" s="669"/>
      <c r="G38" s="668"/>
      <c r="H38" s="668"/>
      <c r="I38" s="668"/>
      <c r="J38" s="668"/>
      <c r="L38" s="686"/>
      <c r="M38" s="686"/>
      <c r="N38" s="686"/>
      <c r="O38" s="686"/>
      <c r="P38" s="686"/>
      <c r="Q38" s="686"/>
      <c r="R38" s="686"/>
    </row>
    <row r="39" spans="1:18" s="685" customFormat="1" ht="30" customHeight="1" outlineLevel="1">
      <c r="A39" s="664" t="s">
        <v>32</v>
      </c>
      <c r="B39" s="665" t="s">
        <v>741</v>
      </c>
      <c r="C39" s="665" t="s">
        <v>805</v>
      </c>
      <c r="D39" s="666" t="s">
        <v>482</v>
      </c>
      <c r="E39" s="669">
        <v>5.7486000000000006</v>
      </c>
      <c r="F39" s="669"/>
      <c r="G39" s="668"/>
      <c r="H39" s="668"/>
      <c r="I39" s="668"/>
      <c r="J39" s="668"/>
      <c r="L39" s="686"/>
      <c r="M39" s="686"/>
      <c r="N39" s="686"/>
      <c r="O39" s="686"/>
      <c r="P39" s="686"/>
      <c r="Q39" s="686"/>
      <c r="R39" s="686"/>
    </row>
    <row r="40" spans="1:18" s="685" customFormat="1" ht="30" customHeight="1" outlineLevel="1">
      <c r="A40" s="664" t="s">
        <v>32</v>
      </c>
      <c r="B40" s="665" t="s">
        <v>741</v>
      </c>
      <c r="C40" s="665" t="s">
        <v>805</v>
      </c>
      <c r="D40" s="666" t="s">
        <v>484</v>
      </c>
      <c r="E40" s="669">
        <v>0.78</v>
      </c>
      <c r="F40" s="669"/>
      <c r="G40" s="668"/>
      <c r="H40" s="668"/>
      <c r="I40" s="668"/>
      <c r="J40" s="668"/>
      <c r="L40" s="688"/>
      <c r="M40" s="688"/>
      <c r="N40" s="688"/>
      <c r="O40" s="688"/>
      <c r="P40" s="686"/>
      <c r="Q40" s="686"/>
      <c r="R40" s="686"/>
    </row>
    <row r="41" spans="1:18" s="685" customFormat="1" ht="30" customHeight="1">
      <c r="A41" s="658" t="s">
        <v>32</v>
      </c>
      <c r="B41" s="659" t="s">
        <v>741</v>
      </c>
      <c r="C41" s="659" t="s">
        <v>806</v>
      </c>
      <c r="D41" s="660"/>
      <c r="E41" s="661">
        <f>ROUND(SUM(E42:E45),2)</f>
        <v>139.16999999999999</v>
      </c>
      <c r="F41" s="661">
        <f>ROUND(SUM(F42:F45),2)</f>
        <v>0</v>
      </c>
      <c r="G41" s="662"/>
      <c r="H41" s="662"/>
      <c r="I41" s="662"/>
      <c r="J41" s="663"/>
      <c r="L41" s="690" t="s">
        <v>982</v>
      </c>
      <c r="M41" s="686"/>
      <c r="N41" s="686"/>
      <c r="O41" s="686"/>
      <c r="P41" s="686"/>
      <c r="Q41" s="686"/>
      <c r="R41" s="686"/>
    </row>
    <row r="42" spans="1:18" s="685" customFormat="1" ht="30" customHeight="1" outlineLevel="1">
      <c r="A42" s="664" t="s">
        <v>32</v>
      </c>
      <c r="B42" s="665" t="s">
        <v>741</v>
      </c>
      <c r="C42" s="665" t="s">
        <v>806</v>
      </c>
      <c r="D42" s="666" t="s">
        <v>480</v>
      </c>
      <c r="E42" s="669">
        <v>24.315000000000001</v>
      </c>
      <c r="F42" s="669"/>
      <c r="G42" s="668"/>
      <c r="H42" s="668"/>
      <c r="I42" s="668"/>
      <c r="J42" s="668"/>
      <c r="L42" s="686"/>
      <c r="M42" s="686"/>
      <c r="N42" s="686"/>
      <c r="O42" s="686"/>
      <c r="P42" s="686"/>
      <c r="Q42" s="686"/>
      <c r="R42" s="686"/>
    </row>
    <row r="43" spans="1:18" s="685" customFormat="1" ht="30" customHeight="1" outlineLevel="1">
      <c r="A43" s="664" t="s">
        <v>32</v>
      </c>
      <c r="B43" s="665" t="s">
        <v>741</v>
      </c>
      <c r="C43" s="665" t="s">
        <v>806</v>
      </c>
      <c r="D43" s="666" t="s">
        <v>482</v>
      </c>
      <c r="E43" s="669">
        <v>11.67</v>
      </c>
      <c r="F43" s="669"/>
      <c r="G43" s="668"/>
      <c r="H43" s="668"/>
      <c r="I43" s="668"/>
      <c r="J43" s="668"/>
      <c r="L43" s="686"/>
      <c r="M43" s="686"/>
      <c r="N43" s="686"/>
      <c r="O43" s="686"/>
      <c r="P43" s="686"/>
      <c r="Q43" s="686"/>
      <c r="R43" s="686"/>
    </row>
    <row r="44" spans="1:18" s="685" customFormat="1" ht="30" customHeight="1" outlineLevel="1">
      <c r="A44" s="664" t="s">
        <v>32</v>
      </c>
      <c r="B44" s="665" t="s">
        <v>741</v>
      </c>
      <c r="C44" s="665" t="s">
        <v>806</v>
      </c>
      <c r="D44" s="666" t="s">
        <v>484</v>
      </c>
      <c r="E44" s="669">
        <v>0.78</v>
      </c>
      <c r="F44" s="669"/>
      <c r="G44" s="668"/>
      <c r="H44" s="668"/>
      <c r="I44" s="668"/>
      <c r="J44" s="668"/>
      <c r="L44" s="686"/>
      <c r="M44" s="686"/>
      <c r="N44" s="686"/>
      <c r="O44" s="686"/>
      <c r="P44" s="686"/>
      <c r="Q44" s="686"/>
      <c r="R44" s="686"/>
    </row>
    <row r="45" spans="1:18" s="685" customFormat="1" ht="30" customHeight="1" outlineLevel="1">
      <c r="A45" s="664" t="s">
        <v>32</v>
      </c>
      <c r="B45" s="665" t="s">
        <v>741</v>
      </c>
      <c r="C45" s="665" t="s">
        <v>806</v>
      </c>
      <c r="D45" s="666" t="s">
        <v>483</v>
      </c>
      <c r="E45" s="669">
        <v>102.4</v>
      </c>
      <c r="F45" s="669"/>
      <c r="G45" s="668"/>
      <c r="H45" s="668"/>
      <c r="I45" s="668"/>
      <c r="J45" s="668"/>
      <c r="L45" s="686"/>
      <c r="M45" s="686"/>
      <c r="N45" s="686"/>
      <c r="O45" s="686"/>
      <c r="P45" s="686"/>
      <c r="Q45" s="686"/>
      <c r="R45" s="686"/>
    </row>
    <row r="46" spans="1:18" ht="30" customHeight="1">
      <c r="A46" s="658" t="s">
        <v>32</v>
      </c>
      <c r="B46" s="659" t="s">
        <v>741</v>
      </c>
      <c r="C46" s="659" t="s">
        <v>807</v>
      </c>
      <c r="D46" s="660"/>
      <c r="E46" s="661">
        <f>ROUND(SUM(E47:E49),2)</f>
        <v>30.84</v>
      </c>
      <c r="F46" s="661">
        <f>ROUND(SUM(F47:F49),2)</f>
        <v>0</v>
      </c>
      <c r="G46" s="662"/>
      <c r="H46" s="662"/>
      <c r="I46" s="662"/>
      <c r="J46" s="663"/>
      <c r="L46" s="690" t="s">
        <v>981</v>
      </c>
      <c r="M46" s="689"/>
      <c r="N46" s="689"/>
      <c r="O46" s="689"/>
    </row>
    <row r="47" spans="1:18" s="685" customFormat="1" ht="30" customHeight="1" outlineLevel="1">
      <c r="A47" s="664" t="s">
        <v>32</v>
      </c>
      <c r="B47" s="665" t="s">
        <v>741</v>
      </c>
      <c r="C47" s="665" t="s">
        <v>807</v>
      </c>
      <c r="D47" s="666" t="s">
        <v>480</v>
      </c>
      <c r="E47" s="669">
        <v>24.315000000000001</v>
      </c>
      <c r="F47" s="669"/>
      <c r="G47" s="668"/>
      <c r="H47" s="668"/>
      <c r="I47" s="668"/>
      <c r="J47" s="668"/>
      <c r="L47" s="686"/>
      <c r="M47" s="686"/>
      <c r="N47" s="686"/>
      <c r="O47" s="686"/>
      <c r="P47" s="686"/>
      <c r="Q47" s="686"/>
      <c r="R47" s="686"/>
    </row>
    <row r="48" spans="1:18" s="685" customFormat="1" ht="30" customHeight="1" outlineLevel="1">
      <c r="A48" s="664" t="s">
        <v>32</v>
      </c>
      <c r="B48" s="665" t="s">
        <v>741</v>
      </c>
      <c r="C48" s="665" t="s">
        <v>807</v>
      </c>
      <c r="D48" s="666" t="s">
        <v>482</v>
      </c>
      <c r="E48" s="669">
        <v>5.7486000000000006</v>
      </c>
      <c r="F48" s="669"/>
      <c r="G48" s="668"/>
      <c r="H48" s="668"/>
      <c r="I48" s="668"/>
      <c r="J48" s="668"/>
      <c r="L48" s="686"/>
      <c r="M48" s="686"/>
      <c r="N48" s="686"/>
      <c r="O48" s="686"/>
      <c r="P48" s="686"/>
      <c r="Q48" s="686"/>
      <c r="R48" s="686"/>
    </row>
    <row r="49" spans="1:18" s="685" customFormat="1" ht="30" customHeight="1" outlineLevel="1">
      <c r="A49" s="664" t="s">
        <v>32</v>
      </c>
      <c r="B49" s="665" t="s">
        <v>741</v>
      </c>
      <c r="C49" s="665" t="s">
        <v>807</v>
      </c>
      <c r="D49" s="666" t="s">
        <v>484</v>
      </c>
      <c r="E49" s="669">
        <v>0.78</v>
      </c>
      <c r="F49" s="669"/>
      <c r="G49" s="668"/>
      <c r="H49" s="668"/>
      <c r="I49" s="668"/>
      <c r="J49" s="668"/>
      <c r="L49" s="686"/>
      <c r="M49" s="686"/>
      <c r="N49" s="686"/>
      <c r="O49" s="686"/>
      <c r="P49" s="686"/>
      <c r="Q49" s="686"/>
      <c r="R49" s="686"/>
    </row>
    <row r="50" spans="1:18" s="685" customFormat="1" ht="30" customHeight="1">
      <c r="A50" s="658" t="s">
        <v>32</v>
      </c>
      <c r="B50" s="659" t="s">
        <v>741</v>
      </c>
      <c r="C50" s="659" t="s">
        <v>808</v>
      </c>
      <c r="D50" s="660"/>
      <c r="E50" s="670">
        <f>ROUND(SUM(E51:E54),2)</f>
        <v>139.16999999999999</v>
      </c>
      <c r="F50" s="670">
        <f>ROUND(SUM(F51:F54),2)</f>
        <v>0</v>
      </c>
      <c r="G50" s="662"/>
      <c r="H50" s="662"/>
      <c r="I50" s="662"/>
      <c r="J50" s="663"/>
      <c r="L50" s="690" t="s">
        <v>984</v>
      </c>
      <c r="M50" s="686"/>
      <c r="N50" s="686"/>
      <c r="O50" s="686"/>
      <c r="P50" s="686"/>
      <c r="Q50" s="686"/>
      <c r="R50" s="686"/>
    </row>
    <row r="51" spans="1:18" s="685" customFormat="1" ht="30" customHeight="1" outlineLevel="1">
      <c r="A51" s="664" t="s">
        <v>32</v>
      </c>
      <c r="B51" s="665" t="s">
        <v>741</v>
      </c>
      <c r="C51" s="665" t="s">
        <v>808</v>
      </c>
      <c r="D51" s="666" t="s">
        <v>480</v>
      </c>
      <c r="E51" s="669">
        <v>24.315000000000001</v>
      </c>
      <c r="F51" s="669"/>
      <c r="G51" s="668"/>
      <c r="H51" s="668"/>
      <c r="I51" s="668"/>
      <c r="J51" s="668"/>
      <c r="L51" s="686"/>
      <c r="M51" s="686"/>
      <c r="N51" s="686"/>
      <c r="O51" s="686"/>
      <c r="P51" s="686"/>
      <c r="Q51" s="686"/>
      <c r="R51" s="686"/>
    </row>
    <row r="52" spans="1:18" s="685" customFormat="1" ht="30" customHeight="1" outlineLevel="1">
      <c r="A52" s="664" t="s">
        <v>32</v>
      </c>
      <c r="B52" s="665" t="s">
        <v>741</v>
      </c>
      <c r="C52" s="665" t="s">
        <v>808</v>
      </c>
      <c r="D52" s="666" t="s">
        <v>482</v>
      </c>
      <c r="E52" s="669">
        <v>11.67</v>
      </c>
      <c r="F52" s="669"/>
      <c r="G52" s="668"/>
      <c r="H52" s="668"/>
      <c r="I52" s="668"/>
      <c r="J52" s="668"/>
      <c r="L52" s="688"/>
      <c r="M52" s="688"/>
      <c r="N52" s="688"/>
      <c r="O52" s="688"/>
      <c r="P52" s="686"/>
      <c r="Q52" s="686"/>
      <c r="R52" s="686"/>
    </row>
    <row r="53" spans="1:18" s="685" customFormat="1" ht="30" customHeight="1" outlineLevel="1">
      <c r="A53" s="664" t="s">
        <v>32</v>
      </c>
      <c r="B53" s="665" t="s">
        <v>741</v>
      </c>
      <c r="C53" s="665" t="s">
        <v>808</v>
      </c>
      <c r="D53" s="666" t="s">
        <v>484</v>
      </c>
      <c r="E53" s="669">
        <v>0.78</v>
      </c>
      <c r="F53" s="669"/>
      <c r="G53" s="668"/>
      <c r="H53" s="668"/>
      <c r="I53" s="668"/>
      <c r="J53" s="668"/>
      <c r="L53" s="686"/>
      <c r="M53" s="686"/>
      <c r="N53" s="686"/>
      <c r="O53" s="686"/>
      <c r="P53" s="686"/>
      <c r="Q53" s="686"/>
      <c r="R53" s="686"/>
    </row>
    <row r="54" spans="1:18" s="685" customFormat="1" ht="30" customHeight="1" outlineLevel="1">
      <c r="A54" s="664" t="s">
        <v>32</v>
      </c>
      <c r="B54" s="665" t="s">
        <v>741</v>
      </c>
      <c r="C54" s="665" t="s">
        <v>808</v>
      </c>
      <c r="D54" s="666" t="s">
        <v>483</v>
      </c>
      <c r="E54" s="669">
        <v>102.4</v>
      </c>
      <c r="F54" s="669"/>
      <c r="G54" s="668"/>
      <c r="H54" s="668"/>
      <c r="I54" s="668"/>
      <c r="J54" s="668"/>
      <c r="L54" s="686"/>
      <c r="M54" s="686"/>
      <c r="N54" s="686"/>
      <c r="O54" s="686"/>
      <c r="P54" s="686"/>
      <c r="Q54" s="686"/>
      <c r="R54" s="686"/>
    </row>
    <row r="55" spans="1:18" s="685" customFormat="1" ht="30" customHeight="1">
      <c r="A55" s="658" t="s">
        <v>32</v>
      </c>
      <c r="B55" s="659" t="s">
        <v>741</v>
      </c>
      <c r="C55" s="659" t="s">
        <v>809</v>
      </c>
      <c r="D55" s="660"/>
      <c r="E55" s="670">
        <f>ROUND(SUM(E56:E58),2)</f>
        <v>30.84</v>
      </c>
      <c r="F55" s="670">
        <f>ROUND(SUM(F56:F58),2)</f>
        <v>0</v>
      </c>
      <c r="G55" s="662"/>
      <c r="H55" s="662"/>
      <c r="I55" s="662"/>
      <c r="J55" s="663"/>
      <c r="L55" s="690" t="s">
        <v>983</v>
      </c>
      <c r="M55" s="686"/>
      <c r="N55" s="686"/>
      <c r="O55" s="686"/>
      <c r="P55" s="686"/>
      <c r="Q55" s="686"/>
      <c r="R55" s="686"/>
    </row>
    <row r="56" spans="1:18" s="685" customFormat="1" ht="30" customHeight="1" outlineLevel="1">
      <c r="A56" s="664" t="s">
        <v>32</v>
      </c>
      <c r="B56" s="665" t="s">
        <v>741</v>
      </c>
      <c r="C56" s="665" t="s">
        <v>809</v>
      </c>
      <c r="D56" s="666" t="s">
        <v>480</v>
      </c>
      <c r="E56" s="669">
        <v>24.315000000000001</v>
      </c>
      <c r="F56" s="669"/>
      <c r="G56" s="668"/>
      <c r="H56" s="668"/>
      <c r="I56" s="668"/>
      <c r="J56" s="668"/>
      <c r="L56" s="686"/>
      <c r="M56" s="686"/>
      <c r="N56" s="686"/>
      <c r="O56" s="686"/>
      <c r="P56" s="686"/>
      <c r="Q56" s="686"/>
      <c r="R56" s="686"/>
    </row>
    <row r="57" spans="1:18" s="685" customFormat="1" ht="30" customHeight="1" outlineLevel="1">
      <c r="A57" s="664" t="s">
        <v>32</v>
      </c>
      <c r="B57" s="665" t="s">
        <v>741</v>
      </c>
      <c r="C57" s="665" t="s">
        <v>809</v>
      </c>
      <c r="D57" s="666" t="s">
        <v>482</v>
      </c>
      <c r="E57" s="669">
        <v>5.7486000000000006</v>
      </c>
      <c r="F57" s="669"/>
      <c r="G57" s="668"/>
      <c r="H57" s="668"/>
      <c r="I57" s="668"/>
      <c r="J57" s="668"/>
      <c r="L57" s="688"/>
      <c r="M57" s="686"/>
      <c r="N57" s="686"/>
      <c r="O57" s="686"/>
      <c r="P57" s="686"/>
      <c r="Q57" s="686"/>
      <c r="R57" s="686"/>
    </row>
    <row r="58" spans="1:18" s="685" customFormat="1" ht="30" customHeight="1" outlineLevel="1">
      <c r="A58" s="664" t="s">
        <v>32</v>
      </c>
      <c r="B58" s="665" t="s">
        <v>741</v>
      </c>
      <c r="C58" s="665" t="s">
        <v>809</v>
      </c>
      <c r="D58" s="666" t="s">
        <v>484</v>
      </c>
      <c r="E58" s="669">
        <v>0.78</v>
      </c>
      <c r="F58" s="669"/>
      <c r="G58" s="668"/>
      <c r="H58" s="668"/>
      <c r="I58" s="668"/>
      <c r="J58" s="668"/>
      <c r="L58" s="686"/>
      <c r="M58" s="686"/>
      <c r="N58" s="686"/>
      <c r="O58" s="686"/>
      <c r="P58" s="686"/>
      <c r="Q58" s="686"/>
      <c r="R58" s="686"/>
    </row>
    <row r="59" spans="1:18" s="685" customFormat="1" ht="15" customHeight="1">
      <c r="A59" s="658" t="s">
        <v>32</v>
      </c>
      <c r="B59" s="671" t="s">
        <v>749</v>
      </c>
      <c r="C59" s="659" t="s">
        <v>810</v>
      </c>
      <c r="D59" s="666"/>
      <c r="E59" s="670">
        <f>SUM(E60:E60)</f>
        <v>0.70289999999999997</v>
      </c>
      <c r="F59" s="670">
        <f>SUM(F60:F60)</f>
        <v>0</v>
      </c>
      <c r="G59" s="668"/>
      <c r="H59" s="668"/>
      <c r="I59" s="668"/>
      <c r="J59" s="668"/>
      <c r="L59" s="690" t="s">
        <v>1008</v>
      </c>
      <c r="M59" s="686"/>
      <c r="N59" s="686"/>
      <c r="O59" s="686"/>
      <c r="P59" s="686"/>
      <c r="Q59" s="686"/>
      <c r="R59" s="686"/>
    </row>
    <row r="60" spans="1:18" s="685" customFormat="1" ht="15" customHeight="1" outlineLevel="1">
      <c r="A60" s="664" t="s">
        <v>32</v>
      </c>
      <c r="B60" s="672" t="s">
        <v>749</v>
      </c>
      <c r="C60" s="665" t="s">
        <v>810</v>
      </c>
      <c r="D60" s="666" t="s">
        <v>482</v>
      </c>
      <c r="E60" s="673">
        <v>0.70289999999999997</v>
      </c>
      <c r="F60" s="673"/>
      <c r="G60" s="668"/>
      <c r="H60" s="668"/>
      <c r="I60" s="668"/>
      <c r="J60" s="668"/>
      <c r="L60" s="686"/>
      <c r="M60" s="686"/>
      <c r="N60" s="686"/>
      <c r="O60" s="686"/>
      <c r="P60" s="686"/>
      <c r="Q60" s="686"/>
      <c r="R60" s="686"/>
    </row>
    <row r="61" spans="1:18" s="685" customFormat="1" ht="15" customHeight="1">
      <c r="A61" s="658" t="s">
        <v>32</v>
      </c>
      <c r="B61" s="671" t="s">
        <v>749</v>
      </c>
      <c r="C61" s="659" t="s">
        <v>811</v>
      </c>
      <c r="D61" s="660"/>
      <c r="E61" s="670">
        <f>SUM(E62:E62)</f>
        <v>1.2252185999999998</v>
      </c>
      <c r="F61" s="670">
        <f>SUM(F62:F62)</f>
        <v>0</v>
      </c>
      <c r="G61" s="662"/>
      <c r="H61" s="662"/>
      <c r="I61" s="662"/>
      <c r="J61" s="663"/>
      <c r="L61" s="690" t="s">
        <v>1010</v>
      </c>
      <c r="M61" s="686"/>
      <c r="N61" s="686"/>
      <c r="O61" s="686"/>
      <c r="P61" s="686"/>
      <c r="Q61" s="686"/>
      <c r="R61" s="686"/>
    </row>
    <row r="62" spans="1:18" s="685" customFormat="1" ht="15" customHeight="1" outlineLevel="1">
      <c r="A62" s="664" t="s">
        <v>32</v>
      </c>
      <c r="B62" s="672" t="s">
        <v>749</v>
      </c>
      <c r="C62" s="665" t="s">
        <v>811</v>
      </c>
      <c r="D62" s="666" t="s">
        <v>482</v>
      </c>
      <c r="E62" s="673">
        <v>1.2252185999999998</v>
      </c>
      <c r="F62" s="673"/>
      <c r="G62" s="668"/>
      <c r="H62" s="668"/>
      <c r="I62" s="668"/>
      <c r="J62" s="668"/>
      <c r="L62" s="688"/>
      <c r="M62" s="686"/>
      <c r="N62" s="686"/>
      <c r="O62" s="686"/>
      <c r="P62" s="686"/>
      <c r="Q62" s="686"/>
      <c r="R62" s="686"/>
    </row>
    <row r="63" spans="1:18" s="685" customFormat="1" ht="15" customHeight="1">
      <c r="A63" s="658" t="s">
        <v>32</v>
      </c>
      <c r="B63" s="671" t="s">
        <v>749</v>
      </c>
      <c r="C63" s="659" t="s">
        <v>812</v>
      </c>
      <c r="D63" s="660"/>
      <c r="E63" s="670">
        <f>SUM(E64:E64)</f>
        <v>1.2252185999999998</v>
      </c>
      <c r="F63" s="670">
        <f>SUM(F64:F64)</f>
        <v>0</v>
      </c>
      <c r="G63" s="662"/>
      <c r="H63" s="662"/>
      <c r="I63" s="662"/>
      <c r="J63" s="663"/>
      <c r="L63" s="690" t="s">
        <v>1011</v>
      </c>
      <c r="M63" s="686"/>
      <c r="N63" s="686"/>
      <c r="O63" s="686"/>
      <c r="P63" s="686"/>
      <c r="Q63" s="686"/>
      <c r="R63" s="686"/>
    </row>
    <row r="64" spans="1:18" s="685" customFormat="1" ht="15" customHeight="1" outlineLevel="1">
      <c r="A64" s="664" t="s">
        <v>32</v>
      </c>
      <c r="B64" s="672" t="s">
        <v>749</v>
      </c>
      <c r="C64" s="665" t="s">
        <v>812</v>
      </c>
      <c r="D64" s="666" t="s">
        <v>482</v>
      </c>
      <c r="E64" s="673">
        <v>1.2252185999999998</v>
      </c>
      <c r="F64" s="673"/>
      <c r="G64" s="668"/>
      <c r="H64" s="668"/>
      <c r="I64" s="668"/>
      <c r="J64" s="668"/>
      <c r="L64" s="686"/>
      <c r="M64" s="686"/>
      <c r="N64" s="686"/>
      <c r="O64" s="686"/>
      <c r="P64" s="686"/>
      <c r="Q64" s="686"/>
      <c r="R64" s="686"/>
    </row>
    <row r="65" spans="1:18" s="685" customFormat="1" ht="15" customHeight="1">
      <c r="A65" s="658" t="s">
        <v>32</v>
      </c>
      <c r="B65" s="671" t="s">
        <v>749</v>
      </c>
      <c r="C65" s="659" t="s">
        <v>813</v>
      </c>
      <c r="D65" s="660"/>
      <c r="E65" s="670">
        <f>SUM(E66:E66)</f>
        <v>0.70289999999999997</v>
      </c>
      <c r="F65" s="670">
        <f>SUM(F66:F66)</f>
        <v>0</v>
      </c>
      <c r="G65" s="662"/>
      <c r="H65" s="662"/>
      <c r="I65" s="662"/>
      <c r="J65" s="663"/>
      <c r="L65" s="690" t="s">
        <v>1012</v>
      </c>
      <c r="M65" s="686"/>
      <c r="N65" s="686"/>
      <c r="O65" s="686"/>
      <c r="P65" s="686"/>
      <c r="Q65" s="686"/>
      <c r="R65" s="686"/>
    </row>
    <row r="66" spans="1:18" s="685" customFormat="1" ht="15" customHeight="1" outlineLevel="1">
      <c r="A66" s="664" t="s">
        <v>32</v>
      </c>
      <c r="B66" s="672" t="s">
        <v>749</v>
      </c>
      <c r="C66" s="665" t="s">
        <v>813</v>
      </c>
      <c r="D66" s="666" t="s">
        <v>482</v>
      </c>
      <c r="E66" s="673">
        <v>0.70289999999999997</v>
      </c>
      <c r="F66" s="673"/>
      <c r="G66" s="668"/>
      <c r="H66" s="668"/>
      <c r="I66" s="668"/>
      <c r="J66" s="668"/>
      <c r="L66" s="686"/>
      <c r="M66" s="686"/>
      <c r="N66" s="686"/>
      <c r="O66" s="686"/>
      <c r="P66" s="686"/>
      <c r="Q66" s="686"/>
      <c r="R66" s="686"/>
    </row>
    <row r="67" spans="1:18" s="685" customFormat="1" ht="15" customHeight="1">
      <c r="A67" s="658" t="s">
        <v>32</v>
      </c>
      <c r="B67" s="671" t="s">
        <v>749</v>
      </c>
      <c r="C67" s="659" t="s">
        <v>814</v>
      </c>
      <c r="D67" s="660"/>
      <c r="E67" s="670">
        <f>SUM(E68:E68)</f>
        <v>1.2972871500000001</v>
      </c>
      <c r="F67" s="670">
        <f>SUM(F68:F68)</f>
        <v>0</v>
      </c>
      <c r="G67" s="662"/>
      <c r="H67" s="662"/>
      <c r="I67" s="662"/>
      <c r="J67" s="663"/>
      <c r="L67" s="690" t="s">
        <v>1009</v>
      </c>
      <c r="M67" s="686"/>
      <c r="N67" s="686"/>
      <c r="O67" s="686"/>
      <c r="P67" s="686"/>
      <c r="Q67" s="686"/>
      <c r="R67" s="686"/>
    </row>
    <row r="68" spans="1:18" s="685" customFormat="1" ht="15" customHeight="1" outlineLevel="1">
      <c r="A68" s="664" t="s">
        <v>32</v>
      </c>
      <c r="B68" s="672" t="s">
        <v>749</v>
      </c>
      <c r="C68" s="665" t="s">
        <v>814</v>
      </c>
      <c r="D68" s="666" t="s">
        <v>482</v>
      </c>
      <c r="E68" s="673">
        <v>1.2972871500000001</v>
      </c>
      <c r="F68" s="673"/>
      <c r="G68" s="668"/>
      <c r="H68" s="668"/>
      <c r="I68" s="668"/>
      <c r="J68" s="668"/>
      <c r="L68" s="688"/>
      <c r="M68" s="686"/>
      <c r="N68" s="686"/>
      <c r="O68" s="686"/>
      <c r="P68" s="686"/>
      <c r="Q68" s="686"/>
      <c r="R68" s="686"/>
    </row>
    <row r="69" spans="1:18" s="685" customFormat="1" ht="15" customHeight="1">
      <c r="A69" s="658" t="s">
        <v>32</v>
      </c>
      <c r="B69" s="671" t="s">
        <v>749</v>
      </c>
      <c r="C69" s="659" t="s">
        <v>815</v>
      </c>
      <c r="D69" s="660"/>
      <c r="E69" s="669">
        <f>SUM(E70:E72)</f>
        <v>1.3426916</v>
      </c>
      <c r="F69" s="669">
        <f>SUM(F70:F72)</f>
        <v>0</v>
      </c>
      <c r="G69" s="662"/>
      <c r="H69" s="662"/>
      <c r="I69" s="662"/>
      <c r="J69" s="663"/>
      <c r="L69" s="690" t="s">
        <v>1004</v>
      </c>
      <c r="M69" s="686"/>
      <c r="N69" s="686"/>
      <c r="O69" s="686"/>
      <c r="P69" s="686"/>
      <c r="Q69" s="686"/>
      <c r="R69" s="686"/>
    </row>
    <row r="70" spans="1:18" s="685" customFormat="1" ht="15" customHeight="1" outlineLevel="1">
      <c r="A70" s="664" t="s">
        <v>32</v>
      </c>
      <c r="B70" s="672" t="s">
        <v>749</v>
      </c>
      <c r="C70" s="665" t="s">
        <v>815</v>
      </c>
      <c r="D70" s="666" t="s">
        <v>480</v>
      </c>
      <c r="E70" s="673">
        <v>0.92</v>
      </c>
      <c r="F70" s="673"/>
      <c r="G70" s="668"/>
      <c r="H70" s="668"/>
      <c r="I70" s="668"/>
      <c r="J70" s="668"/>
      <c r="L70" s="686"/>
      <c r="M70" s="686"/>
      <c r="N70" s="686"/>
      <c r="O70" s="686"/>
      <c r="P70" s="686"/>
      <c r="Q70" s="686"/>
      <c r="R70" s="686"/>
    </row>
    <row r="71" spans="1:18" s="685" customFormat="1" ht="15" customHeight="1" outlineLevel="1">
      <c r="A71" s="664" t="s">
        <v>32</v>
      </c>
      <c r="B71" s="672" t="s">
        <v>749</v>
      </c>
      <c r="C71" s="665" t="s">
        <v>815</v>
      </c>
      <c r="D71" s="666" t="s">
        <v>482</v>
      </c>
      <c r="E71" s="673">
        <v>0.39269160000000003</v>
      </c>
      <c r="F71" s="673"/>
      <c r="G71" s="668"/>
      <c r="H71" s="668"/>
      <c r="I71" s="668"/>
      <c r="J71" s="668"/>
      <c r="L71" s="686"/>
      <c r="M71" s="686"/>
      <c r="N71" s="686"/>
      <c r="O71" s="686"/>
      <c r="P71" s="686"/>
      <c r="Q71" s="686"/>
      <c r="R71" s="686"/>
    </row>
    <row r="72" spans="1:18" s="685" customFormat="1" ht="15" customHeight="1" outlineLevel="1">
      <c r="A72" s="664" t="s">
        <v>32</v>
      </c>
      <c r="B72" s="672" t="s">
        <v>749</v>
      </c>
      <c r="C72" s="665" t="s">
        <v>815</v>
      </c>
      <c r="D72" s="666" t="s">
        <v>484</v>
      </c>
      <c r="E72" s="673">
        <v>0.03</v>
      </c>
      <c r="F72" s="673"/>
      <c r="G72" s="668"/>
      <c r="H72" s="668"/>
      <c r="I72" s="668"/>
      <c r="J72" s="668"/>
      <c r="L72" s="688"/>
      <c r="M72" s="686"/>
      <c r="N72" s="686"/>
      <c r="O72" s="686"/>
      <c r="P72" s="686"/>
      <c r="Q72" s="686"/>
      <c r="R72" s="686"/>
    </row>
    <row r="73" spans="1:18" s="685" customFormat="1" ht="15" customHeight="1">
      <c r="A73" s="658" t="s">
        <v>32</v>
      </c>
      <c r="B73" s="671" t="s">
        <v>749</v>
      </c>
      <c r="C73" s="659" t="s">
        <v>816</v>
      </c>
      <c r="D73" s="660"/>
      <c r="E73" s="669">
        <f>SUM(E74:E76)</f>
        <v>1.3426916</v>
      </c>
      <c r="F73" s="669">
        <f>SUM(F74:F76)</f>
        <v>0</v>
      </c>
      <c r="G73" s="662"/>
      <c r="H73" s="662"/>
      <c r="I73" s="662"/>
      <c r="J73" s="663"/>
      <c r="L73" s="690" t="s">
        <v>1005</v>
      </c>
      <c r="M73" s="686"/>
      <c r="N73" s="686"/>
      <c r="O73" s="686"/>
      <c r="P73" s="686"/>
      <c r="Q73" s="686"/>
      <c r="R73" s="686"/>
    </row>
    <row r="74" spans="1:18" s="685" customFormat="1" ht="15" customHeight="1" outlineLevel="1">
      <c r="A74" s="664" t="s">
        <v>32</v>
      </c>
      <c r="B74" s="672" t="s">
        <v>749</v>
      </c>
      <c r="C74" s="665" t="s">
        <v>816</v>
      </c>
      <c r="D74" s="666" t="s">
        <v>480</v>
      </c>
      <c r="E74" s="673">
        <v>0.92</v>
      </c>
      <c r="F74" s="673"/>
      <c r="G74" s="668"/>
      <c r="H74" s="668"/>
      <c r="I74" s="668"/>
      <c r="J74" s="668"/>
      <c r="L74" s="686"/>
      <c r="M74" s="686"/>
      <c r="N74" s="686"/>
      <c r="O74" s="686"/>
      <c r="P74" s="686"/>
      <c r="Q74" s="686"/>
      <c r="R74" s="686"/>
    </row>
    <row r="75" spans="1:18" s="685" customFormat="1" ht="15" customHeight="1" outlineLevel="1">
      <c r="A75" s="664" t="s">
        <v>32</v>
      </c>
      <c r="B75" s="672" t="s">
        <v>749</v>
      </c>
      <c r="C75" s="665" t="s">
        <v>816</v>
      </c>
      <c r="D75" s="666" t="s">
        <v>482</v>
      </c>
      <c r="E75" s="673">
        <v>0.39269160000000003</v>
      </c>
      <c r="F75" s="673"/>
      <c r="G75" s="668"/>
      <c r="H75" s="668"/>
      <c r="I75" s="668"/>
      <c r="J75" s="668"/>
      <c r="L75" s="686"/>
      <c r="M75" s="686"/>
      <c r="N75" s="686"/>
      <c r="O75" s="686"/>
      <c r="P75" s="686"/>
      <c r="Q75" s="686"/>
      <c r="R75" s="686"/>
    </row>
    <row r="76" spans="1:18" s="685" customFormat="1" ht="15" customHeight="1" outlineLevel="1">
      <c r="A76" s="664" t="s">
        <v>32</v>
      </c>
      <c r="B76" s="672" t="s">
        <v>749</v>
      </c>
      <c r="C76" s="665" t="s">
        <v>816</v>
      </c>
      <c r="D76" s="666" t="s">
        <v>484</v>
      </c>
      <c r="E76" s="673">
        <v>0.03</v>
      </c>
      <c r="F76" s="673"/>
      <c r="G76" s="668"/>
      <c r="H76" s="668"/>
      <c r="I76" s="668"/>
      <c r="J76" s="668"/>
      <c r="L76" s="686"/>
      <c r="M76" s="686"/>
      <c r="N76" s="686"/>
      <c r="O76" s="686"/>
      <c r="P76" s="686"/>
      <c r="Q76" s="686"/>
      <c r="R76" s="686"/>
    </row>
    <row r="77" spans="1:18" ht="15" customHeight="1">
      <c r="A77" s="658" t="s">
        <v>32</v>
      </c>
      <c r="B77" s="671" t="s">
        <v>749</v>
      </c>
      <c r="C77" s="659" t="s">
        <v>752</v>
      </c>
      <c r="D77" s="660"/>
      <c r="E77" s="674">
        <f>SUM(E78:E80)</f>
        <v>32.200000000000003</v>
      </c>
      <c r="F77" s="674">
        <f>SUM(F78:F80)</f>
        <v>0</v>
      </c>
      <c r="G77" s="662"/>
      <c r="H77" s="662"/>
      <c r="I77" s="662"/>
      <c r="J77" s="663"/>
      <c r="L77" s="690" t="s">
        <v>1000</v>
      </c>
      <c r="M77" s="690" t="s">
        <v>1001</v>
      </c>
    </row>
    <row r="78" spans="1:18" s="685" customFormat="1" ht="15" customHeight="1" outlineLevel="1">
      <c r="A78" s="664" t="s">
        <v>32</v>
      </c>
      <c r="B78" s="672" t="s">
        <v>749</v>
      </c>
      <c r="C78" s="665" t="s">
        <v>752</v>
      </c>
      <c r="D78" s="666" t="s">
        <v>480</v>
      </c>
      <c r="E78" s="673">
        <v>24.32</v>
      </c>
      <c r="F78" s="673"/>
      <c r="G78" s="668"/>
      <c r="H78" s="668"/>
      <c r="I78" s="668"/>
      <c r="J78" s="668"/>
      <c r="L78" s="686"/>
      <c r="M78" s="686"/>
      <c r="N78" s="686"/>
      <c r="O78" s="686"/>
      <c r="P78" s="686"/>
      <c r="Q78" s="686"/>
      <c r="R78" s="686"/>
    </row>
    <row r="79" spans="1:18" s="685" customFormat="1" ht="15" customHeight="1" outlineLevel="1">
      <c r="A79" s="664" t="s">
        <v>32</v>
      </c>
      <c r="B79" s="672" t="s">
        <v>749</v>
      </c>
      <c r="C79" s="665" t="s">
        <v>752</v>
      </c>
      <c r="D79" s="666" t="s">
        <v>482</v>
      </c>
      <c r="E79" s="673">
        <v>7.1</v>
      </c>
      <c r="F79" s="673"/>
      <c r="G79" s="668"/>
      <c r="H79" s="668"/>
      <c r="I79" s="668"/>
      <c r="J79" s="668"/>
      <c r="L79" s="686"/>
      <c r="M79" s="686"/>
      <c r="N79" s="686"/>
      <c r="O79" s="686"/>
      <c r="P79" s="686"/>
      <c r="Q79" s="686"/>
      <c r="R79" s="686"/>
    </row>
    <row r="80" spans="1:18" s="685" customFormat="1" ht="15" customHeight="1" outlineLevel="1">
      <c r="A80" s="664" t="s">
        <v>32</v>
      </c>
      <c r="B80" s="672" t="s">
        <v>749</v>
      </c>
      <c r="C80" s="665" t="s">
        <v>752</v>
      </c>
      <c r="D80" s="666" t="s">
        <v>484</v>
      </c>
      <c r="E80" s="673">
        <v>0.78</v>
      </c>
      <c r="F80" s="673"/>
      <c r="G80" s="668"/>
      <c r="H80" s="668"/>
      <c r="I80" s="668"/>
      <c r="J80" s="668"/>
      <c r="L80" s="686"/>
      <c r="M80" s="686"/>
      <c r="N80" s="686"/>
      <c r="O80" s="686"/>
      <c r="P80" s="686"/>
      <c r="Q80" s="686"/>
      <c r="R80" s="686"/>
    </row>
    <row r="81" spans="1:18" ht="15" customHeight="1">
      <c r="A81" s="658" t="s">
        <v>32</v>
      </c>
      <c r="B81" s="671" t="s">
        <v>749</v>
      </c>
      <c r="C81" s="659" t="s">
        <v>754</v>
      </c>
      <c r="D81" s="660"/>
      <c r="E81" s="674">
        <f>SUM(E82:E85)</f>
        <v>32.200000000000003</v>
      </c>
      <c r="F81" s="674">
        <f>SUM(F82:F85)</f>
        <v>0</v>
      </c>
      <c r="G81" s="662"/>
      <c r="H81" s="662"/>
      <c r="I81" s="662"/>
      <c r="J81" s="663"/>
      <c r="L81" s="690" t="s">
        <v>1002</v>
      </c>
      <c r="M81" s="690" t="s">
        <v>1003</v>
      </c>
    </row>
    <row r="82" spans="1:18" s="685" customFormat="1" ht="15" customHeight="1" outlineLevel="1">
      <c r="A82" s="664" t="s">
        <v>32</v>
      </c>
      <c r="B82" s="672" t="s">
        <v>749</v>
      </c>
      <c r="C82" s="665" t="s">
        <v>754</v>
      </c>
      <c r="D82" s="666" t="s">
        <v>480</v>
      </c>
      <c r="E82" s="673">
        <v>24.32</v>
      </c>
      <c r="F82" s="673"/>
      <c r="G82" s="668"/>
      <c r="H82" s="668"/>
      <c r="I82" s="668"/>
      <c r="J82" s="668"/>
      <c r="L82" s="686"/>
      <c r="M82" s="686"/>
      <c r="N82" s="686"/>
      <c r="O82" s="686"/>
      <c r="P82" s="686"/>
      <c r="Q82" s="686"/>
      <c r="R82" s="686"/>
    </row>
    <row r="83" spans="1:18" s="685" customFormat="1" ht="15" customHeight="1" outlineLevel="1">
      <c r="A83" s="664" t="s">
        <v>32</v>
      </c>
      <c r="B83" s="672" t="s">
        <v>749</v>
      </c>
      <c r="C83" s="665" t="s">
        <v>754</v>
      </c>
      <c r="D83" s="666" t="s">
        <v>482</v>
      </c>
      <c r="E83" s="673">
        <v>7.1</v>
      </c>
      <c r="F83" s="673"/>
      <c r="G83" s="668"/>
      <c r="H83" s="668"/>
      <c r="I83" s="668"/>
      <c r="J83" s="668"/>
      <c r="L83" s="686"/>
      <c r="M83" s="686"/>
      <c r="N83" s="686"/>
      <c r="O83" s="686"/>
      <c r="P83" s="686"/>
      <c r="Q83" s="686"/>
      <c r="R83" s="686"/>
    </row>
    <row r="84" spans="1:18" s="685" customFormat="1" ht="15" customHeight="1" outlineLevel="1">
      <c r="A84" s="664" t="s">
        <v>32</v>
      </c>
      <c r="B84" s="672" t="s">
        <v>749</v>
      </c>
      <c r="C84" s="665" t="s">
        <v>754</v>
      </c>
      <c r="D84" s="666" t="s">
        <v>483</v>
      </c>
      <c r="E84" s="673"/>
      <c r="F84" s="673"/>
      <c r="G84" s="668"/>
      <c r="H84" s="668"/>
      <c r="I84" s="668"/>
      <c r="J84" s="668"/>
      <c r="L84" s="686"/>
      <c r="M84" s="686"/>
      <c r="N84" s="686"/>
      <c r="O84" s="686"/>
      <c r="P84" s="686"/>
      <c r="Q84" s="686"/>
      <c r="R84" s="686"/>
    </row>
    <row r="85" spans="1:18" s="685" customFormat="1" ht="15" customHeight="1" outlineLevel="1">
      <c r="A85" s="664" t="s">
        <v>32</v>
      </c>
      <c r="B85" s="672" t="s">
        <v>749</v>
      </c>
      <c r="C85" s="665" t="s">
        <v>754</v>
      </c>
      <c r="D85" s="666" t="s">
        <v>484</v>
      </c>
      <c r="E85" s="673">
        <v>0.78</v>
      </c>
      <c r="F85" s="673"/>
      <c r="G85" s="668"/>
      <c r="H85" s="668"/>
      <c r="I85" s="668"/>
      <c r="J85" s="668"/>
      <c r="L85" s="686"/>
      <c r="M85" s="686"/>
      <c r="N85" s="686"/>
      <c r="O85" s="686"/>
      <c r="P85" s="686"/>
      <c r="Q85" s="686"/>
      <c r="R85" s="686"/>
    </row>
    <row r="86" spans="1:18" s="685" customFormat="1" ht="15" customHeight="1">
      <c r="A86" s="658" t="s">
        <v>32</v>
      </c>
      <c r="B86" s="671" t="s">
        <v>749</v>
      </c>
      <c r="C86" s="659" t="s">
        <v>750</v>
      </c>
      <c r="D86" s="660"/>
      <c r="E86" s="674">
        <f>SUM(E87:E89)</f>
        <v>32.430074699999999</v>
      </c>
      <c r="F86" s="674">
        <f>SUM(F87:F89)</f>
        <v>0</v>
      </c>
      <c r="G86" s="662"/>
      <c r="H86" s="662"/>
      <c r="I86" s="662"/>
      <c r="J86" s="663"/>
      <c r="L86" s="690" t="s">
        <v>998</v>
      </c>
      <c r="M86" s="686"/>
      <c r="N86" s="686"/>
      <c r="O86" s="686"/>
      <c r="P86" s="686"/>
      <c r="Q86" s="686"/>
      <c r="R86" s="686"/>
    </row>
    <row r="87" spans="1:18" s="685" customFormat="1" ht="15" customHeight="1" outlineLevel="1">
      <c r="A87" s="664" t="s">
        <v>32</v>
      </c>
      <c r="B87" s="672" t="s">
        <v>749</v>
      </c>
      <c r="C87" s="665" t="s">
        <v>750</v>
      </c>
      <c r="D87" s="666" t="s">
        <v>480</v>
      </c>
      <c r="E87" s="673">
        <v>24.32</v>
      </c>
      <c r="F87" s="673"/>
      <c r="G87" s="668"/>
      <c r="H87" s="668"/>
      <c r="I87" s="668"/>
      <c r="J87" s="668"/>
      <c r="L87" s="688"/>
      <c r="M87" s="686"/>
      <c r="N87" s="686"/>
      <c r="O87" s="686"/>
      <c r="P87" s="686"/>
      <c r="Q87" s="686"/>
      <c r="R87" s="686"/>
    </row>
    <row r="88" spans="1:18" s="685" customFormat="1" ht="15" customHeight="1" outlineLevel="1">
      <c r="A88" s="664" t="s">
        <v>32</v>
      </c>
      <c r="B88" s="672" t="s">
        <v>749</v>
      </c>
      <c r="C88" s="665" t="s">
        <v>750</v>
      </c>
      <c r="D88" s="666" t="s">
        <v>482</v>
      </c>
      <c r="E88" s="673">
        <v>7.3300747000000008</v>
      </c>
      <c r="F88" s="673"/>
      <c r="G88" s="668"/>
      <c r="H88" s="668"/>
      <c r="I88" s="668"/>
      <c r="J88" s="668"/>
      <c r="L88" s="686"/>
      <c r="M88" s="686"/>
      <c r="N88" s="686"/>
      <c r="O88" s="686"/>
      <c r="P88" s="686"/>
      <c r="Q88" s="686"/>
      <c r="R88" s="686"/>
    </row>
    <row r="89" spans="1:18" s="685" customFormat="1" ht="15" customHeight="1" outlineLevel="1">
      <c r="A89" s="664" t="s">
        <v>32</v>
      </c>
      <c r="B89" s="672" t="s">
        <v>749</v>
      </c>
      <c r="C89" s="665" t="s">
        <v>750</v>
      </c>
      <c r="D89" s="666" t="s">
        <v>484</v>
      </c>
      <c r="E89" s="673">
        <v>0.78</v>
      </c>
      <c r="F89" s="673"/>
      <c r="G89" s="668"/>
      <c r="H89" s="668"/>
      <c r="I89" s="668"/>
      <c r="J89" s="668"/>
      <c r="L89" s="686"/>
      <c r="M89" s="686"/>
      <c r="N89" s="686"/>
      <c r="O89" s="686"/>
      <c r="P89" s="686"/>
      <c r="Q89" s="686"/>
      <c r="R89" s="686"/>
    </row>
    <row r="90" spans="1:18" s="685" customFormat="1" ht="15" customHeight="1">
      <c r="A90" s="658" t="s">
        <v>32</v>
      </c>
      <c r="B90" s="671" t="s">
        <v>749</v>
      </c>
      <c r="C90" s="659" t="s">
        <v>751</v>
      </c>
      <c r="D90" s="660"/>
      <c r="E90" s="674">
        <f>SUM(E91:E93)</f>
        <v>32.43</v>
      </c>
      <c r="F90" s="674">
        <f>SUM(F91:F93)</f>
        <v>0</v>
      </c>
      <c r="G90" s="662"/>
      <c r="H90" s="662"/>
      <c r="I90" s="662"/>
      <c r="J90" s="663"/>
      <c r="L90" s="690" t="s">
        <v>999</v>
      </c>
      <c r="M90" s="686"/>
      <c r="N90" s="686"/>
      <c r="O90" s="686"/>
      <c r="P90" s="686"/>
      <c r="Q90" s="686"/>
      <c r="R90" s="686"/>
    </row>
    <row r="91" spans="1:18" s="685" customFormat="1" ht="15" customHeight="1" outlineLevel="1">
      <c r="A91" s="664" t="s">
        <v>32</v>
      </c>
      <c r="B91" s="672" t="s">
        <v>749</v>
      </c>
      <c r="C91" s="665" t="s">
        <v>751</v>
      </c>
      <c r="D91" s="666" t="s">
        <v>480</v>
      </c>
      <c r="E91" s="673">
        <v>24.32</v>
      </c>
      <c r="F91" s="673"/>
      <c r="G91" s="668"/>
      <c r="H91" s="668"/>
      <c r="I91" s="668"/>
      <c r="J91" s="668"/>
      <c r="L91" s="688"/>
      <c r="M91" s="686"/>
      <c r="N91" s="686"/>
      <c r="O91" s="686"/>
      <c r="P91" s="686"/>
      <c r="Q91" s="686"/>
      <c r="R91" s="686"/>
    </row>
    <row r="92" spans="1:18" s="685" customFormat="1" ht="15" customHeight="1" outlineLevel="1">
      <c r="A92" s="664" t="s">
        <v>32</v>
      </c>
      <c r="B92" s="672" t="s">
        <v>749</v>
      </c>
      <c r="C92" s="665" t="s">
        <v>751</v>
      </c>
      <c r="D92" s="666" t="s">
        <v>482</v>
      </c>
      <c r="E92" s="673">
        <v>7.33</v>
      </c>
      <c r="F92" s="673"/>
      <c r="G92" s="668"/>
      <c r="H92" s="668"/>
      <c r="I92" s="668"/>
      <c r="J92" s="668"/>
      <c r="L92" s="686"/>
      <c r="M92" s="686"/>
      <c r="N92" s="686"/>
      <c r="O92" s="686"/>
      <c r="P92" s="686"/>
      <c r="Q92" s="686"/>
      <c r="R92" s="686"/>
    </row>
    <row r="93" spans="1:18" s="685" customFormat="1" ht="15" customHeight="1" outlineLevel="1">
      <c r="A93" s="664" t="s">
        <v>32</v>
      </c>
      <c r="B93" s="672" t="s">
        <v>749</v>
      </c>
      <c r="C93" s="665" t="s">
        <v>751</v>
      </c>
      <c r="D93" s="666" t="s">
        <v>484</v>
      </c>
      <c r="E93" s="673">
        <v>0.78</v>
      </c>
      <c r="F93" s="673"/>
      <c r="G93" s="668"/>
      <c r="H93" s="668"/>
      <c r="I93" s="668"/>
      <c r="J93" s="668"/>
      <c r="L93" s="686"/>
      <c r="M93" s="686"/>
      <c r="N93" s="686"/>
      <c r="O93" s="686"/>
      <c r="P93" s="686"/>
      <c r="Q93" s="686"/>
      <c r="R93" s="686"/>
    </row>
    <row r="94" spans="1:18" s="685" customFormat="1" ht="15" customHeight="1">
      <c r="A94" s="658" t="s">
        <v>32</v>
      </c>
      <c r="B94" s="671" t="s">
        <v>749</v>
      </c>
      <c r="C94" s="802" t="s">
        <v>803</v>
      </c>
      <c r="D94" s="666"/>
      <c r="E94" s="674">
        <f>SUM(E95:E97)/'Lookups-Assumptions'!E22</f>
        <v>4.1923076923076925</v>
      </c>
      <c r="F94" s="674">
        <f>SUM(F95:F97)/'Lookups-Assumptions'!E22</f>
        <v>0</v>
      </c>
      <c r="G94" s="668"/>
      <c r="H94" s="668"/>
      <c r="I94" s="668"/>
      <c r="J94" s="668"/>
      <c r="L94" s="690" t="s">
        <v>1013</v>
      </c>
      <c r="M94" s="686"/>
      <c r="N94" s="686"/>
      <c r="O94" s="686"/>
      <c r="P94" s="686"/>
      <c r="Q94" s="686"/>
      <c r="R94" s="686"/>
    </row>
    <row r="95" spans="1:18" s="685" customFormat="1" ht="15" customHeight="1" outlineLevel="1">
      <c r="A95" s="664" t="s">
        <v>32</v>
      </c>
      <c r="B95" s="672" t="s">
        <v>749</v>
      </c>
      <c r="C95" s="665" t="s">
        <v>803</v>
      </c>
      <c r="D95" s="666" t="s">
        <v>480</v>
      </c>
      <c r="E95" s="675">
        <v>3.99</v>
      </c>
      <c r="F95" s="675"/>
      <c r="G95" s="668"/>
      <c r="H95" s="668"/>
      <c r="I95" s="668"/>
      <c r="J95" s="668"/>
      <c r="L95" s="686"/>
      <c r="M95" s="686"/>
      <c r="N95" s="686"/>
      <c r="O95" s="686"/>
      <c r="P95" s="686"/>
      <c r="Q95" s="686"/>
      <c r="R95" s="686"/>
    </row>
    <row r="96" spans="1:18" s="685" customFormat="1" ht="15" customHeight="1" outlineLevel="1">
      <c r="A96" s="664" t="s">
        <v>32</v>
      </c>
      <c r="B96" s="672" t="s">
        <v>749</v>
      </c>
      <c r="C96" s="665" t="s">
        <v>803</v>
      </c>
      <c r="D96" s="666" t="s">
        <v>482</v>
      </c>
      <c r="E96" s="675">
        <v>1.33</v>
      </c>
      <c r="F96" s="675"/>
      <c r="G96" s="668"/>
      <c r="H96" s="668"/>
      <c r="I96" s="668"/>
      <c r="J96" s="668"/>
      <c r="L96" s="686"/>
      <c r="M96" s="686"/>
      <c r="N96" s="686"/>
      <c r="O96" s="686"/>
      <c r="P96" s="686"/>
      <c r="Q96" s="686"/>
      <c r="R96" s="686"/>
    </row>
    <row r="97" spans="1:18" s="685" customFormat="1" ht="15" customHeight="1" outlineLevel="1">
      <c r="A97" s="664" t="s">
        <v>32</v>
      </c>
      <c r="B97" s="672" t="s">
        <v>749</v>
      </c>
      <c r="C97" s="665" t="s">
        <v>803</v>
      </c>
      <c r="D97" s="666" t="s">
        <v>484</v>
      </c>
      <c r="E97" s="675">
        <v>0.13</v>
      </c>
      <c r="F97" s="675"/>
      <c r="G97" s="668"/>
      <c r="H97" s="668"/>
      <c r="I97" s="668"/>
      <c r="J97" s="668"/>
      <c r="L97" s="686"/>
      <c r="M97" s="686"/>
      <c r="N97" s="686"/>
      <c r="O97" s="686"/>
      <c r="P97" s="686"/>
      <c r="Q97" s="686"/>
      <c r="R97" s="686"/>
    </row>
    <row r="98" spans="1:18" s="685" customFormat="1" ht="15" customHeight="1">
      <c r="A98" s="658" t="s">
        <v>32</v>
      </c>
      <c r="B98" s="671" t="s">
        <v>749</v>
      </c>
      <c r="C98" s="659" t="s">
        <v>817</v>
      </c>
      <c r="D98" s="660"/>
      <c r="E98" s="674">
        <f>SUM(E99:E101)/'Lookups-Assumptions'!E22</f>
        <v>4.1923076923076925</v>
      </c>
      <c r="F98" s="674">
        <f>SUM(F99:F101)/'Lookups-Assumptions'!E22</f>
        <v>0</v>
      </c>
      <c r="G98" s="662"/>
      <c r="H98" s="662"/>
      <c r="I98" s="662"/>
      <c r="J98" s="663"/>
      <c r="L98" s="690" t="s">
        <v>1014</v>
      </c>
      <c r="M98" s="686"/>
      <c r="N98" s="686"/>
      <c r="O98" s="686"/>
      <c r="P98" s="686"/>
      <c r="Q98" s="686"/>
      <c r="R98" s="686"/>
    </row>
    <row r="99" spans="1:18" s="685" customFormat="1" ht="15" customHeight="1" outlineLevel="1">
      <c r="A99" s="664" t="s">
        <v>32</v>
      </c>
      <c r="B99" s="672" t="s">
        <v>749</v>
      </c>
      <c r="C99" s="665" t="s">
        <v>817</v>
      </c>
      <c r="D99" s="666" t="s">
        <v>480</v>
      </c>
      <c r="E99" s="675">
        <v>3.99</v>
      </c>
      <c r="F99" s="675"/>
      <c r="G99" s="668"/>
      <c r="H99" s="668"/>
      <c r="I99" s="668"/>
      <c r="J99" s="668"/>
      <c r="L99" s="686"/>
      <c r="M99" s="686"/>
      <c r="N99" s="686"/>
      <c r="O99" s="686"/>
      <c r="P99" s="686"/>
      <c r="Q99" s="686"/>
      <c r="R99" s="686"/>
    </row>
    <row r="100" spans="1:18" s="685" customFormat="1" ht="15" customHeight="1" outlineLevel="1">
      <c r="A100" s="664" t="s">
        <v>32</v>
      </c>
      <c r="B100" s="672" t="s">
        <v>749</v>
      </c>
      <c r="C100" s="665" t="s">
        <v>817</v>
      </c>
      <c r="D100" s="666" t="s">
        <v>482</v>
      </c>
      <c r="E100" s="675">
        <v>1.33</v>
      </c>
      <c r="F100" s="675"/>
      <c r="G100" s="668"/>
      <c r="H100" s="668"/>
      <c r="I100" s="668"/>
      <c r="J100" s="668"/>
      <c r="L100" s="686"/>
      <c r="M100" s="686"/>
      <c r="N100" s="686"/>
      <c r="O100" s="686"/>
      <c r="P100" s="686"/>
      <c r="Q100" s="686"/>
      <c r="R100" s="686"/>
    </row>
    <row r="101" spans="1:18" s="685" customFormat="1" ht="15" customHeight="1" outlineLevel="1">
      <c r="A101" s="664" t="s">
        <v>32</v>
      </c>
      <c r="B101" s="672" t="s">
        <v>749</v>
      </c>
      <c r="C101" s="665" t="s">
        <v>817</v>
      </c>
      <c r="D101" s="666" t="s">
        <v>484</v>
      </c>
      <c r="E101" s="675">
        <v>0.13</v>
      </c>
      <c r="F101" s="675"/>
      <c r="G101" s="668"/>
      <c r="H101" s="668"/>
      <c r="I101" s="668"/>
      <c r="J101" s="668"/>
      <c r="L101" s="686"/>
      <c r="M101" s="686"/>
      <c r="N101" s="686"/>
      <c r="O101" s="686"/>
      <c r="P101" s="686"/>
      <c r="Q101" s="686"/>
      <c r="R101" s="686"/>
    </row>
    <row r="102" spans="1:18" s="685" customFormat="1" ht="15" customHeight="1">
      <c r="A102" s="658" t="s">
        <v>32</v>
      </c>
      <c r="B102" s="671" t="s">
        <v>749</v>
      </c>
      <c r="C102" s="659" t="s">
        <v>818</v>
      </c>
      <c r="D102" s="666"/>
      <c r="E102" s="674">
        <f>SUM(E103:E105)/'Lookups-Assumptions'!E22</f>
        <v>4.1923076923076925</v>
      </c>
      <c r="F102" s="674">
        <f>SUM(F103:F105)/'Lookups-Assumptions'!E22</f>
        <v>0</v>
      </c>
      <c r="G102" s="668"/>
      <c r="H102" s="668"/>
      <c r="I102" s="668"/>
      <c r="J102" s="668"/>
      <c r="L102" s="690" t="s">
        <v>1015</v>
      </c>
      <c r="M102" s="686"/>
      <c r="N102" s="686"/>
      <c r="O102" s="686"/>
      <c r="P102" s="686"/>
      <c r="Q102" s="686"/>
      <c r="R102" s="686"/>
    </row>
    <row r="103" spans="1:18" s="685" customFormat="1" ht="15" customHeight="1" outlineLevel="1">
      <c r="A103" s="664" t="s">
        <v>32</v>
      </c>
      <c r="B103" s="672" t="s">
        <v>749</v>
      </c>
      <c r="C103" s="665" t="s">
        <v>818</v>
      </c>
      <c r="D103" s="666" t="s">
        <v>480</v>
      </c>
      <c r="E103" s="675">
        <v>3.99</v>
      </c>
      <c r="F103" s="675"/>
      <c r="G103" s="668"/>
      <c r="H103" s="668"/>
      <c r="I103" s="668"/>
      <c r="J103" s="668"/>
      <c r="L103" s="686"/>
      <c r="M103" s="686"/>
      <c r="N103" s="686"/>
      <c r="O103" s="686"/>
      <c r="P103" s="686"/>
      <c r="Q103" s="686"/>
      <c r="R103" s="686"/>
    </row>
    <row r="104" spans="1:18" s="685" customFormat="1" ht="15" customHeight="1" outlineLevel="1">
      <c r="A104" s="664" t="s">
        <v>32</v>
      </c>
      <c r="B104" s="672" t="s">
        <v>749</v>
      </c>
      <c r="C104" s="665" t="s">
        <v>818</v>
      </c>
      <c r="D104" s="666" t="s">
        <v>482</v>
      </c>
      <c r="E104" s="675">
        <v>1.33</v>
      </c>
      <c r="F104" s="675"/>
      <c r="G104" s="668"/>
      <c r="H104" s="668"/>
      <c r="I104" s="668"/>
      <c r="J104" s="668"/>
      <c r="L104" s="686"/>
      <c r="M104" s="686"/>
      <c r="N104" s="686"/>
      <c r="O104" s="686"/>
      <c r="P104" s="686"/>
      <c r="Q104" s="686"/>
      <c r="R104" s="686"/>
    </row>
    <row r="105" spans="1:18" s="685" customFormat="1" ht="15" customHeight="1" outlineLevel="1">
      <c r="A105" s="664" t="s">
        <v>32</v>
      </c>
      <c r="B105" s="672" t="s">
        <v>749</v>
      </c>
      <c r="C105" s="665" t="s">
        <v>818</v>
      </c>
      <c r="D105" s="666" t="s">
        <v>484</v>
      </c>
      <c r="E105" s="675">
        <v>0.13</v>
      </c>
      <c r="F105" s="675"/>
      <c r="G105" s="666"/>
      <c r="H105" s="666"/>
      <c r="I105" s="666"/>
      <c r="J105" s="666"/>
      <c r="L105" s="686"/>
      <c r="M105" s="686"/>
      <c r="N105" s="686"/>
      <c r="O105" s="686"/>
      <c r="P105" s="686"/>
      <c r="Q105" s="686"/>
      <c r="R105" s="686"/>
    </row>
    <row r="106" spans="1:18" s="685" customFormat="1" ht="15" customHeight="1">
      <c r="A106" s="658" t="s">
        <v>32</v>
      </c>
      <c r="B106" s="660" t="s">
        <v>725</v>
      </c>
      <c r="C106" s="659" t="s">
        <v>413</v>
      </c>
      <c r="D106" s="660" t="s">
        <v>478</v>
      </c>
      <c r="E106" s="661"/>
      <c r="F106" s="661">
        <v>3</v>
      </c>
      <c r="G106" s="666"/>
      <c r="H106" s="666"/>
      <c r="I106" s="666"/>
      <c r="J106" s="666"/>
      <c r="L106" s="936" t="s">
        <v>964</v>
      </c>
      <c r="M106" s="150" t="s">
        <v>1196</v>
      </c>
      <c r="N106" s="686"/>
      <c r="O106" s="686"/>
      <c r="P106" s="686"/>
      <c r="Q106" s="686"/>
      <c r="R106" s="686"/>
    </row>
    <row r="107" spans="1:18" s="685" customFormat="1" ht="15" customHeight="1">
      <c r="A107" s="658" t="s">
        <v>32</v>
      </c>
      <c r="B107" s="660" t="s">
        <v>725</v>
      </c>
      <c r="C107" s="659" t="s">
        <v>414</v>
      </c>
      <c r="D107" s="660" t="s">
        <v>478</v>
      </c>
      <c r="E107" s="661"/>
      <c r="F107" s="661">
        <v>3</v>
      </c>
      <c r="G107" s="666"/>
      <c r="H107" s="666"/>
      <c r="I107" s="666"/>
      <c r="J107" s="666"/>
      <c r="L107" s="936" t="s">
        <v>1398</v>
      </c>
      <c r="M107" s="150" t="s">
        <v>1411</v>
      </c>
      <c r="N107" s="686"/>
      <c r="O107" s="686"/>
      <c r="P107" s="686"/>
      <c r="Q107" s="686"/>
      <c r="R107" s="686"/>
    </row>
    <row r="108" spans="1:18" s="685" customFormat="1" ht="15" customHeight="1">
      <c r="A108" s="658" t="s">
        <v>32</v>
      </c>
      <c r="B108" s="660" t="s">
        <v>725</v>
      </c>
      <c r="C108" s="659" t="s">
        <v>493</v>
      </c>
      <c r="D108" s="660"/>
      <c r="E108" s="674">
        <f>SUM(E109:E112)</f>
        <v>47.309999999999995</v>
      </c>
      <c r="F108" s="674">
        <f>SUM(F109:F112)</f>
        <v>0</v>
      </c>
      <c r="G108" s="850"/>
      <c r="H108" s="850"/>
      <c r="I108" s="850"/>
      <c r="J108" s="850"/>
      <c r="L108" s="936" t="s">
        <v>946</v>
      </c>
      <c r="M108" s="936" t="s">
        <v>947</v>
      </c>
      <c r="N108" s="150" t="s">
        <v>1283</v>
      </c>
      <c r="O108" s="150" t="s">
        <v>1284</v>
      </c>
      <c r="P108" s="686"/>
      <c r="Q108" s="686"/>
      <c r="R108" s="686"/>
    </row>
    <row r="109" spans="1:18" s="685" customFormat="1" ht="15" customHeight="1" outlineLevel="1">
      <c r="A109" s="664" t="s">
        <v>32</v>
      </c>
      <c r="B109" s="666" t="s">
        <v>725</v>
      </c>
      <c r="C109" s="665" t="s">
        <v>493</v>
      </c>
      <c r="D109" s="666" t="s">
        <v>480</v>
      </c>
      <c r="E109" s="667">
        <v>25.15</v>
      </c>
      <c r="F109" s="666"/>
      <c r="G109" s="666"/>
      <c r="H109" s="666"/>
      <c r="I109" s="666"/>
      <c r="J109" s="666"/>
      <c r="L109" s="686"/>
      <c r="M109" s="686"/>
      <c r="N109" s="686"/>
      <c r="O109" s="686"/>
      <c r="P109" s="686"/>
      <c r="Q109" s="686"/>
      <c r="R109" s="686"/>
    </row>
    <row r="110" spans="1:18" s="685" customFormat="1" ht="15" customHeight="1" outlineLevel="1">
      <c r="A110" s="664" t="s">
        <v>32</v>
      </c>
      <c r="B110" s="666" t="s">
        <v>725</v>
      </c>
      <c r="C110" s="665" t="s">
        <v>493</v>
      </c>
      <c r="D110" s="666" t="s">
        <v>481</v>
      </c>
      <c r="E110" s="667">
        <v>11.54</v>
      </c>
      <c r="F110" s="666"/>
      <c r="G110" s="666"/>
      <c r="H110" s="666"/>
      <c r="I110" s="666"/>
      <c r="J110" s="666"/>
      <c r="L110" s="686"/>
      <c r="M110" s="686"/>
      <c r="N110" s="686"/>
      <c r="O110" s="686"/>
      <c r="P110" s="686"/>
      <c r="Q110" s="686"/>
      <c r="R110" s="686"/>
    </row>
    <row r="111" spans="1:18" s="685" customFormat="1" ht="15" customHeight="1" outlineLevel="1">
      <c r="A111" s="664" t="s">
        <v>32</v>
      </c>
      <c r="B111" s="666" t="s">
        <v>725</v>
      </c>
      <c r="C111" s="665" t="s">
        <v>493</v>
      </c>
      <c r="D111" s="666" t="s">
        <v>482</v>
      </c>
      <c r="E111" s="667">
        <v>9.82</v>
      </c>
      <c r="F111" s="666"/>
      <c r="G111" s="666"/>
      <c r="H111" s="666"/>
      <c r="I111" s="666"/>
      <c r="J111" s="666"/>
      <c r="L111" s="686"/>
      <c r="M111" s="686"/>
      <c r="N111" s="686"/>
      <c r="O111" s="686"/>
      <c r="P111" s="686"/>
      <c r="Q111" s="686"/>
      <c r="R111" s="686"/>
    </row>
    <row r="112" spans="1:18" s="685" customFormat="1" ht="15" customHeight="1" outlineLevel="1">
      <c r="A112" s="664" t="s">
        <v>32</v>
      </c>
      <c r="B112" s="666" t="s">
        <v>725</v>
      </c>
      <c r="C112" s="665" t="s">
        <v>493</v>
      </c>
      <c r="D112" s="666" t="s">
        <v>484</v>
      </c>
      <c r="E112" s="667">
        <v>0.8</v>
      </c>
      <c r="F112" s="666"/>
      <c r="G112" s="666"/>
      <c r="H112" s="666"/>
      <c r="I112" s="666"/>
      <c r="J112" s="666"/>
      <c r="L112" s="686"/>
      <c r="M112" s="686"/>
      <c r="N112" s="686"/>
      <c r="O112" s="686"/>
      <c r="P112" s="686"/>
      <c r="Q112" s="686"/>
      <c r="R112" s="686"/>
    </row>
    <row r="113" spans="1:19" s="685" customFormat="1" ht="15" customHeight="1">
      <c r="A113" s="658" t="s">
        <v>32</v>
      </c>
      <c r="B113" s="660" t="s">
        <v>725</v>
      </c>
      <c r="C113" s="659" t="s">
        <v>495</v>
      </c>
      <c r="D113" s="660"/>
      <c r="E113" s="674">
        <f>SUM(E114:E119)</f>
        <v>19.350000000000005</v>
      </c>
      <c r="F113" s="674">
        <f>SUM(F114:F119)</f>
        <v>0</v>
      </c>
      <c r="G113" s="850"/>
      <c r="H113" s="850"/>
      <c r="I113" s="850"/>
      <c r="J113" s="850"/>
      <c r="L113" s="936" t="s">
        <v>945</v>
      </c>
      <c r="M113" s="150" t="s">
        <v>1282</v>
      </c>
      <c r="N113" s="686"/>
      <c r="O113" s="686"/>
      <c r="P113" s="686"/>
      <c r="Q113" s="686"/>
      <c r="R113" s="686"/>
    </row>
    <row r="114" spans="1:19" s="685" customFormat="1" ht="15" customHeight="1" outlineLevel="1">
      <c r="A114" s="664" t="s">
        <v>32</v>
      </c>
      <c r="B114" s="666" t="s">
        <v>725</v>
      </c>
      <c r="C114" s="665" t="s">
        <v>495</v>
      </c>
      <c r="D114" s="666" t="s">
        <v>480</v>
      </c>
      <c r="E114" s="667">
        <v>10.130000000000001</v>
      </c>
      <c r="F114" s="666"/>
      <c r="G114" s="666"/>
      <c r="H114" s="666"/>
      <c r="I114" s="666"/>
      <c r="J114" s="666"/>
      <c r="L114" s="686"/>
      <c r="M114" s="686"/>
      <c r="N114" s="686"/>
      <c r="O114" s="686"/>
      <c r="P114" s="686"/>
      <c r="Q114" s="686"/>
      <c r="R114" s="686"/>
    </row>
    <row r="115" spans="1:19" s="685" customFormat="1" ht="15" customHeight="1" outlineLevel="1">
      <c r="A115" s="664" t="s">
        <v>32</v>
      </c>
      <c r="B115" s="666" t="s">
        <v>725</v>
      </c>
      <c r="C115" s="665" t="s">
        <v>495</v>
      </c>
      <c r="D115" s="666" t="s">
        <v>481</v>
      </c>
      <c r="E115" s="667">
        <v>4.88</v>
      </c>
      <c r="F115" s="666"/>
      <c r="G115" s="666"/>
      <c r="H115" s="666"/>
      <c r="I115" s="666"/>
      <c r="J115" s="666"/>
      <c r="L115" s="686"/>
      <c r="M115" s="686"/>
      <c r="N115" s="686"/>
      <c r="O115" s="686"/>
      <c r="P115" s="686"/>
      <c r="Q115" s="686"/>
      <c r="R115" s="686"/>
    </row>
    <row r="116" spans="1:19" s="685" customFormat="1" ht="15" customHeight="1" outlineLevel="1">
      <c r="A116" s="664" t="s">
        <v>32</v>
      </c>
      <c r="B116" s="666" t="s">
        <v>725</v>
      </c>
      <c r="C116" s="665" t="s">
        <v>495</v>
      </c>
      <c r="D116" s="666" t="s">
        <v>492</v>
      </c>
      <c r="E116" s="667">
        <v>2.58</v>
      </c>
      <c r="F116" s="666"/>
      <c r="G116" s="666"/>
      <c r="H116" s="666"/>
      <c r="I116" s="666"/>
      <c r="J116" s="666"/>
      <c r="L116" s="686"/>
      <c r="M116" s="686"/>
      <c r="N116" s="686"/>
      <c r="O116" s="686"/>
      <c r="P116" s="686"/>
      <c r="Q116" s="686"/>
      <c r="R116" s="686"/>
    </row>
    <row r="117" spans="1:19" s="685" customFormat="1" ht="15" customHeight="1" outlineLevel="1">
      <c r="A117" s="664" t="s">
        <v>32</v>
      </c>
      <c r="B117" s="666" t="s">
        <v>725</v>
      </c>
      <c r="C117" s="665" t="s">
        <v>495</v>
      </c>
      <c r="D117" s="666" t="s">
        <v>484</v>
      </c>
      <c r="E117" s="667">
        <v>0.32</v>
      </c>
      <c r="F117" s="666"/>
      <c r="G117" s="666"/>
      <c r="H117" s="666"/>
      <c r="I117" s="666"/>
      <c r="J117" s="666"/>
      <c r="L117" s="686"/>
      <c r="M117" s="686"/>
      <c r="N117" s="686"/>
      <c r="O117" s="686"/>
      <c r="P117" s="686"/>
      <c r="Q117" s="686"/>
      <c r="R117" s="686"/>
    </row>
    <row r="118" spans="1:19" s="685" customFormat="1" ht="15" customHeight="1" outlineLevel="1">
      <c r="A118" s="664" t="s">
        <v>32</v>
      </c>
      <c r="B118" s="666" t="s">
        <v>725</v>
      </c>
      <c r="C118" s="665" t="s">
        <v>495</v>
      </c>
      <c r="D118" s="666" t="s">
        <v>490</v>
      </c>
      <c r="E118" s="667">
        <v>1.37</v>
      </c>
      <c r="F118" s="666"/>
      <c r="G118" s="666"/>
      <c r="H118" s="666"/>
      <c r="I118" s="666"/>
      <c r="J118" s="666"/>
      <c r="L118" s="686"/>
      <c r="M118" s="686"/>
      <c r="N118" s="686"/>
      <c r="O118" s="686"/>
      <c r="P118" s="686"/>
      <c r="Q118" s="686"/>
      <c r="R118" s="686"/>
    </row>
    <row r="119" spans="1:19" s="685" customFormat="1" ht="15" customHeight="1" outlineLevel="1">
      <c r="A119" s="664" t="s">
        <v>32</v>
      </c>
      <c r="B119" s="666" t="s">
        <v>725</v>
      </c>
      <c r="C119" s="665" t="s">
        <v>495</v>
      </c>
      <c r="D119" s="666" t="s">
        <v>496</v>
      </c>
      <c r="E119" s="667">
        <v>7.0000000000000007E-2</v>
      </c>
      <c r="F119" s="666"/>
      <c r="G119" s="666"/>
      <c r="H119" s="666"/>
      <c r="I119" s="666"/>
      <c r="J119" s="666"/>
      <c r="L119" s="686"/>
      <c r="M119" s="686"/>
      <c r="N119" s="686"/>
      <c r="O119" s="686"/>
      <c r="P119" s="686"/>
      <c r="Q119" s="686"/>
      <c r="R119" s="686"/>
    </row>
    <row r="120" spans="1:19" s="685" customFormat="1" ht="15" customHeight="1">
      <c r="A120" s="664" t="s">
        <v>32</v>
      </c>
      <c r="B120" s="660" t="s">
        <v>725</v>
      </c>
      <c r="C120" s="659" t="s">
        <v>452</v>
      </c>
      <c r="D120" s="666"/>
      <c r="E120" s="661">
        <f>SUM(E121:E123)</f>
        <v>0.23</v>
      </c>
      <c r="F120" s="661">
        <f>SUM(F121:F123)</f>
        <v>0</v>
      </c>
      <c r="G120" s="668"/>
      <c r="H120" s="668"/>
      <c r="I120" s="668"/>
      <c r="J120" s="668"/>
      <c r="L120" s="936" t="s">
        <v>950</v>
      </c>
      <c r="M120" s="150" t="s">
        <v>1187</v>
      </c>
      <c r="N120" s="686"/>
      <c r="O120" s="686"/>
      <c r="P120" s="686"/>
      <c r="Q120" s="686"/>
      <c r="R120" s="686"/>
    </row>
    <row r="121" spans="1:19" s="685" customFormat="1" ht="15" customHeight="1" outlineLevel="1">
      <c r="A121" s="664" t="s">
        <v>32</v>
      </c>
      <c r="B121" s="666" t="s">
        <v>725</v>
      </c>
      <c r="C121" s="665" t="s">
        <v>452</v>
      </c>
      <c r="D121" s="666" t="s">
        <v>480</v>
      </c>
      <c r="E121" s="667">
        <v>0.16</v>
      </c>
      <c r="F121" s="667"/>
      <c r="G121" s="668"/>
      <c r="H121" s="668"/>
      <c r="I121" s="668"/>
      <c r="J121" s="668"/>
      <c r="L121" s="686"/>
      <c r="M121" s="686"/>
      <c r="N121" s="686"/>
      <c r="O121" s="686"/>
      <c r="P121" s="686"/>
      <c r="Q121" s="686"/>
      <c r="R121" s="686"/>
    </row>
    <row r="122" spans="1:19" s="685" customFormat="1" ht="15" customHeight="1" outlineLevel="1">
      <c r="A122" s="664" t="s">
        <v>32</v>
      </c>
      <c r="B122" s="660" t="s">
        <v>725</v>
      </c>
      <c r="C122" s="665" t="s">
        <v>452</v>
      </c>
      <c r="D122" s="666" t="s">
        <v>482</v>
      </c>
      <c r="E122" s="667">
        <v>0.06</v>
      </c>
      <c r="F122" s="667"/>
      <c r="G122" s="668"/>
      <c r="H122" s="668"/>
      <c r="I122" s="668"/>
      <c r="J122" s="668"/>
      <c r="L122" s="686"/>
      <c r="M122" s="686"/>
      <c r="N122" s="686"/>
      <c r="O122" s="686"/>
      <c r="P122" s="686"/>
      <c r="Q122" s="686"/>
      <c r="R122" s="686"/>
    </row>
    <row r="123" spans="1:19" s="685" customFormat="1" ht="15" customHeight="1" outlineLevel="1">
      <c r="A123" s="664" t="s">
        <v>32</v>
      </c>
      <c r="B123" s="666" t="s">
        <v>725</v>
      </c>
      <c r="C123" s="665" t="s">
        <v>452</v>
      </c>
      <c r="D123" s="666" t="s">
        <v>484</v>
      </c>
      <c r="E123" s="667">
        <v>0.01</v>
      </c>
      <c r="F123" s="667"/>
      <c r="G123" s="668"/>
      <c r="H123" s="668"/>
      <c r="I123" s="668"/>
      <c r="J123" s="668"/>
      <c r="L123" s="686"/>
      <c r="M123" s="686"/>
      <c r="N123" s="686"/>
      <c r="O123" s="686"/>
      <c r="P123" s="686"/>
      <c r="Q123" s="686"/>
      <c r="R123" s="686"/>
    </row>
    <row r="124" spans="1:19" s="685" customFormat="1" ht="15" customHeight="1" outlineLevel="1">
      <c r="A124" s="664" t="s">
        <v>32</v>
      </c>
      <c r="B124" s="660" t="s">
        <v>725</v>
      </c>
      <c r="C124" s="946" t="s">
        <v>729</v>
      </c>
      <c r="D124" s="678"/>
      <c r="E124" s="679">
        <f t="shared" ref="E124" si="0">SUM(E125:E125)</f>
        <v>0</v>
      </c>
      <c r="F124" s="679">
        <f t="shared" ref="F124" si="1">SUM(F125:F125)</f>
        <v>0</v>
      </c>
      <c r="G124" s="679">
        <f t="shared" ref="G124" si="2">SUM(G125:G125)</f>
        <v>0</v>
      </c>
      <c r="H124" s="679">
        <f t="shared" ref="H124" si="3">SUM(H125:H125)</f>
        <v>0</v>
      </c>
      <c r="I124" s="679">
        <f t="shared" ref="I124" si="4">SUM(I125:I125)</f>
        <v>1.35</v>
      </c>
      <c r="J124" s="668"/>
      <c r="L124" s="936" t="s">
        <v>951</v>
      </c>
      <c r="M124" s="936" t="s">
        <v>1186</v>
      </c>
      <c r="N124" s="686"/>
      <c r="O124" s="686"/>
      <c r="P124" s="686"/>
      <c r="Q124" s="686"/>
      <c r="R124" s="686"/>
    </row>
    <row r="125" spans="1:19" s="685" customFormat="1" ht="15" customHeight="1" outlineLevel="1">
      <c r="A125" s="664" t="s">
        <v>32</v>
      </c>
      <c r="B125" s="660" t="s">
        <v>725</v>
      </c>
      <c r="C125" s="665" t="s">
        <v>729</v>
      </c>
      <c r="D125" s="677" t="s">
        <v>1517</v>
      </c>
      <c r="E125" s="676"/>
      <c r="F125" s="676"/>
      <c r="G125" s="669"/>
      <c r="H125" s="669"/>
      <c r="I125" s="669">
        <v>1.35</v>
      </c>
      <c r="J125" s="668"/>
      <c r="L125" s="686"/>
      <c r="M125" s="686"/>
      <c r="N125" s="686"/>
      <c r="O125" s="686"/>
      <c r="P125" s="686"/>
      <c r="Q125" s="686"/>
      <c r="R125" s="686"/>
    </row>
    <row r="126" spans="1:19" s="685" customFormat="1" ht="15" customHeight="1">
      <c r="A126" s="664" t="s">
        <v>32</v>
      </c>
      <c r="B126" s="660" t="s">
        <v>725</v>
      </c>
      <c r="C126" s="659" t="s">
        <v>824</v>
      </c>
      <c r="D126" s="678"/>
      <c r="E126" s="679">
        <f t="shared" ref="E126:J126" si="5">SUM(E127:E127)</f>
        <v>0</v>
      </c>
      <c r="F126" s="679">
        <f t="shared" si="5"/>
        <v>0</v>
      </c>
      <c r="G126" s="679">
        <f t="shared" si="5"/>
        <v>0</v>
      </c>
      <c r="H126" s="679">
        <f t="shared" si="5"/>
        <v>0</v>
      </c>
      <c r="I126" s="679">
        <f t="shared" si="5"/>
        <v>1.35</v>
      </c>
      <c r="J126" s="679">
        <f t="shared" si="5"/>
        <v>0</v>
      </c>
      <c r="L126" s="690" t="s">
        <v>953</v>
      </c>
      <c r="M126" s="690" t="s">
        <v>1189</v>
      </c>
      <c r="N126" s="686"/>
      <c r="O126" s="686"/>
      <c r="P126" s="686"/>
      <c r="Q126" s="686"/>
      <c r="R126" s="686"/>
    </row>
    <row r="127" spans="1:19" s="685" customFormat="1" ht="15" customHeight="1" outlineLevel="1">
      <c r="A127" s="664" t="s">
        <v>32</v>
      </c>
      <c r="B127" s="660" t="s">
        <v>725</v>
      </c>
      <c r="C127" s="665" t="s">
        <v>824</v>
      </c>
      <c r="D127" s="677" t="s">
        <v>1517</v>
      </c>
      <c r="E127" s="676"/>
      <c r="F127" s="676"/>
      <c r="G127" s="669"/>
      <c r="H127" s="669"/>
      <c r="I127" s="669">
        <v>1.35</v>
      </c>
      <c r="J127" s="668"/>
      <c r="L127" s="690"/>
      <c r="M127" s="690"/>
      <c r="N127" s="686"/>
      <c r="O127" s="686"/>
      <c r="P127" s="686"/>
      <c r="Q127" s="686"/>
      <c r="R127" s="686"/>
    </row>
    <row r="128" spans="1:19" s="685" customFormat="1" ht="15" customHeight="1">
      <c r="A128" s="664" t="s">
        <v>32</v>
      </c>
      <c r="B128" s="660" t="s">
        <v>725</v>
      </c>
      <c r="C128" s="802" t="s">
        <v>803</v>
      </c>
      <c r="D128" s="660"/>
      <c r="E128" s="816">
        <f>SUM(E129:E134)/'Lookups-Assumptions'!E21</f>
        <v>14.35</v>
      </c>
      <c r="F128" s="674">
        <f>SUM(F129:F135)/'Lookups-Assumptions'!E21</f>
        <v>0</v>
      </c>
      <c r="G128" s="850"/>
      <c r="H128" s="850"/>
      <c r="I128" s="850"/>
      <c r="J128" s="850"/>
      <c r="L128" s="936" t="s">
        <v>959</v>
      </c>
      <c r="M128" s="936" t="s">
        <v>960</v>
      </c>
      <c r="N128" s="936" t="s">
        <v>961</v>
      </c>
      <c r="O128" s="936" t="s">
        <v>962</v>
      </c>
      <c r="P128" s="133" t="s">
        <v>1389</v>
      </c>
      <c r="Q128" s="150" t="s">
        <v>1193</v>
      </c>
      <c r="R128" s="150" t="s">
        <v>1194</v>
      </c>
      <c r="S128" s="150" t="s">
        <v>1289</v>
      </c>
    </row>
    <row r="129" spans="1:18" s="685" customFormat="1" ht="15" customHeight="1" outlineLevel="1">
      <c r="A129" s="664" t="s">
        <v>32</v>
      </c>
      <c r="B129" s="666" t="s">
        <v>725</v>
      </c>
      <c r="C129" s="665" t="s">
        <v>803</v>
      </c>
      <c r="D129" s="666" t="s">
        <v>480</v>
      </c>
      <c r="E129" s="675">
        <v>3.99</v>
      </c>
      <c r="F129" s="666"/>
      <c r="G129" s="666"/>
      <c r="H129" s="666"/>
      <c r="I129" s="666"/>
      <c r="J129" s="666"/>
      <c r="L129" s="686"/>
      <c r="M129" s="686"/>
      <c r="N129" s="686"/>
      <c r="O129" s="686"/>
      <c r="P129" s="686"/>
      <c r="Q129" s="686"/>
      <c r="R129" s="686"/>
    </row>
    <row r="130" spans="1:18" s="685" customFormat="1" ht="15" customHeight="1" outlineLevel="1">
      <c r="A130" s="664" t="s">
        <v>32</v>
      </c>
      <c r="B130" s="666" t="s">
        <v>725</v>
      </c>
      <c r="C130" s="665" t="s">
        <v>803</v>
      </c>
      <c r="D130" s="666" t="s">
        <v>492</v>
      </c>
      <c r="E130" s="675">
        <v>4.05</v>
      </c>
      <c r="F130" s="666"/>
      <c r="G130" s="666"/>
      <c r="H130" s="666"/>
      <c r="I130" s="666"/>
      <c r="J130" s="666"/>
      <c r="L130" s="688"/>
      <c r="M130" s="688"/>
      <c r="N130" s="688"/>
      <c r="O130" s="688"/>
      <c r="P130" s="686"/>
      <c r="Q130" s="686"/>
      <c r="R130" s="686"/>
    </row>
    <row r="131" spans="1:18" s="685" customFormat="1" ht="15" customHeight="1" outlineLevel="1">
      <c r="A131" s="664" t="s">
        <v>32</v>
      </c>
      <c r="B131" s="666" t="s">
        <v>725</v>
      </c>
      <c r="C131" s="665" t="s">
        <v>803</v>
      </c>
      <c r="D131" s="666" t="s">
        <v>484</v>
      </c>
      <c r="E131" s="675">
        <v>0.13</v>
      </c>
      <c r="F131" s="666"/>
      <c r="G131" s="666"/>
      <c r="H131" s="666"/>
      <c r="I131" s="666"/>
      <c r="J131" s="666"/>
      <c r="L131" s="686"/>
      <c r="M131" s="686"/>
      <c r="N131" s="686"/>
      <c r="O131" s="686"/>
      <c r="P131" s="686"/>
      <c r="Q131" s="686"/>
      <c r="R131" s="686"/>
    </row>
    <row r="132" spans="1:18" s="685" customFormat="1" ht="15" customHeight="1" outlineLevel="1">
      <c r="A132" s="664" t="s">
        <v>32</v>
      </c>
      <c r="B132" s="666" t="s">
        <v>725</v>
      </c>
      <c r="C132" s="665" t="s">
        <v>803</v>
      </c>
      <c r="D132" s="666" t="s">
        <v>496</v>
      </c>
      <c r="E132" s="675">
        <v>0.11</v>
      </c>
      <c r="F132" s="666"/>
      <c r="G132" s="666"/>
      <c r="H132" s="666"/>
      <c r="I132" s="666"/>
      <c r="J132" s="666"/>
      <c r="L132" s="686"/>
      <c r="M132" s="686"/>
      <c r="N132" s="686"/>
      <c r="O132" s="686"/>
      <c r="P132" s="686"/>
      <c r="Q132" s="686"/>
      <c r="R132" s="686"/>
    </row>
    <row r="133" spans="1:18" s="685" customFormat="1" ht="15" customHeight="1" outlineLevel="1">
      <c r="A133" s="664" t="s">
        <v>32</v>
      </c>
      <c r="B133" s="666" t="s">
        <v>725</v>
      </c>
      <c r="C133" s="665" t="s">
        <v>803</v>
      </c>
      <c r="D133" s="666" t="s">
        <v>490</v>
      </c>
      <c r="E133" s="675">
        <v>2.16</v>
      </c>
      <c r="F133" s="666"/>
      <c r="G133" s="666"/>
      <c r="H133" s="666"/>
      <c r="I133" s="666"/>
      <c r="J133" s="666"/>
      <c r="L133" s="686"/>
      <c r="M133" s="686"/>
      <c r="N133" s="686"/>
      <c r="O133" s="686"/>
      <c r="P133" s="686"/>
      <c r="Q133" s="686"/>
      <c r="R133" s="686"/>
    </row>
    <row r="134" spans="1:18" s="685" customFormat="1" ht="15" customHeight="1" outlineLevel="1">
      <c r="A134" s="664" t="s">
        <v>32</v>
      </c>
      <c r="B134" s="666" t="s">
        <v>725</v>
      </c>
      <c r="C134" s="665" t="s">
        <v>803</v>
      </c>
      <c r="D134" s="666" t="s">
        <v>1412</v>
      </c>
      <c r="E134" s="675">
        <v>3.91</v>
      </c>
      <c r="F134" s="666"/>
      <c r="G134" s="666"/>
      <c r="H134" s="666"/>
      <c r="I134" s="666"/>
      <c r="J134" s="666"/>
      <c r="L134" s="686"/>
      <c r="M134" s="686"/>
      <c r="N134" s="686"/>
      <c r="O134" s="686"/>
      <c r="P134" s="686"/>
      <c r="Q134" s="686"/>
      <c r="R134" s="686"/>
    </row>
    <row r="135" spans="1:18" s="685" customFormat="1" ht="15" customHeight="1" outlineLevel="1">
      <c r="A135" s="658" t="s">
        <v>32</v>
      </c>
      <c r="B135" s="900" t="s">
        <v>725</v>
      </c>
      <c r="C135" s="901" t="s">
        <v>733</v>
      </c>
      <c r="D135" s="900"/>
      <c r="E135" s="850">
        <f>SUM(E136:E138)</f>
        <v>0.58000000000000007</v>
      </c>
      <c r="G135" s="666"/>
      <c r="H135" s="666"/>
      <c r="I135" s="666"/>
      <c r="J135" s="666"/>
      <c r="L135" s="936" t="s">
        <v>955</v>
      </c>
      <c r="M135" s="936" t="s">
        <v>956</v>
      </c>
      <c r="N135" s="133" t="s">
        <v>1388</v>
      </c>
      <c r="O135" s="150" t="s">
        <v>1287</v>
      </c>
      <c r="P135" s="686"/>
      <c r="Q135" s="686"/>
      <c r="R135" s="686"/>
    </row>
    <row r="136" spans="1:18" s="685" customFormat="1" ht="15" customHeight="1">
      <c r="A136" s="658" t="s">
        <v>32</v>
      </c>
      <c r="B136" s="666" t="s">
        <v>725</v>
      </c>
      <c r="C136" s="665" t="s">
        <v>733</v>
      </c>
      <c r="D136" s="666" t="s">
        <v>496</v>
      </c>
      <c r="E136" s="666">
        <v>0.01</v>
      </c>
      <c r="F136" s="661"/>
      <c r="G136" s="850"/>
      <c r="H136" s="850"/>
      <c r="I136" s="850"/>
      <c r="J136" s="850"/>
      <c r="L136" s="936"/>
      <c r="M136" s="936"/>
      <c r="N136" s="133"/>
      <c r="O136" s="133"/>
      <c r="P136" s="686"/>
      <c r="Q136" s="686"/>
      <c r="R136" s="686"/>
    </row>
    <row r="137" spans="1:18" s="685" customFormat="1" ht="15" customHeight="1">
      <c r="A137" s="658" t="s">
        <v>32</v>
      </c>
      <c r="B137" s="666" t="s">
        <v>725</v>
      </c>
      <c r="C137" s="665" t="s">
        <v>733</v>
      </c>
      <c r="D137" s="666" t="s">
        <v>490</v>
      </c>
      <c r="E137" s="666">
        <v>0.2</v>
      </c>
      <c r="F137" s="661"/>
      <c r="G137" s="850"/>
      <c r="H137" s="850"/>
      <c r="I137" s="850"/>
      <c r="J137" s="850"/>
      <c r="L137" s="936"/>
      <c r="M137" s="936"/>
      <c r="N137" s="133"/>
      <c r="O137" s="133"/>
      <c r="P137" s="686"/>
      <c r="Q137" s="686"/>
      <c r="R137" s="686"/>
    </row>
    <row r="138" spans="1:18" s="685" customFormat="1" ht="15" customHeight="1">
      <c r="A138" s="658" t="s">
        <v>32</v>
      </c>
      <c r="B138" s="666" t="s">
        <v>725</v>
      </c>
      <c r="C138" s="665" t="s">
        <v>733</v>
      </c>
      <c r="D138" s="666" t="s">
        <v>492</v>
      </c>
      <c r="E138" s="666">
        <v>0.37</v>
      </c>
      <c r="F138" s="661"/>
      <c r="G138" s="850"/>
      <c r="H138" s="850"/>
      <c r="I138" s="850"/>
      <c r="J138" s="850"/>
      <c r="L138" s="936"/>
      <c r="M138" s="936"/>
      <c r="N138" s="133"/>
      <c r="O138" s="133"/>
      <c r="P138" s="686"/>
      <c r="Q138" s="686"/>
      <c r="R138" s="686"/>
    </row>
    <row r="139" spans="1:18" s="685" customFormat="1" ht="15" customHeight="1">
      <c r="A139" s="658" t="s">
        <v>32</v>
      </c>
      <c r="B139" s="666" t="s">
        <v>725</v>
      </c>
      <c r="C139" s="901" t="s">
        <v>732</v>
      </c>
      <c r="D139" s="900"/>
      <c r="E139" s="663">
        <f>SUM(E140:E142)</f>
        <v>0.58000000000000007</v>
      </c>
      <c r="F139" s="661"/>
      <c r="G139" s="850"/>
      <c r="H139" s="850"/>
      <c r="I139" s="850"/>
      <c r="J139" s="850"/>
      <c r="L139" s="98" t="s">
        <v>954</v>
      </c>
      <c r="M139" s="150" t="s">
        <v>1190</v>
      </c>
      <c r="N139" s="133"/>
      <c r="O139" s="133"/>
      <c r="P139" s="686"/>
      <c r="Q139" s="686"/>
      <c r="R139" s="686"/>
    </row>
    <row r="140" spans="1:18" s="685" customFormat="1" ht="15" customHeight="1">
      <c r="A140" s="658" t="s">
        <v>32</v>
      </c>
      <c r="B140" s="666" t="s">
        <v>725</v>
      </c>
      <c r="C140" s="665" t="s">
        <v>732</v>
      </c>
      <c r="D140" s="666" t="s">
        <v>496</v>
      </c>
      <c r="E140" s="675">
        <v>0.01</v>
      </c>
      <c r="F140" s="661"/>
      <c r="G140" s="850"/>
      <c r="H140" s="850"/>
      <c r="I140" s="850"/>
      <c r="J140" s="850"/>
      <c r="L140" s="936"/>
      <c r="M140" s="936"/>
      <c r="N140" s="133"/>
      <c r="O140" s="133"/>
      <c r="P140" s="686"/>
      <c r="Q140" s="686"/>
      <c r="R140" s="686"/>
    </row>
    <row r="141" spans="1:18" s="685" customFormat="1" ht="15" customHeight="1">
      <c r="A141" s="658" t="s">
        <v>32</v>
      </c>
      <c r="B141" s="666" t="s">
        <v>725</v>
      </c>
      <c r="C141" s="665" t="s">
        <v>732</v>
      </c>
      <c r="D141" s="666" t="s">
        <v>490</v>
      </c>
      <c r="E141" s="675">
        <v>0.2</v>
      </c>
      <c r="F141" s="661"/>
      <c r="G141" s="850"/>
      <c r="H141" s="850"/>
      <c r="I141" s="850"/>
      <c r="J141" s="850"/>
      <c r="L141" s="936"/>
      <c r="M141" s="936"/>
      <c r="N141" s="133"/>
      <c r="O141" s="133"/>
      <c r="P141" s="686"/>
      <c r="Q141" s="686"/>
      <c r="R141" s="686"/>
    </row>
    <row r="142" spans="1:18" s="685" customFormat="1" ht="15" customHeight="1">
      <c r="A142" s="658" t="s">
        <v>32</v>
      </c>
      <c r="B142" s="666" t="s">
        <v>725</v>
      </c>
      <c r="C142" s="665" t="s">
        <v>732</v>
      </c>
      <c r="D142" s="666" t="s">
        <v>492</v>
      </c>
      <c r="E142" s="675">
        <v>0.37</v>
      </c>
      <c r="F142" s="661"/>
      <c r="G142" s="850"/>
      <c r="H142" s="850"/>
      <c r="I142" s="850"/>
      <c r="J142" s="850"/>
      <c r="L142" s="936"/>
      <c r="M142" s="936"/>
      <c r="N142" s="133"/>
      <c r="O142" s="133"/>
      <c r="P142" s="686"/>
      <c r="Q142" s="686"/>
      <c r="R142" s="686"/>
    </row>
    <row r="143" spans="1:18" s="685" customFormat="1" ht="15" customHeight="1">
      <c r="A143" s="851" t="s">
        <v>79</v>
      </c>
      <c r="B143" s="852" t="s">
        <v>761</v>
      </c>
      <c r="C143" s="659" t="s">
        <v>415</v>
      </c>
      <c r="D143" s="660"/>
      <c r="E143" s="663">
        <f>SUM(E144:E148)</f>
        <v>7.6999999999999993</v>
      </c>
      <c r="F143" s="663">
        <f>SUM(F144:F148)</f>
        <v>0</v>
      </c>
      <c r="G143" s="663">
        <f t="shared" ref="G143:J143" si="6">SUM(G144:G148)</f>
        <v>0</v>
      </c>
      <c r="H143" s="663">
        <f t="shared" si="6"/>
        <v>0</v>
      </c>
      <c r="I143" s="663">
        <f t="shared" si="6"/>
        <v>0</v>
      </c>
      <c r="J143" s="663">
        <f t="shared" si="6"/>
        <v>0</v>
      </c>
      <c r="L143" s="690" t="s">
        <v>1016</v>
      </c>
      <c r="M143" s="686"/>
      <c r="N143" s="686"/>
      <c r="O143" s="686"/>
      <c r="P143" s="686"/>
      <c r="Q143" s="686"/>
      <c r="R143" s="686"/>
    </row>
    <row r="144" spans="1:18" s="685" customFormat="1" ht="15" customHeight="1" outlineLevel="1">
      <c r="A144" s="853" t="s">
        <v>79</v>
      </c>
      <c r="B144" s="666" t="s">
        <v>761</v>
      </c>
      <c r="C144" s="665" t="s">
        <v>415</v>
      </c>
      <c r="D144" s="666" t="s">
        <v>486</v>
      </c>
      <c r="E144" s="667">
        <v>2.61</v>
      </c>
      <c r="F144" s="667"/>
      <c r="G144" s="668"/>
      <c r="H144" s="668"/>
      <c r="I144" s="668"/>
      <c r="J144" s="668"/>
      <c r="L144" s="686"/>
      <c r="M144" s="686"/>
      <c r="N144" s="686"/>
      <c r="O144" s="686"/>
      <c r="P144" s="686"/>
      <c r="Q144" s="686"/>
      <c r="R144" s="686"/>
    </row>
    <row r="145" spans="1:18" s="685" customFormat="1" ht="15" customHeight="1" outlineLevel="1">
      <c r="A145" s="853" t="s">
        <v>79</v>
      </c>
      <c r="B145" s="666" t="s">
        <v>761</v>
      </c>
      <c r="C145" s="665" t="s">
        <v>415</v>
      </c>
      <c r="D145" s="666" t="s">
        <v>819</v>
      </c>
      <c r="E145" s="667">
        <v>3.74</v>
      </c>
      <c r="F145" s="667"/>
      <c r="G145" s="668"/>
      <c r="H145" s="668"/>
      <c r="I145" s="668"/>
      <c r="J145" s="668"/>
      <c r="L145" s="688"/>
      <c r="M145" s="688"/>
      <c r="N145" s="688"/>
      <c r="O145" s="686"/>
      <c r="P145" s="686"/>
      <c r="Q145" s="686"/>
      <c r="R145" s="686"/>
    </row>
    <row r="146" spans="1:18" s="685" customFormat="1" ht="15" customHeight="1" outlineLevel="1">
      <c r="A146" s="853" t="s">
        <v>79</v>
      </c>
      <c r="B146" s="666" t="s">
        <v>761</v>
      </c>
      <c r="C146" s="665" t="s">
        <v>415</v>
      </c>
      <c r="D146" s="666" t="s">
        <v>820</v>
      </c>
      <c r="E146" s="667">
        <v>0.43</v>
      </c>
      <c r="F146" s="667"/>
      <c r="G146" s="668"/>
      <c r="H146" s="668"/>
      <c r="I146" s="668"/>
      <c r="J146" s="668"/>
      <c r="L146" s="686"/>
      <c r="M146" s="686"/>
      <c r="N146" s="686"/>
      <c r="O146" s="686"/>
      <c r="P146" s="686"/>
      <c r="Q146" s="686"/>
      <c r="R146" s="686"/>
    </row>
    <row r="147" spans="1:18" s="685" customFormat="1" ht="15" customHeight="1" outlineLevel="1">
      <c r="A147" s="853" t="s">
        <v>79</v>
      </c>
      <c r="B147" s="666" t="s">
        <v>761</v>
      </c>
      <c r="C147" s="665" t="s">
        <v>415</v>
      </c>
      <c r="D147" s="666" t="s">
        <v>821</v>
      </c>
      <c r="E147" s="667">
        <v>0.57999999999999996</v>
      </c>
      <c r="F147" s="667"/>
      <c r="G147" s="668"/>
      <c r="H147" s="668"/>
      <c r="I147" s="668"/>
      <c r="J147" s="668"/>
      <c r="L147" s="686"/>
      <c r="M147" s="686"/>
      <c r="N147" s="686"/>
      <c r="O147" s="686"/>
      <c r="P147" s="686"/>
      <c r="Q147" s="686"/>
      <c r="R147" s="686"/>
    </row>
    <row r="148" spans="1:18" s="685" customFormat="1" ht="15" customHeight="1" outlineLevel="1">
      <c r="A148" s="853" t="s">
        <v>79</v>
      </c>
      <c r="B148" s="666" t="s">
        <v>761</v>
      </c>
      <c r="C148" s="665" t="s">
        <v>415</v>
      </c>
      <c r="D148" s="666" t="s">
        <v>479</v>
      </c>
      <c r="E148" s="667">
        <v>0.34</v>
      </c>
      <c r="F148" s="667"/>
      <c r="G148" s="668"/>
      <c r="H148" s="668"/>
      <c r="I148" s="668"/>
      <c r="J148" s="668"/>
      <c r="L148" s="688"/>
      <c r="M148" s="688"/>
      <c r="N148" s="686"/>
      <c r="O148" s="686"/>
      <c r="P148" s="686"/>
      <c r="Q148" s="686"/>
      <c r="R148" s="686"/>
    </row>
    <row r="149" spans="1:18" ht="15" customHeight="1">
      <c r="A149" s="851" t="s">
        <v>79</v>
      </c>
      <c r="B149" s="660" t="s">
        <v>761</v>
      </c>
      <c r="C149" s="659" t="s">
        <v>763</v>
      </c>
      <c r="D149" s="660"/>
      <c r="E149" s="663">
        <f t="shared" ref="E149:J149" si="7">SUM(E150:E156)</f>
        <v>558.21</v>
      </c>
      <c r="F149" s="663">
        <f t="shared" si="7"/>
        <v>0</v>
      </c>
      <c r="G149" s="663">
        <f t="shared" si="7"/>
        <v>0</v>
      </c>
      <c r="H149" s="663">
        <f t="shared" si="7"/>
        <v>0</v>
      </c>
      <c r="I149" s="663">
        <f t="shared" si="7"/>
        <v>0.13400000000000001</v>
      </c>
      <c r="J149" s="663">
        <f t="shared" si="7"/>
        <v>7.5999999999999998E-2</v>
      </c>
      <c r="L149" s="690" t="s">
        <v>1017</v>
      </c>
      <c r="M149" s="689"/>
    </row>
    <row r="150" spans="1:18" s="685" customFormat="1" ht="15" customHeight="1" outlineLevel="1">
      <c r="A150" s="853" t="s">
        <v>79</v>
      </c>
      <c r="B150" s="666" t="s">
        <v>761</v>
      </c>
      <c r="C150" s="665" t="s">
        <v>763</v>
      </c>
      <c r="D150" s="666" t="s">
        <v>477</v>
      </c>
      <c r="E150" s="667"/>
      <c r="F150" s="667"/>
      <c r="G150" s="669">
        <v>0</v>
      </c>
      <c r="H150" s="668"/>
      <c r="I150" s="668">
        <v>0.13400000000000001</v>
      </c>
      <c r="J150" s="668"/>
      <c r="L150" s="686"/>
      <c r="M150" s="686"/>
      <c r="N150" s="686"/>
      <c r="O150" s="686"/>
      <c r="P150" s="686"/>
      <c r="Q150" s="686"/>
      <c r="R150" s="686"/>
    </row>
    <row r="151" spans="1:18" s="685" customFormat="1" ht="15" customHeight="1" outlineLevel="1">
      <c r="A151" s="853" t="s">
        <v>79</v>
      </c>
      <c r="B151" s="666" t="s">
        <v>761</v>
      </c>
      <c r="C151" s="665" t="s">
        <v>763</v>
      </c>
      <c r="D151" s="666" t="s">
        <v>480</v>
      </c>
      <c r="E151" s="676">
        <v>66.02</v>
      </c>
      <c r="F151" s="676"/>
      <c r="G151" s="668"/>
      <c r="H151" s="668"/>
      <c r="I151" s="668"/>
      <c r="J151" s="668"/>
      <c r="L151" s="686"/>
      <c r="M151" s="686"/>
      <c r="N151" s="686"/>
      <c r="O151" s="686"/>
      <c r="P151" s="686"/>
      <c r="Q151" s="686"/>
      <c r="R151" s="686"/>
    </row>
    <row r="152" spans="1:18" s="685" customFormat="1" ht="15" customHeight="1" outlineLevel="1">
      <c r="A152" s="853" t="s">
        <v>79</v>
      </c>
      <c r="B152" s="666" t="s">
        <v>761</v>
      </c>
      <c r="C152" s="665" t="s">
        <v>763</v>
      </c>
      <c r="D152" s="666" t="s">
        <v>481</v>
      </c>
      <c r="E152" s="676">
        <v>29.950000000000003</v>
      </c>
      <c r="F152" s="676"/>
      <c r="G152" s="668"/>
      <c r="H152" s="668"/>
      <c r="I152" s="668"/>
      <c r="J152" s="668"/>
      <c r="L152" s="688"/>
      <c r="M152" s="688"/>
      <c r="N152" s="688"/>
      <c r="O152" s="688"/>
      <c r="P152" s="686"/>
      <c r="Q152" s="686"/>
      <c r="R152" s="686"/>
    </row>
    <row r="153" spans="1:18" s="685" customFormat="1" ht="15" customHeight="1" outlineLevel="1" collapsed="1">
      <c r="A153" s="853" t="s">
        <v>79</v>
      </c>
      <c r="B153" s="666" t="s">
        <v>761</v>
      </c>
      <c r="C153" s="665" t="s">
        <v>763</v>
      </c>
      <c r="D153" s="666" t="s">
        <v>482</v>
      </c>
      <c r="E153" s="676">
        <v>19.369999999999997</v>
      </c>
      <c r="F153" s="676"/>
      <c r="G153" s="668"/>
      <c r="H153" s="668"/>
      <c r="I153" s="668"/>
      <c r="J153" s="668"/>
      <c r="L153" s="686"/>
      <c r="M153" s="686"/>
      <c r="N153" s="686"/>
      <c r="O153" s="686"/>
      <c r="P153" s="686"/>
      <c r="Q153" s="686"/>
      <c r="R153" s="686"/>
    </row>
    <row r="154" spans="1:18" s="685" customFormat="1" ht="15" customHeight="1" outlineLevel="1">
      <c r="A154" s="853" t="s">
        <v>79</v>
      </c>
      <c r="B154" s="666" t="s">
        <v>761</v>
      </c>
      <c r="C154" s="665" t="s">
        <v>763</v>
      </c>
      <c r="D154" s="666" t="s">
        <v>484</v>
      </c>
      <c r="E154" s="676">
        <v>423.23</v>
      </c>
      <c r="F154" s="676"/>
      <c r="G154" s="854"/>
      <c r="H154" s="854"/>
      <c r="I154" s="668"/>
      <c r="J154" s="668"/>
      <c r="L154" s="686"/>
      <c r="M154" s="688"/>
      <c r="N154" s="686"/>
      <c r="O154" s="686"/>
      <c r="P154" s="686"/>
      <c r="Q154" s="686"/>
      <c r="R154" s="686"/>
    </row>
    <row r="155" spans="1:18" s="685" customFormat="1" ht="15" customHeight="1" outlineLevel="1">
      <c r="A155" s="853" t="s">
        <v>79</v>
      </c>
      <c r="B155" s="666" t="s">
        <v>761</v>
      </c>
      <c r="C155" s="665" t="s">
        <v>763</v>
      </c>
      <c r="D155" s="666" t="s">
        <v>489</v>
      </c>
      <c r="E155" s="676">
        <f>E163+E171</f>
        <v>19.64</v>
      </c>
      <c r="F155" s="676"/>
      <c r="G155" s="854"/>
      <c r="H155" s="854"/>
      <c r="I155" s="668"/>
      <c r="J155" s="668"/>
      <c r="L155" s="686"/>
      <c r="M155" s="688"/>
      <c r="N155" s="686"/>
      <c r="O155" s="686"/>
      <c r="P155" s="686"/>
      <c r="Q155" s="686"/>
      <c r="R155" s="686"/>
    </row>
    <row r="156" spans="1:18" s="685" customFormat="1" ht="15" customHeight="1" outlineLevel="1">
      <c r="A156" s="853" t="s">
        <v>79</v>
      </c>
      <c r="B156" s="666" t="s">
        <v>761</v>
      </c>
      <c r="C156" s="665" t="s">
        <v>763</v>
      </c>
      <c r="D156" s="677" t="s">
        <v>502</v>
      </c>
      <c r="E156" s="676"/>
      <c r="F156" s="676"/>
      <c r="G156" s="676"/>
      <c r="H156" s="676">
        <v>0</v>
      </c>
      <c r="I156" s="676"/>
      <c r="J156" s="667">
        <f>0.76/10</f>
        <v>7.5999999999999998E-2</v>
      </c>
      <c r="L156" s="686"/>
      <c r="M156" s="686"/>
      <c r="N156" s="686"/>
      <c r="O156" s="686"/>
      <c r="P156" s="686"/>
      <c r="Q156" s="686"/>
      <c r="R156" s="686"/>
    </row>
    <row r="157" spans="1:18" ht="15" customHeight="1">
      <c r="A157" s="851" t="s">
        <v>79</v>
      </c>
      <c r="B157" s="660" t="s">
        <v>761</v>
      </c>
      <c r="C157" s="659" t="s">
        <v>495</v>
      </c>
      <c r="D157" s="678"/>
      <c r="E157" s="663">
        <f t="shared" ref="E157:J157" si="8">SUM(E158:E164)</f>
        <v>295.21000000000004</v>
      </c>
      <c r="F157" s="663">
        <f t="shared" si="8"/>
        <v>0</v>
      </c>
      <c r="G157" s="663">
        <f t="shared" si="8"/>
        <v>0</v>
      </c>
      <c r="H157" s="663">
        <f t="shared" si="8"/>
        <v>0</v>
      </c>
      <c r="I157" s="663">
        <f t="shared" si="8"/>
        <v>0.13400000000000001</v>
      </c>
      <c r="J157" s="663">
        <f t="shared" si="8"/>
        <v>7.5999999999999998E-2</v>
      </c>
      <c r="L157" s="690" t="s">
        <v>1018</v>
      </c>
    </row>
    <row r="158" spans="1:18" s="685" customFormat="1" ht="15" customHeight="1" outlineLevel="1">
      <c r="A158" s="853" t="s">
        <v>79</v>
      </c>
      <c r="B158" s="666" t="s">
        <v>761</v>
      </c>
      <c r="C158" s="665" t="s">
        <v>495</v>
      </c>
      <c r="D158" s="677" t="s">
        <v>477</v>
      </c>
      <c r="E158" s="676"/>
      <c r="F158" s="676"/>
      <c r="G158" s="669">
        <v>0</v>
      </c>
      <c r="H158" s="676"/>
      <c r="I158" s="668">
        <v>0.13400000000000001</v>
      </c>
      <c r="J158" s="667"/>
      <c r="L158" s="686"/>
      <c r="M158" s="686"/>
      <c r="N158" s="686"/>
      <c r="O158" s="686"/>
      <c r="P158" s="686"/>
      <c r="Q158" s="686"/>
      <c r="R158" s="686"/>
    </row>
    <row r="159" spans="1:18" s="685" customFormat="1" ht="15" customHeight="1" outlineLevel="1">
      <c r="A159" s="853" t="s">
        <v>79</v>
      </c>
      <c r="B159" s="666" t="s">
        <v>761</v>
      </c>
      <c r="C159" s="665" t="s">
        <v>495</v>
      </c>
      <c r="D159" s="677" t="s">
        <v>480</v>
      </c>
      <c r="E159" s="676">
        <v>35.89</v>
      </c>
      <c r="F159" s="676"/>
      <c r="G159" s="676"/>
      <c r="H159" s="676"/>
      <c r="I159" s="676"/>
      <c r="J159" s="667"/>
      <c r="L159" s="686"/>
      <c r="M159" s="686"/>
      <c r="N159" s="686"/>
      <c r="O159" s="686"/>
      <c r="P159" s="686"/>
      <c r="Q159" s="686"/>
      <c r="R159" s="686"/>
    </row>
    <row r="160" spans="1:18" s="685" customFormat="1" ht="15" customHeight="1" outlineLevel="1">
      <c r="A160" s="853" t="s">
        <v>79</v>
      </c>
      <c r="B160" s="666" t="s">
        <v>761</v>
      </c>
      <c r="C160" s="665" t="s">
        <v>495</v>
      </c>
      <c r="D160" s="677" t="s">
        <v>481</v>
      </c>
      <c r="E160" s="676">
        <v>16.39</v>
      </c>
      <c r="F160" s="676"/>
      <c r="G160" s="676"/>
      <c r="H160" s="676"/>
      <c r="I160" s="676"/>
      <c r="J160" s="667"/>
      <c r="L160" s="686"/>
      <c r="M160" s="686"/>
      <c r="N160" s="686"/>
      <c r="O160" s="686"/>
      <c r="P160" s="686"/>
      <c r="Q160" s="686"/>
      <c r="R160" s="686"/>
    </row>
    <row r="161" spans="1:18" s="685" customFormat="1" ht="15" customHeight="1" outlineLevel="1">
      <c r="A161" s="853" t="s">
        <v>79</v>
      </c>
      <c r="B161" s="666" t="s">
        <v>761</v>
      </c>
      <c r="C161" s="665" t="s">
        <v>495</v>
      </c>
      <c r="D161" s="677" t="s">
        <v>482</v>
      </c>
      <c r="E161" s="676">
        <v>10.61</v>
      </c>
      <c r="F161" s="676"/>
      <c r="G161" s="676"/>
      <c r="H161" s="676"/>
      <c r="I161" s="676"/>
      <c r="J161" s="667"/>
      <c r="L161" s="686"/>
      <c r="M161" s="686"/>
      <c r="N161" s="686"/>
      <c r="O161" s="686"/>
      <c r="P161" s="686"/>
      <c r="Q161" s="686"/>
      <c r="R161" s="686"/>
    </row>
    <row r="162" spans="1:18" s="685" customFormat="1" ht="15" customHeight="1" outlineLevel="1">
      <c r="A162" s="853" t="s">
        <v>79</v>
      </c>
      <c r="B162" s="666" t="s">
        <v>761</v>
      </c>
      <c r="C162" s="665" t="s">
        <v>495</v>
      </c>
      <c r="D162" s="677" t="s">
        <v>484</v>
      </c>
      <c r="E162" s="676">
        <v>230.08</v>
      </c>
      <c r="F162" s="676"/>
      <c r="G162" s="676"/>
      <c r="H162" s="676"/>
      <c r="I162" s="676"/>
      <c r="J162" s="667"/>
      <c r="L162" s="686"/>
      <c r="M162" s="686"/>
      <c r="N162" s="686"/>
      <c r="O162" s="686"/>
      <c r="P162" s="686"/>
      <c r="Q162" s="686"/>
      <c r="R162" s="686"/>
    </row>
    <row r="163" spans="1:18" s="685" customFormat="1" ht="15" customHeight="1" outlineLevel="1">
      <c r="A163" s="853" t="s">
        <v>79</v>
      </c>
      <c r="B163" s="666" t="s">
        <v>761</v>
      </c>
      <c r="C163" s="665" t="s">
        <v>495</v>
      </c>
      <c r="D163" s="677" t="s">
        <v>489</v>
      </c>
      <c r="E163" s="676">
        <v>2.2400000000000002</v>
      </c>
      <c r="F163" s="676"/>
      <c r="G163" s="676"/>
      <c r="H163" s="676"/>
      <c r="I163" s="676"/>
      <c r="J163" s="667"/>
      <c r="L163" s="686"/>
      <c r="M163" s="686"/>
      <c r="N163" s="686"/>
      <c r="O163" s="686"/>
      <c r="P163" s="686"/>
      <c r="Q163" s="686"/>
      <c r="R163" s="686"/>
    </row>
    <row r="164" spans="1:18" s="685" customFormat="1" ht="15" customHeight="1" outlineLevel="1">
      <c r="A164" s="853" t="s">
        <v>79</v>
      </c>
      <c r="B164" s="666" t="s">
        <v>761</v>
      </c>
      <c r="C164" s="665" t="s">
        <v>495</v>
      </c>
      <c r="D164" s="677" t="s">
        <v>502</v>
      </c>
      <c r="E164" s="676"/>
      <c r="F164" s="676"/>
      <c r="G164" s="676"/>
      <c r="H164" s="676">
        <v>0</v>
      </c>
      <c r="I164" s="676"/>
      <c r="J164" s="667">
        <f>0.76/10</f>
        <v>7.5999999999999998E-2</v>
      </c>
      <c r="L164" s="686"/>
      <c r="M164" s="686"/>
      <c r="N164" s="686"/>
      <c r="O164" s="686"/>
      <c r="P164" s="686"/>
      <c r="Q164" s="686"/>
      <c r="R164" s="686"/>
    </row>
    <row r="165" spans="1:18" s="685" customFormat="1" ht="15" customHeight="1">
      <c r="A165" s="851" t="s">
        <v>79</v>
      </c>
      <c r="B165" s="660" t="s">
        <v>761</v>
      </c>
      <c r="C165" s="659" t="s">
        <v>822</v>
      </c>
      <c r="D165" s="678"/>
      <c r="E165" s="663">
        <f t="shared" ref="E165:J165" si="9">SUM(E166:E172)</f>
        <v>263</v>
      </c>
      <c r="F165" s="663">
        <f t="shared" si="9"/>
        <v>0</v>
      </c>
      <c r="G165" s="663">
        <f t="shared" si="9"/>
        <v>0</v>
      </c>
      <c r="H165" s="663">
        <f t="shared" si="9"/>
        <v>0</v>
      </c>
      <c r="I165" s="663">
        <f t="shared" si="9"/>
        <v>0.13400000000000001</v>
      </c>
      <c r="J165" s="663">
        <f t="shared" si="9"/>
        <v>7.5999999999999998E-2</v>
      </c>
      <c r="L165" s="690" t="s">
        <v>1019</v>
      </c>
      <c r="M165" s="686"/>
      <c r="N165" s="686"/>
      <c r="O165" s="686"/>
      <c r="P165" s="686"/>
      <c r="Q165" s="686"/>
      <c r="R165" s="686"/>
    </row>
    <row r="166" spans="1:18" s="685" customFormat="1" ht="15" customHeight="1" outlineLevel="1">
      <c r="A166" s="853" t="s">
        <v>79</v>
      </c>
      <c r="B166" s="666" t="s">
        <v>761</v>
      </c>
      <c r="C166" s="665" t="s">
        <v>822</v>
      </c>
      <c r="D166" s="677" t="s">
        <v>477</v>
      </c>
      <c r="E166" s="676"/>
      <c r="F166" s="676"/>
      <c r="G166" s="669">
        <v>0</v>
      </c>
      <c r="H166" s="676"/>
      <c r="I166" s="668">
        <v>0.13400000000000001</v>
      </c>
      <c r="J166" s="667"/>
      <c r="L166" s="686"/>
      <c r="M166" s="686"/>
      <c r="N166" s="686"/>
      <c r="O166" s="686"/>
      <c r="P166" s="686"/>
      <c r="Q166" s="686"/>
      <c r="R166" s="686"/>
    </row>
    <row r="167" spans="1:18" s="685" customFormat="1" ht="15" customHeight="1" outlineLevel="1">
      <c r="A167" s="853" t="s">
        <v>79</v>
      </c>
      <c r="B167" s="666" t="s">
        <v>761</v>
      </c>
      <c r="C167" s="665" t="s">
        <v>822</v>
      </c>
      <c r="D167" s="677" t="s">
        <v>480</v>
      </c>
      <c r="E167" s="676">
        <v>30.13</v>
      </c>
      <c r="F167" s="676"/>
      <c r="G167" s="676"/>
      <c r="H167" s="676"/>
      <c r="I167" s="676"/>
      <c r="J167" s="667"/>
      <c r="L167" s="686"/>
      <c r="M167" s="686"/>
      <c r="N167" s="686"/>
      <c r="O167" s="686"/>
      <c r="P167" s="686"/>
      <c r="Q167" s="686"/>
      <c r="R167" s="686"/>
    </row>
    <row r="168" spans="1:18" s="685" customFormat="1" ht="15" customHeight="1" outlineLevel="1">
      <c r="A168" s="853" t="s">
        <v>79</v>
      </c>
      <c r="B168" s="666" t="s">
        <v>761</v>
      </c>
      <c r="C168" s="665" t="s">
        <v>822</v>
      </c>
      <c r="D168" s="677" t="s">
        <v>481</v>
      </c>
      <c r="E168" s="676">
        <v>13.56</v>
      </c>
      <c r="F168" s="676"/>
      <c r="G168" s="676"/>
      <c r="H168" s="676"/>
      <c r="I168" s="676"/>
      <c r="J168" s="667"/>
      <c r="L168" s="686"/>
      <c r="M168" s="686"/>
      <c r="N168" s="686"/>
      <c r="O168" s="686"/>
      <c r="P168" s="686"/>
      <c r="Q168" s="686"/>
      <c r="R168" s="686"/>
    </row>
    <row r="169" spans="1:18" s="685" customFormat="1" ht="15" customHeight="1" outlineLevel="1">
      <c r="A169" s="853" t="s">
        <v>79</v>
      </c>
      <c r="B169" s="666" t="s">
        <v>761</v>
      </c>
      <c r="C169" s="665" t="s">
        <v>822</v>
      </c>
      <c r="D169" s="677" t="s">
        <v>482</v>
      </c>
      <c r="E169" s="676">
        <v>8.76</v>
      </c>
      <c r="F169" s="676"/>
      <c r="G169" s="676"/>
      <c r="H169" s="676"/>
      <c r="I169" s="676"/>
      <c r="J169" s="667"/>
      <c r="L169" s="686"/>
      <c r="M169" s="686"/>
      <c r="N169" s="686"/>
      <c r="O169" s="686"/>
      <c r="P169" s="686"/>
      <c r="Q169" s="686"/>
      <c r="R169" s="686"/>
    </row>
    <row r="170" spans="1:18" s="685" customFormat="1" ht="15" customHeight="1" outlineLevel="1">
      <c r="A170" s="853" t="s">
        <v>79</v>
      </c>
      <c r="B170" s="666" t="s">
        <v>761</v>
      </c>
      <c r="C170" s="665" t="s">
        <v>822</v>
      </c>
      <c r="D170" s="677" t="s">
        <v>484</v>
      </c>
      <c r="E170" s="676">
        <v>193.15</v>
      </c>
      <c r="F170" s="676"/>
      <c r="G170" s="676"/>
      <c r="H170" s="676"/>
      <c r="I170" s="676"/>
      <c r="J170" s="667"/>
      <c r="L170" s="688"/>
      <c r="M170" s="686"/>
      <c r="N170" s="686"/>
      <c r="O170" s="686"/>
      <c r="P170" s="686"/>
      <c r="Q170" s="686"/>
      <c r="R170" s="686"/>
    </row>
    <row r="171" spans="1:18" s="685" customFormat="1" ht="15" customHeight="1" outlineLevel="1">
      <c r="A171" s="853" t="s">
        <v>79</v>
      </c>
      <c r="B171" s="666" t="s">
        <v>761</v>
      </c>
      <c r="C171" s="665" t="s">
        <v>822</v>
      </c>
      <c r="D171" s="677" t="s">
        <v>489</v>
      </c>
      <c r="E171" s="676">
        <v>17.399999999999999</v>
      </c>
      <c r="F171" s="676"/>
      <c r="G171" s="676"/>
      <c r="H171" s="676"/>
      <c r="I171" s="676"/>
      <c r="J171" s="667"/>
      <c r="L171" s="688"/>
      <c r="M171" s="686"/>
      <c r="N171" s="686"/>
      <c r="O171" s="686"/>
      <c r="P171" s="686"/>
      <c r="Q171" s="686"/>
      <c r="R171" s="686"/>
    </row>
    <row r="172" spans="1:18" s="685" customFormat="1" ht="15" customHeight="1" outlineLevel="1">
      <c r="A172" s="853" t="s">
        <v>79</v>
      </c>
      <c r="B172" s="666" t="s">
        <v>761</v>
      </c>
      <c r="C172" s="665" t="s">
        <v>822</v>
      </c>
      <c r="D172" s="677" t="s">
        <v>502</v>
      </c>
      <c r="E172" s="676"/>
      <c r="F172" s="676"/>
      <c r="G172" s="676"/>
      <c r="H172" s="676">
        <v>0</v>
      </c>
      <c r="I172" s="676"/>
      <c r="J172" s="667">
        <f>0.76/10</f>
        <v>7.5999999999999998E-2</v>
      </c>
      <c r="L172" s="686"/>
      <c r="M172" s="686"/>
      <c r="N172" s="686"/>
      <c r="O172" s="686"/>
      <c r="P172" s="686"/>
      <c r="Q172" s="686"/>
      <c r="R172" s="686"/>
    </row>
    <row r="173" spans="1:18" s="685" customFormat="1" ht="15" customHeight="1">
      <c r="A173" s="851" t="s">
        <v>79</v>
      </c>
      <c r="B173" s="660" t="s">
        <v>761</v>
      </c>
      <c r="C173" s="659" t="s">
        <v>494</v>
      </c>
      <c r="D173" s="678"/>
      <c r="E173" s="663">
        <f t="shared" ref="E173:J173" si="10">SUM(E174:E181)</f>
        <v>310.82</v>
      </c>
      <c r="F173" s="663">
        <f t="shared" si="10"/>
        <v>0</v>
      </c>
      <c r="G173" s="663">
        <f t="shared" si="10"/>
        <v>0</v>
      </c>
      <c r="H173" s="663">
        <f t="shared" si="10"/>
        <v>0</v>
      </c>
      <c r="I173" s="663">
        <f t="shared" si="10"/>
        <v>0.13400000000000001</v>
      </c>
      <c r="J173" s="663">
        <f t="shared" si="10"/>
        <v>7.5999999999999998E-2</v>
      </c>
      <c r="L173" s="690" t="s">
        <v>1020</v>
      </c>
      <c r="M173" s="690" t="s">
        <v>1021</v>
      </c>
      <c r="N173" s="686"/>
      <c r="O173" s="686"/>
      <c r="P173" s="686"/>
      <c r="Q173" s="686"/>
      <c r="R173" s="686"/>
    </row>
    <row r="174" spans="1:18" s="685" customFormat="1" ht="15" customHeight="1" outlineLevel="1">
      <c r="A174" s="853" t="s">
        <v>79</v>
      </c>
      <c r="B174" s="666" t="s">
        <v>761</v>
      </c>
      <c r="C174" s="665" t="s">
        <v>494</v>
      </c>
      <c r="D174" s="677" t="s">
        <v>477</v>
      </c>
      <c r="E174" s="676"/>
      <c r="F174" s="676"/>
      <c r="G174" s="669">
        <v>0</v>
      </c>
      <c r="H174" s="669"/>
      <c r="I174" s="668">
        <v>0.13400000000000001</v>
      </c>
      <c r="J174" s="668"/>
      <c r="L174" s="686"/>
      <c r="M174" s="686"/>
      <c r="N174" s="686"/>
      <c r="O174" s="686"/>
      <c r="P174" s="686"/>
      <c r="Q174" s="686"/>
      <c r="R174" s="686"/>
    </row>
    <row r="175" spans="1:18" s="685" customFormat="1" ht="15" customHeight="1" outlineLevel="1">
      <c r="A175" s="853" t="s">
        <v>79</v>
      </c>
      <c r="B175" s="666" t="s">
        <v>761</v>
      </c>
      <c r="C175" s="665" t="s">
        <v>494</v>
      </c>
      <c r="D175" s="677" t="s">
        <v>488</v>
      </c>
      <c r="E175" s="676">
        <v>8.43</v>
      </c>
      <c r="F175" s="676"/>
      <c r="G175" s="669"/>
      <c r="H175" s="669"/>
      <c r="I175" s="669"/>
      <c r="J175" s="668"/>
      <c r="L175" s="686"/>
      <c r="M175" s="686"/>
      <c r="N175" s="686"/>
      <c r="O175" s="686"/>
      <c r="P175" s="686"/>
      <c r="Q175" s="686"/>
      <c r="R175" s="686"/>
    </row>
    <row r="176" spans="1:18" s="685" customFormat="1" ht="15" customHeight="1" outlineLevel="1">
      <c r="A176" s="853" t="s">
        <v>79</v>
      </c>
      <c r="B176" s="666" t="s">
        <v>761</v>
      </c>
      <c r="C176" s="665" t="s">
        <v>494</v>
      </c>
      <c r="D176" s="677" t="s">
        <v>480</v>
      </c>
      <c r="E176" s="676">
        <v>33.24</v>
      </c>
      <c r="F176" s="676"/>
      <c r="G176" s="669"/>
      <c r="H176" s="669"/>
      <c r="I176" s="669"/>
      <c r="J176" s="668"/>
      <c r="L176" s="686"/>
      <c r="M176" s="686"/>
      <c r="N176" s="686"/>
      <c r="O176" s="686"/>
      <c r="P176" s="686"/>
      <c r="Q176" s="686"/>
      <c r="R176" s="686"/>
    </row>
    <row r="177" spans="1:18" s="685" customFormat="1" ht="15" customHeight="1" outlineLevel="1">
      <c r="A177" s="853" t="s">
        <v>79</v>
      </c>
      <c r="B177" s="666" t="s">
        <v>761</v>
      </c>
      <c r="C177" s="665" t="s">
        <v>494</v>
      </c>
      <c r="D177" s="677" t="s">
        <v>483</v>
      </c>
      <c r="E177" s="676">
        <v>27.43</v>
      </c>
      <c r="F177" s="676"/>
      <c r="G177" s="669"/>
      <c r="H177" s="669"/>
      <c r="I177" s="669"/>
      <c r="J177" s="668"/>
      <c r="L177" s="686"/>
      <c r="M177" s="686"/>
      <c r="N177" s="686"/>
      <c r="O177" s="686"/>
      <c r="P177" s="686"/>
      <c r="Q177" s="686"/>
      <c r="R177" s="686"/>
    </row>
    <row r="178" spans="1:18" s="685" customFormat="1" ht="15" customHeight="1" outlineLevel="1">
      <c r="A178" s="853" t="s">
        <v>79</v>
      </c>
      <c r="B178" s="666" t="s">
        <v>761</v>
      </c>
      <c r="C178" s="665" t="s">
        <v>494</v>
      </c>
      <c r="D178" s="677" t="s">
        <v>482</v>
      </c>
      <c r="E178" s="676">
        <v>9.7200000000000006</v>
      </c>
      <c r="F178" s="676"/>
      <c r="G178" s="669"/>
      <c r="H178" s="669"/>
      <c r="I178" s="669"/>
      <c r="J178" s="668"/>
      <c r="L178" s="688"/>
      <c r="M178" s="686"/>
      <c r="N178" s="686"/>
      <c r="O178" s="686"/>
      <c r="P178" s="686"/>
      <c r="Q178" s="686"/>
      <c r="R178" s="686"/>
    </row>
    <row r="179" spans="1:18" s="685" customFormat="1" ht="15" customHeight="1" outlineLevel="1">
      <c r="A179" s="853" t="s">
        <v>79</v>
      </c>
      <c r="B179" s="666" t="s">
        <v>761</v>
      </c>
      <c r="C179" s="665" t="s">
        <v>494</v>
      </c>
      <c r="D179" s="677" t="s">
        <v>484</v>
      </c>
      <c r="E179" s="676">
        <v>213.13</v>
      </c>
      <c r="F179" s="676"/>
      <c r="G179" s="669"/>
      <c r="H179" s="669"/>
      <c r="I179" s="669"/>
      <c r="J179" s="668"/>
      <c r="L179" s="686"/>
      <c r="M179" s="686"/>
      <c r="N179" s="686"/>
      <c r="O179" s="686"/>
      <c r="P179" s="686"/>
      <c r="Q179" s="686"/>
      <c r="R179" s="686"/>
    </row>
    <row r="180" spans="1:18" s="685" customFormat="1" ht="15" customHeight="1" outlineLevel="1">
      <c r="A180" s="853" t="s">
        <v>79</v>
      </c>
      <c r="B180" s="666" t="s">
        <v>761</v>
      </c>
      <c r="C180" s="665" t="s">
        <v>494</v>
      </c>
      <c r="D180" s="677" t="s">
        <v>489</v>
      </c>
      <c r="E180" s="676">
        <f>18.87+IF('Lookups-Assumptions'!E19="Yes",5.51,0)</f>
        <v>18.87</v>
      </c>
      <c r="F180" s="676">
        <f>IF('Lookups-Assumptions'!E19="Yes",183.3,0)</f>
        <v>0</v>
      </c>
      <c r="G180" s="669"/>
      <c r="H180" s="669"/>
      <c r="I180" s="669"/>
      <c r="J180" s="668"/>
      <c r="L180" s="686"/>
      <c r="M180" s="686"/>
      <c r="N180" s="686"/>
      <c r="O180" s="686"/>
      <c r="P180" s="686"/>
      <c r="Q180" s="686"/>
      <c r="R180" s="686"/>
    </row>
    <row r="181" spans="1:18" s="685" customFormat="1" ht="15" customHeight="1" outlineLevel="1">
      <c r="A181" s="853" t="s">
        <v>79</v>
      </c>
      <c r="B181" s="666" t="s">
        <v>761</v>
      </c>
      <c r="C181" s="665" t="s">
        <v>494</v>
      </c>
      <c r="D181" s="677" t="s">
        <v>502</v>
      </c>
      <c r="E181" s="676"/>
      <c r="F181" s="676"/>
      <c r="G181" s="669"/>
      <c r="H181" s="676">
        <v>0</v>
      </c>
      <c r="I181" s="669"/>
      <c r="J181" s="667">
        <f>0.76/10</f>
        <v>7.5999999999999998E-2</v>
      </c>
      <c r="L181" s="686"/>
      <c r="M181" s="686"/>
      <c r="N181" s="686"/>
      <c r="O181" s="686"/>
      <c r="P181" s="686"/>
      <c r="Q181" s="686"/>
      <c r="R181" s="686"/>
    </row>
    <row r="182" spans="1:18" s="685" customFormat="1" ht="15" customHeight="1">
      <c r="A182" s="851" t="s">
        <v>79</v>
      </c>
      <c r="B182" s="660" t="s">
        <v>761</v>
      </c>
      <c r="C182" s="659" t="s">
        <v>733</v>
      </c>
      <c r="D182" s="678"/>
      <c r="E182" s="679">
        <f t="shared" ref="E182:J182" si="11">SUM(E183:E184)</f>
        <v>0</v>
      </c>
      <c r="F182" s="679">
        <f t="shared" si="11"/>
        <v>0</v>
      </c>
      <c r="G182" s="679">
        <f t="shared" si="11"/>
        <v>0</v>
      </c>
      <c r="H182" s="679">
        <f t="shared" si="11"/>
        <v>0</v>
      </c>
      <c r="I182" s="679">
        <f t="shared" si="11"/>
        <v>0.13400000000000001</v>
      </c>
      <c r="J182" s="679">
        <f t="shared" si="11"/>
        <v>7.5999999999999998E-2</v>
      </c>
      <c r="L182" s="690" t="s">
        <v>1026</v>
      </c>
      <c r="M182" s="686"/>
      <c r="N182" s="686"/>
      <c r="O182" s="686"/>
      <c r="P182" s="686"/>
      <c r="Q182" s="686"/>
      <c r="R182" s="686"/>
    </row>
    <row r="183" spans="1:18" s="685" customFormat="1" ht="15" customHeight="1" outlineLevel="1">
      <c r="A183" s="853" t="s">
        <v>79</v>
      </c>
      <c r="B183" s="666" t="s">
        <v>761</v>
      </c>
      <c r="C183" s="665" t="s">
        <v>501</v>
      </c>
      <c r="D183" s="677" t="s">
        <v>477</v>
      </c>
      <c r="E183" s="676"/>
      <c r="F183" s="676"/>
      <c r="G183" s="669">
        <v>0</v>
      </c>
      <c r="H183" s="669"/>
      <c r="I183" s="668">
        <v>0.13400000000000001</v>
      </c>
      <c r="J183" s="668"/>
      <c r="L183" s="686"/>
      <c r="M183" s="686"/>
      <c r="N183" s="686"/>
      <c r="O183" s="686"/>
      <c r="P183" s="686"/>
      <c r="Q183" s="686"/>
      <c r="R183" s="686"/>
    </row>
    <row r="184" spans="1:18" s="685" customFormat="1" ht="15" customHeight="1" outlineLevel="1">
      <c r="A184" s="853" t="s">
        <v>79</v>
      </c>
      <c r="B184" s="666" t="s">
        <v>761</v>
      </c>
      <c r="C184" s="665" t="s">
        <v>501</v>
      </c>
      <c r="D184" s="677" t="s">
        <v>502</v>
      </c>
      <c r="E184" s="676"/>
      <c r="F184" s="676"/>
      <c r="G184" s="669"/>
      <c r="H184" s="676">
        <v>0</v>
      </c>
      <c r="I184" s="669"/>
      <c r="J184" s="667">
        <f>0.76/10</f>
        <v>7.5999999999999998E-2</v>
      </c>
      <c r="L184" s="688"/>
      <c r="M184" s="686"/>
      <c r="N184" s="686"/>
      <c r="O184" s="686"/>
      <c r="P184" s="686"/>
      <c r="Q184" s="686"/>
      <c r="R184" s="686"/>
    </row>
    <row r="185" spans="1:18" ht="15" customHeight="1">
      <c r="A185" s="851" t="s">
        <v>79</v>
      </c>
      <c r="B185" s="660" t="s">
        <v>761</v>
      </c>
      <c r="C185" s="659" t="s">
        <v>823</v>
      </c>
      <c r="D185" s="678"/>
      <c r="E185" s="679">
        <f t="shared" ref="E185:J185" si="12">SUM(E186:E187)</f>
        <v>0</v>
      </c>
      <c r="F185" s="679">
        <f t="shared" si="12"/>
        <v>0</v>
      </c>
      <c r="G185" s="679">
        <f t="shared" si="12"/>
        <v>0</v>
      </c>
      <c r="H185" s="679">
        <f t="shared" si="12"/>
        <v>0</v>
      </c>
      <c r="I185" s="679">
        <f t="shared" si="12"/>
        <v>0.13400000000000001</v>
      </c>
      <c r="J185" s="679">
        <f t="shared" si="12"/>
        <v>7.5999999999999998E-2</v>
      </c>
      <c r="L185" s="690" t="s">
        <v>1025</v>
      </c>
    </row>
    <row r="186" spans="1:18" s="685" customFormat="1" ht="15" customHeight="1" outlineLevel="1">
      <c r="A186" s="853" t="s">
        <v>79</v>
      </c>
      <c r="B186" s="666" t="s">
        <v>761</v>
      </c>
      <c r="C186" s="665" t="s">
        <v>823</v>
      </c>
      <c r="D186" s="677" t="s">
        <v>477</v>
      </c>
      <c r="E186" s="676"/>
      <c r="F186" s="676"/>
      <c r="G186" s="669">
        <v>0</v>
      </c>
      <c r="H186" s="669"/>
      <c r="I186" s="668">
        <v>0.13400000000000001</v>
      </c>
      <c r="J186" s="668"/>
      <c r="L186" s="686"/>
      <c r="M186" s="686"/>
      <c r="N186" s="686"/>
      <c r="O186" s="686"/>
      <c r="P186" s="686"/>
      <c r="Q186" s="686"/>
      <c r="R186" s="686"/>
    </row>
    <row r="187" spans="1:18" s="685" customFormat="1" ht="15" customHeight="1" outlineLevel="1">
      <c r="A187" s="853" t="s">
        <v>79</v>
      </c>
      <c r="B187" s="666" t="s">
        <v>761</v>
      </c>
      <c r="C187" s="665" t="s">
        <v>823</v>
      </c>
      <c r="D187" s="677" t="s">
        <v>502</v>
      </c>
      <c r="E187" s="676"/>
      <c r="F187" s="676"/>
      <c r="G187" s="669"/>
      <c r="H187" s="676">
        <v>0</v>
      </c>
      <c r="I187" s="669"/>
      <c r="J187" s="667">
        <f>0.76/10</f>
        <v>7.5999999999999998E-2</v>
      </c>
      <c r="L187" s="686"/>
      <c r="M187" s="686"/>
      <c r="N187" s="686"/>
      <c r="O187" s="686"/>
      <c r="P187" s="686"/>
      <c r="Q187" s="686"/>
      <c r="R187" s="686"/>
    </row>
    <row r="188" spans="1:18" s="685" customFormat="1" ht="15" customHeight="1">
      <c r="A188" s="851" t="s">
        <v>79</v>
      </c>
      <c r="B188" s="660" t="s">
        <v>761</v>
      </c>
      <c r="C188" s="659" t="s">
        <v>729</v>
      </c>
      <c r="D188" s="678"/>
      <c r="E188" s="679">
        <f t="shared" ref="E188:J188" si="13">SUM(E189:E190)</f>
        <v>0</v>
      </c>
      <c r="F188" s="679">
        <f t="shared" si="13"/>
        <v>0</v>
      </c>
      <c r="G188" s="679">
        <f t="shared" si="13"/>
        <v>0</v>
      </c>
      <c r="H188" s="679">
        <f t="shared" si="13"/>
        <v>0</v>
      </c>
      <c r="I188" s="679">
        <f t="shared" si="13"/>
        <v>0.13400000000000001</v>
      </c>
      <c r="J188" s="679">
        <f t="shared" si="13"/>
        <v>7.5999999999999998E-2</v>
      </c>
      <c r="L188" s="690" t="s">
        <v>1023</v>
      </c>
      <c r="M188" s="686"/>
      <c r="N188" s="686"/>
      <c r="O188" s="686"/>
      <c r="P188" s="686"/>
      <c r="Q188" s="686"/>
      <c r="R188" s="686"/>
    </row>
    <row r="189" spans="1:18" s="685" customFormat="1" ht="15" customHeight="1" outlineLevel="1">
      <c r="A189" s="853" t="s">
        <v>79</v>
      </c>
      <c r="B189" s="666" t="s">
        <v>761</v>
      </c>
      <c r="C189" s="665" t="s">
        <v>729</v>
      </c>
      <c r="D189" s="677" t="s">
        <v>477</v>
      </c>
      <c r="E189" s="676"/>
      <c r="F189" s="676"/>
      <c r="G189" s="669">
        <v>0</v>
      </c>
      <c r="H189" s="669"/>
      <c r="I189" s="668">
        <v>0.13400000000000001</v>
      </c>
      <c r="J189" s="668"/>
      <c r="L189" s="686"/>
      <c r="M189" s="686"/>
      <c r="N189" s="686"/>
      <c r="O189" s="686"/>
      <c r="P189" s="686"/>
      <c r="Q189" s="686"/>
      <c r="R189" s="686"/>
    </row>
    <row r="190" spans="1:18" s="685" customFormat="1" ht="15" customHeight="1" outlineLevel="1">
      <c r="A190" s="853" t="s">
        <v>79</v>
      </c>
      <c r="B190" s="666" t="s">
        <v>761</v>
      </c>
      <c r="C190" s="665" t="s">
        <v>729</v>
      </c>
      <c r="D190" s="677" t="s">
        <v>502</v>
      </c>
      <c r="E190" s="676"/>
      <c r="F190" s="676"/>
      <c r="G190" s="669"/>
      <c r="H190" s="676">
        <v>0</v>
      </c>
      <c r="I190" s="669"/>
      <c r="J190" s="667">
        <f>0.76/10</f>
        <v>7.5999999999999998E-2</v>
      </c>
      <c r="L190" s="686"/>
      <c r="M190" s="686"/>
      <c r="N190" s="686"/>
      <c r="O190" s="686"/>
      <c r="P190" s="686"/>
      <c r="Q190" s="686"/>
      <c r="R190" s="686"/>
    </row>
    <row r="191" spans="1:18" s="685" customFormat="1" ht="15" customHeight="1">
      <c r="A191" s="851" t="s">
        <v>79</v>
      </c>
      <c r="B191" s="660" t="s">
        <v>761</v>
      </c>
      <c r="C191" s="659" t="s">
        <v>452</v>
      </c>
      <c r="D191" s="678"/>
      <c r="E191" s="679">
        <f t="shared" ref="E191:J191" si="14">SUM(E192:E196)</f>
        <v>6.21</v>
      </c>
      <c r="F191" s="679">
        <f t="shared" si="14"/>
        <v>0</v>
      </c>
      <c r="G191" s="679">
        <f t="shared" si="14"/>
        <v>0</v>
      </c>
      <c r="H191" s="679">
        <f t="shared" si="14"/>
        <v>0</v>
      </c>
      <c r="I191" s="679">
        <f t="shared" si="14"/>
        <v>0.13400000000000001</v>
      </c>
      <c r="J191" s="679">
        <f t="shared" si="14"/>
        <v>7.5999999999999998E-2</v>
      </c>
      <c r="L191" s="690" t="s">
        <v>1022</v>
      </c>
      <c r="M191" s="686"/>
      <c r="N191" s="686"/>
      <c r="O191" s="686"/>
      <c r="P191" s="686"/>
      <c r="Q191" s="686"/>
      <c r="R191" s="686"/>
    </row>
    <row r="192" spans="1:18" s="685" customFormat="1" ht="15" customHeight="1" outlineLevel="1">
      <c r="A192" s="853" t="s">
        <v>79</v>
      </c>
      <c r="B192" s="666" t="s">
        <v>761</v>
      </c>
      <c r="C192" s="665" t="s">
        <v>452</v>
      </c>
      <c r="D192" s="677" t="s">
        <v>477</v>
      </c>
      <c r="E192" s="676"/>
      <c r="F192" s="676"/>
      <c r="G192" s="669">
        <v>0</v>
      </c>
      <c r="H192" s="669"/>
      <c r="I192" s="668">
        <v>0.13400000000000001</v>
      </c>
      <c r="J192" s="668"/>
      <c r="L192" s="686"/>
      <c r="M192" s="686"/>
      <c r="N192" s="686"/>
      <c r="O192" s="686"/>
      <c r="P192" s="686"/>
      <c r="Q192" s="686"/>
      <c r="R192" s="686"/>
    </row>
    <row r="193" spans="1:18" s="685" customFormat="1" ht="15" customHeight="1" outlineLevel="1">
      <c r="A193" s="853" t="s">
        <v>79</v>
      </c>
      <c r="B193" s="666" t="s">
        <v>761</v>
      </c>
      <c r="C193" s="665" t="s">
        <v>452</v>
      </c>
      <c r="D193" s="677" t="s">
        <v>480</v>
      </c>
      <c r="E193" s="676">
        <v>0.81</v>
      </c>
      <c r="F193" s="676"/>
      <c r="G193" s="669"/>
      <c r="H193" s="669"/>
      <c r="I193" s="669"/>
      <c r="J193" s="668"/>
      <c r="L193" s="688"/>
      <c r="M193" s="686"/>
      <c r="N193" s="686"/>
      <c r="O193" s="686"/>
      <c r="P193" s="686"/>
      <c r="Q193" s="686"/>
      <c r="R193" s="686"/>
    </row>
    <row r="194" spans="1:18" s="685" customFormat="1" ht="15" customHeight="1" outlineLevel="1">
      <c r="A194" s="853" t="s">
        <v>79</v>
      </c>
      <c r="B194" s="666" t="s">
        <v>761</v>
      </c>
      <c r="C194" s="665" t="s">
        <v>452</v>
      </c>
      <c r="D194" s="677" t="s">
        <v>482</v>
      </c>
      <c r="E194" s="676">
        <v>0.23</v>
      </c>
      <c r="F194" s="676"/>
      <c r="G194" s="669"/>
      <c r="H194" s="669"/>
      <c r="I194" s="669"/>
      <c r="J194" s="668"/>
      <c r="L194" s="686"/>
      <c r="M194" s="686"/>
      <c r="N194" s="686"/>
      <c r="O194" s="686"/>
      <c r="P194" s="686"/>
      <c r="Q194" s="686"/>
      <c r="R194" s="686"/>
    </row>
    <row r="195" spans="1:18" s="685" customFormat="1" ht="15" customHeight="1" outlineLevel="1">
      <c r="A195" s="853" t="s">
        <v>79</v>
      </c>
      <c r="B195" s="666" t="s">
        <v>761</v>
      </c>
      <c r="C195" s="665" t="s">
        <v>452</v>
      </c>
      <c r="D195" s="677" t="s">
        <v>484</v>
      </c>
      <c r="E195" s="676">
        <v>5.17</v>
      </c>
      <c r="F195" s="676"/>
      <c r="G195" s="669"/>
      <c r="H195" s="669"/>
      <c r="I195" s="669"/>
      <c r="J195" s="668"/>
      <c r="L195" s="686"/>
      <c r="M195" s="686"/>
      <c r="N195" s="686"/>
      <c r="O195" s="686"/>
      <c r="P195" s="686"/>
      <c r="Q195" s="686"/>
      <c r="R195" s="686"/>
    </row>
    <row r="196" spans="1:18" s="685" customFormat="1" ht="15" customHeight="1" outlineLevel="1">
      <c r="A196" s="853" t="s">
        <v>79</v>
      </c>
      <c r="B196" s="666" t="s">
        <v>761</v>
      </c>
      <c r="C196" s="665" t="s">
        <v>452</v>
      </c>
      <c r="D196" s="677" t="s">
        <v>502</v>
      </c>
      <c r="E196" s="676"/>
      <c r="F196" s="676"/>
      <c r="G196" s="669"/>
      <c r="H196" s="676">
        <v>0</v>
      </c>
      <c r="I196" s="669"/>
      <c r="J196" s="667">
        <f>0.76/10</f>
        <v>7.5999999999999998E-2</v>
      </c>
      <c r="L196" s="686"/>
      <c r="M196" s="686"/>
      <c r="N196" s="686"/>
      <c r="O196" s="686"/>
      <c r="P196" s="686"/>
      <c r="Q196" s="686"/>
      <c r="R196" s="686"/>
    </row>
    <row r="197" spans="1:18" s="685" customFormat="1" ht="15" customHeight="1">
      <c r="A197" s="851" t="s">
        <v>79</v>
      </c>
      <c r="B197" s="660" t="s">
        <v>761</v>
      </c>
      <c r="C197" s="659" t="s">
        <v>824</v>
      </c>
      <c r="D197" s="678"/>
      <c r="E197" s="679">
        <f t="shared" ref="E197:J197" si="15">SUM(E198:E201)</f>
        <v>48.940000000000005</v>
      </c>
      <c r="F197" s="679">
        <f t="shared" si="15"/>
        <v>0</v>
      </c>
      <c r="G197" s="679">
        <f t="shared" si="15"/>
        <v>0</v>
      </c>
      <c r="H197" s="679">
        <f t="shared" si="15"/>
        <v>0</v>
      </c>
      <c r="I197" s="679">
        <f t="shared" si="15"/>
        <v>0.13400000000000001</v>
      </c>
      <c r="J197" s="679">
        <f t="shared" si="15"/>
        <v>7.5999999999999998E-2</v>
      </c>
      <c r="L197" s="690" t="s">
        <v>1024</v>
      </c>
      <c r="M197" s="686"/>
      <c r="N197" s="686"/>
      <c r="O197" s="686"/>
      <c r="P197" s="686"/>
      <c r="Q197" s="686"/>
      <c r="R197" s="686"/>
    </row>
    <row r="198" spans="1:18" s="685" customFormat="1" ht="15" customHeight="1" outlineLevel="1">
      <c r="A198" s="853" t="s">
        <v>79</v>
      </c>
      <c r="B198" s="666" t="s">
        <v>761</v>
      </c>
      <c r="C198" s="665" t="s">
        <v>824</v>
      </c>
      <c r="D198" s="677" t="s">
        <v>477</v>
      </c>
      <c r="E198" s="676"/>
      <c r="F198" s="676"/>
      <c r="G198" s="669">
        <v>0</v>
      </c>
      <c r="H198" s="669"/>
      <c r="I198" s="668">
        <v>0.13400000000000001</v>
      </c>
      <c r="J198" s="668"/>
      <c r="L198" s="686"/>
      <c r="M198" s="686"/>
      <c r="N198" s="686"/>
      <c r="O198" s="686"/>
      <c r="P198" s="686"/>
      <c r="Q198" s="686"/>
      <c r="R198" s="686"/>
    </row>
    <row r="199" spans="1:18" s="685" customFormat="1" ht="15" customHeight="1" outlineLevel="1">
      <c r="A199" s="853" t="s">
        <v>79</v>
      </c>
      <c r="B199" s="666" t="s">
        <v>761</v>
      </c>
      <c r="C199" s="665" t="s">
        <v>824</v>
      </c>
      <c r="D199" s="677" t="s">
        <v>480</v>
      </c>
      <c r="E199" s="676">
        <v>6.6</v>
      </c>
      <c r="F199" s="676"/>
      <c r="G199" s="669"/>
      <c r="H199" s="669"/>
      <c r="I199" s="669"/>
      <c r="J199" s="668"/>
      <c r="L199" s="688"/>
      <c r="M199" s="686"/>
      <c r="N199" s="686"/>
      <c r="O199" s="686"/>
      <c r="P199" s="686"/>
      <c r="Q199" s="686"/>
      <c r="R199" s="686"/>
    </row>
    <row r="200" spans="1:18" s="685" customFormat="1" ht="15" customHeight="1" outlineLevel="1">
      <c r="A200" s="853" t="s">
        <v>79</v>
      </c>
      <c r="B200" s="666" t="s">
        <v>761</v>
      </c>
      <c r="C200" s="665" t="s">
        <v>824</v>
      </c>
      <c r="D200" s="677" t="s">
        <v>484</v>
      </c>
      <c r="E200" s="676">
        <v>42.34</v>
      </c>
      <c r="F200" s="676"/>
      <c r="G200" s="669"/>
      <c r="H200" s="669"/>
      <c r="I200" s="669"/>
      <c r="J200" s="668"/>
      <c r="L200" s="686"/>
      <c r="M200" s="686"/>
      <c r="N200" s="686"/>
      <c r="O200" s="686"/>
      <c r="P200" s="686"/>
      <c r="Q200" s="686"/>
      <c r="R200" s="686"/>
    </row>
    <row r="201" spans="1:18" s="685" customFormat="1" ht="15" customHeight="1" outlineLevel="1">
      <c r="A201" s="853" t="s">
        <v>79</v>
      </c>
      <c r="B201" s="666" t="s">
        <v>761</v>
      </c>
      <c r="C201" s="665" t="s">
        <v>824</v>
      </c>
      <c r="D201" s="677" t="s">
        <v>502</v>
      </c>
      <c r="E201" s="676"/>
      <c r="F201" s="676"/>
      <c r="G201" s="669"/>
      <c r="H201" s="676">
        <v>0</v>
      </c>
      <c r="I201" s="669"/>
      <c r="J201" s="667">
        <f>0.76/10</f>
        <v>7.5999999999999998E-2</v>
      </c>
      <c r="L201" s="690"/>
      <c r="M201" s="686"/>
      <c r="N201" s="686"/>
      <c r="O201" s="686"/>
      <c r="P201" s="686"/>
      <c r="Q201" s="686"/>
      <c r="R201" s="686"/>
    </row>
    <row r="202" spans="1:18" s="685" customFormat="1" ht="15" customHeight="1">
      <c r="A202" s="851" t="s">
        <v>79</v>
      </c>
      <c r="B202" s="660" t="s">
        <v>761</v>
      </c>
      <c r="C202" s="802" t="s">
        <v>928</v>
      </c>
      <c r="D202" s="678"/>
      <c r="E202" s="679">
        <f t="shared" ref="E202:J202" si="16">SUM(E203:E207)</f>
        <v>44.53</v>
      </c>
      <c r="F202" s="679">
        <f t="shared" si="16"/>
        <v>0</v>
      </c>
      <c r="G202" s="679">
        <f t="shared" si="16"/>
        <v>0</v>
      </c>
      <c r="H202" s="679">
        <f t="shared" si="16"/>
        <v>0</v>
      </c>
      <c r="I202" s="679">
        <f t="shared" si="16"/>
        <v>0.13400000000000001</v>
      </c>
      <c r="J202" s="679">
        <f t="shared" si="16"/>
        <v>7.5999999999999998E-2</v>
      </c>
      <c r="L202" s="936" t="s">
        <v>1027</v>
      </c>
      <c r="M202" s="936" t="s">
        <v>1028</v>
      </c>
      <c r="N202" s="686"/>
      <c r="O202" s="686"/>
      <c r="P202" s="686"/>
      <c r="Q202" s="686"/>
      <c r="R202" s="686"/>
    </row>
    <row r="203" spans="1:18" s="685" customFormat="1" ht="15" customHeight="1" outlineLevel="1">
      <c r="A203" s="853" t="s">
        <v>79</v>
      </c>
      <c r="B203" s="666" t="s">
        <v>761</v>
      </c>
      <c r="C203" s="665" t="s">
        <v>928</v>
      </c>
      <c r="D203" s="677" t="s">
        <v>477</v>
      </c>
      <c r="E203" s="676"/>
      <c r="F203" s="676"/>
      <c r="G203" s="669">
        <v>0</v>
      </c>
      <c r="H203" s="676"/>
      <c r="I203" s="668">
        <v>0.13400000000000001</v>
      </c>
      <c r="J203" s="667"/>
      <c r="L203" s="688"/>
      <c r="M203" s="686"/>
      <c r="N203" s="686"/>
      <c r="O203" s="686"/>
      <c r="P203" s="686"/>
      <c r="Q203" s="686"/>
      <c r="R203" s="686"/>
    </row>
    <row r="204" spans="1:18" s="685" customFormat="1" ht="15" customHeight="1" outlineLevel="1">
      <c r="A204" s="853" t="s">
        <v>79</v>
      </c>
      <c r="B204" s="666" t="s">
        <v>761</v>
      </c>
      <c r="C204" s="665" t="s">
        <v>928</v>
      </c>
      <c r="D204" s="677" t="s">
        <v>480</v>
      </c>
      <c r="E204" s="676">
        <v>5.78</v>
      </c>
      <c r="F204" s="676"/>
      <c r="G204" s="669"/>
      <c r="H204" s="676"/>
      <c r="I204" s="669"/>
      <c r="J204" s="667"/>
      <c r="L204" s="686"/>
      <c r="M204" s="686"/>
      <c r="N204" s="686"/>
      <c r="O204" s="686"/>
      <c r="P204" s="686"/>
      <c r="Q204" s="686"/>
      <c r="R204" s="686"/>
    </row>
    <row r="205" spans="1:18" s="685" customFormat="1" ht="15" customHeight="1" outlineLevel="1">
      <c r="A205" s="853" t="s">
        <v>79</v>
      </c>
      <c r="B205" s="666" t="s">
        <v>761</v>
      </c>
      <c r="C205" s="665" t="s">
        <v>928</v>
      </c>
      <c r="D205" s="677" t="s">
        <v>482</v>
      </c>
      <c r="E205" s="676">
        <v>1.68</v>
      </c>
      <c r="F205" s="676"/>
      <c r="G205" s="669"/>
      <c r="H205" s="676"/>
      <c r="I205" s="669"/>
      <c r="J205" s="667"/>
      <c r="L205" s="688"/>
      <c r="M205" s="688"/>
      <c r="N205" s="686"/>
      <c r="O205" s="686"/>
      <c r="P205" s="686"/>
      <c r="Q205" s="686"/>
      <c r="R205" s="686"/>
    </row>
    <row r="206" spans="1:18" s="685" customFormat="1" ht="15" customHeight="1" outlineLevel="1">
      <c r="A206" s="853" t="s">
        <v>79</v>
      </c>
      <c r="B206" s="666" t="s">
        <v>761</v>
      </c>
      <c r="C206" s="665" t="s">
        <v>928</v>
      </c>
      <c r="D206" s="677" t="s">
        <v>484</v>
      </c>
      <c r="E206" s="676">
        <v>37.07</v>
      </c>
      <c r="F206" s="676"/>
      <c r="G206" s="669"/>
      <c r="H206" s="676"/>
      <c r="I206" s="669"/>
      <c r="J206" s="667"/>
      <c r="L206" s="686"/>
      <c r="M206" s="686"/>
      <c r="N206" s="686"/>
      <c r="O206" s="686"/>
      <c r="P206" s="686"/>
      <c r="Q206" s="686"/>
      <c r="R206" s="686"/>
    </row>
    <row r="207" spans="1:18" s="685" customFormat="1" ht="15" customHeight="1" outlineLevel="1">
      <c r="A207" s="853" t="s">
        <v>79</v>
      </c>
      <c r="B207" s="666" t="s">
        <v>761</v>
      </c>
      <c r="C207" s="665" t="s">
        <v>928</v>
      </c>
      <c r="D207" s="677" t="s">
        <v>487</v>
      </c>
      <c r="E207" s="676"/>
      <c r="F207" s="676"/>
      <c r="G207" s="669"/>
      <c r="H207" s="676"/>
      <c r="I207" s="669"/>
      <c r="J207" s="667">
        <f>0.76/10</f>
        <v>7.5999999999999998E-2</v>
      </c>
      <c r="L207" s="686"/>
      <c r="M207" s="686"/>
      <c r="N207" s="686"/>
      <c r="O207" s="686"/>
      <c r="P207" s="686"/>
      <c r="Q207" s="686"/>
      <c r="R207" s="686"/>
    </row>
    <row r="208" spans="1:18" s="685" customFormat="1" ht="15" customHeight="1">
      <c r="A208" s="851" t="s">
        <v>79</v>
      </c>
      <c r="B208" s="660" t="s">
        <v>765</v>
      </c>
      <c r="C208" s="659" t="s">
        <v>415</v>
      </c>
      <c r="D208" s="678"/>
      <c r="E208" s="679">
        <f t="shared" ref="E208:J208" si="17">SUM(E209:E213)</f>
        <v>7.6999999999999993</v>
      </c>
      <c r="F208" s="679">
        <f t="shared" si="17"/>
        <v>0</v>
      </c>
      <c r="G208" s="679">
        <f t="shared" si="17"/>
        <v>0</v>
      </c>
      <c r="H208" s="679">
        <f t="shared" si="17"/>
        <v>0</v>
      </c>
      <c r="I208" s="679">
        <f t="shared" si="17"/>
        <v>0</v>
      </c>
      <c r="J208" s="679">
        <f t="shared" si="17"/>
        <v>0</v>
      </c>
      <c r="L208" s="690" t="s">
        <v>1029</v>
      </c>
      <c r="M208" s="686"/>
      <c r="N208" s="686"/>
      <c r="O208" s="686"/>
      <c r="P208" s="686"/>
      <c r="Q208" s="686"/>
      <c r="R208" s="686"/>
    </row>
    <row r="209" spans="1:18" s="685" customFormat="1" ht="15" customHeight="1" outlineLevel="1">
      <c r="A209" s="853" t="s">
        <v>79</v>
      </c>
      <c r="B209" s="666" t="s">
        <v>765</v>
      </c>
      <c r="C209" s="665" t="s">
        <v>415</v>
      </c>
      <c r="D209" s="677" t="s">
        <v>486</v>
      </c>
      <c r="E209" s="676">
        <v>2.61</v>
      </c>
      <c r="F209" s="676"/>
      <c r="G209" s="669"/>
      <c r="H209" s="669"/>
      <c r="I209" s="669"/>
      <c r="J209" s="668"/>
      <c r="L209" s="690"/>
      <c r="M209" s="686"/>
      <c r="N209" s="686"/>
      <c r="O209" s="686"/>
      <c r="P209" s="686"/>
      <c r="Q209" s="686"/>
      <c r="R209" s="686"/>
    </row>
    <row r="210" spans="1:18" s="685" customFormat="1" ht="15" customHeight="1" outlineLevel="1">
      <c r="A210" s="853" t="s">
        <v>79</v>
      </c>
      <c r="B210" s="666" t="s">
        <v>765</v>
      </c>
      <c r="C210" s="665" t="s">
        <v>415</v>
      </c>
      <c r="D210" s="677" t="s">
        <v>819</v>
      </c>
      <c r="E210" s="676">
        <v>3.74</v>
      </c>
      <c r="F210" s="676"/>
      <c r="G210" s="669"/>
      <c r="H210" s="669"/>
      <c r="I210" s="669"/>
      <c r="J210" s="668"/>
      <c r="L210" s="690"/>
      <c r="M210" s="686"/>
      <c r="N210" s="686"/>
      <c r="O210" s="686"/>
      <c r="P210" s="686"/>
      <c r="Q210" s="686"/>
      <c r="R210" s="686"/>
    </row>
    <row r="211" spans="1:18" s="685" customFormat="1" ht="15" customHeight="1" outlineLevel="1">
      <c r="A211" s="853" t="s">
        <v>79</v>
      </c>
      <c r="B211" s="666" t="s">
        <v>765</v>
      </c>
      <c r="C211" s="665" t="s">
        <v>415</v>
      </c>
      <c r="D211" s="677" t="s">
        <v>820</v>
      </c>
      <c r="E211" s="676">
        <v>0.43</v>
      </c>
      <c r="F211" s="676"/>
      <c r="G211" s="669"/>
      <c r="H211" s="669"/>
      <c r="I211" s="669"/>
      <c r="J211" s="668"/>
      <c r="L211" s="690"/>
      <c r="M211" s="686"/>
      <c r="N211" s="686"/>
      <c r="O211" s="686"/>
      <c r="P211" s="686"/>
      <c r="Q211" s="686"/>
      <c r="R211" s="686"/>
    </row>
    <row r="212" spans="1:18" s="685" customFormat="1" ht="15" customHeight="1" outlineLevel="1">
      <c r="A212" s="853" t="s">
        <v>79</v>
      </c>
      <c r="B212" s="666" t="s">
        <v>765</v>
      </c>
      <c r="C212" s="665" t="s">
        <v>415</v>
      </c>
      <c r="D212" s="677" t="s">
        <v>821</v>
      </c>
      <c r="E212" s="676">
        <v>0.57999999999999996</v>
      </c>
      <c r="F212" s="676"/>
      <c r="G212" s="669"/>
      <c r="H212" s="669"/>
      <c r="I212" s="669"/>
      <c r="J212" s="668"/>
      <c r="L212" s="690"/>
      <c r="M212" s="686"/>
      <c r="N212" s="686"/>
      <c r="O212" s="686"/>
      <c r="P212" s="686"/>
      <c r="Q212" s="686"/>
      <c r="R212" s="686"/>
    </row>
    <row r="213" spans="1:18" s="685" customFormat="1" ht="15" customHeight="1" outlineLevel="1">
      <c r="A213" s="853" t="s">
        <v>79</v>
      </c>
      <c r="B213" s="666" t="s">
        <v>765</v>
      </c>
      <c r="C213" s="665" t="s">
        <v>415</v>
      </c>
      <c r="D213" s="677" t="s">
        <v>479</v>
      </c>
      <c r="E213" s="676">
        <v>0.34</v>
      </c>
      <c r="F213" s="676"/>
      <c r="G213" s="669"/>
      <c r="H213" s="669"/>
      <c r="I213" s="669"/>
      <c r="J213" s="668"/>
      <c r="L213" s="690"/>
      <c r="M213" s="686"/>
      <c r="N213" s="686"/>
      <c r="O213" s="686"/>
      <c r="P213" s="686"/>
      <c r="Q213" s="686"/>
      <c r="R213" s="686"/>
    </row>
    <row r="214" spans="1:18" ht="15" customHeight="1">
      <c r="A214" s="851" t="s">
        <v>79</v>
      </c>
      <c r="B214" s="660" t="s">
        <v>765</v>
      </c>
      <c r="C214" s="659" t="s">
        <v>495</v>
      </c>
      <c r="D214" s="678"/>
      <c r="E214" s="679">
        <f t="shared" ref="E214:J214" si="18">SUM(E215:E222)</f>
        <v>56.33</v>
      </c>
      <c r="F214" s="679">
        <f t="shared" si="18"/>
        <v>0</v>
      </c>
      <c r="G214" s="679">
        <f t="shared" si="18"/>
        <v>0</v>
      </c>
      <c r="H214" s="679">
        <f t="shared" si="18"/>
        <v>0</v>
      </c>
      <c r="I214" s="679">
        <f t="shared" si="18"/>
        <v>0.13400000000000001</v>
      </c>
      <c r="J214" s="679">
        <f t="shared" si="18"/>
        <v>7.5999999999999998E-2</v>
      </c>
      <c r="L214" s="690" t="s">
        <v>1030</v>
      </c>
    </row>
    <row r="215" spans="1:18" s="685" customFormat="1" ht="15" customHeight="1" outlineLevel="1">
      <c r="A215" s="853" t="s">
        <v>79</v>
      </c>
      <c r="B215" s="666" t="s">
        <v>765</v>
      </c>
      <c r="C215" s="665" t="s">
        <v>495</v>
      </c>
      <c r="D215" s="677" t="s">
        <v>503</v>
      </c>
      <c r="E215" s="676"/>
      <c r="F215" s="676"/>
      <c r="G215" s="669">
        <v>0</v>
      </c>
      <c r="H215" s="669"/>
      <c r="I215" s="668">
        <v>0.13400000000000001</v>
      </c>
      <c r="J215" s="668"/>
      <c r="L215" s="690"/>
      <c r="M215" s="686"/>
      <c r="N215" s="686"/>
      <c r="O215" s="686"/>
      <c r="P215" s="686"/>
      <c r="Q215" s="686"/>
      <c r="R215" s="686"/>
    </row>
    <row r="216" spans="1:18" s="685" customFormat="1" ht="15" customHeight="1" outlineLevel="1">
      <c r="A216" s="853" t="s">
        <v>79</v>
      </c>
      <c r="B216" s="666" t="s">
        <v>765</v>
      </c>
      <c r="C216" s="665" t="s">
        <v>495</v>
      </c>
      <c r="D216" s="677" t="s">
        <v>480</v>
      </c>
      <c r="E216" s="676">
        <v>30.23</v>
      </c>
      <c r="F216" s="676"/>
      <c r="G216" s="669"/>
      <c r="H216" s="669"/>
      <c r="I216" s="669"/>
      <c r="J216" s="668"/>
      <c r="L216" s="690"/>
      <c r="M216" s="686"/>
      <c r="N216" s="686"/>
      <c r="O216" s="686"/>
      <c r="P216" s="686"/>
      <c r="Q216" s="686"/>
      <c r="R216" s="686"/>
    </row>
    <row r="217" spans="1:18" s="685" customFormat="1" ht="15" customHeight="1" outlineLevel="1">
      <c r="A217" s="853" t="s">
        <v>79</v>
      </c>
      <c r="B217" s="666" t="s">
        <v>765</v>
      </c>
      <c r="C217" s="665" t="s">
        <v>495</v>
      </c>
      <c r="D217" s="677" t="s">
        <v>481</v>
      </c>
      <c r="E217" s="676">
        <v>16.39</v>
      </c>
      <c r="F217" s="676"/>
      <c r="G217" s="669"/>
      <c r="H217" s="669"/>
      <c r="I217" s="669"/>
      <c r="J217" s="668"/>
      <c r="L217" s="690"/>
      <c r="M217" s="686"/>
      <c r="N217" s="686"/>
      <c r="O217" s="686"/>
      <c r="P217" s="686"/>
      <c r="Q217" s="686"/>
      <c r="R217" s="686"/>
    </row>
    <row r="218" spans="1:18" s="685" customFormat="1" ht="15" customHeight="1" outlineLevel="1">
      <c r="A218" s="853" t="s">
        <v>79</v>
      </c>
      <c r="B218" s="666" t="s">
        <v>765</v>
      </c>
      <c r="C218" s="665" t="s">
        <v>495</v>
      </c>
      <c r="D218" s="677" t="s">
        <v>484</v>
      </c>
      <c r="E218" s="676">
        <v>5.69</v>
      </c>
      <c r="F218" s="676"/>
      <c r="G218" s="669"/>
      <c r="H218" s="669"/>
      <c r="I218" s="669"/>
      <c r="J218" s="668"/>
      <c r="L218" s="690"/>
      <c r="M218" s="686"/>
      <c r="N218" s="686"/>
      <c r="O218" s="686"/>
      <c r="P218" s="686"/>
      <c r="Q218" s="686"/>
      <c r="R218" s="686"/>
    </row>
    <row r="219" spans="1:18" s="685" customFormat="1" ht="15" customHeight="1" outlineLevel="1">
      <c r="A219" s="853" t="s">
        <v>79</v>
      </c>
      <c r="B219" s="666" t="s">
        <v>765</v>
      </c>
      <c r="C219" s="665" t="s">
        <v>495</v>
      </c>
      <c r="D219" s="677" t="s">
        <v>492</v>
      </c>
      <c r="E219" s="676">
        <v>2.58</v>
      </c>
      <c r="F219" s="676"/>
      <c r="G219" s="669"/>
      <c r="H219" s="669"/>
      <c r="I219" s="669"/>
      <c r="J219" s="668"/>
      <c r="L219" s="690"/>
      <c r="M219" s="686"/>
      <c r="N219" s="686"/>
      <c r="O219" s="686"/>
      <c r="P219" s="686"/>
      <c r="Q219" s="686"/>
      <c r="R219" s="686"/>
    </row>
    <row r="220" spans="1:18" s="685" customFormat="1" ht="15" customHeight="1" outlineLevel="1">
      <c r="A220" s="853" t="s">
        <v>79</v>
      </c>
      <c r="B220" s="666" t="s">
        <v>765</v>
      </c>
      <c r="C220" s="665" t="s">
        <v>495</v>
      </c>
      <c r="D220" s="677" t="s">
        <v>496</v>
      </c>
      <c r="E220" s="676">
        <v>7.0000000000000007E-2</v>
      </c>
      <c r="F220" s="676"/>
      <c r="G220" s="669"/>
      <c r="H220" s="669"/>
      <c r="I220" s="669"/>
      <c r="J220" s="668"/>
      <c r="L220" s="690"/>
      <c r="M220" s="686"/>
      <c r="N220" s="686"/>
      <c r="O220" s="686"/>
      <c r="P220" s="686"/>
      <c r="Q220" s="686"/>
      <c r="R220" s="686"/>
    </row>
    <row r="221" spans="1:18" s="685" customFormat="1" ht="15" customHeight="1" outlineLevel="1">
      <c r="A221" s="853" t="s">
        <v>79</v>
      </c>
      <c r="B221" s="666" t="s">
        <v>765</v>
      </c>
      <c r="C221" s="665" t="s">
        <v>495</v>
      </c>
      <c r="D221" s="677" t="s">
        <v>490</v>
      </c>
      <c r="E221" s="676">
        <v>1.37</v>
      </c>
      <c r="F221" s="676"/>
      <c r="G221" s="669"/>
      <c r="H221" s="669"/>
      <c r="I221" s="669"/>
      <c r="J221" s="668"/>
      <c r="L221" s="690"/>
      <c r="M221" s="686"/>
      <c r="N221" s="686"/>
      <c r="O221" s="686"/>
      <c r="P221" s="686"/>
      <c r="Q221" s="686"/>
      <c r="R221" s="686"/>
    </row>
    <row r="222" spans="1:18" s="685" customFormat="1" ht="15" customHeight="1" outlineLevel="1">
      <c r="A222" s="853" t="s">
        <v>79</v>
      </c>
      <c r="B222" s="666" t="s">
        <v>765</v>
      </c>
      <c r="C222" s="665" t="s">
        <v>495</v>
      </c>
      <c r="D222" s="677" t="s">
        <v>487</v>
      </c>
      <c r="E222" s="676">
        <v>0</v>
      </c>
      <c r="F222" s="676"/>
      <c r="G222" s="669"/>
      <c r="H222" s="669"/>
      <c r="I222" s="669"/>
      <c r="J222" s="667">
        <f>0.76/10</f>
        <v>7.5999999999999998E-2</v>
      </c>
      <c r="L222" s="690"/>
      <c r="M222" s="686"/>
      <c r="N222" s="686"/>
      <c r="O222" s="686"/>
      <c r="P222" s="686"/>
      <c r="Q222" s="686"/>
      <c r="R222" s="686"/>
    </row>
    <row r="223" spans="1:18" s="685" customFormat="1" ht="15" customHeight="1">
      <c r="A223" s="851" t="s">
        <v>79</v>
      </c>
      <c r="B223" s="660" t="s">
        <v>765</v>
      </c>
      <c r="C223" s="659" t="s">
        <v>822</v>
      </c>
      <c r="D223" s="678"/>
      <c r="E223" s="679">
        <f t="shared" ref="E223:J223" si="19">SUM(E224:E229)</f>
        <v>52.47</v>
      </c>
      <c r="F223" s="679">
        <f t="shared" si="19"/>
        <v>0</v>
      </c>
      <c r="G223" s="679">
        <f t="shared" si="19"/>
        <v>0</v>
      </c>
      <c r="H223" s="679">
        <f t="shared" si="19"/>
        <v>0</v>
      </c>
      <c r="I223" s="679">
        <f t="shared" si="19"/>
        <v>0.13400000000000001</v>
      </c>
      <c r="J223" s="679">
        <f t="shared" si="19"/>
        <v>7.5999999999999998E-2</v>
      </c>
      <c r="L223" s="690" t="s">
        <v>1031</v>
      </c>
      <c r="M223" s="686"/>
      <c r="N223" s="686"/>
      <c r="O223" s="686"/>
      <c r="P223" s="686"/>
      <c r="Q223" s="686"/>
      <c r="R223" s="686"/>
    </row>
    <row r="224" spans="1:18" s="685" customFormat="1" ht="15" customHeight="1" outlineLevel="1">
      <c r="A224" s="853" t="s">
        <v>79</v>
      </c>
      <c r="B224" s="666" t="s">
        <v>765</v>
      </c>
      <c r="C224" s="665" t="s">
        <v>822</v>
      </c>
      <c r="D224" s="677" t="s">
        <v>503</v>
      </c>
      <c r="E224" s="676"/>
      <c r="F224" s="676"/>
      <c r="G224" s="669">
        <v>0</v>
      </c>
      <c r="H224" s="669"/>
      <c r="I224" s="668">
        <v>0.13400000000000001</v>
      </c>
      <c r="J224" s="668"/>
      <c r="L224" s="690"/>
      <c r="M224" s="686"/>
      <c r="N224" s="686"/>
      <c r="O224" s="686"/>
      <c r="P224" s="686"/>
      <c r="Q224" s="686"/>
      <c r="R224" s="686"/>
    </row>
    <row r="225" spans="1:18" s="685" customFormat="1" ht="15" customHeight="1" outlineLevel="1">
      <c r="A225" s="853" t="s">
        <v>79</v>
      </c>
      <c r="B225" s="666" t="s">
        <v>765</v>
      </c>
      <c r="C225" s="665" t="s">
        <v>822</v>
      </c>
      <c r="D225" s="677" t="s">
        <v>480</v>
      </c>
      <c r="E225" s="676">
        <v>25.38</v>
      </c>
      <c r="F225" s="676"/>
      <c r="G225" s="669"/>
      <c r="H225" s="669"/>
      <c r="I225" s="669"/>
      <c r="J225" s="668"/>
      <c r="L225" s="690"/>
      <c r="M225" s="686"/>
      <c r="N225" s="686"/>
      <c r="O225" s="686"/>
      <c r="P225" s="686"/>
      <c r="Q225" s="686"/>
      <c r="R225" s="686"/>
    </row>
    <row r="226" spans="1:18" s="685" customFormat="1" ht="15" customHeight="1" outlineLevel="1">
      <c r="A226" s="853" t="s">
        <v>79</v>
      </c>
      <c r="B226" s="666" t="s">
        <v>765</v>
      </c>
      <c r="C226" s="665" t="s">
        <v>822</v>
      </c>
      <c r="D226" s="677" t="s">
        <v>481</v>
      </c>
      <c r="E226" s="676">
        <v>13.56</v>
      </c>
      <c r="F226" s="676"/>
      <c r="G226" s="669"/>
      <c r="H226" s="669"/>
      <c r="I226" s="669"/>
      <c r="J226" s="668"/>
      <c r="L226" s="690"/>
      <c r="M226" s="686"/>
      <c r="N226" s="686"/>
      <c r="O226" s="686"/>
      <c r="P226" s="686"/>
      <c r="Q226" s="686"/>
      <c r="R226" s="686"/>
    </row>
    <row r="227" spans="1:18" s="685" customFormat="1" ht="15" customHeight="1" outlineLevel="1">
      <c r="A227" s="853" t="s">
        <v>79</v>
      </c>
      <c r="B227" s="666" t="s">
        <v>765</v>
      </c>
      <c r="C227" s="665" t="s">
        <v>822</v>
      </c>
      <c r="D227" s="677" t="s">
        <v>482</v>
      </c>
      <c r="E227" s="676">
        <v>8.76</v>
      </c>
      <c r="F227" s="676"/>
      <c r="G227" s="669"/>
      <c r="H227" s="669"/>
      <c r="I227" s="669"/>
      <c r="J227" s="668"/>
      <c r="L227" s="690"/>
      <c r="M227" s="686"/>
      <c r="N227" s="686"/>
      <c r="O227" s="686"/>
      <c r="P227" s="686"/>
      <c r="Q227" s="686"/>
      <c r="R227" s="686"/>
    </row>
    <row r="228" spans="1:18" s="685" customFormat="1" ht="15" customHeight="1" outlineLevel="1">
      <c r="A228" s="853" t="s">
        <v>79</v>
      </c>
      <c r="B228" s="666" t="s">
        <v>765</v>
      </c>
      <c r="C228" s="665" t="s">
        <v>822</v>
      </c>
      <c r="D228" s="677" t="s">
        <v>484</v>
      </c>
      <c r="E228" s="676">
        <v>4.7699999999999996</v>
      </c>
      <c r="F228" s="676"/>
      <c r="G228" s="669"/>
      <c r="H228" s="669"/>
      <c r="I228" s="669"/>
      <c r="J228" s="668"/>
      <c r="L228" s="690"/>
      <c r="M228" s="686"/>
      <c r="N228" s="686"/>
      <c r="O228" s="686"/>
      <c r="P228" s="686"/>
      <c r="Q228" s="686"/>
      <c r="R228" s="686"/>
    </row>
    <row r="229" spans="1:18" s="685" customFormat="1" ht="15" customHeight="1" outlineLevel="1">
      <c r="A229" s="853" t="s">
        <v>79</v>
      </c>
      <c r="B229" s="666" t="s">
        <v>765</v>
      </c>
      <c r="C229" s="665" t="s">
        <v>822</v>
      </c>
      <c r="D229" s="677" t="s">
        <v>487</v>
      </c>
      <c r="E229" s="676"/>
      <c r="F229" s="676"/>
      <c r="G229" s="669"/>
      <c r="H229" s="669"/>
      <c r="I229" s="669"/>
      <c r="J229" s="667">
        <f>0.76/10</f>
        <v>7.5999999999999998E-2</v>
      </c>
      <c r="L229" s="690"/>
      <c r="M229" s="686"/>
      <c r="N229" s="686"/>
      <c r="O229" s="686"/>
      <c r="P229" s="686"/>
      <c r="Q229" s="686"/>
      <c r="R229" s="686"/>
    </row>
    <row r="230" spans="1:18" ht="15" customHeight="1">
      <c r="A230" s="851" t="s">
        <v>79</v>
      </c>
      <c r="B230" s="660" t="s">
        <v>765</v>
      </c>
      <c r="C230" s="659" t="s">
        <v>452</v>
      </c>
      <c r="D230" s="678"/>
      <c r="E230" s="679">
        <f t="shared" ref="E230:J230" si="20">SUM(E231:E235)</f>
        <v>1.04</v>
      </c>
      <c r="F230" s="679">
        <f t="shared" si="20"/>
        <v>0</v>
      </c>
      <c r="G230" s="679">
        <f t="shared" si="20"/>
        <v>0</v>
      </c>
      <c r="H230" s="679">
        <f t="shared" si="20"/>
        <v>0</v>
      </c>
      <c r="I230" s="679">
        <f t="shared" si="20"/>
        <v>0.13400000000000001</v>
      </c>
      <c r="J230" s="679">
        <f t="shared" si="20"/>
        <v>7.5999999999999998E-2</v>
      </c>
      <c r="L230" s="690" t="s">
        <v>1035</v>
      </c>
    </row>
    <row r="231" spans="1:18" s="685" customFormat="1" ht="15" customHeight="1" outlineLevel="1">
      <c r="A231" s="853" t="s">
        <v>79</v>
      </c>
      <c r="B231" s="666" t="s">
        <v>765</v>
      </c>
      <c r="C231" s="665" t="s">
        <v>452</v>
      </c>
      <c r="D231" s="677" t="s">
        <v>477</v>
      </c>
      <c r="E231" s="676"/>
      <c r="F231" s="676"/>
      <c r="G231" s="669">
        <v>0</v>
      </c>
      <c r="H231" s="669"/>
      <c r="I231" s="668">
        <v>0.13400000000000001</v>
      </c>
      <c r="J231" s="668"/>
      <c r="L231" s="690" t="s">
        <v>766</v>
      </c>
      <c r="M231" s="686"/>
      <c r="N231" s="686"/>
      <c r="O231" s="686"/>
      <c r="P231" s="686"/>
      <c r="Q231" s="686"/>
      <c r="R231" s="686"/>
    </row>
    <row r="232" spans="1:18" s="685" customFormat="1" ht="15" customHeight="1" outlineLevel="1">
      <c r="A232" s="853" t="s">
        <v>79</v>
      </c>
      <c r="B232" s="666" t="s">
        <v>765</v>
      </c>
      <c r="C232" s="665" t="s">
        <v>452</v>
      </c>
      <c r="D232" s="677" t="s">
        <v>480</v>
      </c>
      <c r="E232" s="676">
        <v>0.68</v>
      </c>
      <c r="F232" s="676"/>
      <c r="G232" s="669"/>
      <c r="H232" s="669"/>
      <c r="I232" s="669"/>
      <c r="J232" s="668"/>
      <c r="L232" s="690"/>
      <c r="M232" s="686"/>
      <c r="N232" s="686"/>
      <c r="O232" s="686"/>
      <c r="P232" s="686"/>
      <c r="Q232" s="686"/>
      <c r="R232" s="686"/>
    </row>
    <row r="233" spans="1:18" s="685" customFormat="1" ht="15" customHeight="1" outlineLevel="1">
      <c r="A233" s="853" t="s">
        <v>79</v>
      </c>
      <c r="B233" s="666" t="s">
        <v>765</v>
      </c>
      <c r="C233" s="665" t="s">
        <v>452</v>
      </c>
      <c r="D233" s="677" t="s">
        <v>482</v>
      </c>
      <c r="E233" s="676">
        <v>0.23</v>
      </c>
      <c r="F233" s="676"/>
      <c r="G233" s="669"/>
      <c r="H233" s="669"/>
      <c r="I233" s="669"/>
      <c r="J233" s="668"/>
      <c r="L233" s="690"/>
      <c r="M233" s="686"/>
      <c r="N233" s="686"/>
      <c r="O233" s="686"/>
      <c r="P233" s="686"/>
      <c r="Q233" s="686"/>
      <c r="R233" s="686"/>
    </row>
    <row r="234" spans="1:18" s="685" customFormat="1" ht="15" customHeight="1" outlineLevel="1">
      <c r="A234" s="853" t="s">
        <v>79</v>
      </c>
      <c r="B234" s="666" t="s">
        <v>765</v>
      </c>
      <c r="C234" s="665" t="s">
        <v>452</v>
      </c>
      <c r="D234" s="677" t="s">
        <v>484</v>
      </c>
      <c r="E234" s="676">
        <v>0.13</v>
      </c>
      <c r="F234" s="676"/>
      <c r="G234" s="669"/>
      <c r="H234" s="669"/>
      <c r="I234" s="669"/>
      <c r="J234" s="668"/>
      <c r="L234" s="690"/>
      <c r="M234" s="686"/>
      <c r="N234" s="686"/>
      <c r="O234" s="686"/>
      <c r="P234" s="686"/>
      <c r="Q234" s="686"/>
      <c r="R234" s="686"/>
    </row>
    <row r="235" spans="1:18" s="685" customFormat="1" ht="15" customHeight="1" outlineLevel="1">
      <c r="A235" s="853" t="s">
        <v>79</v>
      </c>
      <c r="B235" s="666" t="s">
        <v>765</v>
      </c>
      <c r="C235" s="665" t="s">
        <v>452</v>
      </c>
      <c r="D235" s="677" t="s">
        <v>502</v>
      </c>
      <c r="E235" s="676"/>
      <c r="F235" s="676"/>
      <c r="G235" s="669"/>
      <c r="H235" s="676">
        <v>0</v>
      </c>
      <c r="I235" s="669"/>
      <c r="J235" s="667">
        <f>0.76/10</f>
        <v>7.5999999999999998E-2</v>
      </c>
      <c r="L235" s="690"/>
      <c r="M235" s="686"/>
      <c r="N235" s="686"/>
      <c r="O235" s="686"/>
      <c r="P235" s="686"/>
      <c r="Q235" s="686"/>
      <c r="R235" s="686"/>
    </row>
    <row r="236" spans="1:18" s="685" customFormat="1" ht="15" customHeight="1">
      <c r="A236" s="851" t="s">
        <v>79</v>
      </c>
      <c r="B236" s="660" t="s">
        <v>765</v>
      </c>
      <c r="C236" s="659" t="s">
        <v>729</v>
      </c>
      <c r="E236" s="676">
        <f>SUM(E237:E238)</f>
        <v>0</v>
      </c>
      <c r="F236" s="676">
        <f t="shared" ref="F236:J236" si="21">SUM(F237:F238)</f>
        <v>0</v>
      </c>
      <c r="G236" s="676">
        <f t="shared" si="21"/>
        <v>0</v>
      </c>
      <c r="H236" s="676">
        <f t="shared" si="21"/>
        <v>0</v>
      </c>
      <c r="I236" s="676">
        <f>SUM(I237:I239)</f>
        <v>1.484</v>
      </c>
      <c r="J236" s="676">
        <f t="shared" si="21"/>
        <v>7.5999999999999998E-2</v>
      </c>
      <c r="L236" s="690" t="s">
        <v>1036</v>
      </c>
      <c r="M236" s="690"/>
      <c r="N236" s="686"/>
      <c r="O236" s="686"/>
      <c r="P236" s="686"/>
      <c r="Q236" s="686"/>
      <c r="R236" s="686"/>
    </row>
    <row r="237" spans="1:18" s="685" customFormat="1" ht="15" customHeight="1" outlineLevel="1">
      <c r="A237" s="851" t="s">
        <v>79</v>
      </c>
      <c r="B237" s="666" t="s">
        <v>765</v>
      </c>
      <c r="C237" s="665" t="s">
        <v>729</v>
      </c>
      <c r="D237" s="677" t="s">
        <v>477</v>
      </c>
      <c r="E237" s="676"/>
      <c r="F237" s="676"/>
      <c r="G237" s="669">
        <v>0</v>
      </c>
      <c r="H237" s="669"/>
      <c r="I237" s="668">
        <v>0.13400000000000001</v>
      </c>
      <c r="J237" s="667"/>
      <c r="L237" s="690"/>
      <c r="M237" s="690"/>
      <c r="N237" s="686"/>
      <c r="O237" s="686"/>
      <c r="P237" s="686"/>
      <c r="Q237" s="686"/>
      <c r="R237" s="686"/>
    </row>
    <row r="238" spans="1:18" s="685" customFormat="1" ht="15" customHeight="1" outlineLevel="1">
      <c r="A238" s="851" t="s">
        <v>79</v>
      </c>
      <c r="B238" s="666" t="s">
        <v>765</v>
      </c>
      <c r="C238" s="665" t="s">
        <v>729</v>
      </c>
      <c r="D238" s="677" t="s">
        <v>502</v>
      </c>
      <c r="E238" s="676"/>
      <c r="F238" s="676"/>
      <c r="G238" s="669"/>
      <c r="H238" s="676"/>
      <c r="I238" s="669"/>
      <c r="J238" s="667">
        <f>0.76/10</f>
        <v>7.5999999999999998E-2</v>
      </c>
      <c r="L238" s="690"/>
      <c r="M238" s="690"/>
      <c r="N238" s="686"/>
      <c r="O238" s="686"/>
      <c r="P238" s="686"/>
      <c r="Q238" s="686"/>
      <c r="R238" s="686"/>
    </row>
    <row r="239" spans="1:18" s="685" customFormat="1" ht="15" customHeight="1" outlineLevel="1">
      <c r="A239" s="851"/>
      <c r="B239" s="666" t="s">
        <v>765</v>
      </c>
      <c r="C239" s="665" t="s">
        <v>729</v>
      </c>
      <c r="D239" s="677" t="s">
        <v>1517</v>
      </c>
      <c r="E239" s="676"/>
      <c r="F239" s="676"/>
      <c r="G239" s="669"/>
      <c r="H239" s="669"/>
      <c r="I239" s="669">
        <v>1.35</v>
      </c>
      <c r="J239" s="668"/>
      <c r="L239" s="690"/>
      <c r="M239" s="690"/>
      <c r="N239" s="686"/>
      <c r="O239" s="686"/>
      <c r="P239" s="686"/>
      <c r="Q239" s="686"/>
      <c r="R239" s="686"/>
    </row>
    <row r="240" spans="1:18" s="685" customFormat="1" ht="15" customHeight="1">
      <c r="A240" s="851" t="s">
        <v>79</v>
      </c>
      <c r="B240" s="660" t="s">
        <v>765</v>
      </c>
      <c r="C240" s="659" t="s">
        <v>824</v>
      </c>
      <c r="D240" s="678"/>
      <c r="E240" s="679">
        <f t="shared" ref="E240:J240" si="22">SUM(E241:E244)</f>
        <v>6.6099999999999994</v>
      </c>
      <c r="F240" s="679">
        <f t="shared" si="22"/>
        <v>0</v>
      </c>
      <c r="G240" s="679">
        <f t="shared" si="22"/>
        <v>0</v>
      </c>
      <c r="H240" s="679">
        <f t="shared" si="22"/>
        <v>0</v>
      </c>
      <c r="I240" s="679">
        <f t="shared" si="22"/>
        <v>0.13400000000000001</v>
      </c>
      <c r="J240" s="679">
        <f t="shared" si="22"/>
        <v>7.5999999999999998E-2</v>
      </c>
      <c r="L240" s="690" t="s">
        <v>1037</v>
      </c>
      <c r="M240" s="690" t="s">
        <v>1038</v>
      </c>
      <c r="N240" s="686"/>
      <c r="O240" s="686"/>
      <c r="P240" s="686"/>
      <c r="Q240" s="686"/>
      <c r="R240" s="686"/>
    </row>
    <row r="241" spans="1:18" s="685" customFormat="1" ht="15" customHeight="1" outlineLevel="1">
      <c r="A241" s="853" t="s">
        <v>79</v>
      </c>
      <c r="B241" s="666" t="s">
        <v>765</v>
      </c>
      <c r="C241" s="665" t="s">
        <v>824</v>
      </c>
      <c r="D241" s="677" t="s">
        <v>477</v>
      </c>
      <c r="E241" s="676"/>
      <c r="F241" s="676"/>
      <c r="G241" s="669">
        <v>0</v>
      </c>
      <c r="H241" s="669"/>
      <c r="I241" s="668">
        <v>0.13400000000000001</v>
      </c>
      <c r="J241" s="668"/>
      <c r="L241" s="690"/>
      <c r="M241" s="690"/>
      <c r="N241" s="686"/>
      <c r="O241" s="686"/>
      <c r="P241" s="686"/>
      <c r="Q241" s="686"/>
      <c r="R241" s="686"/>
    </row>
    <row r="242" spans="1:18" s="685" customFormat="1" ht="15" customHeight="1" outlineLevel="1">
      <c r="A242" s="853" t="s">
        <v>79</v>
      </c>
      <c r="B242" s="666" t="s">
        <v>765</v>
      </c>
      <c r="C242" s="665" t="s">
        <v>824</v>
      </c>
      <c r="D242" s="677" t="s">
        <v>480</v>
      </c>
      <c r="E242" s="676">
        <v>5.56</v>
      </c>
      <c r="F242" s="676"/>
      <c r="G242" s="669"/>
      <c r="H242" s="669"/>
      <c r="I242" s="669"/>
      <c r="J242" s="668"/>
      <c r="L242" s="690"/>
      <c r="M242" s="690"/>
      <c r="N242" s="686"/>
      <c r="O242" s="686"/>
      <c r="P242" s="686"/>
      <c r="Q242" s="686"/>
      <c r="R242" s="686"/>
    </row>
    <row r="243" spans="1:18" s="685" customFormat="1" ht="15" customHeight="1" outlineLevel="1">
      <c r="A243" s="853" t="s">
        <v>79</v>
      </c>
      <c r="B243" s="666" t="s">
        <v>765</v>
      </c>
      <c r="C243" s="665" t="s">
        <v>824</v>
      </c>
      <c r="D243" s="677" t="s">
        <v>484</v>
      </c>
      <c r="E243" s="676">
        <v>1.05</v>
      </c>
      <c r="F243" s="676"/>
      <c r="G243" s="669"/>
      <c r="H243" s="669"/>
      <c r="I243" s="669"/>
      <c r="J243" s="668"/>
      <c r="L243" s="690"/>
      <c r="M243" s="690"/>
      <c r="N243" s="686"/>
      <c r="O243" s="686"/>
      <c r="P243" s="686"/>
      <c r="Q243" s="686"/>
      <c r="R243" s="686"/>
    </row>
    <row r="244" spans="1:18" s="685" customFormat="1" ht="15" customHeight="1" outlineLevel="1">
      <c r="A244" s="853" t="s">
        <v>79</v>
      </c>
      <c r="B244" s="666" t="s">
        <v>765</v>
      </c>
      <c r="C244" s="665" t="s">
        <v>824</v>
      </c>
      <c r="D244" s="677" t="s">
        <v>502</v>
      </c>
      <c r="E244" s="676"/>
      <c r="F244" s="676"/>
      <c r="G244" s="669"/>
      <c r="H244" s="676">
        <v>0</v>
      </c>
      <c r="I244" s="669"/>
      <c r="J244" s="667">
        <f>0.76/10</f>
        <v>7.5999999999999998E-2</v>
      </c>
      <c r="L244" s="690"/>
      <c r="M244" s="690"/>
      <c r="N244" s="686"/>
      <c r="O244" s="686"/>
      <c r="P244" s="686"/>
      <c r="Q244" s="686"/>
      <c r="R244" s="686"/>
    </row>
    <row r="245" spans="1:18" s="685" customFormat="1" ht="15" customHeight="1">
      <c r="A245" s="664" t="s">
        <v>32</v>
      </c>
      <c r="B245" s="660" t="s">
        <v>765</v>
      </c>
      <c r="C245" s="946" t="s">
        <v>1518</v>
      </c>
      <c r="D245" s="678"/>
      <c r="E245" s="679">
        <f t="shared" ref="E245" si="23">SUM(E246:E246)</f>
        <v>0</v>
      </c>
      <c r="F245" s="679">
        <f t="shared" ref="F245" si="24">SUM(F246:F246)</f>
        <v>0</v>
      </c>
      <c r="G245" s="679">
        <f t="shared" ref="G245" si="25">SUM(G246:G246)</f>
        <v>0</v>
      </c>
      <c r="H245" s="679">
        <f t="shared" ref="H245" si="26">SUM(H246:H246)</f>
        <v>0</v>
      </c>
      <c r="I245" s="679">
        <f t="shared" ref="I245" si="27">SUM(I246:I246)</f>
        <v>1.35</v>
      </c>
      <c r="J245" s="679">
        <f t="shared" ref="J245" si="28">SUM(J246:J246)</f>
        <v>0</v>
      </c>
      <c r="L245" s="690" t="s">
        <v>1038</v>
      </c>
      <c r="M245" s="690"/>
      <c r="N245" s="686"/>
      <c r="O245" s="686"/>
      <c r="P245" s="686"/>
      <c r="Q245" s="686"/>
      <c r="R245" s="686"/>
    </row>
    <row r="246" spans="1:18" s="685" customFormat="1" ht="15" customHeight="1" outlineLevel="1">
      <c r="A246" s="664" t="s">
        <v>32</v>
      </c>
      <c r="B246" s="666" t="s">
        <v>765</v>
      </c>
      <c r="C246" s="665" t="s">
        <v>824</v>
      </c>
      <c r="D246" s="677" t="s">
        <v>1517</v>
      </c>
      <c r="E246" s="676"/>
      <c r="F246" s="676"/>
      <c r="G246" s="669"/>
      <c r="H246" s="669"/>
      <c r="I246" s="669">
        <v>1.35</v>
      </c>
      <c r="J246" s="668"/>
      <c r="L246" s="690"/>
      <c r="M246" s="690"/>
      <c r="N246" s="686"/>
      <c r="O246" s="686"/>
      <c r="P246" s="686"/>
      <c r="Q246" s="686"/>
      <c r="R246" s="686"/>
    </row>
    <row r="247" spans="1:18" ht="15" customHeight="1">
      <c r="A247" s="851" t="s">
        <v>79</v>
      </c>
      <c r="B247" s="660" t="s">
        <v>765</v>
      </c>
      <c r="C247" s="659" t="s">
        <v>80</v>
      </c>
      <c r="D247" s="678"/>
      <c r="E247" s="679">
        <f t="shared" ref="E247:K247" si="29">SUM(E248:E255)</f>
        <v>123.91</v>
      </c>
      <c r="F247" s="679">
        <f t="shared" si="29"/>
        <v>0</v>
      </c>
      <c r="G247" s="679">
        <f t="shared" si="29"/>
        <v>0</v>
      </c>
      <c r="H247" s="679">
        <f t="shared" si="29"/>
        <v>0</v>
      </c>
      <c r="I247" s="679">
        <f t="shared" si="29"/>
        <v>0.13400000000000001</v>
      </c>
      <c r="J247" s="679">
        <f t="shared" si="29"/>
        <v>7.5999999999999998E-2</v>
      </c>
      <c r="K247" s="679">
        <f t="shared" si="29"/>
        <v>0</v>
      </c>
      <c r="L247" s="690" t="s">
        <v>1032</v>
      </c>
      <c r="M247" s="690" t="s">
        <v>1033</v>
      </c>
      <c r="N247" s="690" t="s">
        <v>1034</v>
      </c>
    </row>
    <row r="248" spans="1:18" s="685" customFormat="1" ht="15" customHeight="1" outlineLevel="1">
      <c r="A248" s="853" t="s">
        <v>79</v>
      </c>
      <c r="B248" s="666" t="s">
        <v>765</v>
      </c>
      <c r="C248" s="665" t="s">
        <v>80</v>
      </c>
      <c r="D248" s="677" t="s">
        <v>503</v>
      </c>
      <c r="E248" s="676"/>
      <c r="F248" s="676"/>
      <c r="G248" s="669">
        <v>0</v>
      </c>
      <c r="H248" s="669"/>
      <c r="I248" s="668">
        <v>0.13400000000000001</v>
      </c>
      <c r="J248" s="668"/>
      <c r="L248" s="690"/>
      <c r="M248" s="690"/>
      <c r="N248" s="686"/>
      <c r="O248" s="686"/>
      <c r="P248" s="686"/>
      <c r="Q248" s="686"/>
      <c r="R248" s="686"/>
    </row>
    <row r="249" spans="1:18" s="685" customFormat="1" ht="15" customHeight="1" outlineLevel="1">
      <c r="A249" s="853" t="s">
        <v>79</v>
      </c>
      <c r="B249" s="666" t="s">
        <v>765</v>
      </c>
      <c r="C249" s="665" t="s">
        <v>80</v>
      </c>
      <c r="D249" s="677" t="s">
        <v>488</v>
      </c>
      <c r="E249" s="676">
        <v>8.43</v>
      </c>
      <c r="F249" s="676"/>
      <c r="G249" s="669"/>
      <c r="H249" s="669"/>
      <c r="I249" s="669"/>
      <c r="J249" s="668"/>
      <c r="L249" s="690"/>
      <c r="M249" s="690"/>
      <c r="N249" s="686"/>
      <c r="O249" s="686"/>
      <c r="P249" s="686"/>
      <c r="Q249" s="686"/>
      <c r="R249" s="686"/>
    </row>
    <row r="250" spans="1:18" s="685" customFormat="1" ht="15" customHeight="1" outlineLevel="1">
      <c r="A250" s="853" t="s">
        <v>79</v>
      </c>
      <c r="B250" s="666" t="s">
        <v>765</v>
      </c>
      <c r="C250" s="665" t="s">
        <v>80</v>
      </c>
      <c r="D250" s="677" t="s">
        <v>480</v>
      </c>
      <c r="E250" s="676">
        <v>28.01</v>
      </c>
      <c r="F250" s="676"/>
      <c r="G250" s="669"/>
      <c r="H250" s="669"/>
      <c r="I250" s="669"/>
      <c r="J250" s="668"/>
      <c r="L250" s="690"/>
      <c r="M250" s="690"/>
      <c r="N250" s="686"/>
      <c r="O250" s="686"/>
      <c r="P250" s="686"/>
      <c r="Q250" s="686"/>
      <c r="R250" s="686"/>
    </row>
    <row r="251" spans="1:18" s="685" customFormat="1" ht="15" customHeight="1" outlineLevel="1">
      <c r="A251" s="853" t="s">
        <v>79</v>
      </c>
      <c r="B251" s="666" t="s">
        <v>765</v>
      </c>
      <c r="C251" s="665" t="s">
        <v>80</v>
      </c>
      <c r="D251" s="677" t="s">
        <v>482</v>
      </c>
      <c r="E251" s="676">
        <v>27.43</v>
      </c>
      <c r="F251" s="676"/>
      <c r="G251" s="669"/>
      <c r="H251" s="669"/>
      <c r="I251" s="669"/>
      <c r="J251" s="668"/>
      <c r="L251" s="690"/>
      <c r="M251" s="690"/>
      <c r="N251" s="686"/>
      <c r="O251" s="686"/>
      <c r="P251" s="686"/>
      <c r="Q251" s="686"/>
      <c r="R251" s="686"/>
    </row>
    <row r="252" spans="1:18" s="685" customFormat="1" ht="15" customHeight="1" outlineLevel="1">
      <c r="A252" s="853" t="s">
        <v>79</v>
      </c>
      <c r="B252" s="666" t="s">
        <v>765</v>
      </c>
      <c r="C252" s="665" t="s">
        <v>80</v>
      </c>
      <c r="D252" s="677" t="s">
        <v>483</v>
      </c>
      <c r="E252" s="676">
        <v>9.7200000000000006</v>
      </c>
      <c r="F252" s="676"/>
      <c r="G252" s="669"/>
      <c r="H252" s="669"/>
      <c r="I252" s="669"/>
      <c r="J252" s="668"/>
      <c r="L252" s="690"/>
      <c r="M252" s="690"/>
      <c r="N252" s="686"/>
      <c r="O252" s="686"/>
      <c r="P252" s="686"/>
      <c r="Q252" s="686"/>
      <c r="R252" s="686"/>
    </row>
    <row r="253" spans="1:18" s="685" customFormat="1" ht="15" customHeight="1" outlineLevel="1">
      <c r="A253" s="853" t="s">
        <v>79</v>
      </c>
      <c r="B253" s="666" t="s">
        <v>765</v>
      </c>
      <c r="C253" s="665" t="s">
        <v>80</v>
      </c>
      <c r="D253" s="677" t="s">
        <v>484</v>
      </c>
      <c r="E253" s="676">
        <v>5.27</v>
      </c>
      <c r="F253" s="676"/>
      <c r="G253" s="669"/>
      <c r="H253" s="669"/>
      <c r="I253" s="669"/>
      <c r="J253" s="668"/>
      <c r="L253" s="690"/>
      <c r="M253" s="690"/>
      <c r="N253" s="686"/>
      <c r="O253" s="686"/>
      <c r="P253" s="686"/>
      <c r="Q253" s="686"/>
      <c r="R253" s="686"/>
    </row>
    <row r="254" spans="1:18" s="685" customFormat="1" ht="15" customHeight="1" outlineLevel="1">
      <c r="A254" s="853" t="s">
        <v>79</v>
      </c>
      <c r="B254" s="666" t="s">
        <v>765</v>
      </c>
      <c r="C254" s="665" t="s">
        <v>80</v>
      </c>
      <c r="D254" s="677" t="s">
        <v>826</v>
      </c>
      <c r="E254" s="676">
        <v>45.05</v>
      </c>
      <c r="F254" s="676"/>
      <c r="G254" s="669"/>
      <c r="H254" s="669"/>
      <c r="I254" s="669"/>
      <c r="J254" s="668"/>
      <c r="L254" s="690"/>
      <c r="M254" s="690"/>
      <c r="N254" s="686"/>
      <c r="O254" s="686"/>
      <c r="P254" s="686"/>
      <c r="Q254" s="686"/>
      <c r="R254" s="686"/>
    </row>
    <row r="255" spans="1:18" s="685" customFormat="1" ht="15" customHeight="1" outlineLevel="1">
      <c r="A255" s="853" t="s">
        <v>79</v>
      </c>
      <c r="B255" s="666" t="s">
        <v>765</v>
      </c>
      <c r="C255" s="665" t="s">
        <v>80</v>
      </c>
      <c r="D255" s="677" t="s">
        <v>487</v>
      </c>
      <c r="E255" s="676"/>
      <c r="F255" s="676"/>
      <c r="G255" s="669"/>
      <c r="H255" s="669"/>
      <c r="I255" s="669"/>
      <c r="J255" s="667">
        <f>0.76/10</f>
        <v>7.5999999999999998E-2</v>
      </c>
      <c r="L255" s="690"/>
      <c r="M255" s="690"/>
      <c r="N255" s="686"/>
      <c r="O255" s="686"/>
      <c r="P255" s="686"/>
      <c r="Q255" s="686"/>
      <c r="R255" s="686"/>
    </row>
    <row r="256" spans="1:18" ht="15" customHeight="1">
      <c r="A256" s="851" t="s">
        <v>79</v>
      </c>
      <c r="B256" s="660" t="s">
        <v>765</v>
      </c>
      <c r="C256" s="659" t="s">
        <v>825</v>
      </c>
      <c r="D256" s="678"/>
      <c r="E256" s="679">
        <f t="shared" ref="E256:J256" si="30">SUM(E257:E261)</f>
        <v>0.58000000000000007</v>
      </c>
      <c r="F256" s="679">
        <f t="shared" si="30"/>
        <v>0</v>
      </c>
      <c r="G256" s="679">
        <f t="shared" si="30"/>
        <v>0</v>
      </c>
      <c r="H256" s="679">
        <f t="shared" si="30"/>
        <v>0</v>
      </c>
      <c r="I256" s="679">
        <f t="shared" si="30"/>
        <v>0.13400000000000001</v>
      </c>
      <c r="J256" s="679">
        <f t="shared" si="30"/>
        <v>7.5999999999999998E-2</v>
      </c>
      <c r="L256" s="690" t="s">
        <v>1040</v>
      </c>
      <c r="M256" s="690"/>
    </row>
    <row r="257" spans="1:18" s="685" customFormat="1" ht="15" customHeight="1" outlineLevel="1">
      <c r="A257" s="853" t="s">
        <v>79</v>
      </c>
      <c r="B257" s="666" t="s">
        <v>765</v>
      </c>
      <c r="C257" s="665" t="s">
        <v>825</v>
      </c>
      <c r="D257" s="677" t="s">
        <v>477</v>
      </c>
      <c r="E257" s="676"/>
      <c r="F257" s="676"/>
      <c r="G257" s="669">
        <v>0</v>
      </c>
      <c r="H257" s="669"/>
      <c r="I257" s="668">
        <v>0.13400000000000001</v>
      </c>
      <c r="J257" s="668"/>
      <c r="L257" s="690"/>
      <c r="M257" s="690"/>
      <c r="N257" s="686"/>
      <c r="O257" s="686"/>
      <c r="P257" s="686"/>
      <c r="Q257" s="686"/>
      <c r="R257" s="686"/>
    </row>
    <row r="258" spans="1:18" s="685" customFormat="1" ht="15" customHeight="1" outlineLevel="1">
      <c r="A258" s="853" t="s">
        <v>79</v>
      </c>
      <c r="B258" s="666" t="s">
        <v>765</v>
      </c>
      <c r="C258" s="665" t="s">
        <v>825</v>
      </c>
      <c r="D258" s="677" t="s">
        <v>496</v>
      </c>
      <c r="E258" s="676">
        <v>0.01</v>
      </c>
      <c r="F258" s="676"/>
      <c r="G258" s="669"/>
      <c r="H258" s="669"/>
      <c r="I258" s="669"/>
      <c r="J258" s="668"/>
      <c r="L258" s="690"/>
      <c r="M258" s="690"/>
      <c r="N258" s="686"/>
      <c r="O258" s="686"/>
      <c r="P258" s="686"/>
      <c r="Q258" s="686"/>
      <c r="R258" s="686"/>
    </row>
    <row r="259" spans="1:18" s="685" customFormat="1" ht="15" customHeight="1" outlineLevel="1">
      <c r="A259" s="853" t="s">
        <v>79</v>
      </c>
      <c r="B259" s="666" t="s">
        <v>765</v>
      </c>
      <c r="C259" s="665" t="s">
        <v>825</v>
      </c>
      <c r="D259" s="677" t="s">
        <v>490</v>
      </c>
      <c r="E259" s="676">
        <v>0.2</v>
      </c>
      <c r="F259" s="676"/>
      <c r="G259" s="669"/>
      <c r="H259" s="669"/>
      <c r="I259" s="669"/>
      <c r="J259" s="668"/>
      <c r="L259" s="690"/>
      <c r="M259" s="690"/>
      <c r="N259" s="686"/>
      <c r="O259" s="686"/>
      <c r="P259" s="686"/>
      <c r="Q259" s="686"/>
      <c r="R259" s="686"/>
    </row>
    <row r="260" spans="1:18" s="685" customFormat="1" ht="15" customHeight="1" outlineLevel="1">
      <c r="A260" s="853" t="s">
        <v>79</v>
      </c>
      <c r="B260" s="666" t="s">
        <v>765</v>
      </c>
      <c r="C260" s="665" t="s">
        <v>825</v>
      </c>
      <c r="D260" s="677" t="s">
        <v>492</v>
      </c>
      <c r="E260" s="676">
        <v>0.37</v>
      </c>
      <c r="F260" s="676"/>
      <c r="G260" s="669"/>
      <c r="H260" s="669"/>
      <c r="I260" s="669"/>
      <c r="J260" s="668"/>
      <c r="L260" s="690"/>
      <c r="M260" s="690"/>
      <c r="N260" s="686"/>
      <c r="O260" s="686"/>
      <c r="P260" s="686"/>
      <c r="Q260" s="686"/>
      <c r="R260" s="686"/>
    </row>
    <row r="261" spans="1:18" s="685" customFormat="1" ht="15" customHeight="1" outlineLevel="1">
      <c r="A261" s="853" t="s">
        <v>79</v>
      </c>
      <c r="B261" s="666" t="s">
        <v>765</v>
      </c>
      <c r="C261" s="665" t="s">
        <v>825</v>
      </c>
      <c r="D261" s="677" t="s">
        <v>487</v>
      </c>
      <c r="E261" s="676"/>
      <c r="F261" s="676"/>
      <c r="G261" s="669"/>
      <c r="H261" s="669"/>
      <c r="I261" s="669"/>
      <c r="J261" s="667">
        <f>0.76/10</f>
        <v>7.5999999999999998E-2</v>
      </c>
      <c r="L261" s="690"/>
      <c r="M261" s="690"/>
      <c r="N261" s="686"/>
      <c r="O261" s="686"/>
      <c r="P261" s="686"/>
      <c r="Q261" s="686"/>
      <c r="R261" s="686"/>
    </row>
    <row r="262" spans="1:18" s="685" customFormat="1" ht="15" customHeight="1">
      <c r="A262" s="851" t="s">
        <v>79</v>
      </c>
      <c r="B262" s="660" t="s">
        <v>765</v>
      </c>
      <c r="C262" s="659" t="s">
        <v>504</v>
      </c>
      <c r="D262" s="678"/>
      <c r="E262" s="679">
        <f t="shared" ref="E262:J262" si="31">SUM(E263:E269)</f>
        <v>0.58000000000000007</v>
      </c>
      <c r="F262" s="679">
        <f t="shared" si="31"/>
        <v>0</v>
      </c>
      <c r="G262" s="679">
        <f t="shared" si="31"/>
        <v>0</v>
      </c>
      <c r="H262" s="679">
        <f t="shared" si="31"/>
        <v>0</v>
      </c>
      <c r="I262" s="679">
        <f t="shared" si="31"/>
        <v>0.13400000000000001</v>
      </c>
      <c r="J262" s="679">
        <f t="shared" si="31"/>
        <v>7.5999999999999998E-2</v>
      </c>
      <c r="L262" s="690" t="s">
        <v>1039</v>
      </c>
      <c r="M262" s="690"/>
      <c r="N262" s="686"/>
      <c r="O262" s="686"/>
      <c r="P262" s="686"/>
      <c r="Q262" s="686"/>
      <c r="R262" s="686"/>
    </row>
    <row r="263" spans="1:18" s="685" customFormat="1" ht="15" customHeight="1" outlineLevel="1">
      <c r="A263" s="853" t="s">
        <v>79</v>
      </c>
      <c r="B263" s="666" t="s">
        <v>765</v>
      </c>
      <c r="C263" s="665" t="s">
        <v>504</v>
      </c>
      <c r="D263" s="677" t="s">
        <v>477</v>
      </c>
      <c r="E263" s="676"/>
      <c r="F263" s="676"/>
      <c r="G263" s="669">
        <v>0</v>
      </c>
      <c r="H263" s="669"/>
      <c r="I263" s="668">
        <v>0.13400000000000001</v>
      </c>
      <c r="J263" s="668"/>
      <c r="L263" s="690"/>
      <c r="M263" s="690"/>
      <c r="N263" s="686"/>
      <c r="O263" s="686"/>
      <c r="P263" s="686"/>
      <c r="Q263" s="686"/>
      <c r="R263" s="686"/>
    </row>
    <row r="264" spans="1:18" s="685" customFormat="1" ht="15" customHeight="1" outlineLevel="1">
      <c r="A264" s="853" t="s">
        <v>79</v>
      </c>
      <c r="B264" s="666" t="s">
        <v>765</v>
      </c>
      <c r="C264" s="665" t="s">
        <v>504</v>
      </c>
      <c r="D264" s="677" t="s">
        <v>496</v>
      </c>
      <c r="E264" s="676">
        <v>0.01</v>
      </c>
      <c r="F264" s="676"/>
      <c r="G264" s="669"/>
      <c r="H264" s="669"/>
      <c r="I264" s="669"/>
      <c r="J264" s="668"/>
      <c r="K264" s="687">
        <f>SUM(K265:K266)</f>
        <v>0</v>
      </c>
      <c r="L264" s="690"/>
      <c r="M264" s="690"/>
      <c r="N264" s="686"/>
      <c r="O264" s="686"/>
      <c r="P264" s="686"/>
      <c r="Q264" s="686"/>
      <c r="R264" s="686"/>
    </row>
    <row r="265" spans="1:18" s="685" customFormat="1" ht="15" customHeight="1" outlineLevel="1">
      <c r="A265" s="853" t="s">
        <v>79</v>
      </c>
      <c r="B265" s="666" t="s">
        <v>765</v>
      </c>
      <c r="C265" s="665" t="s">
        <v>504</v>
      </c>
      <c r="D265" s="677" t="s">
        <v>490</v>
      </c>
      <c r="E265" s="676">
        <v>0.2</v>
      </c>
      <c r="F265" s="676"/>
      <c r="G265" s="669"/>
      <c r="H265" s="669"/>
      <c r="I265" s="669"/>
      <c r="J265" s="668"/>
      <c r="L265" s="690"/>
      <c r="M265" s="690"/>
      <c r="N265" s="686"/>
      <c r="O265" s="686"/>
      <c r="P265" s="686"/>
      <c r="Q265" s="686"/>
      <c r="R265" s="686"/>
    </row>
    <row r="266" spans="1:18" s="685" customFormat="1" ht="15" customHeight="1" outlineLevel="1">
      <c r="A266" s="853" t="s">
        <v>79</v>
      </c>
      <c r="B266" s="666" t="s">
        <v>765</v>
      </c>
      <c r="C266" s="665" t="s">
        <v>504</v>
      </c>
      <c r="D266" s="677" t="s">
        <v>492</v>
      </c>
      <c r="E266" s="676">
        <v>0.37</v>
      </c>
      <c r="F266" s="676"/>
      <c r="G266" s="669"/>
      <c r="H266" s="669"/>
      <c r="I266" s="669"/>
      <c r="J266" s="668"/>
      <c r="L266" s="690"/>
      <c r="M266" s="690"/>
      <c r="N266" s="686"/>
      <c r="O266" s="686"/>
      <c r="P266" s="686"/>
      <c r="Q266" s="686"/>
      <c r="R266" s="686"/>
    </row>
    <row r="267" spans="1:18" s="685" customFormat="1" ht="15" customHeight="1" outlineLevel="1">
      <c r="A267" s="853" t="s">
        <v>79</v>
      </c>
      <c r="B267" s="666" t="s">
        <v>765</v>
      </c>
      <c r="C267" s="665" t="s">
        <v>504</v>
      </c>
      <c r="D267" s="677" t="s">
        <v>491</v>
      </c>
      <c r="E267" s="676"/>
      <c r="F267" s="676"/>
      <c r="G267" s="669"/>
      <c r="H267" s="669"/>
      <c r="I267" s="669"/>
      <c r="J267" s="668"/>
      <c r="L267" s="690"/>
      <c r="M267" s="690"/>
      <c r="N267" s="686"/>
      <c r="O267" s="686"/>
      <c r="P267" s="686"/>
      <c r="Q267" s="686"/>
      <c r="R267" s="686"/>
    </row>
    <row r="268" spans="1:18" s="685" customFormat="1" ht="15" customHeight="1" outlineLevel="1" collapsed="1">
      <c r="A268" s="853" t="s">
        <v>79</v>
      </c>
      <c r="B268" s="666" t="s">
        <v>765</v>
      </c>
      <c r="C268" s="665" t="s">
        <v>504</v>
      </c>
      <c r="D268" s="677" t="s">
        <v>485</v>
      </c>
      <c r="E268" s="676"/>
      <c r="F268" s="676"/>
      <c r="G268" s="669"/>
      <c r="H268" s="669"/>
      <c r="I268" s="669"/>
      <c r="J268" s="668"/>
      <c r="L268" s="690"/>
      <c r="M268" s="690"/>
      <c r="N268" s="686"/>
      <c r="O268" s="686"/>
      <c r="P268" s="686"/>
      <c r="Q268" s="686"/>
      <c r="R268" s="686"/>
    </row>
    <row r="269" spans="1:18" s="685" customFormat="1" ht="15" customHeight="1" outlineLevel="1">
      <c r="A269" s="853" t="s">
        <v>79</v>
      </c>
      <c r="B269" s="666" t="s">
        <v>765</v>
      </c>
      <c r="C269" s="665" t="s">
        <v>504</v>
      </c>
      <c r="D269" s="677" t="s">
        <v>487</v>
      </c>
      <c r="E269" s="676"/>
      <c r="F269" s="676"/>
      <c r="G269" s="669"/>
      <c r="H269" s="669"/>
      <c r="I269" s="669"/>
      <c r="J269" s="667">
        <f>0.76/10</f>
        <v>7.5999999999999998E-2</v>
      </c>
      <c r="L269" s="690"/>
      <c r="M269" s="690"/>
      <c r="N269" s="686"/>
      <c r="O269" s="686"/>
      <c r="P269" s="686"/>
      <c r="Q269" s="686"/>
      <c r="R269" s="686"/>
    </row>
    <row r="270" spans="1:18" s="685" customFormat="1" ht="15" customHeight="1">
      <c r="A270" s="851" t="s">
        <v>79</v>
      </c>
      <c r="B270" s="660" t="s">
        <v>765</v>
      </c>
      <c r="C270" s="659" t="s">
        <v>827</v>
      </c>
      <c r="D270" s="678"/>
      <c r="E270" s="679">
        <f t="shared" ref="E270:J270" si="32">SUM(E271:E275)</f>
        <v>0.58000000000000007</v>
      </c>
      <c r="F270" s="679">
        <f t="shared" si="32"/>
        <v>0</v>
      </c>
      <c r="G270" s="679">
        <f t="shared" si="32"/>
        <v>0</v>
      </c>
      <c r="H270" s="679">
        <f t="shared" si="32"/>
        <v>0</v>
      </c>
      <c r="I270" s="679">
        <f t="shared" si="32"/>
        <v>0.13400000000000001</v>
      </c>
      <c r="J270" s="679">
        <f t="shared" si="32"/>
        <v>7.5999999999999998E-2</v>
      </c>
      <c r="L270" s="690" t="s">
        <v>1041</v>
      </c>
      <c r="M270" s="690"/>
      <c r="N270" s="686"/>
      <c r="O270" s="686"/>
      <c r="P270" s="686"/>
      <c r="Q270" s="686"/>
      <c r="R270" s="686"/>
    </row>
    <row r="271" spans="1:18" s="685" customFormat="1" ht="15" customHeight="1" outlineLevel="1">
      <c r="A271" s="853" t="s">
        <v>79</v>
      </c>
      <c r="B271" s="666" t="s">
        <v>765</v>
      </c>
      <c r="C271" s="665" t="s">
        <v>827</v>
      </c>
      <c r="D271" s="677" t="s">
        <v>477</v>
      </c>
      <c r="E271" s="676"/>
      <c r="F271" s="676"/>
      <c r="G271" s="669">
        <v>0</v>
      </c>
      <c r="H271" s="669"/>
      <c r="I271" s="668">
        <v>0.13400000000000001</v>
      </c>
      <c r="J271" s="668"/>
      <c r="K271" s="687">
        <f>SUM(K272:K272)</f>
        <v>0</v>
      </c>
      <c r="L271" s="690"/>
      <c r="M271" s="690"/>
      <c r="N271" s="686"/>
      <c r="O271" s="686"/>
      <c r="P271" s="686"/>
      <c r="Q271" s="686"/>
      <c r="R271" s="686"/>
    </row>
    <row r="272" spans="1:18" s="685" customFormat="1" ht="15" customHeight="1" outlineLevel="1">
      <c r="A272" s="853" t="s">
        <v>79</v>
      </c>
      <c r="B272" s="666" t="s">
        <v>765</v>
      </c>
      <c r="C272" s="665" t="s">
        <v>827</v>
      </c>
      <c r="D272" s="677" t="s">
        <v>496</v>
      </c>
      <c r="E272" s="676">
        <v>0.01</v>
      </c>
      <c r="F272" s="676"/>
      <c r="G272" s="669"/>
      <c r="H272" s="669"/>
      <c r="I272" s="669"/>
      <c r="J272" s="668"/>
      <c r="L272" s="690"/>
      <c r="M272" s="690"/>
      <c r="N272" s="686"/>
      <c r="O272" s="686"/>
      <c r="P272" s="686"/>
      <c r="Q272" s="686"/>
      <c r="R272" s="686"/>
    </row>
    <row r="273" spans="1:18" s="685" customFormat="1" ht="15" customHeight="1" outlineLevel="1">
      <c r="A273" s="853" t="s">
        <v>79</v>
      </c>
      <c r="B273" s="666" t="s">
        <v>765</v>
      </c>
      <c r="C273" s="665" t="s">
        <v>827</v>
      </c>
      <c r="D273" s="677" t="s">
        <v>490</v>
      </c>
      <c r="E273" s="676">
        <v>0.2</v>
      </c>
      <c r="F273" s="676"/>
      <c r="G273" s="669"/>
      <c r="H273" s="669"/>
      <c r="I273" s="669"/>
      <c r="J273" s="668"/>
      <c r="K273" s="687"/>
      <c r="L273" s="690"/>
      <c r="M273" s="690"/>
      <c r="N273" s="686"/>
      <c r="O273" s="686"/>
      <c r="P273" s="686"/>
      <c r="Q273" s="686"/>
      <c r="R273" s="686"/>
    </row>
    <row r="274" spans="1:18" s="685" customFormat="1" ht="15" customHeight="1" outlineLevel="1">
      <c r="A274" s="853" t="s">
        <v>79</v>
      </c>
      <c r="B274" s="666" t="s">
        <v>765</v>
      </c>
      <c r="C274" s="665" t="s">
        <v>827</v>
      </c>
      <c r="D274" s="677" t="s">
        <v>492</v>
      </c>
      <c r="E274" s="676">
        <v>0.37</v>
      </c>
      <c r="F274" s="676"/>
      <c r="G274" s="669"/>
      <c r="H274" s="669"/>
      <c r="I274" s="669"/>
      <c r="J274" s="668"/>
      <c r="L274" s="690"/>
      <c r="M274" s="690"/>
      <c r="N274" s="686"/>
      <c r="O274" s="686"/>
      <c r="P274" s="686"/>
      <c r="Q274" s="686"/>
      <c r="R274" s="686"/>
    </row>
    <row r="275" spans="1:18" s="685" customFormat="1" ht="15" customHeight="1" outlineLevel="1">
      <c r="A275" s="853" t="s">
        <v>79</v>
      </c>
      <c r="B275" s="666" t="s">
        <v>765</v>
      </c>
      <c r="C275" s="665" t="s">
        <v>827</v>
      </c>
      <c r="D275" s="677" t="s">
        <v>487</v>
      </c>
      <c r="E275" s="676"/>
      <c r="F275" s="676"/>
      <c r="G275" s="669"/>
      <c r="H275" s="669"/>
      <c r="I275" s="669"/>
      <c r="J275" s="667">
        <f>0.76/10</f>
        <v>7.5999999999999998E-2</v>
      </c>
      <c r="L275" s="690"/>
      <c r="M275" s="690"/>
      <c r="N275" s="686"/>
      <c r="O275" s="686"/>
      <c r="P275" s="686"/>
      <c r="Q275" s="686"/>
      <c r="R275" s="686"/>
    </row>
    <row r="276" spans="1:18" ht="15" customHeight="1">
      <c r="A276" s="851" t="s">
        <v>79</v>
      </c>
      <c r="B276" s="660" t="s">
        <v>765</v>
      </c>
      <c r="C276" s="659" t="s">
        <v>733</v>
      </c>
      <c r="D276" s="678"/>
      <c r="E276" s="679">
        <f t="shared" ref="E276:J276" si="33">SUM(E277:E281)</f>
        <v>0.58000000000000007</v>
      </c>
      <c r="F276" s="679">
        <f t="shared" si="33"/>
        <v>0</v>
      </c>
      <c r="G276" s="679">
        <f t="shared" si="33"/>
        <v>0</v>
      </c>
      <c r="H276" s="679">
        <f t="shared" si="33"/>
        <v>0</v>
      </c>
      <c r="I276" s="679">
        <f t="shared" si="33"/>
        <v>0.13400000000000001</v>
      </c>
      <c r="J276" s="679">
        <f t="shared" si="33"/>
        <v>7.5999999999999998E-2</v>
      </c>
      <c r="L276" s="690" t="s">
        <v>1043</v>
      </c>
    </row>
    <row r="277" spans="1:18" s="685" customFormat="1" ht="15" customHeight="1" outlineLevel="1" collapsed="1">
      <c r="A277" s="853" t="s">
        <v>79</v>
      </c>
      <c r="B277" s="666" t="s">
        <v>765</v>
      </c>
      <c r="C277" s="665" t="s">
        <v>501</v>
      </c>
      <c r="D277" s="677" t="s">
        <v>477</v>
      </c>
      <c r="E277" s="676"/>
      <c r="F277" s="676"/>
      <c r="G277" s="669">
        <v>0</v>
      </c>
      <c r="H277" s="669"/>
      <c r="I277" s="668">
        <v>0.13400000000000001</v>
      </c>
      <c r="J277" s="668"/>
      <c r="L277" s="690"/>
      <c r="M277" s="690"/>
      <c r="N277" s="686"/>
      <c r="O277" s="686"/>
      <c r="P277" s="686"/>
      <c r="Q277" s="686"/>
      <c r="R277" s="686"/>
    </row>
    <row r="278" spans="1:18" s="685" customFormat="1" ht="15" customHeight="1" outlineLevel="1">
      <c r="A278" s="853" t="s">
        <v>79</v>
      </c>
      <c r="B278" s="666" t="s">
        <v>765</v>
      </c>
      <c r="C278" s="665" t="s">
        <v>501</v>
      </c>
      <c r="D278" s="677" t="s">
        <v>496</v>
      </c>
      <c r="E278" s="839">
        <v>0.01</v>
      </c>
      <c r="F278" s="839"/>
      <c r="G278" s="669"/>
      <c r="H278" s="669"/>
      <c r="I278" s="669"/>
      <c r="J278" s="668"/>
      <c r="L278" s="690"/>
      <c r="M278" s="690"/>
      <c r="N278" s="686"/>
      <c r="O278" s="686"/>
      <c r="P278" s="686"/>
      <c r="Q278" s="686"/>
      <c r="R278" s="686"/>
    </row>
    <row r="279" spans="1:18" s="685" customFormat="1" ht="15" customHeight="1" outlineLevel="1">
      <c r="A279" s="853" t="s">
        <v>79</v>
      </c>
      <c r="B279" s="666" t="s">
        <v>765</v>
      </c>
      <c r="C279" s="665" t="s">
        <v>501</v>
      </c>
      <c r="D279" s="677" t="s">
        <v>492</v>
      </c>
      <c r="E279" s="839">
        <v>0.37</v>
      </c>
      <c r="F279" s="839"/>
      <c r="G279" s="669"/>
      <c r="H279" s="669"/>
      <c r="I279" s="669"/>
      <c r="J279" s="668"/>
      <c r="L279" s="690"/>
      <c r="M279" s="690"/>
      <c r="N279" s="686"/>
      <c r="O279" s="686"/>
      <c r="P279" s="686"/>
      <c r="Q279" s="686"/>
      <c r="R279" s="686"/>
    </row>
    <row r="280" spans="1:18" s="685" customFormat="1" ht="15" customHeight="1" outlineLevel="1">
      <c r="A280" s="853" t="s">
        <v>79</v>
      </c>
      <c r="B280" s="666" t="s">
        <v>765</v>
      </c>
      <c r="C280" s="665" t="s">
        <v>501</v>
      </c>
      <c r="D280" s="677" t="s">
        <v>490</v>
      </c>
      <c r="E280" s="839">
        <v>0.2</v>
      </c>
      <c r="F280" s="839"/>
      <c r="G280" s="669"/>
      <c r="H280" s="669"/>
      <c r="I280" s="669"/>
      <c r="J280" s="668"/>
      <c r="L280" s="690"/>
      <c r="M280" s="690"/>
      <c r="N280" s="686"/>
      <c r="O280" s="686"/>
      <c r="P280" s="686"/>
      <c r="Q280" s="686"/>
      <c r="R280" s="686"/>
    </row>
    <row r="281" spans="1:18" s="685" customFormat="1" ht="15" customHeight="1" outlineLevel="1">
      <c r="A281" s="853" t="s">
        <v>79</v>
      </c>
      <c r="B281" s="666" t="s">
        <v>765</v>
      </c>
      <c r="C281" s="665" t="s">
        <v>501</v>
      </c>
      <c r="D281" s="677" t="s">
        <v>502</v>
      </c>
      <c r="E281" s="676"/>
      <c r="F281" s="676"/>
      <c r="G281" s="669"/>
      <c r="H281" s="676">
        <v>0</v>
      </c>
      <c r="I281" s="669"/>
      <c r="J281" s="667">
        <f>0.76/10</f>
        <v>7.5999999999999998E-2</v>
      </c>
      <c r="L281" s="690"/>
      <c r="M281" s="690"/>
      <c r="N281" s="686"/>
      <c r="O281" s="686"/>
      <c r="P281" s="686"/>
      <c r="Q281" s="686"/>
      <c r="R281" s="686"/>
    </row>
    <row r="282" spans="1:18" s="685" customFormat="1" ht="15" customHeight="1">
      <c r="A282" s="851" t="s">
        <v>79</v>
      </c>
      <c r="B282" s="660" t="s">
        <v>765</v>
      </c>
      <c r="C282" s="659" t="s">
        <v>823</v>
      </c>
      <c r="D282" s="678"/>
      <c r="E282" s="679">
        <f t="shared" ref="E282:J282" si="34">SUM(E283:E287)</f>
        <v>0.58000000000000007</v>
      </c>
      <c r="F282" s="679">
        <f t="shared" si="34"/>
        <v>0</v>
      </c>
      <c r="G282" s="679">
        <f t="shared" si="34"/>
        <v>0</v>
      </c>
      <c r="H282" s="679">
        <f t="shared" si="34"/>
        <v>0</v>
      </c>
      <c r="I282" s="679">
        <f t="shared" si="34"/>
        <v>0.13400000000000001</v>
      </c>
      <c r="J282" s="679">
        <f t="shared" si="34"/>
        <v>7.5999999999999998E-2</v>
      </c>
      <c r="L282" s="690" t="s">
        <v>1042</v>
      </c>
      <c r="M282" s="690"/>
      <c r="N282" s="686"/>
      <c r="O282" s="686"/>
      <c r="P282" s="686"/>
      <c r="Q282" s="686"/>
      <c r="R282" s="686"/>
    </row>
    <row r="283" spans="1:18" s="685" customFormat="1" ht="15" customHeight="1" outlineLevel="1">
      <c r="A283" s="853" t="s">
        <v>79</v>
      </c>
      <c r="B283" s="666" t="s">
        <v>765</v>
      </c>
      <c r="C283" s="665" t="s">
        <v>823</v>
      </c>
      <c r="D283" s="677" t="s">
        <v>477</v>
      </c>
      <c r="E283" s="676"/>
      <c r="F283" s="676"/>
      <c r="G283" s="669">
        <v>0</v>
      </c>
      <c r="H283" s="669"/>
      <c r="I283" s="668">
        <v>0.13400000000000001</v>
      </c>
      <c r="J283" s="668"/>
      <c r="L283" s="690"/>
      <c r="M283" s="690"/>
      <c r="N283" s="686"/>
      <c r="O283" s="686"/>
      <c r="P283" s="686"/>
      <c r="Q283" s="686"/>
      <c r="R283" s="686"/>
    </row>
    <row r="284" spans="1:18" s="685" customFormat="1" ht="15" customHeight="1" outlineLevel="1">
      <c r="A284" s="853" t="s">
        <v>79</v>
      </c>
      <c r="B284" s="666" t="s">
        <v>765</v>
      </c>
      <c r="C284" s="665" t="s">
        <v>823</v>
      </c>
      <c r="D284" s="840" t="s">
        <v>496</v>
      </c>
      <c r="E284" s="839">
        <v>0.01</v>
      </c>
      <c r="F284" s="839"/>
      <c r="G284" s="669"/>
      <c r="H284" s="669"/>
      <c r="I284" s="669"/>
      <c r="J284" s="668"/>
      <c r="L284" s="690"/>
      <c r="M284" s="690"/>
      <c r="N284" s="686"/>
      <c r="O284" s="686"/>
      <c r="P284" s="686"/>
      <c r="Q284" s="686"/>
      <c r="R284" s="686"/>
    </row>
    <row r="285" spans="1:18" s="685" customFormat="1" ht="15" customHeight="1" outlineLevel="1">
      <c r="A285" s="853" t="s">
        <v>79</v>
      </c>
      <c r="B285" s="666" t="s">
        <v>765</v>
      </c>
      <c r="C285" s="665" t="s">
        <v>823</v>
      </c>
      <c r="D285" s="840" t="s">
        <v>482</v>
      </c>
      <c r="E285" s="839">
        <v>0.37</v>
      </c>
      <c r="F285" s="839"/>
      <c r="G285" s="669"/>
      <c r="H285" s="669"/>
      <c r="I285" s="669"/>
      <c r="J285" s="668"/>
      <c r="L285" s="690"/>
      <c r="M285" s="690"/>
      <c r="N285" s="686"/>
      <c r="O285" s="686"/>
      <c r="P285" s="686"/>
      <c r="Q285" s="686"/>
      <c r="R285" s="686"/>
    </row>
    <row r="286" spans="1:18" s="685" customFormat="1" ht="15" customHeight="1" outlineLevel="1">
      <c r="A286" s="853" t="s">
        <v>79</v>
      </c>
      <c r="B286" s="666" t="s">
        <v>765</v>
      </c>
      <c r="C286" s="665" t="s">
        <v>823</v>
      </c>
      <c r="D286" s="840" t="s">
        <v>490</v>
      </c>
      <c r="E286" s="839">
        <v>0.2</v>
      </c>
      <c r="F286" s="839"/>
      <c r="G286" s="669"/>
      <c r="H286" s="669"/>
      <c r="I286" s="669"/>
      <c r="J286" s="668"/>
      <c r="L286" s="690"/>
      <c r="M286" s="690"/>
      <c r="N286" s="686"/>
      <c r="O286" s="686"/>
      <c r="P286" s="686"/>
      <c r="Q286" s="686"/>
      <c r="R286" s="686"/>
    </row>
    <row r="287" spans="1:18" s="685" customFormat="1" ht="15" customHeight="1" outlineLevel="1">
      <c r="A287" s="853" t="s">
        <v>79</v>
      </c>
      <c r="B287" s="666" t="s">
        <v>765</v>
      </c>
      <c r="C287" s="665" t="s">
        <v>823</v>
      </c>
      <c r="D287" s="677" t="s">
        <v>502</v>
      </c>
      <c r="E287" s="676"/>
      <c r="F287" s="676"/>
      <c r="G287" s="669"/>
      <c r="H287" s="676">
        <v>0</v>
      </c>
      <c r="I287" s="669"/>
      <c r="J287" s="667">
        <f>0.76/10</f>
        <v>7.5999999999999998E-2</v>
      </c>
      <c r="L287" s="690"/>
      <c r="M287" s="690"/>
      <c r="N287" s="686"/>
      <c r="O287" s="686"/>
      <c r="P287" s="686"/>
      <c r="Q287" s="686"/>
      <c r="R287" s="686"/>
    </row>
    <row r="288" spans="1:18" s="685" customFormat="1" ht="15" customHeight="1">
      <c r="A288" s="851" t="s">
        <v>79</v>
      </c>
      <c r="B288" s="660" t="s">
        <v>765</v>
      </c>
      <c r="C288" s="802" t="s">
        <v>928</v>
      </c>
      <c r="D288" s="678"/>
      <c r="E288" s="679">
        <f t="shared" ref="E288:J288" si="35">SUM(E289:E296)</f>
        <v>16.02</v>
      </c>
      <c r="F288" s="679">
        <f t="shared" si="35"/>
        <v>0</v>
      </c>
      <c r="G288" s="679">
        <f t="shared" si="35"/>
        <v>0</v>
      </c>
      <c r="H288" s="679">
        <f t="shared" si="35"/>
        <v>0</v>
      </c>
      <c r="I288" s="679">
        <f t="shared" si="35"/>
        <v>0.13400000000000001</v>
      </c>
      <c r="J288" s="679">
        <f t="shared" si="35"/>
        <v>7.5999999999999998E-2</v>
      </c>
      <c r="L288" s="690" t="s">
        <v>1044</v>
      </c>
      <c r="M288" s="936" t="s">
        <v>1045</v>
      </c>
      <c r="N288" s="936" t="s">
        <v>1046</v>
      </c>
      <c r="O288" s="686"/>
      <c r="P288" s="686"/>
      <c r="Q288" s="686"/>
      <c r="R288" s="686"/>
    </row>
    <row r="289" spans="1:18" s="685" customFormat="1" ht="15" customHeight="1" outlineLevel="1">
      <c r="A289" s="853" t="s">
        <v>79</v>
      </c>
      <c r="B289" s="666" t="s">
        <v>765</v>
      </c>
      <c r="C289" s="665" t="s">
        <v>928</v>
      </c>
      <c r="D289" s="677" t="s">
        <v>477</v>
      </c>
      <c r="E289" s="676"/>
      <c r="F289" s="676"/>
      <c r="G289" s="669">
        <v>0</v>
      </c>
      <c r="H289" s="676"/>
      <c r="I289" s="668">
        <v>0.13400000000000001</v>
      </c>
      <c r="J289" s="667"/>
      <c r="L289" s="688"/>
      <c r="M289" s="686"/>
      <c r="N289" s="686"/>
      <c r="O289" s="686"/>
      <c r="P289" s="686"/>
      <c r="Q289" s="686"/>
      <c r="R289" s="686"/>
    </row>
    <row r="290" spans="1:18" s="685" customFormat="1" ht="15" customHeight="1" outlineLevel="1">
      <c r="A290" s="853" t="s">
        <v>79</v>
      </c>
      <c r="B290" s="666" t="s">
        <v>765</v>
      </c>
      <c r="C290" s="665" t="s">
        <v>928</v>
      </c>
      <c r="D290" s="677" t="s">
        <v>480</v>
      </c>
      <c r="E290" s="676">
        <v>4.87</v>
      </c>
      <c r="F290" s="676"/>
      <c r="G290" s="669"/>
      <c r="H290" s="676"/>
      <c r="I290" s="669"/>
      <c r="J290" s="667"/>
      <c r="L290" s="686"/>
      <c r="M290" s="686"/>
      <c r="N290" s="686"/>
      <c r="O290" s="686"/>
      <c r="P290" s="686"/>
      <c r="Q290" s="686"/>
      <c r="R290" s="686"/>
    </row>
    <row r="291" spans="1:18" s="685" customFormat="1" ht="15" customHeight="1" outlineLevel="1">
      <c r="A291" s="853" t="s">
        <v>79</v>
      </c>
      <c r="B291" s="666" t="s">
        <v>765</v>
      </c>
      <c r="C291" s="665" t="s">
        <v>928</v>
      </c>
      <c r="D291" s="677" t="s">
        <v>484</v>
      </c>
      <c r="E291" s="676">
        <v>0.92</v>
      </c>
      <c r="F291" s="676"/>
      <c r="G291" s="669"/>
      <c r="H291" s="676"/>
      <c r="I291" s="669"/>
      <c r="J291" s="667"/>
      <c r="L291" s="686"/>
      <c r="M291" s="686"/>
      <c r="N291" s="686"/>
      <c r="O291" s="686"/>
      <c r="P291" s="686"/>
      <c r="Q291" s="686"/>
      <c r="R291" s="686"/>
    </row>
    <row r="292" spans="1:18" s="685" customFormat="1" ht="15" customHeight="1" outlineLevel="1">
      <c r="A292" s="853" t="s">
        <v>79</v>
      </c>
      <c r="B292" s="666" t="s">
        <v>765</v>
      </c>
      <c r="C292" s="665" t="s">
        <v>928</v>
      </c>
      <c r="D292" s="677" t="s">
        <v>505</v>
      </c>
      <c r="E292" s="676">
        <v>0.11</v>
      </c>
      <c r="F292" s="676"/>
      <c r="G292" s="669"/>
      <c r="H292" s="676"/>
      <c r="I292" s="669"/>
      <c r="J292" s="667"/>
      <c r="L292" s="686"/>
      <c r="M292" s="686"/>
      <c r="N292" s="686"/>
      <c r="O292" s="686"/>
      <c r="P292" s="686"/>
      <c r="Q292" s="686"/>
      <c r="R292" s="686"/>
    </row>
    <row r="293" spans="1:18" s="685" customFormat="1" ht="15" customHeight="1" outlineLevel="1">
      <c r="A293" s="853" t="s">
        <v>79</v>
      </c>
      <c r="B293" s="666" t="s">
        <v>765</v>
      </c>
      <c r="C293" s="665" t="s">
        <v>928</v>
      </c>
      <c r="D293" s="677" t="s">
        <v>506</v>
      </c>
      <c r="E293" s="676">
        <v>3.91</v>
      </c>
      <c r="F293" s="676"/>
      <c r="G293" s="669"/>
      <c r="H293" s="676"/>
      <c r="I293" s="669"/>
      <c r="J293" s="667"/>
      <c r="L293" s="688"/>
      <c r="M293" s="688"/>
      <c r="N293" s="686"/>
      <c r="O293" s="686"/>
      <c r="P293" s="686"/>
      <c r="Q293" s="686"/>
      <c r="R293" s="686"/>
    </row>
    <row r="294" spans="1:18" s="685" customFormat="1" ht="15" customHeight="1" outlineLevel="1">
      <c r="A294" s="853" t="s">
        <v>79</v>
      </c>
      <c r="B294" s="666" t="s">
        <v>765</v>
      </c>
      <c r="C294" s="665" t="s">
        <v>928</v>
      </c>
      <c r="D294" s="677" t="s">
        <v>492</v>
      </c>
      <c r="E294" s="676">
        <v>4.05</v>
      </c>
      <c r="F294" s="676"/>
      <c r="G294" s="669"/>
      <c r="H294" s="676"/>
      <c r="I294" s="669"/>
      <c r="J294" s="667"/>
      <c r="L294" s="688"/>
      <c r="M294" s="688"/>
      <c r="N294" s="686"/>
      <c r="O294" s="686"/>
      <c r="P294" s="686"/>
      <c r="Q294" s="686"/>
      <c r="R294" s="686"/>
    </row>
    <row r="295" spans="1:18" s="685" customFormat="1" ht="15" customHeight="1" outlineLevel="1">
      <c r="A295" s="853" t="s">
        <v>79</v>
      </c>
      <c r="B295" s="666" t="s">
        <v>765</v>
      </c>
      <c r="C295" s="665" t="s">
        <v>928</v>
      </c>
      <c r="D295" s="677" t="s">
        <v>490</v>
      </c>
      <c r="E295" s="676">
        <v>2.16</v>
      </c>
      <c r="F295" s="676"/>
      <c r="G295" s="669"/>
      <c r="H295" s="676"/>
      <c r="I295" s="669"/>
      <c r="J295" s="667"/>
      <c r="L295" s="686"/>
      <c r="M295" s="686"/>
      <c r="N295" s="686"/>
      <c r="O295" s="686"/>
      <c r="P295" s="686"/>
      <c r="Q295" s="686"/>
      <c r="R295" s="686"/>
    </row>
    <row r="296" spans="1:18" s="685" customFormat="1" ht="15" customHeight="1" outlineLevel="1">
      <c r="A296" s="853" t="s">
        <v>79</v>
      </c>
      <c r="B296" s="666" t="s">
        <v>765</v>
      </c>
      <c r="C296" s="665" t="s">
        <v>928</v>
      </c>
      <c r="D296" s="677" t="s">
        <v>487</v>
      </c>
      <c r="E296" s="676"/>
      <c r="F296" s="676"/>
      <c r="G296" s="669"/>
      <c r="H296" s="676"/>
      <c r="I296" s="669"/>
      <c r="J296" s="667">
        <f>0.76/10</f>
        <v>7.5999999999999998E-2</v>
      </c>
      <c r="L296" s="686"/>
      <c r="M296" s="686"/>
      <c r="N296" s="686"/>
      <c r="O296" s="686"/>
      <c r="P296" s="686"/>
      <c r="Q296" s="686"/>
      <c r="R296" s="686"/>
    </row>
    <row r="297" spans="1:18" s="685" customFormat="1" ht="15" customHeight="1">
      <c r="A297" s="851" t="s">
        <v>79</v>
      </c>
      <c r="B297" s="660" t="s">
        <v>765</v>
      </c>
      <c r="C297" s="659" t="s">
        <v>722</v>
      </c>
      <c r="D297" s="678"/>
      <c r="E297" s="679">
        <f t="shared" ref="E297:J297" si="36">SUM(E298:E299)</f>
        <v>0</v>
      </c>
      <c r="F297" s="679">
        <f t="shared" si="36"/>
        <v>0</v>
      </c>
      <c r="G297" s="679">
        <f t="shared" si="36"/>
        <v>0</v>
      </c>
      <c r="H297" s="679">
        <f t="shared" si="36"/>
        <v>0</v>
      </c>
      <c r="I297" s="679">
        <f t="shared" si="36"/>
        <v>0.13400000000000001</v>
      </c>
      <c r="J297" s="679">
        <f t="shared" si="36"/>
        <v>7.5999999999999998E-2</v>
      </c>
      <c r="L297" s="686"/>
      <c r="M297" s="686"/>
      <c r="N297" s="686"/>
      <c r="O297" s="686"/>
      <c r="P297" s="686"/>
      <c r="Q297" s="686"/>
      <c r="R297" s="686"/>
    </row>
    <row r="298" spans="1:18" s="685" customFormat="1" ht="15" customHeight="1" outlineLevel="1">
      <c r="A298" s="853" t="s">
        <v>79</v>
      </c>
      <c r="B298" s="666" t="s">
        <v>765</v>
      </c>
      <c r="C298" s="665" t="s">
        <v>722</v>
      </c>
      <c r="D298" s="677" t="s">
        <v>477</v>
      </c>
      <c r="E298" s="676"/>
      <c r="F298" s="676"/>
      <c r="G298" s="669">
        <v>0</v>
      </c>
      <c r="H298" s="669"/>
      <c r="I298" s="668">
        <v>0.13400000000000001</v>
      </c>
      <c r="J298" s="668"/>
      <c r="L298" s="686"/>
      <c r="M298" s="686"/>
      <c r="N298" s="686"/>
      <c r="O298" s="686"/>
      <c r="P298" s="686"/>
      <c r="Q298" s="686"/>
      <c r="R298" s="686"/>
    </row>
    <row r="299" spans="1:18" s="685" customFormat="1" ht="15" customHeight="1" outlineLevel="1">
      <c r="A299" s="853" t="s">
        <v>79</v>
      </c>
      <c r="B299" s="666" t="s">
        <v>765</v>
      </c>
      <c r="C299" s="665" t="s">
        <v>722</v>
      </c>
      <c r="D299" s="677" t="s">
        <v>487</v>
      </c>
      <c r="E299" s="676"/>
      <c r="F299" s="676"/>
      <c r="G299" s="669"/>
      <c r="H299" s="669"/>
      <c r="I299" s="669"/>
      <c r="J299" s="667">
        <f>0.76/10</f>
        <v>7.5999999999999998E-2</v>
      </c>
      <c r="L299" s="686"/>
      <c r="M299" s="686"/>
      <c r="N299" s="686"/>
      <c r="O299" s="686"/>
      <c r="P299" s="686"/>
      <c r="Q299" s="686"/>
      <c r="R299" s="686"/>
    </row>
    <row r="300" spans="1:18" ht="15" customHeight="1">
      <c r="A300" s="851" t="s">
        <v>79</v>
      </c>
      <c r="B300" s="660" t="s">
        <v>765</v>
      </c>
      <c r="C300" s="877" t="s">
        <v>734</v>
      </c>
      <c r="D300" s="678"/>
      <c r="E300" s="683">
        <f>SUM(E301:E305)</f>
        <v>0.58000000000000007</v>
      </c>
      <c r="F300" s="683">
        <f t="shared" ref="F300:J300" si="37">SUM(F301:F305)</f>
        <v>0</v>
      </c>
      <c r="G300" s="683">
        <f t="shared" si="37"/>
        <v>0</v>
      </c>
      <c r="H300" s="683">
        <f t="shared" si="37"/>
        <v>0</v>
      </c>
      <c r="I300" s="683">
        <f t="shared" si="37"/>
        <v>0.13400000000000001</v>
      </c>
      <c r="J300" s="683">
        <f t="shared" si="37"/>
        <v>7.5999999999999998E-2</v>
      </c>
      <c r="L300" s="98" t="s">
        <v>1390</v>
      </c>
    </row>
    <row r="301" spans="1:18" ht="15" customHeight="1">
      <c r="A301" s="853" t="s">
        <v>79</v>
      </c>
      <c r="B301" s="666" t="s">
        <v>765</v>
      </c>
      <c r="C301" s="665" t="s">
        <v>734</v>
      </c>
      <c r="D301" s="677" t="s">
        <v>477</v>
      </c>
      <c r="I301" s="668">
        <v>0.13400000000000001</v>
      </c>
      <c r="L301" s="936"/>
    </row>
    <row r="302" spans="1:18" ht="15" customHeight="1">
      <c r="A302" s="853" t="s">
        <v>79</v>
      </c>
      <c r="B302" s="666" t="s">
        <v>765</v>
      </c>
      <c r="C302" s="665" t="s">
        <v>734</v>
      </c>
      <c r="D302" s="677" t="s">
        <v>496</v>
      </c>
      <c r="E302" s="839">
        <v>0.01</v>
      </c>
      <c r="L302" s="936"/>
    </row>
    <row r="303" spans="1:18" ht="15" customHeight="1">
      <c r="A303" s="853" t="s">
        <v>79</v>
      </c>
      <c r="B303" s="666" t="s">
        <v>765</v>
      </c>
      <c r="C303" s="665" t="s">
        <v>734</v>
      </c>
      <c r="D303" s="677" t="s">
        <v>492</v>
      </c>
      <c r="E303" s="839">
        <v>0.37</v>
      </c>
      <c r="L303" s="936"/>
    </row>
    <row r="304" spans="1:18" ht="15" customHeight="1">
      <c r="A304" s="853" t="s">
        <v>79</v>
      </c>
      <c r="B304" s="666" t="s">
        <v>765</v>
      </c>
      <c r="C304" s="665" t="s">
        <v>734</v>
      </c>
      <c r="D304" s="677" t="s">
        <v>490</v>
      </c>
      <c r="E304" s="839">
        <v>0.2</v>
      </c>
      <c r="L304" s="936"/>
    </row>
    <row r="305" spans="1:25" ht="15" customHeight="1">
      <c r="A305" s="853" t="s">
        <v>79</v>
      </c>
      <c r="B305" s="666" t="s">
        <v>765</v>
      </c>
      <c r="C305" s="665" t="s">
        <v>734</v>
      </c>
      <c r="D305" s="677" t="s">
        <v>502</v>
      </c>
      <c r="J305" s="667">
        <f>0.76/10</f>
        <v>7.5999999999999998E-2</v>
      </c>
      <c r="L305" s="936"/>
    </row>
    <row r="306" spans="1:25" s="685" customFormat="1" ht="21" customHeight="1">
      <c r="A306" s="658" t="s">
        <v>83</v>
      </c>
      <c r="B306" s="660" t="s">
        <v>841</v>
      </c>
      <c r="C306" s="660" t="s">
        <v>828</v>
      </c>
      <c r="D306" s="680" t="s">
        <v>829</v>
      </c>
      <c r="E306" s="679"/>
      <c r="F306" s="679"/>
      <c r="G306" s="670"/>
      <c r="H306" s="670"/>
      <c r="I306" s="679">
        <v>1.35</v>
      </c>
      <c r="J306" s="850"/>
      <c r="K306" s="687">
        <f>SUM(K307:K311)</f>
        <v>0</v>
      </c>
      <c r="L306" s="133" t="s">
        <v>1140</v>
      </c>
      <c r="M306" s="686"/>
      <c r="N306" s="686"/>
      <c r="O306" s="686"/>
      <c r="P306" s="686"/>
      <c r="Q306" s="686"/>
      <c r="R306" s="686"/>
    </row>
    <row r="307" spans="1:25" s="685" customFormat="1" ht="21" customHeight="1">
      <c r="A307" s="658" t="s">
        <v>83</v>
      </c>
      <c r="B307" s="660" t="s">
        <v>841</v>
      </c>
      <c r="C307" s="660" t="s">
        <v>830</v>
      </c>
      <c r="D307" s="680" t="s">
        <v>829</v>
      </c>
      <c r="E307" s="679"/>
      <c r="F307" s="679"/>
      <c r="G307" s="670"/>
      <c r="H307" s="670"/>
      <c r="I307" s="679">
        <v>1.35</v>
      </c>
      <c r="J307" s="850"/>
      <c r="L307" s="133" t="s">
        <v>1137</v>
      </c>
      <c r="M307" s="133" t="s">
        <v>1138</v>
      </c>
      <c r="N307" s="133"/>
      <c r="O307" s="686"/>
      <c r="P307" s="686"/>
      <c r="Q307" s="686"/>
      <c r="R307" s="686"/>
    </row>
    <row r="308" spans="1:25" s="685" customFormat="1" ht="21" customHeight="1">
      <c r="A308" s="658" t="s">
        <v>83</v>
      </c>
      <c r="B308" s="660" t="s">
        <v>841</v>
      </c>
      <c r="C308" s="855" t="s">
        <v>928</v>
      </c>
      <c r="D308" s="680" t="s">
        <v>829</v>
      </c>
      <c r="E308" s="679"/>
      <c r="F308" s="679"/>
      <c r="G308" s="670"/>
      <c r="H308" s="670"/>
      <c r="I308" s="679">
        <v>1.35</v>
      </c>
      <c r="J308" s="850"/>
      <c r="L308" s="133" t="s">
        <v>1141</v>
      </c>
      <c r="M308" s="133" t="s">
        <v>1142</v>
      </c>
      <c r="N308" s="133" t="s">
        <v>1143</v>
      </c>
      <c r="O308" s="686"/>
      <c r="P308" s="686"/>
      <c r="Q308" s="686"/>
      <c r="R308" s="686"/>
    </row>
    <row r="309" spans="1:25" s="685" customFormat="1" ht="21" customHeight="1">
      <c r="A309" s="658" t="s">
        <v>83</v>
      </c>
      <c r="B309" s="660" t="s">
        <v>841</v>
      </c>
      <c r="C309" s="855" t="s">
        <v>722</v>
      </c>
      <c r="D309" s="680" t="s">
        <v>829</v>
      </c>
      <c r="E309" s="679"/>
      <c r="F309" s="679"/>
      <c r="G309" s="670"/>
      <c r="H309" s="670"/>
      <c r="I309" s="679">
        <v>0.25</v>
      </c>
      <c r="J309" s="850"/>
      <c r="L309" s="150" t="s">
        <v>1125</v>
      </c>
      <c r="M309" s="150" t="s">
        <v>1126</v>
      </c>
      <c r="N309" s="150" t="s">
        <v>1128</v>
      </c>
      <c r="O309" s="150" t="s">
        <v>1129</v>
      </c>
      <c r="P309" s="133" t="s">
        <v>1131</v>
      </c>
      <c r="Q309" s="133" t="s">
        <v>1133</v>
      </c>
      <c r="R309" s="133" t="s">
        <v>1135</v>
      </c>
      <c r="S309" s="150" t="s">
        <v>1406</v>
      </c>
      <c r="T309" s="150"/>
      <c r="U309" s="150"/>
      <c r="V309" s="150"/>
      <c r="W309" s="150"/>
      <c r="X309" s="150"/>
      <c r="Y309" s="150"/>
    </row>
    <row r="310" spans="1:25" s="685" customFormat="1" ht="21" customHeight="1">
      <c r="A310" s="658" t="s">
        <v>83</v>
      </c>
      <c r="B310" s="660" t="s">
        <v>659</v>
      </c>
      <c r="C310" s="660" t="s">
        <v>729</v>
      </c>
      <c r="D310" s="680" t="s">
        <v>831</v>
      </c>
      <c r="E310" s="679"/>
      <c r="F310" s="679"/>
      <c r="G310" s="670"/>
      <c r="H310" s="670"/>
      <c r="I310" s="679">
        <v>1.35</v>
      </c>
      <c r="J310" s="850"/>
      <c r="L310" s="133" t="s">
        <v>1172</v>
      </c>
      <c r="M310" s="133"/>
      <c r="N310" s="133"/>
      <c r="O310" s="686"/>
      <c r="P310" s="686"/>
      <c r="Q310" s="686"/>
      <c r="R310" s="686"/>
    </row>
    <row r="311" spans="1:25" s="685" customFormat="1" ht="21" customHeight="1">
      <c r="A311" s="658" t="s">
        <v>83</v>
      </c>
      <c r="B311" s="660" t="s">
        <v>659</v>
      </c>
      <c r="C311" s="855" t="s">
        <v>928</v>
      </c>
      <c r="D311" s="680" t="s">
        <v>831</v>
      </c>
      <c r="E311" s="679"/>
      <c r="F311" s="679"/>
      <c r="G311" s="670"/>
      <c r="H311" s="670"/>
      <c r="I311" s="679">
        <v>1.35</v>
      </c>
      <c r="J311" s="850"/>
      <c r="L311" s="133" t="s">
        <v>1169</v>
      </c>
      <c r="M311" s="133" t="s">
        <v>1170</v>
      </c>
      <c r="N311" s="133" t="s">
        <v>1171</v>
      </c>
      <c r="O311" s="686"/>
      <c r="P311" s="686"/>
      <c r="Q311" s="686"/>
      <c r="R311" s="686"/>
    </row>
    <row r="312" spans="1:25" s="685" customFormat="1" ht="21" customHeight="1">
      <c r="A312" s="658" t="s">
        <v>83</v>
      </c>
      <c r="B312" s="660" t="s">
        <v>659</v>
      </c>
      <c r="C312" s="660" t="s">
        <v>828</v>
      </c>
      <c r="D312" s="680" t="s">
        <v>829</v>
      </c>
      <c r="E312" s="679"/>
      <c r="F312" s="679"/>
      <c r="G312" s="670"/>
      <c r="H312" s="670"/>
      <c r="I312" s="679">
        <v>1.35</v>
      </c>
      <c r="J312" s="850"/>
      <c r="L312" s="133" t="s">
        <v>1181</v>
      </c>
      <c r="M312" s="133"/>
      <c r="N312" s="133"/>
      <c r="O312" s="686"/>
      <c r="P312" s="686"/>
      <c r="Q312" s="686"/>
      <c r="R312" s="686"/>
    </row>
    <row r="313" spans="1:25" s="685" customFormat="1" ht="21" customHeight="1" thickBot="1">
      <c r="A313" s="658" t="s">
        <v>83</v>
      </c>
      <c r="B313" s="660" t="s">
        <v>659</v>
      </c>
      <c r="C313" s="947" t="s">
        <v>722</v>
      </c>
      <c r="D313" s="680" t="s">
        <v>829</v>
      </c>
      <c r="E313" s="679"/>
      <c r="F313" s="679"/>
      <c r="G313" s="670"/>
      <c r="H313" s="670"/>
      <c r="I313" s="679">
        <v>0</v>
      </c>
      <c r="J313" s="850"/>
      <c r="L313" s="150" t="s">
        <v>1154</v>
      </c>
      <c r="M313" s="150" t="s">
        <v>1155</v>
      </c>
      <c r="N313" s="150" t="s">
        <v>1157</v>
      </c>
      <c r="O313" s="150" t="s">
        <v>1158</v>
      </c>
      <c r="P313" s="150" t="s">
        <v>1160</v>
      </c>
      <c r="Q313" s="150" t="s">
        <v>1162</v>
      </c>
      <c r="R313" s="150" t="s">
        <v>1164</v>
      </c>
      <c r="S313" s="150" t="s">
        <v>1166</v>
      </c>
      <c r="T313" s="150" t="s">
        <v>1167</v>
      </c>
      <c r="U313" s="147" t="s">
        <v>1276</v>
      </c>
    </row>
    <row r="314" spans="1:25" ht="21" customHeight="1">
      <c r="A314" s="658" t="s">
        <v>83</v>
      </c>
      <c r="B314" s="856" t="s">
        <v>904</v>
      </c>
      <c r="C314" s="942" t="s">
        <v>1519</v>
      </c>
      <c r="D314" s="680" t="s">
        <v>829</v>
      </c>
      <c r="E314" s="679"/>
      <c r="F314" s="679"/>
      <c r="G314" s="670"/>
      <c r="H314" s="670"/>
      <c r="I314" s="679">
        <v>0.22900000000000001</v>
      </c>
      <c r="L314" s="133"/>
      <c r="M314" s="133"/>
      <c r="N314" s="150"/>
      <c r="O314" s="150"/>
    </row>
    <row r="315" spans="1:25" ht="21" customHeight="1">
      <c r="A315" s="658"/>
      <c r="B315" s="856"/>
      <c r="C315" s="942" t="s">
        <v>1520</v>
      </c>
      <c r="D315" s="680"/>
      <c r="E315" s="679"/>
      <c r="F315" s="679"/>
      <c r="G315" s="670"/>
      <c r="H315" s="670"/>
      <c r="I315" s="679">
        <v>0.22900000000000001</v>
      </c>
      <c r="L315" s="150" t="s">
        <v>1184</v>
      </c>
      <c r="M315" s="133"/>
      <c r="N315" s="133"/>
      <c r="O315" s="133"/>
    </row>
    <row r="316" spans="1:25" ht="21" customHeight="1">
      <c r="A316" s="658"/>
      <c r="B316" s="856"/>
      <c r="C316" s="942" t="s">
        <v>767</v>
      </c>
      <c r="D316" s="680"/>
      <c r="E316" s="679"/>
      <c r="F316" s="679"/>
      <c r="G316" s="670"/>
      <c r="H316" s="670"/>
      <c r="I316" s="679">
        <v>0.47699999999999998</v>
      </c>
      <c r="L316" s="150" t="s">
        <v>1182</v>
      </c>
      <c r="M316" s="133"/>
      <c r="N316" s="133"/>
      <c r="O316" s="133"/>
    </row>
    <row r="317" spans="1:25" s="935" customFormat="1" ht="21.75" customHeight="1">
      <c r="A317" s="658" t="s">
        <v>83</v>
      </c>
      <c r="B317" s="893" t="s">
        <v>661</v>
      </c>
      <c r="C317" s="893" t="s">
        <v>603</v>
      </c>
      <c r="D317" s="680" t="s">
        <v>829</v>
      </c>
      <c r="I317" s="894">
        <v>-4.0000000000000001E-3</v>
      </c>
      <c r="L317" s="861" t="s">
        <v>1049</v>
      </c>
    </row>
    <row r="318" spans="1:25" s="935" customFormat="1" ht="27" customHeight="1">
      <c r="A318" s="658" t="s">
        <v>83</v>
      </c>
      <c r="B318" s="893" t="s">
        <v>661</v>
      </c>
      <c r="C318" s="893" t="s">
        <v>1277</v>
      </c>
      <c r="D318" s="680" t="s">
        <v>829</v>
      </c>
      <c r="I318" s="894">
        <v>3.4</v>
      </c>
      <c r="L318" s="861" t="s">
        <v>1051</v>
      </c>
      <c r="M318" s="861" t="s">
        <v>1052</v>
      </c>
      <c r="N318" s="861" t="s">
        <v>1081</v>
      </c>
      <c r="O318" s="861" t="s">
        <v>1082</v>
      </c>
      <c r="P318" s="861" t="s">
        <v>1083</v>
      </c>
      <c r="Q318" s="861" t="s">
        <v>1084</v>
      </c>
      <c r="R318" s="861" t="s">
        <v>1085</v>
      </c>
      <c r="S318" s="861" t="s">
        <v>1086</v>
      </c>
      <c r="T318" s="861" t="s">
        <v>1087</v>
      </c>
    </row>
    <row r="319" spans="1:25" s="935" customFormat="1" ht="27" customHeight="1">
      <c r="A319" s="658" t="s">
        <v>83</v>
      </c>
      <c r="B319" s="935" t="s">
        <v>661</v>
      </c>
      <c r="C319" s="935" t="s">
        <v>85</v>
      </c>
      <c r="D319" s="680" t="s">
        <v>829</v>
      </c>
      <c r="I319" s="894">
        <v>0.24199999999999999</v>
      </c>
      <c r="L319" s="935" t="s">
        <v>1061</v>
      </c>
    </row>
    <row r="320" spans="1:25" s="935" customFormat="1" ht="23.25" customHeight="1" thickBot="1">
      <c r="A320" s="658" t="s">
        <v>83</v>
      </c>
      <c r="B320" s="893" t="s">
        <v>661</v>
      </c>
      <c r="C320" s="893" t="s">
        <v>774</v>
      </c>
      <c r="D320" s="680" t="s">
        <v>829</v>
      </c>
      <c r="I320" s="894">
        <v>-0.03</v>
      </c>
      <c r="L320" s="861" t="s">
        <v>1064</v>
      </c>
      <c r="M320" s="98"/>
      <c r="N320" s="177"/>
    </row>
    <row r="321" spans="1:17" s="935" customFormat="1" ht="30.75" customHeight="1">
      <c r="A321" s="658" t="s">
        <v>83</v>
      </c>
      <c r="B321" s="893" t="s">
        <v>661</v>
      </c>
      <c r="C321" s="893" t="s">
        <v>1278</v>
      </c>
      <c r="D321" s="680" t="s">
        <v>829</v>
      </c>
      <c r="I321" s="894">
        <v>5.2999999999999999E-2</v>
      </c>
      <c r="L321" s="861" t="s">
        <v>1067</v>
      </c>
      <c r="M321" s="861" t="s">
        <v>1068</v>
      </c>
      <c r="N321" s="861" t="s">
        <v>1069</v>
      </c>
      <c r="O321" s="861" t="s">
        <v>1070</v>
      </c>
    </row>
    <row r="322" spans="1:17" s="935" customFormat="1" ht="30" customHeight="1">
      <c r="A322" s="658" t="s">
        <v>83</v>
      </c>
      <c r="B322" s="893" t="s">
        <v>661</v>
      </c>
      <c r="C322" s="893" t="s">
        <v>1279</v>
      </c>
      <c r="D322" s="680" t="s">
        <v>829</v>
      </c>
      <c r="I322" s="894">
        <v>-8.4000000000000005E-2</v>
      </c>
      <c r="L322" s="861" t="s">
        <v>1071</v>
      </c>
      <c r="M322" s="861" t="s">
        <v>1072</v>
      </c>
      <c r="N322" s="861" t="s">
        <v>1073</v>
      </c>
      <c r="O322" s="861" t="s">
        <v>1074</v>
      </c>
      <c r="P322" s="861" t="s">
        <v>1075</v>
      </c>
      <c r="Q322" s="861" t="s">
        <v>1076</v>
      </c>
    </row>
    <row r="323" spans="1:17" s="935" customFormat="1" ht="25.5" customHeight="1">
      <c r="A323" s="658" t="s">
        <v>83</v>
      </c>
      <c r="B323" s="893" t="s">
        <v>661</v>
      </c>
      <c r="C323" s="893" t="s">
        <v>781</v>
      </c>
      <c r="D323" s="680" t="s">
        <v>829</v>
      </c>
      <c r="I323" s="894">
        <v>-8.4000000000000005E-2</v>
      </c>
      <c r="L323" s="861" t="s">
        <v>1077</v>
      </c>
    </row>
    <row r="324" spans="1:17" s="935" customFormat="1" ht="22.5" customHeight="1">
      <c r="A324" s="658" t="s">
        <v>83</v>
      </c>
      <c r="B324" s="893" t="s">
        <v>661</v>
      </c>
      <c r="C324" s="893" t="s">
        <v>782</v>
      </c>
      <c r="D324" s="680" t="s">
        <v>829</v>
      </c>
      <c r="I324" s="894">
        <v>5.2999999999999999E-2</v>
      </c>
      <c r="L324" s="861" t="s">
        <v>1078</v>
      </c>
    </row>
    <row r="325" spans="1:17" s="935" customFormat="1" ht="24" customHeight="1">
      <c r="A325" s="658" t="s">
        <v>83</v>
      </c>
      <c r="B325" s="893" t="s">
        <v>661</v>
      </c>
      <c r="C325" s="893" t="s">
        <v>756</v>
      </c>
      <c r="D325" s="680" t="s">
        <v>829</v>
      </c>
      <c r="I325" s="894">
        <v>-8.4000000000000005E-2</v>
      </c>
      <c r="L325" s="861" t="s">
        <v>1079</v>
      </c>
    </row>
    <row r="326" spans="1:17" s="935" customFormat="1" ht="25.5" customHeight="1">
      <c r="A326" s="658" t="s">
        <v>83</v>
      </c>
      <c r="B326" s="893" t="s">
        <v>661</v>
      </c>
      <c r="C326" s="893" t="s">
        <v>757</v>
      </c>
      <c r="D326" s="680" t="s">
        <v>829</v>
      </c>
      <c r="I326" s="894">
        <v>-8.4000000000000005E-2</v>
      </c>
      <c r="L326" s="861" t="s">
        <v>1080</v>
      </c>
    </row>
    <row r="331" spans="1:17" ht="21" customHeight="1">
      <c r="C331" s="873"/>
    </row>
  </sheetData>
  <autoFilter ref="A2:J326"/>
  <mergeCells count="1">
    <mergeCell ref="L2:R2"/>
  </mergeCells>
  <pageMargins left="0.7" right="0.7" top="1.3958333333333333" bottom="0.75" header="0.3" footer="0.3"/>
  <pageSetup orientation="portrait" r:id="rId1"/>
  <headerFooter>
    <oddHeader>&amp;RBoston Gas Company and Colonial Gas Company 
d/b/a National Grid 
D.P.U. 18-51
2017 Energy Efficiency Plan-Year Report
Appendix 2, BCR Model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T82"/>
  <sheetViews>
    <sheetView zoomScaleNormal="100" workbookViewId="0">
      <selection activeCell="E29" sqref="E29"/>
    </sheetView>
  </sheetViews>
  <sheetFormatPr defaultColWidth="9.140625" defaultRowHeight="12.75"/>
  <cols>
    <col min="1" max="1" width="9.140625" style="10"/>
    <col min="2" max="2" width="68.42578125" style="10" bestFit="1" customWidth="1"/>
    <col min="3" max="3" width="9.140625" style="188"/>
    <col min="4" max="4" width="9.140625" style="189"/>
    <col min="5" max="6" width="9.140625" style="190"/>
    <col min="7" max="8" width="10.140625" style="10" hidden="1" customWidth="1"/>
    <col min="9" max="9" width="13.85546875" style="10" bestFit="1" customWidth="1"/>
    <col min="10" max="10" width="11" style="10" bestFit="1" customWidth="1"/>
    <col min="11" max="11" width="9.42578125" style="10" bestFit="1" customWidth="1"/>
    <col min="12" max="30" width="9.140625" style="10"/>
    <col min="31" max="31" width="15.140625" style="10" bestFit="1" customWidth="1"/>
    <col min="32" max="253" width="9.140625" style="10"/>
    <col min="254" max="254" width="68.42578125" style="10" bestFit="1" customWidth="1"/>
    <col min="255" max="16384" width="9.140625" style="10"/>
  </cols>
  <sheetData>
    <row r="1" spans="1:11">
      <c r="C1" s="1038" t="s">
        <v>91</v>
      </c>
      <c r="D1" s="1039"/>
      <c r="E1" s="1039"/>
      <c r="F1" s="1040"/>
      <c r="G1" s="1041" t="s">
        <v>92</v>
      </c>
      <c r="H1" s="1042"/>
      <c r="I1" s="1043"/>
    </row>
    <row r="2" spans="1:11">
      <c r="C2" s="182" t="s">
        <v>94</v>
      </c>
      <c r="D2" s="183" t="s">
        <v>94</v>
      </c>
      <c r="E2" s="184" t="s">
        <v>93</v>
      </c>
      <c r="F2" s="184" t="s">
        <v>93</v>
      </c>
      <c r="G2" s="11" t="s">
        <v>94</v>
      </c>
      <c r="H2" s="11" t="s">
        <v>93</v>
      </c>
      <c r="I2" s="12" t="s">
        <v>95</v>
      </c>
      <c r="J2" s="13" t="s">
        <v>96</v>
      </c>
      <c r="K2" s="13" t="s">
        <v>97</v>
      </c>
    </row>
    <row r="3" spans="1:11">
      <c r="C3" s="182" t="s">
        <v>98</v>
      </c>
      <c r="D3" s="183" t="s">
        <v>99</v>
      </c>
      <c r="E3" s="184" t="s">
        <v>98</v>
      </c>
      <c r="F3" s="184" t="s">
        <v>99</v>
      </c>
      <c r="G3" s="11" t="s">
        <v>92</v>
      </c>
      <c r="H3" s="11" t="s">
        <v>92</v>
      </c>
      <c r="I3" s="12" t="s">
        <v>92</v>
      </c>
      <c r="J3"/>
      <c r="K3"/>
    </row>
    <row r="4" spans="1:11">
      <c r="A4"/>
      <c r="B4"/>
      <c r="C4" s="185"/>
      <c r="D4" s="186"/>
      <c r="E4" s="187"/>
      <c r="F4" s="187"/>
      <c r="G4"/>
      <c r="H4"/>
      <c r="I4"/>
      <c r="J4"/>
      <c r="K4"/>
    </row>
    <row r="5" spans="1:11">
      <c r="A5" s="297" t="s">
        <v>653</v>
      </c>
      <c r="B5" s="131" t="s">
        <v>654</v>
      </c>
      <c r="C5" s="185">
        <v>0</v>
      </c>
      <c r="D5" s="186">
        <v>0</v>
      </c>
      <c r="E5" s="187">
        <v>0</v>
      </c>
      <c r="F5" s="187">
        <v>0</v>
      </c>
      <c r="G5" s="696"/>
      <c r="H5" s="696"/>
      <c r="I5" s="187">
        <v>0</v>
      </c>
      <c r="J5" s="187">
        <v>0</v>
      </c>
      <c r="K5" s="187">
        <v>0</v>
      </c>
    </row>
    <row r="6" spans="1:11" ht="15">
      <c r="A6" s="14" t="s">
        <v>77</v>
      </c>
      <c r="B6" s="700" t="s">
        <v>78</v>
      </c>
      <c r="C6" s="701">
        <v>0.35303403058813992</v>
      </c>
      <c r="D6" s="702">
        <v>0.31271939406939553</v>
      </c>
      <c r="E6" s="703">
        <v>0.17342022555206529</v>
      </c>
      <c r="F6" s="703">
        <v>0.16082634979039978</v>
      </c>
      <c r="G6" s="704">
        <v>1.372360664058951E-4</v>
      </c>
      <c r="H6" s="704">
        <v>1.5243540859501289E-4</v>
      </c>
      <c r="I6" s="704">
        <v>1.5243540859501289E-4</v>
      </c>
      <c r="J6" s="15">
        <v>1</v>
      </c>
      <c r="K6" s="15">
        <v>0.9002899501552224</v>
      </c>
    </row>
    <row r="7" spans="1:11" ht="15">
      <c r="A7" s="14" t="s">
        <v>49</v>
      </c>
      <c r="B7" s="16" t="s">
        <v>50</v>
      </c>
      <c r="C7" s="701">
        <v>0.33617025243210824</v>
      </c>
      <c r="D7" s="702">
        <v>0.52464621364011521</v>
      </c>
      <c r="E7" s="703">
        <v>8.7836843570115661E-2</v>
      </c>
      <c r="F7" s="703">
        <v>5.1346690357659937E-2</v>
      </c>
      <c r="G7" s="704">
        <v>5.5912375325594147E-4</v>
      </c>
      <c r="H7" s="704">
        <v>1.8074586857083006E-4</v>
      </c>
      <c r="I7" s="704">
        <v>5.5912375325594147E-4</v>
      </c>
      <c r="J7" s="15">
        <v>0.59</v>
      </c>
      <c r="K7" s="15">
        <v>1</v>
      </c>
    </row>
    <row r="8" spans="1:11" ht="15">
      <c r="A8" s="17" t="s">
        <v>35</v>
      </c>
      <c r="B8" s="16" t="s">
        <v>36</v>
      </c>
      <c r="C8" s="701">
        <v>0.37811107066668143</v>
      </c>
      <c r="D8" s="702">
        <v>0.61526683076153199</v>
      </c>
      <c r="E8" s="703">
        <v>1.7402036484173826E-3</v>
      </c>
      <c r="F8" s="703">
        <v>4.8818949233697577E-3</v>
      </c>
      <c r="G8" s="704">
        <v>5.3381390534849307E-4</v>
      </c>
      <c r="H8" s="704">
        <v>1.8658008757482398E-6</v>
      </c>
      <c r="I8" s="704">
        <v>5.3381390534849307E-4</v>
      </c>
      <c r="J8" s="15">
        <v>3.4952271888274949E-3</v>
      </c>
      <c r="K8" s="15">
        <v>1</v>
      </c>
    </row>
    <row r="9" spans="1:11" ht="15">
      <c r="A9" s="17" t="s">
        <v>45</v>
      </c>
      <c r="B9" s="16" t="s">
        <v>46</v>
      </c>
      <c r="C9" s="701">
        <v>0.3631890011799554</v>
      </c>
      <c r="D9" s="702">
        <v>0.35551056935023706</v>
      </c>
      <c r="E9" s="703">
        <v>0.12898928768705625</v>
      </c>
      <c r="F9" s="703">
        <v>0.15231114178275273</v>
      </c>
      <c r="G9" s="704">
        <v>3.0155909738250448E-4</v>
      </c>
      <c r="H9" s="704">
        <v>5.1289596043750641E-5</v>
      </c>
      <c r="I9" s="704">
        <v>3.0155909738250448E-4</v>
      </c>
      <c r="J9" s="15">
        <v>0.17008140854956116</v>
      </c>
      <c r="K9" s="15">
        <v>1</v>
      </c>
    </row>
    <row r="10" spans="1:11" ht="15">
      <c r="A10" s="17" t="s">
        <v>75</v>
      </c>
      <c r="B10" s="16" t="s">
        <v>76</v>
      </c>
      <c r="C10" s="701">
        <v>0.19618131871042532</v>
      </c>
      <c r="D10" s="702">
        <v>0.53892600520004852</v>
      </c>
      <c r="E10" s="703">
        <v>6.1341572835154762E-2</v>
      </c>
      <c r="F10" s="703">
        <v>0.20355110325368717</v>
      </c>
      <c r="G10" s="704">
        <v>3.0653331048500002E-4</v>
      </c>
      <c r="H10" s="704">
        <v>0</v>
      </c>
      <c r="I10" s="704">
        <v>3.0653331048500002E-4</v>
      </c>
      <c r="J10" s="15">
        <v>0</v>
      </c>
      <c r="K10" s="15">
        <v>1</v>
      </c>
    </row>
    <row r="11" spans="1:11" ht="15">
      <c r="A11" s="17" t="s">
        <v>51</v>
      </c>
      <c r="B11" s="223" t="s">
        <v>52</v>
      </c>
      <c r="C11" s="701">
        <v>0.35874079717272067</v>
      </c>
      <c r="D11" s="702">
        <v>0.32539479693612339</v>
      </c>
      <c r="E11" s="703">
        <v>0.15737117092841324</v>
      </c>
      <c r="F11" s="703">
        <v>0.15849323496274276</v>
      </c>
      <c r="G11" s="704">
        <v>2.1370386518846686E-4</v>
      </c>
      <c r="H11" s="704">
        <v>1.5602029811249334E-4</v>
      </c>
      <c r="I11" s="704">
        <v>2.1370386518846686E-4</v>
      </c>
      <c r="J11" s="15">
        <v>0.73007709979834945</v>
      </c>
      <c r="K11" s="15">
        <v>1</v>
      </c>
    </row>
    <row r="12" spans="1:11" ht="15">
      <c r="A12" s="17" t="s">
        <v>43</v>
      </c>
      <c r="B12" s="16" t="s">
        <v>44</v>
      </c>
      <c r="C12" s="701">
        <v>0.30380867151754287</v>
      </c>
      <c r="D12" s="702">
        <v>0.34482590237102373</v>
      </c>
      <c r="E12" s="703">
        <v>0.16132504620679725</v>
      </c>
      <c r="F12" s="703">
        <v>0.19004037990465061</v>
      </c>
      <c r="G12" s="704">
        <v>1.1489919017728145E-4</v>
      </c>
      <c r="H12" s="704">
        <v>1.2352572974038428E-4</v>
      </c>
      <c r="I12" s="704">
        <v>1.2352572974038428E-4</v>
      </c>
      <c r="J12" s="15">
        <v>1</v>
      </c>
      <c r="K12" s="15">
        <v>0.93016402670736409</v>
      </c>
    </row>
    <row r="13" spans="1:11" ht="15">
      <c r="A13" s="17" t="s">
        <v>41</v>
      </c>
      <c r="B13" s="16" t="s">
        <v>42</v>
      </c>
      <c r="C13" s="701">
        <v>0.35840016688164417</v>
      </c>
      <c r="D13" s="702">
        <v>0.30757595908956603</v>
      </c>
      <c r="E13" s="703">
        <v>0.1725838203997784</v>
      </c>
      <c r="F13" s="703">
        <v>0.16144005362901251</v>
      </c>
      <c r="G13" s="704">
        <v>1.3833510551473259E-4</v>
      </c>
      <c r="H13" s="704">
        <v>1.4690681466850223E-4</v>
      </c>
      <c r="I13" s="704">
        <v>1.4690681466850223E-4</v>
      </c>
      <c r="J13" s="15">
        <v>1</v>
      </c>
      <c r="K13" s="15">
        <v>0.9416520658138845</v>
      </c>
    </row>
    <row r="14" spans="1:11" ht="12.75" customHeight="1">
      <c r="A14" s="17" t="s">
        <v>100</v>
      </c>
      <c r="B14" s="16" t="s">
        <v>101</v>
      </c>
      <c r="C14" s="701">
        <v>0.37090690911613206</v>
      </c>
      <c r="D14" s="702">
        <v>0.29543387282469058</v>
      </c>
      <c r="E14" s="703">
        <v>0.18081765919774187</v>
      </c>
      <c r="F14" s="703">
        <v>0.1528415588614373</v>
      </c>
      <c r="G14" s="704">
        <v>1.0260211245372502E-2</v>
      </c>
      <c r="H14" s="704">
        <v>3.0661029589815675E-2</v>
      </c>
      <c r="I14" s="704">
        <v>3.0661029589815675E-2</v>
      </c>
      <c r="J14" s="15">
        <v>1</v>
      </c>
      <c r="K14" s="15">
        <v>0.33463361741709152</v>
      </c>
    </row>
    <row r="15" spans="1:11" ht="12.75" customHeight="1">
      <c r="A15" s="17" t="s">
        <v>102</v>
      </c>
      <c r="B15" s="16" t="s">
        <v>103</v>
      </c>
      <c r="C15" s="701">
        <v>0.4509757337484932</v>
      </c>
      <c r="D15" s="702">
        <v>0.54326228034891277</v>
      </c>
      <c r="E15" s="703">
        <v>1.663995018036537E-3</v>
      </c>
      <c r="F15" s="703">
        <v>4.0979908845456573E-3</v>
      </c>
      <c r="G15" s="704">
        <v>2.6737644912453076E-2</v>
      </c>
      <c r="H15" s="704">
        <v>3.5082567667375407E-5</v>
      </c>
      <c r="I15" s="704">
        <v>2.6737644912453076E-2</v>
      </c>
      <c r="J15" s="15">
        <v>1.3121038813345778E-3</v>
      </c>
      <c r="K15" s="15">
        <v>1</v>
      </c>
    </row>
    <row r="16" spans="1:11" ht="15">
      <c r="A16" s="17" t="s">
        <v>38</v>
      </c>
      <c r="B16" s="223" t="s">
        <v>39</v>
      </c>
      <c r="C16" s="701">
        <v>8.9580765460539422E-3</v>
      </c>
      <c r="D16" s="702">
        <v>4.1168791499145839E-2</v>
      </c>
      <c r="E16" s="703">
        <v>0.53821715078601073</v>
      </c>
      <c r="F16" s="703">
        <v>0.41165598116877211</v>
      </c>
      <c r="G16" s="704">
        <v>0</v>
      </c>
      <c r="H16" s="704">
        <v>2.2229620624189838E-3</v>
      </c>
      <c r="I16" s="704">
        <v>2.2229620624189838E-3</v>
      </c>
      <c r="J16" s="15">
        <v>1</v>
      </c>
      <c r="K16" s="15">
        <v>0</v>
      </c>
    </row>
    <row r="17" spans="1:11" ht="15">
      <c r="A17" s="17" t="s">
        <v>104</v>
      </c>
      <c r="B17" s="16" t="s">
        <v>105</v>
      </c>
      <c r="C17" s="701">
        <v>0.487436097399779</v>
      </c>
      <c r="D17" s="702">
        <v>0.47999456991795258</v>
      </c>
      <c r="E17" s="703">
        <v>1.2850886665358208E-2</v>
      </c>
      <c r="F17" s="703">
        <v>1.9718446016910151E-2</v>
      </c>
      <c r="G17" s="704">
        <v>4.9735184473996183E-4</v>
      </c>
      <c r="H17" s="704">
        <v>6.5820405609587833E-6</v>
      </c>
      <c r="I17" s="704">
        <v>4.9735184473996183E-4</v>
      </c>
      <c r="J17" s="15">
        <v>1.3234173413793555E-2</v>
      </c>
      <c r="K17" s="15">
        <v>1</v>
      </c>
    </row>
    <row r="18" spans="1:11" ht="15">
      <c r="A18" s="17" t="s">
        <v>73</v>
      </c>
      <c r="B18" s="16" t="s">
        <v>74</v>
      </c>
      <c r="C18" s="701">
        <v>0.39887508383985459</v>
      </c>
      <c r="D18" s="702">
        <v>0.3298494215189236</v>
      </c>
      <c r="E18" s="703">
        <v>0.14542576283546596</v>
      </c>
      <c r="F18" s="703">
        <v>0.12584973180575115</v>
      </c>
      <c r="G18" s="704">
        <v>1.6924525113147328E-4</v>
      </c>
      <c r="H18" s="704">
        <v>9.8874930246476247E-5</v>
      </c>
      <c r="I18" s="704">
        <v>1.6924525113147328E-4</v>
      </c>
      <c r="J18" s="15">
        <v>0.58421095768098164</v>
      </c>
      <c r="K18" s="15">
        <v>1</v>
      </c>
    </row>
    <row r="19" spans="1:11" ht="15">
      <c r="A19" s="17" t="s">
        <v>106</v>
      </c>
      <c r="B19" s="16" t="s">
        <v>107</v>
      </c>
      <c r="C19" s="701">
        <v>1.4594782145108667E-2</v>
      </c>
      <c r="D19" s="702">
        <v>7.5082100378971603E-2</v>
      </c>
      <c r="E19" s="703">
        <v>0.58426545618849868</v>
      </c>
      <c r="F19" s="703">
        <v>0.32605766128741553</v>
      </c>
      <c r="G19" s="704">
        <v>0</v>
      </c>
      <c r="H19" s="704">
        <v>3.4289412159128636E-3</v>
      </c>
      <c r="I19" s="704">
        <v>3.4289412159128636E-3</v>
      </c>
      <c r="J19" s="15">
        <v>1</v>
      </c>
      <c r="K19" s="15">
        <v>0</v>
      </c>
    </row>
    <row r="20" spans="1:11" ht="12.75" customHeight="1">
      <c r="A20" s="17" t="s">
        <v>108</v>
      </c>
      <c r="B20" s="16" t="s">
        <v>109</v>
      </c>
      <c r="C20" s="701">
        <v>0.48333281580994053</v>
      </c>
      <c r="D20" s="702">
        <v>0.45830738240509689</v>
      </c>
      <c r="E20" s="703">
        <v>2.4688507978990554E-2</v>
      </c>
      <c r="F20" s="703">
        <v>3.3671293805973529E-2</v>
      </c>
      <c r="G20" s="704">
        <v>4.9058503807955793E-4</v>
      </c>
      <c r="H20" s="704">
        <v>1.3773227709473922E-5</v>
      </c>
      <c r="I20" s="704">
        <v>4.9058503807955793E-4</v>
      </c>
      <c r="J20" s="15">
        <v>2.8075107556052952E-2</v>
      </c>
      <c r="K20" s="15">
        <v>1</v>
      </c>
    </row>
    <row r="21" spans="1:11" ht="12.75" customHeight="1">
      <c r="A21" s="17" t="s">
        <v>110</v>
      </c>
      <c r="B21" s="16" t="s">
        <v>111</v>
      </c>
      <c r="C21" s="701">
        <v>6.3488451368762903E-3</v>
      </c>
      <c r="D21" s="702">
        <v>2.5655291765707623E-2</v>
      </c>
      <c r="E21" s="703">
        <v>0.55273730965740375</v>
      </c>
      <c r="F21" s="703">
        <v>0.41525855344001045</v>
      </c>
      <c r="G21" s="704">
        <v>0</v>
      </c>
      <c r="H21" s="704">
        <v>1.9429479536048444E-3</v>
      </c>
      <c r="I21" s="704">
        <v>1.9429479536048444E-3</v>
      </c>
      <c r="J21" s="15">
        <v>1</v>
      </c>
      <c r="K21" s="15">
        <v>0</v>
      </c>
    </row>
    <row r="22" spans="1:11" ht="12.75" customHeight="1">
      <c r="A22" s="17" t="s">
        <v>112</v>
      </c>
      <c r="B22" s="16" t="s">
        <v>113</v>
      </c>
      <c r="C22" s="701">
        <v>0.49038002127957558</v>
      </c>
      <c r="D22" s="702">
        <v>0.49018553160490946</v>
      </c>
      <c r="E22" s="703">
        <v>6.9879655407247962E-3</v>
      </c>
      <c r="F22" s="703">
        <v>1.2446481574791113E-2</v>
      </c>
      <c r="G22" s="704">
        <v>5.0610692731206978E-4</v>
      </c>
      <c r="H22" s="704">
        <v>0</v>
      </c>
      <c r="I22" s="704">
        <v>5.0610692731206978E-4</v>
      </c>
      <c r="J22" s="15">
        <v>0</v>
      </c>
      <c r="K22" s="15">
        <v>1</v>
      </c>
    </row>
    <row r="23" spans="1:11" ht="12.75" customHeight="1">
      <c r="A23" s="17" t="s">
        <v>65</v>
      </c>
      <c r="B23" s="223" t="s">
        <v>66</v>
      </c>
      <c r="C23" s="701">
        <v>1.1045361043399326E-2</v>
      </c>
      <c r="D23" s="702">
        <v>4.6779622790016816E-2</v>
      </c>
      <c r="E23" s="703">
        <v>0.60171079045589138</v>
      </c>
      <c r="F23" s="703">
        <v>0.34046422571069901</v>
      </c>
      <c r="G23" s="704">
        <v>0</v>
      </c>
      <c r="H23" s="704">
        <v>2.851050799009425E-3</v>
      </c>
      <c r="I23" s="704">
        <v>2.851050799009425E-3</v>
      </c>
      <c r="J23" s="15">
        <v>1</v>
      </c>
      <c r="K23" s="15">
        <v>0</v>
      </c>
    </row>
    <row r="24" spans="1:11" ht="15">
      <c r="A24" s="17" t="s">
        <v>114</v>
      </c>
      <c r="B24" s="16" t="s">
        <v>115</v>
      </c>
      <c r="C24" s="701">
        <v>1.6653910568788063E-2</v>
      </c>
      <c r="D24" s="702">
        <v>7.8782264368365745E-2</v>
      </c>
      <c r="E24" s="703">
        <v>0.61139218185988364</v>
      </c>
      <c r="F24" s="703">
        <v>0.29317164320296041</v>
      </c>
      <c r="G24" s="704">
        <v>0</v>
      </c>
      <c r="H24" s="704">
        <v>4.3119761943969485E-3</v>
      </c>
      <c r="I24" s="704">
        <v>4.3119761943969485E-3</v>
      </c>
      <c r="J24" s="15">
        <v>1</v>
      </c>
      <c r="K24" s="15">
        <v>0</v>
      </c>
    </row>
    <row r="25" spans="1:11" ht="12.75" customHeight="1">
      <c r="A25" s="17" t="s">
        <v>116</v>
      </c>
      <c r="B25" s="16" t="s">
        <v>117</v>
      </c>
      <c r="C25" s="701">
        <v>7.3677707009358754E-3</v>
      </c>
      <c r="D25" s="702">
        <v>2.7649663232077043E-2</v>
      </c>
      <c r="E25" s="703">
        <v>0.59595554067970513</v>
      </c>
      <c r="F25" s="703">
        <v>0.36902702538728244</v>
      </c>
      <c r="G25" s="704">
        <v>0</v>
      </c>
      <c r="H25" s="704">
        <v>2.2844712400724629E-3</v>
      </c>
      <c r="I25" s="704">
        <v>2.2844712400724629E-3</v>
      </c>
      <c r="J25" s="15">
        <v>1</v>
      </c>
      <c r="K25" s="15">
        <v>0</v>
      </c>
    </row>
    <row r="26" spans="1:11" ht="12.75" customHeight="1">
      <c r="A26" s="17" t="s">
        <v>67</v>
      </c>
      <c r="B26" s="16" t="s">
        <v>68</v>
      </c>
      <c r="C26" s="701">
        <v>3.6696344397441336E-3</v>
      </c>
      <c r="D26" s="702">
        <v>3.1499380134078422E-2</v>
      </c>
      <c r="E26" s="703">
        <v>0.56076431938866034</v>
      </c>
      <c r="F26" s="703">
        <v>0.40406666603751434</v>
      </c>
      <c r="G26" s="704">
        <v>0</v>
      </c>
      <c r="H26" s="704">
        <v>2.5067850270187519E-3</v>
      </c>
      <c r="I26" s="704">
        <v>2.5067850270187519E-3</v>
      </c>
      <c r="J26" s="15">
        <v>1</v>
      </c>
      <c r="K26" s="15">
        <v>0</v>
      </c>
    </row>
    <row r="27" spans="1:11" ht="15">
      <c r="A27" s="17" t="s">
        <v>118</v>
      </c>
      <c r="B27" s="16" t="s">
        <v>119</v>
      </c>
      <c r="C27" s="701">
        <v>0.40773499098901206</v>
      </c>
      <c r="D27" s="702">
        <v>0.55140389001320556</v>
      </c>
      <c r="E27" s="703">
        <v>1.3469346951192208E-2</v>
      </c>
      <c r="F27" s="703">
        <v>2.7391772046589363E-2</v>
      </c>
      <c r="G27" s="704">
        <v>1.1754641082302216E-3</v>
      </c>
      <c r="H27" s="704">
        <v>1.386719767616692E-5</v>
      </c>
      <c r="I27" s="704">
        <v>1.1754641082302216E-3</v>
      </c>
      <c r="J27" s="15">
        <v>1.179721063286685E-2</v>
      </c>
      <c r="K27" s="15">
        <v>1</v>
      </c>
    </row>
    <row r="28" spans="1:11" ht="15">
      <c r="A28" s="17" t="s">
        <v>61</v>
      </c>
      <c r="B28" s="16" t="s">
        <v>62</v>
      </c>
      <c r="C28" s="701">
        <v>8.9473960760131505E-3</v>
      </c>
      <c r="D28" s="702">
        <v>4.2581477373051027E-2</v>
      </c>
      <c r="E28" s="703">
        <v>0.52714991710093428</v>
      </c>
      <c r="F28" s="703">
        <v>0.42132120944999413</v>
      </c>
      <c r="G28" s="704">
        <v>0</v>
      </c>
      <c r="H28" s="704">
        <v>2.0660739342383619E-3</v>
      </c>
      <c r="I28" s="704">
        <v>2.0660739342383619E-3</v>
      </c>
      <c r="J28" s="15">
        <v>1</v>
      </c>
      <c r="K28" s="15">
        <v>0</v>
      </c>
    </row>
    <row r="29" spans="1:11" ht="15">
      <c r="A29" s="17" t="s">
        <v>53</v>
      </c>
      <c r="B29" s="16" t="s">
        <v>54</v>
      </c>
      <c r="C29" s="701">
        <v>0.49700685900379671</v>
      </c>
      <c r="D29" s="702">
        <v>0.47328490777179594</v>
      </c>
      <c r="E29" s="703">
        <v>1.1900265902474437E-2</v>
      </c>
      <c r="F29" s="703">
        <v>1.7807967321933744E-2</v>
      </c>
      <c r="G29" s="704">
        <v>5.1732396968323159E-4</v>
      </c>
      <c r="H29" s="704">
        <v>3.6991588804877516E-6</v>
      </c>
      <c r="I29" s="704">
        <v>5.1732396968323159E-4</v>
      </c>
      <c r="J29" s="15">
        <v>1.2797210632866899E-2</v>
      </c>
      <c r="K29" s="15">
        <v>1</v>
      </c>
    </row>
    <row r="30" spans="1:11" ht="15">
      <c r="A30" s="17" t="s">
        <v>63</v>
      </c>
      <c r="B30" s="16" t="s">
        <v>64</v>
      </c>
      <c r="C30" s="701">
        <v>0.39887508410725198</v>
      </c>
      <c r="D30" s="702">
        <v>0.32984942169140868</v>
      </c>
      <c r="E30" s="703">
        <v>0.14542576263497745</v>
      </c>
      <c r="F30" s="703">
        <v>0.12584973156636065</v>
      </c>
      <c r="G30" s="704">
        <v>1.6924526051407675E-4</v>
      </c>
      <c r="H30" s="704">
        <v>9.8874924790515057E-5</v>
      </c>
      <c r="I30" s="704">
        <v>1.6924526051407675E-4</v>
      </c>
      <c r="J30" s="15">
        <v>0.58421089305653706</v>
      </c>
      <c r="K30" s="15">
        <v>1</v>
      </c>
    </row>
    <row r="31" spans="1:11" ht="15">
      <c r="A31" s="17" t="s">
        <v>120</v>
      </c>
      <c r="B31" s="16" t="s">
        <v>121</v>
      </c>
      <c r="C31" s="701">
        <v>0.41021487959640013</v>
      </c>
      <c r="D31" s="702">
        <v>0.29547013011704087</v>
      </c>
      <c r="E31" s="703">
        <v>0.16666745318404536</v>
      </c>
      <c r="F31" s="703">
        <v>0.12764753710251686</v>
      </c>
      <c r="G31" s="704">
        <v>1.4793678994600131E-4</v>
      </c>
      <c r="H31" s="704">
        <v>1.1907179398654979E-4</v>
      </c>
      <c r="I31" s="704">
        <v>1.4793678994600131E-4</v>
      </c>
      <c r="J31" s="15">
        <v>0.80488290999157419</v>
      </c>
      <c r="K31" s="15">
        <v>1</v>
      </c>
    </row>
    <row r="32" spans="1:11" ht="15">
      <c r="A32" s="17" t="s">
        <v>122</v>
      </c>
      <c r="B32" s="16" t="s">
        <v>123</v>
      </c>
      <c r="C32" s="701">
        <v>0.41947032390521116</v>
      </c>
      <c r="D32" s="702">
        <v>0.28550906384915853</v>
      </c>
      <c r="E32" s="703">
        <v>0.17539391607488122</v>
      </c>
      <c r="F32" s="703">
        <v>0.11962669617074741</v>
      </c>
      <c r="G32" s="704">
        <v>4.2892015499021685E-4</v>
      </c>
      <c r="H32" s="704">
        <v>2.9502333167923936E-4</v>
      </c>
      <c r="I32" s="704">
        <v>4.2892015499021685E-4</v>
      </c>
      <c r="J32" s="15">
        <v>0.68782809165488734</v>
      </c>
      <c r="K32" s="15">
        <v>1</v>
      </c>
    </row>
    <row r="33" spans="1:11" ht="15">
      <c r="A33" s="17" t="s">
        <v>124</v>
      </c>
      <c r="B33" s="16" t="s">
        <v>125</v>
      </c>
      <c r="C33" s="701">
        <v>0.41947032307658616</v>
      </c>
      <c r="D33" s="702">
        <v>0.28550906485017546</v>
      </c>
      <c r="E33" s="703">
        <v>0.17539391643834748</v>
      </c>
      <c r="F33" s="703">
        <v>0.11962669563488995</v>
      </c>
      <c r="G33" s="704">
        <v>3.2922812075372426E-2</v>
      </c>
      <c r="H33" s="704">
        <v>3.7961398809189299E-2</v>
      </c>
      <c r="I33" s="704">
        <v>3.7961398809189299E-2</v>
      </c>
      <c r="J33" s="15">
        <v>1</v>
      </c>
      <c r="K33" s="15">
        <v>0.86727078316731609</v>
      </c>
    </row>
    <row r="34" spans="1:11" ht="12.75" customHeight="1">
      <c r="A34" s="17" t="s">
        <v>126</v>
      </c>
      <c r="B34" s="16" t="s">
        <v>127</v>
      </c>
      <c r="C34" s="701">
        <v>0.41214224485715417</v>
      </c>
      <c r="D34" s="702">
        <v>0.28499403202910012</v>
      </c>
      <c r="E34" s="703">
        <v>0.17374810381821085</v>
      </c>
      <c r="F34" s="703">
        <v>0.12911561929553139</v>
      </c>
      <c r="G34" s="704">
        <v>2.616313489643642E-4</v>
      </c>
      <c r="H34" s="704">
        <v>1.221608523980823E-4</v>
      </c>
      <c r="I34" s="704">
        <v>2.616313489643642E-4</v>
      </c>
      <c r="J34" s="15">
        <v>0.46691978190549849</v>
      </c>
      <c r="K34" s="15">
        <v>1</v>
      </c>
    </row>
    <row r="35" spans="1:11" ht="15">
      <c r="A35" s="17" t="s">
        <v>128</v>
      </c>
      <c r="B35" s="16" t="s">
        <v>129</v>
      </c>
      <c r="C35" s="701">
        <v>0.41094655092042198</v>
      </c>
      <c r="D35" s="702">
        <v>0.28919036110371915</v>
      </c>
      <c r="E35" s="703">
        <v>0.17094693371889338</v>
      </c>
      <c r="F35" s="703">
        <v>0.12891615425696562</v>
      </c>
      <c r="G35" s="704">
        <v>1.8213651408596307E-4</v>
      </c>
      <c r="H35" s="704">
        <v>1.3477422067934209E-4</v>
      </c>
      <c r="I35" s="704">
        <v>1.8213651408596307E-4</v>
      </c>
      <c r="J35" s="15">
        <v>0.73996266677055555</v>
      </c>
      <c r="K35" s="15">
        <v>1</v>
      </c>
    </row>
    <row r="36" spans="1:11" ht="15">
      <c r="A36" s="17" t="s">
        <v>81</v>
      </c>
      <c r="B36" s="16" t="s">
        <v>82</v>
      </c>
      <c r="C36" s="701">
        <v>0.29037644648682287</v>
      </c>
      <c r="D36" s="702">
        <v>0.33301896625941091</v>
      </c>
      <c r="E36" s="703">
        <v>0.17123511526574353</v>
      </c>
      <c r="F36" s="703">
        <v>0.20536947198801875</v>
      </c>
      <c r="G36" s="704">
        <v>1.0272234165176457E-4</v>
      </c>
      <c r="H36" s="704">
        <v>1.4077611217929131E-4</v>
      </c>
      <c r="I36" s="704">
        <v>1.4077611217929131E-4</v>
      </c>
      <c r="J36" s="15">
        <v>1</v>
      </c>
      <c r="K36" s="15">
        <v>0.72968588250923028</v>
      </c>
    </row>
    <row r="37" spans="1:11" ht="15">
      <c r="A37" s="17" t="s">
        <v>57</v>
      </c>
      <c r="B37" s="16" t="s">
        <v>58</v>
      </c>
      <c r="C37" s="701">
        <v>0.3631890011799554</v>
      </c>
      <c r="D37" s="702">
        <v>0.35551056935023706</v>
      </c>
      <c r="E37" s="703">
        <v>0.12898928768705625</v>
      </c>
      <c r="F37" s="703">
        <v>0.15231114178275273</v>
      </c>
      <c r="G37" s="704">
        <v>3.0155909738250448E-4</v>
      </c>
      <c r="H37" s="704">
        <v>5.1289596043750641E-5</v>
      </c>
      <c r="I37" s="704">
        <v>3.0155909738250448E-4</v>
      </c>
      <c r="J37" s="15">
        <v>0.17008140854956116</v>
      </c>
      <c r="K37" s="15">
        <v>1</v>
      </c>
    </row>
    <row r="38" spans="1:11" ht="15">
      <c r="A38" s="17" t="s">
        <v>59</v>
      </c>
      <c r="B38" s="16" t="s">
        <v>60</v>
      </c>
      <c r="C38" s="701">
        <v>0.19618131871042532</v>
      </c>
      <c r="D38" s="702">
        <v>0.53892600520004852</v>
      </c>
      <c r="E38" s="703">
        <v>6.1341572835154762E-2</v>
      </c>
      <c r="F38" s="703">
        <v>0.20355110325368717</v>
      </c>
      <c r="G38" s="704">
        <v>3.0653331048500002E-4</v>
      </c>
      <c r="H38" s="704">
        <v>0</v>
      </c>
      <c r="I38" s="704">
        <v>3.0653331048500002E-4</v>
      </c>
      <c r="J38" s="15">
        <v>0</v>
      </c>
      <c r="K38" s="15">
        <v>1</v>
      </c>
    </row>
    <row r="39" spans="1:11" ht="15">
      <c r="A39" s="17" t="s">
        <v>69</v>
      </c>
      <c r="B39" s="16" t="s">
        <v>70</v>
      </c>
      <c r="C39" s="701">
        <v>0.31142327380924206</v>
      </c>
      <c r="D39" s="702">
        <v>0.35413831136655455</v>
      </c>
      <c r="E39" s="703">
        <v>0.15297987282357872</v>
      </c>
      <c r="F39" s="703">
        <v>0.18145854200062109</v>
      </c>
      <c r="G39" s="704">
        <v>1.263063830755808E-4</v>
      </c>
      <c r="H39" s="704">
        <v>1.1666180909525111E-4</v>
      </c>
      <c r="I39" s="704">
        <v>1.263063830755808E-4</v>
      </c>
      <c r="J39" s="15">
        <v>0.92364143643826424</v>
      </c>
      <c r="K39" s="15">
        <v>1</v>
      </c>
    </row>
    <row r="40" spans="1:11" ht="15">
      <c r="A40" s="17" t="s">
        <v>130</v>
      </c>
      <c r="B40" s="16" t="s">
        <v>131</v>
      </c>
      <c r="C40" s="701">
        <v>0.31142327335044329</v>
      </c>
      <c r="D40" s="702">
        <v>0.35413831228784232</v>
      </c>
      <c r="E40" s="703">
        <v>0.15297987206594746</v>
      </c>
      <c r="F40" s="703">
        <v>0.1814585422957673</v>
      </c>
      <c r="G40" s="704">
        <v>1.0300695907183128E-2</v>
      </c>
      <c r="H40" s="704">
        <v>2.803368536092566E-2</v>
      </c>
      <c r="I40" s="704">
        <v>2.803368536092566E-2</v>
      </c>
      <c r="J40" s="15">
        <v>1</v>
      </c>
      <c r="K40" s="15">
        <v>0.36743994856775419</v>
      </c>
    </row>
    <row r="41" spans="1:11" ht="12.75" customHeight="1">
      <c r="A41" s="17" t="s">
        <v>55</v>
      </c>
      <c r="B41" s="16" t="s">
        <v>56</v>
      </c>
      <c r="C41" s="701">
        <v>0.28886133286555488</v>
      </c>
      <c r="D41" s="702">
        <v>0.34336687281707301</v>
      </c>
      <c r="E41" s="703">
        <v>0.16423992212117064</v>
      </c>
      <c r="F41" s="703">
        <v>0.20353187219620458</v>
      </c>
      <c r="G41" s="704">
        <v>1.0983594485423228E-4</v>
      </c>
      <c r="H41" s="704">
        <v>1.2719998925599725E-4</v>
      </c>
      <c r="I41" s="704">
        <v>1.2719998925599725E-4</v>
      </c>
      <c r="J41" s="15">
        <v>1</v>
      </c>
      <c r="K41" s="15">
        <v>0.86349020543689792</v>
      </c>
    </row>
    <row r="42" spans="1:11" ht="15">
      <c r="A42" s="17" t="s">
        <v>132</v>
      </c>
      <c r="B42" s="16" t="s">
        <v>133</v>
      </c>
      <c r="C42" s="701">
        <v>0.34674259644742772</v>
      </c>
      <c r="D42" s="702">
        <v>0.31839382367562241</v>
      </c>
      <c r="E42" s="703">
        <v>0.17032979052664329</v>
      </c>
      <c r="F42" s="703">
        <v>0.16453378935030402</v>
      </c>
      <c r="G42" s="704">
        <v>2.518420538868318E-4</v>
      </c>
      <c r="H42" s="704">
        <v>2.1496941680649898E-4</v>
      </c>
      <c r="I42" s="704">
        <v>2.518420538868318E-4</v>
      </c>
      <c r="J42" s="15">
        <v>0.85358824504781883</v>
      </c>
      <c r="K42" s="15">
        <v>1</v>
      </c>
    </row>
    <row r="43" spans="1:11" ht="15">
      <c r="A43" s="17" t="s">
        <v>71</v>
      </c>
      <c r="B43" s="16" t="s">
        <v>72</v>
      </c>
      <c r="C43" s="701">
        <v>0.340219563583397</v>
      </c>
      <c r="D43" s="702">
        <v>0.33395305321026386</v>
      </c>
      <c r="E43" s="703">
        <v>0.16064756583565565</v>
      </c>
      <c r="F43" s="703">
        <v>0.16517981737068421</v>
      </c>
      <c r="G43" s="704">
        <v>1.9578386579338292E-4</v>
      </c>
      <c r="H43" s="704">
        <v>1.5029767355891478E-4</v>
      </c>
      <c r="I43" s="704">
        <v>1.9578386579338292E-4</v>
      </c>
      <c r="J43" s="15">
        <v>0.76767139595419376</v>
      </c>
      <c r="K43" s="15">
        <v>1</v>
      </c>
    </row>
    <row r="44" spans="1:11" ht="15">
      <c r="A44" s="17" t="s">
        <v>134</v>
      </c>
      <c r="B44" s="16" t="s">
        <v>135</v>
      </c>
      <c r="C44" s="701">
        <v>6.9765619046145543E-3</v>
      </c>
      <c r="D44" s="702">
        <v>6.3304322976502445E-2</v>
      </c>
      <c r="E44" s="703">
        <v>0.63285367954371008</v>
      </c>
      <c r="F44" s="703">
        <v>0.2968654355751642</v>
      </c>
      <c r="G44" s="704">
        <v>0</v>
      </c>
      <c r="H44" s="704">
        <v>4.0656153345098277E-3</v>
      </c>
      <c r="I44" s="704">
        <v>4.0656153345098277E-3</v>
      </c>
      <c r="J44" s="15">
        <v>1</v>
      </c>
      <c r="K44" s="15">
        <v>0</v>
      </c>
    </row>
    <row r="45" spans="1:11" ht="12.75" customHeight="1">
      <c r="A45" s="17" t="s">
        <v>136</v>
      </c>
      <c r="B45" s="16" t="s">
        <v>137</v>
      </c>
      <c r="C45" s="701">
        <v>0.43191028466522002</v>
      </c>
      <c r="D45" s="702">
        <v>0.48993070549889434</v>
      </c>
      <c r="E45" s="703">
        <v>2.7189685807888411E-2</v>
      </c>
      <c r="F45" s="703">
        <v>5.0969324027997878E-2</v>
      </c>
      <c r="G45" s="704">
        <v>1.417719297433851E-3</v>
      </c>
      <c r="H45" s="704">
        <v>2.5808993312797532E-5</v>
      </c>
      <c r="I45" s="704">
        <v>1.417719297433851E-3</v>
      </c>
      <c r="J45" s="15">
        <v>1.8204586309513607E-2</v>
      </c>
      <c r="K45" s="15">
        <v>1</v>
      </c>
    </row>
    <row r="46" spans="1:11" ht="12.75" customHeight="1">
      <c r="A46" s="17" t="s">
        <v>138</v>
      </c>
      <c r="B46" s="16" t="s">
        <v>139</v>
      </c>
      <c r="C46" s="701">
        <v>2.035132933814199E-3</v>
      </c>
      <c r="D46" s="702">
        <v>1.7630517927645757E-2</v>
      </c>
      <c r="E46" s="703">
        <v>0.56994089145776539</v>
      </c>
      <c r="F46" s="703">
        <v>0.41039345768077584</v>
      </c>
      <c r="G46" s="704">
        <v>0</v>
      </c>
      <c r="H46" s="704">
        <v>2.1173729286079073E-3</v>
      </c>
      <c r="I46" s="704">
        <v>2.1173729286079073E-3</v>
      </c>
      <c r="J46" s="15">
        <v>1</v>
      </c>
      <c r="K46" s="15">
        <v>0</v>
      </c>
    </row>
    <row r="47" spans="1:11" ht="12.75" customHeight="1">
      <c r="A47" s="17" t="s">
        <v>140</v>
      </c>
      <c r="B47" s="16" t="s">
        <v>141</v>
      </c>
      <c r="C47" s="701">
        <v>0.43235339929514671</v>
      </c>
      <c r="D47" s="702">
        <v>0.54447262811477115</v>
      </c>
      <c r="E47" s="703">
        <v>7.1678947270026267E-3</v>
      </c>
      <c r="F47" s="703">
        <v>1.6006077863079435E-2</v>
      </c>
      <c r="G47" s="704">
        <v>9.4255495816972018E-4</v>
      </c>
      <c r="H47" s="704">
        <v>7.0380916909699761E-6</v>
      </c>
      <c r="I47" s="704">
        <v>9.4255495816972018E-4</v>
      </c>
      <c r="J47" s="15">
        <v>7.4670358794109376E-3</v>
      </c>
      <c r="K47" s="15">
        <v>1</v>
      </c>
    </row>
    <row r="48" spans="1:11" ht="12.75" customHeight="1">
      <c r="A48" s="17" t="s">
        <v>142</v>
      </c>
      <c r="B48" s="16" t="s">
        <v>143</v>
      </c>
      <c r="C48" s="701">
        <v>0.48752446714293329</v>
      </c>
      <c r="D48" s="702">
        <v>0.47940746450615024</v>
      </c>
      <c r="E48" s="703">
        <v>1.3077509719115319E-2</v>
      </c>
      <c r="F48" s="703">
        <v>1.9990558631801235E-2</v>
      </c>
      <c r="G48" s="704">
        <v>4.9996291948282956E-4</v>
      </c>
      <c r="H48" s="704">
        <v>5.4160415420452447E-6</v>
      </c>
      <c r="I48" s="704">
        <v>4.9996291948282956E-4</v>
      </c>
      <c r="J48" s="15">
        <v>1.083288646215542E-2</v>
      </c>
      <c r="K48" s="15">
        <v>1</v>
      </c>
    </row>
    <row r="49" spans="1:11" ht="15">
      <c r="A49" s="17" t="s">
        <v>144</v>
      </c>
      <c r="B49" s="16" t="s">
        <v>145</v>
      </c>
      <c r="C49" s="701">
        <v>0.48398868797232214</v>
      </c>
      <c r="D49" s="702">
        <v>0.45834732739745976</v>
      </c>
      <c r="E49" s="703">
        <v>2.4309640677000085E-2</v>
      </c>
      <c r="F49" s="703">
        <v>3.3354343953216729E-2</v>
      </c>
      <c r="G49" s="704">
        <v>4.9385557641286055E-4</v>
      </c>
      <c r="H49" s="704">
        <v>1.2399714083338312E-5</v>
      </c>
      <c r="I49" s="704">
        <v>4.9385557641286055E-4</v>
      </c>
      <c r="J49" s="15">
        <v>2.5107976249664172E-2</v>
      </c>
      <c r="K49" s="15">
        <v>1</v>
      </c>
    </row>
    <row r="50" spans="1:11" ht="12.75" customHeight="1">
      <c r="A50" s="17" t="s">
        <v>146</v>
      </c>
      <c r="B50" s="16" t="s">
        <v>147</v>
      </c>
      <c r="C50" s="701">
        <v>0.49047854329710655</v>
      </c>
      <c r="D50" s="702">
        <v>0.48935629086218657</v>
      </c>
      <c r="E50" s="703">
        <v>7.3859282666115392E-3</v>
      </c>
      <c r="F50" s="703">
        <v>1.2779237574094174E-2</v>
      </c>
      <c r="G50" s="704">
        <v>5.0885778297040827E-4</v>
      </c>
      <c r="H50" s="704">
        <v>1.6197909899468147E-6</v>
      </c>
      <c r="I50" s="704">
        <v>5.0885778297040827E-4</v>
      </c>
      <c r="J50" s="15">
        <v>3.183189968111406E-3</v>
      </c>
      <c r="K50" s="15">
        <v>1</v>
      </c>
    </row>
    <row r="51" spans="1:11" ht="12.75" customHeight="1">
      <c r="A51" s="17" t="s">
        <v>148</v>
      </c>
      <c r="B51" s="16" t="s">
        <v>149</v>
      </c>
      <c r="C51" s="701">
        <v>0.48608182604016181</v>
      </c>
      <c r="D51" s="702">
        <v>0.47790395327710655</v>
      </c>
      <c r="E51" s="703">
        <v>1.4442559875337685E-2</v>
      </c>
      <c r="F51" s="703">
        <v>2.1571660807394599E-2</v>
      </c>
      <c r="G51" s="704">
        <v>1.9607527239158703E-2</v>
      </c>
      <c r="H51" s="704">
        <v>2.8276649775985349E-5</v>
      </c>
      <c r="I51" s="704">
        <v>1.9607527239158703E-2</v>
      </c>
      <c r="J51" s="15">
        <v>1.4421323724856704E-3</v>
      </c>
      <c r="K51" s="15">
        <v>1</v>
      </c>
    </row>
    <row r="52" spans="1:11" ht="12.75" customHeight="1">
      <c r="A52" s="17" t="s">
        <v>150</v>
      </c>
      <c r="B52" s="16" t="s">
        <v>151</v>
      </c>
      <c r="C52" s="701">
        <v>0.48180332284303973</v>
      </c>
      <c r="D52" s="702">
        <v>0.45637856962969997</v>
      </c>
      <c r="E52" s="703">
        <v>2.6433177935784813E-2</v>
      </c>
      <c r="F52" s="703">
        <v>3.5384929591478279E-2</v>
      </c>
      <c r="G52" s="704">
        <v>1.8046728271926705E-2</v>
      </c>
      <c r="H52" s="704">
        <v>1.3982776843961709E-4</v>
      </c>
      <c r="I52" s="704">
        <v>1.8046728271926705E-2</v>
      </c>
      <c r="J52" s="15">
        <v>7.7480951856038994E-3</v>
      </c>
      <c r="K52" s="15">
        <v>1</v>
      </c>
    </row>
    <row r="53" spans="1:11" ht="12.75" customHeight="1">
      <c r="A53" s="17" t="s">
        <v>152</v>
      </c>
      <c r="B53" s="16" t="s">
        <v>153</v>
      </c>
      <c r="C53" s="701">
        <v>1.4801877326567514E-2</v>
      </c>
      <c r="D53" s="702">
        <v>7.6617453600212951E-2</v>
      </c>
      <c r="E53" s="703">
        <v>0.57731583949449927</v>
      </c>
      <c r="F53" s="703">
        <v>0.33126482957871989</v>
      </c>
      <c r="G53" s="704">
        <v>0</v>
      </c>
      <c r="H53" s="704">
        <v>3.1688400655864343E-3</v>
      </c>
      <c r="I53" s="704">
        <v>3.1688400655864343E-3</v>
      </c>
      <c r="J53" s="15">
        <v>1</v>
      </c>
      <c r="K53" s="15">
        <v>0</v>
      </c>
    </row>
    <row r="54" spans="1:11" ht="12.75" customHeight="1">
      <c r="A54" s="17" t="s">
        <v>154</v>
      </c>
      <c r="B54" s="16" t="s">
        <v>155</v>
      </c>
      <c r="C54" s="701">
        <v>0.49637723466280148</v>
      </c>
      <c r="D54" s="702">
        <v>0.4511231332729696</v>
      </c>
      <c r="E54" s="703">
        <v>2.2690415859071302E-2</v>
      </c>
      <c r="F54" s="703">
        <v>2.9809216205157883E-2</v>
      </c>
      <c r="G54" s="704">
        <v>5.1536264942075741E-4</v>
      </c>
      <c r="H54" s="704">
        <v>1.0897456456564364E-5</v>
      </c>
      <c r="I54" s="704">
        <v>5.1536264942075741E-4</v>
      </c>
      <c r="J54" s="15">
        <v>2.1145219718217017E-2</v>
      </c>
      <c r="K54" s="15">
        <v>1</v>
      </c>
    </row>
    <row r="55" spans="1:11" ht="12.75" customHeight="1">
      <c r="A55" s="17" t="s">
        <v>156</v>
      </c>
      <c r="B55" s="16" t="s">
        <v>157</v>
      </c>
      <c r="C55" s="701">
        <v>0.48950094124365789</v>
      </c>
      <c r="D55" s="702">
        <v>0.48840604257737513</v>
      </c>
      <c r="E55" s="703">
        <v>8.2138045535136237E-3</v>
      </c>
      <c r="F55" s="703">
        <v>1.3879211625454042E-2</v>
      </c>
      <c r="G55" s="704">
        <v>2.0957786292431991E-2</v>
      </c>
      <c r="H55" s="704">
        <v>4.5101734963187809E-6</v>
      </c>
      <c r="I55" s="704">
        <v>2.0957786292431991E-2</v>
      </c>
      <c r="J55" s="15">
        <v>2.1520276203729769E-4</v>
      </c>
      <c r="K55" s="15">
        <v>1</v>
      </c>
    </row>
    <row r="56" spans="1:11" ht="12.75" customHeight="1">
      <c r="A56" s="17" t="s">
        <v>158</v>
      </c>
      <c r="B56" s="16" t="s">
        <v>159</v>
      </c>
      <c r="C56" s="701">
        <v>0.48557840587731566</v>
      </c>
      <c r="D56" s="702">
        <v>0.47802191678888778</v>
      </c>
      <c r="E56" s="703">
        <v>1.4575494810891385E-2</v>
      </c>
      <c r="F56" s="703">
        <v>2.1824182522906369E-2</v>
      </c>
      <c r="G56" s="704">
        <v>1.9563283522170266E-2</v>
      </c>
      <c r="H56" s="704">
        <v>2.2363754328690971E-5</v>
      </c>
      <c r="I56" s="704">
        <v>1.9563283522170266E-2</v>
      </c>
      <c r="J56" s="15">
        <v>1.1431493237496174E-3</v>
      </c>
      <c r="K56" s="15">
        <v>1</v>
      </c>
    </row>
    <row r="57" spans="1:11" ht="12.75" customHeight="1">
      <c r="A57" s="17" t="s">
        <v>160</v>
      </c>
      <c r="B57" s="16" t="s">
        <v>161</v>
      </c>
      <c r="C57" s="701">
        <v>0.48116526174499052</v>
      </c>
      <c r="D57" s="702">
        <v>0.45653502423265296</v>
      </c>
      <c r="E57" s="703">
        <v>2.6609054553469933E-2</v>
      </c>
      <c r="F57" s="703">
        <v>3.5690659468887623E-2</v>
      </c>
      <c r="G57" s="704">
        <v>1.8021464707140333E-2</v>
      </c>
      <c r="H57" s="704">
        <v>1.1850166499811001E-4</v>
      </c>
      <c r="I57" s="704">
        <v>1.8021464707140333E-2</v>
      </c>
      <c r="J57" s="15">
        <v>6.5755845556303835E-3</v>
      </c>
      <c r="K57" s="15">
        <v>1</v>
      </c>
    </row>
    <row r="58" spans="1:11" ht="12.75" customHeight="1">
      <c r="A58" s="17" t="s">
        <v>162</v>
      </c>
      <c r="B58" s="16" t="s">
        <v>163</v>
      </c>
      <c r="C58" s="701">
        <v>0.48913617802261583</v>
      </c>
      <c r="D58" s="702">
        <v>0.48856666910084479</v>
      </c>
      <c r="E58" s="703">
        <v>8.2936505710813953E-3</v>
      </c>
      <c r="F58" s="703">
        <v>1.400350230546067E-2</v>
      </c>
      <c r="G58" s="704">
        <v>2.0905622333486484E-2</v>
      </c>
      <c r="H58" s="704">
        <v>3.1250938997281027E-6</v>
      </c>
      <c r="I58" s="704">
        <v>2.0905622333486484E-2</v>
      </c>
      <c r="J58" s="15">
        <v>1.4948581055739961E-4</v>
      </c>
      <c r="K58" s="15">
        <v>1</v>
      </c>
    </row>
    <row r="59" spans="1:11" ht="12.75" customHeight="1">
      <c r="A59" s="17" t="s">
        <v>164</v>
      </c>
      <c r="B59" s="16" t="s">
        <v>165</v>
      </c>
      <c r="C59" s="701">
        <v>6.1290850271084165E-3</v>
      </c>
      <c r="D59" s="702">
        <v>2.608737710607514E-2</v>
      </c>
      <c r="E59" s="703">
        <v>0.54261945598422712</v>
      </c>
      <c r="F59" s="703">
        <v>0.42516408188259697</v>
      </c>
      <c r="G59" s="704">
        <v>0</v>
      </c>
      <c r="H59" s="704">
        <v>1.7838667211768639E-3</v>
      </c>
      <c r="I59" s="704">
        <v>1.7838667211768639E-3</v>
      </c>
      <c r="J59" s="15">
        <v>1</v>
      </c>
      <c r="K59" s="15">
        <v>0</v>
      </c>
    </row>
    <row r="60" spans="1:11" ht="12.75" customHeight="1">
      <c r="A60" s="17" t="s">
        <v>166</v>
      </c>
      <c r="B60" s="16" t="s">
        <v>167</v>
      </c>
      <c r="C60" s="701">
        <v>0.49849213597738473</v>
      </c>
      <c r="D60" s="702">
        <v>0.48419964564467821</v>
      </c>
      <c r="E60" s="703">
        <v>6.2719415946172804E-3</v>
      </c>
      <c r="F60" s="703">
        <v>1.1036276783319122E-2</v>
      </c>
      <c r="G60" s="704">
        <v>5.2406634581231163E-4</v>
      </c>
      <c r="H60" s="704">
        <v>2.1675017568976152E-6</v>
      </c>
      <c r="I60" s="704">
        <v>5.2406634581231163E-4</v>
      </c>
      <c r="J60" s="15">
        <v>4.1359300672855672E-3</v>
      </c>
      <c r="K60" s="15">
        <v>1</v>
      </c>
    </row>
    <row r="61" spans="1:11" ht="12.75" customHeight="1">
      <c r="A61" s="17" t="s">
        <v>168</v>
      </c>
      <c r="B61" s="16" t="s">
        <v>169</v>
      </c>
      <c r="C61" s="701">
        <v>0.49747768729332326</v>
      </c>
      <c r="D61" s="702">
        <v>0.4716221878505053</v>
      </c>
      <c r="E61" s="703">
        <v>1.2419374142483447E-2</v>
      </c>
      <c r="F61" s="703">
        <v>1.8480750713686319E-2</v>
      </c>
      <c r="G61" s="704">
        <v>2.0314141376819646E-2</v>
      </c>
      <c r="H61" s="704">
        <v>9.131281588459943E-6</v>
      </c>
      <c r="I61" s="704">
        <v>2.0314141376819646E-2</v>
      </c>
      <c r="J61" s="15">
        <v>4.495036939577273E-4</v>
      </c>
      <c r="K61" s="15">
        <v>1</v>
      </c>
    </row>
    <row r="62" spans="1:11" ht="12.75" customHeight="1">
      <c r="A62" s="17" t="s">
        <v>170</v>
      </c>
      <c r="B62" s="16" t="s">
        <v>171</v>
      </c>
      <c r="C62" s="701">
        <v>3.5754151129230721E-3</v>
      </c>
      <c r="D62" s="702">
        <v>3.06768942770662E-2</v>
      </c>
      <c r="E62" s="703">
        <v>0.53929179691874818</v>
      </c>
      <c r="F62" s="703">
        <v>0.42645589369126891</v>
      </c>
      <c r="G62" s="704">
        <v>0</v>
      </c>
      <c r="H62" s="704">
        <v>2.2048314796820649E-3</v>
      </c>
      <c r="I62" s="704">
        <v>2.2048314796820649E-3</v>
      </c>
      <c r="J62" s="15">
        <v>1</v>
      </c>
      <c r="K62" s="15">
        <v>0</v>
      </c>
    </row>
    <row r="63" spans="1:11" ht="15">
      <c r="A63" s="17" t="s">
        <v>172</v>
      </c>
      <c r="B63" s="16" t="s">
        <v>173</v>
      </c>
      <c r="C63" s="701">
        <v>0.50157981856853129</v>
      </c>
      <c r="D63" s="702">
        <v>0.47139377877491784</v>
      </c>
      <c r="E63" s="703">
        <v>1.066598968560406E-2</v>
      </c>
      <c r="F63" s="703">
        <v>1.6360412970945863E-2</v>
      </c>
      <c r="G63" s="704">
        <v>5.3159991981860388E-4</v>
      </c>
      <c r="H63" s="704">
        <v>1.2084447137840902E-6</v>
      </c>
      <c r="I63" s="704">
        <v>5.3159991981860388E-4</v>
      </c>
      <c r="J63" s="15">
        <v>2.273222152095967E-3</v>
      </c>
      <c r="K63" s="15">
        <v>1</v>
      </c>
    </row>
    <row r="64" spans="1:11" ht="15">
      <c r="A64" s="17" t="s">
        <v>174</v>
      </c>
      <c r="B64" s="16" t="s">
        <v>175</v>
      </c>
      <c r="C64" s="701">
        <v>0.49657181885846025</v>
      </c>
      <c r="D64" s="702">
        <v>0.44921193419471789</v>
      </c>
      <c r="E64" s="703">
        <v>2.3529383726539961E-2</v>
      </c>
      <c r="F64" s="703">
        <v>3.0686863220282599E-2</v>
      </c>
      <c r="G64" s="704">
        <v>1.8794410032789619E-2</v>
      </c>
      <c r="H64" s="704">
        <v>5.8241499794033532E-5</v>
      </c>
      <c r="I64" s="704">
        <v>1.8794410032789619E-2</v>
      </c>
      <c r="J64" s="15">
        <v>3.0988735316736546E-3</v>
      </c>
      <c r="K64" s="15">
        <v>1</v>
      </c>
    </row>
    <row r="65" spans="1:20" ht="12.75" customHeight="1">
      <c r="A65" s="17" t="s">
        <v>176</v>
      </c>
      <c r="B65" s="16" t="s">
        <v>177</v>
      </c>
      <c r="C65" s="701">
        <v>6.7032322293027972E-3</v>
      </c>
      <c r="D65" s="702">
        <v>6.0198797132066301E-2</v>
      </c>
      <c r="E65" s="703">
        <v>0.61559381654612055</v>
      </c>
      <c r="F65" s="703">
        <v>0.31750415409252419</v>
      </c>
      <c r="G65" s="704">
        <v>0</v>
      </c>
      <c r="H65" s="704">
        <v>3.519110293163985E-3</v>
      </c>
      <c r="I65" s="831">
        <v>3.519110293163985E-3</v>
      </c>
      <c r="J65" s="15">
        <v>1</v>
      </c>
      <c r="K65" s="15">
        <v>0</v>
      </c>
    </row>
    <row r="66" spans="1:20" ht="12.75" customHeight="1">
      <c r="A66" s="17" t="s">
        <v>178</v>
      </c>
      <c r="B66" s="16" t="s">
        <v>179</v>
      </c>
      <c r="C66" s="701">
        <v>0.50216783236542262</v>
      </c>
      <c r="D66" s="702">
        <v>0.44920776250743694</v>
      </c>
      <c r="E66" s="703">
        <v>2.0808276612522443E-2</v>
      </c>
      <c r="F66" s="703">
        <v>2.7816128514617785E-2</v>
      </c>
      <c r="G66" s="704">
        <v>5.3205968597659712E-4</v>
      </c>
      <c r="H66" s="704">
        <v>9.2062032424056506E-6</v>
      </c>
      <c r="I66" s="831">
        <v>5.3205968597659712E-4</v>
      </c>
      <c r="J66" s="15">
        <v>1.7302952065439119E-2</v>
      </c>
      <c r="K66" s="15">
        <v>1</v>
      </c>
    </row>
    <row r="67" spans="1:20" ht="12.75" customHeight="1">
      <c r="A67" s="17" t="s">
        <v>180</v>
      </c>
      <c r="B67" s="16" t="s">
        <v>181</v>
      </c>
      <c r="C67" s="701">
        <v>0.49877447229987609</v>
      </c>
      <c r="D67" s="702">
        <v>0.4824490839128408</v>
      </c>
      <c r="E67" s="703">
        <v>7.0120740444124113E-3</v>
      </c>
      <c r="F67" s="703">
        <v>1.1764369742871018E-2</v>
      </c>
      <c r="G67" s="704">
        <v>2.1642030596003514E-2</v>
      </c>
      <c r="H67" s="704">
        <v>3.4019955568195528E-6</v>
      </c>
      <c r="I67" s="831">
        <v>2.1642030596003514E-2</v>
      </c>
      <c r="J67" s="15">
        <v>1.5719391679668802E-4</v>
      </c>
      <c r="K67" s="15">
        <v>1</v>
      </c>
    </row>
    <row r="68" spans="1:20" ht="12.75" customHeight="1">
      <c r="A68" s="17" t="s">
        <v>182</v>
      </c>
      <c r="B68" s="16" t="s">
        <v>183</v>
      </c>
      <c r="C68" s="701">
        <v>2.0473471643279824E-3</v>
      </c>
      <c r="D68" s="702">
        <v>1.7849213006386217E-2</v>
      </c>
      <c r="E68" s="703">
        <v>0.55004521092603065</v>
      </c>
      <c r="F68" s="703">
        <v>0.43005822890325496</v>
      </c>
      <c r="G68" s="704">
        <v>0</v>
      </c>
      <c r="H68" s="704">
        <v>1.8384697893993978E-3</v>
      </c>
      <c r="I68" s="831">
        <v>1.8384697893993978E-3</v>
      </c>
      <c r="J68" s="15">
        <v>1</v>
      </c>
      <c r="K68" s="15">
        <v>0</v>
      </c>
    </row>
    <row r="69" spans="1:20" ht="12.75" customHeight="1">
      <c r="A69" s="17" t="s">
        <v>184</v>
      </c>
      <c r="B69" s="16" t="s">
        <v>185</v>
      </c>
      <c r="C69" s="701">
        <v>0.50189510458821751</v>
      </c>
      <c r="D69" s="702">
        <v>0.48187524957851879</v>
      </c>
      <c r="E69" s="703">
        <v>5.8853402907357664E-3</v>
      </c>
      <c r="F69" s="703">
        <v>1.0344305542528298E-2</v>
      </c>
      <c r="G69" s="704">
        <v>5.3639306337398089E-4</v>
      </c>
      <c r="H69" s="704">
        <v>1.1610730622756685E-6</v>
      </c>
      <c r="I69" s="831">
        <v>5.3639306337398089E-4</v>
      </c>
      <c r="J69" s="15">
        <v>2.1645937308964634E-3</v>
      </c>
      <c r="K69" s="15">
        <v>1</v>
      </c>
    </row>
    <row r="70" spans="1:20" ht="12.75" customHeight="1">
      <c r="A70" s="17" t="s">
        <v>186</v>
      </c>
      <c r="B70" s="16" t="s">
        <v>187</v>
      </c>
      <c r="C70" s="701">
        <v>0.49589006811154435</v>
      </c>
      <c r="D70" s="702">
        <v>0.47086321164654299</v>
      </c>
      <c r="E70" s="703">
        <v>1.3483940473475783E-2</v>
      </c>
      <c r="F70" s="703">
        <v>1.9762779768436087E-2</v>
      </c>
      <c r="G70" s="704">
        <v>2.0068016484796069E-2</v>
      </c>
      <c r="H70" s="704">
        <v>6.9011045060036127E-5</v>
      </c>
      <c r="I70" s="831">
        <v>2.0068016484796069E-2</v>
      </c>
      <c r="J70" s="15">
        <v>3.4388573037260695E-3</v>
      </c>
      <c r="K70" s="15">
        <v>1</v>
      </c>
    </row>
    <row r="71" spans="1:20" ht="12.75" customHeight="1">
      <c r="A71" s="17" t="s">
        <v>188</v>
      </c>
      <c r="B71" s="16" t="s">
        <v>189</v>
      </c>
      <c r="C71" s="701">
        <v>0.49469389347342119</v>
      </c>
      <c r="D71" s="702">
        <v>0.44829398623981437</v>
      </c>
      <c r="E71" s="703">
        <v>2.5051962257273575E-2</v>
      </c>
      <c r="F71" s="703">
        <v>3.1960158029490586E-2</v>
      </c>
      <c r="G71" s="704">
        <v>1.85387971325379E-2</v>
      </c>
      <c r="H71" s="704">
        <v>2.8206254902269886E-4</v>
      </c>
      <c r="I71" s="831">
        <v>1.85387971325379E-2</v>
      </c>
      <c r="J71" s="15">
        <v>1.5214716845228536E-2</v>
      </c>
      <c r="K71" s="15">
        <v>1</v>
      </c>
      <c r="N71" s="18"/>
      <c r="O71" s="19"/>
      <c r="P71" s="19"/>
      <c r="Q71" s="19"/>
      <c r="R71" s="19"/>
      <c r="S71" s="20"/>
      <c r="T71" s="21"/>
    </row>
    <row r="72" spans="1:20" ht="12.75" customHeight="1">
      <c r="A72" s="17" t="s">
        <v>190</v>
      </c>
      <c r="B72" s="16" t="s">
        <v>191</v>
      </c>
      <c r="C72" s="701">
        <v>0.49795275237944997</v>
      </c>
      <c r="D72" s="702">
        <v>0.48236383737810384</v>
      </c>
      <c r="E72" s="703">
        <v>7.2770400112402633E-3</v>
      </c>
      <c r="F72" s="703">
        <v>1.2406370231205756E-2</v>
      </c>
      <c r="G72" s="704">
        <v>2.1435846885599713E-2</v>
      </c>
      <c r="H72" s="704">
        <v>2.4351340474690319E-5</v>
      </c>
      <c r="I72" s="831">
        <v>2.1435846885599713E-2</v>
      </c>
      <c r="J72" s="15">
        <v>1.1360101891308616E-3</v>
      </c>
      <c r="K72" s="15">
        <v>1</v>
      </c>
      <c r="N72" s="18"/>
      <c r="O72" s="19"/>
      <c r="P72" s="19"/>
      <c r="Q72" s="19"/>
      <c r="R72" s="19"/>
      <c r="S72" s="20"/>
      <c r="T72" s="21"/>
    </row>
    <row r="73" spans="1:20" ht="15">
      <c r="A73" s="22" t="s">
        <v>47</v>
      </c>
      <c r="B73" s="16" t="s">
        <v>48</v>
      </c>
      <c r="C73" s="832">
        <v>0.29442167924007534</v>
      </c>
      <c r="D73" s="833">
        <v>0.48525451650150458</v>
      </c>
      <c r="E73" s="833">
        <v>0.12483988249490416</v>
      </c>
      <c r="F73" s="833">
        <v>9.5483921763516097E-2</v>
      </c>
      <c r="G73" s="131"/>
      <c r="H73" s="131"/>
      <c r="I73" s="225">
        <v>6.6859344894026982E-4</v>
      </c>
      <c r="J73" s="834">
        <v>0.2</v>
      </c>
      <c r="K73" s="834">
        <v>0.5</v>
      </c>
      <c r="N73" s="21"/>
      <c r="O73" s="21"/>
      <c r="P73" s="21"/>
      <c r="Q73" s="21"/>
      <c r="R73" s="21"/>
      <c r="S73" s="21"/>
      <c r="T73" s="21"/>
    </row>
    <row r="74" spans="1:20" s="131" customFormat="1" ht="15">
      <c r="A74" s="17" t="s">
        <v>536</v>
      </c>
      <c r="B74" s="223" t="s">
        <v>538</v>
      </c>
      <c r="C74" s="224">
        <v>0.43</v>
      </c>
      <c r="D74" s="224">
        <v>0.24</v>
      </c>
      <c r="E74" s="224">
        <v>0.21</v>
      </c>
      <c r="F74" s="224">
        <v>0.12</v>
      </c>
      <c r="I74" s="225">
        <f>1/(2.9*(365))</f>
        <v>9.4473311289560704E-4</v>
      </c>
      <c r="J74" s="226">
        <v>0.14000000000000001</v>
      </c>
      <c r="K74" s="226">
        <v>0.18</v>
      </c>
      <c r="N74" s="227"/>
      <c r="O74" s="227"/>
      <c r="P74" s="227"/>
      <c r="Q74" s="227"/>
      <c r="R74" s="227"/>
      <c r="S74" s="227"/>
      <c r="T74" s="227"/>
    </row>
    <row r="75" spans="1:20" s="131" customFormat="1" ht="15">
      <c r="A75" s="17" t="s">
        <v>539</v>
      </c>
      <c r="B75" s="223" t="s">
        <v>540</v>
      </c>
      <c r="C75" s="224">
        <v>0.43</v>
      </c>
      <c r="D75" s="224">
        <v>0.24</v>
      </c>
      <c r="E75" s="224">
        <v>0.21</v>
      </c>
      <c r="F75" s="224">
        <v>0.12</v>
      </c>
      <c r="I75" s="225">
        <f>1/(2.7*(365))</f>
        <v>1.0147133434804667E-3</v>
      </c>
      <c r="J75" s="226">
        <v>0.13</v>
      </c>
      <c r="K75" s="226">
        <v>0.16</v>
      </c>
    </row>
    <row r="76" spans="1:20" s="131" customFormat="1" ht="15">
      <c r="A76" s="17" t="s">
        <v>537</v>
      </c>
      <c r="B76" s="223" t="s">
        <v>541</v>
      </c>
      <c r="C76" s="224">
        <v>6.1341572835154762E-2</v>
      </c>
      <c r="D76" s="224">
        <v>0.20355110325368717</v>
      </c>
      <c r="E76" s="224">
        <v>0.19618131871042532</v>
      </c>
      <c r="F76" s="224">
        <v>0.53892600520004852</v>
      </c>
      <c r="I76" s="225">
        <f>1/(2.9*(365))</f>
        <v>9.4473311289560704E-4</v>
      </c>
      <c r="J76" s="224">
        <v>0.14000000000000001</v>
      </c>
      <c r="K76" s="224">
        <v>0.18</v>
      </c>
    </row>
    <row r="77" spans="1:20" s="131" customFormat="1" ht="15">
      <c r="A77" s="17" t="s">
        <v>542</v>
      </c>
      <c r="B77" s="223" t="s">
        <v>543</v>
      </c>
      <c r="C77" s="224">
        <v>6.1341572835154762E-2</v>
      </c>
      <c r="D77" s="224">
        <v>0.20355110325368717</v>
      </c>
      <c r="E77" s="224">
        <v>0.19618131871042532</v>
      </c>
      <c r="F77" s="224">
        <v>0.53892600520004852</v>
      </c>
      <c r="I77" s="225">
        <f>1/(2.7*(365))</f>
        <v>1.0147133434804667E-3</v>
      </c>
      <c r="J77" s="226">
        <v>0.13</v>
      </c>
      <c r="K77" s="226">
        <v>0.16</v>
      </c>
    </row>
    <row r="78" spans="1:20" ht="15">
      <c r="A78" s="17" t="s">
        <v>717</v>
      </c>
      <c r="B78" s="223" t="s">
        <v>718</v>
      </c>
      <c r="C78" s="701">
        <v>0.37811107066668143</v>
      </c>
      <c r="D78" s="702">
        <v>0.61526683076153199</v>
      </c>
      <c r="E78" s="703">
        <v>1.7402036484173826E-3</v>
      </c>
      <c r="F78" s="703">
        <v>4.8818949233697577E-3</v>
      </c>
      <c r="G78" s="704">
        <v>5.3381390534849307E-4</v>
      </c>
      <c r="H78" s="704">
        <v>1.8658008757482398E-6</v>
      </c>
      <c r="I78" s="704">
        <v>5.3381390534849307E-4</v>
      </c>
      <c r="J78" s="15">
        <v>3.4952271888274949E-3</v>
      </c>
      <c r="K78" s="15">
        <v>1</v>
      </c>
    </row>
    <row r="79" spans="1:20" ht="15">
      <c r="A79" s="22" t="s">
        <v>832</v>
      </c>
      <c r="B79" s="700" t="s">
        <v>835</v>
      </c>
      <c r="C79" s="701">
        <v>0.25977015867585962</v>
      </c>
      <c r="D79" s="702">
        <v>0.43122583252909469</v>
      </c>
      <c r="E79" s="703">
        <v>0.17372085177386687</v>
      </c>
      <c r="F79" s="703">
        <v>0.13528315702117888</v>
      </c>
      <c r="G79" s="704"/>
      <c r="H79" s="704"/>
      <c r="I79" s="704">
        <v>7.129186602870813E-4</v>
      </c>
      <c r="J79" s="15">
        <v>1</v>
      </c>
      <c r="K79" s="15">
        <v>0.51</v>
      </c>
    </row>
    <row r="80" spans="1:20" ht="15">
      <c r="A80" s="22" t="s">
        <v>834</v>
      </c>
      <c r="B80" s="700" t="s">
        <v>836</v>
      </c>
      <c r="C80" s="701">
        <v>0.23002062535084983</v>
      </c>
      <c r="D80" s="702">
        <v>0.38496005919697263</v>
      </c>
      <c r="E80" s="703">
        <v>0.21695479290710451</v>
      </c>
      <c r="F80" s="703">
        <v>0.16806452254507298</v>
      </c>
      <c r="G80" s="704"/>
      <c r="H80" s="704"/>
      <c r="I80" s="704">
        <v>8.9244186046511626E-4</v>
      </c>
      <c r="J80" s="15">
        <v>1</v>
      </c>
      <c r="K80" s="15">
        <v>0.43648208469055377</v>
      </c>
    </row>
    <row r="81" spans="1:11" ht="15">
      <c r="A81" s="22" t="s">
        <v>837</v>
      </c>
      <c r="B81" s="700" t="s">
        <v>838</v>
      </c>
      <c r="C81" s="701">
        <v>0.25945475112790967</v>
      </c>
      <c r="D81" s="702">
        <v>0.43073531814148158</v>
      </c>
      <c r="E81" s="703">
        <v>0.17417922237121616</v>
      </c>
      <c r="F81" s="703">
        <v>0.13563070835939267</v>
      </c>
      <c r="G81" s="704"/>
      <c r="H81" s="704"/>
      <c r="I81" s="704">
        <v>7.1428571428571429E-4</v>
      </c>
      <c r="J81" s="15">
        <v>1</v>
      </c>
      <c r="K81" s="15">
        <v>0.44374999999999998</v>
      </c>
    </row>
    <row r="82" spans="1:11" ht="15">
      <c r="A82" s="22" t="s">
        <v>839</v>
      </c>
      <c r="B82" s="700" t="s">
        <v>840</v>
      </c>
      <c r="C82" s="701">
        <v>0.22829566456467765</v>
      </c>
      <c r="D82" s="702">
        <v>0.38227744082215775</v>
      </c>
      <c r="E82" s="703">
        <v>0.21946161720823795</v>
      </c>
      <c r="F82" s="703">
        <v>0.16996527740492678</v>
      </c>
      <c r="G82" s="704"/>
      <c r="H82" s="704"/>
      <c r="I82" s="704">
        <v>7.9069767441860466E-4</v>
      </c>
      <c r="J82" s="15">
        <v>1</v>
      </c>
      <c r="K82" s="15">
        <v>0.43529411764705878</v>
      </c>
    </row>
  </sheetData>
  <mergeCells count="2">
    <mergeCell ref="C1:F1"/>
    <mergeCell ref="G1:I1"/>
  </mergeCells>
  <phoneticPr fontId="30" type="noConversion"/>
  <hyperlinks>
    <hyperlink ref="E3" location="Manager!A1" display="Back to Manager"/>
  </hyperlinks>
  <pageMargins left="0.7" right="0.7" top="1.3958333333333333" bottom="0.75" header="0.3" footer="0.3"/>
  <pageSetup orientation="portrait" r:id="rId1"/>
  <headerFooter>
    <oddHeader>&amp;RBoston Gas Company and Colonial Gas Company 
d/b/a National Grid 
D.P.U. 18-51
2017 Energy Efficiency Plan-Year Report
Appendix 2, BCR Model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CK284"/>
  <sheetViews>
    <sheetView zoomScaleNormal="100" workbookViewId="0">
      <selection activeCell="K37" sqref="K37"/>
    </sheetView>
  </sheetViews>
  <sheetFormatPr defaultColWidth="9.140625" defaultRowHeight="12.75"/>
  <cols>
    <col min="1" max="1" width="10" style="25" customWidth="1"/>
    <col min="2" max="2" width="9.140625" style="25"/>
    <col min="3" max="3" width="29" style="6" customWidth="1"/>
    <col min="4" max="9" width="9.85546875" style="6" customWidth="1"/>
    <col min="10" max="10" width="12.7109375" style="6" customWidth="1"/>
    <col min="11" max="11" width="9.140625" style="6"/>
    <col min="12" max="12" width="10.42578125" style="6" customWidth="1"/>
    <col min="13" max="14" width="9.140625" style="6"/>
    <col min="15" max="15" width="12.140625" style="6" customWidth="1"/>
    <col min="16" max="17" width="9.140625" style="6"/>
    <col min="18" max="18" width="13.5703125" style="6" customWidth="1"/>
    <col min="19" max="20" width="9.140625" style="6"/>
    <col min="21" max="21" width="10.5703125" style="6" bestFit="1" customWidth="1"/>
    <col min="22" max="22" width="9.140625" style="6"/>
    <col min="23" max="23" width="10.5703125" style="6" bestFit="1" customWidth="1"/>
    <col min="24" max="24" width="9.140625" style="6"/>
    <col min="25" max="25" width="10.5703125" style="6" bestFit="1" customWidth="1"/>
    <col min="26" max="28" width="9.140625" style="6"/>
    <col min="29" max="29" width="9.28515625" style="6" bestFit="1" customWidth="1"/>
    <col min="30" max="30" width="11.140625" style="6" bestFit="1" customWidth="1"/>
    <col min="31" max="42" width="9.140625" style="6"/>
    <col min="43" max="43" width="7.7109375" style="6" bestFit="1" customWidth="1"/>
    <col min="44" max="44" width="9" style="6" bestFit="1" customWidth="1"/>
    <col min="45" max="50" width="9.140625" style="6"/>
    <col min="51" max="51" width="7.7109375" style="6" bestFit="1" customWidth="1"/>
    <col min="52" max="52" width="9.140625" style="6"/>
    <col min="53" max="53" width="8.7109375" style="6" customWidth="1"/>
    <col min="54" max="54" width="11.85546875" style="6" bestFit="1" customWidth="1"/>
    <col min="55" max="55" width="8.7109375" style="6" customWidth="1"/>
    <col min="56" max="56" width="11.85546875" style="6" bestFit="1" customWidth="1"/>
    <col min="57" max="57" width="8.7109375" style="6" customWidth="1"/>
    <col min="58" max="58" width="11.85546875" style="6" bestFit="1" customWidth="1"/>
    <col min="59" max="59" width="8.7109375" style="6" customWidth="1"/>
    <col min="60" max="60" width="11.85546875" style="6" bestFit="1" customWidth="1"/>
    <col min="61" max="61" width="11.7109375" style="6" bestFit="1" customWidth="1"/>
    <col min="62" max="62" width="9.7109375" style="6" bestFit="1" customWidth="1"/>
    <col min="63" max="63" width="11.7109375" style="6" bestFit="1" customWidth="1"/>
    <col min="64" max="64" width="10.7109375" style="6" bestFit="1" customWidth="1"/>
    <col min="65" max="65" width="11.7109375" style="6" bestFit="1" customWidth="1"/>
    <col min="66" max="66" width="9.7109375" style="6" bestFit="1" customWidth="1"/>
    <col min="67" max="67" width="11.7109375" style="6" bestFit="1" customWidth="1"/>
    <col min="68" max="68" width="12.7109375" style="6" bestFit="1" customWidth="1"/>
    <col min="69" max="69" width="11.7109375" style="6" bestFit="1" customWidth="1"/>
    <col min="70" max="16384" width="9.140625" style="6"/>
  </cols>
  <sheetData>
    <row r="1" spans="1:31">
      <c r="C1" s="26" t="s">
        <v>215</v>
      </c>
    </row>
    <row r="2" spans="1:31">
      <c r="C2" s="27" t="s">
        <v>216</v>
      </c>
      <c r="D2" s="28"/>
      <c r="E2" s="29" t="s">
        <v>217</v>
      </c>
      <c r="F2" s="30"/>
      <c r="G2" s="31" t="s">
        <v>218</v>
      </c>
      <c r="H2" s="32"/>
    </row>
    <row r="3" spans="1:31">
      <c r="C3" s="33" t="s">
        <v>219</v>
      </c>
      <c r="D3" s="34"/>
      <c r="E3" s="35" t="s">
        <v>219</v>
      </c>
      <c r="F3" s="36"/>
      <c r="G3" s="37" t="s">
        <v>220</v>
      </c>
      <c r="H3" s="38"/>
    </row>
    <row r="4" spans="1:31">
      <c r="A4" s="39"/>
      <c r="C4" s="40" t="s">
        <v>221</v>
      </c>
      <c r="Q4"/>
    </row>
    <row r="5" spans="1:31">
      <c r="A5" s="39"/>
      <c r="C5" s="40" t="s">
        <v>222</v>
      </c>
    </row>
    <row r="6" spans="1:31">
      <c r="A6" s="39"/>
      <c r="C6" s="40" t="s">
        <v>223</v>
      </c>
    </row>
    <row r="7" spans="1:31">
      <c r="A7" s="39"/>
      <c r="C7" s="40" t="s">
        <v>224</v>
      </c>
    </row>
    <row r="8" spans="1:31">
      <c r="A8" s="39"/>
      <c r="C8" s="40" t="s">
        <v>225</v>
      </c>
      <c r="S8"/>
      <c r="T8"/>
      <c r="U8"/>
      <c r="V8"/>
    </row>
    <row r="9" spans="1:31">
      <c r="A9" s="39"/>
      <c r="J9" s="41" t="s">
        <v>226</v>
      </c>
      <c r="N9" s="42"/>
      <c r="O9" s="42"/>
      <c r="P9" s="42"/>
      <c r="Q9" s="42"/>
      <c r="R9" s="42"/>
      <c r="S9"/>
      <c r="T9"/>
      <c r="U9"/>
      <c r="V9"/>
      <c r="W9" s="42"/>
      <c r="X9" s="42"/>
    </row>
    <row r="10" spans="1:31" ht="13.5" thickBot="1">
      <c r="A10" s="43"/>
      <c r="B10" s="43"/>
      <c r="D10" s="26">
        <f>Year1</f>
        <v>2016</v>
      </c>
      <c r="E10" s="26">
        <f>D10+1</f>
        <v>2017</v>
      </c>
      <c r="F10" s="26">
        <f>E10+1</f>
        <v>2018</v>
      </c>
      <c r="G10" s="26">
        <f>F10+1</f>
        <v>2019</v>
      </c>
      <c r="H10" s="26">
        <f>G10+1</f>
        <v>2020</v>
      </c>
      <c r="J10" s="44"/>
      <c r="K10" s="1158" t="s">
        <v>227</v>
      </c>
      <c r="L10" s="1159"/>
      <c r="M10" s="1159"/>
      <c r="N10" s="1160"/>
      <c r="O10" s="1161" t="s">
        <v>228</v>
      </c>
      <c r="P10" s="1162"/>
      <c r="Q10" s="1162"/>
      <c r="R10" s="1163"/>
      <c r="S10"/>
      <c r="T10"/>
      <c r="U10"/>
      <c r="V10"/>
    </row>
    <row r="11" spans="1:31" ht="26.25" thickBot="1">
      <c r="A11" s="45"/>
      <c r="B11" s="45"/>
      <c r="C11" s="509" t="s">
        <v>229</v>
      </c>
      <c r="D11" s="510">
        <f>NDR</f>
        <v>2.5399999999999999E-2</v>
      </c>
      <c r="E11" s="511">
        <f>nomdiscrt1</f>
        <v>2.5399999999999999E-2</v>
      </c>
      <c r="F11" s="511">
        <f>nomdiscrt1</f>
        <v>2.5399999999999999E-2</v>
      </c>
      <c r="G11" s="512"/>
      <c r="H11" s="512"/>
      <c r="J11" s="44" t="s">
        <v>230</v>
      </c>
      <c r="K11" s="46" t="s">
        <v>231</v>
      </c>
      <c r="L11" s="46" t="s">
        <v>232</v>
      </c>
      <c r="M11" s="46" t="s">
        <v>233</v>
      </c>
      <c r="N11" s="46" t="s">
        <v>234</v>
      </c>
      <c r="O11" s="46" t="s">
        <v>235</v>
      </c>
      <c r="P11" s="46" t="s">
        <v>236</v>
      </c>
      <c r="Q11" s="46" t="s">
        <v>237</v>
      </c>
      <c r="R11" s="46" t="s">
        <v>199</v>
      </c>
      <c r="S11"/>
      <c r="T11"/>
      <c r="U11"/>
      <c r="V11"/>
      <c r="W11" s="47"/>
      <c r="X11" s="47"/>
      <c r="Y11" s="47"/>
      <c r="Z11" s="47"/>
      <c r="AA11" s="47"/>
      <c r="AB11" s="47"/>
      <c r="AC11" s="47"/>
      <c r="AD11" s="47"/>
      <c r="AE11" s="47"/>
    </row>
    <row r="12" spans="1:31" ht="13.5" thickBot="1">
      <c r="A12" s="45"/>
      <c r="B12" s="45"/>
      <c r="C12" s="513" t="s">
        <v>238</v>
      </c>
      <c r="D12" s="510">
        <f>(nomdiscrt1+1)/(realdiscrt1+1)-1</f>
        <v>2.09080047789727E-2</v>
      </c>
      <c r="E12" s="510">
        <f>(nomdiscrt2+1)/(realdiscrt2+1)-1</f>
        <v>2.09080047789727E-2</v>
      </c>
      <c r="F12" s="510">
        <f>(nomdiscrt3+1)/(realdiscrt3+1)-1</f>
        <v>2.09080047789727E-2</v>
      </c>
      <c r="G12" s="511"/>
      <c r="H12" s="511"/>
      <c r="I12" s="3"/>
      <c r="J12" s="44" t="s">
        <v>239</v>
      </c>
      <c r="K12" s="784">
        <v>7.1999999999999995E-2</v>
      </c>
      <c r="L12" s="784">
        <v>0.04</v>
      </c>
      <c r="M12" s="784">
        <v>7.1999999999999995E-2</v>
      </c>
      <c r="N12" s="784">
        <v>0.04</v>
      </c>
      <c r="O12" s="784">
        <v>0.1120000000000001</v>
      </c>
      <c r="P12" s="784">
        <v>9.5000000000000001E-2</v>
      </c>
      <c r="Q12" s="784">
        <v>0.1120000000000001</v>
      </c>
      <c r="R12" s="784">
        <v>0.1120000000000001</v>
      </c>
      <c r="S12"/>
      <c r="T12"/>
      <c r="U12"/>
      <c r="V12"/>
      <c r="W12" s="48"/>
      <c r="X12" s="48"/>
      <c r="Y12" s="48"/>
      <c r="Z12" s="24"/>
      <c r="AA12" s="24"/>
      <c r="AB12" s="24"/>
      <c r="AC12" s="24"/>
      <c r="AD12" s="47"/>
      <c r="AE12" s="48"/>
    </row>
    <row r="13" spans="1:31">
      <c r="A13" s="49"/>
      <c r="B13" s="50"/>
      <c r="C13" s="513" t="s">
        <v>240</v>
      </c>
      <c r="D13" s="514">
        <f>RDR</f>
        <v>4.4000000000000003E-3</v>
      </c>
      <c r="E13" s="515">
        <f>realdiscrt1</f>
        <v>4.4000000000000003E-3</v>
      </c>
      <c r="F13" s="515">
        <f>realdiscrt1</f>
        <v>4.4000000000000003E-3</v>
      </c>
      <c r="G13" s="515"/>
      <c r="H13" s="515"/>
      <c r="I13" s="3"/>
      <c r="J13" s="44" t="s">
        <v>241</v>
      </c>
      <c r="K13" s="784">
        <v>7.1999999999999995E-2</v>
      </c>
      <c r="L13" s="784">
        <v>0.04</v>
      </c>
      <c r="M13" s="784">
        <v>7.1999999999999995E-2</v>
      </c>
      <c r="N13" s="784">
        <v>0.04</v>
      </c>
      <c r="O13" s="784">
        <v>0.1120000000000001</v>
      </c>
      <c r="P13" s="784">
        <v>9.5000000000000001E-2</v>
      </c>
      <c r="Q13" s="784">
        <v>0.1120000000000001</v>
      </c>
      <c r="R13" s="784">
        <v>0.1120000000000001</v>
      </c>
      <c r="S13"/>
      <c r="T13"/>
      <c r="U13"/>
      <c r="V13"/>
      <c r="W13" s="51"/>
      <c r="X13" s="48"/>
      <c r="Y13" s="48"/>
      <c r="Z13" s="24"/>
      <c r="AA13" s="24" t="s">
        <v>293</v>
      </c>
      <c r="AB13" s="24"/>
      <c r="AC13" s="24"/>
      <c r="AD13" s="48"/>
      <c r="AE13" s="48"/>
    </row>
    <row r="14" spans="1:31" ht="13.5" thickBot="1">
      <c r="B14"/>
      <c r="C14" s="513" t="s">
        <v>242</v>
      </c>
      <c r="D14" s="516">
        <v>0.5</v>
      </c>
      <c r="E14" s="517">
        <f>Half_Year</f>
        <v>0.5</v>
      </c>
      <c r="F14" s="517">
        <f>Half_Year</f>
        <v>0.5</v>
      </c>
      <c r="G14" s="517"/>
      <c r="H14" s="517"/>
      <c r="K14" s="697"/>
      <c r="S14"/>
      <c r="T14"/>
      <c r="U14"/>
      <c r="V14"/>
    </row>
    <row r="15" spans="1:31" ht="13.5" thickBot="1">
      <c r="B15" s="52"/>
      <c r="C15" s="513" t="s">
        <v>243</v>
      </c>
      <c r="D15" s="516"/>
      <c r="E15" s="517"/>
      <c r="F15" s="517"/>
      <c r="G15" s="517"/>
      <c r="H15" s="517"/>
      <c r="S15"/>
      <c r="T15"/>
      <c r="U15"/>
      <c r="V15"/>
    </row>
    <row r="16" spans="1:31" ht="13.5" thickBot="1">
      <c r="B16" s="52"/>
      <c r="C16" s="513" t="s">
        <v>244</v>
      </c>
      <c r="D16" s="516">
        <v>1</v>
      </c>
      <c r="E16" s="517">
        <f>D16</f>
        <v>1</v>
      </c>
      <c r="F16" s="517">
        <f>D16</f>
        <v>1</v>
      </c>
      <c r="G16" s="517"/>
      <c r="H16" s="517"/>
    </row>
    <row r="17" spans="1:89" ht="13.5" thickBot="1">
      <c r="B17" s="52"/>
      <c r="C17" s="513" t="s">
        <v>454</v>
      </c>
      <c r="D17" s="783">
        <v>10.52</v>
      </c>
      <c r="E17" s="783">
        <v>10.52</v>
      </c>
      <c r="F17" s="783">
        <v>10.52</v>
      </c>
      <c r="G17" s="518"/>
      <c r="H17" s="518"/>
      <c r="J17" s="5" t="s">
        <v>294</v>
      </c>
      <c r="K17" s="6">
        <v>2015</v>
      </c>
    </row>
    <row r="18" spans="1:89" ht="13.5" thickBot="1">
      <c r="A18" s="53"/>
      <c r="B18" s="53"/>
      <c r="C18" s="513" t="s">
        <v>455</v>
      </c>
      <c r="D18" s="783">
        <v>82.57</v>
      </c>
      <c r="E18" s="783">
        <v>82.57</v>
      </c>
      <c r="F18" s="783">
        <v>82.57</v>
      </c>
      <c r="G18" s="518"/>
      <c r="H18" s="518"/>
    </row>
    <row r="19" spans="1:89" ht="13.5" thickBot="1">
      <c r="A19" s="53"/>
      <c r="B19" s="53"/>
      <c r="C19" s="513" t="s">
        <v>456</v>
      </c>
      <c r="D19" s="519">
        <f>0.010394</f>
        <v>1.0394E-2</v>
      </c>
      <c r="E19" s="520">
        <f t="shared" ref="E19:F21" si="0">D19</f>
        <v>1.0394E-2</v>
      </c>
      <c r="F19" s="520">
        <f t="shared" si="0"/>
        <v>1.0394E-2</v>
      </c>
      <c r="G19" s="520"/>
      <c r="H19" s="520"/>
      <c r="J19" s="5" t="s">
        <v>295</v>
      </c>
      <c r="K19" s="6">
        <v>2014</v>
      </c>
      <c r="M19" s="5"/>
    </row>
    <row r="20" spans="1:89" ht="13.5" thickBot="1">
      <c r="A20" s="53"/>
      <c r="B20" s="53"/>
      <c r="C20" s="513" t="s">
        <v>457</v>
      </c>
      <c r="D20" s="519">
        <f>0.004354</f>
        <v>4.3540000000000002E-3</v>
      </c>
      <c r="E20" s="520">
        <f t="shared" si="0"/>
        <v>4.3540000000000002E-3</v>
      </c>
      <c r="F20" s="520">
        <f t="shared" si="0"/>
        <v>4.3540000000000002E-3</v>
      </c>
      <c r="G20" s="520"/>
      <c r="H20" s="520"/>
    </row>
    <row r="21" spans="1:89" ht="13.5" thickBot="1">
      <c r="A21" s="53"/>
      <c r="B21" s="53"/>
      <c r="C21" s="521" t="s">
        <v>458</v>
      </c>
      <c r="D21" s="519">
        <f>0.00604</f>
        <v>6.0400000000000002E-3</v>
      </c>
      <c r="E21" s="520">
        <f t="shared" si="0"/>
        <v>6.0400000000000002E-3</v>
      </c>
      <c r="F21" s="520">
        <f t="shared" si="0"/>
        <v>6.0400000000000002E-3</v>
      </c>
      <c r="G21" s="520"/>
      <c r="H21" s="520"/>
    </row>
    <row r="22" spans="1:89">
      <c r="A22" s="53"/>
      <c r="B22" s="53"/>
      <c r="C22" s="509" t="s">
        <v>245</v>
      </c>
      <c r="D22" s="522" t="s">
        <v>246</v>
      </c>
      <c r="E22" s="523"/>
      <c r="F22" s="523"/>
      <c r="G22" s="523"/>
      <c r="H22" s="524"/>
    </row>
    <row r="23" spans="1:89">
      <c r="A23" s="53"/>
      <c r="B23" s="53"/>
      <c r="C23" s="513" t="s">
        <v>247</v>
      </c>
      <c r="D23" s="525" t="s">
        <v>246</v>
      </c>
      <c r="E23" s="526"/>
      <c r="F23" s="526"/>
      <c r="G23" s="526"/>
      <c r="H23" s="527"/>
    </row>
    <row r="24" spans="1:89">
      <c r="A24" s="53"/>
      <c r="B24" s="53"/>
      <c r="C24" s="528" t="s">
        <v>296</v>
      </c>
      <c r="D24" s="525" t="s">
        <v>246</v>
      </c>
      <c r="E24" s="529"/>
      <c r="F24" s="529"/>
      <c r="G24" s="529"/>
      <c r="H24" s="530"/>
    </row>
    <row r="25" spans="1:89">
      <c r="A25" s="53"/>
      <c r="B25" s="53"/>
      <c r="C25" s="528" t="s">
        <v>403</v>
      </c>
      <c r="D25" s="525" t="s">
        <v>246</v>
      </c>
      <c r="E25" s="529"/>
      <c r="F25" s="529"/>
      <c r="G25" s="529"/>
      <c r="H25" s="530"/>
    </row>
    <row r="26" spans="1:89">
      <c r="A26" s="53"/>
      <c r="B26" s="53"/>
      <c r="C26" s="531" t="s">
        <v>410</v>
      </c>
      <c r="D26" s="525" t="s">
        <v>246</v>
      </c>
      <c r="E26" s="529"/>
      <c r="F26" s="529"/>
      <c r="G26" s="529"/>
      <c r="H26" s="530"/>
    </row>
    <row r="27" spans="1:89" ht="13.5" thickBot="1">
      <c r="A27" s="53"/>
      <c r="B27" s="53"/>
      <c r="C27" s="521" t="s">
        <v>248</v>
      </c>
      <c r="D27" s="532" t="s">
        <v>246</v>
      </c>
      <c r="E27" s="533"/>
      <c r="F27" s="533"/>
      <c r="G27" s="533"/>
      <c r="H27" s="534"/>
    </row>
    <row r="28" spans="1:89">
      <c r="A28" s="25">
        <v>1</v>
      </c>
      <c r="B28" s="52">
        <f>A28+1</f>
        <v>2</v>
      </c>
      <c r="C28" s="52">
        <f t="shared" ref="C28:BN28" si="1">B28+1</f>
        <v>3</v>
      </c>
      <c r="D28" s="52">
        <f t="shared" si="1"/>
        <v>4</v>
      </c>
      <c r="E28" s="52">
        <f t="shared" si="1"/>
        <v>5</v>
      </c>
      <c r="F28" s="52">
        <f t="shared" si="1"/>
        <v>6</v>
      </c>
      <c r="G28" s="52">
        <f t="shared" si="1"/>
        <v>7</v>
      </c>
      <c r="H28" s="52">
        <f t="shared" si="1"/>
        <v>8</v>
      </c>
      <c r="I28" s="52">
        <f t="shared" si="1"/>
        <v>9</v>
      </c>
      <c r="J28" s="52">
        <f t="shared" si="1"/>
        <v>10</v>
      </c>
      <c r="K28" s="52">
        <f t="shared" si="1"/>
        <v>11</v>
      </c>
      <c r="L28" s="52">
        <f t="shared" si="1"/>
        <v>12</v>
      </c>
      <c r="M28" s="52">
        <f t="shared" si="1"/>
        <v>13</v>
      </c>
      <c r="N28" s="52">
        <f t="shared" si="1"/>
        <v>14</v>
      </c>
      <c r="O28" s="52">
        <f t="shared" si="1"/>
        <v>15</v>
      </c>
      <c r="P28" s="52">
        <f t="shared" si="1"/>
        <v>16</v>
      </c>
      <c r="Q28" s="52">
        <f t="shared" si="1"/>
        <v>17</v>
      </c>
      <c r="R28" s="52">
        <f t="shared" si="1"/>
        <v>18</v>
      </c>
      <c r="S28" s="52">
        <f t="shared" si="1"/>
        <v>19</v>
      </c>
      <c r="T28" s="52">
        <f t="shared" si="1"/>
        <v>20</v>
      </c>
      <c r="U28" s="52">
        <f t="shared" si="1"/>
        <v>21</v>
      </c>
      <c r="V28" s="52">
        <f t="shared" si="1"/>
        <v>22</v>
      </c>
      <c r="W28" s="52">
        <f t="shared" si="1"/>
        <v>23</v>
      </c>
      <c r="X28" s="52">
        <f t="shared" si="1"/>
        <v>24</v>
      </c>
      <c r="Y28" s="52">
        <f t="shared" si="1"/>
        <v>25</v>
      </c>
      <c r="Z28" s="52">
        <f t="shared" si="1"/>
        <v>26</v>
      </c>
      <c r="AA28" s="52">
        <f t="shared" si="1"/>
        <v>27</v>
      </c>
      <c r="AB28" s="52">
        <f t="shared" si="1"/>
        <v>28</v>
      </c>
      <c r="AC28" s="52">
        <f t="shared" si="1"/>
        <v>29</v>
      </c>
      <c r="AD28" s="52">
        <f t="shared" si="1"/>
        <v>30</v>
      </c>
      <c r="AE28" s="52">
        <f t="shared" si="1"/>
        <v>31</v>
      </c>
      <c r="AF28" s="52">
        <f t="shared" si="1"/>
        <v>32</v>
      </c>
      <c r="AG28" s="52">
        <f t="shared" si="1"/>
        <v>33</v>
      </c>
      <c r="AH28" s="52">
        <f t="shared" si="1"/>
        <v>34</v>
      </c>
      <c r="AI28" s="52">
        <f t="shared" si="1"/>
        <v>35</v>
      </c>
      <c r="AJ28" s="52">
        <f t="shared" si="1"/>
        <v>36</v>
      </c>
      <c r="AK28" s="52">
        <f t="shared" si="1"/>
        <v>37</v>
      </c>
      <c r="AL28" s="52">
        <f t="shared" si="1"/>
        <v>38</v>
      </c>
      <c r="AM28" s="52">
        <f t="shared" si="1"/>
        <v>39</v>
      </c>
      <c r="AN28" s="52">
        <f t="shared" si="1"/>
        <v>40</v>
      </c>
      <c r="AO28" s="52">
        <f t="shared" si="1"/>
        <v>41</v>
      </c>
      <c r="AP28" s="52">
        <f t="shared" si="1"/>
        <v>42</v>
      </c>
      <c r="AQ28" s="52">
        <f t="shared" si="1"/>
        <v>43</v>
      </c>
      <c r="AR28" s="52">
        <f t="shared" si="1"/>
        <v>44</v>
      </c>
      <c r="AS28" s="52">
        <f t="shared" si="1"/>
        <v>45</v>
      </c>
      <c r="AT28" s="52">
        <f t="shared" si="1"/>
        <v>46</v>
      </c>
      <c r="AU28" s="52">
        <f t="shared" si="1"/>
        <v>47</v>
      </c>
      <c r="AV28" s="52">
        <f t="shared" si="1"/>
        <v>48</v>
      </c>
      <c r="AW28" s="52">
        <f t="shared" si="1"/>
        <v>49</v>
      </c>
      <c r="AX28" s="52">
        <f t="shared" si="1"/>
        <v>50</v>
      </c>
      <c r="AY28" s="52">
        <f t="shared" si="1"/>
        <v>51</v>
      </c>
      <c r="AZ28" s="52">
        <f t="shared" si="1"/>
        <v>52</v>
      </c>
      <c r="BA28" s="52">
        <f t="shared" si="1"/>
        <v>53</v>
      </c>
      <c r="BB28" s="52">
        <f t="shared" si="1"/>
        <v>54</v>
      </c>
      <c r="BC28" s="52">
        <f t="shared" si="1"/>
        <v>55</v>
      </c>
      <c r="BD28" s="52">
        <f t="shared" si="1"/>
        <v>56</v>
      </c>
      <c r="BE28" s="52">
        <f t="shared" si="1"/>
        <v>57</v>
      </c>
      <c r="BF28" s="52">
        <f t="shared" si="1"/>
        <v>58</v>
      </c>
      <c r="BG28" s="52">
        <f t="shared" si="1"/>
        <v>59</v>
      </c>
      <c r="BH28" s="52">
        <f t="shared" si="1"/>
        <v>60</v>
      </c>
      <c r="BI28" s="52">
        <f t="shared" si="1"/>
        <v>61</v>
      </c>
      <c r="BJ28" s="52">
        <f t="shared" si="1"/>
        <v>62</v>
      </c>
      <c r="BK28" s="52">
        <f t="shared" si="1"/>
        <v>63</v>
      </c>
      <c r="BL28" s="52">
        <f t="shared" si="1"/>
        <v>64</v>
      </c>
      <c r="BM28" s="52">
        <f t="shared" si="1"/>
        <v>65</v>
      </c>
      <c r="BN28" s="52">
        <f t="shared" si="1"/>
        <v>66</v>
      </c>
      <c r="BO28" s="52">
        <f>BN28+1</f>
        <v>67</v>
      </c>
      <c r="BP28" s="52">
        <f>BO28+1</f>
        <v>68</v>
      </c>
      <c r="BQ28" s="52">
        <f>BP28+1</f>
        <v>69</v>
      </c>
      <c r="BR28" s="52">
        <f t="shared" ref="BR28:CG28" si="2">BQ28+1</f>
        <v>70</v>
      </c>
      <c r="BS28" s="52">
        <f t="shared" si="2"/>
        <v>71</v>
      </c>
      <c r="BT28" s="52">
        <f t="shared" si="2"/>
        <v>72</v>
      </c>
      <c r="BU28" s="52">
        <f t="shared" si="2"/>
        <v>73</v>
      </c>
      <c r="BV28" s="52">
        <f t="shared" si="2"/>
        <v>74</v>
      </c>
      <c r="BW28" s="52">
        <f t="shared" si="2"/>
        <v>75</v>
      </c>
      <c r="BX28" s="52">
        <f t="shared" si="2"/>
        <v>76</v>
      </c>
      <c r="BY28" s="52">
        <f t="shared" si="2"/>
        <v>77</v>
      </c>
      <c r="BZ28" s="52">
        <f t="shared" si="2"/>
        <v>78</v>
      </c>
      <c r="CA28" s="52">
        <f t="shared" si="2"/>
        <v>79</v>
      </c>
      <c r="CB28" s="52">
        <f>CA28+1</f>
        <v>80</v>
      </c>
      <c r="CC28" s="52">
        <f t="shared" si="2"/>
        <v>81</v>
      </c>
      <c r="CD28" s="52">
        <f t="shared" si="2"/>
        <v>82</v>
      </c>
      <c r="CE28" s="52">
        <f t="shared" si="2"/>
        <v>83</v>
      </c>
      <c r="CF28" s="52">
        <f t="shared" si="2"/>
        <v>84</v>
      </c>
      <c r="CG28" s="52">
        <f t="shared" si="2"/>
        <v>85</v>
      </c>
      <c r="CH28" s="52">
        <f t="shared" ref="CH28" si="3">CG28+1</f>
        <v>86</v>
      </c>
      <c r="CI28" s="52">
        <f t="shared" ref="CI28" si="4">CH28+1</f>
        <v>87</v>
      </c>
      <c r="CJ28" s="52">
        <f t="shared" ref="CJ28" si="5">CI28+1</f>
        <v>88</v>
      </c>
      <c r="CK28" s="52">
        <f t="shared" ref="CK28" si="6">CJ28+1</f>
        <v>89</v>
      </c>
    </row>
    <row r="29" spans="1:89">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row>
    <row r="30" spans="1:89" ht="16.5" thickBot="1">
      <c r="C30" s="54" t="s">
        <v>249</v>
      </c>
      <c r="S30" s="55">
        <v>1</v>
      </c>
      <c r="T30" s="55">
        <v>2</v>
      </c>
      <c r="U30" s="55">
        <v>3</v>
      </c>
      <c r="V30" s="55">
        <v>4</v>
      </c>
      <c r="W30" s="55">
        <v>5</v>
      </c>
      <c r="X30" s="55">
        <v>6</v>
      </c>
      <c r="Y30" s="55">
        <v>7</v>
      </c>
      <c r="Z30" s="55">
        <v>8</v>
      </c>
      <c r="AA30" s="55">
        <v>9</v>
      </c>
      <c r="AB30" s="55">
        <v>10</v>
      </c>
      <c r="AC30" s="55">
        <v>11</v>
      </c>
      <c r="AD30" s="55">
        <v>12</v>
      </c>
      <c r="AE30" s="55">
        <v>13</v>
      </c>
      <c r="AF30" s="55">
        <v>14</v>
      </c>
      <c r="AG30" s="55">
        <v>15</v>
      </c>
      <c r="AH30" s="55">
        <v>16</v>
      </c>
      <c r="AI30" s="55">
        <v>17</v>
      </c>
      <c r="AJ30" s="55">
        <v>18</v>
      </c>
      <c r="AK30" s="55">
        <v>19</v>
      </c>
      <c r="AL30" s="55">
        <v>20</v>
      </c>
      <c r="AM30" s="55">
        <v>21</v>
      </c>
      <c r="AN30" s="55">
        <v>22</v>
      </c>
      <c r="AO30" s="55">
        <v>23</v>
      </c>
      <c r="AP30" s="55">
        <v>24</v>
      </c>
    </row>
    <row r="31" spans="1:89">
      <c r="B31" s="55"/>
      <c r="C31" s="103" t="s">
        <v>250</v>
      </c>
      <c r="D31" s="104" t="s">
        <v>251</v>
      </c>
      <c r="E31" s="105" t="s">
        <v>250</v>
      </c>
      <c r="F31" s="106" t="s">
        <v>251</v>
      </c>
      <c r="G31" s="104" t="s">
        <v>250</v>
      </c>
      <c r="H31" s="104" t="s">
        <v>251</v>
      </c>
      <c r="I31" s="105" t="s">
        <v>250</v>
      </c>
      <c r="J31" s="107" t="s">
        <v>251</v>
      </c>
      <c r="K31" s="108" t="s">
        <v>250</v>
      </c>
      <c r="L31" s="109" t="s">
        <v>251</v>
      </c>
      <c r="M31" s="108" t="s">
        <v>250</v>
      </c>
      <c r="N31" s="109" t="s">
        <v>251</v>
      </c>
      <c r="O31" s="108" t="s">
        <v>250</v>
      </c>
      <c r="P31" s="109" t="s">
        <v>251</v>
      </c>
      <c r="Q31" s="108" t="s">
        <v>250</v>
      </c>
      <c r="R31" s="109" t="s">
        <v>251</v>
      </c>
      <c r="S31" s="110" t="s">
        <v>250</v>
      </c>
      <c r="T31" s="111" t="s">
        <v>251</v>
      </c>
      <c r="U31" s="110" t="s">
        <v>250</v>
      </c>
      <c r="V31" s="111" t="s">
        <v>251</v>
      </c>
      <c r="W31" s="110" t="s">
        <v>250</v>
      </c>
      <c r="X31" s="111" t="s">
        <v>251</v>
      </c>
      <c r="Y31" s="110" t="s">
        <v>250</v>
      </c>
      <c r="Z31" s="111" t="s">
        <v>251</v>
      </c>
      <c r="AA31" s="110" t="s">
        <v>250</v>
      </c>
      <c r="AB31" s="111" t="s">
        <v>251</v>
      </c>
      <c r="AC31" s="110" t="s">
        <v>250</v>
      </c>
      <c r="AD31" s="111" t="s">
        <v>251</v>
      </c>
      <c r="AE31" s="110" t="s">
        <v>250</v>
      </c>
      <c r="AF31" s="111" t="s">
        <v>251</v>
      </c>
      <c r="AG31" s="110" t="s">
        <v>250</v>
      </c>
      <c r="AH31" s="111" t="s">
        <v>251</v>
      </c>
      <c r="AI31" s="110" t="s">
        <v>250</v>
      </c>
      <c r="AJ31" s="111" t="s">
        <v>251</v>
      </c>
      <c r="AK31" s="110" t="s">
        <v>250</v>
      </c>
      <c r="AL31" s="111" t="s">
        <v>251</v>
      </c>
      <c r="AM31" s="110" t="s">
        <v>250</v>
      </c>
      <c r="AN31" s="111" t="s">
        <v>251</v>
      </c>
      <c r="AO31" s="110" t="s">
        <v>250</v>
      </c>
      <c r="AP31" s="111" t="s">
        <v>251</v>
      </c>
      <c r="AQ31" s="112" t="s">
        <v>250</v>
      </c>
      <c r="AR31" s="112" t="s">
        <v>251</v>
      </c>
      <c r="AS31" s="112" t="s">
        <v>250</v>
      </c>
      <c r="AT31" s="112" t="s">
        <v>251</v>
      </c>
      <c r="AU31" s="112" t="s">
        <v>250</v>
      </c>
      <c r="AV31" s="112" t="s">
        <v>251</v>
      </c>
      <c r="AW31" s="110" t="s">
        <v>250</v>
      </c>
      <c r="AX31" s="111" t="s">
        <v>251</v>
      </c>
      <c r="AY31" s="108" t="s">
        <v>250</v>
      </c>
      <c r="AZ31" s="109" t="s">
        <v>251</v>
      </c>
      <c r="BA31" s="113"/>
      <c r="BB31" s="105" t="s">
        <v>250</v>
      </c>
      <c r="BC31" s="107" t="s">
        <v>251</v>
      </c>
      <c r="BD31" s="105" t="s">
        <v>250</v>
      </c>
      <c r="BE31" s="107" t="s">
        <v>251</v>
      </c>
      <c r="BF31" s="105" t="s">
        <v>250</v>
      </c>
      <c r="BG31" s="107" t="s">
        <v>251</v>
      </c>
      <c r="BH31" s="105" t="s">
        <v>250</v>
      </c>
      <c r="BI31" s="107" t="s">
        <v>251</v>
      </c>
      <c r="BJ31" s="110" t="s">
        <v>250</v>
      </c>
      <c r="BK31" s="111" t="s">
        <v>251</v>
      </c>
      <c r="BL31" s="110" t="s">
        <v>250</v>
      </c>
      <c r="BM31" s="111" t="s">
        <v>251</v>
      </c>
      <c r="BN31" s="110" t="s">
        <v>250</v>
      </c>
      <c r="BO31" s="111" t="s">
        <v>251</v>
      </c>
      <c r="BP31" s="110" t="s">
        <v>250</v>
      </c>
      <c r="BQ31" s="111" t="s">
        <v>251</v>
      </c>
      <c r="BR31" s="105" t="s">
        <v>250</v>
      </c>
      <c r="BS31" s="107" t="s">
        <v>251</v>
      </c>
      <c r="BT31" s="105" t="s">
        <v>250</v>
      </c>
      <c r="BU31" s="107" t="s">
        <v>251</v>
      </c>
      <c r="BV31" s="105" t="s">
        <v>250</v>
      </c>
      <c r="BW31" s="107" t="s">
        <v>251</v>
      </c>
      <c r="BX31" s="105" t="s">
        <v>250</v>
      </c>
      <c r="BY31" s="107" t="s">
        <v>251</v>
      </c>
      <c r="BZ31" s="105" t="s">
        <v>250</v>
      </c>
      <c r="CA31" s="107" t="s">
        <v>251</v>
      </c>
      <c r="CB31" s="105" t="s">
        <v>250</v>
      </c>
      <c r="CC31" s="107" t="s">
        <v>251</v>
      </c>
      <c r="CD31" s="105" t="s">
        <v>250</v>
      </c>
      <c r="CE31" s="107" t="s">
        <v>251</v>
      </c>
      <c r="CF31" s="105" t="s">
        <v>250</v>
      </c>
      <c r="CG31" s="107" t="s">
        <v>251</v>
      </c>
      <c r="CH31" s="105" t="s">
        <v>250</v>
      </c>
      <c r="CI31" s="107" t="s">
        <v>251</v>
      </c>
      <c r="CJ31" s="105" t="s">
        <v>250</v>
      </c>
      <c r="CK31" s="107" t="s">
        <v>251</v>
      </c>
    </row>
    <row r="32" spans="1:89" ht="51.75" customHeight="1" thickBot="1">
      <c r="C32" s="1108" t="s">
        <v>192</v>
      </c>
      <c r="D32" s="1109"/>
      <c r="E32" s="1110" t="s">
        <v>252</v>
      </c>
      <c r="F32" s="1109"/>
      <c r="G32" s="1110" t="s">
        <v>253</v>
      </c>
      <c r="H32" s="1109"/>
      <c r="I32" s="1110" t="s">
        <v>254</v>
      </c>
      <c r="J32" s="1111"/>
      <c r="K32" s="1112" t="s">
        <v>255</v>
      </c>
      <c r="L32" s="1113"/>
      <c r="M32" s="1112" t="s">
        <v>256</v>
      </c>
      <c r="N32" s="1113"/>
      <c r="O32" s="1112" t="s">
        <v>257</v>
      </c>
      <c r="P32" s="1113"/>
      <c r="Q32" s="1112" t="s">
        <v>258</v>
      </c>
      <c r="R32" s="1113"/>
      <c r="S32" s="1114" t="s">
        <v>259</v>
      </c>
      <c r="T32" s="1115"/>
      <c r="U32" s="1114" t="s">
        <v>716</v>
      </c>
      <c r="V32" s="1115"/>
      <c r="W32" s="1114" t="s">
        <v>695</v>
      </c>
      <c r="X32" s="1115"/>
      <c r="Y32" s="1119" t="s">
        <v>697</v>
      </c>
      <c r="Z32" s="1115"/>
      <c r="AA32" s="1114" t="s">
        <v>261</v>
      </c>
      <c r="AB32" s="1115"/>
      <c r="AC32" s="1119" t="s">
        <v>684</v>
      </c>
      <c r="AD32" s="1115"/>
      <c r="AE32" s="1119" t="s">
        <v>685</v>
      </c>
      <c r="AF32" s="1115"/>
      <c r="AG32" s="1119" t="s">
        <v>686</v>
      </c>
      <c r="AH32" s="1115"/>
      <c r="AI32" s="1114" t="s">
        <v>262</v>
      </c>
      <c r="AJ32" s="1115"/>
      <c r="AK32" s="1114" t="s">
        <v>263</v>
      </c>
      <c r="AL32" s="1115"/>
      <c r="AM32" s="1114" t="s">
        <v>264</v>
      </c>
      <c r="AN32" s="1115"/>
      <c r="AO32" s="1164"/>
      <c r="AP32" s="1165"/>
      <c r="AQ32" s="1114" t="s">
        <v>265</v>
      </c>
      <c r="AR32" s="1157"/>
      <c r="AS32" s="1156" t="s">
        <v>266</v>
      </c>
      <c r="AT32" s="1157"/>
      <c r="AU32" s="1156" t="s">
        <v>267</v>
      </c>
      <c r="AV32" s="1157"/>
      <c r="AW32" s="1156" t="s">
        <v>205</v>
      </c>
      <c r="AX32" s="1115"/>
      <c r="AY32" s="1112" t="s">
        <v>268</v>
      </c>
      <c r="AZ32" s="1113"/>
      <c r="BA32" s="114" t="s">
        <v>206</v>
      </c>
      <c r="BB32" s="1108" t="s">
        <v>207</v>
      </c>
      <c r="BC32" s="1111"/>
      <c r="BD32" s="1108" t="s">
        <v>208</v>
      </c>
      <c r="BE32" s="1111"/>
      <c r="BF32" s="1108" t="s">
        <v>209</v>
      </c>
      <c r="BG32" s="1111"/>
      <c r="BH32" s="1108" t="s">
        <v>210</v>
      </c>
      <c r="BI32" s="1111"/>
      <c r="BJ32" s="1114" t="s">
        <v>211</v>
      </c>
      <c r="BK32" s="1115"/>
      <c r="BL32" s="1114" t="s">
        <v>212</v>
      </c>
      <c r="BM32" s="1115"/>
      <c r="BN32" s="1114" t="s">
        <v>213</v>
      </c>
      <c r="BO32" s="1115"/>
      <c r="BP32" s="1114" t="s">
        <v>214</v>
      </c>
      <c r="BQ32" s="1115"/>
      <c r="BR32" s="1108" t="s">
        <v>296</v>
      </c>
      <c r="BS32" s="1111"/>
      <c r="BT32" s="1108" t="s">
        <v>297</v>
      </c>
      <c r="BU32" s="1111"/>
      <c r="BV32" s="1108" t="s">
        <v>298</v>
      </c>
      <c r="BW32" s="1111"/>
      <c r="BX32" s="1108" t="s">
        <v>299</v>
      </c>
      <c r="BY32" s="1111"/>
      <c r="BZ32" s="1108" t="s">
        <v>300</v>
      </c>
      <c r="CA32" s="1111"/>
      <c r="CB32" s="1108" t="s">
        <v>301</v>
      </c>
      <c r="CC32" s="1111"/>
      <c r="CD32" s="1108" t="s">
        <v>302</v>
      </c>
      <c r="CE32" s="1111"/>
      <c r="CF32" s="1108" t="s">
        <v>303</v>
      </c>
      <c r="CG32" s="1111"/>
      <c r="CH32" s="1167" t="s">
        <v>681</v>
      </c>
      <c r="CI32" s="1111"/>
      <c r="CJ32" s="1167" t="s">
        <v>682</v>
      </c>
      <c r="CK32" s="1111"/>
    </row>
    <row r="33" spans="1:89" s="3" customFormat="1" ht="13.5" thickTop="1">
      <c r="A33" s="628">
        <v>1</v>
      </c>
      <c r="B33" s="628">
        <f>Year1</f>
        <v>2016</v>
      </c>
      <c r="C33" s="629">
        <f t="shared" ref="C33:C57" si="7">VLOOKUP($B33,$C$136:$AR$166,3,FALSE)*(1+Inflation)^(Year1-Real_Year2)</f>
        <v>8.2413385249353238E-2</v>
      </c>
      <c r="D33" s="630">
        <f>NPV(realdiscrt1,C$33:C33)/(1+realdiscrt1)^-Half_Year</f>
        <v>8.2232671937550239E-2</v>
      </c>
      <c r="E33" s="629">
        <f t="shared" ref="E33:E57" si="8">VLOOKUP($B33,$C$136:$AR$166,4,FALSE)*(1+Inflation)^(Year1-Real_Year2)</f>
        <v>7.6813636173545294E-2</v>
      </c>
      <c r="F33" s="630">
        <f>NPV(realdiscrt1,E$33:E33)/(1+realdiscrt1)^-Half_Year</f>
        <v>7.6645201804024454E-2</v>
      </c>
      <c r="G33" s="629">
        <f t="shared" ref="G33:G57" si="9">VLOOKUP($B33,$C$136:$AR$166,5,FALSE)*(1+Inflation)^(Year1-Real_Year2)</f>
        <v>6.1249567205840641E-2</v>
      </c>
      <c r="H33" s="630">
        <f>NPV(realdiscrt1,G$33:G33)/(1+realdiscrt1)^-Half_Year</f>
        <v>6.1115261205634749E-2</v>
      </c>
      <c r="I33" s="629">
        <f t="shared" ref="I33:I57" si="10">VLOOKUP($B33,$C$136:$AR$166,6,FALSE)*(1+Inflation)^(Year1-Real_Year2)</f>
        <v>4.2255764134437185E-2</v>
      </c>
      <c r="J33" s="630">
        <f>ROUND(NPV(realdiscrt1,I$33:I33)/(1+realdiscrt1)^-Half_Year,5)</f>
        <v>4.2160000000000003E-2</v>
      </c>
      <c r="K33" s="624">
        <f t="shared" ref="K33:K57" si="11">VLOOKUP($B33,$C$136:$AR$166,9,FALSE)*(1+Inflation)^(Year1-Real_Year2)</f>
        <v>40.315178509011808</v>
      </c>
      <c r="L33" s="630">
        <f>NPV(realdiscrt1,K$33:K33)/(1+realdiscrt1)^-Half_Year</f>
        <v>40.226776735413388</v>
      </c>
      <c r="M33" s="624">
        <f t="shared" ref="M33:M57" si="12">0*((1+Inflation)^(Year1-Real_Year2))</f>
        <v>0</v>
      </c>
      <c r="N33" s="630">
        <f>NPV(realdiscrt1,M$33:M33)/(1+realdiscrt1)^-Half_Year</f>
        <v>0</v>
      </c>
      <c r="O33" s="624">
        <f t="shared" ref="O33:O57" si="13">transmissionyear1*(1+Inflation)^(Year1-TD_Year)</f>
        <v>10.739952210274792</v>
      </c>
      <c r="P33" s="630">
        <f>NPV(realdiscrt1,O$33:O33)/(1+realdiscrt1)^-Half_Year</f>
        <v>10.71640200266407</v>
      </c>
      <c r="Q33" s="624">
        <f t="shared" ref="Q33:Q57" si="14">Distributionyear1*(1+Inflation)^(Year1-TD_Year)</f>
        <v>84.296373954599773</v>
      </c>
      <c r="R33" s="630">
        <f>NPV(realdiscrt1,Q$33:Q33)/(1+realdiscrt1)^-Half_Year</f>
        <v>84.111531688210292</v>
      </c>
      <c r="S33" s="624">
        <f t="shared" ref="S33:S57" si="15">VLOOKUP($B33,$C$245:$S$275,3,FALSE)*(1+Inflation)^(Year1-Real_Year2)</f>
        <v>16.506833293137937</v>
      </c>
      <c r="T33" s="630">
        <f>NPV(realdiscrt1,S$33:S33)/(1+realdiscrt1)^-Half_Year</f>
        <v>16.470637661775903</v>
      </c>
      <c r="U33" s="624">
        <f t="shared" ref="U33:U57" si="16">VLOOKUP($B33,$C$245:$S$275,7,FALSE)*(1+Inflation)^(Year1-Real_Year2)</f>
        <v>15.008347960214042</v>
      </c>
      <c r="V33" s="630">
        <f>NPV(realdiscrt1,U$33:U33)/(1+realdiscrt1)^-Half_Year</f>
        <v>14.975438157317633</v>
      </c>
      <c r="W33" s="624">
        <f t="shared" ref="W33:W57" si="17">VLOOKUP($B33,$C$245:$S$275,11,FALSE)*(1+Inflation)^(Year1-Real_Year2)</f>
        <v>14.640911264056047</v>
      </c>
      <c r="X33" s="630">
        <f>NPV(realdiscrt1,W$33:W33)/(1+realdiscrt1)^-Half_Year</f>
        <v>14.608807164044427</v>
      </c>
      <c r="Y33" s="624">
        <f t="shared" ref="Y33:Y57" si="18">VLOOKUP($B33,$D$192:$O$222,6,FALSE)*(1+Inflation)^(Year1-Real_Year2)</f>
        <v>6.903756685933601</v>
      </c>
      <c r="Z33" s="630">
        <f>NPV(realdiscrt1,Y$33:Y33)/(1+realdiscrt1)^-Half_Year</f>
        <v>6.8886183594248376</v>
      </c>
      <c r="AA33" s="624">
        <f t="shared" ref="AA33:AA57" si="19">VLOOKUP($B33,$D$192:$O$222,4,FALSE)*(1+Inflation)^(Year1-Real_Year2)</f>
        <v>6.6655688963599617</v>
      </c>
      <c r="AB33" s="630">
        <f>NPV(realdiscrt1,AA$33:AA33)/(1+realdiscrt1)^-Half_Year</f>
        <v>6.6509528600611532</v>
      </c>
      <c r="AC33" s="624">
        <f t="shared" ref="AC33:AC57" si="20">VLOOKUP($B33,$D$192:$O$222,5,FALSE)*(1+Inflation)^(Year1-Real_Year2)</f>
        <v>7.0910857727999401</v>
      </c>
      <c r="AD33" s="630">
        <f>NPV(realdiscrt1,AC$33:AC33)/(1+realdiscrt1)^-Half_Year</f>
        <v>7.075536677341665</v>
      </c>
      <c r="AE33" s="624">
        <f t="shared" ref="AE33:AE57" si="21">VLOOKUP($B33,$D$192:$O$222,3,FALSE)*(1+Inflation)^(Year1-Real_Year2)</f>
        <v>5.3890182670400266</v>
      </c>
      <c r="AF33" s="630">
        <f>NPV(realdiscrt1,AE$33:AE33)/(1+realdiscrt1)^-Half_Year</f>
        <v>5.3772014082196167</v>
      </c>
      <c r="AG33" s="624">
        <f t="shared" ref="AG33:AG57" si="22">VLOOKUP($B33,$D$192:$O$222,8,FALSE)*(1+Inflation)^(Year1-Real_Year2)</f>
        <v>5.578552642334687</v>
      </c>
      <c r="AH33" s="630">
        <f>NPV(realdiscrt1,AG$33:AG33)/(1+realdiscrt1)^-Half_Year</f>
        <v>5.5663201788821368</v>
      </c>
      <c r="AI33" s="624">
        <f t="shared" ref="AI33:AI57" si="23">VLOOKUP($B33,$D$192:$O$222,9,FALSE)*(1+Inflation)^(Year1-Real_Year2)</f>
        <v>6.4436527685114759</v>
      </c>
      <c r="AJ33" s="630">
        <f>NPV(realdiscrt1,AI$33:AI33)/(1+realdiscrt1)^-Half_Year</f>
        <v>6.4295233424675988</v>
      </c>
      <c r="AK33" s="624">
        <f t="shared" ref="AK33:AK57" si="24">VLOOKUP($B33,$D$192:$O$222,10,FALSE)*(1+Inflation)^(Year1-Real_Year2)</f>
        <v>6.1368443785712241</v>
      </c>
      <c r="AL33" s="630">
        <f>NPV(realdiscrt1,AK$33:AK33)/(1+realdiscrt1)^-Half_Year</f>
        <v>6.1233877116922244</v>
      </c>
      <c r="AM33" s="624">
        <f t="shared" ref="AM33:AM57" si="25">VLOOKUP($B33,$C$245:$S$275,16,FALSE)*(1+Inflation)^(Year1-Real_Year2)</f>
        <v>15.613098319780079</v>
      </c>
      <c r="AN33" s="630">
        <f>NPV(realdiscrt1,AM$33:AM33)/(1+realdiscrt1)^-Half_Year</f>
        <v>15.578862440543514</v>
      </c>
      <c r="AO33" s="624"/>
      <c r="AP33" s="625"/>
      <c r="AQ33" s="624">
        <f t="shared" ref="AQ33:AQ57" si="26">reswater2*(1+Inflation)^(Year1-Wt_Year)</f>
        <v>1.0833179284981212E-2</v>
      </c>
      <c r="AR33" s="630">
        <f>NPV(realdiscrt1,AQ$33:AQ33)/(1+realdiscrt1)^-Half_Year</f>
        <v>1.0809424652162511E-2</v>
      </c>
      <c r="AS33" s="634">
        <f t="shared" ref="AS33:AS57" si="27">ciwater1*(1+Inflation)^(Year1-Wt_Year)</f>
        <v>4.5379702334816434E-3</v>
      </c>
      <c r="AT33" s="630">
        <f>NPV(realdiscrt1,AS$33:AS33)/(1+realdiscrt1)^-Half_Year</f>
        <v>4.52801952429436E-3</v>
      </c>
      <c r="AU33" s="634">
        <f t="shared" ref="AU33:AU57" si="28">cisewer1*(1+Inflation)^(Year1-Wt_Year)</f>
        <v>6.2952090514995698E-3</v>
      </c>
      <c r="AV33" s="630">
        <f>NPV(realdiscrt1,AU$33:AU33)/(1+realdiscrt1)^-Half_Year</f>
        <v>6.2814051278681513E-3</v>
      </c>
      <c r="AW33" s="624">
        <v>1</v>
      </c>
      <c r="AX33" s="630">
        <f>NPV(realdiscrt1,AW$33:AW33)/(1+realdiscrt1)^-Half_Year</f>
        <v>0.99780723348208267</v>
      </c>
      <c r="AY33" s="624">
        <f t="shared" ref="AY33:AY57" si="29">IF(CD="YES",VLOOKUP($B33,$C$136:$AR$166,14,FALSE)*(1+Inflation)^(Year1-Real_Year2),"")</f>
        <v>0</v>
      </c>
      <c r="AZ33" s="630">
        <f>NPV(realdiscrt1,AY$33:AY33)/(1+realdiscrt1)^-Half_Year</f>
        <v>0</v>
      </c>
      <c r="BA33" s="635">
        <f t="shared" ref="BA33:BA57" si="30">1/(1+realdiscrt1)^-0.5</f>
        <v>1.0021975853094038</v>
      </c>
      <c r="BB33" s="636">
        <f t="shared" ref="BB33:BB57" si="31">IF(ED="YES",VLOOKUP($B33,$C$136:$AR$166,10,FALSE)*(1+Inflation)^(Year1-Real_Year2),"")</f>
        <v>2.0881231539587514E-2</v>
      </c>
      <c r="BC33" s="630">
        <f>NPV(realdiscrt1,BB$33:BB33)/(1+realdiscrt1)^-Half_Year</f>
        <v>2.0835443874214626E-2</v>
      </c>
      <c r="BD33" s="624">
        <f t="shared" ref="BD33:BD57" si="32">IF(ED="YES",VLOOKUP($B33,$C$136:$AR$166,11,FALSE)*(1+Inflation)^(Year1-Real_Year2),"")</f>
        <v>1.0409254568596695E-2</v>
      </c>
      <c r="BE33" s="630">
        <f>NPV(realdiscrt1,BD$33:BD33)/(1+realdiscrt1)^-Half_Year</f>
        <v>1.0386429503702199E-2</v>
      </c>
      <c r="BF33" s="624">
        <f t="shared" ref="BF33:BF57" si="33">IF(ED="YES",VLOOKUP($B33,$C$136:$AR$166,12,FALSE)*(1+Inflation)^(Year1-Real_Year2),"")</f>
        <v>3.4901762022140327E-2</v>
      </c>
      <c r="BG33" s="630">
        <f>NPV(realdiscrt1,BF$33:BF33)/(1+realdiscrt1)^-Half_Year</f>
        <v>3.4825230606961861E-2</v>
      </c>
      <c r="BH33" s="624">
        <f t="shared" ref="BH33:BH57" si="34">IF(ED="YES",VLOOKUP($B33,$C$136:$AR$166,13,FALSE)*(1+Inflation)^(Year1-Real_Year2),"")</f>
        <v>1.0287406109537246E-2</v>
      </c>
      <c r="BI33" s="630">
        <f>NPV(realdiscrt1,BH$33:BH33)/(1+realdiscrt1)^-Half_Year</f>
        <v>1.0264848229864036E-2</v>
      </c>
      <c r="BJ33" s="634">
        <f t="shared" ref="BJ33:BJ57" si="35">IF(EE="YES",VLOOKUP($B33,$C$136:$AR$166,20,FALSE)*(1+Inflation)^(Year1-Real_Year2),"")</f>
        <v>4.8238954761051382E-2</v>
      </c>
      <c r="BK33" s="630">
        <f>NPV(realdiscrt1,BJ$33:BJ33)/(1+realdiscrt1)^-Half_Year</f>
        <v>4.8133177996192024E-2</v>
      </c>
      <c r="BL33" s="634">
        <f t="shared" ref="BL33:BL57" si="36">IF(EE="YES",VLOOKUP($B33,$C$136:$AR$166,21,FALSE)*(1+Inflation)^(Year1-Real_Year2),"")</f>
        <v>4.7670880710872165E-2</v>
      </c>
      <c r="BM33" s="630">
        <f>NPV(realdiscrt1,BL$33:BL33)/(1+realdiscrt1)^-Half_Year</f>
        <v>4.7566349599769742E-2</v>
      </c>
      <c r="BN33" s="634">
        <f t="shared" ref="BN33:BN57" si="37">IF(EE="YES",VLOOKUP($B33,$C$136:$AR$166,22,FALSE)*(1+Inflation)^(Year1-Real_Year2),"")</f>
        <v>5.1410701541218642E-2</v>
      </c>
      <c r="BO33" s="630">
        <f>NPV(realdiscrt1,BN$33:BN33)/(1+realdiscrt1)^-Half_Year</f>
        <v>5.1297969876216418E-2</v>
      </c>
      <c r="BP33" s="634">
        <f t="shared" ref="BP33:BP57" si="38">IF(EE="YES",VLOOKUP($B33,$C$136:$AR$166,23,FALSE)*(1+Inflation)^(Year1-Real_Year2),"")</f>
        <v>4.9233084348865003E-2</v>
      </c>
      <c r="BQ33" s="630">
        <f>NPV(realdiscrt1,BP$33:BP33)/(1+realdiscrt1)^-Half_Year</f>
        <v>4.9125127689931013E-2</v>
      </c>
      <c r="BR33" s="634">
        <f t="shared" ref="BR33:BR57" si="39">IF(GD="Yes",VLOOKUP($B33,$S$192:$AF$222,3,FALSE)*(1+Inflation)^(Year1-Real_Year2),"")</f>
        <v>0.14005407115292715</v>
      </c>
      <c r="BS33" s="630">
        <f>NPV(realdiscrt1,BR$33:BR33)/(1+realdiscrt1)^-Half_Year</f>
        <v>0.13974696527500499</v>
      </c>
      <c r="BT33" s="624">
        <f t="shared" ref="BT33:BT57" si="40">IF(GECD="Yes",VLOOKUP($B33,$S$192:$AU$222,5,FALSE)*(1+Inflation)^(Year1-Real_Year2),"")</f>
        <v>6.2452894150795046</v>
      </c>
      <c r="BU33" s="630">
        <f>NPV(realdiscrt1,BT$33:BT33)/(1+realdiscrt1)^-Half_Year</f>
        <v>6.2315949535554154</v>
      </c>
      <c r="BV33" s="624">
        <f t="shared" ref="BV33:BV57" si="41">IF(GECD="Yes",VLOOKUP($B33,$S$192:$AU$222,6,FALSE)*(1+Inflation)^(Year1-Real_Year2),"")</f>
        <v>5.994749790802441</v>
      </c>
      <c r="BW33" s="630">
        <f>NPV(realdiscrt1,BV$33:BV33)/(1+realdiscrt1)^-Half_Year</f>
        <v>5.9816047041778777</v>
      </c>
      <c r="BX33" s="624">
        <f t="shared" ref="BX33:BX57" si="42">IF(GECD="Yes",VLOOKUP($B33,$S$192:$AU$222,7,FALSE)*(1+Inflation)^(Year1-Real_Year2),"")</f>
        <v>5.9136245695975571</v>
      </c>
      <c r="BY33" s="630">
        <f>NPV(realdiscrt1,BX$33:BX33)/(1+realdiscrt1)^-Half_Year</f>
        <v>5.9006573716418105</v>
      </c>
      <c r="BZ33" s="624">
        <f t="shared" ref="BZ33:BZ57" si="43">IF(GECD="Yes",VLOOKUP($B33,$S$192:$AU$222,8,FALSE)*(1+Inflation)^(Year1-Real_Year2),"")</f>
        <v>5.979599340660827</v>
      </c>
      <c r="CA33" s="630">
        <f>NPV(realdiscrt1,BZ$33:BZ33)/(1+realdiscrt1)^-Half_Year</f>
        <v>5.9664874754360655</v>
      </c>
      <c r="CB33" s="624">
        <f t="shared" ref="CB33:CB57" si="44">IF(GECD="Yes",VLOOKUP($B33,$S$192:$AU$222,10,FALSE)*(1+Inflation)^(Year1-Real_Year2),"")</f>
        <v>6.1522574259218183</v>
      </c>
      <c r="CC33" s="630">
        <f>NPV(realdiscrt1,CB$33:CB33)/(1+realdiscrt1)^-Half_Year</f>
        <v>6.1387669618286491</v>
      </c>
      <c r="CD33" s="624">
        <f t="shared" ref="CD33:CD57" si="45">IF(GECD="Yes",VLOOKUP($B33,$S$192:$AU$222,11,FALSE)*(1+Inflation)^(Year1-Real_Year2),"")</f>
        <v>5.9925608028222603</v>
      </c>
      <c r="CE33" s="630">
        <f>NPV(realdiscrt1,CD$33:CD33)/(1+realdiscrt1)^-Half_Year</f>
        <v>5.9794205161372478</v>
      </c>
      <c r="CF33" s="624">
        <f t="shared" ref="CF33:CF57" si="46">IF(GECD="Yes",VLOOKUP($B33,$S$192:$AU$222,12,FALSE)*(1+Inflation)^(Year1-Real_Year2),"")</f>
        <v>6.0623482271167672</v>
      </c>
      <c r="CG33" s="630">
        <f>NPV(realdiscrt1,CF$33:CF33)/(1+realdiscrt1)^-Half_Year</f>
        <v>6.0490549129043911</v>
      </c>
      <c r="CH33" s="636">
        <f t="shared" ref="CH33:CH57" si="47">IF(ECD="YES",VLOOKUP($B33,$C$136:$AR$166,31,FALSE)*(1+Inflation)^(Year1-Real_Year2),"")</f>
        <v>2.73778227894559E-2</v>
      </c>
      <c r="CI33" s="630">
        <f>NPV(realdiscrt1,CH$33:CH33)/(1+realdiscrt1)^-Half_Year</f>
        <v>2.7317789616309707E-2</v>
      </c>
      <c r="CJ33" s="624">
        <f t="shared" ref="CJ33:CJ57" si="48">IF(ECD="YES",VLOOKUP($B33,$C$136:$AR$166,30,FALSE)*(1+Inflation)^(Year1-Real_Year2),"")</f>
        <v>4.3436421590543589E-2</v>
      </c>
      <c r="CK33" s="630">
        <f>NPV(realdiscrt1,CJ$33:CJ33)/(1+realdiscrt1)^-Half_Year</f>
        <v>4.3341175659621707E-2</v>
      </c>
    </row>
    <row r="34" spans="1:89">
      <c r="A34" s="56">
        <v>2</v>
      </c>
      <c r="B34" s="56">
        <f t="shared" ref="B34:B57" si="49">B33+1</f>
        <v>2017</v>
      </c>
      <c r="C34" s="62">
        <f t="shared" si="7"/>
        <v>7.9097762408961964E-2</v>
      </c>
      <c r="D34" s="633">
        <f>NPV(realdiscrt1,C$33:C34)/(1+realdiscrt1)^-Half_Year</f>
        <v>0.16081124569691843</v>
      </c>
      <c r="E34" s="62">
        <f t="shared" si="8"/>
        <v>7.3692917649473888E-2</v>
      </c>
      <c r="F34" s="633">
        <f>NPV(realdiscrt1,E$33:E34)/(1+realdiscrt1)^-Half_Year</f>
        <v>0.14985440758562987</v>
      </c>
      <c r="G34" s="62">
        <f t="shared" si="9"/>
        <v>6.2787313372677789E-2</v>
      </c>
      <c r="H34" s="633">
        <f>NPV(realdiscrt1,G$33:G34)/(1+realdiscrt1)^-Half_Year</f>
        <v>0.1234904458473753</v>
      </c>
      <c r="I34" s="62">
        <f t="shared" si="10"/>
        <v>4.8449832564356768E-2</v>
      </c>
      <c r="J34" s="633">
        <f>NPV(realdiscrt1,I$33:I34)/(1+realdiscrt1)^-Half_Year</f>
        <v>9.0294920524340516E-2</v>
      </c>
      <c r="K34" s="63">
        <f t="shared" si="11"/>
        <v>76.946791779832353</v>
      </c>
      <c r="L34" s="633">
        <f>NPV(realdiscrt1,K$33:K34)/(1+realdiscrt1)^-Half_Year</f>
        <v>116.66849859040779</v>
      </c>
      <c r="M34" s="63">
        <f t="shared" si="12"/>
        <v>0</v>
      </c>
      <c r="N34" s="633">
        <f>NPV(realdiscrt1,M$33:M34)/(1+realdiscrt1)^-Half_Year</f>
        <v>0</v>
      </c>
      <c r="O34" s="624">
        <f t="shared" si="13"/>
        <v>10.739952210274792</v>
      </c>
      <c r="P34" s="633">
        <f>NPV(realdiscrt1,O$33:O34)/(1+realdiscrt1)^-Half_Year</f>
        <v>21.385858397192216</v>
      </c>
      <c r="Q34" s="624">
        <f t="shared" si="14"/>
        <v>84.296373954599773</v>
      </c>
      <c r="R34" s="633">
        <f>NPV(realdiscrt1,Q$33:Q34)/(1+realdiscrt1)^-Half_Year</f>
        <v>167.85459390267692</v>
      </c>
      <c r="S34" s="63">
        <f t="shared" si="15"/>
        <v>17.874131225549988</v>
      </c>
      <c r="T34" s="633">
        <f>NPV(realdiscrt1,S$33:S34)/(1+realdiscrt1)^-Half_Year</f>
        <v>34.227445137942503</v>
      </c>
      <c r="U34" s="63">
        <f t="shared" si="16"/>
        <v>16.323655872251557</v>
      </c>
      <c r="V34" s="633">
        <f>NPV(realdiscrt1,U$33:U34)/(1+realdiscrt1)^-Half_Year</f>
        <v>31.191947422754591</v>
      </c>
      <c r="W34" s="63">
        <f t="shared" si="17"/>
        <v>15.966718868427982</v>
      </c>
      <c r="X34" s="633">
        <f>NPV(realdiscrt1,W$33:W34)/(1+realdiscrt1)^-Half_Year</f>
        <v>30.470722319253802</v>
      </c>
      <c r="Y34" s="624">
        <f t="shared" si="18"/>
        <v>7.7990875047374191</v>
      </c>
      <c r="Z34" s="633">
        <f>NPV(realdiscrt1,Y$33:Y34)/(1+realdiscrt1)^-Half_Year</f>
        <v>14.636513547384538</v>
      </c>
      <c r="AA34" s="63">
        <f t="shared" si="19"/>
        <v>7.5393442635508769</v>
      </c>
      <c r="AB34" s="633">
        <f>NPV(realdiscrt1,AA$33:AA34)/(1+realdiscrt1)^-Half_Year</f>
        <v>14.140809731708616</v>
      </c>
      <c r="AC34" s="63">
        <f t="shared" si="20"/>
        <v>8.0187497690231115</v>
      </c>
      <c r="AD34" s="633">
        <f>NPV(realdiscrt1,AC$33:AC34)/(1+realdiscrt1)^-Half_Year</f>
        <v>15.041652291652737</v>
      </c>
      <c r="AE34" s="63">
        <f t="shared" si="21"/>
        <v>6.1011277471341669</v>
      </c>
      <c r="AF34" s="633">
        <f>NPV(realdiscrt1,AE$33:AE34)/(1+realdiscrt1)^-Half_Year</f>
        <v>11.438282051876243</v>
      </c>
      <c r="AG34" s="63">
        <f t="shared" si="22"/>
        <v>6.3445507514610844</v>
      </c>
      <c r="AH34" s="633">
        <f>NPV(realdiscrt1,AG$33:AG34)/(1+realdiscrt1)^-Half_Year</f>
        <v>11.869226026156186</v>
      </c>
      <c r="AI34" s="63">
        <f t="shared" si="23"/>
        <v>7.3174281357023885</v>
      </c>
      <c r="AJ34" s="633">
        <f>NPV(realdiscrt1,AI$33:AI34)/(1+realdiscrt1)^-Half_Year</f>
        <v>13.698920718303077</v>
      </c>
      <c r="AK34" s="63">
        <f t="shared" si="24"/>
        <v>6.9675088425363301</v>
      </c>
      <c r="AL34" s="633">
        <f>NPV(realdiscrt1,AK$33:AK34)/(1+realdiscrt1)^-Half_Year</f>
        <v>13.045162624508954</v>
      </c>
      <c r="AM34" s="63">
        <f t="shared" si="25"/>
        <v>17.502742559653726</v>
      </c>
      <c r="AN34" s="633">
        <f>NPV(realdiscrt1,AM$33:AM34)/(1+realdiscrt1)^-Half_Year</f>
        <v>32.966719003463851</v>
      </c>
      <c r="AO34" s="624"/>
      <c r="AP34" s="625"/>
      <c r="AQ34" s="63">
        <f t="shared" si="26"/>
        <v>1.0833179284981212E-2</v>
      </c>
      <c r="AR34" s="633">
        <f>NPV(realdiscrt1,AQ$33:AQ34)/(1+realdiscrt1)^-Half_Year</f>
        <v>2.1571496189560471E-2</v>
      </c>
      <c r="AS34" s="634">
        <f t="shared" si="27"/>
        <v>4.5379702334816434E-3</v>
      </c>
      <c r="AT34" s="633">
        <f>NPV(realdiscrt1,AS$33:AS34)/(1+realdiscrt1)^-Half_Year</f>
        <v>9.0362030411147102E-3</v>
      </c>
      <c r="AU34" s="634">
        <f t="shared" si="28"/>
        <v>6.2952090514995698E-3</v>
      </c>
      <c r="AV34" s="633">
        <f>NPV(realdiscrt1,AU$33:AU34)/(1+realdiscrt1)^-Half_Year</f>
        <v>1.253529314844576E-2</v>
      </c>
      <c r="AW34" s="63">
        <v>1</v>
      </c>
      <c r="AX34" s="633">
        <f>NPV(realdiscrt1,AW$33:AW34)/(1+realdiscrt1)^-Half_Year</f>
        <v>1.9912433480600227</v>
      </c>
      <c r="AY34" s="63">
        <f t="shared" si="29"/>
        <v>0</v>
      </c>
      <c r="AZ34" s="633">
        <f>NPV(realdiscrt1,AY$33:AY34)/(1+realdiscrt1)^-Half_Year</f>
        <v>0</v>
      </c>
      <c r="BA34" s="115">
        <f t="shared" si="30"/>
        <v>1.0021975853094038</v>
      </c>
      <c r="BB34" s="74">
        <f t="shared" si="31"/>
        <v>1.9976113191799115E-2</v>
      </c>
      <c r="BC34" s="633">
        <f>NPV(realdiscrt1,BB$33:BB34)/(1+realdiscrt1)^-Half_Year</f>
        <v>4.0680436147844667E-2</v>
      </c>
      <c r="BD34" s="74">
        <f t="shared" si="32"/>
        <v>9.9519717748153252E-3</v>
      </c>
      <c r="BE34" s="633">
        <f>NPV(realdiscrt1,BD$33:BD34)/(1+realdiscrt1)^-Half_Year</f>
        <v>2.0273077676064059E-2</v>
      </c>
      <c r="BF34" s="74">
        <f t="shared" si="33"/>
        <v>3.6015044890042661E-2</v>
      </c>
      <c r="BG34" s="633">
        <f>NPV(realdiscrt1,BF$33:BF34)/(1+realdiscrt1)^-Half_Year</f>
        <v>7.0603876868875926E-2</v>
      </c>
      <c r="BH34" s="74">
        <f t="shared" si="34"/>
        <v>1.2179905030132514E-2</v>
      </c>
      <c r="BI34" s="633">
        <f>NPV(realdiscrt1,BH$33:BH34)/(1+realdiscrt1)^-Half_Year</f>
        <v>2.2364805758927186E-2</v>
      </c>
      <c r="BJ34" s="64">
        <f t="shared" si="35"/>
        <v>4.7921661657706102E-2</v>
      </c>
      <c r="BK34" s="633">
        <f>NPV(realdiscrt1,BJ$33:BJ34)/(1+realdiscrt1)^-Half_Year</f>
        <v>9.5740287357542211E-2</v>
      </c>
      <c r="BL34" s="64">
        <f t="shared" si="36"/>
        <v>4.7357324130824378E-2</v>
      </c>
      <c r="BM34" s="633">
        <f>NPV(realdiscrt1,BL$33:BL34)/(1+realdiscrt1)^-Half_Year</f>
        <v>9.4612825681104004E-2</v>
      </c>
      <c r="BN34" s="64">
        <f t="shared" si="37"/>
        <v>5.1072546182795706E-2</v>
      </c>
      <c r="BO34" s="633">
        <f>NPV(realdiscrt1,BN$33:BN34)/(1+realdiscrt1)^-Half_Year</f>
        <v>0.10203528171765537</v>
      </c>
      <c r="BP34" s="64">
        <f t="shared" si="38"/>
        <v>4.8909252329749117E-2</v>
      </c>
      <c r="BQ34" s="633">
        <f>NPV(realdiscrt1,BP$33:BP34)/(1+realdiscrt1)^-Half_Year</f>
        <v>9.7713345291309039E-2</v>
      </c>
      <c r="BR34" s="64">
        <f t="shared" si="39"/>
        <v>0.14005407115292715</v>
      </c>
      <c r="BS34" s="633">
        <f>NPV(realdiscrt1,BR$33:BR34)/(1+realdiscrt1)^-Half_Year</f>
        <v>0.2788817375519913</v>
      </c>
      <c r="BT34" s="64">
        <f t="shared" si="40"/>
        <v>3.6754948499476221</v>
      </c>
      <c r="BU34" s="633">
        <f>NPV(realdiscrt1,BT$33:BT34)/(1+realdiscrt1)^-Half_Year</f>
        <v>9.8829642764386083</v>
      </c>
      <c r="BV34" s="64">
        <f t="shared" si="41"/>
        <v>3.4893981858672181</v>
      </c>
      <c r="BW34" s="633">
        <f>NPV(realdiscrt1,BV$33:BV34)/(1+realdiscrt1)^-Half_Year</f>
        <v>9.448098880161119</v>
      </c>
      <c r="BX34" s="64">
        <f t="shared" si="42"/>
        <v>3.4291397214323931</v>
      </c>
      <c r="BY34" s="633">
        <f>NPV(realdiscrt1,BX$33:BX34)/(1+realdiscrt1)^-Half_Year</f>
        <v>9.3072886128464845</v>
      </c>
      <c r="BZ34" s="64">
        <f t="shared" si="43"/>
        <v>3.4781446835966427</v>
      </c>
      <c r="CA34" s="633">
        <f>NPV(realdiscrt1,BZ$33:BZ34)/(1+realdiscrt1)^-Half_Year</f>
        <v>9.4218020158482325</v>
      </c>
      <c r="CB34" s="64">
        <f t="shared" si="44"/>
        <v>3.6063922363991003</v>
      </c>
      <c r="CC34" s="633">
        <f>NPV(realdiscrt1,CB$33:CB34)/(1+realdiscrt1)^-Half_Year</f>
        <v>9.721487252801019</v>
      </c>
      <c r="CD34" s="64">
        <f t="shared" si="45"/>
        <v>3.4877722420190178</v>
      </c>
      <c r="CE34" s="633">
        <f>NPV(realdiscrt1,CD$33:CD34)/(1+realdiscrt1)^-Half_Year</f>
        <v>9.4442994207814106</v>
      </c>
      <c r="CF34" s="64">
        <f t="shared" si="46"/>
        <v>3.5396091795631142</v>
      </c>
      <c r="CG34" s="633">
        <f>NPV(realdiscrt1,CF$33:CF34)/(1+realdiscrt1)^-Half_Year</f>
        <v>9.5654305033739799</v>
      </c>
      <c r="CH34" s="636">
        <f t="shared" si="47"/>
        <v>1.6237763349609184E-2</v>
      </c>
      <c r="CI34" s="633">
        <f>NPV(realdiscrt1,CH$33:CH34)/(1+realdiscrt1)^-Half_Year</f>
        <v>4.3448970147781533E-2</v>
      </c>
      <c r="CJ34" s="636">
        <f t="shared" si="48"/>
        <v>2.548601856255028E-2</v>
      </c>
      <c r="CK34" s="633">
        <f>NPV(realdiscrt1,CJ$33:CJ34)/(1+realdiscrt1)^-Half_Year</f>
        <v>6.8659906916462912E-2</v>
      </c>
    </row>
    <row r="35" spans="1:89">
      <c r="A35" s="56">
        <f t="shared" ref="A35:A57" si="50">A34+1</f>
        <v>3</v>
      </c>
      <c r="B35" s="56">
        <f t="shared" si="49"/>
        <v>2018</v>
      </c>
      <c r="C35" s="62">
        <f t="shared" si="7"/>
        <v>6.8203788354501804E-2</v>
      </c>
      <c r="D35" s="633">
        <f>NPV(realdiscrt1,C$33:C35)/(1+realdiscrt1)^-Half_Year</f>
        <v>0.22827053134247038</v>
      </c>
      <c r="E35" s="62">
        <f t="shared" si="8"/>
        <v>6.2809334936540534E-2</v>
      </c>
      <c r="F35" s="633">
        <f>NPV(realdiscrt1,E$33:E35)/(1+realdiscrt1)^-Half_Year</f>
        <v>0.2119781248880804</v>
      </c>
      <c r="G35" s="62">
        <f t="shared" si="9"/>
        <v>6.1461283979914801E-2</v>
      </c>
      <c r="H35" s="633">
        <f>NPV(realdiscrt1,G$33:G35)/(1+realdiscrt1)^-Half_Year</f>
        <v>0.18428082732286108</v>
      </c>
      <c r="I35" s="62">
        <f t="shared" si="10"/>
        <v>5.1667746056584397E-2</v>
      </c>
      <c r="J35" s="633">
        <f>NPV(realdiscrt1,I$33:I35)/(1+realdiscrt1)^-Half_Year</f>
        <v>0.14139866892283998</v>
      </c>
      <c r="K35" s="63">
        <f t="shared" si="11"/>
        <v>81.432439257452444</v>
      </c>
      <c r="L35" s="633">
        <f>NPV(realdiscrt1,K$33:K35)/(1+realdiscrt1)^-Half_Year</f>
        <v>197.21203309511472</v>
      </c>
      <c r="M35" s="63">
        <f t="shared" si="12"/>
        <v>0</v>
      </c>
      <c r="N35" s="633">
        <f>NPV(realdiscrt1,M$33:M35)/(1+realdiscrt1)^-Half_Year</f>
        <v>0</v>
      </c>
      <c r="O35" s="624">
        <f t="shared" si="13"/>
        <v>10.739952210274792</v>
      </c>
      <c r="P35" s="633">
        <f>NPV(realdiscrt1,O$33:O35)/(1+realdiscrt1)^-Half_Year</f>
        <v>32.008574839374766</v>
      </c>
      <c r="Q35" s="624">
        <f t="shared" si="14"/>
        <v>84.296373954599773</v>
      </c>
      <c r="R35" s="633">
        <f>NPV(realdiscrt1,Q$33:Q35)/(1+realdiscrt1)^-Half_Year</f>
        <v>251.23080080676559</v>
      </c>
      <c r="S35" s="63">
        <f t="shared" si="15"/>
        <v>18.996538908099915</v>
      </c>
      <c r="T35" s="633">
        <f>NPV(realdiscrt1,S$33:S35)/(1+realdiscrt1)^-Half_Year</f>
        <v>53.016620569335821</v>
      </c>
      <c r="U35" s="63">
        <f t="shared" si="16"/>
        <v>17.370951906115693</v>
      </c>
      <c r="V35" s="633">
        <f>NPV(realdiscrt1,U$33:U35)/(1+realdiscrt1)^-Half_Year</f>
        <v>48.373280525235508</v>
      </c>
      <c r="W35" s="63">
        <f t="shared" si="17"/>
        <v>16.995090763941715</v>
      </c>
      <c r="X35" s="633">
        <f>NPV(realdiscrt1,W$33:W35)/(1+realdiscrt1)^-Half_Year</f>
        <v>47.280297125535846</v>
      </c>
      <c r="Y35" s="624">
        <f t="shared" si="18"/>
        <v>8.2522714598618876</v>
      </c>
      <c r="Z35" s="633">
        <f>NPV(realdiscrt1,Y$33:Y35)/(1+realdiscrt1)^-Half_Year</f>
        <v>22.798704403146804</v>
      </c>
      <c r="AA35" s="63">
        <f t="shared" si="19"/>
        <v>8.0006115130301829</v>
      </c>
      <c r="AB35" s="633">
        <f>NPV(realdiscrt1,AA$33:AA35)/(1+realdiscrt1)^-Half_Year</f>
        <v>22.054087724293478</v>
      </c>
      <c r="AC35" s="63">
        <f t="shared" si="20"/>
        <v>8.4719337241475827</v>
      </c>
      <c r="AD35" s="633">
        <f>NPV(realdiscrt1,AC$33:AC35)/(1+realdiscrt1)^-Half_Year</f>
        <v>23.421107610130424</v>
      </c>
      <c r="AE35" s="63">
        <f t="shared" si="21"/>
        <v>6.5866448796779906</v>
      </c>
      <c r="AF35" s="633">
        <f>NPV(realdiscrt1,AE$33:AE35)/(1+realdiscrt1)^-Half_Year</f>
        <v>17.953028066782643</v>
      </c>
      <c r="AG35" s="63">
        <f t="shared" si="22"/>
        <v>6.8192901581984566</v>
      </c>
      <c r="AH35" s="633">
        <f>NPV(realdiscrt1,AG$33:AG35)/(1+realdiscrt1)^-Half_Year</f>
        <v>18.614077797303398</v>
      </c>
      <c r="AI35" s="63">
        <f t="shared" si="23"/>
        <v>7.7813898166333111</v>
      </c>
      <c r="AJ35" s="633">
        <f>NPV(realdiscrt1,AI$33:AI35)/(1+realdiscrt1)^-Half_Year</f>
        <v>21.395370006885859</v>
      </c>
      <c r="AK35" s="63">
        <f t="shared" si="24"/>
        <v>7.4314705234672518</v>
      </c>
      <c r="AL35" s="633">
        <f>NPV(realdiscrt1,AK$33:AK35)/(1+realdiscrt1)^-Half_Year</f>
        <v>20.395512288421536</v>
      </c>
      <c r="AM35" s="63">
        <f t="shared" si="25"/>
        <v>18.767344352261652</v>
      </c>
      <c r="AN35" s="633">
        <f>NPV(realdiscrt1,AM$33:AM35)/(1+realdiscrt1)^-Half_Year</f>
        <v>51.529201733707836</v>
      </c>
      <c r="AO35" s="624"/>
      <c r="AP35" s="625"/>
      <c r="AQ35" s="63">
        <f t="shared" si="26"/>
        <v>1.0833179284981212E-2</v>
      </c>
      <c r="AR35" s="633">
        <f>NPV(realdiscrt1,AQ$33:AQ35)/(1+realdiscrt1)^-Half_Year</f>
        <v>3.2286422053158598E-2</v>
      </c>
      <c r="AS35" s="634">
        <f t="shared" si="27"/>
        <v>4.5379702334816434E-3</v>
      </c>
      <c r="AT35" s="633">
        <f>NPV(realdiscrt1,AS$33:AS35)/(1+realdiscrt1)^-Half_Year</f>
        <v>1.3524637446551141E-2</v>
      </c>
      <c r="AU35" s="634">
        <f t="shared" si="28"/>
        <v>6.2952090514995698E-3</v>
      </c>
      <c r="AV35" s="633">
        <f>NPV(realdiscrt1,AU$33:AU35)/(1+realdiscrt1)^-Half_Year</f>
        <v>1.8761784606607462E-2</v>
      </c>
      <c r="AW35" s="63">
        <v>1</v>
      </c>
      <c r="AX35" s="633">
        <f>NPV(realdiscrt1,AW$33:AW35)/(1+realdiscrt1)^-Half_Year</f>
        <v>2.980327492402854</v>
      </c>
      <c r="AY35" s="63">
        <f t="shared" si="29"/>
        <v>0</v>
      </c>
      <c r="AZ35" s="633">
        <f>NPV(realdiscrt1,AY$33:AY35)/(1+realdiscrt1)^-Half_Year</f>
        <v>0</v>
      </c>
      <c r="BA35" s="115">
        <f t="shared" si="30"/>
        <v>1.0021975853094038</v>
      </c>
      <c r="BB35" s="74">
        <f t="shared" si="31"/>
        <v>1.0570526319385093E-2</v>
      </c>
      <c r="BC35" s="633">
        <f>NPV(realdiscrt1,BB$33:BB35)/(1+realdiscrt1)^-Half_Year</f>
        <v>5.1135576127707048E-2</v>
      </c>
      <c r="BD35" s="74">
        <f t="shared" si="32"/>
        <v>5.1960964936720441E-3</v>
      </c>
      <c r="BE35" s="633">
        <f>NPV(realdiscrt1,BD$33:BD35)/(1+realdiscrt1)^-Half_Year</f>
        <v>2.5412454330430462E-2</v>
      </c>
      <c r="BF35" s="74">
        <f t="shared" si="33"/>
        <v>0</v>
      </c>
      <c r="BG35" s="633">
        <f>NPV(realdiscrt1,BF$33:BF35)/(1+realdiscrt1)^-Half_Year</f>
        <v>7.0603876868875926E-2</v>
      </c>
      <c r="BH35" s="74">
        <f t="shared" si="34"/>
        <v>0</v>
      </c>
      <c r="BI35" s="633">
        <f>NPV(realdiscrt1,BH$33:BH35)/(1+realdiscrt1)^-Half_Year</f>
        <v>2.2364805758927186E-2</v>
      </c>
      <c r="BJ35" s="64">
        <f t="shared" si="35"/>
        <v>4.7609570080645175E-2</v>
      </c>
      <c r="BK35" s="633">
        <f>NPV(realdiscrt1,BJ$33:BJ35)/(1+realdiscrt1)^-Half_Year</f>
        <v>0.14283015824328718</v>
      </c>
      <c r="BL35" s="64">
        <f t="shared" si="36"/>
        <v>4.7048907822580657E-2</v>
      </c>
      <c r="BM35" s="633">
        <f>NPV(realdiscrt1,BL$33:BL35)/(1+realdiscrt1)^-Half_Year</f>
        <v>0.14114815441706596</v>
      </c>
      <c r="BN35" s="64">
        <f t="shared" si="37"/>
        <v>5.0739934354838721E-2</v>
      </c>
      <c r="BO35" s="633">
        <f>NPV(realdiscrt1,BN$33:BN35)/(1+realdiscrt1)^-Half_Year</f>
        <v>0.15222134627302245</v>
      </c>
      <c r="BP35" s="64">
        <f t="shared" si="38"/>
        <v>4.8590729032258077E-2</v>
      </c>
      <c r="BQ35" s="633">
        <f>NPV(realdiscrt1,BP$33:BP35)/(1+realdiscrt1)^-Half_Year</f>
        <v>0.14577366493917437</v>
      </c>
      <c r="BR35" s="64">
        <f t="shared" si="39"/>
        <v>0.14005407115292715</v>
      </c>
      <c r="BS35" s="633">
        <f>NPV(realdiscrt1,BR$33:BR35)/(1+realdiscrt1)^-Half_Year</f>
        <v>0.41740699868001424</v>
      </c>
      <c r="BT35" s="64">
        <f t="shared" si="40"/>
        <v>1.7281153612835123</v>
      </c>
      <c r="BU35" s="633">
        <f>NPV(realdiscrt1,BT$33:BT35)/(1+realdiscrt1)^-Half_Year</f>
        <v>11.592215779879414</v>
      </c>
      <c r="BV35" s="64">
        <f t="shared" si="41"/>
        <v>1.591007568372369</v>
      </c>
      <c r="BW35" s="633">
        <f>NPV(realdiscrt1,BV$33:BV35)/(1+realdiscrt1)^-Half_Year</f>
        <v>11.021739239567673</v>
      </c>
      <c r="BX35" s="64">
        <f t="shared" si="42"/>
        <v>1.5466117964024648</v>
      </c>
      <c r="BY35" s="633">
        <f>NPV(realdiscrt1,BX$33:BX35)/(1+realdiscrt1)^-Half_Year</f>
        <v>10.837017818121746</v>
      </c>
      <c r="BZ35" s="64">
        <f t="shared" si="43"/>
        <v>1.5827164855286029</v>
      </c>
      <c r="CA35" s="633">
        <f>NPV(realdiscrt1,BZ$33:BZ35)/(1+realdiscrt1)^-Half_Year</f>
        <v>10.987241796674583</v>
      </c>
      <c r="CB35" s="64">
        <f t="shared" si="44"/>
        <v>1.6772036113343785</v>
      </c>
      <c r="CC35" s="633">
        <f>NPV(realdiscrt1,CB$33:CB35)/(1+realdiscrt1)^-Half_Year</f>
        <v>11.380382751606389</v>
      </c>
      <c r="CD35" s="64">
        <f t="shared" si="45"/>
        <v>1.5898096448441541</v>
      </c>
      <c r="CE35" s="633">
        <f>NPV(realdiscrt1,CD$33:CD35)/(1+realdiscrt1)^-Half_Year</f>
        <v>11.016754933020071</v>
      </c>
      <c r="CF35" s="64">
        <f t="shared" si="46"/>
        <v>1.6280008082003818</v>
      </c>
      <c r="CG35" s="633">
        <f>NPV(realdiscrt1,CF$33:CF35)/(1+realdiscrt1)^-Half_Year</f>
        <v>11.175660289742293</v>
      </c>
      <c r="CH35" s="636">
        <f t="shared" si="47"/>
        <v>7.7958732662502701E-3</v>
      </c>
      <c r="CI35" s="633">
        <f>NPV(realdiscrt1,CH$33:CH35)/(1+realdiscrt1)^-Half_Year</f>
        <v>5.1159744786735836E-2</v>
      </c>
      <c r="CJ35" s="636">
        <f t="shared" si="48"/>
        <v>1.1884754304209048E-2</v>
      </c>
      <c r="CK35" s="633">
        <f>NPV(realdiscrt1,CJ$33:CJ35)/(1+realdiscrt1)^-Half_Year</f>
        <v>8.0414928958166293E-2</v>
      </c>
    </row>
    <row r="36" spans="1:89">
      <c r="A36" s="56">
        <f t="shared" si="50"/>
        <v>4</v>
      </c>
      <c r="B36" s="56">
        <f t="shared" si="49"/>
        <v>2019</v>
      </c>
      <c r="C36" s="62">
        <f t="shared" si="7"/>
        <v>6.7215437788459523E-2</v>
      </c>
      <c r="D36" s="633">
        <f>NPV(realdiscrt1,C$33:C36)/(1+realdiscrt1)^-Half_Year</f>
        <v>0.29446101697730442</v>
      </c>
      <c r="E36" s="62">
        <f t="shared" si="8"/>
        <v>6.1886928523998463E-2</v>
      </c>
      <c r="F36" s="633">
        <f>NPV(realdiscrt1,E$33:E36)/(1+realdiscrt1)^-Half_Year</f>
        <v>0.27292135442329046</v>
      </c>
      <c r="G36" s="62">
        <f t="shared" si="9"/>
        <v>6.1010033821265588E-2</v>
      </c>
      <c r="H36" s="633">
        <f>NPV(realdiscrt1,G$33:G36)/(1+realdiscrt1)^-Half_Year</f>
        <v>0.24436053371317734</v>
      </c>
      <c r="I36" s="62">
        <f t="shared" si="10"/>
        <v>5.1044219374162578E-2</v>
      </c>
      <c r="J36" s="633">
        <f>NPV(realdiscrt1,I$33:I36)/(1+realdiscrt1)^-Half_Year</f>
        <v>0.1916645271898067</v>
      </c>
      <c r="K36" s="63">
        <f t="shared" si="11"/>
        <v>73.796436723031036</v>
      </c>
      <c r="L36" s="633">
        <f>NPV(realdiscrt1,K$33:K36)/(1+realdiscrt1)^-Half_Year</f>
        <v>269.88316558391307</v>
      </c>
      <c r="M36" s="63">
        <f t="shared" si="12"/>
        <v>0</v>
      </c>
      <c r="N36" s="633">
        <f>NPV(realdiscrt1,M$33:M36)/(1+realdiscrt1)^-Half_Year</f>
        <v>0</v>
      </c>
      <c r="O36" s="624">
        <f t="shared" si="13"/>
        <v>10.739952210274792</v>
      </c>
      <c r="P36" s="633">
        <f>NPV(realdiscrt1,O$33:O36)/(1+realdiscrt1)^-Half_Year</f>
        <v>42.584756084080603</v>
      </c>
      <c r="Q36" s="624">
        <f t="shared" si="14"/>
        <v>84.296373954599773</v>
      </c>
      <c r="R36" s="633">
        <f>NPV(realdiscrt1,Q$33:Q36)/(1+realdiscrt1)^-Half_Year</f>
        <v>334.24175949263639</v>
      </c>
      <c r="S36" s="63">
        <f t="shared" si="15"/>
        <v>19.391180469891133</v>
      </c>
      <c r="T36" s="633">
        <f>NPV(realdiscrt1,S$33:S36)/(1+realdiscrt1)^-Half_Year</f>
        <v>72.112109560633797</v>
      </c>
      <c r="U36" s="63">
        <f t="shared" si="16"/>
        <v>17.763479858726662</v>
      </c>
      <c r="V36" s="633">
        <f>NPV(realdiscrt1,U$33:U36)/(1+realdiscrt1)^-Half_Year</f>
        <v>65.865889323144472</v>
      </c>
      <c r="W36" s="63">
        <f t="shared" si="17"/>
        <v>17.378039716913687</v>
      </c>
      <c r="X36" s="633">
        <f>NPV(realdiscrt1,W$33:W36)/(1+realdiscrt1)^-Half_Year</f>
        <v>64.39334326627592</v>
      </c>
      <c r="Y36" s="624">
        <f t="shared" si="18"/>
        <v>8.1768251615124985</v>
      </c>
      <c r="Z36" s="633">
        <f>NPV(realdiscrt1,Y$33:Y36)/(1+realdiscrt1)^-Half_Year</f>
        <v>30.850843111147128</v>
      </c>
      <c r="AA36" s="63">
        <f t="shared" si="19"/>
        <v>7.9332485090356313</v>
      </c>
      <c r="AB36" s="633">
        <f>NPV(realdiscrt1,AA$33:AA36)/(1+realdiscrt1)^-Half_Year</f>
        <v>29.866364022002113</v>
      </c>
      <c r="AC36" s="63">
        <f t="shared" si="20"/>
        <v>8.3641542483788349</v>
      </c>
      <c r="AD36" s="633">
        <f>NPV(realdiscrt1,AC$33:AC36)/(1+realdiscrt1)^-Half_Year</f>
        <v>31.657718868502826</v>
      </c>
      <c r="AE36" s="63">
        <f t="shared" si="21"/>
        <v>6.6405312910060204</v>
      </c>
      <c r="AF36" s="633">
        <f>NPV(realdiscrt1,AE$33:AE36)/(1+realdiscrt1)^-Half_Year</f>
        <v>24.492299482499977</v>
      </c>
      <c r="AG36" s="63">
        <f t="shared" si="22"/>
        <v>6.8300656663006798</v>
      </c>
      <c r="AH36" s="633">
        <f>NPV(realdiscrt1,AG$33:AG36)/(1+realdiscrt1)^-Half_Year</f>
        <v>25.339993423904712</v>
      </c>
      <c r="AI36" s="63">
        <f t="shared" si="23"/>
        <v>7.7167212440903725</v>
      </c>
      <c r="AJ36" s="633">
        <f>NPV(realdiscrt1,AI$33:AI36)/(1+realdiscrt1)^-Half_Year</f>
        <v>28.994420812185815</v>
      </c>
      <c r="AK36" s="63">
        <f t="shared" si="24"/>
        <v>7.3991351283436675</v>
      </c>
      <c r="AL36" s="633">
        <f>NPV(realdiscrt1,AK$33:AK36)/(1+realdiscrt1)^-Half_Year</f>
        <v>27.681819772785119</v>
      </c>
      <c r="AM36" s="63">
        <f t="shared" si="25"/>
        <v>18.962797353121864</v>
      </c>
      <c r="AN36" s="633">
        <f>NPV(realdiscrt1,AM$33:AM36)/(1+realdiscrt1)^-Half_Year</f>
        <v>70.202839920046998</v>
      </c>
      <c r="AO36" s="624"/>
      <c r="AP36" s="625"/>
      <c r="AQ36" s="63">
        <f t="shared" si="26"/>
        <v>1.0833179284981212E-2</v>
      </c>
      <c r="AR36" s="633">
        <f>NPV(realdiscrt1,AQ$33:AQ36)/(1+realdiscrt1)^-Half_Year</f>
        <v>4.2954408775179836E-2</v>
      </c>
      <c r="AS36" s="634">
        <f t="shared" si="27"/>
        <v>4.5379702334816434E-3</v>
      </c>
      <c r="AT36" s="633">
        <f>NPV(realdiscrt1,AS$33:AS36)/(1+realdiscrt1)^-Half_Year</f>
        <v>1.7993409256025879E-2</v>
      </c>
      <c r="AU36" s="634">
        <f t="shared" si="28"/>
        <v>6.2952090514995698E-3</v>
      </c>
      <c r="AV36" s="633">
        <f>NPV(realdiscrt1,AU$33:AU36)/(1+realdiscrt1)^-Half_Year</f>
        <v>2.4960999519153954E-2</v>
      </c>
      <c r="AW36" s="63">
        <v>1</v>
      </c>
      <c r="AX36" s="633">
        <f>NPV(realdiscrt1,AW$33:AW36)/(1+realdiscrt1)^-Half_Year</f>
        <v>3.9650787312945619</v>
      </c>
      <c r="AY36" s="63">
        <f t="shared" si="29"/>
        <v>0</v>
      </c>
      <c r="AZ36" s="633">
        <f>NPV(realdiscrt1,AY$33:AY36)/(1+realdiscrt1)^-Half_Year</f>
        <v>0</v>
      </c>
      <c r="BA36" s="115">
        <f t="shared" si="30"/>
        <v>1.0021975853094038</v>
      </c>
      <c r="BB36" s="74">
        <f t="shared" si="31"/>
        <v>0</v>
      </c>
      <c r="BC36" s="633">
        <f>NPV(realdiscrt1,BB$33:BB36)/(1+realdiscrt1)^-Half_Year</f>
        <v>5.1135576127707048E-2</v>
      </c>
      <c r="BD36" s="74">
        <f t="shared" si="32"/>
        <v>0</v>
      </c>
      <c r="BE36" s="633">
        <f>NPV(realdiscrt1,BD$33:BD36)/(1+realdiscrt1)^-Half_Year</f>
        <v>2.5412454330430462E-2</v>
      </c>
      <c r="BF36" s="74">
        <f t="shared" si="33"/>
        <v>0</v>
      </c>
      <c r="BG36" s="633">
        <f>NPV(realdiscrt1,BF$33:BF36)/(1+realdiscrt1)^-Half_Year</f>
        <v>7.0603876868875926E-2</v>
      </c>
      <c r="BH36" s="74">
        <f t="shared" si="34"/>
        <v>0</v>
      </c>
      <c r="BI36" s="633">
        <f>NPV(realdiscrt1,BH$33:BH36)/(1+realdiscrt1)^-Half_Year</f>
        <v>2.2364805758927186E-2</v>
      </c>
      <c r="BJ36" s="64">
        <f t="shared" si="35"/>
        <v>4.716744034647552E-2</v>
      </c>
      <c r="BK36" s="633">
        <f>NPV(realdiscrt1,BJ$33:BJ36)/(1+realdiscrt1)^-Half_Year</f>
        <v>0.18927835355982969</v>
      </c>
      <c r="BL36" s="64">
        <f t="shared" si="36"/>
        <v>4.6611984719235375E-2</v>
      </c>
      <c r="BM36" s="633">
        <f>NPV(realdiscrt1,BL$33:BL36)/(1+realdiscrt1)^-Half_Year</f>
        <v>0.18704936411653433</v>
      </c>
      <c r="BN36" s="64">
        <f t="shared" si="37"/>
        <v>5.0268734265232991E-2</v>
      </c>
      <c r="BO36" s="633">
        <f>NPV(realdiscrt1,BN$33:BN36)/(1+realdiscrt1)^-Half_Year</f>
        <v>0.2017235446182287</v>
      </c>
      <c r="BP36" s="64">
        <f t="shared" si="38"/>
        <v>4.813948769414577E-2</v>
      </c>
      <c r="BQ36" s="633">
        <f>NPV(realdiscrt1,BP$33:BP36)/(1+realdiscrt1)^-Half_Year</f>
        <v>0.19317908508559659</v>
      </c>
      <c r="BR36" s="64">
        <f t="shared" si="39"/>
        <v>0.14005407115292715</v>
      </c>
      <c r="BS36" s="633">
        <f>NPV(realdiscrt1,BR$33:BR36)/(1+realdiscrt1)^-Half_Year</f>
        <v>0.55532541875968666</v>
      </c>
      <c r="BT36" s="64">
        <f t="shared" si="40"/>
        <v>1.1175178059558881</v>
      </c>
      <c r="BU36" s="633">
        <f>NPV(realdiscrt1,BT$33:BT36)/(1+realdiscrt1)^-Half_Year</f>
        <v>12.692692823778019</v>
      </c>
      <c r="BV36" s="64">
        <f t="shared" si="41"/>
        <v>0.99599722787894174</v>
      </c>
      <c r="BW36" s="633">
        <f>NPV(realdiscrt1,BV$33:BV36)/(1+realdiscrt1)^-Half_Year</f>
        <v>12.002548743654168</v>
      </c>
      <c r="BX36" s="64">
        <f t="shared" si="42"/>
        <v>0.95664862661124106</v>
      </c>
      <c r="BY36" s="633">
        <f>NPV(realdiscrt1,BX$33:BX36)/(1+realdiscrt1)^-Half_Year</f>
        <v>11.779078738361218</v>
      </c>
      <c r="BZ36" s="64">
        <f t="shared" si="43"/>
        <v>0.98864872376647828</v>
      </c>
      <c r="CA36" s="633">
        <f>NPV(realdiscrt1,BZ$33:BZ36)/(1+realdiscrt1)^-Half_Year</f>
        <v>11.960814852232328</v>
      </c>
      <c r="CB36" s="64">
        <f t="shared" si="44"/>
        <v>1.0723940011497146</v>
      </c>
      <c r="CC36" s="633">
        <f>NPV(realdiscrt1,CB$33:CB36)/(1+realdiscrt1)^-Half_Year</f>
        <v>12.436424072818605</v>
      </c>
      <c r="CD36" s="64">
        <f t="shared" si="45"/>
        <v>0.99493549129526715</v>
      </c>
      <c r="CE36" s="633">
        <f>NPV(realdiscrt1,CD$33:CD36)/(1+realdiscrt1)^-Half_Year</f>
        <v>11.996518890690416</v>
      </c>
      <c r="CF36" s="64">
        <f t="shared" si="46"/>
        <v>1.0287848601016607</v>
      </c>
      <c r="CG36" s="633">
        <f>NPV(realdiscrt1,CF$33:CF36)/(1+realdiscrt1)^-Half_Year</f>
        <v>12.188757455280435</v>
      </c>
      <c r="CH36" s="636">
        <f t="shared" si="47"/>
        <v>5.1489328639050197E-3</v>
      </c>
      <c r="CI36" s="633">
        <f>NPV(realdiscrt1,CH$33:CH36)/(1+realdiscrt1)^-Half_Year</f>
        <v>5.6230162803436533E-2</v>
      </c>
      <c r="CJ36" s="636">
        <f t="shared" si="48"/>
        <v>7.6222704024674556E-3</v>
      </c>
      <c r="CK36" s="633">
        <f>NPV(realdiscrt1,CJ$33:CJ36)/(1+realdiscrt1)^-Half_Year</f>
        <v>8.7920969180163719E-2</v>
      </c>
    </row>
    <row r="37" spans="1:89">
      <c r="A37" s="56">
        <f t="shared" si="50"/>
        <v>5</v>
      </c>
      <c r="B37" s="56">
        <f t="shared" si="49"/>
        <v>2020</v>
      </c>
      <c r="C37" s="62">
        <f t="shared" si="7"/>
        <v>6.5590284021440737E-2</v>
      </c>
      <c r="D37" s="633">
        <f>NPV(realdiscrt1,C$33:C37)/(1+realdiscrt1)^-Half_Year</f>
        <v>0.35876817891415502</v>
      </c>
      <c r="E37" s="62">
        <f t="shared" si="8"/>
        <v>5.9786238501483083E-2</v>
      </c>
      <c r="F37" s="633">
        <f>NPV(realdiscrt1,E$33:E37)/(1+realdiscrt1)^-Half_Year</f>
        <v>0.33153801355611662</v>
      </c>
      <c r="G37" s="62">
        <f t="shared" si="9"/>
        <v>6.1098781995139011E-2</v>
      </c>
      <c r="H37" s="633">
        <f>NPV(realdiscrt1,G$33:G37)/(1+realdiscrt1)^-Half_Year</f>
        <v>0.30426405946435969</v>
      </c>
      <c r="I37" s="62">
        <f t="shared" si="10"/>
        <v>4.905949237618619E-2</v>
      </c>
      <c r="J37" s="633">
        <f>NPV(realdiscrt1,I$33:I37)/(1+realdiscrt1)^-Half_Year</f>
        <v>0.23976428415600309</v>
      </c>
      <c r="K37" s="63">
        <f t="shared" si="11"/>
        <v>172.38279451625763</v>
      </c>
      <c r="L37" s="633">
        <f>NPV(realdiscrt1,K$33:K37)/(1+realdiscrt1)^-Half_Year</f>
        <v>438.8936897411208</v>
      </c>
      <c r="M37" s="63">
        <f t="shared" si="12"/>
        <v>0</v>
      </c>
      <c r="N37" s="633">
        <f>NPV(realdiscrt1,M$33:M37)/(1+realdiscrt1)^-Half_Year</f>
        <v>0</v>
      </c>
      <c r="O37" s="624">
        <f t="shared" si="13"/>
        <v>10.739952210274792</v>
      </c>
      <c r="P37" s="633">
        <f>NPV(realdiscrt1,O$33:O37)/(1+realdiscrt1)^-Half_Year</f>
        <v>53.114605989203902</v>
      </c>
      <c r="Q37" s="624">
        <f t="shared" si="14"/>
        <v>84.296373954599773</v>
      </c>
      <c r="R37" s="633">
        <f>NPV(realdiscrt1,Q$33:Q37)/(1+realdiscrt1)^-Half_Year</f>
        <v>416.88907001222105</v>
      </c>
      <c r="S37" s="63">
        <f t="shared" si="15"/>
        <v>19.766373299284499</v>
      </c>
      <c r="T37" s="633">
        <f>NPV(realdiscrt1,S$33:S37)/(1+realdiscrt1)^-Half_Year</f>
        <v>91.49179951968037</v>
      </c>
      <c r="U37" s="63">
        <f t="shared" si="16"/>
        <v>18.121230004592423</v>
      </c>
      <c r="V37" s="633">
        <f>NPV(realdiscrt1,U$33:U37)/(1+realdiscrt1)^-Half_Year</f>
        <v>83.632619408034941</v>
      </c>
      <c r="W37" s="63">
        <f t="shared" si="17"/>
        <v>17.723508529049258</v>
      </c>
      <c r="X37" s="633">
        <f>NPV(realdiscrt1,W$33:W37)/(1+realdiscrt1)^-Half_Year</f>
        <v>81.770132375683531</v>
      </c>
      <c r="Y37" s="624">
        <f t="shared" si="18"/>
        <v>7.7849957110078769</v>
      </c>
      <c r="Z37" s="633">
        <f>NPV(realdiscrt1,Y$33:Y37)/(1+realdiscrt1)^-Half_Year</f>
        <v>38.483543401053176</v>
      </c>
      <c r="AA37" s="63">
        <f t="shared" si="19"/>
        <v>7.5468079214342376</v>
      </c>
      <c r="AB37" s="633">
        <f>NPV(realdiscrt1,AA$33:AA37)/(1+realdiscrt1)^-Half_Year</f>
        <v>37.265536115102591</v>
      </c>
      <c r="AC37" s="63">
        <f t="shared" si="20"/>
        <v>7.9723247978742169</v>
      </c>
      <c r="AD37" s="633">
        <f>NPV(realdiscrt1,AC$33:AC37)/(1+realdiscrt1)^-Half_Year</f>
        <v>39.47408358530263</v>
      </c>
      <c r="AE37" s="63">
        <f t="shared" si="21"/>
        <v>6.2702572921143025</v>
      </c>
      <c r="AF37" s="633">
        <f>NPV(realdiscrt1,AE$33:AE37)/(1+realdiscrt1)^-Half_Year</f>
        <v>30.639893704502487</v>
      </c>
      <c r="AG37" s="63">
        <f t="shared" si="22"/>
        <v>6.4597916674089619</v>
      </c>
      <c r="AH37" s="633">
        <f>NPV(realdiscrt1,AG$33:AG37)/(1+realdiscrt1)^-Half_Year</f>
        <v>31.673414219865794</v>
      </c>
      <c r="AI37" s="63">
        <f t="shared" si="23"/>
        <v>7.3248917935857518</v>
      </c>
      <c r="AJ37" s="633">
        <f>NPV(realdiscrt1,AI$33:AI37)/(1+realdiscrt1)^-Half_Year</f>
        <v>36.176018052808352</v>
      </c>
      <c r="AK37" s="63">
        <f t="shared" si="24"/>
        <v>7.0180834036454991</v>
      </c>
      <c r="AL37" s="633">
        <f>NPV(realdiscrt1,AK$33:AK37)/(1+realdiscrt1)^-Half_Year</f>
        <v>34.562610619445053</v>
      </c>
      <c r="AM37" s="63">
        <f t="shared" si="25"/>
        <v>19.094081929922496</v>
      </c>
      <c r="AN37" s="633">
        <f>NPV(realdiscrt1,AM$33:AM37)/(1+realdiscrt1)^-Half_Year</f>
        <v>88.923390334215625</v>
      </c>
      <c r="AO37" s="624"/>
      <c r="AP37" s="625"/>
      <c r="AQ37" s="63">
        <f t="shared" si="26"/>
        <v>1.0833179284981212E-2</v>
      </c>
      <c r="AR37" s="633">
        <f>NPV(realdiscrt1,AQ$33:AQ37)/(1+realdiscrt1)^-Half_Year</f>
        <v>5.3575661983086283E-2</v>
      </c>
      <c r="AS37" s="634">
        <f t="shared" si="27"/>
        <v>4.5379702334816434E-3</v>
      </c>
      <c r="AT37" s="633">
        <f>NPV(realdiscrt1,AS$33:AS37)/(1+realdiscrt1)^-Half_Year</f>
        <v>2.2442604605960908E-2</v>
      </c>
      <c r="AU37" s="634">
        <f t="shared" si="28"/>
        <v>6.2952090514995698E-3</v>
      </c>
      <c r="AV37" s="633">
        <f>NPV(realdiscrt1,AU$33:AU37)/(1+realdiscrt1)^-Half_Year</f>
        <v>3.1133057377125375E-2</v>
      </c>
      <c r="AW37" s="63">
        <v>1</v>
      </c>
      <c r="AX37" s="633">
        <f>NPV(realdiscrt1,AW$33:AW37)/(1+realdiscrt1)^-Half_Year</f>
        <v>4.9455160460015595</v>
      </c>
      <c r="AY37" s="63">
        <f t="shared" si="29"/>
        <v>0</v>
      </c>
      <c r="AZ37" s="633">
        <f>NPV(realdiscrt1,AY$33:AY37)/(1+realdiscrt1)^-Half_Year</f>
        <v>0</v>
      </c>
      <c r="BA37" s="115">
        <f t="shared" si="30"/>
        <v>1.0021975853094038</v>
      </c>
      <c r="BB37" s="74">
        <f t="shared" si="31"/>
        <v>0</v>
      </c>
      <c r="BC37" s="633">
        <f>NPV(realdiscrt1,BB$33:BB37)/(1+realdiscrt1)^-Half_Year</f>
        <v>5.1135576127707048E-2</v>
      </c>
      <c r="BD37" s="74">
        <f t="shared" si="32"/>
        <v>0</v>
      </c>
      <c r="BE37" s="633">
        <f>NPV(realdiscrt1,BD$33:BD37)/(1+realdiscrt1)^-Half_Year</f>
        <v>2.5412454330430462E-2</v>
      </c>
      <c r="BF37" s="74">
        <f t="shared" si="33"/>
        <v>0</v>
      </c>
      <c r="BG37" s="633">
        <f>NPV(realdiscrt1,BF$33:BF37)/(1+realdiscrt1)^-Half_Year</f>
        <v>7.0603876868875926E-2</v>
      </c>
      <c r="BH37" s="74">
        <f t="shared" si="34"/>
        <v>0</v>
      </c>
      <c r="BI37" s="633">
        <f>NPV(realdiscrt1,BH$33:BH37)/(1+realdiscrt1)^-Half_Year</f>
        <v>2.2364805758927186E-2</v>
      </c>
      <c r="BJ37" s="64">
        <f t="shared" si="35"/>
        <v>4.6730512138590218E-2</v>
      </c>
      <c r="BK37" s="633">
        <f>NPV(realdiscrt1,BJ$33:BJ37)/(1+realdiscrt1)^-Half_Year</f>
        <v>0.23509469139587183</v>
      </c>
      <c r="BL37" s="64">
        <f t="shared" si="36"/>
        <v>4.6180201887694151E-2</v>
      </c>
      <c r="BM37" s="633">
        <f>NPV(realdiscrt1,BL$33:BL37)/(1+realdiscrt1)^-Half_Year</f>
        <v>0.23232615724793221</v>
      </c>
      <c r="BN37" s="64">
        <f t="shared" si="37"/>
        <v>4.9803077706093199E-2</v>
      </c>
      <c r="BO37" s="633">
        <f>NPV(realdiscrt1,BN$33:BN37)/(1+realdiscrt1)^-Half_Year</f>
        <v>0.25055234038853463</v>
      </c>
      <c r="BP37" s="64">
        <f t="shared" si="38"/>
        <v>4.7693555077658316E-2</v>
      </c>
      <c r="BQ37" s="633">
        <f>NPV(realdiscrt1,BP$33:BP37)/(1+realdiscrt1)^-Half_Year</f>
        <v>0.23993962615476616</v>
      </c>
      <c r="BR37" s="64">
        <f t="shared" si="39"/>
        <v>0.14005407115292715</v>
      </c>
      <c r="BS37" s="633">
        <f>NPV(realdiscrt1,BR$33:BR37)/(1+realdiscrt1)^-Half_Year</f>
        <v>0.69263965619464529</v>
      </c>
      <c r="BT37" s="64">
        <f t="shared" si="40"/>
        <v>1.0995233394413428</v>
      </c>
      <c r="BU37" s="633">
        <f>NPV(realdiscrt1,BT$33:BT37)/(1+realdiscrt1)^-Half_Year</f>
        <v>13.77070653415756</v>
      </c>
      <c r="BV37" s="64">
        <f t="shared" si="41"/>
        <v>0.97869894994594731</v>
      </c>
      <c r="BW37" s="633">
        <f>NPV(realdiscrt1,BV$33:BV37)/(1+realdiscrt1)^-Half_Year</f>
        <v>12.96210171404573</v>
      </c>
      <c r="BX37" s="64">
        <f t="shared" si="42"/>
        <v>0.93957577590494412</v>
      </c>
      <c r="BY37" s="633">
        <f>NPV(realdiscrt1,BX$33:BX37)/(1+realdiscrt1)^-Half_Year</f>
        <v>12.700273889053204</v>
      </c>
      <c r="BZ37" s="64">
        <f t="shared" si="43"/>
        <v>0.97139254524360452</v>
      </c>
      <c r="CA37" s="633">
        <f>NPV(realdiscrt1,BZ$33:BZ37)/(1+realdiscrt1)^-Half_Year</f>
        <v>12.913204350817365</v>
      </c>
      <c r="CB37" s="64">
        <f t="shared" si="44"/>
        <v>1.0546580478693828</v>
      </c>
      <c r="CC37" s="633">
        <f>NPV(realdiscrt1,CB$33:CB37)/(1+realdiscrt1)^-Half_Year</f>
        <v>13.470450177205787</v>
      </c>
      <c r="CD37" s="64">
        <f t="shared" si="45"/>
        <v>0.97764329602660704</v>
      </c>
      <c r="CE37" s="633">
        <f>NPV(realdiscrt1,CD$33:CD37)/(1+realdiscrt1)^-Half_Year</f>
        <v>12.955036858588041</v>
      </c>
      <c r="CF37" s="64">
        <f t="shared" si="46"/>
        <v>1.0112987425819</v>
      </c>
      <c r="CG37" s="633">
        <f>NPV(realdiscrt1,CF$33:CF37)/(1+realdiscrt1)^-Half_Year</f>
        <v>13.180272478823996</v>
      </c>
      <c r="CH37" s="636">
        <f t="shared" si="47"/>
        <v>5.0709268515644664E-3</v>
      </c>
      <c r="CI37" s="633">
        <f>NPV(realdiscrt1,CH$33:CH37)/(1+realdiscrt1)^-Half_Year</f>
        <v>6.1201888708860001E-2</v>
      </c>
      <c r="CJ37" s="636">
        <f t="shared" si="48"/>
        <v>7.49891905611446E-3</v>
      </c>
      <c r="CK37" s="633">
        <f>NPV(realdiscrt1,CJ$33:CJ37)/(1+realdiscrt1)^-Half_Year</f>
        <v>9.5273189242745707E-2</v>
      </c>
    </row>
    <row r="38" spans="1:89">
      <c r="A38" s="56">
        <f t="shared" si="50"/>
        <v>6</v>
      </c>
      <c r="B38" s="56">
        <f t="shared" si="49"/>
        <v>2021</v>
      </c>
      <c r="C38" s="62">
        <f t="shared" si="7"/>
        <v>7.0025258340496915E-2</v>
      </c>
      <c r="D38" s="633">
        <f>NPV(realdiscrt1,C$33:C38)/(1+realdiscrt1)^-Half_Year</f>
        <v>0.4271227948530445</v>
      </c>
      <c r="E38" s="62">
        <f t="shared" si="8"/>
        <v>6.4479092244046646E-2</v>
      </c>
      <c r="F38" s="633">
        <f>NPV(realdiscrt1,E$33:E38)/(1+realdiscrt1)^-Half_Year</f>
        <v>0.39447878222845623</v>
      </c>
      <c r="G38" s="62">
        <f t="shared" si="9"/>
        <v>6.6425218459499225E-2</v>
      </c>
      <c r="H38" s="633">
        <f>NPV(realdiscrt1,G$33:G38)/(1+realdiscrt1)^-Half_Year</f>
        <v>0.36910452423462758</v>
      </c>
      <c r="I38" s="62">
        <f t="shared" si="10"/>
        <v>5.4468488114059535E-2</v>
      </c>
      <c r="J38" s="633">
        <f>NPV(realdiscrt1,I$33:I38)/(1+realdiscrt1)^-Half_Year</f>
        <v>0.29293327880225811</v>
      </c>
      <c r="K38" s="63">
        <f t="shared" si="11"/>
        <v>175.99712039482176</v>
      </c>
      <c r="L38" s="633">
        <f>NPV(realdiscrt1,K$33:K38)/(1+realdiscrt1)^-Half_Year</f>
        <v>610.69192163684272</v>
      </c>
      <c r="M38" s="63">
        <f t="shared" si="12"/>
        <v>0</v>
      </c>
      <c r="N38" s="633">
        <f>NPV(realdiscrt1,M$33:M38)/(1+realdiscrt1)^-Half_Year</f>
        <v>0</v>
      </c>
      <c r="O38" s="624">
        <f t="shared" si="13"/>
        <v>10.739952210274792</v>
      </c>
      <c r="P38" s="633">
        <f>NPV(realdiscrt1,O$33:O38)/(1+realdiscrt1)^-Half_Year</f>
        <v>63.598327519593489</v>
      </c>
      <c r="Q38" s="624">
        <f t="shared" si="14"/>
        <v>84.296373954599773</v>
      </c>
      <c r="R38" s="633">
        <f>NPV(realdiscrt1,Q$33:Q38)/(1+realdiscrt1)^-Half_Year</f>
        <v>499.17432540806396</v>
      </c>
      <c r="S38" s="63">
        <f t="shared" si="15"/>
        <v>20.149083118471328</v>
      </c>
      <c r="T38" s="633">
        <f>NPV(realdiscrt1,S$33:S38)/(1+realdiscrt1)^-Half_Year</f>
        <v>111.16017162888201</v>
      </c>
      <c r="U38" s="63">
        <f t="shared" si="16"/>
        <v>18.498588460960736</v>
      </c>
      <c r="V38" s="633">
        <f>NPV(realdiscrt1,U$33:U38)/(1+realdiscrt1)^-Half_Year</f>
        <v>101.68987388487105</v>
      </c>
      <c r="W38" s="63">
        <f t="shared" si="17"/>
        <v>18.092260969615371</v>
      </c>
      <c r="X38" s="633">
        <f>NPV(realdiscrt1,W$33:W38)/(1+realdiscrt1)^-Half_Year</f>
        <v>99.430753405181648</v>
      </c>
      <c r="Y38" s="624">
        <f t="shared" si="18"/>
        <v>8.1080552347872334</v>
      </c>
      <c r="Z38" s="633">
        <f>NPV(realdiscrt1,Y$33:Y38)/(1+realdiscrt1)^-Half_Year</f>
        <v>46.398158994333556</v>
      </c>
      <c r="AA38" s="63">
        <f t="shared" si="19"/>
        <v>7.8671730137619802</v>
      </c>
      <c r="AB38" s="633">
        <f>NPV(realdiscrt1,AA$33:AA38)/(1+realdiscrt1)^-Half_Year</f>
        <v>44.945016385859418</v>
      </c>
      <c r="AC38" s="63">
        <f t="shared" si="20"/>
        <v>8.2953843216535716</v>
      </c>
      <c r="AD38" s="633">
        <f>NPV(realdiscrt1,AC$33:AC38)/(1+realdiscrt1)^-Half_Year</f>
        <v>47.571559022164983</v>
      </c>
      <c r="AE38" s="63">
        <f t="shared" si="21"/>
        <v>6.5825390900872049</v>
      </c>
      <c r="AF38" s="633">
        <f>NPV(realdiscrt1,AE$33:AE38)/(1+realdiscrt1)^-Half_Year</f>
        <v>37.065388476942694</v>
      </c>
      <c r="AG38" s="63">
        <f t="shared" si="22"/>
        <v>6.7720734653818671</v>
      </c>
      <c r="AH38" s="633">
        <f>NPV(realdiscrt1,AG$33:AG38)/(1+realdiscrt1)^-Half_Year</f>
        <v>38.283921511181511</v>
      </c>
      <c r="AI38" s="63">
        <f t="shared" si="23"/>
        <v>7.6479513173651066</v>
      </c>
      <c r="AJ38" s="633">
        <f>NPV(realdiscrt1,AI$33:AI38)/(1+realdiscrt1)^-Half_Year</f>
        <v>43.641506755125441</v>
      </c>
      <c r="AK38" s="63">
        <f t="shared" si="24"/>
        <v>7.3303652016184024</v>
      </c>
      <c r="AL38" s="633">
        <f>NPV(realdiscrt1,AK$33:AK38)/(1+realdiscrt1)^-Half_Year</f>
        <v>41.718090083897835</v>
      </c>
      <c r="AM38" s="63">
        <f t="shared" si="25"/>
        <v>19.312535744643817</v>
      </c>
      <c r="AN38" s="633">
        <f>NPV(realdiscrt1,AM$33:AM38)/(1+realdiscrt1)^-Half_Year</f>
        <v>107.775173175376</v>
      </c>
      <c r="AO38" s="624"/>
      <c r="AP38" s="625"/>
      <c r="AQ38" s="63">
        <f t="shared" si="26"/>
        <v>1.0833179284981212E-2</v>
      </c>
      <c r="AR38" s="633">
        <f>NPV(realdiscrt1,AQ$33:AQ38)/(1+realdiscrt1)^-Half_Year</f>
        <v>6.4150386403542717E-2</v>
      </c>
      <c r="AS38" s="634">
        <f t="shared" si="27"/>
        <v>4.5379702334816434E-3</v>
      </c>
      <c r="AT38" s="633">
        <f>NPV(realdiscrt1,AS$33:AS38)/(1+realdiscrt1)^-Half_Year</f>
        <v>2.6872309255438237E-2</v>
      </c>
      <c r="AU38" s="634">
        <f t="shared" si="28"/>
        <v>6.2952090514995698E-3</v>
      </c>
      <c r="AV38" s="633">
        <f>NPV(realdiscrt1,AU$33:AU38)/(1+realdiscrt1)^-Half_Year</f>
        <v>3.7278077148104494E-2</v>
      </c>
      <c r="AW38" s="63">
        <v>1</v>
      </c>
      <c r="AX38" s="633">
        <f>NPV(realdiscrt1,AW$33:AW38)/(1+realdiscrt1)^-Half_Year</f>
        <v>5.9216583346385541</v>
      </c>
      <c r="AY38" s="63">
        <f t="shared" si="29"/>
        <v>0</v>
      </c>
      <c r="AZ38" s="633">
        <f>NPV(realdiscrt1,AY$33:AY38)/(1+realdiscrt1)^-Half_Year</f>
        <v>0</v>
      </c>
      <c r="BA38" s="115">
        <f t="shared" si="30"/>
        <v>1.0021975853094038</v>
      </c>
      <c r="BB38" s="74">
        <f t="shared" si="31"/>
        <v>0</v>
      </c>
      <c r="BC38" s="633">
        <f>NPV(realdiscrt1,BB$33:BB38)/(1+realdiscrt1)^-Half_Year</f>
        <v>5.1135576127707048E-2</v>
      </c>
      <c r="BD38" s="74">
        <f t="shared" si="32"/>
        <v>0</v>
      </c>
      <c r="BE38" s="633">
        <f>NPV(realdiscrt1,BD$33:BD38)/(1+realdiscrt1)^-Half_Year</f>
        <v>2.5412454330430462E-2</v>
      </c>
      <c r="BF38" s="74">
        <f t="shared" si="33"/>
        <v>0</v>
      </c>
      <c r="BG38" s="633">
        <f>NPV(realdiscrt1,BF$33:BF38)/(1+realdiscrt1)^-Half_Year</f>
        <v>7.0603876868875926E-2</v>
      </c>
      <c r="BH38" s="74">
        <f t="shared" si="34"/>
        <v>0</v>
      </c>
      <c r="BI38" s="633">
        <f>NPV(realdiscrt1,BH$33:BH38)/(1+realdiscrt1)^-Half_Year</f>
        <v>2.2364805758927186E-2</v>
      </c>
      <c r="BJ38" s="64">
        <f t="shared" si="35"/>
        <v>4.5492548882915186E-2</v>
      </c>
      <c r="BK38" s="633">
        <f>NPV(realdiscrt1,BJ$33:BJ38)/(1+realdiscrt1)^-Half_Year</f>
        <v>0.27950189217837096</v>
      </c>
      <c r="BL38" s="64">
        <f t="shared" si="36"/>
        <v>4.4956817198327371E-2</v>
      </c>
      <c r="BM38" s="633">
        <f>NPV(realdiscrt1,BL$33:BL38)/(1+realdiscrt1)^-Half_Year</f>
        <v>0.27621040767774246</v>
      </c>
      <c r="BN38" s="64">
        <f t="shared" si="37"/>
        <v>4.8483717455197146E-2</v>
      </c>
      <c r="BO38" s="633">
        <f>NPV(realdiscrt1,BN$33:BN38)/(1+realdiscrt1)^-Half_Year</f>
        <v>0.2978793473068802</v>
      </c>
      <c r="BP38" s="64">
        <f t="shared" si="38"/>
        <v>4.6430079330943862E-2</v>
      </c>
      <c r="BQ38" s="633">
        <f>NPV(realdiscrt1,BP$33:BP38)/(1+realdiscrt1)^-Half_Year</f>
        <v>0.28526199005447089</v>
      </c>
      <c r="BR38" s="64">
        <f t="shared" si="39"/>
        <v>0.14005407115292715</v>
      </c>
      <c r="BS38" s="633">
        <f>NPV(realdiscrt1,BR$33:BR38)/(1+realdiscrt1)^-Half_Year</f>
        <v>0.82935235774279192</v>
      </c>
      <c r="BT38" s="64">
        <f t="shared" si="40"/>
        <v>0.21756818493921748</v>
      </c>
      <c r="BU38" s="633">
        <f>NPV(realdiscrt1,BT$33:BT38)/(1+realdiscrt1)^-Half_Year</f>
        <v>13.983084040138724</v>
      </c>
      <c r="BV38" s="64">
        <f t="shared" si="41"/>
        <v>0.11895758079736654</v>
      </c>
      <c r="BW38" s="633">
        <f>NPV(realdiscrt1,BV$33:BV38)/(1+realdiscrt1)^-Half_Year</f>
        <v>13.07822123921599</v>
      </c>
      <c r="BX38" s="64">
        <f t="shared" si="42"/>
        <v>8.7027273975686992E-2</v>
      </c>
      <c r="BY38" s="633">
        <f>NPV(realdiscrt1,BX$33:BX38)/(1+realdiscrt1)^-Half_Year</f>
        <v>12.785224891445669</v>
      </c>
      <c r="BZ38" s="64">
        <f t="shared" si="43"/>
        <v>0.11299447198455247</v>
      </c>
      <c r="CA38" s="633">
        <f>NPV(realdiscrt1,BZ$33:BZ38)/(1+realdiscrt1)^-Half_Year</f>
        <v>13.023503033303694</v>
      </c>
      <c r="CB38" s="64">
        <f t="shared" si="44"/>
        <v>0.18095145941394719</v>
      </c>
      <c r="CC38" s="633">
        <f>NPV(realdiscrt1,CB$33:CB38)/(1+realdiscrt1)^-Half_Year</f>
        <v>13.647084548930323</v>
      </c>
      <c r="CD38" s="64">
        <f t="shared" si="45"/>
        <v>0.11809601078500725</v>
      </c>
      <c r="CE38" s="633">
        <f>NPV(realdiscrt1,CD$33:CD38)/(1+realdiscrt1)^-Half_Year</f>
        <v>13.070315368834619</v>
      </c>
      <c r="CF38" s="64">
        <f t="shared" si="46"/>
        <v>0.145563841835854</v>
      </c>
      <c r="CG38" s="633">
        <f>NPV(realdiscrt1,CF$33:CF38)/(1+realdiscrt1)^-Half_Year</f>
        <v>13.322363500536438</v>
      </c>
      <c r="CH38" s="636">
        <f t="shared" si="47"/>
        <v>1.2476512567977532E-3</v>
      </c>
      <c r="CI38" s="633">
        <f>NPV(realdiscrt1,CH$33:CH38)/(1+realdiscrt1)^-Half_Year</f>
        <v>6.2419773862091382E-2</v>
      </c>
      <c r="CJ38" s="636">
        <f t="shared" si="48"/>
        <v>1.3392561296755785E-3</v>
      </c>
      <c r="CK38" s="633">
        <f>NPV(realdiscrt1,CJ$33:CJ38)/(1+realdiscrt1)^-Half_Year</f>
        <v>9.6580493786238356E-2</v>
      </c>
    </row>
    <row r="39" spans="1:89">
      <c r="A39" s="56">
        <f t="shared" si="50"/>
        <v>7</v>
      </c>
      <c r="B39" s="56">
        <f t="shared" si="49"/>
        <v>2022</v>
      </c>
      <c r="C39" s="62">
        <f t="shared" si="7"/>
        <v>7.3806040235143519E-2</v>
      </c>
      <c r="D39" s="633">
        <f>NPV(realdiscrt1,C$33:C39)/(1+realdiscrt1)^-Half_Year</f>
        <v>0.49885238170127932</v>
      </c>
      <c r="E39" s="62">
        <f t="shared" si="8"/>
        <v>6.7799558971944895E-2</v>
      </c>
      <c r="F39" s="633">
        <f>NPV(realdiscrt1,E$33:E39)/(1+realdiscrt1)^-Half_Year</f>
        <v>0.46037087368948082</v>
      </c>
      <c r="G39" s="62">
        <f t="shared" si="9"/>
        <v>6.9590979487970758E-2</v>
      </c>
      <c r="H39" s="633">
        <f>NPV(realdiscrt1,G$33:G39)/(1+realdiscrt1)^-Half_Year</f>
        <v>0.43673763652642167</v>
      </c>
      <c r="I39" s="62">
        <f t="shared" si="10"/>
        <v>5.7103199490813258E-2</v>
      </c>
      <c r="J39" s="633">
        <f>NPV(realdiscrt1,I$33:I39)/(1+realdiscrt1)^-Half_Year</f>
        <v>0.34842994132660826</v>
      </c>
      <c r="K39" s="63">
        <f t="shared" si="11"/>
        <v>177.65179933155642</v>
      </c>
      <c r="L39" s="633">
        <f>NPV(realdiscrt1,K$33:K39)/(1+realdiscrt1)^-Half_Year</f>
        <v>783.34567908406063</v>
      </c>
      <c r="M39" s="63">
        <f t="shared" si="12"/>
        <v>0</v>
      </c>
      <c r="N39" s="633">
        <f>NPV(realdiscrt1,M$33:M39)/(1+realdiscrt1)^-Half_Year</f>
        <v>0</v>
      </c>
      <c r="O39" s="624">
        <f t="shared" si="13"/>
        <v>10.739952210274792</v>
      </c>
      <c r="P39" s="633">
        <f>NPV(realdiscrt1,O$33:O39)/(1+realdiscrt1)^-Half_Year</f>
        <v>74.036122750965035</v>
      </c>
      <c r="Q39" s="624">
        <f t="shared" si="14"/>
        <v>84.296373954599773</v>
      </c>
      <c r="R39" s="633">
        <f>NPV(realdiscrt1,Q$33:Q39)/(1+realdiscrt1)^-Half_Year</f>
        <v>581.09911174402873</v>
      </c>
      <c r="S39" s="63">
        <f t="shared" si="15"/>
        <v>20.547288832686831</v>
      </c>
      <c r="T39" s="633">
        <f>NPV(realdiscrt1,S$33:S39)/(1+realdiscrt1)^-Half_Year</f>
        <v>131.12938463806591</v>
      </c>
      <c r="U39" s="63">
        <f t="shared" si="16"/>
        <v>18.917331016189795</v>
      </c>
      <c r="V39" s="633">
        <f>NPV(realdiscrt1,U$33:U39)/(1+realdiscrt1)^-Half_Year</f>
        <v>120.07498618380286</v>
      </c>
      <c r="W39" s="63">
        <f t="shared" si="17"/>
        <v>18.522543798135587</v>
      </c>
      <c r="X39" s="633">
        <f>NPV(realdiscrt1,W$33:W39)/(1+realdiscrt1)^-Half_Year</f>
        <v>117.43218539890033</v>
      </c>
      <c r="Y39" s="624">
        <f t="shared" si="18"/>
        <v>8.19021389254398</v>
      </c>
      <c r="Z39" s="633">
        <f>NPV(realdiscrt1,Y$33:Y39)/(1+realdiscrt1)^-Half_Year</f>
        <v>54.357950047195345</v>
      </c>
      <c r="AA39" s="63">
        <f t="shared" si="19"/>
        <v>7.9412483771638893</v>
      </c>
      <c r="AB39" s="633">
        <f>NPV(realdiscrt1,AA$33:AA39)/(1+realdiscrt1)^-Half_Year</f>
        <v>52.662846299757838</v>
      </c>
      <c r="AC39" s="63">
        <f t="shared" si="20"/>
        <v>8.3667652536038677</v>
      </c>
      <c r="AD39" s="633">
        <f>NPV(realdiscrt1,AC$33:AC39)/(1+realdiscrt1)^-Half_Year</f>
        <v>55.702934353846956</v>
      </c>
      <c r="AE39" s="63">
        <f t="shared" si="21"/>
        <v>6.6646977478439533</v>
      </c>
      <c r="AF39" s="633">
        <f>NPV(realdiscrt1,AE$33:AE39)/(1+realdiscrt1)^-Half_Year</f>
        <v>43.542582137490498</v>
      </c>
      <c r="AG39" s="63">
        <f t="shared" si="22"/>
        <v>6.8542321231386136</v>
      </c>
      <c r="AH39" s="633">
        <f>NPV(realdiscrt1,AG$33:AG39)/(1+realdiscrt1)^-Half_Year</f>
        <v>44.945317201673078</v>
      </c>
      <c r="AI39" s="63">
        <f t="shared" si="23"/>
        <v>7.7193322493154026</v>
      </c>
      <c r="AJ39" s="633">
        <f>NPV(realdiscrt1,AI$33:AI39)/(1+realdiscrt1)^-Half_Year</f>
        <v>51.143663912230274</v>
      </c>
      <c r="AK39" s="63">
        <f t="shared" si="24"/>
        <v>7.4125238593751508</v>
      </c>
      <c r="AL39" s="633">
        <f>NPV(realdiscrt1,AK$33:AK39)/(1+realdiscrt1)^-Half_Year</f>
        <v>48.922070574406376</v>
      </c>
      <c r="AM39" s="63">
        <f t="shared" si="25"/>
        <v>19.485167386596778</v>
      </c>
      <c r="AN39" s="633">
        <f>NPV(realdiscrt1,AM$33:AM39)/(1+realdiscrt1)^-Half_Year</f>
        <v>126.71214638050095</v>
      </c>
      <c r="AO39" s="624"/>
      <c r="AP39" s="625"/>
      <c r="AQ39" s="63">
        <f t="shared" si="26"/>
        <v>1.0833179284981212E-2</v>
      </c>
      <c r="AR39" s="633">
        <f>NPV(realdiscrt1,AQ$33:AQ39)/(1+realdiscrt1)^-Half_Year</f>
        <v>7.4678785866362757E-2</v>
      </c>
      <c r="AS39" s="634">
        <f t="shared" si="27"/>
        <v>4.5379702334816434E-3</v>
      </c>
      <c r="AT39" s="633">
        <f>NPV(realdiscrt1,AS$33:AS39)/(1+realdiscrt1)^-Half_Year</f>
        <v>3.1282608587852936E-2</v>
      </c>
      <c r="AU39" s="634">
        <f t="shared" si="28"/>
        <v>6.2952090514995698E-3</v>
      </c>
      <c r="AV39" s="633">
        <f>NPV(realdiscrt1,AU$33:AU39)/(1+realdiscrt1)^-Half_Year</f>
        <v>4.3396177278509827E-2</v>
      </c>
      <c r="AW39" s="63">
        <v>1</v>
      </c>
      <c r="AX39" s="633">
        <f>NPV(realdiscrt1,AW$33:AW39)/(1+realdiscrt1)^-Half_Year</f>
        <v>6.8935244125328135</v>
      </c>
      <c r="AY39" s="63">
        <f t="shared" si="29"/>
        <v>0</v>
      </c>
      <c r="AZ39" s="633">
        <f>NPV(realdiscrt1,AY$33:AY39)/(1+realdiscrt1)^-Half_Year</f>
        <v>0</v>
      </c>
      <c r="BA39" s="115">
        <f t="shared" si="30"/>
        <v>1.0021975853094038</v>
      </c>
      <c r="BB39" s="74">
        <f t="shared" si="31"/>
        <v>0</v>
      </c>
      <c r="BC39" s="633">
        <f>NPV(realdiscrt1,BB$33:BB39)/(1+realdiscrt1)^-Half_Year</f>
        <v>5.1135576127707048E-2</v>
      </c>
      <c r="BD39" s="74">
        <f t="shared" si="32"/>
        <v>0</v>
      </c>
      <c r="BE39" s="633">
        <f>NPV(realdiscrt1,BD$33:BD39)/(1+realdiscrt1)^-Half_Year</f>
        <v>2.5412454330430462E-2</v>
      </c>
      <c r="BF39" s="74">
        <f t="shared" si="33"/>
        <v>0</v>
      </c>
      <c r="BG39" s="633">
        <f>NPV(realdiscrt1,BF$33:BF39)/(1+realdiscrt1)^-Half_Year</f>
        <v>7.0603876868875926E-2</v>
      </c>
      <c r="BH39" s="74">
        <f t="shared" si="34"/>
        <v>0</v>
      </c>
      <c r="BI39" s="633">
        <f>NPV(realdiscrt1,BH$33:BH39)/(1+realdiscrt1)^-Half_Year</f>
        <v>2.2364805758927186E-2</v>
      </c>
      <c r="BJ39" s="64">
        <f t="shared" si="35"/>
        <v>4.4254585627240148E-2</v>
      </c>
      <c r="BK39" s="633">
        <f>NPV(realdiscrt1,BJ$33:BJ39)/(1+realdiscrt1)^-Half_Year</f>
        <v>0.32251142274075256</v>
      </c>
      <c r="BL39" s="64">
        <f t="shared" si="36"/>
        <v>4.3733432508960578E-2</v>
      </c>
      <c r="BM39" s="633">
        <f>NPV(realdiscrt1,BL$33:BL39)/(1+realdiscrt1)^-Half_Year</f>
        <v>0.31871344720307926</v>
      </c>
      <c r="BN39" s="64">
        <f t="shared" si="37"/>
        <v>4.7164357204301087E-2</v>
      </c>
      <c r="BO39" s="633">
        <f>NPV(realdiscrt1,BN$33:BN39)/(1+realdiscrt1)^-Half_Year</f>
        <v>0.34371678615942819</v>
      </c>
      <c r="BP39" s="64">
        <f t="shared" si="38"/>
        <v>4.5166603584229401E-2</v>
      </c>
      <c r="BQ39" s="633">
        <f>NPV(realdiscrt1,BP$33:BP39)/(1+realdiscrt1)^-Half_Year</f>
        <v>0.32915787993168072</v>
      </c>
      <c r="BR39" s="64">
        <f t="shared" si="39"/>
        <v>0.14005407115292715</v>
      </c>
      <c r="BS39" s="633">
        <f>NPV(realdiscrt1,BR$33:BR39)/(1+realdiscrt1)^-Half_Year</f>
        <v>0.96546615856731099</v>
      </c>
      <c r="BT39" s="64">
        <f t="shared" si="40"/>
        <v>0.2173802429218937</v>
      </c>
      <c r="BU39" s="633">
        <f>NPV(realdiscrt1,BT$33:BT39)/(1+realdiscrt1)^-Half_Year</f>
        <v>14.194348524238926</v>
      </c>
      <c r="BV39" s="64">
        <f t="shared" si="41"/>
        <v>0.11885482161997461</v>
      </c>
      <c r="BW39" s="633">
        <f>NPV(realdiscrt1,BV$33:BV39)/(1+realdiscrt1)^-Half_Year</f>
        <v>13.193732208542617</v>
      </c>
      <c r="BX39" s="64">
        <f t="shared" si="42"/>
        <v>8.6952097168757486E-2</v>
      </c>
      <c r="BY39" s="633">
        <f>NPV(realdiscrt1,BX$33:BX39)/(1+realdiscrt1)^-Half_Year</f>
        <v>12.86973068508575</v>
      </c>
      <c r="BZ39" s="64">
        <f t="shared" si="43"/>
        <v>0.11289686392197135</v>
      </c>
      <c r="CA39" s="633">
        <f>NPV(realdiscrt1,BZ$33:BZ39)/(1+realdiscrt1)^-Half_Year</f>
        <v>13.133223665650103</v>
      </c>
      <c r="CB39" s="64">
        <f t="shared" si="44"/>
        <v>0.18079514803813901</v>
      </c>
      <c r="CC39" s="633">
        <f>NPV(realdiscrt1,CB$33:CB39)/(1+realdiscrt1)^-Half_Year</f>
        <v>13.822793220356461</v>
      </c>
      <c r="CD39" s="64">
        <f t="shared" si="45"/>
        <v>0.11799399585800389</v>
      </c>
      <c r="CE39" s="633">
        <f>NPV(realdiscrt1,CD$33:CD39)/(1+realdiscrt1)^-Half_Year</f>
        <v>13.184989730804208</v>
      </c>
      <c r="CF39" s="64">
        <f t="shared" si="46"/>
        <v>0.14543809936072294</v>
      </c>
      <c r="CG39" s="633">
        <f>NPV(realdiscrt1,CF$33:CF39)/(1+realdiscrt1)^-Half_Year</f>
        <v>13.463709855738541</v>
      </c>
      <c r="CH39" s="636">
        <f t="shared" si="47"/>
        <v>1.2468365281526547E-3</v>
      </c>
      <c r="CI39" s="633">
        <f>NPV(realdiscrt1,CH$33:CH39)/(1+realdiscrt1)^-Half_Year</f>
        <v>6.3631531988482398E-2</v>
      </c>
      <c r="CJ39" s="636">
        <f t="shared" si="48"/>
        <v>1.3387129772455125E-3</v>
      </c>
      <c r="CK39" s="633">
        <f>NPV(realdiscrt1,CJ$33:CJ39)/(1+realdiscrt1)^-Half_Year</f>
        <v>9.7881543516860098E-2</v>
      </c>
    </row>
    <row r="40" spans="1:89">
      <c r="A40" s="56">
        <f t="shared" si="50"/>
        <v>8</v>
      </c>
      <c r="B40" s="56">
        <f t="shared" si="49"/>
        <v>2023</v>
      </c>
      <c r="C40" s="62">
        <f t="shared" si="7"/>
        <v>7.5579442762519183E-2</v>
      </c>
      <c r="D40" s="633">
        <f>NPV(realdiscrt1,C$33:C40)/(1+realdiscrt1)^-Half_Year</f>
        <v>0.57198370050558356</v>
      </c>
      <c r="E40" s="62">
        <f t="shared" si="8"/>
        <v>7.0063765649367837E-2</v>
      </c>
      <c r="F40" s="633">
        <f>NPV(realdiscrt1,E$33:E40)/(1+realdiscrt1)^-Half_Year</f>
        <v>0.52816517588397871</v>
      </c>
      <c r="G40" s="62">
        <f t="shared" si="9"/>
        <v>7.4129051173645238E-2</v>
      </c>
      <c r="H40" s="633">
        <f>NPV(realdiscrt1,G$33:G40)/(1+realdiscrt1)^-Half_Year</f>
        <v>0.5084655439558855</v>
      </c>
      <c r="I40" s="62">
        <f t="shared" si="10"/>
        <v>6.0261718117225589E-2</v>
      </c>
      <c r="J40" s="633">
        <f>NPV(realdiscrt1,I$33:I40)/(1+realdiscrt1)^-Half_Year</f>
        <v>0.40673969803086701</v>
      </c>
      <c r="K40" s="63">
        <f t="shared" si="11"/>
        <v>174.89100292179705</v>
      </c>
      <c r="L40" s="633">
        <f>NPV(realdiscrt1,K$33:K40)/(1+realdiscrt1)^-Half_Year</f>
        <v>952.57171758326456</v>
      </c>
      <c r="M40" s="63">
        <f t="shared" si="12"/>
        <v>0</v>
      </c>
      <c r="N40" s="633">
        <f>NPV(realdiscrt1,M$33:M40)/(1+realdiscrt1)^-Half_Year</f>
        <v>0</v>
      </c>
      <c r="O40" s="624">
        <f t="shared" si="13"/>
        <v>10.739952210274792</v>
      </c>
      <c r="P40" s="633">
        <f>NPV(realdiscrt1,O$33:O40)/(1+realdiscrt1)^-Half_Year</f>
        <v>84.428192873796121</v>
      </c>
      <c r="Q40" s="624">
        <f t="shared" si="14"/>
        <v>84.296373954599773</v>
      </c>
      <c r="R40" s="633">
        <f>NPV(realdiscrt1,Q$33:Q40)/(1+realdiscrt1)^-Half_Year</f>
        <v>662.66500813586936</v>
      </c>
      <c r="S40" s="63">
        <f t="shared" si="15"/>
        <v>20.90926154556945</v>
      </c>
      <c r="T40" s="633">
        <f>NPV(realdiscrt1,S$33:S40)/(1+realdiscrt1)^-Half_Year</f>
        <v>151.36136593033777</v>
      </c>
      <c r="U40" s="63">
        <f t="shared" si="16"/>
        <v>19.241596316181905</v>
      </c>
      <c r="V40" s="633">
        <f>NPV(realdiscrt1,U$33:U40)/(1+realdiscrt1)^-Half_Year</f>
        <v>138.69332025810829</v>
      </c>
      <c r="W40" s="63">
        <f t="shared" si="17"/>
        <v>18.823129316851041</v>
      </c>
      <c r="X40" s="633">
        <f>NPV(realdiscrt1,W$33:W40)/(1+realdiscrt1)^-Half_Year</f>
        <v>135.64560720581437</v>
      </c>
      <c r="Y40" s="624">
        <f t="shared" si="18"/>
        <v>8.2699885130800972</v>
      </c>
      <c r="Z40" s="633">
        <f>NPV(realdiscrt1,Y$33:Y40)/(1+realdiscrt1)^-Half_Year</f>
        <v>62.36006205479962</v>
      </c>
      <c r="AA40" s="63">
        <f t="shared" si="19"/>
        <v>8.031800723506457</v>
      </c>
      <c r="AB40" s="633">
        <f>NPV(realdiscrt1,AA$33:AA40)/(1+realdiscrt1)^-Half_Year</f>
        <v>60.434485753742813</v>
      </c>
      <c r="AC40" s="63">
        <f t="shared" si="20"/>
        <v>8.4573175999464372</v>
      </c>
      <c r="AD40" s="633">
        <f>NPV(realdiscrt1,AC$33:AC40)/(1+realdiscrt1)^-Half_Year</f>
        <v>63.886307596943368</v>
      </c>
      <c r="AE40" s="63">
        <f t="shared" si="21"/>
        <v>6.755250094186521</v>
      </c>
      <c r="AF40" s="633">
        <f>NPV(realdiscrt1,AE$33:AE40)/(1+realdiscrt1)^-Half_Year</f>
        <v>50.079020224141132</v>
      </c>
      <c r="AG40" s="63">
        <f t="shared" si="22"/>
        <v>6.9447844694811831</v>
      </c>
      <c r="AH40" s="633">
        <f>NPV(realdiscrt1,AG$33:AG40)/(1+realdiscrt1)^-Half_Year</f>
        <v>51.665150379864684</v>
      </c>
      <c r="AI40" s="63">
        <f t="shared" si="23"/>
        <v>7.8098845956579712</v>
      </c>
      <c r="AJ40" s="633">
        <f>NPV(realdiscrt1,AI$33:AI40)/(1+realdiscrt1)^-Half_Year</f>
        <v>58.70057541241836</v>
      </c>
      <c r="AK40" s="63">
        <f t="shared" si="24"/>
        <v>7.5030762057177185</v>
      </c>
      <c r="AL40" s="633">
        <f>NPV(realdiscrt1,AK$33:AK40)/(1+realdiscrt1)^-Half_Year</f>
        <v>56.182111637919554</v>
      </c>
      <c r="AM40" s="63">
        <f t="shared" si="25"/>
        <v>19.613538838137547</v>
      </c>
      <c r="AN40" s="633">
        <f>NPV(realdiscrt1,AM$33:AM40)/(1+realdiscrt1)^-Half_Year</f>
        <v>145.69037523777641</v>
      </c>
      <c r="AO40" s="624"/>
      <c r="AP40" s="625"/>
      <c r="AQ40" s="63">
        <f t="shared" si="26"/>
        <v>1.0833179284981212E-2</v>
      </c>
      <c r="AR40" s="633">
        <f>NPV(realdiscrt1,AQ$33:AQ40)/(1+realdiscrt1)^-Half_Year</f>
        <v>8.5161063308437659E-2</v>
      </c>
      <c r="AS40" s="634">
        <f t="shared" si="27"/>
        <v>4.5379702334816434E-3</v>
      </c>
      <c r="AT40" s="633">
        <f>NPV(realdiscrt1,AS$33:AS40)/(1+realdiscrt1)^-Half_Year</f>
        <v>3.5673587612558934E-2</v>
      </c>
      <c r="AU40" s="634">
        <f t="shared" si="28"/>
        <v>6.2952090514995698E-3</v>
      </c>
      <c r="AV40" s="633">
        <f>NPV(realdiscrt1,AU$33:AU40)/(1+realdiscrt1)^-Half_Year</f>
        <v>4.9487475695878733E-2</v>
      </c>
      <c r="AW40" s="63">
        <v>1</v>
      </c>
      <c r="AX40" s="633">
        <f>NPV(realdiscrt1,AW$33:AW40)/(1+realdiscrt1)^-Half_Year</f>
        <v>7.8611330125868353</v>
      </c>
      <c r="AY40" s="63">
        <f t="shared" si="29"/>
        <v>0</v>
      </c>
      <c r="AZ40" s="633">
        <f>NPV(realdiscrt1,AY$33:AY40)/(1+realdiscrt1)^-Half_Year</f>
        <v>0</v>
      </c>
      <c r="BA40" s="115">
        <f t="shared" si="30"/>
        <v>1.0021975853094038</v>
      </c>
      <c r="BB40" s="74">
        <f t="shared" si="31"/>
        <v>0</v>
      </c>
      <c r="BC40" s="633">
        <f>NPV(realdiscrt1,BB$33:BB40)/(1+realdiscrt1)^-Half_Year</f>
        <v>5.1135576127707048E-2</v>
      </c>
      <c r="BD40" s="74">
        <f t="shared" si="32"/>
        <v>0</v>
      </c>
      <c r="BE40" s="633">
        <f>NPV(realdiscrt1,BD$33:BD40)/(1+realdiscrt1)^-Half_Year</f>
        <v>2.5412454330430462E-2</v>
      </c>
      <c r="BF40" s="74">
        <f t="shared" si="33"/>
        <v>0</v>
      </c>
      <c r="BG40" s="633">
        <f>NPV(realdiscrt1,BF$33:BF40)/(1+realdiscrt1)^-Half_Year</f>
        <v>7.0603876868875926E-2</v>
      </c>
      <c r="BH40" s="74">
        <f t="shared" si="34"/>
        <v>0</v>
      </c>
      <c r="BI40" s="633">
        <f>NPV(realdiscrt1,BH$33:BH40)/(1+realdiscrt1)^-Half_Year</f>
        <v>2.2364805758927186E-2</v>
      </c>
      <c r="BJ40" s="64">
        <f t="shared" si="35"/>
        <v>4.3016622371565123E-2</v>
      </c>
      <c r="BK40" s="633">
        <f>NPV(realdiscrt1,BJ$33:BJ40)/(1+realdiscrt1)^-Half_Year</f>
        <v>0.36413467649275527</v>
      </c>
      <c r="BL40" s="64">
        <f t="shared" si="36"/>
        <v>4.2510047819593798E-2</v>
      </c>
      <c r="BM40" s="633">
        <f>NPV(realdiscrt1,BL$33:BL40)/(1+realdiscrt1)^-Half_Year</f>
        <v>0.35984653506202602</v>
      </c>
      <c r="BN40" s="64">
        <f t="shared" si="37"/>
        <v>4.5844996953405021E-2</v>
      </c>
      <c r="BO40" s="633">
        <f>NPV(realdiscrt1,BN$33:BN40)/(1+realdiscrt1)^-Half_Year</f>
        <v>0.38807679948099333</v>
      </c>
      <c r="BP40" s="64">
        <f t="shared" si="38"/>
        <v>4.3903127837514939E-2</v>
      </c>
      <c r="BQ40" s="633">
        <f>NPV(realdiscrt1,BP$33:BP40)/(1+realdiscrt1)^-Half_Year</f>
        <v>0.37163892399653137</v>
      </c>
      <c r="BR40" s="64">
        <f t="shared" si="39"/>
        <v>0.14005407115292715</v>
      </c>
      <c r="BS40" s="633">
        <f>NPV(realdiscrt1,BR$33:BR40)/(1+realdiscrt1)^-Half_Year</f>
        <v>1.1009836822874615</v>
      </c>
      <c r="BT40" s="64">
        <f t="shared" si="40"/>
        <v>0.21736578584363803</v>
      </c>
      <c r="BU40" s="633">
        <f>NPV(realdiscrt1,BT$33:BT40)/(1+realdiscrt1)^-Half_Year</f>
        <v>14.40467352797873</v>
      </c>
      <c r="BV40" s="64">
        <f t="shared" si="41"/>
        <v>0.11884691706786753</v>
      </c>
      <c r="BW40" s="633">
        <f>NPV(realdiscrt1,BV$33:BV40)/(1+realdiscrt1)^-Half_Year</f>
        <v>13.308729507587394</v>
      </c>
      <c r="BX40" s="64">
        <f t="shared" si="42"/>
        <v>8.6946314337455213E-2</v>
      </c>
      <c r="BY40" s="633">
        <f>NPV(realdiscrt1,BX$33:BX40)/(1+realdiscrt1)^-Half_Year</f>
        <v>12.953860686581672</v>
      </c>
      <c r="BZ40" s="64">
        <f t="shared" si="43"/>
        <v>0.1128893556094651</v>
      </c>
      <c r="CA40" s="633">
        <f>NPV(realdiscrt1,BZ$33:BZ40)/(1+realdiscrt1)^-Half_Year</f>
        <v>13.242456376992379</v>
      </c>
      <c r="CB40" s="64">
        <f t="shared" si="44"/>
        <v>0.18078312408615377</v>
      </c>
      <c r="CC40" s="633">
        <f>NPV(realdiscrt1,CB$33:CB40)/(1+realdiscrt1)^-Half_Year</f>
        <v>13.997720525966855</v>
      </c>
      <c r="CD40" s="64">
        <f t="shared" si="45"/>
        <v>0.11798614855592672</v>
      </c>
      <c r="CE40" s="633">
        <f>NPV(realdiscrt1,CD$33:CD40)/(1+realdiscrt1)^-Half_Year</f>
        <v>13.299154142834173</v>
      </c>
      <c r="CF40" s="64">
        <f t="shared" si="46"/>
        <v>0.14542842686263593</v>
      </c>
      <c r="CG40" s="633">
        <f>NPV(realdiscrt1,CF$33:CF40)/(1+realdiscrt1)^-Half_Year</f>
        <v>13.604427652263155</v>
      </c>
      <c r="CH40" s="636">
        <f t="shared" si="47"/>
        <v>1.2467738567184163E-3</v>
      </c>
      <c r="CI40" s="633">
        <f>NPV(realdiscrt1,CH$33:CH40)/(1+realdiscrt1)^-Half_Year</f>
        <v>6.4837921094565654E-2</v>
      </c>
      <c r="CJ40" s="636">
        <f t="shared" si="48"/>
        <v>1.3386711962893535E-3</v>
      </c>
      <c r="CK40" s="633">
        <f>NPV(realdiscrt1,CJ$33:CJ40)/(1+realdiscrt1)^-Half_Year</f>
        <v>9.9176853279034277E-2</v>
      </c>
    </row>
    <row r="41" spans="1:89">
      <c r="A41" s="56">
        <f t="shared" si="50"/>
        <v>9</v>
      </c>
      <c r="B41" s="56">
        <f t="shared" si="49"/>
        <v>2024</v>
      </c>
      <c r="C41" s="62">
        <f t="shared" si="7"/>
        <v>7.8418787623439054E-2</v>
      </c>
      <c r="D41" s="633">
        <f>NPV(realdiscrt1,C$33:C41)/(1+realdiscrt1)^-Half_Year</f>
        <v>0.64752999014143553</v>
      </c>
      <c r="E41" s="62">
        <f t="shared" si="8"/>
        <v>7.294897055261039E-2</v>
      </c>
      <c r="F41" s="633">
        <f>NPV(realdiscrt1,E$33:E41)/(1+realdiscrt1)^-Half_Year</f>
        <v>0.59844200908966716</v>
      </c>
      <c r="G41" s="62">
        <f t="shared" si="9"/>
        <v>7.4792631692447903E-2</v>
      </c>
      <c r="H41" s="633">
        <f>NPV(realdiscrt1,G$33:G41)/(1+realdiscrt1)^-Half_Year</f>
        <v>0.58051850457544507</v>
      </c>
      <c r="I41" s="62">
        <f t="shared" si="10"/>
        <v>6.3204448617642989E-2</v>
      </c>
      <c r="J41" s="633">
        <f>NPV(realdiscrt1,I$33:I41)/(1+realdiscrt1)^-Half_Year</f>
        <v>0.46762895335155991</v>
      </c>
      <c r="K41" s="63">
        <f t="shared" si="11"/>
        <v>178.50130770938495</v>
      </c>
      <c r="L41" s="633">
        <f>NPV(realdiscrt1,K$33:K41)/(1+realdiscrt1)^-Half_Year</f>
        <v>1124.5344818808453</v>
      </c>
      <c r="M41" s="63">
        <f t="shared" si="12"/>
        <v>0</v>
      </c>
      <c r="N41" s="633">
        <f>NPV(realdiscrt1,M$33:M41)/(1+realdiscrt1)^-Half_Year</f>
        <v>0</v>
      </c>
      <c r="O41" s="624">
        <f t="shared" si="13"/>
        <v>10.739952210274792</v>
      </c>
      <c r="P41" s="633">
        <f>NPV(realdiscrt1,O$33:O41)/(1+realdiscrt1)^-Half_Year</f>
        <v>94.774738197204215</v>
      </c>
      <c r="Q41" s="624">
        <f t="shared" si="14"/>
        <v>84.296373954599773</v>
      </c>
      <c r="R41" s="633">
        <f>NPV(realdiscrt1,Q$33:Q41)/(1+realdiscrt1)^-Half_Year</f>
        <v>743.87358678166856</v>
      </c>
      <c r="S41" s="63">
        <f t="shared" si="15"/>
        <v>21.27109343057348</v>
      </c>
      <c r="T41" s="633">
        <f>NPV(realdiscrt1,S$33:S41)/(1+realdiscrt1)^-Half_Year</f>
        <v>171.85329438112981</v>
      </c>
      <c r="U41" s="63">
        <f t="shared" si="16"/>
        <v>19.547653183068427</v>
      </c>
      <c r="V41" s="633">
        <f>NPV(realdiscrt1,U$33:U41)/(1+realdiscrt1)^-Half_Year</f>
        <v>157.52493846879165</v>
      </c>
      <c r="W41" s="63">
        <f t="shared" si="17"/>
        <v>19.094084505060845</v>
      </c>
      <c r="X41" s="633">
        <f>NPV(realdiscrt1,W$33:W41)/(1+realdiscrt1)^-Half_Year</f>
        <v>154.04027106210182</v>
      </c>
      <c r="Y41" s="624">
        <f t="shared" si="18"/>
        <v>8.4839906051734122</v>
      </c>
      <c r="Z41" s="633">
        <f>NPV(realdiscrt1,Y$33:Y41)/(1+realdiscrt1)^-Half_Year</f>
        <v>70.53328215868585</v>
      </c>
      <c r="AA41" s="63">
        <f t="shared" si="19"/>
        <v>8.2404139526965459</v>
      </c>
      <c r="AB41" s="633">
        <f>NPV(realdiscrt1,AA$33:AA41)/(1+realdiscrt1)^-Half_Year</f>
        <v>68.373051473211476</v>
      </c>
      <c r="AC41" s="63">
        <f t="shared" si="20"/>
        <v>8.6713196920397504</v>
      </c>
      <c r="AD41" s="633">
        <f>NPV(realdiscrt1,AC$33:AC41)/(1+realdiscrt1)^-Half_Year</f>
        <v>72.239994880730166</v>
      </c>
      <c r="AE41" s="63">
        <f t="shared" si="21"/>
        <v>6.9476967346669332</v>
      </c>
      <c r="AF41" s="633">
        <f>NPV(realdiscrt1,AE$33:AE41)/(1+realdiscrt1)^-Half_Year</f>
        <v>56.772221250655434</v>
      </c>
      <c r="AG41" s="63">
        <f t="shared" si="22"/>
        <v>7.1372311099615926</v>
      </c>
      <c r="AH41" s="633">
        <f>NPV(realdiscrt1,AG$33:AG41)/(1+realdiscrt1)^-Half_Year</f>
        <v>58.540943094492278</v>
      </c>
      <c r="AI41" s="63">
        <f t="shared" si="23"/>
        <v>8.0131089619448321</v>
      </c>
      <c r="AJ41" s="633">
        <f>NPV(realdiscrt1,AI$33:AI41)/(1+realdiscrt1)^-Half_Year</f>
        <v>66.420162374532836</v>
      </c>
      <c r="AK41" s="63">
        <f t="shared" si="24"/>
        <v>7.6955228461981298</v>
      </c>
      <c r="AL41" s="633">
        <f>NPV(realdiscrt1,AK$33:AK41)/(1+realdiscrt1)^-Half_Year</f>
        <v>63.595745735782479</v>
      </c>
      <c r="AM41" s="63">
        <f t="shared" si="25"/>
        <v>19.769979297706993</v>
      </c>
      <c r="AN41" s="633">
        <f>NPV(realdiscrt1,AM$33:AM41)/(1+realdiscrt1)^-Half_Year</f>
        <v>164.73617570706284</v>
      </c>
      <c r="AO41" s="624"/>
      <c r="AP41" s="625"/>
      <c r="AQ41" s="63">
        <f t="shared" si="26"/>
        <v>1.0833179284981212E-2</v>
      </c>
      <c r="AR41" s="633">
        <f>NPV(realdiscrt1,AQ$33:AQ41)/(1+realdiscrt1)^-Half_Year</f>
        <v>9.5597420777648046E-2</v>
      </c>
      <c r="AS41" s="634">
        <f t="shared" si="27"/>
        <v>4.5379702334816434E-3</v>
      </c>
      <c r="AT41" s="633">
        <f>NPV(realdiscrt1,AS$33:AS41)/(1+realdiscrt1)^-Half_Year</f>
        <v>4.0045330966507552E-2</v>
      </c>
      <c r="AU41" s="634">
        <f t="shared" si="28"/>
        <v>6.2952090514995698E-3</v>
      </c>
      <c r="AV41" s="633">
        <f>NPV(realdiscrt1,AU$33:AU41)/(1+realdiscrt1)^-Half_Year</f>
        <v>5.5552089811140487E-2</v>
      </c>
      <c r="AW41" s="63">
        <v>1</v>
      </c>
      <c r="AX41" s="633">
        <f>NPV(realdiscrt1,AW$33:AW41)/(1+realdiscrt1)^-Half_Year</f>
        <v>8.824502785639428</v>
      </c>
      <c r="AY41" s="63">
        <f t="shared" si="29"/>
        <v>0</v>
      </c>
      <c r="AZ41" s="633">
        <f>NPV(realdiscrt1,AY$33:AY41)/(1+realdiscrt1)^-Half_Year</f>
        <v>0</v>
      </c>
      <c r="BA41" s="115">
        <f t="shared" si="30"/>
        <v>1.0021975853094038</v>
      </c>
      <c r="BB41" s="74">
        <f t="shared" si="31"/>
        <v>0</v>
      </c>
      <c r="BC41" s="633">
        <f>NPV(realdiscrt1,BB$33:BB41)/(1+realdiscrt1)^-Half_Year</f>
        <v>5.1135576127707048E-2</v>
      </c>
      <c r="BD41" s="74">
        <f t="shared" si="32"/>
        <v>0</v>
      </c>
      <c r="BE41" s="633">
        <f>NPV(realdiscrt1,BD$33:BD41)/(1+realdiscrt1)^-Half_Year</f>
        <v>2.5412454330430462E-2</v>
      </c>
      <c r="BF41" s="74">
        <f t="shared" si="33"/>
        <v>0</v>
      </c>
      <c r="BG41" s="633">
        <f>NPV(realdiscrt1,BF$33:BF41)/(1+realdiscrt1)^-Half_Year</f>
        <v>7.0603876868875926E-2</v>
      </c>
      <c r="BH41" s="74">
        <f t="shared" si="34"/>
        <v>0</v>
      </c>
      <c r="BI41" s="633">
        <f>NPV(realdiscrt1,BH$33:BH41)/(1+realdiscrt1)^-Half_Year</f>
        <v>2.2364805758927186E-2</v>
      </c>
      <c r="BJ41" s="64">
        <f t="shared" si="35"/>
        <v>4.1783860642174445E-2</v>
      </c>
      <c r="BK41" s="633">
        <f>NPV(realdiscrt1,BJ$33:BJ41)/(1+realdiscrt1)^-Half_Year</f>
        <v>0.40438798483686794</v>
      </c>
      <c r="BL41" s="64">
        <f t="shared" si="36"/>
        <v>4.129180340203107E-2</v>
      </c>
      <c r="BM41" s="633">
        <f>NPV(realdiscrt1,BL$33:BL41)/(1+realdiscrt1)^-Half_Year</f>
        <v>0.39962581033437283</v>
      </c>
      <c r="BN41" s="64">
        <f t="shared" si="37"/>
        <v>4.4531180232974921E-2</v>
      </c>
      <c r="BO41" s="633">
        <f>NPV(realdiscrt1,BN$33:BN41)/(1+realdiscrt1)^-Half_Year</f>
        <v>0.43097679247579845</v>
      </c>
      <c r="BP41" s="64">
        <f t="shared" si="38"/>
        <v>4.2644960812425338E-2</v>
      </c>
      <c r="BQ41" s="633">
        <f>NPV(realdiscrt1,BP$33:BP41)/(1+realdiscrt1)^-Half_Year</f>
        <v>0.41272179021623417</v>
      </c>
      <c r="BR41" s="64">
        <f t="shared" si="39"/>
        <v>0.14005407115292715</v>
      </c>
      <c r="BS41" s="633">
        <f>NPV(realdiscrt1,BR$33:BR41)/(1+realdiscrt1)^-Half_Year</f>
        <v>1.2359075410291482</v>
      </c>
      <c r="BT41" s="64">
        <f t="shared" si="40"/>
        <v>0.21699676567935164</v>
      </c>
      <c r="BU41" s="633">
        <f>NPV(realdiscrt1,BT$33:BT41)/(1+realdiscrt1)^-Half_Year</f>
        <v>14.613721652884394</v>
      </c>
      <c r="BV41" s="64">
        <f t="shared" si="41"/>
        <v>0.11864515160284232</v>
      </c>
      <c r="BW41" s="633">
        <f>NPV(realdiscrt1,BV$33:BV41)/(1+realdiscrt1)^-Half_Year</f>
        <v>13.423028660360814</v>
      </c>
      <c r="BX41" s="64">
        <f t="shared" si="42"/>
        <v>8.6798706271740661E-2</v>
      </c>
      <c r="BY41" s="633">
        <f>NPV(realdiscrt1,BX$33:BX41)/(1+realdiscrt1)^-Half_Year</f>
        <v>13.037479936543937</v>
      </c>
      <c r="BZ41" s="64">
        <f t="shared" si="43"/>
        <v>0.11269770424910265</v>
      </c>
      <c r="CA41" s="633">
        <f>NPV(realdiscrt1,BZ$33:BZ41)/(1+realdiscrt1)^-Half_Year</f>
        <v>13.351025938758385</v>
      </c>
      <c r="CB41" s="64">
        <f t="shared" si="44"/>
        <v>0.18047621001551678</v>
      </c>
      <c r="CC41" s="633">
        <f>NPV(realdiscrt1,CB$33:CB41)/(1+realdiscrt1)^-Half_Year</f>
        <v>14.171585851450894</v>
      </c>
      <c r="CD41" s="64">
        <f t="shared" si="45"/>
        <v>0.11778584441075207</v>
      </c>
      <c r="CE41" s="633">
        <f>NPV(realdiscrt1,CD$33:CD41)/(1+realdiscrt1)^-Half_Year</f>
        <v>13.412625465032969</v>
      </c>
      <c r="CF41" s="64">
        <f t="shared" si="46"/>
        <v>0.14518153418003424</v>
      </c>
      <c r="CG41" s="633">
        <f>NPV(realdiscrt1,CF$33:CF41)/(1+realdiscrt1)^-Half_Year</f>
        <v>13.744291153897601</v>
      </c>
      <c r="CH41" s="636">
        <f t="shared" si="47"/>
        <v>1.2451741543062348E-3</v>
      </c>
      <c r="CI41" s="633">
        <f>NPV(realdiscrt1,CH$33:CH41)/(1+realdiscrt1)^-Half_Year</f>
        <v>6.6037484237010599E-2</v>
      </c>
      <c r="CJ41" s="636">
        <f t="shared" si="48"/>
        <v>1.3376047280145658E-3</v>
      </c>
      <c r="CK41" s="633">
        <f>NPV(realdiscrt1,CJ$33:CJ41)/(1+realdiscrt1)^-Half_Year</f>
        <v>0.10046546124229573</v>
      </c>
    </row>
    <row r="42" spans="1:89">
      <c r="A42" s="56">
        <f t="shared" si="50"/>
        <v>10</v>
      </c>
      <c r="B42" s="56">
        <f t="shared" si="49"/>
        <v>2025</v>
      </c>
      <c r="C42" s="62">
        <f t="shared" si="7"/>
        <v>8.3037007234541965E-2</v>
      </c>
      <c r="D42" s="633">
        <f>NPV(realdiscrt1,C$33:C42)/(1+realdiscrt1)^-Half_Year</f>
        <v>0.7271748953729239</v>
      </c>
      <c r="E42" s="62">
        <f t="shared" si="8"/>
        <v>7.529172405358639E-2</v>
      </c>
      <c r="F42" s="633">
        <f>NPV(realdiscrt1,E$33:E42)/(1+realdiscrt1)^-Half_Year</f>
        <v>0.67065802971316568</v>
      </c>
      <c r="G42" s="62">
        <f t="shared" si="9"/>
        <v>8.0820093089687378E-2</v>
      </c>
      <c r="H42" s="633">
        <f>NPV(realdiscrt1,G$33:G42)/(1+realdiscrt1)^-Half_Year</f>
        <v>0.65803705767968779</v>
      </c>
      <c r="I42" s="62">
        <f t="shared" si="10"/>
        <v>6.545747406430355E-2</v>
      </c>
      <c r="J42" s="633">
        <f>NPV(realdiscrt1,I$33:I42)/(1+realdiscrt1)^-Half_Year</f>
        <v>0.53041245786562208</v>
      </c>
      <c r="K42" s="63">
        <f t="shared" si="11"/>
        <v>182.21764231692606</v>
      </c>
      <c r="L42" s="633">
        <f>NPV(realdiscrt1,K$33:K42)/(1+realdiscrt1)^-Half_Year</f>
        <v>1299.3084451674197</v>
      </c>
      <c r="M42" s="63">
        <f t="shared" si="12"/>
        <v>0</v>
      </c>
      <c r="N42" s="633">
        <f>NPV(realdiscrt1,M$33:M42)/(1+realdiscrt1)^-Half_Year</f>
        <v>0</v>
      </c>
      <c r="O42" s="624">
        <f t="shared" si="13"/>
        <v>10.739952210274792</v>
      </c>
      <c r="P42" s="633">
        <f>NPV(realdiscrt1,O$33:O42)/(1+realdiscrt1)^-Half_Year</f>
        <v>105.07595815280767</v>
      </c>
      <c r="Q42" s="624">
        <f t="shared" si="14"/>
        <v>84.296373954599773</v>
      </c>
      <c r="R42" s="633">
        <f>NPV(realdiscrt1,Q$33:Q42)/(1+realdiscrt1)^-Half_Year</f>
        <v>824.72641299214172</v>
      </c>
      <c r="S42" s="63">
        <f t="shared" si="15"/>
        <v>21.605438127870073</v>
      </c>
      <c r="T42" s="633">
        <f>NPV(realdiscrt1,S$33:S42)/(1+realdiscrt1)^-Half_Year</f>
        <v>192.57613988685264</v>
      </c>
      <c r="U42" s="63">
        <f t="shared" si="16"/>
        <v>19.870558262794173</v>
      </c>
      <c r="V42" s="633">
        <f>NPV(realdiscrt1,U$33:U42)/(1+realdiscrt1)^-Half_Year</f>
        <v>176.58377479302135</v>
      </c>
      <c r="W42" s="63">
        <f t="shared" si="17"/>
        <v>19.4052163258531</v>
      </c>
      <c r="X42" s="633">
        <f>NPV(realdiscrt1,W$33:W42)/(1+realdiscrt1)^-Half_Year</f>
        <v>172.6527748931189</v>
      </c>
      <c r="Y42" s="624">
        <f t="shared" si="18"/>
        <v>8.5821359477321124</v>
      </c>
      <c r="Z42" s="633">
        <f>NPV(realdiscrt1,Y$33:Y42)/(1+realdiscrt1)^-Half_Year</f>
        <v>78.764833692211511</v>
      </c>
      <c r="AA42" s="63">
        <f t="shared" si="19"/>
        <v>8.3439481581584722</v>
      </c>
      <c r="AB42" s="633">
        <f>NPV(realdiscrt1,AA$33:AA42)/(1+realdiscrt1)^-Half_Year</f>
        <v>76.376145303844396</v>
      </c>
      <c r="AC42" s="63">
        <f t="shared" si="20"/>
        <v>8.7694650345984506</v>
      </c>
      <c r="AD42" s="633">
        <f>NPV(realdiscrt1,AC$33:AC42)/(1+realdiscrt1)^-Half_Year</f>
        <v>80.651223017103874</v>
      </c>
      <c r="AE42" s="63">
        <f t="shared" si="21"/>
        <v>7.0673975288385371</v>
      </c>
      <c r="AF42" s="633">
        <f>NPV(realdiscrt1,AE$33:AE42)/(1+realdiscrt1)^-Half_Year</f>
        <v>63.550912164066055</v>
      </c>
      <c r="AG42" s="63">
        <f t="shared" si="22"/>
        <v>7.2569319041331966</v>
      </c>
      <c r="AH42" s="633">
        <f>NPV(realdiscrt1,AG$33:AG42)/(1+realdiscrt1)^-Half_Year</f>
        <v>65.501425812077812</v>
      </c>
      <c r="AI42" s="63">
        <f t="shared" si="23"/>
        <v>8.1220320303099864</v>
      </c>
      <c r="AJ42" s="633">
        <f>NPV(realdiscrt1,AI$33:AI42)/(1+realdiscrt1)^-Half_Year</f>
        <v>74.210405458727976</v>
      </c>
      <c r="AK42" s="63">
        <f t="shared" si="24"/>
        <v>7.8152236403697319</v>
      </c>
      <c r="AL42" s="633">
        <f>NPV(realdiscrt1,AK$33:AK42)/(1+realdiscrt1)^-Half_Year</f>
        <v>71.091713701511495</v>
      </c>
      <c r="AM42" s="63">
        <f t="shared" si="25"/>
        <v>19.957883119544359</v>
      </c>
      <c r="AN42" s="633">
        <f>NPV(realdiscrt1,AM$33:AM42)/(1+realdiscrt1)^-Half_Year</f>
        <v>183.87876962530817</v>
      </c>
      <c r="AO42" s="624"/>
      <c r="AP42" s="625"/>
      <c r="AQ42" s="63">
        <f t="shared" si="26"/>
        <v>1.0833179284981212E-2</v>
      </c>
      <c r="AR42" s="633">
        <f>NPV(realdiscrt1,AQ$33:AQ42)/(1+realdiscrt1)^-Half_Year</f>
        <v>0.10598805943675835</v>
      </c>
      <c r="AS42" s="634">
        <f t="shared" si="27"/>
        <v>4.5379702334816434E-3</v>
      </c>
      <c r="AT42" s="633">
        <f>NPV(realdiscrt1,AS$33:AS42)/(1+realdiscrt1)^-Half_Year</f>
        <v>4.4397922915878942E-2</v>
      </c>
      <c r="AU42" s="634">
        <f t="shared" si="28"/>
        <v>6.2952090514995698E-3</v>
      </c>
      <c r="AV42" s="633">
        <f>NPV(realdiscrt1,AU$33:AU42)/(1+realdiscrt1)^-Half_Year</f>
        <v>6.1590136520879392E-2</v>
      </c>
      <c r="AW42" s="63">
        <v>1</v>
      </c>
      <c r="AX42" s="633">
        <f>NPV(realdiscrt1,AW$33:AW42)/(1+realdiscrt1)^-Half_Year</f>
        <v>9.7836523008252012</v>
      </c>
      <c r="AY42" s="63">
        <f t="shared" si="29"/>
        <v>0</v>
      </c>
      <c r="AZ42" s="633">
        <f>NPV(realdiscrt1,AY$33:AY42)/(1+realdiscrt1)^-Half_Year</f>
        <v>0</v>
      </c>
      <c r="BA42" s="115">
        <f t="shared" si="30"/>
        <v>1.0021975853094038</v>
      </c>
      <c r="BB42" s="74">
        <f t="shared" si="31"/>
        <v>0</v>
      </c>
      <c r="BC42" s="633">
        <f>NPV(realdiscrt1,BB$33:BB42)/(1+realdiscrt1)^-Half_Year</f>
        <v>5.1135576127707048E-2</v>
      </c>
      <c r="BD42" s="74">
        <f t="shared" si="32"/>
        <v>0</v>
      </c>
      <c r="BE42" s="633">
        <f>NPV(realdiscrt1,BD$33:BD42)/(1+realdiscrt1)^-Half_Year</f>
        <v>2.5412454330430462E-2</v>
      </c>
      <c r="BF42" s="74">
        <f t="shared" si="33"/>
        <v>0</v>
      </c>
      <c r="BG42" s="633">
        <f>NPV(realdiscrt1,BF$33:BF42)/(1+realdiscrt1)^-Half_Year</f>
        <v>7.0603876868875926E-2</v>
      </c>
      <c r="BH42" s="74">
        <f t="shared" si="34"/>
        <v>0</v>
      </c>
      <c r="BI42" s="633">
        <f>NPV(realdiscrt1,BH$33:BH42)/(1+realdiscrt1)^-Half_Year</f>
        <v>2.2364805758927186E-2</v>
      </c>
      <c r="BJ42" s="64">
        <f t="shared" si="35"/>
        <v>4.0545897386499413E-2</v>
      </c>
      <c r="BK42" s="633">
        <f>NPV(realdiscrt1,BJ$33:BJ42)/(1+realdiscrt1)^-Half_Year</f>
        <v>0.44327756265790091</v>
      </c>
      <c r="BL42" s="64">
        <f t="shared" si="36"/>
        <v>4.006841871266429E-2</v>
      </c>
      <c r="BM42" s="633">
        <f>NPV(realdiscrt1,BL$33:BL42)/(1+realdiscrt1)^-Half_Year</f>
        <v>0.43805741471688536</v>
      </c>
      <c r="BN42" s="64">
        <f t="shared" si="37"/>
        <v>4.3211819982078861E-2</v>
      </c>
      <c r="BO42" s="633">
        <f>NPV(realdiscrt1,BN$33:BN42)/(1+realdiscrt1)^-Half_Year</f>
        <v>0.47242338866190431</v>
      </c>
      <c r="BP42" s="64">
        <f t="shared" si="38"/>
        <v>4.1381485065710877E-2</v>
      </c>
      <c r="BQ42" s="633">
        <f>NPV(realdiscrt1,BP$33:BP42)/(1+realdiscrt1)^-Half_Year</f>
        <v>0.45241282155467805</v>
      </c>
      <c r="BR42" s="64">
        <f t="shared" si="39"/>
        <v>0.14005407115292715</v>
      </c>
      <c r="BS42" s="633">
        <f>NPV(realdiscrt1,BR$33:BR42)/(1+realdiscrt1)^-Half_Year</f>
        <v>1.3702403354752719</v>
      </c>
      <c r="BT42" s="64">
        <f t="shared" si="40"/>
        <v>0.21662929761392419</v>
      </c>
      <c r="BU42" s="633">
        <f>NPV(realdiscrt1,BT$33:BT42)/(1+realdiscrt1)^-Half_Year</f>
        <v>14.821501538665823</v>
      </c>
      <c r="BV42" s="64">
        <f t="shared" si="41"/>
        <v>0.11844423476338919</v>
      </c>
      <c r="BW42" s="633">
        <f>NPV(realdiscrt1,BV$33:BV42)/(1+realdiscrt1)^-Half_Year</f>
        <v>13.536634390710669</v>
      </c>
      <c r="BX42" s="64">
        <f t="shared" si="42"/>
        <v>8.6651719045569675E-2</v>
      </c>
      <c r="BY42" s="633">
        <f>NPV(realdiscrt1,BX$33:BX42)/(1+realdiscrt1)^-Half_Year</f>
        <v>13.12059189085651</v>
      </c>
      <c r="BZ42" s="64">
        <f t="shared" si="43"/>
        <v>0.11250685897438677</v>
      </c>
      <c r="CA42" s="633">
        <f>NPV(realdiscrt1,BZ$33:BZ42)/(1+realdiscrt1)^-Half_Year</f>
        <v>13.458936837998742</v>
      </c>
      <c r="CB42" s="64">
        <f t="shared" si="44"/>
        <v>0.18017058682550074</v>
      </c>
      <c r="CC42" s="633">
        <f>NPV(realdiscrt1,CB$33:CB42)/(1+realdiscrt1)^-Half_Year</f>
        <v>14.344396382455312</v>
      </c>
      <c r="CD42" s="64">
        <f t="shared" si="45"/>
        <v>0.11758638274483806</v>
      </c>
      <c r="CE42" s="633">
        <f>NPV(realdiscrt1,CD$33:CD42)/(1+realdiscrt1)^-Half_Year</f>
        <v>13.525408387035128</v>
      </c>
      <c r="CF42" s="64">
        <f t="shared" si="46"/>
        <v>0.14493567992808765</v>
      </c>
      <c r="CG42" s="633">
        <f>NPV(realdiscrt1,CF$33:CF42)/(1+realdiscrt1)^-Half_Year</f>
        <v>13.883306141033746</v>
      </c>
      <c r="CH42" s="636">
        <f t="shared" si="47"/>
        <v>1.2435811802426068E-3</v>
      </c>
      <c r="CI42" s="633">
        <f>NPV(realdiscrt1,CH$33:CH42)/(1+realdiscrt1)^-Half_Year</f>
        <v>6.7230264523134464E-2</v>
      </c>
      <c r="CJ42" s="636">
        <f t="shared" si="48"/>
        <v>1.3365427453054808E-3</v>
      </c>
      <c r="CK42" s="633">
        <f>NPV(realdiscrt1,CJ$33:CJ42)/(1+realdiscrt1)^-Half_Year</f>
        <v>0.10174740556848055</v>
      </c>
    </row>
    <row r="43" spans="1:89">
      <c r="A43" s="56">
        <f t="shared" si="50"/>
        <v>11</v>
      </c>
      <c r="B43" s="56">
        <f t="shared" si="49"/>
        <v>2026</v>
      </c>
      <c r="C43" s="62">
        <f t="shared" si="7"/>
        <v>8.4464262367603807E-2</v>
      </c>
      <c r="D43" s="633">
        <f>NPV(realdiscrt1,C$33:C43)/(1+realdiscrt1)^-Half_Year</f>
        <v>0.80783385226301874</v>
      </c>
      <c r="E43" s="62">
        <f t="shared" si="8"/>
        <v>7.7725010092089708E-2</v>
      </c>
      <c r="F43" s="633">
        <f>NPV(realdiscrt1,E$33:E43)/(1+realdiscrt1)^-Half_Year</f>
        <v>0.74488135283904888</v>
      </c>
      <c r="G43" s="62">
        <f t="shared" si="9"/>
        <v>8.5434725081587157E-2</v>
      </c>
      <c r="H43" s="633">
        <f>NPV(realdiscrt1,G$33:G43)/(1+realdiscrt1)^-Half_Year</f>
        <v>0.73962275575021175</v>
      </c>
      <c r="I43" s="62">
        <f t="shared" si="10"/>
        <v>6.8203668206913259E-2</v>
      </c>
      <c r="J43" s="633">
        <f>NPV(realdiscrt1,I$33:I43)/(1+realdiscrt1)^-Half_Year</f>
        <v>0.5955433970278603</v>
      </c>
      <c r="K43" s="63">
        <f t="shared" si="11"/>
        <v>182.96133251116859</v>
      </c>
      <c r="L43" s="633">
        <f>NPV(realdiscrt1,K$33:K43)/(1+realdiscrt1)^-Half_Year</f>
        <v>1474.0269570907874</v>
      </c>
      <c r="M43" s="63">
        <f t="shared" si="12"/>
        <v>0</v>
      </c>
      <c r="N43" s="633">
        <f>NPV(realdiscrt1,M$33:M43)/(1+realdiscrt1)^-Half_Year</f>
        <v>0</v>
      </c>
      <c r="O43" s="624">
        <f t="shared" si="13"/>
        <v>10.739952210274792</v>
      </c>
      <c r="P43" s="633">
        <f>NPV(realdiscrt1,O$33:O43)/(1+realdiscrt1)^-Half_Year</f>
        <v>115.33205129856977</v>
      </c>
      <c r="Q43" s="624">
        <f t="shared" si="14"/>
        <v>84.296373954599773</v>
      </c>
      <c r="R43" s="633">
        <f>NPV(realdiscrt1,Q$33:Q43)/(1+realdiscrt1)^-Half_Year</f>
        <v>905.22504522080851</v>
      </c>
      <c r="S43" s="63">
        <f t="shared" si="15"/>
        <v>21.854578739700273</v>
      </c>
      <c r="T43" s="633">
        <f>NPV(realdiscrt1,S$33:S43)/(1+realdiscrt1)^-Half_Year</f>
        <v>213.44612057459941</v>
      </c>
      <c r="U43" s="63">
        <f t="shared" si="16"/>
        <v>20.142304308180872</v>
      </c>
      <c r="V43" s="633">
        <f>NPV(realdiscrt1,U$33:U43)/(1+realdiscrt1)^-Half_Year</f>
        <v>195.81862287338373</v>
      </c>
      <c r="W43" s="63">
        <f t="shared" si="17"/>
        <v>19.693713404795492</v>
      </c>
      <c r="X43" s="633">
        <f>NPV(realdiscrt1,W$33:W43)/(1+realdiscrt1)^-Half_Year</f>
        <v>191.45924210181781</v>
      </c>
      <c r="Y43" s="624">
        <f t="shared" si="18"/>
        <v>8.6988906391864216</v>
      </c>
      <c r="Z43" s="633">
        <f>NPV(realdiscrt1,Y$33:Y43)/(1+realdiscrt1)^-Half_Year</f>
        <v>87.071819693037611</v>
      </c>
      <c r="AA43" s="63">
        <f t="shared" si="19"/>
        <v>8.4580084181611692</v>
      </c>
      <c r="AB43" s="633">
        <f>NPV(realdiscrt1,AA$33:AA43)/(1+realdiscrt1)^-Half_Year</f>
        <v>84.453101370865994</v>
      </c>
      <c r="AC43" s="63">
        <f t="shared" si="20"/>
        <v>8.886219726052758</v>
      </c>
      <c r="AD43" s="633">
        <f>NPV(realdiscrt1,AC$33:AC43)/(1+realdiscrt1)^-Half_Year</f>
        <v>89.137098507025982</v>
      </c>
      <c r="AE43" s="63">
        <f t="shared" si="21"/>
        <v>7.1733744944863931</v>
      </c>
      <c r="AF43" s="633">
        <f>NPV(realdiscrt1,AE$33:AE43)/(1+realdiscrt1)^-Half_Year</f>
        <v>70.401109962386059</v>
      </c>
      <c r="AG43" s="63">
        <f t="shared" si="22"/>
        <v>7.3629088697810525</v>
      </c>
      <c r="AH43" s="633">
        <f>NPV(realdiscrt1,AG$33:AG43)/(1+realdiscrt1)^-Half_Year</f>
        <v>72.53261903470576</v>
      </c>
      <c r="AI43" s="63">
        <f t="shared" si="23"/>
        <v>8.2387867217642956</v>
      </c>
      <c r="AJ43" s="633">
        <f>NPV(realdiscrt1,AI$33:AI43)/(1+realdiscrt1)^-Half_Year</f>
        <v>82.078016261096778</v>
      </c>
      <c r="AK43" s="63">
        <f t="shared" si="24"/>
        <v>7.9212006060175906</v>
      </c>
      <c r="AL43" s="633">
        <f>NPV(realdiscrt1,AK$33:AK43)/(1+realdiscrt1)^-Half_Year</f>
        <v>78.656046358770595</v>
      </c>
      <c r="AM43" s="63">
        <f t="shared" si="25"/>
        <v>20.113670137757172</v>
      </c>
      <c r="AN43" s="633">
        <f>NPV(realdiscrt1,AM$33:AM43)/(1+realdiscrt1)^-Half_Year</f>
        <v>203.08627356919143</v>
      </c>
      <c r="AO43" s="624"/>
      <c r="AP43" s="625"/>
      <c r="AQ43" s="63">
        <f t="shared" si="26"/>
        <v>1.0833179284981212E-2</v>
      </c>
      <c r="AR43" s="633">
        <f>NPV(realdiscrt1,AQ$33:AQ43)/(1+realdiscrt1)^-Half_Year</f>
        <v>0.11633317956729429</v>
      </c>
      <c r="AS43" s="634">
        <f t="shared" si="27"/>
        <v>4.5379702334816434E-3</v>
      </c>
      <c r="AT43" s="633">
        <f>NPV(realdiscrt1,AS$33:AS43)/(1+realdiscrt1)^-Half_Year</f>
        <v>4.8731447357706292E-2</v>
      </c>
      <c r="AU43" s="634">
        <f t="shared" si="28"/>
        <v>6.2952090514995698E-3</v>
      </c>
      <c r="AV43" s="633">
        <f>NPV(realdiscrt1,AU$33:AU43)/(1+realdiscrt1)^-Half_Year</f>
        <v>6.7601732209587984E-2</v>
      </c>
      <c r="AW43" s="63">
        <v>1</v>
      </c>
      <c r="AX43" s="633">
        <f>NPV(realdiscrt1,AW$33:AW43)/(1+realdiscrt1)^-Half_Year</f>
        <v>10.738600045932502</v>
      </c>
      <c r="AY43" s="63">
        <f t="shared" si="29"/>
        <v>0</v>
      </c>
      <c r="AZ43" s="633">
        <f>NPV(realdiscrt1,AY$33:AY43)/(1+realdiscrt1)^-Half_Year</f>
        <v>0</v>
      </c>
      <c r="BA43" s="115">
        <f t="shared" si="30"/>
        <v>1.0021975853094038</v>
      </c>
      <c r="BB43" s="74">
        <f t="shared" si="31"/>
        <v>0</v>
      </c>
      <c r="BC43" s="633">
        <f>NPV(realdiscrt1,BB$33:BB43)/(1+realdiscrt1)^-Half_Year</f>
        <v>5.1135576127707048E-2</v>
      </c>
      <c r="BD43" s="74">
        <f t="shared" si="32"/>
        <v>0</v>
      </c>
      <c r="BE43" s="633">
        <f>NPV(realdiscrt1,BD$33:BD43)/(1+realdiscrt1)^-Half_Year</f>
        <v>2.5412454330430462E-2</v>
      </c>
      <c r="BF43" s="74">
        <f t="shared" si="33"/>
        <v>0</v>
      </c>
      <c r="BG43" s="633">
        <f>NPV(realdiscrt1,BF$33:BF43)/(1+realdiscrt1)^-Half_Year</f>
        <v>7.0603876868875926E-2</v>
      </c>
      <c r="BH43" s="74">
        <f t="shared" si="34"/>
        <v>0</v>
      </c>
      <c r="BI43" s="633">
        <f>NPV(realdiscrt1,BH$33:BH43)/(1+realdiscrt1)^-Half_Year</f>
        <v>2.2364805758927186E-2</v>
      </c>
      <c r="BJ43" s="64">
        <f t="shared" si="35"/>
        <v>3.9307934130824368E-2</v>
      </c>
      <c r="BK43" s="633">
        <f>NPV(realdiscrt1,BJ$33:BJ43)/(1+realdiscrt1)^-Half_Year</f>
        <v>0.48081458572095803</v>
      </c>
      <c r="BL43" s="64">
        <f t="shared" si="36"/>
        <v>3.8845034023297496E-2</v>
      </c>
      <c r="BM43" s="633">
        <f>NPV(realdiscrt1,BL$33:BL43)/(1+realdiscrt1)^-Half_Year</f>
        <v>0.47515239236604978</v>
      </c>
      <c r="BN43" s="64">
        <f t="shared" si="37"/>
        <v>4.1892459731182802E-2</v>
      </c>
      <c r="BO43" s="633">
        <f>NPV(realdiscrt1,BN$33:BN43)/(1+realdiscrt1)^-Half_Year</f>
        <v>0.5124284986191957</v>
      </c>
      <c r="BP43" s="64">
        <f t="shared" si="38"/>
        <v>4.0118009318996416E-2</v>
      </c>
      <c r="BQ43" s="633">
        <f>NPV(realdiscrt1,BP$33:BP43)/(1+realdiscrt1)^-Half_Year</f>
        <v>0.49072342409204744</v>
      </c>
      <c r="BR43" s="64">
        <f t="shared" si="39"/>
        <v>0.14005407115292715</v>
      </c>
      <c r="BS43" s="633">
        <f>NPV(realdiscrt1,BR$33:BR43)/(1+realdiscrt1)^-Half_Year</f>
        <v>1.5039846549158575</v>
      </c>
      <c r="BT43" s="64">
        <f t="shared" si="40"/>
        <v>0.21626337612081561</v>
      </c>
      <c r="BU43" s="633">
        <f>NPV(realdiscrt1,BT$33:BT43)/(1+realdiscrt1)^-Half_Year</f>
        <v>15.028021762041687</v>
      </c>
      <c r="BV43" s="64">
        <f t="shared" si="41"/>
        <v>0.11824416352781715</v>
      </c>
      <c r="BW43" s="633">
        <f>NPV(realdiscrt1,BV$33:BV43)/(1+realdiscrt1)^-Half_Year</f>
        <v>13.649551388043655</v>
      </c>
      <c r="BX43" s="64">
        <f t="shared" si="42"/>
        <v>8.6505350448326246E-2</v>
      </c>
      <c r="BY43" s="633">
        <f>NPV(realdiscrt1,BX$33:BX43)/(1+realdiscrt1)^-Half_Year</f>
        <v>13.203199980206854</v>
      </c>
      <c r="BZ43" s="64">
        <f t="shared" si="43"/>
        <v>0.11231681691509783</v>
      </c>
      <c r="CA43" s="633">
        <f>NPV(realdiscrt1,BZ$33:BZ43)/(1+realdiscrt1)^-Half_Year</f>
        <v>13.566193529049444</v>
      </c>
      <c r="CB43" s="64">
        <f t="shared" si="44"/>
        <v>0.17986624991968236</v>
      </c>
      <c r="CC43" s="633">
        <f>NPV(realdiscrt1,CB$33:CB43)/(1+realdiscrt1)^-Half_Year</f>
        <v>14.516159252237019</v>
      </c>
      <c r="CD43" s="64">
        <f t="shared" si="45"/>
        <v>0.11738776055837871</v>
      </c>
      <c r="CE43" s="633">
        <f>NPV(realdiscrt1,CD$33:CD43)/(1+realdiscrt1)^-Half_Year</f>
        <v>13.637507564283547</v>
      </c>
      <c r="CF43" s="64">
        <f t="shared" si="46"/>
        <v>0.1446908604092684</v>
      </c>
      <c r="CG43" s="633">
        <f>NPV(realdiscrt1,CF$33:CF43)/(1+realdiscrt1)^-Half_Year</f>
        <v>14.02147835191921</v>
      </c>
      <c r="CH43" s="636">
        <f t="shared" si="47"/>
        <v>1.2419949105699813E-3</v>
      </c>
      <c r="CI43" s="633">
        <f>NPV(realdiscrt1,CH$33:CH43)/(1+realdiscrt1)^-Half_Year</f>
        <v>6.8416304762418001E-2</v>
      </c>
      <c r="CJ43" s="636">
        <f t="shared" si="48"/>
        <v>1.3354852321903967E-3</v>
      </c>
      <c r="CK43" s="633">
        <f>NPV(realdiscrt1,CJ$33:CJ43)/(1+realdiscrt1)^-Half_Year</f>
        <v>0.10302272417958487</v>
      </c>
    </row>
    <row r="44" spans="1:89">
      <c r="A44" s="56">
        <f t="shared" si="50"/>
        <v>12</v>
      </c>
      <c r="B44" s="56">
        <f t="shared" si="49"/>
        <v>2027</v>
      </c>
      <c r="C44" s="62">
        <f t="shared" si="7"/>
        <v>8.5803156248414711E-2</v>
      </c>
      <c r="D44" s="633">
        <f>NPV(realdiscrt1,C$33:C44)/(1+realdiscrt1)^-Half_Year</f>
        <v>0.88941243707237072</v>
      </c>
      <c r="E44" s="62">
        <f t="shared" si="8"/>
        <v>7.9728621010986447E-2</v>
      </c>
      <c r="F44" s="633">
        <f>NPV(realdiscrt1,E$33:E44)/(1+realdiscrt1)^-Half_Year</f>
        <v>0.82068448590849952</v>
      </c>
      <c r="G44" s="62">
        <f t="shared" si="9"/>
        <v>8.2897572611307077E-2</v>
      </c>
      <c r="H44" s="633">
        <f>NPV(realdiscrt1,G$33:G44)/(1+realdiscrt1)^-Half_Year</f>
        <v>0.81843881512898153</v>
      </c>
      <c r="I44" s="62">
        <f t="shared" si="10"/>
        <v>7.0072725337772326E-2</v>
      </c>
      <c r="J44" s="633">
        <f>NPV(realdiscrt1,I$33:I44)/(1+realdiscrt1)^-Half_Year</f>
        <v>0.66216604841657889</v>
      </c>
      <c r="K44" s="63">
        <f t="shared" si="11"/>
        <v>181.26220993732784</v>
      </c>
      <c r="L44" s="633">
        <f>NPV(realdiscrt1,K$33:K44)/(1+realdiscrt1)^-Half_Year</f>
        <v>1646.3646100704941</v>
      </c>
      <c r="M44" s="63">
        <f t="shared" si="12"/>
        <v>0</v>
      </c>
      <c r="N44" s="633">
        <f>NPV(realdiscrt1,M$33:M44)/(1+realdiscrt1)^-Half_Year</f>
        <v>0</v>
      </c>
      <c r="O44" s="624">
        <f t="shared" si="13"/>
        <v>10.739952210274792</v>
      </c>
      <c r="P44" s="633">
        <f>NPV(realdiscrt1,O$33:O44)/(1+realdiscrt1)^-Half_Year</f>
        <v>125.54321532262601</v>
      </c>
      <c r="Q44" s="624">
        <f t="shared" si="14"/>
        <v>84.296373954599773</v>
      </c>
      <c r="R44" s="633">
        <f>NPV(realdiscrt1,Q$33:Q44)/(1+realdiscrt1)^-Half_Year</f>
        <v>985.37103509403335</v>
      </c>
      <c r="S44" s="63">
        <f t="shared" si="15"/>
        <v>22.208146844788985</v>
      </c>
      <c r="T44" s="633">
        <f>NPV(realdiscrt1,S$33:S44)/(1+realdiscrt1)^-Half_Year</f>
        <v>234.56083558101423</v>
      </c>
      <c r="U44" s="63">
        <f t="shared" si="16"/>
        <v>20.491180237585148</v>
      </c>
      <c r="V44" s="633">
        <f>NPV(realdiscrt1,U$33:U44)/(1+realdiscrt1)^-Half_Year</f>
        <v>215.30090718488239</v>
      </c>
      <c r="W44" s="63">
        <f t="shared" si="17"/>
        <v>20.040195614345361</v>
      </c>
      <c r="X44" s="633">
        <f>NPV(realdiscrt1,W$33:W44)/(1+realdiscrt1)^-Half_Year</f>
        <v>210.51274629678826</v>
      </c>
      <c r="Y44" s="624">
        <f t="shared" si="18"/>
        <v>8.7804619407287987</v>
      </c>
      <c r="Z44" s="633">
        <f>NPV(realdiscrt1,Y$33:Y44)/(1+realdiscrt1)^-Half_Year</f>
        <v>95.419970162272421</v>
      </c>
      <c r="AA44" s="63">
        <f t="shared" si="19"/>
        <v>8.5395797197035463</v>
      </c>
      <c r="AB44" s="633">
        <f>NPV(realdiscrt1,AA$33:AA44)/(1+realdiscrt1)^-Half_Year</f>
        <v>92.572229604134563</v>
      </c>
      <c r="AC44" s="63">
        <f t="shared" si="20"/>
        <v>8.9677910275951369</v>
      </c>
      <c r="AD44" s="633">
        <f>NPV(realdiscrt1,AC$33:AC44)/(1+realdiscrt1)^-Half_Year</f>
        <v>97.66335479973354</v>
      </c>
      <c r="AE44" s="63">
        <f t="shared" si="21"/>
        <v>7.2549457960287711</v>
      </c>
      <c r="AF44" s="633">
        <f>NPV(realdiscrt1,AE$33:AE44)/(1+realdiscrt1)^-Half_Year</f>
        <v>77.298854017337661</v>
      </c>
      <c r="AG44" s="63">
        <f t="shared" si="22"/>
        <v>7.4444801713234305</v>
      </c>
      <c r="AH44" s="633">
        <f>NPV(realdiscrt1,AG$33:AG44)/(1+realdiscrt1)^-Half_Year</f>
        <v>79.610565622819394</v>
      </c>
      <c r="AI44" s="63">
        <f t="shared" si="23"/>
        <v>8.3203580233066727</v>
      </c>
      <c r="AJ44" s="633">
        <f>NPV(realdiscrt1,AI$33:AI44)/(1+realdiscrt1)^-Half_Year</f>
        <v>89.988716313707442</v>
      </c>
      <c r="AK44" s="63">
        <f t="shared" si="24"/>
        <v>8.0027719075599677</v>
      </c>
      <c r="AL44" s="633">
        <f>NPV(realdiscrt1,AK$33:AK44)/(1+realdiscrt1)^-Half_Year</f>
        <v>86.264796844366415</v>
      </c>
      <c r="AM44" s="63">
        <f t="shared" si="25"/>
        <v>20.269796752340056</v>
      </c>
      <c r="AN44" s="633">
        <f>NPV(realdiscrt1,AM$33:AM44)/(1+realdiscrt1)^-Half_Year</f>
        <v>222.35807434819426</v>
      </c>
      <c r="AO44" s="624"/>
      <c r="AP44" s="625"/>
      <c r="AQ44" s="63">
        <f t="shared" si="26"/>
        <v>1.0833179284981212E-2</v>
      </c>
      <c r="AR44" s="633">
        <f>NPV(realdiscrt1,AQ$33:AQ44)/(1+realdiscrt1)^-Half_Year</f>
        <v>0.12663298057340336</v>
      </c>
      <c r="AS44" s="634">
        <f t="shared" si="27"/>
        <v>4.5379702334816434E-3</v>
      </c>
      <c r="AT44" s="633">
        <f>NPV(realdiscrt1,AS$33:AS44)/(1+realdiscrt1)^-Half_Year</f>
        <v>5.3045987821492988E-2</v>
      </c>
      <c r="AU44" s="634">
        <f t="shared" si="28"/>
        <v>6.2952090514995698E-3</v>
      </c>
      <c r="AV44" s="633">
        <f>NPV(realdiscrt1,AU$33:AU44)/(1+realdiscrt1)^-Half_Year</f>
        <v>7.3586992751910357E-2</v>
      </c>
      <c r="AW44" s="63">
        <v>1</v>
      </c>
      <c r="AX44" s="633">
        <f>NPV(realdiscrt1,AW$33:AW44)/(1+realdiscrt1)^-Half_Year</f>
        <v>11.689364427759765</v>
      </c>
      <c r="AY44" s="63">
        <f t="shared" si="29"/>
        <v>0</v>
      </c>
      <c r="AZ44" s="633">
        <f>NPV(realdiscrt1,AY$33:AY44)/(1+realdiscrt1)^-Half_Year</f>
        <v>0</v>
      </c>
      <c r="BA44" s="115">
        <f t="shared" si="30"/>
        <v>1.0021975853094038</v>
      </c>
      <c r="BB44" s="74">
        <f t="shared" si="31"/>
        <v>0</v>
      </c>
      <c r="BC44" s="633">
        <f>NPV(realdiscrt1,BB$33:BB44)/(1+realdiscrt1)^-Half_Year</f>
        <v>5.1135576127707048E-2</v>
      </c>
      <c r="BD44" s="74">
        <f t="shared" si="32"/>
        <v>0</v>
      </c>
      <c r="BE44" s="633">
        <f>NPV(realdiscrt1,BD$33:BD44)/(1+realdiscrt1)^-Half_Year</f>
        <v>2.5412454330430462E-2</v>
      </c>
      <c r="BF44" s="74">
        <f t="shared" si="33"/>
        <v>0</v>
      </c>
      <c r="BG44" s="633">
        <f>NPV(realdiscrt1,BF$33:BF44)/(1+realdiscrt1)^-Half_Year</f>
        <v>7.0603876868875926E-2</v>
      </c>
      <c r="BH44" s="74">
        <f t="shared" si="34"/>
        <v>0</v>
      </c>
      <c r="BI44" s="633">
        <f>NPV(realdiscrt1,BH$33:BH44)/(1+realdiscrt1)^-Half_Year</f>
        <v>2.2364805758927186E-2</v>
      </c>
      <c r="BJ44" s="64">
        <f t="shared" si="35"/>
        <v>3.8075172401433696E-2</v>
      </c>
      <c r="BK44" s="633">
        <f>NPV(realdiscrt1,BJ$33:BJ44)/(1+realdiscrt1)^-Half_Year</f>
        <v>0.51701510347217361</v>
      </c>
      <c r="BL44" s="64">
        <f t="shared" si="36"/>
        <v>3.7626789605734783E-2</v>
      </c>
      <c r="BM44" s="633">
        <f>NPV(realdiscrt1,BL$33:BL44)/(1+realdiscrt1)^-Half_Year</f>
        <v>0.51092660372569065</v>
      </c>
      <c r="BN44" s="64">
        <f t="shared" si="37"/>
        <v>4.0578643010752695E-2</v>
      </c>
      <c r="BO44" s="633">
        <f>NPV(realdiscrt1,BN$33:BN44)/(1+realdiscrt1)^-Half_Year</f>
        <v>0.55100922705670308</v>
      </c>
      <c r="BP44" s="64">
        <f t="shared" si="38"/>
        <v>3.8859842293906814E-2</v>
      </c>
      <c r="BQ44" s="633">
        <f>NPV(realdiscrt1,BP$33:BP44)/(1+realdiscrt1)^-Half_Year</f>
        <v>0.52766997802851856</v>
      </c>
      <c r="BR44" s="64">
        <f t="shared" si="39"/>
        <v>0.14005407115292715</v>
      </c>
      <c r="BS44" s="633">
        <f>NPV(realdiscrt1,BR$33:BR44)/(1+realdiscrt1)^-Half_Year</f>
        <v>1.6371430772979614</v>
      </c>
      <c r="BT44" s="64">
        <f t="shared" si="40"/>
        <v>0.21589899569661389</v>
      </c>
      <c r="BU44" s="633">
        <f>NPV(realdiscrt1,BT$33:BT44)/(1+realdiscrt1)^-Half_Year</f>
        <v>15.233290837222308</v>
      </c>
      <c r="BV44" s="64">
        <f t="shared" si="41"/>
        <v>0.11804493488708064</v>
      </c>
      <c r="BW44" s="633">
        <f>NPV(realdiscrt1,BV$33:BV44)/(1+realdiscrt1)^-Half_Year</f>
        <v>13.76178430758941</v>
      </c>
      <c r="BX44" s="64">
        <f t="shared" si="42"/>
        <v>8.6359598278645561E-2</v>
      </c>
      <c r="BY44" s="633">
        <f>NPV(realdiscrt1,BX$33:BX44)/(1+realdiscrt1)^-Half_Year</f>
        <v>13.285307610279103</v>
      </c>
      <c r="BZ44" s="64">
        <f t="shared" si="43"/>
        <v>0.11212757521302784</v>
      </c>
      <c r="CA44" s="633">
        <f>NPV(realdiscrt1,BZ$33:BZ44)/(1+realdiscrt1)^-Half_Year</f>
        <v>13.672800433782649</v>
      </c>
      <c r="CB44" s="64">
        <f t="shared" si="44"/>
        <v>0.17956319472087379</v>
      </c>
      <c r="CC44" s="633">
        <f>NPV(realdiscrt1,CB$33:CB44)/(1+realdiscrt1)^-Half_Year</f>
        <v>14.686881542064738</v>
      </c>
      <c r="CD44" s="64">
        <f t="shared" si="45"/>
        <v>0.11718997486412204</v>
      </c>
      <c r="CE44" s="633">
        <f>NPV(realdiscrt1,CD$33:CD44)/(1+realdiscrt1)^-Half_Year</f>
        <v>13.748927618291587</v>
      </c>
      <c r="CF44" s="64">
        <f t="shared" si="46"/>
        <v>0.14444707194152256</v>
      </c>
      <c r="CG44" s="633">
        <f>NPV(realdiscrt1,CF$33:CF44)/(1+realdiscrt1)^-Half_Year</f>
        <v>14.158813482980451</v>
      </c>
      <c r="CH44" s="636">
        <f t="shared" si="47"/>
        <v>1.2404153214310666E-3</v>
      </c>
      <c r="CI44" s="633">
        <f>NPV(realdiscrt1,CH$33:CH44)/(1+realdiscrt1)^-Half_Year</f>
        <v>6.9595647468707472E-2</v>
      </c>
      <c r="CJ44" s="636">
        <f t="shared" si="48"/>
        <v>1.3344321727644538E-3</v>
      </c>
      <c r="CK44" s="633">
        <f>NPV(realdiscrt1,CJ$33:CJ44)/(1+realdiscrt1)^-Half_Year</f>
        <v>0.10429145475941368</v>
      </c>
    </row>
    <row r="45" spans="1:89">
      <c r="A45" s="56">
        <f t="shared" si="50"/>
        <v>13</v>
      </c>
      <c r="B45" s="56">
        <f t="shared" si="49"/>
        <v>2028</v>
      </c>
      <c r="C45" s="62">
        <f t="shared" si="7"/>
        <v>8.8772024963853266E-2</v>
      </c>
      <c r="D45" s="633">
        <f>NPV(realdiscrt1,C$33:C45)/(1+realdiscrt1)^-Half_Year</f>
        <v>0.97344397773178148</v>
      </c>
      <c r="E45" s="62">
        <f t="shared" si="8"/>
        <v>8.3393930277933404E-2</v>
      </c>
      <c r="F45" s="633">
        <f>NPV(realdiscrt1,E$33:E45)/(1+realdiscrt1)^-Half_Year</f>
        <v>0.89962512566242736</v>
      </c>
      <c r="G45" s="62">
        <f t="shared" si="9"/>
        <v>8.9147313470360368E-2</v>
      </c>
      <c r="H45" s="633">
        <f>NPV(realdiscrt1,G$33:G45)/(1+realdiscrt1)^-Half_Year</f>
        <v>0.90282560364272935</v>
      </c>
      <c r="I45" s="62">
        <f t="shared" si="10"/>
        <v>7.4098382871404356E-2</v>
      </c>
      <c r="J45" s="633">
        <f>NPV(realdiscrt1,I$33:I45)/(1+realdiscrt1)^-Half_Year</f>
        <v>0.73230752908676067</v>
      </c>
      <c r="K45" s="63">
        <f t="shared" si="11"/>
        <v>185.61567582824037</v>
      </c>
      <c r="L45" s="633">
        <f>NPV(realdiscrt1,K$33:K45)/(1+realdiscrt1)^-Half_Year</f>
        <v>1822.0682871775095</v>
      </c>
      <c r="M45" s="63">
        <f t="shared" si="12"/>
        <v>0</v>
      </c>
      <c r="N45" s="633">
        <f>NPV(realdiscrt1,M$33:M45)/(1+realdiscrt1)^-Half_Year</f>
        <v>0</v>
      </c>
      <c r="O45" s="624">
        <f t="shared" si="13"/>
        <v>10.739952210274792</v>
      </c>
      <c r="P45" s="633">
        <f>NPV(realdiscrt1,O$33:O45)/(1+realdiscrt1)^-Half_Year</f>
        <v>135.70964704709459</v>
      </c>
      <c r="Q45" s="624">
        <f t="shared" si="14"/>
        <v>84.296373954599773</v>
      </c>
      <c r="R45" s="633">
        <f>NPV(realdiscrt1,Q$33:Q45)/(1+realdiscrt1)^-Half_Year</f>
        <v>1065.1659274409317</v>
      </c>
      <c r="S45" s="63">
        <f t="shared" si="15"/>
        <v>22.430722490333782</v>
      </c>
      <c r="T45" s="633">
        <f>NPV(realdiscrt1,S$33:S45)/(1+realdiscrt1)^-Half_Year</f>
        <v>255.79374279174806</v>
      </c>
      <c r="U45" s="63">
        <f t="shared" si="16"/>
        <v>20.687203808630922</v>
      </c>
      <c r="V45" s="633">
        <f>NPV(realdiscrt1,U$33:U45)/(1+realdiscrt1)^-Half_Year</f>
        <v>234.8834007540257</v>
      </c>
      <c r="W45" s="63">
        <f t="shared" si="17"/>
        <v>20.216999559833479</v>
      </c>
      <c r="X45" s="633">
        <f>NPV(realdiscrt1,W$33:W45)/(1+realdiscrt1)^-Half_Year</f>
        <v>229.65014483213983</v>
      </c>
      <c r="Y45" s="624">
        <f t="shared" si="18"/>
        <v>8.8973567975826988</v>
      </c>
      <c r="Z45" s="633">
        <f>NPV(realdiscrt1,Y$33:Y45)/(1+realdiscrt1)^-Half_Year</f>
        <v>103.84220227652003</v>
      </c>
      <c r="AA45" s="63">
        <f t="shared" si="19"/>
        <v>8.6483912822026081</v>
      </c>
      <c r="AB45" s="633">
        <f>NPV(realdiscrt1,AA$33:AA45)/(1+realdiscrt1)^-Half_Year</f>
        <v>100.75879112466785</v>
      </c>
      <c r="AC45" s="63">
        <f t="shared" si="20"/>
        <v>9.0739081586425865</v>
      </c>
      <c r="AD45" s="633">
        <f>NPV(realdiscrt1,AC$33:AC45)/(1+realdiscrt1)^-Half_Year</f>
        <v>106.25271031666819</v>
      </c>
      <c r="AE45" s="63">
        <f t="shared" si="21"/>
        <v>7.3718406528826721</v>
      </c>
      <c r="AF45" s="633">
        <f>NPV(realdiscrt1,AE$33:AE45)/(1+realdiscrt1)^-Half_Year</f>
        <v>84.277033548666878</v>
      </c>
      <c r="AG45" s="63">
        <f t="shared" si="22"/>
        <v>7.5613750281773342</v>
      </c>
      <c r="AH45" s="633">
        <f>NPV(realdiscrt1,AG$33:AG45)/(1+realdiscrt1)^-Half_Year</f>
        <v>86.768158269602651</v>
      </c>
      <c r="AI45" s="63">
        <f t="shared" si="23"/>
        <v>8.4264751543541223</v>
      </c>
      <c r="AJ45" s="633">
        <f>NPV(realdiscrt1,AI$33:AI45)/(1+realdiscrt1)^-Half_Year</f>
        <v>97.965212173038665</v>
      </c>
      <c r="AK45" s="63">
        <f t="shared" si="24"/>
        <v>8.1196667644138696</v>
      </c>
      <c r="AL45" s="633">
        <f>NPV(realdiscrt1,AK$33:AK45)/(1+realdiscrt1)^-Half_Year</f>
        <v>93.950868082828507</v>
      </c>
      <c r="AM45" s="63">
        <f t="shared" si="25"/>
        <v>20.396091998585124</v>
      </c>
      <c r="AN45" s="633">
        <f>NPV(realdiscrt1,AM$33:AM45)/(1+realdiscrt1)^-Half_Year</f>
        <v>241.66500166871074</v>
      </c>
      <c r="AO45" s="624"/>
      <c r="AP45" s="625"/>
      <c r="AQ45" s="63">
        <f t="shared" si="26"/>
        <v>1.0833179284981212E-2</v>
      </c>
      <c r="AR45" s="633">
        <f>NPV(realdiscrt1,AQ$33:AQ45)/(1+realdiscrt1)^-Half_Year</f>
        <v>0.13688766098569832</v>
      </c>
      <c r="AS45" s="634">
        <f t="shared" si="27"/>
        <v>4.5379702334816434E-3</v>
      </c>
      <c r="AT45" s="633">
        <f>NPV(realdiscrt1,AS$33:AS45)/(1+realdiscrt1)^-Half_Year</f>
        <v>5.734162747082263E-2</v>
      </c>
      <c r="AU45" s="634">
        <f t="shared" si="28"/>
        <v>6.2952090514995698E-3</v>
      </c>
      <c r="AV45" s="633">
        <f>NPV(realdiscrt1,AU$33:AU45)/(1+realdiscrt1)^-Half_Year</f>
        <v>7.9546033514875686E-2</v>
      </c>
      <c r="AW45" s="63">
        <v>1</v>
      </c>
      <c r="AX45" s="633">
        <f>NPV(realdiscrt1,AW$33:AW45)/(1+realdiscrt1)^-Half_Year</f>
        <v>12.6359637724703</v>
      </c>
      <c r="AY45" s="63">
        <f t="shared" si="29"/>
        <v>0</v>
      </c>
      <c r="AZ45" s="633">
        <f>NPV(realdiscrt1,AY$33:AY45)/(1+realdiscrt1)^-Half_Year</f>
        <v>0</v>
      </c>
      <c r="BA45" s="115">
        <f t="shared" si="30"/>
        <v>1.0021975853094038</v>
      </c>
      <c r="BB45" s="74">
        <f t="shared" si="31"/>
        <v>0</v>
      </c>
      <c r="BC45" s="633">
        <f>NPV(realdiscrt1,BB$33:BB45)/(1+realdiscrt1)^-Half_Year</f>
        <v>5.1135576127707048E-2</v>
      </c>
      <c r="BD45" s="74">
        <f t="shared" si="32"/>
        <v>0</v>
      </c>
      <c r="BE45" s="633">
        <f>NPV(realdiscrt1,BD$33:BD45)/(1+realdiscrt1)^-Half_Year</f>
        <v>2.5412454330430462E-2</v>
      </c>
      <c r="BF45" s="74">
        <f t="shared" si="33"/>
        <v>0</v>
      </c>
      <c r="BG45" s="633">
        <f>NPV(realdiscrt1,BF$33:BF45)/(1+realdiscrt1)^-Half_Year</f>
        <v>7.0603876868875926E-2</v>
      </c>
      <c r="BH45" s="74">
        <f t="shared" si="34"/>
        <v>0</v>
      </c>
      <c r="BI45" s="633">
        <f>NPV(realdiscrt1,BH$33:BH45)/(1+realdiscrt1)^-Half_Year</f>
        <v>2.2364805758927186E-2</v>
      </c>
      <c r="BJ45" s="64">
        <f t="shared" si="35"/>
        <v>3.6837209145758665E-2</v>
      </c>
      <c r="BK45" s="633">
        <f>NPV(realdiscrt1,BJ$33:BJ45)/(1+realdiscrt1)^-Half_Year</f>
        <v>0.55188518151051358</v>
      </c>
      <c r="BL45" s="64">
        <f t="shared" si="36"/>
        <v>3.6403404916367982E-2</v>
      </c>
      <c r="BM45" s="633">
        <f>NPV(realdiscrt1,BL$33:BL45)/(1+realdiscrt1)^-Half_Year</f>
        <v>0.54538604296475679</v>
      </c>
      <c r="BN45" s="64">
        <f t="shared" si="37"/>
        <v>3.9259282759856635E-2</v>
      </c>
      <c r="BO45" s="633">
        <f>NPV(realdiscrt1,BN$33:BN45)/(1+realdiscrt1)^-Half_Year</f>
        <v>0.58817203839098897</v>
      </c>
      <c r="BP45" s="64">
        <f t="shared" si="38"/>
        <v>3.7596366547192353E-2</v>
      </c>
      <c r="BQ45" s="633">
        <f>NPV(realdiscrt1,BP$33:BP45)/(1+realdiscrt1)^-Half_Year</f>
        <v>0.56325867396558793</v>
      </c>
      <c r="BR45" s="64">
        <f t="shared" si="39"/>
        <v>0.14005407115292715</v>
      </c>
      <c r="BS45" s="633">
        <f>NPV(realdiscrt1,BR$33:BR45)/(1+realdiscrt1)^-Half_Year</f>
        <v>1.7697181692753647</v>
      </c>
      <c r="BT45" s="64">
        <f t="shared" si="40"/>
        <v>0.21553615086093786</v>
      </c>
      <c r="BU45" s="633">
        <f>NPV(realdiscrt1,BT$33:BT45)/(1+realdiscrt1)^-Half_Year</f>
        <v>15.437317216388701</v>
      </c>
      <c r="BV45" s="64">
        <f t="shared" si="41"/>
        <v>0.1178465458447264</v>
      </c>
      <c r="BW45" s="633">
        <f>NPV(realdiscrt1,BV$33:BV45)/(1+realdiscrt1)^-Half_Year</f>
        <v>13.873337770662427</v>
      </c>
      <c r="BX45" s="64">
        <f t="shared" si="42"/>
        <v>8.621446034437516E-2</v>
      </c>
      <c r="BY45" s="633">
        <f>NPV(realdiscrt1,BX$33:BX45)/(1+realdiscrt1)^-Half_Year</f>
        <v>13.366918161945659</v>
      </c>
      <c r="BZ45" s="64">
        <f t="shared" si="43"/>
        <v>0.1119391310219298</v>
      </c>
      <c r="CA45" s="633">
        <f>NPV(realdiscrt1,BZ$33:BZ45)/(1+realdiscrt1)^-Half_Year</f>
        <v>13.778761941855475</v>
      </c>
      <c r="CB45" s="64">
        <f t="shared" si="44"/>
        <v>0.17926141667104206</v>
      </c>
      <c r="CC45" s="633">
        <f>NPV(realdiscrt1,CB$33:CB45)/(1+realdiscrt1)^-Half_Year</f>
        <v>14.856570281617426</v>
      </c>
      <c r="CD45" s="64">
        <f t="shared" si="45"/>
        <v>0.11699302268731708</v>
      </c>
      <c r="CE45" s="633">
        <f>NPV(realdiscrt1,CD$33:CD45)/(1+realdiscrt1)^-Half_Year</f>
        <v>13.859673136903107</v>
      </c>
      <c r="CF45" s="64">
        <f t="shared" si="46"/>
        <v>0.1442043108582049</v>
      </c>
      <c r="CG45" s="633">
        <f>NPV(realdiscrt1,CF$33:CF45)/(1+realdiscrt1)^-Half_Year</f>
        <v>14.295317189143262</v>
      </c>
      <c r="CH45" s="636">
        <f t="shared" si="47"/>
        <v>1.2388423890684112E-3</v>
      </c>
      <c r="CI45" s="633">
        <f>NPV(realdiscrt1,CH$33:CH45)/(1+realdiscrt1)^-Half_Year</f>
        <v>7.0768334862399265E-2</v>
      </c>
      <c r="CJ45" s="636">
        <f t="shared" si="48"/>
        <v>1.3333835511893499E-3</v>
      </c>
      <c r="CK45" s="633">
        <f>NPV(realdiscrt1,CJ$33:CJ45)/(1+realdiscrt1)^-Half_Year</f>
        <v>0.10555363475521731</v>
      </c>
    </row>
    <row r="46" spans="1:89">
      <c r="A46" s="56">
        <f t="shared" si="50"/>
        <v>14</v>
      </c>
      <c r="B46" s="56">
        <f t="shared" si="49"/>
        <v>2029</v>
      </c>
      <c r="C46" s="62">
        <f t="shared" si="7"/>
        <v>9.2961476450210634E-2</v>
      </c>
      <c r="D46" s="633">
        <f>NPV(realdiscrt1,C$33:C46)/(1+realdiscrt1)^-Half_Year</f>
        <v>1.0610557585871114</v>
      </c>
      <c r="E46" s="62">
        <f t="shared" si="8"/>
        <v>8.7680345636829055E-2</v>
      </c>
      <c r="F46" s="633">
        <f>NPV(realdiscrt1,E$33:E46)/(1+realdiscrt1)^-Half_Year</f>
        <v>0.98225969129744894</v>
      </c>
      <c r="G46" s="62">
        <f t="shared" si="9"/>
        <v>9.2419425307861985E-2</v>
      </c>
      <c r="H46" s="633">
        <f>NPV(realdiscrt1,G$33:G46)/(1+realdiscrt1)^-Half_Year</f>
        <v>0.98992652701483863</v>
      </c>
      <c r="I46" s="62">
        <f t="shared" si="10"/>
        <v>7.6899252713424168E-2</v>
      </c>
      <c r="J46" s="633">
        <f>NPV(realdiscrt1,I$33:I46)/(1+realdiscrt1)^-Half_Year</f>
        <v>0.80478142616686554</v>
      </c>
      <c r="K46" s="63">
        <f t="shared" si="11"/>
        <v>192.83649703978327</v>
      </c>
      <c r="L46" s="633">
        <f>NPV(realdiscrt1,K$33:K46)/(1+realdiscrt1)^-Half_Year</f>
        <v>2003.8075362158747</v>
      </c>
      <c r="M46" s="63">
        <f t="shared" si="12"/>
        <v>0</v>
      </c>
      <c r="N46" s="633">
        <f>NPV(realdiscrt1,M$33:M46)/(1+realdiscrt1)^-Half_Year</f>
        <v>0</v>
      </c>
      <c r="O46" s="624">
        <f t="shared" si="13"/>
        <v>10.739952210274792</v>
      </c>
      <c r="P46" s="633">
        <f>NPV(realdiscrt1,O$33:O46)/(1+realdiscrt1)^-Half_Year</f>
        <v>145.83154243187016</v>
      </c>
      <c r="Q46" s="624">
        <f t="shared" si="14"/>
        <v>84.296373954599773</v>
      </c>
      <c r="R46" s="633">
        <f>NPV(realdiscrt1,Q$33:Q46)/(1+realdiscrt1)^-Half_Year</f>
        <v>1144.6112603231481</v>
      </c>
      <c r="S46" s="63">
        <f t="shared" si="15"/>
        <v>22.715993097962816</v>
      </c>
      <c r="T46" s="633">
        <f>NPV(realdiscrt1,S$33:S46)/(1+realdiscrt1)^-Half_Year</f>
        <v>277.20248849164915</v>
      </c>
      <c r="U46" s="63">
        <f t="shared" si="16"/>
        <v>20.983812380244391</v>
      </c>
      <c r="V46" s="633">
        <f>NPV(realdiscrt1,U$33:U46)/(1+realdiscrt1)^-Half_Year</f>
        <v>254.65964831343248</v>
      </c>
      <c r="W46" s="63">
        <f t="shared" si="17"/>
        <v>20.525870972464851</v>
      </c>
      <c r="X46" s="633">
        <f>NPV(realdiscrt1,W$33:W46)/(1+realdiscrt1)^-Half_Year</f>
        <v>248.99480434244271</v>
      </c>
      <c r="Y46" s="624">
        <f t="shared" si="18"/>
        <v>9.0952435075497231</v>
      </c>
      <c r="Z46" s="633">
        <f>NPV(realdiscrt1,Y$33:Y46)/(1+realdiscrt1)^-Half_Year</f>
        <v>112.41403774468941</v>
      </c>
      <c r="AA46" s="63">
        <f t="shared" si="19"/>
        <v>8.8462779921696324</v>
      </c>
      <c r="AB46" s="633">
        <f>NPV(realdiscrt1,AA$33:AA46)/(1+realdiscrt1)^-Half_Year</f>
        <v>109.09598840713998</v>
      </c>
      <c r="AC46" s="63">
        <f t="shared" si="20"/>
        <v>9.2717948686096108</v>
      </c>
      <c r="AD46" s="633">
        <f>NPV(realdiscrt1,AC$33:AC46)/(1+realdiscrt1)^-Half_Year</f>
        <v>114.99093706588798</v>
      </c>
      <c r="AE46" s="63">
        <f t="shared" si="21"/>
        <v>7.5697273628496973</v>
      </c>
      <c r="AF46" s="633">
        <f>NPV(realdiscrt1,AE$33:AE46)/(1+realdiscrt1)^-Half_Year</f>
        <v>91.411142430895993</v>
      </c>
      <c r="AG46" s="63">
        <f t="shared" si="22"/>
        <v>7.7592617381443585</v>
      </c>
      <c r="AH46" s="633">
        <f>NPV(realdiscrt1,AG$33:AG46)/(1+realdiscrt1)^-Half_Year</f>
        <v>94.080894307799568</v>
      </c>
      <c r="AI46" s="63">
        <f t="shared" si="23"/>
        <v>8.6243618643211484</v>
      </c>
      <c r="AJ46" s="633">
        <f>NPV(realdiscrt1,AI$33:AI46)/(1+realdiscrt1)^-Half_Year</f>
        <v>106.09326403416266</v>
      </c>
      <c r="AK46" s="63">
        <f t="shared" si="24"/>
        <v>8.3175534743808939</v>
      </c>
      <c r="AL46" s="633">
        <f>NPV(realdiscrt1,AK$33:AK46)/(1+realdiscrt1)^-Half_Year</f>
        <v>101.78976759342567</v>
      </c>
      <c r="AM46" s="63">
        <f t="shared" si="25"/>
        <v>20.536036282822582</v>
      </c>
      <c r="AN46" s="633">
        <f>NPV(realdiscrt1,AM$33:AM46)/(1+realdiscrt1)^-Half_Year</f>
        <v>261.01924150171715</v>
      </c>
      <c r="AO46" s="624"/>
      <c r="AP46" s="625"/>
      <c r="AQ46" s="63">
        <f t="shared" si="26"/>
        <v>1.0833179284981212E-2</v>
      </c>
      <c r="AR46" s="633">
        <f>NPV(realdiscrt1,AQ$33:AQ46)/(1+realdiscrt1)^-Half_Year</f>
        <v>0.14709741846508398</v>
      </c>
      <c r="AS46" s="634">
        <f t="shared" si="27"/>
        <v>4.5379702334816434E-3</v>
      </c>
      <c r="AT46" s="633">
        <f>NPV(realdiscrt1,AS$33:AS46)/(1+realdiscrt1)^-Half_Year</f>
        <v>6.1618449104962052E-2</v>
      </c>
      <c r="AU46" s="634">
        <f t="shared" si="28"/>
        <v>6.2952090514995698E-3</v>
      </c>
      <c r="AV46" s="633">
        <f>NPV(realdiscrt1,AU$33:AU46)/(1+realdiscrt1)^-Half_Year</f>
        <v>8.547896936012192E-2</v>
      </c>
      <c r="AW46" s="63">
        <v>1</v>
      </c>
      <c r="AX46" s="633">
        <f>NPV(realdiscrt1,AW$33:AW46)/(1+realdiscrt1)^-Half_Year</f>
        <v>13.578416325945543</v>
      </c>
      <c r="AY46" s="63">
        <f t="shared" si="29"/>
        <v>0</v>
      </c>
      <c r="AZ46" s="633">
        <f>NPV(realdiscrt1,AY$33:AY46)/(1+realdiscrt1)^-Half_Year</f>
        <v>0</v>
      </c>
      <c r="BA46" s="115">
        <f t="shared" si="30"/>
        <v>1.0021975853094038</v>
      </c>
      <c r="BB46" s="74">
        <f t="shared" si="31"/>
        <v>0</v>
      </c>
      <c r="BC46" s="633">
        <f>NPV(realdiscrt1,BB$33:BB46)/(1+realdiscrt1)^-Half_Year</f>
        <v>5.1135576127707048E-2</v>
      </c>
      <c r="BD46" s="74">
        <f t="shared" si="32"/>
        <v>0</v>
      </c>
      <c r="BE46" s="633">
        <f>NPV(realdiscrt1,BD$33:BD46)/(1+realdiscrt1)^-Half_Year</f>
        <v>2.5412454330430462E-2</v>
      </c>
      <c r="BF46" s="74">
        <f t="shared" si="33"/>
        <v>0</v>
      </c>
      <c r="BG46" s="633">
        <f>NPV(realdiscrt1,BF$33:BF46)/(1+realdiscrt1)^-Half_Year</f>
        <v>7.0603876868875926E-2</v>
      </c>
      <c r="BH46" s="74">
        <f t="shared" si="34"/>
        <v>0</v>
      </c>
      <c r="BI46" s="633">
        <f>NPV(realdiscrt1,BH$33:BH46)/(1+realdiscrt1)^-Half_Year</f>
        <v>2.2364805758927186E-2</v>
      </c>
      <c r="BJ46" s="64">
        <f t="shared" si="35"/>
        <v>3.559924589008364E-2</v>
      </c>
      <c r="BK46" s="633">
        <f>NPV(realdiscrt1,BJ$33:BJ46)/(1+realdiscrt1)^-Half_Year</f>
        <v>0.58543578170141608</v>
      </c>
      <c r="BL46" s="64">
        <f t="shared" si="36"/>
        <v>3.5180020227001202E-2</v>
      </c>
      <c r="BM46" s="633">
        <f>NPV(realdiscrt1,BL$33:BL46)/(1+realdiscrt1)^-Half_Year</f>
        <v>0.57854154285900483</v>
      </c>
      <c r="BN46" s="64">
        <f t="shared" si="37"/>
        <v>3.7939922508960576E-2</v>
      </c>
      <c r="BO46" s="633">
        <f>NPV(realdiscrt1,BN$33:BN46)/(1+realdiscrt1)^-Half_Year</f>
        <v>0.62392861523821175</v>
      </c>
      <c r="BP46" s="64">
        <f t="shared" si="38"/>
        <v>3.6332890800477899E-2</v>
      </c>
      <c r="BQ46" s="633">
        <f>NPV(realdiscrt1,BP$33:BP46)/(1+realdiscrt1)^-Half_Year</f>
        <v>0.59750069967563557</v>
      </c>
      <c r="BR46" s="64">
        <f t="shared" si="39"/>
        <v>0.14005407115292715</v>
      </c>
      <c r="BS46" s="633">
        <f>NPV(realdiscrt1,BR$33:BR46)/(1+realdiscrt1)^-Half_Year</f>
        <v>1.9017124862580446</v>
      </c>
      <c r="BT46" s="64">
        <f t="shared" si="40"/>
        <v>0.21517483615634</v>
      </c>
      <c r="BU46" s="633">
        <f>NPV(realdiscrt1,BT$33:BT46)/(1+realdiscrt1)^-Half_Year</f>
        <v>15.640109290167858</v>
      </c>
      <c r="BV46" s="64">
        <f t="shared" si="41"/>
        <v>0.11764899341684046</v>
      </c>
      <c r="BW46" s="633">
        <f>NPV(realdiscrt1,BV$33:BV46)/(1+realdiscrt1)^-Half_Year</f>
        <v>13.984216364921918</v>
      </c>
      <c r="BX46" s="64">
        <f t="shared" si="42"/>
        <v>8.606993446253601E-2</v>
      </c>
      <c r="BY46" s="633">
        <f>NPV(realdiscrt1,BX$33:BX46)/(1+realdiscrt1)^-Half_Year</f>
        <v>13.448034991457325</v>
      </c>
      <c r="BZ46" s="64">
        <f t="shared" si="43"/>
        <v>0.1117514815074675</v>
      </c>
      <c r="CA46" s="633">
        <f>NPV(realdiscrt1,BZ$33:BZ46)/(1+realdiscrt1)^-Half_Year</f>
        <v>13.884082410956829</v>
      </c>
      <c r="CB46" s="64">
        <f t="shared" si="44"/>
        <v>0.17896091123122798</v>
      </c>
      <c r="CC46" s="633">
        <f>NPV(realdiscrt1,CB$33:CB46)/(1+realdiscrt1)^-Half_Year</f>
        <v>15.025232449379557</v>
      </c>
      <c r="CD46" s="64">
        <f t="shared" si="45"/>
        <v>0.11679690106566136</v>
      </c>
      <c r="CE46" s="633">
        <f>NPV(realdiscrt1,CD$33:CD46)/(1+realdiscrt1)^-Half_Year</f>
        <v>13.969748674550434</v>
      </c>
      <c r="CF46" s="64">
        <f t="shared" si="46"/>
        <v>0.14396257350801397</v>
      </c>
      <c r="CG46" s="633">
        <f>NPV(realdiscrt1,CF$33:CF46)/(1+realdiscrt1)^-Half_Year</f>
        <v>14.430995084150759</v>
      </c>
      <c r="CH46" s="636">
        <f t="shared" si="47"/>
        <v>1.2372760898239795E-3</v>
      </c>
      <c r="CI46" s="633">
        <f>NPV(realdiscrt1,CH$33:CH46)/(1+realdiscrt1)^-Half_Year</f>
        <v>7.1934408872607741E-2</v>
      </c>
      <c r="CJ46" s="636">
        <f t="shared" si="48"/>
        <v>1.3323393516930624E-3</v>
      </c>
      <c r="CK46" s="633">
        <f>NPV(realdiscrt1,CJ$33:CJ46)/(1+realdiscrt1)^-Half_Year</f>
        <v>0.10680930137931599</v>
      </c>
    </row>
    <row r="47" spans="1:89">
      <c r="A47" s="56">
        <f t="shared" si="50"/>
        <v>15</v>
      </c>
      <c r="B47" s="56">
        <f t="shared" si="49"/>
        <v>2030</v>
      </c>
      <c r="C47" s="62">
        <f t="shared" si="7"/>
        <v>0.10056523250457726</v>
      </c>
      <c r="D47" s="633">
        <f>NPV(realdiscrt1,C$33:C47)/(1+realdiscrt1)^-Half_Year</f>
        <v>1.1554185225902678</v>
      </c>
      <c r="E47" s="62">
        <f t="shared" si="8"/>
        <v>9.1127205310010229E-2</v>
      </c>
      <c r="F47" s="633">
        <f>NPV(realdiscrt1,E$33:E47)/(1+realdiscrt1)^-Half_Year</f>
        <v>1.0677665285490241</v>
      </c>
      <c r="G47" s="62">
        <f t="shared" si="9"/>
        <v>0.11008869250182855</v>
      </c>
      <c r="H47" s="633">
        <f>NPV(realdiscrt1,G$33:G47)/(1+realdiscrt1)^-Half_Year</f>
        <v>1.0932253814125881</v>
      </c>
      <c r="I47" s="62">
        <f t="shared" si="10"/>
        <v>8.2301137660325763E-2</v>
      </c>
      <c r="J47" s="633">
        <f>NPV(realdiscrt1,I$33:I47)/(1+realdiscrt1)^-Half_Year</f>
        <v>0.88200655295090724</v>
      </c>
      <c r="K47" s="63">
        <f t="shared" si="11"/>
        <v>194.96026798435474</v>
      </c>
      <c r="L47" s="633">
        <f>NPV(realdiscrt1,K$33:K47)/(1+realdiscrt1)^-Half_Year</f>
        <v>2186.7434207121646</v>
      </c>
      <c r="M47" s="63">
        <f t="shared" si="12"/>
        <v>0</v>
      </c>
      <c r="N47" s="633">
        <f>NPV(realdiscrt1,M$33:M47)/(1+realdiscrt1)^-Half_Year</f>
        <v>0</v>
      </c>
      <c r="O47" s="624">
        <f t="shared" si="13"/>
        <v>10.739952210274792</v>
      </c>
      <c r="P47" s="633">
        <f>NPV(realdiscrt1,O$33:O47)/(1+realdiscrt1)^-Half_Year</f>
        <v>155.90909657840098</v>
      </c>
      <c r="Q47" s="624">
        <f t="shared" si="14"/>
        <v>84.296373954599773</v>
      </c>
      <c r="R47" s="633">
        <f>NPV(realdiscrt1,Q$33:Q47)/(1+realdiscrt1)^-Half_Year</f>
        <v>1223.7085650645029</v>
      </c>
      <c r="S47" s="63">
        <f t="shared" si="15"/>
        <v>22.940963622174284</v>
      </c>
      <c r="T47" s="633">
        <f>NPV(realdiscrt1,S$33:S47)/(1+realdiscrt1)^-Half_Year</f>
        <v>298.72854359409916</v>
      </c>
      <c r="U47" s="63">
        <f t="shared" si="16"/>
        <v>21.214440064953592</v>
      </c>
      <c r="V47" s="633">
        <f>NPV(realdiscrt1,U$33:U47)/(1+realdiscrt1)^-Half_Year</f>
        <v>274.56566504955651</v>
      </c>
      <c r="W47" s="63">
        <f t="shared" si="17"/>
        <v>20.758245083814632</v>
      </c>
      <c r="X47" s="633">
        <f>NPV(realdiscrt1,W$33:W47)/(1+realdiscrt1)^-Half_Year</f>
        <v>268.47276241184341</v>
      </c>
      <c r="Y47" s="624">
        <f t="shared" si="18"/>
        <v>9.3795255505604764</v>
      </c>
      <c r="Z47" s="633">
        <f>NPV(realdiscrt1,Y$33:Y47)/(1+realdiscrt1)^-Half_Year</f>
        <v>121.21507100386107</v>
      </c>
      <c r="AA47" s="63">
        <f t="shared" si="19"/>
        <v>9.1305600351803839</v>
      </c>
      <c r="AB47" s="633">
        <f>NPV(realdiscrt1,AA$33:AA47)/(1+realdiscrt1)^-Half_Year</f>
        <v>117.66341136593606</v>
      </c>
      <c r="AC47" s="63">
        <f t="shared" si="20"/>
        <v>9.5560769116203641</v>
      </c>
      <c r="AD47" s="633">
        <f>NPV(realdiscrt1,AC$33:AC47)/(1+realdiscrt1)^-Half_Year</f>
        <v>123.95763269169686</v>
      </c>
      <c r="AE47" s="63">
        <f t="shared" si="21"/>
        <v>7.8540094058604488</v>
      </c>
      <c r="AF47" s="633">
        <f>NPV(realdiscrt1,AE$33:AE47)/(1+realdiscrt1)^-Half_Year</f>
        <v>98.780747388653623</v>
      </c>
      <c r="AG47" s="63">
        <f t="shared" si="22"/>
        <v>8.04354378115511</v>
      </c>
      <c r="AH47" s="633">
        <f>NPV(realdiscrt1,AG$33:AG47)/(1+realdiscrt1)^-Half_Year</f>
        <v>101.62834390511095</v>
      </c>
      <c r="AI47" s="63">
        <f t="shared" si="23"/>
        <v>8.9086439073318999</v>
      </c>
      <c r="AJ47" s="633">
        <f>NPV(realdiscrt1,AI$33:AI47)/(1+realdiscrt1)^-Half_Year</f>
        <v>114.45245778014696</v>
      </c>
      <c r="AK47" s="63">
        <f t="shared" si="24"/>
        <v>8.6018355173916454</v>
      </c>
      <c r="AL47" s="633">
        <f>NPV(realdiscrt1,AK$33:AK47)/(1+realdiscrt1)^-Half_Year</f>
        <v>109.8610756857592</v>
      </c>
      <c r="AM47" s="63">
        <f t="shared" si="25"/>
        <v>20.672625644626795</v>
      </c>
      <c r="AN47" s="633">
        <f>NPV(realdiscrt1,AM$33:AM47)/(1+realdiscrt1)^-Half_Year</f>
        <v>280.41686080260956</v>
      </c>
      <c r="AO47" s="624"/>
      <c r="AP47" s="625"/>
      <c r="AQ47" s="63">
        <f t="shared" si="26"/>
        <v>1.0833179284981212E-2</v>
      </c>
      <c r="AR47" s="633">
        <f>NPV(realdiscrt1,AQ$33:AQ47)/(1+realdiscrt1)^-Half_Year</f>
        <v>0.15726244980656709</v>
      </c>
      <c r="AS47" s="634">
        <f t="shared" si="27"/>
        <v>4.5379702334816434E-3</v>
      </c>
      <c r="AT47" s="633">
        <f>NPV(realdiscrt1,AS$33:AS47)/(1+realdiscrt1)^-Half_Year</f>
        <v>6.5876535160457286E-2</v>
      </c>
      <c r="AU47" s="634">
        <f t="shared" si="28"/>
        <v>6.2952090514995698E-3</v>
      </c>
      <c r="AV47" s="633">
        <f>NPV(realdiscrt1,AU$33:AU47)/(1+realdiscrt1)^-Half_Year</f>
        <v>9.1385914646109831E-2</v>
      </c>
      <c r="AW47" s="63">
        <v>1</v>
      </c>
      <c r="AX47" s="633">
        <f>NPV(realdiscrt1,AW$33:AW47)/(1+realdiscrt1)^-Half_Year</f>
        <v>14.516740254136748</v>
      </c>
      <c r="AY47" s="63">
        <f t="shared" si="29"/>
        <v>0</v>
      </c>
      <c r="AZ47" s="633">
        <f>NPV(realdiscrt1,AY$33:AY47)/(1+realdiscrt1)^-Half_Year</f>
        <v>0</v>
      </c>
      <c r="BA47" s="115">
        <f t="shared" si="30"/>
        <v>1.0021975853094038</v>
      </c>
      <c r="BB47" s="74">
        <f t="shared" si="31"/>
        <v>0</v>
      </c>
      <c r="BC47" s="633">
        <f>NPV(realdiscrt1,BB$33:BB47)/(1+realdiscrt1)^-Half_Year</f>
        <v>5.1135576127707048E-2</v>
      </c>
      <c r="BD47" s="74">
        <f t="shared" si="32"/>
        <v>0</v>
      </c>
      <c r="BE47" s="633">
        <f>NPV(realdiscrt1,BD$33:BD47)/(1+realdiscrt1)^-Half_Year</f>
        <v>2.5412454330430462E-2</v>
      </c>
      <c r="BF47" s="74">
        <f t="shared" si="33"/>
        <v>0</v>
      </c>
      <c r="BG47" s="633">
        <f>NPV(realdiscrt1,BF$33:BF47)/(1+realdiscrt1)^-Half_Year</f>
        <v>7.0603876868875926E-2</v>
      </c>
      <c r="BH47" s="74">
        <f t="shared" si="34"/>
        <v>0</v>
      </c>
      <c r="BI47" s="633">
        <f>NPV(realdiscrt1,BH$33:BH47)/(1+realdiscrt1)^-Half_Year</f>
        <v>2.2364805758927186E-2</v>
      </c>
      <c r="BJ47" s="64">
        <f t="shared" si="35"/>
        <v>3.4361282634408609E-2</v>
      </c>
      <c r="BK47" s="633">
        <f>NPV(realdiscrt1,BJ$33:BJ47)/(1+realdiscrt1)^-Half_Year</f>
        <v>0.61767779540062251</v>
      </c>
      <c r="BL47" s="64">
        <f t="shared" si="36"/>
        <v>3.3956635537634415E-2</v>
      </c>
      <c r="BM47" s="633">
        <f>NPV(realdiscrt1,BL$33:BL47)/(1+realdiscrt1)^-Half_Year</f>
        <v>0.61040386650483502</v>
      </c>
      <c r="BN47" s="64">
        <f t="shared" si="37"/>
        <v>3.6620562258064523E-2</v>
      </c>
      <c r="BO47" s="633">
        <f>NPV(realdiscrt1,BN$33:BN47)/(1+realdiscrt1)^-Half_Year</f>
        <v>0.65829056506876937</v>
      </c>
      <c r="BP47" s="64">
        <f t="shared" si="38"/>
        <v>3.5069415053763452E-2</v>
      </c>
      <c r="BQ47" s="633">
        <f>NPV(realdiscrt1,BP$33:BP47)/(1+realdiscrt1)^-Half_Year</f>
        <v>0.63040717096825061</v>
      </c>
      <c r="BR47" s="64">
        <f t="shared" si="39"/>
        <v>0.14005407115292715</v>
      </c>
      <c r="BS47" s="633">
        <f>NPV(realdiscrt1,BR$33:BR47)/(1+realdiscrt1)^-Half_Year</f>
        <v>2.0331285724614294</v>
      </c>
      <c r="BT47" s="64">
        <f t="shared" si="40"/>
        <v>0.21481504614821031</v>
      </c>
      <c r="BU47" s="633">
        <f>NPV(realdiscrt1,BT$33:BT47)/(1+realdiscrt1)^-Half_Year</f>
        <v>15.841675388104225</v>
      </c>
      <c r="BV47" s="64">
        <f t="shared" si="41"/>
        <v>0.11745227463199547</v>
      </c>
      <c r="BW47" s="633">
        <f>NPV(realdiscrt1,BV$33:BV47)/(1+realdiscrt1)^-Half_Year</f>
        <v>14.094424644629607</v>
      </c>
      <c r="BX47" s="64">
        <f t="shared" si="42"/>
        <v>8.5926018459284131E-2</v>
      </c>
      <c r="BY47" s="633">
        <f>NPV(realdiscrt1,BX$33:BX47)/(1+realdiscrt1)^-Half_Year</f>
        <v>13.528661430631871</v>
      </c>
      <c r="BZ47" s="64">
        <f t="shared" si="43"/>
        <v>0.11156462384716534</v>
      </c>
      <c r="CA47" s="633">
        <f>NPV(realdiscrt1,BZ$33:BZ47)/(1+realdiscrt1)^-Half_Year</f>
        <v>13.988766167052274</v>
      </c>
      <c r="CB47" s="64">
        <f t="shared" si="44"/>
        <v>0.17866167388146653</v>
      </c>
      <c r="CC47" s="633">
        <f>NPV(realdiscrt1,CB$33:CB47)/(1+realdiscrt1)^-Half_Year</f>
        <v>15.192874973033229</v>
      </c>
      <c r="CD47" s="64">
        <f t="shared" si="45"/>
        <v>0.11660160704924855</v>
      </c>
      <c r="CE47" s="633">
        <f>NPV(realdiscrt1,CD$33:CD47)/(1+realdiscrt1)^-Half_Year</f>
        <v>14.079158752510292</v>
      </c>
      <c r="CF47" s="64">
        <f t="shared" si="46"/>
        <v>0.14372185625492781</v>
      </c>
      <c r="CG47" s="633">
        <f>NPV(realdiscrt1,CF$33:CF47)/(1+realdiscrt1)^-Half_Year</f>
        <v>14.565852740878814</v>
      </c>
      <c r="CH47" s="636">
        <f t="shared" si="47"/>
        <v>1.2357164001387372E-3</v>
      </c>
      <c r="CI47" s="633">
        <f>NPV(realdiscrt1,CH$33:CH47)/(1+realdiscrt1)^-Half_Year</f>
        <v>7.3093911139316223E-2</v>
      </c>
      <c r="CJ47" s="636">
        <f t="shared" si="48"/>
        <v>1.3312995585695675E-3</v>
      </c>
      <c r="CK47" s="633">
        <f>NPV(realdiscrt1,CJ$33:CJ47)/(1+realdiscrt1)^-Half_Year</f>
        <v>0.10805849161071221</v>
      </c>
    </row>
    <row r="48" spans="1:89">
      <c r="A48" s="56">
        <f t="shared" si="50"/>
        <v>16</v>
      </c>
      <c r="B48" s="56">
        <f t="shared" si="49"/>
        <v>2031</v>
      </c>
      <c r="C48" s="62">
        <f t="shared" si="7"/>
        <v>0.10382288401116622</v>
      </c>
      <c r="D48" s="633">
        <f>NPV(realdiscrt1,C$33:C48)/(1+realdiscrt1)^-Half_Year</f>
        <v>1.2524112509469953</v>
      </c>
      <c r="E48" s="62">
        <f t="shared" si="8"/>
        <v>9.4316695232469411E-2</v>
      </c>
      <c r="F48" s="633">
        <f>NPV(realdiscrt1,E$33:E48)/(1+realdiscrt1)^-Half_Year</f>
        <v>1.1558784480676851</v>
      </c>
      <c r="G48" s="62">
        <f t="shared" si="9"/>
        <v>0.11468593722603625</v>
      </c>
      <c r="H48" s="633">
        <f>NPV(realdiscrt1,G$33:G48)/(1+realdiscrt1)^-Half_Year</f>
        <v>1.2003665195310904</v>
      </c>
      <c r="I48" s="62">
        <f t="shared" si="10"/>
        <v>8.5383388236799765E-2</v>
      </c>
      <c r="J48" s="633">
        <f>NPV(realdiscrt1,I$33:I48)/(1+realdiscrt1)^-Half_Year</f>
        <v>0.96177285746367958</v>
      </c>
      <c r="K48" s="63">
        <f t="shared" si="11"/>
        <v>186.64227093630012</v>
      </c>
      <c r="L48" s="633">
        <f>NPV(realdiscrt1,K$33:K48)/(1+realdiscrt1)^-Half_Year</f>
        <v>2361.1071292261781</v>
      </c>
      <c r="M48" s="63">
        <f t="shared" si="12"/>
        <v>0</v>
      </c>
      <c r="N48" s="633">
        <f>NPV(realdiscrt1,M$33:M48)/(1+realdiscrt1)^-Half_Year</f>
        <v>0</v>
      </c>
      <c r="O48" s="624">
        <f t="shared" si="13"/>
        <v>10.739952210274792</v>
      </c>
      <c r="P48" s="633">
        <f>NPV(realdiscrt1,O$33:O48)/(1+realdiscrt1)^-Half_Year</f>
        <v>165.9425037334496</v>
      </c>
      <c r="Q48" s="624">
        <f t="shared" si="14"/>
        <v>84.296373954599773</v>
      </c>
      <c r="R48" s="633">
        <f>NPV(realdiscrt1,Q$33:Q48)/(1+realdiscrt1)^-Half_Year</f>
        <v>1302.4593662805069</v>
      </c>
      <c r="S48" s="63">
        <f t="shared" si="15"/>
        <v>23.240597700499141</v>
      </c>
      <c r="T48" s="633">
        <f>NPV(realdiscrt1,S$33:S48)/(1+realdiscrt1)^-Half_Year</f>
        <v>320.44022114073778</v>
      </c>
      <c r="U48" s="63">
        <f t="shared" si="16"/>
        <v>21.507058726283361</v>
      </c>
      <c r="V48" s="633">
        <f>NPV(realdiscrt1,U$33:U48)/(1+realdiscrt1)^-Half_Year</f>
        <v>294.65784727564682</v>
      </c>
      <c r="W48" s="63">
        <f t="shared" si="17"/>
        <v>21.045570091576881</v>
      </c>
      <c r="X48" s="633">
        <f>NPV(realdiscrt1,W$33:W48)/(1+realdiscrt1)^-Half_Year</f>
        <v>288.13381577639109</v>
      </c>
      <c r="Y48" s="624">
        <f t="shared" si="18"/>
        <v>9.5171581897261994</v>
      </c>
      <c r="Z48" s="633">
        <f>NPV(realdiscrt1,Y$33:Y48)/(1+realdiscrt1)^-Half_Year</f>
        <v>130.10612761258363</v>
      </c>
      <c r="AA48" s="63">
        <f t="shared" si="19"/>
        <v>9.2675574709924842</v>
      </c>
      <c r="AB48" s="633">
        <f>NPV(realdiscrt1,AA$33:AA48)/(1+realdiscrt1)^-Half_Year</f>
        <v>126.32128764124408</v>
      </c>
      <c r="AC48" s="63">
        <f t="shared" si="20"/>
        <v>9.6922352990141327</v>
      </c>
      <c r="AD48" s="633">
        <f>NPV(realdiscrt1,AC$33:AC48)/(1+realdiscrt1)^-Half_Year</f>
        <v>133.01224868007236</v>
      </c>
      <c r="AE48" s="63">
        <f t="shared" si="21"/>
        <v>7.9939460706047658</v>
      </c>
      <c r="AF48" s="633">
        <f>NPV(realdiscrt1,AE$33:AE48)/(1+realdiscrt1)^-Half_Year</f>
        <v>106.24879884098188</v>
      </c>
      <c r="AG48" s="63">
        <f t="shared" si="22"/>
        <v>8.1831404833710408</v>
      </c>
      <c r="AH48" s="633">
        <f>NPV(realdiscrt1,AG$33:AG48)/(1+realdiscrt1)^-Half_Year</f>
        <v>109.27314331102211</v>
      </c>
      <c r="AI48" s="63">
        <f t="shared" si="23"/>
        <v>9.0456181036127816</v>
      </c>
      <c r="AJ48" s="633">
        <f>NPV(realdiscrt1,AI$33:AI48)/(1+realdiscrt1)^-Half_Year</f>
        <v>122.90299532684091</v>
      </c>
      <c r="AK48" s="63">
        <f t="shared" si="24"/>
        <v>8.7405283541701166</v>
      </c>
      <c r="AL48" s="633">
        <f>NPV(realdiscrt1,AK$33:AK48)/(1+realdiscrt1)^-Half_Year</f>
        <v>118.02659430359222</v>
      </c>
      <c r="AM48" s="63">
        <f t="shared" si="25"/>
        <v>20.813795065073762</v>
      </c>
      <c r="AN48" s="633">
        <f>NPV(realdiscrt1,AM$33:AM48)/(1+realdiscrt1)^-Half_Year</f>
        <v>299.86138683409769</v>
      </c>
      <c r="AO48" s="624"/>
      <c r="AP48" s="625"/>
      <c r="AQ48" s="63">
        <f t="shared" si="26"/>
        <v>1.0833179284981212E-2</v>
      </c>
      <c r="AR48" s="633">
        <f>NPV(realdiscrt1,AQ$33:AQ48)/(1+realdiscrt1)^-Half_Year</f>
        <v>0.1673829509430497</v>
      </c>
      <c r="AS48" s="634">
        <f t="shared" si="27"/>
        <v>4.5379702334816434E-3</v>
      </c>
      <c r="AT48" s="633">
        <f>NPV(realdiscrt1,AS$33:AS48)/(1+realdiscrt1)^-Half_Year</f>
        <v>7.0115967712722577E-2</v>
      </c>
      <c r="AU48" s="634">
        <f t="shared" si="28"/>
        <v>6.2952090514995698E-3</v>
      </c>
      <c r="AV48" s="633">
        <f>NPV(realdiscrt1,AU$33:AU48)/(1+realdiscrt1)^-Half_Year</f>
        <v>9.7266983230327161E-2</v>
      </c>
      <c r="AW48" s="63">
        <v>1</v>
      </c>
      <c r="AX48" s="633">
        <f>NPV(realdiscrt1,AW$33:AW48)/(1+realdiscrt1)^-Half_Year</f>
        <v>15.450953643415124</v>
      </c>
      <c r="AY48" s="63">
        <f t="shared" si="29"/>
        <v>0</v>
      </c>
      <c r="AZ48" s="633">
        <f>NPV(realdiscrt1,AY$33:AY48)/(1+realdiscrt1)^-Half_Year</f>
        <v>0</v>
      </c>
      <c r="BA48" s="115">
        <f t="shared" si="30"/>
        <v>1.0021975853094038</v>
      </c>
      <c r="BB48" s="74">
        <f t="shared" si="31"/>
        <v>0</v>
      </c>
      <c r="BC48" s="633">
        <f>NPV(realdiscrt1,BB$33:BB48)/(1+realdiscrt1)^-Half_Year</f>
        <v>5.1135576127707048E-2</v>
      </c>
      <c r="BD48" s="74">
        <f t="shared" si="32"/>
        <v>0</v>
      </c>
      <c r="BE48" s="633">
        <f>NPV(realdiscrt1,BD$33:BD48)/(1+realdiscrt1)^-Half_Year</f>
        <v>2.5412454330430462E-2</v>
      </c>
      <c r="BF48" s="74">
        <f t="shared" si="33"/>
        <v>0</v>
      </c>
      <c r="BG48" s="633">
        <f>NPV(realdiscrt1,BF$33:BF48)/(1+realdiscrt1)^-Half_Year</f>
        <v>7.0603876868875926E-2</v>
      </c>
      <c r="BH48" s="74">
        <f t="shared" si="34"/>
        <v>0</v>
      </c>
      <c r="BI48" s="633">
        <f>NPV(realdiscrt1,BH$33:BH48)/(1+realdiscrt1)^-Half_Year</f>
        <v>2.2364805758927186E-2</v>
      </c>
      <c r="BJ48" s="64">
        <f t="shared" si="35"/>
        <v>3.4361282634408609E-2</v>
      </c>
      <c r="BK48" s="633">
        <f>NPV(realdiscrt1,BJ$33:BJ48)/(1+realdiscrt1)^-Half_Year</f>
        <v>0.64977856571046566</v>
      </c>
      <c r="BL48" s="64">
        <f t="shared" si="36"/>
        <v>3.3956635537634415E-2</v>
      </c>
      <c r="BM48" s="633">
        <f>NPV(realdiscrt1,BL$33:BL48)/(1+realdiscrt1)^-Half_Year</f>
        <v>0.64212661007893912</v>
      </c>
      <c r="BN48" s="64">
        <f t="shared" si="37"/>
        <v>3.6620562258064523E-2</v>
      </c>
      <c r="BO48" s="633">
        <f>NPV(realdiscrt1,BN$33:BN48)/(1+realdiscrt1)^-Half_Year</f>
        <v>0.69250198465315571</v>
      </c>
      <c r="BP48" s="64">
        <f t="shared" si="38"/>
        <v>3.5069415053763452E-2</v>
      </c>
      <c r="BQ48" s="633">
        <f>NPV(realdiscrt1,BP$33:BP48)/(1+realdiscrt1)^-Half_Year</f>
        <v>0.66316948806563714</v>
      </c>
      <c r="BR48" s="64">
        <f t="shared" si="39"/>
        <v>0.14005407115292715</v>
      </c>
      <c r="BS48" s="633">
        <f>NPV(realdiscrt1,BR$33:BR48)/(1+realdiscrt1)^-Half_Year</f>
        <v>2.1639689609554411</v>
      </c>
      <c r="BT48" s="64">
        <f t="shared" si="40"/>
        <v>0.21481504614821031</v>
      </c>
      <c r="BU48" s="633">
        <f>NPV(realdiscrt1,BT$33:BT48)/(1+realdiscrt1)^-Half_Year</f>
        <v>16.042358480434334</v>
      </c>
      <c r="BV48" s="64">
        <f t="shared" si="41"/>
        <v>0.11745227463199547</v>
      </c>
      <c r="BW48" s="633">
        <f>NPV(realdiscrt1,BV$33:BV48)/(1+realdiscrt1)^-Half_Year</f>
        <v>14.204150132192019</v>
      </c>
      <c r="BX48" s="64">
        <f t="shared" si="42"/>
        <v>8.5926018459284131E-2</v>
      </c>
      <c r="BY48" s="633">
        <f>NPV(realdiscrt1,BX$33:BX48)/(1+realdiscrt1)^-Half_Year</f>
        <v>13.608934667563915</v>
      </c>
      <c r="BZ48" s="64">
        <f t="shared" si="43"/>
        <v>0.11156462384716534</v>
      </c>
      <c r="CA48" s="633">
        <f>NPV(realdiscrt1,BZ$33:BZ48)/(1+realdiscrt1)^-Half_Year</f>
        <v>14.092991332420102</v>
      </c>
      <c r="CB48" s="64">
        <f t="shared" si="44"/>
        <v>0.17866167388146653</v>
      </c>
      <c r="CC48" s="633">
        <f>NPV(realdiscrt1,CB$33:CB48)/(1+realdiscrt1)^-Half_Year</f>
        <v>15.359783100924183</v>
      </c>
      <c r="CD48" s="64">
        <f t="shared" si="45"/>
        <v>0.11660160704924855</v>
      </c>
      <c r="CE48" s="633">
        <f>NPV(realdiscrt1,CD$33:CD48)/(1+realdiscrt1)^-Half_Year</f>
        <v>14.188089535027077</v>
      </c>
      <c r="CF48" s="64">
        <f t="shared" si="46"/>
        <v>0.14372185625492781</v>
      </c>
      <c r="CG48" s="633">
        <f>NPV(realdiscrt1,CF$33:CF48)/(1+realdiscrt1)^-Half_Year</f>
        <v>14.70011962332411</v>
      </c>
      <c r="CH48" s="636">
        <f t="shared" si="47"/>
        <v>1.2357164001387372E-3</v>
      </c>
      <c r="CI48" s="633">
        <f>NPV(realdiscrt1,CH$33:CH48)/(1+realdiscrt1)^-Half_Year</f>
        <v>7.4248333945676717E-2</v>
      </c>
      <c r="CJ48" s="636">
        <f t="shared" si="48"/>
        <v>1.3312995585695675E-3</v>
      </c>
      <c r="CK48" s="633">
        <f>NPV(realdiscrt1,CJ$33:CJ48)/(1+realdiscrt1)^-Half_Year</f>
        <v>0.10930220948346829</v>
      </c>
    </row>
    <row r="49" spans="1:89">
      <c r="A49" s="56">
        <f t="shared" si="50"/>
        <v>17</v>
      </c>
      <c r="B49" s="56">
        <f t="shared" si="49"/>
        <v>2032</v>
      </c>
      <c r="C49" s="62">
        <f t="shared" si="7"/>
        <v>0.10719992225192312</v>
      </c>
      <c r="D49" s="633">
        <f>NPV(realdiscrt1,C$33:C49)/(1+realdiscrt1)^-Half_Year</f>
        <v>1.3521201345564615</v>
      </c>
      <c r="E49" s="62">
        <f t="shared" si="8"/>
        <v>9.763425227951647E-2</v>
      </c>
      <c r="F49" s="633">
        <f>NPV(realdiscrt1,E$33:E49)/(1+realdiscrt1)^-Half_Year</f>
        <v>1.2466901025198032</v>
      </c>
      <c r="G49" s="62">
        <f t="shared" si="9"/>
        <v>0.11949803544134786</v>
      </c>
      <c r="H49" s="633">
        <f>NPV(realdiscrt1,G$33:G49)/(1+realdiscrt1)^-Half_Year</f>
        <v>1.3115141347260022</v>
      </c>
      <c r="I49" s="62">
        <f t="shared" si="10"/>
        <v>8.8600218713879561E-2</v>
      </c>
      <c r="J49" s="633">
        <f>NPV(realdiscrt1,I$33:I49)/(1+realdiscrt1)^-Half_Year</f>
        <v>1.0441817688689952</v>
      </c>
      <c r="K49" s="63">
        <f t="shared" si="11"/>
        <v>186.64227093630012</v>
      </c>
      <c r="L49" s="633">
        <f>NPV(realdiscrt1,K$33:K49)/(1+realdiscrt1)^-Half_Year</f>
        <v>2534.7069983161969</v>
      </c>
      <c r="M49" s="63">
        <f t="shared" si="12"/>
        <v>0</v>
      </c>
      <c r="N49" s="633">
        <f>NPV(realdiscrt1,M$33:M49)/(1+realdiscrt1)^-Half_Year</f>
        <v>0</v>
      </c>
      <c r="O49" s="624">
        <f t="shared" si="13"/>
        <v>10.739952210274792</v>
      </c>
      <c r="P49" s="633">
        <f>NPV(realdiscrt1,O$33:O49)/(1+realdiscrt1)^-Half_Year</f>
        <v>175.93195729283693</v>
      </c>
      <c r="Q49" s="624">
        <f t="shared" si="14"/>
        <v>84.296373954599773</v>
      </c>
      <c r="R49" s="633">
        <f>NPV(realdiscrt1,Q$33:Q49)/(1+realdiscrt1)^-Half_Year</f>
        <v>1380.8651819077513</v>
      </c>
      <c r="S49" s="63">
        <f t="shared" si="15"/>
        <v>23.544145327634425</v>
      </c>
      <c r="T49" s="633">
        <f>NPV(realdiscrt1,S$33:S49)/(1+realdiscrt1)^-Half_Year</f>
        <v>342.33912178210772</v>
      </c>
      <c r="U49" s="63">
        <f t="shared" si="16"/>
        <v>21.803714950981714</v>
      </c>
      <c r="V49" s="633">
        <f>NPV(realdiscrt1,U$33:U49)/(1+realdiscrt1)^-Half_Year</f>
        <v>314.9379373226563</v>
      </c>
      <c r="W49" s="63">
        <f t="shared" si="17"/>
        <v>21.33687461281032</v>
      </c>
      <c r="X49" s="633">
        <f>NPV(realdiscrt1,W$33:W49)/(1+realdiscrt1)^-Half_Year</f>
        <v>307.97968788774244</v>
      </c>
      <c r="Y49" s="624">
        <f t="shared" si="18"/>
        <v>9.6568104132793842</v>
      </c>
      <c r="Z49" s="633">
        <f>NPV(realdiscrt1,Y$33:Y49)/(1+realdiscrt1)^-Half_Year</f>
        <v>139.08812839494971</v>
      </c>
      <c r="AA49" s="63">
        <f t="shared" si="19"/>
        <v>9.4066104540379172</v>
      </c>
      <c r="AB49" s="633">
        <f>NPV(realdiscrt1,AA$33:AA49)/(1+realdiscrt1)^-Half_Year</f>
        <v>135.07057222297263</v>
      </c>
      <c r="AC49" s="63">
        <f t="shared" si="20"/>
        <v>9.8303337196065801</v>
      </c>
      <c r="AD49" s="633">
        <f>NPV(realdiscrt1,AC$33:AC49)/(1+realdiscrt1)^-Half_Year</f>
        <v>142.15564710891667</v>
      </c>
      <c r="AE49" s="63">
        <f t="shared" si="21"/>
        <v>8.1363760186045315</v>
      </c>
      <c r="AF49" s="633">
        <f>NPV(realdiscrt1,AE$33:AE49)/(1+realdiscrt1)^-Half_Year</f>
        <v>113.81661188039233</v>
      </c>
      <c r="AG49" s="63">
        <f t="shared" si="22"/>
        <v>8.325159903707215</v>
      </c>
      <c r="AH49" s="633">
        <f>NPV(realdiscrt1,AG$33:AG49)/(1+realdiscrt1)^-Half_Year</f>
        <v>117.01654817952745</v>
      </c>
      <c r="AI49" s="63">
        <f t="shared" si="23"/>
        <v>9.1846983365297614</v>
      </c>
      <c r="AJ49" s="633">
        <f>NPV(realdiscrt1,AI$33:AI49)/(1+realdiscrt1)^-Half_Year</f>
        <v>131.44587481954201</v>
      </c>
      <c r="AK49" s="63">
        <f t="shared" si="24"/>
        <v>8.8814574233125718</v>
      </c>
      <c r="AL49" s="633">
        <f>NPV(realdiscrt1,AK$33:AK49)/(1+realdiscrt1)^-Half_Year</f>
        <v>126.28742309806101</v>
      </c>
      <c r="AM49" s="63">
        <f t="shared" si="25"/>
        <v>20.955928504586907</v>
      </c>
      <c r="AN49" s="633">
        <f>NPV(realdiscrt1,AM$33:AM49)/(1+realdiscrt1)^-Half_Year</f>
        <v>319.35293302460497</v>
      </c>
      <c r="AO49" s="624"/>
      <c r="AP49" s="625"/>
      <c r="AQ49" s="63">
        <f t="shared" si="26"/>
        <v>1.0833179284981212E-2</v>
      </c>
      <c r="AR49" s="633">
        <f>NPV(realdiscrt1,AQ$33:AQ49)/(1+realdiscrt1)^-Half_Year</f>
        <v>0.17745911694910566</v>
      </c>
      <c r="AS49" s="634">
        <f t="shared" si="27"/>
        <v>4.5379702334816434E-3</v>
      </c>
      <c r="AT49" s="633">
        <f>NPV(realdiscrt1,AS$33:AS49)/(1+realdiscrt1)^-Half_Year</f>
        <v>7.4336828477622297E-2</v>
      </c>
      <c r="AU49" s="634">
        <f t="shared" si="28"/>
        <v>6.2952090514995698E-3</v>
      </c>
      <c r="AV49" s="633">
        <f>NPV(realdiscrt1,AU$33:AU49)/(1+realdiscrt1)^-Half_Year</f>
        <v>0.10312228847148341</v>
      </c>
      <c r="AW49" s="63">
        <v>1</v>
      </c>
      <c r="AX49" s="633">
        <f>NPV(realdiscrt1,AW$33:AW49)/(1+realdiscrt1)^-Half_Year</f>
        <v>16.38107450092048</v>
      </c>
      <c r="AY49" s="63">
        <f t="shared" si="29"/>
        <v>0</v>
      </c>
      <c r="AZ49" s="633">
        <f>NPV(realdiscrt1,AY$33:AY49)/(1+realdiscrt1)^-Half_Year</f>
        <v>0</v>
      </c>
      <c r="BA49" s="115">
        <f t="shared" si="30"/>
        <v>1.0021975853094038</v>
      </c>
      <c r="BB49" s="74">
        <f t="shared" si="31"/>
        <v>0</v>
      </c>
      <c r="BC49" s="633">
        <f>NPV(realdiscrt1,BB$33:BB49)/(1+realdiscrt1)^-Half_Year</f>
        <v>5.1135576127707048E-2</v>
      </c>
      <c r="BD49" s="74">
        <f t="shared" si="32"/>
        <v>0</v>
      </c>
      <c r="BE49" s="633">
        <f>NPV(realdiscrt1,BD$33:BD49)/(1+realdiscrt1)^-Half_Year</f>
        <v>2.5412454330430462E-2</v>
      </c>
      <c r="BF49" s="74">
        <f t="shared" si="33"/>
        <v>0</v>
      </c>
      <c r="BG49" s="633">
        <f>NPV(realdiscrt1,BF$33:BF49)/(1+realdiscrt1)^-Half_Year</f>
        <v>7.0603876868875926E-2</v>
      </c>
      <c r="BH49" s="74">
        <f t="shared" si="34"/>
        <v>0</v>
      </c>
      <c r="BI49" s="633">
        <f>NPV(realdiscrt1,BH$33:BH49)/(1+realdiscrt1)^-Half_Year</f>
        <v>2.2364805758927186E-2</v>
      </c>
      <c r="BJ49" s="64">
        <f t="shared" si="35"/>
        <v>3.4361282634408609E-2</v>
      </c>
      <c r="BK49" s="633">
        <f>NPV(realdiscrt1,BJ$33:BJ49)/(1+realdiscrt1)^-Half_Year</f>
        <v>0.6817387113793657</v>
      </c>
      <c r="BL49" s="64">
        <f t="shared" si="36"/>
        <v>3.3956635537634415E-2</v>
      </c>
      <c r="BM49" s="633">
        <f>NPV(realdiscrt1,BL$33:BL49)/(1+realdiscrt1)^-Half_Year</f>
        <v>0.67371038504320035</v>
      </c>
      <c r="BN49" s="64">
        <f t="shared" si="37"/>
        <v>3.6620562258064523E-2</v>
      </c>
      <c r="BO49" s="633">
        <f>NPV(realdiscrt1,BN$33:BN49)/(1+realdiscrt1)^-Half_Year</f>
        <v>0.72656353342295488</v>
      </c>
      <c r="BP49" s="64">
        <f t="shared" si="38"/>
        <v>3.5069415053763452E-2</v>
      </c>
      <c r="BQ49" s="633">
        <f>NPV(realdiscrt1,BP$33:BP49)/(1+realdiscrt1)^-Half_Year</f>
        <v>0.69578828246765478</v>
      </c>
      <c r="BR49" s="64">
        <f t="shared" si="39"/>
        <v>0.14005407115292715</v>
      </c>
      <c r="BS49" s="633">
        <f>NPV(realdiscrt1,BR$33:BR49)/(1+realdiscrt1)^-Half_Year</f>
        <v>2.2942361737133168</v>
      </c>
      <c r="BT49" s="64">
        <f t="shared" si="40"/>
        <v>0.21481504614821031</v>
      </c>
      <c r="BU49" s="633">
        <f>NPV(realdiscrt1,BT$33:BT49)/(1+realdiscrt1)^-Half_Year</f>
        <v>16.242162435362758</v>
      </c>
      <c r="BV49" s="64">
        <f t="shared" si="41"/>
        <v>0.11745227463199547</v>
      </c>
      <c r="BW49" s="633">
        <f>NPV(realdiscrt1,BV$33:BV49)/(1+realdiscrt1)^-Half_Year</f>
        <v>14.313394942588683</v>
      </c>
      <c r="BX49" s="64">
        <f t="shared" si="42"/>
        <v>8.5926018459284131E-2</v>
      </c>
      <c r="BY49" s="633">
        <f>NPV(realdiscrt1,BX$33:BX49)/(1+realdiscrt1)^-Half_Year</f>
        <v>13.688856249535284</v>
      </c>
      <c r="BZ49" s="64">
        <f t="shared" si="43"/>
        <v>0.11156462384716534</v>
      </c>
      <c r="CA49" s="633">
        <f>NPV(realdiscrt1,BZ$33:BZ49)/(1+realdiscrt1)^-Half_Year</f>
        <v>14.19675991602009</v>
      </c>
      <c r="CB49" s="64">
        <f t="shared" si="44"/>
        <v>0.17866167388146653</v>
      </c>
      <c r="CC49" s="633">
        <f>NPV(realdiscrt1,CB$33:CB49)/(1+realdiscrt1)^-Half_Year</f>
        <v>15.525960050238153</v>
      </c>
      <c r="CD49" s="64">
        <f t="shared" si="45"/>
        <v>0.11660160704924855</v>
      </c>
      <c r="CE49" s="633">
        <f>NPV(realdiscrt1,CD$33:CD49)/(1+realdiscrt1)^-Half_Year</f>
        <v>14.296543121762225</v>
      </c>
      <c r="CF49" s="64">
        <f t="shared" si="46"/>
        <v>0.14372185625492781</v>
      </c>
      <c r="CG49" s="633">
        <f>NPV(realdiscrt1,CF$33:CF49)/(1+realdiscrt1)^-Half_Year</f>
        <v>14.833798319506204</v>
      </c>
      <c r="CH49" s="636">
        <f t="shared" si="47"/>
        <v>1.2357164001387372E-3</v>
      </c>
      <c r="CI49" s="633">
        <f>NPV(realdiscrt1,CH$33:CH49)/(1+realdiscrt1)^-Half_Year</f>
        <v>7.5397699543407179E-2</v>
      </c>
      <c r="CJ49" s="636">
        <f t="shared" si="48"/>
        <v>1.3312995585695675E-3</v>
      </c>
      <c r="CK49" s="633">
        <f>NPV(realdiscrt1,CJ$33:CJ49)/(1+realdiscrt1)^-Half_Year</f>
        <v>0.11054047897048151</v>
      </c>
    </row>
    <row r="50" spans="1:89">
      <c r="A50" s="56">
        <f t="shared" si="50"/>
        <v>18</v>
      </c>
      <c r="B50" s="56">
        <f t="shared" si="49"/>
        <v>2033</v>
      </c>
      <c r="C50" s="62">
        <f t="shared" si="7"/>
        <v>0.11070072694596812</v>
      </c>
      <c r="D50" s="633">
        <f>NPV(realdiscrt1,C$33:C50)/(1+realdiscrt1)^-Half_Year</f>
        <v>1.4546341280585025</v>
      </c>
      <c r="E50" s="62">
        <f t="shared" si="8"/>
        <v>0.10108502417170813</v>
      </c>
      <c r="F50" s="633">
        <f>NPV(realdiscrt1,E$33:E50)/(1+realdiscrt1)^-Half_Year</f>
        <v>1.3402995104882807</v>
      </c>
      <c r="G50" s="62">
        <f t="shared" si="9"/>
        <v>0.12453503608499204</v>
      </c>
      <c r="H50" s="633">
        <f>NPV(realdiscrt1,G$33:G50)/(1+realdiscrt1)^-Half_Year</f>
        <v>1.4268393383827456</v>
      </c>
      <c r="I50" s="62">
        <f t="shared" si="10"/>
        <v>9.1957511844841688E-2</v>
      </c>
      <c r="J50" s="633">
        <f>NPV(realdiscrt1,I$33:I50)/(1+realdiscrt1)^-Half_Year</f>
        <v>1.1293386782389505</v>
      </c>
      <c r="K50" s="63">
        <f t="shared" si="11"/>
        <v>186.64227093630012</v>
      </c>
      <c r="L50" s="633">
        <f>NPV(realdiscrt1,K$33:K50)/(1+realdiscrt1)^-Half_Year</f>
        <v>2707.5463741525346</v>
      </c>
      <c r="M50" s="63">
        <f t="shared" si="12"/>
        <v>0</v>
      </c>
      <c r="N50" s="633">
        <f>NPV(realdiscrt1,M$33:M50)/(1+realdiscrt1)^-Half_Year</f>
        <v>0</v>
      </c>
      <c r="O50" s="624">
        <f t="shared" si="13"/>
        <v>10.739952210274792</v>
      </c>
      <c r="P50" s="633">
        <f>NPV(realdiscrt1,O$33:O50)/(1+realdiscrt1)^-Half_Year</f>
        <v>185.87764980516997</v>
      </c>
      <c r="Q50" s="624">
        <f t="shared" si="14"/>
        <v>84.296373954599773</v>
      </c>
      <c r="R50" s="633">
        <f>NPV(realdiscrt1,Q$33:Q50)/(1+realdiscrt1)^-Half_Year</f>
        <v>1458.9275232331638</v>
      </c>
      <c r="S50" s="63">
        <f t="shared" si="15"/>
        <v>23.851657618808343</v>
      </c>
      <c r="T50" s="633">
        <f>NPV(realdiscrt1,S$33:S50)/(1+realdiscrt1)^-Half_Year</f>
        <v>364.42685997140495</v>
      </c>
      <c r="U50" s="63">
        <f t="shared" si="16"/>
        <v>22.104464469109754</v>
      </c>
      <c r="V50" s="633">
        <f>NPV(realdiscrt1,U$33:U50)/(1+realdiscrt1)^-Half_Year</f>
        <v>335.40769384068193</v>
      </c>
      <c r="W50" s="63">
        <f t="shared" si="17"/>
        <v>21.632213800395409</v>
      </c>
      <c r="X50" s="633">
        <f>NPV(realdiscrt1,W$33:W50)/(1+realdiscrt1)^-Half_Year</f>
        <v>328.01211844306192</v>
      </c>
      <c r="Y50" s="624">
        <f t="shared" si="18"/>
        <v>9.7985118560589992</v>
      </c>
      <c r="Z50" s="633">
        <f>NPV(realdiscrt1,Y$33:Y50)/(1+realdiscrt1)^-Half_Year</f>
        <v>148.16200359390825</v>
      </c>
      <c r="AA50" s="63">
        <f t="shared" si="19"/>
        <v>9.5477498263131277</v>
      </c>
      <c r="AB50" s="633">
        <f>NPV(realdiscrt1,AA$33:AA50)/(1+realdiscrt1)^-Half_Year</f>
        <v>143.91223018364266</v>
      </c>
      <c r="AC50" s="63">
        <f t="shared" si="20"/>
        <v>9.9703998156816969</v>
      </c>
      <c r="AD50" s="633">
        <f>NPV(realdiscrt1,AC$33:AC50)/(1+realdiscrt1)^-Half_Year</f>
        <v>151.38869850898942</v>
      </c>
      <c r="AE50" s="63">
        <f t="shared" si="21"/>
        <v>8.2813436732523069</v>
      </c>
      <c r="AF50" s="633">
        <f>NPV(realdiscrt1,AE$33:AE50)/(1+realdiscrt1)^-Half_Year</f>
        <v>121.48551916699326</v>
      </c>
      <c r="AG50" s="63">
        <f t="shared" si="22"/>
        <v>8.4696440887377733</v>
      </c>
      <c r="AH50" s="633">
        <f>NPV(realdiscrt1,AG$33:AG50)/(1+realdiscrt1)^-Half_Year</f>
        <v>124.85983036051306</v>
      </c>
      <c r="AI50" s="63">
        <f t="shared" si="23"/>
        <v>9.3259169872935566</v>
      </c>
      <c r="AJ50" s="633">
        <f>NPV(realdiscrt1,AI$33:AI50)/(1+realdiscrt1)^-Half_Year</f>
        <v>140.08210531062647</v>
      </c>
      <c r="AK50" s="63">
        <f t="shared" si="24"/>
        <v>9.0246587810083696</v>
      </c>
      <c r="AL50" s="633">
        <f>NPV(realdiscrt1,AK$33:AK50)/(1+realdiscrt1)^-Half_Year</f>
        <v>134.644674555732</v>
      </c>
      <c r="AM50" s="63">
        <f t="shared" si="25"/>
        <v>21.099032546268695</v>
      </c>
      <c r="AN50" s="633">
        <f>NPV(realdiscrt1,AM$33:AM50)/(1+realdiscrt1)^-Half_Year</f>
        <v>338.89161307684395</v>
      </c>
      <c r="AO50" s="624"/>
      <c r="AP50" s="625"/>
      <c r="AQ50" s="63">
        <f t="shared" si="26"/>
        <v>1.0833179284981212E-2</v>
      </c>
      <c r="AR50" s="633">
        <f>NPV(realdiscrt1,AQ$33:AQ50)/(1+realdiscrt1)^-Half_Year</f>
        <v>0.18749114204474085</v>
      </c>
      <c r="AS50" s="634">
        <f t="shared" si="27"/>
        <v>4.5379702334816434E-3</v>
      </c>
      <c r="AT50" s="633">
        <f>NPV(realdiscrt1,AS$33:AS50)/(1+realdiscrt1)^-Half_Year</f>
        <v>7.8539198813046149E-2</v>
      </c>
      <c r="AU50" s="634">
        <f t="shared" si="28"/>
        <v>6.2952090514995698E-3</v>
      </c>
      <c r="AV50" s="633">
        <f>NPV(realdiscrt1,AU$33:AU50)/(1+realdiscrt1)^-Half_Year</f>
        <v>0.10895194323169474</v>
      </c>
      <c r="AW50" s="63">
        <v>1</v>
      </c>
      <c r="AX50" s="633">
        <f>NPV(realdiscrt1,AW$33:AW50)/(1+realdiscrt1)^-Half_Year</f>
        <v>17.307120754908286</v>
      </c>
      <c r="AY50" s="63">
        <f t="shared" si="29"/>
        <v>0</v>
      </c>
      <c r="AZ50" s="633">
        <f>NPV(realdiscrt1,AY$33:AY50)/(1+realdiscrt1)^-Half_Year</f>
        <v>0</v>
      </c>
      <c r="BA50" s="115">
        <f t="shared" si="30"/>
        <v>1.0021975853094038</v>
      </c>
      <c r="BB50" s="74">
        <f t="shared" si="31"/>
        <v>0</v>
      </c>
      <c r="BC50" s="633">
        <f>NPV(realdiscrt1,BB$33:BB50)/(1+realdiscrt1)^-Half_Year</f>
        <v>5.1135576127707048E-2</v>
      </c>
      <c r="BD50" s="74">
        <f t="shared" si="32"/>
        <v>0</v>
      </c>
      <c r="BE50" s="633">
        <f>NPV(realdiscrt1,BD$33:BD50)/(1+realdiscrt1)^-Half_Year</f>
        <v>2.5412454330430462E-2</v>
      </c>
      <c r="BF50" s="74">
        <f t="shared" si="33"/>
        <v>0</v>
      </c>
      <c r="BG50" s="633">
        <f>NPV(realdiscrt1,BF$33:BF50)/(1+realdiscrt1)^-Half_Year</f>
        <v>7.0603876868875926E-2</v>
      </c>
      <c r="BH50" s="74">
        <f t="shared" si="34"/>
        <v>0</v>
      </c>
      <c r="BI50" s="633">
        <f>NPV(realdiscrt1,BH$33:BH50)/(1+realdiscrt1)^-Half_Year</f>
        <v>2.2364805758927186E-2</v>
      </c>
      <c r="BJ50" s="64">
        <f t="shared" si="35"/>
        <v>3.4361282634408609E-2</v>
      </c>
      <c r="BK50" s="633">
        <f>NPV(realdiscrt1,BJ$33:BJ50)/(1+realdiscrt1)^-Half_Year</f>
        <v>0.71355884844517603</v>
      </c>
      <c r="BL50" s="64">
        <f t="shared" si="36"/>
        <v>3.3956635537634415E-2</v>
      </c>
      <c r="BM50" s="633">
        <f>NPV(realdiscrt1,BL$33:BL50)/(1+realdiscrt1)^-Half_Year</f>
        <v>0.705155800180856</v>
      </c>
      <c r="BN50" s="64">
        <f t="shared" si="37"/>
        <v>3.6620562258064523E-2</v>
      </c>
      <c r="BO50" s="633">
        <f>NPV(realdiscrt1,BN$33:BN50)/(1+realdiscrt1)^-Half_Year</f>
        <v>0.76047586792096289</v>
      </c>
      <c r="BP50" s="64">
        <f t="shared" si="38"/>
        <v>3.5069415053763452E-2</v>
      </c>
      <c r="BQ50" s="633">
        <f>NPV(realdiscrt1,BP$33:BP50)/(1+realdiscrt1)^-Half_Year</f>
        <v>0.72826418290773598</v>
      </c>
      <c r="BR50" s="64">
        <f t="shared" si="39"/>
        <v>0.14005407115292715</v>
      </c>
      <c r="BS50" s="633">
        <f>NPV(realdiscrt1,BR$33:BR50)/(1+realdiscrt1)^-Half_Year</f>
        <v>2.4239327216602269</v>
      </c>
      <c r="BT50" s="64">
        <f t="shared" si="40"/>
        <v>0.21481504614821031</v>
      </c>
      <c r="BU50" s="633">
        <f>NPV(realdiscrt1,BT$33:BT50)/(1+realdiscrt1)^-Half_Year</f>
        <v>16.44109110414853</v>
      </c>
      <c r="BV50" s="64">
        <f t="shared" si="41"/>
        <v>0.11745227463199547</v>
      </c>
      <c r="BW50" s="633">
        <f>NPV(realdiscrt1,BV$33:BV50)/(1+realdiscrt1)^-Half_Year</f>
        <v>14.422161181533989</v>
      </c>
      <c r="BX50" s="64">
        <f t="shared" si="42"/>
        <v>8.5926018459284131E-2</v>
      </c>
      <c r="BY50" s="633">
        <f>NPV(realdiscrt1,BX$33:BX50)/(1+realdiscrt1)^-Half_Year</f>
        <v>13.768427717049592</v>
      </c>
      <c r="BZ50" s="64">
        <f t="shared" si="43"/>
        <v>0.11156462384716534</v>
      </c>
      <c r="CA50" s="633">
        <f>NPV(realdiscrt1,BZ$33:BZ50)/(1+realdiscrt1)^-Half_Year</f>
        <v>14.300073918011316</v>
      </c>
      <c r="CB50" s="64">
        <f t="shared" si="44"/>
        <v>0.17866167388146653</v>
      </c>
      <c r="CC50" s="633">
        <f>NPV(realdiscrt1,CB$33:CB50)/(1+realdiscrt1)^-Half_Year</f>
        <v>15.691409024067276</v>
      </c>
      <c r="CD50" s="64">
        <f t="shared" si="45"/>
        <v>0.11660160704924855</v>
      </c>
      <c r="CE50" s="633">
        <f>NPV(realdiscrt1,CD$33:CD50)/(1+realdiscrt1)^-Half_Year</f>
        <v>14.404521603179141</v>
      </c>
      <c r="CF50" s="64">
        <f t="shared" si="46"/>
        <v>0.14372185625492781</v>
      </c>
      <c r="CG50" s="633">
        <f>NPV(realdiscrt1,CF$33:CF50)/(1+realdiscrt1)^-Half_Year</f>
        <v>14.966891406107253</v>
      </c>
      <c r="CH50" s="636">
        <f t="shared" si="47"/>
        <v>1.2357164001387372E-3</v>
      </c>
      <c r="CI50" s="633">
        <f>NPV(realdiscrt1,CH$33:CH50)/(1+realdiscrt1)^-Half_Year</f>
        <v>7.6542030086746954E-2</v>
      </c>
      <c r="CJ50" s="636">
        <f t="shared" si="48"/>
        <v>1.3312995585695675E-3</v>
      </c>
      <c r="CK50" s="633">
        <f>NPV(realdiscrt1,CJ$33:CJ50)/(1+realdiscrt1)^-Half_Year</f>
        <v>0.11177332393963048</v>
      </c>
    </row>
    <row r="51" spans="1:89">
      <c r="A51" s="56">
        <f t="shared" si="50"/>
        <v>19</v>
      </c>
      <c r="B51" s="56">
        <f t="shared" si="49"/>
        <v>2034</v>
      </c>
      <c r="C51" s="62">
        <f t="shared" si="7"/>
        <v>0.11432983850565727</v>
      </c>
      <c r="D51" s="633">
        <f>NPV(realdiscrt1,C$33:C51)/(1+realdiscrt1)^-Half_Year</f>
        <v>1.5600450387187923</v>
      </c>
      <c r="E51" s="62">
        <f t="shared" si="8"/>
        <v>0.10467436557267468</v>
      </c>
      <c r="F51" s="633">
        <f>NPV(realdiscrt1,E$33:E51)/(1+realdiscrt1)^-Half_Year</f>
        <v>1.4368081764850207</v>
      </c>
      <c r="G51" s="62">
        <f t="shared" si="9"/>
        <v>0.12980745813357417</v>
      </c>
      <c r="H51" s="633">
        <f>NPV(realdiscrt1,G$33:G51)/(1+realdiscrt1)^-Half_Year</f>
        <v>1.5465204518278626</v>
      </c>
      <c r="I51" s="62">
        <f t="shared" si="10"/>
        <v>9.5461407563541878E-2</v>
      </c>
      <c r="J51" s="633">
        <f>NPV(realdiscrt1,I$33:I51)/(1+realdiscrt1)^-Half_Year</f>
        <v>1.2173530936856067</v>
      </c>
      <c r="K51" s="63">
        <f t="shared" si="11"/>
        <v>186.64227093630012</v>
      </c>
      <c r="L51" s="633">
        <f>NPV(realdiscrt1,K$33:K51)/(1+realdiscrt1)^-Half_Year</f>
        <v>2879.6285882468583</v>
      </c>
      <c r="M51" s="63">
        <f t="shared" si="12"/>
        <v>0</v>
      </c>
      <c r="N51" s="633">
        <f>NPV(realdiscrt1,M$33:M51)/(1+realdiscrt1)^-Half_Year</f>
        <v>0</v>
      </c>
      <c r="O51" s="624">
        <f t="shared" si="13"/>
        <v>10.739952210274792</v>
      </c>
      <c r="P51" s="633">
        <f>NPV(realdiscrt1,O$33:O51)/(1+realdiscrt1)^-Half_Year</f>
        <v>195.77977297555333</v>
      </c>
      <c r="Q51" s="624">
        <f t="shared" si="14"/>
        <v>84.296373954599773</v>
      </c>
      <c r="R51" s="633">
        <f>NPV(realdiscrt1,Q$33:Q51)/(1+realdiscrt1)^-Half_Year</f>
        <v>1536.6478949231405</v>
      </c>
      <c r="S51" s="63">
        <f t="shared" si="15"/>
        <v>24.163186356869886</v>
      </c>
      <c r="T51" s="633">
        <f>NPV(realdiscrt1,S$33:S51)/(1+realdiscrt1)^-Half_Year</f>
        <v>386.70506408350042</v>
      </c>
      <c r="U51" s="63">
        <f t="shared" si="16"/>
        <v>22.409363780246249</v>
      </c>
      <c r="V51" s="633">
        <f>NPV(realdiscrt1,U$33:U51)/(1+realdiscrt1)^-Half_Year</f>
        <v>356.06889195193952</v>
      </c>
      <c r="W51" s="63">
        <f t="shared" si="17"/>
        <v>21.931643572097073</v>
      </c>
      <c r="X51" s="633">
        <f>NPV(realdiscrt1,W$33:W51)/(1+realdiscrt1)^-Half_Year</f>
        <v>348.23286353837881</v>
      </c>
      <c r="Y51" s="624">
        <f t="shared" si="18"/>
        <v>9.9422925877576773</v>
      </c>
      <c r="Z51" s="633">
        <f>NPV(realdiscrt1,Y$33:Y51)/(1+realdiscrt1)^-Half_Year</f>
        <v>157.32869296760774</v>
      </c>
      <c r="AA51" s="63">
        <f t="shared" si="19"/>
        <v>9.6910068925763664</v>
      </c>
      <c r="AB51" s="633">
        <f>NPV(realdiscrt1,AA$33:AA51)/(1+realdiscrt1)^-Half_Year</f>
        <v>152.8472367848378</v>
      </c>
      <c r="AC51" s="63">
        <f t="shared" si="20"/>
        <v>10.112461623380579</v>
      </c>
      <c r="AD51" s="633">
        <f>NPV(realdiscrt1,AC$33:AC51)/(1+realdiscrt1)^-Half_Year</f>
        <v>160.71228194679014</v>
      </c>
      <c r="AE51" s="63">
        <f t="shared" si="21"/>
        <v>8.4288942494423065</v>
      </c>
      <c r="AF51" s="633">
        <f>NPV(realdiscrt1,AE$33:AE51)/(1+realdiscrt1)^-Half_Year</f>
        <v>129.25687116316553</v>
      </c>
      <c r="AG51" s="63">
        <f t="shared" si="22"/>
        <v>8.6166358147603859</v>
      </c>
      <c r="AH51" s="633">
        <f>NPV(realdiscrt1,AG$33:AG51)/(1+realdiscrt1)^-Half_Year</f>
        <v>132.80427810865726</v>
      </c>
      <c r="AI51" s="63">
        <f t="shared" si="23"/>
        <v>9.4693069349897971</v>
      </c>
      <c r="AJ51" s="633">
        <f>NPV(realdiscrt1,AI$33:AI51)/(1+realdiscrt1)^-Half_Year</f>
        <v>148.81270687873487</v>
      </c>
      <c r="AK51" s="63">
        <f t="shared" si="24"/>
        <v>9.1701690648036287</v>
      </c>
      <c r="AL51" s="633">
        <f>NPV(realdiscrt1,AK$33:AK51)/(1+realdiscrt1)^-Half_Year</f>
        <v>143.09947414842043</v>
      </c>
      <c r="AM51" s="63">
        <f t="shared" si="25"/>
        <v>21.24311381817634</v>
      </c>
      <c r="AN51" s="633">
        <f>NPV(realdiscrt1,AM$33:AM51)/(1+realdiscrt1)^-Half_Year</f>
        <v>358.47754096847956</v>
      </c>
      <c r="AO51" s="624"/>
      <c r="AP51" s="625"/>
      <c r="AQ51" s="63">
        <f t="shared" si="26"/>
        <v>1.0833179284981212E-2</v>
      </c>
      <c r="AR51" s="633">
        <f>NPV(realdiscrt1,AQ$33:AQ51)/(1+realdiscrt1)^-Half_Year</f>
        <v>0.19747921959913667</v>
      </c>
      <c r="AS51" s="634">
        <f t="shared" si="27"/>
        <v>4.5379702334816434E-3</v>
      </c>
      <c r="AT51" s="633">
        <f>NPV(realdiscrt1,AS$33:AS51)/(1+realdiscrt1)^-Half_Year</f>
        <v>8.2723159720477307E-2</v>
      </c>
      <c r="AU51" s="634">
        <f t="shared" si="28"/>
        <v>6.2952090514995698E-3</v>
      </c>
      <c r="AV51" s="633">
        <f>NPV(realdiscrt1,AU$33:AU51)/(1+realdiscrt1)^-Half_Year</f>
        <v>0.1147560598786594</v>
      </c>
      <c r="AW51" s="63">
        <v>1</v>
      </c>
      <c r="AX51" s="633">
        <f>NPV(realdiscrt1,AW$33:AW51)/(1+realdiscrt1)^-Half_Year</f>
        <v>18.229110255095271</v>
      </c>
      <c r="AY51" s="63">
        <f t="shared" si="29"/>
        <v>0</v>
      </c>
      <c r="AZ51" s="633">
        <f>NPV(realdiscrt1,AY$33:AY51)/(1+realdiscrt1)^-Half_Year</f>
        <v>0</v>
      </c>
      <c r="BA51" s="115">
        <f t="shared" si="30"/>
        <v>1.0021975853094038</v>
      </c>
      <c r="BB51" s="74">
        <f t="shared" si="31"/>
        <v>0</v>
      </c>
      <c r="BC51" s="633">
        <f>NPV(realdiscrt1,BB$33:BB51)/(1+realdiscrt1)^-Half_Year</f>
        <v>5.1135576127707048E-2</v>
      </c>
      <c r="BD51" s="74">
        <f t="shared" si="32"/>
        <v>0</v>
      </c>
      <c r="BE51" s="633">
        <f>NPV(realdiscrt1,BD$33:BD51)/(1+realdiscrt1)^-Half_Year</f>
        <v>2.5412454330430462E-2</v>
      </c>
      <c r="BF51" s="74">
        <f t="shared" si="33"/>
        <v>0</v>
      </c>
      <c r="BG51" s="633">
        <f>NPV(realdiscrt1,BF$33:BF51)/(1+realdiscrt1)^-Half_Year</f>
        <v>7.0603876868875926E-2</v>
      </c>
      <c r="BH51" s="74">
        <f t="shared" si="34"/>
        <v>0</v>
      </c>
      <c r="BI51" s="633">
        <f>NPV(realdiscrt1,BH$33:BH51)/(1+realdiscrt1)^-Half_Year</f>
        <v>2.2364805758927186E-2</v>
      </c>
      <c r="BJ51" s="64">
        <f t="shared" si="35"/>
        <v>3.4361282634408609E-2</v>
      </c>
      <c r="BK51" s="633">
        <f>NPV(realdiscrt1,BJ$33:BJ51)/(1+realdiscrt1)^-Half_Year</f>
        <v>0.74523959024705821</v>
      </c>
      <c r="BL51" s="64">
        <f t="shared" si="36"/>
        <v>3.3956635537634415E-2</v>
      </c>
      <c r="BM51" s="633">
        <f>NPV(realdiscrt1,BL$33:BL51)/(1+realdiscrt1)^-Half_Year</f>
        <v>0.73646346160823128</v>
      </c>
      <c r="BN51" s="64">
        <f t="shared" si="37"/>
        <v>3.6620562258064523E-2</v>
      </c>
      <c r="BO51" s="633">
        <f>NPV(realdiscrt1,BN$33:BN51)/(1+realdiscrt1)^-Half_Year</f>
        <v>0.7942396418138421</v>
      </c>
      <c r="BP51" s="64">
        <f t="shared" si="38"/>
        <v>3.5069415053763452E-2</v>
      </c>
      <c r="BQ51" s="633">
        <f>NPV(realdiscrt1,BP$33:BP51)/(1+realdiscrt1)^-Half_Year</f>
        <v>0.76059781536500526</v>
      </c>
      <c r="BR51" s="64">
        <f t="shared" si="39"/>
        <v>0.14005407115292715</v>
      </c>
      <c r="BS51" s="633">
        <f>NPV(realdiscrt1,BR$33:BR51)/(1+realdiscrt1)^-Half_Year</f>
        <v>2.5530611047216669</v>
      </c>
      <c r="BT51" s="64">
        <f t="shared" si="40"/>
        <v>0.21481504614821031</v>
      </c>
      <c r="BU51" s="633">
        <f>NPV(realdiscrt1,BT$33:BT51)/(1+realdiscrt1)^-Half_Year</f>
        <v>16.639148321179363</v>
      </c>
      <c r="BV51" s="64">
        <f t="shared" si="41"/>
        <v>0.11745227463199547</v>
      </c>
      <c r="BW51" s="633">
        <f>NPV(realdiscrt1,BV$33:BV51)/(1+realdiscrt1)^-Half_Year</f>
        <v>14.530450945517769</v>
      </c>
      <c r="BX51" s="64">
        <f t="shared" si="42"/>
        <v>8.5926018459284131E-2</v>
      </c>
      <c r="BY51" s="633">
        <f>NPV(realdiscrt1,BX$33:BX51)/(1+realdiscrt1)^-Half_Year</f>
        <v>13.847650603861926</v>
      </c>
      <c r="BZ51" s="64">
        <f t="shared" si="43"/>
        <v>0.11156462384716534</v>
      </c>
      <c r="CA51" s="633">
        <f>NPV(realdiscrt1,BZ$33:BZ51)/(1+realdiscrt1)^-Half_Year</f>
        <v>14.402935329790713</v>
      </c>
      <c r="CB51" s="64">
        <f t="shared" si="44"/>
        <v>0.17866167388146653</v>
      </c>
      <c r="CC51" s="633">
        <f>NPV(realdiscrt1,CB$33:CB51)/(1+realdiscrt1)^-Half_Year</f>
        <v>15.856133211471821</v>
      </c>
      <c r="CD51" s="64">
        <f t="shared" si="45"/>
        <v>0.11660160704924855</v>
      </c>
      <c r="CE51" s="633">
        <f>NPV(realdiscrt1,CD$33:CD51)/(1+realdiscrt1)^-Half_Year</f>
        <v>14.512027060583478</v>
      </c>
      <c r="CF51" s="64">
        <f t="shared" si="46"/>
        <v>0.14372185625492781</v>
      </c>
      <c r="CG51" s="633">
        <f>NPV(realdiscrt1,CF$33:CF51)/(1+realdiscrt1)^-Half_Year</f>
        <v>15.099401448521681</v>
      </c>
      <c r="CH51" s="636">
        <f t="shared" si="47"/>
        <v>1.2357164001387372E-3</v>
      </c>
      <c r="CI51" s="633">
        <f>NPV(realdiscrt1,CH$33:CH51)/(1+realdiscrt1)^-Half_Year</f>
        <v>7.7681347632883729E-2</v>
      </c>
      <c r="CJ51" s="636">
        <f t="shared" si="48"/>
        <v>1.3312995585695675E-3</v>
      </c>
      <c r="CK51" s="633">
        <f>NPV(realdiscrt1,CJ$33:CJ51)/(1+realdiscrt1)^-Half_Year</f>
        <v>0.1130007681542352</v>
      </c>
    </row>
    <row r="52" spans="1:89">
      <c r="A52" s="56">
        <f t="shared" si="50"/>
        <v>20</v>
      </c>
      <c r="B52" s="56">
        <f t="shared" si="49"/>
        <v>2035</v>
      </c>
      <c r="C52" s="62">
        <f t="shared" si="7"/>
        <v>0.11809196393258206</v>
      </c>
      <c r="D52" s="633">
        <f>NPV(realdiscrt1,C$33:C52)/(1+realdiscrt1)^-Half_Year</f>
        <v>1.6684476181715011</v>
      </c>
      <c r="E52" s="62">
        <f t="shared" si="8"/>
        <v>0.10840784640856355</v>
      </c>
      <c r="F52" s="633">
        <f>NPV(realdiscrt1,E$33:E52)/(1+realdiscrt1)^-Half_Year</f>
        <v>1.536321215241073</v>
      </c>
      <c r="G52" s="62">
        <f t="shared" si="9"/>
        <v>0.13532631258938532</v>
      </c>
      <c r="H52" s="633">
        <f>NPV(realdiscrt1,G$33:G52)/(1+realdiscrt1)^-Half_Year</f>
        <v>1.6707433105558944</v>
      </c>
      <c r="I52" s="62">
        <f t="shared" si="10"/>
        <v>9.9118314227937376E-2</v>
      </c>
      <c r="J52" s="633">
        <f>NPV(realdiscrt1,I$33:I52)/(1+realdiscrt1)^-Half_Year</f>
        <v>1.3083388015653286</v>
      </c>
      <c r="K52" s="63">
        <f t="shared" si="11"/>
        <v>186.64227093630012</v>
      </c>
      <c r="L52" s="633">
        <f>NPV(realdiscrt1,K$33:K52)/(1+realdiscrt1)^-Half_Year</f>
        <v>3050.9569575163955</v>
      </c>
      <c r="M52" s="63">
        <f t="shared" si="12"/>
        <v>0</v>
      </c>
      <c r="N52" s="633">
        <f>NPV(realdiscrt1,M$33:M52)/(1+realdiscrt1)^-Half_Year</f>
        <v>0</v>
      </c>
      <c r="O52" s="624">
        <f t="shared" si="13"/>
        <v>10.739952210274792</v>
      </c>
      <c r="P52" s="633">
        <f>NPV(realdiscrt1,O$33:O52)/(1+realdiscrt1)^-Half_Year</f>
        <v>205.63851766928428</v>
      </c>
      <c r="Q52" s="624">
        <f t="shared" si="14"/>
        <v>84.296373954599773</v>
      </c>
      <c r="R52" s="633">
        <f>NPV(realdiscrt1,Q$33:Q52)/(1+realdiscrt1)^-Half_Year</f>
        <v>1614.0277950525478</v>
      </c>
      <c r="S52" s="63">
        <f t="shared" si="15"/>
        <v>24.478784001008702</v>
      </c>
      <c r="T52" s="633">
        <f>NPV(realdiscrt1,S$33:S52)/(1+realdiscrt1)^-Half_Year</f>
        <v>409.17537653498914</v>
      </c>
      <c r="U52" s="63">
        <f t="shared" si="16"/>
        <v>22.718470164117178</v>
      </c>
      <c r="V52" s="633">
        <f>NPV(realdiscrt1,U$33:U52)/(1+realdiscrt1)^-Half_Year</f>
        <v>376.92332340517265</v>
      </c>
      <c r="W52" s="63">
        <f t="shared" si="17"/>
        <v>22.235220621179749</v>
      </c>
      <c r="X52" s="633">
        <f>NPV(realdiscrt1,W$33:W52)/(1+realdiscrt1)^-Half_Year</f>
        <v>368.64369582339361</v>
      </c>
      <c r="Y52" s="624">
        <f t="shared" si="18"/>
        <v>10.088183119302645</v>
      </c>
      <c r="Z52" s="633">
        <f>NPV(realdiscrt1,Y$33:Y52)/(1+realdiscrt1)^-Half_Year</f>
        <v>166.58914588672425</v>
      </c>
      <c r="AA52" s="63">
        <f t="shared" si="19"/>
        <v>9.8364134272910917</v>
      </c>
      <c r="AB52" s="633">
        <f>NPV(realdiscrt1,AA$33:AA52)/(1+realdiscrt1)^-Half_Year</f>
        <v>161.87657758477872</v>
      </c>
      <c r="AC52" s="63">
        <f t="shared" si="20"/>
        <v>10.256547578313249</v>
      </c>
      <c r="AD52" s="633">
        <f>NPV(realdiscrt1,AC$33:AC52)/(1+realdiscrt1)^-Half_Year</f>
        <v>170.12728510825278</v>
      </c>
      <c r="AE52" s="63">
        <f t="shared" si="21"/>
        <v>8.5790737676727531</v>
      </c>
      <c r="AF52" s="633">
        <f>NPV(realdiscrt1,AE$33:AE52)/(1+realdiscrt1)^-Half_Year</f>
        <v>137.13203637137329</v>
      </c>
      <c r="AG52" s="63">
        <f t="shared" si="22"/>
        <v>8.7661786004606821</v>
      </c>
      <c r="AH52" s="633">
        <f>NPV(realdiscrt1,AG$33:AG52)/(1+realdiscrt1)^-Half_Year</f>
        <v>140.85119629502586</v>
      </c>
      <c r="AI52" s="63">
        <f t="shared" si="23"/>
        <v>9.6149015642340672</v>
      </c>
      <c r="AJ52" s="633">
        <f>NPV(realdiscrt1,AI$33:AI52)/(1+realdiscrt1)^-Half_Year</f>
        <v>157.63871074925979</v>
      </c>
      <c r="AK52" s="63">
        <f t="shared" si="24"/>
        <v>9.3180255029747983</v>
      </c>
      <c r="AL52" s="633">
        <f>NPV(realdiscrt1,AK$33:AK52)/(1+realdiscrt1)^-Half_Year</f>
        <v>151.65296048475787</v>
      </c>
      <c r="AM52" s="63">
        <f t="shared" si="25"/>
        <v>21.388178993628806</v>
      </c>
      <c r="AN52" s="633">
        <f>NPV(realdiscrt1,AM$33:AM52)/(1+realdiscrt1)^-Half_Year</f>
        <v>378.11083095279417</v>
      </c>
      <c r="AO52" s="624"/>
      <c r="AP52" s="625"/>
      <c r="AQ52" s="63">
        <f t="shared" si="26"/>
        <v>1.0833179284981212E-2</v>
      </c>
      <c r="AR52" s="633">
        <f>NPV(realdiscrt1,AQ$33:AQ52)/(1+realdiscrt1)^-Half_Year</f>
        <v>0.20742354213437744</v>
      </c>
      <c r="AS52" s="634">
        <f t="shared" si="27"/>
        <v>4.5379702334816434E-3</v>
      </c>
      <c r="AT52" s="633">
        <f>NPV(realdiscrt1,AS$33:AS52)/(1+realdiscrt1)^-Half_Year</f>
        <v>8.6888791846553723E-2</v>
      </c>
      <c r="AU52" s="634">
        <f t="shared" si="28"/>
        <v>6.2952090514995698E-3</v>
      </c>
      <c r="AV52" s="633">
        <f>NPV(realdiscrt1,AU$33:AU52)/(1+realdiscrt1)^-Half_Year</f>
        <v>0.12053475028782377</v>
      </c>
      <c r="AW52" s="63">
        <v>1</v>
      </c>
      <c r="AX52" s="633">
        <f>NPV(realdiscrt1,AW$33:AW52)/(1+realdiscrt1)^-Half_Year</f>
        <v>19.147060773003457</v>
      </c>
      <c r="AY52" s="63">
        <f t="shared" si="29"/>
        <v>0</v>
      </c>
      <c r="AZ52" s="633">
        <f>NPV(realdiscrt1,AY$33:AY52)/(1+realdiscrt1)^-Half_Year</f>
        <v>0</v>
      </c>
      <c r="BA52" s="115">
        <f t="shared" si="30"/>
        <v>1.0021975853094038</v>
      </c>
      <c r="BB52" s="74">
        <f t="shared" si="31"/>
        <v>0</v>
      </c>
      <c r="BC52" s="633">
        <f>NPV(realdiscrt1,BB$33:BB52)/(1+realdiscrt1)^-Half_Year</f>
        <v>5.1135576127707048E-2</v>
      </c>
      <c r="BD52" s="74">
        <f t="shared" si="32"/>
        <v>0</v>
      </c>
      <c r="BE52" s="633">
        <f>NPV(realdiscrt1,BD$33:BD52)/(1+realdiscrt1)^-Half_Year</f>
        <v>2.5412454330430462E-2</v>
      </c>
      <c r="BF52" s="74">
        <f t="shared" si="33"/>
        <v>0</v>
      </c>
      <c r="BG52" s="633">
        <f>NPV(realdiscrt1,BF$33:BF52)/(1+realdiscrt1)^-Half_Year</f>
        <v>7.0603876868875926E-2</v>
      </c>
      <c r="BH52" s="74">
        <f t="shared" si="34"/>
        <v>0</v>
      </c>
      <c r="BI52" s="633">
        <f>NPV(realdiscrt1,BH$33:BH52)/(1+realdiscrt1)^-Half_Year</f>
        <v>2.2364805758927186E-2</v>
      </c>
      <c r="BJ52" s="64">
        <f t="shared" si="35"/>
        <v>3.4361282634408609E-2</v>
      </c>
      <c r="BK52" s="633">
        <f>NPV(realdiscrt1,BJ$33:BJ52)/(1+realdiscrt1)^-Half_Year</f>
        <v>0.77678154743730332</v>
      </c>
      <c r="BL52" s="64">
        <f t="shared" si="36"/>
        <v>3.3956635537634415E-2</v>
      </c>
      <c r="BM52" s="633">
        <f>NPV(realdiscrt1,BL$33:BL52)/(1+realdiscrt1)^-Half_Year</f>
        <v>0.76763397278642242</v>
      </c>
      <c r="BN52" s="64">
        <f t="shared" si="37"/>
        <v>3.6620562258064523E-2</v>
      </c>
      <c r="BO52" s="633">
        <f>NPV(realdiscrt1,BN$33:BN52)/(1+realdiscrt1)^-Half_Year</f>
        <v>0.82785550590472157</v>
      </c>
      <c r="BP52" s="64">
        <f t="shared" si="38"/>
        <v>3.5069415053763452E-2</v>
      </c>
      <c r="BQ52" s="633">
        <f>NPV(realdiscrt1,BP$33:BP52)/(1+realdiscrt1)^-Half_Year</f>
        <v>0.79278980307634461</v>
      </c>
      <c r="BR52" s="64">
        <f t="shared" si="39"/>
        <v>0.14005407115292715</v>
      </c>
      <c r="BS52" s="633">
        <f>NPV(realdiscrt1,BR$33:BR52)/(1+realdiscrt1)^-Half_Year</f>
        <v>2.6816238118716469</v>
      </c>
      <c r="BT52" s="64">
        <f t="shared" si="40"/>
        <v>0.21481504614821031</v>
      </c>
      <c r="BU52" s="633">
        <f>NPV(realdiscrt1,BT$33:BT52)/(1+realdiscrt1)^-Half_Year</f>
        <v>16.836337904045585</v>
      </c>
      <c r="BV52" s="64">
        <f t="shared" si="41"/>
        <v>0.11745227463199547</v>
      </c>
      <c r="BW52" s="633">
        <f>NPV(realdiscrt1,BV$33:BV52)/(1+realdiscrt1)^-Half_Year</f>
        <v>14.638266321845704</v>
      </c>
      <c r="BX52" s="64">
        <f t="shared" si="42"/>
        <v>8.5926018459284131E-2</v>
      </c>
      <c r="BY52" s="633">
        <f>NPV(realdiscrt1,BX$33:BX52)/(1+realdiscrt1)^-Half_Year</f>
        <v>13.926526437008414</v>
      </c>
      <c r="BZ52" s="64">
        <f t="shared" si="43"/>
        <v>0.11156462384716534</v>
      </c>
      <c r="CA52" s="633">
        <f>NPV(realdiscrt1,BZ$33:BZ52)/(1+realdiscrt1)^-Half_Year</f>
        <v>14.505346134031452</v>
      </c>
      <c r="CB52" s="64">
        <f t="shared" si="44"/>
        <v>0.17866167388146653</v>
      </c>
      <c r="CC52" s="633">
        <f>NPV(realdiscrt1,CB$33:CB52)/(1+realdiscrt1)^-Half_Year</f>
        <v>16.020135787541658</v>
      </c>
      <c r="CD52" s="64">
        <f t="shared" si="45"/>
        <v>0.11660160704924855</v>
      </c>
      <c r="CE52" s="633">
        <f>NPV(realdiscrt1,CD$33:CD52)/(1+realdiscrt1)^-Half_Year</f>
        <v>14.619061566163262</v>
      </c>
      <c r="CF52" s="64">
        <f t="shared" si="46"/>
        <v>0.14372185625492781</v>
      </c>
      <c r="CG52" s="633">
        <f>NPV(realdiscrt1,CF$33:CF52)/(1+realdiscrt1)^-Half_Year</f>
        <v>15.231331000905616</v>
      </c>
      <c r="CH52" s="636">
        <f t="shared" si="47"/>
        <v>1.2357164001387372E-3</v>
      </c>
      <c r="CI52" s="633">
        <f>NPV(realdiscrt1,CH$33:CH52)/(1+realdiscrt1)^-Half_Year</f>
        <v>7.8815674142378708E-2</v>
      </c>
      <c r="CJ52" s="636">
        <f t="shared" si="48"/>
        <v>1.3312995585695675E-3</v>
      </c>
      <c r="CK52" s="633">
        <f>NPV(realdiscrt1,CJ$33:CJ52)/(1+realdiscrt1)^-Half_Year</f>
        <v>0.11422283527351507</v>
      </c>
    </row>
    <row r="53" spans="1:89">
      <c r="A53" s="56">
        <f t="shared" si="50"/>
        <v>21</v>
      </c>
      <c r="B53" s="56">
        <f t="shared" si="49"/>
        <v>2036</v>
      </c>
      <c r="C53" s="62">
        <f t="shared" si="7"/>
        <v>0.12199198292990004</v>
      </c>
      <c r="D53" s="633">
        <f>NPV(realdiscrt1,C$33:C53)/(1+realdiscrt1)^-Half_Year</f>
        <v>1.7799396571113146</v>
      </c>
      <c r="E53" s="62">
        <f t="shared" si="8"/>
        <v>0.11229126052193854</v>
      </c>
      <c r="F53" s="633">
        <f>NPV(realdiscrt1,E$33:E53)/(1+realdiscrt1)^-Half_Year</f>
        <v>1.6389474804269324</v>
      </c>
      <c r="G53" s="62">
        <f t="shared" si="9"/>
        <v>0.1411031254951321</v>
      </c>
      <c r="H53" s="633">
        <f>NPV(realdiscrt1,G$33:G53)/(1+realdiscrt1)^-Half_Year</f>
        <v>1.799701581291379</v>
      </c>
      <c r="I53" s="62">
        <f t="shared" si="10"/>
        <v>0.10293492035515879</v>
      </c>
      <c r="J53" s="633">
        <f>NPV(realdiscrt1,I$33:I53)/(1+realdiscrt1)^-Half_Year</f>
        <v>1.4024140339935007</v>
      </c>
      <c r="K53" s="63">
        <f t="shared" si="11"/>
        <v>186.64227093630012</v>
      </c>
      <c r="L53" s="633">
        <f>NPV(realdiscrt1,K$33:K53)/(1+realdiscrt1)^-Half_Year</f>
        <v>3221.5347843478744</v>
      </c>
      <c r="M53" s="63">
        <f t="shared" si="12"/>
        <v>0</v>
      </c>
      <c r="N53" s="633">
        <f>NPV(realdiscrt1,M$33:M53)/(1+realdiscrt1)^-Half_Year</f>
        <v>0</v>
      </c>
      <c r="O53" s="624">
        <f t="shared" si="13"/>
        <v>10.739952210274792</v>
      </c>
      <c r="P53" s="633">
        <f>NPV(realdiscrt1,O$33:O53)/(1+realdiscrt1)^-Half_Year</f>
        <v>215.45407391553172</v>
      </c>
      <c r="Q53" s="624">
        <f t="shared" si="14"/>
        <v>84.296373954599773</v>
      </c>
      <c r="R53" s="633">
        <f>NPV(realdiscrt1,Q$33:Q53)/(1+realdiscrt1)^-Half_Year</f>
        <v>1691.0687151335985</v>
      </c>
      <c r="S53" s="63">
        <f t="shared" si="15"/>
        <v>24.798503695588838</v>
      </c>
      <c r="T53" s="633">
        <f>NPV(realdiscrt1,S$33:S53)/(1+realdiscrt1)^-Half_Year</f>
        <v>431.83945390527373</v>
      </c>
      <c r="U53" s="63">
        <f t="shared" si="16"/>
        <v>23.031841691372044</v>
      </c>
      <c r="V53" s="633">
        <f>NPV(realdiscrt1,U$33:U53)/(1+realdiscrt1)^-Half_Year</f>
        <v>397.97279673151115</v>
      </c>
      <c r="W53" s="63">
        <f t="shared" si="17"/>
        <v>22.543002427169778</v>
      </c>
      <c r="X53" s="633">
        <f>NPV(realdiscrt1,W$33:W53)/(1+realdiscrt1)^-Half_Year</f>
        <v>389.24640465774854</v>
      </c>
      <c r="Y53" s="624">
        <f t="shared" si="18"/>
        <v>10.236214409330289</v>
      </c>
      <c r="Z53" s="633">
        <f>NPV(realdiscrt1,Y$33:Y53)/(1+realdiscrt1)^-Half_Year</f>
        <v>175.94432143278561</v>
      </c>
      <c r="AA53" s="63">
        <f t="shared" si="19"/>
        <v>9.9840016816735577</v>
      </c>
      <c r="AB53" s="633">
        <f>NPV(realdiscrt1,AA$33:AA53)/(1+realdiscrt1)^-Half_Year</f>
        <v>171.00124854703327</v>
      </c>
      <c r="AC53" s="63">
        <f t="shared" si="20"/>
        <v>10.40268652125043</v>
      </c>
      <c r="AD53" s="633">
        <f>NPV(realdiscrt1,AC$33:AC53)/(1+realdiscrt1)^-Half_Year</f>
        <v>179.63460438326112</v>
      </c>
      <c r="AE53" s="63">
        <f t="shared" si="21"/>
        <v>8.731929068399511</v>
      </c>
      <c r="AF53" s="633">
        <f>NPV(realdiscrt1,AE$33:AE53)/(1+realdiscrt1)^-Half_Year</f>
        <v>145.11240157515155</v>
      </c>
      <c r="AG53" s="63">
        <f t="shared" si="22"/>
        <v>8.9183167197964917</v>
      </c>
      <c r="AH53" s="633">
        <f>NPV(realdiscrt1,AG$33:AG53)/(1+realdiscrt1)^-Half_Year</f>
        <v>149.00190662139627</v>
      </c>
      <c r="AI53" s="63">
        <f t="shared" si="23"/>
        <v>9.7627347729446381</v>
      </c>
      <c r="AJ53" s="633">
        <f>NPV(realdiscrt1,AI$33:AI53)/(1+realdiscrt1)^-Half_Year</f>
        <v>166.56115941615028</v>
      </c>
      <c r="AK53" s="63">
        <f t="shared" si="24"/>
        <v>9.4682659240533908</v>
      </c>
      <c r="AL53" s="633">
        <f>NPV(realdiscrt1,AK$33:AK53)/(1+realdiscrt1)^-Half_Year</f>
        <v>160.30628546352852</v>
      </c>
      <c r="AM53" s="63">
        <f t="shared" si="25"/>
        <v>21.534234791515875</v>
      </c>
      <c r="AN53" s="633">
        <f>NPV(realdiscrt1,AM$33:AM53)/(1+realdiscrt1)^-Half_Year</f>
        <v>397.79159755935393</v>
      </c>
      <c r="AO53" s="624"/>
      <c r="AP53" s="625"/>
      <c r="AQ53" s="63">
        <f t="shared" si="26"/>
        <v>1.0833179284981212E-2</v>
      </c>
      <c r="AR53" s="633">
        <f>NPV(realdiscrt1,AQ$33:AQ53)/(1+realdiscrt1)^-Half_Year</f>
        <v>0.21732430132916117</v>
      </c>
      <c r="AS53" s="634">
        <f t="shared" si="27"/>
        <v>4.5379702334816434E-3</v>
      </c>
      <c r="AT53" s="633">
        <f>NPV(realdiscrt1,AS$33:AS53)/(1+realdiscrt1)^-Half_Year</f>
        <v>9.1036175484622645E-2</v>
      </c>
      <c r="AU53" s="634">
        <f t="shared" si="28"/>
        <v>6.2952090514995698E-3</v>
      </c>
      <c r="AV53" s="633">
        <f>NPV(realdiscrt1,AU$33:AU53)/(1+realdiscrt1)^-Half_Year</f>
        <v>0.12628812584453858</v>
      </c>
      <c r="AW53" s="63">
        <v>1</v>
      </c>
      <c r="AX53" s="633">
        <f>NPV(realdiscrt1,AW$33:AW53)/(1+realdiscrt1)^-Half_Year</f>
        <v>20.060990002302731</v>
      </c>
      <c r="AY53" s="63">
        <f t="shared" si="29"/>
        <v>0</v>
      </c>
      <c r="AZ53" s="633">
        <f>NPV(realdiscrt1,AY$33:AY53)/(1+realdiscrt1)^-Half_Year</f>
        <v>0</v>
      </c>
      <c r="BA53" s="115">
        <f t="shared" si="30"/>
        <v>1.0021975853094038</v>
      </c>
      <c r="BB53" s="74">
        <f t="shared" si="31"/>
        <v>0</v>
      </c>
      <c r="BC53" s="633">
        <f>NPV(realdiscrt1,BB$33:BB53)/(1+realdiscrt1)^-Half_Year</f>
        <v>5.1135576127707048E-2</v>
      </c>
      <c r="BD53" s="74">
        <f t="shared" si="32"/>
        <v>0</v>
      </c>
      <c r="BE53" s="633">
        <f>NPV(realdiscrt1,BD$33:BD53)/(1+realdiscrt1)^-Half_Year</f>
        <v>2.5412454330430462E-2</v>
      </c>
      <c r="BF53" s="74">
        <f t="shared" si="33"/>
        <v>0</v>
      </c>
      <c r="BG53" s="633">
        <f>NPV(realdiscrt1,BF$33:BF53)/(1+realdiscrt1)^-Half_Year</f>
        <v>7.0603876868875926E-2</v>
      </c>
      <c r="BH53" s="74">
        <f t="shared" si="34"/>
        <v>0</v>
      </c>
      <c r="BI53" s="633">
        <f>NPV(realdiscrt1,BH$33:BH53)/(1+realdiscrt1)^-Half_Year</f>
        <v>2.2364805758927186E-2</v>
      </c>
      <c r="BJ53" s="64">
        <f t="shared" si="35"/>
        <v>3.4361282634408609E-2</v>
      </c>
      <c r="BK53" s="633">
        <f>NPV(realdiscrt1,BJ$33:BJ53)/(1+realdiscrt1)^-Half_Year</f>
        <v>0.80818532799310283</v>
      </c>
      <c r="BL53" s="64">
        <f t="shared" si="36"/>
        <v>3.3956635537634415E-2</v>
      </c>
      <c r="BM53" s="633">
        <f>NPV(realdiscrt1,BL$33:BL53)/(1+realdiscrt1)^-Half_Year</f>
        <v>0.79866793453292895</v>
      </c>
      <c r="BN53" s="64">
        <f t="shared" si="37"/>
        <v>3.6620562258064523E-2</v>
      </c>
      <c r="BO53" s="633">
        <f>NPV(realdiscrt1,BN$33:BN53)/(1+realdiscrt1)^-Half_Year</f>
        <v>0.86132410814574045</v>
      </c>
      <c r="BP53" s="64">
        <f t="shared" si="38"/>
        <v>3.5069415053763452E-2</v>
      </c>
      <c r="BQ53" s="633">
        <f>NPV(realdiscrt1,BP$33:BP53)/(1+realdiscrt1)^-Half_Year</f>
        <v>0.82484076654840699</v>
      </c>
      <c r="BR53" s="64">
        <f t="shared" si="39"/>
        <v>0.14005407115292715</v>
      </c>
      <c r="BS53" s="633">
        <f>NPV(realdiscrt1,BR$33:BR53)/(1+realdiscrt1)^-Half_Year</f>
        <v>2.8096233211806672</v>
      </c>
      <c r="BT53" s="64">
        <f t="shared" si="40"/>
        <v>0.21481504614821031</v>
      </c>
      <c r="BU53" s="633">
        <f>NPV(realdiscrt1,BT$33:BT53)/(1+realdiscrt1)^-Half_Year</f>
        <v>17.03266365361371</v>
      </c>
      <c r="BV53" s="64">
        <f t="shared" si="41"/>
        <v>0.11745227463199547</v>
      </c>
      <c r="BW53" s="633">
        <f>NPV(realdiscrt1,BV$33:BV53)/(1+realdiscrt1)^-Half_Year</f>
        <v>14.74560938867957</v>
      </c>
      <c r="BX53" s="64">
        <f t="shared" si="42"/>
        <v>8.5926018459284131E-2</v>
      </c>
      <c r="BY53" s="633">
        <f>NPV(realdiscrt1,BX$33:BX53)/(1+realdiscrt1)^-Half_Year</f>
        <v>14.005056736835662</v>
      </c>
      <c r="BZ53" s="64">
        <f t="shared" si="43"/>
        <v>0.11156462384716534</v>
      </c>
      <c r="CA53" s="633">
        <f>NPV(realdiscrt1,BZ$33:BZ53)/(1+realdiscrt1)^-Half_Year</f>
        <v>14.607308304721155</v>
      </c>
      <c r="CB53" s="64">
        <f t="shared" si="44"/>
        <v>0.17866167388146653</v>
      </c>
      <c r="CC53" s="633">
        <f>NPV(realdiscrt1,CB$33:CB53)/(1+realdiscrt1)^-Half_Year</f>
        <v>16.183419913457463</v>
      </c>
      <c r="CD53" s="64">
        <f t="shared" si="45"/>
        <v>0.11660160704924855</v>
      </c>
      <c r="CE53" s="633">
        <f>NPV(realdiscrt1,CD$33:CD53)/(1+realdiscrt1)^-Half_Year</f>
        <v>14.725627183028838</v>
      </c>
      <c r="CF53" s="64">
        <f t="shared" si="46"/>
        <v>0.14372185625492781</v>
      </c>
      <c r="CG53" s="633">
        <f>NPV(realdiscrt1,CF$33:CF53)/(1+realdiscrt1)^-Half_Year</f>
        <v>15.362682606226143</v>
      </c>
      <c r="CH53" s="636">
        <f t="shared" si="47"/>
        <v>1.2357164001387372E-3</v>
      </c>
      <c r="CI53" s="633">
        <f>NPV(realdiscrt1,CH$33:CH53)/(1+realdiscrt1)^-Half_Year</f>
        <v>7.9945031479589992E-2</v>
      </c>
      <c r="CJ53" s="636">
        <f t="shared" si="48"/>
        <v>1.3312995585695675E-3</v>
      </c>
      <c r="CK53" s="633">
        <f>NPV(realdiscrt1,CJ$33:CJ53)/(1+realdiscrt1)^-Half_Year</f>
        <v>0.11543954885304501</v>
      </c>
    </row>
    <row r="54" spans="1:89">
      <c r="A54" s="56">
        <f t="shared" si="50"/>
        <v>22</v>
      </c>
      <c r="B54" s="56">
        <f t="shared" si="49"/>
        <v>2037</v>
      </c>
      <c r="C54" s="62">
        <f t="shared" si="7"/>
        <v>0.1260349542389336</v>
      </c>
      <c r="D54" s="633">
        <f>NPV(realdiscrt1,C$33:C54)/(1+realdiscrt1)^-Half_Year</f>
        <v>1.8946220830296319</v>
      </c>
      <c r="E54" s="62">
        <f t="shared" si="8"/>
        <v>0.1163306346735805</v>
      </c>
      <c r="F54" s="633">
        <f>NPV(realdiscrt1,E$33:E54)/(1+realdiscrt1)^-Half_Year</f>
        <v>1.7447996979609033</v>
      </c>
      <c r="G54" s="62">
        <f t="shared" si="9"/>
        <v>0.1471499620251919</v>
      </c>
      <c r="H54" s="633">
        <f>NPV(realdiscrt1,G$33:G54)/(1+realdiscrt1)^-Half_Year</f>
        <v>1.933597092427481</v>
      </c>
      <c r="I54" s="62">
        <f t="shared" si="10"/>
        <v>0.1069182068696212</v>
      </c>
      <c r="J54" s="633">
        <f>NPV(realdiscrt1,I$33:I54)/(1+realdiscrt1)^-Half_Year</f>
        <v>1.4997016429166519</v>
      </c>
      <c r="K54" s="63">
        <f t="shared" si="11"/>
        <v>186.64227093630012</v>
      </c>
      <c r="L54" s="633">
        <f>NPV(realdiscrt1,K$33:K54)/(1+realdiscrt1)^-Half_Year</f>
        <v>3391.3653566611747</v>
      </c>
      <c r="M54" s="63">
        <f t="shared" si="12"/>
        <v>0</v>
      </c>
      <c r="N54" s="633">
        <f>NPV(realdiscrt1,M$33:M54)/(1+realdiscrt1)^-Half_Year</f>
        <v>0</v>
      </c>
      <c r="O54" s="624">
        <f t="shared" si="13"/>
        <v>10.739952210274792</v>
      </c>
      <c r="P54" s="633">
        <f>NPV(realdiscrt1,O$33:O54)/(1+realdiscrt1)^-Half_Year</f>
        <v>225.22663091099915</v>
      </c>
      <c r="Q54" s="624">
        <f t="shared" si="14"/>
        <v>84.296373954599773</v>
      </c>
      <c r="R54" s="633">
        <f>NPV(realdiscrt1,Q$33:Q54)/(1+realdiscrt1)^-Half_Year</f>
        <v>1767.7721401446008</v>
      </c>
      <c r="S54" s="63">
        <f t="shared" si="15"/>
        <v>25.122399279097859</v>
      </c>
      <c r="T54" s="633">
        <f>NPV(realdiscrt1,S$33:S54)/(1+realdiscrt1)^-Half_Year</f>
        <v>454.6989670586932</v>
      </c>
      <c r="U54" s="63">
        <f t="shared" si="16"/>
        <v>23.349537234509231</v>
      </c>
      <c r="V54" s="633">
        <f>NPV(realdiscrt1,U$33:U54)/(1+realdiscrt1)^-Half_Year</f>
        <v>419.21913740179161</v>
      </c>
      <c r="W54" s="63">
        <f t="shared" si="17"/>
        <v>22.855047266767318</v>
      </c>
      <c r="X54" s="633">
        <f>NPV(realdiscrt1,W$33:W54)/(1+realdiscrt1)^-Half_Year</f>
        <v>410.04279626877513</v>
      </c>
      <c r="Y54" s="624">
        <f t="shared" si="18"/>
        <v>10.386417870755707</v>
      </c>
      <c r="Z54" s="633">
        <f>NPV(realdiscrt1,Y$33:Y54)/(1+realdiscrt1)^-Half_Year</f>
        <v>185.39518849750078</v>
      </c>
      <c r="AA54" s="63">
        <f t="shared" si="19"/>
        <v>10.133804390846146</v>
      </c>
      <c r="AB54" s="633">
        <f>NPV(realdiscrt1,AA$33:AA54)/(1+realdiscrt1)^-Half_Year</f>
        <v>180.22225615037419</v>
      </c>
      <c r="AC54" s="63">
        <f t="shared" si="20"/>
        <v>10.550907703896414</v>
      </c>
      <c r="AD54" s="633">
        <f>NPV(realdiscrt1,AC$33:AC54)/(1+realdiscrt1)^-Half_Year</f>
        <v>189.23514495099289</v>
      </c>
      <c r="AE54" s="63">
        <f t="shared" si="21"/>
        <v>8.8875078266454608</v>
      </c>
      <c r="AF54" s="633">
        <f>NPV(realdiscrt1,AE$33:AE54)/(1+realdiscrt1)^-Half_Year</f>
        <v>153.19937208331299</v>
      </c>
      <c r="AG54" s="63">
        <f t="shared" si="22"/>
        <v>9.073095215105683</v>
      </c>
      <c r="AH54" s="633">
        <f>NPV(realdiscrt1,AG$33:AG54)/(1+realdiscrt1)^-Half_Year</f>
        <v>157.25774783734653</v>
      </c>
      <c r="AI54" s="63">
        <f t="shared" si="23"/>
        <v>9.9128409802347228</v>
      </c>
      <c r="AJ54" s="633">
        <f>NPV(realdiscrt1,AI$33:AI54)/(1+realdiscrt1)^-Half_Year</f>
        <v>175.58110676504731</v>
      </c>
      <c r="AK54" s="63">
        <f t="shared" si="24"/>
        <v>9.6209287665042655</v>
      </c>
      <c r="AL54" s="633">
        <f>NPV(realdiscrt1,AK$33:AK54)/(1+realdiscrt1)^-Half_Year</f>
        <v>169.06061442879579</v>
      </c>
      <c r="AM54" s="63">
        <f t="shared" si="25"/>
        <v>21.68128797660934</v>
      </c>
      <c r="AN54" s="633">
        <f>NPV(realdiscrt1,AM$33:AM54)/(1+realdiscrt1)^-Half_Year</f>
        <v>417.51995559467667</v>
      </c>
      <c r="AO54" s="624"/>
      <c r="AP54" s="625"/>
      <c r="AQ54" s="63">
        <f t="shared" si="26"/>
        <v>1.0833179284981212E-2</v>
      </c>
      <c r="AR54" s="633">
        <f>NPV(realdiscrt1,AQ$33:AQ54)/(1+realdiscrt1)^-Half_Year</f>
        <v>0.22718168802249422</v>
      </c>
      <c r="AS54" s="634">
        <f t="shared" si="27"/>
        <v>4.5379702334816434E-3</v>
      </c>
      <c r="AT54" s="633">
        <f>NPV(realdiscrt1,AS$33:AS54)/(1+realdiscrt1)^-Half_Year</f>
        <v>9.5165390576288228E-2</v>
      </c>
      <c r="AU54" s="634">
        <f t="shared" si="28"/>
        <v>6.2952090514995698E-3</v>
      </c>
      <c r="AV54" s="633">
        <f>NPV(realdiscrt1,AU$33:AU54)/(1+realdiscrt1)^-Half_Year</f>
        <v>0.13201629744620608</v>
      </c>
      <c r="AW54" s="63">
        <v>1</v>
      </c>
      <c r="AX54" s="633">
        <f>NPV(realdiscrt1,AW$33:AW54)/(1+realdiscrt1)^-Half_Year</f>
        <v>20.970915559151866</v>
      </c>
      <c r="AY54" s="63">
        <f t="shared" si="29"/>
        <v>0</v>
      </c>
      <c r="AZ54" s="633">
        <f>NPV(realdiscrt1,AY$33:AY54)/(1+realdiscrt1)^-Half_Year</f>
        <v>0</v>
      </c>
      <c r="BA54" s="115">
        <f t="shared" si="30"/>
        <v>1.0021975853094038</v>
      </c>
      <c r="BB54" s="74">
        <f t="shared" si="31"/>
        <v>0</v>
      </c>
      <c r="BC54" s="633">
        <f>NPV(realdiscrt1,BB$33:BB54)/(1+realdiscrt1)^-Half_Year</f>
        <v>5.1135576127707048E-2</v>
      </c>
      <c r="BD54" s="74">
        <f t="shared" si="32"/>
        <v>0</v>
      </c>
      <c r="BE54" s="633">
        <f>NPV(realdiscrt1,BD$33:BD54)/(1+realdiscrt1)^-Half_Year</f>
        <v>2.5412454330430462E-2</v>
      </c>
      <c r="BF54" s="74">
        <f t="shared" si="33"/>
        <v>0</v>
      </c>
      <c r="BG54" s="633">
        <f>NPV(realdiscrt1,BF$33:BF54)/(1+realdiscrt1)^-Half_Year</f>
        <v>7.0603876868875926E-2</v>
      </c>
      <c r="BH54" s="74">
        <f t="shared" si="34"/>
        <v>0</v>
      </c>
      <c r="BI54" s="633">
        <f>NPV(realdiscrt1,BH$33:BH54)/(1+realdiscrt1)^-Half_Year</f>
        <v>2.2364805758927186E-2</v>
      </c>
      <c r="BJ54" s="64">
        <f t="shared" si="35"/>
        <v>3.4361282634408609E-2</v>
      </c>
      <c r="BK54" s="633">
        <f>NPV(realdiscrt1,BJ$33:BJ54)/(1+realdiscrt1)^-Half_Year</f>
        <v>0.8394515372282676</v>
      </c>
      <c r="BL54" s="64">
        <f t="shared" si="36"/>
        <v>3.3956635537634415E-2</v>
      </c>
      <c r="BM54" s="633">
        <f>NPV(realdiscrt1,BL$33:BL54)/(1+realdiscrt1)^-Half_Year</f>
        <v>0.829565945033234</v>
      </c>
      <c r="BN54" s="64">
        <f t="shared" si="37"/>
        <v>3.6620562258064523E-2</v>
      </c>
      <c r="BO54" s="633">
        <f>NPV(realdiscrt1,BN$33:BN54)/(1+realdiscrt1)^-Half_Year</f>
        <v>0.89464609365053838</v>
      </c>
      <c r="BP54" s="64">
        <f t="shared" si="38"/>
        <v>3.5069415053763452E-2</v>
      </c>
      <c r="BQ54" s="633">
        <f>NPV(realdiscrt1,BP$33:BP54)/(1+realdiscrt1)^-Half_Year</f>
        <v>0.85675132356957628</v>
      </c>
      <c r="BR54" s="64">
        <f t="shared" si="39"/>
        <v>0.14005407115292715</v>
      </c>
      <c r="BS54" s="633">
        <f>NPV(realdiscrt1,BR$33:BR54)/(1+realdiscrt1)^-Half_Year</f>
        <v>2.9370620998634824</v>
      </c>
      <c r="BT54" s="64">
        <f t="shared" si="40"/>
        <v>0.21481504614821031</v>
      </c>
      <c r="BU54" s="633">
        <f>NPV(realdiscrt1,BT$33:BT54)/(1+realdiscrt1)^-Half_Year</f>
        <v>17.228129354099693</v>
      </c>
      <c r="BV54" s="64">
        <f t="shared" si="41"/>
        <v>0.11745227463199547</v>
      </c>
      <c r="BW54" s="633">
        <f>NPV(realdiscrt1,BV$33:BV54)/(1+realdiscrt1)^-Half_Year</f>
        <v>14.852482215077286</v>
      </c>
      <c r="BX54" s="64">
        <f t="shared" si="42"/>
        <v>8.5926018459284131E-2</v>
      </c>
      <c r="BY54" s="633">
        <f>NPV(realdiscrt1,BX$33:BX54)/(1+realdiscrt1)^-Half_Year</f>
        <v>14.083243017030057</v>
      </c>
      <c r="BZ54" s="64">
        <f t="shared" si="43"/>
        <v>0.11156462384716534</v>
      </c>
      <c r="CA54" s="633">
        <f>NPV(realdiscrt1,BZ$33:BZ54)/(1+realdiscrt1)^-Half_Year</f>
        <v>14.70882380719995</v>
      </c>
      <c r="CB54" s="64">
        <f t="shared" si="44"/>
        <v>0.17866167388146653</v>
      </c>
      <c r="CC54" s="633">
        <f>NPV(realdiscrt1,CB$33:CB54)/(1+realdiscrt1)^-Half_Year</f>
        <v>16.345988736551657</v>
      </c>
      <c r="CD54" s="64">
        <f t="shared" si="45"/>
        <v>0.11660160704924855</v>
      </c>
      <c r="CE54" s="633">
        <f>NPV(realdiscrt1,CD$33:CD54)/(1+realdiscrt1)^-Half_Year</f>
        <v>14.831725965252629</v>
      </c>
      <c r="CF54" s="64">
        <f t="shared" si="46"/>
        <v>0.14372185625492781</v>
      </c>
      <c r="CG54" s="633">
        <f>NPV(realdiscrt1,CF$33:CF54)/(1+realdiscrt1)^-Half_Year</f>
        <v>15.4934587963103</v>
      </c>
      <c r="CH54" s="636">
        <f t="shared" si="47"/>
        <v>1.2357164001387372E-3</v>
      </c>
      <c r="CI54" s="633">
        <f>NPV(realdiscrt1,CH$33:CH54)/(1+realdiscrt1)^-Half_Year</f>
        <v>8.1069441413093829E-2</v>
      </c>
      <c r="CJ54" s="636">
        <f t="shared" si="48"/>
        <v>1.3312995585695675E-3</v>
      </c>
      <c r="CK54" s="633">
        <f>NPV(realdiscrt1,CJ$33:CJ54)/(1+realdiscrt1)^-Half_Year</f>
        <v>0.11665093234520943</v>
      </c>
    </row>
    <row r="55" spans="1:89">
      <c r="A55" s="56">
        <f t="shared" si="50"/>
        <v>23</v>
      </c>
      <c r="B55" s="56">
        <f t="shared" si="49"/>
        <v>2038</v>
      </c>
      <c r="C55" s="62">
        <f t="shared" si="7"/>
        <v>0.13022612220826574</v>
      </c>
      <c r="D55" s="633">
        <f>NPV(realdiscrt1,C$33:C55)/(1+realdiscrt1)^-Half_Year</f>
        <v>2.0125990610928137</v>
      </c>
      <c r="E55" s="62">
        <f t="shared" si="8"/>
        <v>0.12053223790617558</v>
      </c>
      <c r="F55" s="633">
        <f>NPV(realdiscrt1,E$33:E55)/(1+realdiscrt1)^-Half_Year</f>
        <v>1.8539946040690767</v>
      </c>
      <c r="G55" s="62">
        <f t="shared" si="9"/>
        <v>0.15347945170374908</v>
      </c>
      <c r="H55" s="633">
        <f>NPV(realdiscrt1,G$33:G55)/(1+realdiscrt1)^-Half_Year</f>
        <v>2.0726401784056114</v>
      </c>
      <c r="I55" s="62">
        <f t="shared" si="10"/>
        <v>0.11107545988660424</v>
      </c>
      <c r="J55" s="633">
        <f>NPV(realdiscrt1,I$33:I55)/(1+realdiscrt1)^-Half_Year</f>
        <v>1.6003292809986831</v>
      </c>
      <c r="K55" s="63">
        <f t="shared" si="11"/>
        <v>186.64227093630012</v>
      </c>
      <c r="L55" s="633">
        <f>NPV(realdiscrt1,K$33:K55)/(1+realdiscrt1)^-Half_Year</f>
        <v>3560.4519479727046</v>
      </c>
      <c r="M55" s="63">
        <f t="shared" si="12"/>
        <v>0</v>
      </c>
      <c r="N55" s="633">
        <f>NPV(realdiscrt1,M$33:M55)/(1+realdiscrt1)^-Half_Year</f>
        <v>0</v>
      </c>
      <c r="O55" s="624">
        <f t="shared" si="13"/>
        <v>10.739952210274792</v>
      </c>
      <c r="P55" s="633">
        <f>NPV(realdiscrt1,O$33:O55)/(1+realdiscrt1)^-Half_Year</f>
        <v>234.95637702357121</v>
      </c>
      <c r="Q55" s="624">
        <f t="shared" si="14"/>
        <v>84.296373954599773</v>
      </c>
      <c r="R55" s="633">
        <f>NPV(realdiscrt1,Q$33:Q55)/(1+realdiscrt1)^-Half_Year</f>
        <v>1844.1395485585815</v>
      </c>
      <c r="S55" s="63">
        <f t="shared" si="15"/>
        <v>25.45052529321287</v>
      </c>
      <c r="T55" s="633">
        <f>NPV(realdiscrt1,S$33:S55)/(1+realdiscrt1)^-Half_Year</f>
        <v>477.75560126770336</v>
      </c>
      <c r="U55" s="63">
        <f t="shared" si="16"/>
        <v>23.671616478952242</v>
      </c>
      <c r="V55" s="633">
        <f>NPV(realdiscrt1,U$33:U55)/(1+realdiscrt1)^-Half_Year</f>
        <v>440.66418798535369</v>
      </c>
      <c r="W55" s="63">
        <f t="shared" si="17"/>
        <v>23.171414224909796</v>
      </c>
      <c r="X55" s="633">
        <f>NPV(realdiscrt1,W$33:W55)/(1+realdiscrt1)^-Half_Year</f>
        <v>431.03469391073355</v>
      </c>
      <c r="Y55" s="624">
        <f t="shared" si="18"/>
        <v>10.538825377438677</v>
      </c>
      <c r="Z55" s="633">
        <f>NPV(realdiscrt1,Y$33:Y55)/(1+realdiscrt1)^-Half_Year</f>
        <v>194.94272588310582</v>
      </c>
      <c r="AA55" s="63">
        <f t="shared" si="19"/>
        <v>10.285854781098017</v>
      </c>
      <c r="AB55" s="633">
        <f>NPV(realdiscrt1,AA$33:AA55)/(1+realdiscrt1)^-Half_Year</f>
        <v>189.5406174997967</v>
      </c>
      <c r="AC55" s="63">
        <f t="shared" si="20"/>
        <v>10.701240794744196</v>
      </c>
      <c r="AD55" s="633">
        <f>NPV(realdiscrt1,AC$33:AC55)/(1+realdiscrt1)^-Half_Year</f>
        <v>198.92982086610075</v>
      </c>
      <c r="AE55" s="63">
        <f t="shared" si="21"/>
        <v>9.0458585668701623</v>
      </c>
      <c r="AF55" s="633">
        <f>NPV(realdiscrt1,AE$33:AE55)/(1+realdiscrt1)^-Half_Year</f>
        <v>161.3943719774168</v>
      </c>
      <c r="AG55" s="63">
        <f t="shared" si="22"/>
        <v>9.2305599104414995</v>
      </c>
      <c r="AH55" s="633">
        <f>NPV(realdiscrt1,AG$33:AG55)/(1+realdiscrt1)^-Half_Year</f>
        <v>165.62007596014402</v>
      </c>
      <c r="AI55" s="63">
        <f t="shared" si="23"/>
        <v>10.065255134426064</v>
      </c>
      <c r="AJ55" s="633">
        <f>NPV(realdiscrt1,AI$33:AI55)/(1+realdiscrt1)^-Half_Year</f>
        <v>184.69961819776461</v>
      </c>
      <c r="AK55" s="63">
        <f t="shared" si="24"/>
        <v>9.7760530885599728</v>
      </c>
      <c r="AL55" s="633">
        <f>NPV(realdiscrt1,AK$33:AK55)/(1+realdiscrt1)^-Half_Year</f>
        <v>177.91712632683905</v>
      </c>
      <c r="AM55" s="63">
        <f t="shared" si="25"/>
        <v>21.829345359876342</v>
      </c>
      <c r="AN55" s="633">
        <f>NPV(realdiscrt1,AM$33:AM55)/(1+realdiscrt1)^-Half_Year</f>
        <v>437.29602014290208</v>
      </c>
      <c r="AO55" s="624"/>
      <c r="AP55" s="625"/>
      <c r="AQ55" s="63">
        <f t="shared" si="26"/>
        <v>1.0833179284981212E-2</v>
      </c>
      <c r="AR55" s="633">
        <f>NPV(realdiscrt1,AQ$33:AQ55)/(1+realdiscrt1)^-Half_Year</f>
        <v>0.23699589221736983</v>
      </c>
      <c r="AS55" s="634">
        <f t="shared" si="27"/>
        <v>4.5379702334816434E-3</v>
      </c>
      <c r="AT55" s="633">
        <f>NPV(realdiscrt1,AS$33:AS55)/(1+realdiscrt1)^-Half_Year</f>
        <v>9.9276516712952498E-2</v>
      </c>
      <c r="AU55" s="634">
        <f t="shared" si="28"/>
        <v>6.2952090514995698E-3</v>
      </c>
      <c r="AV55" s="633">
        <f>NPV(realdiscrt1,AU$33:AU55)/(1+realdiscrt1)^-Half_Year</f>
        <v>0.1377193755044174</v>
      </c>
      <c r="AW55" s="63">
        <v>1</v>
      </c>
      <c r="AX55" s="633">
        <f>NPV(realdiscrt1,AW$33:AW55)/(1+realdiscrt1)^-Half_Year</f>
        <v>21.876854982538106</v>
      </c>
      <c r="AY55" s="63">
        <f t="shared" si="29"/>
        <v>0</v>
      </c>
      <c r="AZ55" s="633">
        <f>NPV(realdiscrt1,AY$33:AY55)/(1+realdiscrt1)^-Half_Year</f>
        <v>0</v>
      </c>
      <c r="BA55" s="115">
        <f t="shared" si="30"/>
        <v>1.0021975853094038</v>
      </c>
      <c r="BB55" s="74">
        <f t="shared" si="31"/>
        <v>0</v>
      </c>
      <c r="BC55" s="633">
        <f>NPV(realdiscrt1,BB$33:BB55)/(1+realdiscrt1)^-Half_Year</f>
        <v>5.1135576127707048E-2</v>
      </c>
      <c r="BD55" s="74">
        <f t="shared" si="32"/>
        <v>0</v>
      </c>
      <c r="BE55" s="633">
        <f>NPV(realdiscrt1,BD$33:BD55)/(1+realdiscrt1)^-Half_Year</f>
        <v>2.5412454330430462E-2</v>
      </c>
      <c r="BF55" s="74">
        <f t="shared" si="33"/>
        <v>0</v>
      </c>
      <c r="BG55" s="633">
        <f>NPV(realdiscrt1,BF$33:BF55)/(1+realdiscrt1)^-Half_Year</f>
        <v>7.0603876868875926E-2</v>
      </c>
      <c r="BH55" s="74">
        <f t="shared" si="34"/>
        <v>0</v>
      </c>
      <c r="BI55" s="633">
        <f>NPV(realdiscrt1,BH$33:BH55)/(1+realdiscrt1)^-Half_Year</f>
        <v>2.2364805758927186E-2</v>
      </c>
      <c r="BJ55" s="64">
        <f t="shared" si="35"/>
        <v>3.4361282634408609E-2</v>
      </c>
      <c r="BK55" s="633">
        <f>NPV(realdiscrt1,BJ$33:BJ55)/(1+realdiscrt1)^-Half_Year</f>
        <v>0.87058077780489529</v>
      </c>
      <c r="BL55" s="64">
        <f t="shared" si="36"/>
        <v>3.3956635537634415E-2</v>
      </c>
      <c r="BM55" s="633">
        <f>NPV(realdiscrt1,BL$33:BL55)/(1+realdiscrt1)^-Half_Year</f>
        <v>0.86032859985233512</v>
      </c>
      <c r="BN55" s="64">
        <f t="shared" si="37"/>
        <v>3.6620562258064523E-2</v>
      </c>
      <c r="BO55" s="633">
        <f>NPV(realdiscrt1,BN$33:BN55)/(1+realdiscrt1)^-Half_Year</f>
        <v>0.92782210470668913</v>
      </c>
      <c r="BP55" s="64">
        <f t="shared" si="38"/>
        <v>3.5069415053763452E-2</v>
      </c>
      <c r="BQ55" s="633">
        <f>NPV(realdiscrt1,BP$33:BP55)/(1+realdiscrt1)^-Half_Year</f>
        <v>0.88852208922187526</v>
      </c>
      <c r="BR55" s="64">
        <f t="shared" si="39"/>
        <v>0.14005407115292715</v>
      </c>
      <c r="BS55" s="633">
        <f>NPV(realdiscrt1,BR$33:BR55)/(1+realdiscrt1)^-Half_Year</f>
        <v>3.0639426043266607</v>
      </c>
      <c r="BT55" s="64">
        <f t="shared" si="40"/>
        <v>0.21481504614821031</v>
      </c>
      <c r="BU55" s="633">
        <f>NPV(realdiscrt1,BT$33:BT55)/(1+realdiscrt1)^-Half_Year</f>
        <v>17.422738773141894</v>
      </c>
      <c r="BV55" s="64">
        <f t="shared" si="41"/>
        <v>0.11745227463199547</v>
      </c>
      <c r="BW55" s="633">
        <f>NPV(realdiscrt1,BV$33:BV55)/(1+realdiscrt1)^-Half_Year</f>
        <v>14.958886861032799</v>
      </c>
      <c r="BX55" s="64">
        <f t="shared" si="42"/>
        <v>8.5926018459284131E-2</v>
      </c>
      <c r="BY55" s="633">
        <f>NPV(realdiscrt1,BX$33:BX55)/(1+realdiscrt1)^-Half_Year</f>
        <v>14.161086784646933</v>
      </c>
      <c r="BZ55" s="64">
        <f t="shared" si="43"/>
        <v>0.11156462384716534</v>
      </c>
      <c r="CA55" s="633">
        <f>NPV(realdiscrt1,BZ$33:BZ55)/(1+realdiscrt1)^-Half_Year</f>
        <v>14.809894598198353</v>
      </c>
      <c r="CB55" s="64">
        <f t="shared" si="44"/>
        <v>0.17866167388146653</v>
      </c>
      <c r="CC55" s="633">
        <f>NPV(realdiscrt1,CB$33:CB55)/(1+realdiscrt1)^-Half_Year</f>
        <v>16.507845390369056</v>
      </c>
      <c r="CD55" s="64">
        <f t="shared" si="45"/>
        <v>0.11660160704924855</v>
      </c>
      <c r="CE55" s="633">
        <f>NPV(realdiscrt1,CD$33:CD55)/(1+realdiscrt1)^-Half_Year</f>
        <v>14.937359957908734</v>
      </c>
      <c r="CF55" s="64">
        <f t="shared" si="46"/>
        <v>0.14372185625492781</v>
      </c>
      <c r="CG55" s="633">
        <f>NPV(realdiscrt1,CF$33:CF55)/(1+realdiscrt1)^-Half_Year</f>
        <v>15.623662091893889</v>
      </c>
      <c r="CH55" s="636">
        <f t="shared" si="47"/>
        <v>1.2357164001387372E-3</v>
      </c>
      <c r="CI55" s="633">
        <f>NPV(realdiscrt1,CH$33:CH55)/(1+realdiscrt1)^-Half_Year</f>
        <v>8.2188925616104441E-2</v>
      </c>
      <c r="CJ55" s="636">
        <f t="shared" si="48"/>
        <v>1.3312995585695675E-3</v>
      </c>
      <c r="CK55" s="633">
        <f>NPV(realdiscrt1,CJ$33:CJ55)/(1+realdiscrt1)^-Half_Year</f>
        <v>0.1178570090996543</v>
      </c>
    </row>
    <row r="56" spans="1:89">
      <c r="A56" s="56">
        <f t="shared" si="50"/>
        <v>24</v>
      </c>
      <c r="B56" s="56">
        <f t="shared" si="49"/>
        <v>2039</v>
      </c>
      <c r="C56" s="62">
        <f t="shared" si="7"/>
        <v>0.13457092360386344</v>
      </c>
      <c r="D56" s="633">
        <f>NPV(realdiscrt1,C$33:C56)/(1+realdiscrt1)^-Half_Year</f>
        <v>2.1339780982635004</v>
      </c>
      <c r="E56" s="62">
        <f t="shared" si="8"/>
        <v>0.1249025912844397</v>
      </c>
      <c r="F56" s="633">
        <f>NPV(realdiscrt1,E$33:E56)/(1+realdiscrt1)^-Half_Year</f>
        <v>1.9666530882662814</v>
      </c>
      <c r="G56" s="62">
        <f t="shared" si="9"/>
        <v>0.16010481480252231</v>
      </c>
      <c r="H56" s="633">
        <f>NPV(realdiscrt1,G$33:G56)/(1+realdiscrt1)^-Half_Year</f>
        <v>2.2170500386242065</v>
      </c>
      <c r="I56" s="62">
        <f t="shared" si="10"/>
        <v>0.11541428405471073</v>
      </c>
      <c r="J56" s="633">
        <f>NPV(realdiscrt1,I$33:I56)/(1+realdiscrt1)^-Half_Year</f>
        <v>1.7044295895879504</v>
      </c>
      <c r="K56" s="63">
        <f t="shared" si="11"/>
        <v>186.64227093630012</v>
      </c>
      <c r="L56" s="633">
        <f>NPV(realdiscrt1,K$33:K56)/(1+realdiscrt1)^-Half_Year</f>
        <v>3728.7978174584969</v>
      </c>
      <c r="M56" s="63">
        <f t="shared" si="12"/>
        <v>0</v>
      </c>
      <c r="N56" s="633">
        <f>NPV(realdiscrt1,M$33:M56)/(1+realdiscrt1)^-Half_Year</f>
        <v>0</v>
      </c>
      <c r="O56" s="624">
        <f t="shared" si="13"/>
        <v>10.739952210274792</v>
      </c>
      <c r="P56" s="633">
        <f>NPV(realdiscrt1,O$33:O56)/(1+realdiscrt1)^-Half_Year</f>
        <v>244.64349979594488</v>
      </c>
      <c r="Q56" s="624">
        <f t="shared" si="14"/>
        <v>84.296373954599773</v>
      </c>
      <c r="R56" s="633">
        <f>NPV(realdiscrt1,Q$33:Q56)/(1+realdiscrt1)^-Half_Year</f>
        <v>1920.1724123717845</v>
      </c>
      <c r="S56" s="63">
        <f t="shared" si="15"/>
        <v>25.782936991984947</v>
      </c>
      <c r="T56" s="633">
        <f>NPV(realdiscrt1,S$33:S56)/(1+realdiscrt1)^-Half_Year</f>
        <v>501.01105633712046</v>
      </c>
      <c r="U56" s="63">
        <f t="shared" si="16"/>
        <v>23.99813993427906</v>
      </c>
      <c r="V56" s="633">
        <f>NPV(realdiscrt1,U$33:U56)/(1+realdiscrt1)^-Half_Year</f>
        <v>462.30980831032684</v>
      </c>
      <c r="W56" s="63">
        <f t="shared" si="17"/>
        <v>23.492163205988962</v>
      </c>
      <c r="X56" s="633">
        <f>NPV(realdiscrt1,W$33:W56)/(1+realdiscrt1)^-Half_Year</f>
        <v>452.22393802555729</v>
      </c>
      <c r="Y56" s="624">
        <f t="shared" si="18"/>
        <v>10.693469270947437</v>
      </c>
      <c r="Z56" s="633">
        <f>NPV(realdiscrt1,Y$33:Y56)/(1+realdiscrt1)^-Half_Year</f>
        <v>204.58792240373563</v>
      </c>
      <c r="AA56" s="63">
        <f t="shared" si="19"/>
        <v>10.440186577254726</v>
      </c>
      <c r="AB56" s="633">
        <f>NPV(realdiscrt1,AA$33:AA56)/(1+realdiscrt1)^-Half_Year</f>
        <v>198.95736043870838</v>
      </c>
      <c r="AC56" s="63">
        <f t="shared" si="20"/>
        <v>10.853715885014028</v>
      </c>
      <c r="AD56" s="633">
        <f>NPV(realdiscrt1,AC$33:AC56)/(1+realdiscrt1)^-Half_Year</f>
        <v>208.71955514573796</v>
      </c>
      <c r="AE56" s="63">
        <f t="shared" si="21"/>
        <v>9.2070306781044682</v>
      </c>
      <c r="AF56" s="633">
        <f>NPV(realdiscrt1,AE$33:AE56)/(1+realdiscrt1)^-Half_Year</f>
        <v>169.69884436254364</v>
      </c>
      <c r="AG56" s="63">
        <f t="shared" si="22"/>
        <v>9.3907574251393271</v>
      </c>
      <c r="AH56" s="633">
        <f>NPV(realdiscrt1,AG$33:AG56)/(1+realdiscrt1)^-Half_Year</f>
        <v>174.09026449747057</v>
      </c>
      <c r="AI56" s="63">
        <f t="shared" si="23"/>
        <v>10.220012721185745</v>
      </c>
      <c r="AJ56" s="633">
        <f>NPV(realdiscrt1,AI$33:AI56)/(1+realdiscrt1)^-Half_Year</f>
        <v>193.91777075813002</v>
      </c>
      <c r="AK56" s="63">
        <f t="shared" si="24"/>
        <v>9.9336785782136587</v>
      </c>
      <c r="AL56" s="633">
        <f>NPV(realdiscrt1,AK$33:AK56)/(1+realdiscrt1)^-Half_Year</f>
        <v>186.87701386492259</v>
      </c>
      <c r="AM56" s="63">
        <f t="shared" si="25"/>
        <v>21.978413798794815</v>
      </c>
      <c r="AN56" s="633">
        <f>NPV(realdiscrt1,AM$33:AM56)/(1+realdiscrt1)^-Half_Year</f>
        <v>457.11990656646265</v>
      </c>
      <c r="AO56" s="624"/>
      <c r="AP56" s="625"/>
      <c r="AQ56" s="63">
        <f t="shared" si="26"/>
        <v>1.0833179284981212E-2</v>
      </c>
      <c r="AR56" s="633">
        <f>NPV(realdiscrt1,AQ$33:AQ56)/(1+realdiscrt1)^-Half_Year</f>
        <v>0.24676710308443037</v>
      </c>
      <c r="AS56" s="634">
        <f t="shared" si="27"/>
        <v>4.5379702334816434E-3</v>
      </c>
      <c r="AT56" s="633">
        <f>NPV(realdiscrt1,AS$33:AS56)/(1+realdiscrt1)^-Half_Year</f>
        <v>0.10336963313734941</v>
      </c>
      <c r="AU56" s="634">
        <f t="shared" si="28"/>
        <v>6.2952090514995698E-3</v>
      </c>
      <c r="AV56" s="633">
        <f>NPV(realdiscrt1,AU$33:AU56)/(1+realdiscrt1)^-Half_Year</f>
        <v>0.143397469947081</v>
      </c>
      <c r="AW56" s="63">
        <v>1</v>
      </c>
      <c r="AX56" s="633">
        <f>NPV(realdiscrt1,AW$33:AW56)/(1+realdiscrt1)^-Half_Year</f>
        <v>22.778825734615204</v>
      </c>
      <c r="AY56" s="63">
        <f t="shared" si="29"/>
        <v>0</v>
      </c>
      <c r="AZ56" s="633">
        <f>NPV(realdiscrt1,AY$33:AY56)/(1+realdiscrt1)^-Half_Year</f>
        <v>0</v>
      </c>
      <c r="BA56" s="115">
        <f t="shared" si="30"/>
        <v>1.0021975853094038</v>
      </c>
      <c r="BB56" s="74">
        <f t="shared" si="31"/>
        <v>0</v>
      </c>
      <c r="BC56" s="633">
        <f>NPV(realdiscrt1,BB$33:BB56)/(1+realdiscrt1)^-Half_Year</f>
        <v>5.1135576127707048E-2</v>
      </c>
      <c r="BD56" s="74">
        <f t="shared" si="32"/>
        <v>0</v>
      </c>
      <c r="BE56" s="633">
        <f>NPV(realdiscrt1,BD$33:BD56)/(1+realdiscrt1)^-Half_Year</f>
        <v>2.5412454330430462E-2</v>
      </c>
      <c r="BF56" s="74">
        <f t="shared" si="33"/>
        <v>0</v>
      </c>
      <c r="BG56" s="633">
        <f>NPV(realdiscrt1,BF$33:BF56)/(1+realdiscrt1)^-Half_Year</f>
        <v>7.0603876868875926E-2</v>
      </c>
      <c r="BH56" s="74">
        <f t="shared" si="34"/>
        <v>0</v>
      </c>
      <c r="BI56" s="633">
        <f>NPV(realdiscrt1,BH$33:BH56)/(1+realdiscrt1)^-Half_Year</f>
        <v>2.2364805758927186E-2</v>
      </c>
      <c r="BJ56" s="64">
        <f t="shared" si="35"/>
        <v>3.4361282634408609E-2</v>
      </c>
      <c r="BK56" s="633">
        <f>NPV(realdiscrt1,BJ$33:BJ56)/(1+realdiscrt1)^-Half_Year</f>
        <v>0.90157364974498644</v>
      </c>
      <c r="BL56" s="64">
        <f t="shared" si="36"/>
        <v>3.3956635537634415E-2</v>
      </c>
      <c r="BM56" s="633">
        <f>NPV(realdiscrt1,BL$33:BL56)/(1+realdiscrt1)^-Half_Year</f>
        <v>0.89095649194622317</v>
      </c>
      <c r="BN56" s="64">
        <f t="shared" si="37"/>
        <v>3.6620562258064523E-2</v>
      </c>
      <c r="BO56" s="633">
        <f>NPV(realdiscrt1,BN$33:BN56)/(1+realdiscrt1)^-Half_Year</f>
        <v>0.96085278078808178</v>
      </c>
      <c r="BP56" s="64">
        <f t="shared" si="38"/>
        <v>3.5069415053763452E-2</v>
      </c>
      <c r="BQ56" s="633">
        <f>NPV(realdiscrt1,BP$33:BP56)/(1+realdiscrt1)^-Half_Year</f>
        <v>0.92015367589282215</v>
      </c>
      <c r="BR56" s="64">
        <f t="shared" si="39"/>
        <v>0.14005407115292715</v>
      </c>
      <c r="BS56" s="633">
        <f>NPV(realdiscrt1,BR$33:BR56)/(1+realdiscrt1)^-Half_Year</f>
        <v>3.1902672802159255</v>
      </c>
      <c r="BT56" s="64">
        <f t="shared" si="40"/>
        <v>0.21481504614821031</v>
      </c>
      <c r="BU56" s="633">
        <f>NPV(realdiscrt1,BT$33:BT56)/(1+realdiscrt1)^-Half_Year</f>
        <v>17.616495661873667</v>
      </c>
      <c r="BV56" s="64">
        <f t="shared" si="41"/>
        <v>0.11745227463199547</v>
      </c>
      <c r="BW56" s="633">
        <f>NPV(realdiscrt1,BV$33:BV56)/(1+realdiscrt1)^-Half_Year</f>
        <v>15.064825377515785</v>
      </c>
      <c r="BX56" s="64">
        <f t="shared" si="42"/>
        <v>8.5926018459284131E-2</v>
      </c>
      <c r="BY56" s="633">
        <f>NPV(realdiscrt1,BX$33:BX56)/(1+realdiscrt1)^-Half_Year</f>
        <v>14.238589540139646</v>
      </c>
      <c r="BZ56" s="64">
        <f t="shared" si="43"/>
        <v>0.11156462384716534</v>
      </c>
      <c r="CA56" s="633">
        <f>NPV(realdiscrt1,BZ$33:BZ56)/(1+realdiscrt1)^-Half_Year</f>
        <v>14.910522625874981</v>
      </c>
      <c r="CB56" s="64">
        <f t="shared" si="44"/>
        <v>0.17866167388146653</v>
      </c>
      <c r="CC56" s="633">
        <f>NPV(realdiscrt1,CB$33:CB56)/(1+realdiscrt1)^-Half_Year</f>
        <v>16.668992994727272</v>
      </c>
      <c r="CD56" s="64">
        <f t="shared" si="45"/>
        <v>0.11660160704924855</v>
      </c>
      <c r="CE56" s="633">
        <f>NPV(realdiscrt1,CD$33:CD56)/(1+realdiscrt1)^-Half_Year</f>
        <v>15.042531197112345</v>
      </c>
      <c r="CF56" s="64">
        <f t="shared" si="46"/>
        <v>0.14372185625492781</v>
      </c>
      <c r="CG56" s="633">
        <f>NPV(realdiscrt1,CF$33:CF56)/(1+realdiscrt1)^-Half_Year</f>
        <v>15.753295002670063</v>
      </c>
      <c r="CH56" s="636">
        <f t="shared" si="47"/>
        <v>1.2357164001387372E-3</v>
      </c>
      <c r="CI56" s="633">
        <f>NPV(realdiscrt1,CH$33:CH56)/(1+realdiscrt1)^-Half_Year</f>
        <v>8.3303505666891584E-2</v>
      </c>
      <c r="CJ56" s="636">
        <f t="shared" si="48"/>
        <v>1.3312995585695675E-3</v>
      </c>
      <c r="CK56" s="633">
        <f>NPV(realdiscrt1,CJ$33:CJ56)/(1+realdiscrt1)^-Half_Year</f>
        <v>0.11905780236373718</v>
      </c>
    </row>
    <row r="57" spans="1:89" ht="13.5" thickBot="1">
      <c r="A57" s="56">
        <f t="shared" si="50"/>
        <v>25</v>
      </c>
      <c r="B57" s="56">
        <f t="shared" si="49"/>
        <v>2040</v>
      </c>
      <c r="C57" s="65">
        <f t="shared" si="7"/>
        <v>0.13907499466907197</v>
      </c>
      <c r="D57" s="713">
        <f>NPV(realdiscrt1,C$33:C57)/(1+realdiscrt1)^-Half_Year</f>
        <v>2.2588701507692561</v>
      </c>
      <c r="E57" s="65">
        <f t="shared" si="8"/>
        <v>0.12944847802681242</v>
      </c>
      <c r="F57" s="713">
        <f>NPV(realdiscrt1,E$33:E57)/(1+realdiscrt1)^-Half_Year</f>
        <v>2.0829003414334255</v>
      </c>
      <c r="G57" s="65">
        <f t="shared" si="9"/>
        <v>0.16703988997325889</v>
      </c>
      <c r="H57" s="713">
        <f>NPV(realdiscrt1,G$33:G57)/(1+realdiscrt1)^-Half_Year</f>
        <v>2.3670551114896545</v>
      </c>
      <c r="I57" s="65">
        <f t="shared" si="10"/>
        <v>0.11994261648163711</v>
      </c>
      <c r="J57" s="713">
        <f>NPV(realdiscrt1,I$33:I57)/(1+realdiscrt1)^-Half_Year</f>
        <v>1.8121403940423881</v>
      </c>
      <c r="K57" s="69">
        <f t="shared" si="11"/>
        <v>186.64227093630012</v>
      </c>
      <c r="L57" s="713">
        <f>NPV(realdiscrt1,K$33:K57)/(1+realdiscrt1)^-Half_Year</f>
        <v>3896.4062100170313</v>
      </c>
      <c r="M57" s="69">
        <f t="shared" si="12"/>
        <v>0</v>
      </c>
      <c r="N57" s="713">
        <f>NPV(realdiscrt1,M$33:M57)/(1+realdiscrt1)^-Half_Year</f>
        <v>0</v>
      </c>
      <c r="O57" s="773">
        <f t="shared" si="13"/>
        <v>10.739952210274792</v>
      </c>
      <c r="P57" s="713">
        <f>NPV(realdiscrt1,O$33:O57)/(1+realdiscrt1)^-Half_Year</f>
        <v>254.288185949244</v>
      </c>
      <c r="Q57" s="774">
        <f t="shared" si="14"/>
        <v>84.296373954599773</v>
      </c>
      <c r="R57" s="713">
        <f>NPV(realdiscrt1,Q$33:Q57)/(1+realdiscrt1)^-Half_Year</f>
        <v>1995.8721971320417</v>
      </c>
      <c r="S57" s="69">
        <f t="shared" si="15"/>
        <v>26.119690351143497</v>
      </c>
      <c r="T57" s="713">
        <f>NPV(realdiscrt1,S$33:S57)/(1+realdiscrt1)^-Half_Year</f>
        <v>524.46704672943611</v>
      </c>
      <c r="U57" s="69">
        <f t="shared" si="16"/>
        <v>24.329168945606646</v>
      </c>
      <c r="V57" s="713">
        <f>NPV(realdiscrt1,U$33:U57)/(1+realdiscrt1)^-Half_Year</f>
        <v>484.15787562542005</v>
      </c>
      <c r="W57" s="69">
        <f t="shared" si="17"/>
        <v>23.817354945223819</v>
      </c>
      <c r="X57" s="713">
        <f>NPV(realdiscrt1,W$33:W57)/(1+realdiscrt1)^-Half_Year</f>
        <v>473.61238640511795</v>
      </c>
      <c r="Y57" s="716">
        <f t="shared" si="18"/>
        <v>10.850382367421716</v>
      </c>
      <c r="Z57" s="713">
        <f>NPV(realdiscrt1,Y$33:Y57)/(1+realdiscrt1)^-Half_Year</f>
        <v>214.33177698783305</v>
      </c>
      <c r="AA57" s="69">
        <f t="shared" si="19"/>
        <v>10.596834010158393</v>
      </c>
      <c r="AB57" s="713">
        <f>NPV(realdiscrt1,AA$33:AA57)/(1+realdiscrt1)^-Half_Year</f>
        <v>208.47352366230328</v>
      </c>
      <c r="AC57" s="69">
        <f t="shared" si="20"/>
        <v>11.008363494676585</v>
      </c>
      <c r="AD57" s="713">
        <f>NPV(realdiscrt1,AC$33:AC57)/(1+realdiscrt1)^-Half_Year</f>
        <v>218.60527985743801</v>
      </c>
      <c r="AE57" s="69">
        <f t="shared" si="21"/>
        <v>9.3710744293547741</v>
      </c>
      <c r="AF57" s="713">
        <f>NPV(realdiscrt1,AE$33:AE57)/(1+realdiscrt1)^-Half_Year</f>
        <v>178.11425162142015</v>
      </c>
      <c r="AG57" s="69">
        <f t="shared" si="22"/>
        <v>9.5537351876189067</v>
      </c>
      <c r="AH57" s="713">
        <f>NPV(realdiscrt1,AG$33:AG57)/(1+realdiscrt1)^-Half_Year</f>
        <v>182.66970467302022</v>
      </c>
      <c r="AI57" s="69">
        <f t="shared" si="23"/>
        <v>10.377149771788103</v>
      </c>
      <c r="AJ57" s="713">
        <f>NPV(realdiscrt1,AI$33:AI57)/(1+realdiscrt1)^-Half_Year</f>
        <v>203.23665325920172</v>
      </c>
      <c r="AK57" s="69">
        <f t="shared" si="24"/>
        <v>10.093845563373094</v>
      </c>
      <c r="AL57" s="713">
        <f>NPV(realdiscrt1,AK$33:AK57)/(1+realdiscrt1)^-Half_Year</f>
        <v>195.94148367191752</v>
      </c>
      <c r="AM57" s="69">
        <f t="shared" si="25"/>
        <v>22.128500197671094</v>
      </c>
      <c r="AN57" s="713">
        <f>NPV(realdiscrt1,AM$33:AM57)/(1+realdiscrt1)^-Half_Year</f>
        <v>476.99173050675699</v>
      </c>
      <c r="AO57" s="626"/>
      <c r="AP57" s="627"/>
      <c r="AQ57" s="69">
        <f t="shared" si="26"/>
        <v>1.0833179284981212E-2</v>
      </c>
      <c r="AR57" s="713">
        <f>NPV(realdiscrt1,AQ$33:AQ57)/(1+realdiscrt1)^-Half_Year</f>
        <v>0.25649550896561368</v>
      </c>
      <c r="AS57" s="771">
        <f t="shared" si="27"/>
        <v>4.5379702334816434E-3</v>
      </c>
      <c r="AT57" s="713">
        <f>NPV(realdiscrt1,AS$33:AS57)/(1+realdiscrt1)^-Half_Year</f>
        <v>0.10744481874507235</v>
      </c>
      <c r="AU57" s="772">
        <f t="shared" si="28"/>
        <v>6.2952090514995698E-3</v>
      </c>
      <c r="AV57" s="713">
        <f>NPV(realdiscrt1,AU$33:AU57)/(1+realdiscrt1)^-Half_Year</f>
        <v>0.1490506902205414</v>
      </c>
      <c r="AW57" s="69">
        <v>1</v>
      </c>
      <c r="AX57" s="713">
        <f>NPV(realdiscrt1,AW$33:AW57)/(1+realdiscrt1)^-Half_Year</f>
        <v>23.676845201040031</v>
      </c>
      <c r="AY57" s="69">
        <f t="shared" si="29"/>
        <v>0</v>
      </c>
      <c r="AZ57" s="713">
        <f>NPV(realdiscrt1,AY$33:AY57)/(1+realdiscrt1)^-Half_Year</f>
        <v>0</v>
      </c>
      <c r="BA57" s="116">
        <f t="shared" si="30"/>
        <v>1.0021975853094038</v>
      </c>
      <c r="BB57" s="75">
        <f t="shared" si="31"/>
        <v>0</v>
      </c>
      <c r="BC57" s="713">
        <f>NPV(realdiscrt1,BB$33:BB57)/(1+realdiscrt1)^-Half_Year</f>
        <v>5.1135576127707048E-2</v>
      </c>
      <c r="BD57" s="75">
        <f t="shared" si="32"/>
        <v>0</v>
      </c>
      <c r="BE57" s="713">
        <f>NPV(realdiscrt1,BD$33:BD57)/(1+realdiscrt1)^-Half_Year</f>
        <v>2.5412454330430462E-2</v>
      </c>
      <c r="BF57" s="75">
        <f t="shared" si="33"/>
        <v>0</v>
      </c>
      <c r="BG57" s="713">
        <f>NPV(realdiscrt1,BF$33:BF57)/(1+realdiscrt1)^-Half_Year</f>
        <v>7.0603876868875926E-2</v>
      </c>
      <c r="BH57" s="75">
        <f t="shared" si="34"/>
        <v>0</v>
      </c>
      <c r="BI57" s="713">
        <f>NPV(realdiscrt1,BH$33:BH57)/(1+realdiscrt1)^-Half_Year</f>
        <v>2.2364805758927186E-2</v>
      </c>
      <c r="BJ57" s="71">
        <f t="shared" si="35"/>
        <v>3.4361282634408609E-2</v>
      </c>
      <c r="BK57" s="713">
        <f>NPV(realdiscrt1,BJ$33:BJ57)/(1+realdiscrt1)^-Half_Year</f>
        <v>0.93243075044201085</v>
      </c>
      <c r="BL57" s="71">
        <f t="shared" si="36"/>
        <v>3.3956635537634415E-2</v>
      </c>
      <c r="BM57" s="713">
        <f>NPV(realdiscrt1,BL$33:BL57)/(1+realdiscrt1)^-Half_Year</f>
        <v>0.92145021167331198</v>
      </c>
      <c r="BN57" s="71">
        <f t="shared" si="37"/>
        <v>3.6620562258064523E-2</v>
      </c>
      <c r="BO57" s="713">
        <f>NPV(realdiscrt1,BN$33:BN57)/(1+realdiscrt1)^-Half_Year</f>
        <v>0.99373875856724614</v>
      </c>
      <c r="BP57" s="71">
        <f t="shared" si="38"/>
        <v>3.5069415053763452E-2</v>
      </c>
      <c r="BQ57" s="713">
        <f>NPV(realdiscrt1,BP$33:BP57)/(1+realdiscrt1)^-Half_Year</f>
        <v>0.95164669328723372</v>
      </c>
      <c r="BR57" s="71">
        <f t="shared" si="39"/>
        <v>0.14005407115292715</v>
      </c>
      <c r="BS57" s="713">
        <f>NPV(realdiscrt1,BR$33:BR57)/(1+realdiscrt1)^-Half_Year</f>
        <v>3.3160385624633024</v>
      </c>
      <c r="BT57" s="71">
        <f t="shared" si="40"/>
        <v>0.21481504614821031</v>
      </c>
      <c r="BU57" s="713">
        <f>NPV(realdiscrt1,BT$33:BT57)/(1+realdiscrt1)^-Half_Year</f>
        <v>17.80940375499571</v>
      </c>
      <c r="BV57" s="71">
        <f t="shared" si="41"/>
        <v>0.11745227463199547</v>
      </c>
      <c r="BW57" s="713">
        <f>NPV(realdiscrt1,BV$33:BV57)/(1+realdiscrt1)^-Half_Year</f>
        <v>15.17029980651119</v>
      </c>
      <c r="BX57" s="71">
        <f t="shared" si="42"/>
        <v>8.5926018459284131E-2</v>
      </c>
      <c r="BY57" s="713">
        <f>NPV(realdiscrt1,BX$33:BX57)/(1+realdiscrt1)^-Half_Year</f>
        <v>14.315752777388465</v>
      </c>
      <c r="BZ57" s="71">
        <f t="shared" si="43"/>
        <v>0.11156462384716534</v>
      </c>
      <c r="CA57" s="713">
        <f>NPV(realdiscrt1,BZ$33:BZ57)/(1+realdiscrt1)^-Half_Year</f>
        <v>15.010709829854099</v>
      </c>
      <c r="CB57" s="71">
        <f t="shared" si="44"/>
        <v>0.17866167388146653</v>
      </c>
      <c r="CC57" s="713">
        <f>NPV(realdiscrt1,CB$33:CB57)/(1+realdiscrt1)^-Half_Year</f>
        <v>16.829434655776872</v>
      </c>
      <c r="CD57" s="71">
        <f t="shared" si="45"/>
        <v>0.11660160704924855</v>
      </c>
      <c r="CE57" s="713">
        <f>NPV(realdiscrt1,CD$33:CD57)/(1+realdiscrt1)^-Half_Year</f>
        <v>15.147241710058989</v>
      </c>
      <c r="CF57" s="71">
        <f t="shared" si="46"/>
        <v>0.14372185625492781</v>
      </c>
      <c r="CG57" s="713">
        <f>NPV(realdiscrt1,CF$33:CF57)/(1+realdiscrt1)^-Half_Year</f>
        <v>15.882360027337699</v>
      </c>
      <c r="CH57" s="75">
        <f t="shared" si="47"/>
        <v>1.2357164001387372E-3</v>
      </c>
      <c r="CI57" s="713">
        <f>NPV(realdiscrt1,CH$33:CH57)/(1+realdiscrt1)^-Half_Year</f>
        <v>8.4413203049196583E-2</v>
      </c>
      <c r="CJ57" s="770">
        <f t="shared" si="48"/>
        <v>1.3312995585695675E-3</v>
      </c>
      <c r="CK57" s="713">
        <f>NPV(realdiscrt1,CJ$33:CJ57)/(1+realdiscrt1)^-Half_Year</f>
        <v>0.12025333528297545</v>
      </c>
    </row>
    <row r="58" spans="1:89">
      <c r="C58" s="73"/>
      <c r="R58" s="10"/>
    </row>
    <row r="59" spans="1:89" ht="16.5" thickBot="1">
      <c r="C59" s="54" t="s">
        <v>692</v>
      </c>
      <c r="S59" s="55">
        <v>1</v>
      </c>
      <c r="T59" s="55">
        <v>2</v>
      </c>
      <c r="U59" s="55">
        <v>3</v>
      </c>
      <c r="V59" s="55">
        <v>4</v>
      </c>
      <c r="W59" s="55">
        <v>5</v>
      </c>
      <c r="X59" s="55">
        <v>6</v>
      </c>
      <c r="Y59" s="55">
        <v>7</v>
      </c>
      <c r="Z59" s="55">
        <v>8</v>
      </c>
      <c r="AA59" s="55">
        <v>9</v>
      </c>
      <c r="AB59" s="55">
        <v>10</v>
      </c>
      <c r="AC59" s="55">
        <v>11</v>
      </c>
      <c r="AD59" s="55">
        <v>12</v>
      </c>
      <c r="AE59" s="55">
        <v>13</v>
      </c>
      <c r="AF59" s="55">
        <v>14</v>
      </c>
      <c r="AG59" s="55">
        <v>15</v>
      </c>
      <c r="AH59" s="55">
        <v>16</v>
      </c>
      <c r="AI59" s="55">
        <v>17</v>
      </c>
      <c r="AJ59" s="55">
        <v>18</v>
      </c>
      <c r="AK59" s="55">
        <v>19</v>
      </c>
      <c r="AL59" s="55">
        <v>20</v>
      </c>
      <c r="AM59" s="55">
        <v>21</v>
      </c>
      <c r="AN59" s="55">
        <v>22</v>
      </c>
      <c r="AO59" s="55">
        <v>23</v>
      </c>
      <c r="AP59" s="55">
        <v>24</v>
      </c>
    </row>
    <row r="60" spans="1:89">
      <c r="A60" s="101"/>
      <c r="B60" s="102"/>
      <c r="C60" s="103" t="s">
        <v>250</v>
      </c>
      <c r="D60" s="104" t="s">
        <v>251</v>
      </c>
      <c r="E60" s="105" t="s">
        <v>250</v>
      </c>
      <c r="F60" s="106" t="s">
        <v>251</v>
      </c>
      <c r="G60" s="104" t="s">
        <v>250</v>
      </c>
      <c r="H60" s="104" t="s">
        <v>251</v>
      </c>
      <c r="I60" s="105" t="s">
        <v>250</v>
      </c>
      <c r="J60" s="107" t="s">
        <v>251</v>
      </c>
      <c r="K60" s="108" t="s">
        <v>250</v>
      </c>
      <c r="L60" s="109" t="s">
        <v>251</v>
      </c>
      <c r="M60" s="108" t="s">
        <v>250</v>
      </c>
      <c r="N60" s="109" t="s">
        <v>251</v>
      </c>
      <c r="O60" s="108" t="s">
        <v>250</v>
      </c>
      <c r="P60" s="109" t="s">
        <v>251</v>
      </c>
      <c r="Q60" s="108" t="s">
        <v>250</v>
      </c>
      <c r="R60" s="109" t="s">
        <v>251</v>
      </c>
      <c r="S60" s="110" t="s">
        <v>250</v>
      </c>
      <c r="T60" s="111" t="s">
        <v>251</v>
      </c>
      <c r="U60" s="110" t="s">
        <v>250</v>
      </c>
      <c r="V60" s="111" t="s">
        <v>251</v>
      </c>
      <c r="W60" s="110" t="s">
        <v>250</v>
      </c>
      <c r="X60" s="111" t="s">
        <v>251</v>
      </c>
      <c r="Y60" s="110" t="s">
        <v>250</v>
      </c>
      <c r="Z60" s="111" t="s">
        <v>251</v>
      </c>
      <c r="AA60" s="110" t="s">
        <v>250</v>
      </c>
      <c r="AB60" s="111" t="s">
        <v>251</v>
      </c>
      <c r="AC60" s="110" t="s">
        <v>250</v>
      </c>
      <c r="AD60" s="111" t="s">
        <v>251</v>
      </c>
      <c r="AE60" s="110" t="s">
        <v>250</v>
      </c>
      <c r="AF60" s="111" t="s">
        <v>251</v>
      </c>
      <c r="AG60" s="110" t="s">
        <v>250</v>
      </c>
      <c r="AH60" s="111" t="s">
        <v>251</v>
      </c>
      <c r="AI60" s="110" t="s">
        <v>250</v>
      </c>
      <c r="AJ60" s="111" t="s">
        <v>251</v>
      </c>
      <c r="AK60" s="110" t="s">
        <v>250</v>
      </c>
      <c r="AL60" s="111" t="s">
        <v>251</v>
      </c>
      <c r="AM60" s="110" t="s">
        <v>250</v>
      </c>
      <c r="AN60" s="111" t="s">
        <v>251</v>
      </c>
      <c r="AO60" s="110" t="s">
        <v>250</v>
      </c>
      <c r="AP60" s="111" t="s">
        <v>251</v>
      </c>
      <c r="AQ60" s="112" t="s">
        <v>250</v>
      </c>
      <c r="AR60" s="112" t="s">
        <v>251</v>
      </c>
      <c r="AS60" s="112" t="s">
        <v>250</v>
      </c>
      <c r="AT60" s="112" t="s">
        <v>251</v>
      </c>
      <c r="AU60" s="112" t="s">
        <v>250</v>
      </c>
      <c r="AV60" s="112" t="s">
        <v>251</v>
      </c>
      <c r="AW60" s="110" t="s">
        <v>250</v>
      </c>
      <c r="AX60" s="111" t="s">
        <v>251</v>
      </c>
      <c r="AY60" s="108" t="s">
        <v>250</v>
      </c>
      <c r="AZ60" s="109" t="s">
        <v>251</v>
      </c>
      <c r="BA60" s="113"/>
      <c r="BB60" s="105" t="s">
        <v>250</v>
      </c>
      <c r="BC60" s="107" t="s">
        <v>251</v>
      </c>
      <c r="BD60" s="105" t="s">
        <v>250</v>
      </c>
      <c r="BE60" s="107" t="s">
        <v>251</v>
      </c>
      <c r="BF60" s="105" t="s">
        <v>250</v>
      </c>
      <c r="BG60" s="107" t="s">
        <v>251</v>
      </c>
      <c r="BH60" s="105" t="s">
        <v>250</v>
      </c>
      <c r="BI60" s="107" t="s">
        <v>251</v>
      </c>
      <c r="BJ60" s="110" t="s">
        <v>250</v>
      </c>
      <c r="BK60" s="111" t="s">
        <v>251</v>
      </c>
      <c r="BL60" s="110" t="s">
        <v>250</v>
      </c>
      <c r="BM60" s="111" t="s">
        <v>251</v>
      </c>
      <c r="BN60" s="110" t="s">
        <v>250</v>
      </c>
      <c r="BO60" s="111" t="s">
        <v>251</v>
      </c>
      <c r="BP60" s="110" t="s">
        <v>250</v>
      </c>
      <c r="BQ60" s="111" t="s">
        <v>251</v>
      </c>
      <c r="BR60" s="105" t="s">
        <v>250</v>
      </c>
      <c r="BS60" s="107" t="s">
        <v>251</v>
      </c>
      <c r="BT60" s="105" t="s">
        <v>250</v>
      </c>
      <c r="BU60" s="107" t="s">
        <v>251</v>
      </c>
      <c r="BV60" s="105" t="s">
        <v>250</v>
      </c>
      <c r="BW60" s="107" t="s">
        <v>251</v>
      </c>
      <c r="BX60" s="105" t="s">
        <v>250</v>
      </c>
      <c r="BY60" s="107" t="s">
        <v>251</v>
      </c>
      <c r="BZ60" s="105" t="s">
        <v>250</v>
      </c>
      <c r="CA60" s="107" t="s">
        <v>251</v>
      </c>
      <c r="CB60" s="105" t="s">
        <v>250</v>
      </c>
      <c r="CC60" s="107" t="s">
        <v>251</v>
      </c>
      <c r="CD60" s="105" t="s">
        <v>250</v>
      </c>
      <c r="CE60" s="107" t="s">
        <v>251</v>
      </c>
      <c r="CF60" s="105" t="s">
        <v>250</v>
      </c>
      <c r="CG60" s="107" t="s">
        <v>251</v>
      </c>
      <c r="CH60" s="105" t="s">
        <v>250</v>
      </c>
      <c r="CI60" s="107" t="s">
        <v>251</v>
      </c>
      <c r="CJ60" s="105" t="s">
        <v>250</v>
      </c>
      <c r="CK60" s="107" t="s">
        <v>251</v>
      </c>
    </row>
    <row r="61" spans="1:89" ht="51.75" customHeight="1" thickBot="1">
      <c r="A61" s="101"/>
      <c r="B61" s="101"/>
      <c r="C61" s="1108" t="s">
        <v>192</v>
      </c>
      <c r="D61" s="1109"/>
      <c r="E61" s="1110" t="s">
        <v>252</v>
      </c>
      <c r="F61" s="1109"/>
      <c r="G61" s="1110" t="s">
        <v>253</v>
      </c>
      <c r="H61" s="1109"/>
      <c r="I61" s="1110" t="s">
        <v>254</v>
      </c>
      <c r="J61" s="1111"/>
      <c r="K61" s="1112" t="s">
        <v>255</v>
      </c>
      <c r="L61" s="1113"/>
      <c r="M61" s="1112" t="s">
        <v>256</v>
      </c>
      <c r="N61" s="1113"/>
      <c r="O61" s="1112" t="s">
        <v>257</v>
      </c>
      <c r="P61" s="1113"/>
      <c r="Q61" s="1112" t="s">
        <v>258</v>
      </c>
      <c r="R61" s="1113"/>
      <c r="S61" s="1114" t="s">
        <v>259</v>
      </c>
      <c r="T61" s="1115"/>
      <c r="U61" s="1114" t="s">
        <v>260</v>
      </c>
      <c r="V61" s="1115"/>
      <c r="W61" s="1114" t="s">
        <v>695</v>
      </c>
      <c r="X61" s="1115"/>
      <c r="Y61" s="1119" t="s">
        <v>697</v>
      </c>
      <c r="Z61" s="1115"/>
      <c r="AA61" s="1114" t="s">
        <v>261</v>
      </c>
      <c r="AB61" s="1115"/>
      <c r="AC61" s="1119" t="s">
        <v>684</v>
      </c>
      <c r="AD61" s="1115"/>
      <c r="AE61" s="1119" t="s">
        <v>685</v>
      </c>
      <c r="AF61" s="1115"/>
      <c r="AG61" s="1119" t="s">
        <v>686</v>
      </c>
      <c r="AH61" s="1115"/>
      <c r="AI61" s="1114" t="s">
        <v>262</v>
      </c>
      <c r="AJ61" s="1115"/>
      <c r="AK61" s="1114" t="s">
        <v>263</v>
      </c>
      <c r="AL61" s="1115"/>
      <c r="AM61" s="1114" t="s">
        <v>264</v>
      </c>
      <c r="AN61" s="1115"/>
      <c r="AO61" s="1119"/>
      <c r="AP61" s="1115"/>
      <c r="AQ61" s="1114" t="s">
        <v>265</v>
      </c>
      <c r="AR61" s="1157"/>
      <c r="AS61" s="1156" t="s">
        <v>266</v>
      </c>
      <c r="AT61" s="1157"/>
      <c r="AU61" s="1156" t="s">
        <v>267</v>
      </c>
      <c r="AV61" s="1157"/>
      <c r="AW61" s="1156" t="s">
        <v>205</v>
      </c>
      <c r="AX61" s="1115"/>
      <c r="AY61" s="1112" t="s">
        <v>268</v>
      </c>
      <c r="AZ61" s="1113"/>
      <c r="BA61" s="114" t="s">
        <v>206</v>
      </c>
      <c r="BB61" s="1108" t="s">
        <v>207</v>
      </c>
      <c r="BC61" s="1111"/>
      <c r="BD61" s="1108" t="s">
        <v>208</v>
      </c>
      <c r="BE61" s="1111"/>
      <c r="BF61" s="1108" t="s">
        <v>209</v>
      </c>
      <c r="BG61" s="1111"/>
      <c r="BH61" s="1108" t="s">
        <v>210</v>
      </c>
      <c r="BI61" s="1111"/>
      <c r="BJ61" s="1114" t="s">
        <v>211</v>
      </c>
      <c r="BK61" s="1115"/>
      <c r="BL61" s="1114" t="s">
        <v>212</v>
      </c>
      <c r="BM61" s="1115"/>
      <c r="BN61" s="1114" t="s">
        <v>213</v>
      </c>
      <c r="BO61" s="1115"/>
      <c r="BP61" s="1114" t="s">
        <v>214</v>
      </c>
      <c r="BQ61" s="1115"/>
      <c r="BR61" s="1108" t="s">
        <v>296</v>
      </c>
      <c r="BS61" s="1111"/>
      <c r="BT61" s="1108" t="s">
        <v>297</v>
      </c>
      <c r="BU61" s="1111"/>
      <c r="BV61" s="1108" t="s">
        <v>298</v>
      </c>
      <c r="BW61" s="1111"/>
      <c r="BX61" s="1108" t="s">
        <v>299</v>
      </c>
      <c r="BY61" s="1111"/>
      <c r="BZ61" s="1108" t="s">
        <v>300</v>
      </c>
      <c r="CA61" s="1111"/>
      <c r="CB61" s="1108" t="s">
        <v>301</v>
      </c>
      <c r="CC61" s="1111"/>
      <c r="CD61" s="1108" t="s">
        <v>302</v>
      </c>
      <c r="CE61" s="1111"/>
      <c r="CF61" s="1108" t="s">
        <v>303</v>
      </c>
      <c r="CG61" s="1111"/>
      <c r="CH61" s="1167" t="s">
        <v>681</v>
      </c>
      <c r="CI61" s="1111"/>
      <c r="CJ61" s="1167" t="s">
        <v>682</v>
      </c>
      <c r="CK61" s="1111"/>
    </row>
    <row r="62" spans="1:89" s="3" customFormat="1" ht="12.75" customHeight="1" thickTop="1">
      <c r="A62" s="628">
        <v>1</v>
      </c>
      <c r="B62" s="628">
        <f>Year2</f>
        <v>2017</v>
      </c>
      <c r="C62" s="62">
        <f t="shared" ref="C62:C86" si="51">VLOOKUP($B62,$C$136:$AR$166,3,FALSE)*(1+Inflation2)^(Year1-Real_Year2)</f>
        <v>7.9097762408961964E-2</v>
      </c>
      <c r="D62" s="715">
        <f>NPV(realdiscrt2,C$62:C62)/(1+realdiscrt2)^-Half_Year</f>
        <v>7.8924319483909419E-2</v>
      </c>
      <c r="E62" s="629">
        <f t="shared" ref="E62:E86" si="52">VLOOKUP($B62,$C$136:$AR$166,4,FALSE)*(1+Inflation2)^(Year1-Real_Year2)</f>
        <v>7.3692917649473888E-2</v>
      </c>
      <c r="F62" s="715">
        <f>NPV(realdiscrt2,E$62:E62)/(1+realdiscrt2)^-Half_Year</f>
        <v>7.3531326287044493E-2</v>
      </c>
      <c r="G62" s="629">
        <f t="shared" ref="G62:G86" si="53">VLOOKUP($B62,$C$136:$AR$166,5,FALSE)*(1+Inflation2)^(Year1-Real_Year2)</f>
        <v>6.2787313372677789E-2</v>
      </c>
      <c r="H62" s="715">
        <f>NPV(realdiscrt2,G$62:G62)/(1+realdiscrt2)^-Half_Year</f>
        <v>6.2649635454164201E-2</v>
      </c>
      <c r="I62" s="629">
        <f t="shared" ref="I62:I86" si="54">VLOOKUP($B62,$C$136:$AR$166,6,FALSE)*(1+Inflation2)^(Year1-Real_Year2)</f>
        <v>4.8449832564356768E-2</v>
      </c>
      <c r="J62" s="715">
        <f>NPV(realdiscrt2,I$62:I62)/(1+realdiscrt2)^-Half_Year</f>
        <v>4.8343593393710943E-2</v>
      </c>
      <c r="K62" s="624">
        <f t="shared" ref="K62:K86" si="55">VLOOKUP($B62,$C$136:$AR$166,9,FALSE)*(1+Inflation2)^(Year1-Real_Year2)</f>
        <v>76.946791779832353</v>
      </c>
      <c r="L62" s="715">
        <f>NPV(realdiscrt2,K$62:K62)/(1+realdiscrt2)^-Half_Year</f>
        <v>76.778065431156378</v>
      </c>
      <c r="M62" s="624">
        <f t="shared" ref="M62:M86" si="56">0*((1+Inflation2)^(Year1-Real_Year2))</f>
        <v>0</v>
      </c>
      <c r="N62" s="715">
        <f>NPV(realdiscrt2,M$62:M62)/(1+realdiscrt2)^-Half_Year</f>
        <v>0</v>
      </c>
      <c r="O62" s="624">
        <f t="shared" ref="O62:O86" si="57">transmissionyear2*(1+Inflation2)^(Year1-TD_Year)</f>
        <v>10.739952210274792</v>
      </c>
      <c r="P62" s="715">
        <f>NPV(realdiscrt2,O$62:O62)/(1+realdiscrt2)^-Half_Year</f>
        <v>10.71640200266407</v>
      </c>
      <c r="Q62" s="624">
        <f t="shared" ref="Q62:Q86" si="58">Distributionyear2*(1+Inflation2)^(Year1-TD_Year)</f>
        <v>84.296373954599773</v>
      </c>
      <c r="R62" s="715">
        <f>NPV(realdiscrt2,Q$62:Q62)/(1+realdiscrt2)^-Half_Year</f>
        <v>84.111531688210292</v>
      </c>
      <c r="S62" s="624">
        <f t="shared" ref="S62:S86" si="59">VLOOKUP($B62,$C$245:$S$275,3,FALSE)*(1+Inflation2)^(Year1-Real_Year2)</f>
        <v>17.874131225549988</v>
      </c>
      <c r="T62" s="715">
        <f>NPV(realdiscrt2,S$62:S62)/(1+realdiscrt2)^-Half_Year</f>
        <v>17.834937429061743</v>
      </c>
      <c r="U62" s="624">
        <f t="shared" ref="U62:U86" si="60">VLOOKUP($B62,$C$245:$S$275,7,FALSE)*(1+Inflation2)^(Year1-Real_Year2)</f>
        <v>16.323655872251557</v>
      </c>
      <c r="V62" s="715">
        <f>NPV(realdiscrt2,U$62:U62)/(1+realdiscrt2)^-Half_Year</f>
        <v>16.287861906204881</v>
      </c>
      <c r="W62" s="624">
        <f t="shared" ref="W62:W86" si="61">VLOOKUP($B62,$C$245:$S$275,11,FALSE)*(1+Inflation2)^(Year1-Real_Year2)</f>
        <v>15.966718868427982</v>
      </c>
      <c r="X62" s="715">
        <f>NPV(realdiscrt2,W$62:W62)/(1+realdiscrt2)^-Half_Year</f>
        <v>15.931707581892296</v>
      </c>
      <c r="Y62" s="624">
        <f t="shared" ref="Y62:Y86" si="62">VLOOKUP($B62,$D$192:$O$222,6,FALSE)*(1+Inflation)^(Year1-Real_Year2)</f>
        <v>7.7990875047374191</v>
      </c>
      <c r="Z62" s="715">
        <f>NPV(realdiscrt2,Y$62:Y62)/(1+realdiscrt2)^-Half_Year</f>
        <v>7.7819859267867235</v>
      </c>
      <c r="AA62" s="624">
        <f t="shared" ref="AA62:AA86" si="63">VLOOKUP($B62,$D$192:$O$222,4,FALSE)*(1+Inflation)^(Year1-Real_Year2)</f>
        <v>7.5393442635508769</v>
      </c>
      <c r="AB62" s="715">
        <f>NPV(realdiscrt2,AA$62:AA62)/(1+realdiscrt2)^-Half_Year</f>
        <v>7.5228122418827112</v>
      </c>
      <c r="AC62" s="624">
        <f t="shared" ref="AC62:AC86" si="64">VLOOKUP($B62,$D$192:$O$222,5,FALSE)*(1+Inflation2)^(Year1-Real_Year2)</f>
        <v>8.0187497690231115</v>
      </c>
      <c r="AD62" s="715">
        <f>NPV(realdiscrt2,AC$62:AC62)/(1+realdiscrt2)^-Half_Year</f>
        <v>8.0011665230140405</v>
      </c>
      <c r="AE62" s="624">
        <f t="shared" ref="AE62:AE86" si="65">VLOOKUP($B62,$D$192:$O$222,3,FALSE)*(1+Inflation2)^(Year1-Real_Year2)</f>
        <v>6.1011277471341669</v>
      </c>
      <c r="AF62" s="715">
        <f>NPV(realdiscrt2,AE$62:AE62)/(1+realdiscrt2)^-Half_Year</f>
        <v>6.0877493984887154</v>
      </c>
      <c r="AG62" s="624">
        <f t="shared" ref="AG62:AG86" si="66">VLOOKUP($B62,$D$192:$O$222,8,FALSE)*(1+Inflation2)^(Year1-Real_Year2)</f>
        <v>6.3445507514610844</v>
      </c>
      <c r="AH62" s="715">
        <f>NPV(realdiscrt2,AG$62:AG62)/(1+realdiscrt2)^-Half_Year</f>
        <v>6.3306386330020539</v>
      </c>
      <c r="AI62" s="624">
        <f t="shared" ref="AI62:AI86" si="67">VLOOKUP($B62,$D$192:$O$222,9,FALSE)*(1+Inflation2)^(Year1-Real_Year2)</f>
        <v>7.3174281357023885</v>
      </c>
      <c r="AJ62" s="715">
        <f>NPV(realdiscrt2,AI$62:AI62)/(1+realdiscrt2)^-Half_Year</f>
        <v>7.3013827242891542</v>
      </c>
      <c r="AK62" s="624">
        <f t="shared" ref="AK62:AK86" si="68">VLOOKUP($B62,$D$192:$O$222,10,FALSE)*(1+Inflation2)^(Year1-Real_Year2)</f>
        <v>6.9675088425363301</v>
      </c>
      <c r="AL62" s="715">
        <f>NPV(realdiscrt2,AK$62:AK62)/(1+realdiscrt2)^-Half_Year</f>
        <v>6.9522307224331232</v>
      </c>
      <c r="AM62" s="624">
        <f t="shared" ref="AM62:AM86" si="69">VLOOKUP($B62,$C$245:$S$275,16,FALSE)*(1+Inflation2)^(Year1-Real_Year2)</f>
        <v>17.502742559653726</v>
      </c>
      <c r="AN62" s="715">
        <f>NPV(realdiscrt2,AM$62:AM62)/(1+realdiscrt2)^-Half_Year</f>
        <v>17.464363131797189</v>
      </c>
      <c r="AO62" s="624"/>
      <c r="AP62" s="625"/>
      <c r="AQ62" s="634">
        <f t="shared" ref="AQ62:AQ86" si="70">reswater2*(1+Inflation2)^(Year1-Wt_Year)</f>
        <v>1.0833179284981212E-2</v>
      </c>
      <c r="AR62" s="715">
        <f>NPV(realdiscrt2,AQ$62:AQ62)/(1+realdiscrt2)^-Half_Year</f>
        <v>1.0809424652162511E-2</v>
      </c>
      <c r="AS62" s="634">
        <f t="shared" ref="AS62:AS86" si="71">ciwater2*(1+Inflation2)^(Year1-Wt_Year)</f>
        <v>4.5379702334816434E-3</v>
      </c>
      <c r="AT62" s="715">
        <f>NPV(realdiscrt2,AS$62:AS62)/(1+realdiscrt2)^-Half_Year</f>
        <v>4.52801952429436E-3</v>
      </c>
      <c r="AU62" s="634">
        <f t="shared" ref="AU62:AU86" si="72">cisewer2*(1+Inflation2)^(Year1-Wt_Year)</f>
        <v>6.2952090514995698E-3</v>
      </c>
      <c r="AV62" s="715">
        <f>NPV(realdiscrt2,AU$62:AU62)/(1+realdiscrt2)^-Half_Year</f>
        <v>6.2814051278681513E-3</v>
      </c>
      <c r="AW62" s="624">
        <v>1</v>
      </c>
      <c r="AX62" s="715">
        <f>NPV(realdiscrt2,AW$62:AW62)/(1+realdiscrt2)^-Half_Year</f>
        <v>0.99780723348208267</v>
      </c>
      <c r="AY62" s="624">
        <f t="shared" ref="AY62:AY86" si="73">IF(CD="YES",VLOOKUP($B62,$C$136:$AR$166,14,FALSE)*(1+Inflation2)^(Year1-Real_Year2),"")</f>
        <v>0</v>
      </c>
      <c r="AZ62" s="715">
        <f>NPV(realdiscrt2,AY$62:AY62)/(1+realdiscrt2)^-Half_Year</f>
        <v>0</v>
      </c>
      <c r="BA62" s="635">
        <f t="shared" ref="BA62:BA86" si="74">1/(1+realdiscrt2)^-0.5</f>
        <v>1.0021975853094038</v>
      </c>
      <c r="BB62" s="636">
        <f t="shared" ref="BB62:BB86" si="75">IF(ED="YES",VLOOKUP($B62,$C$136:$AR$166,10,FALSE)*(1+Inflation2)^(Year1-Real_Year2),"")</f>
        <v>1.9976113191799115E-2</v>
      </c>
      <c r="BC62" s="715">
        <f>NPV(realdiscrt2,BB$62:BB62)/(1+realdiscrt2)^-Half_Year</f>
        <v>1.9932310239634012E-2</v>
      </c>
      <c r="BD62" s="624">
        <f t="shared" ref="BD62:BD86" si="76">IF(ED="YES",VLOOKUP($B62,$C$136:$AR$166,11,FALSE)*(1+Inflation2)^(Year1-Real_Year2),"")</f>
        <v>9.9519717748153252E-3</v>
      </c>
      <c r="BE62" s="715">
        <f>NPV(realdiscrt2,BD$62:BD62)/(1+realdiscrt2)^-Half_Year</f>
        <v>9.9301494243202535E-3</v>
      </c>
      <c r="BF62" s="624">
        <f t="shared" ref="BF62:BF71" si="77">IF(ED="YES",VLOOKUP($B62,$C$136:$AR$166,12,FALSE)*(1+Inflation2)^(Year1-Real_Year2),"")</f>
        <v>3.6015044890042661E-2</v>
      </c>
      <c r="BG62" s="715">
        <f>NPV(realdiscrt2,BF$62:BF62)/(1+realdiscrt2)^-Half_Year</f>
        <v>3.5936072305466485E-2</v>
      </c>
      <c r="BH62" s="624">
        <f t="shared" ref="BH62:BH86" si="78">IF(ED="YES",VLOOKUP($B62,$C$136:$AR$166,13,FALSE)*(1+Inflation2)^(Year1-Real_Year2),"")</f>
        <v>1.2179905030132514E-2</v>
      </c>
      <c r="BI62" s="715">
        <f>NPV(realdiscrt2,BH$62:BH62)/(1+realdiscrt2)^-Half_Year</f>
        <v>1.2153197342191028E-2</v>
      </c>
      <c r="BJ62" s="634">
        <f t="shared" ref="BJ62:BJ86" si="79">IF(EE="YES",VLOOKUP($B62,$C$136:$AR$166,20,FALSE)*(1+Inflation2)^(Year1-Real_Year2),"")</f>
        <v>4.7921661657706102E-2</v>
      </c>
      <c r="BK62" s="715">
        <f>NPV(realdiscrt2,BJ$62:BJ62)/(1+realdiscrt2)^-Half_Year</f>
        <v>4.7816580642540123E-2</v>
      </c>
      <c r="BL62" s="634">
        <f t="shared" ref="BL62:BL86" si="80">IF(EE="YES",VLOOKUP($B62,$C$136:$AR$166,21,FALSE)*(1+Inflation2)^(Year1-Real_Year2),"")</f>
        <v>4.7357324130824378E-2</v>
      </c>
      <c r="BM62" s="715">
        <f>NPV(realdiscrt2,BL$62:BL62)/(1+realdiscrt2)^-Half_Year</f>
        <v>4.7253480576092147E-2</v>
      </c>
      <c r="BN62" s="634">
        <f t="shared" ref="BN62:BN86" si="81">IF(EE="YES",VLOOKUP($B62,$C$136:$AR$166,22,FALSE)*(1+Inflation2)^(Year1-Real_Year2),"")</f>
        <v>5.1072546182795706E-2</v>
      </c>
      <c r="BO62" s="715">
        <f>NPV(realdiscrt2,BN$62:BN62)/(1+realdiscrt2)^-Half_Year</f>
        <v>5.0960556013541283E-2</v>
      </c>
      <c r="BP62" s="634">
        <f t="shared" ref="BP62:BP86" si="82">IF(EE="YES",VLOOKUP($B62,$C$136:$AR$166,23,FALSE)*(1+Inflation2)^(Year1-Real_Year2),"")</f>
        <v>4.8909252329749117E-2</v>
      </c>
      <c r="BQ62" s="715">
        <f>NPV(realdiscrt2,BP$62:BP62)/(1+realdiscrt2)^-Half_Year</f>
        <v>4.8802005758824075E-2</v>
      </c>
      <c r="BR62" s="634">
        <f t="shared" ref="BR62:BR86" si="83">IF(GD="Yes",VLOOKUP($B62,$S$192:$AF$222,3,FALSE)*(1+Inflation2)^(Year1-Real_Year2),"")</f>
        <v>0.14005407115292715</v>
      </c>
      <c r="BS62" s="715">
        <f>NPV(realdiscrt2,BR$62:BR62)/(1+realdiscrt2)^-Half_Year</f>
        <v>0.13974696527500499</v>
      </c>
      <c r="BT62" s="624">
        <f t="shared" ref="BT62:BT86" si="84">IF(GECD="Yes",VLOOKUP($B62,$S$192:$AU$222,5,FALSE)*(1+Inflation2)^(Year1-Real_Year2),"")</f>
        <v>3.6754948499476221</v>
      </c>
      <c r="BU62" s="715">
        <f>NPV(realdiscrt2,BT$62:BT62)/(1+realdiscrt2)^-Half_Year</f>
        <v>3.6674353479038797</v>
      </c>
      <c r="BV62" s="624">
        <f t="shared" ref="BV62:BV86" si="85">IF(GECD="Yes",VLOOKUP($B62,$S$192:$AU$222,6,FALSE)*(1+Inflation2)^(Year1-Real_Year2),"")</f>
        <v>3.4893981858672181</v>
      </c>
      <c r="BW62" s="715">
        <f>NPV(realdiscrt2,BV$62:BV62)/(1+realdiscrt2)^-Half_Year</f>
        <v>3.481746750357567</v>
      </c>
      <c r="BX62" s="624">
        <f t="shared" ref="BX62:BX86" si="86">IF(GECD="Yes",VLOOKUP($B62,$S$192:$AU$222,7,FALSE)*(1+Inflation2)^(Year1-Real_Year2),"")</f>
        <v>3.4291397214323931</v>
      </c>
      <c r="BY62" s="715">
        <f>NPV(realdiscrt2,BX$62:BX62)/(1+realdiscrt2)^-Half_Year</f>
        <v>3.4216204186659755</v>
      </c>
      <c r="BZ62" s="624">
        <f t="shared" ref="BZ62:BZ86" si="87">IF(GECD="Yes",VLOOKUP($B62,$S$192:$AU$222,8,FALSE)*(1+Inflation2)^(Year1-Real_Year2),"")</f>
        <v>3.4781446835966427</v>
      </c>
      <c r="CA62" s="715">
        <f>NPV(realdiscrt2,BZ$62:BZ62)/(1+realdiscrt2)^-Half_Year</f>
        <v>3.4705179243899802</v>
      </c>
      <c r="CB62" s="624">
        <f t="shared" ref="CB62:CB86" si="88">IF(GECD="Yes",VLOOKUP($B62,$S$192:$AU$222,10,FALSE)*(1+Inflation2)^(Year1-Real_Year2),"")</f>
        <v>3.6063922363991003</v>
      </c>
      <c r="CC62" s="715">
        <f>NPV(realdiscrt2,CB$62:CB62)/(1+realdiscrt2)^-Half_Year</f>
        <v>3.5984842602526474</v>
      </c>
      <c r="CD62" s="624">
        <f t="shared" ref="CD62:CD86" si="89">IF(GECD="Yes",VLOOKUP($B62,$S$192:$AU$222,11,FALSE)*(1+Inflation2)^(Year1-Real_Year2),"")</f>
        <v>3.4877722420190178</v>
      </c>
      <c r="CE62" s="715">
        <f>NPV(realdiscrt2,CD$62:CD62)/(1+realdiscrt2)^-Half_Year</f>
        <v>3.4801243718245969</v>
      </c>
      <c r="CF62" s="624">
        <f t="shared" ref="CF62:CF86" si="90">IF(GECD="Yes",VLOOKUP($B62,$S$192:$AU$222,12,FALSE)*(1+Inflation2)^(Year1-Real_Year2),"")</f>
        <v>3.5396091795631142</v>
      </c>
      <c r="CG62" s="715">
        <f>NPV(realdiscrt2,CF$62:CF62)/(1+realdiscrt2)^-Half_Year</f>
        <v>3.5318476430676555</v>
      </c>
      <c r="CH62" s="634">
        <f t="shared" ref="CH62:CH86" si="91">IF(ECD="YES",VLOOKUP($B62,$C$136:$AR$166,31,FALSE)*(1+Inflation2)^(Year1-Real_Year2),"")</f>
        <v>1.6237763349609184E-2</v>
      </c>
      <c r="CI62" s="715">
        <f>NPV(realdiscrt2,CH$62:CH62)/(1+realdiscrt2)^-Half_Year</f>
        <v>1.6202157725810296E-2</v>
      </c>
      <c r="CJ62" s="634">
        <f t="shared" ref="CJ62:CJ86" si="92">IF(ECD="YES",VLOOKUP($B62,$C$136:$AR$166,30,FALSE)*(1+Inflation2)^(Year1-Real_Year2),"")</f>
        <v>2.548601856255028E-2</v>
      </c>
      <c r="CK62" s="715">
        <f>NPV(realdiscrt2,CJ$62:CJ62)/(1+realdiscrt2)^-Half_Year</f>
        <v>2.5430133674371302E-2</v>
      </c>
    </row>
    <row r="63" spans="1:89" ht="12.75" customHeight="1">
      <c r="A63" s="56">
        <v>2</v>
      </c>
      <c r="B63" s="56">
        <f>B62+1</f>
        <v>2018</v>
      </c>
      <c r="C63" s="62">
        <f t="shared" si="51"/>
        <v>6.8203788354501804E-2</v>
      </c>
      <c r="D63" s="633">
        <f>NPV(realdiscrt2,C$62:C63)/(1+realdiscrt2)^-Half_Year</f>
        <v>0.14668042598630182</v>
      </c>
      <c r="E63" s="62">
        <f t="shared" si="52"/>
        <v>6.2809334936540534E-2</v>
      </c>
      <c r="F63" s="633">
        <f>NPV(realdiscrt2,E$62:E63)/(1+realdiscrt2)^-Half_Year</f>
        <v>0.13592838794562578</v>
      </c>
      <c r="G63" s="62">
        <f t="shared" si="53"/>
        <v>6.1461283979914801E-2</v>
      </c>
      <c r="H63" s="633">
        <f>NPV(realdiscrt2,G$62:G63)/(1+realdiscrt2)^-Half_Year</f>
        <v>0.12370749460814214</v>
      </c>
      <c r="I63" s="62">
        <f t="shared" si="54"/>
        <v>5.1667746056584397E-2</v>
      </c>
      <c r="J63" s="633">
        <f>NPV(realdiscrt2,I$62:I63)/(1+realdiscrt2)^-Half_Year</f>
        <v>9.9672198285163813E-2</v>
      </c>
      <c r="K63" s="63">
        <f t="shared" si="55"/>
        <v>81.432439257452444</v>
      </c>
      <c r="L63" s="633">
        <f>NPV(realdiscrt2,K$62:K63)/(1+realdiscrt2)^-Half_Year</f>
        <v>157.67599148768403</v>
      </c>
      <c r="M63" s="63">
        <f t="shared" si="56"/>
        <v>0</v>
      </c>
      <c r="N63" s="633">
        <f>NPV(realdiscrt2,M$62:M63)/(1+realdiscrt2)^-Half_Year</f>
        <v>0</v>
      </c>
      <c r="O63" s="63">
        <f>transmissionyear2*(1+Inflation2)^(Year1-TD_Year)</f>
        <v>10.739952210274792</v>
      </c>
      <c r="P63" s="633">
        <f>NPV(realdiscrt2,O$62:O63)/(1+realdiscrt2)^-Half_Year</f>
        <v>21.385858397192216</v>
      </c>
      <c r="Q63" s="63">
        <f t="shared" si="58"/>
        <v>84.296373954599773</v>
      </c>
      <c r="R63" s="633">
        <f>NPV(realdiscrt2,Q$62:Q63)/(1+realdiscrt2)^-Half_Year</f>
        <v>167.85459390267692</v>
      </c>
      <c r="S63" s="63">
        <f t="shared" si="59"/>
        <v>18.996538908099915</v>
      </c>
      <c r="T63" s="633">
        <f>NPV(realdiscrt2,S$62:S63)/(1+realdiscrt2)^-Half_Year</f>
        <v>36.706785232353177</v>
      </c>
      <c r="U63" s="63">
        <f t="shared" si="60"/>
        <v>17.370951906115693</v>
      </c>
      <c r="V63" s="633">
        <f>NPV(realdiscrt2,U$62:U63)/(1+realdiscrt2)^-Half_Year</f>
        <v>33.544792874336707</v>
      </c>
      <c r="W63" s="624">
        <f t="shared" si="61"/>
        <v>16.995090763941715</v>
      </c>
      <c r="X63" s="633">
        <f>NPV(realdiscrt2,W$62:W63)/(1+realdiscrt2)^-Half_Year</f>
        <v>32.815244517321986</v>
      </c>
      <c r="Y63" s="624">
        <f t="shared" si="62"/>
        <v>8.2522714598618876</v>
      </c>
      <c r="Z63" s="633">
        <f>NPV(realdiscrt2,Y$62:Y63)/(1+realdiscrt2)^-Half_Year</f>
        <v>15.980090422314342</v>
      </c>
      <c r="AA63" s="624">
        <f t="shared" si="63"/>
        <v>8.0006115130301829</v>
      </c>
      <c r="AB63" s="633">
        <f>NPV(realdiscrt2,AA$62:AA63)/(1+realdiscrt2)^-Half_Year</f>
        <v>15.470908657634949</v>
      </c>
      <c r="AC63" s="63">
        <f t="shared" si="64"/>
        <v>8.4719337241475827</v>
      </c>
      <c r="AD63" s="633">
        <f>NPV(realdiscrt2,AC$62:AC63)/(1+realdiscrt2)^-Half_Year</f>
        <v>16.417491444893034</v>
      </c>
      <c r="AE63" s="63">
        <f t="shared" si="65"/>
        <v>6.5866448796779906</v>
      </c>
      <c r="AF63" s="633">
        <f>NPV(realdiscrt2,AE$62:AE63)/(1+realdiscrt2)^-Half_Year</f>
        <v>12.631160295860699</v>
      </c>
      <c r="AG63" s="63">
        <f t="shared" si="66"/>
        <v>6.8192901581984566</v>
      </c>
      <c r="AH63" s="633">
        <f>NPV(realdiscrt2,AG$62:AG63)/(1+realdiscrt2)^-Half_Year</f>
        <v>13.105167751942313</v>
      </c>
      <c r="AI63" s="63">
        <f t="shared" si="67"/>
        <v>7.7813898166333111</v>
      </c>
      <c r="AJ63" s="633">
        <f>NPV(realdiscrt2,AI$62:AI63)/(1+realdiscrt2)^-Half_Year</f>
        <v>15.0316963897417</v>
      </c>
      <c r="AK63" s="63">
        <f t="shared" si="68"/>
        <v>7.4314705234672518</v>
      </c>
      <c r="AL63" s="633">
        <f>NPV(realdiscrt2,AK$62:AK63)/(1+realdiscrt2)^-Half_Year</f>
        <v>14.334921924866919</v>
      </c>
      <c r="AM63" s="63">
        <f t="shared" si="69"/>
        <v>18.767344352261652</v>
      </c>
      <c r="AN63" s="633">
        <f>NPV(realdiscrt2,AM$62:AM63)/(1+realdiscrt2)^-Half_Year</f>
        <v>36.10852078605425</v>
      </c>
      <c r="AO63" s="63"/>
      <c r="AP63" s="60"/>
      <c r="AQ63" s="63">
        <f t="shared" si="70"/>
        <v>1.0833179284981212E-2</v>
      </c>
      <c r="AR63" s="633">
        <f>NPV(realdiscrt2,AQ$62:AQ63)/(1+realdiscrt2)^-Half_Year</f>
        <v>2.1571496189560471E-2</v>
      </c>
      <c r="AS63" s="63">
        <f t="shared" si="71"/>
        <v>4.5379702334816434E-3</v>
      </c>
      <c r="AT63" s="633">
        <f>NPV(realdiscrt2,AS$62:AS63)/(1+realdiscrt2)^-Half_Year</f>
        <v>9.0362030411147102E-3</v>
      </c>
      <c r="AU63" s="63">
        <f t="shared" si="72"/>
        <v>6.2952090514995698E-3</v>
      </c>
      <c r="AV63" s="633">
        <f>NPV(realdiscrt2,AU$62:AU63)/(1+realdiscrt2)^-Half_Year</f>
        <v>1.253529314844576E-2</v>
      </c>
      <c r="AW63" s="63">
        <v>1</v>
      </c>
      <c r="AX63" s="633">
        <f>NPV(realdiscrt2,AW$62:AW63)/(1+realdiscrt2)^-Half_Year</f>
        <v>1.9912433480600227</v>
      </c>
      <c r="AY63" s="63">
        <f t="shared" si="73"/>
        <v>0</v>
      </c>
      <c r="AZ63" s="633">
        <f>NPV(realdiscrt2,AY$62:AY63)/(1+realdiscrt2)^-Half_Year</f>
        <v>0</v>
      </c>
      <c r="BA63" s="115">
        <f t="shared" si="74"/>
        <v>1.0021975853094038</v>
      </c>
      <c r="BB63" s="74">
        <f t="shared" si="75"/>
        <v>1.0570526319385093E-2</v>
      </c>
      <c r="BC63" s="633">
        <f>NPV(realdiscrt2,BB$62:BB63)/(1+realdiscrt2)^-Half_Year</f>
        <v>3.0433452835407791E-2</v>
      </c>
      <c r="BD63" s="74">
        <f t="shared" si="76"/>
        <v>5.1960964936720441E-3</v>
      </c>
      <c r="BE63" s="633">
        <f>NPV(realdiscrt2,BD$62:BD63)/(1+realdiscrt2)^-Half_Year</f>
        <v>1.5092139335965865E-2</v>
      </c>
      <c r="BF63" s="74">
        <f t="shared" si="77"/>
        <v>0</v>
      </c>
      <c r="BG63" s="633">
        <f>NPV(realdiscrt2,BF$62:BF63)/(1+realdiscrt2)^-Half_Year</f>
        <v>3.5936072305466485E-2</v>
      </c>
      <c r="BH63" s="74">
        <f t="shared" si="78"/>
        <v>0</v>
      </c>
      <c r="BI63" s="633">
        <f>NPV(realdiscrt2,BH$62:BH63)/(1+realdiscrt2)^-Half_Year</f>
        <v>1.2153197342191028E-2</v>
      </c>
      <c r="BJ63" s="64">
        <f t="shared" si="79"/>
        <v>4.7609570080645175E-2</v>
      </c>
      <c r="BK63" s="633">
        <f>NPV(realdiscrt2,BJ$62:BJ63)/(1+realdiscrt2)^-Half_Year</f>
        <v>9.5113646960182402E-2</v>
      </c>
      <c r="BL63" s="64">
        <f t="shared" si="80"/>
        <v>4.7048907822580657E-2</v>
      </c>
      <c r="BM63" s="633">
        <f>NPV(realdiscrt2,BL$62:BL63)/(1+realdiscrt2)^-Half_Year</f>
        <v>9.3993564758492312E-2</v>
      </c>
      <c r="BN63" s="64">
        <f t="shared" si="81"/>
        <v>5.0739934354838721E-2</v>
      </c>
      <c r="BO63" s="633">
        <f>NPV(realdiscrt2,BN$62:BN63)/(1+realdiscrt2)^-Half_Year</f>
        <v>0.10136743925295198</v>
      </c>
      <c r="BP63" s="64">
        <f t="shared" si="82"/>
        <v>4.8590729032258077E-2</v>
      </c>
      <c r="BQ63" s="633">
        <f>NPV(realdiscrt2,BP$62:BP63)/(1+realdiscrt2)^-Half_Year</f>
        <v>9.7073790813140035E-2</v>
      </c>
      <c r="BR63" s="64">
        <f t="shared" si="83"/>
        <v>0.14005407115292715</v>
      </c>
      <c r="BS63" s="633">
        <f>NPV(realdiscrt2,BR$62:BR63)/(1+realdiscrt2)^-Half_Year</f>
        <v>0.2788817375519913</v>
      </c>
      <c r="BT63" s="64">
        <f t="shared" si="84"/>
        <v>1.7281153612835123</v>
      </c>
      <c r="BU63" s="633">
        <f>NPV(realdiscrt2,BT$62:BT63)/(1+realdiscrt2)^-Half_Year</f>
        <v>5.384207557959825</v>
      </c>
      <c r="BV63" s="64">
        <f t="shared" si="85"/>
        <v>1.591007568372369</v>
      </c>
      <c r="BW63" s="633">
        <f>NPV(realdiscrt2,BV$62:BV63)/(1+realdiscrt2)^-Half_Year</f>
        <v>5.0623111273455086</v>
      </c>
      <c r="BX63" s="64">
        <f t="shared" si="86"/>
        <v>1.5466117964024648</v>
      </c>
      <c r="BY63" s="633">
        <f>NPV(realdiscrt2,BX$62:BX63)/(1+realdiscrt2)^-Half_Year</f>
        <v>4.9580804324444481</v>
      </c>
      <c r="BZ63" s="64">
        <f t="shared" si="87"/>
        <v>1.5827164855286029</v>
      </c>
      <c r="CA63" s="633">
        <f>NPV(realdiscrt2,BZ$62:BZ63)/(1+realdiscrt2)^-Half_Year</f>
        <v>5.0428456402519677</v>
      </c>
      <c r="CB63" s="64">
        <f t="shared" si="88"/>
        <v>1.6772036113343785</v>
      </c>
      <c r="CC63" s="633">
        <f>NPV(realdiscrt2,CB$62:CB63)/(1+realdiscrt2)^-Half_Year</f>
        <v>5.264678899252762</v>
      </c>
      <c r="CD63" s="64">
        <f t="shared" si="89"/>
        <v>1.5898096448441541</v>
      </c>
      <c r="CE63" s="633">
        <f>NPV(realdiscrt2,CD$62:CD63)/(1+realdiscrt2)^-Half_Year</f>
        <v>5.0594986883171078</v>
      </c>
      <c r="CF63" s="64">
        <f t="shared" si="90"/>
        <v>1.6280008082003818</v>
      </c>
      <c r="CG63" s="633">
        <f>NPV(realdiscrt2,CF$62:CF63)/(1+realdiscrt2)^-Half_Year</f>
        <v>5.1491624404959877</v>
      </c>
      <c r="CH63" s="634">
        <f t="shared" si="91"/>
        <v>7.7958732662502701E-3</v>
      </c>
      <c r="CI63" s="633">
        <f>NPV(realdiscrt2,CH$62:CH63)/(1+realdiscrt2)^-Half_Year</f>
        <v>2.3946859773175996E-2</v>
      </c>
      <c r="CJ63" s="634">
        <f t="shared" si="92"/>
        <v>1.1884754304209048E-2</v>
      </c>
      <c r="CK63" s="633">
        <f>NPV(realdiscrt2,CJ$62:CJ63)/(1+realdiscrt2)^-Half_Year</f>
        <v>3.7236877813058185E-2</v>
      </c>
    </row>
    <row r="64" spans="1:89">
      <c r="A64" s="56">
        <f>A63+1</f>
        <v>3</v>
      </c>
      <c r="B64" s="56">
        <f t="shared" ref="B64:B86" si="93">B63+1</f>
        <v>2019</v>
      </c>
      <c r="C64" s="62">
        <f t="shared" si="51"/>
        <v>6.7215437788459523E-2</v>
      </c>
      <c r="D64" s="633">
        <f>NPV(realdiscrt2,C$62:C64)/(1+realdiscrt2)^-Half_Year</f>
        <v>0.21316214975792913</v>
      </c>
      <c r="E64" s="62">
        <f t="shared" si="52"/>
        <v>6.1886928523998463E-2</v>
      </c>
      <c r="F64" s="633">
        <f>NPV(realdiscrt2,E$62:E64)/(1+realdiscrt2)^-Half_Year</f>
        <v>0.19713976769079078</v>
      </c>
      <c r="G64" s="62">
        <f t="shared" si="53"/>
        <v>6.1010033821265588E-2</v>
      </c>
      <c r="H64" s="633">
        <f>NPV(realdiscrt2,G$62:G64)/(1+realdiscrt2)^-Half_Year</f>
        <v>0.18405155170657581</v>
      </c>
      <c r="I64" s="62">
        <f t="shared" si="54"/>
        <v>5.1044219374162578E-2</v>
      </c>
      <c r="J64" s="633">
        <f>NPV(realdiscrt2,I$62:I64)/(1+realdiscrt2)^-Half_Year</f>
        <v>0.1501592263285052</v>
      </c>
      <c r="K64" s="63">
        <f t="shared" si="55"/>
        <v>73.796436723031036</v>
      </c>
      <c r="L64" s="633">
        <f>NPV(realdiscrt2,K$62:K64)/(1+realdiscrt2)^-Half_Year</f>
        <v>230.6668769594331</v>
      </c>
      <c r="M64" s="63">
        <f t="shared" si="56"/>
        <v>0</v>
      </c>
      <c r="N64" s="633">
        <f>NPV(realdiscrt2,M$62:M64)/(1+realdiscrt2)^-Half_Year</f>
        <v>0</v>
      </c>
      <c r="O64" s="63">
        <f t="shared" si="57"/>
        <v>10.739952210274792</v>
      </c>
      <c r="P64" s="633">
        <f>NPV(realdiscrt2,O$62:O64)/(1+realdiscrt2)^-Half_Year</f>
        <v>32.008574839374766</v>
      </c>
      <c r="Q64" s="63">
        <f t="shared" si="58"/>
        <v>84.296373954599773</v>
      </c>
      <c r="R64" s="633">
        <f>NPV(realdiscrt2,Q$62:Q64)/(1+realdiscrt2)^-Half_Year</f>
        <v>251.23080080676559</v>
      </c>
      <c r="S64" s="63">
        <f t="shared" si="59"/>
        <v>19.391180469891133</v>
      </c>
      <c r="T64" s="633">
        <f>NPV(realdiscrt2,S$62:S64)/(1+realdiscrt2)^-Half_Year</f>
        <v>55.886294375212877</v>
      </c>
      <c r="U64" s="63">
        <f t="shared" si="60"/>
        <v>17.763479858726662</v>
      </c>
      <c r="V64" s="633">
        <f>NPV(realdiscrt2,U$62:U64)/(1+realdiscrt2)^-Half_Year</f>
        <v>51.114369150956492</v>
      </c>
      <c r="W64" s="624">
        <f t="shared" si="61"/>
        <v>17.378039716913687</v>
      </c>
      <c r="X64" s="633">
        <f>NPV(realdiscrt2,W$62:W64)/(1+realdiscrt2)^-Half_Year</f>
        <v>50.003588061081295</v>
      </c>
      <c r="Y64" s="624">
        <f t="shared" si="62"/>
        <v>8.1768251615124985</v>
      </c>
      <c r="Z64" s="633">
        <f>NPV(realdiscrt2,Y$62:Y64)/(1+realdiscrt2)^-Half_Year</f>
        <v>24.067658540629864</v>
      </c>
      <c r="AA64" s="624">
        <f t="shared" si="63"/>
        <v>7.9332485090356313</v>
      </c>
      <c r="AB64" s="633">
        <f>NPV(realdiscrt2,AA$62:AA64)/(1+realdiscrt2)^-Half_Year</f>
        <v>23.317558971053497</v>
      </c>
      <c r="AC64" s="63">
        <f t="shared" si="64"/>
        <v>8.3641542483788349</v>
      </c>
      <c r="AD64" s="633">
        <f>NPV(realdiscrt2,AC$62:AC64)/(1+realdiscrt2)^-Half_Year</f>
        <v>24.69034379280227</v>
      </c>
      <c r="AE64" s="63">
        <f t="shared" si="65"/>
        <v>6.6405312910060204</v>
      </c>
      <c r="AF64" s="633">
        <f>NPV(realdiscrt2,AE$62:AE64)/(1+realdiscrt2)^-Half_Year</f>
        <v>19.199204505807185</v>
      </c>
      <c r="AG64" s="63">
        <f t="shared" si="66"/>
        <v>6.8300656663006798</v>
      </c>
      <c r="AH64" s="633">
        <f>NPV(realdiscrt2,AG$62:AG64)/(1+realdiscrt2)^-Half_Year</f>
        <v>19.86067740730067</v>
      </c>
      <c r="AI64" s="63">
        <f t="shared" si="67"/>
        <v>7.7167212440903725</v>
      </c>
      <c r="AJ64" s="633">
        <f>NPV(realdiscrt2,AI$62:AI64)/(1+realdiscrt2)^-Half_Year</f>
        <v>22.664183018584978</v>
      </c>
      <c r="AK64" s="63">
        <f t="shared" si="68"/>
        <v>7.3991351283436675</v>
      </c>
      <c r="AL64" s="633">
        <f>NPV(realdiscrt2,AK$62:AK64)/(1+realdiscrt2)^-Half_Year</f>
        <v>21.653289162161702</v>
      </c>
      <c r="AM64" s="63">
        <f t="shared" si="69"/>
        <v>18.962797353121864</v>
      </c>
      <c r="AN64" s="633">
        <f>NPV(realdiscrt2,AM$62:AM64)/(1+realdiscrt2)^-Half_Year</f>
        <v>54.864322980413291</v>
      </c>
      <c r="AO64" s="63"/>
      <c r="AP64" s="60"/>
      <c r="AQ64" s="63">
        <f t="shared" si="70"/>
        <v>1.0833179284981212E-2</v>
      </c>
      <c r="AR64" s="633">
        <f>NPV(realdiscrt2,AQ$62:AQ64)/(1+realdiscrt2)^-Half_Year</f>
        <v>3.2286422053158598E-2</v>
      </c>
      <c r="AS64" s="63">
        <f t="shared" si="71"/>
        <v>4.5379702334816434E-3</v>
      </c>
      <c r="AT64" s="633">
        <f>NPV(realdiscrt2,AS$62:AS64)/(1+realdiscrt2)^-Half_Year</f>
        <v>1.3524637446551141E-2</v>
      </c>
      <c r="AU64" s="63">
        <f t="shared" si="72"/>
        <v>6.2952090514995698E-3</v>
      </c>
      <c r="AV64" s="633">
        <f>NPV(realdiscrt2,AU$62:AU64)/(1+realdiscrt2)^-Half_Year</f>
        <v>1.8761784606607462E-2</v>
      </c>
      <c r="AW64" s="63">
        <v>1</v>
      </c>
      <c r="AX64" s="633">
        <f>NPV(realdiscrt2,AW$62:AW64)/(1+realdiscrt2)^-Half_Year</f>
        <v>2.980327492402854</v>
      </c>
      <c r="AY64" s="63">
        <f t="shared" si="73"/>
        <v>0</v>
      </c>
      <c r="AZ64" s="633">
        <f>NPV(realdiscrt2,AY$62:AY64)/(1+realdiscrt2)^-Half_Year</f>
        <v>0</v>
      </c>
      <c r="BA64" s="115">
        <f t="shared" si="74"/>
        <v>1.0021975853094038</v>
      </c>
      <c r="BB64" s="74">
        <f t="shared" si="75"/>
        <v>0</v>
      </c>
      <c r="BC64" s="633">
        <f>NPV(realdiscrt2,BB$62:BB64)/(1+realdiscrt2)^-Half_Year</f>
        <v>3.0433452835407791E-2</v>
      </c>
      <c r="BD64" s="74">
        <f t="shared" si="76"/>
        <v>0</v>
      </c>
      <c r="BE64" s="633">
        <f>NPV(realdiscrt2,BD$62:BD64)/(1+realdiscrt2)^-Half_Year</f>
        <v>1.5092139335965865E-2</v>
      </c>
      <c r="BF64" s="74">
        <f t="shared" si="77"/>
        <v>0</v>
      </c>
      <c r="BG64" s="633">
        <f>NPV(realdiscrt2,BF$62:BF64)/(1+realdiscrt2)^-Half_Year</f>
        <v>3.5936072305466485E-2</v>
      </c>
      <c r="BH64" s="74">
        <f t="shared" si="78"/>
        <v>0</v>
      </c>
      <c r="BI64" s="633">
        <f>NPV(realdiscrt2,BH$62:BH64)/(1+realdiscrt2)^-Half_Year</f>
        <v>1.2153197342191028E-2</v>
      </c>
      <c r="BJ64" s="64">
        <f t="shared" si="79"/>
        <v>4.716744034647552E-2</v>
      </c>
      <c r="BK64" s="633">
        <f>NPV(realdiscrt2,BJ$62:BJ64)/(1+realdiscrt2)^-Half_Year</f>
        <v>0.14176621433611766</v>
      </c>
      <c r="BL64" s="64">
        <f t="shared" si="80"/>
        <v>4.6611984719235375E-2</v>
      </c>
      <c r="BM64" s="633">
        <f>NPV(realdiscrt2,BL$62:BL64)/(1+realdiscrt2)^-Half_Year</f>
        <v>0.14009673978063839</v>
      </c>
      <c r="BN64" s="64">
        <f t="shared" si="81"/>
        <v>5.0268734265232991E-2</v>
      </c>
      <c r="BO64" s="633">
        <f>NPV(realdiscrt2,BN$62:BN64)/(1+realdiscrt2)^-Half_Year</f>
        <v>0.15108744727087714</v>
      </c>
      <c r="BP64" s="64">
        <f t="shared" si="82"/>
        <v>4.813948769414577E-2</v>
      </c>
      <c r="BQ64" s="633">
        <f>NPV(realdiscrt2,BP$62:BP64)/(1+realdiscrt2)^-Half_Year</f>
        <v>0.14468779480820648</v>
      </c>
      <c r="BR64" s="64">
        <f t="shared" si="83"/>
        <v>0.14005407115292715</v>
      </c>
      <c r="BS64" s="633">
        <f>NPV(realdiscrt2,BR$62:BR64)/(1+realdiscrt2)^-Half_Year</f>
        <v>0.41740699868001424</v>
      </c>
      <c r="BT64" s="64">
        <f t="shared" si="84"/>
        <v>1.1175178059558881</v>
      </c>
      <c r="BU64" s="633">
        <f>NPV(realdiscrt2,BT$62:BT64)/(1+realdiscrt2)^-Half_Year</f>
        <v>6.4895267008515827</v>
      </c>
      <c r="BV64" s="64">
        <f t="shared" si="85"/>
        <v>0.99599722787894174</v>
      </c>
      <c r="BW64" s="633">
        <f>NPV(realdiscrt2,BV$62:BV64)/(1+realdiscrt2)^-Half_Year</f>
        <v>6.0474361932499843</v>
      </c>
      <c r="BX64" s="64">
        <f t="shared" si="86"/>
        <v>0.95664862661124106</v>
      </c>
      <c r="BY64" s="633">
        <f>NPV(realdiscrt2,BX$62:BX64)/(1+realdiscrt2)^-Half_Year</f>
        <v>5.9042864207329719</v>
      </c>
      <c r="BZ64" s="64">
        <f t="shared" si="87"/>
        <v>0.98864872376647828</v>
      </c>
      <c r="CA64" s="633">
        <f>NPV(realdiscrt2,BZ$62:BZ64)/(1+realdiscrt2)^-Half_Year</f>
        <v>6.0207024172541672</v>
      </c>
      <c r="CB64" s="64">
        <f t="shared" si="88"/>
        <v>1.0723940011497146</v>
      </c>
      <c r="CC64" s="633">
        <f>NPV(realdiscrt2,CB$62:CB64)/(1+realdiscrt2)^-Half_Year</f>
        <v>6.3253668022783129</v>
      </c>
      <c r="CD64" s="64">
        <f t="shared" si="89"/>
        <v>0.99493549129526715</v>
      </c>
      <c r="CE64" s="633">
        <f>NPV(realdiscrt2,CD$62:CD64)/(1+realdiscrt2)^-Half_Year</f>
        <v>6.0435736074012025</v>
      </c>
      <c r="CF64" s="64">
        <f t="shared" si="90"/>
        <v>1.0287848601016607</v>
      </c>
      <c r="CG64" s="633">
        <f>NPV(realdiscrt2,CF$62:CF64)/(1+realdiscrt2)^-Half_Year</f>
        <v>6.1667172335624985</v>
      </c>
      <c r="CH64" s="634">
        <f t="shared" si="91"/>
        <v>5.1489328639050197E-3</v>
      </c>
      <c r="CI64" s="633">
        <f>NPV(realdiscrt2,CH$62:CH64)/(1+realdiscrt2)^-Half_Year</f>
        <v>2.9039587629150179E-2</v>
      </c>
      <c r="CJ64" s="634">
        <f t="shared" si="92"/>
        <v>7.6222704024674556E-3</v>
      </c>
      <c r="CK64" s="633">
        <f>NPV(realdiscrt2,CJ$62:CJ64)/(1+realdiscrt2)^-Half_Year</f>
        <v>4.4775944612032402E-2</v>
      </c>
    </row>
    <row r="65" spans="1:89" ht="12.75" customHeight="1">
      <c r="A65" s="56">
        <f t="shared" ref="A65:A85" si="94">A64+1</f>
        <v>4</v>
      </c>
      <c r="B65" s="56">
        <f t="shared" si="93"/>
        <v>2020</v>
      </c>
      <c r="C65" s="62">
        <f t="shared" si="51"/>
        <v>6.5590284021440737E-2</v>
      </c>
      <c r="D65" s="633">
        <f>NPV(realdiscrt2,C$62:C65)/(1+realdiscrt2)^-Half_Year</f>
        <v>0.2777522632073019</v>
      </c>
      <c r="E65" s="62">
        <f t="shared" si="52"/>
        <v>5.9786238501483083E-2</v>
      </c>
      <c r="F65" s="633">
        <f>NPV(realdiscrt2,E$62:E65)/(1+realdiscrt2)^-Half_Year</f>
        <v>0.25601434012380142</v>
      </c>
      <c r="G65" s="62">
        <f t="shared" si="53"/>
        <v>6.1098781995139011E-2</v>
      </c>
      <c r="H65" s="633">
        <f>NPV(realdiscrt2,G$62:G65)/(1+realdiscrt2)^-Half_Year</f>
        <v>0.24421865297106332</v>
      </c>
      <c r="I65" s="62">
        <f t="shared" si="54"/>
        <v>4.905949237618619E-2</v>
      </c>
      <c r="J65" s="633">
        <f>NPV(realdiscrt2,I$62:I65)/(1+realdiscrt2)^-Half_Year</f>
        <v>0.19847062222535283</v>
      </c>
      <c r="K65" s="63">
        <f t="shared" si="55"/>
        <v>172.38279451625763</v>
      </c>
      <c r="L65" s="633">
        <f>NPV(realdiscrt2,K$62:K65)/(1+realdiscrt2)^-Half_Year</f>
        <v>400.42104742293253</v>
      </c>
      <c r="M65" s="63">
        <f t="shared" si="56"/>
        <v>0</v>
      </c>
      <c r="N65" s="633">
        <f>NPV(realdiscrt2,M$62:M65)/(1+realdiscrt2)^-Half_Year</f>
        <v>0</v>
      </c>
      <c r="O65" s="63">
        <f t="shared" si="57"/>
        <v>10.739952210274792</v>
      </c>
      <c r="P65" s="633">
        <f>NPV(realdiscrt2,O$62:O65)/(1+realdiscrt2)^-Half_Year</f>
        <v>42.584756084080603</v>
      </c>
      <c r="Q65" s="63">
        <f t="shared" si="58"/>
        <v>84.296373954599773</v>
      </c>
      <c r="R65" s="633">
        <f>NPV(realdiscrt2,Q$62:Q65)/(1+realdiscrt2)^-Half_Year</f>
        <v>334.24175949263639</v>
      </c>
      <c r="S65" s="63">
        <f t="shared" si="59"/>
        <v>19.766373299284499</v>
      </c>
      <c r="T65" s="633">
        <f>NPV(realdiscrt2,S$62:S65)/(1+realdiscrt2)^-Half_Year</f>
        <v>75.351254970079268</v>
      </c>
      <c r="U65" s="63">
        <f t="shared" si="60"/>
        <v>18.121230004592423</v>
      </c>
      <c r="V65" s="633">
        <f>NPV(realdiscrt2,U$62:U65)/(1+realdiscrt2)^-Half_Year</f>
        <v>68.959272848220451</v>
      </c>
      <c r="W65" s="624">
        <f t="shared" si="61"/>
        <v>17.723508529049258</v>
      </c>
      <c r="X65" s="633">
        <f>NPV(realdiscrt2,W$62:W65)/(1+realdiscrt2)^-Half_Year</f>
        <v>67.456835042570304</v>
      </c>
      <c r="Y65" s="624">
        <f t="shared" si="62"/>
        <v>7.7849957110078769</v>
      </c>
      <c r="Z65" s="633">
        <f>NPV(realdiscrt2,Y$62:Y65)/(1+realdiscrt2)^-Half_Year</f>
        <v>31.733942711811505</v>
      </c>
      <c r="AA65" s="624">
        <f t="shared" si="63"/>
        <v>7.5468079214342376</v>
      </c>
      <c r="AB65" s="633">
        <f>NPV(realdiscrt2,AA$62:AA65)/(1+realdiscrt2)^-Half_Year</f>
        <v>30.749287421363622</v>
      </c>
      <c r="AC65" s="63">
        <f t="shared" si="64"/>
        <v>7.9723247978742169</v>
      </c>
      <c r="AD65" s="633">
        <f>NPV(realdiscrt2,AC$62:AC65)/(1+realdiscrt2)^-Half_Year</f>
        <v>32.541100514355996</v>
      </c>
      <c r="AE65" s="63">
        <f t="shared" si="65"/>
        <v>6.2702572921143025</v>
      </c>
      <c r="AF65" s="633">
        <f>NPV(realdiscrt2,AE$62:AE65)/(1+realdiscrt2)^-Half_Year</f>
        <v>25.37384814238651</v>
      </c>
      <c r="AG65" s="63">
        <f t="shared" si="66"/>
        <v>6.4597916674089619</v>
      </c>
      <c r="AH65" s="633">
        <f>NPV(realdiscrt2,AG$62:AG65)/(1+realdiscrt2)^-Half_Year</f>
        <v>26.22196525476398</v>
      </c>
      <c r="AI65" s="63">
        <f t="shared" si="67"/>
        <v>7.3248917935857518</v>
      </c>
      <c r="AJ65" s="633">
        <f>NPV(realdiscrt2,AI$62:AI65)/(1+realdiscrt2)^-Half_Year</f>
        <v>29.877379287066248</v>
      </c>
      <c r="AK65" s="63">
        <f t="shared" si="68"/>
        <v>7.0180834036454991</v>
      </c>
      <c r="AL65" s="633">
        <f>NPV(realdiscrt2,AK$62:AK65)/(1+realdiscrt2)^-Half_Year</f>
        <v>28.564355488546937</v>
      </c>
      <c r="AM65" s="63">
        <f t="shared" si="69"/>
        <v>19.094081929922496</v>
      </c>
      <c r="AN65" s="633">
        <f>NPV(realdiscrt2,AM$62:AM65)/(1+realdiscrt2)^-Half_Year</f>
        <v>73.667243816404252</v>
      </c>
      <c r="AO65" s="63"/>
      <c r="AP65" s="60"/>
      <c r="AQ65" s="63">
        <f t="shared" si="70"/>
        <v>1.0833179284981212E-2</v>
      </c>
      <c r="AR65" s="633">
        <f>NPV(realdiscrt2,AQ$62:AQ65)/(1+realdiscrt2)^-Half_Year</f>
        <v>4.2954408775179836E-2</v>
      </c>
      <c r="AS65" s="63">
        <f t="shared" si="71"/>
        <v>4.5379702334816434E-3</v>
      </c>
      <c r="AT65" s="633">
        <f>NPV(realdiscrt2,AS$62:AS65)/(1+realdiscrt2)^-Half_Year</f>
        <v>1.7993409256025879E-2</v>
      </c>
      <c r="AU65" s="63">
        <f t="shared" si="72"/>
        <v>6.2952090514995698E-3</v>
      </c>
      <c r="AV65" s="633">
        <f>NPV(realdiscrt2,AU$62:AU65)/(1+realdiscrt2)^-Half_Year</f>
        <v>2.4960999519153954E-2</v>
      </c>
      <c r="AW65" s="63">
        <v>1</v>
      </c>
      <c r="AX65" s="633">
        <f>NPV(realdiscrt2,AW$62:AW65)/(1+realdiscrt2)^-Half_Year</f>
        <v>3.9650787312945619</v>
      </c>
      <c r="AY65" s="63">
        <f t="shared" si="73"/>
        <v>0</v>
      </c>
      <c r="AZ65" s="633">
        <f>NPV(realdiscrt2,AY$62:AY65)/(1+realdiscrt2)^-Half_Year</f>
        <v>0</v>
      </c>
      <c r="BA65" s="115">
        <f t="shared" si="74"/>
        <v>1.0021975853094038</v>
      </c>
      <c r="BB65" s="74">
        <f t="shared" si="75"/>
        <v>0</v>
      </c>
      <c r="BC65" s="633">
        <f>NPV(realdiscrt2,BB$62:BB65)/(1+realdiscrt2)^-Half_Year</f>
        <v>3.0433452835407791E-2</v>
      </c>
      <c r="BD65" s="74">
        <f t="shared" si="76"/>
        <v>0</v>
      </c>
      <c r="BE65" s="633">
        <f>NPV(realdiscrt2,BD$62:BD65)/(1+realdiscrt2)^-Half_Year</f>
        <v>1.5092139335965865E-2</v>
      </c>
      <c r="BF65" s="74">
        <f t="shared" si="77"/>
        <v>0</v>
      </c>
      <c r="BG65" s="633">
        <f>NPV(realdiscrt2,BF$62:BF65)/(1+realdiscrt2)^-Half_Year</f>
        <v>3.5936072305466485E-2</v>
      </c>
      <c r="BH65" s="74">
        <f t="shared" si="78"/>
        <v>0</v>
      </c>
      <c r="BI65" s="633">
        <f>NPV(realdiscrt2,BH$62:BH65)/(1+realdiscrt2)^-Half_Year</f>
        <v>1.2153197342191028E-2</v>
      </c>
      <c r="BJ65" s="64">
        <f t="shared" si="79"/>
        <v>4.6730512138590218E-2</v>
      </c>
      <c r="BK65" s="633">
        <f>NPV(realdiscrt2,BJ$62:BJ65)/(1+realdiscrt2)^-Half_Year</f>
        <v>0.18778414405863841</v>
      </c>
      <c r="BL65" s="64">
        <f t="shared" si="80"/>
        <v>4.6180201887694151E-2</v>
      </c>
      <c r="BM65" s="633">
        <f>NPV(realdiscrt2,BL$62:BL65)/(1+realdiscrt2)^-Half_Year</f>
        <v>0.1855727508018144</v>
      </c>
      <c r="BN65" s="64">
        <f t="shared" si="81"/>
        <v>4.9803077706093199E-2</v>
      </c>
      <c r="BO65" s="633">
        <f>NPV(realdiscrt2,BN$62:BN65)/(1+realdiscrt2)^-Half_Year</f>
        <v>0.20013108974257243</v>
      </c>
      <c r="BP65" s="64">
        <f t="shared" si="82"/>
        <v>4.7693555077658316E-2</v>
      </c>
      <c r="BQ65" s="633">
        <f>NPV(realdiscrt2,BP$62:BP65)/(1+realdiscrt2)^-Half_Year</f>
        <v>0.19165408225808042</v>
      </c>
      <c r="BR65" s="64">
        <f t="shared" si="83"/>
        <v>0.14005407115292715</v>
      </c>
      <c r="BS65" s="633">
        <f>NPV(realdiscrt2,BR$62:BR65)/(1+realdiscrt2)^-Half_Year</f>
        <v>0.55532541875968666</v>
      </c>
      <c r="BT65" s="64">
        <f t="shared" si="84"/>
        <v>1.0995233394413428</v>
      </c>
      <c r="BU65" s="633">
        <f>NPV(realdiscrt2,BT$62:BT65)/(1+realdiscrt2)^-Half_Year</f>
        <v>7.5722836715567929</v>
      </c>
      <c r="BV65" s="64">
        <f t="shared" si="85"/>
        <v>0.97869894994594731</v>
      </c>
      <c r="BW65" s="633">
        <f>NPV(realdiscrt2,BV$62:BV65)/(1+realdiscrt2)^-Half_Year</f>
        <v>7.0112111967112689</v>
      </c>
      <c r="BX65" s="64">
        <f t="shared" si="86"/>
        <v>0.93957577590494412</v>
      </c>
      <c r="BY65" s="633">
        <f>NPV(realdiscrt2,BX$62:BX65)/(1+realdiscrt2)^-Half_Year</f>
        <v>6.8295348300880043</v>
      </c>
      <c r="BZ65" s="64">
        <f t="shared" si="87"/>
        <v>0.97139254524360452</v>
      </c>
      <c r="CA65" s="633">
        <f>NPV(realdiscrt2,BZ$62:BZ65)/(1+realdiscrt2)^-Half_Year</f>
        <v>6.9772824296329752</v>
      </c>
      <c r="CB65" s="64">
        <f t="shared" si="88"/>
        <v>1.0546580478693828</v>
      </c>
      <c r="CC65" s="633">
        <f>NPV(realdiscrt2,CB$62:CB65)/(1+realdiscrt2)^-Half_Year</f>
        <v>7.3639426215247976</v>
      </c>
      <c r="CD65" s="64">
        <f t="shared" si="89"/>
        <v>0.97764329602660704</v>
      </c>
      <c r="CE65" s="633">
        <f>NPV(realdiscrt2,CD$62:CD65)/(1+realdiscrt2)^-Half_Year</f>
        <v>7.0063090543575761</v>
      </c>
      <c r="CF65" s="64">
        <f t="shared" si="90"/>
        <v>1.0112987425819</v>
      </c>
      <c r="CG65" s="633">
        <f>NPV(realdiscrt2,CF$62:CF65)/(1+realdiscrt2)^-Half_Year</f>
        <v>7.1625949232096513</v>
      </c>
      <c r="CH65" s="634">
        <f t="shared" si="91"/>
        <v>5.0709268515644664E-3</v>
      </c>
      <c r="CI65" s="633">
        <f>NPV(realdiscrt2,CH$62:CH65)/(1+realdiscrt2)^-Half_Year</f>
        <v>3.4033189128557517E-2</v>
      </c>
      <c r="CJ65" s="634">
        <f t="shared" si="92"/>
        <v>7.49891905611446E-3</v>
      </c>
      <c r="CK65" s="633">
        <f>NPV(realdiscrt2,CJ$62:CJ65)/(1+realdiscrt2)^-Half_Year</f>
        <v>5.2160514442889751E-2</v>
      </c>
    </row>
    <row r="66" spans="1:89">
      <c r="A66" s="56">
        <f t="shared" si="94"/>
        <v>5</v>
      </c>
      <c r="B66" s="56">
        <f t="shared" si="93"/>
        <v>2021</v>
      </c>
      <c r="C66" s="62">
        <f t="shared" si="51"/>
        <v>7.0025258340496915E-2</v>
      </c>
      <c r="D66" s="633">
        <f>NPV(realdiscrt2,C$62:C66)/(1+realdiscrt2)^-Half_Year</f>
        <v>0.34640763945632247</v>
      </c>
      <c r="E66" s="62">
        <f t="shared" si="52"/>
        <v>6.4479092244046646E-2</v>
      </c>
      <c r="F66" s="633">
        <f>NPV(realdiscrt2,E$62:E66)/(1+realdiscrt2)^-Half_Year</f>
        <v>0.31923204817829925</v>
      </c>
      <c r="G66" s="62">
        <f t="shared" si="53"/>
        <v>6.6425218459499225E-2</v>
      </c>
      <c r="H66" s="633">
        <f>NPV(realdiscrt2,G$62:G66)/(1+realdiscrt2)^-Half_Year</f>
        <v>0.30934441578632044</v>
      </c>
      <c r="I66" s="62">
        <f t="shared" si="54"/>
        <v>5.4468488114059535E-2</v>
      </c>
      <c r="J66" s="633">
        <f>NPV(realdiscrt2,I$62:I66)/(1+realdiscrt2)^-Half_Year</f>
        <v>0.25187356044805143</v>
      </c>
      <c r="K66" s="63">
        <f t="shared" si="55"/>
        <v>175.99712039482176</v>
      </c>
      <c r="L66" s="633">
        <f>NPV(realdiscrt2,K$62:K66)/(1+realdiscrt2)^-Half_Year</f>
        <v>572.97519153899555</v>
      </c>
      <c r="M66" s="63">
        <f t="shared" si="56"/>
        <v>0</v>
      </c>
      <c r="N66" s="633">
        <f>NPV(realdiscrt2,M$62:M66)/(1+realdiscrt2)^-Half_Year</f>
        <v>0</v>
      </c>
      <c r="O66" s="63">
        <f t="shared" si="57"/>
        <v>10.739952210274792</v>
      </c>
      <c r="P66" s="633">
        <f>NPV(realdiscrt2,O$62:O66)/(1+realdiscrt2)^-Half_Year</f>
        <v>53.114605989203902</v>
      </c>
      <c r="Q66" s="63">
        <f t="shared" si="58"/>
        <v>84.296373954599773</v>
      </c>
      <c r="R66" s="633">
        <f>NPV(realdiscrt2,Q$62:Q66)/(1+realdiscrt2)^-Half_Year</f>
        <v>416.88907001222105</v>
      </c>
      <c r="S66" s="63">
        <f t="shared" si="59"/>
        <v>20.149083118471328</v>
      </c>
      <c r="T66" s="633">
        <f>NPV(realdiscrt2,S$62:S66)/(1+realdiscrt2)^-Half_Year</f>
        <v>95.10616791656139</v>
      </c>
      <c r="U66" s="63">
        <f t="shared" si="60"/>
        <v>18.498588460960736</v>
      </c>
      <c r="V66" s="633">
        <f>NPV(realdiscrt2,U$62:U66)/(1+realdiscrt2)^-Half_Year</f>
        <v>87.095979244754659</v>
      </c>
      <c r="W66" s="624">
        <f t="shared" si="61"/>
        <v>18.092260969615371</v>
      </c>
      <c r="X66" s="633">
        <f>NPV(realdiscrt2,W$62:W66)/(1+realdiscrt2)^-Half_Year</f>
        <v>85.195162804598198</v>
      </c>
      <c r="Y66" s="624">
        <f t="shared" si="62"/>
        <v>8.1080552347872334</v>
      </c>
      <c r="Z66" s="633">
        <f>NPV(realdiscrt2,Y$62:Y66)/(1+realdiscrt2)^-Half_Year</f>
        <v>39.683382613702307</v>
      </c>
      <c r="AA66" s="624">
        <f t="shared" si="63"/>
        <v>7.8671730137619802</v>
      </c>
      <c r="AB66" s="633">
        <f>NPV(realdiscrt2,AA$62:AA66)/(1+realdiscrt2)^-Half_Year</f>
        <v>38.46255740531177</v>
      </c>
      <c r="AC66" s="63">
        <f t="shared" si="64"/>
        <v>8.2953843216535716</v>
      </c>
      <c r="AD66" s="633">
        <f>NPV(realdiscrt2,AC$62:AC66)/(1+realdiscrt2)^-Half_Year</f>
        <v>40.674204843140544</v>
      </c>
      <c r="AE66" s="63">
        <f t="shared" si="65"/>
        <v>6.5825390900872049</v>
      </c>
      <c r="AF66" s="633">
        <f>NPV(realdiscrt2,AE$62:AE66)/(1+realdiscrt2)^-Half_Year</f>
        <v>31.827615091825447</v>
      </c>
      <c r="AG66" s="63">
        <f t="shared" si="66"/>
        <v>6.7720734653818671</v>
      </c>
      <c r="AH66" s="633">
        <f>NPV(realdiscrt2,AG$62:AG66)/(1+realdiscrt2)^-Half_Year</f>
        <v>32.861558778161488</v>
      </c>
      <c r="AI66" s="63">
        <f t="shared" si="67"/>
        <v>7.6479513173651066</v>
      </c>
      <c r="AJ66" s="633">
        <f>NPV(realdiscrt2,AI$62:AI66)/(1+realdiscrt2)^-Half_Year</f>
        <v>37.375716139673536</v>
      </c>
      <c r="AK66" s="63">
        <f t="shared" si="68"/>
        <v>7.3303652016184024</v>
      </c>
      <c r="AL66" s="633">
        <f>NPV(realdiscrt2,AK$62:AK66)/(1+realdiscrt2)^-Half_Year</f>
        <v>35.751319062643297</v>
      </c>
      <c r="AM66" s="63">
        <f t="shared" si="69"/>
        <v>19.312535744643817</v>
      </c>
      <c r="AN66" s="633">
        <f>NPV(realdiscrt2,AM$62:AM66)/(1+realdiscrt2)^-Half_Year</f>
        <v>92.601974502065744</v>
      </c>
      <c r="AO66" s="63"/>
      <c r="AP66" s="60"/>
      <c r="AQ66" s="63">
        <f t="shared" si="70"/>
        <v>1.0833179284981212E-2</v>
      </c>
      <c r="AR66" s="633">
        <f>NPV(realdiscrt2,AQ$62:AQ66)/(1+realdiscrt2)^-Half_Year</f>
        <v>5.3575661983086283E-2</v>
      </c>
      <c r="AS66" s="63">
        <f t="shared" si="71"/>
        <v>4.5379702334816434E-3</v>
      </c>
      <c r="AT66" s="633">
        <f>NPV(realdiscrt2,AS$62:AS66)/(1+realdiscrt2)^-Half_Year</f>
        <v>2.2442604605960908E-2</v>
      </c>
      <c r="AU66" s="63">
        <f t="shared" si="72"/>
        <v>6.2952090514995698E-3</v>
      </c>
      <c r="AV66" s="633">
        <f>NPV(realdiscrt2,AU$62:AU66)/(1+realdiscrt2)^-Half_Year</f>
        <v>3.1133057377125375E-2</v>
      </c>
      <c r="AW66" s="63">
        <v>1</v>
      </c>
      <c r="AX66" s="633">
        <f>NPV(realdiscrt2,AW$62:AW66)/(1+realdiscrt2)^-Half_Year</f>
        <v>4.9455160460015595</v>
      </c>
      <c r="AY66" s="63">
        <f t="shared" si="73"/>
        <v>0</v>
      </c>
      <c r="AZ66" s="633">
        <f>NPV(realdiscrt2,AY$62:AY66)/(1+realdiscrt2)^-Half_Year</f>
        <v>0</v>
      </c>
      <c r="BA66" s="115">
        <f t="shared" si="74"/>
        <v>1.0021975853094038</v>
      </c>
      <c r="BB66" s="74">
        <f t="shared" si="75"/>
        <v>0</v>
      </c>
      <c r="BC66" s="633">
        <f>NPV(realdiscrt2,BB$62:BB66)/(1+realdiscrt2)^-Half_Year</f>
        <v>3.0433452835407791E-2</v>
      </c>
      <c r="BD66" s="74">
        <f t="shared" si="76"/>
        <v>0</v>
      </c>
      <c r="BE66" s="633">
        <f>NPV(realdiscrt2,BD$62:BD66)/(1+realdiscrt2)^-Half_Year</f>
        <v>1.5092139335965865E-2</v>
      </c>
      <c r="BF66" s="74">
        <f t="shared" si="77"/>
        <v>0</v>
      </c>
      <c r="BG66" s="633">
        <f>NPV(realdiscrt2,BF$62:BF66)/(1+realdiscrt2)^-Half_Year</f>
        <v>3.5936072305466485E-2</v>
      </c>
      <c r="BH66" s="74">
        <f t="shared" si="78"/>
        <v>0</v>
      </c>
      <c r="BI66" s="633">
        <f>NPV(realdiscrt2,BH$62:BH66)/(1+realdiscrt2)^-Half_Year</f>
        <v>1.2153197342191028E-2</v>
      </c>
      <c r="BJ66" s="64">
        <f t="shared" si="79"/>
        <v>4.5492548882915186E-2</v>
      </c>
      <c r="BK66" s="633">
        <f>NPV(realdiscrt2,BJ$62:BJ66)/(1+realdiscrt2)^-Half_Year</f>
        <v>0.23238673652458056</v>
      </c>
      <c r="BL66" s="64">
        <f t="shared" si="80"/>
        <v>4.4956817198327371E-2</v>
      </c>
      <c r="BM66" s="633">
        <f>NPV(realdiscrt2,BL$62:BL66)/(1+realdiscrt2)^-Half_Year</f>
        <v>0.22965009193351582</v>
      </c>
      <c r="BN66" s="64">
        <f t="shared" si="81"/>
        <v>4.8483717455197146E-2</v>
      </c>
      <c r="BO66" s="633">
        <f>NPV(realdiscrt2,BN$62:BN66)/(1+realdiscrt2)^-Half_Year</f>
        <v>0.24766633549135866</v>
      </c>
      <c r="BP66" s="64">
        <f t="shared" si="82"/>
        <v>4.6430079330943862E-2</v>
      </c>
      <c r="BQ66" s="633">
        <f>NPV(realdiscrt2,BP$62:BP66)/(1+realdiscrt2)^-Half_Year</f>
        <v>0.23717586455894385</v>
      </c>
      <c r="BR66" s="64">
        <f t="shared" si="83"/>
        <v>0.14005407115292715</v>
      </c>
      <c r="BS66" s="633">
        <f>NPV(realdiscrt2,BR$62:BR66)/(1+realdiscrt2)^-Half_Year</f>
        <v>0.69263965619464529</v>
      </c>
      <c r="BT66" s="64">
        <f t="shared" si="84"/>
        <v>0.21756818493921748</v>
      </c>
      <c r="BU66" s="633">
        <f>NPV(realdiscrt2,BT$62:BT66)/(1+realdiscrt2)^-Half_Year</f>
        <v>7.7855956385642742</v>
      </c>
      <c r="BV66" s="64">
        <f t="shared" si="85"/>
        <v>0.11895758079736654</v>
      </c>
      <c r="BW66" s="633">
        <f>NPV(realdiscrt2,BV$62:BV66)/(1+realdiscrt2)^-Half_Year</f>
        <v>7.1278416477922804</v>
      </c>
      <c r="BX66" s="64">
        <f t="shared" si="86"/>
        <v>8.7027273975686992E-2</v>
      </c>
      <c r="BY66" s="633">
        <f>NPV(realdiscrt2,BX$62:BX66)/(1+realdiscrt2)^-Half_Year</f>
        <v>6.9148596168909959</v>
      </c>
      <c r="BZ66" s="64">
        <f t="shared" si="87"/>
        <v>0.11299447198455247</v>
      </c>
      <c r="CA66" s="633">
        <f>NPV(realdiscrt2,BZ$62:BZ66)/(1+realdiscrt2)^-Half_Year</f>
        <v>7.0880664263222446</v>
      </c>
      <c r="CB66" s="64">
        <f t="shared" si="88"/>
        <v>0.18095145941394719</v>
      </c>
      <c r="CC66" s="633">
        <f>NPV(realdiscrt2,CB$62:CB66)/(1+realdiscrt2)^-Half_Year</f>
        <v>7.5413541844849208</v>
      </c>
      <c r="CD66" s="64">
        <f t="shared" si="89"/>
        <v>0.11809601078500725</v>
      </c>
      <c r="CE66" s="633">
        <f>NPV(realdiscrt2,CD$62:CD66)/(1+realdiscrt2)^-Half_Year</f>
        <v>7.1220947900492382</v>
      </c>
      <c r="CF66" s="64">
        <f t="shared" si="90"/>
        <v>0.145563841835854</v>
      </c>
      <c r="CG66" s="633">
        <f>NPV(realdiscrt2,CF$62:CF66)/(1+realdiscrt2)^-Half_Year</f>
        <v>7.3053111454176296</v>
      </c>
      <c r="CH66" s="634">
        <f t="shared" si="91"/>
        <v>1.2476512567977532E-3</v>
      </c>
      <c r="CI66" s="633">
        <f>NPV(realdiscrt2,CH$62:CH66)/(1+realdiscrt2)^-Half_Year</f>
        <v>3.5256432976463116E-2</v>
      </c>
      <c r="CJ66" s="634">
        <f t="shared" si="92"/>
        <v>1.3392561296755785E-3</v>
      </c>
      <c r="CK66" s="633">
        <f>NPV(realdiscrt2,CJ$62:CJ66)/(1+realdiscrt2)^-Half_Year</f>
        <v>5.3473571126373763E-2</v>
      </c>
    </row>
    <row r="67" spans="1:89">
      <c r="A67" s="56">
        <f t="shared" si="94"/>
        <v>6</v>
      </c>
      <c r="B67" s="56">
        <f t="shared" si="93"/>
        <v>2022</v>
      </c>
      <c r="C67" s="62">
        <f t="shared" si="51"/>
        <v>7.3806040235143519E-2</v>
      </c>
      <c r="D67" s="633">
        <f>NPV(realdiscrt2,C$62:C67)/(1+realdiscrt2)^-Half_Year</f>
        <v>0.41845283648668957</v>
      </c>
      <c r="E67" s="62">
        <f t="shared" si="52"/>
        <v>6.7799558971944895E-2</v>
      </c>
      <c r="F67" s="633">
        <f>NPV(realdiscrt2,E$62:E67)/(1+realdiscrt2)^-Half_Year</f>
        <v>0.38541406484175245</v>
      </c>
      <c r="G67" s="62">
        <f t="shared" si="53"/>
        <v>6.9590979487970758E-2</v>
      </c>
      <c r="H67" s="633">
        <f>NPV(realdiscrt2,G$62:G67)/(1+realdiscrt2)^-Half_Year</f>
        <v>0.37727511377219836</v>
      </c>
      <c r="I67" s="62">
        <f t="shared" si="54"/>
        <v>5.7103199490813258E-2</v>
      </c>
      <c r="J67" s="633">
        <f>NPV(realdiscrt2,I$62:I67)/(1+realdiscrt2)^-Half_Year</f>
        <v>0.30761440828750869</v>
      </c>
      <c r="K67" s="63">
        <f t="shared" si="55"/>
        <v>177.65179933155642</v>
      </c>
      <c r="L67" s="633">
        <f>NPV(realdiscrt2,K$62:K67)/(1+realdiscrt2)^-Half_Year</f>
        <v>746.38862551898114</v>
      </c>
      <c r="M67" s="63">
        <f t="shared" si="56"/>
        <v>0</v>
      </c>
      <c r="N67" s="633">
        <f>NPV(realdiscrt2,M$62:M67)/(1+realdiscrt2)^-Half_Year</f>
        <v>0</v>
      </c>
      <c r="O67" s="63">
        <f t="shared" si="57"/>
        <v>10.739952210274792</v>
      </c>
      <c r="P67" s="633">
        <f>NPV(realdiscrt2,O$62:O67)/(1+realdiscrt2)^-Half_Year</f>
        <v>63.598327519593489</v>
      </c>
      <c r="Q67" s="63">
        <f t="shared" si="58"/>
        <v>84.296373954599773</v>
      </c>
      <c r="R67" s="633">
        <f>NPV(realdiscrt2,Q$62:Q67)/(1+realdiscrt2)^-Half_Year</f>
        <v>499.17432540806396</v>
      </c>
      <c r="S67" s="63">
        <f t="shared" si="59"/>
        <v>20.547288832686831</v>
      </c>
      <c r="T67" s="633">
        <f>NPV(realdiscrt2,S$62:S67)/(1+realdiscrt2)^-Half_Year</f>
        <v>115.16324546298569</v>
      </c>
      <c r="U67" s="63">
        <f t="shared" si="60"/>
        <v>18.917331016189795</v>
      </c>
      <c r="V67" s="633">
        <f>NPV(realdiscrt2,U$62:U67)/(1+realdiscrt2)^-Half_Year</f>
        <v>105.56198603780177</v>
      </c>
      <c r="W67" s="624">
        <f t="shared" si="61"/>
        <v>18.522543798135587</v>
      </c>
      <c r="X67" s="633">
        <f>NPV(realdiscrt2,W$62:W67)/(1+realdiscrt2)^-Half_Year</f>
        <v>103.27580109908924</v>
      </c>
      <c r="Y67" s="624">
        <f t="shared" si="62"/>
        <v>8.19021389254398</v>
      </c>
      <c r="Z67" s="633">
        <f>NPV(realdiscrt2,Y$62:Y67)/(1+realdiscrt2)^-Half_Year</f>
        <v>47.678196747196701</v>
      </c>
      <c r="AA67" s="624">
        <f t="shared" si="63"/>
        <v>7.9412483771638893</v>
      </c>
      <c r="AB67" s="633">
        <f>NPV(realdiscrt2,AA$62:AA67)/(1+realdiscrt2)^-Half_Year</f>
        <v>46.214345770831351</v>
      </c>
      <c r="AC67" s="63">
        <f t="shared" si="64"/>
        <v>8.3667652536038677</v>
      </c>
      <c r="AD67" s="633">
        <f>NPV(realdiscrt2,AC$62:AC67)/(1+realdiscrt2)^-Half_Year</f>
        <v>48.841358226281912</v>
      </c>
      <c r="AE67" s="63">
        <f t="shared" si="65"/>
        <v>6.6646977478439533</v>
      </c>
      <c r="AF67" s="633">
        <f>NPV(realdiscrt2,AE$62:AE67)/(1+realdiscrt2)^-Half_Year</f>
        <v>38.333308404479666</v>
      </c>
      <c r="AG67" s="63">
        <f t="shared" si="66"/>
        <v>6.8542321231386136</v>
      </c>
      <c r="AH67" s="633">
        <f>NPV(realdiscrt2,AG$62:AG67)/(1+realdiscrt2)^-Half_Year</f>
        <v>39.552264609691221</v>
      </c>
      <c r="AI67" s="63">
        <f t="shared" si="67"/>
        <v>7.7193322493154026</v>
      </c>
      <c r="AJ67" s="633">
        <f>NPV(realdiscrt2,AI$62:AI67)/(1+realdiscrt2)^-Half_Year</f>
        <v>44.910882788269625</v>
      </c>
      <c r="AK67" s="63">
        <f t="shared" si="68"/>
        <v>7.4125238593751508</v>
      </c>
      <c r="AL67" s="633">
        <f>NPV(realdiscrt2,AK$62:AK67)/(1+realdiscrt2)^-Half_Year</f>
        <v>42.986997067310085</v>
      </c>
      <c r="AM67" s="63">
        <f t="shared" si="69"/>
        <v>19.485167386596778</v>
      </c>
      <c r="AN67" s="633">
        <f>NPV(realdiscrt2,AM$62:AM67)/(1+realdiscrt2)^-Half_Year</f>
        <v>111.62227038929325</v>
      </c>
      <c r="AO67" s="63"/>
      <c r="AP67" s="60"/>
      <c r="AQ67" s="63">
        <f t="shared" si="70"/>
        <v>1.0833179284981212E-2</v>
      </c>
      <c r="AR67" s="633">
        <f>NPV(realdiscrt2,AQ$62:AQ67)/(1+realdiscrt2)^-Half_Year</f>
        <v>6.4150386403542717E-2</v>
      </c>
      <c r="AS67" s="63">
        <f t="shared" si="71"/>
        <v>4.5379702334816434E-3</v>
      </c>
      <c r="AT67" s="633">
        <f>NPV(realdiscrt2,AS$62:AS67)/(1+realdiscrt2)^-Half_Year</f>
        <v>2.6872309255438237E-2</v>
      </c>
      <c r="AU67" s="63">
        <f t="shared" si="72"/>
        <v>6.2952090514995698E-3</v>
      </c>
      <c r="AV67" s="633">
        <f>NPV(realdiscrt2,AU$62:AU67)/(1+realdiscrt2)^-Half_Year</f>
        <v>3.7278077148104494E-2</v>
      </c>
      <c r="AW67" s="63">
        <v>1</v>
      </c>
      <c r="AX67" s="633">
        <f>NPV(realdiscrt2,AW$62:AW67)/(1+realdiscrt2)^-Half_Year</f>
        <v>5.9216583346385541</v>
      </c>
      <c r="AY67" s="63">
        <f t="shared" si="73"/>
        <v>0</v>
      </c>
      <c r="AZ67" s="633">
        <f>NPV(realdiscrt2,AY$62:AY67)/(1+realdiscrt2)^-Half_Year</f>
        <v>0</v>
      </c>
      <c r="BA67" s="115">
        <f t="shared" si="74"/>
        <v>1.0021975853094038</v>
      </c>
      <c r="BB67" s="74">
        <f t="shared" si="75"/>
        <v>0</v>
      </c>
      <c r="BC67" s="633">
        <f>NPV(realdiscrt2,BB$62:BB67)/(1+realdiscrt2)^-Half_Year</f>
        <v>3.0433452835407791E-2</v>
      </c>
      <c r="BD67" s="74">
        <f t="shared" si="76"/>
        <v>0</v>
      </c>
      <c r="BE67" s="633">
        <f>NPV(realdiscrt2,BD$62:BD67)/(1+realdiscrt2)^-Half_Year</f>
        <v>1.5092139335965865E-2</v>
      </c>
      <c r="BF67" s="74">
        <f t="shared" si="77"/>
        <v>0</v>
      </c>
      <c r="BG67" s="633">
        <f>NPV(realdiscrt2,BF$62:BF67)/(1+realdiscrt2)^-Half_Year</f>
        <v>3.5936072305466485E-2</v>
      </c>
      <c r="BH67" s="74">
        <f t="shared" si="78"/>
        <v>0</v>
      </c>
      <c r="BI67" s="633">
        <f>NPV(realdiscrt2,BH$62:BH67)/(1+realdiscrt2)^-Half_Year</f>
        <v>1.2153197342191028E-2</v>
      </c>
      <c r="BJ67" s="64">
        <f t="shared" si="79"/>
        <v>4.4254585627240148E-2</v>
      </c>
      <c r="BK67" s="633">
        <f>NPV(realdiscrt2,BJ$62:BJ67)/(1+realdiscrt2)^-Half_Year</f>
        <v>0.27558550902143658</v>
      </c>
      <c r="BL67" s="64">
        <f t="shared" si="80"/>
        <v>4.3733432508960578E-2</v>
      </c>
      <c r="BM67" s="633">
        <f>NPV(realdiscrt2,BL$62:BL67)/(1+realdiscrt2)^-Half_Year</f>
        <v>0.27234014483276414</v>
      </c>
      <c r="BN67" s="64">
        <f t="shared" si="81"/>
        <v>4.7164357204301087E-2</v>
      </c>
      <c r="BO67" s="633">
        <f>NPV(realdiscrt2,BN$62:BN67)/(1+realdiscrt2)^-Half_Year</f>
        <v>0.29370545907485784</v>
      </c>
      <c r="BP67" s="64">
        <f t="shared" si="82"/>
        <v>4.5166603584229401E-2</v>
      </c>
      <c r="BQ67" s="633">
        <f>NPV(realdiscrt2,BP$62:BP67)/(1+realdiscrt2)^-Half_Year</f>
        <v>0.28126489635161339</v>
      </c>
      <c r="BR67" s="64">
        <f t="shared" si="83"/>
        <v>0.14005407115292715</v>
      </c>
      <c r="BS67" s="633">
        <f>NPV(realdiscrt2,BR$62:BR67)/(1+realdiscrt2)^-Half_Year</f>
        <v>0.82935235774279192</v>
      </c>
      <c r="BT67" s="64">
        <f t="shared" si="84"/>
        <v>0.2173802429218937</v>
      </c>
      <c r="BU67" s="633">
        <f>NPV(realdiscrt2,BT$62:BT67)/(1+realdiscrt2)^-Half_Year</f>
        <v>7.9977896863945173</v>
      </c>
      <c r="BV67" s="64">
        <f t="shared" si="85"/>
        <v>0.11885482161997461</v>
      </c>
      <c r="BW67" s="633">
        <f>NPV(realdiscrt2,BV$62:BV67)/(1+realdiscrt2)^-Half_Year</f>
        <v>7.2438608653839438</v>
      </c>
      <c r="BX67" s="64">
        <f t="shared" si="86"/>
        <v>8.6952097168757486E-2</v>
      </c>
      <c r="BY67" s="633">
        <f>NPV(realdiscrt2,BX$62:BX67)/(1+realdiscrt2)^-Half_Year</f>
        <v>6.9997372360230932</v>
      </c>
      <c r="BZ67" s="64">
        <f t="shared" si="87"/>
        <v>0.11289686392197135</v>
      </c>
      <c r="CA67" s="633">
        <f>NPV(realdiscrt2,BZ$62:BZ67)/(1+realdiscrt2)^-Half_Year</f>
        <v>7.1982698294509779</v>
      </c>
      <c r="CB67" s="64">
        <f t="shared" si="88"/>
        <v>0.18079514803813901</v>
      </c>
      <c r="CC67" s="633">
        <f>NPV(realdiscrt2,CB$62:CB67)/(1+realdiscrt2)^-Half_Year</f>
        <v>7.7178359740653342</v>
      </c>
      <c r="CD67" s="64">
        <f t="shared" si="89"/>
        <v>0.11799399585800389</v>
      </c>
      <c r="CE67" s="633">
        <f>NPV(realdiscrt2,CD$62:CD67)/(1+realdiscrt2)^-Half_Year</f>
        <v>7.237273719211494</v>
      </c>
      <c r="CF67" s="64">
        <f t="shared" si="90"/>
        <v>0.14543809936072294</v>
      </c>
      <c r="CG67" s="633">
        <f>NPV(realdiscrt2,CF$62:CF67)/(1+realdiscrt2)^-Half_Year</f>
        <v>7.4472794245826215</v>
      </c>
      <c r="CH67" s="634">
        <f t="shared" si="91"/>
        <v>1.2468365281526547E-3</v>
      </c>
      <c r="CI67" s="633">
        <f>NPV(realdiscrt2,CH$62:CH67)/(1+realdiscrt2)^-Half_Year</f>
        <v>3.6473522838610252E-2</v>
      </c>
      <c r="CJ67" s="634">
        <f t="shared" si="92"/>
        <v>1.3387129772455125E-3</v>
      </c>
      <c r="CK67" s="633">
        <f>NPV(realdiscrt2,CJ$62:CJ67)/(1+realdiscrt2)^-Half_Year</f>
        <v>5.478034547581024E-2</v>
      </c>
    </row>
    <row r="68" spans="1:89">
      <c r="A68" s="56">
        <f t="shared" si="94"/>
        <v>7</v>
      </c>
      <c r="B68" s="56">
        <f t="shared" si="93"/>
        <v>2023</v>
      </c>
      <c r="C68" s="62">
        <f t="shared" si="51"/>
        <v>7.5579442762519183E-2</v>
      </c>
      <c r="D68" s="633">
        <f>NPV(realdiscrt2,C$62:C68)/(1+realdiscrt2)^-Half_Year</f>
        <v>0.49190593309373276</v>
      </c>
      <c r="E68" s="62">
        <f t="shared" si="52"/>
        <v>7.0063765649367837E-2</v>
      </c>
      <c r="F68" s="633">
        <f>NPV(realdiscrt2,E$62:E68)/(1+realdiscrt2)^-Half_Year</f>
        <v>0.45350666196590611</v>
      </c>
      <c r="G68" s="62">
        <f t="shared" si="53"/>
        <v>7.4129051173645238E-2</v>
      </c>
      <c r="H68" s="633">
        <f>NPV(realdiscrt2,G$62:G68)/(1+realdiscrt2)^-Half_Year</f>
        <v>0.44931862399435185</v>
      </c>
      <c r="I68" s="62">
        <f t="shared" si="54"/>
        <v>6.0261718117225589E-2</v>
      </c>
      <c r="J68" s="633">
        <f>NPV(realdiscrt2,I$62:I68)/(1+realdiscrt2)^-Half_Year</f>
        <v>0.36618072792126627</v>
      </c>
      <c r="K68" s="63">
        <f t="shared" si="55"/>
        <v>174.89100292179705</v>
      </c>
      <c r="L68" s="633">
        <f>NPV(realdiscrt2,K$62:K68)/(1+realdiscrt2)^-Half_Year</f>
        <v>916.35925858758173</v>
      </c>
      <c r="M68" s="63">
        <f t="shared" si="56"/>
        <v>0</v>
      </c>
      <c r="N68" s="633">
        <f>NPV(realdiscrt2,M$62:M68)/(1+realdiscrt2)^-Half_Year</f>
        <v>0</v>
      </c>
      <c r="O68" s="63">
        <f t="shared" si="57"/>
        <v>10.739952210274792</v>
      </c>
      <c r="P68" s="633">
        <f>NPV(realdiscrt2,O$62:O68)/(1+realdiscrt2)^-Half_Year</f>
        <v>74.036122750965035</v>
      </c>
      <c r="Q68" s="63">
        <f t="shared" si="58"/>
        <v>84.296373954599773</v>
      </c>
      <c r="R68" s="633">
        <f>NPV(realdiscrt2,Q$62:Q68)/(1+realdiscrt2)^-Half_Year</f>
        <v>581.09911174402873</v>
      </c>
      <c r="S68" s="63">
        <f t="shared" si="59"/>
        <v>20.90926154556945</v>
      </c>
      <c r="T68" s="633">
        <f>NPV(realdiscrt2,S$62:S68)/(1+realdiscrt2)^-Half_Year</f>
        <v>135.48424747294354</v>
      </c>
      <c r="U68" s="63">
        <f t="shared" si="60"/>
        <v>19.241596316181905</v>
      </c>
      <c r="V68" s="633">
        <f>NPV(realdiscrt2,U$62:U68)/(1+realdiscrt2)^-Half_Year</f>
        <v>124.2622407820341</v>
      </c>
      <c r="W68" s="624">
        <f t="shared" si="61"/>
        <v>18.823129316851041</v>
      </c>
      <c r="X68" s="633">
        <f>NPV(realdiscrt2,W$62:W68)/(1+realdiscrt2)^-Half_Year</f>
        <v>121.56936196195372</v>
      </c>
      <c r="Y68" s="624">
        <f t="shared" si="62"/>
        <v>8.2699885130800972</v>
      </c>
      <c r="Z68" s="633">
        <f>NPV(realdiscrt2,Y$62:Y68)/(1+realdiscrt2)^-Half_Year</f>
        <v>55.71551804763444</v>
      </c>
      <c r="AA68" s="624">
        <f t="shared" si="63"/>
        <v>8.031800723506457</v>
      </c>
      <c r="AB68" s="633">
        <f>NPV(realdiscrt2,AA$62:AA68)/(1+realdiscrt2)^-Half_Year</f>
        <v>54.020180438413846</v>
      </c>
      <c r="AC68" s="63">
        <f t="shared" si="64"/>
        <v>8.4573175999464372</v>
      </c>
      <c r="AD68" s="633">
        <f>NPV(realdiscrt2,AC$62:AC68)/(1+realdiscrt2)^-Half_Year</f>
        <v>57.060738311647953</v>
      </c>
      <c r="AE68" s="63">
        <f t="shared" si="65"/>
        <v>6.755250094186521</v>
      </c>
      <c r="AF68" s="633">
        <f>NPV(realdiscrt2,AE$62:AE68)/(1+realdiscrt2)^-Half_Year</f>
        <v>44.898506818711546</v>
      </c>
      <c r="AG68" s="63">
        <f t="shared" si="66"/>
        <v>6.9447844694811831</v>
      </c>
      <c r="AH68" s="633">
        <f>NPV(realdiscrt2,AG$62:AG68)/(1+realdiscrt2)^-Half_Year</f>
        <v>46.301665053866863</v>
      </c>
      <c r="AI68" s="63">
        <f t="shared" si="67"/>
        <v>7.8098845956579712</v>
      </c>
      <c r="AJ68" s="633">
        <f>NPV(realdiscrt2,AI$62:AI68)/(1+realdiscrt2)^-Half_Year</f>
        <v>52.501044699058539</v>
      </c>
      <c r="AK68" s="63">
        <f t="shared" si="68"/>
        <v>7.5030762057177185</v>
      </c>
      <c r="AL68" s="633">
        <f>NPV(realdiscrt2,AK$62:AK68)/(1+realdiscrt2)^-Half_Year</f>
        <v>50.278982311502709</v>
      </c>
      <c r="AM68" s="63">
        <f t="shared" si="69"/>
        <v>19.613538838137547</v>
      </c>
      <c r="AN68" s="633">
        <f>NPV(realdiscrt2,AM$62:AM68)/(1+realdiscrt2)^-Half_Year</f>
        <v>130.6840034535407</v>
      </c>
      <c r="AO68" s="63"/>
      <c r="AP68" s="60"/>
      <c r="AQ68" s="63">
        <f t="shared" si="70"/>
        <v>1.0833179284981212E-2</v>
      </c>
      <c r="AR68" s="633">
        <f>NPV(realdiscrt2,AQ$62:AQ68)/(1+realdiscrt2)^-Half_Year</f>
        <v>7.4678785866362757E-2</v>
      </c>
      <c r="AS68" s="63">
        <f t="shared" si="71"/>
        <v>4.5379702334816434E-3</v>
      </c>
      <c r="AT68" s="633">
        <f>NPV(realdiscrt2,AS$62:AS68)/(1+realdiscrt2)^-Half_Year</f>
        <v>3.1282608587852936E-2</v>
      </c>
      <c r="AU68" s="63">
        <f t="shared" si="72"/>
        <v>6.2952090514995698E-3</v>
      </c>
      <c r="AV68" s="633">
        <f>NPV(realdiscrt2,AU$62:AU68)/(1+realdiscrt2)^-Half_Year</f>
        <v>4.3396177278509827E-2</v>
      </c>
      <c r="AW68" s="63">
        <v>1</v>
      </c>
      <c r="AX68" s="633">
        <f>NPV(realdiscrt2,AW$62:AW68)/(1+realdiscrt2)^-Half_Year</f>
        <v>6.8935244125328135</v>
      </c>
      <c r="AY68" s="63">
        <f t="shared" si="73"/>
        <v>0</v>
      </c>
      <c r="AZ68" s="633">
        <f>NPV(realdiscrt2,AY$62:AY68)/(1+realdiscrt2)^-Half_Year</f>
        <v>0</v>
      </c>
      <c r="BA68" s="115">
        <f t="shared" si="74"/>
        <v>1.0021975853094038</v>
      </c>
      <c r="BB68" s="74">
        <f t="shared" si="75"/>
        <v>0</v>
      </c>
      <c r="BC68" s="633">
        <f>NPV(realdiscrt2,BB$62:BB68)/(1+realdiscrt2)^-Half_Year</f>
        <v>3.0433452835407791E-2</v>
      </c>
      <c r="BD68" s="74">
        <f t="shared" si="76"/>
        <v>0</v>
      </c>
      <c r="BE68" s="633">
        <f>NPV(realdiscrt2,BD$62:BD68)/(1+realdiscrt2)^-Half_Year</f>
        <v>1.5092139335965865E-2</v>
      </c>
      <c r="BF68" s="74">
        <f t="shared" si="77"/>
        <v>0</v>
      </c>
      <c r="BG68" s="633">
        <f>NPV(realdiscrt2,BF$62:BF68)/(1+realdiscrt2)^-Half_Year</f>
        <v>3.5936072305466485E-2</v>
      </c>
      <c r="BH68" s="74">
        <f t="shared" si="78"/>
        <v>0</v>
      </c>
      <c r="BI68" s="633">
        <f>NPV(realdiscrt2,BH$62:BH68)/(1+realdiscrt2)^-Half_Year</f>
        <v>1.2153197342191028E-2</v>
      </c>
      <c r="BJ68" s="64">
        <f t="shared" si="79"/>
        <v>4.3016622371565123E-2</v>
      </c>
      <c r="BK68" s="633">
        <f>NPV(realdiscrt2,BJ$62:BJ68)/(1+realdiscrt2)^-Half_Year</f>
        <v>0.31739190508994808</v>
      </c>
      <c r="BL68" s="64">
        <f t="shared" si="80"/>
        <v>4.2510047819593798E-2</v>
      </c>
      <c r="BM68" s="633">
        <f>NPV(realdiscrt2,BL$62:BL68)/(1+realdiscrt2)^-Half_Year</f>
        <v>0.31365421827829021</v>
      </c>
      <c r="BN68" s="64">
        <f t="shared" si="81"/>
        <v>4.5844996953405021E-2</v>
      </c>
      <c r="BO68" s="633">
        <f>NPV(realdiscrt2,BN$62:BN68)/(1+realdiscrt2)^-Half_Year</f>
        <v>0.33826065645503789</v>
      </c>
      <c r="BP68" s="64">
        <f t="shared" si="82"/>
        <v>4.3903127837514939E-2</v>
      </c>
      <c r="BQ68" s="633">
        <f>NPV(realdiscrt2,BP$62:BP68)/(1+realdiscrt2)^-Half_Year</f>
        <v>0.32393285701034941</v>
      </c>
      <c r="BR68" s="64">
        <f t="shared" si="83"/>
        <v>0.14005407115292715</v>
      </c>
      <c r="BS68" s="633">
        <f>NPV(realdiscrt2,BR$62:BR68)/(1+realdiscrt2)^-Half_Year</f>
        <v>0.96546615856731099</v>
      </c>
      <c r="BT68" s="64">
        <f t="shared" si="84"/>
        <v>0.21736578584363803</v>
      </c>
      <c r="BU68" s="633">
        <f>NPV(realdiscrt2,BT$62:BT68)/(1+realdiscrt2)^-Half_Year</f>
        <v>8.2090401201507799</v>
      </c>
      <c r="BV68" s="64">
        <f t="shared" si="85"/>
        <v>0.11884691706786753</v>
      </c>
      <c r="BW68" s="633">
        <f>NPV(realdiscrt2,BV$62:BV68)/(1+realdiscrt2)^-Half_Year</f>
        <v>7.3593641525445177</v>
      </c>
      <c r="BX68" s="64">
        <f t="shared" si="86"/>
        <v>8.6946314337455213E-2</v>
      </c>
      <c r="BY68" s="633">
        <f>NPV(realdiscrt2,BX$62:BX68)/(1+realdiscrt2)^-Half_Year</f>
        <v>7.0842374095255964</v>
      </c>
      <c r="BZ68" s="64">
        <f t="shared" si="87"/>
        <v>0.1128893556094651</v>
      </c>
      <c r="CA68" s="633">
        <f>NPV(realdiscrt2,BZ$62:BZ68)/(1+realdiscrt2)^-Half_Year</f>
        <v>7.3079831647231588</v>
      </c>
      <c r="CB68" s="64">
        <f t="shared" si="88"/>
        <v>0.18078312408615377</v>
      </c>
      <c r="CC68" s="633">
        <f>NPV(realdiscrt2,CB$62:CB68)/(1+realdiscrt2)^-Half_Year</f>
        <v>7.8935329598204156</v>
      </c>
      <c r="CD68" s="64">
        <f t="shared" si="89"/>
        <v>0.11798614855592672</v>
      </c>
      <c r="CE68" s="633">
        <f>NPV(realdiscrt2,CD$62:CD68)/(1+realdiscrt2)^-Half_Year</f>
        <v>7.3519404546543914</v>
      </c>
      <c r="CF68" s="64">
        <f t="shared" si="90"/>
        <v>0.14542842686263593</v>
      </c>
      <c r="CG68" s="633">
        <f>NPV(realdiscrt2,CF$62:CF68)/(1+realdiscrt2)^-Half_Year</f>
        <v>7.5886163794119428</v>
      </c>
      <c r="CH68" s="634">
        <f t="shared" si="91"/>
        <v>1.2467738567184163E-3</v>
      </c>
      <c r="CI68" s="633">
        <f>NPV(realdiscrt2,CH$62:CH68)/(1+realdiscrt2)^-Half_Year</f>
        <v>3.7685220056760282E-2</v>
      </c>
      <c r="CJ68" s="634">
        <f t="shared" si="92"/>
        <v>1.3386711962893535E-3</v>
      </c>
      <c r="CK68" s="633">
        <f>NPV(realdiscrt2,CJ$62:CJ68)/(1+realdiscrt2)^-Half_Year</f>
        <v>5.6081354600937994E-2</v>
      </c>
    </row>
    <row r="69" spans="1:89">
      <c r="A69" s="56">
        <f t="shared" si="94"/>
        <v>8</v>
      </c>
      <c r="B69" s="56">
        <f t="shared" si="93"/>
        <v>2024</v>
      </c>
      <c r="C69" s="62">
        <f t="shared" si="51"/>
        <v>7.8418787623439054E-2</v>
      </c>
      <c r="D69" s="633">
        <f>NPV(realdiscrt2,C$62:C69)/(1+realdiscrt2)^-Half_Year</f>
        <v>0.56778462640398242</v>
      </c>
      <c r="E69" s="62">
        <f t="shared" si="52"/>
        <v>7.294897055261039E-2</v>
      </c>
      <c r="F69" s="633">
        <f>NPV(realdiscrt2,E$62:E69)/(1+realdiscrt2)^-Half_Year</f>
        <v>0.52409271323769946</v>
      </c>
      <c r="G69" s="62">
        <f t="shared" si="53"/>
        <v>7.4792631692447903E-2</v>
      </c>
      <c r="H69" s="633">
        <f>NPV(realdiscrt2,G$62:G69)/(1+realdiscrt2)^-Half_Year</f>
        <v>0.52168861764063745</v>
      </c>
      <c r="I69" s="62">
        <f t="shared" si="54"/>
        <v>6.3204448617642989E-2</v>
      </c>
      <c r="J69" s="633">
        <f>NPV(realdiscrt2,I$62:I69)/(1+realdiscrt2)^-Half_Year</f>
        <v>0.42733789596537014</v>
      </c>
      <c r="K69" s="63">
        <f t="shared" si="55"/>
        <v>178.50130770938495</v>
      </c>
      <c r="L69" s="633">
        <f>NPV(realdiscrt2,K$62:K69)/(1+realdiscrt2)^-Half_Year</f>
        <v>1089.0786590480718</v>
      </c>
      <c r="M69" s="63">
        <f t="shared" si="56"/>
        <v>0</v>
      </c>
      <c r="N69" s="633">
        <f>NPV(realdiscrt2,M$62:M69)/(1+realdiscrt2)^-Half_Year</f>
        <v>0</v>
      </c>
      <c r="O69" s="63">
        <f t="shared" si="57"/>
        <v>10.739952210274792</v>
      </c>
      <c r="P69" s="633">
        <f>NPV(realdiscrt2,O$62:O69)/(1+realdiscrt2)^-Half_Year</f>
        <v>84.428192873796121</v>
      </c>
      <c r="Q69" s="63">
        <f t="shared" si="58"/>
        <v>84.296373954599773</v>
      </c>
      <c r="R69" s="633">
        <f>NPV(realdiscrt2,Q$62:Q69)/(1+realdiscrt2)^-Half_Year</f>
        <v>662.66500813586936</v>
      </c>
      <c r="S69" s="63">
        <f t="shared" si="59"/>
        <v>21.27109343057348</v>
      </c>
      <c r="T69" s="633">
        <f>NPV(realdiscrt2,S$62:S69)/(1+realdiscrt2)^-Half_Year</f>
        <v>156.06634040891905</v>
      </c>
      <c r="U69" s="63">
        <f t="shared" si="60"/>
        <v>19.547653183068427</v>
      </c>
      <c r="V69" s="633">
        <f>NPV(realdiscrt2,U$62:U69)/(1+realdiscrt2)^-Half_Year</f>
        <v>143.17671811284453</v>
      </c>
      <c r="W69" s="624">
        <f t="shared" si="61"/>
        <v>19.094084505060845</v>
      </c>
      <c r="X69" s="633">
        <f>NPV(realdiscrt2,W$62:W69)/(1+realdiscrt2)^-Half_Year</f>
        <v>140.04496233920884</v>
      </c>
      <c r="Y69" s="624">
        <f t="shared" si="62"/>
        <v>8.4839906051734122</v>
      </c>
      <c r="Z69" s="633">
        <f>NPV(realdiscrt2,Y$62:Y69)/(1+realdiscrt2)^-Half_Year</f>
        <v>63.924700319977767</v>
      </c>
      <c r="AA69" s="624">
        <f t="shared" si="63"/>
        <v>8.2404139526965459</v>
      </c>
      <c r="AB69" s="633">
        <f>NPV(realdiscrt2,AA$62:AA69)/(1+realdiscrt2)^-Half_Year</f>
        <v>61.993675847048188</v>
      </c>
      <c r="AC69" s="63">
        <f t="shared" si="64"/>
        <v>8.6713196920397504</v>
      </c>
      <c r="AD69" s="633">
        <f>NPV(realdiscrt2,AC$62:AC69)/(1+realdiscrt2)^-Half_Year</f>
        <v>65.451181819483409</v>
      </c>
      <c r="AE69" s="63">
        <f t="shared" si="65"/>
        <v>6.9476967346669332</v>
      </c>
      <c r="AF69" s="633">
        <f>NPV(realdiscrt2,AE$62:AE69)/(1+realdiscrt2)^-Half_Year</f>
        <v>51.621157929742523</v>
      </c>
      <c r="AG69" s="63">
        <f t="shared" si="66"/>
        <v>7.1372311099615926</v>
      </c>
      <c r="AH69" s="633">
        <f>NPV(realdiscrt2,AG$62:AG69)/(1+realdiscrt2)^-Half_Year</f>
        <v>53.20771125643882</v>
      </c>
      <c r="AI69" s="63">
        <f t="shared" si="67"/>
        <v>8.0131089619448321</v>
      </c>
      <c r="AJ69" s="633">
        <f>NPV(realdiscrt2,AI$62:AI69)/(1+realdiscrt2)^-Half_Year</f>
        <v>60.254597843806323</v>
      </c>
      <c r="AK69" s="63">
        <f t="shared" si="68"/>
        <v>7.6955228461981298</v>
      </c>
      <c r="AL69" s="633">
        <f>NPV(realdiscrt2,AK$62:AK69)/(1+realdiscrt2)^-Half_Year</f>
        <v>57.725236399396231</v>
      </c>
      <c r="AM69" s="63">
        <f t="shared" si="69"/>
        <v>19.769979297706993</v>
      </c>
      <c r="AN69" s="633">
        <f>NPV(realdiscrt2,AM$62:AM69)/(1+realdiscrt2)^-Half_Year</f>
        <v>149.81360544489198</v>
      </c>
      <c r="AO69" s="63"/>
      <c r="AP69" s="60"/>
      <c r="AQ69" s="63">
        <f t="shared" si="70"/>
        <v>1.0833179284981212E-2</v>
      </c>
      <c r="AR69" s="633">
        <f>NPV(realdiscrt2,AQ$62:AQ69)/(1+realdiscrt2)^-Half_Year</f>
        <v>8.5161063308437659E-2</v>
      </c>
      <c r="AS69" s="63">
        <f t="shared" si="71"/>
        <v>4.5379702334816434E-3</v>
      </c>
      <c r="AT69" s="633">
        <f>NPV(realdiscrt2,AS$62:AS69)/(1+realdiscrt2)^-Half_Year</f>
        <v>3.5673587612558934E-2</v>
      </c>
      <c r="AU69" s="63">
        <f t="shared" si="72"/>
        <v>6.2952090514995698E-3</v>
      </c>
      <c r="AV69" s="633">
        <f>NPV(realdiscrt2,AU$62:AU69)/(1+realdiscrt2)^-Half_Year</f>
        <v>4.9487475695878733E-2</v>
      </c>
      <c r="AW69" s="63">
        <v>1</v>
      </c>
      <c r="AX69" s="633">
        <f>NPV(realdiscrt2,AW$62:AW69)/(1+realdiscrt2)^-Half_Year</f>
        <v>7.8611330125868353</v>
      </c>
      <c r="AY69" s="63">
        <f t="shared" si="73"/>
        <v>0</v>
      </c>
      <c r="AZ69" s="633">
        <f>NPV(realdiscrt2,AY$62:AY69)/(1+realdiscrt2)^-Half_Year</f>
        <v>0</v>
      </c>
      <c r="BA69" s="115">
        <f t="shared" si="74"/>
        <v>1.0021975853094038</v>
      </c>
      <c r="BB69" s="74">
        <f t="shared" si="75"/>
        <v>0</v>
      </c>
      <c r="BC69" s="633">
        <f>NPV(realdiscrt2,BB$62:BB69)/(1+realdiscrt2)^-Half_Year</f>
        <v>3.0433452835407791E-2</v>
      </c>
      <c r="BD69" s="74">
        <f t="shared" si="76"/>
        <v>0</v>
      </c>
      <c r="BE69" s="633">
        <f>NPV(realdiscrt2,BD$62:BD69)/(1+realdiscrt2)^-Half_Year</f>
        <v>1.5092139335965865E-2</v>
      </c>
      <c r="BF69" s="74">
        <f t="shared" si="77"/>
        <v>0</v>
      </c>
      <c r="BG69" s="633">
        <f>NPV(realdiscrt2,BF$62:BF69)/(1+realdiscrt2)^-Half_Year</f>
        <v>3.5936072305466485E-2</v>
      </c>
      <c r="BH69" s="74">
        <f t="shared" si="78"/>
        <v>0</v>
      </c>
      <c r="BI69" s="633">
        <f>NPV(realdiscrt2,BH$62:BH69)/(1+realdiscrt2)^-Half_Year</f>
        <v>1.2153197342191028E-2</v>
      </c>
      <c r="BJ69" s="64">
        <f t="shared" si="79"/>
        <v>4.1783860642174445E-2</v>
      </c>
      <c r="BK69" s="633">
        <f>NPV(realdiscrt2,BJ$62:BJ69)/(1+realdiscrt2)^-Half_Year</f>
        <v>0.35782232799077485</v>
      </c>
      <c r="BL69" s="64">
        <f t="shared" si="80"/>
        <v>4.129180340203107E-2</v>
      </c>
      <c r="BM69" s="633">
        <f>NPV(realdiscrt2,BL$62:BL69)/(1+realdiscrt2)^-Half_Year</f>
        <v>0.35360852236183543</v>
      </c>
      <c r="BN69" s="64">
        <f t="shared" si="81"/>
        <v>4.4531180232974921E-2</v>
      </c>
      <c r="BO69" s="633">
        <f>NPV(realdiscrt2,BN$62:BN69)/(1+realdiscrt2)^-Half_Year</f>
        <v>0.38134940941902012</v>
      </c>
      <c r="BP69" s="64">
        <f t="shared" si="82"/>
        <v>4.2644960812425338E-2</v>
      </c>
      <c r="BQ69" s="633">
        <f>NPV(realdiscrt2,BP$62:BP69)/(1+realdiscrt2)^-Half_Year</f>
        <v>0.36519648784141895</v>
      </c>
      <c r="BR69" s="64">
        <f t="shared" si="83"/>
        <v>0.14005407115292715</v>
      </c>
      <c r="BS69" s="633">
        <f>NPV(realdiscrt2,BR$62:BR69)/(1+realdiscrt2)^-Half_Year</f>
        <v>1.1009836822874615</v>
      </c>
      <c r="BT69" s="64">
        <f t="shared" si="84"/>
        <v>0.21699676567935164</v>
      </c>
      <c r="BU69" s="633">
        <f>NPV(realdiscrt2,BT$62:BT69)/(1+realdiscrt2)^-Half_Year</f>
        <v>8.4190080568060264</v>
      </c>
      <c r="BV69" s="64">
        <f t="shared" si="85"/>
        <v>0.11864515160284232</v>
      </c>
      <c r="BW69" s="633">
        <f>NPV(realdiscrt2,BV$62:BV69)/(1+realdiscrt2)^-Half_Year</f>
        <v>7.4741662215901403</v>
      </c>
      <c r="BX69" s="64">
        <f t="shared" si="86"/>
        <v>8.6798706271740661E-2</v>
      </c>
      <c r="BY69" s="633">
        <f>NPV(realdiscrt2,BX$62:BX69)/(1+realdiscrt2)^-Half_Year</f>
        <v>7.1682245841876959</v>
      </c>
      <c r="BZ69" s="64">
        <f t="shared" si="87"/>
        <v>0.11269770424910265</v>
      </c>
      <c r="CA69" s="633">
        <f>NPV(realdiscrt2,BZ$62:BZ69)/(1+realdiscrt2)^-Half_Year</f>
        <v>7.4170304325609342</v>
      </c>
      <c r="CB69" s="64">
        <f t="shared" si="88"/>
        <v>0.18047621001551678</v>
      </c>
      <c r="CC69" s="633">
        <f>NPV(realdiscrt2,CB$62:CB69)/(1+realdiscrt2)^-Half_Year</f>
        <v>8.0681632927365854</v>
      </c>
      <c r="CD69" s="64">
        <f t="shared" si="89"/>
        <v>0.11778584441075207</v>
      </c>
      <c r="CE69" s="633">
        <f>NPV(realdiscrt2,CD$62:CD69)/(1+realdiscrt2)^-Half_Year</f>
        <v>7.4659110506708606</v>
      </c>
      <c r="CF69" s="64">
        <f t="shared" si="90"/>
        <v>0.14518153418003424</v>
      </c>
      <c r="CG69" s="633">
        <f>NPV(realdiscrt2,CF$62:CF69)/(1+realdiscrt2)^-Half_Year</f>
        <v>7.7290952804535804</v>
      </c>
      <c r="CH69" s="634">
        <f t="shared" si="91"/>
        <v>1.2451741543062348E-3</v>
      </c>
      <c r="CI69" s="633">
        <f>NPV(realdiscrt2,CH$62:CH69)/(1+realdiscrt2)^-Half_Year</f>
        <v>3.8890061277031991E-2</v>
      </c>
      <c r="CJ69" s="634">
        <f t="shared" si="92"/>
        <v>1.3376047280145658E-3</v>
      </c>
      <c r="CK69" s="633">
        <f>NPV(realdiscrt2,CJ$62:CJ69)/(1+realdiscrt2)^-Half_Year</f>
        <v>5.7375632439237809E-2</v>
      </c>
    </row>
    <row r="70" spans="1:89">
      <c r="A70" s="56">
        <f t="shared" si="94"/>
        <v>9</v>
      </c>
      <c r="B70" s="56">
        <f t="shared" si="93"/>
        <v>2025</v>
      </c>
      <c r="C70" s="62">
        <f t="shared" si="51"/>
        <v>8.3037007234541965E-2</v>
      </c>
      <c r="D70" s="633">
        <f>NPV(realdiscrt2,C$62:C70)/(1+realdiscrt2)^-Half_Year</f>
        <v>0.64777996921848946</v>
      </c>
      <c r="E70" s="62">
        <f t="shared" si="52"/>
        <v>7.529172405358639E-2</v>
      </c>
      <c r="F70" s="633">
        <f>NPV(realdiscrt2,E$62:E70)/(1+realdiscrt2)^-Half_Year</f>
        <v>0.59662648435194132</v>
      </c>
      <c r="G70" s="62">
        <f t="shared" si="53"/>
        <v>8.0820093089687378E-2</v>
      </c>
      <c r="H70" s="633">
        <f>NPV(realdiscrt2,G$62:G70)/(1+realdiscrt2)^-Half_Year</f>
        <v>0.59954825237853893</v>
      </c>
      <c r="I70" s="62">
        <f t="shared" si="54"/>
        <v>6.545747406430355E-2</v>
      </c>
      <c r="J70" s="633">
        <f>NPV(realdiscrt2,I$62:I70)/(1+realdiscrt2)^-Half_Year</f>
        <v>0.49039764789929413</v>
      </c>
      <c r="K70" s="63">
        <f t="shared" si="55"/>
        <v>182.21764231692606</v>
      </c>
      <c r="L70" s="633">
        <f>NPV(realdiscrt2,K$62:K70)/(1+realdiscrt2)^-Half_Year</f>
        <v>1264.6216277731071</v>
      </c>
      <c r="M70" s="63">
        <f t="shared" si="56"/>
        <v>0</v>
      </c>
      <c r="N70" s="633">
        <f>NPV(realdiscrt2,M$62:M70)/(1+realdiscrt2)^-Half_Year</f>
        <v>0</v>
      </c>
      <c r="O70" s="63">
        <f t="shared" si="57"/>
        <v>10.739952210274792</v>
      </c>
      <c r="P70" s="633">
        <f>NPV(realdiscrt2,O$62:O70)/(1+realdiscrt2)^-Half_Year</f>
        <v>94.774738197204215</v>
      </c>
      <c r="Q70" s="63">
        <f t="shared" si="58"/>
        <v>84.296373954599773</v>
      </c>
      <c r="R70" s="633">
        <f>NPV(realdiscrt2,Q$62:Q70)/(1+realdiscrt2)^-Half_Year</f>
        <v>743.87358678166856</v>
      </c>
      <c r="S70" s="63">
        <f t="shared" si="59"/>
        <v>21.605438127870073</v>
      </c>
      <c r="T70" s="633">
        <f>NPV(realdiscrt2,S$62:S70)/(1+realdiscrt2)^-Half_Year</f>
        <v>176.88036643486703</v>
      </c>
      <c r="U70" s="63">
        <f t="shared" si="60"/>
        <v>19.870558262794173</v>
      </c>
      <c r="V70" s="633">
        <f>NPV(realdiscrt2,U$62:U70)/(1+realdiscrt2)^-Half_Year</f>
        <v>162.31941331690084</v>
      </c>
      <c r="W70" s="624">
        <f t="shared" si="61"/>
        <v>19.4052163258531</v>
      </c>
      <c r="X70" s="633">
        <f>NPV(realdiscrt2,W$62:W70)/(1+realdiscrt2)^-Half_Year</f>
        <v>158.73936118708235</v>
      </c>
      <c r="Y70" s="624">
        <f t="shared" si="62"/>
        <v>8.5821359477321124</v>
      </c>
      <c r="Z70" s="633">
        <f>NPV(realdiscrt2,Y$62:Y70)/(1+realdiscrt2)^-Half_Year</f>
        <v>72.192470680250935</v>
      </c>
      <c r="AA70" s="624">
        <f t="shared" si="63"/>
        <v>8.3439481581584722</v>
      </c>
      <c r="AB70" s="633">
        <f>NPV(realdiscrt2,AA$62:AA70)/(1+realdiscrt2)^-Half_Year</f>
        <v>70.031983290535891</v>
      </c>
      <c r="AC70" s="63">
        <f t="shared" si="64"/>
        <v>8.7694650345984506</v>
      </c>
      <c r="AD70" s="633">
        <f>NPV(realdiscrt2,AC$62:AC70)/(1+realdiscrt2)^-Half_Year</f>
        <v>73.899419359657159</v>
      </c>
      <c r="AE70" s="63">
        <f t="shared" si="65"/>
        <v>7.0673975288385371</v>
      </c>
      <c r="AF70" s="633">
        <f>NPV(realdiscrt2,AE$62:AE70)/(1+realdiscrt2)^-Half_Year</f>
        <v>58.429675083172143</v>
      </c>
      <c r="AG70" s="63">
        <f t="shared" si="66"/>
        <v>7.2569319041331966</v>
      </c>
      <c r="AH70" s="633">
        <f>NPV(realdiscrt2,AG$62:AG70)/(1+realdiscrt2)^-Half_Year</f>
        <v>60.198820097981724</v>
      </c>
      <c r="AI70" s="63">
        <f t="shared" si="67"/>
        <v>8.1220320303099864</v>
      </c>
      <c r="AJ70" s="633">
        <f>NPV(realdiscrt2,AI$62:AI70)/(1+realdiscrt2)^-Half_Year</f>
        <v>68.079117997571927</v>
      </c>
      <c r="AK70" s="63">
        <f t="shared" si="68"/>
        <v>7.8152236403697319</v>
      </c>
      <c r="AL70" s="633">
        <f>NPV(realdiscrt2,AK$62:AK70)/(1+realdiscrt2)^-Half_Year</f>
        <v>65.254186624174466</v>
      </c>
      <c r="AM70" s="63">
        <f t="shared" si="69"/>
        <v>19.957883119544359</v>
      </c>
      <c r="AN70" s="633">
        <f>NPV(realdiscrt2,AM$62:AM70)/(1+realdiscrt2)^-Half_Year</f>
        <v>169.04042677637759</v>
      </c>
      <c r="AO70" s="63"/>
      <c r="AP70" s="60"/>
      <c r="AQ70" s="63">
        <f t="shared" si="70"/>
        <v>1.0833179284981212E-2</v>
      </c>
      <c r="AR70" s="633">
        <f>NPV(realdiscrt2,AQ$62:AQ70)/(1+realdiscrt2)^-Half_Year</f>
        <v>9.5597420777648046E-2</v>
      </c>
      <c r="AS70" s="63">
        <f t="shared" si="71"/>
        <v>4.5379702334816434E-3</v>
      </c>
      <c r="AT70" s="633">
        <f>NPV(realdiscrt2,AS$62:AS70)/(1+realdiscrt2)^-Half_Year</f>
        <v>4.0045330966507552E-2</v>
      </c>
      <c r="AU70" s="63">
        <f t="shared" si="72"/>
        <v>6.2952090514995698E-3</v>
      </c>
      <c r="AV70" s="633">
        <f>NPV(realdiscrt2,AU$62:AU70)/(1+realdiscrt2)^-Half_Year</f>
        <v>5.5552089811140487E-2</v>
      </c>
      <c r="AW70" s="63">
        <v>1</v>
      </c>
      <c r="AX70" s="633">
        <f>NPV(realdiscrt2,AW$62:AW70)/(1+realdiscrt2)^-Half_Year</f>
        <v>8.824502785639428</v>
      </c>
      <c r="AY70" s="63">
        <f t="shared" si="73"/>
        <v>0</v>
      </c>
      <c r="AZ70" s="633">
        <f>NPV(realdiscrt2,AY$62:AY70)/(1+realdiscrt2)^-Half_Year</f>
        <v>0</v>
      </c>
      <c r="BA70" s="115">
        <f t="shared" si="74"/>
        <v>1.0021975853094038</v>
      </c>
      <c r="BB70" s="74">
        <f t="shared" si="75"/>
        <v>0</v>
      </c>
      <c r="BC70" s="633">
        <f>NPV(realdiscrt2,BB$62:BB70)/(1+realdiscrt2)^-Half_Year</f>
        <v>3.0433452835407791E-2</v>
      </c>
      <c r="BD70" s="74">
        <f t="shared" si="76"/>
        <v>0</v>
      </c>
      <c r="BE70" s="633">
        <f>NPV(realdiscrt2,BD$62:BD70)/(1+realdiscrt2)^-Half_Year</f>
        <v>1.5092139335965865E-2</v>
      </c>
      <c r="BF70" s="74">
        <f t="shared" si="77"/>
        <v>0</v>
      </c>
      <c r="BG70" s="633">
        <f>NPV(realdiscrt2,BF$62:BF70)/(1+realdiscrt2)^-Half_Year</f>
        <v>3.5936072305466485E-2</v>
      </c>
      <c r="BH70" s="74">
        <f t="shared" si="78"/>
        <v>0</v>
      </c>
      <c r="BI70" s="633">
        <f>NPV(realdiscrt2,BH$62:BH70)/(1+realdiscrt2)^-Half_Year</f>
        <v>1.2153197342191028E-2</v>
      </c>
      <c r="BJ70" s="64">
        <f t="shared" si="79"/>
        <v>4.0545897386499413E-2</v>
      </c>
      <c r="BK70" s="633">
        <f>NPV(realdiscrt2,BJ$62:BJ70)/(1+realdiscrt2)^-Half_Year</f>
        <v>0.39688301995422043</v>
      </c>
      <c r="BL70" s="64">
        <f t="shared" si="80"/>
        <v>4.006841871266429E-2</v>
      </c>
      <c r="BM70" s="633">
        <f>NPV(realdiscrt2,BL$62:BL70)/(1+realdiscrt2)^-Half_Year</f>
        <v>0.39220922580363105</v>
      </c>
      <c r="BN70" s="64">
        <f t="shared" si="81"/>
        <v>4.3211819982078861E-2</v>
      </c>
      <c r="BO70" s="633">
        <f>NPV(realdiscrt2,BN$62:BN70)/(1+realdiscrt2)^-Half_Year</f>
        <v>0.42297837062834487</v>
      </c>
      <c r="BP70" s="64">
        <f t="shared" si="82"/>
        <v>4.1381485065710877E-2</v>
      </c>
      <c r="BQ70" s="633">
        <f>NPV(realdiscrt2,BP$62:BP70)/(1+realdiscrt2)^-Half_Year</f>
        <v>0.40506215971775206</v>
      </c>
      <c r="BR70" s="64">
        <f t="shared" si="83"/>
        <v>0.14005407115292715</v>
      </c>
      <c r="BS70" s="633">
        <f>NPV(realdiscrt2,BR$62:BR70)/(1+realdiscrt2)^-Half_Year</f>
        <v>1.2359075410291482</v>
      </c>
      <c r="BT70" s="64">
        <f t="shared" si="84"/>
        <v>0.21662929761392419</v>
      </c>
      <c r="BU70" s="633">
        <f>NPV(realdiscrt2,BT$62:BT70)/(1+realdiscrt2)^-Half_Year</f>
        <v>8.6277021740848951</v>
      </c>
      <c r="BV70" s="64">
        <f t="shared" si="85"/>
        <v>0.11844423476338919</v>
      </c>
      <c r="BW70" s="633">
        <f>NPV(realdiscrt2,BV$62:BV70)/(1+realdiscrt2)^-Half_Year</f>
        <v>7.5882718171535348</v>
      </c>
      <c r="BX70" s="64">
        <f t="shared" si="86"/>
        <v>8.6651719045569675E-2</v>
      </c>
      <c r="BY70" s="633">
        <f>NPV(realdiscrt2,BX$62:BX70)/(1+realdiscrt2)^-Half_Year</f>
        <v>7.2517022310992436</v>
      </c>
      <c r="BZ70" s="64">
        <f t="shared" si="87"/>
        <v>0.11250685897438677</v>
      </c>
      <c r="CA70" s="633">
        <f>NPV(realdiscrt2,BZ$62:BZ70)/(1+realdiscrt2)^-Half_Year</f>
        <v>7.52541613975795</v>
      </c>
      <c r="CB70" s="64">
        <f t="shared" si="88"/>
        <v>0.18017058682550074</v>
      </c>
      <c r="CC70" s="633">
        <f>NPV(realdiscrt2,CB$62:CB70)/(1+realdiscrt2)^-Half_Year</f>
        <v>8.2417341900774197</v>
      </c>
      <c r="CD70" s="64">
        <f t="shared" si="89"/>
        <v>0.11758638274483806</v>
      </c>
      <c r="CE70" s="633">
        <f>NPV(realdiscrt2,CD$62:CD70)/(1+realdiscrt2)^-Half_Year</f>
        <v>7.5791902175298302</v>
      </c>
      <c r="CF70" s="64">
        <f t="shared" si="90"/>
        <v>0.14493567992808765</v>
      </c>
      <c r="CG70" s="633">
        <f>NPV(realdiscrt2,CF$62:CF70)/(1+realdiscrt2)^-Half_Year</f>
        <v>7.8687219335331262</v>
      </c>
      <c r="CH70" s="634">
        <f t="shared" si="91"/>
        <v>1.2435811802426068E-3</v>
      </c>
      <c r="CI70" s="633">
        <f>NPV(realdiscrt2,CH$62:CH70)/(1+realdiscrt2)^-Half_Year</f>
        <v>4.0088089796414789E-2</v>
      </c>
      <c r="CJ70" s="634">
        <f t="shared" si="92"/>
        <v>1.3365427453054808E-3</v>
      </c>
      <c r="CK70" s="633">
        <f>NPV(realdiscrt2,CJ$62:CJ70)/(1+realdiscrt2)^-Half_Year</f>
        <v>5.8663217320457831E-2</v>
      </c>
    </row>
    <row r="71" spans="1:89">
      <c r="A71" s="56">
        <f t="shared" si="94"/>
        <v>10</v>
      </c>
      <c r="B71" s="56">
        <f t="shared" si="93"/>
        <v>2026</v>
      </c>
      <c r="C71" s="62">
        <f t="shared" si="51"/>
        <v>8.4464262367603807E-2</v>
      </c>
      <c r="D71" s="633">
        <f>NPV(realdiscrt2,C$62:C71)/(1+realdiscrt2)^-Half_Year</f>
        <v>0.7287938255189006</v>
      </c>
      <c r="E71" s="62">
        <f t="shared" si="52"/>
        <v>7.7725010092089708E-2</v>
      </c>
      <c r="F71" s="633">
        <f>NPV(realdiscrt2,E$62:E71)/(1+realdiscrt2)^-Half_Year</f>
        <v>0.67117639009957863</v>
      </c>
      <c r="G71" s="62">
        <f t="shared" si="53"/>
        <v>8.5434725081587157E-2</v>
      </c>
      <c r="H71" s="633">
        <f>NPV(realdiscrt2,G$62:G71)/(1+realdiscrt2)^-Half_Year</f>
        <v>0.681492927520573</v>
      </c>
      <c r="I71" s="62">
        <f t="shared" si="54"/>
        <v>6.8203668206913259E-2</v>
      </c>
      <c r="J71" s="633">
        <f>NPV(realdiscrt2,I$62:I71)/(1+realdiscrt2)^-Half_Year</f>
        <v>0.55581516319384627</v>
      </c>
      <c r="K71" s="63">
        <f t="shared" si="55"/>
        <v>182.96133251116859</v>
      </c>
      <c r="L71" s="633">
        <f>NPV(realdiscrt2,K$62:K71)/(1+realdiscrt2)^-Half_Year</f>
        <v>1440.1089011489378</v>
      </c>
      <c r="M71" s="63">
        <f t="shared" si="56"/>
        <v>0</v>
      </c>
      <c r="N71" s="633">
        <f>NPV(realdiscrt2,M$62:M71)/(1+realdiscrt2)^-Half_Year</f>
        <v>0</v>
      </c>
      <c r="O71" s="63">
        <f t="shared" si="57"/>
        <v>10.739952210274792</v>
      </c>
      <c r="P71" s="633">
        <f>NPV(realdiscrt2,O$62:O71)/(1+realdiscrt2)^-Half_Year</f>
        <v>105.07595815280767</v>
      </c>
      <c r="Q71" s="63">
        <f t="shared" si="58"/>
        <v>84.296373954599773</v>
      </c>
      <c r="R71" s="633">
        <f>NPV(realdiscrt2,Q$62:Q71)/(1+realdiscrt2)^-Half_Year</f>
        <v>824.72641299214172</v>
      </c>
      <c r="S71" s="63">
        <f t="shared" si="59"/>
        <v>21.854578739700273</v>
      </c>
      <c r="T71" s="633">
        <f>NPV(realdiscrt2,S$62:S71)/(1+realdiscrt2)^-Half_Year</f>
        <v>197.84217503763989</v>
      </c>
      <c r="U71" s="63">
        <f t="shared" si="60"/>
        <v>20.142304308180872</v>
      </c>
      <c r="V71" s="633">
        <f>NPV(realdiscrt2,U$62:U71)/(1+realdiscrt2)^-Half_Year</f>
        <v>181.63889472881678</v>
      </c>
      <c r="W71" s="624">
        <f t="shared" si="61"/>
        <v>19.693713404795492</v>
      </c>
      <c r="X71" s="633">
        <f>NPV(realdiscrt2,W$62:W71)/(1+realdiscrt2)^-Half_Year</f>
        <v>177.62857685149953</v>
      </c>
      <c r="Y71" s="624">
        <f t="shared" si="62"/>
        <v>8.6988906391864216</v>
      </c>
      <c r="Z71" s="633">
        <f>NPV(realdiscrt2,Y$62:Y71)/(1+realdiscrt2)^-Half_Year</f>
        <v>80.536007419480654</v>
      </c>
      <c r="AA71" s="624">
        <f t="shared" si="63"/>
        <v>8.4580084181611692</v>
      </c>
      <c r="AB71" s="633">
        <f>NPV(realdiscrt2,AA$62:AA71)/(1+realdiscrt2)^-Half_Year</f>
        <v>78.144477964252388</v>
      </c>
      <c r="AC71" s="63">
        <f t="shared" si="64"/>
        <v>8.886219726052758</v>
      </c>
      <c r="AD71" s="633">
        <f>NPV(realdiscrt2,AC$62:AC71)/(1+realdiscrt2)^-Half_Year</f>
        <v>82.422632701734912</v>
      </c>
      <c r="AE71" s="63">
        <f t="shared" si="65"/>
        <v>7.1733744944863931</v>
      </c>
      <c r="AF71" s="633">
        <f>NPV(realdiscrt2,AE$62:AE71)/(1+realdiscrt2)^-Half_Year</f>
        <v>65.31001375180476</v>
      </c>
      <c r="AG71" s="63">
        <f t="shared" si="66"/>
        <v>7.3629088697810525</v>
      </c>
      <c r="AH71" s="633">
        <f>NPV(realdiscrt2,AG$62:AG71)/(1+realdiscrt2)^-Half_Year</f>
        <v>67.260950570789248</v>
      </c>
      <c r="AI71" s="63">
        <f t="shared" si="67"/>
        <v>8.2387867217642956</v>
      </c>
      <c r="AJ71" s="633">
        <f>NPV(realdiscrt2,AI$62:AI71)/(1+realdiscrt2)^-Half_Year</f>
        <v>75.98134628747114</v>
      </c>
      <c r="AK71" s="63">
        <f t="shared" si="68"/>
        <v>7.9212006060175906</v>
      </c>
      <c r="AL71" s="633">
        <f>NPV(realdiscrt2,AK$62:AK71)/(1+realdiscrt2)^-Half_Year</f>
        <v>72.851802345125478</v>
      </c>
      <c r="AM71" s="63">
        <f t="shared" si="69"/>
        <v>20.113670137757172</v>
      </c>
      <c r="AN71" s="633">
        <f>NPV(realdiscrt2,AM$62:AM71)/(1+realdiscrt2)^-Half_Year</f>
        <v>188.33244373761394</v>
      </c>
      <c r="AO71" s="63"/>
      <c r="AP71" s="60"/>
      <c r="AQ71" s="63">
        <f t="shared" si="70"/>
        <v>1.0833179284981212E-2</v>
      </c>
      <c r="AR71" s="633">
        <f>NPV(realdiscrt2,AQ$62:AQ71)/(1+realdiscrt2)^-Half_Year</f>
        <v>0.10598805943675835</v>
      </c>
      <c r="AS71" s="63">
        <f t="shared" si="71"/>
        <v>4.5379702334816434E-3</v>
      </c>
      <c r="AT71" s="633">
        <f>NPV(realdiscrt2,AS$62:AS71)/(1+realdiscrt2)^-Half_Year</f>
        <v>4.4397922915878942E-2</v>
      </c>
      <c r="AU71" s="63">
        <f t="shared" si="72"/>
        <v>6.2952090514995698E-3</v>
      </c>
      <c r="AV71" s="633">
        <f>NPV(realdiscrt2,AU$62:AU71)/(1+realdiscrt2)^-Half_Year</f>
        <v>6.1590136520879392E-2</v>
      </c>
      <c r="AW71" s="63">
        <v>1</v>
      </c>
      <c r="AX71" s="633">
        <f>NPV(realdiscrt2,AW$62:AW71)/(1+realdiscrt2)^-Half_Year</f>
        <v>9.7836523008252012</v>
      </c>
      <c r="AY71" s="63">
        <f t="shared" si="73"/>
        <v>0</v>
      </c>
      <c r="AZ71" s="633">
        <f>NPV(realdiscrt2,AY$62:AY71)/(1+realdiscrt2)^-Half_Year</f>
        <v>0</v>
      </c>
      <c r="BA71" s="115">
        <f t="shared" si="74"/>
        <v>1.0021975853094038</v>
      </c>
      <c r="BB71" s="74">
        <f t="shared" si="75"/>
        <v>0</v>
      </c>
      <c r="BC71" s="633">
        <f>NPV(realdiscrt2,BB$62:BB71)/(1+realdiscrt2)^-Half_Year</f>
        <v>3.0433452835407791E-2</v>
      </c>
      <c r="BD71" s="74">
        <f t="shared" si="76"/>
        <v>0</v>
      </c>
      <c r="BE71" s="633">
        <f>NPV(realdiscrt2,BD$62:BD71)/(1+realdiscrt2)^-Half_Year</f>
        <v>1.5092139335965865E-2</v>
      </c>
      <c r="BF71" s="74">
        <f t="shared" si="77"/>
        <v>0</v>
      </c>
      <c r="BG71" s="633">
        <f>NPV(realdiscrt2,BF$62:BF71)/(1+realdiscrt2)^-Half_Year</f>
        <v>3.5936072305466485E-2</v>
      </c>
      <c r="BH71" s="74">
        <f t="shared" si="78"/>
        <v>0</v>
      </c>
      <c r="BI71" s="633">
        <f>NPV(realdiscrt2,BH$62:BH71)/(1+realdiscrt2)^-Half_Year</f>
        <v>1.2153197342191028E-2</v>
      </c>
      <c r="BJ71" s="64">
        <f t="shared" si="79"/>
        <v>3.9307934130824368E-2</v>
      </c>
      <c r="BK71" s="633">
        <f>NPV(realdiscrt2,BJ$62:BJ71)/(1+realdiscrt2)^-Half_Year</f>
        <v>0.43458520591875494</v>
      </c>
      <c r="BL71" s="64">
        <f t="shared" si="80"/>
        <v>3.8845034023297496E-2</v>
      </c>
      <c r="BM71" s="633">
        <f>NPV(realdiscrt2,BL$62:BL71)/(1+realdiscrt2)^-Half_Year</f>
        <v>0.42946742135445176</v>
      </c>
      <c r="BN71" s="64">
        <f t="shared" si="81"/>
        <v>4.1892459731182802E-2</v>
      </c>
      <c r="BO71" s="633">
        <f>NPV(realdiscrt2,BN$62:BN71)/(1+realdiscrt2)^-Half_Year</f>
        <v>0.46315950306944842</v>
      </c>
      <c r="BP71" s="64">
        <f t="shared" si="82"/>
        <v>4.0118009318996416E-2</v>
      </c>
      <c r="BQ71" s="633">
        <f>NPV(realdiscrt2,BP$62:BP71)/(1+realdiscrt2)^-Half_Year</f>
        <v>0.44354132890628578</v>
      </c>
      <c r="BR71" s="64">
        <f t="shared" si="83"/>
        <v>0.14005407115292715</v>
      </c>
      <c r="BS71" s="633">
        <f>NPV(realdiscrt2,BR$62:BR71)/(1+realdiscrt2)^-Half_Year</f>
        <v>1.3702403354752719</v>
      </c>
      <c r="BT71" s="64">
        <f t="shared" si="84"/>
        <v>0.21626337612081561</v>
      </c>
      <c r="BU71" s="633">
        <f>NPV(realdiscrt2,BT$62:BT71)/(1+realdiscrt2)^-Half_Year</f>
        <v>8.8351310864436137</v>
      </c>
      <c r="BV71" s="64">
        <f t="shared" si="85"/>
        <v>0.11824416352781715</v>
      </c>
      <c r="BW71" s="633">
        <f>NPV(realdiscrt2,BV$62:BV71)/(1+realdiscrt2)^-Half_Year</f>
        <v>7.7016856492747872</v>
      </c>
      <c r="BX71" s="64">
        <f t="shared" si="86"/>
        <v>8.6505350448326246E-2</v>
      </c>
      <c r="BY71" s="633">
        <f>NPV(realdiscrt2,BX$62:BX71)/(1+realdiscrt2)^-Half_Year</f>
        <v>7.3346737960427317</v>
      </c>
      <c r="BZ71" s="64">
        <f t="shared" si="87"/>
        <v>0.11231681691509783</v>
      </c>
      <c r="CA71" s="633">
        <f>NPV(realdiscrt2,BZ$62:BZ71)/(1+realdiscrt2)^-Half_Year</f>
        <v>7.6331447602492748</v>
      </c>
      <c r="CB71" s="64">
        <f t="shared" si="88"/>
        <v>0.17986624991968236</v>
      </c>
      <c r="CC71" s="633">
        <f>NPV(realdiscrt2,CB$62:CB71)/(1+realdiscrt2)^-Half_Year</f>
        <v>8.4142528164861652</v>
      </c>
      <c r="CD71" s="64">
        <f t="shared" si="89"/>
        <v>0.11738776055837871</v>
      </c>
      <c r="CE71" s="633">
        <f>NPV(realdiscrt2,CD$62:CD71)/(1+realdiscrt2)^-Half_Year</f>
        <v>7.6917826311581425</v>
      </c>
      <c r="CF71" s="64">
        <f t="shared" si="90"/>
        <v>0.1446908604092684</v>
      </c>
      <c r="CG71" s="633">
        <f>NPV(realdiscrt2,CF$62:CF71)/(1+realdiscrt2)^-Half_Year</f>
        <v>8.0075021021464874</v>
      </c>
      <c r="CH71" s="634">
        <f t="shared" si="91"/>
        <v>1.2419949105699813E-3</v>
      </c>
      <c r="CI71" s="633">
        <f>NPV(realdiscrt2,CH$62:CH71)/(1+realdiscrt2)^-Half_Year</f>
        <v>4.1279348612751177E-2</v>
      </c>
      <c r="CJ71" s="634">
        <f t="shared" si="92"/>
        <v>1.3354852321903967E-3</v>
      </c>
      <c r="CK71" s="633">
        <f>NPV(realdiscrt2,CJ$62:CJ71)/(1+realdiscrt2)^-Half_Year</f>
        <v>5.9944147333451013E-2</v>
      </c>
    </row>
    <row r="72" spans="1:89">
      <c r="A72" s="56">
        <f t="shared" si="94"/>
        <v>11</v>
      </c>
      <c r="B72" s="56">
        <f t="shared" si="93"/>
        <v>2027</v>
      </c>
      <c r="C72" s="62">
        <f t="shared" si="51"/>
        <v>8.5803156248414711E-2</v>
      </c>
      <c r="D72" s="633">
        <f>NPV(realdiscrt2,C$62:C72)/(1+realdiscrt2)^-Half_Year</f>
        <v>0.81073135610141367</v>
      </c>
      <c r="E72" s="62">
        <f t="shared" si="52"/>
        <v>7.9728621010986447E-2</v>
      </c>
      <c r="F72" s="633">
        <f>NPV(realdiscrt2,E$62:E72)/(1+realdiscrt2)^-Half_Year</f>
        <v>0.74731305695453476</v>
      </c>
      <c r="G72" s="62">
        <f t="shared" si="53"/>
        <v>8.2897572611307077E-2</v>
      </c>
      <c r="H72" s="633">
        <f>NPV(realdiscrt2,G$62:G72)/(1+realdiscrt2)^-Half_Year</f>
        <v>0.76065577756060943</v>
      </c>
      <c r="I72" s="62">
        <f t="shared" si="54"/>
        <v>7.0072725337772326E-2</v>
      </c>
      <c r="J72" s="633">
        <f>NPV(realdiscrt2,I$62:I72)/(1+realdiscrt2)^-Half_Year</f>
        <v>0.62273095424867531</v>
      </c>
      <c r="K72" s="63">
        <f t="shared" si="55"/>
        <v>181.26220993732784</v>
      </c>
      <c r="L72" s="633">
        <f>NPV(realdiscrt2,K$62:K72)/(1+realdiscrt2)^-Half_Year</f>
        <v>1613.2048398017553</v>
      </c>
      <c r="M72" s="63">
        <f t="shared" si="56"/>
        <v>0</v>
      </c>
      <c r="N72" s="633">
        <f>NPV(realdiscrt2,M$62:M72)/(1+realdiscrt2)^-Half_Year</f>
        <v>0</v>
      </c>
      <c r="O72" s="63">
        <f t="shared" si="57"/>
        <v>10.739952210274792</v>
      </c>
      <c r="P72" s="633">
        <f>NPV(realdiscrt2,O$62:O72)/(1+realdiscrt2)^-Half_Year</f>
        <v>115.33205129856977</v>
      </c>
      <c r="Q72" s="63">
        <f t="shared" si="58"/>
        <v>84.296373954599773</v>
      </c>
      <c r="R72" s="633">
        <f>NPV(realdiscrt2,Q$62:Q72)/(1+realdiscrt2)^-Half_Year</f>
        <v>905.22504522080851</v>
      </c>
      <c r="S72" s="63">
        <f t="shared" si="59"/>
        <v>22.208146844788985</v>
      </c>
      <c r="T72" s="633">
        <f>NPV(realdiscrt2,S$62:S72)/(1+realdiscrt2)^-Half_Year</f>
        <v>219.04979479008293</v>
      </c>
      <c r="U72" s="63">
        <f t="shared" si="60"/>
        <v>20.491180237585148</v>
      </c>
      <c r="V72" s="633">
        <f>NPV(realdiscrt2,U$62:U72)/(1+realdiscrt2)^-Half_Year</f>
        <v>201.20690109128603</v>
      </c>
      <c r="W72" s="624">
        <f t="shared" si="61"/>
        <v>20.040195614345361</v>
      </c>
      <c r="X72" s="633">
        <f>NPV(realdiscrt2,W$62:W72)/(1+realdiscrt2)^-Half_Year</f>
        <v>196.76591646492784</v>
      </c>
      <c r="Y72" s="624">
        <f t="shared" si="62"/>
        <v>8.7804619407287987</v>
      </c>
      <c r="Z72" s="633">
        <f>NPV(realdiscrt2,Y$62:Y72)/(1+realdiscrt2)^-Half_Year</f>
        <v>88.920889750780105</v>
      </c>
      <c r="AA72" s="624">
        <f t="shared" si="63"/>
        <v>8.5395797197035463</v>
      </c>
      <c r="AB72" s="633">
        <f>NPV(realdiscrt2,AA$62:AA72)/(1+realdiscrt2)^-Half_Year</f>
        <v>86.299330361747323</v>
      </c>
      <c r="AC72" s="63">
        <f t="shared" si="64"/>
        <v>8.9677910275951369</v>
      </c>
      <c r="AD72" s="633">
        <f>NPV(realdiscrt2,AC$62:AC72)/(1+realdiscrt2)^-Half_Year</f>
        <v>90.9864045221304</v>
      </c>
      <c r="AE72" s="63">
        <f t="shared" si="65"/>
        <v>7.2549457960287711</v>
      </c>
      <c r="AF72" s="633">
        <f>NPV(realdiscrt2,AE$62:AE72)/(1+realdiscrt2)^-Half_Year</f>
        <v>72.23810788059815</v>
      </c>
      <c r="AG72" s="63">
        <f t="shared" si="66"/>
        <v>7.4444801713234305</v>
      </c>
      <c r="AH72" s="633">
        <f>NPV(realdiscrt2,AG$62:AG72)/(1+realdiscrt2)^-Half_Year</f>
        <v>74.370040123890576</v>
      </c>
      <c r="AI72" s="63">
        <f t="shared" si="67"/>
        <v>8.3203580233066727</v>
      </c>
      <c r="AJ72" s="633">
        <f>NPV(realdiscrt2,AI$62:AI72)/(1+realdiscrt2)^-Half_Year</f>
        <v>83.926853420313293</v>
      </c>
      <c r="AK72" s="63">
        <f t="shared" si="68"/>
        <v>8.0027719075599677</v>
      </c>
      <c r="AL72" s="633">
        <f>NPV(realdiscrt2,AK$62:AK72)/(1+realdiscrt2)^-Half_Year</f>
        <v>80.494031332857929</v>
      </c>
      <c r="AM72" s="63">
        <f t="shared" si="69"/>
        <v>20.269796752340056</v>
      </c>
      <c r="AN72" s="633">
        <f>NPV(realdiscrt2,AM$62:AM72)/(1+realdiscrt2)^-Half_Year</f>
        <v>207.68904044004438</v>
      </c>
      <c r="AO72" s="63"/>
      <c r="AP72" s="60"/>
      <c r="AQ72" s="63">
        <f t="shared" si="70"/>
        <v>1.0833179284981212E-2</v>
      </c>
      <c r="AR72" s="633">
        <f>NPV(realdiscrt2,AQ$62:AQ72)/(1+realdiscrt2)^-Half_Year</f>
        <v>0.11633317956729429</v>
      </c>
      <c r="AS72" s="63">
        <f t="shared" si="71"/>
        <v>4.5379702334816434E-3</v>
      </c>
      <c r="AT72" s="633">
        <f>NPV(realdiscrt2,AS$62:AS72)/(1+realdiscrt2)^-Half_Year</f>
        <v>4.8731447357706292E-2</v>
      </c>
      <c r="AU72" s="63">
        <f t="shared" si="72"/>
        <v>6.2952090514995698E-3</v>
      </c>
      <c r="AV72" s="633">
        <f>NPV(realdiscrt2,AU$62:AU72)/(1+realdiscrt2)^-Half_Year</f>
        <v>6.7601732209587984E-2</v>
      </c>
      <c r="AW72" s="63">
        <v>1</v>
      </c>
      <c r="AX72" s="633">
        <f>NPV(realdiscrt2,AW$62:AW72)/(1+realdiscrt2)^-Half_Year</f>
        <v>10.738600045932502</v>
      </c>
      <c r="AY72" s="63">
        <f t="shared" si="73"/>
        <v>0</v>
      </c>
      <c r="AZ72" s="633">
        <f>NPV(realdiscrt2,AY$62:AY72)/(1+realdiscrt2)^-Half_Year</f>
        <v>0</v>
      </c>
      <c r="BA72" s="115">
        <f t="shared" si="74"/>
        <v>1.0021975853094038</v>
      </c>
      <c r="BB72" s="74">
        <f t="shared" si="75"/>
        <v>0</v>
      </c>
      <c r="BC72" s="633">
        <f>NPV(realdiscrt2,BB$62:BB72)/(1+realdiscrt2)^-Half_Year</f>
        <v>3.0433452835407791E-2</v>
      </c>
      <c r="BD72" s="74">
        <f t="shared" si="76"/>
        <v>0</v>
      </c>
      <c r="BE72" s="633">
        <f>NPV(realdiscrt2,BD$62:BD72)/(1+realdiscrt2)^-Half_Year</f>
        <v>1.5092139335965865E-2</v>
      </c>
      <c r="BF72" s="74">
        <f t="shared" ref="BF72:BF86" si="95">IF(ED="YES",VLOOKUP($B72,$C$136:$AR$166,12,FALSE)*(1+Inflation2)^(Year1-Real_Year2),"")</f>
        <v>0</v>
      </c>
      <c r="BG72" s="633">
        <f>NPV(realdiscrt2,BF$62:BF72)/(1+realdiscrt2)^-Half_Year</f>
        <v>3.5936072305466485E-2</v>
      </c>
      <c r="BH72" s="74">
        <f t="shared" si="78"/>
        <v>0</v>
      </c>
      <c r="BI72" s="633">
        <f>NPV(realdiscrt2,BH$62:BH72)/(1+realdiscrt2)^-Half_Year</f>
        <v>1.2153197342191028E-2</v>
      </c>
      <c r="BJ72" s="64">
        <f t="shared" si="79"/>
        <v>3.8075172401433696E-2</v>
      </c>
      <c r="BK72" s="633">
        <f>NPV(realdiscrt2,BJ$62:BJ72)/(1+realdiscrt2)^-Half_Year</f>
        <v>0.47094500594807581</v>
      </c>
      <c r="BL72" s="64">
        <f t="shared" si="80"/>
        <v>3.7626789605734783E-2</v>
      </c>
      <c r="BM72" s="633">
        <f>NPV(realdiscrt2,BL$62:BL72)/(1+realdiscrt2)^-Half_Year</f>
        <v>0.46539903924407505</v>
      </c>
      <c r="BN72" s="64">
        <f t="shared" si="81"/>
        <v>4.0578643010752695E-2</v>
      </c>
      <c r="BO72" s="633">
        <f>NPV(realdiscrt2,BN$62:BN72)/(1+realdiscrt2)^-Half_Year</f>
        <v>0.50190998671208076</v>
      </c>
      <c r="BP72" s="64">
        <f t="shared" si="82"/>
        <v>3.8859842293906814E-2</v>
      </c>
      <c r="BQ72" s="633">
        <f>NPV(realdiscrt2,BP$62:BP72)/(1+realdiscrt2)^-Half_Year</f>
        <v>0.48065044768007742</v>
      </c>
      <c r="BR72" s="64">
        <f t="shared" si="83"/>
        <v>0.14005407115292715</v>
      </c>
      <c r="BS72" s="633">
        <f>NPV(realdiscrt2,BR$62:BR72)/(1+realdiscrt2)^-Half_Year</f>
        <v>1.5039846549158575</v>
      </c>
      <c r="BT72" s="64">
        <f t="shared" si="84"/>
        <v>0.21589899569661389</v>
      </c>
      <c r="BU72" s="633">
        <f>NPV(realdiscrt2,BT$62:BT72)/(1+realdiscrt2)^-Half_Year</f>
        <v>9.0413033455550256</v>
      </c>
      <c r="BV72" s="64">
        <f t="shared" si="85"/>
        <v>0.11804493488708064</v>
      </c>
      <c r="BW72" s="633">
        <f>NPV(realdiscrt2,BV$62:BV72)/(1+realdiscrt2)^-Half_Year</f>
        <v>7.8144123936665437</v>
      </c>
      <c r="BX72" s="64">
        <f t="shared" si="86"/>
        <v>8.6359598278645561E-2</v>
      </c>
      <c r="BY72" s="633">
        <f>NPV(realdiscrt2,BX$62:BX72)/(1+realdiscrt2)^-Half_Year</f>
        <v>7.4171426996872967</v>
      </c>
      <c r="BZ72" s="64">
        <f t="shared" si="87"/>
        <v>0.11212757521302784</v>
      </c>
      <c r="CA72" s="633">
        <f>NPV(realdiscrt2,BZ$62:BZ72)/(1+realdiscrt2)^-Half_Year</f>
        <v>7.7402207353633043</v>
      </c>
      <c r="CB72" s="64">
        <f t="shared" si="88"/>
        <v>0.17956319472087379</v>
      </c>
      <c r="CC72" s="633">
        <f>NPV(realdiscrt2,CB$62:CB72)/(1+realdiscrt2)^-Half_Year</f>
        <v>8.5857262843891267</v>
      </c>
      <c r="CD72" s="64">
        <f t="shared" si="89"/>
        <v>0.11718997486412204</v>
      </c>
      <c r="CE72" s="633">
        <f>NPV(realdiscrt2,CD$62:CD72)/(1+realdiscrt2)^-Half_Year</f>
        <v>7.8036929334038181</v>
      </c>
      <c r="CF72" s="64">
        <f t="shared" si="90"/>
        <v>0.14444707194152256</v>
      </c>
      <c r="CG72" s="633">
        <f>NPV(realdiscrt2,CF$62:CF72)/(1+realdiscrt2)^-Half_Year</f>
        <v>8.1454415077843958</v>
      </c>
      <c r="CH72" s="634">
        <f t="shared" si="91"/>
        <v>1.2404153214310666E-3</v>
      </c>
      <c r="CI72" s="633">
        <f>NPV(realdiscrt2,CH$62:CH72)/(1+realdiscrt2)^-Half_Year</f>
        <v>4.2463880426948319E-2</v>
      </c>
      <c r="CJ72" s="634">
        <f t="shared" si="92"/>
        <v>1.3344321727644538E-3</v>
      </c>
      <c r="CK72" s="633">
        <f>NPV(realdiscrt2,CJ$62:CJ72)/(1+realdiscrt2)^-Half_Year</f>
        <v>6.121846032783107E-2</v>
      </c>
    </row>
    <row r="73" spans="1:89">
      <c r="A73" s="56">
        <f t="shared" si="94"/>
        <v>12</v>
      </c>
      <c r="B73" s="56">
        <f t="shared" si="93"/>
        <v>2028</v>
      </c>
      <c r="C73" s="62">
        <f t="shared" si="51"/>
        <v>8.8772024963853266E-2</v>
      </c>
      <c r="D73" s="633">
        <f>NPV(realdiscrt2,C$62:C73)/(1+realdiscrt2)^-Half_Year</f>
        <v>0.89513263553972588</v>
      </c>
      <c r="E73" s="62">
        <f t="shared" si="52"/>
        <v>8.3393930277933404E-2</v>
      </c>
      <c r="F73" s="633">
        <f>NPV(realdiscrt2,E$62:E73)/(1+realdiscrt2)^-Half_Year</f>
        <v>0.82660103552337982</v>
      </c>
      <c r="G73" s="62">
        <f t="shared" si="53"/>
        <v>8.9147313470360368E-2</v>
      </c>
      <c r="H73" s="633">
        <f>NPV(realdiscrt2,G$62:G73)/(1+realdiscrt2)^-Half_Year</f>
        <v>0.84541386794381779</v>
      </c>
      <c r="I73" s="62">
        <f t="shared" si="54"/>
        <v>7.4098382871404356E-2</v>
      </c>
      <c r="J73" s="633">
        <f>NPV(realdiscrt2,I$62:I73)/(1+realdiscrt2)^-Half_Year</f>
        <v>0.69318105743380587</v>
      </c>
      <c r="K73" s="63">
        <f t="shared" si="55"/>
        <v>185.61567582824037</v>
      </c>
      <c r="L73" s="633">
        <f>NPV(realdiscrt2,K$62:K73)/(1+realdiscrt2)^-Half_Year</f>
        <v>1789.6816130880416</v>
      </c>
      <c r="M73" s="63">
        <f t="shared" si="56"/>
        <v>0</v>
      </c>
      <c r="N73" s="633">
        <f>NPV(realdiscrt2,M$62:M73)/(1+realdiscrt2)^-Half_Year</f>
        <v>0</v>
      </c>
      <c r="O73" s="63">
        <f t="shared" si="57"/>
        <v>10.739952210274792</v>
      </c>
      <c r="P73" s="633">
        <f>NPV(realdiscrt2,O$62:O73)/(1+realdiscrt2)^-Half_Year</f>
        <v>125.54321532262601</v>
      </c>
      <c r="Q73" s="63">
        <f t="shared" si="58"/>
        <v>84.296373954599773</v>
      </c>
      <c r="R73" s="633">
        <f>NPV(realdiscrt2,Q$62:Q73)/(1+realdiscrt2)^-Half_Year</f>
        <v>985.37103509403335</v>
      </c>
      <c r="S73" s="63">
        <f t="shared" si="59"/>
        <v>22.430722490333782</v>
      </c>
      <c r="T73" s="633">
        <f>NPV(realdiscrt2,S$62:S73)/(1+realdiscrt2)^-Half_Year</f>
        <v>240.376126792544</v>
      </c>
      <c r="U73" s="63">
        <f t="shared" si="60"/>
        <v>20.687203808630922</v>
      </c>
      <c r="V73" s="633">
        <f>NPV(realdiscrt2,U$62:U73)/(1+realdiscrt2)^-Half_Year</f>
        <v>220.87555763213359</v>
      </c>
      <c r="W73" s="624">
        <f t="shared" si="61"/>
        <v>20.216999559833479</v>
      </c>
      <c r="X73" s="633">
        <f>NPV(realdiscrt2,W$62:W73)/(1+realdiscrt2)^-Half_Year</f>
        <v>215.98751955383497</v>
      </c>
      <c r="Y73" s="624">
        <f t="shared" si="62"/>
        <v>8.8973567975826988</v>
      </c>
      <c r="Z73" s="633">
        <f>NPV(realdiscrt2,Y$62:Y73)/(1+realdiscrt2)^-Half_Year</f>
        <v>97.380179686330408</v>
      </c>
      <c r="AA73" s="624">
        <f t="shared" si="63"/>
        <v>8.6483912822026081</v>
      </c>
      <c r="AB73" s="633">
        <f>NPV(realdiscrt2,AA$62:AA73)/(1+realdiscrt2)^-Half_Year</f>
        <v>94.521912752970948</v>
      </c>
      <c r="AC73" s="63">
        <f t="shared" si="64"/>
        <v>9.0739081586425865</v>
      </c>
      <c r="AD73" s="633">
        <f>NPV(realdiscrt2,AC$62:AC73)/(1+realdiscrt2)^-Half_Year</f>
        <v>99.613553203339549</v>
      </c>
      <c r="AE73" s="63">
        <f t="shared" si="65"/>
        <v>7.3718406528826721</v>
      </c>
      <c r="AF73" s="633">
        <f>NPV(realdiscrt2,AE$62:AE73)/(1+realdiscrt2)^-Half_Year</f>
        <v>79.246991401865216</v>
      </c>
      <c r="AG73" s="63">
        <f t="shared" si="66"/>
        <v>7.5613750281773342</v>
      </c>
      <c r="AH73" s="633">
        <f>NPV(realdiscrt2,AG$62:AG73)/(1+realdiscrt2)^-Half_Year</f>
        <v>81.559126178319687</v>
      </c>
      <c r="AI73" s="63">
        <f t="shared" si="67"/>
        <v>8.4264751543541223</v>
      </c>
      <c r="AJ73" s="633">
        <f>NPV(realdiscrt2,AI$62:AI73)/(1+realdiscrt2)^-Half_Year</f>
        <v>91.938445861425564</v>
      </c>
      <c r="AK73" s="63">
        <f t="shared" si="68"/>
        <v>8.1196667644138696</v>
      </c>
      <c r="AL73" s="633">
        <f>NPV(realdiscrt2,AK$62:AK73)/(1+realdiscrt2)^-Half_Year</f>
        <v>88.213921284769242</v>
      </c>
      <c r="AM73" s="63">
        <f t="shared" si="69"/>
        <v>20.396091998585124</v>
      </c>
      <c r="AN73" s="633">
        <f>NPV(realdiscrt2,AM$62:AM73)/(1+realdiscrt2)^-Half_Year</f>
        <v>227.08091824077113</v>
      </c>
      <c r="AO73" s="63"/>
      <c r="AP73" s="60"/>
      <c r="AQ73" s="63">
        <f t="shared" si="70"/>
        <v>1.0833179284981212E-2</v>
      </c>
      <c r="AR73" s="633">
        <f>NPV(realdiscrt2,AQ$62:AQ73)/(1+realdiscrt2)^-Half_Year</f>
        <v>0.12663298057340336</v>
      </c>
      <c r="AS73" s="63">
        <f t="shared" si="71"/>
        <v>4.5379702334816434E-3</v>
      </c>
      <c r="AT73" s="633">
        <f>NPV(realdiscrt2,AS$62:AS73)/(1+realdiscrt2)^-Half_Year</f>
        <v>5.3045987821492988E-2</v>
      </c>
      <c r="AU73" s="63">
        <f t="shared" si="72"/>
        <v>6.2952090514995698E-3</v>
      </c>
      <c r="AV73" s="633">
        <f>NPV(realdiscrt2,AU$62:AU73)/(1+realdiscrt2)^-Half_Year</f>
        <v>7.3586992751910357E-2</v>
      </c>
      <c r="AW73" s="63">
        <v>1</v>
      </c>
      <c r="AX73" s="633">
        <f>NPV(realdiscrt2,AW$62:AW73)/(1+realdiscrt2)^-Half_Year</f>
        <v>11.689364427759765</v>
      </c>
      <c r="AY73" s="63">
        <f t="shared" si="73"/>
        <v>0</v>
      </c>
      <c r="AZ73" s="633">
        <f>NPV(realdiscrt2,AY$62:AY73)/(1+realdiscrt2)^-Half_Year</f>
        <v>0</v>
      </c>
      <c r="BA73" s="115">
        <f t="shared" si="74"/>
        <v>1.0021975853094038</v>
      </c>
      <c r="BB73" s="74">
        <f t="shared" si="75"/>
        <v>0</v>
      </c>
      <c r="BC73" s="633">
        <f>NPV(realdiscrt2,BB$62:BB73)/(1+realdiscrt2)^-Half_Year</f>
        <v>3.0433452835407791E-2</v>
      </c>
      <c r="BD73" s="74">
        <f t="shared" si="76"/>
        <v>0</v>
      </c>
      <c r="BE73" s="633">
        <f>NPV(realdiscrt2,BD$62:BD73)/(1+realdiscrt2)^-Half_Year</f>
        <v>1.5092139335965865E-2</v>
      </c>
      <c r="BF73" s="74">
        <f t="shared" si="95"/>
        <v>0</v>
      </c>
      <c r="BG73" s="633">
        <f>NPV(realdiscrt2,BF$62:BF73)/(1+realdiscrt2)^-Half_Year</f>
        <v>3.5936072305466485E-2</v>
      </c>
      <c r="BH73" s="74">
        <f t="shared" si="78"/>
        <v>0</v>
      </c>
      <c r="BI73" s="633">
        <f>NPV(realdiscrt2,BH$62:BH73)/(1+realdiscrt2)^-Half_Year</f>
        <v>1.2153197342191028E-2</v>
      </c>
      <c r="BJ73" s="64">
        <f t="shared" si="79"/>
        <v>3.6837209145758665E-2</v>
      </c>
      <c r="BK73" s="633">
        <f>NPV(realdiscrt2,BJ$62:BJ73)/(1+realdiscrt2)^-Half_Year</f>
        <v>0.50596851232978468</v>
      </c>
      <c r="BL73" s="64">
        <f t="shared" si="80"/>
        <v>3.6403404916367982E-2</v>
      </c>
      <c r="BM73" s="633">
        <f>NPV(realdiscrt2,BL$62:BL73)/(1+realdiscrt2)^-Half_Year</f>
        <v>0.50001010001579316</v>
      </c>
      <c r="BN73" s="64">
        <f t="shared" si="81"/>
        <v>3.9259282759856635E-2</v>
      </c>
      <c r="BO73" s="633">
        <f>NPV(realdiscrt2,BN$62:BN73)/(1+realdiscrt2)^-Half_Year</f>
        <v>0.53923631441623765</v>
      </c>
      <c r="BP73" s="64">
        <f t="shared" si="82"/>
        <v>3.7596366547192353E-2</v>
      </c>
      <c r="BQ73" s="633">
        <f>NPV(realdiscrt2,BP$62:BP73)/(1+realdiscrt2)^-Half_Year</f>
        <v>0.51639573387926996</v>
      </c>
      <c r="BR73" s="64">
        <f t="shared" si="83"/>
        <v>0.14005407115292715</v>
      </c>
      <c r="BS73" s="633">
        <f>NPV(realdiscrt2,BR$62:BR73)/(1+realdiscrt2)^-Half_Year</f>
        <v>1.6371430772979614</v>
      </c>
      <c r="BT73" s="64">
        <f t="shared" si="84"/>
        <v>0.21553615086093786</v>
      </c>
      <c r="BU73" s="633">
        <f>NPV(realdiscrt2,BT$62:BT73)/(1+realdiscrt2)^-Half_Year</f>
        <v>9.2462274407897524</v>
      </c>
      <c r="BV73" s="64">
        <f t="shared" si="85"/>
        <v>0.1178465458447264</v>
      </c>
      <c r="BW73" s="633">
        <f>NPV(realdiscrt2,BV$62:BV73)/(1+realdiscrt2)^-Half_Year</f>
        <v>7.9264566919770827</v>
      </c>
      <c r="BX73" s="64">
        <f t="shared" si="86"/>
        <v>8.621446034437516E-2</v>
      </c>
      <c r="BY73" s="633">
        <f>NPV(realdiscrt2,BX$62:BX73)/(1+realdiscrt2)^-Half_Year</f>
        <v>7.4991123377811864</v>
      </c>
      <c r="BZ73" s="64">
        <f t="shared" si="87"/>
        <v>0.1119391310219298</v>
      </c>
      <c r="CA73" s="633">
        <f>NPV(realdiscrt2,BZ$62:BZ73)/(1+realdiscrt2)^-Half_Year</f>
        <v>7.8466484740716504</v>
      </c>
      <c r="CB73" s="64">
        <f t="shared" si="88"/>
        <v>0.17926141667104206</v>
      </c>
      <c r="CC73" s="633">
        <f>NPV(realdiscrt2,CB$62:CB73)/(1+realdiscrt2)^-Half_Year</f>
        <v>8.7561616543958483</v>
      </c>
      <c r="CD73" s="64">
        <f t="shared" si="89"/>
        <v>0.11699302268731708</v>
      </c>
      <c r="CE73" s="633">
        <f>NPV(realdiscrt2,CD$62:CD73)/(1+realdiscrt2)^-Half_Year</f>
        <v>7.9149257322972284</v>
      </c>
      <c r="CF73" s="64">
        <f t="shared" si="90"/>
        <v>0.1442043108582049</v>
      </c>
      <c r="CG73" s="633">
        <f>NPV(realdiscrt2,CF$62:CF73)/(1+realdiscrt2)^-Half_Year</f>
        <v>8.2825458302543229</v>
      </c>
      <c r="CH73" s="634">
        <f t="shared" si="91"/>
        <v>1.2388423890684112E-3</v>
      </c>
      <c r="CI73" s="633">
        <f>NPV(realdiscrt2,CH$62:CH73)/(1+realdiscrt2)^-Half_Year</f>
        <v>4.3641727645172358E-2</v>
      </c>
      <c r="CJ73" s="634">
        <f t="shared" si="92"/>
        <v>1.3333835511893499E-3</v>
      </c>
      <c r="CK73" s="633">
        <f>NPV(realdiscrt2,CJ$62:CJ73)/(1+realdiscrt2)^-Half_Year</f>
        <v>6.2486193915616245E-2</v>
      </c>
    </row>
    <row r="74" spans="1:89">
      <c r="A74" s="56">
        <f t="shared" si="94"/>
        <v>13</v>
      </c>
      <c r="B74" s="56">
        <f t="shared" si="93"/>
        <v>2029</v>
      </c>
      <c r="C74" s="62">
        <f t="shared" si="51"/>
        <v>9.2961476450210634E-2</v>
      </c>
      <c r="D74" s="633">
        <f>NPV(realdiscrt2,C$62:C74)/(1+realdiscrt2)^-Half_Year</f>
        <v>0.98312990823081925</v>
      </c>
      <c r="E74" s="62">
        <f t="shared" si="52"/>
        <v>8.7680345636829055E-2</v>
      </c>
      <c r="F74" s="633">
        <f>NPV(realdiscrt2,E$62:E74)/(1+realdiscrt2)^-Half_Year</f>
        <v>0.90959919324719551</v>
      </c>
      <c r="G74" s="62">
        <f t="shared" si="53"/>
        <v>9.2419425307861985E-2</v>
      </c>
      <c r="H74" s="633">
        <f>NPV(realdiscrt2,G$62:G74)/(1+realdiscrt2)^-Half_Year</f>
        <v>0.93289803537876415</v>
      </c>
      <c r="I74" s="62">
        <f t="shared" si="54"/>
        <v>7.6899252713424168E-2</v>
      </c>
      <c r="J74" s="633">
        <f>NPV(realdiscrt2,I$62:I74)/(1+realdiscrt2)^-Half_Year</f>
        <v>0.76597383966106314</v>
      </c>
      <c r="K74" s="63">
        <f t="shared" si="55"/>
        <v>192.83649703978327</v>
      </c>
      <c r="L74" s="633">
        <f>NPV(realdiscrt2,K$62:K74)/(1+realdiscrt2)^-Half_Year</f>
        <v>1972.2205148221753</v>
      </c>
      <c r="M74" s="63">
        <f t="shared" si="56"/>
        <v>0</v>
      </c>
      <c r="N74" s="633">
        <f>NPV(realdiscrt2,M$62:M74)/(1+realdiscrt2)^-Half_Year</f>
        <v>0</v>
      </c>
      <c r="O74" s="63">
        <f t="shared" si="57"/>
        <v>10.739952210274792</v>
      </c>
      <c r="P74" s="633">
        <f>NPV(realdiscrt2,O$62:O74)/(1+realdiscrt2)^-Half_Year</f>
        <v>135.70964704709459</v>
      </c>
      <c r="Q74" s="63">
        <f t="shared" si="58"/>
        <v>84.296373954599773</v>
      </c>
      <c r="R74" s="633">
        <f>NPV(realdiscrt2,Q$62:Q74)/(1+realdiscrt2)^-Half_Year</f>
        <v>1065.1659274409317</v>
      </c>
      <c r="S74" s="63">
        <f t="shared" si="59"/>
        <v>22.715993097962816</v>
      </c>
      <c r="T74" s="633">
        <f>NPV(realdiscrt2,S$62:S74)/(1+realdiscrt2)^-Half_Year</f>
        <v>261.87907097352462</v>
      </c>
      <c r="U74" s="63">
        <f t="shared" si="60"/>
        <v>20.983812380244391</v>
      </c>
      <c r="V74" s="633">
        <f>NPV(realdiscrt2,U$62:U74)/(1+realdiscrt2)^-Half_Year</f>
        <v>240.73882068080175</v>
      </c>
      <c r="W74" s="624">
        <f t="shared" si="61"/>
        <v>20.525870972464851</v>
      </c>
      <c r="X74" s="633">
        <f>NPV(realdiscrt2,W$62:W74)/(1+realdiscrt2)^-Half_Year</f>
        <v>235.41729556598318</v>
      </c>
      <c r="Y74" s="624">
        <f t="shared" si="62"/>
        <v>9.0952435075497231</v>
      </c>
      <c r="Z74" s="633">
        <f>NPV(realdiscrt2,Y$62:Y74)/(1+realdiscrt2)^-Half_Year</f>
        <v>105.98973123055973</v>
      </c>
      <c r="AA74" s="624">
        <f t="shared" si="63"/>
        <v>8.8462779921696324</v>
      </c>
      <c r="AB74" s="633">
        <f>NPV(realdiscrt2,AA$62:AA74)/(1+realdiscrt2)^-Half_Year</f>
        <v>102.89579370348596</v>
      </c>
      <c r="AC74" s="63">
        <f t="shared" si="64"/>
        <v>9.2717948686096108</v>
      </c>
      <c r="AD74" s="633">
        <f>NPV(realdiscrt2,AC$62:AC74)/(1+realdiscrt2)^-Half_Year</f>
        <v>108.39022815025592</v>
      </c>
      <c r="AE74" s="63">
        <f t="shared" si="65"/>
        <v>7.5697273628496973</v>
      </c>
      <c r="AF74" s="633">
        <f>NPV(realdiscrt2,AE$62:AE74)/(1+realdiscrt2)^-Half_Year</f>
        <v>86.412490363176147</v>
      </c>
      <c r="AG74" s="63">
        <f t="shared" si="66"/>
        <v>7.7592617381443585</v>
      </c>
      <c r="AH74" s="633">
        <f>NPV(realdiscrt2,AG$62:AG74)/(1+realdiscrt2)^-Half_Year</f>
        <v>88.904038255084686</v>
      </c>
      <c r="AI74" s="63">
        <f t="shared" si="67"/>
        <v>8.6243618643211484</v>
      </c>
      <c r="AJ74" s="633">
        <f>NPV(realdiscrt2,AI$62:AI74)/(1+realdiscrt2)^-Half_Year</f>
        <v>100.10226115073849</v>
      </c>
      <c r="AK74" s="63">
        <f t="shared" si="68"/>
        <v>8.3175534743808939</v>
      </c>
      <c r="AL74" s="633">
        <f>NPV(realdiscrt2,AK$62:AK74)/(1+realdiscrt2)^-Half_Year</f>
        <v>96.087311953213018</v>
      </c>
      <c r="AM74" s="63">
        <f t="shared" si="69"/>
        <v>20.536036282822582</v>
      </c>
      <c r="AN74" s="633">
        <f>NPV(realdiscrt2,AM$62:AM74)/(1+realdiscrt2)^-Half_Year</f>
        <v>246.52031672904275</v>
      </c>
      <c r="AO74" s="63"/>
      <c r="AP74" s="60"/>
      <c r="AQ74" s="63">
        <f t="shared" si="70"/>
        <v>1.0833179284981212E-2</v>
      </c>
      <c r="AR74" s="633">
        <f>NPV(realdiscrt2,AQ$62:AQ74)/(1+realdiscrt2)^-Half_Year</f>
        <v>0.13688766098569832</v>
      </c>
      <c r="AS74" s="63">
        <f t="shared" si="71"/>
        <v>4.5379702334816434E-3</v>
      </c>
      <c r="AT74" s="633">
        <f>NPV(realdiscrt2,AS$62:AS74)/(1+realdiscrt2)^-Half_Year</f>
        <v>5.734162747082263E-2</v>
      </c>
      <c r="AU74" s="63">
        <f t="shared" si="72"/>
        <v>6.2952090514995698E-3</v>
      </c>
      <c r="AV74" s="633">
        <f>NPV(realdiscrt2,AU$62:AU74)/(1+realdiscrt2)^-Half_Year</f>
        <v>7.9546033514875686E-2</v>
      </c>
      <c r="AW74" s="63">
        <v>1</v>
      </c>
      <c r="AX74" s="633">
        <f>NPV(realdiscrt2,AW$62:AW74)/(1+realdiscrt2)^-Half_Year</f>
        <v>12.6359637724703</v>
      </c>
      <c r="AY74" s="63">
        <f t="shared" si="73"/>
        <v>0</v>
      </c>
      <c r="AZ74" s="633">
        <f>NPV(realdiscrt2,AY$62:AY74)/(1+realdiscrt2)^-Half_Year</f>
        <v>0</v>
      </c>
      <c r="BA74" s="115">
        <f t="shared" si="74"/>
        <v>1.0021975853094038</v>
      </c>
      <c r="BB74" s="74">
        <f t="shared" si="75"/>
        <v>0</v>
      </c>
      <c r="BC74" s="633">
        <f>NPV(realdiscrt2,BB$62:BB74)/(1+realdiscrt2)^-Half_Year</f>
        <v>3.0433452835407791E-2</v>
      </c>
      <c r="BD74" s="74">
        <f t="shared" si="76"/>
        <v>0</v>
      </c>
      <c r="BE74" s="633">
        <f>NPV(realdiscrt2,BD$62:BD74)/(1+realdiscrt2)^-Half_Year</f>
        <v>1.5092139335965865E-2</v>
      </c>
      <c r="BF74" s="74">
        <f t="shared" si="95"/>
        <v>0</v>
      </c>
      <c r="BG74" s="633">
        <f>NPV(realdiscrt2,BF$62:BF74)/(1+realdiscrt2)^-Half_Year</f>
        <v>3.5936072305466485E-2</v>
      </c>
      <c r="BH74" s="74">
        <f t="shared" si="78"/>
        <v>0</v>
      </c>
      <c r="BI74" s="633">
        <f>NPV(realdiscrt2,BH$62:BH74)/(1+realdiscrt2)^-Half_Year</f>
        <v>1.2153197342191028E-2</v>
      </c>
      <c r="BJ74" s="64">
        <f t="shared" si="79"/>
        <v>3.559924589008364E-2</v>
      </c>
      <c r="BK74" s="633">
        <f>NPV(realdiscrt2,BJ$62:BJ74)/(1+realdiscrt2)^-Half_Year</f>
        <v>0.53966673516152708</v>
      </c>
      <c r="BL74" s="64">
        <f t="shared" si="80"/>
        <v>3.5180020227001202E-2</v>
      </c>
      <c r="BM74" s="633">
        <f>NPV(realdiscrt2,BL$62:BL74)/(1+realdiscrt2)^-Half_Year</f>
        <v>0.53331148410957585</v>
      </c>
      <c r="BN74" s="64">
        <f t="shared" si="81"/>
        <v>3.7939922508960576E-2</v>
      </c>
      <c r="BO74" s="633">
        <f>NPV(realdiscrt2,BN$62:BN74)/(1+realdiscrt2)^-Half_Year</f>
        <v>0.57515022020158824</v>
      </c>
      <c r="BP74" s="64">
        <f t="shared" si="82"/>
        <v>3.6332890800477899E-2</v>
      </c>
      <c r="BQ74" s="633">
        <f>NPV(realdiscrt2,BP$62:BP74)/(1+realdiscrt2)^-Half_Year</f>
        <v>0.55078842450244181</v>
      </c>
      <c r="BR74" s="64">
        <f t="shared" si="83"/>
        <v>0.14005407115292715</v>
      </c>
      <c r="BS74" s="633">
        <f>NPV(realdiscrt2,BR$62:BR74)/(1+realdiscrt2)^-Half_Year</f>
        <v>1.7697181692753647</v>
      </c>
      <c r="BT74" s="64">
        <f t="shared" si="84"/>
        <v>0.21517483615634</v>
      </c>
      <c r="BU74" s="633">
        <f>NPV(realdiscrt2,BT$62:BT74)/(1+realdiscrt2)^-Half_Year</f>
        <v>9.4499117996935418</v>
      </c>
      <c r="BV74" s="64">
        <f t="shared" si="85"/>
        <v>0.11764899341684046</v>
      </c>
      <c r="BW74" s="633">
        <f>NPV(realdiscrt2,BV$62:BV74)/(1+realdiscrt2)^-Half_Year</f>
        <v>8.0378231520513186</v>
      </c>
      <c r="BX74" s="64">
        <f t="shared" si="86"/>
        <v>8.606993446253601E-2</v>
      </c>
      <c r="BY74" s="633">
        <f>NPV(realdiscrt2,BX$62:BX74)/(1+realdiscrt2)^-Half_Year</f>
        <v>7.5805860813427017</v>
      </c>
      <c r="BZ74" s="64">
        <f t="shared" si="87"/>
        <v>0.1117514815074675</v>
      </c>
      <c r="CA74" s="633">
        <f>NPV(realdiscrt2,BZ$62:BZ74)/(1+realdiscrt2)^-Half_Year</f>
        <v>7.9524323532370502</v>
      </c>
      <c r="CB74" s="64">
        <f t="shared" si="88"/>
        <v>0.17896091123122798</v>
      </c>
      <c r="CC74" s="633">
        <f>NPV(realdiscrt2,CB$62:CB74)/(1+realdiscrt2)^-Half_Year</f>
        <v>8.9255659356961292</v>
      </c>
      <c r="CD74" s="64">
        <f t="shared" si="89"/>
        <v>0.11679690106566136</v>
      </c>
      <c r="CE74" s="633">
        <f>NPV(realdiscrt2,CD$62:CD74)/(1+realdiscrt2)^-Half_Year</f>
        <v>8.025485602310205</v>
      </c>
      <c r="CF74" s="64">
        <f t="shared" si="90"/>
        <v>0.14396257350801397</v>
      </c>
      <c r="CG74" s="633">
        <f>NPV(realdiscrt2,CF$62:CF74)/(1+realdiscrt2)^-Half_Year</f>
        <v>8.4188207079998492</v>
      </c>
      <c r="CH74" s="634">
        <f t="shared" si="91"/>
        <v>1.2372760898239795E-3</v>
      </c>
      <c r="CI74" s="633">
        <f>NPV(realdiscrt2,CH$62:CH74)/(1+realdiscrt2)^-Half_Year</f>
        <v>4.4812932381025752E-2</v>
      </c>
      <c r="CJ74" s="634">
        <f t="shared" si="92"/>
        <v>1.3323393516930624E-3</v>
      </c>
      <c r="CK74" s="633">
        <f>NPV(realdiscrt2,CJ$62:CJ74)/(1+realdiscrt2)^-Half_Year</f>
        <v>6.3747385472860962E-2</v>
      </c>
    </row>
    <row r="75" spans="1:89">
      <c r="A75" s="56">
        <f t="shared" si="94"/>
        <v>14</v>
      </c>
      <c r="B75" s="56">
        <f t="shared" si="93"/>
        <v>2030</v>
      </c>
      <c r="C75" s="62">
        <f t="shared" si="51"/>
        <v>0.10056523250457726</v>
      </c>
      <c r="D75" s="633">
        <f>NPV(realdiscrt2,C$62:C75)/(1+realdiscrt2)^-Half_Year</f>
        <v>1.0779078683955896</v>
      </c>
      <c r="E75" s="62">
        <f t="shared" si="52"/>
        <v>9.1127205310010229E-2</v>
      </c>
      <c r="F75" s="633">
        <f>NPV(realdiscrt2,E$62:E75)/(1+realdiscrt2)^-Half_Year</f>
        <v>0.99548226058267741</v>
      </c>
      <c r="G75" s="62">
        <f t="shared" si="53"/>
        <v>0.11008869250182855</v>
      </c>
      <c r="H75" s="633">
        <f>NPV(realdiscrt2,G$62:G75)/(1+realdiscrt2)^-Half_Year</f>
        <v>1.0366514047358635</v>
      </c>
      <c r="I75" s="62">
        <f t="shared" si="54"/>
        <v>8.2301137660325763E-2</v>
      </c>
      <c r="J75" s="633">
        <f>NPV(realdiscrt2,I$62:I75)/(1+realdiscrt2)^-Half_Year</f>
        <v>0.84353875700295466</v>
      </c>
      <c r="K75" s="63">
        <f t="shared" si="55"/>
        <v>194.96026798435474</v>
      </c>
      <c r="L75" s="633">
        <f>NPV(realdiscrt2,K$62:K75)/(1+realdiscrt2)^-Half_Year</f>
        <v>2155.9613172102486</v>
      </c>
      <c r="M75" s="63">
        <f t="shared" si="56"/>
        <v>0</v>
      </c>
      <c r="N75" s="633">
        <f>NPV(realdiscrt2,M$62:M75)/(1+realdiscrt2)^-Half_Year</f>
        <v>0</v>
      </c>
      <c r="O75" s="63">
        <f t="shared" si="57"/>
        <v>10.739952210274792</v>
      </c>
      <c r="P75" s="633">
        <f>NPV(realdiscrt2,O$62:O75)/(1+realdiscrt2)^-Half_Year</f>
        <v>145.83154243187016</v>
      </c>
      <c r="Q75" s="63">
        <f t="shared" si="58"/>
        <v>84.296373954599773</v>
      </c>
      <c r="R75" s="633">
        <f>NPV(realdiscrt2,Q$62:Q75)/(1+realdiscrt2)^-Half_Year</f>
        <v>1144.6112603231481</v>
      </c>
      <c r="S75" s="63">
        <f t="shared" si="59"/>
        <v>22.940963622174284</v>
      </c>
      <c r="T75" s="633">
        <f>NPV(realdiscrt2,S$62:S75)/(1+realdiscrt2)^-Half_Year</f>
        <v>283.4998407184255</v>
      </c>
      <c r="U75" s="63">
        <f t="shared" si="60"/>
        <v>21.214440064953592</v>
      </c>
      <c r="V75" s="633">
        <f>NPV(realdiscrt2,U$62:U75)/(1+realdiscrt2)^-Half_Year</f>
        <v>260.7324238905648</v>
      </c>
      <c r="W75" s="624">
        <f t="shared" si="61"/>
        <v>20.758245083814632</v>
      </c>
      <c r="X75" s="633">
        <f>NPV(realdiscrt2,W$62:W75)/(1+realdiscrt2)^-Half_Year</f>
        <v>254.9809566508892</v>
      </c>
      <c r="Y75" s="624">
        <f t="shared" si="62"/>
        <v>9.3795255505604764</v>
      </c>
      <c r="Z75" s="633">
        <f>NPV(realdiscrt2,Y$62:Y75)/(1+realdiscrt2)^-Half_Year</f>
        <v>114.82948903607175</v>
      </c>
      <c r="AA75" s="624">
        <f t="shared" si="63"/>
        <v>9.1305600351803839</v>
      </c>
      <c r="AB75" s="633">
        <f>NPV(realdiscrt2,AA$62:AA75)/(1+realdiscrt2)^-Half_Year</f>
        <v>111.50091332330074</v>
      </c>
      <c r="AC75" s="63">
        <f t="shared" si="64"/>
        <v>9.5560769116203641</v>
      </c>
      <c r="AD75" s="633">
        <f>NPV(realdiscrt2,AC$62:AC75)/(1+realdiscrt2)^-Half_Year</f>
        <v>117.39637723681835</v>
      </c>
      <c r="AE75" s="63">
        <f t="shared" si="65"/>
        <v>7.8540094058604488</v>
      </c>
      <c r="AF75" s="633">
        <f>NPV(realdiscrt2,AE$62:AE75)/(1+realdiscrt2)^-Half_Year</f>
        <v>93.814521582747915</v>
      </c>
      <c r="AG75" s="63">
        <f t="shared" si="66"/>
        <v>8.04354378115511</v>
      </c>
      <c r="AH75" s="633">
        <f>NPV(realdiscrt2,AG$62:AG75)/(1+realdiscrt2)^-Half_Year</f>
        <v>96.484696630624228</v>
      </c>
      <c r="AI75" s="63">
        <f t="shared" si="67"/>
        <v>8.9086439073318999</v>
      </c>
      <c r="AJ75" s="633">
        <f>NPV(realdiscrt2,AI$62:AI75)/(1+realdiscrt2)^-Half_Year</f>
        <v>108.49823534920512</v>
      </c>
      <c r="AK75" s="63">
        <f t="shared" si="68"/>
        <v>8.6018355173916454</v>
      </c>
      <c r="AL75" s="633">
        <f>NPV(realdiscrt2,AK$62:AK75)/(1+realdiscrt2)^-Half_Year</f>
        <v>104.19413380115283</v>
      </c>
      <c r="AM75" s="63">
        <f t="shared" si="69"/>
        <v>20.672625644626795</v>
      </c>
      <c r="AN75" s="633">
        <f>NPV(realdiscrt2,AM$62:AM75)/(1+realdiscrt2)^-Half_Year</f>
        <v>266.00328555485908</v>
      </c>
      <c r="AO75" s="63"/>
      <c r="AP75" s="60"/>
      <c r="AQ75" s="63">
        <f t="shared" si="70"/>
        <v>1.0833179284981212E-2</v>
      </c>
      <c r="AR75" s="633">
        <f>NPV(realdiscrt2,AQ$62:AQ75)/(1+realdiscrt2)^-Half_Year</f>
        <v>0.14709741846508398</v>
      </c>
      <c r="AS75" s="63">
        <f t="shared" si="71"/>
        <v>4.5379702334816434E-3</v>
      </c>
      <c r="AT75" s="633">
        <f>NPV(realdiscrt2,AS$62:AS75)/(1+realdiscrt2)^-Half_Year</f>
        <v>6.1618449104962052E-2</v>
      </c>
      <c r="AU75" s="63">
        <f t="shared" si="72"/>
        <v>6.2952090514995698E-3</v>
      </c>
      <c r="AV75" s="633">
        <f>NPV(realdiscrt2,AU$62:AU75)/(1+realdiscrt2)^-Half_Year</f>
        <v>8.547896936012192E-2</v>
      </c>
      <c r="AW75" s="63">
        <v>1</v>
      </c>
      <c r="AX75" s="633">
        <f>NPV(realdiscrt2,AW$62:AW75)/(1+realdiscrt2)^-Half_Year</f>
        <v>13.578416325945543</v>
      </c>
      <c r="AY75" s="63">
        <f t="shared" si="73"/>
        <v>0</v>
      </c>
      <c r="AZ75" s="633">
        <f>NPV(realdiscrt2,AY$62:AY75)/(1+realdiscrt2)^-Half_Year</f>
        <v>0</v>
      </c>
      <c r="BA75" s="115">
        <f t="shared" si="74"/>
        <v>1.0021975853094038</v>
      </c>
      <c r="BB75" s="74">
        <f t="shared" si="75"/>
        <v>0</v>
      </c>
      <c r="BC75" s="633">
        <f>NPV(realdiscrt2,BB$62:BB75)/(1+realdiscrt2)^-Half_Year</f>
        <v>3.0433452835407791E-2</v>
      </c>
      <c r="BD75" s="74">
        <f t="shared" si="76"/>
        <v>0</v>
      </c>
      <c r="BE75" s="633">
        <f>NPV(realdiscrt2,BD$62:BD75)/(1+realdiscrt2)^-Half_Year</f>
        <v>1.5092139335965865E-2</v>
      </c>
      <c r="BF75" s="74">
        <f t="shared" si="95"/>
        <v>0</v>
      </c>
      <c r="BG75" s="633">
        <f>NPV(realdiscrt2,BF$62:BF75)/(1+realdiscrt2)^-Half_Year</f>
        <v>3.5936072305466485E-2</v>
      </c>
      <c r="BH75" s="74">
        <f t="shared" si="78"/>
        <v>0</v>
      </c>
      <c r="BI75" s="633">
        <f>NPV(realdiscrt2,BH$62:BH75)/(1+realdiscrt2)^-Half_Year</f>
        <v>1.2153197342191028E-2</v>
      </c>
      <c r="BJ75" s="64">
        <f t="shared" si="79"/>
        <v>3.4361282634408609E-2</v>
      </c>
      <c r="BK75" s="633">
        <f>NPV(realdiscrt2,BJ$62:BJ75)/(1+realdiscrt2)^-Half_Year</f>
        <v>0.57205061372101007</v>
      </c>
      <c r="BL75" s="64">
        <f t="shared" si="80"/>
        <v>3.3956635537634415E-2</v>
      </c>
      <c r="BM75" s="633">
        <f>NPV(realdiscrt2,BL$62:BL75)/(1+realdiscrt2)^-Half_Year</f>
        <v>0.5653140019794477</v>
      </c>
      <c r="BN75" s="64">
        <f t="shared" si="81"/>
        <v>3.6620562258064523E-2</v>
      </c>
      <c r="BO75" s="633">
        <f>NPV(realdiscrt2,BN$62:BN75)/(1+realdiscrt2)^-Half_Year</f>
        <v>0.60966336261140031</v>
      </c>
      <c r="BP75" s="64">
        <f t="shared" si="82"/>
        <v>3.5069415053763452E-2</v>
      </c>
      <c r="BQ75" s="633">
        <f>NPV(realdiscrt2,BP$62:BP75)/(1+realdiscrt2)^-Half_Year</f>
        <v>0.58383968426874422</v>
      </c>
      <c r="BR75" s="64">
        <f t="shared" si="83"/>
        <v>0.14005407115292715</v>
      </c>
      <c r="BS75" s="633">
        <f>NPV(realdiscrt2,BR$62:BR75)/(1+realdiscrt2)^-Half_Year</f>
        <v>1.9017124862580446</v>
      </c>
      <c r="BT75" s="64">
        <f t="shared" si="84"/>
        <v>0.21481504614821031</v>
      </c>
      <c r="BU75" s="633">
        <f>NPV(realdiscrt2,BT$62:BT75)/(1+realdiscrt2)^-Half_Year</f>
        <v>9.6523647884608241</v>
      </c>
      <c r="BV75" s="64">
        <f t="shared" si="85"/>
        <v>0.11745227463199547</v>
      </c>
      <c r="BW75" s="633">
        <f>NPV(realdiscrt2,BV$62:BV75)/(1+realdiscrt2)^-Half_Year</f>
        <v>8.1485163481897196</v>
      </c>
      <c r="BX75" s="64">
        <f t="shared" si="86"/>
        <v>8.5926018459284131E-2</v>
      </c>
      <c r="BY75" s="633">
        <f>NPV(realdiscrt2,BX$62:BX75)/(1+realdiscrt2)^-Half_Year</f>
        <v>7.661567276849615</v>
      </c>
      <c r="BZ75" s="64">
        <f t="shared" si="87"/>
        <v>0.11156462384716534</v>
      </c>
      <c r="CA75" s="633">
        <f>NPV(realdiscrt2,BZ$62:BZ75)/(1+realdiscrt2)^-Half_Year</f>
        <v>8.0575767178593178</v>
      </c>
      <c r="CB75" s="64">
        <f t="shared" si="88"/>
        <v>0.17866167388146653</v>
      </c>
      <c r="CC75" s="633">
        <f>NPV(realdiscrt2,CB$62:CB75)/(1+realdiscrt2)^-Half_Year</f>
        <v>9.0939460864538795</v>
      </c>
      <c r="CD75" s="64">
        <f t="shared" si="89"/>
        <v>0.11660160704924855</v>
      </c>
      <c r="CE75" s="633">
        <f>NPV(realdiscrt2,CD$62:CD75)/(1+realdiscrt2)^-Half_Year</f>
        <v>8.1353770846130864</v>
      </c>
      <c r="CF75" s="64">
        <f t="shared" si="90"/>
        <v>0.14372185625492781</v>
      </c>
      <c r="CG75" s="633">
        <f>NPV(realdiscrt2,CF$62:CF75)/(1+realdiscrt2)^-Half_Year</f>
        <v>8.5542717384175084</v>
      </c>
      <c r="CH75" s="634">
        <f t="shared" si="91"/>
        <v>1.2357164001387372E-3</v>
      </c>
      <c r="CI75" s="633">
        <f>NPV(realdiscrt2,CH$62:CH75)/(1+realdiscrt2)^-Half_Year</f>
        <v>4.5977536457707739E-2</v>
      </c>
      <c r="CJ75" s="634">
        <f t="shared" si="92"/>
        <v>1.3312995585695675E-3</v>
      </c>
      <c r="CK75" s="633">
        <f>NPV(realdiscrt2,CJ$62:CJ75)/(1+realdiscrt2)^-Half_Year</f>
        <v>6.5002072141275305E-2</v>
      </c>
    </row>
    <row r="76" spans="1:89">
      <c r="A76" s="56">
        <f t="shared" si="94"/>
        <v>15</v>
      </c>
      <c r="B76" s="56">
        <f t="shared" si="93"/>
        <v>2031</v>
      </c>
      <c r="C76" s="62">
        <f t="shared" si="51"/>
        <v>0.10382288401116622</v>
      </c>
      <c r="D76" s="633">
        <f>NPV(realdiscrt2,C$62:C76)/(1+realdiscrt2)^-Half_Year</f>
        <v>1.1753273647570868</v>
      </c>
      <c r="E76" s="62">
        <f t="shared" si="52"/>
        <v>9.4316695232469411E-2</v>
      </c>
      <c r="F76" s="633">
        <f>NPV(realdiscrt2,E$62:E76)/(1+realdiscrt2)^-Half_Year</f>
        <v>1.0839818725472208</v>
      </c>
      <c r="G76" s="62">
        <f t="shared" si="53"/>
        <v>0.11468593722603625</v>
      </c>
      <c r="H76" s="633">
        <f>NPV(realdiscrt2,G$62:G76)/(1+realdiscrt2)^-Half_Year</f>
        <v>1.1442639638620877</v>
      </c>
      <c r="I76" s="62">
        <f t="shared" si="54"/>
        <v>8.5383388236799765E-2</v>
      </c>
      <c r="J76" s="633">
        <f>NPV(realdiscrt2,I$62:I76)/(1+realdiscrt2)^-Half_Year</f>
        <v>0.92365603325558321</v>
      </c>
      <c r="K76" s="63">
        <f t="shared" si="55"/>
        <v>186.64227093630012</v>
      </c>
      <c r="L76" s="633">
        <f>NPV(realdiscrt2,K$62:K76)/(1+realdiscrt2)^-Half_Year</f>
        <v>2331.0922260417242</v>
      </c>
      <c r="M76" s="63">
        <f t="shared" si="56"/>
        <v>0</v>
      </c>
      <c r="N76" s="633">
        <f>NPV(realdiscrt2,M$62:M76)/(1+realdiscrt2)^-Half_Year</f>
        <v>0</v>
      </c>
      <c r="O76" s="63">
        <f t="shared" si="57"/>
        <v>10.739952210274792</v>
      </c>
      <c r="P76" s="633">
        <f>NPV(realdiscrt2,O$62:O76)/(1+realdiscrt2)^-Half_Year</f>
        <v>155.90909657840098</v>
      </c>
      <c r="Q76" s="63">
        <f t="shared" si="58"/>
        <v>84.296373954599773</v>
      </c>
      <c r="R76" s="633">
        <f>NPV(realdiscrt2,Q$62:Q76)/(1+realdiscrt2)^-Half_Year</f>
        <v>1223.7085650645029</v>
      </c>
      <c r="S76" s="63">
        <f t="shared" si="59"/>
        <v>23.240597700499141</v>
      </c>
      <c r="T76" s="633">
        <f>NPV(realdiscrt2,S$62:S76)/(1+realdiscrt2)^-Half_Year</f>
        <v>305.30704964626932</v>
      </c>
      <c r="U76" s="63">
        <f t="shared" si="60"/>
        <v>21.507058726283361</v>
      </c>
      <c r="V76" s="633">
        <f>NPV(realdiscrt2,U$62:U76)/(1+realdiscrt2)^-Half_Year</f>
        <v>280.91301171844987</v>
      </c>
      <c r="W76" s="624">
        <f t="shared" si="61"/>
        <v>21.045570091576881</v>
      </c>
      <c r="X76" s="633">
        <f>NPV(realdiscrt2,W$62:W76)/(1+realdiscrt2)^-Half_Year</f>
        <v>274.72851865024091</v>
      </c>
      <c r="Y76" s="624">
        <f t="shared" si="62"/>
        <v>9.5171581897261994</v>
      </c>
      <c r="Z76" s="633">
        <f>NPV(realdiscrt2,Y$62:Y76)/(1+realdiscrt2)^-Half_Year</f>
        <v>123.75966629387271</v>
      </c>
      <c r="AA76" s="624">
        <f t="shared" si="63"/>
        <v>9.2675574709924842</v>
      </c>
      <c r="AB76" s="633">
        <f>NPV(realdiscrt2,AA$62:AA76)/(1+realdiscrt2)^-Half_Year</f>
        <v>120.19688425422014</v>
      </c>
      <c r="AC76" s="63">
        <f t="shared" si="64"/>
        <v>9.6922352990141327</v>
      </c>
      <c r="AD76" s="633">
        <f>NPV(realdiscrt2,AC$62:AC76)/(1+realdiscrt2)^-Half_Year</f>
        <v>126.49083353554272</v>
      </c>
      <c r="AE76" s="63">
        <f t="shared" si="65"/>
        <v>7.9939460706047658</v>
      </c>
      <c r="AF76" s="633">
        <f>NPV(realdiscrt2,AE$62:AE76)/(1+realdiscrt2)^-Half_Year</f>
        <v>101.31543246146641</v>
      </c>
      <c r="AG76" s="63">
        <f t="shared" si="66"/>
        <v>8.1831404833710408</v>
      </c>
      <c r="AH76" s="633">
        <f>NPV(realdiscrt2,AG$62:AG76)/(1+realdiscrt2)^-Half_Year</f>
        <v>104.16313315392141</v>
      </c>
      <c r="AI76" s="63">
        <f t="shared" si="67"/>
        <v>9.0456181036127816</v>
      </c>
      <c r="AJ76" s="633">
        <f>NPV(realdiscrt2,AI$62:AI76)/(1+realdiscrt2)^-Half_Year</f>
        <v>116.98595526110452</v>
      </c>
      <c r="AK76" s="63">
        <f t="shared" si="68"/>
        <v>8.7405283541701166</v>
      </c>
      <c r="AL76" s="633">
        <f>NPV(realdiscrt2,AK$62:AK76)/(1+realdiscrt2)^-Half_Year</f>
        <v>112.39558070090432</v>
      </c>
      <c r="AM76" s="63">
        <f t="shared" si="69"/>
        <v>20.813795065073762</v>
      </c>
      <c r="AN76" s="633">
        <f>NPV(realdiscrt2,AM$62:AM76)/(1+realdiscrt2)^-Half_Year</f>
        <v>285.53336750088579</v>
      </c>
      <c r="AO76" s="63"/>
      <c r="AP76" s="60"/>
      <c r="AQ76" s="63">
        <f t="shared" si="70"/>
        <v>1.0833179284981212E-2</v>
      </c>
      <c r="AR76" s="633">
        <f>NPV(realdiscrt2,AQ$62:AQ76)/(1+realdiscrt2)^-Half_Year</f>
        <v>0.15726244980656709</v>
      </c>
      <c r="AS76" s="63">
        <f t="shared" si="71"/>
        <v>4.5379702334816434E-3</v>
      </c>
      <c r="AT76" s="633">
        <f>NPV(realdiscrt2,AS$62:AS76)/(1+realdiscrt2)^-Half_Year</f>
        <v>6.5876535160457286E-2</v>
      </c>
      <c r="AU76" s="63">
        <f t="shared" si="72"/>
        <v>6.2952090514995698E-3</v>
      </c>
      <c r="AV76" s="633">
        <f>NPV(realdiscrt2,AU$62:AU76)/(1+realdiscrt2)^-Half_Year</f>
        <v>9.1385914646109831E-2</v>
      </c>
      <c r="AW76" s="63">
        <v>1</v>
      </c>
      <c r="AX76" s="633">
        <f>NPV(realdiscrt2,AW$62:AW76)/(1+realdiscrt2)^-Half_Year</f>
        <v>14.516740254136748</v>
      </c>
      <c r="AY76" s="63">
        <f t="shared" si="73"/>
        <v>0</v>
      </c>
      <c r="AZ76" s="633">
        <f>NPV(realdiscrt2,AY$62:AY76)/(1+realdiscrt2)^-Half_Year</f>
        <v>0</v>
      </c>
      <c r="BA76" s="115">
        <f t="shared" si="74"/>
        <v>1.0021975853094038</v>
      </c>
      <c r="BB76" s="74">
        <f t="shared" si="75"/>
        <v>0</v>
      </c>
      <c r="BC76" s="633">
        <f>NPV(realdiscrt2,BB$62:BB76)/(1+realdiscrt2)^-Half_Year</f>
        <v>3.0433452835407791E-2</v>
      </c>
      <c r="BD76" s="74">
        <f t="shared" si="76"/>
        <v>0</v>
      </c>
      <c r="BE76" s="633">
        <f>NPV(realdiscrt2,BD$62:BD76)/(1+realdiscrt2)^-Half_Year</f>
        <v>1.5092139335965865E-2</v>
      </c>
      <c r="BF76" s="74">
        <f t="shared" si="95"/>
        <v>0</v>
      </c>
      <c r="BG76" s="633">
        <f>NPV(realdiscrt2,BF$62:BF76)/(1+realdiscrt2)^-Half_Year</f>
        <v>3.5936072305466485E-2</v>
      </c>
      <c r="BH76" s="74">
        <f t="shared" si="78"/>
        <v>0</v>
      </c>
      <c r="BI76" s="633">
        <f>NPV(realdiscrt2,BH$62:BH76)/(1+realdiscrt2)^-Half_Year</f>
        <v>1.2153197342191028E-2</v>
      </c>
      <c r="BJ76" s="64">
        <f t="shared" si="79"/>
        <v>3.4361282634408609E-2</v>
      </c>
      <c r="BK76" s="633">
        <f>NPV(realdiscrt2,BJ$62:BJ76)/(1+realdiscrt2)^-Half_Year</f>
        <v>0.60429262742021661</v>
      </c>
      <c r="BL76" s="64">
        <f t="shared" si="80"/>
        <v>3.3956635537634415E-2</v>
      </c>
      <c r="BM76" s="633">
        <f>NPV(realdiscrt2,BL$62:BL76)/(1+realdiscrt2)^-Half_Year</f>
        <v>0.59717632562527778</v>
      </c>
      <c r="BN76" s="64">
        <f t="shared" si="81"/>
        <v>3.6620562258064523E-2</v>
      </c>
      <c r="BO76" s="633">
        <f>NPV(realdiscrt2,BN$62:BN76)/(1+realdiscrt2)^-Half_Year</f>
        <v>0.64402531244195793</v>
      </c>
      <c r="BP76" s="64">
        <f t="shared" si="82"/>
        <v>3.5069415053763452E-2</v>
      </c>
      <c r="BQ76" s="633">
        <f>NPV(realdiscrt2,BP$62:BP76)/(1+realdiscrt2)^-Half_Year</f>
        <v>0.61674615556135937</v>
      </c>
      <c r="BR76" s="64">
        <f t="shared" si="83"/>
        <v>0.14005407115292715</v>
      </c>
      <c r="BS76" s="633">
        <f>NPV(realdiscrt2,BR$62:BR76)/(1+realdiscrt2)^-Half_Year</f>
        <v>2.0331285724614294</v>
      </c>
      <c r="BT76" s="64">
        <f t="shared" si="84"/>
        <v>0.21481504614821031</v>
      </c>
      <c r="BU76" s="633">
        <f>NPV(realdiscrt2,BT$62:BT76)/(1+realdiscrt2)^-Half_Year</f>
        <v>9.8539308863971886</v>
      </c>
      <c r="BV76" s="64">
        <f t="shared" si="85"/>
        <v>0.11745227463199547</v>
      </c>
      <c r="BW76" s="633">
        <f>NPV(realdiscrt2,BV$62:BV76)/(1+realdiscrt2)^-Half_Year</f>
        <v>8.2587246278974042</v>
      </c>
      <c r="BX76" s="64">
        <f t="shared" si="86"/>
        <v>8.5926018459284131E-2</v>
      </c>
      <c r="BY76" s="633">
        <f>NPV(realdiscrt2,BX$62:BX76)/(1+realdiscrt2)^-Half_Year</f>
        <v>7.7421937160241603</v>
      </c>
      <c r="BZ76" s="64">
        <f t="shared" si="87"/>
        <v>0.11156462384716534</v>
      </c>
      <c r="CA76" s="633">
        <f>NPV(realdiscrt2,BZ$62:BZ76)/(1+realdiscrt2)^-Half_Year</f>
        <v>8.1622604739547633</v>
      </c>
      <c r="CB76" s="64">
        <f t="shared" si="88"/>
        <v>0.17866167388146653</v>
      </c>
      <c r="CC76" s="633">
        <f>NPV(realdiscrt2,CB$62:CB76)/(1+realdiscrt2)^-Half_Year</f>
        <v>9.2615886101075517</v>
      </c>
      <c r="CD76" s="64">
        <f t="shared" si="89"/>
        <v>0.11660160704924855</v>
      </c>
      <c r="CE76" s="633">
        <f>NPV(realdiscrt2,CD$62:CD76)/(1+realdiscrt2)^-Half_Year</f>
        <v>8.2447871625729423</v>
      </c>
      <c r="CF76" s="64">
        <f t="shared" si="90"/>
        <v>0.14372185625492781</v>
      </c>
      <c r="CG76" s="633">
        <f>NPV(realdiscrt2,CF$62:CF76)/(1+realdiscrt2)^-Half_Year</f>
        <v>8.6891293951455637</v>
      </c>
      <c r="CH76" s="634">
        <f t="shared" si="91"/>
        <v>1.2357164001387372E-3</v>
      </c>
      <c r="CI76" s="633">
        <f>NPV(realdiscrt2,CH$62:CH76)/(1+realdiscrt2)^-Half_Year</f>
        <v>4.7137038724416207E-2</v>
      </c>
      <c r="CJ76" s="634">
        <f t="shared" si="92"/>
        <v>1.3312995585695675E-3</v>
      </c>
      <c r="CK76" s="633">
        <f>NPV(realdiscrt2,CJ$62:CJ76)/(1+realdiscrt2)^-Half_Year</f>
        <v>6.6251262372671496E-2</v>
      </c>
    </row>
    <row r="77" spans="1:89">
      <c r="A77" s="56">
        <f t="shared" si="94"/>
        <v>16</v>
      </c>
      <c r="B77" s="56">
        <f t="shared" si="93"/>
        <v>2032</v>
      </c>
      <c r="C77" s="62">
        <f t="shared" si="51"/>
        <v>0.10719992225192312</v>
      </c>
      <c r="D77" s="633">
        <f>NPV(realdiscrt2,C$62:C77)/(1+realdiscrt2)^-Half_Year</f>
        <v>1.2754749674544346</v>
      </c>
      <c r="E77" s="62">
        <f t="shared" si="52"/>
        <v>9.763425227951647E-2</v>
      </c>
      <c r="F77" s="633">
        <f>NPV(realdiscrt2,E$62:E77)/(1+realdiscrt2)^-Half_Year</f>
        <v>1.175193098278928</v>
      </c>
      <c r="G77" s="62">
        <f t="shared" si="53"/>
        <v>0.11949803544134786</v>
      </c>
      <c r="H77" s="633">
        <f>NPV(realdiscrt2,G$62:G77)/(1+realdiscrt2)^-Half_Year</f>
        <v>1.255900628563857</v>
      </c>
      <c r="I77" s="62">
        <f t="shared" si="54"/>
        <v>8.8600218713879561E-2</v>
      </c>
      <c r="J77" s="633">
        <f>NPV(realdiscrt2,I$62:I77)/(1+realdiscrt2)^-Half_Year</f>
        <v>1.0064275438710821</v>
      </c>
      <c r="K77" s="63">
        <f t="shared" si="55"/>
        <v>186.64227093630012</v>
      </c>
      <c r="L77" s="633">
        <f>NPV(realdiscrt2,K$62:K77)/(1+realdiscrt2)^-Half_Year</f>
        <v>2505.4559345557386</v>
      </c>
      <c r="M77" s="63">
        <f t="shared" si="56"/>
        <v>0</v>
      </c>
      <c r="N77" s="633">
        <f>NPV(realdiscrt2,M$62:M77)/(1+realdiscrt2)^-Half_Year</f>
        <v>0</v>
      </c>
      <c r="O77" s="63">
        <f t="shared" si="57"/>
        <v>10.739952210274792</v>
      </c>
      <c r="P77" s="633">
        <f>NPV(realdiscrt2,O$62:O77)/(1+realdiscrt2)^-Half_Year</f>
        <v>165.9425037334496</v>
      </c>
      <c r="Q77" s="63">
        <f t="shared" si="58"/>
        <v>84.296373954599773</v>
      </c>
      <c r="R77" s="633">
        <f>NPV(realdiscrt2,Q$62:Q77)/(1+realdiscrt2)^-Half_Year</f>
        <v>1302.4593662805069</v>
      </c>
      <c r="S77" s="63">
        <f t="shared" si="59"/>
        <v>23.544145327634425</v>
      </c>
      <c r="T77" s="633">
        <f>NPV(realdiscrt2,S$62:S77)/(1+realdiscrt2)^-Half_Year</f>
        <v>327.30230545046135</v>
      </c>
      <c r="U77" s="63">
        <f t="shared" si="60"/>
        <v>21.803714950981714</v>
      </c>
      <c r="V77" s="633">
        <f>NPV(realdiscrt2,U$62:U77)/(1+realdiscrt2)^-Half_Year</f>
        <v>301.2823341616662</v>
      </c>
      <c r="W77" s="624">
        <f t="shared" si="61"/>
        <v>21.33687461281032</v>
      </c>
      <c r="X77" s="633">
        <f>NPV(realdiscrt2,W$62:W77)/(1+realdiscrt2)^-Half_Year</f>
        <v>294.66171259888222</v>
      </c>
      <c r="Y77" s="624">
        <f t="shared" si="62"/>
        <v>9.6568104132793842</v>
      </c>
      <c r="Z77" s="633">
        <f>NPV(realdiscrt2,Y$62:Y77)/(1+realdiscrt2)^-Half_Year</f>
        <v>132.78118787968117</v>
      </c>
      <c r="AA77" s="624">
        <f t="shared" si="63"/>
        <v>9.4066104540379172</v>
      </c>
      <c r="AB77" s="633">
        <f>NPV(realdiscrt2,AA$62:AA77)/(1+realdiscrt2)^-Half_Year</f>
        <v>128.98466568810835</v>
      </c>
      <c r="AC77" s="63">
        <f t="shared" si="64"/>
        <v>9.8303337196065801</v>
      </c>
      <c r="AD77" s="633">
        <f>NPV(realdiscrt2,AC$62:AC77)/(1+realdiscrt2)^-Half_Year</f>
        <v>135.6744629174739</v>
      </c>
      <c r="AE77" s="63">
        <f t="shared" si="65"/>
        <v>8.1363760186045315</v>
      </c>
      <c r="AF77" s="633">
        <f>NPV(realdiscrt2,AE$62:AE77)/(1+realdiscrt2)^-Half_Year</f>
        <v>108.91654387825027</v>
      </c>
      <c r="AG77" s="63">
        <f t="shared" si="66"/>
        <v>8.325159903707215</v>
      </c>
      <c r="AH77" s="633">
        <f>NPV(realdiscrt2,AG$62:AG77)/(1+realdiscrt2)^-Half_Year</f>
        <v>111.94060900384818</v>
      </c>
      <c r="AI77" s="63">
        <f t="shared" si="67"/>
        <v>9.1846983365297614</v>
      </c>
      <c r="AJ77" s="633">
        <f>NPV(realdiscrt2,AI$62:AI77)/(1+realdiscrt2)^-Half_Year</f>
        <v>125.56642342357348</v>
      </c>
      <c r="AK77" s="63">
        <f t="shared" si="68"/>
        <v>8.8814574233125718</v>
      </c>
      <c r="AL77" s="633">
        <f>NPV(realdiscrt2,AK$62:AK77)/(1+realdiscrt2)^-Half_Year</f>
        <v>120.69275714206879</v>
      </c>
      <c r="AM77" s="63">
        <f t="shared" si="69"/>
        <v>20.955928504586907</v>
      </c>
      <c r="AN77" s="633">
        <f>NPV(realdiscrt2,AM$62:AM77)/(1+realdiscrt2)^-Half_Year</f>
        <v>305.11067649463132</v>
      </c>
      <c r="AO77" s="63"/>
      <c r="AP77" s="60"/>
      <c r="AQ77" s="63">
        <f t="shared" si="70"/>
        <v>1.0833179284981212E-2</v>
      </c>
      <c r="AR77" s="633">
        <f>NPV(realdiscrt2,AQ$62:AQ77)/(1+realdiscrt2)^-Half_Year</f>
        <v>0.1673829509430497</v>
      </c>
      <c r="AS77" s="63">
        <f t="shared" si="71"/>
        <v>4.5379702334816434E-3</v>
      </c>
      <c r="AT77" s="633">
        <f>NPV(realdiscrt2,AS$62:AS77)/(1+realdiscrt2)^-Half_Year</f>
        <v>7.0115967712722577E-2</v>
      </c>
      <c r="AU77" s="63">
        <f t="shared" si="72"/>
        <v>6.2952090514995698E-3</v>
      </c>
      <c r="AV77" s="633">
        <f>NPV(realdiscrt2,AU$62:AU77)/(1+realdiscrt2)^-Half_Year</f>
        <v>9.7266983230327161E-2</v>
      </c>
      <c r="AW77" s="63">
        <v>1</v>
      </c>
      <c r="AX77" s="633">
        <f>NPV(realdiscrt2,AW$62:AW77)/(1+realdiscrt2)^-Half_Year</f>
        <v>15.450953643415124</v>
      </c>
      <c r="AY77" s="63">
        <f t="shared" si="73"/>
        <v>0</v>
      </c>
      <c r="AZ77" s="633">
        <f>NPV(realdiscrt2,AY$62:AY77)/(1+realdiscrt2)^-Half_Year</f>
        <v>0</v>
      </c>
      <c r="BA77" s="115">
        <f t="shared" si="74"/>
        <v>1.0021975853094038</v>
      </c>
      <c r="BB77" s="74">
        <f t="shared" si="75"/>
        <v>0</v>
      </c>
      <c r="BC77" s="633">
        <f>NPV(realdiscrt2,BB$62:BB77)/(1+realdiscrt2)^-Half_Year</f>
        <v>3.0433452835407791E-2</v>
      </c>
      <c r="BD77" s="74">
        <f t="shared" si="76"/>
        <v>0</v>
      </c>
      <c r="BE77" s="633">
        <f>NPV(realdiscrt2,BD$62:BD77)/(1+realdiscrt2)^-Half_Year</f>
        <v>1.5092139335965865E-2</v>
      </c>
      <c r="BF77" s="74">
        <f t="shared" si="95"/>
        <v>0</v>
      </c>
      <c r="BG77" s="633">
        <f>NPV(realdiscrt2,BF$62:BF77)/(1+realdiscrt2)^-Half_Year</f>
        <v>3.5936072305466485E-2</v>
      </c>
      <c r="BH77" s="74">
        <f t="shared" si="78"/>
        <v>0</v>
      </c>
      <c r="BI77" s="633">
        <f>NPV(realdiscrt2,BH$62:BH77)/(1+realdiscrt2)^-Half_Year</f>
        <v>1.2153197342191028E-2</v>
      </c>
      <c r="BJ77" s="64">
        <f t="shared" si="79"/>
        <v>3.4361282634408609E-2</v>
      </c>
      <c r="BK77" s="633">
        <f>NPV(realdiscrt2,BJ$62:BJ77)/(1+realdiscrt2)^-Half_Year</f>
        <v>0.63639339773005965</v>
      </c>
      <c r="BL77" s="64">
        <f t="shared" si="80"/>
        <v>3.3956635537634415E-2</v>
      </c>
      <c r="BM77" s="633">
        <f>NPV(realdiscrt2,BL$62:BL77)/(1+realdiscrt2)^-Half_Year</f>
        <v>0.62889906919938188</v>
      </c>
      <c r="BN77" s="64">
        <f t="shared" si="81"/>
        <v>3.6620562258064523E-2</v>
      </c>
      <c r="BO77" s="633">
        <f>NPV(realdiscrt2,BN$62:BN77)/(1+realdiscrt2)^-Half_Year</f>
        <v>0.67823673202634427</v>
      </c>
      <c r="BP77" s="64">
        <f t="shared" si="82"/>
        <v>3.5069415053763452E-2</v>
      </c>
      <c r="BQ77" s="633">
        <f>NPV(realdiscrt2,BP$62:BP77)/(1+realdiscrt2)^-Half_Year</f>
        <v>0.64950847265874578</v>
      </c>
      <c r="BR77" s="64">
        <f t="shared" si="83"/>
        <v>0.14005407115292715</v>
      </c>
      <c r="BS77" s="633">
        <f>NPV(realdiscrt2,BR$62:BR77)/(1+realdiscrt2)^-Half_Year</f>
        <v>2.1639689609554411</v>
      </c>
      <c r="BT77" s="64">
        <f t="shared" si="84"/>
        <v>0.21481504614821031</v>
      </c>
      <c r="BU77" s="633">
        <f>NPV(realdiscrt2,BT$62:BT77)/(1+realdiscrt2)^-Half_Year</f>
        <v>10.0546139787273</v>
      </c>
      <c r="BV77" s="64">
        <f t="shared" si="85"/>
        <v>0.11745227463199547</v>
      </c>
      <c r="BW77" s="633">
        <f>NPV(realdiscrt2,BV$62:BV77)/(1+realdiscrt2)^-Half_Year</f>
        <v>8.368450115459817</v>
      </c>
      <c r="BX77" s="64">
        <f t="shared" si="86"/>
        <v>8.5926018459284131E-2</v>
      </c>
      <c r="BY77" s="633">
        <f>NPV(realdiscrt2,BX$62:BX77)/(1+realdiscrt2)^-Half_Year</f>
        <v>7.8224669529562041</v>
      </c>
      <c r="BZ77" s="64">
        <f t="shared" si="87"/>
        <v>0.11156462384716534</v>
      </c>
      <c r="CA77" s="633">
        <f>NPV(realdiscrt2,BZ$62:BZ77)/(1+realdiscrt2)^-Half_Year</f>
        <v>8.2664856393225907</v>
      </c>
      <c r="CB77" s="64">
        <f t="shared" si="88"/>
        <v>0.17866167388146653</v>
      </c>
      <c r="CC77" s="633">
        <f>NPV(realdiscrt2,CB$62:CB77)/(1+realdiscrt2)^-Half_Year</f>
        <v>9.4284967379985058</v>
      </c>
      <c r="CD77" s="64">
        <f t="shared" si="89"/>
        <v>0.11660160704924855</v>
      </c>
      <c r="CE77" s="633">
        <f>NPV(realdiscrt2,CD$62:CD77)/(1+realdiscrt2)^-Half_Year</f>
        <v>8.3537179450897288</v>
      </c>
      <c r="CF77" s="64">
        <f t="shared" si="90"/>
        <v>0.14372185625492781</v>
      </c>
      <c r="CG77" s="633">
        <f>NPV(realdiscrt2,CF$62:CF77)/(1+realdiscrt2)^-Half_Year</f>
        <v>8.8233962775908612</v>
      </c>
      <c r="CH77" s="634">
        <f t="shared" si="91"/>
        <v>1.2357164001387372E-3</v>
      </c>
      <c r="CI77" s="633">
        <f>NPV(realdiscrt2,CH$62:CH77)/(1+realdiscrt2)^-Half_Year</f>
        <v>4.8291461530776694E-2</v>
      </c>
      <c r="CJ77" s="634">
        <f t="shared" si="92"/>
        <v>1.3312995585695675E-3</v>
      </c>
      <c r="CK77" s="633">
        <f>NPV(realdiscrt2,CJ$62:CJ77)/(1+realdiscrt2)^-Half_Year</f>
        <v>6.7494980245427591E-2</v>
      </c>
    </row>
    <row r="78" spans="1:89">
      <c r="A78" s="56">
        <f t="shared" si="94"/>
        <v>17</v>
      </c>
      <c r="B78" s="56">
        <f t="shared" si="93"/>
        <v>2033</v>
      </c>
      <c r="C78" s="62">
        <f t="shared" si="51"/>
        <v>0.11070072694596812</v>
      </c>
      <c r="D78" s="633">
        <f>NPV(realdiscrt2,C$62:C78)/(1+realdiscrt2)^-Half_Year</f>
        <v>1.3784400225278843</v>
      </c>
      <c r="E78" s="62">
        <f t="shared" si="52"/>
        <v>0.10108502417170813</v>
      </c>
      <c r="F78" s="633">
        <f>NPV(realdiscrt2,E$62:E78)/(1+realdiscrt2)^-Half_Year</f>
        <v>1.2692143876424666</v>
      </c>
      <c r="G78" s="62">
        <f t="shared" si="53"/>
        <v>0.12453503608499204</v>
      </c>
      <c r="H78" s="633">
        <f>NPV(realdiscrt2,G$62:G78)/(1+realdiscrt2)^-Half_Year</f>
        <v>1.3717332631166901</v>
      </c>
      <c r="I78" s="62">
        <f t="shared" si="54"/>
        <v>9.1957511844841688E-2</v>
      </c>
      <c r="J78" s="633">
        <f>NPV(realdiscrt2,I$62:I78)/(1+realdiscrt2)^-Half_Year</f>
        <v>1.0919591436422649</v>
      </c>
      <c r="K78" s="63">
        <f t="shared" si="55"/>
        <v>186.64227093630012</v>
      </c>
      <c r="L78" s="633">
        <f>NPV(realdiscrt2,K$62:K78)/(1+realdiscrt2)^-Half_Year</f>
        <v>2679.0558036457569</v>
      </c>
      <c r="M78" s="63">
        <f t="shared" si="56"/>
        <v>0</v>
      </c>
      <c r="N78" s="633">
        <f>NPV(realdiscrt2,M$62:M78)/(1+realdiscrt2)^-Half_Year</f>
        <v>0</v>
      </c>
      <c r="O78" s="63">
        <f t="shared" si="57"/>
        <v>10.739952210274792</v>
      </c>
      <c r="P78" s="633">
        <f>NPV(realdiscrt2,O$62:O78)/(1+realdiscrt2)^-Half_Year</f>
        <v>175.93195729283693</v>
      </c>
      <c r="Q78" s="63">
        <f t="shared" si="58"/>
        <v>84.296373954599773</v>
      </c>
      <c r="R78" s="633">
        <f>NPV(realdiscrt2,Q$62:Q78)/(1+realdiscrt2)^-Half_Year</f>
        <v>1380.8651819077513</v>
      </c>
      <c r="S78" s="63">
        <f t="shared" si="59"/>
        <v>23.851657618808343</v>
      </c>
      <c r="T78" s="633">
        <f>NPV(realdiscrt2,S$62:S78)/(1+realdiscrt2)^-Half_Year</f>
        <v>349.48722968779146</v>
      </c>
      <c r="U78" s="63">
        <f t="shared" si="60"/>
        <v>22.104464469109754</v>
      </c>
      <c r="V78" s="633">
        <f>NPV(realdiscrt2,U$62:U78)/(1+realdiscrt2)^-Half_Year</f>
        <v>321.84215760837122</v>
      </c>
      <c r="W78" s="624">
        <f t="shared" si="61"/>
        <v>21.632213800395409</v>
      </c>
      <c r="X78" s="633">
        <f>NPV(realdiscrt2,W$62:W78)/(1+realdiscrt2)^-Half_Year</f>
        <v>314.78228584864524</v>
      </c>
      <c r="Y78" s="624">
        <f t="shared" si="62"/>
        <v>9.7985118560589992</v>
      </c>
      <c r="Z78" s="633">
        <f>NPV(realdiscrt2,Y$62:Y78)/(1+realdiscrt2)^-Half_Year</f>
        <v>141.89498812951516</v>
      </c>
      <c r="AA78" s="624">
        <f t="shared" si="63"/>
        <v>9.5477498263131277</v>
      </c>
      <c r="AB78" s="633">
        <f>NPV(realdiscrt2,AA$62:AA78)/(1+realdiscrt2)^-Half_Year</f>
        <v>137.86522694380528</v>
      </c>
      <c r="AC78" s="63">
        <f t="shared" si="64"/>
        <v>9.9703998156816969</v>
      </c>
      <c r="AD78" s="633">
        <f>NPV(realdiscrt2,AC$62:AC78)/(1+realdiscrt2)^-Half_Year</f>
        <v>144.94813974370697</v>
      </c>
      <c r="AE78" s="63">
        <f t="shared" si="65"/>
        <v>8.2813436732523069</v>
      </c>
      <c r="AF78" s="633">
        <f>NPV(realdiscrt2,AE$62:AE78)/(1+realdiscrt2)^-Half_Year</f>
        <v>116.61919435691223</v>
      </c>
      <c r="AG78" s="63">
        <f t="shared" si="66"/>
        <v>8.4696440887377733</v>
      </c>
      <c r="AH78" s="633">
        <f>NPV(realdiscrt2,AG$62:AG78)/(1+realdiscrt2)^-Half_Year</f>
        <v>119.81840162643012</v>
      </c>
      <c r="AI78" s="63">
        <f t="shared" si="67"/>
        <v>9.3259169872935566</v>
      </c>
      <c r="AJ78" s="633">
        <f>NPV(realdiscrt2,AI$62:AI78)/(1+realdiscrt2)^-Half_Year</f>
        <v>134.24065332881869</v>
      </c>
      <c r="AK78" s="63">
        <f t="shared" si="68"/>
        <v>9.0246587810083696</v>
      </c>
      <c r="AL78" s="633">
        <f>NPV(realdiscrt2,AK$62:AK78)/(1+realdiscrt2)^-Half_Year</f>
        <v>129.08678050615353</v>
      </c>
      <c r="AM78" s="63">
        <f t="shared" si="69"/>
        <v>21.099032546268695</v>
      </c>
      <c r="AN78" s="633">
        <f>NPV(realdiscrt2,AM$62:AM78)/(1+realdiscrt2)^-Half_Year</f>
        <v>324.73532673910012</v>
      </c>
      <c r="AO78" s="63"/>
      <c r="AP78" s="60"/>
      <c r="AQ78" s="63">
        <f t="shared" si="70"/>
        <v>1.0833179284981212E-2</v>
      </c>
      <c r="AR78" s="633">
        <f>NPV(realdiscrt2,AQ$62:AQ78)/(1+realdiscrt2)^-Half_Year</f>
        <v>0.17745911694910566</v>
      </c>
      <c r="AS78" s="63">
        <f t="shared" si="71"/>
        <v>4.5379702334816434E-3</v>
      </c>
      <c r="AT78" s="633">
        <f>NPV(realdiscrt2,AS$62:AS78)/(1+realdiscrt2)^-Half_Year</f>
        <v>7.4336828477622297E-2</v>
      </c>
      <c r="AU78" s="63">
        <f t="shared" si="72"/>
        <v>6.2952090514995698E-3</v>
      </c>
      <c r="AV78" s="633">
        <f>NPV(realdiscrt2,AU$62:AU78)/(1+realdiscrt2)^-Half_Year</f>
        <v>0.10312228847148341</v>
      </c>
      <c r="AW78" s="63">
        <v>1</v>
      </c>
      <c r="AX78" s="633">
        <f>NPV(realdiscrt2,AW$62:AW78)/(1+realdiscrt2)^-Half_Year</f>
        <v>16.38107450092048</v>
      </c>
      <c r="AY78" s="63">
        <f t="shared" si="73"/>
        <v>0</v>
      </c>
      <c r="AZ78" s="633">
        <f>NPV(realdiscrt2,AY$62:AY78)/(1+realdiscrt2)^-Half_Year</f>
        <v>0</v>
      </c>
      <c r="BA78" s="115">
        <f t="shared" si="74"/>
        <v>1.0021975853094038</v>
      </c>
      <c r="BB78" s="74">
        <f t="shared" si="75"/>
        <v>0</v>
      </c>
      <c r="BC78" s="633">
        <f>NPV(realdiscrt2,BB$62:BB78)/(1+realdiscrt2)^-Half_Year</f>
        <v>3.0433452835407791E-2</v>
      </c>
      <c r="BD78" s="74">
        <f t="shared" si="76"/>
        <v>0</v>
      </c>
      <c r="BE78" s="633">
        <f>NPV(realdiscrt2,BD$62:BD78)/(1+realdiscrt2)^-Half_Year</f>
        <v>1.5092139335965865E-2</v>
      </c>
      <c r="BF78" s="74">
        <f t="shared" si="95"/>
        <v>0</v>
      </c>
      <c r="BG78" s="633">
        <f>NPV(realdiscrt2,BF$62:BF78)/(1+realdiscrt2)^-Half_Year</f>
        <v>3.5936072305466485E-2</v>
      </c>
      <c r="BH78" s="74">
        <f t="shared" si="78"/>
        <v>0</v>
      </c>
      <c r="BI78" s="633">
        <f>NPV(realdiscrt2,BH$62:BH78)/(1+realdiscrt2)^-Half_Year</f>
        <v>1.2153197342191028E-2</v>
      </c>
      <c r="BJ78" s="64">
        <f t="shared" si="79"/>
        <v>3.4361282634408609E-2</v>
      </c>
      <c r="BK78" s="633">
        <f>NPV(realdiscrt2,BJ$62:BJ78)/(1+realdiscrt2)^-Half_Year</f>
        <v>0.66835354339895958</v>
      </c>
      <c r="BL78" s="64">
        <f t="shared" si="80"/>
        <v>3.3956635537634415E-2</v>
      </c>
      <c r="BM78" s="633">
        <f>NPV(realdiscrt2,BL$62:BL78)/(1+realdiscrt2)^-Half_Year</f>
        <v>0.66048284416364333</v>
      </c>
      <c r="BN78" s="64">
        <f t="shared" si="81"/>
        <v>3.6620562258064523E-2</v>
      </c>
      <c r="BO78" s="633">
        <f>NPV(realdiscrt2,BN$62:BN78)/(1+realdiscrt2)^-Half_Year</f>
        <v>0.71229828079614343</v>
      </c>
      <c r="BP78" s="64">
        <f t="shared" si="82"/>
        <v>3.5069415053763452E-2</v>
      </c>
      <c r="BQ78" s="633">
        <f>NPV(realdiscrt2,BP$62:BP78)/(1+realdiscrt2)^-Half_Year</f>
        <v>0.68212726706076343</v>
      </c>
      <c r="BR78" s="64">
        <f t="shared" si="83"/>
        <v>0.14005407115292715</v>
      </c>
      <c r="BS78" s="633">
        <f>NPV(realdiscrt2,BR$62:BR78)/(1+realdiscrt2)^-Half_Year</f>
        <v>2.2942361737133168</v>
      </c>
      <c r="BT78" s="64">
        <f t="shared" si="84"/>
        <v>0.21481504614821031</v>
      </c>
      <c r="BU78" s="633">
        <f>NPV(realdiscrt2,BT$62:BT78)/(1+realdiscrt2)^-Half_Year</f>
        <v>10.254417933655725</v>
      </c>
      <c r="BV78" s="64">
        <f t="shared" si="85"/>
        <v>0.11745227463199547</v>
      </c>
      <c r="BW78" s="633">
        <f>NPV(realdiscrt2,BV$62:BV78)/(1+realdiscrt2)^-Half_Year</f>
        <v>8.4776949258564827</v>
      </c>
      <c r="BX78" s="64">
        <f t="shared" si="86"/>
        <v>8.5926018459284131E-2</v>
      </c>
      <c r="BY78" s="633">
        <f>NPV(realdiscrt2,BX$62:BX78)/(1+realdiscrt2)^-Half_Year</f>
        <v>7.9023885349275744</v>
      </c>
      <c r="BZ78" s="64">
        <f t="shared" si="87"/>
        <v>0.11156462384716534</v>
      </c>
      <c r="CA78" s="633">
        <f>NPV(realdiscrt2,BZ$62:BZ78)/(1+realdiscrt2)^-Half_Year</f>
        <v>8.3702542229225774</v>
      </c>
      <c r="CB78" s="64">
        <f t="shared" si="88"/>
        <v>0.17866167388146653</v>
      </c>
      <c r="CC78" s="633">
        <f>NPV(realdiscrt2,CB$62:CB78)/(1+realdiscrt2)^-Half_Year</f>
        <v>9.5946736873124774</v>
      </c>
      <c r="CD78" s="64">
        <f t="shared" si="89"/>
        <v>0.11660160704924855</v>
      </c>
      <c r="CE78" s="633">
        <f>NPV(realdiscrt2,CD$62:CD78)/(1+realdiscrt2)^-Half_Year</f>
        <v>8.4621715318248771</v>
      </c>
      <c r="CF78" s="64">
        <f t="shared" si="90"/>
        <v>0.14372185625492781</v>
      </c>
      <c r="CG78" s="633">
        <f>NPV(realdiscrt2,CF$62:CF78)/(1+realdiscrt2)^-Half_Year</f>
        <v>8.9570749737729543</v>
      </c>
      <c r="CH78" s="634">
        <f t="shared" si="91"/>
        <v>1.2357164001387372E-3</v>
      </c>
      <c r="CI78" s="633">
        <f>NPV(realdiscrt2,CH$62:CH78)/(1+realdiscrt2)^-Half_Year</f>
        <v>4.9440827128507163E-2</v>
      </c>
      <c r="CJ78" s="634">
        <f t="shared" si="92"/>
        <v>1.3312995585695675E-3</v>
      </c>
      <c r="CK78" s="633">
        <f>NPV(realdiscrt2,CJ$62:CJ78)/(1+realdiscrt2)^-Half_Year</f>
        <v>6.8733249732440826E-2</v>
      </c>
    </row>
    <row r="79" spans="1:89">
      <c r="A79" s="56">
        <f t="shared" si="94"/>
        <v>18</v>
      </c>
      <c r="B79" s="56">
        <f t="shared" si="93"/>
        <v>2034</v>
      </c>
      <c r="C79" s="62">
        <f t="shared" si="51"/>
        <v>0.11432983850565727</v>
      </c>
      <c r="D79" s="633">
        <f>NPV(realdiscrt2,C$62:C79)/(1+realdiscrt2)^-Half_Year</f>
        <v>1.4843147411950797</v>
      </c>
      <c r="E79" s="62">
        <f t="shared" si="52"/>
        <v>0.10467436557267468</v>
      </c>
      <c r="F79" s="633">
        <f>NPV(realdiscrt2,E$62:E79)/(1+realdiscrt2)^-Half_Year</f>
        <v>1.3661476917695925</v>
      </c>
      <c r="G79" s="62">
        <f t="shared" si="53"/>
        <v>0.12980745813357417</v>
      </c>
      <c r="H79" s="633">
        <f>NPV(realdiscrt2,G$62:G79)/(1+realdiscrt2)^-Half_Year</f>
        <v>1.4919409734609657</v>
      </c>
      <c r="I79" s="62">
        <f t="shared" si="54"/>
        <v>9.5461407563541878E-2</v>
      </c>
      <c r="J79" s="633">
        <f>NPV(realdiscrt2,I$62:I79)/(1+realdiscrt2)^-Half_Year</f>
        <v>1.1803608225168865</v>
      </c>
      <c r="K79" s="63">
        <f t="shared" si="55"/>
        <v>186.64227093630012</v>
      </c>
      <c r="L79" s="633">
        <f>NPV(realdiscrt2,K$62:K79)/(1+realdiscrt2)^-Half_Year</f>
        <v>2851.895179482095</v>
      </c>
      <c r="M79" s="63">
        <f t="shared" si="56"/>
        <v>0</v>
      </c>
      <c r="N79" s="633">
        <f>NPV(realdiscrt2,M$62:M79)/(1+realdiscrt2)^-Half_Year</f>
        <v>0</v>
      </c>
      <c r="O79" s="63">
        <f t="shared" si="57"/>
        <v>10.739952210274792</v>
      </c>
      <c r="P79" s="633">
        <f>NPV(realdiscrt2,O$62:O79)/(1+realdiscrt2)^-Half_Year</f>
        <v>185.87764980516997</v>
      </c>
      <c r="Q79" s="63">
        <f t="shared" si="58"/>
        <v>84.296373954599773</v>
      </c>
      <c r="R79" s="633">
        <f>NPV(realdiscrt2,Q$62:Q79)/(1+realdiscrt2)^-Half_Year</f>
        <v>1458.9275232331638</v>
      </c>
      <c r="S79" s="63">
        <f t="shared" si="59"/>
        <v>24.163186356869886</v>
      </c>
      <c r="T79" s="633">
        <f>NPV(realdiscrt2,S$62:S79)/(1+realdiscrt2)^-Half_Year</f>
        <v>371.86345789798014</v>
      </c>
      <c r="U79" s="63">
        <f t="shared" si="60"/>
        <v>22.409363780246249</v>
      </c>
      <c r="V79" s="633">
        <f>NPV(realdiscrt2,U$62:U79)/(1+realdiscrt2)^-Half_Year</f>
        <v>342.59426499131837</v>
      </c>
      <c r="W79" s="624">
        <f t="shared" si="61"/>
        <v>21.931643572097073</v>
      </c>
      <c r="X79" s="633">
        <f>NPV(realdiscrt2,W$62:W79)/(1+realdiscrt2)^-Half_Year</f>
        <v>335.09200222238155</v>
      </c>
      <c r="Y79" s="624">
        <f t="shared" si="62"/>
        <v>9.9422925877576773</v>
      </c>
      <c r="Z79" s="633">
        <f>NPV(realdiscrt2,Y$62:Y79)/(1+realdiscrt2)^-Half_Year</f>
        <v>151.10201093645892</v>
      </c>
      <c r="AA79" s="624">
        <f t="shared" si="63"/>
        <v>9.6910068925763664</v>
      </c>
      <c r="AB79" s="633">
        <f>NPV(realdiscrt2,AA$62:AA79)/(1+realdiscrt2)^-Half_Year</f>
        <v>146.83954757404567</v>
      </c>
      <c r="AC79" s="63">
        <f t="shared" si="64"/>
        <v>10.112461623380579</v>
      </c>
      <c r="AD79" s="633">
        <f>NPV(realdiscrt2,AC$62:AC79)/(1+realdiscrt2)^-Half_Year</f>
        <v>154.31274694863404</v>
      </c>
      <c r="AE79" s="63">
        <f t="shared" si="65"/>
        <v>8.4288942494423065</v>
      </c>
      <c r="AF79" s="633">
        <f>NPV(realdiscrt2,AE$62:AE79)/(1+realdiscrt2)^-Half_Year</f>
        <v>124.42474030186766</v>
      </c>
      <c r="AG79" s="63">
        <f t="shared" si="66"/>
        <v>8.6166358147603859</v>
      </c>
      <c r="AH79" s="633">
        <f>NPV(realdiscrt2,AG$62:AG79)/(1+realdiscrt2)^-Half_Year</f>
        <v>127.79780494466615</v>
      </c>
      <c r="AI79" s="63">
        <f t="shared" si="67"/>
        <v>9.4693069349897971</v>
      </c>
      <c r="AJ79" s="633">
        <f>NPV(realdiscrt2,AI$62:AI79)/(1+realdiscrt2)^-Half_Year</f>
        <v>143.00966954382679</v>
      </c>
      <c r="AK79" s="63">
        <f t="shared" si="68"/>
        <v>9.1701690648036287</v>
      </c>
      <c r="AL79" s="633">
        <f>NPV(realdiscrt2,AK$62:AK79)/(1+realdiscrt2)^-Half_Year</f>
        <v>137.57878121704982</v>
      </c>
      <c r="AM79" s="63">
        <f t="shared" si="69"/>
        <v>21.24311381817634</v>
      </c>
      <c r="AN79" s="633">
        <f>NPV(realdiscrt2,AM$62:AM79)/(1+realdiscrt2)^-Half_Year</f>
        <v>344.407432713459</v>
      </c>
      <c r="AO79" s="63"/>
      <c r="AP79" s="60"/>
      <c r="AQ79" s="63">
        <f t="shared" si="70"/>
        <v>1.0833179284981212E-2</v>
      </c>
      <c r="AR79" s="633">
        <f>NPV(realdiscrt2,AQ$62:AQ79)/(1+realdiscrt2)^-Half_Year</f>
        <v>0.18749114204474085</v>
      </c>
      <c r="AS79" s="63">
        <f t="shared" si="71"/>
        <v>4.5379702334816434E-3</v>
      </c>
      <c r="AT79" s="633">
        <f>NPV(realdiscrt2,AS$62:AS79)/(1+realdiscrt2)^-Half_Year</f>
        <v>7.8539198813046149E-2</v>
      </c>
      <c r="AU79" s="63">
        <f t="shared" si="72"/>
        <v>6.2952090514995698E-3</v>
      </c>
      <c r="AV79" s="633">
        <f>NPV(realdiscrt2,AU$62:AU79)/(1+realdiscrt2)^-Half_Year</f>
        <v>0.10895194323169474</v>
      </c>
      <c r="AW79" s="63">
        <v>1</v>
      </c>
      <c r="AX79" s="633">
        <f>NPV(realdiscrt2,AW$62:AW79)/(1+realdiscrt2)^-Half_Year</f>
        <v>17.307120754908286</v>
      </c>
      <c r="AY79" s="63">
        <f t="shared" si="73"/>
        <v>0</v>
      </c>
      <c r="AZ79" s="633">
        <f>NPV(realdiscrt2,AY$62:AY79)/(1+realdiscrt2)^-Half_Year</f>
        <v>0</v>
      </c>
      <c r="BA79" s="115">
        <f t="shared" si="74"/>
        <v>1.0021975853094038</v>
      </c>
      <c r="BB79" s="74">
        <f t="shared" si="75"/>
        <v>0</v>
      </c>
      <c r="BC79" s="633">
        <f>NPV(realdiscrt2,BB$62:BB79)/(1+realdiscrt2)^-Half_Year</f>
        <v>3.0433452835407791E-2</v>
      </c>
      <c r="BD79" s="74">
        <f t="shared" si="76"/>
        <v>0</v>
      </c>
      <c r="BE79" s="633">
        <f>NPV(realdiscrt2,BD$62:BD79)/(1+realdiscrt2)^-Half_Year</f>
        <v>1.5092139335965865E-2</v>
      </c>
      <c r="BF79" s="74">
        <f t="shared" si="95"/>
        <v>0</v>
      </c>
      <c r="BG79" s="633">
        <f>NPV(realdiscrt2,BF$62:BF79)/(1+realdiscrt2)^-Half_Year</f>
        <v>3.5936072305466485E-2</v>
      </c>
      <c r="BH79" s="74">
        <f t="shared" si="78"/>
        <v>0</v>
      </c>
      <c r="BI79" s="633">
        <f>NPV(realdiscrt2,BH$62:BH79)/(1+realdiscrt2)^-Half_Year</f>
        <v>1.2153197342191028E-2</v>
      </c>
      <c r="BJ79" s="64">
        <f t="shared" si="79"/>
        <v>3.4361282634408609E-2</v>
      </c>
      <c r="BK79" s="633">
        <f>NPV(realdiscrt2,BJ$62:BJ79)/(1+realdiscrt2)^-Half_Year</f>
        <v>0.70017368046477013</v>
      </c>
      <c r="BL79" s="64">
        <f t="shared" si="80"/>
        <v>3.3956635537634415E-2</v>
      </c>
      <c r="BM79" s="633">
        <f>NPV(realdiscrt2,BL$62:BL79)/(1+realdiscrt2)^-Half_Year</f>
        <v>0.69192825930129886</v>
      </c>
      <c r="BN79" s="64">
        <f t="shared" si="81"/>
        <v>3.6620562258064523E-2</v>
      </c>
      <c r="BO79" s="633">
        <f>NPV(realdiscrt2,BN$62:BN79)/(1+realdiscrt2)^-Half_Year</f>
        <v>0.74621061529415145</v>
      </c>
      <c r="BP79" s="64">
        <f t="shared" si="82"/>
        <v>3.5069415053763452E-2</v>
      </c>
      <c r="BQ79" s="633">
        <f>NPV(realdiscrt2,BP$62:BP79)/(1+realdiscrt2)^-Half_Year</f>
        <v>0.71460316750084474</v>
      </c>
      <c r="BR79" s="64">
        <f t="shared" si="83"/>
        <v>0.14005407115292715</v>
      </c>
      <c r="BS79" s="633">
        <f>NPV(realdiscrt2,BR$62:BR79)/(1+realdiscrt2)^-Half_Year</f>
        <v>2.4239327216602269</v>
      </c>
      <c r="BT79" s="64">
        <f t="shared" si="84"/>
        <v>0.21481504614821031</v>
      </c>
      <c r="BU79" s="633">
        <f>NPV(realdiscrt2,BT$62:BT79)/(1+realdiscrt2)^-Half_Year</f>
        <v>10.453346602441494</v>
      </c>
      <c r="BV79" s="64">
        <f t="shared" si="85"/>
        <v>0.11745227463199547</v>
      </c>
      <c r="BW79" s="633">
        <f>NPV(realdiscrt2,BV$62:BV79)/(1+realdiscrt2)^-Half_Year</f>
        <v>8.5864611648017899</v>
      </c>
      <c r="BX79" s="64">
        <f t="shared" si="86"/>
        <v>8.5926018459284131E-2</v>
      </c>
      <c r="BY79" s="633">
        <f>NPV(realdiscrt2,BX$62:BX79)/(1+realdiscrt2)^-Half_Year</f>
        <v>7.9819600024418804</v>
      </c>
      <c r="BZ79" s="64">
        <f t="shared" si="87"/>
        <v>0.11156462384716534</v>
      </c>
      <c r="CA79" s="633">
        <f>NPV(realdiscrt2,BZ$62:BZ79)/(1+realdiscrt2)^-Half_Year</f>
        <v>8.4735682249138033</v>
      </c>
      <c r="CB79" s="64">
        <f t="shared" si="88"/>
        <v>0.17866167388146653</v>
      </c>
      <c r="CC79" s="633">
        <f>NPV(realdiscrt2,CB$62:CB79)/(1+realdiscrt2)^-Half_Year</f>
        <v>9.760122661141601</v>
      </c>
      <c r="CD79" s="64">
        <f t="shared" si="89"/>
        <v>0.11660160704924855</v>
      </c>
      <c r="CE79" s="633">
        <f>NPV(realdiscrt2,CD$62:CD79)/(1+realdiscrt2)^-Half_Year</f>
        <v>8.5701500132417934</v>
      </c>
      <c r="CF79" s="64">
        <f t="shared" si="90"/>
        <v>0.14372185625492781</v>
      </c>
      <c r="CG79" s="633">
        <f>NPV(realdiscrt2,CF$62:CF79)/(1+realdiscrt2)^-Half_Year</f>
        <v>9.0901680603740047</v>
      </c>
      <c r="CH79" s="634">
        <f t="shared" si="91"/>
        <v>1.2357164001387372E-3</v>
      </c>
      <c r="CI79" s="633">
        <f>NPV(realdiscrt2,CH$62:CH79)/(1+realdiscrt2)^-Half_Year</f>
        <v>5.0585157671846938E-2</v>
      </c>
      <c r="CJ79" s="634">
        <f t="shared" si="92"/>
        <v>1.3312995585695675E-3</v>
      </c>
      <c r="CK79" s="633">
        <f>NPV(realdiscrt2,CJ$62:CJ79)/(1+realdiscrt2)^-Half_Year</f>
        <v>6.9966094701589779E-2</v>
      </c>
    </row>
    <row r="80" spans="1:89">
      <c r="A80" s="56">
        <f t="shared" si="94"/>
        <v>19</v>
      </c>
      <c r="B80" s="56">
        <f t="shared" si="93"/>
        <v>2035</v>
      </c>
      <c r="C80" s="62">
        <f t="shared" si="51"/>
        <v>0.11809196393258206</v>
      </c>
      <c r="D80" s="633">
        <f>NPV(realdiscrt2,C$62:C80)/(1+realdiscrt2)^-Half_Year</f>
        <v>1.5931942919973803</v>
      </c>
      <c r="E80" s="62">
        <f t="shared" si="52"/>
        <v>0.10840784640856355</v>
      </c>
      <c r="F80" s="633">
        <f>NPV(realdiscrt2,E$62:E80)/(1+realdiscrt2)^-Half_Year</f>
        <v>1.4660985878961712</v>
      </c>
      <c r="G80" s="62">
        <f t="shared" si="53"/>
        <v>0.13532631258938532</v>
      </c>
      <c r="H80" s="633">
        <f>NPV(realdiscrt2,G$62:G80)/(1+realdiscrt2)^-Half_Year</f>
        <v>1.6167104127674008</v>
      </c>
      <c r="I80" s="62">
        <f t="shared" si="54"/>
        <v>9.9118314227937376E-2</v>
      </c>
      <c r="J80" s="633">
        <f>NPV(realdiscrt2,I$62:I80)/(1+realdiscrt2)^-Half_Year</f>
        <v>1.2717468675112789</v>
      </c>
      <c r="K80" s="63">
        <f t="shared" si="55"/>
        <v>186.64227093630012</v>
      </c>
      <c r="L80" s="633">
        <f>NPV(realdiscrt2,K$62:K80)/(1+realdiscrt2)^-Half_Year</f>
        <v>3023.9773935764188</v>
      </c>
      <c r="M80" s="63">
        <f t="shared" si="56"/>
        <v>0</v>
      </c>
      <c r="N80" s="633">
        <f>NPV(realdiscrt2,M$62:M80)/(1+realdiscrt2)^-Half_Year</f>
        <v>0</v>
      </c>
      <c r="O80" s="63">
        <f t="shared" si="57"/>
        <v>10.739952210274792</v>
      </c>
      <c r="P80" s="633">
        <f>NPV(realdiscrt2,O$62:O80)/(1+realdiscrt2)^-Half_Year</f>
        <v>195.77977297555333</v>
      </c>
      <c r="Q80" s="63">
        <f t="shared" si="58"/>
        <v>84.296373954599773</v>
      </c>
      <c r="R80" s="633">
        <f>NPV(realdiscrt2,Q$62:Q80)/(1+realdiscrt2)^-Half_Year</f>
        <v>1536.6478949231405</v>
      </c>
      <c r="S80" s="63">
        <f t="shared" si="59"/>
        <v>24.478784001008702</v>
      </c>
      <c r="T80" s="633">
        <f>NPV(realdiscrt2,S$62:S80)/(1+realdiscrt2)^-Half_Year</f>
        <v>394.4326397242553</v>
      </c>
      <c r="U80" s="63">
        <f t="shared" si="60"/>
        <v>22.718470164117178</v>
      </c>
      <c r="V80" s="633">
        <f>NPV(realdiscrt2,U$62:U80)/(1+realdiscrt2)^-Half_Year</f>
        <v>363.54045594294564</v>
      </c>
      <c r="W80" s="624">
        <f t="shared" si="61"/>
        <v>22.235220621179749</v>
      </c>
      <c r="X80" s="633">
        <f>NPV(realdiscrt2,W$62:W80)/(1+realdiscrt2)^-Half_Year</f>
        <v>355.59264216945041</v>
      </c>
      <c r="Y80" s="624">
        <f t="shared" si="62"/>
        <v>10.088183119302645</v>
      </c>
      <c r="Z80" s="633">
        <f>NPV(realdiscrt2,Y$62:Y80)/(1+realdiscrt2)^-Half_Year</f>
        <v>160.40320984841955</v>
      </c>
      <c r="AA80" s="624">
        <f t="shared" si="63"/>
        <v>9.8364134272910917</v>
      </c>
      <c r="AB80" s="633">
        <f>NPV(realdiscrt2,AA$62:AA80)/(1+realdiscrt2)^-Half_Year</f>
        <v>155.90861747350635</v>
      </c>
      <c r="AC80" s="63">
        <f t="shared" si="64"/>
        <v>10.256547578313249</v>
      </c>
      <c r="AD80" s="633">
        <f>NPV(realdiscrt2,AC$62:AC80)/(1+realdiscrt2)^-Half_Year</f>
        <v>163.76917612400712</v>
      </c>
      <c r="AE80" s="63">
        <f t="shared" si="65"/>
        <v>8.5790737676727531</v>
      </c>
      <c r="AF80" s="633">
        <f>NPV(realdiscrt2,AE$62:AE80)/(1+realdiscrt2)^-Half_Year</f>
        <v>132.33455623699155</v>
      </c>
      <c r="AG80" s="63">
        <f t="shared" si="66"/>
        <v>8.7661786004606821</v>
      </c>
      <c r="AH80" s="633">
        <f>NPV(realdiscrt2,AG$62:AG80)/(1+realdiscrt2)^-Half_Year</f>
        <v>135.88012957105474</v>
      </c>
      <c r="AI80" s="63">
        <f t="shared" si="67"/>
        <v>9.6149015642340672</v>
      </c>
      <c r="AJ80" s="633">
        <f>NPV(realdiscrt2,AI$62:AI80)/(1+realdiscrt2)^-Half_Year</f>
        <v>151.874507831382</v>
      </c>
      <c r="AK80" s="63">
        <f t="shared" si="68"/>
        <v>9.3180255029747983</v>
      </c>
      <c r="AL80" s="633">
        <f>NPV(realdiscrt2,AK$62:AK80)/(1+realdiscrt2)^-Half_Year</f>
        <v>146.16990289326711</v>
      </c>
      <c r="AM80" s="63">
        <f t="shared" si="69"/>
        <v>21.388178993628806</v>
      </c>
      <c r="AN80" s="633">
        <f>NPV(realdiscrt2,AM$62:AM80)/(1+realdiscrt2)^-Half_Year</f>
        <v>364.12710917370458</v>
      </c>
      <c r="AO80" s="63"/>
      <c r="AP80" s="60"/>
      <c r="AQ80" s="63">
        <f t="shared" si="70"/>
        <v>1.0833179284981212E-2</v>
      </c>
      <c r="AR80" s="633">
        <f>NPV(realdiscrt2,AQ$62:AQ80)/(1+realdiscrt2)^-Half_Year</f>
        <v>0.19747921959913667</v>
      </c>
      <c r="AS80" s="63">
        <f t="shared" si="71"/>
        <v>4.5379702334816434E-3</v>
      </c>
      <c r="AT80" s="633">
        <f>NPV(realdiscrt2,AS$62:AS80)/(1+realdiscrt2)^-Half_Year</f>
        <v>8.2723159720477307E-2</v>
      </c>
      <c r="AU80" s="63">
        <f t="shared" si="72"/>
        <v>6.2952090514995698E-3</v>
      </c>
      <c r="AV80" s="633">
        <f>NPV(realdiscrt2,AU$62:AU80)/(1+realdiscrt2)^-Half_Year</f>
        <v>0.1147560598786594</v>
      </c>
      <c r="AW80" s="63">
        <v>1</v>
      </c>
      <c r="AX80" s="633">
        <f>NPV(realdiscrt2,AW$62:AW80)/(1+realdiscrt2)^-Half_Year</f>
        <v>18.229110255095271</v>
      </c>
      <c r="AY80" s="63">
        <f t="shared" si="73"/>
        <v>0</v>
      </c>
      <c r="AZ80" s="633">
        <f>NPV(realdiscrt2,AY$62:AY80)/(1+realdiscrt2)^-Half_Year</f>
        <v>0</v>
      </c>
      <c r="BA80" s="115">
        <f t="shared" si="74"/>
        <v>1.0021975853094038</v>
      </c>
      <c r="BB80" s="74">
        <f t="shared" si="75"/>
        <v>0</v>
      </c>
      <c r="BC80" s="633">
        <f>NPV(realdiscrt2,BB$62:BB80)/(1+realdiscrt2)^-Half_Year</f>
        <v>3.0433452835407791E-2</v>
      </c>
      <c r="BD80" s="74">
        <f t="shared" si="76"/>
        <v>0</v>
      </c>
      <c r="BE80" s="633">
        <f>NPV(realdiscrt2,BD$62:BD80)/(1+realdiscrt2)^-Half_Year</f>
        <v>1.5092139335965865E-2</v>
      </c>
      <c r="BF80" s="74">
        <f t="shared" si="95"/>
        <v>0</v>
      </c>
      <c r="BG80" s="633">
        <f>NPV(realdiscrt2,BF$62:BF80)/(1+realdiscrt2)^-Half_Year</f>
        <v>3.5936072305466485E-2</v>
      </c>
      <c r="BH80" s="74">
        <f t="shared" si="78"/>
        <v>0</v>
      </c>
      <c r="BI80" s="633">
        <f>NPV(realdiscrt2,BH$62:BH80)/(1+realdiscrt2)^-Half_Year</f>
        <v>1.2153197342191028E-2</v>
      </c>
      <c r="BJ80" s="64">
        <f t="shared" si="79"/>
        <v>3.4361282634408609E-2</v>
      </c>
      <c r="BK80" s="633">
        <f>NPV(realdiscrt2,BJ$62:BJ80)/(1+realdiscrt2)^-Half_Year</f>
        <v>0.7318544222666522</v>
      </c>
      <c r="BL80" s="64">
        <f t="shared" si="80"/>
        <v>3.3956635537634415E-2</v>
      </c>
      <c r="BM80" s="633">
        <f>NPV(realdiscrt2,BL$62:BL80)/(1+realdiscrt2)^-Half_Year</f>
        <v>0.72323592072867404</v>
      </c>
      <c r="BN80" s="64">
        <f t="shared" si="81"/>
        <v>3.6620562258064523E-2</v>
      </c>
      <c r="BO80" s="633">
        <f>NPV(realdiscrt2,BN$62:BN80)/(1+realdiscrt2)^-Half_Year</f>
        <v>0.77997438918703066</v>
      </c>
      <c r="BP80" s="64">
        <f t="shared" si="82"/>
        <v>3.5069415053763452E-2</v>
      </c>
      <c r="BQ80" s="633">
        <f>NPV(realdiscrt2,BP$62:BP80)/(1+realdiscrt2)^-Half_Year</f>
        <v>0.74693679995811402</v>
      </c>
      <c r="BR80" s="64">
        <f t="shared" si="83"/>
        <v>0.14005407115292715</v>
      </c>
      <c r="BS80" s="633">
        <f>NPV(realdiscrt2,BR$62:BR80)/(1+realdiscrt2)^-Half_Year</f>
        <v>2.5530611047216669</v>
      </c>
      <c r="BT80" s="64">
        <f t="shared" si="84"/>
        <v>0.21481504614821031</v>
      </c>
      <c r="BU80" s="633">
        <f>NPV(realdiscrt2,BT$62:BT80)/(1+realdiscrt2)^-Half_Year</f>
        <v>10.651403819472325</v>
      </c>
      <c r="BV80" s="64">
        <f t="shared" si="85"/>
        <v>0.11745227463199547</v>
      </c>
      <c r="BW80" s="633">
        <f>NPV(realdiscrt2,BV$62:BV80)/(1+realdiscrt2)^-Half_Year</f>
        <v>8.6947509287855667</v>
      </c>
      <c r="BX80" s="64">
        <f t="shared" si="86"/>
        <v>8.5926018459284131E-2</v>
      </c>
      <c r="BY80" s="633">
        <f>NPV(realdiscrt2,BX$62:BX80)/(1+realdiscrt2)^-Half_Year</f>
        <v>8.0611828892542139</v>
      </c>
      <c r="BZ80" s="64">
        <f t="shared" si="87"/>
        <v>0.11156462384716534</v>
      </c>
      <c r="CA80" s="633">
        <f>NPV(realdiscrt2,BZ$62:BZ80)/(1+realdiscrt2)^-Half_Year</f>
        <v>8.5764296366932022</v>
      </c>
      <c r="CB80" s="64">
        <f t="shared" si="88"/>
        <v>0.17866167388146653</v>
      </c>
      <c r="CC80" s="633">
        <f>NPV(realdiscrt2,CB$62:CB80)/(1+realdiscrt2)^-Half_Year</f>
        <v>9.9248468485461441</v>
      </c>
      <c r="CD80" s="64">
        <f t="shared" si="89"/>
        <v>0.11660160704924855</v>
      </c>
      <c r="CE80" s="633">
        <f>NPV(realdiscrt2,CD$62:CD80)/(1+realdiscrt2)^-Half_Year</f>
        <v>8.677655470646128</v>
      </c>
      <c r="CF80" s="64">
        <f t="shared" si="90"/>
        <v>0.14372185625492781</v>
      </c>
      <c r="CG80" s="633">
        <f>NPV(realdiscrt2,CF$62:CF80)/(1+realdiscrt2)^-Half_Year</f>
        <v>9.2226781027884321</v>
      </c>
      <c r="CH80" s="634">
        <f t="shared" si="91"/>
        <v>1.2357164001387372E-3</v>
      </c>
      <c r="CI80" s="633">
        <f>NPV(realdiscrt2,CH$62:CH80)/(1+realdiscrt2)^-Half_Year</f>
        <v>5.172447521798372E-2</v>
      </c>
      <c r="CJ80" s="634">
        <f t="shared" si="92"/>
        <v>1.3312995585695675E-3</v>
      </c>
      <c r="CK80" s="633">
        <f>NPV(realdiscrt2,CJ$62:CJ80)/(1+realdiscrt2)^-Half_Year</f>
        <v>7.1193538916194496E-2</v>
      </c>
    </row>
    <row r="81" spans="1:89">
      <c r="A81" s="56">
        <f t="shared" si="94"/>
        <v>20</v>
      </c>
      <c r="B81" s="56">
        <f t="shared" si="93"/>
        <v>2036</v>
      </c>
      <c r="C81" s="62">
        <f t="shared" si="51"/>
        <v>0.12199198292990004</v>
      </c>
      <c r="D81" s="633">
        <f>NPV(realdiscrt2,C$62:C81)/(1+realdiscrt2)^-Half_Year</f>
        <v>1.7051768959085289</v>
      </c>
      <c r="E81" s="62">
        <f t="shared" si="52"/>
        <v>0.11229126052193854</v>
      </c>
      <c r="F81" s="633">
        <f>NPV(realdiscrt2,E$62:E81)/(1+realdiscrt2)^-Half_Year</f>
        <v>1.5691764086488484</v>
      </c>
      <c r="G81" s="62">
        <f t="shared" si="53"/>
        <v>0.1411031254951321</v>
      </c>
      <c r="H81" s="633">
        <f>NPV(realdiscrt2,G$62:G81)/(1+realdiscrt2)^-Half_Year</f>
        <v>1.7462360998941215</v>
      </c>
      <c r="I81" s="62">
        <f t="shared" si="54"/>
        <v>0.10293492035515879</v>
      </c>
      <c r="J81" s="633">
        <f>NPV(realdiscrt2,I$62:I81)/(1+realdiscrt2)^-Half_Year</f>
        <v>1.3662360309621353</v>
      </c>
      <c r="K81" s="63">
        <f t="shared" si="55"/>
        <v>186.64227093630012</v>
      </c>
      <c r="L81" s="633">
        <f>NPV(realdiscrt2,K$62:K81)/(1+realdiscrt2)^-Half_Year</f>
        <v>3195.3057628459555</v>
      </c>
      <c r="M81" s="63">
        <f t="shared" si="56"/>
        <v>0</v>
      </c>
      <c r="N81" s="633">
        <f>NPV(realdiscrt2,M$62:M81)/(1+realdiscrt2)^-Half_Year</f>
        <v>0</v>
      </c>
      <c r="O81" s="63">
        <f t="shared" si="57"/>
        <v>10.739952210274792</v>
      </c>
      <c r="P81" s="633">
        <f>NPV(realdiscrt2,O$62:O81)/(1+realdiscrt2)^-Half_Year</f>
        <v>205.63851766928428</v>
      </c>
      <c r="Q81" s="63">
        <f t="shared" si="58"/>
        <v>84.296373954599773</v>
      </c>
      <c r="R81" s="633">
        <f>NPV(realdiscrt2,Q$62:Q81)/(1+realdiscrt2)^-Half_Year</f>
        <v>1614.0277950525478</v>
      </c>
      <c r="S81" s="63">
        <f t="shared" si="59"/>
        <v>24.798503695588838</v>
      </c>
      <c r="T81" s="633">
        <f>NPV(realdiscrt2,S$62:S81)/(1+realdiscrt2)^-Half_Year</f>
        <v>417.19643903496922</v>
      </c>
      <c r="U81" s="63">
        <f t="shared" si="60"/>
        <v>23.031841691372044</v>
      </c>
      <c r="V81" s="633">
        <f>NPV(realdiscrt2,U$62:U81)/(1+realdiscrt2)^-Half_Year</f>
        <v>384.68254695192013</v>
      </c>
      <c r="W81" s="624">
        <f t="shared" si="61"/>
        <v>22.543002427169778</v>
      </c>
      <c r="X81" s="633">
        <f>NPV(realdiscrt2,W$62:W81)/(1+realdiscrt2)^-Half_Year</f>
        <v>376.28600292267652</v>
      </c>
      <c r="Y81" s="624">
        <f t="shared" si="62"/>
        <v>10.236214409330289</v>
      </c>
      <c r="Z81" s="633">
        <f>NPV(realdiscrt2,Y$62:Y81)/(1+realdiscrt2)^-Half_Year</f>
        <v>169.79954816688354</v>
      </c>
      <c r="AA81" s="624">
        <f t="shared" si="63"/>
        <v>9.9840016816735577</v>
      </c>
      <c r="AB81" s="633">
        <f>NPV(realdiscrt2,AA$62:AA81)/(1+realdiscrt2)^-Half_Year</f>
        <v>165.0734369879948</v>
      </c>
      <c r="AC81" s="63">
        <f t="shared" si="64"/>
        <v>10.40268652125043</v>
      </c>
      <c r="AD81" s="633">
        <f>NPV(realdiscrt2,AC$62:AC81)/(1+realdiscrt2)^-Half_Year</f>
        <v>173.31832760382548</v>
      </c>
      <c r="AE81" s="63">
        <f t="shared" si="65"/>
        <v>8.731929068399511</v>
      </c>
      <c r="AF81" s="633">
        <f>NPV(realdiscrt2,AE$62:AE81)/(1+realdiscrt2)^-Half_Year</f>
        <v>140.35003504766644</v>
      </c>
      <c r="AG81" s="63">
        <f t="shared" si="66"/>
        <v>8.9183167197964917</v>
      </c>
      <c r="AH81" s="633">
        <f>NPV(realdiscrt2,AG$62:AG81)/(1+realdiscrt2)^-Half_Year</f>
        <v>144.06670302286119</v>
      </c>
      <c r="AI81" s="63">
        <f t="shared" si="67"/>
        <v>9.7627347729446381</v>
      </c>
      <c r="AJ81" s="633">
        <f>NPV(realdiscrt2,AI$62:AI81)/(1+realdiscrt2)^-Half_Year</f>
        <v>160.83621527240686</v>
      </c>
      <c r="AK81" s="63">
        <f t="shared" si="68"/>
        <v>9.4682659240533908</v>
      </c>
      <c r="AL81" s="633">
        <f>NPV(realdiscrt2,AK$62:AK81)/(1+realdiscrt2)^-Half_Year</f>
        <v>154.86130250194441</v>
      </c>
      <c r="AM81" s="63">
        <f t="shared" si="69"/>
        <v>21.534234791515875</v>
      </c>
      <c r="AN81" s="633">
        <f>NPV(realdiscrt2,AM$62:AM81)/(1+realdiscrt2)^-Half_Year</f>
        <v>383.89447115333309</v>
      </c>
      <c r="AO81" s="63"/>
      <c r="AP81" s="60"/>
      <c r="AQ81" s="63">
        <f t="shared" si="70"/>
        <v>1.0833179284981212E-2</v>
      </c>
      <c r="AR81" s="633">
        <f>NPV(realdiscrt2,AQ$62:AQ81)/(1+realdiscrt2)^-Half_Year</f>
        <v>0.20742354213437744</v>
      </c>
      <c r="AS81" s="63">
        <f t="shared" si="71"/>
        <v>4.5379702334816434E-3</v>
      </c>
      <c r="AT81" s="633">
        <f>NPV(realdiscrt2,AS$62:AS81)/(1+realdiscrt2)^-Half_Year</f>
        <v>8.6888791846553723E-2</v>
      </c>
      <c r="AU81" s="63">
        <f t="shared" si="72"/>
        <v>6.2952090514995698E-3</v>
      </c>
      <c r="AV81" s="633">
        <f>NPV(realdiscrt2,AU$62:AU81)/(1+realdiscrt2)^-Half_Year</f>
        <v>0.12053475028782377</v>
      </c>
      <c r="AW81" s="63">
        <v>1</v>
      </c>
      <c r="AX81" s="633">
        <f>NPV(realdiscrt2,AW$62:AW81)/(1+realdiscrt2)^-Half_Year</f>
        <v>19.147060773003457</v>
      </c>
      <c r="AY81" s="63">
        <f t="shared" si="73"/>
        <v>0</v>
      </c>
      <c r="AZ81" s="633">
        <f>NPV(realdiscrt2,AY$62:AY81)/(1+realdiscrt2)^-Half_Year</f>
        <v>0</v>
      </c>
      <c r="BA81" s="115">
        <f t="shared" si="74"/>
        <v>1.0021975853094038</v>
      </c>
      <c r="BB81" s="74">
        <f t="shared" si="75"/>
        <v>0</v>
      </c>
      <c r="BC81" s="633">
        <f>NPV(realdiscrt2,BB$62:BB81)/(1+realdiscrt2)^-Half_Year</f>
        <v>3.0433452835407791E-2</v>
      </c>
      <c r="BD81" s="74">
        <f t="shared" si="76"/>
        <v>0</v>
      </c>
      <c r="BE81" s="633">
        <f>NPV(realdiscrt2,BD$62:BD81)/(1+realdiscrt2)^-Half_Year</f>
        <v>1.5092139335965865E-2</v>
      </c>
      <c r="BF81" s="74">
        <f t="shared" si="95"/>
        <v>0</v>
      </c>
      <c r="BG81" s="633">
        <f>NPV(realdiscrt2,BF$62:BF81)/(1+realdiscrt2)^-Half_Year</f>
        <v>3.5936072305466485E-2</v>
      </c>
      <c r="BH81" s="74">
        <f t="shared" si="78"/>
        <v>0</v>
      </c>
      <c r="BI81" s="633">
        <f>NPV(realdiscrt2,BH$62:BH81)/(1+realdiscrt2)^-Half_Year</f>
        <v>1.2153197342191028E-2</v>
      </c>
      <c r="BJ81" s="64">
        <f t="shared" si="79"/>
        <v>3.4361282634408609E-2</v>
      </c>
      <c r="BK81" s="633">
        <f>NPV(realdiscrt2,BJ$62:BJ81)/(1+realdiscrt2)^-Half_Year</f>
        <v>0.7633963794568972</v>
      </c>
      <c r="BL81" s="64">
        <f t="shared" si="80"/>
        <v>3.3956635537634415E-2</v>
      </c>
      <c r="BM81" s="633">
        <f>NPV(realdiscrt2,BL$62:BL81)/(1+realdiscrt2)^-Half_Year</f>
        <v>0.75440643190686529</v>
      </c>
      <c r="BN81" s="64">
        <f t="shared" si="81"/>
        <v>3.6620562258064523E-2</v>
      </c>
      <c r="BO81" s="633">
        <f>NPV(realdiscrt2,BN$62:BN81)/(1+realdiscrt2)^-Half_Year</f>
        <v>0.81359025327791012</v>
      </c>
      <c r="BP81" s="64">
        <f t="shared" si="82"/>
        <v>3.5069415053763452E-2</v>
      </c>
      <c r="BQ81" s="633">
        <f>NPV(realdiscrt2,BP$62:BP81)/(1+realdiscrt2)^-Half_Year</f>
        <v>0.77912878766945337</v>
      </c>
      <c r="BR81" s="64">
        <f t="shared" si="83"/>
        <v>0.14005407115292715</v>
      </c>
      <c r="BS81" s="633">
        <f>NPV(realdiscrt2,BR$62:BR81)/(1+realdiscrt2)^-Half_Year</f>
        <v>2.6816238118716469</v>
      </c>
      <c r="BT81" s="64">
        <f t="shared" si="84"/>
        <v>0.21481504614821031</v>
      </c>
      <c r="BU81" s="633">
        <f>NPV(realdiscrt2,BT$62:BT81)/(1+realdiscrt2)^-Half_Year</f>
        <v>10.848593402338546</v>
      </c>
      <c r="BV81" s="64">
        <f t="shared" si="85"/>
        <v>0.11745227463199547</v>
      </c>
      <c r="BW81" s="633">
        <f>NPV(realdiscrt2,BV$62:BV81)/(1+realdiscrt2)^-Half_Year</f>
        <v>8.8025663051135012</v>
      </c>
      <c r="BX81" s="64">
        <f t="shared" si="86"/>
        <v>8.5926018459284131E-2</v>
      </c>
      <c r="BY81" s="633">
        <f>NPV(realdiscrt2,BX$62:BX81)/(1+realdiscrt2)^-Half_Year</f>
        <v>8.1400587224007026</v>
      </c>
      <c r="BZ81" s="64">
        <f t="shared" si="87"/>
        <v>0.11156462384716534</v>
      </c>
      <c r="CA81" s="633">
        <f>NPV(realdiscrt2,BZ$62:BZ81)/(1+realdiscrt2)^-Half_Year</f>
        <v>8.6788404409339392</v>
      </c>
      <c r="CB81" s="64">
        <f t="shared" si="88"/>
        <v>0.17866167388146653</v>
      </c>
      <c r="CC81" s="633">
        <f>NPV(realdiscrt2,CB$62:CB81)/(1+realdiscrt2)^-Half_Year</f>
        <v>10.088849424615979</v>
      </c>
      <c r="CD81" s="64">
        <f t="shared" si="89"/>
        <v>0.11660160704924855</v>
      </c>
      <c r="CE81" s="633">
        <f>NPV(realdiscrt2,CD$62:CD81)/(1+realdiscrt2)^-Half_Year</f>
        <v>8.7846899762259127</v>
      </c>
      <c r="CF81" s="64">
        <f t="shared" si="90"/>
        <v>0.14372185625492781</v>
      </c>
      <c r="CG81" s="633">
        <f>NPV(realdiscrt2,CF$62:CF81)/(1+realdiscrt2)^-Half_Year</f>
        <v>9.3546076551723676</v>
      </c>
      <c r="CH81" s="634">
        <f t="shared" si="91"/>
        <v>1.2357164001387372E-3</v>
      </c>
      <c r="CI81" s="633">
        <f>NPV(realdiscrt2,CH$62:CH81)/(1+realdiscrt2)^-Half_Year</f>
        <v>5.285880172747872E-2</v>
      </c>
      <c r="CJ81" s="634">
        <f t="shared" si="92"/>
        <v>1.3312995585695675E-3</v>
      </c>
      <c r="CK81" s="633">
        <f>NPV(realdiscrt2,CJ$62:CJ81)/(1+realdiscrt2)^-Half_Year</f>
        <v>7.2415606035474381E-2</v>
      </c>
    </row>
    <row r="82" spans="1:89">
      <c r="A82" s="56">
        <f t="shared" si="94"/>
        <v>21</v>
      </c>
      <c r="B82" s="56">
        <f t="shared" si="93"/>
        <v>2037</v>
      </c>
      <c r="C82" s="62">
        <f t="shared" si="51"/>
        <v>0.1260349542389336</v>
      </c>
      <c r="D82" s="633">
        <f>NPV(realdiscrt2,C$62:C82)/(1+realdiscrt2)^-Half_Year</f>
        <v>1.8203639245008867</v>
      </c>
      <c r="E82" s="62">
        <f t="shared" si="52"/>
        <v>0.1163306346735805</v>
      </c>
      <c r="F82" s="633">
        <f>NPV(realdiscrt2,E$62:E82)/(1+realdiscrt2)^-Half_Year</f>
        <v>1.675494375939969</v>
      </c>
      <c r="G82" s="62">
        <f t="shared" si="53"/>
        <v>0.1471499620251919</v>
      </c>
      <c r="H82" s="633">
        <f>NPV(realdiscrt2,G$62:G82)/(1+realdiscrt2)^-Half_Year</f>
        <v>1.8807207512792223</v>
      </c>
      <c r="I82" s="62">
        <f t="shared" si="54"/>
        <v>0.1069182068696212</v>
      </c>
      <c r="J82" s="633">
        <f>NPV(realdiscrt2,I$62:I82)/(1+realdiscrt2)^-Half_Year</f>
        <v>1.4639517053645483</v>
      </c>
      <c r="K82" s="63">
        <f t="shared" si="55"/>
        <v>186.64227093630012</v>
      </c>
      <c r="L82" s="633">
        <f>NPV(realdiscrt2,K$62:K82)/(1+realdiscrt2)^-Half_Year</f>
        <v>3365.8835896774344</v>
      </c>
      <c r="M82" s="63">
        <f t="shared" si="56"/>
        <v>0</v>
      </c>
      <c r="N82" s="633">
        <f>NPV(realdiscrt2,M$62:M82)/(1+realdiscrt2)^-Half_Year</f>
        <v>0</v>
      </c>
      <c r="O82" s="63">
        <f t="shared" si="57"/>
        <v>10.739952210274792</v>
      </c>
      <c r="P82" s="633">
        <f>NPV(realdiscrt2,O$62:O82)/(1+realdiscrt2)^-Half_Year</f>
        <v>215.45407391553172</v>
      </c>
      <c r="Q82" s="63">
        <f t="shared" si="58"/>
        <v>84.296373954599773</v>
      </c>
      <c r="R82" s="633">
        <f>NPV(realdiscrt2,Q$62:Q82)/(1+realdiscrt2)^-Half_Year</f>
        <v>1691.0687151335985</v>
      </c>
      <c r="S82" s="63">
        <f t="shared" si="59"/>
        <v>25.122399279097859</v>
      </c>
      <c r="T82" s="633">
        <f>NPV(realdiscrt2,S$62:S82)/(1+realdiscrt2)^-Half_Year</f>
        <v>440.15653404626374</v>
      </c>
      <c r="U82" s="63">
        <f t="shared" si="60"/>
        <v>23.349537234509231</v>
      </c>
      <c r="V82" s="633">
        <f>NPV(realdiscrt2,U$62:U82)/(1+realdiscrt2)^-Half_Year</f>
        <v>406.02237152114981</v>
      </c>
      <c r="W82" s="624">
        <f t="shared" si="61"/>
        <v>22.855047266767318</v>
      </c>
      <c r="X82" s="633">
        <f>NPV(realdiscrt2,W$62:W82)/(1+realdiscrt2)^-Half_Year</f>
        <v>397.17389865679161</v>
      </c>
      <c r="Y82" s="624">
        <f t="shared" si="62"/>
        <v>10.386417870755707</v>
      </c>
      <c r="Z82" s="633">
        <f>NPV(realdiscrt2,Y$62:Y82)/(1+realdiscrt2)^-Half_Year</f>
        <v>179.29199904668351</v>
      </c>
      <c r="AA82" s="624">
        <f t="shared" si="63"/>
        <v>10.133804390846146</v>
      </c>
      <c r="AB82" s="633">
        <f>NPV(realdiscrt2,AA$62:AA82)/(1+realdiscrt2)^-Half_Year</f>
        <v>174.3350170247904</v>
      </c>
      <c r="AC82" s="63">
        <f t="shared" si="64"/>
        <v>10.550907703896414</v>
      </c>
      <c r="AD82" s="633">
        <f>NPV(realdiscrt2,AC$62:AC82)/(1+realdiscrt2)^-Half_Year</f>
        <v>182.96111055005525</v>
      </c>
      <c r="AE82" s="63">
        <f t="shared" si="65"/>
        <v>8.8875078266454608</v>
      </c>
      <c r="AF82" s="633">
        <f>NPV(realdiscrt2,AE$62:AE82)/(1+realdiscrt2)^-Half_Year</f>
        <v>148.47258822606378</v>
      </c>
      <c r="AG82" s="63">
        <f t="shared" si="66"/>
        <v>9.073095215105683</v>
      </c>
      <c r="AH82" s="633">
        <f>NPV(realdiscrt2,AG$62:AG82)/(1+realdiscrt2)^-Half_Year</f>
        <v>152.35886994016164</v>
      </c>
      <c r="AI82" s="63">
        <f t="shared" si="67"/>
        <v>9.9128409802347228</v>
      </c>
      <c r="AJ82" s="633">
        <f>NPV(realdiscrt2,AI$62:AI82)/(1+realdiscrt2)^-Half_Year</f>
        <v>169.89585038963904</v>
      </c>
      <c r="AK82" s="63">
        <f t="shared" si="68"/>
        <v>9.6209287665042655</v>
      </c>
      <c r="AL82" s="633">
        <f>NPV(realdiscrt2,AK$62:AK82)/(1+realdiscrt2)^-Half_Year</f>
        <v>163.65415051465885</v>
      </c>
      <c r="AM82" s="63">
        <f t="shared" si="69"/>
        <v>21.68128797660934</v>
      </c>
      <c r="AN82" s="633">
        <f>NPV(realdiscrt2,AM$62:AM82)/(1+realdiscrt2)^-Half_Year</f>
        <v>403.70963396401129</v>
      </c>
      <c r="AO82" s="63"/>
      <c r="AP82" s="60"/>
      <c r="AQ82" s="63">
        <f t="shared" si="70"/>
        <v>1.0833179284981212E-2</v>
      </c>
      <c r="AR82" s="633">
        <f>NPV(realdiscrt2,AQ$62:AQ82)/(1+realdiscrt2)^-Half_Year</f>
        <v>0.21732430132916117</v>
      </c>
      <c r="AS82" s="63">
        <f t="shared" si="71"/>
        <v>4.5379702334816434E-3</v>
      </c>
      <c r="AT82" s="633">
        <f>NPV(realdiscrt2,AS$62:AS82)/(1+realdiscrt2)^-Half_Year</f>
        <v>9.1036175484622645E-2</v>
      </c>
      <c r="AU82" s="63">
        <f t="shared" si="72"/>
        <v>6.2952090514995698E-3</v>
      </c>
      <c r="AV82" s="633">
        <f>NPV(realdiscrt2,AU$62:AU82)/(1+realdiscrt2)^-Half_Year</f>
        <v>0.12628812584453858</v>
      </c>
      <c r="AW82" s="63">
        <v>1</v>
      </c>
      <c r="AX82" s="633">
        <f>NPV(realdiscrt2,AW$62:AW82)/(1+realdiscrt2)^-Half_Year</f>
        <v>20.060990002302731</v>
      </c>
      <c r="AY82" s="63">
        <f t="shared" si="73"/>
        <v>0</v>
      </c>
      <c r="AZ82" s="633">
        <f>NPV(realdiscrt2,AY$62:AY82)/(1+realdiscrt2)^-Half_Year</f>
        <v>0</v>
      </c>
      <c r="BA82" s="115">
        <f t="shared" si="74"/>
        <v>1.0021975853094038</v>
      </c>
      <c r="BB82" s="74">
        <f t="shared" si="75"/>
        <v>0</v>
      </c>
      <c r="BC82" s="633">
        <f>NPV(realdiscrt2,BB$62:BB82)/(1+realdiscrt2)^-Half_Year</f>
        <v>3.0433452835407791E-2</v>
      </c>
      <c r="BD82" s="74">
        <f t="shared" si="76"/>
        <v>0</v>
      </c>
      <c r="BE82" s="633">
        <f>NPV(realdiscrt2,BD$62:BD82)/(1+realdiscrt2)^-Half_Year</f>
        <v>1.5092139335965865E-2</v>
      </c>
      <c r="BF82" s="74">
        <f t="shared" si="95"/>
        <v>0</v>
      </c>
      <c r="BG82" s="633">
        <f>NPV(realdiscrt2,BF$62:BF82)/(1+realdiscrt2)^-Half_Year</f>
        <v>3.5936072305466485E-2</v>
      </c>
      <c r="BH82" s="74">
        <f t="shared" si="78"/>
        <v>0</v>
      </c>
      <c r="BI82" s="633">
        <f>NPV(realdiscrt2,BH$62:BH82)/(1+realdiscrt2)^-Half_Year</f>
        <v>1.2153197342191028E-2</v>
      </c>
      <c r="BJ82" s="64">
        <f t="shared" si="79"/>
        <v>3.4361282634408609E-2</v>
      </c>
      <c r="BK82" s="633">
        <f>NPV(realdiscrt2,BJ$62:BJ82)/(1+realdiscrt2)^-Half_Year</f>
        <v>0.79480016001269682</v>
      </c>
      <c r="BL82" s="64">
        <f t="shared" si="80"/>
        <v>3.3956635537634415E-2</v>
      </c>
      <c r="BM82" s="633">
        <f>NPV(realdiscrt2,BL$62:BL82)/(1+realdiscrt2)^-Half_Year</f>
        <v>0.78544039365337182</v>
      </c>
      <c r="BN82" s="64">
        <f t="shared" si="81"/>
        <v>3.6620562258064523E-2</v>
      </c>
      <c r="BO82" s="633">
        <f>NPV(realdiscrt2,BN$62:BN82)/(1+realdiscrt2)^-Half_Year</f>
        <v>0.84705885551892901</v>
      </c>
      <c r="BP82" s="64">
        <f t="shared" si="82"/>
        <v>3.5069415053763452E-2</v>
      </c>
      <c r="BQ82" s="633">
        <f>NPV(realdiscrt2,BP$62:BP82)/(1+realdiscrt2)^-Half_Year</f>
        <v>0.81117975114151575</v>
      </c>
      <c r="BR82" s="64">
        <f t="shared" si="83"/>
        <v>0.14005407115292715</v>
      </c>
      <c r="BS82" s="633">
        <f>NPV(realdiscrt2,BR$62:BR82)/(1+realdiscrt2)^-Half_Year</f>
        <v>2.8096233211806672</v>
      </c>
      <c r="BT82" s="64">
        <f t="shared" si="84"/>
        <v>0.21481504614821031</v>
      </c>
      <c r="BU82" s="633">
        <f>NPV(realdiscrt2,BT$62:BT82)/(1+realdiscrt2)^-Half_Year</f>
        <v>11.044919151906667</v>
      </c>
      <c r="BV82" s="64">
        <f t="shared" si="85"/>
        <v>0.11745227463199547</v>
      </c>
      <c r="BW82" s="633">
        <f>NPV(realdiscrt2,BV$62:BV82)/(1+realdiscrt2)^-Half_Year</f>
        <v>8.9099093719473696</v>
      </c>
      <c r="BX82" s="64">
        <f t="shared" si="86"/>
        <v>8.5926018459284131E-2</v>
      </c>
      <c r="BY82" s="633">
        <f>NPV(realdiscrt2,BX$62:BX82)/(1+realdiscrt2)^-Half_Year</f>
        <v>8.218589022227949</v>
      </c>
      <c r="BZ82" s="64">
        <f t="shared" si="87"/>
        <v>0.11156462384716534</v>
      </c>
      <c r="CA82" s="633">
        <f>NPV(realdiscrt2,BZ$62:BZ82)/(1+realdiscrt2)^-Half_Year</f>
        <v>8.7808026116236437</v>
      </c>
      <c r="CB82" s="64">
        <f t="shared" si="88"/>
        <v>0.17866167388146653</v>
      </c>
      <c r="CC82" s="633">
        <f>NPV(realdiscrt2,CB$62:CB82)/(1+realdiscrt2)^-Half_Year</f>
        <v>10.252133550531786</v>
      </c>
      <c r="CD82" s="64">
        <f t="shared" si="89"/>
        <v>0.11660160704924855</v>
      </c>
      <c r="CE82" s="633">
        <f>NPV(realdiscrt2,CD$62:CD82)/(1+realdiscrt2)^-Half_Year</f>
        <v>8.8912555930914898</v>
      </c>
      <c r="CF82" s="64">
        <f t="shared" si="90"/>
        <v>0.14372185625492781</v>
      </c>
      <c r="CG82" s="633">
        <f>NPV(realdiscrt2,CF$62:CF82)/(1+realdiscrt2)^-Half_Year</f>
        <v>9.4859592604928942</v>
      </c>
      <c r="CH82" s="634">
        <f t="shared" si="91"/>
        <v>1.2357164001387372E-3</v>
      </c>
      <c r="CI82" s="633">
        <f>NPV(realdiscrt2,CH$62:CH82)/(1+realdiscrt2)^-Half_Year</f>
        <v>5.398815906468999E-2</v>
      </c>
      <c r="CJ82" s="634">
        <f t="shared" si="92"/>
        <v>1.3312995585695675E-3</v>
      </c>
      <c r="CK82" s="633">
        <f>NPV(realdiscrt2,CJ$62:CJ82)/(1+realdiscrt2)^-Half_Year</f>
        <v>7.3632319615004313E-2</v>
      </c>
    </row>
    <row r="83" spans="1:89">
      <c r="A83" s="56">
        <f t="shared" si="94"/>
        <v>22</v>
      </c>
      <c r="B83" s="56">
        <f t="shared" si="93"/>
        <v>2038</v>
      </c>
      <c r="C83" s="62">
        <f t="shared" si="51"/>
        <v>0.13022612220826574</v>
      </c>
      <c r="D83" s="633">
        <f>NPV(realdiscrt2,C$62:C83)/(1+realdiscrt2)^-Half_Year</f>
        <v>1.9388600012675465</v>
      </c>
      <c r="E83" s="62">
        <f t="shared" si="52"/>
        <v>0.12053223790617558</v>
      </c>
      <c r="F83" s="633">
        <f>NPV(realdiscrt2,E$62:E83)/(1+realdiscrt2)^-Half_Year</f>
        <v>1.7851697396350183</v>
      </c>
      <c r="G83" s="62">
        <f t="shared" si="53"/>
        <v>0.15347945170374908</v>
      </c>
      <c r="H83" s="633">
        <f>NPV(realdiscrt2,G$62:G83)/(1+realdiscrt2)^-Half_Year</f>
        <v>2.0203756268356563</v>
      </c>
      <c r="I83" s="62">
        <f t="shared" si="54"/>
        <v>0.11107545988660424</v>
      </c>
      <c r="J83" s="633">
        <f>NPV(realdiscrt2,I$62:I83)/(1+realdiscrt2)^-Half_Year</f>
        <v>1.5650221050541404</v>
      </c>
      <c r="K83" s="63">
        <f t="shared" si="55"/>
        <v>186.64227093630012</v>
      </c>
      <c r="L83" s="633">
        <f>NPV(realdiscrt2,K$62:K83)/(1+realdiscrt2)^-Half_Year</f>
        <v>3535.7141619907347</v>
      </c>
      <c r="M83" s="63">
        <f t="shared" si="56"/>
        <v>0</v>
      </c>
      <c r="N83" s="633">
        <f>NPV(realdiscrt2,M$62:M83)/(1+realdiscrt2)^-Half_Year</f>
        <v>0</v>
      </c>
      <c r="O83" s="63">
        <f t="shared" si="57"/>
        <v>10.739952210274792</v>
      </c>
      <c r="P83" s="633">
        <f>NPV(realdiscrt2,O$62:O83)/(1+realdiscrt2)^-Half_Year</f>
        <v>225.22663091099915</v>
      </c>
      <c r="Q83" s="63">
        <f t="shared" si="58"/>
        <v>84.296373954599773</v>
      </c>
      <c r="R83" s="633">
        <f>NPV(realdiscrt2,Q$62:Q83)/(1+realdiscrt2)^-Half_Year</f>
        <v>1767.7721401446008</v>
      </c>
      <c r="S83" s="63">
        <f t="shared" si="59"/>
        <v>25.45052529321287</v>
      </c>
      <c r="T83" s="633">
        <f>NPV(realdiscrt2,S$62:S83)/(1+realdiscrt2)^-Half_Year</f>
        <v>463.31461744579343</v>
      </c>
      <c r="U83" s="63">
        <f t="shared" si="60"/>
        <v>23.671616478952242</v>
      </c>
      <c r="V83" s="633">
        <f>NPV(realdiscrt2,U$62:U83)/(1+realdiscrt2)^-Half_Year</f>
        <v>427.56178032727956</v>
      </c>
      <c r="W83" s="624">
        <f t="shared" si="61"/>
        <v>23.171414224909796</v>
      </c>
      <c r="X83" s="633">
        <f>NPV(realdiscrt2,W$62:W83)/(1+realdiscrt2)^-Half_Year</f>
        <v>418.2581606483746</v>
      </c>
      <c r="Y83" s="624">
        <f t="shared" si="62"/>
        <v>10.538825377438677</v>
      </c>
      <c r="Z83" s="633">
        <f>NPV(realdiscrt2,Y$62:Y83)/(1+realdiscrt2)^-Half_Year</f>
        <v>188.8815455967852</v>
      </c>
      <c r="AA83" s="624">
        <f t="shared" si="63"/>
        <v>10.285854781098017</v>
      </c>
      <c r="AB83" s="633">
        <f>NPV(realdiscrt2,AA$62:AA83)/(1+realdiscrt2)^-Half_Year</f>
        <v>183.69437916415038</v>
      </c>
      <c r="AC83" s="63">
        <f t="shared" si="64"/>
        <v>10.701240794744196</v>
      </c>
      <c r="AD83" s="633">
        <f>NPV(realdiscrt2,AC$62:AC83)/(1+realdiscrt2)^-Half_Year</f>
        <v>192.69844303918958</v>
      </c>
      <c r="AE83" s="63">
        <f t="shared" si="65"/>
        <v>9.0458585668701623</v>
      </c>
      <c r="AF83" s="633">
        <f>NPV(realdiscrt2,AE$62:AE83)/(1+realdiscrt2)^-Half_Year</f>
        <v>156.70364611970166</v>
      </c>
      <c r="AG83" s="63">
        <f t="shared" si="66"/>
        <v>9.2305599104414995</v>
      </c>
      <c r="AH83" s="633">
        <f>NPV(realdiscrt2,AG$62:AG83)/(1+realdiscrt2)^-Half_Year</f>
        <v>160.75799230669944</v>
      </c>
      <c r="AI83" s="63">
        <f t="shared" si="67"/>
        <v>10.065255134426064</v>
      </c>
      <c r="AJ83" s="633">
        <f>NPV(realdiscrt2,AI$62:AI83)/(1+realdiscrt2)^-Half_Year</f>
        <v>179.05448327266026</v>
      </c>
      <c r="AK83" s="63">
        <f t="shared" si="68"/>
        <v>9.7760530885599728</v>
      </c>
      <c r="AL83" s="633">
        <f>NPV(realdiscrt2,AK$62:AK83)/(1+realdiscrt2)^-Half_Year</f>
        <v>172.54963106505352</v>
      </c>
      <c r="AM83" s="63">
        <f t="shared" si="69"/>
        <v>21.829345359876342</v>
      </c>
      <c r="AN83" s="633">
        <f>NPV(realdiscrt2,AM$62:AM83)/(1+realdiscrt2)^-Half_Year</f>
        <v>423.57271319624886</v>
      </c>
      <c r="AO83" s="63"/>
      <c r="AP83" s="60"/>
      <c r="AQ83" s="63">
        <f t="shared" si="70"/>
        <v>1.0833179284981212E-2</v>
      </c>
      <c r="AR83" s="633">
        <f>NPV(realdiscrt2,AQ$62:AQ83)/(1+realdiscrt2)^-Half_Year</f>
        <v>0.22718168802249422</v>
      </c>
      <c r="AS83" s="63">
        <f t="shared" si="71"/>
        <v>4.5379702334816434E-3</v>
      </c>
      <c r="AT83" s="633">
        <f>NPV(realdiscrt2,AS$62:AS83)/(1+realdiscrt2)^-Half_Year</f>
        <v>9.5165390576288228E-2</v>
      </c>
      <c r="AU83" s="63">
        <f t="shared" si="72"/>
        <v>6.2952090514995698E-3</v>
      </c>
      <c r="AV83" s="633">
        <f>NPV(realdiscrt2,AU$62:AU83)/(1+realdiscrt2)^-Half_Year</f>
        <v>0.13201629744620608</v>
      </c>
      <c r="AW83" s="63">
        <v>1</v>
      </c>
      <c r="AX83" s="633">
        <f>NPV(realdiscrt2,AW$62:AW83)/(1+realdiscrt2)^-Half_Year</f>
        <v>20.970915559151866</v>
      </c>
      <c r="AY83" s="63">
        <f t="shared" si="73"/>
        <v>0</v>
      </c>
      <c r="AZ83" s="633">
        <f>NPV(realdiscrt2,AY$62:AY83)/(1+realdiscrt2)^-Half_Year</f>
        <v>0</v>
      </c>
      <c r="BA83" s="115">
        <f t="shared" si="74"/>
        <v>1.0021975853094038</v>
      </c>
      <c r="BB83" s="74">
        <f t="shared" si="75"/>
        <v>0</v>
      </c>
      <c r="BC83" s="633">
        <f>NPV(realdiscrt2,BB$62:BB83)/(1+realdiscrt2)^-Half_Year</f>
        <v>3.0433452835407791E-2</v>
      </c>
      <c r="BD83" s="74">
        <f t="shared" si="76"/>
        <v>0</v>
      </c>
      <c r="BE83" s="633">
        <f>NPV(realdiscrt2,BD$62:BD83)/(1+realdiscrt2)^-Half_Year</f>
        <v>1.5092139335965865E-2</v>
      </c>
      <c r="BF83" s="74">
        <f t="shared" si="95"/>
        <v>0</v>
      </c>
      <c r="BG83" s="633">
        <f>NPV(realdiscrt2,BF$62:BF83)/(1+realdiscrt2)^-Half_Year</f>
        <v>3.5936072305466485E-2</v>
      </c>
      <c r="BH83" s="74">
        <f t="shared" si="78"/>
        <v>0</v>
      </c>
      <c r="BI83" s="633">
        <f>NPV(realdiscrt2,BH$62:BH83)/(1+realdiscrt2)^-Half_Year</f>
        <v>1.2153197342191028E-2</v>
      </c>
      <c r="BJ83" s="64">
        <f t="shared" si="79"/>
        <v>3.4361282634408609E-2</v>
      </c>
      <c r="BK83" s="633">
        <f>NPV(realdiscrt2,BJ$62:BJ83)/(1+realdiscrt2)^-Half_Year</f>
        <v>0.8260663692478617</v>
      </c>
      <c r="BL83" s="64">
        <f t="shared" si="80"/>
        <v>3.3956635537634415E-2</v>
      </c>
      <c r="BM83" s="633">
        <f>NPV(realdiscrt2,BL$62:BL83)/(1+realdiscrt2)^-Half_Year</f>
        <v>0.81633840415367698</v>
      </c>
      <c r="BN83" s="64">
        <f t="shared" si="81"/>
        <v>3.6620562258064523E-2</v>
      </c>
      <c r="BO83" s="633">
        <f>NPV(realdiscrt2,BN$62:BN83)/(1+realdiscrt2)^-Half_Year</f>
        <v>0.88038084102372682</v>
      </c>
      <c r="BP83" s="64">
        <f t="shared" si="82"/>
        <v>3.5069415053763452E-2</v>
      </c>
      <c r="BQ83" s="633">
        <f>NPV(realdiscrt2,BP$62:BP83)/(1+realdiscrt2)^-Half_Year</f>
        <v>0.84309030816268493</v>
      </c>
      <c r="BR83" s="64">
        <f t="shared" si="83"/>
        <v>0.14005407115292715</v>
      </c>
      <c r="BS83" s="633">
        <f>NPV(realdiscrt2,BR$62:BR83)/(1+realdiscrt2)^-Half_Year</f>
        <v>2.9370620998634824</v>
      </c>
      <c r="BT83" s="64">
        <f t="shared" si="84"/>
        <v>0.21481504614821031</v>
      </c>
      <c r="BU83" s="633">
        <f>NPV(realdiscrt2,BT$62:BT83)/(1+realdiscrt2)^-Half_Year</f>
        <v>11.24038485239265</v>
      </c>
      <c r="BV83" s="64">
        <f t="shared" si="85"/>
        <v>0.11745227463199547</v>
      </c>
      <c r="BW83" s="633">
        <f>NPV(realdiscrt2,BV$62:BV83)/(1+realdiscrt2)^-Half_Year</f>
        <v>9.0167821983450853</v>
      </c>
      <c r="BX83" s="64">
        <f t="shared" si="86"/>
        <v>8.5926018459284131E-2</v>
      </c>
      <c r="BY83" s="633">
        <f>NPV(realdiscrt2,BX$62:BX83)/(1+realdiscrt2)^-Half_Year</f>
        <v>8.2967753024223452</v>
      </c>
      <c r="BZ83" s="64">
        <f t="shared" si="87"/>
        <v>0.11156462384716534</v>
      </c>
      <c r="CA83" s="633">
        <f>NPV(realdiscrt2,BZ$62:BZ83)/(1+realdiscrt2)^-Half_Year</f>
        <v>8.8823181141024392</v>
      </c>
      <c r="CB83" s="64">
        <f t="shared" si="88"/>
        <v>0.17866167388146653</v>
      </c>
      <c r="CC83" s="633">
        <f>NPV(realdiscrt2,CB$62:CB83)/(1+realdiscrt2)^-Half_Year</f>
        <v>10.414702373625978</v>
      </c>
      <c r="CD83" s="64">
        <f t="shared" si="89"/>
        <v>0.11660160704924855</v>
      </c>
      <c r="CE83" s="633">
        <f>NPV(realdiscrt2,CD$62:CD83)/(1+realdiscrt2)^-Half_Year</f>
        <v>8.9973543753152807</v>
      </c>
      <c r="CF83" s="64">
        <f t="shared" si="90"/>
        <v>0.14372185625492781</v>
      </c>
      <c r="CG83" s="633">
        <f>NPV(realdiscrt2,CF$62:CF83)/(1+realdiscrt2)^-Half_Year</f>
        <v>9.6167354505770497</v>
      </c>
      <c r="CH83" s="634">
        <f t="shared" si="91"/>
        <v>1.2357164001387372E-3</v>
      </c>
      <c r="CI83" s="633">
        <f>NPV(realdiscrt2,CH$62:CH83)/(1+realdiscrt2)^-Half_Year</f>
        <v>5.5112568998193841E-2</v>
      </c>
      <c r="CJ83" s="634">
        <f t="shared" si="92"/>
        <v>1.3312995585695675E-3</v>
      </c>
      <c r="CK83" s="633">
        <f>NPV(realdiscrt2,CJ$62:CJ83)/(1+realdiscrt2)^-Half_Year</f>
        <v>7.4843703107168744E-2</v>
      </c>
    </row>
    <row r="84" spans="1:89">
      <c r="A84" s="56">
        <f t="shared" si="94"/>
        <v>23</v>
      </c>
      <c r="B84" s="56">
        <f t="shared" si="93"/>
        <v>2039</v>
      </c>
      <c r="C84" s="62">
        <f t="shared" si="51"/>
        <v>0.13457092360386344</v>
      </c>
      <c r="D84" s="633">
        <f>NPV(realdiscrt2,C$62:C84)/(1+realdiscrt2)^-Half_Year</f>
        <v>2.0607731062017836</v>
      </c>
      <c r="E84" s="62">
        <f t="shared" si="52"/>
        <v>0.1249025912844397</v>
      </c>
      <c r="F84" s="633">
        <f>NPV(realdiscrt2,E$62:E84)/(1+realdiscrt2)^-Half_Year</f>
        <v>1.8983239211626906</v>
      </c>
      <c r="G84" s="62">
        <f t="shared" si="53"/>
        <v>0.16010481480252231</v>
      </c>
      <c r="H84" s="633">
        <f>NPV(realdiscrt2,G$62:G84)/(1+realdiscrt2)^-Half_Year</f>
        <v>2.1654208904392136</v>
      </c>
      <c r="I84" s="62">
        <f t="shared" si="54"/>
        <v>0.11541428405471073</v>
      </c>
      <c r="J84" s="633">
        <f>NPV(realdiscrt2,I$62:I84)/(1+realdiscrt2)^-Half_Year</f>
        <v>1.6695804550012003</v>
      </c>
      <c r="K84" s="63">
        <f t="shared" si="55"/>
        <v>186.64227093630012</v>
      </c>
      <c r="L84" s="633">
        <f>NPV(realdiscrt2,K$62:K84)/(1+realdiscrt2)^-Half_Year</f>
        <v>3704.8007533022642</v>
      </c>
      <c r="M84" s="63">
        <f t="shared" si="56"/>
        <v>0</v>
      </c>
      <c r="N84" s="633">
        <f>NPV(realdiscrt2,M$62:M84)/(1+realdiscrt2)^-Half_Year</f>
        <v>0</v>
      </c>
      <c r="O84" s="63">
        <f t="shared" si="57"/>
        <v>10.739952210274792</v>
      </c>
      <c r="P84" s="633">
        <f>NPV(realdiscrt2,O$62:O84)/(1+realdiscrt2)^-Half_Year</f>
        <v>234.95637702357121</v>
      </c>
      <c r="Q84" s="63">
        <f t="shared" si="58"/>
        <v>84.296373954599773</v>
      </c>
      <c r="R84" s="633">
        <f>NPV(realdiscrt2,Q$62:Q84)/(1+realdiscrt2)^-Half_Year</f>
        <v>1844.1395485585815</v>
      </c>
      <c r="S84" s="63">
        <f t="shared" si="59"/>
        <v>25.782936991984947</v>
      </c>
      <c r="T84" s="633">
        <f>NPV(realdiscrt2,S$62:S84)/(1+realdiscrt2)^-Half_Year</f>
        <v>486.67239651751601</v>
      </c>
      <c r="U84" s="63">
        <f t="shared" si="60"/>
        <v>23.99813993427906</v>
      </c>
      <c r="V84" s="633">
        <f>NPV(realdiscrt2,U$62:U84)/(1+realdiscrt2)^-Half_Year</f>
        <v>449.30264138168258</v>
      </c>
      <c r="W84" s="624">
        <f t="shared" si="61"/>
        <v>23.492163205988962</v>
      </c>
      <c r="X84" s="633">
        <f>NPV(realdiscrt2,W$62:W84)/(1+realdiscrt2)^-Half_Year</f>
        <v>439.54063743730364</v>
      </c>
      <c r="Y84" s="624">
        <f t="shared" si="62"/>
        <v>10.693469270947437</v>
      </c>
      <c r="Z84" s="633">
        <f>NPV(realdiscrt2,Y$62:Y84)/(1+realdiscrt2)^-Half_Year</f>
        <v>198.56918098210576</v>
      </c>
      <c r="AA84" s="624">
        <f t="shared" si="63"/>
        <v>10.440186577254726</v>
      </c>
      <c r="AB84" s="633">
        <f>NPV(realdiscrt2,AA$62:AA84)/(1+realdiscrt2)^-Half_Year</f>
        <v>193.15255577199326</v>
      </c>
      <c r="AC84" s="63">
        <f t="shared" si="64"/>
        <v>10.853715885014028</v>
      </c>
      <c r="AD84" s="633">
        <f>NPV(realdiscrt2,AC$62:AC84)/(1+realdiscrt2)^-Half_Year</f>
        <v>202.53125214965723</v>
      </c>
      <c r="AE84" s="63">
        <f t="shared" si="65"/>
        <v>9.2070306781044682</v>
      </c>
      <c r="AF84" s="633">
        <f>NPV(realdiscrt2,AE$62:AE84)/(1+realdiscrt2)^-Half_Year</f>
        <v>165.04465818332301</v>
      </c>
      <c r="AG84" s="63">
        <f t="shared" si="66"/>
        <v>9.3907574251393271</v>
      </c>
      <c r="AH84" s="633">
        <f>NPV(realdiscrt2,AG$62:AG84)/(1+realdiscrt2)^-Half_Year</f>
        <v>169.26544967359021</v>
      </c>
      <c r="AI84" s="63">
        <f t="shared" si="67"/>
        <v>10.220012721185745</v>
      </c>
      <c r="AJ84" s="633">
        <f>NPV(realdiscrt2,AI$62:AI84)/(1+realdiscrt2)^-Half_Year</f>
        <v>188.3131957042913</v>
      </c>
      <c r="AK84" s="63">
        <f t="shared" si="68"/>
        <v>9.9336785782136587</v>
      </c>
      <c r="AL84" s="633">
        <f>NPV(realdiscrt2,AK$62:AK84)/(1+realdiscrt2)^-Half_Year</f>
        <v>181.5489421083046</v>
      </c>
      <c r="AM84" s="63">
        <f t="shared" si="69"/>
        <v>21.978413798794815</v>
      </c>
      <c r="AN84" s="633">
        <f>NPV(realdiscrt2,AM$62:AM84)/(1+realdiscrt2)^-Half_Year</f>
        <v>443.48382472007313</v>
      </c>
      <c r="AO84" s="63"/>
      <c r="AP84" s="60"/>
      <c r="AQ84" s="63">
        <f t="shared" si="70"/>
        <v>1.0833179284981212E-2</v>
      </c>
      <c r="AR84" s="633">
        <f>NPV(realdiscrt2,AQ$62:AQ84)/(1+realdiscrt2)^-Half_Year</f>
        <v>0.23699589221736983</v>
      </c>
      <c r="AS84" s="63">
        <f t="shared" si="71"/>
        <v>4.5379702334816434E-3</v>
      </c>
      <c r="AT84" s="633">
        <f>NPV(realdiscrt2,AS$62:AS84)/(1+realdiscrt2)^-Half_Year</f>
        <v>9.9276516712952498E-2</v>
      </c>
      <c r="AU84" s="63">
        <f t="shared" si="72"/>
        <v>6.2952090514995698E-3</v>
      </c>
      <c r="AV84" s="633">
        <f>NPV(realdiscrt2,AU$62:AU84)/(1+realdiscrt2)^-Half_Year</f>
        <v>0.1377193755044174</v>
      </c>
      <c r="AW84" s="63">
        <v>1</v>
      </c>
      <c r="AX84" s="633">
        <f>NPV(realdiscrt2,AW$62:AW84)/(1+realdiscrt2)^-Half_Year</f>
        <v>21.876854982538106</v>
      </c>
      <c r="AY84" s="63">
        <f t="shared" si="73"/>
        <v>0</v>
      </c>
      <c r="AZ84" s="633">
        <f>NPV(realdiscrt2,AY$62:AY84)/(1+realdiscrt2)^-Half_Year</f>
        <v>0</v>
      </c>
      <c r="BA84" s="115">
        <f t="shared" si="74"/>
        <v>1.0021975853094038</v>
      </c>
      <c r="BB84" s="74">
        <f t="shared" si="75"/>
        <v>0</v>
      </c>
      <c r="BC84" s="633">
        <f>NPV(realdiscrt2,BB$62:BB84)/(1+realdiscrt2)^-Half_Year</f>
        <v>3.0433452835407791E-2</v>
      </c>
      <c r="BD84" s="74">
        <f t="shared" si="76"/>
        <v>0</v>
      </c>
      <c r="BE84" s="633">
        <f>NPV(realdiscrt2,BD$62:BD84)/(1+realdiscrt2)^-Half_Year</f>
        <v>1.5092139335965865E-2</v>
      </c>
      <c r="BF84" s="74">
        <f t="shared" si="95"/>
        <v>0</v>
      </c>
      <c r="BG84" s="633">
        <f>NPV(realdiscrt2,BF$62:BF84)/(1+realdiscrt2)^-Half_Year</f>
        <v>3.5936072305466485E-2</v>
      </c>
      <c r="BH84" s="74">
        <f t="shared" si="78"/>
        <v>0</v>
      </c>
      <c r="BI84" s="633">
        <f>NPV(realdiscrt2,BH$62:BH84)/(1+realdiscrt2)^-Half_Year</f>
        <v>1.2153197342191028E-2</v>
      </c>
      <c r="BJ84" s="64">
        <f t="shared" si="79"/>
        <v>3.4361282634408609E-2</v>
      </c>
      <c r="BK84" s="633">
        <f>NPV(realdiscrt2,BJ$62:BJ84)/(1+realdiscrt2)^-Half_Year</f>
        <v>0.85719560982448928</v>
      </c>
      <c r="BL84" s="64">
        <f t="shared" si="80"/>
        <v>3.3956635537634415E-2</v>
      </c>
      <c r="BM84" s="633">
        <f>NPV(realdiscrt2,BL$62:BL84)/(1+realdiscrt2)^-Half_Year</f>
        <v>0.8471010589727781</v>
      </c>
      <c r="BN84" s="64">
        <f t="shared" si="81"/>
        <v>3.6620562258064523E-2</v>
      </c>
      <c r="BO84" s="633">
        <f>NPV(realdiscrt2,BN$62:BN84)/(1+realdiscrt2)^-Half_Year</f>
        <v>0.91355685207987769</v>
      </c>
      <c r="BP84" s="64">
        <f t="shared" si="82"/>
        <v>3.5069415053763452E-2</v>
      </c>
      <c r="BQ84" s="633">
        <f>NPV(realdiscrt2,BP$62:BP84)/(1+realdiscrt2)^-Half_Year</f>
        <v>0.87486107381498401</v>
      </c>
      <c r="BR84" s="64">
        <f t="shared" si="83"/>
        <v>0.14005407115292715</v>
      </c>
      <c r="BS84" s="633">
        <f>NPV(realdiscrt2,BR$62:BR84)/(1+realdiscrt2)^-Half_Year</f>
        <v>3.0639426043266607</v>
      </c>
      <c r="BT84" s="64">
        <f t="shared" si="84"/>
        <v>0.21481504614821031</v>
      </c>
      <c r="BU84" s="633">
        <f>NPV(realdiscrt2,BT$62:BT84)/(1+realdiscrt2)^-Half_Year</f>
        <v>11.434994271434846</v>
      </c>
      <c r="BV84" s="64">
        <f t="shared" si="85"/>
        <v>0.11745227463199547</v>
      </c>
      <c r="BW84" s="633">
        <f>NPV(realdiscrt2,BV$62:BV84)/(1+realdiscrt2)^-Half_Year</f>
        <v>9.1231868443005961</v>
      </c>
      <c r="BX84" s="64">
        <f t="shared" si="86"/>
        <v>8.5926018459284131E-2</v>
      </c>
      <c r="BY84" s="633">
        <f>NPV(realdiscrt2,BX$62:BX84)/(1+realdiscrt2)^-Half_Year</f>
        <v>8.3746190700392233</v>
      </c>
      <c r="BZ84" s="64">
        <f t="shared" si="87"/>
        <v>0.11156462384716534</v>
      </c>
      <c r="CA84" s="633">
        <f>NPV(realdiscrt2,BZ$62:BZ84)/(1+realdiscrt2)^-Half_Year</f>
        <v>8.9833889051008438</v>
      </c>
      <c r="CB84" s="64">
        <f t="shared" si="88"/>
        <v>0.17866167388146653</v>
      </c>
      <c r="CC84" s="633">
        <f>NPV(realdiscrt2,CB$62:CB84)/(1+realdiscrt2)^-Half_Year</f>
        <v>10.576559027443373</v>
      </c>
      <c r="CD84" s="64">
        <f t="shared" si="89"/>
        <v>0.11660160704924855</v>
      </c>
      <c r="CE84" s="633">
        <f>NPV(realdiscrt2,CD$62:CD84)/(1+realdiscrt2)^-Half_Year</f>
        <v>9.1029883679713848</v>
      </c>
      <c r="CF84" s="64">
        <f t="shared" si="90"/>
        <v>0.14372185625492781</v>
      </c>
      <c r="CG84" s="633">
        <f>NPV(realdiscrt2,CF$62:CF84)/(1+realdiscrt2)^-Half_Year</f>
        <v>9.7469387461606409</v>
      </c>
      <c r="CH84" s="634">
        <f t="shared" si="91"/>
        <v>1.2357164001387372E-3</v>
      </c>
      <c r="CI84" s="633">
        <f>NPV(realdiscrt2,CH$62:CH84)/(1+realdiscrt2)^-Half_Year</f>
        <v>5.6232053201204439E-2</v>
      </c>
      <c r="CJ84" s="634">
        <f t="shared" si="92"/>
        <v>1.3312995585695675E-3</v>
      </c>
      <c r="CK84" s="633">
        <f>NPV(realdiscrt2,CJ$62:CJ84)/(1+realdiscrt2)^-Half_Year</f>
        <v>7.6049779861613598E-2</v>
      </c>
    </row>
    <row r="85" spans="1:89">
      <c r="A85" s="56">
        <f t="shared" si="94"/>
        <v>24</v>
      </c>
      <c r="B85" s="56">
        <f t="shared" si="93"/>
        <v>2040</v>
      </c>
      <c r="C85" s="62">
        <f t="shared" si="51"/>
        <v>0.13907499466907197</v>
      </c>
      <c r="D85" s="633">
        <f>NPV(realdiscrt2,C$62:C85)/(1+realdiscrt2)^-Half_Year</f>
        <v>2.186214683738565</v>
      </c>
      <c r="E85" s="62">
        <f t="shared" si="52"/>
        <v>0.12944847802681242</v>
      </c>
      <c r="F85" s="633">
        <f>NPV(realdiscrt2,E$62:E85)/(1+realdiscrt2)^-Half_Year</f>
        <v>2.0150826622437701</v>
      </c>
      <c r="G85" s="62">
        <f t="shared" si="53"/>
        <v>0.16703988997325889</v>
      </c>
      <c r="H85" s="633">
        <f>NPV(realdiscrt2,G$62:G85)/(1+realdiscrt2)^-Half_Year</f>
        <v>2.3160859856252696</v>
      </c>
      <c r="I85" s="62">
        <f t="shared" si="54"/>
        <v>0.11994261648163711</v>
      </c>
      <c r="J85" s="633">
        <f>NPV(realdiscrt2,I$62:I85)/(1+realdiscrt2)^-Half_Year</f>
        <v>1.7777651869952376</v>
      </c>
      <c r="K85" s="63">
        <f t="shared" si="55"/>
        <v>186.64227093630012</v>
      </c>
      <c r="L85" s="633">
        <f>NPV(realdiscrt2,K$62:K85)/(1+realdiscrt2)^-Half_Year</f>
        <v>3873.1466227880564</v>
      </c>
      <c r="M85" s="63">
        <f t="shared" si="56"/>
        <v>0</v>
      </c>
      <c r="N85" s="633">
        <f>NPV(realdiscrt2,M$62:M85)/(1+realdiscrt2)^-Half_Year</f>
        <v>0</v>
      </c>
      <c r="O85" s="63">
        <f t="shared" si="57"/>
        <v>10.739952210274792</v>
      </c>
      <c r="P85" s="633">
        <f>NPV(realdiscrt2,O$62:O85)/(1+realdiscrt2)^-Half_Year</f>
        <v>244.64349979594488</v>
      </c>
      <c r="Q85" s="63">
        <f t="shared" si="58"/>
        <v>84.296373954599773</v>
      </c>
      <c r="R85" s="633">
        <f>NPV(realdiscrt2,Q$62:Q85)/(1+realdiscrt2)^-Half_Year</f>
        <v>1920.1724123717845</v>
      </c>
      <c r="S85" s="63">
        <f t="shared" si="59"/>
        <v>26.119690351143497</v>
      </c>
      <c r="T85" s="633">
        <f>NPV(realdiscrt2,S$62:S85)/(1+realdiscrt2)^-Half_Year</f>
        <v>510.2315932675578</v>
      </c>
      <c r="U85" s="63">
        <f t="shared" si="60"/>
        <v>24.329168945606646</v>
      </c>
      <c r="V85" s="633">
        <f>NPV(realdiscrt2,U$62:U85)/(1+realdiscrt2)^-Half_Year</f>
        <v>471.24684019296217</v>
      </c>
      <c r="W85" s="624">
        <f t="shared" si="61"/>
        <v>23.817354945223819</v>
      </c>
      <c r="X85" s="633">
        <f>NPV(realdiscrt2,W$62:W85)/(1+realdiscrt2)^-Half_Year</f>
        <v>461.02319498973435</v>
      </c>
      <c r="Y85" s="624">
        <f t="shared" si="62"/>
        <v>10.850382367421716</v>
      </c>
      <c r="Z85" s="633">
        <f>NPV(realdiscrt2,Y$62:Y85)/(1+realdiscrt2)^-Half_Year</f>
        <v>208.35590852637321</v>
      </c>
      <c r="AA85" s="624">
        <f t="shared" si="63"/>
        <v>10.596834010158393</v>
      </c>
      <c r="AB85" s="633">
        <f>NPV(realdiscrt2,AA$62:AA85)/(1+realdiscrt2)^-Half_Year</f>
        <v>202.71059011377201</v>
      </c>
      <c r="AC85" s="63">
        <f t="shared" si="64"/>
        <v>11.008363494676585</v>
      </c>
      <c r="AD85" s="633">
        <f>NPV(realdiscrt2,AC$62:AC85)/(1+realdiscrt2)^-Half_Year</f>
        <v>212.46047405008878</v>
      </c>
      <c r="AE85" s="63">
        <f t="shared" si="65"/>
        <v>9.3710744293547741</v>
      </c>
      <c r="AF85" s="633">
        <f>NPV(realdiscrt2,AE$62:AE85)/(1+realdiscrt2)^-Half_Year</f>
        <v>173.49709323413859</v>
      </c>
      <c r="AG85" s="63">
        <f t="shared" si="66"/>
        <v>9.5537351876189067</v>
      </c>
      <c r="AH85" s="633">
        <f>NPV(realdiscrt2,AG$62:AG85)/(1+realdiscrt2)^-Half_Year</f>
        <v>177.88263938591226</v>
      </c>
      <c r="AI85" s="63">
        <f t="shared" si="67"/>
        <v>10.377149771788103</v>
      </c>
      <c r="AJ85" s="633">
        <f>NPV(realdiscrt2,AI$62:AI85)/(1+realdiscrt2)^-Half_Year</f>
        <v>197.67308128836768</v>
      </c>
      <c r="AK85" s="63">
        <f t="shared" si="68"/>
        <v>10.093845563373094</v>
      </c>
      <c r="AL85" s="633">
        <f>NPV(realdiscrt2,AK$62:AK85)/(1+realdiscrt2)^-Half_Year</f>
        <v>190.65329558245031</v>
      </c>
      <c r="AM85" s="63">
        <f t="shared" si="69"/>
        <v>22.128500197671094</v>
      </c>
      <c r="AN85" s="633">
        <f>NPV(realdiscrt2,AM$62:AM85)/(1+realdiscrt2)^-Half_Year</f>
        <v>463.44308468570472</v>
      </c>
      <c r="AO85" s="63"/>
      <c r="AP85" s="60"/>
      <c r="AQ85" s="63">
        <f t="shared" si="70"/>
        <v>1.0833179284981212E-2</v>
      </c>
      <c r="AR85" s="633">
        <f>NPV(realdiscrt2,AQ$62:AQ85)/(1+realdiscrt2)^-Half_Year</f>
        <v>0.24676710308443037</v>
      </c>
      <c r="AS85" s="63">
        <f t="shared" si="71"/>
        <v>4.5379702334816434E-3</v>
      </c>
      <c r="AT85" s="633">
        <f>NPV(realdiscrt2,AS$62:AS85)/(1+realdiscrt2)^-Half_Year</f>
        <v>0.10336963313734941</v>
      </c>
      <c r="AU85" s="63">
        <f t="shared" si="72"/>
        <v>6.2952090514995698E-3</v>
      </c>
      <c r="AV85" s="633">
        <f>NPV(realdiscrt2,AU$62:AU85)/(1+realdiscrt2)^-Half_Year</f>
        <v>0.143397469947081</v>
      </c>
      <c r="AW85" s="63">
        <v>1</v>
      </c>
      <c r="AX85" s="633">
        <f>NPV(realdiscrt2,AW$62:AW85)/(1+realdiscrt2)^-Half_Year</f>
        <v>22.778825734615204</v>
      </c>
      <c r="AY85" s="63">
        <f t="shared" si="73"/>
        <v>0</v>
      </c>
      <c r="AZ85" s="633">
        <f>NPV(realdiscrt2,AY$62:AY85)/(1+realdiscrt2)^-Half_Year</f>
        <v>0</v>
      </c>
      <c r="BA85" s="115">
        <f t="shared" si="74"/>
        <v>1.0021975853094038</v>
      </c>
      <c r="BB85" s="74">
        <f t="shared" si="75"/>
        <v>0</v>
      </c>
      <c r="BC85" s="633">
        <f>NPV(realdiscrt2,BB$62:BB85)/(1+realdiscrt2)^-Half_Year</f>
        <v>3.0433452835407791E-2</v>
      </c>
      <c r="BD85" s="74">
        <f t="shared" si="76"/>
        <v>0</v>
      </c>
      <c r="BE85" s="633">
        <f>NPV(realdiscrt2,BD$62:BD85)/(1+realdiscrt2)^-Half_Year</f>
        <v>1.5092139335965865E-2</v>
      </c>
      <c r="BF85" s="74">
        <f t="shared" si="95"/>
        <v>0</v>
      </c>
      <c r="BG85" s="633">
        <f>NPV(realdiscrt2,BF$62:BF85)/(1+realdiscrt2)^-Half_Year</f>
        <v>3.5936072305466485E-2</v>
      </c>
      <c r="BH85" s="74">
        <f t="shared" si="78"/>
        <v>0</v>
      </c>
      <c r="BI85" s="633">
        <f>NPV(realdiscrt2,BH$62:BH85)/(1+realdiscrt2)^-Half_Year</f>
        <v>1.2153197342191028E-2</v>
      </c>
      <c r="BJ85" s="64">
        <f t="shared" si="79"/>
        <v>3.4361282634408609E-2</v>
      </c>
      <c r="BK85" s="633">
        <f>NPV(realdiscrt2,BJ$62:BJ85)/(1+realdiscrt2)^-Half_Year</f>
        <v>0.88818848176458054</v>
      </c>
      <c r="BL85" s="64">
        <f t="shared" si="80"/>
        <v>3.3956635537634415E-2</v>
      </c>
      <c r="BM85" s="633">
        <f>NPV(realdiscrt2,BL$62:BL85)/(1+realdiscrt2)^-Half_Year</f>
        <v>0.87772895106666604</v>
      </c>
      <c r="BN85" s="64">
        <f t="shared" si="81"/>
        <v>3.6620562258064523E-2</v>
      </c>
      <c r="BO85" s="633">
        <f>NPV(realdiscrt2,BN$62:BN85)/(1+realdiscrt2)^-Half_Year</f>
        <v>0.94658752816127034</v>
      </c>
      <c r="BP85" s="64">
        <f t="shared" si="82"/>
        <v>3.5069415053763452E-2</v>
      </c>
      <c r="BQ85" s="633">
        <f>NPV(realdiscrt2,BP$62:BP85)/(1+realdiscrt2)^-Half_Year</f>
        <v>0.90649266048593102</v>
      </c>
      <c r="BR85" s="64">
        <f t="shared" si="83"/>
        <v>0.14005407115292715</v>
      </c>
      <c r="BS85" s="633">
        <f>NPV(realdiscrt2,BR$62:BR85)/(1+realdiscrt2)^-Half_Year</f>
        <v>3.1902672802159255</v>
      </c>
      <c r="BT85" s="64">
        <f t="shared" si="84"/>
        <v>0.21481504614821031</v>
      </c>
      <c r="BU85" s="633">
        <f>NPV(realdiscrt2,BT$62:BT85)/(1+realdiscrt2)^-Half_Year</f>
        <v>11.628751160166624</v>
      </c>
      <c r="BV85" s="64">
        <f t="shared" si="85"/>
        <v>0.11745227463199547</v>
      </c>
      <c r="BW85" s="633">
        <f>NPV(realdiscrt2,BV$62:BV85)/(1+realdiscrt2)^-Half_Year</f>
        <v>9.2291253607835824</v>
      </c>
      <c r="BX85" s="64">
        <f t="shared" si="86"/>
        <v>8.5926018459284131E-2</v>
      </c>
      <c r="BY85" s="633">
        <f>NPV(realdiscrt2,BX$62:BX85)/(1+realdiscrt2)^-Half_Year</f>
        <v>8.4521218255319344</v>
      </c>
      <c r="BZ85" s="64">
        <f t="shared" si="87"/>
        <v>0.11156462384716534</v>
      </c>
      <c r="CA85" s="633">
        <f>NPV(realdiscrt2,BZ$62:BZ85)/(1+realdiscrt2)^-Half_Year</f>
        <v>9.0840169327774696</v>
      </c>
      <c r="CB85" s="64">
        <f t="shared" si="88"/>
        <v>0.17866167388146653</v>
      </c>
      <c r="CC85" s="633">
        <f>NPV(realdiscrt2,CB$62:CB85)/(1+realdiscrt2)^-Half_Year</f>
        <v>10.737706631801593</v>
      </c>
      <c r="CD85" s="64">
        <f t="shared" si="89"/>
        <v>0.11660160704924855</v>
      </c>
      <c r="CE85" s="633">
        <f>NPV(realdiscrt2,CD$62:CD85)/(1+realdiscrt2)^-Half_Year</f>
        <v>9.2081596071749949</v>
      </c>
      <c r="CF85" s="64">
        <f t="shared" si="90"/>
        <v>0.14372185625492781</v>
      </c>
      <c r="CG85" s="633">
        <f>NPV(realdiscrt2,CF$62:CF85)/(1+realdiscrt2)^-Half_Year</f>
        <v>9.8765716569368127</v>
      </c>
      <c r="CH85" s="634">
        <f t="shared" si="91"/>
        <v>1.2357164001387372E-3</v>
      </c>
      <c r="CI85" s="633">
        <f>NPV(realdiscrt2,CH$62:CH85)/(1+realdiscrt2)^-Half_Year</f>
        <v>5.7346633251991581E-2</v>
      </c>
      <c r="CJ85" s="634">
        <f t="shared" si="92"/>
        <v>1.3312995585695675E-3</v>
      </c>
      <c r="CK85" s="633">
        <f>NPV(realdiscrt2,CJ$62:CJ85)/(1+realdiscrt2)^-Half_Year</f>
        <v>7.7250573125696498E-2</v>
      </c>
    </row>
    <row r="86" spans="1:89" ht="13.5" thickBot="1">
      <c r="A86" s="56">
        <f>A85+1</f>
        <v>25</v>
      </c>
      <c r="B86" s="56">
        <f t="shared" si="93"/>
        <v>2041</v>
      </c>
      <c r="C86" s="65">
        <f t="shared" si="51"/>
        <v>0.14374417844364859</v>
      </c>
      <c r="D86" s="713">
        <f>NPV(realdiscrt2,C$62:C86)/(1+realdiscrt2)^-Half_Year</f>
        <v>2.3152997541662055</v>
      </c>
      <c r="E86" s="65">
        <f t="shared" si="52"/>
        <v>0.13417695404446214</v>
      </c>
      <c r="F86" s="713">
        <f>NPV(realdiscrt2,E$62:E86)/(1+realdiscrt2)^-Half_Year</f>
        <v>2.1355761789212862</v>
      </c>
      <c r="G86" s="65">
        <f t="shared" si="53"/>
        <v>0.17429916317275329</v>
      </c>
      <c r="H86" s="713">
        <f>NPV(realdiscrt2,G$62:G86)/(1+realdiscrt2)^-Half_Year</f>
        <v>2.4726100271359597</v>
      </c>
      <c r="I86" s="65">
        <f t="shared" si="54"/>
        <v>0.12466874126875763</v>
      </c>
      <c r="J86" s="713">
        <f>NPV(realdiscrt2,I$62:I86)/(1+realdiscrt2)^-Half_Year</f>
        <v>1.8897201435092621</v>
      </c>
      <c r="K86" s="69">
        <f t="shared" si="55"/>
        <v>186.64227093630012</v>
      </c>
      <c r="L86" s="713">
        <f>NPV(realdiscrt2,K$62:K86)/(1+realdiscrt2)^-Half_Year</f>
        <v>4040.7550153465909</v>
      </c>
      <c r="M86" s="69">
        <f t="shared" si="56"/>
        <v>0</v>
      </c>
      <c r="N86" s="713">
        <f>NPV(realdiscrt2,M$62:M86)/(1+realdiscrt2)^-Half_Year</f>
        <v>0</v>
      </c>
      <c r="O86" s="69">
        <f t="shared" si="57"/>
        <v>10.739952210274792</v>
      </c>
      <c r="P86" s="713">
        <f>NPV(realdiscrt2,O$62:O86)/(1+realdiscrt2)^-Half_Year</f>
        <v>254.288185949244</v>
      </c>
      <c r="Q86" s="69">
        <f t="shared" si="58"/>
        <v>84.296373954599773</v>
      </c>
      <c r="R86" s="713">
        <f>NPV(realdiscrt2,Q$62:Q86)/(1+realdiscrt2)^-Half_Year</f>
        <v>1995.8721971320417</v>
      </c>
      <c r="S86" s="69">
        <f t="shared" si="59"/>
        <v>26.460842077522194</v>
      </c>
      <c r="T86" s="713">
        <f>NPV(realdiscrt2,S$62:S86)/(1+realdiscrt2)^-Half_Year</f>
        <v>533.9939445511659</v>
      </c>
      <c r="U86" s="69">
        <f t="shared" si="60"/>
        <v>24.664765705132794</v>
      </c>
      <c r="V86" s="713">
        <f>NPV(realdiscrt2,U$62:U86)/(1+realdiscrt2)^-Half_Year</f>
        <v>493.39627993097895</v>
      </c>
      <c r="W86" s="716">
        <f t="shared" si="61"/>
        <v>24.147051020191398</v>
      </c>
      <c r="X86" s="713">
        <f>NPV(realdiscrt2,W$62:W86)/(1+realdiscrt2)^-Half_Year</f>
        <v>482.70771686261975</v>
      </c>
      <c r="Y86" s="716">
        <f t="shared" si="62"/>
        <v>11.009597964536457</v>
      </c>
      <c r="Z86" s="713">
        <f>NPV(realdiscrt2,Y$62:Y86)/(1+realdiscrt2)^-Half_Year</f>
        <v>218.24274181603815</v>
      </c>
      <c r="AA86" s="716">
        <f t="shared" si="63"/>
        <v>10.755831824260106</v>
      </c>
      <c r="AB86" s="713">
        <f>NPV(realdiscrt2,AA$62:AA86)/(1+realdiscrt2)^-Half_Year</f>
        <v>212.36953646954925</v>
      </c>
      <c r="AC86" s="69">
        <f t="shared" si="64"/>
        <v>11.165214578561953</v>
      </c>
      <c r="AD86" s="713">
        <f>NPV(realdiscrt2,AC$62:AC86)/(1+realdiscrt2)^-Half_Year</f>
        <v>222.48705408844768</v>
      </c>
      <c r="AE86" s="69">
        <f t="shared" si="65"/>
        <v>9.5380409852817589</v>
      </c>
      <c r="AF86" s="713">
        <f>NPV(realdiscrt2,AE$62:AE86)/(1+realdiscrt2)^-Half_Year</f>
        <v>182.06243971047948</v>
      </c>
      <c r="AG86" s="69">
        <f t="shared" si="66"/>
        <v>9.7195414494261101</v>
      </c>
      <c r="AH86" s="713">
        <f>NPV(realdiscrt2,AG$62:AG86)/(1+realdiscrt2)^-Half_Year</f>
        <v>186.61097681221989</v>
      </c>
      <c r="AI86" s="69">
        <f t="shared" si="67"/>
        <v>10.536702871503671</v>
      </c>
      <c r="AJ86" s="713">
        <f>NPV(realdiscrt2,AI$62:AI86)/(1+realdiscrt2)^-Half_Year</f>
        <v>207.13524557891239</v>
      </c>
      <c r="AK86" s="69">
        <f t="shared" si="68"/>
        <v>10.256595022178429</v>
      </c>
      <c r="AL86" s="713">
        <f>NPV(realdiscrt2,AK$62:AK86)/(1+realdiscrt2)^-Half_Year</f>
        <v>199.86391757160254</v>
      </c>
      <c r="AM86" s="69">
        <f t="shared" si="69"/>
        <v>22.279611507959721</v>
      </c>
      <c r="AN86" s="713">
        <f>NPV(realdiscrt2,AM$62:AM86)/(1+realdiscrt2)^-Half_Year</f>
        <v>483.45060952423523</v>
      </c>
      <c r="AO86" s="69"/>
      <c r="AP86" s="70"/>
      <c r="AQ86" s="69">
        <f t="shared" si="70"/>
        <v>1.0833179284981212E-2</v>
      </c>
      <c r="AR86" s="713">
        <f>NPV(realdiscrt2,AQ$62:AQ86)/(1+realdiscrt2)^-Half_Year</f>
        <v>0.25649550896561368</v>
      </c>
      <c r="AS86" s="69">
        <f t="shared" si="71"/>
        <v>4.5379702334816434E-3</v>
      </c>
      <c r="AT86" s="713">
        <f>NPV(realdiscrt2,AS$62:AS86)/(1+realdiscrt2)^-Half_Year</f>
        <v>0.10744481874507235</v>
      </c>
      <c r="AU86" s="69">
        <f t="shared" si="72"/>
        <v>6.2952090514995698E-3</v>
      </c>
      <c r="AV86" s="713">
        <f>NPV(realdiscrt2,AU$62:AU86)/(1+realdiscrt2)^-Half_Year</f>
        <v>0.1490506902205414</v>
      </c>
      <c r="AW86" s="69">
        <v>1</v>
      </c>
      <c r="AX86" s="713">
        <f>NPV(realdiscrt2,AW$62:AW86)/(1+realdiscrt2)^-Half_Year</f>
        <v>23.676845201040031</v>
      </c>
      <c r="AY86" s="69">
        <f t="shared" si="73"/>
        <v>0</v>
      </c>
      <c r="AZ86" s="713">
        <f>NPV(realdiscrt2,AY$62:AY86)/(1+realdiscrt2)^-Half_Year</f>
        <v>0</v>
      </c>
      <c r="BA86" s="116">
        <f t="shared" si="74"/>
        <v>1.0021975853094038</v>
      </c>
      <c r="BB86" s="75">
        <f t="shared" si="75"/>
        <v>0</v>
      </c>
      <c r="BC86" s="713">
        <f>NPV(realdiscrt2,BB$62:BB86)/(1+realdiscrt2)^-Half_Year</f>
        <v>3.0433452835407791E-2</v>
      </c>
      <c r="BD86" s="75">
        <f t="shared" si="76"/>
        <v>0</v>
      </c>
      <c r="BE86" s="713">
        <f>NPV(realdiscrt2,BD$62:BD86)/(1+realdiscrt2)^-Half_Year</f>
        <v>1.5092139335965865E-2</v>
      </c>
      <c r="BF86" s="75">
        <f t="shared" si="95"/>
        <v>0</v>
      </c>
      <c r="BG86" s="713">
        <f>NPV(realdiscrt2,BF$62:BF86)/(1+realdiscrt2)^-Half_Year</f>
        <v>3.5936072305466485E-2</v>
      </c>
      <c r="BH86" s="75">
        <f t="shared" si="78"/>
        <v>0</v>
      </c>
      <c r="BI86" s="713">
        <f>NPV(realdiscrt2,BH$62:BH86)/(1+realdiscrt2)^-Half_Year</f>
        <v>1.2153197342191028E-2</v>
      </c>
      <c r="BJ86" s="71">
        <f t="shared" si="79"/>
        <v>3.4361282634408609E-2</v>
      </c>
      <c r="BK86" s="713">
        <f>NPV(realdiscrt2,BJ$62:BJ86)/(1+realdiscrt2)^-Half_Year</f>
        <v>0.91904558246160484</v>
      </c>
      <c r="BL86" s="71">
        <f t="shared" si="80"/>
        <v>3.3956635537634415E-2</v>
      </c>
      <c r="BM86" s="713">
        <f>NPV(realdiscrt2,BL$62:BL86)/(1+realdiscrt2)^-Half_Year</f>
        <v>0.90822267079375485</v>
      </c>
      <c r="BN86" s="71">
        <f t="shared" si="81"/>
        <v>3.6620562258064523E-2</v>
      </c>
      <c r="BO86" s="713">
        <f>NPV(realdiscrt2,BN$62:BN86)/(1+realdiscrt2)^-Half_Year</f>
        <v>0.9794735059404347</v>
      </c>
      <c r="BP86" s="71">
        <f t="shared" si="82"/>
        <v>3.5069415053763452E-2</v>
      </c>
      <c r="BQ86" s="713">
        <f>NPV(realdiscrt2,BP$62:BP86)/(1+realdiscrt2)^-Half_Year</f>
        <v>0.93798567788034248</v>
      </c>
      <c r="BR86" s="71">
        <f t="shared" si="83"/>
        <v>0.14005407115292715</v>
      </c>
      <c r="BS86" s="713">
        <f>NPV(realdiscrt2,BR$62:BR86)/(1+realdiscrt2)^-Half_Year</f>
        <v>3.3160385624633024</v>
      </c>
      <c r="BT86" s="71">
        <f t="shared" si="84"/>
        <v>0.21481504614821031</v>
      </c>
      <c r="BU86" s="713">
        <f>NPV(realdiscrt2,BT$62:BT86)/(1+realdiscrt2)^-Half_Year</f>
        <v>11.821659253288665</v>
      </c>
      <c r="BV86" s="71">
        <f t="shared" si="85"/>
        <v>0.11745227463199547</v>
      </c>
      <c r="BW86" s="713">
        <f>NPV(realdiscrt2,BV$62:BV86)/(1+realdiscrt2)^-Half_Year</f>
        <v>9.3345997897789879</v>
      </c>
      <c r="BX86" s="71">
        <f t="shared" si="86"/>
        <v>8.5926018459284131E-2</v>
      </c>
      <c r="BY86" s="713">
        <f>NPV(realdiscrt2,BX$62:BX86)/(1+realdiscrt2)^-Half_Year</f>
        <v>8.5292850627807528</v>
      </c>
      <c r="BZ86" s="71">
        <f t="shared" si="87"/>
        <v>0.11156462384716534</v>
      </c>
      <c r="CA86" s="713">
        <f>NPV(realdiscrt2,BZ$62:BZ86)/(1+realdiscrt2)^-Half_Year</f>
        <v>9.1842041367565876</v>
      </c>
      <c r="CB86" s="71">
        <f t="shared" si="88"/>
        <v>0.17866167388146653</v>
      </c>
      <c r="CC86" s="713">
        <f>NPV(realdiscrt2,CB$62:CB86)/(1+realdiscrt2)^-Half_Year</f>
        <v>10.898148292851193</v>
      </c>
      <c r="CD86" s="71">
        <f t="shared" si="89"/>
        <v>0.11660160704924855</v>
      </c>
      <c r="CE86" s="713">
        <f>NPV(realdiscrt2,CD$62:CD86)/(1+realdiscrt2)^-Half_Year</f>
        <v>9.3128701201216391</v>
      </c>
      <c r="CF86" s="71">
        <f t="shared" si="90"/>
        <v>0.14372185625492781</v>
      </c>
      <c r="CG86" s="713">
        <f>NPV(realdiscrt2,CF$62:CF86)/(1+realdiscrt2)^-Half_Year</f>
        <v>10.005636681604448</v>
      </c>
      <c r="CH86" s="771">
        <f t="shared" si="91"/>
        <v>1.2357164001387372E-3</v>
      </c>
      <c r="CI86" s="713">
        <f>NPV(realdiscrt2,CH$62:CH86)/(1+realdiscrt2)^-Half_Year</f>
        <v>5.8456330634296581E-2</v>
      </c>
      <c r="CJ86" s="772">
        <f t="shared" si="92"/>
        <v>1.3312995585695675E-3</v>
      </c>
      <c r="CK86" s="713">
        <f>NPV(realdiscrt2,CJ$62:CJ86)/(1+realdiscrt2)^-Half_Year</f>
        <v>7.8446106044934766E-2</v>
      </c>
    </row>
    <row r="88" spans="1:89" ht="16.5" thickBot="1">
      <c r="C88" s="54" t="s">
        <v>693</v>
      </c>
      <c r="S88" s="55">
        <v>1</v>
      </c>
      <c r="T88" s="55">
        <v>2</v>
      </c>
      <c r="U88" s="55">
        <v>3</v>
      </c>
      <c r="V88" s="55">
        <v>4</v>
      </c>
      <c r="W88" s="55">
        <v>5</v>
      </c>
      <c r="X88" s="55">
        <v>6</v>
      </c>
      <c r="Y88" s="55">
        <v>7</v>
      </c>
      <c r="Z88" s="55">
        <v>8</v>
      </c>
      <c r="AA88" s="55">
        <v>9</v>
      </c>
      <c r="AB88" s="55">
        <v>10</v>
      </c>
      <c r="AC88" s="55">
        <v>11</v>
      </c>
      <c r="AD88" s="55">
        <v>12</v>
      </c>
      <c r="AE88" s="55">
        <v>13</v>
      </c>
      <c r="AF88" s="55">
        <v>14</v>
      </c>
      <c r="AG88" s="55">
        <v>15</v>
      </c>
      <c r="AH88" s="55">
        <v>16</v>
      </c>
      <c r="AI88" s="55">
        <v>17</v>
      </c>
      <c r="AJ88" s="55">
        <v>18</v>
      </c>
      <c r="AK88" s="55">
        <v>19</v>
      </c>
      <c r="AL88" s="55">
        <v>20</v>
      </c>
      <c r="AM88" s="55">
        <v>21</v>
      </c>
      <c r="AN88" s="55">
        <v>22</v>
      </c>
      <c r="AO88" s="55">
        <v>23</v>
      </c>
      <c r="AP88" s="55">
        <v>24</v>
      </c>
      <c r="BC88" s="6" t="s">
        <v>293</v>
      </c>
    </row>
    <row r="89" spans="1:89">
      <c r="A89" s="101"/>
      <c r="B89" s="102"/>
      <c r="C89" s="103" t="s">
        <v>250</v>
      </c>
      <c r="D89" s="104" t="s">
        <v>251</v>
      </c>
      <c r="E89" s="105" t="s">
        <v>250</v>
      </c>
      <c r="F89" s="106" t="s">
        <v>251</v>
      </c>
      <c r="G89" s="104" t="s">
        <v>250</v>
      </c>
      <c r="H89" s="104" t="s">
        <v>251</v>
      </c>
      <c r="I89" s="105" t="s">
        <v>250</v>
      </c>
      <c r="J89" s="107" t="s">
        <v>251</v>
      </c>
      <c r="K89" s="108" t="s">
        <v>250</v>
      </c>
      <c r="L89" s="109" t="s">
        <v>251</v>
      </c>
      <c r="M89" s="108" t="s">
        <v>250</v>
      </c>
      <c r="N89" s="109" t="s">
        <v>251</v>
      </c>
      <c r="O89" s="108" t="s">
        <v>250</v>
      </c>
      <c r="P89" s="109" t="s">
        <v>251</v>
      </c>
      <c r="Q89" s="108" t="s">
        <v>250</v>
      </c>
      <c r="R89" s="109" t="s">
        <v>251</v>
      </c>
      <c r="S89" s="110" t="s">
        <v>250</v>
      </c>
      <c r="T89" s="111" t="s">
        <v>251</v>
      </c>
      <c r="U89" s="110" t="s">
        <v>250</v>
      </c>
      <c r="V89" s="111" t="s">
        <v>251</v>
      </c>
      <c r="W89" s="110" t="s">
        <v>250</v>
      </c>
      <c r="X89" s="111" t="s">
        <v>251</v>
      </c>
      <c r="Y89" s="110" t="s">
        <v>250</v>
      </c>
      <c r="Z89" s="111" t="s">
        <v>251</v>
      </c>
      <c r="AA89" s="110" t="s">
        <v>250</v>
      </c>
      <c r="AB89" s="111" t="s">
        <v>251</v>
      </c>
      <c r="AC89" s="110" t="s">
        <v>250</v>
      </c>
      <c r="AD89" s="111" t="s">
        <v>251</v>
      </c>
      <c r="AE89" s="110" t="s">
        <v>250</v>
      </c>
      <c r="AF89" s="111" t="s">
        <v>251</v>
      </c>
      <c r="AG89" s="110" t="s">
        <v>250</v>
      </c>
      <c r="AH89" s="111" t="s">
        <v>251</v>
      </c>
      <c r="AI89" s="110" t="s">
        <v>250</v>
      </c>
      <c r="AJ89" s="111" t="s">
        <v>251</v>
      </c>
      <c r="AK89" s="110" t="s">
        <v>250</v>
      </c>
      <c r="AL89" s="111" t="s">
        <v>251</v>
      </c>
      <c r="AM89" s="110" t="s">
        <v>250</v>
      </c>
      <c r="AN89" s="111" t="s">
        <v>251</v>
      </c>
      <c r="AO89" s="110" t="s">
        <v>250</v>
      </c>
      <c r="AP89" s="111" t="s">
        <v>251</v>
      </c>
      <c r="AQ89" s="112" t="s">
        <v>250</v>
      </c>
      <c r="AR89" s="112" t="s">
        <v>251</v>
      </c>
      <c r="AS89" s="112" t="s">
        <v>250</v>
      </c>
      <c r="AT89" s="112" t="s">
        <v>251</v>
      </c>
      <c r="AU89" s="112" t="s">
        <v>250</v>
      </c>
      <c r="AV89" s="112" t="s">
        <v>251</v>
      </c>
      <c r="AW89" s="110" t="s">
        <v>250</v>
      </c>
      <c r="AX89" s="111" t="s">
        <v>251</v>
      </c>
      <c r="AY89" s="108" t="s">
        <v>250</v>
      </c>
      <c r="AZ89" s="109" t="s">
        <v>251</v>
      </c>
      <c r="BA89" s="113"/>
      <c r="BB89" s="105" t="s">
        <v>250</v>
      </c>
      <c r="BC89" s="107" t="s">
        <v>251</v>
      </c>
      <c r="BD89" s="105" t="s">
        <v>250</v>
      </c>
      <c r="BE89" s="107" t="s">
        <v>251</v>
      </c>
      <c r="BF89" s="105" t="s">
        <v>250</v>
      </c>
      <c r="BG89" s="107" t="s">
        <v>251</v>
      </c>
      <c r="BH89" s="105" t="s">
        <v>250</v>
      </c>
      <c r="BI89" s="107" t="s">
        <v>251</v>
      </c>
      <c r="BJ89" s="110" t="s">
        <v>250</v>
      </c>
      <c r="BK89" s="111" t="s">
        <v>251</v>
      </c>
      <c r="BL89" s="110" t="s">
        <v>250</v>
      </c>
      <c r="BM89" s="111" t="s">
        <v>251</v>
      </c>
      <c r="BN89" s="110" t="s">
        <v>250</v>
      </c>
      <c r="BO89" s="111" t="s">
        <v>251</v>
      </c>
      <c r="BP89" s="110" t="s">
        <v>250</v>
      </c>
      <c r="BQ89" s="111" t="s">
        <v>251</v>
      </c>
      <c r="BR89" s="103" t="s">
        <v>250</v>
      </c>
      <c r="BS89" s="107" t="s">
        <v>251</v>
      </c>
      <c r="BT89" s="105" t="s">
        <v>250</v>
      </c>
      <c r="BU89" s="107" t="s">
        <v>251</v>
      </c>
      <c r="BV89" s="105" t="s">
        <v>250</v>
      </c>
      <c r="BW89" s="107" t="s">
        <v>251</v>
      </c>
      <c r="BX89" s="105" t="s">
        <v>250</v>
      </c>
      <c r="BY89" s="107" t="s">
        <v>251</v>
      </c>
      <c r="BZ89" s="105" t="s">
        <v>250</v>
      </c>
      <c r="CA89" s="107" t="s">
        <v>251</v>
      </c>
      <c r="CB89" s="105" t="s">
        <v>250</v>
      </c>
      <c r="CC89" s="107" t="s">
        <v>251</v>
      </c>
      <c r="CD89" s="105" t="s">
        <v>250</v>
      </c>
      <c r="CE89" s="107" t="s">
        <v>251</v>
      </c>
      <c r="CF89" s="105" t="s">
        <v>250</v>
      </c>
      <c r="CG89" s="107" t="s">
        <v>251</v>
      </c>
      <c r="CH89" s="105" t="s">
        <v>250</v>
      </c>
      <c r="CI89" s="107" t="s">
        <v>251</v>
      </c>
      <c r="CJ89" s="105" t="s">
        <v>250</v>
      </c>
      <c r="CK89" s="107" t="s">
        <v>251</v>
      </c>
    </row>
    <row r="90" spans="1:89" ht="37.5" customHeight="1" thickBot="1">
      <c r="A90" s="101"/>
      <c r="B90" s="101"/>
      <c r="C90" s="1108" t="s">
        <v>192</v>
      </c>
      <c r="D90" s="1109"/>
      <c r="E90" s="1110" t="s">
        <v>252</v>
      </c>
      <c r="F90" s="1109"/>
      <c r="G90" s="1110" t="s">
        <v>253</v>
      </c>
      <c r="H90" s="1109"/>
      <c r="I90" s="1110" t="s">
        <v>254</v>
      </c>
      <c r="J90" s="1111"/>
      <c r="K90" s="1112" t="s">
        <v>255</v>
      </c>
      <c r="L90" s="1113"/>
      <c r="M90" s="1112" t="s">
        <v>256</v>
      </c>
      <c r="N90" s="1113"/>
      <c r="O90" s="1112" t="s">
        <v>257</v>
      </c>
      <c r="P90" s="1113"/>
      <c r="Q90" s="1112" t="s">
        <v>258</v>
      </c>
      <c r="R90" s="1113"/>
      <c r="S90" s="1114" t="s">
        <v>259</v>
      </c>
      <c r="T90" s="1115"/>
      <c r="U90" s="1114" t="s">
        <v>260</v>
      </c>
      <c r="V90" s="1115"/>
      <c r="W90" s="1114" t="s">
        <v>695</v>
      </c>
      <c r="X90" s="1115"/>
      <c r="Y90" s="1119" t="s">
        <v>697</v>
      </c>
      <c r="Z90" s="1115"/>
      <c r="AA90" s="1114" t="s">
        <v>261</v>
      </c>
      <c r="AB90" s="1115"/>
      <c r="AC90" s="1119" t="s">
        <v>684</v>
      </c>
      <c r="AD90" s="1115"/>
      <c r="AE90" s="1119" t="s">
        <v>685</v>
      </c>
      <c r="AF90" s="1115"/>
      <c r="AG90" s="1119" t="s">
        <v>686</v>
      </c>
      <c r="AH90" s="1115"/>
      <c r="AI90" s="1114" t="s">
        <v>262</v>
      </c>
      <c r="AJ90" s="1115"/>
      <c r="AK90" s="1114" t="s">
        <v>263</v>
      </c>
      <c r="AL90" s="1115"/>
      <c r="AM90" s="1114" t="s">
        <v>264</v>
      </c>
      <c r="AN90" s="1115"/>
      <c r="AO90" s="1119"/>
      <c r="AP90" s="1115"/>
      <c r="AQ90" s="1114" t="s">
        <v>265</v>
      </c>
      <c r="AR90" s="1157"/>
      <c r="AS90" s="1156" t="s">
        <v>266</v>
      </c>
      <c r="AT90" s="1157"/>
      <c r="AU90" s="1156" t="s">
        <v>267</v>
      </c>
      <c r="AV90" s="1157"/>
      <c r="AW90" s="1156" t="s">
        <v>205</v>
      </c>
      <c r="AX90" s="1115"/>
      <c r="AY90" s="1112" t="s">
        <v>268</v>
      </c>
      <c r="AZ90" s="1113"/>
      <c r="BA90" s="114" t="s">
        <v>206</v>
      </c>
      <c r="BB90" s="1108" t="s">
        <v>207</v>
      </c>
      <c r="BC90" s="1111"/>
      <c r="BD90" s="1108" t="s">
        <v>208</v>
      </c>
      <c r="BE90" s="1111"/>
      <c r="BF90" s="1108" t="s">
        <v>209</v>
      </c>
      <c r="BG90" s="1111"/>
      <c r="BH90" s="1108" t="s">
        <v>210</v>
      </c>
      <c r="BI90" s="1111"/>
      <c r="BJ90" s="1114" t="s">
        <v>211</v>
      </c>
      <c r="BK90" s="1115"/>
      <c r="BL90" s="1114" t="s">
        <v>212</v>
      </c>
      <c r="BM90" s="1115"/>
      <c r="BN90" s="1114" t="s">
        <v>213</v>
      </c>
      <c r="BO90" s="1115"/>
      <c r="BP90" s="1114" t="s">
        <v>214</v>
      </c>
      <c r="BQ90" s="1115"/>
      <c r="BR90" s="1108" t="s">
        <v>296</v>
      </c>
      <c r="BS90" s="1111"/>
      <c r="BT90" s="1108" t="s">
        <v>297</v>
      </c>
      <c r="BU90" s="1111"/>
      <c r="BV90" s="1108" t="s">
        <v>298</v>
      </c>
      <c r="BW90" s="1111"/>
      <c r="BX90" s="1108" t="s">
        <v>299</v>
      </c>
      <c r="BY90" s="1111"/>
      <c r="BZ90" s="1108" t="s">
        <v>300</v>
      </c>
      <c r="CA90" s="1111"/>
      <c r="CB90" s="1108" t="s">
        <v>301</v>
      </c>
      <c r="CC90" s="1111"/>
      <c r="CD90" s="1108" t="s">
        <v>302</v>
      </c>
      <c r="CE90" s="1111"/>
      <c r="CF90" s="1108" t="s">
        <v>303</v>
      </c>
      <c r="CG90" s="1111"/>
      <c r="CH90" s="1167" t="s">
        <v>681</v>
      </c>
      <c r="CI90" s="1111"/>
      <c r="CJ90" s="1167" t="s">
        <v>682</v>
      </c>
      <c r="CK90" s="1111"/>
    </row>
    <row r="91" spans="1:89" s="3" customFormat="1" ht="14.25" customHeight="1" thickTop="1">
      <c r="A91" s="628">
        <v>1</v>
      </c>
      <c r="B91" s="628">
        <f>Year3</f>
        <v>2018</v>
      </c>
      <c r="C91" s="74">
        <f t="shared" ref="C91:C115" si="96">VLOOKUP($B91,$C$136:$AR$166,3,FALSE)*(1+Inflation3)^(Year1-Real_Year2)</f>
        <v>6.8203788354501804E-2</v>
      </c>
      <c r="D91" s="632">
        <f>NPV(realdiscrt3,C$91:C91)/(1+realdiscrt3)^-Half_Year</f>
        <v>6.8054233371002928E-2</v>
      </c>
      <c r="E91" s="74">
        <f t="shared" ref="E91:E115" si="97">VLOOKUP($B91,$C$136:$AR$166,4,FALSE)*(1+Inflation3)^(Year1-Real_Year2)</f>
        <v>6.2809334936540534E-2</v>
      </c>
      <c r="F91" s="631">
        <f>NPV(realdiscrt3,E$91:E91)/(1+realdiscrt3)^-Half_Year</f>
        <v>6.2671608729879036E-2</v>
      </c>
      <c r="G91" s="74">
        <f t="shared" ref="G91:G115" si="98">VLOOKUP($B91,$C$136:$AR$166,5,FALSE)*(1+Inflation3)^(Year1-Real_Year2)</f>
        <v>6.1461283979914801E-2</v>
      </c>
      <c r="H91" s="632">
        <f>NPV(realdiscrt3,G$91:G91)/(1+realdiscrt3)^-Half_Year</f>
        <v>6.132651373425544E-2</v>
      </c>
      <c r="I91" s="74">
        <f t="shared" ref="I91:I115" si="99">VLOOKUP($B91,$C$136:$AR$166,6,FALSE)*(1+Inflation3)^(Year1-Real_Year2)</f>
        <v>5.1667746056584397E-2</v>
      </c>
      <c r="J91" s="633">
        <f>NPV(realdiscrt3,I$91:I91)/(1+realdiscrt3)^-Half_Year</f>
        <v>5.1554450752975267E-2</v>
      </c>
      <c r="K91" s="624">
        <f t="shared" ref="K91:K115" si="100">VLOOKUP($B91,$C$136:$AR$166,9,FALSE)*(1+Inflation3)^(Year1-Real_Year2)</f>
        <v>81.432439257452444</v>
      </c>
      <c r="L91" s="625">
        <f>NPV(realdiscrt3,K$91:K91)/(1+realdiscrt3)^-Half_Year</f>
        <v>81.253876931176364</v>
      </c>
      <c r="M91" s="624">
        <f t="shared" ref="M91:M115" si="101">0*((1+Inflation3)^(Year1-Real_Year2))</f>
        <v>0</v>
      </c>
      <c r="N91" s="625">
        <f>NPV(realdiscrt3,M$91:M91)/(1+realdiscrt3)^-Half_Year</f>
        <v>0</v>
      </c>
      <c r="O91" s="624">
        <f t="shared" ref="O91:O115" si="102">transmissionyear3*(1+Inflation3)^(Year1-TD_Year)</f>
        <v>10.739952210274792</v>
      </c>
      <c r="P91" s="625">
        <f>NPV(realdiscrt3,O$91:O91)/(1+realdiscrt3)^-Half_Year</f>
        <v>10.71640200266407</v>
      </c>
      <c r="Q91" s="624">
        <f t="shared" ref="Q91:Q115" si="103">Distributionyear3*(1+Inflation3)^(Year1-TD_Year)</f>
        <v>84.296373954599773</v>
      </c>
      <c r="R91" s="625">
        <f>NPV(realdiscrt3,Q$91:Q91)/(1+realdiscrt3)^-Half_Year</f>
        <v>84.111531688210292</v>
      </c>
      <c r="S91" s="624">
        <f t="shared" ref="S91:S115" si="104">VLOOKUP($B91,$C$245:$S$275,3,FALSE)*(1+Inflation3)^(Year1-Real_Year2)</f>
        <v>18.996538908099915</v>
      </c>
      <c r="T91" s="625">
        <f>NPV(realdiscrt3,S$91:S91)/(1+realdiscrt3)^-Half_Year</f>
        <v>18.954883933625919</v>
      </c>
      <c r="U91" s="624">
        <f t="shared" ref="U91:U115" si="105">VLOOKUP($B91,$C$245:$S$275,7,FALSE)*(1+Inflation3)^(Year1-Real_Year2)</f>
        <v>17.370951906115693</v>
      </c>
      <c r="V91" s="625">
        <f>NPV(realdiscrt3,U$91:U91)/(1+realdiscrt3)^-Half_Year</f>
        <v>17.332861464391613</v>
      </c>
      <c r="W91" s="624">
        <f t="shared" ref="W91:W115" si="106">VLOOKUP($B91,$C$245:$S$275,11,FALSE)*(1+Inflation3)^(Year1-Real_Year2)</f>
        <v>16.995090763941715</v>
      </c>
      <c r="X91" s="625">
        <f>NPV(realdiscrt3,W$91:W91)/(1+realdiscrt3)^-Half_Year</f>
        <v>16.957824497945577</v>
      </c>
      <c r="Y91" s="624">
        <f t="shared" ref="Y91:Y115" si="107">VLOOKUP($B91,$D$192:$O$222,6,FALSE)*(1+Inflation)^(Year1-Real_Year2)</f>
        <v>8.2522714598618876</v>
      </c>
      <c r="Z91" s="625">
        <f>NPV(realdiscrt3,Y$91:Y91)/(1+realdiscrt3)^-Half_Year</f>
        <v>8.2341761553079387</v>
      </c>
      <c r="AA91" s="624">
        <f t="shared" ref="AA91:AA115" si="108">VLOOKUP($B91,$D$192:$O$222,4,FALSE)*(1+Inflation3)^(Year1-Real_Year2)</f>
        <v>8.0006115130301829</v>
      </c>
      <c r="AB91" s="625">
        <f>NPV(realdiscrt3,AA$91:AA91)/(1+realdiscrt3)^-Half_Year</f>
        <v>7.9830680399815472</v>
      </c>
      <c r="AC91" s="624">
        <f t="shared" ref="AC91:AC115" si="109">VLOOKUP($B91,$D$192:$O$222,5,FALSE)*(1+Inflation3)^(Year1-Real_Year2)</f>
        <v>8.4719337241475827</v>
      </c>
      <c r="AD91" s="625">
        <f>NPV(realdiscrt3,AC$91:AC91)/(1+realdiscrt3)^-Half_Year</f>
        <v>8.4533567515352566</v>
      </c>
      <c r="AE91" s="624">
        <f t="shared" ref="AE91:AE115" si="110">VLOOKUP($B91,$D$192:$O$222,3,FALSE)*(1+Inflation3)^(Year1-Real_Year2)</f>
        <v>6.5866448796779906</v>
      </c>
      <c r="AF91" s="625">
        <f>NPV(realdiscrt3,AE$91:AE91)/(1+realdiscrt3)^-Half_Year</f>
        <v>6.5722019053204219</v>
      </c>
      <c r="AG91" s="624">
        <f t="shared" ref="AG91:AG115" si="111">VLOOKUP($B91,$D$192:$O$222,8,FALSE)*(1+Inflation3)^(Year1-Real_Year2)</f>
        <v>6.8192901581984566</v>
      </c>
      <c r="AH91" s="625">
        <f>NPV(realdiscrt3,AG$91:AG91)/(1+realdiscrt3)^-Half_Year</f>
        <v>6.804337047063596</v>
      </c>
      <c r="AI91" s="624">
        <f t="shared" ref="AI91:AI115" si="112">VLOOKUP($B91,$D$192:$O$222,9,FALSE)*(1+Inflation3)^(Year1-Real_Year2)</f>
        <v>7.7813898166333111</v>
      </c>
      <c r="AJ91" s="625">
        <f>NPV(realdiscrt3,AI$91:AI91)/(1+realdiscrt3)^-Half_Year</f>
        <v>7.7643270455805355</v>
      </c>
      <c r="AK91" s="624">
        <f t="shared" ref="AK91:AK115" si="113">VLOOKUP($B91,$D$192:$O$222,10,FALSE)*(1+Inflation3)^(Year1-Real_Year2)</f>
        <v>7.4314705234672518</v>
      </c>
      <c r="AL91" s="625">
        <f>NPV(realdiscrt3,AK$91:AK91)/(1+realdiscrt3)^-Half_Year</f>
        <v>7.4151750437245036</v>
      </c>
      <c r="AM91" s="624">
        <f t="shared" ref="AM91:AM115" si="114">VLOOKUP($B91,$C$245:$S$275,16,FALSE)*(1+Inflation3)^(Year1-Real_Year2)</f>
        <v>18.767344352261652</v>
      </c>
      <c r="AN91" s="625">
        <f>NPV(realdiscrt3,AM$91:AM91)/(1+realdiscrt3)^-Half_Year</f>
        <v>18.726191947935789</v>
      </c>
      <c r="AO91" s="624"/>
      <c r="AP91" s="625"/>
      <c r="AQ91" s="634">
        <f t="shared" ref="AQ91:AQ115" si="115">reswater3*(1+Inflation3)^(Year1-Wt_Year)</f>
        <v>1.0833179284981212E-2</v>
      </c>
      <c r="AR91" s="625">
        <f>NPV(realdiscrt3,AQ$91:AQ91)/(1+realdiscrt3)^-Half_Year</f>
        <v>1.0809424652162511E-2</v>
      </c>
      <c r="AS91" s="634">
        <f t="shared" ref="AS91:AS115" si="116">ciwater3*(1+Inflation3)^(Year1-Wt_Year)</f>
        <v>4.5379702334816434E-3</v>
      </c>
      <c r="AT91" s="625">
        <f>NPV(realdiscrt3,AS$91:AS91)/(1+realdiscrt3)^-Half_Year</f>
        <v>4.52801952429436E-3</v>
      </c>
      <c r="AU91" s="634">
        <f t="shared" ref="AU91:AU115" si="117">cisewer3*(1+Inflation3)^(Year1-Wt_Year)</f>
        <v>6.2952090514995698E-3</v>
      </c>
      <c r="AV91" s="625">
        <f>NPV(realdiscrt3,AU$91:AU91)/(1+realdiscrt3)^-Half_Year</f>
        <v>6.2814051278681513E-3</v>
      </c>
      <c r="AW91" s="624">
        <v>1</v>
      </c>
      <c r="AX91" s="625">
        <f>NPV(realdiscrt3,AW$91:AW91)/(1+realdiscrt3)^-Half_Year</f>
        <v>0.99780723348208267</v>
      </c>
      <c r="AY91" s="624">
        <f t="shared" ref="AY91:AY115" si="118">IF(CD="YES",VLOOKUP($B91,$C$136:$AR$166,19,FALSE)*(1+Inflation3)^(Year1-Real_Year2),"")</f>
        <v>0</v>
      </c>
      <c r="AZ91" s="625">
        <f>NPV(realdiscrt3,AY$91:AY91)/(1+realdiscrt3)^-Half_Year</f>
        <v>0</v>
      </c>
      <c r="BA91" s="635">
        <f t="shared" ref="BA91:BA115" si="119">1/(1+realdiscrt3)^-0.5</f>
        <v>1.0021975853094038</v>
      </c>
      <c r="BB91" s="624">
        <f t="shared" ref="BB91:BB115" si="120">IF(ED="YES",VLOOKUP($B91,$C$136:$AR$166,15,FALSE)*(1+Inflation3)^(Year1-Real_Year2),"")</f>
        <v>1.0570526319385093E-2</v>
      </c>
      <c r="BC91" s="633">
        <f>NPV(realdiscrt3,BB$91:BB91)/(1+realdiscrt3)^-Half_Year</f>
        <v>1.0547347623195183E-2</v>
      </c>
      <c r="BD91" s="624">
        <f t="shared" ref="BD91:BD115" si="121">IF(ED="YES",VLOOKUP($B91,$C$136:$AR$166,16,FALSE)*(1+Inflation3)^(Year1-Real_Year2),"")</f>
        <v>5.1960964936720441E-3</v>
      </c>
      <c r="BE91" s="633">
        <f>NPV(realdiscrt3,BD$91:BD91)/(1+realdiscrt3)^-Half_Year</f>
        <v>5.1847026672568524E-3</v>
      </c>
      <c r="BF91" s="624">
        <f t="shared" ref="BF91:BF115" si="122">IF(ED="YES",VLOOKUP($B91,$C$136:$AR$166,17,FALSE)*(1+Inflation3)^(Year1-Real_Year2),"")</f>
        <v>0</v>
      </c>
      <c r="BG91" s="633">
        <f>NPV(realdiscrt3,BF$91:BF91)/(1+realdiscrt3)^-Half_Year</f>
        <v>0</v>
      </c>
      <c r="BH91" s="624">
        <f t="shared" ref="BH91:BH115" si="123">IF(ED="YES",VLOOKUP($B91,$C$136:$AR$166,18,FALSE)*(1+Inflation3)^(Year1-Real_Year2),"")</f>
        <v>0</v>
      </c>
      <c r="BI91" s="633">
        <f>NPV(realdiscrt3,BH$91:BH91)/(1+realdiscrt3)^-Half_Year</f>
        <v>0</v>
      </c>
      <c r="BJ91" s="634">
        <f t="shared" ref="BJ91:BJ115" si="124">IF(EE="YES",VLOOKUP($B91,$C$136:$AR$166,20,FALSE)*(1+Inflation3)^(Year1-Real_Year2),"")</f>
        <v>4.7609570080645175E-2</v>
      </c>
      <c r="BK91" s="637">
        <f>NPV(realdiscrt3,BJ$91:BJ91)/(1+realdiscrt3)^-Half_Year</f>
        <v>4.7505173409439896E-2</v>
      </c>
      <c r="BL91" s="634">
        <f t="shared" ref="BL91:BL115" si="125">IF(EE="YES",VLOOKUP($B91,$C$136:$AR$166,21,FALSE)*(1+Inflation3)^(Year1-Real_Year2),"")</f>
        <v>4.7048907822580657E-2</v>
      </c>
      <c r="BM91" s="637">
        <f>NPV(realdiscrt3,BL$91:BL91)/(1+realdiscrt3)^-Half_Year</f>
        <v>4.6945740552802727E-2</v>
      </c>
      <c r="BN91" s="634">
        <f t="shared" ref="BN91:BN115" si="126">IF(EE="YES",VLOOKUP($B91,$C$136:$AR$166,22,FALSE)*(1+Inflation3)^(Year1-Real_Year2),"")</f>
        <v>5.0739934354838721E-2</v>
      </c>
      <c r="BO91" s="637">
        <f>NPV(realdiscrt3,BN$91:BN91)/(1+realdiscrt3)^-Half_Year</f>
        <v>5.0628673525664109E-2</v>
      </c>
      <c r="BP91" s="634">
        <f t="shared" ref="BP91:BP115" si="127">IF(EE="YES",VLOOKUP($B91,$C$136:$AR$166,23,FALSE)*(1+Inflation3)^(Year1-Real_Year2),"")</f>
        <v>4.8590729032258077E-2</v>
      </c>
      <c r="BQ91" s="637">
        <f>NPV(realdiscrt3,BP$91:BP91)/(1+realdiscrt3)^-Half_Year</f>
        <v>4.8484180908554948E-2</v>
      </c>
      <c r="BR91" s="634">
        <f t="shared" ref="BR91:BR115" si="128">IF(GD="Yes",VLOOKUP($B91,$S$192:$AF$222,3,FALSE)*(1+Inflation3)^(Year1-Real_Year2),"")</f>
        <v>0.14005407115292715</v>
      </c>
      <c r="BS91" s="637">
        <f>NPV(realdiscrt3,BR$91:BR91)/(1+realdiscrt3)^-Half_Year</f>
        <v>0.13974696527500499</v>
      </c>
      <c r="BT91" s="624">
        <f t="shared" ref="BT91:BT115" si="129">IF(GECD="Yes",VLOOKUP($B91,$S$192:$AU$222,5,FALSE)*(1+Inflation3)^(Year1-Real_Year2),"")</f>
        <v>1.7281153612835123</v>
      </c>
      <c r="BU91" s="637">
        <f>NPV(realdiscrt3,BT$91:BT91)/(1+realdiscrt3)^-Half_Year</f>
        <v>1.7243260077801914</v>
      </c>
      <c r="BV91" s="787">
        <f t="shared" ref="BV91:BV115" si="130">IF(GECD="Yes",VLOOKUP($B91,$S$192:$AU$222,6,FALSE)*(1+Inflation3)^(Year1-Real_Year2),"")</f>
        <v>1.591007568372369</v>
      </c>
      <c r="BW91" s="637">
        <f>NPV(realdiscrt3,BV$91:BV91)/(1+realdiscrt3)^-Half_Year</f>
        <v>1.5875188602466892</v>
      </c>
      <c r="BX91" s="787">
        <f t="shared" ref="BX91:BX115" si="131">IF(GECD="Yes",VLOOKUP($B91,$S$192:$AU$222,7,FALSE)*(1+Inflation3)^(Year1-Real_Year2),"")</f>
        <v>1.5466117964024648</v>
      </c>
      <c r="BY91" s="637">
        <f>NPV(realdiscrt3,BX$91:BX91)/(1+realdiscrt3)^-Half_Year</f>
        <v>1.5432204378390975</v>
      </c>
      <c r="BZ91" s="787">
        <f t="shared" ref="BZ91:BZ115" si="132">IF(GECD="Yes",VLOOKUP($B91,$S$192:$AU$222,8,FALSE)*(1+Inflation3)^(Year1-Real_Year2),"")</f>
        <v>1.5827164855286029</v>
      </c>
      <c r="CA91" s="637">
        <f>NPV(realdiscrt3,BZ$91:BZ91)/(1+realdiscrt3)^-Half_Year</f>
        <v>1.5792459578117799</v>
      </c>
      <c r="CB91" s="787">
        <f t="shared" ref="CB91:CB115" si="133">IF(GECD="Yes",VLOOKUP($B91,$S$192:$AU$222,10,FALSE)*(1+Inflation3)^(Year1-Real_Year2),"")</f>
        <v>1.6772036113343785</v>
      </c>
      <c r="CC91" s="637">
        <f>NPV(realdiscrt3,CB$91:CB91)/(1+realdiscrt3)^-Half_Year</f>
        <v>1.6735258954117145</v>
      </c>
      <c r="CD91" s="624">
        <f t="shared" ref="CD91:CD115" si="134">IF(GECD="Yes",VLOOKUP($B91,$S$192:$AU$222,11,FALSE)*(1+Inflation3)^(Year1-Real_Year2),"")</f>
        <v>1.5898096448441541</v>
      </c>
      <c r="CE91" s="637">
        <f>NPV(realdiscrt3,CD$91:CD91)/(1+realdiscrt3)^-Half_Year</f>
        <v>1.5863235634850779</v>
      </c>
      <c r="CF91" s="787">
        <f t="shared" ref="CF91:CF115" si="135">IF(GECD="Yes",VLOOKUP($B91,$S$192:$AU$222,12,FALSE)*(1+Inflation3)^(Year1-Real_Year2),"")</f>
        <v>1.6280008082003818</v>
      </c>
      <c r="CG91" s="637">
        <f>NPV(realdiscrt3,CF$91:CF91)/(1+realdiscrt3)^-Half_Year</f>
        <v>1.6244309825370178</v>
      </c>
      <c r="CH91" s="634">
        <f t="shared" ref="CH91:CH115" si="136">IF(ECD="YES",VLOOKUP($B91,$C$136:$AR$166,31,FALSE)*(1+Inflation3)^(Year1-Real_Year2),"")</f>
        <v>7.7958732662502701E-3</v>
      </c>
      <c r="CI91" s="637">
        <f>NPV(realdiscrt3,CH$91:CH91)/(1+realdiscrt3)^-Half_Year</f>
        <v>7.7787787363741093E-3</v>
      </c>
      <c r="CJ91" s="634">
        <f t="shared" ref="CJ91:CJ115" si="137">IF(ECD="YES",VLOOKUP($B91,$C$136:$AR$166,30,FALSE)*(1+Inflation3)^(Year1-Real_Year2),"")</f>
        <v>1.1884754304209048E-2</v>
      </c>
      <c r="CK91" s="637">
        <f>NPV(realdiscrt3,CJ$91:CJ91)/(1+realdiscrt3)^-Half_Year</f>
        <v>1.1858693812897104E-2</v>
      </c>
    </row>
    <row r="92" spans="1:89" ht="12.75" customHeight="1">
      <c r="A92" s="56">
        <v>2</v>
      </c>
      <c r="B92" s="56">
        <f>B91+1</f>
        <v>2019</v>
      </c>
      <c r="C92" s="62">
        <f t="shared" si="96"/>
        <v>6.7215437788459523E-2</v>
      </c>
      <c r="D92" s="57">
        <f>NPV(realdiscrt3,C$91:C92)/(1+realdiscrt3)^-Half_Year</f>
        <v>0.13482847672722539</v>
      </c>
      <c r="E92" s="62">
        <f t="shared" si="97"/>
        <v>6.1886928523998463E-2</v>
      </c>
      <c r="F92" s="58">
        <f>NPV(realdiscrt3,E$91:E92)/(1+realdiscrt3)^-Half_Year</f>
        <v>0.12415231854592275</v>
      </c>
      <c r="G92" s="62">
        <f t="shared" si="98"/>
        <v>6.1010033821265588E-2</v>
      </c>
      <c r="H92" s="57">
        <f>NPV(realdiscrt3,G$91:G92)/(1+realdiscrt3)^-Half_Year</f>
        <v>0.12193608468392221</v>
      </c>
      <c r="I92" s="62">
        <f t="shared" si="99"/>
        <v>5.1044219374162578E-2</v>
      </c>
      <c r="J92" s="59">
        <f>NPV(realdiscrt3,I$91:I92)/(1+realdiscrt3)^-Half_Year</f>
        <v>0.10226362171970735</v>
      </c>
      <c r="K92" s="63">
        <f t="shared" si="100"/>
        <v>73.796436723031036</v>
      </c>
      <c r="L92" s="60">
        <f>NPV(realdiscrt3,K$91:K92)/(1+realdiscrt3)^-Half_Year</f>
        <v>154.56592229900113</v>
      </c>
      <c r="M92" s="63">
        <f t="shared" si="101"/>
        <v>0</v>
      </c>
      <c r="N92" s="60">
        <f>NPV(realdiscrt3,M$91:M92)/(1+realdiscrt3)^-Half_Year</f>
        <v>0</v>
      </c>
      <c r="O92" s="63">
        <f t="shared" si="102"/>
        <v>10.739952210274792</v>
      </c>
      <c r="P92" s="60">
        <f>NPV(realdiscrt3,O$91:O92)/(1+realdiscrt3)^-Half_Year</f>
        <v>21.385858397192216</v>
      </c>
      <c r="Q92" s="63">
        <f t="shared" si="103"/>
        <v>84.296373954599773</v>
      </c>
      <c r="R92" s="60">
        <f>NPV(realdiscrt3,Q$91:Q92)/(1+realdiscrt3)^-Half_Year</f>
        <v>167.85459390267692</v>
      </c>
      <c r="S92" s="63">
        <f t="shared" si="104"/>
        <v>19.391180469891133</v>
      </c>
      <c r="T92" s="60">
        <f>NPV(realdiscrt3,S$91:S92)/(1+realdiscrt3)^-Half_Year</f>
        <v>38.21878291671419</v>
      </c>
      <c r="U92" s="63">
        <f t="shared" si="105"/>
        <v>17.763479858726662</v>
      </c>
      <c r="V92" s="60">
        <f>NPV(realdiscrt3,U$91:U92)/(1+realdiscrt3)^-Half_Year</f>
        <v>34.979743876628525</v>
      </c>
      <c r="W92" s="624">
        <f t="shared" si="106"/>
        <v>17.378039716913687</v>
      </c>
      <c r="X92" s="60">
        <f>NPV(realdiscrt3,W$91:W92)/(1+realdiscrt3)^-Half_Year</f>
        <v>34.221796753297433</v>
      </c>
      <c r="Y92" s="624">
        <f t="shared" si="107"/>
        <v>8.1768251615124985</v>
      </c>
      <c r="Z92" s="60">
        <f>NPV(realdiscrt3,Y$91:Y92)/(1+realdiscrt3)^-Half_Year</f>
        <v>16.35732957334405</v>
      </c>
      <c r="AA92" s="63">
        <f t="shared" si="108"/>
        <v>7.9332485090356313</v>
      </c>
      <c r="AB92" s="60">
        <f>NPV(realdiscrt3,AA$91:AA92)/(1+realdiscrt3)^-Half_Year</f>
        <v>15.86424361477914</v>
      </c>
      <c r="AC92" s="63">
        <f t="shared" si="109"/>
        <v>8.3641542483788349</v>
      </c>
      <c r="AD92" s="60">
        <f>NPV(realdiscrt3,AC$91:AC92)/(1+realdiscrt3)^-Half_Year</f>
        <v>16.7626096497753</v>
      </c>
      <c r="AE92" s="63">
        <f t="shared" si="110"/>
        <v>6.6405312910060204</v>
      </c>
      <c r="AF92" s="60">
        <f>NPV(realdiscrt3,AE$91:AE92)/(1+realdiscrt3)^-Half_Year</f>
        <v>13.169145509790672</v>
      </c>
      <c r="AG92" s="63">
        <f t="shared" si="111"/>
        <v>6.8300656663006798</v>
      </c>
      <c r="AH92" s="60">
        <f>NPV(realdiscrt3,AG$91:AG92)/(1+realdiscrt3)^-Half_Year</f>
        <v>13.589570944905532</v>
      </c>
      <c r="AI92" s="63">
        <f t="shared" si="112"/>
        <v>7.7167212440903725</v>
      </c>
      <c r="AJ92" s="60">
        <f>NPV(realdiscrt3,AI$91:AI92)/(1+realdiscrt3)^-Half_Year</f>
        <v>15.43039661559072</v>
      </c>
      <c r="AK92" s="63">
        <f t="shared" si="113"/>
        <v>7.3991351283436675</v>
      </c>
      <c r="AL92" s="60">
        <f>NPV(realdiscrt3,AK$91:AK92)/(1+realdiscrt3)^-Half_Year</f>
        <v>14.76574309686338</v>
      </c>
      <c r="AM92" s="63">
        <f t="shared" si="114"/>
        <v>18.962797353121864</v>
      </c>
      <c r="AN92" s="60">
        <f>NPV(realdiscrt3,AM$91:AM92)/(1+realdiscrt3)^-Half_Year</f>
        <v>37.564519671950016</v>
      </c>
      <c r="AO92" s="63"/>
      <c r="AP92" s="60"/>
      <c r="AQ92" s="63">
        <f t="shared" si="115"/>
        <v>1.0833179284981212E-2</v>
      </c>
      <c r="AR92" s="60">
        <f>NPV(realdiscrt3,AQ$91:AQ92)/(1+realdiscrt3)^-Half_Year</f>
        <v>2.1571496189560471E-2</v>
      </c>
      <c r="AS92" s="63">
        <f t="shared" si="116"/>
        <v>4.5379702334816434E-3</v>
      </c>
      <c r="AT92" s="60">
        <f>NPV(realdiscrt3,AS$91:AS92)/(1+realdiscrt3)^-Half_Year</f>
        <v>9.0362030411147102E-3</v>
      </c>
      <c r="AU92" s="63">
        <f t="shared" si="117"/>
        <v>6.2952090514995698E-3</v>
      </c>
      <c r="AV92" s="60">
        <f>NPV(realdiscrt3,AU$91:AU92)/(1+realdiscrt3)^-Half_Year</f>
        <v>1.253529314844576E-2</v>
      </c>
      <c r="AW92" s="63">
        <v>1</v>
      </c>
      <c r="AX92" s="60">
        <f>NPV(realdiscrt3,AW$91:AW92)/(1+realdiscrt3)^-Half_Year</f>
        <v>1.9912433480600227</v>
      </c>
      <c r="AY92" s="63">
        <f t="shared" si="118"/>
        <v>0</v>
      </c>
      <c r="AZ92" s="60">
        <f>NPV(realdiscrt3,AY$91:AY92)/(1+realdiscrt3)^-Half_Year</f>
        <v>0</v>
      </c>
      <c r="BA92" s="115">
        <f t="shared" si="119"/>
        <v>1.0021975853094038</v>
      </c>
      <c r="BB92" s="74">
        <f t="shared" si="120"/>
        <v>0</v>
      </c>
      <c r="BC92" s="59">
        <f>NPV(realdiscrt3,BB$91:BB92)/(1+realdiscrt3)^-Half_Year</f>
        <v>1.0547347623195183E-2</v>
      </c>
      <c r="BD92" s="74">
        <f t="shared" si="121"/>
        <v>0</v>
      </c>
      <c r="BE92" s="59">
        <f>NPV(realdiscrt3,BD$91:BD92)/(1+realdiscrt3)^-Half_Year</f>
        <v>5.1847026672568524E-3</v>
      </c>
      <c r="BF92" s="74">
        <f t="shared" si="122"/>
        <v>0</v>
      </c>
      <c r="BG92" s="59">
        <f>NPV(realdiscrt3,BF$91:BF92)/(1+realdiscrt3)^-Half_Year</f>
        <v>0</v>
      </c>
      <c r="BH92" s="74">
        <f t="shared" si="123"/>
        <v>0</v>
      </c>
      <c r="BI92" s="59">
        <f>NPV(realdiscrt3,BH$91:BH92)/(1+realdiscrt3)^-Half_Year</f>
        <v>0</v>
      </c>
      <c r="BJ92" s="64">
        <f t="shared" si="124"/>
        <v>4.716744034647552E-2</v>
      </c>
      <c r="BK92" s="61">
        <f>NPV(realdiscrt3,BJ$91:BJ92)/(1+realdiscrt3)^-Half_Year</f>
        <v>9.4363012081829303E-2</v>
      </c>
      <c r="BL92" s="64">
        <f t="shared" si="125"/>
        <v>4.6611984719235375E-2</v>
      </c>
      <c r="BM92" s="61">
        <f>NPV(realdiscrt3,BL$91:BL92)/(1+realdiscrt3)^-Half_Year</f>
        <v>9.3251769545046229E-2</v>
      </c>
      <c r="BN92" s="64">
        <f t="shared" si="126"/>
        <v>5.0268734265232991E-2</v>
      </c>
      <c r="BO92" s="61">
        <f>NPV(realdiscrt3,BN$91:BN92)/(1+realdiscrt3)^-Half_Year</f>
        <v>0.10056744957886812</v>
      </c>
      <c r="BP92" s="64">
        <f t="shared" si="127"/>
        <v>4.813948769414577E-2</v>
      </c>
      <c r="BQ92" s="61">
        <f>NPV(realdiscrt3,BP$91:BP92)/(1+realdiscrt3)^-Half_Year</f>
        <v>9.6307686521199684E-2</v>
      </c>
      <c r="BR92" s="64">
        <f t="shared" si="128"/>
        <v>0.14005407115292715</v>
      </c>
      <c r="BS92" s="61">
        <f>NPV(realdiscrt3,BR$91:BR92)/(1+realdiscrt3)^-Half_Year</f>
        <v>0.2788817375519913</v>
      </c>
      <c r="BT92" s="624">
        <f t="shared" si="129"/>
        <v>1.1175178059558881</v>
      </c>
      <c r="BU92" s="61">
        <f>NPV(realdiscrt3,BT$91:BT92)/(1+realdiscrt3)^-Half_Year</f>
        <v>2.8345085549006726</v>
      </c>
      <c r="BV92" s="788">
        <f t="shared" si="130"/>
        <v>0.99599722787894174</v>
      </c>
      <c r="BW92" s="61">
        <f>NPV(realdiscrt3,BV$91:BV92)/(1+realdiscrt3)^-Half_Year</f>
        <v>2.5769784764411439</v>
      </c>
      <c r="BX92" s="788">
        <f t="shared" si="131"/>
        <v>0.95664862661124106</v>
      </c>
      <c r="BY92" s="61">
        <f>NPV(realdiscrt3,BX$91:BX92)/(1+realdiscrt3)^-Half_Year</f>
        <v>2.4935897324760914</v>
      </c>
      <c r="BZ92" s="788">
        <f t="shared" si="132"/>
        <v>0.98864872376647828</v>
      </c>
      <c r="CA92" s="61">
        <f>NPV(realdiscrt3,BZ$91:BZ92)/(1+realdiscrt3)^-Half_Year</f>
        <v>2.5614053046327889</v>
      </c>
      <c r="CB92" s="788">
        <f t="shared" si="133"/>
        <v>1.0723940011497146</v>
      </c>
      <c r="CC92" s="61">
        <f>NPV(realdiscrt3,CB$91:CB92)/(1+realdiscrt3)^-Half_Year</f>
        <v>2.7388808252105776</v>
      </c>
      <c r="CD92" s="624">
        <f t="shared" si="134"/>
        <v>0.99493549129526715</v>
      </c>
      <c r="CE92" s="61">
        <f>NPV(realdiscrt3,CD$91:CD92)/(1+realdiscrt3)^-Half_Year</f>
        <v>2.5747284122131417</v>
      </c>
      <c r="CF92" s="788">
        <f t="shared" si="135"/>
        <v>1.0287848601016607</v>
      </c>
      <c r="CG92" s="61">
        <f>NPV(realdiscrt3,CF$91:CF92)/(1+realdiscrt3)^-Half_Year</f>
        <v>2.646463016693021</v>
      </c>
      <c r="CH92" s="634">
        <f t="shared" si="136"/>
        <v>5.1489328639050197E-3</v>
      </c>
      <c r="CI92" s="61">
        <f>NPV(realdiscrt3,CH$91:CH92)/(1+realdiscrt3)^-Half_Year</f>
        <v>1.2893914594914577E-2</v>
      </c>
      <c r="CJ92" s="634">
        <f t="shared" si="137"/>
        <v>7.6222704024674556E-3</v>
      </c>
      <c r="CK92" s="61">
        <f>NPV(realdiscrt3,CJ$91:CJ92)/(1+realdiscrt3)^-Half_Year</f>
        <v>1.9430932505786806E-2</v>
      </c>
    </row>
    <row r="93" spans="1:89">
      <c r="A93" s="56">
        <f>A92+1</f>
        <v>3</v>
      </c>
      <c r="B93" s="56">
        <f t="shared" ref="B93:B115" si="138">B92+1</f>
        <v>2020</v>
      </c>
      <c r="C93" s="62">
        <f t="shared" si="96"/>
        <v>6.5590284021440737E-2</v>
      </c>
      <c r="D93" s="57">
        <f>NPV(realdiscrt3,C$91:C93)/(1+realdiscrt3)^-Half_Year</f>
        <v>0.1997027866757754</v>
      </c>
      <c r="E93" s="62">
        <f t="shared" si="97"/>
        <v>5.9786238501483083E-2</v>
      </c>
      <c r="F93" s="58">
        <f>NPV(realdiscrt3,E$91:E93)/(1+realdiscrt3)^-Half_Year</f>
        <v>0.18328593909763857</v>
      </c>
      <c r="G93" s="62">
        <f t="shared" si="98"/>
        <v>6.1098781995139011E-2</v>
      </c>
      <c r="H93" s="57">
        <f>NPV(realdiscrt3,G$91:G93)/(1+realdiscrt3)^-Half_Year</f>
        <v>0.18236792119397346</v>
      </c>
      <c r="I93" s="62">
        <f t="shared" si="99"/>
        <v>4.905949237618619E-2</v>
      </c>
      <c r="J93" s="59">
        <f>NPV(realdiscrt3,I$91:I93)/(1+realdiscrt3)^-Half_Year</f>
        <v>0.15078758775850112</v>
      </c>
      <c r="K93" s="63">
        <f t="shared" si="100"/>
        <v>172.38279451625763</v>
      </c>
      <c r="L93" s="60">
        <f>NPV(realdiscrt3,K$91:K93)/(1+realdiscrt3)^-Half_Year</f>
        <v>325.06701111254</v>
      </c>
      <c r="M93" s="63">
        <f t="shared" si="101"/>
        <v>0</v>
      </c>
      <c r="N93" s="60">
        <f>NPV(realdiscrt3,M$91:M93)/(1+realdiscrt3)^-Half_Year</f>
        <v>0</v>
      </c>
      <c r="O93" s="63">
        <f t="shared" si="102"/>
        <v>10.739952210274792</v>
      </c>
      <c r="P93" s="60">
        <f>NPV(realdiscrt3,O$91:O93)/(1+realdiscrt3)^-Half_Year</f>
        <v>32.008574839374766</v>
      </c>
      <c r="Q93" s="63">
        <f t="shared" si="103"/>
        <v>84.296373954599773</v>
      </c>
      <c r="R93" s="60">
        <f>NPV(realdiscrt3,Q$91:Q93)/(1+realdiscrt3)^-Half_Year</f>
        <v>251.23080080676559</v>
      </c>
      <c r="S93" s="63">
        <f t="shared" si="104"/>
        <v>19.766373299284499</v>
      </c>
      <c r="T93" s="60">
        <f>NPV(realdiscrt3,S$91:S93)/(1+realdiscrt3)^-Half_Year</f>
        <v>57.769389338197982</v>
      </c>
      <c r="U93" s="63">
        <f t="shared" si="105"/>
        <v>18.121230004592423</v>
      </c>
      <c r="V93" s="60">
        <f>NPV(realdiscrt3,U$91:U93)/(1+realdiscrt3)^-Half_Year</f>
        <v>52.903165150160461</v>
      </c>
      <c r="W93" s="624">
        <f t="shared" si="106"/>
        <v>17.723508529049258</v>
      </c>
      <c r="X93" s="60">
        <f>NPV(realdiscrt3,W$91:W93)/(1+realdiscrt3)^-Half_Year</f>
        <v>51.751838021504994</v>
      </c>
      <c r="Y93" s="624">
        <f t="shared" si="107"/>
        <v>7.7849957110078769</v>
      </c>
      <c r="Z93" s="60">
        <f>NPV(realdiscrt3,Y$91:Y93)/(1+realdiscrt3)^-Half_Year</f>
        <v>24.057345394878887</v>
      </c>
      <c r="AA93" s="63">
        <f t="shared" si="108"/>
        <v>7.5468079214342376</v>
      </c>
      <c r="AB93" s="60">
        <f>NPV(realdiscrt3,AA$91:AA93)/(1+realdiscrt3)^-Half_Year</f>
        <v>23.328671670270623</v>
      </c>
      <c r="AC93" s="63">
        <f t="shared" si="109"/>
        <v>7.9723247978742169</v>
      </c>
      <c r="AD93" s="60">
        <f>NPV(realdiscrt3,AC$91:AC93)/(1+realdiscrt3)^-Half_Year</f>
        <v>24.647909700903853</v>
      </c>
      <c r="AE93" s="63">
        <f t="shared" si="110"/>
        <v>6.2702572921143025</v>
      </c>
      <c r="AF93" s="60">
        <f>NPV(realdiscrt3,AE$91:AE93)/(1+realdiscrt3)^-Half_Year</f>
        <v>19.370957578370945</v>
      </c>
      <c r="AG93" s="63">
        <f t="shared" si="111"/>
        <v>6.4597916674089619</v>
      </c>
      <c r="AH93" s="60">
        <f>NPV(realdiscrt3,AG$91:AG93)/(1+realdiscrt3)^-Half_Year</f>
        <v>19.97884845889768</v>
      </c>
      <c r="AI93" s="63">
        <f t="shared" si="112"/>
        <v>7.3248917935857518</v>
      </c>
      <c r="AJ93" s="60">
        <f>NPV(realdiscrt3,AI$91:AI93)/(1+realdiscrt3)^-Half_Year</f>
        <v>22.675330947653311</v>
      </c>
      <c r="AK93" s="63">
        <f t="shared" si="113"/>
        <v>7.0180834036454991</v>
      </c>
      <c r="AL93" s="60">
        <f>NPV(realdiscrt3,AK$91:AK93)/(1+realdiscrt3)^-Half_Year</f>
        <v>21.707218115084711</v>
      </c>
      <c r="AM93" s="63">
        <f t="shared" si="114"/>
        <v>19.094081929922496</v>
      </c>
      <c r="AN93" s="60">
        <f>NPV(realdiscrt3,AM$91:AM93)/(1+realdiscrt3)^-Half_Year</f>
        <v>56.45017335961932</v>
      </c>
      <c r="AO93" s="63"/>
      <c r="AP93" s="60"/>
      <c r="AQ93" s="63">
        <f t="shared" si="115"/>
        <v>1.0833179284981212E-2</v>
      </c>
      <c r="AR93" s="60">
        <f>NPV(realdiscrt3,AQ$91:AQ93)/(1+realdiscrt3)^-Half_Year</f>
        <v>3.2286422053158598E-2</v>
      </c>
      <c r="AS93" s="63">
        <f t="shared" si="116"/>
        <v>4.5379702334816434E-3</v>
      </c>
      <c r="AT93" s="60">
        <f>NPV(realdiscrt3,AS$91:AS93)/(1+realdiscrt3)^-Half_Year</f>
        <v>1.3524637446551141E-2</v>
      </c>
      <c r="AU93" s="63">
        <f t="shared" si="117"/>
        <v>6.2952090514995698E-3</v>
      </c>
      <c r="AV93" s="60">
        <f>NPV(realdiscrt3,AU$91:AU93)/(1+realdiscrt3)^-Half_Year</f>
        <v>1.8761784606607462E-2</v>
      </c>
      <c r="AW93" s="63">
        <v>1</v>
      </c>
      <c r="AX93" s="60">
        <f>NPV(realdiscrt3,AW$91:AW93)/(1+realdiscrt3)^-Half_Year</f>
        <v>2.980327492402854</v>
      </c>
      <c r="AY93" s="63">
        <f t="shared" si="118"/>
        <v>0</v>
      </c>
      <c r="AZ93" s="60">
        <f>NPV(realdiscrt3,AY$91:AY93)/(1+realdiscrt3)^-Half_Year</f>
        <v>0</v>
      </c>
      <c r="BA93" s="115">
        <f t="shared" si="119"/>
        <v>1.0021975853094038</v>
      </c>
      <c r="BB93" s="74">
        <f t="shared" si="120"/>
        <v>0</v>
      </c>
      <c r="BC93" s="59">
        <f>NPV(realdiscrt3,BB$91:BB93)/(1+realdiscrt3)^-Half_Year</f>
        <v>1.0547347623195183E-2</v>
      </c>
      <c r="BD93" s="74">
        <f t="shared" si="121"/>
        <v>0</v>
      </c>
      <c r="BE93" s="59">
        <f>NPV(realdiscrt3,BD$91:BD93)/(1+realdiscrt3)^-Half_Year</f>
        <v>5.1847026672568524E-3</v>
      </c>
      <c r="BF93" s="74">
        <f t="shared" si="122"/>
        <v>0</v>
      </c>
      <c r="BG93" s="59">
        <f>NPV(realdiscrt3,BF$91:BF93)/(1+realdiscrt3)^-Half_Year</f>
        <v>0</v>
      </c>
      <c r="BH93" s="74">
        <f t="shared" si="123"/>
        <v>0</v>
      </c>
      <c r="BI93" s="59">
        <f>NPV(realdiscrt3,BH$91:BH93)/(1+realdiscrt3)^-Half_Year</f>
        <v>0</v>
      </c>
      <c r="BJ93" s="64">
        <f t="shared" si="124"/>
        <v>4.6730512138590218E-2</v>
      </c>
      <c r="BK93" s="61">
        <f>NPV(realdiscrt3,BJ$91:BJ93)/(1+realdiscrt3)^-Half_Year</f>
        <v>0.14058342069512911</v>
      </c>
      <c r="BL93" s="64">
        <f t="shared" si="125"/>
        <v>4.6180201887694151E-2</v>
      </c>
      <c r="BM93" s="61">
        <f>NPV(realdiscrt3,BL$91:BL93)/(1+realdiscrt3)^-Half_Year</f>
        <v>0.1389278750147154</v>
      </c>
      <c r="BN93" s="64">
        <f t="shared" si="126"/>
        <v>4.9803077706093199E-2</v>
      </c>
      <c r="BO93" s="61">
        <f>NPV(realdiscrt3,BN$91:BN93)/(1+realdiscrt3)^-Half_Year</f>
        <v>0.14982688407743885</v>
      </c>
      <c r="BP93" s="64">
        <f t="shared" si="127"/>
        <v>4.7693555077658316E-2</v>
      </c>
      <c r="BQ93" s="61">
        <f>NPV(realdiscrt3,BP$91:BP93)/(1+realdiscrt3)^-Half_Year</f>
        <v>0.14348062563585307</v>
      </c>
      <c r="BR93" s="64">
        <f t="shared" si="128"/>
        <v>0.14005407115292715</v>
      </c>
      <c r="BS93" s="61">
        <f>NPV(realdiscrt3,BR$91:BR93)/(1+realdiscrt3)^-Half_Year</f>
        <v>0.41740699868001424</v>
      </c>
      <c r="BT93" s="624">
        <f t="shared" si="129"/>
        <v>1.0995233394413428</v>
      </c>
      <c r="BU93" s="61">
        <f>NPV(realdiscrt3,BT$91:BT93)/(1+realdiscrt3)^-Half_Year</f>
        <v>3.9220296562769859</v>
      </c>
      <c r="BV93" s="788">
        <f t="shared" si="130"/>
        <v>0.97869894994594731</v>
      </c>
      <c r="BW93" s="61">
        <f>NPV(realdiscrt3,BV$91:BV93)/(1+realdiscrt3)^-Half_Year</f>
        <v>3.5449940899176586</v>
      </c>
      <c r="BX93" s="788">
        <f t="shared" si="131"/>
        <v>0.93957577590494412</v>
      </c>
      <c r="BY93" s="61">
        <f>NPV(realdiscrt3,BX$91:BX93)/(1+realdiscrt3)^-Half_Year</f>
        <v>3.4229092348322854</v>
      </c>
      <c r="BZ93" s="788">
        <f t="shared" si="132"/>
        <v>0.97139254524360452</v>
      </c>
      <c r="CA93" s="61">
        <f>NPV(realdiscrt3,BZ$91:BZ93)/(1+realdiscrt3)^-Half_Year</f>
        <v>3.5221942690660648</v>
      </c>
      <c r="CB93" s="788">
        <f t="shared" si="133"/>
        <v>1.0546580478693828</v>
      </c>
      <c r="CC93" s="61">
        <f>NPV(realdiscrt3,CB$91:CB93)/(1+realdiscrt3)^-Half_Year</f>
        <v>3.7820263780617474</v>
      </c>
      <c r="CD93" s="624">
        <f t="shared" si="134"/>
        <v>0.97764329602660704</v>
      </c>
      <c r="CE93" s="61">
        <f>NPV(realdiscrt3,CD$91:CD93)/(1+realdiscrt3)^-Half_Year</f>
        <v>3.5416998951361238</v>
      </c>
      <c r="CF93" s="788">
        <f t="shared" si="135"/>
        <v>1.0112987425819</v>
      </c>
      <c r="CG93" s="61">
        <f>NPV(realdiscrt3,CF$91:CF93)/(1+realdiscrt3)^-Half_Year</f>
        <v>3.6467225681746207</v>
      </c>
      <c r="CH93" s="634">
        <f t="shared" si="136"/>
        <v>5.0709268515644664E-3</v>
      </c>
      <c r="CI93" s="61">
        <f>NPV(realdiscrt3,CH$91:CH93)/(1+realdiscrt3)^-Half_Year</f>
        <v>1.7909487940919303E-2</v>
      </c>
      <c r="CJ93" s="634">
        <f t="shared" si="137"/>
        <v>7.49891905611446E-3</v>
      </c>
      <c r="CK93" s="61">
        <f>NPV(realdiscrt3,CJ$91:CJ93)/(1+realdiscrt3)^-Half_Year</f>
        <v>2.6847994443899927E-2</v>
      </c>
    </row>
    <row r="94" spans="1:89">
      <c r="A94" s="56">
        <f t="shared" ref="A94:A114" si="139">A93+1</f>
        <v>4</v>
      </c>
      <c r="B94" s="56">
        <f t="shared" si="138"/>
        <v>2021</v>
      </c>
      <c r="C94" s="62">
        <f t="shared" si="96"/>
        <v>7.0025258340496915E-2</v>
      </c>
      <c r="D94" s="57">
        <f>NPV(realdiscrt3,C$91:C94)/(1+realdiscrt3)^-Half_Year</f>
        <v>0.26866024658029164</v>
      </c>
      <c r="E94" s="62">
        <f t="shared" si="97"/>
        <v>6.4479092244046646E-2</v>
      </c>
      <c r="F94" s="58">
        <f>NPV(realdiscrt3,E$91:E94)/(1+realdiscrt3)^-Half_Year</f>
        <v>0.24678180506757622</v>
      </c>
      <c r="G94" s="62">
        <f t="shared" si="98"/>
        <v>6.6425218459499225E-2</v>
      </c>
      <c r="H94" s="57">
        <f>NPV(realdiscrt3,G$91:G94)/(1+realdiscrt3)^-Half_Year</f>
        <v>0.24778023736561769</v>
      </c>
      <c r="I94" s="62">
        <f t="shared" si="99"/>
        <v>5.4468488114059535E-2</v>
      </c>
      <c r="J94" s="59">
        <f>NPV(realdiscrt3,I$91:I94)/(1+realdiscrt3)^-Half_Year</f>
        <v>0.20442549890937953</v>
      </c>
      <c r="K94" s="63">
        <f t="shared" si="100"/>
        <v>175.99712039482176</v>
      </c>
      <c r="L94" s="60">
        <f>NPV(realdiscrt3,K$91:K94)/(1+realdiscrt3)^-Half_Year</f>
        <v>498.38039346271381</v>
      </c>
      <c r="M94" s="63">
        <f t="shared" si="101"/>
        <v>0</v>
      </c>
      <c r="N94" s="60">
        <f>NPV(realdiscrt3,M$91:M94)/(1+realdiscrt3)^-Half_Year</f>
        <v>0</v>
      </c>
      <c r="O94" s="63">
        <f t="shared" si="102"/>
        <v>10.739952210274792</v>
      </c>
      <c r="P94" s="60">
        <f>NPV(realdiscrt3,O$91:O94)/(1+realdiscrt3)^-Half_Year</f>
        <v>42.584756084080603</v>
      </c>
      <c r="Q94" s="63">
        <f t="shared" si="103"/>
        <v>84.296373954599773</v>
      </c>
      <c r="R94" s="60">
        <f>NPV(realdiscrt3,Q$91:Q94)/(1+realdiscrt3)^-Half_Year</f>
        <v>334.24175949263639</v>
      </c>
      <c r="S94" s="63">
        <f t="shared" si="104"/>
        <v>20.149083118471328</v>
      </c>
      <c r="T94" s="60">
        <f>NPV(realdiscrt3,S$91:S94)/(1+realdiscrt3)^-Half_Year</f>
        <v>77.611223901644635</v>
      </c>
      <c r="U94" s="63">
        <f t="shared" si="105"/>
        <v>18.498588460960736</v>
      </c>
      <c r="V94" s="60">
        <f>NPV(realdiscrt3,U$91:U94)/(1+realdiscrt3)^-Half_Year</f>
        <v>71.119673054839396</v>
      </c>
      <c r="W94" s="624">
        <f t="shared" si="106"/>
        <v>18.092260969615371</v>
      </c>
      <c r="X94" s="60">
        <f>NPV(realdiscrt3,W$91:W94)/(1+realdiscrt3)^-Half_Year</f>
        <v>69.568214425685824</v>
      </c>
      <c r="Y94" s="624">
        <f t="shared" si="107"/>
        <v>8.1080552347872334</v>
      </c>
      <c r="Z94" s="60">
        <f>NPV(realdiscrt3,Y$91:Y94)/(1+realdiscrt3)^-Half_Year</f>
        <v>32.041762832338009</v>
      </c>
      <c r="AA94" s="63">
        <f t="shared" si="108"/>
        <v>7.8671730137619802</v>
      </c>
      <c r="AB94" s="60">
        <f>NPV(realdiscrt3,AA$91:AA94)/(1+realdiscrt3)^-Half_Year</f>
        <v>31.075880042148146</v>
      </c>
      <c r="AC94" s="63">
        <f t="shared" si="109"/>
        <v>8.2953843216535716</v>
      </c>
      <c r="AD94" s="60">
        <f>NPV(realdiscrt3,AC$91:AC94)/(1+realdiscrt3)^-Half_Year</f>
        <v>32.816799688735067</v>
      </c>
      <c r="AE94" s="63">
        <f t="shared" si="110"/>
        <v>6.5825390900872049</v>
      </c>
      <c r="AF94" s="60">
        <f>NPV(realdiscrt3,AE$91:AE94)/(1+realdiscrt3)^-Half_Year</f>
        <v>25.853121102387416</v>
      </c>
      <c r="AG94" s="63">
        <f t="shared" si="111"/>
        <v>6.7720734653818671</v>
      </c>
      <c r="AH94" s="60">
        <f>NPV(realdiscrt3,AG$91:AG94)/(1+realdiscrt3)^-Half_Year</f>
        <v>26.647656193798134</v>
      </c>
      <c r="AI94" s="63">
        <f t="shared" si="112"/>
        <v>7.6479513173651066</v>
      </c>
      <c r="AJ94" s="60">
        <f>NPV(realdiscrt3,AI$91:AI94)/(1+realdiscrt3)^-Half_Year</f>
        <v>30.206660482412069</v>
      </c>
      <c r="AK94" s="63">
        <f t="shared" si="113"/>
        <v>7.3303652016184024</v>
      </c>
      <c r="AL94" s="60">
        <f>NPV(realdiscrt3,AK$91:AK94)/(1+realdiscrt3)^-Half_Year</f>
        <v>28.925804328907102</v>
      </c>
      <c r="AM94" s="63">
        <f t="shared" si="114"/>
        <v>19.312535744643817</v>
      </c>
      <c r="AN94" s="60">
        <f>NPV(realdiscrt3,AM$91:AM94)/(1+realdiscrt3)^-Half_Year</f>
        <v>75.46821686029773</v>
      </c>
      <c r="AO94" s="63"/>
      <c r="AP94" s="60"/>
      <c r="AQ94" s="63">
        <f t="shared" si="115"/>
        <v>1.0833179284981212E-2</v>
      </c>
      <c r="AR94" s="60">
        <f>NPV(realdiscrt3,AQ$91:AQ94)/(1+realdiscrt3)^-Half_Year</f>
        <v>4.2954408775179836E-2</v>
      </c>
      <c r="AS94" s="63">
        <f t="shared" si="116"/>
        <v>4.5379702334816434E-3</v>
      </c>
      <c r="AT94" s="60">
        <f>NPV(realdiscrt3,AS$91:AS94)/(1+realdiscrt3)^-Half_Year</f>
        <v>1.7993409256025879E-2</v>
      </c>
      <c r="AU94" s="63">
        <f t="shared" si="117"/>
        <v>6.2952090514995698E-3</v>
      </c>
      <c r="AV94" s="60">
        <f>NPV(realdiscrt3,AU$91:AU94)/(1+realdiscrt3)^-Half_Year</f>
        <v>2.4960999519153954E-2</v>
      </c>
      <c r="AW94" s="63">
        <v>1</v>
      </c>
      <c r="AX94" s="60">
        <f>NPV(realdiscrt3,AW$91:AW94)/(1+realdiscrt3)^-Half_Year</f>
        <v>3.9650787312945619</v>
      </c>
      <c r="AY94" s="63">
        <f t="shared" si="118"/>
        <v>0</v>
      </c>
      <c r="AZ94" s="60">
        <f>NPV(realdiscrt3,AY$91:AY94)/(1+realdiscrt3)^-Half_Year</f>
        <v>0</v>
      </c>
      <c r="BA94" s="115">
        <f t="shared" si="119"/>
        <v>1.0021975853094038</v>
      </c>
      <c r="BB94" s="74">
        <f t="shared" si="120"/>
        <v>0</v>
      </c>
      <c r="BC94" s="59">
        <f>NPV(realdiscrt3,BB$91:BB94)/(1+realdiscrt3)^-Half_Year</f>
        <v>1.0547347623195183E-2</v>
      </c>
      <c r="BD94" s="74">
        <f t="shared" si="121"/>
        <v>0</v>
      </c>
      <c r="BE94" s="59">
        <f>NPV(realdiscrt3,BD$91:BD94)/(1+realdiscrt3)^-Half_Year</f>
        <v>5.1847026672568524E-3</v>
      </c>
      <c r="BF94" s="74">
        <f t="shared" si="122"/>
        <v>0</v>
      </c>
      <c r="BG94" s="59">
        <f>NPV(realdiscrt3,BF$91:BF94)/(1+realdiscrt3)^-Half_Year</f>
        <v>0</v>
      </c>
      <c r="BH94" s="74">
        <f t="shared" si="123"/>
        <v>0</v>
      </c>
      <c r="BI94" s="59">
        <f>NPV(realdiscrt3,BH$91:BH94)/(1+realdiscrt3)^-Half_Year</f>
        <v>0</v>
      </c>
      <c r="BJ94" s="64">
        <f t="shared" si="124"/>
        <v>4.5492548882915186E-2</v>
      </c>
      <c r="BK94" s="61">
        <f>NPV(realdiscrt3,BJ$91:BJ94)/(1+realdiscrt3)^-Half_Year</f>
        <v>0.18538226456792142</v>
      </c>
      <c r="BL94" s="64">
        <f t="shared" si="125"/>
        <v>4.4956817198327371E-2</v>
      </c>
      <c r="BM94" s="61">
        <f>NPV(realdiscrt3,BL$91:BL94)/(1+realdiscrt3)^-Half_Year</f>
        <v>0.18319915644739632</v>
      </c>
      <c r="BN94" s="64">
        <f t="shared" si="126"/>
        <v>4.8483717455197146E-2</v>
      </c>
      <c r="BO94" s="61">
        <f>NPV(realdiscrt3,BN$91:BN94)/(1+realdiscrt3)^-Half_Year</f>
        <v>0.19757128490751977</v>
      </c>
      <c r="BP94" s="64">
        <f t="shared" si="127"/>
        <v>4.6430079330943862E-2</v>
      </c>
      <c r="BQ94" s="61">
        <f>NPV(realdiscrt3,BP$91:BP94)/(1+realdiscrt3)^-Half_Year</f>
        <v>0.18920270377884033</v>
      </c>
      <c r="BR94" s="64">
        <f t="shared" si="128"/>
        <v>0.14005407115292715</v>
      </c>
      <c r="BS94" s="61">
        <f>NPV(realdiscrt3,BR$91:BR94)/(1+realdiscrt3)^-Half_Year</f>
        <v>0.55532541875968666</v>
      </c>
      <c r="BT94" s="624">
        <f t="shared" si="129"/>
        <v>0.21756818493921748</v>
      </c>
      <c r="BU94" s="61">
        <f>NPV(realdiscrt3,BT$91:BT94)/(1+realdiscrt3)^-Half_Year</f>
        <v>4.1362801959393005</v>
      </c>
      <c r="BV94" s="788">
        <f t="shared" si="130"/>
        <v>0.11895758079736654</v>
      </c>
      <c r="BW94" s="61">
        <f>NPV(realdiscrt3,BV$91:BV94)/(1+realdiscrt3)^-Half_Year</f>
        <v>3.6621377149834258</v>
      </c>
      <c r="BX94" s="788">
        <f t="shared" si="131"/>
        <v>8.7027273975686992E-2</v>
      </c>
      <c r="BY94" s="61">
        <f>NPV(realdiscrt3,BX$91:BX94)/(1+realdiscrt3)^-Half_Year</f>
        <v>3.508609450697211</v>
      </c>
      <c r="BZ94" s="788">
        <f t="shared" si="132"/>
        <v>0.11299447198455247</v>
      </c>
      <c r="CA94" s="61">
        <f>NPV(realdiscrt3,BZ$91:BZ94)/(1+realdiscrt3)^-Half_Year</f>
        <v>3.6334657153407672</v>
      </c>
      <c r="CB94" s="788">
        <f t="shared" si="133"/>
        <v>0.18095145941394719</v>
      </c>
      <c r="CC94" s="61">
        <f>NPV(realdiscrt3,CB$91:CB94)/(1+realdiscrt3)^-Half_Year</f>
        <v>3.9602185518988939</v>
      </c>
      <c r="CD94" s="624">
        <f t="shared" si="134"/>
        <v>0.11809601078500725</v>
      </c>
      <c r="CE94" s="61">
        <f>NPV(realdiscrt3,CD$91:CD94)/(1+realdiscrt3)^-Half_Year</f>
        <v>3.657995088064828</v>
      </c>
      <c r="CF94" s="788">
        <f t="shared" si="135"/>
        <v>0.145563841835854</v>
      </c>
      <c r="CG94" s="61">
        <f>NPV(realdiscrt3,CF$91:CF94)/(1+realdiscrt3)^-Half_Year</f>
        <v>3.7900667417603149</v>
      </c>
      <c r="CH94" s="634">
        <f t="shared" si="136"/>
        <v>1.2476512567977532E-3</v>
      </c>
      <c r="CI94" s="61">
        <f>NPV(realdiscrt3,CH$91:CH94)/(1+realdiscrt3)^-Half_Year</f>
        <v>1.9138114061755689E-2</v>
      </c>
      <c r="CJ94" s="634">
        <f t="shared" si="137"/>
        <v>1.3392561296755785E-3</v>
      </c>
      <c r="CK94" s="61">
        <f>NPV(realdiscrt3,CJ$91:CJ94)/(1+realdiscrt3)^-Half_Year</f>
        <v>2.8166828576791269E-2</v>
      </c>
    </row>
    <row r="95" spans="1:89">
      <c r="A95" s="56">
        <f t="shared" si="139"/>
        <v>5</v>
      </c>
      <c r="B95" s="56">
        <f t="shared" si="138"/>
        <v>2022</v>
      </c>
      <c r="C95" s="62">
        <f t="shared" si="96"/>
        <v>7.3806040235143519E-2</v>
      </c>
      <c r="D95" s="57">
        <f>NPV(realdiscrt3,C$91:C95)/(1+realdiscrt3)^-Half_Year</f>
        <v>0.34102244247759234</v>
      </c>
      <c r="E95" s="62">
        <f t="shared" si="97"/>
        <v>6.7799558971944895E-2</v>
      </c>
      <c r="F95" s="58">
        <f>NPV(realdiscrt3,E$91:E95)/(1+realdiscrt3)^-Half_Year</f>
        <v>0.31325502260434862</v>
      </c>
      <c r="G95" s="62">
        <f t="shared" si="98"/>
        <v>6.9590979487970758E-2</v>
      </c>
      <c r="H95" s="57">
        <f>NPV(realdiscrt3,G$91:G95)/(1+realdiscrt3)^-Half_Year</f>
        <v>0.31600983042263342</v>
      </c>
      <c r="I95" s="62">
        <f t="shared" si="99"/>
        <v>5.7103199490813258E-2</v>
      </c>
      <c r="J95" s="59">
        <f>NPV(realdiscrt3,I$91:I95)/(1+realdiscrt3)^-Half_Year</f>
        <v>0.26041160647933043</v>
      </c>
      <c r="K95" s="63">
        <f t="shared" si="100"/>
        <v>177.65179933155642</v>
      </c>
      <c r="L95" s="60">
        <f>NPV(realdiscrt3,K$91:K95)/(1+realdiscrt3)^-Half_Year</f>
        <v>672.55684655221125</v>
      </c>
      <c r="M95" s="63">
        <f t="shared" si="101"/>
        <v>0</v>
      </c>
      <c r="N95" s="60">
        <f>NPV(realdiscrt3,M$91:M95)/(1+realdiscrt3)^-Half_Year</f>
        <v>0</v>
      </c>
      <c r="O95" s="63">
        <f t="shared" si="102"/>
        <v>10.739952210274792</v>
      </c>
      <c r="P95" s="60">
        <f>NPV(realdiscrt3,O$91:O95)/(1+realdiscrt3)^-Half_Year</f>
        <v>53.114605989203902</v>
      </c>
      <c r="Q95" s="63">
        <f t="shared" si="103"/>
        <v>84.296373954599773</v>
      </c>
      <c r="R95" s="60">
        <f>NPV(realdiscrt3,Q$91:Q95)/(1+realdiscrt3)^-Half_Year</f>
        <v>416.88907001222105</v>
      </c>
      <c r="S95" s="63">
        <f t="shared" si="104"/>
        <v>20.547288832686831</v>
      </c>
      <c r="T95" s="60">
        <f>NPV(realdiscrt3,S$91:S95)/(1+realdiscrt3)^-Half_Year</f>
        <v>97.756552589273184</v>
      </c>
      <c r="U95" s="63">
        <f t="shared" si="105"/>
        <v>18.917331016189795</v>
      </c>
      <c r="V95" s="60">
        <f>NPV(realdiscrt3,U$91:U95)/(1+realdiscrt3)^-Half_Year</f>
        <v>89.666930277775904</v>
      </c>
      <c r="W95" s="624">
        <f t="shared" si="106"/>
        <v>18.522543798135587</v>
      </c>
      <c r="X95" s="60">
        <f>NPV(realdiscrt3,W$91:W95)/(1+realdiscrt3)^-Half_Year</f>
        <v>87.728407528672619</v>
      </c>
      <c r="Y95" s="624">
        <f t="shared" si="107"/>
        <v>8.19021389254398</v>
      </c>
      <c r="Z95" s="60">
        <f>NPV(realdiscrt3,Y$91:Y95)/(1+realdiscrt3)^-Half_Year</f>
        <v>40.071754148019778</v>
      </c>
      <c r="AA95" s="63">
        <f t="shared" si="108"/>
        <v>7.9412483771638893</v>
      </c>
      <c r="AB95" s="60">
        <f>NPV(realdiscrt3,AA$91:AA95)/(1+realdiscrt3)^-Half_Year</f>
        <v>38.861776276476007</v>
      </c>
      <c r="AC95" s="63">
        <f t="shared" si="109"/>
        <v>8.3667652536038677</v>
      </c>
      <c r="AD95" s="60">
        <f>NPV(realdiscrt3,AC$91:AC95)/(1+realdiscrt3)^-Half_Year</f>
        <v>41.019888546762246</v>
      </c>
      <c r="AE95" s="63">
        <f t="shared" si="110"/>
        <v>6.6646977478439533</v>
      </c>
      <c r="AF95" s="60">
        <f>NPV(realdiscrt3,AE$91:AE95)/(1+realdiscrt3)^-Half_Year</f>
        <v>32.387439465617312</v>
      </c>
      <c r="AG95" s="63">
        <f t="shared" si="111"/>
        <v>6.8542321231386136</v>
      </c>
      <c r="AH95" s="60">
        <f>NPV(realdiscrt3,AG$91:AG95)/(1+realdiscrt3)^-Half_Year</f>
        <v>33.367801130986599</v>
      </c>
      <c r="AI95" s="63">
        <f t="shared" si="112"/>
        <v>7.7193322493154026</v>
      </c>
      <c r="AJ95" s="60">
        <f>NPV(realdiscrt3,AI$91:AI95)/(1+realdiscrt3)^-Half_Year</f>
        <v>37.774981864261989</v>
      </c>
      <c r="AK95" s="63">
        <f t="shared" si="113"/>
        <v>7.4125238593751508</v>
      </c>
      <c r="AL95" s="60">
        <f>NPV(realdiscrt3,AK$91:AK95)/(1+realdiscrt3)^-Half_Year</f>
        <v>36.193319316794422</v>
      </c>
      <c r="AM95" s="63">
        <f t="shared" si="114"/>
        <v>19.485167386596778</v>
      </c>
      <c r="AN95" s="60">
        <f>NPV(realdiscrt3,AM$91:AM95)/(1+realdiscrt3)^-Half_Year</f>
        <v>94.572202049429038</v>
      </c>
      <c r="AO95" s="63"/>
      <c r="AP95" s="60"/>
      <c r="AQ95" s="63">
        <f t="shared" si="115"/>
        <v>1.0833179284981212E-2</v>
      </c>
      <c r="AR95" s="60">
        <f>NPV(realdiscrt3,AQ$91:AQ95)/(1+realdiscrt3)^-Half_Year</f>
        <v>5.3575661983086283E-2</v>
      </c>
      <c r="AS95" s="63">
        <f t="shared" si="116"/>
        <v>4.5379702334816434E-3</v>
      </c>
      <c r="AT95" s="60">
        <f>NPV(realdiscrt3,AS$91:AS95)/(1+realdiscrt3)^-Half_Year</f>
        <v>2.2442604605960908E-2</v>
      </c>
      <c r="AU95" s="63">
        <f t="shared" si="117"/>
        <v>6.2952090514995698E-3</v>
      </c>
      <c r="AV95" s="60">
        <f>NPV(realdiscrt3,AU$91:AU95)/(1+realdiscrt3)^-Half_Year</f>
        <v>3.1133057377125375E-2</v>
      </c>
      <c r="AW95" s="63">
        <v>1</v>
      </c>
      <c r="AX95" s="60">
        <f>NPV(realdiscrt3,AW$91:AW95)/(1+realdiscrt3)^-Half_Year</f>
        <v>4.9455160460015595</v>
      </c>
      <c r="AY95" s="63">
        <f t="shared" si="118"/>
        <v>0</v>
      </c>
      <c r="AZ95" s="60">
        <f>NPV(realdiscrt3,AY$91:AY95)/(1+realdiscrt3)^-Half_Year</f>
        <v>0</v>
      </c>
      <c r="BA95" s="115">
        <f t="shared" si="119"/>
        <v>1.0021975853094038</v>
      </c>
      <c r="BB95" s="74">
        <f t="shared" si="120"/>
        <v>0</v>
      </c>
      <c r="BC95" s="59">
        <f>NPV(realdiscrt3,BB$91:BB95)/(1+realdiscrt3)^-Half_Year</f>
        <v>1.0547347623195183E-2</v>
      </c>
      <c r="BD95" s="74">
        <f t="shared" si="121"/>
        <v>0</v>
      </c>
      <c r="BE95" s="59">
        <f>NPV(realdiscrt3,BD$91:BD95)/(1+realdiscrt3)^-Half_Year</f>
        <v>5.1847026672568524E-3</v>
      </c>
      <c r="BF95" s="74">
        <f t="shared" si="122"/>
        <v>0</v>
      </c>
      <c r="BG95" s="59">
        <f>NPV(realdiscrt3,BF$91:BF95)/(1+realdiscrt3)^-Half_Year</f>
        <v>0</v>
      </c>
      <c r="BH95" s="74">
        <f t="shared" si="123"/>
        <v>0</v>
      </c>
      <c r="BI95" s="59">
        <f>NPV(realdiscrt3,BH$91:BH95)/(1+realdiscrt3)^-Half_Year</f>
        <v>0</v>
      </c>
      <c r="BJ95" s="64">
        <f t="shared" si="124"/>
        <v>4.4254585627240148E-2</v>
      </c>
      <c r="BK95" s="61">
        <f>NPV(realdiscrt3,BJ$91:BJ95)/(1+realdiscrt3)^-Half_Year</f>
        <v>0.2287711116637636</v>
      </c>
      <c r="BL95" s="64">
        <f t="shared" si="125"/>
        <v>4.3733432508960578E-2</v>
      </c>
      <c r="BM95" s="61">
        <f>NPV(realdiscrt3,BL$91:BL95)/(1+realdiscrt3)^-Half_Year</f>
        <v>0.22607704557940136</v>
      </c>
      <c r="BN95" s="64">
        <f t="shared" si="126"/>
        <v>4.7164357204301087E-2</v>
      </c>
      <c r="BO95" s="61">
        <f>NPV(realdiscrt3,BN$91:BN95)/(1+realdiscrt3)^-Half_Year</f>
        <v>0.24381298063478635</v>
      </c>
      <c r="BP95" s="64">
        <f t="shared" si="127"/>
        <v>4.5166603584229401E-2</v>
      </c>
      <c r="BQ95" s="61">
        <f>NPV(realdiscrt3,BP$91:BP95)/(1+realdiscrt3)^-Half_Year</f>
        <v>0.23348572731139763</v>
      </c>
      <c r="BR95" s="64">
        <f t="shared" si="128"/>
        <v>0.14005407115292715</v>
      </c>
      <c r="BS95" s="61">
        <f>NPV(realdiscrt3,BR$91:BR95)/(1+realdiscrt3)^-Half_Year</f>
        <v>0.69263965619464529</v>
      </c>
      <c r="BT95" s="624">
        <f t="shared" si="129"/>
        <v>0.2173802429218937</v>
      </c>
      <c r="BU95" s="61">
        <f>NPV(realdiscrt3,BT$91:BT95)/(1+realdiscrt3)^-Half_Year</f>
        <v>4.3494078975799972</v>
      </c>
      <c r="BV95" s="788">
        <f t="shared" si="130"/>
        <v>0.11885482161997461</v>
      </c>
      <c r="BW95" s="61">
        <f>NPV(realdiscrt3,BV$91:BV95)/(1+realdiscrt3)^-Half_Year</f>
        <v>3.778667417132493</v>
      </c>
      <c r="BX95" s="788">
        <f t="shared" si="131"/>
        <v>8.6952097168757486E-2</v>
      </c>
      <c r="BY95" s="61">
        <f>NPV(realdiscrt3,BX$91:BX95)/(1+realdiscrt3)^-Half_Year</f>
        <v>3.593860531353489</v>
      </c>
      <c r="BZ95" s="788">
        <f t="shared" si="132"/>
        <v>0.11289686392197135</v>
      </c>
      <c r="CA95" s="61">
        <f>NPV(realdiscrt3,BZ$91:BZ95)/(1+realdiscrt3)^-Half_Year</f>
        <v>3.744154013443266</v>
      </c>
      <c r="CB95" s="788">
        <f t="shared" si="133"/>
        <v>0.18079514803813901</v>
      </c>
      <c r="CC95" s="61">
        <f>NPV(realdiscrt3,CB$91:CB95)/(1+realdiscrt3)^-Half_Year</f>
        <v>4.1374768613534609</v>
      </c>
      <c r="CD95" s="624">
        <f t="shared" si="134"/>
        <v>0.11799399585800389</v>
      </c>
      <c r="CE95" s="61">
        <f>NPV(realdiscrt3,CD$91:CD95)/(1+realdiscrt3)^-Half_Year</f>
        <v>3.773680804515398</v>
      </c>
      <c r="CF95" s="788">
        <f t="shared" si="135"/>
        <v>0.14543809936072294</v>
      </c>
      <c r="CG95" s="61">
        <f>NPV(realdiscrt3,CF$91:CF95)/(1+realdiscrt3)^-Half_Year</f>
        <v>3.9326596813536314</v>
      </c>
      <c r="CH95" s="634">
        <f t="shared" si="136"/>
        <v>1.2468365281526547E-3</v>
      </c>
      <c r="CI95" s="61">
        <f>NPV(realdiscrt3,CH$91:CH95)/(1+realdiscrt3)^-Half_Year</f>
        <v>2.0360559119296271E-2</v>
      </c>
      <c r="CJ95" s="634">
        <f t="shared" si="137"/>
        <v>1.3387129772455125E-3</v>
      </c>
      <c r="CK95" s="61">
        <f>NPV(realdiscrt3,CJ$91:CJ95)/(1+realdiscrt3)^-Half_Year</f>
        <v>2.9479352733365268E-2</v>
      </c>
    </row>
    <row r="96" spans="1:89">
      <c r="A96" s="56">
        <f t="shared" si="139"/>
        <v>6</v>
      </c>
      <c r="B96" s="56">
        <f t="shared" si="138"/>
        <v>2023</v>
      </c>
      <c r="C96" s="62">
        <f t="shared" si="96"/>
        <v>7.5579442762519183E-2</v>
      </c>
      <c r="D96" s="57">
        <f>NPV(realdiscrt3,C$91:C96)/(1+realdiscrt3)^-Half_Year</f>
        <v>0.41479873270970657</v>
      </c>
      <c r="E96" s="62">
        <f t="shared" si="97"/>
        <v>7.0063765649367837E-2</v>
      </c>
      <c r="F96" s="58">
        <f>NPV(realdiscrt3,E$91:E96)/(1+realdiscrt3)^-Half_Year</f>
        <v>0.38164722715584848</v>
      </c>
      <c r="G96" s="62">
        <f t="shared" si="98"/>
        <v>7.4129051173645238E-2</v>
      </c>
      <c r="H96" s="57">
        <f>NPV(realdiscrt3,G$91:G96)/(1+realdiscrt3)^-Half_Year</f>
        <v>0.3883703320897644</v>
      </c>
      <c r="I96" s="62">
        <f t="shared" si="99"/>
        <v>6.0261718117225589E-2</v>
      </c>
      <c r="J96" s="59">
        <f>NPV(realdiscrt3,I$91:I96)/(1+realdiscrt3)^-Half_Year</f>
        <v>0.31923561791947647</v>
      </c>
      <c r="K96" s="63">
        <f t="shared" si="100"/>
        <v>174.89100292179705</v>
      </c>
      <c r="L96" s="60">
        <f>NPV(realdiscrt3,K$91:K96)/(1+realdiscrt3)^-Half_Year</f>
        <v>843.27535040631358</v>
      </c>
      <c r="M96" s="63">
        <f t="shared" si="101"/>
        <v>0</v>
      </c>
      <c r="N96" s="60">
        <f>NPV(realdiscrt3,M$91:M96)/(1+realdiscrt3)^-Half_Year</f>
        <v>0</v>
      </c>
      <c r="O96" s="63">
        <f t="shared" si="102"/>
        <v>10.739952210274792</v>
      </c>
      <c r="P96" s="60">
        <f>NPV(realdiscrt3,O$91:O96)/(1+realdiscrt3)^-Half_Year</f>
        <v>63.598327519593489</v>
      </c>
      <c r="Q96" s="63">
        <f t="shared" si="103"/>
        <v>84.296373954599773</v>
      </c>
      <c r="R96" s="60">
        <f>NPV(realdiscrt3,Q$91:Q96)/(1+realdiscrt3)^-Half_Year</f>
        <v>499.17432540806396</v>
      </c>
      <c r="S96" s="63">
        <f t="shared" si="104"/>
        <v>20.90926154556945</v>
      </c>
      <c r="T96" s="60">
        <f>NPV(realdiscrt3,S$91:S96)/(1+realdiscrt3)^-Half_Year</f>
        <v>118.16696700807485</v>
      </c>
      <c r="U96" s="63">
        <f t="shared" si="105"/>
        <v>19.241596316181905</v>
      </c>
      <c r="V96" s="60">
        <f>NPV(realdiscrt3,U$91:U96)/(1+realdiscrt3)^-Half_Year</f>
        <v>108.44946614288288</v>
      </c>
      <c r="W96" s="624">
        <f t="shared" si="106"/>
        <v>18.823129316851041</v>
      </c>
      <c r="X96" s="60">
        <f>NPV(realdiscrt3,W$91:W96)/(1+realdiscrt3)^-Half_Year</f>
        <v>106.10246005933371</v>
      </c>
      <c r="Y96" s="624">
        <f t="shared" si="107"/>
        <v>8.2699885130800972</v>
      </c>
      <c r="Z96" s="60">
        <f>NPV(realdiscrt3,Y$91:Y96)/(1+realdiscrt3)^-Half_Year</f>
        <v>48.144439662179444</v>
      </c>
      <c r="AA96" s="63">
        <f t="shared" si="108"/>
        <v>8.031800723506457</v>
      </c>
      <c r="AB96" s="60">
        <f>NPV(realdiscrt3,AA$91:AA96)/(1+realdiscrt3)^-Half_Year</f>
        <v>46.701956616595865</v>
      </c>
      <c r="AC96" s="63">
        <f t="shared" si="109"/>
        <v>8.4573175999464372</v>
      </c>
      <c r="AD96" s="60">
        <f>NPV(realdiscrt3,AC$91:AC96)/(1+realdiscrt3)^-Half_Year</f>
        <v>49.275433904503892</v>
      </c>
      <c r="AE96" s="63">
        <f t="shared" si="110"/>
        <v>6.755250094186521</v>
      </c>
      <c r="AF96" s="60">
        <f>NPV(realdiscrt3,AE$91:AE96)/(1+realdiscrt3)^-Half_Year</f>
        <v>38.981524752871813</v>
      </c>
      <c r="AG96" s="63">
        <f t="shared" si="111"/>
        <v>6.9447844694811831</v>
      </c>
      <c r="AH96" s="60">
        <f>NPV(realdiscrt3,AG$91:AG96)/(1+realdiscrt3)^-Half_Year</f>
        <v>40.14689893711661</v>
      </c>
      <c r="AI96" s="63">
        <f t="shared" si="112"/>
        <v>7.8098845956579712</v>
      </c>
      <c r="AJ96" s="60">
        <f>NPV(realdiscrt3,AI$91:AI96)/(1+realdiscrt3)^-Half_Year</f>
        <v>45.398540487458376</v>
      </c>
      <c r="AK96" s="63">
        <f t="shared" si="113"/>
        <v>7.5030762057177185</v>
      </c>
      <c r="AL96" s="60">
        <f>NPV(realdiscrt3,AK$91:AK96)/(1+realdiscrt3)^-Half_Year</f>
        <v>43.517389296061495</v>
      </c>
      <c r="AM96" s="63">
        <f t="shared" si="114"/>
        <v>19.613538838137547</v>
      </c>
      <c r="AN96" s="60">
        <f>NPV(realdiscrt3,AM$91:AM96)/(1+realdiscrt3)^-Half_Year</f>
        <v>113.7178067391592</v>
      </c>
      <c r="AO96" s="63"/>
      <c r="AP96" s="60"/>
      <c r="AQ96" s="63">
        <f t="shared" si="115"/>
        <v>1.0833179284981212E-2</v>
      </c>
      <c r="AR96" s="60">
        <f>NPV(realdiscrt3,AQ$91:AQ96)/(1+realdiscrt3)^-Half_Year</f>
        <v>6.4150386403542717E-2</v>
      </c>
      <c r="AS96" s="63">
        <f t="shared" si="116"/>
        <v>4.5379702334816434E-3</v>
      </c>
      <c r="AT96" s="60">
        <f>NPV(realdiscrt3,AS$91:AS96)/(1+realdiscrt3)^-Half_Year</f>
        <v>2.6872309255438237E-2</v>
      </c>
      <c r="AU96" s="63">
        <f t="shared" si="117"/>
        <v>6.2952090514995698E-3</v>
      </c>
      <c r="AV96" s="60">
        <f>NPV(realdiscrt3,AU$91:AU96)/(1+realdiscrt3)^-Half_Year</f>
        <v>3.7278077148104494E-2</v>
      </c>
      <c r="AW96" s="63">
        <v>1</v>
      </c>
      <c r="AX96" s="60">
        <f>NPV(realdiscrt3,AW$91:AW96)/(1+realdiscrt3)^-Half_Year</f>
        <v>5.9216583346385541</v>
      </c>
      <c r="AY96" s="63">
        <f t="shared" si="118"/>
        <v>0</v>
      </c>
      <c r="AZ96" s="60">
        <f>NPV(realdiscrt3,AY$91:AY96)/(1+realdiscrt3)^-Half_Year</f>
        <v>0</v>
      </c>
      <c r="BA96" s="115">
        <f t="shared" si="119"/>
        <v>1.0021975853094038</v>
      </c>
      <c r="BB96" s="74">
        <f t="shared" si="120"/>
        <v>0</v>
      </c>
      <c r="BC96" s="59">
        <f>NPV(realdiscrt3,BB$91:BB96)/(1+realdiscrt3)^-Half_Year</f>
        <v>1.0547347623195183E-2</v>
      </c>
      <c r="BD96" s="74">
        <f t="shared" si="121"/>
        <v>0</v>
      </c>
      <c r="BE96" s="59">
        <f>NPV(realdiscrt3,BD$91:BD96)/(1+realdiscrt3)^-Half_Year</f>
        <v>5.1847026672568524E-3</v>
      </c>
      <c r="BF96" s="74">
        <f t="shared" si="122"/>
        <v>0</v>
      </c>
      <c r="BG96" s="59">
        <f>NPV(realdiscrt3,BF$91:BF96)/(1+realdiscrt3)^-Half_Year</f>
        <v>0</v>
      </c>
      <c r="BH96" s="74">
        <f t="shared" si="123"/>
        <v>0</v>
      </c>
      <c r="BI96" s="59">
        <f>NPV(realdiscrt3,BH$91:BH96)/(1+realdiscrt3)^-Half_Year</f>
        <v>0</v>
      </c>
      <c r="BJ96" s="64">
        <f t="shared" si="124"/>
        <v>4.3016622371565123E-2</v>
      </c>
      <c r="BK96" s="61">
        <f>NPV(realdiscrt3,BJ$91:BJ96)/(1+realdiscrt3)^-Half_Year</f>
        <v>0.27076145587497658</v>
      </c>
      <c r="BL96" s="64">
        <f t="shared" si="125"/>
        <v>4.2510047819593798E-2</v>
      </c>
      <c r="BM96" s="61">
        <f>NPV(realdiscrt3,BL$91:BL96)/(1+realdiscrt3)^-Half_Year</f>
        <v>0.26757290094808767</v>
      </c>
      <c r="BN96" s="64">
        <f t="shared" si="126"/>
        <v>4.5844996953405021E-2</v>
      </c>
      <c r="BO96" s="61">
        <f>NPV(realdiscrt3,BN$91:BN96)/(1+realdiscrt3)^-Half_Year</f>
        <v>0.28856422088343919</v>
      </c>
      <c r="BP96" s="64">
        <f t="shared" si="127"/>
        <v>4.3903127837514939E-2</v>
      </c>
      <c r="BQ96" s="61">
        <f>NPV(realdiscrt3,BP$91:BP96)/(1+realdiscrt3)^-Half_Year</f>
        <v>0.27634142699703201</v>
      </c>
      <c r="BR96" s="64">
        <f t="shared" si="128"/>
        <v>0.14005407115292715</v>
      </c>
      <c r="BS96" s="61">
        <f>NPV(realdiscrt3,BR$91:BR96)/(1+realdiscrt3)^-Half_Year</f>
        <v>0.82935235774279192</v>
      </c>
      <c r="BT96" s="624">
        <f t="shared" si="129"/>
        <v>0.21736578584363803</v>
      </c>
      <c r="BU96" s="61">
        <f>NPV(realdiscrt3,BT$91:BT96)/(1+realdiscrt3)^-Half_Year</f>
        <v>4.5615878332447846</v>
      </c>
      <c r="BV96" s="788">
        <f t="shared" si="130"/>
        <v>0.11884691706786753</v>
      </c>
      <c r="BW96" s="61">
        <f>NPV(realdiscrt3,BV$91:BV96)/(1+realdiscrt3)^-Half_Year</f>
        <v>3.894678918756572</v>
      </c>
      <c r="BX96" s="788">
        <f t="shared" si="131"/>
        <v>8.6946314337455213E-2</v>
      </c>
      <c r="BY96" s="61">
        <f>NPV(realdiscrt3,BX$91:BX96)/(1+realdiscrt3)^-Half_Year</f>
        <v>3.6787325056194042</v>
      </c>
      <c r="BZ96" s="788">
        <f t="shared" si="132"/>
        <v>0.1128893556094651</v>
      </c>
      <c r="CA96" s="61">
        <f>NPV(realdiscrt3,BZ$91:BZ96)/(1+realdiscrt3)^-Half_Year</f>
        <v>3.8543500873906447</v>
      </c>
      <c r="CB96" s="788">
        <f t="shared" si="133"/>
        <v>0.18078312408615377</v>
      </c>
      <c r="CC96" s="61">
        <f>NPV(realdiscrt3,CB$91:CB96)/(1+realdiscrt3)^-Half_Year</f>
        <v>4.3139469138458644</v>
      </c>
      <c r="CD96" s="624">
        <f t="shared" si="134"/>
        <v>0.11798614855592672</v>
      </c>
      <c r="CE96" s="61">
        <f>NPV(realdiscrt3,CD$91:CD96)/(1+realdiscrt3)^-Half_Year</f>
        <v>3.8888520735942449</v>
      </c>
      <c r="CF96" s="788">
        <f t="shared" si="135"/>
        <v>0.14542842686263593</v>
      </c>
      <c r="CG96" s="61">
        <f>NPV(realdiscrt3,CF$91:CF96)/(1+realdiscrt3)^-Half_Year</f>
        <v>4.0746185187842032</v>
      </c>
      <c r="CH96" s="634">
        <f t="shared" si="136"/>
        <v>1.2467738567184163E-3</v>
      </c>
      <c r="CI96" s="61">
        <f>NPV(realdiscrt3,CH$91:CH96)/(1+realdiscrt3)^-Half_Year</f>
        <v>2.1577587805206161E-2</v>
      </c>
      <c r="CJ96" s="634">
        <f t="shared" si="137"/>
        <v>1.3386711962893535E-3</v>
      </c>
      <c r="CK96" s="61">
        <f>NPV(realdiscrt3,CJ$91:CJ96)/(1+realdiscrt3)^-Half_Year</f>
        <v>3.0786086298643583E-2</v>
      </c>
    </row>
    <row r="97" spans="1:89">
      <c r="A97" s="56">
        <f t="shared" si="139"/>
        <v>7</v>
      </c>
      <c r="B97" s="56">
        <f t="shared" si="138"/>
        <v>2024</v>
      </c>
      <c r="C97" s="62">
        <f t="shared" si="96"/>
        <v>7.8418787623439054E-2</v>
      </c>
      <c r="D97" s="57">
        <f>NPV(realdiscrt3,C$91:C97)/(1+realdiscrt3)^-Half_Year</f>
        <v>0.4910112922705212</v>
      </c>
      <c r="E97" s="62">
        <f t="shared" si="97"/>
        <v>7.294897055261039E-2</v>
      </c>
      <c r="F97" s="58">
        <f>NPV(realdiscrt3,E$91:E97)/(1+realdiscrt3)^-Half_Year</f>
        <v>0.45254385705323785</v>
      </c>
      <c r="G97" s="62">
        <f t="shared" si="98"/>
        <v>7.4792631692447903E-2</v>
      </c>
      <c r="H97" s="57">
        <f>NPV(realdiscrt3,G$91:G97)/(1+realdiscrt3)^-Half_Year</f>
        <v>0.46105875370809368</v>
      </c>
      <c r="I97" s="62">
        <f t="shared" si="99"/>
        <v>6.3204448617642989E-2</v>
      </c>
      <c r="J97" s="59">
        <f>NPV(realdiscrt3,I$91:I97)/(1+realdiscrt3)^-Half_Year</f>
        <v>0.38066187750297442</v>
      </c>
      <c r="K97" s="63">
        <f t="shared" si="100"/>
        <v>178.50130770938495</v>
      </c>
      <c r="L97" s="60">
        <f>NPV(realdiscrt3,K$91:K97)/(1+realdiscrt3)^-Half_Year</f>
        <v>1016.7547162288299</v>
      </c>
      <c r="M97" s="63">
        <f t="shared" si="101"/>
        <v>0</v>
      </c>
      <c r="N97" s="60">
        <f>NPV(realdiscrt3,M$91:M97)/(1+realdiscrt3)^-Half_Year</f>
        <v>0</v>
      </c>
      <c r="O97" s="63">
        <f t="shared" si="102"/>
        <v>10.739952210274792</v>
      </c>
      <c r="P97" s="60">
        <f>NPV(realdiscrt3,O$91:O97)/(1+realdiscrt3)^-Half_Year</f>
        <v>74.036122750965035</v>
      </c>
      <c r="Q97" s="63">
        <f t="shared" si="103"/>
        <v>84.296373954599773</v>
      </c>
      <c r="R97" s="60">
        <f>NPV(realdiscrt3,Q$91:Q97)/(1+realdiscrt3)^-Half_Year</f>
        <v>581.09911174402873</v>
      </c>
      <c r="S97" s="63">
        <f t="shared" si="104"/>
        <v>21.27109343057348</v>
      </c>
      <c r="T97" s="60">
        <f>NPV(realdiscrt3,S$91:S97)/(1+realdiscrt3)^-Half_Year</f>
        <v>138.83962115296868</v>
      </c>
      <c r="U97" s="63">
        <f t="shared" si="105"/>
        <v>19.547653183068427</v>
      </c>
      <c r="V97" s="60">
        <f>NPV(realdiscrt3,U$91:U97)/(1+realdiscrt3)^-Half_Year</f>
        <v>127.44716717394886</v>
      </c>
      <c r="W97" s="624">
        <f t="shared" si="106"/>
        <v>19.094084505060845</v>
      </c>
      <c r="X97" s="60">
        <f>NPV(realdiscrt3,W$91:W97)/(1+realdiscrt3)^-Half_Year</f>
        <v>124.65935307824876</v>
      </c>
      <c r="Y97" s="624">
        <f t="shared" si="107"/>
        <v>8.4839906051734122</v>
      </c>
      <c r="Z97" s="60">
        <f>NPV(realdiscrt3,Y$91:Y97)/(1+realdiscrt3)^-Half_Year</f>
        <v>56.389742336521067</v>
      </c>
      <c r="AA97" s="63">
        <f t="shared" si="108"/>
        <v>8.2404139526965459</v>
      </c>
      <c r="AB97" s="60">
        <f>NPV(realdiscrt3,AA$91:AA97)/(1+realdiscrt3)^-Half_Year</f>
        <v>54.710535405028196</v>
      </c>
      <c r="AC97" s="63">
        <f t="shared" si="109"/>
        <v>8.6713196920397504</v>
      </c>
      <c r="AD97" s="60">
        <f>NPV(realdiscrt3,AC$91:AC97)/(1+realdiscrt3)^-Half_Year</f>
        <v>57.702795363773824</v>
      </c>
      <c r="AE97" s="63">
        <f t="shared" si="110"/>
        <v>6.9476967346669332</v>
      </c>
      <c r="AF97" s="60">
        <f>NPV(realdiscrt3,AE$91:AE97)/(1+realdiscrt3)^-Half_Year</f>
        <v>45.733755528791328</v>
      </c>
      <c r="AG97" s="63">
        <f t="shared" si="111"/>
        <v>7.1372311099615926</v>
      </c>
      <c r="AH97" s="60">
        <f>NPV(realdiscrt3,AG$91:AG97)/(1+realdiscrt3)^-Half_Year</f>
        <v>47.083331742979887</v>
      </c>
      <c r="AI97" s="63">
        <f t="shared" si="112"/>
        <v>8.0131089619448321</v>
      </c>
      <c r="AJ97" s="60">
        <f>NPV(realdiscrt3,AI$91:AI97)/(1+realdiscrt3)^-Half_Year</f>
        <v>53.186209266043036</v>
      </c>
      <c r="AK97" s="63">
        <f t="shared" si="113"/>
        <v>7.6955228461981298</v>
      </c>
      <c r="AL97" s="60">
        <f>NPV(realdiscrt3,AK$91:AK97)/(1+realdiscrt3)^-Half_Year</f>
        <v>50.996406901941739</v>
      </c>
      <c r="AM97" s="63">
        <f t="shared" si="114"/>
        <v>19.769979297706993</v>
      </c>
      <c r="AN97" s="60">
        <f>NPV(realdiscrt3,AM$91:AM97)/(1+realdiscrt3)^-Half_Year</f>
        <v>132.93157897927239</v>
      </c>
      <c r="AO97" s="63"/>
      <c r="AP97" s="60"/>
      <c r="AQ97" s="63">
        <f t="shared" si="115"/>
        <v>1.0833179284981212E-2</v>
      </c>
      <c r="AR97" s="60">
        <f>NPV(realdiscrt3,AQ$91:AQ97)/(1+realdiscrt3)^-Half_Year</f>
        <v>7.4678785866362757E-2</v>
      </c>
      <c r="AS97" s="63">
        <f t="shared" si="116"/>
        <v>4.5379702334816434E-3</v>
      </c>
      <c r="AT97" s="60">
        <f>NPV(realdiscrt3,AS$91:AS97)/(1+realdiscrt3)^-Half_Year</f>
        <v>3.1282608587852936E-2</v>
      </c>
      <c r="AU97" s="63">
        <f t="shared" si="117"/>
        <v>6.2952090514995698E-3</v>
      </c>
      <c r="AV97" s="60">
        <f>NPV(realdiscrt3,AU$91:AU97)/(1+realdiscrt3)^-Half_Year</f>
        <v>4.3396177278509827E-2</v>
      </c>
      <c r="AW97" s="63">
        <v>1</v>
      </c>
      <c r="AX97" s="60">
        <f>NPV(realdiscrt3,AW$91:AW97)/(1+realdiscrt3)^-Half_Year</f>
        <v>6.8935244125328135</v>
      </c>
      <c r="AY97" s="63">
        <f t="shared" si="118"/>
        <v>0</v>
      </c>
      <c r="AZ97" s="60">
        <f>NPV(realdiscrt3,AY$91:AY97)/(1+realdiscrt3)^-Half_Year</f>
        <v>0</v>
      </c>
      <c r="BA97" s="115">
        <f t="shared" si="119"/>
        <v>1.0021975853094038</v>
      </c>
      <c r="BB97" s="74">
        <f t="shared" si="120"/>
        <v>0</v>
      </c>
      <c r="BC97" s="59">
        <f>NPV(realdiscrt3,BB$91:BB97)/(1+realdiscrt3)^-Half_Year</f>
        <v>1.0547347623195183E-2</v>
      </c>
      <c r="BD97" s="74">
        <f t="shared" si="121"/>
        <v>0</v>
      </c>
      <c r="BE97" s="59">
        <f>NPV(realdiscrt3,BD$91:BD97)/(1+realdiscrt3)^-Half_Year</f>
        <v>5.1847026672568524E-3</v>
      </c>
      <c r="BF97" s="74">
        <f t="shared" si="122"/>
        <v>0</v>
      </c>
      <c r="BG97" s="59">
        <f>NPV(realdiscrt3,BF$91:BF97)/(1+realdiscrt3)^-Half_Year</f>
        <v>0</v>
      </c>
      <c r="BH97" s="74">
        <f t="shared" si="123"/>
        <v>0</v>
      </c>
      <c r="BI97" s="59">
        <f>NPV(realdiscrt3,BH$91:BH97)/(1+realdiscrt3)^-Half_Year</f>
        <v>0</v>
      </c>
      <c r="BJ97" s="64">
        <f t="shared" si="124"/>
        <v>4.1783860642174445E-2</v>
      </c>
      <c r="BK97" s="61">
        <f>NPV(realdiscrt3,BJ$91:BJ97)/(1+realdiscrt3)^-Half_Year</f>
        <v>0.31136977263656695</v>
      </c>
      <c r="BL97" s="64">
        <f t="shared" si="125"/>
        <v>4.129180340203107E-2</v>
      </c>
      <c r="BM97" s="61">
        <f>NPV(realdiscrt3,BL$91:BL97)/(1+realdiscrt3)^-Half_Year</f>
        <v>0.30770300396960049</v>
      </c>
      <c r="BN97" s="64">
        <f t="shared" si="126"/>
        <v>4.4531180232974921E-2</v>
      </c>
      <c r="BO97" s="61">
        <f>NPV(realdiscrt3,BN$91:BN97)/(1+realdiscrt3)^-Half_Year</f>
        <v>0.33184256436046289</v>
      </c>
      <c r="BP97" s="64">
        <f t="shared" si="127"/>
        <v>4.2644960812425338E-2</v>
      </c>
      <c r="BQ97" s="61">
        <f>NPV(realdiscrt3,BP$91:BP97)/(1+realdiscrt3)^-Half_Year</f>
        <v>0.31778661780375822</v>
      </c>
      <c r="BR97" s="64">
        <f t="shared" si="128"/>
        <v>0.14005407115292715</v>
      </c>
      <c r="BS97" s="61">
        <f>NPV(realdiscrt3,BR$91:BR97)/(1+realdiscrt3)^-Half_Year</f>
        <v>0.96546615856731099</v>
      </c>
      <c r="BT97" s="624">
        <f t="shared" si="129"/>
        <v>0.21699676567935164</v>
      </c>
      <c r="BU97" s="61">
        <f>NPV(realdiscrt3,BT$91:BT97)/(1+realdiscrt3)^-Half_Year</f>
        <v>4.7724796288213156</v>
      </c>
      <c r="BV97" s="788">
        <f t="shared" si="130"/>
        <v>0.11864515160284232</v>
      </c>
      <c r="BW97" s="61">
        <f>NPV(realdiscrt3,BV$91:BV97)/(1+realdiscrt3)^-Half_Year</f>
        <v>4.0099861169059974</v>
      </c>
      <c r="BX97" s="788">
        <f t="shared" si="131"/>
        <v>8.6798706271740661E-2</v>
      </c>
      <c r="BY97" s="61">
        <f>NPV(realdiscrt3,BX$91:BX97)/(1+realdiscrt3)^-Half_Year</f>
        <v>3.7630892238500167</v>
      </c>
      <c r="BZ97" s="788">
        <f t="shared" si="132"/>
        <v>0.11269770424910265</v>
      </c>
      <c r="CA97" s="61">
        <f>NPV(realdiscrt3,BZ$91:BZ97)/(1+realdiscrt3)^-Half_Year</f>
        <v>3.9638771632069076</v>
      </c>
      <c r="CB97" s="788">
        <f t="shared" si="133"/>
        <v>0.18047621001551678</v>
      </c>
      <c r="CC97" s="61">
        <f>NPV(realdiscrt3,CB$91:CB97)/(1+realdiscrt3)^-Half_Year</f>
        <v>4.4893456202268656</v>
      </c>
      <c r="CD97" s="624">
        <f t="shared" si="134"/>
        <v>0.11778584441075207</v>
      </c>
      <c r="CE97" s="61">
        <f>NPV(realdiscrt3,CD$91:CD97)/(1+realdiscrt3)^-Half_Year</f>
        <v>4.0033241402331852</v>
      </c>
      <c r="CF97" s="788">
        <f t="shared" si="135"/>
        <v>0.14518153418003424</v>
      </c>
      <c r="CG97" s="61">
        <f>NPV(realdiscrt3,CF$91:CF97)/(1+realdiscrt3)^-Half_Year</f>
        <v>4.2157155269904241</v>
      </c>
      <c r="CH97" s="634">
        <f t="shared" si="136"/>
        <v>1.2451741543062348E-3</v>
      </c>
      <c r="CI97" s="61">
        <f>NPV(realdiscrt3,CH$91:CH97)/(1+realdiscrt3)^-Half_Year</f>
        <v>2.2787730326847062E-2</v>
      </c>
      <c r="CJ97" s="634">
        <f t="shared" si="137"/>
        <v>1.3376047280145658E-3</v>
      </c>
      <c r="CK97" s="61">
        <f>NPV(realdiscrt3,CJ$91:CJ97)/(1+realdiscrt3)^-Half_Year</f>
        <v>3.2086058959431916E-2</v>
      </c>
    </row>
    <row r="98" spans="1:89">
      <c r="A98" s="56">
        <f t="shared" si="139"/>
        <v>8</v>
      </c>
      <c r="B98" s="56">
        <f t="shared" si="138"/>
        <v>2025</v>
      </c>
      <c r="C98" s="62">
        <f t="shared" si="96"/>
        <v>8.3037007234541965E-2</v>
      </c>
      <c r="D98" s="57">
        <f>NPV(realdiscrt3,C$91:C98)/(1+realdiscrt3)^-Half_Year</f>
        <v>0.57135861459341208</v>
      </c>
      <c r="E98" s="62">
        <f t="shared" si="97"/>
        <v>7.529172405358639E-2</v>
      </c>
      <c r="F98" s="58">
        <f>NPV(realdiscrt3,E$91:E98)/(1+realdiscrt3)^-Half_Year</f>
        <v>0.52539677676038232</v>
      </c>
      <c r="G98" s="62">
        <f t="shared" si="98"/>
        <v>8.0820093089687378E-2</v>
      </c>
      <c r="H98" s="57">
        <f>NPV(realdiscrt3,G$91:G98)/(1+realdiscrt3)^-Half_Year</f>
        <v>0.53926097083884184</v>
      </c>
      <c r="I98" s="62">
        <f t="shared" si="99"/>
        <v>6.545747406430355E-2</v>
      </c>
      <c r="J98" s="59">
        <f>NPV(realdiscrt3,I$91:I98)/(1+realdiscrt3)^-Half_Year</f>
        <v>0.44399909234540769</v>
      </c>
      <c r="K98" s="63">
        <f t="shared" si="100"/>
        <v>182.21764231692606</v>
      </c>
      <c r="L98" s="60">
        <f>NPV(realdiscrt3,K$91:K98)/(1+realdiscrt3)^-Half_Year</f>
        <v>1193.0700740162554</v>
      </c>
      <c r="M98" s="63">
        <f t="shared" si="101"/>
        <v>0</v>
      </c>
      <c r="N98" s="60">
        <f>NPV(realdiscrt3,M$91:M98)/(1+realdiscrt3)^-Half_Year</f>
        <v>0</v>
      </c>
      <c r="O98" s="63">
        <f t="shared" si="102"/>
        <v>10.739952210274792</v>
      </c>
      <c r="P98" s="60">
        <f>NPV(realdiscrt3,O$91:O98)/(1+realdiscrt3)^-Half_Year</f>
        <v>84.428192873796121</v>
      </c>
      <c r="Q98" s="63">
        <f t="shared" si="103"/>
        <v>84.296373954599773</v>
      </c>
      <c r="R98" s="60">
        <f>NPV(realdiscrt3,Q$91:Q98)/(1+realdiscrt3)^-Half_Year</f>
        <v>662.66500813586936</v>
      </c>
      <c r="S98" s="63">
        <f t="shared" si="104"/>
        <v>21.605438127870073</v>
      </c>
      <c r="T98" s="60">
        <f>NPV(realdiscrt3,S$91:S98)/(1+realdiscrt3)^-Half_Year</f>
        <v>159.74522889343083</v>
      </c>
      <c r="U98" s="63">
        <f t="shared" si="105"/>
        <v>19.870558262794173</v>
      </c>
      <c r="V98" s="60">
        <f>NPV(realdiscrt3,U$91:U98)/(1+realdiscrt3)^-Half_Year</f>
        <v>146.674090236903</v>
      </c>
      <c r="W98" s="624">
        <f t="shared" si="106"/>
        <v>19.4052163258531</v>
      </c>
      <c r="X98" s="60">
        <f>NPV(realdiscrt3,W$91:W98)/(1+realdiscrt3)^-Half_Year</f>
        <v>143.43600728105292</v>
      </c>
      <c r="Y98" s="624">
        <f t="shared" si="107"/>
        <v>8.5821359477321124</v>
      </c>
      <c r="Z98" s="60">
        <f>NPV(realdiscrt3,Y$91:Y98)/(1+realdiscrt3)^-Half_Year</f>
        <v>64.69389088637945</v>
      </c>
      <c r="AA98" s="63">
        <f t="shared" si="108"/>
        <v>8.3439481581584722</v>
      </c>
      <c r="AB98" s="60">
        <f>NPV(realdiscrt3,AA$91:AA98)/(1+realdiscrt3)^-Half_Year</f>
        <v>62.784211401267257</v>
      </c>
      <c r="AC98" s="63">
        <f t="shared" si="109"/>
        <v>8.7694650345984506</v>
      </c>
      <c r="AD98" s="60">
        <f>NPV(realdiscrt3,AC$91:AC98)/(1+realdiscrt3)^-Half_Year</f>
        <v>66.188205149124329</v>
      </c>
      <c r="AE98" s="63">
        <f t="shared" si="110"/>
        <v>7.0673975288385371</v>
      </c>
      <c r="AF98" s="60">
        <f>NPV(realdiscrt3,AE$91:AE98)/(1+realdiscrt3)^-Half_Year</f>
        <v>52.57223015769604</v>
      </c>
      <c r="AG98" s="63">
        <f t="shared" si="111"/>
        <v>7.2569319041331966</v>
      </c>
      <c r="AH98" s="60">
        <f>NPV(realdiscrt3,AG$91:AG98)/(1+realdiscrt3)^-Half_Year</f>
        <v>54.10520146342558</v>
      </c>
      <c r="AI98" s="63">
        <f t="shared" si="112"/>
        <v>8.1220320303099864</v>
      </c>
      <c r="AJ98" s="60">
        <f>NPV(realdiscrt3,AI$91:AI98)/(1+realdiscrt3)^-Half_Year</f>
        <v>61.045157308485223</v>
      </c>
      <c r="AK98" s="63">
        <f t="shared" si="113"/>
        <v>7.8152236403697319</v>
      </c>
      <c r="AL98" s="60">
        <f>NPV(realdiscrt3,AK$91:AK98)/(1+realdiscrt3)^-Half_Year</f>
        <v>58.558484507708989</v>
      </c>
      <c r="AM98" s="63">
        <f t="shared" si="114"/>
        <v>19.957883119544359</v>
      </c>
      <c r="AN98" s="60">
        <f>NPV(realdiscrt3,AM$91:AM98)/(1+realdiscrt3)^-Half_Year</f>
        <v>152.24299832461651</v>
      </c>
      <c r="AO98" s="63"/>
      <c r="AP98" s="60"/>
      <c r="AQ98" s="63">
        <f t="shared" si="115"/>
        <v>1.0833179284981212E-2</v>
      </c>
      <c r="AR98" s="60">
        <f>NPV(realdiscrt3,AQ$91:AQ98)/(1+realdiscrt3)^-Half_Year</f>
        <v>8.5161063308437659E-2</v>
      </c>
      <c r="AS98" s="63">
        <f t="shared" si="116"/>
        <v>4.5379702334816434E-3</v>
      </c>
      <c r="AT98" s="60">
        <f>NPV(realdiscrt3,AS$91:AS98)/(1+realdiscrt3)^-Half_Year</f>
        <v>3.5673587612558934E-2</v>
      </c>
      <c r="AU98" s="63">
        <f t="shared" si="117"/>
        <v>6.2952090514995698E-3</v>
      </c>
      <c r="AV98" s="60">
        <f>NPV(realdiscrt3,AU$91:AU98)/(1+realdiscrt3)^-Half_Year</f>
        <v>4.9487475695878733E-2</v>
      </c>
      <c r="AW98" s="63">
        <v>1</v>
      </c>
      <c r="AX98" s="60">
        <f>NPV(realdiscrt3,AW$91:AW98)/(1+realdiscrt3)^-Half_Year</f>
        <v>7.8611330125868353</v>
      </c>
      <c r="AY98" s="63">
        <f t="shared" si="118"/>
        <v>0</v>
      </c>
      <c r="AZ98" s="60">
        <f>NPV(realdiscrt3,AY$91:AY98)/(1+realdiscrt3)^-Half_Year</f>
        <v>0</v>
      </c>
      <c r="BA98" s="115">
        <f t="shared" si="119"/>
        <v>1.0021975853094038</v>
      </c>
      <c r="BB98" s="74">
        <f t="shared" si="120"/>
        <v>0</v>
      </c>
      <c r="BC98" s="59">
        <f>NPV(realdiscrt3,BB$91:BB98)/(1+realdiscrt3)^-Half_Year</f>
        <v>1.0547347623195183E-2</v>
      </c>
      <c r="BD98" s="74">
        <f t="shared" si="121"/>
        <v>0</v>
      </c>
      <c r="BE98" s="59">
        <f>NPV(realdiscrt3,BD$91:BD98)/(1+realdiscrt3)^-Half_Year</f>
        <v>5.1847026672568524E-3</v>
      </c>
      <c r="BF98" s="74">
        <f t="shared" si="122"/>
        <v>0</v>
      </c>
      <c r="BG98" s="59">
        <f>NPV(realdiscrt3,BF$91:BF98)/(1+realdiscrt3)^-Half_Year</f>
        <v>0</v>
      </c>
      <c r="BH98" s="74">
        <f t="shared" si="123"/>
        <v>0</v>
      </c>
      <c r="BI98" s="59">
        <f>NPV(realdiscrt3,BH$91:BH98)/(1+realdiscrt3)^-Half_Year</f>
        <v>0</v>
      </c>
      <c r="BJ98" s="64">
        <f t="shared" si="124"/>
        <v>4.0545897386499413E-2</v>
      </c>
      <c r="BK98" s="61">
        <f>NPV(realdiscrt3,BJ$91:BJ98)/(1+realdiscrt3)^-Half_Year</f>
        <v>0.35060233164465177</v>
      </c>
      <c r="BL98" s="64">
        <f t="shared" si="125"/>
        <v>4.006841871266429E-2</v>
      </c>
      <c r="BM98" s="61">
        <f>NPV(realdiscrt3,BL$91:BL98)/(1+realdiscrt3)^-Half_Year</f>
        <v>0.34647355050653994</v>
      </c>
      <c r="BN98" s="64">
        <f t="shared" si="126"/>
        <v>4.3211819982078861E-2</v>
      </c>
      <c r="BO98" s="61">
        <f>NPV(realdiscrt3,BN$91:BN98)/(1+realdiscrt3)^-Half_Year</f>
        <v>0.37365469299910858</v>
      </c>
      <c r="BP98" s="64">
        <f t="shared" si="127"/>
        <v>4.1381485065710877E-2</v>
      </c>
      <c r="BQ98" s="61">
        <f>NPV(realdiscrt3,BP$91:BP98)/(1+realdiscrt3)^-Half_Year</f>
        <v>0.35782769863634711</v>
      </c>
      <c r="BR98" s="64">
        <f t="shared" si="128"/>
        <v>0.14005407115292715</v>
      </c>
      <c r="BS98" s="61">
        <f>NPV(realdiscrt3,BR$91:BR98)/(1+realdiscrt3)^-Half_Year</f>
        <v>1.1009836822874615</v>
      </c>
      <c r="BT98" s="624">
        <f t="shared" si="129"/>
        <v>0.21662929761392419</v>
      </c>
      <c r="BU98" s="61">
        <f>NPV(realdiscrt3,BT$91:BT98)/(1+realdiscrt3)^-Half_Year</f>
        <v>4.9820920002162117</v>
      </c>
      <c r="BV98" s="788">
        <f t="shared" si="130"/>
        <v>0.11844423476338919</v>
      </c>
      <c r="BW98" s="61">
        <f>NPV(realdiscrt3,BV$91:BV98)/(1+realdiscrt3)^-Half_Year</f>
        <v>4.1245937770898697</v>
      </c>
      <c r="BX98" s="788">
        <f t="shared" si="131"/>
        <v>8.6651719045569675E-2</v>
      </c>
      <c r="BY98" s="61">
        <f>NPV(realdiscrt3,BX$91:BX98)/(1+realdiscrt3)^-Half_Year</f>
        <v>3.8469341724079751</v>
      </c>
      <c r="BZ98" s="788">
        <f t="shared" si="132"/>
        <v>0.11250685897438677</v>
      </c>
      <c r="CA98" s="61">
        <f>NPV(realdiscrt3,BZ$91:BZ98)/(1+realdiscrt3)^-Half_Year</f>
        <v>4.0727397675155892</v>
      </c>
      <c r="CB98" s="788">
        <f t="shared" si="133"/>
        <v>0.18017058682550074</v>
      </c>
      <c r="CC98" s="61">
        <f>NPV(realdiscrt3,CB$91:CB98)/(1+realdiscrt3)^-Half_Year</f>
        <v>4.6636802295160011</v>
      </c>
      <c r="CD98" s="624">
        <f t="shared" si="134"/>
        <v>0.11758638274483806</v>
      </c>
      <c r="CE98" s="61">
        <f>NPV(realdiscrt3,CD$91:CD98)/(1+realdiscrt3)^-Half_Year</f>
        <v>4.117101735426334</v>
      </c>
      <c r="CF98" s="788">
        <f t="shared" si="135"/>
        <v>0.14493567992808765</v>
      </c>
      <c r="CG98" s="61">
        <f>NPV(realdiscrt3,CF$91:CF98)/(1+realdiscrt3)^-Half_Year</f>
        <v>4.355956537343519</v>
      </c>
      <c r="CH98" s="634">
        <f t="shared" si="136"/>
        <v>1.2435811802426068E-3</v>
      </c>
      <c r="CI98" s="61">
        <f>NPV(realdiscrt3,CH$91:CH98)/(1+realdiscrt3)^-Half_Year</f>
        <v>2.3991030171715139E-2</v>
      </c>
      <c r="CJ98" s="634">
        <f t="shared" si="137"/>
        <v>1.3365427453054808E-3</v>
      </c>
      <c r="CK98" s="61">
        <f>NPV(realdiscrt3,CJ$91:CJ98)/(1+realdiscrt3)^-Half_Year</f>
        <v>3.3379309214129307E-2</v>
      </c>
    </row>
    <row r="99" spans="1:89">
      <c r="A99" s="56">
        <f t="shared" si="139"/>
        <v>9</v>
      </c>
      <c r="B99" s="56">
        <f t="shared" si="138"/>
        <v>2026</v>
      </c>
      <c r="C99" s="62">
        <f t="shared" si="96"/>
        <v>8.4464262367603807E-2</v>
      </c>
      <c r="D99" s="57">
        <f>NPV(realdiscrt3,C$91:C99)/(1+realdiscrt3)^-Half_Year</f>
        <v>0.65272893186154501</v>
      </c>
      <c r="E99" s="62">
        <f t="shared" si="97"/>
        <v>7.7725010092089708E-2</v>
      </c>
      <c r="F99" s="58">
        <f>NPV(realdiscrt3,E$91:E99)/(1+realdiscrt3)^-Half_Year</f>
        <v>0.60027470209330924</v>
      </c>
      <c r="G99" s="62">
        <f t="shared" si="98"/>
        <v>8.5434725081587157E-2</v>
      </c>
      <c r="H99" s="57">
        <f>NPV(realdiscrt3,G$91:G99)/(1+realdiscrt3)^-Half_Year</f>
        <v>0.62156620255150108</v>
      </c>
      <c r="I99" s="62">
        <f t="shared" si="99"/>
        <v>6.8203668206913259E-2</v>
      </c>
      <c r="J99" s="59">
        <f>NPV(realdiscrt3,I$91:I99)/(1+realdiscrt3)^-Half_Year</f>
        <v>0.50970444470725595</v>
      </c>
      <c r="K99" s="63">
        <f t="shared" si="100"/>
        <v>182.96133251116859</v>
      </c>
      <c r="L99" s="60">
        <f>NPV(realdiscrt3,K$91:K99)/(1+realdiscrt3)^-Half_Year</f>
        <v>1369.3294913949394</v>
      </c>
      <c r="M99" s="63">
        <f t="shared" si="101"/>
        <v>0</v>
      </c>
      <c r="N99" s="60">
        <f>NPV(realdiscrt3,M$91:M99)/(1+realdiscrt3)^-Half_Year</f>
        <v>0</v>
      </c>
      <c r="O99" s="63">
        <f t="shared" si="102"/>
        <v>10.739952210274792</v>
      </c>
      <c r="P99" s="60">
        <f>NPV(realdiscrt3,O$91:O99)/(1+realdiscrt3)^-Half_Year</f>
        <v>94.774738197204215</v>
      </c>
      <c r="Q99" s="63">
        <f t="shared" si="103"/>
        <v>84.296373954599773</v>
      </c>
      <c r="R99" s="60">
        <f>NPV(realdiscrt3,Q$91:Q99)/(1+realdiscrt3)^-Half_Year</f>
        <v>743.87358678166856</v>
      </c>
      <c r="S99" s="63">
        <f t="shared" si="104"/>
        <v>21.854578739700273</v>
      </c>
      <c r="T99" s="60">
        <f>NPV(realdiscrt3,S$91:S99)/(1+realdiscrt3)^-Half_Year</f>
        <v>180.79926945405586</v>
      </c>
      <c r="U99" s="63">
        <f t="shared" si="105"/>
        <v>20.142304308180872</v>
      </c>
      <c r="V99" s="60">
        <f>NPV(realdiscrt3,U$91:U99)/(1+realdiscrt3)^-Half_Year</f>
        <v>166.07857736703141</v>
      </c>
      <c r="W99" s="624">
        <f t="shared" si="106"/>
        <v>19.693713404795492</v>
      </c>
      <c r="X99" s="60">
        <f>NPV(realdiscrt3,W$91:W99)/(1+realdiscrt3)^-Half_Year</f>
        <v>162.40833549439353</v>
      </c>
      <c r="Y99" s="624">
        <f t="shared" si="107"/>
        <v>8.6988906391864216</v>
      </c>
      <c r="Z99" s="60">
        <f>NPV(realdiscrt3,Y$91:Y99)/(1+realdiscrt3)^-Half_Year</f>
        <v>73.074139187261778</v>
      </c>
      <c r="AA99" s="63">
        <f t="shared" si="108"/>
        <v>8.4580084181611692</v>
      </c>
      <c r="AB99" s="60">
        <f>NPV(realdiscrt3,AA$91:AA99)/(1+realdiscrt3)^-Half_Year</f>
        <v>70.932401051548084</v>
      </c>
      <c r="AC99" s="63">
        <f t="shared" si="109"/>
        <v>8.886219726052758</v>
      </c>
      <c r="AD99" s="60">
        <f>NPV(realdiscrt3,AC$91:AC99)/(1+realdiscrt3)^-Half_Year</f>
        <v>74.748920629907246</v>
      </c>
      <c r="AE99" s="63">
        <f t="shared" si="110"/>
        <v>7.1733744944863931</v>
      </c>
      <c r="AF99" s="60">
        <f>NPV(realdiscrt3,AE$91:AE99)/(1+realdiscrt3)^-Half_Year</f>
        <v>59.482842316470645</v>
      </c>
      <c r="AG99" s="63">
        <f t="shared" si="111"/>
        <v>7.3629088697810525</v>
      </c>
      <c r="AH99" s="60">
        <f>NPV(realdiscrt3,AG$91:AG99)/(1+realdiscrt3)^-Half_Year</f>
        <v>61.198405310313454</v>
      </c>
      <c r="AI99" s="63">
        <f t="shared" si="112"/>
        <v>8.2387867217642956</v>
      </c>
      <c r="AJ99" s="60">
        <f>NPV(realdiscrt3,AI$91:AI99)/(1+realdiscrt3)^-Half_Year</f>
        <v>68.982155402859988</v>
      </c>
      <c r="AK99" s="63">
        <f t="shared" si="113"/>
        <v>7.9212006060175906</v>
      </c>
      <c r="AL99" s="60">
        <f>NPV(realdiscrt3,AK$91:AK99)/(1+realdiscrt3)^-Half_Year</f>
        <v>66.189529737832203</v>
      </c>
      <c r="AM99" s="63">
        <f t="shared" si="114"/>
        <v>20.113670137757172</v>
      </c>
      <c r="AN99" s="60">
        <f>NPV(realdiscrt3,AM$91:AM99)/(1+realdiscrt3)^-Half_Year</f>
        <v>171.61990016048233</v>
      </c>
      <c r="AO99" s="63"/>
      <c r="AP99" s="60"/>
      <c r="AQ99" s="63">
        <f t="shared" si="115"/>
        <v>1.0833179284981212E-2</v>
      </c>
      <c r="AR99" s="60">
        <f>NPV(realdiscrt3,AQ$91:AQ99)/(1+realdiscrt3)^-Half_Year</f>
        <v>9.5597420777648046E-2</v>
      </c>
      <c r="AS99" s="63">
        <f t="shared" si="116"/>
        <v>4.5379702334816434E-3</v>
      </c>
      <c r="AT99" s="60">
        <f>NPV(realdiscrt3,AS$91:AS99)/(1+realdiscrt3)^-Half_Year</f>
        <v>4.0045330966507552E-2</v>
      </c>
      <c r="AU99" s="63">
        <f t="shared" si="117"/>
        <v>6.2952090514995698E-3</v>
      </c>
      <c r="AV99" s="60">
        <f>NPV(realdiscrt3,AU$91:AU99)/(1+realdiscrt3)^-Half_Year</f>
        <v>5.5552089811140487E-2</v>
      </c>
      <c r="AW99" s="63">
        <v>1</v>
      </c>
      <c r="AX99" s="60">
        <f>NPV(realdiscrt3,AW$91:AW99)/(1+realdiscrt3)^-Half_Year</f>
        <v>8.824502785639428</v>
      </c>
      <c r="AY99" s="63">
        <f t="shared" si="118"/>
        <v>0</v>
      </c>
      <c r="AZ99" s="60">
        <f>NPV(realdiscrt3,AY$91:AY99)/(1+realdiscrt3)^-Half_Year</f>
        <v>0</v>
      </c>
      <c r="BA99" s="115">
        <f t="shared" si="119"/>
        <v>1.0021975853094038</v>
      </c>
      <c r="BB99" s="74">
        <f t="shared" si="120"/>
        <v>0</v>
      </c>
      <c r="BC99" s="59">
        <f>NPV(realdiscrt3,BB$91:BB99)/(1+realdiscrt3)^-Half_Year</f>
        <v>1.0547347623195183E-2</v>
      </c>
      <c r="BD99" s="74">
        <f t="shared" si="121"/>
        <v>0</v>
      </c>
      <c r="BE99" s="59">
        <f>NPV(realdiscrt3,BD$91:BD99)/(1+realdiscrt3)^-Half_Year</f>
        <v>5.1847026672568524E-3</v>
      </c>
      <c r="BF99" s="74">
        <f t="shared" si="122"/>
        <v>0</v>
      </c>
      <c r="BG99" s="59">
        <f>NPV(realdiscrt3,BF$91:BF99)/(1+realdiscrt3)^-Half_Year</f>
        <v>0</v>
      </c>
      <c r="BH99" s="74">
        <f t="shared" si="123"/>
        <v>0</v>
      </c>
      <c r="BI99" s="59">
        <f>NPV(realdiscrt3,BH$91:BH99)/(1+realdiscrt3)^-Half_Year</f>
        <v>0</v>
      </c>
      <c r="BJ99" s="64">
        <f t="shared" si="124"/>
        <v>3.9307934130824368E-2</v>
      </c>
      <c r="BK99" s="61">
        <f>NPV(realdiscrt3,BJ$91:BJ99)/(1+realdiscrt3)^-Half_Year</f>
        <v>0.3884704072274302</v>
      </c>
      <c r="BL99" s="64">
        <f t="shared" si="125"/>
        <v>3.8845034023297496E-2</v>
      </c>
      <c r="BM99" s="61">
        <f>NPV(realdiscrt3,BL$91:BL99)/(1+realdiscrt3)^-Half_Year</f>
        <v>0.38389568211778424</v>
      </c>
      <c r="BN99" s="64">
        <f t="shared" si="126"/>
        <v>4.1892459731182802E-2</v>
      </c>
      <c r="BO99" s="61">
        <f>NPV(realdiscrt3,BN$91:BN99)/(1+realdiscrt3)^-Half_Year</f>
        <v>0.414012622422953</v>
      </c>
      <c r="BP99" s="64">
        <f t="shared" si="127"/>
        <v>4.0118009318996416E-2</v>
      </c>
      <c r="BQ99" s="61">
        <f>NPV(realdiscrt3,BP$91:BP99)/(1+realdiscrt3)^-Half_Year</f>
        <v>0.39647617616931047</v>
      </c>
      <c r="BR99" s="64">
        <f t="shared" si="128"/>
        <v>0.14005407115292715</v>
      </c>
      <c r="BS99" s="61">
        <f>NPV(realdiscrt3,BR$91:BR99)/(1+realdiscrt3)^-Half_Year</f>
        <v>1.2359075410291482</v>
      </c>
      <c r="BT99" s="624">
        <f t="shared" si="129"/>
        <v>0.21626337612081561</v>
      </c>
      <c r="BU99" s="61">
        <f>NPV(realdiscrt3,BT$91:BT99)/(1+realdiscrt3)^-Half_Year</f>
        <v>5.1904335997893085</v>
      </c>
      <c r="BV99" s="788">
        <f t="shared" si="130"/>
        <v>0.11824416352781715</v>
      </c>
      <c r="BW99" s="61">
        <f>NPV(realdiscrt3,BV$91:BV99)/(1+realdiscrt3)^-Half_Year</f>
        <v>4.2385066300724565</v>
      </c>
      <c r="BX99" s="788">
        <f t="shared" si="131"/>
        <v>8.6505350448326246E-2</v>
      </c>
      <c r="BY99" s="61">
        <f>NPV(realdiscrt3,BX$91:BX99)/(1+realdiscrt3)^-Half_Year</f>
        <v>3.9302708122372141</v>
      </c>
      <c r="BZ99" s="788">
        <f t="shared" si="132"/>
        <v>0.11231681691509783</v>
      </c>
      <c r="CA99" s="61">
        <f>NPV(realdiscrt3,BZ$91:BZ99)/(1+realdiscrt3)^-Half_Year</f>
        <v>4.1809423939370758</v>
      </c>
      <c r="CB99" s="788">
        <f t="shared" si="133"/>
        <v>0.17986624991968236</v>
      </c>
      <c r="CC99" s="61">
        <f>NPV(realdiscrt3,CB$91:CB99)/(1+realdiscrt3)^-Half_Year</f>
        <v>4.8369579378809462</v>
      </c>
      <c r="CD99" s="624">
        <f t="shared" si="134"/>
        <v>0.11738776055837871</v>
      </c>
      <c r="CE99" s="61">
        <f>NPV(realdiscrt3,CD$91:CD99)/(1+realdiscrt3)^-Half_Year</f>
        <v>4.2301895556746123</v>
      </c>
      <c r="CF99" s="788">
        <f t="shared" si="135"/>
        <v>0.1446908604092684</v>
      </c>
      <c r="CG99" s="61">
        <f>NPV(realdiscrt3,CF$91:CF99)/(1+realdiscrt3)^-Half_Year</f>
        <v>4.495347338698779</v>
      </c>
      <c r="CH99" s="634">
        <f t="shared" si="136"/>
        <v>1.2419949105699813E-3</v>
      </c>
      <c r="CI99" s="61">
        <f>NPV(realdiscrt3,CH$91:CH99)/(1+realdiscrt3)^-Half_Year</f>
        <v>2.5187530526843416E-2</v>
      </c>
      <c r="CJ99" s="634">
        <f t="shared" si="137"/>
        <v>1.3354852321903967E-3</v>
      </c>
      <c r="CK99" s="61">
        <f>NPV(realdiscrt3,CJ$91:CJ99)/(1+realdiscrt3)^-Half_Year</f>
        <v>3.4665875319179661E-2</v>
      </c>
    </row>
    <row r="100" spans="1:89">
      <c r="A100" s="56">
        <f t="shared" si="139"/>
        <v>10</v>
      </c>
      <c r="B100" s="56">
        <f t="shared" si="138"/>
        <v>2027</v>
      </c>
      <c r="C100" s="62">
        <f t="shared" si="96"/>
        <v>8.5803156248414711E-2</v>
      </c>
      <c r="D100" s="57">
        <f>NPV(realdiscrt3,C$91:C100)/(1+realdiscrt3)^-Half_Year</f>
        <v>0.73502698757862117</v>
      </c>
      <c r="E100" s="62">
        <f t="shared" si="97"/>
        <v>7.9728621010986447E-2</v>
      </c>
      <c r="F100" s="58">
        <f>NPV(realdiscrt3,E$91:E100)/(1+realdiscrt3)^-Half_Year</f>
        <v>0.67674637028242723</v>
      </c>
      <c r="G100" s="62">
        <f t="shared" si="98"/>
        <v>8.2897572611307077E-2</v>
      </c>
      <c r="H100" s="57">
        <f>NPV(realdiscrt3,G$91:G100)/(1+realdiscrt3)^-Half_Year</f>
        <v>0.7010773691317137</v>
      </c>
      <c r="I100" s="62">
        <f t="shared" si="99"/>
        <v>7.0072725337772326E-2</v>
      </c>
      <c r="J100" s="59">
        <f>NPV(realdiscrt3,I$91:I100)/(1+realdiscrt3)^-Half_Year</f>
        <v>0.57691466524272605</v>
      </c>
      <c r="K100" s="63">
        <f t="shared" si="100"/>
        <v>181.26220993732784</v>
      </c>
      <c r="L100" s="60">
        <f>NPV(realdiscrt3,K$91:K100)/(1+realdiscrt3)^-Half_Year</f>
        <v>1543.1870521778296</v>
      </c>
      <c r="M100" s="63">
        <f t="shared" si="101"/>
        <v>0</v>
      </c>
      <c r="N100" s="60">
        <f>NPV(realdiscrt3,M$91:M100)/(1+realdiscrt3)^-Half_Year</f>
        <v>0</v>
      </c>
      <c r="O100" s="63">
        <f t="shared" si="102"/>
        <v>10.739952210274792</v>
      </c>
      <c r="P100" s="60">
        <f>NPV(realdiscrt3,O$91:O100)/(1+realdiscrt3)^-Half_Year</f>
        <v>105.07595815280767</v>
      </c>
      <c r="Q100" s="63">
        <f t="shared" si="103"/>
        <v>84.296373954599773</v>
      </c>
      <c r="R100" s="60">
        <f>NPV(realdiscrt3,Q$91:Q100)/(1+realdiscrt3)^-Half_Year</f>
        <v>824.72641299214172</v>
      </c>
      <c r="S100" s="63">
        <f t="shared" si="104"/>
        <v>22.208146844788985</v>
      </c>
      <c r="T100" s="60">
        <f>NPV(realdiscrt3,S$91:S100)/(1+realdiscrt3)^-Half_Year</f>
        <v>202.1002027334097</v>
      </c>
      <c r="U100" s="63">
        <f t="shared" si="105"/>
        <v>20.491180237585148</v>
      </c>
      <c r="V100" s="60">
        <f>NPV(realdiscrt3,U$91:U100)/(1+realdiscrt3)^-Half_Year</f>
        <v>185.73268295749554</v>
      </c>
      <c r="W100" s="624">
        <f t="shared" si="106"/>
        <v>20.040195614345361</v>
      </c>
      <c r="X100" s="60">
        <f>NPV(realdiscrt3,W$91:W100)/(1+realdiscrt3)^-Half_Year</f>
        <v>181.62987940212093</v>
      </c>
      <c r="Y100" s="624">
        <f t="shared" si="107"/>
        <v>8.7804619407287987</v>
      </c>
      <c r="Z100" s="60">
        <f>NPV(realdiscrt3,Y$91:Y100)/(1+realdiscrt3)^-Half_Year</f>
        <v>81.495915000818954</v>
      </c>
      <c r="AA100" s="63">
        <f t="shared" si="108"/>
        <v>8.5395797197035463</v>
      </c>
      <c r="AB100" s="60">
        <f>NPV(realdiscrt3,AA$91:AA100)/(1+realdiscrt3)^-Half_Year</f>
        <v>79.123134799592009</v>
      </c>
      <c r="AC100" s="63">
        <f t="shared" si="109"/>
        <v>8.9677910275951369</v>
      </c>
      <c r="AD100" s="60">
        <f>NPV(realdiscrt3,AC$91:AC100)/(1+realdiscrt3)^-Half_Year</f>
        <v>83.350373046312455</v>
      </c>
      <c r="AE100" s="63">
        <f t="shared" si="110"/>
        <v>7.2549457960287711</v>
      </c>
      <c r="AF100" s="60">
        <f>NPV(realdiscrt3,AE$91:AE100)/(1+realdiscrt3)^-Half_Year</f>
        <v>66.441420059430712</v>
      </c>
      <c r="AG100" s="63">
        <f t="shared" si="111"/>
        <v>7.4444801713234305</v>
      </c>
      <c r="AH100" s="60">
        <f>NPV(realdiscrt3,AG$91:AG100)/(1+realdiscrt3)^-Half_Year</f>
        <v>68.338774857448414</v>
      </c>
      <c r="AI100" s="63">
        <f t="shared" si="112"/>
        <v>8.3203580233066727</v>
      </c>
      <c r="AJ100" s="60">
        <f>NPV(realdiscrt3,AI$91:AI100)/(1+realdiscrt3)^-Half_Year</f>
        <v>76.962622767086643</v>
      </c>
      <c r="AK100" s="63">
        <f t="shared" si="113"/>
        <v>8.0027719075599677</v>
      </c>
      <c r="AL100" s="60">
        <f>NPV(realdiscrt3,AK$91:AK100)/(1+realdiscrt3)^-Half_Year</f>
        <v>73.865384533110685</v>
      </c>
      <c r="AM100" s="63">
        <f t="shared" si="114"/>
        <v>20.269796752340056</v>
      </c>
      <c r="AN100" s="60">
        <f>NPV(realdiscrt3,AM$91:AM100)/(1+realdiscrt3)^-Half_Year</f>
        <v>191.06166588840341</v>
      </c>
      <c r="AO100" s="63"/>
      <c r="AP100" s="60"/>
      <c r="AQ100" s="63">
        <f t="shared" si="115"/>
        <v>1.0833179284981212E-2</v>
      </c>
      <c r="AR100" s="60">
        <f>NPV(realdiscrt3,AQ$91:AQ100)/(1+realdiscrt3)^-Half_Year</f>
        <v>0.10598805943675835</v>
      </c>
      <c r="AS100" s="63">
        <f t="shared" si="116"/>
        <v>4.5379702334816434E-3</v>
      </c>
      <c r="AT100" s="60">
        <f>NPV(realdiscrt3,AS$91:AS100)/(1+realdiscrt3)^-Half_Year</f>
        <v>4.4397922915878942E-2</v>
      </c>
      <c r="AU100" s="63">
        <f t="shared" si="117"/>
        <v>6.2952090514995698E-3</v>
      </c>
      <c r="AV100" s="60">
        <f>NPV(realdiscrt3,AU$91:AU100)/(1+realdiscrt3)^-Half_Year</f>
        <v>6.1590136520879392E-2</v>
      </c>
      <c r="AW100" s="63">
        <v>1</v>
      </c>
      <c r="AX100" s="60">
        <f>NPV(realdiscrt3,AW$91:AW100)/(1+realdiscrt3)^-Half_Year</f>
        <v>9.7836523008252012</v>
      </c>
      <c r="AY100" s="63">
        <f t="shared" si="118"/>
        <v>0</v>
      </c>
      <c r="AZ100" s="60">
        <f>NPV(realdiscrt3,AY$91:AY100)/(1+realdiscrt3)^-Half_Year</f>
        <v>0</v>
      </c>
      <c r="BA100" s="115">
        <f t="shared" si="119"/>
        <v>1.0021975853094038</v>
      </c>
      <c r="BB100" s="74">
        <f t="shared" si="120"/>
        <v>0</v>
      </c>
      <c r="BC100" s="59">
        <f>NPV(realdiscrt3,BB$91:BB100)/(1+realdiscrt3)^-Half_Year</f>
        <v>1.0547347623195183E-2</v>
      </c>
      <c r="BD100" s="74">
        <f t="shared" si="121"/>
        <v>0</v>
      </c>
      <c r="BE100" s="59">
        <f>NPV(realdiscrt3,BD$91:BD100)/(1+realdiscrt3)^-Half_Year</f>
        <v>5.1847026672568524E-3</v>
      </c>
      <c r="BF100" s="74">
        <f t="shared" si="122"/>
        <v>0</v>
      </c>
      <c r="BG100" s="59">
        <f>NPV(realdiscrt3,BF$91:BF100)/(1+realdiscrt3)^-Half_Year</f>
        <v>0</v>
      </c>
      <c r="BH100" s="74">
        <f t="shared" si="123"/>
        <v>0</v>
      </c>
      <c r="BI100" s="59">
        <f>NPV(realdiscrt3,BH$91:BH100)/(1+realdiscrt3)^-Half_Year</f>
        <v>0</v>
      </c>
      <c r="BJ100" s="64">
        <f t="shared" si="124"/>
        <v>3.8075172401433696E-2</v>
      </c>
      <c r="BK100" s="61">
        <f>NPV(realdiscrt3,BJ$91:BJ100)/(1+realdiscrt3)^-Half_Year</f>
        <v>0.42499019037688007</v>
      </c>
      <c r="BL100" s="64">
        <f t="shared" si="125"/>
        <v>3.7626789605734783E-2</v>
      </c>
      <c r="BM100" s="61">
        <f>NPV(realdiscrt3,BL$91:BL100)/(1+realdiscrt3)^-Half_Year</f>
        <v>0.41998539912612193</v>
      </c>
      <c r="BN100" s="64">
        <f t="shared" si="126"/>
        <v>4.0578643010752695E-2</v>
      </c>
      <c r="BO100" s="61">
        <f>NPV(realdiscrt3,BN$91:BN100)/(1+realdiscrt3)^-Half_Year</f>
        <v>0.45293360819361306</v>
      </c>
      <c r="BP100" s="64">
        <f t="shared" si="127"/>
        <v>3.8859842293906814E-2</v>
      </c>
      <c r="BQ100" s="61">
        <f>NPV(realdiscrt3,BP$91:BP100)/(1+realdiscrt3)^-Half_Year</f>
        <v>0.4337485750657068</v>
      </c>
      <c r="BR100" s="64">
        <f t="shared" si="128"/>
        <v>0.14005407115292715</v>
      </c>
      <c r="BS100" s="61">
        <f>NPV(realdiscrt3,BR$91:BR100)/(1+realdiscrt3)^-Half_Year</f>
        <v>1.3702403354752719</v>
      </c>
      <c r="BT100" s="624">
        <f t="shared" si="129"/>
        <v>0.21589899569661389</v>
      </c>
      <c r="BU100" s="61">
        <f>NPV(realdiscrt3,BT$91:BT100)/(1+realdiscrt3)^-Half_Year</f>
        <v>5.3975130168408114</v>
      </c>
      <c r="BV100" s="788">
        <f t="shared" si="130"/>
        <v>0.11804493488708064</v>
      </c>
      <c r="BW100" s="61">
        <f>NPV(realdiscrt3,BV$91:BV100)/(1+realdiscrt3)^-Half_Year</f>
        <v>4.3517293721395367</v>
      </c>
      <c r="BX100" s="788">
        <f t="shared" si="131"/>
        <v>8.6359598278645561E-2</v>
      </c>
      <c r="BY100" s="61">
        <f>NPV(realdiscrt3,BX$91:BX100)/(1+realdiscrt3)^-Half_Year</f>
        <v>4.0131025790578159</v>
      </c>
      <c r="BZ100" s="788">
        <f t="shared" si="132"/>
        <v>0.11212757521302784</v>
      </c>
      <c r="CA100" s="61">
        <f>NPV(realdiscrt3,BZ$91:BZ100)/(1+realdiscrt3)^-Half_Year</f>
        <v>4.2884895033416086</v>
      </c>
      <c r="CB100" s="788">
        <f t="shared" si="133"/>
        <v>0.17956319472087379</v>
      </c>
      <c r="CC100" s="61">
        <f>NPV(realdiscrt3,CB$91:CB100)/(1+realdiscrt3)^-Half_Year</f>
        <v>5.0091858890426808</v>
      </c>
      <c r="CD100" s="624">
        <f t="shared" si="134"/>
        <v>0.11718997486412204</v>
      </c>
      <c r="CE100" s="61">
        <f>NPV(realdiscrt3,CD$91:CD100)/(1+realdiscrt3)^-Half_Year</f>
        <v>4.3425922632501672</v>
      </c>
      <c r="CF100" s="788">
        <f t="shared" si="135"/>
        <v>0.14444707194152256</v>
      </c>
      <c r="CG100" s="61">
        <f>NPV(realdiscrt3,CF$91:CF100)/(1+realdiscrt3)^-Half_Year</f>
        <v>4.6338936777214954</v>
      </c>
      <c r="CH100" s="634">
        <f t="shared" si="136"/>
        <v>1.2404153214310666E-3</v>
      </c>
      <c r="CI100" s="61">
        <f>NPV(realdiscrt3,CH$91:CH100)/(1+realdiscrt3)^-Half_Year</f>
        <v>2.637727428102303E-2</v>
      </c>
      <c r="CJ100" s="634">
        <f t="shared" si="137"/>
        <v>1.3344321727644538E-3</v>
      </c>
      <c r="CK100" s="61">
        <f>NPV(realdiscrt3,CJ$91:CJ100)/(1+realdiscrt3)^-Half_Year</f>
        <v>3.5945795290734994E-2</v>
      </c>
    </row>
    <row r="101" spans="1:89">
      <c r="A101" s="56">
        <f t="shared" si="139"/>
        <v>11</v>
      </c>
      <c r="B101" s="56">
        <f t="shared" si="138"/>
        <v>2028</v>
      </c>
      <c r="C101" s="62">
        <f t="shared" si="96"/>
        <v>8.8772024963853266E-2</v>
      </c>
      <c r="D101" s="57">
        <f>NPV(realdiscrt3,C$91:C101)/(1+realdiscrt3)^-Half_Year</f>
        <v>0.81979963264646183</v>
      </c>
      <c r="E101" s="62">
        <f t="shared" si="97"/>
        <v>8.3393930277933404E-2</v>
      </c>
      <c r="F101" s="58">
        <f>NPV(realdiscrt3,E$91:E101)/(1+realdiscrt3)^-Half_Year</f>
        <v>0.75638321595697533</v>
      </c>
      <c r="G101" s="62">
        <f t="shared" si="98"/>
        <v>8.9147313470360368E-2</v>
      </c>
      <c r="H101" s="57">
        <f>NPV(realdiscrt3,G$91:G101)/(1+realdiscrt3)^-Half_Year</f>
        <v>0.7862083951126082</v>
      </c>
      <c r="I101" s="62">
        <f t="shared" si="99"/>
        <v>7.4098382871404356E-2</v>
      </c>
      <c r="J101" s="59">
        <f>NPV(realdiscrt3,I$91:I101)/(1+realdiscrt3)^-Half_Year</f>
        <v>0.64767474888187127</v>
      </c>
      <c r="K101" s="63">
        <f t="shared" si="100"/>
        <v>185.61567582824037</v>
      </c>
      <c r="L101" s="60">
        <f>NPV(realdiscrt3,K$91:K101)/(1+realdiscrt3)^-Half_Year</f>
        <v>1720.4403232665754</v>
      </c>
      <c r="M101" s="63">
        <f t="shared" si="101"/>
        <v>0</v>
      </c>
      <c r="N101" s="60">
        <f>NPV(realdiscrt3,M$91:M101)/(1+realdiscrt3)^-Half_Year</f>
        <v>0</v>
      </c>
      <c r="O101" s="63">
        <f t="shared" si="102"/>
        <v>10.739952210274792</v>
      </c>
      <c r="P101" s="60">
        <f>NPV(realdiscrt3,O$91:O101)/(1+realdiscrt3)^-Half_Year</f>
        <v>115.33205129856977</v>
      </c>
      <c r="Q101" s="63">
        <f t="shared" si="103"/>
        <v>84.296373954599773</v>
      </c>
      <c r="R101" s="60">
        <f>NPV(realdiscrt3,Q$91:Q101)/(1+realdiscrt3)^-Half_Year</f>
        <v>905.22504522080851</v>
      </c>
      <c r="S101" s="63">
        <f t="shared" si="104"/>
        <v>22.430722490333782</v>
      </c>
      <c r="T101" s="60">
        <f>NPV(realdiscrt3,S$91:S101)/(1+realdiscrt3)^-Half_Year</f>
        <v>223.52037059668154</v>
      </c>
      <c r="U101" s="63">
        <f t="shared" si="105"/>
        <v>20.687203808630922</v>
      </c>
      <c r="V101" s="60">
        <f>NPV(realdiscrt3,U$91:U101)/(1+realdiscrt3)^-Half_Year</f>
        <v>205.48788158712281</v>
      </c>
      <c r="W101" s="624">
        <f t="shared" si="106"/>
        <v>20.216999559833479</v>
      </c>
      <c r="X101" s="60">
        <f>NPV(realdiscrt3,W$91:W101)/(1+realdiscrt3)^-Half_Year</f>
        <v>200.93605754461922</v>
      </c>
      <c r="Y101" s="624">
        <f t="shared" si="107"/>
        <v>8.8973567975826988</v>
      </c>
      <c r="Z101" s="60">
        <f>NPV(realdiscrt3,Y$91:Y101)/(1+realdiscrt3)^-Half_Year</f>
        <v>89.992425812085685</v>
      </c>
      <c r="AA101" s="63">
        <f t="shared" si="108"/>
        <v>8.6483912822026081</v>
      </c>
      <c r="AB101" s="60">
        <f>NPV(realdiscrt3,AA$91:AA101)/(1+realdiscrt3)^-Half_Year</f>
        <v>87.381896553337029</v>
      </c>
      <c r="AC101" s="63">
        <f t="shared" si="109"/>
        <v>9.0739081586425865</v>
      </c>
      <c r="AD101" s="60">
        <f>NPV(realdiscrt3,AC$91:AC101)/(1+realdiscrt3)^-Half_Year</f>
        <v>92.01548118171894</v>
      </c>
      <c r="AE101" s="63">
        <f t="shared" si="110"/>
        <v>7.3718406528826721</v>
      </c>
      <c r="AF101" s="60">
        <f>NPV(realdiscrt3,AE$91:AE101)/(1+realdiscrt3)^-Half_Year</f>
        <v>73.481142668191339</v>
      </c>
      <c r="AG101" s="63">
        <f t="shared" si="111"/>
        <v>7.5613750281773342</v>
      </c>
      <c r="AH101" s="60">
        <f>NPV(realdiscrt3,AG$91:AG101)/(1+realdiscrt3)^-Half_Year</f>
        <v>75.559492890517035</v>
      </c>
      <c r="AI101" s="63">
        <f t="shared" si="112"/>
        <v>8.4264751543541223</v>
      </c>
      <c r="AJ101" s="60">
        <f>NPV(realdiscrt3,AI$91:AI101)/(1+realdiscrt3)^-Half_Year</f>
        <v>85.009466214939806</v>
      </c>
      <c r="AK101" s="63">
        <f t="shared" si="113"/>
        <v>8.1196667644138696</v>
      </c>
      <c r="AL101" s="60">
        <f>NPV(realdiscrt3,AK$91:AK101)/(1+realdiscrt3)^-Half_Year</f>
        <v>81.619242000810402</v>
      </c>
      <c r="AM101" s="63">
        <f t="shared" si="114"/>
        <v>20.396091998585124</v>
      </c>
      <c r="AN101" s="60">
        <f>NPV(realdiscrt3,AM$91:AM101)/(1+realdiscrt3)^-Half_Year</f>
        <v>210.53886795145334</v>
      </c>
      <c r="AO101" s="63"/>
      <c r="AP101" s="60"/>
      <c r="AQ101" s="63">
        <f t="shared" si="115"/>
        <v>1.0833179284981212E-2</v>
      </c>
      <c r="AR101" s="60">
        <f>NPV(realdiscrt3,AQ$91:AQ101)/(1+realdiscrt3)^-Half_Year</f>
        <v>0.11633317956729429</v>
      </c>
      <c r="AS101" s="63">
        <f t="shared" si="116"/>
        <v>4.5379702334816434E-3</v>
      </c>
      <c r="AT101" s="60">
        <f>NPV(realdiscrt3,AS$91:AS101)/(1+realdiscrt3)^-Half_Year</f>
        <v>4.8731447357706292E-2</v>
      </c>
      <c r="AU101" s="63">
        <f t="shared" si="117"/>
        <v>6.2952090514995698E-3</v>
      </c>
      <c r="AV101" s="60">
        <f>NPV(realdiscrt3,AU$91:AU101)/(1+realdiscrt3)^-Half_Year</f>
        <v>6.7601732209587984E-2</v>
      </c>
      <c r="AW101" s="63">
        <v>1</v>
      </c>
      <c r="AX101" s="60">
        <f>NPV(realdiscrt3,AW$91:AW101)/(1+realdiscrt3)^-Half_Year</f>
        <v>10.738600045932502</v>
      </c>
      <c r="AY101" s="63">
        <f t="shared" si="118"/>
        <v>0</v>
      </c>
      <c r="AZ101" s="60">
        <f>NPV(realdiscrt3,AY$91:AY101)/(1+realdiscrt3)^-Half_Year</f>
        <v>0</v>
      </c>
      <c r="BA101" s="115">
        <f t="shared" si="119"/>
        <v>1.0021975853094038</v>
      </c>
      <c r="BB101" s="74">
        <f t="shared" si="120"/>
        <v>0</v>
      </c>
      <c r="BC101" s="59">
        <f>NPV(realdiscrt3,BB$91:BB101)/(1+realdiscrt3)^-Half_Year</f>
        <v>1.0547347623195183E-2</v>
      </c>
      <c r="BD101" s="74">
        <f t="shared" si="121"/>
        <v>0</v>
      </c>
      <c r="BE101" s="59">
        <f>NPV(realdiscrt3,BD$91:BD101)/(1+realdiscrt3)^-Half_Year</f>
        <v>5.1847026672568524E-3</v>
      </c>
      <c r="BF101" s="74">
        <f t="shared" si="122"/>
        <v>0</v>
      </c>
      <c r="BG101" s="59">
        <f>NPV(realdiscrt3,BF$91:BF101)/(1+realdiscrt3)^-Half_Year</f>
        <v>0</v>
      </c>
      <c r="BH101" s="74">
        <f t="shared" si="123"/>
        <v>0</v>
      </c>
      <c r="BI101" s="59">
        <f>NPV(realdiscrt3,BH$91:BH101)/(1+realdiscrt3)^-Half_Year</f>
        <v>0</v>
      </c>
      <c r="BJ101" s="64">
        <f t="shared" si="124"/>
        <v>3.6837209145758665E-2</v>
      </c>
      <c r="BK101" s="61">
        <f>NPV(realdiscrt3,BJ$91:BJ101)/(1+realdiscrt3)^-Half_Year</f>
        <v>0.46016780018666836</v>
      </c>
      <c r="BL101" s="64">
        <f t="shared" si="125"/>
        <v>3.6403404916367982E-2</v>
      </c>
      <c r="BM101" s="61">
        <f>NPV(realdiscrt3,BL$91:BL101)/(1+realdiscrt3)^-Half_Year</f>
        <v>0.45474874856523556</v>
      </c>
      <c r="BN101" s="64">
        <f t="shared" si="126"/>
        <v>3.9259282759856635E-2</v>
      </c>
      <c r="BO101" s="61">
        <f>NPV(realdiscrt3,BN$91:BN101)/(1+realdiscrt3)^-Half_Year</f>
        <v>0.49042417173966807</v>
      </c>
      <c r="BP101" s="64">
        <f t="shared" si="127"/>
        <v>3.7596366547192353E-2</v>
      </c>
      <c r="BQ101" s="61">
        <f>NPV(realdiscrt3,BP$91:BP101)/(1+realdiscrt3)^-Half_Year</f>
        <v>0.46965114052417573</v>
      </c>
      <c r="BR101" s="64">
        <f t="shared" si="128"/>
        <v>0.14005407115292715</v>
      </c>
      <c r="BS101" s="61">
        <f>NPV(realdiscrt3,BR$91:BR101)/(1+realdiscrt3)^-Half_Year</f>
        <v>1.5039846549158575</v>
      </c>
      <c r="BT101" s="624">
        <f t="shared" si="129"/>
        <v>0.21553615086093786</v>
      </c>
      <c r="BU101" s="61">
        <f>NPV(realdiscrt3,BT$91:BT101)/(1+realdiscrt3)^-Half_Year</f>
        <v>5.6033387780945709</v>
      </c>
      <c r="BV101" s="788">
        <f t="shared" si="130"/>
        <v>0.1178465458447264</v>
      </c>
      <c r="BW101" s="61">
        <f>NPV(realdiscrt3,BV$91:BV101)/(1+realdiscrt3)^-Half_Year</f>
        <v>4.4642666653626426</v>
      </c>
      <c r="BX101" s="788">
        <f t="shared" si="131"/>
        <v>8.621446034437516E-2</v>
      </c>
      <c r="BY101" s="61">
        <f>NPV(realdiscrt3,BX$91:BX101)/(1+realdiscrt3)^-Half_Year</f>
        <v>4.0954328835593197</v>
      </c>
      <c r="BZ101" s="788">
        <f t="shared" si="132"/>
        <v>0.1119391310219298</v>
      </c>
      <c r="CA101" s="61">
        <f>NPV(realdiscrt3,BZ$91:BZ101)/(1+realdiscrt3)^-Half_Year</f>
        <v>4.3953855241002708</v>
      </c>
      <c r="CB101" s="788">
        <f t="shared" si="133"/>
        <v>0.17926141667104206</v>
      </c>
      <c r="CC101" s="61">
        <f>NPV(realdiscrt3,CB$91:CB101)/(1+realdiscrt3)^-Half_Year</f>
        <v>5.1803711746774326</v>
      </c>
      <c r="CD101" s="624">
        <f t="shared" si="134"/>
        <v>0.11699302268731708</v>
      </c>
      <c r="CE101" s="61">
        <f>NPV(realdiscrt3,CD$91:CD101)/(1+realdiscrt3)^-Half_Year</f>
        <v>4.4543144864587081</v>
      </c>
      <c r="CF101" s="788">
        <f t="shared" si="135"/>
        <v>0.1442043108582049</v>
      </c>
      <c r="CG101" s="61">
        <f>NPV(realdiscrt3,CF$91:CF101)/(1+realdiscrt3)^-Half_Year</f>
        <v>4.7716012592102901</v>
      </c>
      <c r="CH101" s="634">
        <f t="shared" si="136"/>
        <v>1.2388423890684112E-3</v>
      </c>
      <c r="CI101" s="61">
        <f>NPV(realdiscrt3,CH$91:CH101)/(1+realdiscrt3)^-Half_Year</f>
        <v>2.7560304027007251E-2</v>
      </c>
      <c r="CJ101" s="634">
        <f t="shared" si="137"/>
        <v>1.3333835511893499E-3</v>
      </c>
      <c r="CK101" s="61">
        <f>NPV(realdiscrt3,CJ$91:CJ101)/(1+realdiscrt3)^-Half_Year</f>
        <v>3.7219106906306428E-2</v>
      </c>
    </row>
    <row r="102" spans="1:89">
      <c r="A102" s="56">
        <f t="shared" si="139"/>
        <v>12</v>
      </c>
      <c r="B102" s="56">
        <f t="shared" si="138"/>
        <v>2029</v>
      </c>
      <c r="C102" s="62">
        <f t="shared" si="96"/>
        <v>9.2961476450210634E-2</v>
      </c>
      <c r="D102" s="57">
        <f>NPV(realdiscrt3,C$91:C102)/(1+realdiscrt3)^-Half_Year</f>
        <v>0.90818409333739591</v>
      </c>
      <c r="E102" s="62">
        <f t="shared" si="97"/>
        <v>8.7680345636829055E-2</v>
      </c>
      <c r="F102" s="58">
        <f>NPV(realdiscrt3,E$91:E102)/(1+realdiscrt3)^-Half_Year</f>
        <v>0.83974656557477567</v>
      </c>
      <c r="G102" s="62">
        <f t="shared" si="98"/>
        <v>9.2419425307861985E-2</v>
      </c>
      <c r="H102" s="57">
        <f>NPV(realdiscrt3,G$91:G102)/(1+realdiscrt3)^-Half_Year</f>
        <v>0.87407749288426817</v>
      </c>
      <c r="I102" s="62">
        <f t="shared" si="99"/>
        <v>7.6899252713424168E-2</v>
      </c>
      <c r="J102" s="59">
        <f>NPV(realdiscrt3,I$91:I102)/(1+realdiscrt3)^-Half_Year</f>
        <v>0.72078781935092828</v>
      </c>
      <c r="K102" s="63">
        <f t="shared" si="100"/>
        <v>192.83649703978327</v>
      </c>
      <c r="L102" s="60">
        <f>NPV(realdiscrt3,K$91:K102)/(1+realdiscrt3)^-Half_Year</f>
        <v>1903.7823961683396</v>
      </c>
      <c r="M102" s="63">
        <f t="shared" si="101"/>
        <v>0</v>
      </c>
      <c r="N102" s="60">
        <f>NPV(realdiscrt3,M$91:M102)/(1+realdiscrt3)^-Half_Year</f>
        <v>0</v>
      </c>
      <c r="O102" s="63">
        <f t="shared" si="102"/>
        <v>10.739952210274792</v>
      </c>
      <c r="P102" s="60">
        <f>NPV(realdiscrt3,O$91:O102)/(1+realdiscrt3)^-Half_Year</f>
        <v>125.54321532262601</v>
      </c>
      <c r="Q102" s="63">
        <f t="shared" si="103"/>
        <v>84.296373954599773</v>
      </c>
      <c r="R102" s="60">
        <f>NPV(realdiscrt3,Q$91:Q102)/(1+realdiscrt3)^-Half_Year</f>
        <v>985.37103509403335</v>
      </c>
      <c r="S102" s="63">
        <f t="shared" si="104"/>
        <v>22.715993097962816</v>
      </c>
      <c r="T102" s="60">
        <f>NPV(realdiscrt3,S$91:S102)/(1+realdiscrt3)^-Half_Year</f>
        <v>245.11792773205855</v>
      </c>
      <c r="U102" s="63">
        <f t="shared" si="105"/>
        <v>20.983812380244391</v>
      </c>
      <c r="V102" s="60">
        <f>NPV(realdiscrt3,U$91:U102)/(1+realdiscrt3)^-Half_Year</f>
        <v>225.43854299320512</v>
      </c>
      <c r="W102" s="624">
        <f t="shared" si="106"/>
        <v>20.525870972464851</v>
      </c>
      <c r="X102" s="60">
        <f>NPV(realdiscrt3,W$91:W102)/(1+realdiscrt3)^-Half_Year</f>
        <v>220.45132457122091</v>
      </c>
      <c r="Y102" s="624">
        <f t="shared" si="107"/>
        <v>9.0952435075497231</v>
      </c>
      <c r="Z102" s="60">
        <f>NPV(realdiscrt3,Y$91:Y102)/(1+realdiscrt3)^-Half_Year</f>
        <v>98.639859383109595</v>
      </c>
      <c r="AA102" s="63">
        <f t="shared" si="108"/>
        <v>8.8462779921696324</v>
      </c>
      <c r="AB102" s="60">
        <f>NPV(realdiscrt3,AA$91:AA102)/(1+realdiscrt3)^-Half_Year</f>
        <v>95.792622580034291</v>
      </c>
      <c r="AC102" s="63">
        <f t="shared" si="109"/>
        <v>9.2717948686096108</v>
      </c>
      <c r="AD102" s="60">
        <f>NPV(realdiscrt3,AC$91:AC102)/(1+realdiscrt3)^-Half_Year</f>
        <v>100.83077349840174</v>
      </c>
      <c r="AE102" s="63">
        <f t="shared" si="110"/>
        <v>7.5697273628496973</v>
      </c>
      <c r="AF102" s="60">
        <f>NPV(realdiscrt3,AE$91:AE102)/(1+realdiscrt3)^-Half_Year</f>
        <v>80.678169824932041</v>
      </c>
      <c r="AG102" s="63">
        <f t="shared" si="111"/>
        <v>7.7592617381443585</v>
      </c>
      <c r="AH102" s="60">
        <f>NPV(realdiscrt3,AG$91:AG102)/(1+realdiscrt3)^-Half_Year</f>
        <v>82.936722580419783</v>
      </c>
      <c r="AI102" s="63">
        <f t="shared" si="112"/>
        <v>8.6243618643211484</v>
      </c>
      <c r="AJ102" s="60">
        <f>NPV(realdiscrt3,AI$91:AI102)/(1+realdiscrt3)^-Half_Year</f>
        <v>93.209202291525713</v>
      </c>
      <c r="AK102" s="63">
        <f t="shared" si="113"/>
        <v>8.3175534743808939</v>
      </c>
      <c r="AL102" s="60">
        <f>NPV(realdiscrt3,AK$91:AK102)/(1+realdiscrt3)^-Half_Year</f>
        <v>89.527275588195351</v>
      </c>
      <c r="AM102" s="63">
        <f t="shared" si="114"/>
        <v>20.536036282822582</v>
      </c>
      <c r="AN102" s="60">
        <f>NPV(realdiscrt3,AM$91:AM102)/(1+realdiscrt3)^-Half_Year</f>
        <v>230.06379979307343</v>
      </c>
      <c r="AO102" s="63"/>
      <c r="AP102" s="60"/>
      <c r="AQ102" s="63">
        <f t="shared" si="115"/>
        <v>1.0833179284981212E-2</v>
      </c>
      <c r="AR102" s="60">
        <f>NPV(realdiscrt3,AQ$91:AQ102)/(1+realdiscrt3)^-Half_Year</f>
        <v>0.12663298057340336</v>
      </c>
      <c r="AS102" s="63">
        <f t="shared" si="116"/>
        <v>4.5379702334816434E-3</v>
      </c>
      <c r="AT102" s="60">
        <f>NPV(realdiscrt3,AS$91:AS102)/(1+realdiscrt3)^-Half_Year</f>
        <v>5.3045987821492988E-2</v>
      </c>
      <c r="AU102" s="63">
        <f t="shared" si="117"/>
        <v>6.2952090514995698E-3</v>
      </c>
      <c r="AV102" s="60">
        <f>NPV(realdiscrt3,AU$91:AU102)/(1+realdiscrt3)^-Half_Year</f>
        <v>7.3586992751910357E-2</v>
      </c>
      <c r="AW102" s="63">
        <v>1</v>
      </c>
      <c r="AX102" s="60">
        <f>NPV(realdiscrt3,AW$91:AW102)/(1+realdiscrt3)^-Half_Year</f>
        <v>11.689364427759765</v>
      </c>
      <c r="AY102" s="63">
        <f t="shared" si="118"/>
        <v>0</v>
      </c>
      <c r="AZ102" s="60">
        <f>NPV(realdiscrt3,AY$91:AY102)/(1+realdiscrt3)^-Half_Year</f>
        <v>0</v>
      </c>
      <c r="BA102" s="115">
        <f t="shared" si="119"/>
        <v>1.0021975853094038</v>
      </c>
      <c r="BB102" s="74">
        <f t="shared" si="120"/>
        <v>0</v>
      </c>
      <c r="BC102" s="59">
        <f>NPV(realdiscrt3,BB$91:BB102)/(1+realdiscrt3)^-Half_Year</f>
        <v>1.0547347623195183E-2</v>
      </c>
      <c r="BD102" s="74">
        <f t="shared" si="121"/>
        <v>0</v>
      </c>
      <c r="BE102" s="59">
        <f>NPV(realdiscrt3,BD$91:BD102)/(1+realdiscrt3)^-Half_Year</f>
        <v>5.1847026672568524E-3</v>
      </c>
      <c r="BF102" s="74">
        <f t="shared" si="122"/>
        <v>0</v>
      </c>
      <c r="BG102" s="59">
        <f>NPV(realdiscrt3,BF$91:BF102)/(1+realdiscrt3)^-Half_Year</f>
        <v>0</v>
      </c>
      <c r="BH102" s="74">
        <f t="shared" si="123"/>
        <v>0</v>
      </c>
      <c r="BI102" s="59">
        <f>NPV(realdiscrt3,BH$91:BH102)/(1+realdiscrt3)^-Half_Year</f>
        <v>0</v>
      </c>
      <c r="BJ102" s="64">
        <f t="shared" si="124"/>
        <v>3.559924589008364E-2</v>
      </c>
      <c r="BK102" s="61">
        <f>NPV(realdiscrt3,BJ$91:BJ102)/(1+realdiscrt3)^-Half_Year</f>
        <v>0.49401429519887041</v>
      </c>
      <c r="BL102" s="64">
        <f t="shared" si="125"/>
        <v>3.5180020227001202E-2</v>
      </c>
      <c r="BM102" s="61">
        <f>NPV(realdiscrt3,BL$91:BL102)/(1+realdiscrt3)^-Half_Year</f>
        <v>0.48819665874903095</v>
      </c>
      <c r="BN102" s="64">
        <f t="shared" si="126"/>
        <v>3.7939922508960576E-2</v>
      </c>
      <c r="BO102" s="61">
        <f>NPV(realdiscrt3,BN$91:BN102)/(1+realdiscrt3)^-Half_Year</f>
        <v>0.52649609871047431</v>
      </c>
      <c r="BP102" s="64">
        <f t="shared" si="127"/>
        <v>3.6332890800477899E-2</v>
      </c>
      <c r="BQ102" s="61">
        <f>NPV(realdiscrt3,BP$91:BP102)/(1+realdiscrt3)^-Half_Year</f>
        <v>0.50419515898608958</v>
      </c>
      <c r="BR102" s="64">
        <f t="shared" si="128"/>
        <v>0.14005407115292715</v>
      </c>
      <c r="BS102" s="61">
        <f>NPV(realdiscrt3,BR$91:BR102)/(1+realdiscrt3)^-Half_Year</f>
        <v>1.6371430772979614</v>
      </c>
      <c r="BT102" s="624">
        <f t="shared" si="129"/>
        <v>0.21517483615634</v>
      </c>
      <c r="BU102" s="61">
        <f>NPV(realdiscrt3,BT$91:BT102)/(1+realdiscrt3)^-Half_Year</f>
        <v>5.8079193481775357</v>
      </c>
      <c r="BV102" s="788">
        <f t="shared" si="130"/>
        <v>0.11764899341684046</v>
      </c>
      <c r="BW102" s="61">
        <f>NPV(realdiscrt3,BV$91:BV102)/(1+realdiscrt3)^-Half_Year</f>
        <v>4.5761231378612042</v>
      </c>
      <c r="BX102" s="788">
        <f t="shared" si="131"/>
        <v>8.606993446253601E-2</v>
      </c>
      <c r="BY102" s="61">
        <f>NPV(realdiscrt3,BX$91:BX102)/(1+realdiscrt3)^-Half_Year</f>
        <v>4.1772651115925052</v>
      </c>
      <c r="BZ102" s="788">
        <f t="shared" si="132"/>
        <v>0.1117514815074675</v>
      </c>
      <c r="CA102" s="61">
        <f>NPV(realdiscrt3,BZ$91:BZ102)/(1+realdiscrt3)^-Half_Year</f>
        <v>4.501634852334</v>
      </c>
      <c r="CB102" s="788">
        <f t="shared" si="133"/>
        <v>0.17896091123122798</v>
      </c>
      <c r="CC102" s="61">
        <f>NPV(realdiscrt3,CB$91:CB102)/(1+realdiscrt3)^-Half_Year</f>
        <v>5.3505208348154349</v>
      </c>
      <c r="CD102" s="624">
        <f t="shared" si="134"/>
        <v>0.11679690106566136</v>
      </c>
      <c r="CE102" s="61">
        <f>NPV(realdiscrt3,CD$91:CD102)/(1+realdiscrt3)^-Half_Year</f>
        <v>4.565360819899742</v>
      </c>
      <c r="CF102" s="788">
        <f t="shared" si="135"/>
        <v>0.14396257350801397</v>
      </c>
      <c r="CG102" s="61">
        <f>NPV(realdiscrt3,CF$91:CF102)/(1+realdiscrt3)^-Half_Year</f>
        <v>4.9084757464178992</v>
      </c>
      <c r="CH102" s="634">
        <f t="shared" si="136"/>
        <v>1.2372760898239795E-3</v>
      </c>
      <c r="CI102" s="61">
        <f>NPV(realdiscrt3,CH$91:CH102)/(1+realdiscrt3)^-Half_Year</f>
        <v>2.87366620636984E-2</v>
      </c>
      <c r="CJ102" s="634">
        <f t="shared" si="137"/>
        <v>1.3323393516930624E-3</v>
      </c>
      <c r="CK102" s="61">
        <f>NPV(realdiscrt3,CJ$91:CJ102)/(1+realdiscrt3)^-Half_Year</f>
        <v>3.8485847706403023E-2</v>
      </c>
    </row>
    <row r="103" spans="1:89">
      <c r="A103" s="56">
        <f t="shared" si="139"/>
        <v>13</v>
      </c>
      <c r="B103" s="56">
        <f t="shared" si="138"/>
        <v>2030</v>
      </c>
      <c r="C103" s="62">
        <f t="shared" si="96"/>
        <v>0.10056523250457726</v>
      </c>
      <c r="D103" s="57">
        <f>NPV(realdiscrt3,C$91:C103)/(1+realdiscrt3)^-Half_Year</f>
        <v>1.0033790765268915</v>
      </c>
      <c r="E103" s="62">
        <f t="shared" si="97"/>
        <v>9.1127205310010229E-2</v>
      </c>
      <c r="F103" s="58">
        <f>NPV(realdiscrt3,E$91:E103)/(1+realdiscrt3)^-Half_Year</f>
        <v>0.92600751840653384</v>
      </c>
      <c r="G103" s="62">
        <f t="shared" si="98"/>
        <v>0.11008869250182855</v>
      </c>
      <c r="H103" s="57">
        <f>NPV(realdiscrt3,G$91:G103)/(1+realdiscrt3)^-Half_Year</f>
        <v>0.97828737706653879</v>
      </c>
      <c r="I103" s="62">
        <f t="shared" si="99"/>
        <v>8.2301137660325763E-2</v>
      </c>
      <c r="J103" s="59">
        <f>NPV(realdiscrt3,I$91:I103)/(1+realdiscrt3)^-Half_Year</f>
        <v>0.79869402232912423</v>
      </c>
      <c r="K103" s="63">
        <f t="shared" si="100"/>
        <v>194.96026798435474</v>
      </c>
      <c r="L103" s="60">
        <f>NPV(realdiscrt3,K$91:K103)/(1+realdiscrt3)^-Half_Year</f>
        <v>2088.3316580869205</v>
      </c>
      <c r="M103" s="63">
        <f t="shared" si="101"/>
        <v>0</v>
      </c>
      <c r="N103" s="60">
        <f>NPV(realdiscrt3,M$91:M103)/(1+realdiscrt3)^-Half_Year</f>
        <v>0</v>
      </c>
      <c r="O103" s="63">
        <f t="shared" si="102"/>
        <v>10.739952210274792</v>
      </c>
      <c r="P103" s="60">
        <f>NPV(realdiscrt3,O$91:O103)/(1+realdiscrt3)^-Half_Year</f>
        <v>135.70964704709459</v>
      </c>
      <c r="Q103" s="63">
        <f t="shared" si="103"/>
        <v>84.296373954599773</v>
      </c>
      <c r="R103" s="60">
        <f>NPV(realdiscrt3,Q$91:Q103)/(1+realdiscrt3)^-Half_Year</f>
        <v>1065.1659274409317</v>
      </c>
      <c r="S103" s="63">
        <f t="shared" si="104"/>
        <v>22.940963622174284</v>
      </c>
      <c r="T103" s="60">
        <f>NPV(realdiscrt3,S$91:S103)/(1+realdiscrt3)^-Half_Year</f>
        <v>266.83382886383691</v>
      </c>
      <c r="U103" s="63">
        <f t="shared" si="105"/>
        <v>21.214440064953592</v>
      </c>
      <c r="V103" s="60">
        <f>NPV(realdiscrt3,U$91:U103)/(1+realdiscrt3)^-Half_Year</f>
        <v>245.52011805709111</v>
      </c>
      <c r="W103" s="624">
        <f t="shared" si="106"/>
        <v>20.758245083814632</v>
      </c>
      <c r="X103" s="60">
        <f>NPV(realdiscrt3,W$91:W103)/(1+realdiscrt3)^-Half_Year</f>
        <v>240.10106576490054</v>
      </c>
      <c r="Y103" s="624">
        <f t="shared" si="107"/>
        <v>9.3795255505604764</v>
      </c>
      <c r="Z103" s="60">
        <f>NPV(realdiscrt3,Y$91:Y103)/(1+realdiscrt3)^-Half_Year</f>
        <v>107.51851212296589</v>
      </c>
      <c r="AA103" s="63">
        <f t="shared" si="108"/>
        <v>9.1305600351803839</v>
      </c>
      <c r="AB103" s="60">
        <f>NPV(realdiscrt3,AA$91:AA103)/(1+realdiscrt3)^-Half_Year</f>
        <v>104.43560472617627</v>
      </c>
      <c r="AC103" s="63">
        <f t="shared" si="109"/>
        <v>9.5560769116203641</v>
      </c>
      <c r="AD103" s="60">
        <f>NPV(realdiscrt3,AC$91:AC103)/(1+realdiscrt3)^-Half_Year</f>
        <v>109.87654964094504</v>
      </c>
      <c r="AE103" s="63">
        <f t="shared" si="110"/>
        <v>7.8540094058604488</v>
      </c>
      <c r="AF103" s="60">
        <f>NPV(realdiscrt3,AE$91:AE103)/(1+realdiscrt3)^-Half_Year</f>
        <v>88.112769981869931</v>
      </c>
      <c r="AG103" s="63">
        <f t="shared" si="111"/>
        <v>8.04354378115511</v>
      </c>
      <c r="AH103" s="60">
        <f>NPV(realdiscrt3,AG$91:AG103)/(1+realdiscrt3)^-Half_Year</f>
        <v>90.550735852811698</v>
      </c>
      <c r="AI103" s="63">
        <f t="shared" si="112"/>
        <v>8.9086439073318999</v>
      </c>
      <c r="AJ103" s="60">
        <f>NPV(realdiscrt3,AI$91:AI103)/(1+realdiscrt3)^-Half_Year</f>
        <v>101.64211877646559</v>
      </c>
      <c r="AK103" s="63">
        <f t="shared" si="113"/>
        <v>8.6018355173916454</v>
      </c>
      <c r="AL103" s="60">
        <f>NPV(realdiscrt3,AK$91:AK103)/(1+realdiscrt3)^-Half_Year</f>
        <v>97.669767452266072</v>
      </c>
      <c r="AM103" s="63">
        <f t="shared" si="114"/>
        <v>20.672625644626795</v>
      </c>
      <c r="AN103" s="60">
        <f>NPV(realdiscrt3,AM$91:AM103)/(1+realdiscrt3)^-Half_Year</f>
        <v>249.63249368172336</v>
      </c>
      <c r="AO103" s="63"/>
      <c r="AP103" s="60"/>
      <c r="AQ103" s="63">
        <f t="shared" si="115"/>
        <v>1.0833179284981212E-2</v>
      </c>
      <c r="AR103" s="60">
        <f>NPV(realdiscrt3,AQ$91:AQ103)/(1+realdiscrt3)^-Half_Year</f>
        <v>0.13688766098569832</v>
      </c>
      <c r="AS103" s="63">
        <f t="shared" si="116"/>
        <v>4.5379702334816434E-3</v>
      </c>
      <c r="AT103" s="60">
        <f>NPV(realdiscrt3,AS$91:AS103)/(1+realdiscrt3)^-Half_Year</f>
        <v>5.734162747082263E-2</v>
      </c>
      <c r="AU103" s="63">
        <f t="shared" si="117"/>
        <v>6.2952090514995698E-3</v>
      </c>
      <c r="AV103" s="60">
        <f>NPV(realdiscrt3,AU$91:AU103)/(1+realdiscrt3)^-Half_Year</f>
        <v>7.9546033514875686E-2</v>
      </c>
      <c r="AW103" s="63">
        <v>1</v>
      </c>
      <c r="AX103" s="60">
        <f>NPV(realdiscrt3,AW$91:AW103)/(1+realdiscrt3)^-Half_Year</f>
        <v>12.6359637724703</v>
      </c>
      <c r="AY103" s="63">
        <f t="shared" si="118"/>
        <v>0</v>
      </c>
      <c r="AZ103" s="60">
        <f>NPV(realdiscrt3,AY$91:AY103)/(1+realdiscrt3)^-Half_Year</f>
        <v>0</v>
      </c>
      <c r="BA103" s="115">
        <f t="shared" si="119"/>
        <v>1.0021975853094038</v>
      </c>
      <c r="BB103" s="74">
        <f t="shared" si="120"/>
        <v>0</v>
      </c>
      <c r="BC103" s="59">
        <f>NPV(realdiscrt3,BB$91:BB103)/(1+realdiscrt3)^-Half_Year</f>
        <v>1.0547347623195183E-2</v>
      </c>
      <c r="BD103" s="74">
        <f t="shared" si="121"/>
        <v>0</v>
      </c>
      <c r="BE103" s="59">
        <f>NPV(realdiscrt3,BD$91:BD103)/(1+realdiscrt3)^-Half_Year</f>
        <v>5.1847026672568524E-3</v>
      </c>
      <c r="BF103" s="74">
        <f t="shared" si="122"/>
        <v>0</v>
      </c>
      <c r="BG103" s="59">
        <f>NPV(realdiscrt3,BF$91:BF103)/(1+realdiscrt3)^-Half_Year</f>
        <v>0</v>
      </c>
      <c r="BH103" s="74">
        <f t="shared" si="123"/>
        <v>0</v>
      </c>
      <c r="BI103" s="59">
        <f>NPV(realdiscrt3,BH$91:BH103)/(1+realdiscrt3)^-Half_Year</f>
        <v>0</v>
      </c>
      <c r="BJ103" s="64">
        <f t="shared" si="124"/>
        <v>3.4361282634408609E-2</v>
      </c>
      <c r="BK103" s="61">
        <f>NPV(realdiscrt3,BJ$91:BJ103)/(1+realdiscrt3)^-Half_Year</f>
        <v>0.52654066282401502</v>
      </c>
      <c r="BL103" s="64">
        <f t="shared" si="125"/>
        <v>3.3956635537634415E-2</v>
      </c>
      <c r="BM103" s="61">
        <f>NPV(realdiscrt3,BL$91:BL103)/(1+realdiscrt3)^-Half_Year</f>
        <v>0.5203399876975302</v>
      </c>
      <c r="BN103" s="64">
        <f t="shared" si="126"/>
        <v>3.6620562258064523E-2</v>
      </c>
      <c r="BO103" s="61">
        <f>NPV(realdiscrt3,BN$91:BN103)/(1+realdiscrt3)^-Half_Year</f>
        <v>0.56116109894688948</v>
      </c>
      <c r="BP103" s="64">
        <f t="shared" si="127"/>
        <v>3.5069415053763452E-2</v>
      </c>
      <c r="BQ103" s="61">
        <f>NPV(realdiscrt3,BP$91:BP103)/(1+realdiscrt3)^-Half_Year</f>
        <v>0.5373918442953638</v>
      </c>
      <c r="BR103" s="64">
        <f t="shared" si="128"/>
        <v>0.14005407115292715</v>
      </c>
      <c r="BS103" s="61">
        <f>NPV(realdiscrt3,BR$91:BR103)/(1+realdiscrt3)^-Half_Year</f>
        <v>1.7697181692753647</v>
      </c>
      <c r="BT103" s="624">
        <f t="shared" si="129"/>
        <v>0.21481504614821031</v>
      </c>
      <c r="BU103" s="61">
        <f>NPV(realdiscrt3,BT$91:BT103)/(1+realdiscrt3)^-Half_Year</f>
        <v>6.0112631300953954</v>
      </c>
      <c r="BV103" s="788">
        <f t="shared" si="130"/>
        <v>0.11745227463199547</v>
      </c>
      <c r="BW103" s="61">
        <f>NPV(realdiscrt3,BV$91:BV103)/(1+realdiscrt3)^-Half_Year</f>
        <v>4.6873033840626128</v>
      </c>
      <c r="BX103" s="788">
        <f t="shared" si="131"/>
        <v>8.5926018459284131E-2</v>
      </c>
      <c r="BY103" s="61">
        <f>NPV(realdiscrt3,BX$91:BX103)/(1+realdiscrt3)^-Half_Year</f>
        <v>4.2586026243596491</v>
      </c>
      <c r="BZ103" s="788">
        <f t="shared" si="132"/>
        <v>0.11156462384716534</v>
      </c>
      <c r="CA103" s="61">
        <f>NPV(realdiscrt3,BZ$91:BZ103)/(1+realdiscrt3)^-Half_Year</f>
        <v>4.6072418521606044</v>
      </c>
      <c r="CB103" s="788">
        <f t="shared" si="133"/>
        <v>0.17866167388146653</v>
      </c>
      <c r="CC103" s="61">
        <f>NPV(realdiscrt3,CB$91:CB103)/(1+realdiscrt3)^-Half_Year</f>
        <v>5.5196418582365192</v>
      </c>
      <c r="CD103" s="624">
        <f t="shared" si="134"/>
        <v>0.11660160704924855</v>
      </c>
      <c r="CE103" s="61">
        <f>NPV(realdiscrt3,CD$91:CD103)/(1+realdiscrt3)^-Half_Year</f>
        <v>4.6757358247247556</v>
      </c>
      <c r="CF103" s="788">
        <f t="shared" si="135"/>
        <v>0.14372185625492781</v>
      </c>
      <c r="CG103" s="61">
        <f>NPV(realdiscrt3,CF$91:CF103)/(1+realdiscrt3)^-Half_Year</f>
        <v>5.0445227613693957</v>
      </c>
      <c r="CH103" s="634">
        <f t="shared" si="136"/>
        <v>1.2357164001387372E-3</v>
      </c>
      <c r="CI103" s="61">
        <f>NPV(realdiscrt3,CH$91:CH103)/(1+realdiscrt3)^-Half_Year</f>
        <v>2.990639039831779E-2</v>
      </c>
      <c r="CJ103" s="634">
        <f t="shared" si="137"/>
        <v>1.3312995585695675E-3</v>
      </c>
      <c r="CK103" s="61">
        <f>NPV(realdiscrt3,CJ$91:CJ103)/(1+realdiscrt3)^-Half_Year</f>
        <v>3.9746054996158402E-2</v>
      </c>
    </row>
    <row r="104" spans="1:89">
      <c r="A104" s="56">
        <f t="shared" si="139"/>
        <v>14</v>
      </c>
      <c r="B104" s="56">
        <f t="shared" si="138"/>
        <v>2031</v>
      </c>
      <c r="C104" s="62">
        <f t="shared" si="96"/>
        <v>0.10382288401116622</v>
      </c>
      <c r="D104" s="57">
        <f>NPV(realdiscrt3,C$91:C104)/(1+realdiscrt3)^-Half_Year</f>
        <v>1.101227218672379</v>
      </c>
      <c r="E104" s="62">
        <f t="shared" si="97"/>
        <v>9.4316695232469411E-2</v>
      </c>
      <c r="F104" s="58">
        <f>NPV(realdiscrt3,E$91:E104)/(1+realdiscrt3)^-Half_Year</f>
        <v>1.014896528663721</v>
      </c>
      <c r="G104" s="62">
        <f t="shared" si="98"/>
        <v>0.11468593722603625</v>
      </c>
      <c r="H104" s="57">
        <f>NPV(realdiscrt3,G$91:G104)/(1+realdiscrt3)^-Half_Year</f>
        <v>1.0863734314529183</v>
      </c>
      <c r="I104" s="62">
        <f t="shared" si="99"/>
        <v>8.5383388236799765E-2</v>
      </c>
      <c r="J104" s="59">
        <f>NPV(realdiscrt3,I$91:I104)/(1+realdiscrt3)^-Half_Year</f>
        <v>0.87916381459726434</v>
      </c>
      <c r="K104" s="63">
        <f t="shared" si="100"/>
        <v>186.64227093630012</v>
      </c>
      <c r="L104" s="60">
        <f>NPV(realdiscrt3,K$91:K104)/(1+realdiscrt3)^-Half_Year</f>
        <v>2264.233142917255</v>
      </c>
      <c r="M104" s="63">
        <f t="shared" si="101"/>
        <v>0</v>
      </c>
      <c r="N104" s="60">
        <f>NPV(realdiscrt3,M$91:M104)/(1+realdiscrt3)^-Half_Year</f>
        <v>0</v>
      </c>
      <c r="O104" s="63">
        <f t="shared" si="102"/>
        <v>10.739952210274792</v>
      </c>
      <c r="P104" s="60">
        <f>NPV(realdiscrt3,O$91:O104)/(1+realdiscrt3)^-Half_Year</f>
        <v>145.83154243187016</v>
      </c>
      <c r="Q104" s="63">
        <f t="shared" si="103"/>
        <v>84.296373954599773</v>
      </c>
      <c r="R104" s="60">
        <f>NPV(realdiscrt3,Q$91:Q104)/(1+realdiscrt3)^-Half_Year</f>
        <v>1144.6112603231481</v>
      </c>
      <c r="S104" s="63">
        <f t="shared" si="104"/>
        <v>23.240597700499141</v>
      </c>
      <c r="T104" s="60">
        <f>NPV(realdiscrt3,S$91:S104)/(1+realdiscrt3)^-Half_Year</f>
        <v>288.73698951096327</v>
      </c>
      <c r="U104" s="63">
        <f t="shared" si="105"/>
        <v>21.507058726283361</v>
      </c>
      <c r="V104" s="60">
        <f>NPV(realdiscrt3,U$91:U104)/(1+realdiscrt3)^-Half_Year</f>
        <v>265.78950047141888</v>
      </c>
      <c r="W104" s="624">
        <f t="shared" si="106"/>
        <v>21.045570091576881</v>
      </c>
      <c r="X104" s="60">
        <f>NPV(realdiscrt3,W$91:W104)/(1+realdiscrt3)^-Half_Year</f>
        <v>259.93551703704941</v>
      </c>
      <c r="Y104" s="624">
        <f t="shared" si="107"/>
        <v>9.5171581897261994</v>
      </c>
      <c r="Z104" s="60">
        <f>NPV(realdiscrt3,Y$91:Y104)/(1+realdiscrt3)^-Half_Year</f>
        <v>116.48798216070118</v>
      </c>
      <c r="AA104" s="63">
        <f t="shared" si="108"/>
        <v>9.2675574709924842</v>
      </c>
      <c r="AB104" s="60">
        <f>NPV(realdiscrt3,AA$91:AA104)/(1+realdiscrt3)^-Half_Year</f>
        <v>113.1698379291917</v>
      </c>
      <c r="AC104" s="63">
        <f t="shared" si="109"/>
        <v>9.6922352990141327</v>
      </c>
      <c r="AD104" s="60">
        <f>NPV(realdiscrt3,AC$91:AC104)/(1+realdiscrt3)^-Half_Year</f>
        <v>119.01102154738382</v>
      </c>
      <c r="AE104" s="63">
        <f t="shared" si="110"/>
        <v>7.9939460706047658</v>
      </c>
      <c r="AF104" s="60">
        <f>NPV(realdiscrt3,AE$91:AE104)/(1+realdiscrt3)^-Half_Year</f>
        <v>95.646684868454784</v>
      </c>
      <c r="AG104" s="63">
        <f t="shared" si="111"/>
        <v>8.1831404833710408</v>
      </c>
      <c r="AH104" s="60">
        <f>NPV(realdiscrt3,AG$91:AG104)/(1+realdiscrt3)^-Half_Year</f>
        <v>98.262957496811396</v>
      </c>
      <c r="AI104" s="63">
        <f t="shared" si="112"/>
        <v>9.0456181036127816</v>
      </c>
      <c r="AJ104" s="60">
        <f>NPV(realdiscrt3,AI$91:AI104)/(1+realdiscrt3)^-Half_Year</f>
        <v>110.16718465597735</v>
      </c>
      <c r="AK104" s="63">
        <f t="shared" si="113"/>
        <v>8.7405283541701166</v>
      </c>
      <c r="AL104" s="60">
        <f>NPV(realdiscrt3,AK$91:AK104)/(1+realdiscrt3)^-Half_Year</f>
        <v>105.90730071837646</v>
      </c>
      <c r="AM104" s="63">
        <f t="shared" si="114"/>
        <v>20.813795065073762</v>
      </c>
      <c r="AN104" s="60">
        <f>NPV(realdiscrt3,AM$91:AM104)/(1+realdiscrt3)^-Half_Year</f>
        <v>269.24850798831261</v>
      </c>
      <c r="AO104" s="63"/>
      <c r="AP104" s="60"/>
      <c r="AQ104" s="63">
        <f t="shared" si="115"/>
        <v>1.0833179284981212E-2</v>
      </c>
      <c r="AR104" s="60">
        <f>NPV(realdiscrt3,AQ$91:AQ104)/(1+realdiscrt3)^-Half_Year</f>
        <v>0.14709741846508398</v>
      </c>
      <c r="AS104" s="63">
        <f t="shared" si="116"/>
        <v>4.5379702334816434E-3</v>
      </c>
      <c r="AT104" s="60">
        <f>NPV(realdiscrt3,AS$91:AS104)/(1+realdiscrt3)^-Half_Year</f>
        <v>6.1618449104962052E-2</v>
      </c>
      <c r="AU104" s="63">
        <f t="shared" si="117"/>
        <v>6.2952090514995698E-3</v>
      </c>
      <c r="AV104" s="60">
        <f>NPV(realdiscrt3,AU$91:AU104)/(1+realdiscrt3)^-Half_Year</f>
        <v>8.547896936012192E-2</v>
      </c>
      <c r="AW104" s="63">
        <v>1</v>
      </c>
      <c r="AX104" s="60">
        <f>NPV(realdiscrt3,AW$91:AW104)/(1+realdiscrt3)^-Half_Year</f>
        <v>13.578416325945543</v>
      </c>
      <c r="AY104" s="63">
        <f t="shared" si="118"/>
        <v>0</v>
      </c>
      <c r="AZ104" s="60">
        <f>NPV(realdiscrt3,AY$91:AY104)/(1+realdiscrt3)^-Half_Year</f>
        <v>0</v>
      </c>
      <c r="BA104" s="115">
        <f t="shared" si="119"/>
        <v>1.0021975853094038</v>
      </c>
      <c r="BB104" s="74">
        <f t="shared" si="120"/>
        <v>0</v>
      </c>
      <c r="BC104" s="59">
        <f>NPV(realdiscrt3,BB$91:BB104)/(1+realdiscrt3)^-Half_Year</f>
        <v>1.0547347623195183E-2</v>
      </c>
      <c r="BD104" s="74">
        <f t="shared" si="121"/>
        <v>0</v>
      </c>
      <c r="BE104" s="59">
        <f>NPV(realdiscrt3,BD$91:BD104)/(1+realdiscrt3)^-Half_Year</f>
        <v>5.1847026672568524E-3</v>
      </c>
      <c r="BF104" s="74">
        <f t="shared" si="122"/>
        <v>0</v>
      </c>
      <c r="BG104" s="59">
        <f>NPV(realdiscrt3,BF$91:BF104)/(1+realdiscrt3)^-Half_Year</f>
        <v>0</v>
      </c>
      <c r="BH104" s="74">
        <f t="shared" si="123"/>
        <v>0</v>
      </c>
      <c r="BI104" s="59">
        <f>NPV(realdiscrt3,BH$91:BH104)/(1+realdiscrt3)^-Half_Year</f>
        <v>0</v>
      </c>
      <c r="BJ104" s="64">
        <f t="shared" si="124"/>
        <v>3.4361282634408609E-2</v>
      </c>
      <c r="BK104" s="61">
        <f>NPV(realdiscrt3,BJ$91:BJ104)/(1+realdiscrt3)^-Half_Year</f>
        <v>0.55892454138349801</v>
      </c>
      <c r="BL104" s="64">
        <f t="shared" si="125"/>
        <v>3.3956635537634415E-2</v>
      </c>
      <c r="BM104" s="61">
        <f>NPV(realdiscrt3,BL$91:BL104)/(1+realdiscrt3)^-Half_Year</f>
        <v>0.55234250556740194</v>
      </c>
      <c r="BN104" s="64">
        <f t="shared" si="126"/>
        <v>3.6620562258064523E-2</v>
      </c>
      <c r="BO104" s="61">
        <f>NPV(realdiscrt3,BN$91:BN104)/(1+realdiscrt3)^-Half_Year</f>
        <v>0.59567424135670155</v>
      </c>
      <c r="BP104" s="64">
        <f t="shared" si="127"/>
        <v>3.5069415053763452E-2</v>
      </c>
      <c r="BQ104" s="61">
        <f>NPV(realdiscrt3,BP$91:BP104)/(1+realdiscrt3)^-Half_Year</f>
        <v>0.57044310406166632</v>
      </c>
      <c r="BR104" s="64">
        <f t="shared" si="128"/>
        <v>0.14005407115292715</v>
      </c>
      <c r="BS104" s="61">
        <f>NPV(realdiscrt3,BR$91:BR104)/(1+realdiscrt3)^-Half_Year</f>
        <v>1.9017124862580446</v>
      </c>
      <c r="BT104" s="624">
        <f t="shared" si="129"/>
        <v>0.21481504614821031</v>
      </c>
      <c r="BU104" s="61">
        <f>NPV(realdiscrt3,BT$91:BT104)/(1+realdiscrt3)^-Half_Year</f>
        <v>6.2137161188626777</v>
      </c>
      <c r="BV104" s="788">
        <f t="shared" si="130"/>
        <v>0.11745227463199547</v>
      </c>
      <c r="BW104" s="61">
        <f>NPV(realdiscrt3,BV$91:BV104)/(1+realdiscrt3)^-Half_Year</f>
        <v>4.7979965802010121</v>
      </c>
      <c r="BX104" s="788">
        <f t="shared" si="131"/>
        <v>8.5926018459284131E-2</v>
      </c>
      <c r="BY104" s="61">
        <f>NPV(realdiscrt3,BX$91:BX104)/(1+realdiscrt3)^-Half_Year</f>
        <v>4.3395838198665615</v>
      </c>
      <c r="BZ104" s="788">
        <f t="shared" si="132"/>
        <v>0.11156462384716534</v>
      </c>
      <c r="CA104" s="61">
        <f>NPV(realdiscrt3,BZ$91:BZ104)/(1+realdiscrt3)^-Half_Year</f>
        <v>4.7123862167828694</v>
      </c>
      <c r="CB104" s="788">
        <f t="shared" si="133"/>
        <v>0.17866167388146653</v>
      </c>
      <c r="CC104" s="61">
        <f>NPV(realdiscrt3,CB$91:CB104)/(1+realdiscrt3)^-Half_Year</f>
        <v>5.6880220089942677</v>
      </c>
      <c r="CD104" s="624">
        <f t="shared" si="134"/>
        <v>0.11660160704924855</v>
      </c>
      <c r="CE104" s="61">
        <f>NPV(realdiscrt3,CD$91:CD104)/(1+realdiscrt3)^-Half_Year</f>
        <v>4.7856273070276378</v>
      </c>
      <c r="CF104" s="788">
        <f t="shared" si="135"/>
        <v>0.14372185625492781</v>
      </c>
      <c r="CG104" s="61">
        <f>NPV(realdiscrt3,CF$91:CF104)/(1+realdiscrt3)^-Half_Year</f>
        <v>5.179973791787055</v>
      </c>
      <c r="CH104" s="634">
        <f t="shared" si="136"/>
        <v>1.2357164001387372E-3</v>
      </c>
      <c r="CI104" s="61">
        <f>NPV(realdiscrt3,CH$91:CH104)/(1+realdiscrt3)^-Half_Year</f>
        <v>3.107099447499978E-2</v>
      </c>
      <c r="CJ104" s="634">
        <f t="shared" si="137"/>
        <v>1.3312995585695675E-3</v>
      </c>
      <c r="CK104" s="61">
        <f>NPV(realdiscrt3,CJ$91:CJ104)/(1+realdiscrt3)^-Half_Year</f>
        <v>4.1000741664572758E-2</v>
      </c>
    </row>
    <row r="105" spans="1:89">
      <c r="A105" s="56">
        <f t="shared" si="139"/>
        <v>15</v>
      </c>
      <c r="B105" s="56">
        <f t="shared" si="138"/>
        <v>2032</v>
      </c>
      <c r="C105" s="62">
        <f t="shared" si="96"/>
        <v>0.10719992225192312</v>
      </c>
      <c r="D105" s="57">
        <f>NPV(realdiscrt3,C$91:C105)/(1+realdiscrt3)^-Half_Year</f>
        <v>1.2018154708215951</v>
      </c>
      <c r="E105" s="62">
        <f t="shared" si="97"/>
        <v>9.763425227951647E-2</v>
      </c>
      <c r="F105" s="58">
        <f>NPV(realdiscrt3,E$91:E105)/(1+realdiscrt3)^-Half_Year</f>
        <v>1.106509083788648</v>
      </c>
      <c r="G105" s="62">
        <f t="shared" si="98"/>
        <v>0.11949803544134786</v>
      </c>
      <c r="H105" s="57">
        <f>NPV(realdiscrt3,G$91:G105)/(1+realdiscrt3)^-Half_Year</f>
        <v>1.1985012974793754</v>
      </c>
      <c r="I105" s="62">
        <f t="shared" si="99"/>
        <v>8.8600218713879561E-2</v>
      </c>
      <c r="J105" s="59">
        <f>NPV(realdiscrt3,I$91:I105)/(1+realdiscrt3)^-Half_Year</f>
        <v>0.9622995198594716</v>
      </c>
      <c r="K105" s="63">
        <f t="shared" si="100"/>
        <v>186.64227093630012</v>
      </c>
      <c r="L105" s="60">
        <f>NPV(realdiscrt3,K$91:K105)/(1+realdiscrt3)^-Half_Year</f>
        <v>2439.3640517487306</v>
      </c>
      <c r="M105" s="63">
        <f t="shared" si="101"/>
        <v>0</v>
      </c>
      <c r="N105" s="60">
        <f>NPV(realdiscrt3,M$91:M105)/(1+realdiscrt3)^-Half_Year</f>
        <v>0</v>
      </c>
      <c r="O105" s="63">
        <f t="shared" si="102"/>
        <v>10.739952210274792</v>
      </c>
      <c r="P105" s="60">
        <f>NPV(realdiscrt3,O$91:O105)/(1+realdiscrt3)^-Half_Year</f>
        <v>155.90909657840098</v>
      </c>
      <c r="Q105" s="63">
        <f t="shared" si="103"/>
        <v>84.296373954599773</v>
      </c>
      <c r="R105" s="60">
        <f>NPV(realdiscrt3,Q$91:Q105)/(1+realdiscrt3)^-Half_Year</f>
        <v>1223.7085650645029</v>
      </c>
      <c r="S105" s="63">
        <f t="shared" si="104"/>
        <v>23.544145327634425</v>
      </c>
      <c r="T105" s="60">
        <f>NPV(realdiscrt3,S$91:S105)/(1+realdiscrt3)^-Half_Year</f>
        <v>310.82902444069379</v>
      </c>
      <c r="U105" s="63">
        <f t="shared" si="105"/>
        <v>21.803714950981714</v>
      </c>
      <c r="V105" s="60">
        <f>NPV(realdiscrt3,U$91:U105)/(1+realdiscrt3)^-Half_Year</f>
        <v>286.24844793338531</v>
      </c>
      <c r="W105" s="624">
        <f t="shared" si="106"/>
        <v>21.33687461281032</v>
      </c>
      <c r="X105" s="60">
        <f>NPV(realdiscrt3,W$91:W105)/(1+realdiscrt3)^-Half_Year</f>
        <v>279.95641703906472</v>
      </c>
      <c r="Y105" s="624">
        <f t="shared" si="107"/>
        <v>9.6568104132793842</v>
      </c>
      <c r="Z105" s="60">
        <f>NPV(realdiscrt3,Y$91:Y105)/(1+realdiscrt3)^-Half_Year</f>
        <v>125.54919844148719</v>
      </c>
      <c r="AA105" s="63">
        <f t="shared" si="108"/>
        <v>9.4066104540379172</v>
      </c>
      <c r="AB105" s="60">
        <f>NPV(realdiscrt3,AA$91:AA105)/(1+realdiscrt3)^-Half_Year</f>
        <v>121.996285601389</v>
      </c>
      <c r="AC105" s="63">
        <f t="shared" si="109"/>
        <v>9.8303337196065801</v>
      </c>
      <c r="AD105" s="60">
        <f>NPV(realdiscrt3,AC$91:AC105)/(1+realdiscrt3)^-Half_Year</f>
        <v>128.23505889859553</v>
      </c>
      <c r="AE105" s="63">
        <f t="shared" si="110"/>
        <v>8.1363760186045315</v>
      </c>
      <c r="AF105" s="60">
        <f>NPV(realdiscrt3,AE$91:AE105)/(1+realdiscrt3)^-Half_Year</f>
        <v>103.28124117547249</v>
      </c>
      <c r="AG105" s="63">
        <f t="shared" si="111"/>
        <v>8.325159903707215</v>
      </c>
      <c r="AH105" s="60">
        <f>NPV(realdiscrt3,AG$91:AG105)/(1+realdiscrt3)^-Half_Year</f>
        <v>106.07465424047784</v>
      </c>
      <c r="AI105" s="63">
        <f t="shared" si="112"/>
        <v>9.1846983365297614</v>
      </c>
      <c r="AJ105" s="60">
        <f>NPV(realdiscrt3,AI$91:AI105)/(1+realdiscrt3)^-Half_Year</f>
        <v>118.78540687836117</v>
      </c>
      <c r="AK105" s="63">
        <f t="shared" si="113"/>
        <v>8.8814574233125718</v>
      </c>
      <c r="AL105" s="60">
        <f>NPV(realdiscrt3,AK$91:AK105)/(1+realdiscrt3)^-Half_Year</f>
        <v>114.24098473588204</v>
      </c>
      <c r="AM105" s="63">
        <f t="shared" si="114"/>
        <v>20.955928504586907</v>
      </c>
      <c r="AN105" s="60">
        <f>NPV(realdiscrt3,AM$91:AM105)/(1+realdiscrt3)^-Half_Year</f>
        <v>288.91195714163058</v>
      </c>
      <c r="AO105" s="63"/>
      <c r="AP105" s="60"/>
      <c r="AQ105" s="63">
        <f t="shared" si="115"/>
        <v>1.0833179284981212E-2</v>
      </c>
      <c r="AR105" s="60">
        <f>NPV(realdiscrt3,AQ$91:AQ105)/(1+realdiscrt3)^-Half_Year</f>
        <v>0.15726244980656709</v>
      </c>
      <c r="AS105" s="63">
        <f t="shared" si="116"/>
        <v>4.5379702334816434E-3</v>
      </c>
      <c r="AT105" s="60">
        <f>NPV(realdiscrt3,AS$91:AS105)/(1+realdiscrt3)^-Half_Year</f>
        <v>6.5876535160457286E-2</v>
      </c>
      <c r="AU105" s="63">
        <f t="shared" si="117"/>
        <v>6.2952090514995698E-3</v>
      </c>
      <c r="AV105" s="60">
        <f>NPV(realdiscrt3,AU$91:AU105)/(1+realdiscrt3)^-Half_Year</f>
        <v>9.1385914646109831E-2</v>
      </c>
      <c r="AW105" s="63">
        <v>1</v>
      </c>
      <c r="AX105" s="60">
        <f>NPV(realdiscrt3,AW$91:AW105)/(1+realdiscrt3)^-Half_Year</f>
        <v>14.516740254136748</v>
      </c>
      <c r="AY105" s="63">
        <f t="shared" si="118"/>
        <v>0</v>
      </c>
      <c r="AZ105" s="60">
        <f>NPV(realdiscrt3,AY$91:AY105)/(1+realdiscrt3)^-Half_Year</f>
        <v>0</v>
      </c>
      <c r="BA105" s="115">
        <f t="shared" si="119"/>
        <v>1.0021975853094038</v>
      </c>
      <c r="BB105" s="74">
        <f t="shared" si="120"/>
        <v>0</v>
      </c>
      <c r="BC105" s="59">
        <f>NPV(realdiscrt3,BB$91:BB105)/(1+realdiscrt3)^-Half_Year</f>
        <v>1.0547347623195183E-2</v>
      </c>
      <c r="BD105" s="74">
        <f t="shared" si="121"/>
        <v>0</v>
      </c>
      <c r="BE105" s="59">
        <f>NPV(realdiscrt3,BD$91:BD105)/(1+realdiscrt3)^-Half_Year</f>
        <v>5.1847026672568524E-3</v>
      </c>
      <c r="BF105" s="74">
        <f t="shared" si="122"/>
        <v>0</v>
      </c>
      <c r="BG105" s="59">
        <f>NPV(realdiscrt3,BF$91:BF105)/(1+realdiscrt3)^-Half_Year</f>
        <v>0</v>
      </c>
      <c r="BH105" s="74">
        <f t="shared" si="123"/>
        <v>0</v>
      </c>
      <c r="BI105" s="59">
        <f>NPV(realdiscrt3,BH$91:BH105)/(1+realdiscrt3)^-Half_Year</f>
        <v>0</v>
      </c>
      <c r="BJ105" s="64">
        <f t="shared" si="124"/>
        <v>3.4361282634408609E-2</v>
      </c>
      <c r="BK105" s="61">
        <f>NPV(realdiscrt3,BJ$91:BJ105)/(1+realdiscrt3)^-Half_Year</f>
        <v>0.59116655508270455</v>
      </c>
      <c r="BL105" s="64">
        <f t="shared" si="125"/>
        <v>3.3956635537634415E-2</v>
      </c>
      <c r="BM105" s="61">
        <f>NPV(realdiscrt3,BL$91:BL105)/(1+realdiscrt3)^-Half_Year</f>
        <v>0.58420482921323214</v>
      </c>
      <c r="BN105" s="64">
        <f t="shared" si="126"/>
        <v>3.6620562258064523E-2</v>
      </c>
      <c r="BO105" s="61">
        <f>NPV(realdiscrt3,BN$91:BN105)/(1+realdiscrt3)^-Half_Year</f>
        <v>0.63003619118725918</v>
      </c>
      <c r="BP105" s="64">
        <f t="shared" si="127"/>
        <v>3.5069415053763452E-2</v>
      </c>
      <c r="BQ105" s="61">
        <f>NPV(realdiscrt3,BP$91:BP105)/(1+realdiscrt3)^-Half_Year</f>
        <v>0.60334957535428135</v>
      </c>
      <c r="BR105" s="64">
        <f t="shared" si="128"/>
        <v>0.14005407115292715</v>
      </c>
      <c r="BS105" s="61">
        <f>NPV(realdiscrt3,BR$91:BR105)/(1+realdiscrt3)^-Half_Year</f>
        <v>2.0331285724614294</v>
      </c>
      <c r="BT105" s="624">
        <f t="shared" si="129"/>
        <v>0.21481504614821031</v>
      </c>
      <c r="BU105" s="61">
        <f>NPV(realdiscrt3,BT$91:BT105)/(1+realdiscrt3)^-Half_Year</f>
        <v>6.4152822167990404</v>
      </c>
      <c r="BV105" s="788">
        <f t="shared" si="130"/>
        <v>0.11745227463199547</v>
      </c>
      <c r="BW105" s="61">
        <f>NPV(realdiscrt3,BV$91:BV105)/(1+realdiscrt3)^-Half_Year</f>
        <v>4.9082048599086985</v>
      </c>
      <c r="BX105" s="788">
        <f t="shared" si="131"/>
        <v>8.5926018459284131E-2</v>
      </c>
      <c r="BY105" s="61">
        <f>NPV(realdiscrt3,BX$91:BX105)/(1+realdiscrt3)^-Half_Year</f>
        <v>4.4202102590411076</v>
      </c>
      <c r="BZ105" s="788">
        <f t="shared" si="132"/>
        <v>0.11156462384716534</v>
      </c>
      <c r="CA105" s="61">
        <f>NPV(realdiscrt3,BZ$91:BZ105)/(1+realdiscrt3)^-Half_Year</f>
        <v>4.8170699728783166</v>
      </c>
      <c r="CB105" s="788">
        <f t="shared" si="133"/>
        <v>0.17866167388146653</v>
      </c>
      <c r="CC105" s="61">
        <f>NPV(realdiscrt3,CB$91:CB105)/(1+realdiscrt3)^-Half_Year</f>
        <v>5.8556645326479408</v>
      </c>
      <c r="CD105" s="624">
        <f t="shared" si="134"/>
        <v>0.11660160704924855</v>
      </c>
      <c r="CE105" s="61">
        <f>NPV(realdiscrt3,CD$91:CD105)/(1+realdiscrt3)^-Half_Year</f>
        <v>4.8950373849874955</v>
      </c>
      <c r="CF105" s="788">
        <f t="shared" si="135"/>
        <v>0.14372185625492781</v>
      </c>
      <c r="CG105" s="61">
        <f>NPV(realdiscrt3,CF$91:CF105)/(1+realdiscrt3)^-Half_Year</f>
        <v>5.3148314485151102</v>
      </c>
      <c r="CH105" s="634">
        <f t="shared" si="136"/>
        <v>1.2357164001387372E-3</v>
      </c>
      <c r="CI105" s="61">
        <f>NPV(realdiscrt3,CH$91:CH105)/(1+realdiscrt3)^-Half_Year</f>
        <v>3.2230496741708255E-2</v>
      </c>
      <c r="CJ105" s="634">
        <f t="shared" si="137"/>
        <v>1.3312995585695675E-3</v>
      </c>
      <c r="CK105" s="61">
        <f>NPV(realdiscrt3,CJ$91:CJ105)/(1+realdiscrt3)^-Half_Year</f>
        <v>4.224993189596897E-2</v>
      </c>
    </row>
    <row r="106" spans="1:89">
      <c r="A106" s="56">
        <f t="shared" si="139"/>
        <v>16</v>
      </c>
      <c r="B106" s="56">
        <f t="shared" si="138"/>
        <v>2033</v>
      </c>
      <c r="C106" s="62">
        <f t="shared" si="96"/>
        <v>0.11070072694596812</v>
      </c>
      <c r="D106" s="57">
        <f>NPV(realdiscrt3,C$91:C106)/(1+realdiscrt3)^-Half_Year</f>
        <v>1.3052335721373682</v>
      </c>
      <c r="E106" s="62">
        <f t="shared" si="97"/>
        <v>0.10108502417170813</v>
      </c>
      <c r="F106" s="58">
        <f>NPV(realdiscrt3,E$91:E106)/(1+realdiscrt3)^-Half_Year</f>
        <v>1.2009440668253859</v>
      </c>
      <c r="G106" s="62">
        <f t="shared" si="98"/>
        <v>0.12453503608499204</v>
      </c>
      <c r="H106" s="57">
        <f>NPV(realdiscrt3,G$91:G106)/(1+realdiscrt3)^-Half_Year</f>
        <v>1.3148435956242408</v>
      </c>
      <c r="I106" s="62">
        <f t="shared" si="99"/>
        <v>9.1957511844841688E-2</v>
      </c>
      <c r="J106" s="59">
        <f>NPV(realdiscrt3,I$91:I106)/(1+realdiscrt3)^-Half_Year</f>
        <v>1.0482074586696477</v>
      </c>
      <c r="K106" s="63">
        <f t="shared" si="100"/>
        <v>186.64227093630012</v>
      </c>
      <c r="L106" s="60">
        <f>NPV(realdiscrt3,K$91:K106)/(1+realdiscrt3)^-Half_Year</f>
        <v>2613.7277602627451</v>
      </c>
      <c r="M106" s="63">
        <f t="shared" si="101"/>
        <v>0</v>
      </c>
      <c r="N106" s="60">
        <f>NPV(realdiscrt3,M$91:M106)/(1+realdiscrt3)^-Half_Year</f>
        <v>0</v>
      </c>
      <c r="O106" s="63">
        <f t="shared" si="102"/>
        <v>10.739952210274792</v>
      </c>
      <c r="P106" s="60">
        <f>NPV(realdiscrt3,O$91:O106)/(1+realdiscrt3)^-Half_Year</f>
        <v>165.9425037334496</v>
      </c>
      <c r="Q106" s="63">
        <f t="shared" si="103"/>
        <v>84.296373954599773</v>
      </c>
      <c r="R106" s="60">
        <f>NPV(realdiscrt3,Q$91:Q106)/(1+realdiscrt3)^-Half_Year</f>
        <v>1302.4593662805069</v>
      </c>
      <c r="S106" s="63">
        <f t="shared" si="104"/>
        <v>23.851657618808343</v>
      </c>
      <c r="T106" s="60">
        <f>NPV(realdiscrt3,S$91:S106)/(1+realdiscrt3)^-Half_Year</f>
        <v>333.11156234466819</v>
      </c>
      <c r="U106" s="63">
        <f t="shared" si="105"/>
        <v>22.104464469109754</v>
      </c>
      <c r="V106" s="60">
        <f>NPV(realdiscrt3,U$91:U106)/(1+realdiscrt3)^-Half_Year</f>
        <v>306.89873460325578</v>
      </c>
      <c r="W106" s="624">
        <f t="shared" si="106"/>
        <v>21.632213800395409</v>
      </c>
      <c r="X106" s="60">
        <f>NPV(realdiscrt3,W$91:W106)/(1+realdiscrt3)^-Half_Year</f>
        <v>300.16552081112661</v>
      </c>
      <c r="Y106" s="624">
        <f t="shared" si="107"/>
        <v>9.7985118560589992</v>
      </c>
      <c r="Z106" s="60">
        <f>NPV(realdiscrt3,Y$91:Y106)/(1+realdiscrt3)^-Half_Year</f>
        <v>134.70309941242044</v>
      </c>
      <c r="AA106" s="63">
        <f t="shared" si="108"/>
        <v>9.5477498263131277</v>
      </c>
      <c r="AB106" s="60">
        <f>NPV(realdiscrt3,AA$91:AA106)/(1+realdiscrt3)^-Half_Year</f>
        <v>130.91592132661106</v>
      </c>
      <c r="AC106" s="63">
        <f t="shared" si="109"/>
        <v>9.9703998156816969</v>
      </c>
      <c r="AD106" s="60">
        <f>NPV(realdiscrt3,AC$91:AC106)/(1+realdiscrt3)^-Half_Year</f>
        <v>137.54953990286401</v>
      </c>
      <c r="AE106" s="63">
        <f t="shared" si="110"/>
        <v>8.2813436732523069</v>
      </c>
      <c r="AF106" s="60">
        <f>NPV(realdiscrt3,AE$91:AE106)/(1+realdiscrt3)^-Half_Year</f>
        <v>111.01778331624058</v>
      </c>
      <c r="AG106" s="63">
        <f t="shared" si="111"/>
        <v>8.4696440887377733</v>
      </c>
      <c r="AH106" s="60">
        <f>NPV(realdiscrt3,AG$91:AG106)/(1+realdiscrt3)^-Half_Year</f>
        <v>113.98710915059914</v>
      </c>
      <c r="AI106" s="63">
        <f t="shared" si="112"/>
        <v>9.3259169872935566</v>
      </c>
      <c r="AJ106" s="60">
        <f>NPV(realdiscrt3,AI$91:AI106)/(1+realdiscrt3)^-Half_Year</f>
        <v>127.49780339518948</v>
      </c>
      <c r="AK106" s="63">
        <f t="shared" si="113"/>
        <v>9.0246587810083696</v>
      </c>
      <c r="AL106" s="60">
        <f>NPV(realdiscrt3,AK$91:AK106)/(1+realdiscrt3)^-Half_Year</f>
        <v>122.67194180276873</v>
      </c>
      <c r="AM106" s="63">
        <f t="shared" si="114"/>
        <v>21.099032546268695</v>
      </c>
      <c r="AN106" s="60">
        <f>NPV(realdiscrt3,AM$91:AM106)/(1+realdiscrt3)^-Half_Year</f>
        <v>308.62295584717504</v>
      </c>
      <c r="AO106" s="63"/>
      <c r="AP106" s="60"/>
      <c r="AQ106" s="63">
        <f t="shared" si="115"/>
        <v>1.0833179284981212E-2</v>
      </c>
      <c r="AR106" s="60">
        <f>NPV(realdiscrt3,AQ$91:AQ106)/(1+realdiscrt3)^-Half_Year</f>
        <v>0.1673829509430497</v>
      </c>
      <c r="AS106" s="63">
        <f t="shared" si="116"/>
        <v>4.5379702334816434E-3</v>
      </c>
      <c r="AT106" s="60">
        <f>NPV(realdiscrt3,AS$91:AS106)/(1+realdiscrt3)^-Half_Year</f>
        <v>7.0115967712722577E-2</v>
      </c>
      <c r="AU106" s="63">
        <f t="shared" si="117"/>
        <v>6.2952090514995698E-3</v>
      </c>
      <c r="AV106" s="60">
        <f>NPV(realdiscrt3,AU$91:AU106)/(1+realdiscrt3)^-Half_Year</f>
        <v>9.7266983230327161E-2</v>
      </c>
      <c r="AW106" s="63">
        <v>1</v>
      </c>
      <c r="AX106" s="60">
        <f>NPV(realdiscrt3,AW$91:AW106)/(1+realdiscrt3)^-Half_Year</f>
        <v>15.450953643415124</v>
      </c>
      <c r="AY106" s="63">
        <f t="shared" si="118"/>
        <v>0</v>
      </c>
      <c r="AZ106" s="60">
        <f>NPV(realdiscrt3,AY$91:AY106)/(1+realdiscrt3)^-Half_Year</f>
        <v>0</v>
      </c>
      <c r="BA106" s="115">
        <f t="shared" si="119"/>
        <v>1.0021975853094038</v>
      </c>
      <c r="BB106" s="74">
        <f t="shared" si="120"/>
        <v>0</v>
      </c>
      <c r="BC106" s="59">
        <f>NPV(realdiscrt3,BB$91:BB106)/(1+realdiscrt3)^-Half_Year</f>
        <v>1.0547347623195183E-2</v>
      </c>
      <c r="BD106" s="74">
        <f t="shared" si="121"/>
        <v>0</v>
      </c>
      <c r="BE106" s="59">
        <f>NPV(realdiscrt3,BD$91:BD106)/(1+realdiscrt3)^-Half_Year</f>
        <v>5.1847026672568524E-3</v>
      </c>
      <c r="BF106" s="74">
        <f t="shared" si="122"/>
        <v>0</v>
      </c>
      <c r="BG106" s="59">
        <f>NPV(realdiscrt3,BF$91:BF106)/(1+realdiscrt3)^-Half_Year</f>
        <v>0</v>
      </c>
      <c r="BH106" s="74">
        <f t="shared" si="123"/>
        <v>0</v>
      </c>
      <c r="BI106" s="59">
        <f>NPV(realdiscrt3,BH$91:BH106)/(1+realdiscrt3)^-Half_Year</f>
        <v>0</v>
      </c>
      <c r="BJ106" s="64">
        <f t="shared" si="124"/>
        <v>3.4361282634408609E-2</v>
      </c>
      <c r="BK106" s="61">
        <f>NPV(realdiscrt3,BJ$91:BJ106)/(1+realdiscrt3)^-Half_Year</f>
        <v>0.6232673253925477</v>
      </c>
      <c r="BL106" s="64">
        <f t="shared" si="125"/>
        <v>3.3956635537634415E-2</v>
      </c>
      <c r="BM106" s="61">
        <f>NPV(realdiscrt3,BL$91:BL106)/(1+realdiscrt3)^-Half_Year</f>
        <v>0.61592757278733623</v>
      </c>
      <c r="BN106" s="64">
        <f t="shared" si="126"/>
        <v>3.6620562258064523E-2</v>
      </c>
      <c r="BO106" s="61">
        <f>NPV(realdiscrt3,BN$91:BN106)/(1+realdiscrt3)^-Half_Year</f>
        <v>0.66424761077164551</v>
      </c>
      <c r="BP106" s="64">
        <f t="shared" si="127"/>
        <v>3.5069415053763452E-2</v>
      </c>
      <c r="BQ106" s="61">
        <f>NPV(realdiscrt3,BP$91:BP106)/(1+realdiscrt3)^-Half_Year</f>
        <v>0.63611189245166777</v>
      </c>
      <c r="BR106" s="64">
        <f t="shared" si="128"/>
        <v>0.14005407115292715</v>
      </c>
      <c r="BS106" s="61">
        <f>NPV(realdiscrt3,BR$91:BR106)/(1+realdiscrt3)^-Half_Year</f>
        <v>2.1639689609554411</v>
      </c>
      <c r="BT106" s="624">
        <f t="shared" si="129"/>
        <v>0.21481504614821031</v>
      </c>
      <c r="BU106" s="61">
        <f>NPV(realdiscrt3,BT$91:BT106)/(1+realdiscrt3)^-Half_Year</f>
        <v>6.6159653091291526</v>
      </c>
      <c r="BV106" s="788">
        <f t="shared" si="130"/>
        <v>0.11745227463199547</v>
      </c>
      <c r="BW106" s="61">
        <f>NPV(realdiscrt3,BV$91:BV106)/(1+realdiscrt3)^-Half_Year</f>
        <v>5.0179303474711103</v>
      </c>
      <c r="BX106" s="788">
        <f t="shared" si="131"/>
        <v>8.5926018459284131E-2</v>
      </c>
      <c r="BY106" s="61">
        <f>NPV(realdiscrt3,BX$91:BX106)/(1+realdiscrt3)^-Half_Year</f>
        <v>4.5004834959731514</v>
      </c>
      <c r="BZ106" s="788">
        <f t="shared" si="132"/>
        <v>0.11156462384716534</v>
      </c>
      <c r="CA106" s="61">
        <f>NPV(realdiscrt3,BZ$91:BZ106)/(1+realdiscrt3)^-Half_Year</f>
        <v>4.9212951382461441</v>
      </c>
      <c r="CB106" s="788">
        <f t="shared" si="133"/>
        <v>0.17866167388146653</v>
      </c>
      <c r="CC106" s="61">
        <f>NPV(realdiscrt3,CB$91:CB106)/(1+realdiscrt3)^-Half_Year</f>
        <v>6.022572660538895</v>
      </c>
      <c r="CD106" s="624">
        <f t="shared" si="134"/>
        <v>0.11660160704924855</v>
      </c>
      <c r="CE106" s="61">
        <f>NPV(realdiscrt3,CD$91:CD106)/(1+realdiscrt3)^-Half_Year</f>
        <v>5.0039681675042784</v>
      </c>
      <c r="CF106" s="788">
        <f t="shared" si="135"/>
        <v>0.14372185625492781</v>
      </c>
      <c r="CG106" s="61">
        <f>NPV(realdiscrt3,CF$91:CF106)/(1+realdiscrt3)^-Half_Year</f>
        <v>5.449098330960406</v>
      </c>
      <c r="CH106" s="634">
        <f t="shared" si="136"/>
        <v>1.2357164001387372E-3</v>
      </c>
      <c r="CI106" s="61">
        <f>NPV(realdiscrt3,CH$91:CH106)/(1+realdiscrt3)^-Half_Year</f>
        <v>3.3384919548068742E-2</v>
      </c>
      <c r="CJ106" s="634">
        <f t="shared" si="137"/>
        <v>1.3312995585695675E-3</v>
      </c>
      <c r="CK106" s="61">
        <f>NPV(realdiscrt3,CJ$91:CJ106)/(1+realdiscrt3)^-Half_Year</f>
        <v>4.3493649768725051E-2</v>
      </c>
    </row>
    <row r="107" spans="1:89">
      <c r="A107" s="56">
        <f t="shared" si="139"/>
        <v>17</v>
      </c>
      <c r="B107" s="56">
        <f t="shared" si="138"/>
        <v>2034</v>
      </c>
      <c r="C107" s="62">
        <f t="shared" si="96"/>
        <v>0.11432983850565727</v>
      </c>
      <c r="D107" s="57">
        <f>NPV(realdiscrt3,C$91:C107)/(1+realdiscrt3)^-Half_Year</f>
        <v>1.4115741395666987</v>
      </c>
      <c r="E107" s="62">
        <f t="shared" si="97"/>
        <v>0.10467436557267468</v>
      </c>
      <c r="F107" s="58">
        <f>NPV(realdiscrt3,E$91:E107)/(1+realdiscrt3)^-Half_Year</f>
        <v>1.2983038774906712</v>
      </c>
      <c r="G107" s="62">
        <f t="shared" si="98"/>
        <v>0.12980745813357417</v>
      </c>
      <c r="H107" s="57">
        <f>NPV(realdiscrt3,G$91:G107)/(1+realdiscrt3)^-Half_Year</f>
        <v>1.4355802198940313</v>
      </c>
      <c r="I107" s="62">
        <f t="shared" si="99"/>
        <v>9.5461407563541878E-2</v>
      </c>
      <c r="J107" s="59">
        <f>NPV(realdiscrt3,I$91:I107)/(1+realdiscrt3)^-Half_Year</f>
        <v>1.1369981049313174</v>
      </c>
      <c r="K107" s="63">
        <f t="shared" si="100"/>
        <v>186.64227093630012</v>
      </c>
      <c r="L107" s="60">
        <f>NPV(realdiscrt3,K$91:K107)/(1+realdiscrt3)^-Half_Year</f>
        <v>2787.3276293527633</v>
      </c>
      <c r="M107" s="63">
        <f t="shared" si="101"/>
        <v>0</v>
      </c>
      <c r="N107" s="60">
        <f>NPV(realdiscrt3,M$91:M107)/(1+realdiscrt3)^-Half_Year</f>
        <v>0</v>
      </c>
      <c r="O107" s="63">
        <f t="shared" si="102"/>
        <v>10.739952210274792</v>
      </c>
      <c r="P107" s="60">
        <f>NPV(realdiscrt3,O$91:O107)/(1+realdiscrt3)^-Half_Year</f>
        <v>175.93195729283693</v>
      </c>
      <c r="Q107" s="63">
        <f t="shared" si="103"/>
        <v>84.296373954599773</v>
      </c>
      <c r="R107" s="60">
        <f>NPV(realdiscrt3,Q$91:Q107)/(1+realdiscrt3)^-Half_Year</f>
        <v>1380.8651819077513</v>
      </c>
      <c r="S107" s="63">
        <f t="shared" si="104"/>
        <v>24.163186356869886</v>
      </c>
      <c r="T107" s="60">
        <f>NPV(realdiscrt3,S$91:S107)/(1+realdiscrt3)^-Half_Year</f>
        <v>355.58624595898169</v>
      </c>
      <c r="U107" s="63">
        <f t="shared" si="105"/>
        <v>22.409363780246249</v>
      </c>
      <c r="V107" s="60">
        <f>NPV(realdiscrt3,U$91:U107)/(1+realdiscrt3)^-Half_Year</f>
        <v>327.7421512586879</v>
      </c>
      <c r="W107" s="624">
        <f t="shared" si="106"/>
        <v>21.931643572097073</v>
      </c>
      <c r="X107" s="60">
        <f>NPV(realdiscrt3,W$91:W107)/(1+realdiscrt3)^-Half_Year</f>
        <v>320.56459993690731</v>
      </c>
      <c r="Y107" s="624">
        <f t="shared" si="107"/>
        <v>9.9422925877576773</v>
      </c>
      <c r="Z107" s="60">
        <f>NPV(realdiscrt3,Y$91:Y107)/(1+realdiscrt3)^-Half_Year</f>
        <v>143.95063311971475</v>
      </c>
      <c r="AA107" s="63">
        <f t="shared" si="108"/>
        <v>9.6910068925763664</v>
      </c>
      <c r="AB107" s="60">
        <f>NPV(realdiscrt3,AA$91:AA107)/(1+realdiscrt3)^-Half_Year</f>
        <v>139.92972896762447</v>
      </c>
      <c r="AC107" s="63">
        <f t="shared" si="109"/>
        <v>10.112461623380579</v>
      </c>
      <c r="AD107" s="60">
        <f>NPV(realdiscrt3,AC$91:AC107)/(1+realdiscrt3)^-Half_Year</f>
        <v>146.95535137949275</v>
      </c>
      <c r="AE107" s="63">
        <f t="shared" si="110"/>
        <v>8.4288942494423065</v>
      </c>
      <c r="AF107" s="60">
        <f>NPV(realdiscrt3,AE$91:AE107)/(1+realdiscrt3)^-Half_Year</f>
        <v>118.85767366335381</v>
      </c>
      <c r="AG107" s="63">
        <f t="shared" si="111"/>
        <v>8.6166358147603859</v>
      </c>
      <c r="AH107" s="60">
        <f>NPV(realdiscrt3,AG$91:AG107)/(1+realdiscrt3)^-Half_Year</f>
        <v>122.00162184343543</v>
      </c>
      <c r="AI107" s="63">
        <f t="shared" si="112"/>
        <v>9.4693069349897971</v>
      </c>
      <c r="AJ107" s="60">
        <f>NPV(realdiscrt3,AI$91:AI107)/(1+realdiscrt3)^-Half_Year</f>
        <v>136.30540328154359</v>
      </c>
      <c r="AK107" s="63">
        <f t="shared" si="113"/>
        <v>9.1701690648036287</v>
      </c>
      <c r="AL107" s="60">
        <f>NPV(realdiscrt3,AK$91:AK107)/(1+realdiscrt3)^-Half_Year</f>
        <v>131.20130731679299</v>
      </c>
      <c r="AM107" s="63">
        <f t="shared" si="114"/>
        <v>21.24311381817634</v>
      </c>
      <c r="AN107" s="60">
        <f>NPV(realdiscrt3,AM$91:AM107)/(1+realdiscrt3)^-Half_Year</f>
        <v>328.38161908782109</v>
      </c>
      <c r="AO107" s="63"/>
      <c r="AP107" s="60"/>
      <c r="AQ107" s="63">
        <f t="shared" si="115"/>
        <v>1.0833179284981212E-2</v>
      </c>
      <c r="AR107" s="60">
        <f>NPV(realdiscrt3,AQ$91:AQ107)/(1+realdiscrt3)^-Half_Year</f>
        <v>0.17745911694910566</v>
      </c>
      <c r="AS107" s="63">
        <f t="shared" si="116"/>
        <v>4.5379702334816434E-3</v>
      </c>
      <c r="AT107" s="60">
        <f>NPV(realdiscrt3,AS$91:AS107)/(1+realdiscrt3)^-Half_Year</f>
        <v>7.4336828477622297E-2</v>
      </c>
      <c r="AU107" s="63">
        <f t="shared" si="117"/>
        <v>6.2952090514995698E-3</v>
      </c>
      <c r="AV107" s="60">
        <f>NPV(realdiscrt3,AU$91:AU107)/(1+realdiscrt3)^-Half_Year</f>
        <v>0.10312228847148341</v>
      </c>
      <c r="AW107" s="63">
        <v>1</v>
      </c>
      <c r="AX107" s="60">
        <f>NPV(realdiscrt3,AW$91:AW107)/(1+realdiscrt3)^-Half_Year</f>
        <v>16.38107450092048</v>
      </c>
      <c r="AY107" s="63">
        <f t="shared" si="118"/>
        <v>0</v>
      </c>
      <c r="AZ107" s="60">
        <f>NPV(realdiscrt3,AY$91:AY107)/(1+realdiscrt3)^-Half_Year</f>
        <v>0</v>
      </c>
      <c r="BA107" s="115">
        <f t="shared" si="119"/>
        <v>1.0021975853094038</v>
      </c>
      <c r="BB107" s="74">
        <f t="shared" si="120"/>
        <v>0</v>
      </c>
      <c r="BC107" s="59">
        <f>NPV(realdiscrt3,BB$91:BB107)/(1+realdiscrt3)^-Half_Year</f>
        <v>1.0547347623195183E-2</v>
      </c>
      <c r="BD107" s="74">
        <f t="shared" si="121"/>
        <v>0</v>
      </c>
      <c r="BE107" s="59">
        <f>NPV(realdiscrt3,BD$91:BD107)/(1+realdiscrt3)^-Half_Year</f>
        <v>5.1847026672568524E-3</v>
      </c>
      <c r="BF107" s="74">
        <f t="shared" si="122"/>
        <v>0</v>
      </c>
      <c r="BG107" s="59">
        <f>NPV(realdiscrt3,BF$91:BF107)/(1+realdiscrt3)^-Half_Year</f>
        <v>0</v>
      </c>
      <c r="BH107" s="74">
        <f t="shared" si="123"/>
        <v>0</v>
      </c>
      <c r="BI107" s="59">
        <f>NPV(realdiscrt3,BH$91:BH107)/(1+realdiscrt3)^-Half_Year</f>
        <v>0</v>
      </c>
      <c r="BJ107" s="64">
        <f t="shared" si="124"/>
        <v>3.4361282634408609E-2</v>
      </c>
      <c r="BK107" s="61">
        <f>NPV(realdiscrt3,BJ$91:BJ107)/(1+realdiscrt3)^-Half_Year</f>
        <v>0.65522747106144763</v>
      </c>
      <c r="BL107" s="64">
        <f t="shared" si="125"/>
        <v>3.3956635537634415E-2</v>
      </c>
      <c r="BM107" s="61">
        <f>NPV(realdiscrt3,BL$91:BL107)/(1+realdiscrt3)^-Half_Year</f>
        <v>0.64751134775159747</v>
      </c>
      <c r="BN107" s="64">
        <f t="shared" si="126"/>
        <v>3.6620562258064523E-2</v>
      </c>
      <c r="BO107" s="61">
        <f>NPV(realdiscrt3,BN$91:BN107)/(1+realdiscrt3)^-Half_Year</f>
        <v>0.69830915954144468</v>
      </c>
      <c r="BP107" s="64">
        <f t="shared" si="127"/>
        <v>3.5069415053763452E-2</v>
      </c>
      <c r="BQ107" s="61">
        <f>NPV(realdiscrt3,BP$91:BP107)/(1+realdiscrt3)^-Half_Year</f>
        <v>0.66873068685368542</v>
      </c>
      <c r="BR107" s="64">
        <f t="shared" si="128"/>
        <v>0.14005407115292715</v>
      </c>
      <c r="BS107" s="61">
        <f>NPV(realdiscrt3,BR$91:BR107)/(1+realdiscrt3)^-Half_Year</f>
        <v>2.2942361737133168</v>
      </c>
      <c r="BT107" s="624">
        <f t="shared" si="129"/>
        <v>0.21481504614821031</v>
      </c>
      <c r="BU107" s="61">
        <f>NPV(realdiscrt3,BT$91:BT107)/(1+realdiscrt3)^-Half_Year</f>
        <v>6.815769264057578</v>
      </c>
      <c r="BV107" s="788">
        <f t="shared" si="130"/>
        <v>0.11745227463199547</v>
      </c>
      <c r="BW107" s="61">
        <f>NPV(realdiscrt3,BV$91:BV107)/(1+realdiscrt3)^-Half_Year</f>
        <v>5.1271751578677751</v>
      </c>
      <c r="BX107" s="788">
        <f t="shared" si="131"/>
        <v>8.5926018459284131E-2</v>
      </c>
      <c r="BY107" s="61">
        <f>NPV(realdiscrt3,BX$91:BX107)/(1+realdiscrt3)^-Half_Year</f>
        <v>4.5804050779445209</v>
      </c>
      <c r="BZ107" s="788">
        <f t="shared" si="132"/>
        <v>0.11156462384716534</v>
      </c>
      <c r="CA107" s="61">
        <f>NPV(realdiscrt3,BZ$91:BZ107)/(1+realdiscrt3)^-Half_Year</f>
        <v>5.0250637218461316</v>
      </c>
      <c r="CB107" s="788">
        <f t="shared" si="133"/>
        <v>0.17866167388146653</v>
      </c>
      <c r="CC107" s="61">
        <f>NPV(realdiscrt3,CB$91:CB107)/(1+realdiscrt3)^-Half_Year</f>
        <v>6.1887496098528665</v>
      </c>
      <c r="CD107" s="624">
        <f t="shared" si="134"/>
        <v>0.11660160704924855</v>
      </c>
      <c r="CE107" s="61">
        <f>NPV(realdiscrt3,CD$91:CD107)/(1+realdiscrt3)^-Half_Year</f>
        <v>5.1124217542394286</v>
      </c>
      <c r="CF107" s="788">
        <f t="shared" si="135"/>
        <v>0.14372185625492781</v>
      </c>
      <c r="CG107" s="61">
        <f>NPV(realdiscrt3,CF$91:CF107)/(1+realdiscrt3)^-Half_Year</f>
        <v>5.5827770271425008</v>
      </c>
      <c r="CH107" s="634">
        <f t="shared" si="136"/>
        <v>1.2357164001387372E-3</v>
      </c>
      <c r="CI107" s="61">
        <f>NPV(realdiscrt3,CH$91:CH107)/(1+realdiscrt3)^-Half_Year</f>
        <v>3.4534285145799211E-2</v>
      </c>
      <c r="CJ107" s="634">
        <f t="shared" si="137"/>
        <v>1.3312995585695675E-3</v>
      </c>
      <c r="CK107" s="61">
        <f>NPV(realdiscrt3,CJ$91:CJ107)/(1+realdiscrt3)^-Half_Year</f>
        <v>4.473191925573828E-2</v>
      </c>
    </row>
    <row r="108" spans="1:89">
      <c r="A108" s="56">
        <f t="shared" si="139"/>
        <v>18</v>
      </c>
      <c r="B108" s="56">
        <f t="shared" si="138"/>
        <v>2035</v>
      </c>
      <c r="C108" s="62">
        <f t="shared" si="96"/>
        <v>0.11809196393258206</v>
      </c>
      <c r="D108" s="57">
        <f>NPV(realdiscrt3,C$91:C108)/(1+realdiscrt3)^-Half_Year</f>
        <v>1.5209327603925298</v>
      </c>
      <c r="E108" s="62">
        <f t="shared" si="97"/>
        <v>0.10840784640856355</v>
      </c>
      <c r="F108" s="58">
        <f>NPV(realdiscrt3,E$91:E108)/(1+realdiscrt3)^-Half_Year</f>
        <v>1.398694557560207</v>
      </c>
      <c r="G108" s="62">
        <f t="shared" si="98"/>
        <v>0.13532631258938532</v>
      </c>
      <c r="H108" s="57">
        <f>NPV(realdiscrt3,G$91:G108)/(1+realdiscrt3)^-Half_Year</f>
        <v>1.5608986447334146</v>
      </c>
      <c r="I108" s="62">
        <f t="shared" si="99"/>
        <v>9.9118314227937376E-2</v>
      </c>
      <c r="J108" s="59">
        <f>NPV(realdiscrt3,I$91:I108)/(1+realdiscrt3)^-Half_Year</f>
        <v>1.2287862485236853</v>
      </c>
      <c r="K108" s="63">
        <f t="shared" si="100"/>
        <v>186.64227093630012</v>
      </c>
      <c r="L108" s="60">
        <f>NPV(realdiscrt3,K$91:K108)/(1+realdiscrt3)^-Half_Year</f>
        <v>2960.1670051891015</v>
      </c>
      <c r="M108" s="63">
        <f t="shared" si="101"/>
        <v>0</v>
      </c>
      <c r="N108" s="60">
        <f>NPV(realdiscrt3,M$91:M108)/(1+realdiscrt3)^-Half_Year</f>
        <v>0</v>
      </c>
      <c r="O108" s="63">
        <f t="shared" si="102"/>
        <v>10.739952210274792</v>
      </c>
      <c r="P108" s="60">
        <f>NPV(realdiscrt3,O$91:O108)/(1+realdiscrt3)^-Half_Year</f>
        <v>185.87764980516997</v>
      </c>
      <c r="Q108" s="63">
        <f t="shared" si="103"/>
        <v>84.296373954599773</v>
      </c>
      <c r="R108" s="60">
        <f>NPV(realdiscrt3,Q$91:Q108)/(1+realdiscrt3)^-Half_Year</f>
        <v>1458.9275232331638</v>
      </c>
      <c r="S108" s="63">
        <f t="shared" si="104"/>
        <v>24.478784001008702</v>
      </c>
      <c r="T108" s="60">
        <f>NPV(realdiscrt3,S$91:S108)/(1+realdiscrt3)^-Half_Year</f>
        <v>378.25473218529248</v>
      </c>
      <c r="U108" s="63">
        <f t="shared" si="105"/>
        <v>22.718470164117178</v>
      </c>
      <c r="V108" s="60">
        <f>NPV(realdiscrt3,U$91:U108)/(1+realdiscrt3)^-Half_Year</f>
        <v>348.78050545050235</v>
      </c>
      <c r="W108" s="624">
        <f t="shared" si="106"/>
        <v>22.235220621179749</v>
      </c>
      <c r="X108" s="60">
        <f>NPV(realdiscrt3,W$91:W108)/(1+realdiscrt3)^-Half_Year</f>
        <v>341.15544269974328</v>
      </c>
      <c r="Y108" s="624">
        <f t="shared" si="107"/>
        <v>10.088183119302645</v>
      </c>
      <c r="Z108" s="60">
        <f>NPV(realdiscrt3,Y$91:Y108)/(1+realdiscrt3)^-Half_Year</f>
        <v>153.29275730688803</v>
      </c>
      <c r="AA108" s="63">
        <f t="shared" si="108"/>
        <v>9.8364134272910917</v>
      </c>
      <c r="AB108" s="60">
        <f>NPV(realdiscrt3,AA$91:AA108)/(1+realdiscrt3)^-Half_Year</f>
        <v>149.03870277464273</v>
      </c>
      <c r="AC108" s="63">
        <f t="shared" si="109"/>
        <v>10.256547578313249</v>
      </c>
      <c r="AD108" s="60">
        <f>NPV(realdiscrt3,AC$91:AC108)/(1+realdiscrt3)^-Half_Year</f>
        <v>156.45338884323746</v>
      </c>
      <c r="AE108" s="63">
        <f t="shared" si="110"/>
        <v>8.5790737676727531</v>
      </c>
      <c r="AF108" s="60">
        <f>NPV(realdiscrt3,AE$91:AE108)/(1+realdiscrt3)^-Half_Year</f>
        <v>126.80229278859224</v>
      </c>
      <c r="AG108" s="63">
        <f t="shared" si="111"/>
        <v>8.7661786004606821</v>
      </c>
      <c r="AH108" s="60">
        <f>NPV(realdiscrt3,AG$91:AG108)/(1+realdiscrt3)^-Half_Year</f>
        <v>130.11950869818011</v>
      </c>
      <c r="AI108" s="63">
        <f t="shared" si="112"/>
        <v>9.6149015642340672</v>
      </c>
      <c r="AJ108" s="60">
        <f>NPV(realdiscrt3,AI$91:AI108)/(1+realdiscrt3)^-Half_Year</f>
        <v>145.20924685756407</v>
      </c>
      <c r="AK108" s="63">
        <f t="shared" si="113"/>
        <v>9.3180255029747983</v>
      </c>
      <c r="AL108" s="60">
        <f>NPV(realdiscrt3,AK$91:AK108)/(1+realdiscrt3)^-Half_Year</f>
        <v>139.83022992838565</v>
      </c>
      <c r="AM108" s="63">
        <f t="shared" si="114"/>
        <v>21.388178993628806</v>
      </c>
      <c r="AN108" s="60">
        <f>NPV(realdiscrt3,AM$91:AM108)/(1+realdiscrt3)^-Half_Year</f>
        <v>348.18806212449181</v>
      </c>
      <c r="AO108" s="63"/>
      <c r="AP108" s="60"/>
      <c r="AQ108" s="63">
        <f t="shared" si="115"/>
        <v>1.0833179284981212E-2</v>
      </c>
      <c r="AR108" s="60">
        <f>NPV(realdiscrt3,AQ$91:AQ108)/(1+realdiscrt3)^-Half_Year</f>
        <v>0.18749114204474085</v>
      </c>
      <c r="AS108" s="63">
        <f t="shared" si="116"/>
        <v>4.5379702334816434E-3</v>
      </c>
      <c r="AT108" s="60">
        <f>NPV(realdiscrt3,AS$91:AS108)/(1+realdiscrt3)^-Half_Year</f>
        <v>7.8539198813046149E-2</v>
      </c>
      <c r="AU108" s="63">
        <f t="shared" si="117"/>
        <v>6.2952090514995698E-3</v>
      </c>
      <c r="AV108" s="60">
        <f>NPV(realdiscrt3,AU$91:AU108)/(1+realdiscrt3)^-Half_Year</f>
        <v>0.10895194323169474</v>
      </c>
      <c r="AW108" s="63">
        <v>1</v>
      </c>
      <c r="AX108" s="60">
        <f>NPV(realdiscrt3,AW$91:AW108)/(1+realdiscrt3)^-Half_Year</f>
        <v>17.307120754908286</v>
      </c>
      <c r="AY108" s="63">
        <f t="shared" si="118"/>
        <v>0</v>
      </c>
      <c r="AZ108" s="60">
        <f>NPV(realdiscrt3,AY$91:AY108)/(1+realdiscrt3)^-Half_Year</f>
        <v>0</v>
      </c>
      <c r="BA108" s="115">
        <f t="shared" si="119"/>
        <v>1.0021975853094038</v>
      </c>
      <c r="BB108" s="74">
        <f t="shared" si="120"/>
        <v>0</v>
      </c>
      <c r="BC108" s="59">
        <f>NPV(realdiscrt3,BB$91:BB108)/(1+realdiscrt3)^-Half_Year</f>
        <v>1.0547347623195183E-2</v>
      </c>
      <c r="BD108" s="74">
        <f t="shared" si="121"/>
        <v>0</v>
      </c>
      <c r="BE108" s="59">
        <f>NPV(realdiscrt3,BD$91:BD108)/(1+realdiscrt3)^-Half_Year</f>
        <v>5.1847026672568524E-3</v>
      </c>
      <c r="BF108" s="74">
        <f t="shared" si="122"/>
        <v>0</v>
      </c>
      <c r="BG108" s="59">
        <f>NPV(realdiscrt3,BF$91:BF108)/(1+realdiscrt3)^-Half_Year</f>
        <v>0</v>
      </c>
      <c r="BH108" s="74">
        <f t="shared" si="123"/>
        <v>0</v>
      </c>
      <c r="BI108" s="59">
        <f>NPV(realdiscrt3,BH$91:BH108)/(1+realdiscrt3)^-Half_Year</f>
        <v>0</v>
      </c>
      <c r="BJ108" s="64">
        <f t="shared" si="124"/>
        <v>3.4361282634408609E-2</v>
      </c>
      <c r="BK108" s="61">
        <f>NPV(realdiscrt3,BJ$91:BJ108)/(1+realdiscrt3)^-Half_Year</f>
        <v>0.68704760812725807</v>
      </c>
      <c r="BL108" s="64">
        <f t="shared" si="125"/>
        <v>3.3956635537634415E-2</v>
      </c>
      <c r="BM108" s="61">
        <f>NPV(realdiscrt3,BL$91:BL108)/(1+realdiscrt3)^-Half_Year</f>
        <v>0.67895676288925311</v>
      </c>
      <c r="BN108" s="64">
        <f t="shared" si="126"/>
        <v>3.6620562258064523E-2</v>
      </c>
      <c r="BO108" s="61">
        <f>NPV(realdiscrt3,BN$91:BN108)/(1+realdiscrt3)^-Half_Year</f>
        <v>0.73222149403945269</v>
      </c>
      <c r="BP108" s="64">
        <f t="shared" si="127"/>
        <v>3.5069415053763452E-2</v>
      </c>
      <c r="BQ108" s="61">
        <f>NPV(realdiscrt3,BP$91:BP108)/(1+realdiscrt3)^-Half_Year</f>
        <v>0.70120658729376673</v>
      </c>
      <c r="BR108" s="64">
        <f t="shared" si="128"/>
        <v>0.14005407115292715</v>
      </c>
      <c r="BS108" s="61">
        <f>NPV(realdiscrt3,BR$91:BR108)/(1+realdiscrt3)^-Half_Year</f>
        <v>2.4239327216602269</v>
      </c>
      <c r="BT108" s="624">
        <f t="shared" si="129"/>
        <v>0.21481504614821031</v>
      </c>
      <c r="BU108" s="61">
        <f>NPV(realdiscrt3,BT$91:BT108)/(1+realdiscrt3)^-Half_Year</f>
        <v>7.0146979328433465</v>
      </c>
      <c r="BV108" s="788">
        <f t="shared" si="130"/>
        <v>0.11745227463199547</v>
      </c>
      <c r="BW108" s="61">
        <f>NPV(realdiscrt3,BV$91:BV108)/(1+realdiscrt3)^-Half_Year</f>
        <v>5.2359413968130815</v>
      </c>
      <c r="BX108" s="788">
        <f t="shared" si="131"/>
        <v>8.5926018459284131E-2</v>
      </c>
      <c r="BY108" s="61">
        <f>NPV(realdiscrt3,BX$91:BX108)/(1+realdiscrt3)^-Half_Year</f>
        <v>4.6599765454588287</v>
      </c>
      <c r="BZ108" s="788">
        <f t="shared" si="132"/>
        <v>0.11156462384716534</v>
      </c>
      <c r="CA108" s="61">
        <f>NPV(realdiscrt3,BZ$91:BZ108)/(1+realdiscrt3)^-Half_Year</f>
        <v>5.1283777238373576</v>
      </c>
      <c r="CB108" s="788">
        <f t="shared" si="133"/>
        <v>0.17866167388146653</v>
      </c>
      <c r="CC108" s="61">
        <f>NPV(realdiscrt3,CB$91:CB108)/(1+realdiscrt3)^-Half_Year</f>
        <v>6.3541985836819901</v>
      </c>
      <c r="CD108" s="624">
        <f t="shared" si="134"/>
        <v>0.11660160704924855</v>
      </c>
      <c r="CE108" s="61">
        <f>NPV(realdiscrt3,CD$91:CD108)/(1+realdiscrt3)^-Half_Year</f>
        <v>5.220400235656343</v>
      </c>
      <c r="CF108" s="788">
        <f t="shared" si="135"/>
        <v>0.14372185625492781</v>
      </c>
      <c r="CG108" s="61">
        <f>NPV(realdiscrt3,CF$91:CF108)/(1+realdiscrt3)^-Half_Year</f>
        <v>5.7158701137435513</v>
      </c>
      <c r="CH108" s="634">
        <f t="shared" si="136"/>
        <v>1.2357164001387372E-3</v>
      </c>
      <c r="CI108" s="61">
        <f>NPV(realdiscrt3,CH$91:CH108)/(1+realdiscrt3)^-Half_Year</f>
        <v>3.5678615689138993E-2</v>
      </c>
      <c r="CJ108" s="634">
        <f t="shared" si="137"/>
        <v>1.3312995585695675E-3</v>
      </c>
      <c r="CK108" s="61">
        <f>NPV(realdiscrt3,CJ$91:CJ108)/(1+realdiscrt3)^-Half_Year</f>
        <v>4.5964764224887253E-2</v>
      </c>
    </row>
    <row r="109" spans="1:89">
      <c r="A109" s="56">
        <f t="shared" si="139"/>
        <v>19</v>
      </c>
      <c r="B109" s="56">
        <f t="shared" si="138"/>
        <v>2036</v>
      </c>
      <c r="C109" s="62">
        <f t="shared" si="96"/>
        <v>0.12199198292990004</v>
      </c>
      <c r="D109" s="57">
        <f>NPV(realdiscrt3,C$91:C109)/(1+realdiscrt3)^-Half_Year</f>
        <v>1.6334080877608874</v>
      </c>
      <c r="E109" s="62">
        <f t="shared" si="97"/>
        <v>0.11229126052193854</v>
      </c>
      <c r="F109" s="58">
        <f>NPV(realdiscrt3,E$91:E109)/(1+realdiscrt3)^-Half_Year</f>
        <v>1.5022259207241957</v>
      </c>
      <c r="G109" s="62">
        <f t="shared" si="98"/>
        <v>0.1411031254951321</v>
      </c>
      <c r="H109" s="57">
        <f>NPV(realdiscrt3,G$91:G109)/(1+realdiscrt3)^-Half_Year</f>
        <v>1.6909942448834929</v>
      </c>
      <c r="I109" s="62">
        <f t="shared" si="99"/>
        <v>0.10293492035515879</v>
      </c>
      <c r="J109" s="59">
        <f>NPV(realdiscrt3,I$91:I109)/(1+realdiscrt3)^-Half_Year</f>
        <v>1.3236911642937252</v>
      </c>
      <c r="K109" s="63">
        <f t="shared" si="100"/>
        <v>186.64227093630012</v>
      </c>
      <c r="L109" s="60">
        <f>NPV(realdiscrt3,K$91:K109)/(1+realdiscrt3)^-Half_Year</f>
        <v>3132.2492192834247</v>
      </c>
      <c r="M109" s="63">
        <f t="shared" si="101"/>
        <v>0</v>
      </c>
      <c r="N109" s="60">
        <f>NPV(realdiscrt3,M$91:M109)/(1+realdiscrt3)^-Half_Year</f>
        <v>0</v>
      </c>
      <c r="O109" s="63">
        <f t="shared" si="102"/>
        <v>10.739952210274792</v>
      </c>
      <c r="P109" s="60">
        <f>NPV(realdiscrt3,O$91:O109)/(1+realdiscrt3)^-Half_Year</f>
        <v>195.77977297555333</v>
      </c>
      <c r="Q109" s="63">
        <f t="shared" si="103"/>
        <v>84.296373954599773</v>
      </c>
      <c r="R109" s="60">
        <f>NPV(realdiscrt3,Q$91:Q109)/(1+realdiscrt3)^-Half_Year</f>
        <v>1536.6478949231405</v>
      </c>
      <c r="S109" s="63">
        <f t="shared" si="104"/>
        <v>24.798503695588838</v>
      </c>
      <c r="T109" s="60">
        <f>NPV(realdiscrt3,S$91:S109)/(1+realdiscrt3)^-Half_Year</f>
        <v>401.1186922129736</v>
      </c>
      <c r="U109" s="63">
        <f t="shared" si="105"/>
        <v>23.031841691372044</v>
      </c>
      <c r="V109" s="60">
        <f>NPV(realdiscrt3,U$91:U109)/(1+realdiscrt3)^-Half_Year</f>
        <v>370.01562165991629</v>
      </c>
      <c r="W109" s="624">
        <f t="shared" si="106"/>
        <v>22.543002427169778</v>
      </c>
      <c r="X109" s="60">
        <f>NPV(realdiscrt3,W$91:W109)/(1+realdiscrt3)^-Half_Year</f>
        <v>361.93985424028352</v>
      </c>
      <c r="Y109" s="624">
        <f t="shared" si="107"/>
        <v>10.236214409330289</v>
      </c>
      <c r="Z109" s="60">
        <f>NPV(realdiscrt3,Y$91:Y109)/(1+realdiscrt3)^-Half_Year</f>
        <v>162.73043951395329</v>
      </c>
      <c r="AA109" s="63">
        <f t="shared" si="108"/>
        <v>9.9840016816735577</v>
      </c>
      <c r="AB109" s="60">
        <f>NPV(realdiscrt3,AA$91:AA109)/(1+realdiscrt3)^-Half_Year</f>
        <v>158.24384749499498</v>
      </c>
      <c r="AC109" s="63">
        <f t="shared" si="109"/>
        <v>10.40268652125043</v>
      </c>
      <c r="AD109" s="60">
        <f>NPV(realdiscrt3,AC$91:AC109)/(1+realdiscrt3)^-Half_Year</f>
        <v>166.04455658956704</v>
      </c>
      <c r="AE109" s="63">
        <f t="shared" si="110"/>
        <v>8.731929068399511</v>
      </c>
      <c r="AF109" s="60">
        <f>NPV(realdiscrt3,AE$91:AE109)/(1+realdiscrt3)^-Half_Year</f>
        <v>134.85303970603411</v>
      </c>
      <c r="AG109" s="63">
        <f t="shared" si="111"/>
        <v>8.9183167197964917</v>
      </c>
      <c r="AH109" s="60">
        <f>NPV(realdiscrt3,AG$91:AG109)/(1+realdiscrt3)^-Half_Year</f>
        <v>138.34210307317448</v>
      </c>
      <c r="AI109" s="63">
        <f t="shared" si="112"/>
        <v>9.7627347729446381</v>
      </c>
      <c r="AJ109" s="60">
        <f>NPV(realdiscrt3,AI$91:AI109)/(1+realdiscrt3)^-Half_Year</f>
        <v>154.21038581132939</v>
      </c>
      <c r="AK109" s="63">
        <f t="shared" si="113"/>
        <v>9.4682659240533908</v>
      </c>
      <c r="AL109" s="60">
        <f>NPV(realdiscrt3,AK$91:AK109)/(1+realdiscrt3)^-Half_Year</f>
        <v>148.55987169534109</v>
      </c>
      <c r="AM109" s="63">
        <f t="shared" si="114"/>
        <v>21.534234791515875</v>
      </c>
      <c r="AN109" s="60">
        <f>NPV(realdiscrt3,AM$91:AM109)/(1+realdiscrt3)^-Half_Year</f>
        <v>368.04240049683074</v>
      </c>
      <c r="AO109" s="63"/>
      <c r="AP109" s="60"/>
      <c r="AQ109" s="63">
        <f t="shared" si="115"/>
        <v>1.0833179284981212E-2</v>
      </c>
      <c r="AR109" s="60">
        <f>NPV(realdiscrt3,AQ$91:AQ109)/(1+realdiscrt3)^-Half_Year</f>
        <v>0.19747921959913667</v>
      </c>
      <c r="AS109" s="63">
        <f t="shared" si="116"/>
        <v>4.5379702334816434E-3</v>
      </c>
      <c r="AT109" s="60">
        <f>NPV(realdiscrt3,AS$91:AS109)/(1+realdiscrt3)^-Half_Year</f>
        <v>8.2723159720477307E-2</v>
      </c>
      <c r="AU109" s="63">
        <f t="shared" si="117"/>
        <v>6.2952090514995698E-3</v>
      </c>
      <c r="AV109" s="60">
        <f>NPV(realdiscrt3,AU$91:AU109)/(1+realdiscrt3)^-Half_Year</f>
        <v>0.1147560598786594</v>
      </c>
      <c r="AW109" s="63">
        <v>1</v>
      </c>
      <c r="AX109" s="60">
        <f>NPV(realdiscrt3,AW$91:AW109)/(1+realdiscrt3)^-Half_Year</f>
        <v>18.229110255095271</v>
      </c>
      <c r="AY109" s="63">
        <f t="shared" si="118"/>
        <v>0</v>
      </c>
      <c r="AZ109" s="60">
        <f>NPV(realdiscrt3,AY$91:AY109)/(1+realdiscrt3)^-Half_Year</f>
        <v>0</v>
      </c>
      <c r="BA109" s="115">
        <f t="shared" si="119"/>
        <v>1.0021975853094038</v>
      </c>
      <c r="BB109" s="74">
        <f t="shared" si="120"/>
        <v>0</v>
      </c>
      <c r="BC109" s="59">
        <f>NPV(realdiscrt3,BB$91:BB109)/(1+realdiscrt3)^-Half_Year</f>
        <v>1.0547347623195183E-2</v>
      </c>
      <c r="BD109" s="74">
        <f t="shared" si="121"/>
        <v>0</v>
      </c>
      <c r="BE109" s="59">
        <f>NPV(realdiscrt3,BD$91:BD109)/(1+realdiscrt3)^-Half_Year</f>
        <v>5.1847026672568524E-3</v>
      </c>
      <c r="BF109" s="74">
        <f t="shared" si="122"/>
        <v>0</v>
      </c>
      <c r="BG109" s="59">
        <f>NPV(realdiscrt3,BF$91:BF109)/(1+realdiscrt3)^-Half_Year</f>
        <v>0</v>
      </c>
      <c r="BH109" s="74">
        <f t="shared" si="123"/>
        <v>0</v>
      </c>
      <c r="BI109" s="59">
        <f>NPV(realdiscrt3,BH$91:BH109)/(1+realdiscrt3)^-Half_Year</f>
        <v>0</v>
      </c>
      <c r="BJ109" s="64">
        <f t="shared" si="124"/>
        <v>3.4361282634408609E-2</v>
      </c>
      <c r="BK109" s="61">
        <f>NPV(realdiscrt3,BJ$91:BJ109)/(1+realdiscrt3)^-Half_Year</f>
        <v>0.71872834992914025</v>
      </c>
      <c r="BL109" s="64">
        <f t="shared" si="125"/>
        <v>3.3956635537634415E-2</v>
      </c>
      <c r="BM109" s="61">
        <f>NPV(realdiscrt3,BL$91:BL109)/(1+realdiscrt3)^-Half_Year</f>
        <v>0.7102644243166284</v>
      </c>
      <c r="BN109" s="64">
        <f t="shared" si="126"/>
        <v>3.6620562258064523E-2</v>
      </c>
      <c r="BO109" s="61">
        <f>NPV(realdiscrt3,BN$91:BN109)/(1+realdiscrt3)^-Half_Year</f>
        <v>0.7659852679323319</v>
      </c>
      <c r="BP109" s="64">
        <f t="shared" si="127"/>
        <v>3.5069415053763452E-2</v>
      </c>
      <c r="BQ109" s="61">
        <f>NPV(realdiscrt3,BP$91:BP109)/(1+realdiscrt3)^-Half_Year</f>
        <v>0.733540219751036</v>
      </c>
      <c r="BR109" s="64">
        <f t="shared" si="128"/>
        <v>0.14005407115292715</v>
      </c>
      <c r="BS109" s="61">
        <f>NPV(realdiscrt3,BR$91:BR109)/(1+realdiscrt3)^-Half_Year</f>
        <v>2.5530611047216669</v>
      </c>
      <c r="BT109" s="624">
        <f t="shared" si="129"/>
        <v>0.21481504614821031</v>
      </c>
      <c r="BU109" s="61">
        <f>NPV(realdiscrt3,BT$91:BT109)/(1+realdiscrt3)^-Half_Year</f>
        <v>7.2127551498741784</v>
      </c>
      <c r="BV109" s="788">
        <f t="shared" si="130"/>
        <v>0.11745227463199547</v>
      </c>
      <c r="BW109" s="61">
        <f>NPV(realdiscrt3,BV$91:BV109)/(1+realdiscrt3)^-Half_Year</f>
        <v>5.3442311607968609</v>
      </c>
      <c r="BX109" s="788">
        <f t="shared" si="131"/>
        <v>8.5926018459284131E-2</v>
      </c>
      <c r="BY109" s="61">
        <f>NPV(realdiscrt3,BX$91:BX109)/(1+realdiscrt3)^-Half_Year</f>
        <v>4.7391994322711621</v>
      </c>
      <c r="BZ109" s="788">
        <f t="shared" si="132"/>
        <v>0.11156462384716534</v>
      </c>
      <c r="CA109" s="61">
        <f>NPV(realdiscrt3,BZ$91:BZ109)/(1+realdiscrt3)^-Half_Year</f>
        <v>5.2312391356167547</v>
      </c>
      <c r="CB109" s="788">
        <f t="shared" si="133"/>
        <v>0.17866167388146653</v>
      </c>
      <c r="CC109" s="61">
        <f>NPV(realdiscrt3,CB$91:CB109)/(1+realdiscrt3)^-Half_Year</f>
        <v>6.5189227710865341</v>
      </c>
      <c r="CD109" s="624">
        <f t="shared" si="134"/>
        <v>0.11660160704924855</v>
      </c>
      <c r="CE109" s="61">
        <f>NPV(realdiscrt3,CD$91:CD109)/(1+realdiscrt3)^-Half_Year</f>
        <v>5.3279056930606794</v>
      </c>
      <c r="CF109" s="788">
        <f t="shared" si="135"/>
        <v>0.14372185625492781</v>
      </c>
      <c r="CG109" s="61">
        <f>NPV(realdiscrt3,CF$91:CF109)/(1+realdiscrt3)^-Half_Year</f>
        <v>5.8483801561579778</v>
      </c>
      <c r="CH109" s="634">
        <f t="shared" si="136"/>
        <v>1.2357164001387372E-3</v>
      </c>
      <c r="CI109" s="61">
        <f>NPV(realdiscrt3,CH$91:CH109)/(1+realdiscrt3)^-Half_Year</f>
        <v>3.6817933235275768E-2</v>
      </c>
      <c r="CJ109" s="634">
        <f t="shared" si="137"/>
        <v>1.3312995585695675E-3</v>
      </c>
      <c r="CK109" s="61">
        <f>NPV(realdiscrt3,CJ$91:CJ109)/(1+realdiscrt3)^-Half_Year</f>
        <v>4.7192208439491963E-2</v>
      </c>
    </row>
    <row r="110" spans="1:89">
      <c r="A110" s="56">
        <f t="shared" si="139"/>
        <v>20</v>
      </c>
      <c r="B110" s="56">
        <f t="shared" si="138"/>
        <v>2037</v>
      </c>
      <c r="C110" s="62">
        <f t="shared" si="96"/>
        <v>0.1260349542389336</v>
      </c>
      <c r="D110" s="57">
        <f>NPV(realdiscrt3,C$91:C110)/(1+realdiscrt3)^-Half_Year</f>
        <v>1.7491019392790517</v>
      </c>
      <c r="E110" s="62">
        <f t="shared" si="97"/>
        <v>0.1163306346735805</v>
      </c>
      <c r="F110" s="58">
        <f>NPV(realdiscrt3,E$91:E110)/(1+realdiscrt3)^-Half_Year</f>
        <v>1.6090116870713973</v>
      </c>
      <c r="G110" s="62">
        <f t="shared" si="98"/>
        <v>0.1471499620251919</v>
      </c>
      <c r="H110" s="57">
        <f>NPV(realdiscrt3,G$91:G110)/(1+realdiscrt3)^-Half_Year</f>
        <v>1.8260706287346882</v>
      </c>
      <c r="I110" s="62">
        <f t="shared" si="99"/>
        <v>0.1069182068696212</v>
      </c>
      <c r="J110" s="59">
        <f>NPV(realdiscrt3,I$91:I110)/(1+realdiscrt3)^-Half_Year</f>
        <v>1.421836787663509</v>
      </c>
      <c r="K110" s="63">
        <f t="shared" si="100"/>
        <v>186.64227093630012</v>
      </c>
      <c r="L110" s="60">
        <f>NPV(realdiscrt3,K$91:K110)/(1+realdiscrt3)^-Half_Year</f>
        <v>3303.577588552962</v>
      </c>
      <c r="M110" s="63">
        <f t="shared" si="101"/>
        <v>0</v>
      </c>
      <c r="N110" s="60">
        <f>NPV(realdiscrt3,M$91:M110)/(1+realdiscrt3)^-Half_Year</f>
        <v>0</v>
      </c>
      <c r="O110" s="63">
        <f t="shared" si="102"/>
        <v>10.739952210274792</v>
      </c>
      <c r="P110" s="60">
        <f>NPV(realdiscrt3,O$91:O110)/(1+realdiscrt3)^-Half_Year</f>
        <v>205.63851766928428</v>
      </c>
      <c r="Q110" s="63">
        <f t="shared" si="103"/>
        <v>84.296373954599773</v>
      </c>
      <c r="R110" s="60">
        <f>NPV(realdiscrt3,Q$91:Q110)/(1+realdiscrt3)^-Half_Year</f>
        <v>1614.0277950525478</v>
      </c>
      <c r="S110" s="63">
        <f t="shared" si="104"/>
        <v>25.122399279097859</v>
      </c>
      <c r="T110" s="60">
        <f>NPV(realdiscrt3,S$91:S110)/(1+realdiscrt3)^-Half_Year</f>
        <v>424.17981164231776</v>
      </c>
      <c r="U110" s="63">
        <f t="shared" si="105"/>
        <v>23.349537234509231</v>
      </c>
      <c r="V110" s="60">
        <f>NPV(realdiscrt3,U$91:U110)/(1+realdiscrt3)^-Half_Year</f>
        <v>391.44934145725057</v>
      </c>
      <c r="W110" s="624">
        <f t="shared" si="106"/>
        <v>22.855047266767318</v>
      </c>
      <c r="X110" s="60">
        <f>NPV(realdiscrt3,W$91:W110)/(1+realdiscrt3)^-Half_Year</f>
        <v>382.91965671562872</v>
      </c>
      <c r="Y110" s="624">
        <f t="shared" si="107"/>
        <v>10.386417870755707</v>
      </c>
      <c r="Z110" s="60">
        <f>NPV(realdiscrt3,Y$91:Y110)/(1+realdiscrt3)^-Half_Year</f>
        <v>172.26465717762434</v>
      </c>
      <c r="AA110" s="63">
        <f t="shared" si="108"/>
        <v>10.133804390846146</v>
      </c>
      <c r="AB110" s="60">
        <f>NPV(realdiscrt3,AA$91:AA110)/(1+realdiscrt3)^-Half_Year</f>
        <v>167.54617848395247</v>
      </c>
      <c r="AC110" s="63">
        <f t="shared" si="109"/>
        <v>10.550907703896414</v>
      </c>
      <c r="AD110" s="60">
        <f>NPV(realdiscrt3,AC$91:AC110)/(1+realdiscrt3)^-Half_Year</f>
        <v>175.72976778076026</v>
      </c>
      <c r="AE110" s="63">
        <f t="shared" si="110"/>
        <v>8.8875078266454608</v>
      </c>
      <c r="AF110" s="60">
        <f>NPV(realdiscrt3,AE$91:AE110)/(1+realdiscrt3)^-Half_Year</f>
        <v>143.01133211841639</v>
      </c>
      <c r="AG110" s="63">
        <f t="shared" si="111"/>
        <v>9.073095215105683</v>
      </c>
      <c r="AH110" s="60">
        <f>NPV(realdiscrt3,AG$91:AG110)/(1+realdiscrt3)^-Half_Year</f>
        <v>146.67075552491107</v>
      </c>
      <c r="AI110" s="63">
        <f t="shared" si="112"/>
        <v>9.9128409802347228</v>
      </c>
      <c r="AJ110" s="60">
        <f>NPV(realdiscrt3,AI$91:AI110)/(1+realdiscrt3)^-Half_Year</f>
        <v>163.30988332307737</v>
      </c>
      <c r="AK110" s="63">
        <f t="shared" si="113"/>
        <v>9.6209287665042655</v>
      </c>
      <c r="AL110" s="60">
        <f>NPV(realdiscrt3,AK$91:AK110)/(1+realdiscrt3)^-Half_Year</f>
        <v>157.39140823931146</v>
      </c>
      <c r="AM110" s="63">
        <f t="shared" si="114"/>
        <v>21.68128797660934</v>
      </c>
      <c r="AN110" s="60">
        <f>NPV(realdiscrt3,AM$91:AM110)/(1+realdiscrt3)^-Half_Year</f>
        <v>387.94475002387588</v>
      </c>
      <c r="AO110" s="63"/>
      <c r="AP110" s="60"/>
      <c r="AQ110" s="63">
        <f t="shared" si="115"/>
        <v>1.0833179284981212E-2</v>
      </c>
      <c r="AR110" s="60">
        <f>NPV(realdiscrt3,AQ$91:AQ110)/(1+realdiscrt3)^-Half_Year</f>
        <v>0.20742354213437744</v>
      </c>
      <c r="AS110" s="63">
        <f t="shared" si="116"/>
        <v>4.5379702334816434E-3</v>
      </c>
      <c r="AT110" s="60">
        <f>NPV(realdiscrt3,AS$91:AS110)/(1+realdiscrt3)^-Half_Year</f>
        <v>8.6888791846553723E-2</v>
      </c>
      <c r="AU110" s="63">
        <f t="shared" si="117"/>
        <v>6.2952090514995698E-3</v>
      </c>
      <c r="AV110" s="60">
        <f>NPV(realdiscrt3,AU$91:AU110)/(1+realdiscrt3)^-Half_Year</f>
        <v>0.12053475028782377</v>
      </c>
      <c r="AW110" s="63">
        <v>1</v>
      </c>
      <c r="AX110" s="60">
        <f>NPV(realdiscrt3,AW$91:AW110)/(1+realdiscrt3)^-Half_Year</f>
        <v>19.147060773003457</v>
      </c>
      <c r="AY110" s="63">
        <f t="shared" si="118"/>
        <v>0</v>
      </c>
      <c r="AZ110" s="60">
        <f>NPV(realdiscrt3,AY$91:AY110)/(1+realdiscrt3)^-Half_Year</f>
        <v>0</v>
      </c>
      <c r="BA110" s="115">
        <f t="shared" si="119"/>
        <v>1.0021975853094038</v>
      </c>
      <c r="BB110" s="74">
        <f t="shared" si="120"/>
        <v>0</v>
      </c>
      <c r="BC110" s="59">
        <f>NPV(realdiscrt3,BB$91:BB110)/(1+realdiscrt3)^-Half_Year</f>
        <v>1.0547347623195183E-2</v>
      </c>
      <c r="BD110" s="74">
        <f t="shared" si="121"/>
        <v>0</v>
      </c>
      <c r="BE110" s="59">
        <f>NPV(realdiscrt3,BD$91:BD110)/(1+realdiscrt3)^-Half_Year</f>
        <v>5.1847026672568524E-3</v>
      </c>
      <c r="BF110" s="74">
        <f t="shared" si="122"/>
        <v>0</v>
      </c>
      <c r="BG110" s="59">
        <f>NPV(realdiscrt3,BF$91:BF110)/(1+realdiscrt3)^-Half_Year</f>
        <v>0</v>
      </c>
      <c r="BH110" s="74">
        <f t="shared" si="123"/>
        <v>0</v>
      </c>
      <c r="BI110" s="59">
        <f>NPV(realdiscrt3,BH$91:BH110)/(1+realdiscrt3)^-Half_Year</f>
        <v>0</v>
      </c>
      <c r="BJ110" s="64">
        <f t="shared" si="124"/>
        <v>3.4361282634408609E-2</v>
      </c>
      <c r="BK110" s="61">
        <f>NPV(realdiscrt3,BJ$91:BJ110)/(1+realdiscrt3)^-Half_Year</f>
        <v>0.75027030711938525</v>
      </c>
      <c r="BL110" s="64">
        <f t="shared" si="125"/>
        <v>3.3956635537634415E-2</v>
      </c>
      <c r="BM110" s="61">
        <f>NPV(realdiscrt3,BL$91:BL110)/(1+realdiscrt3)^-Half_Year</f>
        <v>0.74143493549481954</v>
      </c>
      <c r="BN110" s="64">
        <f t="shared" si="126"/>
        <v>3.6620562258064523E-2</v>
      </c>
      <c r="BO110" s="61">
        <f>NPV(realdiscrt3,BN$91:BN110)/(1+realdiscrt3)^-Half_Year</f>
        <v>0.79960113202321137</v>
      </c>
      <c r="BP110" s="64">
        <f t="shared" si="127"/>
        <v>3.5069415053763452E-2</v>
      </c>
      <c r="BQ110" s="61">
        <f>NPV(realdiscrt3,BP$91:BP110)/(1+realdiscrt3)^-Half_Year</f>
        <v>0.76573220746237547</v>
      </c>
      <c r="BR110" s="64">
        <f t="shared" si="128"/>
        <v>0.14005407115292715</v>
      </c>
      <c r="BS110" s="61">
        <f>NPV(realdiscrt3,BR$91:BR110)/(1+realdiscrt3)^-Half_Year</f>
        <v>2.6816238118716469</v>
      </c>
      <c r="BT110" s="624">
        <f t="shared" si="129"/>
        <v>0.21481504614821031</v>
      </c>
      <c r="BU110" s="61">
        <f>NPV(realdiscrt3,BT$91:BT110)/(1+realdiscrt3)^-Half_Year</f>
        <v>7.4099447327404002</v>
      </c>
      <c r="BV110" s="788">
        <f t="shared" si="130"/>
        <v>0.11745227463199547</v>
      </c>
      <c r="BW110" s="61">
        <f>NPV(realdiscrt3,BV$91:BV110)/(1+realdiscrt3)^-Half_Year</f>
        <v>5.4520465371247946</v>
      </c>
      <c r="BX110" s="788">
        <f t="shared" si="131"/>
        <v>8.5926018459284131E-2</v>
      </c>
      <c r="BY110" s="61">
        <f>NPV(realdiscrt3,BX$91:BX110)/(1+realdiscrt3)^-Half_Year</f>
        <v>4.8180752654176509</v>
      </c>
      <c r="BZ110" s="788">
        <f t="shared" si="132"/>
        <v>0.11156462384716534</v>
      </c>
      <c r="CA110" s="61">
        <f>NPV(realdiscrt3,BZ$91:BZ110)/(1+realdiscrt3)^-Half_Year</f>
        <v>5.3336499398574926</v>
      </c>
      <c r="CB110" s="788">
        <f t="shared" si="133"/>
        <v>0.17866167388146653</v>
      </c>
      <c r="CC110" s="61">
        <f>NPV(realdiscrt3,CB$91:CB110)/(1+realdiscrt3)^-Half_Year</f>
        <v>6.6829253471563703</v>
      </c>
      <c r="CD110" s="624">
        <f t="shared" si="134"/>
        <v>0.11660160704924855</v>
      </c>
      <c r="CE110" s="61">
        <f>NPV(realdiscrt3,CD$91:CD110)/(1+realdiscrt3)^-Half_Year</f>
        <v>5.4349401986404633</v>
      </c>
      <c r="CF110" s="788">
        <f t="shared" si="135"/>
        <v>0.14372185625492781</v>
      </c>
      <c r="CG110" s="61">
        <f>NPV(realdiscrt3,CF$91:CF110)/(1+realdiscrt3)^-Half_Year</f>
        <v>5.9803097085419159</v>
      </c>
      <c r="CH110" s="634">
        <f t="shared" si="136"/>
        <v>1.2357164001387372E-3</v>
      </c>
      <c r="CI110" s="61">
        <f>NPV(realdiscrt3,CH$91:CH110)/(1+realdiscrt3)^-Half_Year</f>
        <v>3.7952259744770768E-2</v>
      </c>
      <c r="CJ110" s="634">
        <f t="shared" si="137"/>
        <v>1.3312995585695675E-3</v>
      </c>
      <c r="CK110" s="61">
        <f>NPV(realdiscrt3,CJ$91:CJ110)/(1+realdiscrt3)^-Half_Year</f>
        <v>4.8414275558771841E-2</v>
      </c>
    </row>
    <row r="111" spans="1:89">
      <c r="A111" s="56">
        <f t="shared" si="139"/>
        <v>21</v>
      </c>
      <c r="B111" s="56">
        <f t="shared" si="138"/>
        <v>2038</v>
      </c>
      <c r="C111" s="62">
        <f t="shared" si="96"/>
        <v>0.13022612220826574</v>
      </c>
      <c r="D111" s="57">
        <f>NPV(realdiscrt3,C$91:C111)/(1+realdiscrt3)^-Half_Year</f>
        <v>1.868119398783485</v>
      </c>
      <c r="E111" s="62">
        <f t="shared" si="97"/>
        <v>0.12053223790617558</v>
      </c>
      <c r="F111" s="58">
        <f>NPV(realdiscrt3,E$91:E111)/(1+realdiscrt3)^-Half_Year</f>
        <v>1.719169622366705</v>
      </c>
      <c r="G111" s="62">
        <f t="shared" si="98"/>
        <v>0.15347945170374908</v>
      </c>
      <c r="H111" s="57">
        <f>NPV(realdiscrt3,G$91:G111)/(1+realdiscrt3)^-Half_Year</f>
        <v>1.9663399857435706</v>
      </c>
      <c r="I111" s="62">
        <f t="shared" si="99"/>
        <v>0.11107545988660424</v>
      </c>
      <c r="J111" s="59">
        <f>NPV(realdiscrt3,I$91:I111)/(1+realdiscrt3)^-Half_Year</f>
        <v>1.5233518971117355</v>
      </c>
      <c r="K111" s="63">
        <f t="shared" si="100"/>
        <v>186.64227093630012</v>
      </c>
      <c r="L111" s="60">
        <f>NPV(realdiscrt3,K$91:K111)/(1+realdiscrt3)^-Half_Year</f>
        <v>3474.1554153844409</v>
      </c>
      <c r="M111" s="63">
        <f t="shared" si="101"/>
        <v>0</v>
      </c>
      <c r="N111" s="60">
        <f>NPV(realdiscrt3,M$91:M111)/(1+realdiscrt3)^-Half_Year</f>
        <v>0</v>
      </c>
      <c r="O111" s="63">
        <f t="shared" si="102"/>
        <v>10.739952210274792</v>
      </c>
      <c r="P111" s="60">
        <f>NPV(realdiscrt3,O$91:O111)/(1+realdiscrt3)^-Half_Year</f>
        <v>215.45407391553172</v>
      </c>
      <c r="Q111" s="63">
        <f t="shared" si="103"/>
        <v>84.296373954599773</v>
      </c>
      <c r="R111" s="60">
        <f>NPV(realdiscrt3,Q$91:Q111)/(1+realdiscrt3)^-Half_Year</f>
        <v>1691.0687151335985</v>
      </c>
      <c r="S111" s="63">
        <f t="shared" si="104"/>
        <v>25.45052529321287</v>
      </c>
      <c r="T111" s="60">
        <f>NPV(realdiscrt3,S$91:S111)/(1+realdiscrt3)^-Half_Year</f>
        <v>447.43979060880542</v>
      </c>
      <c r="U111" s="63">
        <f t="shared" si="105"/>
        <v>23.671616478952242</v>
      </c>
      <c r="V111" s="60">
        <f>NPV(realdiscrt3,U$91:U111)/(1+realdiscrt3)^-Half_Year</f>
        <v>413.08352366212733</v>
      </c>
      <c r="W111" s="624">
        <f t="shared" si="106"/>
        <v>23.171414224909796</v>
      </c>
      <c r="X111" s="60">
        <f>NPV(realdiscrt3,W$91:W111)/(1+realdiscrt3)^-Half_Year</f>
        <v>404.09668945997475</v>
      </c>
      <c r="Y111" s="624">
        <f t="shared" si="107"/>
        <v>10.538825377438677</v>
      </c>
      <c r="Z111" s="60">
        <f>NPV(realdiscrt3,Y$91:Y111)/(1+realdiscrt3)^-Half_Year</f>
        <v>181.89639773254649</v>
      </c>
      <c r="AA111" s="63">
        <f t="shared" si="108"/>
        <v>10.285854781098017</v>
      </c>
      <c r="AB111" s="60">
        <f>NPV(realdiscrt3,AA$91:AA111)/(1+realdiscrt3)^-Half_Year</f>
        <v>176.94672181672561</v>
      </c>
      <c r="AC111" s="63">
        <f t="shared" si="109"/>
        <v>10.701240794744196</v>
      </c>
      <c r="AD111" s="60">
        <f>NPV(realdiscrt3,AC$91:AC111)/(1+realdiscrt3)^-Half_Year</f>
        <v>185.50994453284676</v>
      </c>
      <c r="AE111" s="63">
        <f t="shared" si="110"/>
        <v>9.0458585668701623</v>
      </c>
      <c r="AF111" s="60">
        <f>NPV(realdiscrt3,AE$91:AE111)/(1+realdiscrt3)^-Half_Year</f>
        <v>151.27860666678629</v>
      </c>
      <c r="AG111" s="63">
        <f t="shared" si="111"/>
        <v>9.2305599104414995</v>
      </c>
      <c r="AH111" s="60">
        <f>NPV(realdiscrt3,AG$91:AG111)/(1+realdiscrt3)^-Half_Year</f>
        <v>155.10683402986163</v>
      </c>
      <c r="AI111" s="63">
        <f t="shared" si="112"/>
        <v>10.065255134426064</v>
      </c>
      <c r="AJ111" s="60">
        <f>NPV(realdiscrt3,AI$91:AI111)/(1+realdiscrt3)^-Half_Year</f>
        <v>172.50881419078391</v>
      </c>
      <c r="AK111" s="63">
        <f t="shared" si="113"/>
        <v>9.7760530885599728</v>
      </c>
      <c r="AL111" s="60">
        <f>NPV(realdiscrt3,AK$91:AK111)/(1+realdiscrt3)^-Half_Year</f>
        <v>166.32602890412787</v>
      </c>
      <c r="AM111" s="63">
        <f t="shared" si="114"/>
        <v>21.829345359876342</v>
      </c>
      <c r="AN111" s="60">
        <f>NPV(realdiscrt3,AM$91:AM111)/(1+realdiscrt3)^-Half_Year</f>
        <v>407.89522680473533</v>
      </c>
      <c r="AO111" s="63"/>
      <c r="AP111" s="60"/>
      <c r="AQ111" s="63">
        <f t="shared" si="115"/>
        <v>1.0833179284981212E-2</v>
      </c>
      <c r="AR111" s="60">
        <f>NPV(realdiscrt3,AQ$91:AQ111)/(1+realdiscrt3)^-Half_Year</f>
        <v>0.21732430132916117</v>
      </c>
      <c r="AS111" s="63">
        <f t="shared" si="116"/>
        <v>4.5379702334816434E-3</v>
      </c>
      <c r="AT111" s="60">
        <f>NPV(realdiscrt3,AS$91:AS111)/(1+realdiscrt3)^-Half_Year</f>
        <v>9.1036175484622645E-2</v>
      </c>
      <c r="AU111" s="63">
        <f t="shared" si="117"/>
        <v>6.2952090514995698E-3</v>
      </c>
      <c r="AV111" s="60">
        <f>NPV(realdiscrt3,AU$91:AU111)/(1+realdiscrt3)^-Half_Year</f>
        <v>0.12628812584453858</v>
      </c>
      <c r="AW111" s="63">
        <v>1</v>
      </c>
      <c r="AX111" s="60">
        <f>NPV(realdiscrt3,AW$91:AW111)/(1+realdiscrt3)^-Half_Year</f>
        <v>20.060990002302731</v>
      </c>
      <c r="AY111" s="63">
        <f t="shared" si="118"/>
        <v>0</v>
      </c>
      <c r="AZ111" s="60">
        <f>NPV(realdiscrt3,AY$91:AY111)/(1+realdiscrt3)^-Half_Year</f>
        <v>0</v>
      </c>
      <c r="BA111" s="115">
        <f t="shared" si="119"/>
        <v>1.0021975853094038</v>
      </c>
      <c r="BB111" s="74">
        <f t="shared" si="120"/>
        <v>0</v>
      </c>
      <c r="BC111" s="59">
        <f>NPV(realdiscrt3,BB$91:BB111)/(1+realdiscrt3)^-Half_Year</f>
        <v>1.0547347623195183E-2</v>
      </c>
      <c r="BD111" s="74">
        <f t="shared" si="121"/>
        <v>0</v>
      </c>
      <c r="BE111" s="59">
        <f>NPV(realdiscrt3,BD$91:BD111)/(1+realdiscrt3)^-Half_Year</f>
        <v>5.1847026672568524E-3</v>
      </c>
      <c r="BF111" s="74">
        <f t="shared" si="122"/>
        <v>0</v>
      </c>
      <c r="BG111" s="59">
        <f>NPV(realdiscrt3,BF$91:BF111)/(1+realdiscrt3)^-Half_Year</f>
        <v>0</v>
      </c>
      <c r="BH111" s="74">
        <f t="shared" si="123"/>
        <v>0</v>
      </c>
      <c r="BI111" s="59">
        <f>NPV(realdiscrt3,BH$91:BH111)/(1+realdiscrt3)^-Half_Year</f>
        <v>0</v>
      </c>
      <c r="BJ111" s="64">
        <f t="shared" si="124"/>
        <v>3.4361282634408609E-2</v>
      </c>
      <c r="BK111" s="61">
        <f>NPV(realdiscrt3,BJ$91:BJ111)/(1+realdiscrt3)^-Half_Year</f>
        <v>0.78167408767518487</v>
      </c>
      <c r="BL111" s="64">
        <f t="shared" si="125"/>
        <v>3.3956635537634415E-2</v>
      </c>
      <c r="BM111" s="61">
        <f>NPV(realdiscrt3,BL$91:BL111)/(1+realdiscrt3)^-Half_Year</f>
        <v>0.77246889724132617</v>
      </c>
      <c r="BN111" s="64">
        <f t="shared" si="126"/>
        <v>3.6620562258064523E-2</v>
      </c>
      <c r="BO111" s="61">
        <f>NPV(realdiscrt3,BN$91:BN111)/(1+realdiscrt3)^-Half_Year</f>
        <v>0.83306973426423025</v>
      </c>
      <c r="BP111" s="64">
        <f t="shared" si="127"/>
        <v>3.5069415053763452E-2</v>
      </c>
      <c r="BQ111" s="61">
        <f>NPV(realdiscrt3,BP$91:BP111)/(1+realdiscrt3)^-Half_Year</f>
        <v>0.79778317093443774</v>
      </c>
      <c r="BR111" s="64">
        <f t="shared" si="128"/>
        <v>0.14005407115292715</v>
      </c>
      <c r="BS111" s="61">
        <f>NPV(realdiscrt3,BR$91:BR111)/(1+realdiscrt3)^-Half_Year</f>
        <v>2.8096233211806672</v>
      </c>
      <c r="BT111" s="624">
        <f t="shared" si="129"/>
        <v>0.21481504614821031</v>
      </c>
      <c r="BU111" s="61">
        <f>NPV(realdiscrt3,BT$91:BT111)/(1+realdiscrt3)^-Half_Year</f>
        <v>7.6062704823085223</v>
      </c>
      <c r="BV111" s="788">
        <f t="shared" si="130"/>
        <v>0.11745227463199547</v>
      </c>
      <c r="BW111" s="61">
        <f>NPV(realdiscrt3,BV$91:BV111)/(1+realdiscrt3)^-Half_Year</f>
        <v>5.5593896039586612</v>
      </c>
      <c r="BX111" s="788">
        <f t="shared" si="131"/>
        <v>8.5926018459284131E-2</v>
      </c>
      <c r="BY111" s="61">
        <f>NPV(realdiscrt3,BX$91:BX111)/(1+realdiscrt3)^-Half_Year</f>
        <v>4.896605565244899</v>
      </c>
      <c r="BZ111" s="788">
        <f t="shared" si="132"/>
        <v>0.11156462384716534</v>
      </c>
      <c r="CA111" s="61">
        <f>NPV(realdiscrt3,BZ$91:BZ111)/(1+realdiscrt3)^-Half_Year</f>
        <v>5.4356121105471962</v>
      </c>
      <c r="CB111" s="788">
        <f t="shared" si="133"/>
        <v>0.17866167388146653</v>
      </c>
      <c r="CC111" s="61">
        <f>NPV(realdiscrt3,CB$91:CB111)/(1+realdiscrt3)^-Half_Year</f>
        <v>6.8462094730721779</v>
      </c>
      <c r="CD111" s="624">
        <f t="shared" si="134"/>
        <v>0.11660160704924855</v>
      </c>
      <c r="CE111" s="61">
        <f>NPV(realdiscrt3,CD$91:CD111)/(1+realdiscrt3)^-Half_Year</f>
        <v>5.5415058155060404</v>
      </c>
      <c r="CF111" s="788">
        <f t="shared" si="135"/>
        <v>0.14372185625492781</v>
      </c>
      <c r="CG111" s="61">
        <f>NPV(realdiscrt3,CF$91:CF111)/(1+realdiscrt3)^-Half_Year</f>
        <v>6.1116613138624425</v>
      </c>
      <c r="CH111" s="634">
        <f t="shared" si="136"/>
        <v>1.2357164001387372E-3</v>
      </c>
      <c r="CI111" s="61">
        <f>NPV(realdiscrt3,CH$91:CH111)/(1+realdiscrt3)^-Half_Year</f>
        <v>3.9081617081982038E-2</v>
      </c>
      <c r="CJ111" s="634">
        <f t="shared" si="137"/>
        <v>1.3312995585695675E-3</v>
      </c>
      <c r="CK111" s="61">
        <f>NPV(realdiscrt3,CJ$91:CJ111)/(1+realdiscrt3)^-Half_Year</f>
        <v>4.9630989138301787E-2</v>
      </c>
    </row>
    <row r="112" spans="1:89">
      <c r="A112" s="56">
        <f t="shared" si="139"/>
        <v>22</v>
      </c>
      <c r="B112" s="56">
        <f t="shared" si="138"/>
        <v>2039</v>
      </c>
      <c r="C112" s="62">
        <f t="shared" si="96"/>
        <v>0.13457092360386344</v>
      </c>
      <c r="D112" s="57">
        <f>NPV(realdiscrt3,C$91:C112)/(1+realdiscrt3)^-Half_Year</f>
        <v>1.9905689213794331</v>
      </c>
      <c r="E112" s="62">
        <f t="shared" si="97"/>
        <v>0.1249025912844397</v>
      </c>
      <c r="F112" s="58">
        <f>NPV(realdiscrt3,E$91:E112)/(1+realdiscrt3)^-Half_Year</f>
        <v>1.8328216822930989</v>
      </c>
      <c r="G112" s="62">
        <f t="shared" si="98"/>
        <v>0.16010481480252231</v>
      </c>
      <c r="H112" s="57">
        <f>NPV(realdiscrt3,G$91:G112)/(1+realdiscrt3)^-Half_Year</f>
        <v>2.1120234485069838</v>
      </c>
      <c r="I112" s="62">
        <f t="shared" si="99"/>
        <v>0.11541428405471073</v>
      </c>
      <c r="J112" s="59">
        <f>NPV(realdiscrt3,I$91:I112)/(1+realdiscrt3)^-Half_Year</f>
        <v>1.6283703037985624</v>
      </c>
      <c r="K112" s="63">
        <f t="shared" si="100"/>
        <v>186.64227093630012</v>
      </c>
      <c r="L112" s="60">
        <f>NPV(realdiscrt3,K$91:K112)/(1+realdiscrt3)^-Half_Year</f>
        <v>3643.9859876977407</v>
      </c>
      <c r="M112" s="63">
        <f t="shared" si="101"/>
        <v>0</v>
      </c>
      <c r="N112" s="60">
        <f>NPV(realdiscrt3,M$91:M112)/(1+realdiscrt3)^-Half_Year</f>
        <v>0</v>
      </c>
      <c r="O112" s="63">
        <f t="shared" si="102"/>
        <v>10.739952210274792</v>
      </c>
      <c r="P112" s="60">
        <f>NPV(realdiscrt3,O$91:O112)/(1+realdiscrt3)^-Half_Year</f>
        <v>225.22663091099915</v>
      </c>
      <c r="Q112" s="63">
        <f t="shared" si="103"/>
        <v>84.296373954599773</v>
      </c>
      <c r="R112" s="60">
        <f>NPV(realdiscrt3,Q$91:Q112)/(1+realdiscrt3)^-Half_Year</f>
        <v>1767.7721401446008</v>
      </c>
      <c r="S112" s="63">
        <f t="shared" si="104"/>
        <v>25.782936991984947</v>
      </c>
      <c r="T112" s="60">
        <f>NPV(realdiscrt3,S$91:S112)/(1+realdiscrt3)^-Half_Year</f>
        <v>470.90034390844352</v>
      </c>
      <c r="U112" s="63">
        <f t="shared" si="105"/>
        <v>23.99813993427906</v>
      </c>
      <c r="V112" s="60">
        <f>NPV(realdiscrt3,U$91:U112)/(1+realdiscrt3)^-Half_Year</f>
        <v>434.9200445051697</v>
      </c>
      <c r="W112" s="624">
        <f t="shared" si="106"/>
        <v>23.492163205988962</v>
      </c>
      <c r="X112" s="60">
        <f>NPV(realdiscrt3,W$91:W112)/(1+realdiscrt3)^-Half_Year</f>
        <v>425.47280914677503</v>
      </c>
      <c r="Y112" s="624">
        <f t="shared" si="107"/>
        <v>10.693469270947437</v>
      </c>
      <c r="Z112" s="60">
        <f>NPV(realdiscrt3,Y$91:Y112)/(1+realdiscrt3)^-Half_Year</f>
        <v>191.62665871356248</v>
      </c>
      <c r="AA112" s="63">
        <f t="shared" si="108"/>
        <v>10.440186577254726</v>
      </c>
      <c r="AB112" s="60">
        <f>NPV(realdiscrt3,AA$91:AA112)/(1+realdiscrt3)^-Half_Year</f>
        <v>186.44651440164301</v>
      </c>
      <c r="AC112" s="63">
        <f t="shared" si="109"/>
        <v>10.853715885014028</v>
      </c>
      <c r="AD112" s="60">
        <f>NPV(realdiscrt3,AC$91:AC112)/(1+realdiscrt3)^-Half_Year</f>
        <v>195.38601800340047</v>
      </c>
      <c r="AE112" s="63">
        <f t="shared" si="110"/>
        <v>9.2070306781044682</v>
      </c>
      <c r="AF112" s="60">
        <f>NPV(realdiscrt3,AE$91:AE112)/(1+realdiscrt3)^-Half_Year</f>
        <v>159.6563191834876</v>
      </c>
      <c r="AG112" s="63">
        <f t="shared" si="111"/>
        <v>9.3907574251393271</v>
      </c>
      <c r="AH112" s="60">
        <f>NPV(realdiscrt3,AG$91:AG112)/(1+realdiscrt3)^-Half_Year</f>
        <v>163.6517242091667</v>
      </c>
      <c r="AI112" s="63">
        <f t="shared" si="112"/>
        <v>10.220012721185745</v>
      </c>
      <c r="AJ112" s="60">
        <f>NPV(realdiscrt3,AI$91:AI112)/(1+realdiscrt3)^-Half_Year</f>
        <v>181.80826495711412</v>
      </c>
      <c r="AK112" s="63">
        <f t="shared" si="113"/>
        <v>9.9336785782136587</v>
      </c>
      <c r="AL112" s="60">
        <f>NPV(realdiscrt3,AK$91:AK112)/(1+realdiscrt3)^-Half_Year</f>
        <v>175.36493691596928</v>
      </c>
      <c r="AM112" s="63">
        <f t="shared" si="114"/>
        <v>21.978413798794815</v>
      </c>
      <c r="AN112" s="60">
        <f>NPV(realdiscrt3,AM$91:AM112)/(1+realdiscrt3)^-Half_Year</f>
        <v>427.89394721926448</v>
      </c>
      <c r="AO112" s="63"/>
      <c r="AP112" s="60"/>
      <c r="AQ112" s="63">
        <f t="shared" si="115"/>
        <v>1.0833179284981212E-2</v>
      </c>
      <c r="AR112" s="60">
        <f>NPV(realdiscrt3,AQ$91:AQ112)/(1+realdiscrt3)^-Half_Year</f>
        <v>0.22718168802249422</v>
      </c>
      <c r="AS112" s="63">
        <f t="shared" si="116"/>
        <v>4.5379702334816434E-3</v>
      </c>
      <c r="AT112" s="60">
        <f>NPV(realdiscrt3,AS$91:AS112)/(1+realdiscrt3)^-Half_Year</f>
        <v>9.5165390576288228E-2</v>
      </c>
      <c r="AU112" s="63">
        <f t="shared" si="117"/>
        <v>6.2952090514995698E-3</v>
      </c>
      <c r="AV112" s="60">
        <f>NPV(realdiscrt3,AU$91:AU112)/(1+realdiscrt3)^-Half_Year</f>
        <v>0.13201629744620608</v>
      </c>
      <c r="AW112" s="63">
        <v>1</v>
      </c>
      <c r="AX112" s="60">
        <f>NPV(realdiscrt3,AW$91:AW112)/(1+realdiscrt3)^-Half_Year</f>
        <v>20.970915559151866</v>
      </c>
      <c r="AY112" s="63">
        <f t="shared" si="118"/>
        <v>0</v>
      </c>
      <c r="AZ112" s="60">
        <f>NPV(realdiscrt3,AY$91:AY112)/(1+realdiscrt3)^-Half_Year</f>
        <v>0</v>
      </c>
      <c r="BA112" s="115">
        <f t="shared" si="119"/>
        <v>1.0021975853094038</v>
      </c>
      <c r="BB112" s="74">
        <f t="shared" si="120"/>
        <v>0</v>
      </c>
      <c r="BC112" s="59">
        <f>NPV(realdiscrt3,BB$91:BB112)/(1+realdiscrt3)^-Half_Year</f>
        <v>1.0547347623195183E-2</v>
      </c>
      <c r="BD112" s="74">
        <f t="shared" si="121"/>
        <v>0</v>
      </c>
      <c r="BE112" s="59">
        <f>NPV(realdiscrt3,BD$91:BD112)/(1+realdiscrt3)^-Half_Year</f>
        <v>5.1847026672568524E-3</v>
      </c>
      <c r="BF112" s="74">
        <f t="shared" si="122"/>
        <v>0</v>
      </c>
      <c r="BG112" s="59">
        <f>NPV(realdiscrt3,BF$91:BF112)/(1+realdiscrt3)^-Half_Year</f>
        <v>0</v>
      </c>
      <c r="BH112" s="74">
        <f t="shared" si="123"/>
        <v>0</v>
      </c>
      <c r="BI112" s="59">
        <f>NPV(realdiscrt3,BH$91:BH112)/(1+realdiscrt3)^-Half_Year</f>
        <v>0</v>
      </c>
      <c r="BJ112" s="64">
        <f t="shared" si="124"/>
        <v>3.4361282634408609E-2</v>
      </c>
      <c r="BK112" s="61">
        <f>NPV(realdiscrt3,BJ$91:BJ112)/(1+realdiscrt3)^-Half_Year</f>
        <v>0.81294029691034964</v>
      </c>
      <c r="BL112" s="64">
        <f t="shared" si="125"/>
        <v>3.3956635537634415E-2</v>
      </c>
      <c r="BM112" s="61">
        <f>NPV(realdiscrt3,BL$91:BL112)/(1+realdiscrt3)^-Half_Year</f>
        <v>0.80336690774163111</v>
      </c>
      <c r="BN112" s="64">
        <f t="shared" si="126"/>
        <v>3.6620562258064523E-2</v>
      </c>
      <c r="BO112" s="61">
        <f>NPV(realdiscrt3,BN$91:BN112)/(1+realdiscrt3)^-Half_Year</f>
        <v>0.86639171976902818</v>
      </c>
      <c r="BP112" s="64">
        <f t="shared" si="127"/>
        <v>3.5069415053763452E-2</v>
      </c>
      <c r="BQ112" s="61">
        <f>NPV(realdiscrt3,BP$91:BP112)/(1+realdiscrt3)^-Half_Year</f>
        <v>0.82969372795560692</v>
      </c>
      <c r="BR112" s="64">
        <f t="shared" si="128"/>
        <v>0.14005407115292715</v>
      </c>
      <c r="BS112" s="61">
        <f>NPV(realdiscrt3,BR$91:BR112)/(1+realdiscrt3)^-Half_Year</f>
        <v>2.9370620998634824</v>
      </c>
      <c r="BT112" s="624">
        <f t="shared" si="129"/>
        <v>0.21481504614821031</v>
      </c>
      <c r="BU112" s="61">
        <f>NPV(realdiscrt3,BT$91:BT112)/(1+realdiscrt3)^-Half_Year</f>
        <v>7.8017361827945049</v>
      </c>
      <c r="BV112" s="788">
        <f t="shared" si="130"/>
        <v>0.11745227463199547</v>
      </c>
      <c r="BW112" s="61">
        <f>NPV(realdiscrt3,BV$91:BV112)/(1+realdiscrt3)^-Half_Year</f>
        <v>5.6662624303563769</v>
      </c>
      <c r="BX112" s="788">
        <f t="shared" si="131"/>
        <v>8.5926018459284131E-2</v>
      </c>
      <c r="BY112" s="61">
        <f>NPV(realdiscrt3,BX$91:BX112)/(1+realdiscrt3)^-Half_Year</f>
        <v>4.9747918454392934</v>
      </c>
      <c r="BZ112" s="788">
        <f t="shared" si="132"/>
        <v>0.11156462384716534</v>
      </c>
      <c r="CA112" s="61">
        <f>NPV(realdiscrt3,BZ$91:BZ112)/(1+realdiscrt3)^-Half_Year</f>
        <v>5.5371276130259925</v>
      </c>
      <c r="CB112" s="788">
        <f t="shared" si="133"/>
        <v>0.17866167388146653</v>
      </c>
      <c r="CC112" s="61">
        <f>NPV(realdiscrt3,CB$91:CB112)/(1+realdiscrt3)^-Half_Year</f>
        <v>7.0087782961663692</v>
      </c>
      <c r="CD112" s="624">
        <f t="shared" si="134"/>
        <v>0.11660160704924855</v>
      </c>
      <c r="CE112" s="61">
        <f>NPV(realdiscrt3,CD$91:CD112)/(1+realdiscrt3)^-Half_Year</f>
        <v>5.6476045977298321</v>
      </c>
      <c r="CF112" s="788">
        <f t="shared" si="135"/>
        <v>0.14372185625492781</v>
      </c>
      <c r="CG112" s="61">
        <f>NPV(realdiscrt3,CF$91:CF112)/(1+realdiscrt3)^-Half_Year</f>
        <v>6.2424375039465998</v>
      </c>
      <c r="CH112" s="634">
        <f t="shared" si="136"/>
        <v>1.2357164001387372E-3</v>
      </c>
      <c r="CI112" s="61">
        <f>NPV(realdiscrt3,CH$91:CH112)/(1+realdiscrt3)^-Half_Year</f>
        <v>4.0206027015485889E-2</v>
      </c>
      <c r="CJ112" s="634">
        <f t="shared" si="137"/>
        <v>1.3312995585695675E-3</v>
      </c>
      <c r="CK112" s="61">
        <f>NPV(realdiscrt3,CJ$91:CJ112)/(1+realdiscrt3)^-Half_Year</f>
        <v>5.0842372630466218E-2</v>
      </c>
    </row>
    <row r="113" spans="1:89">
      <c r="A113" s="56">
        <f t="shared" si="139"/>
        <v>23</v>
      </c>
      <c r="B113" s="56">
        <f t="shared" si="138"/>
        <v>2040</v>
      </c>
      <c r="C113" s="62">
        <f t="shared" si="96"/>
        <v>0.13907499466907197</v>
      </c>
      <c r="D113" s="57">
        <f>NPV(realdiscrt3,C$91:C113)/(1+realdiscrt3)^-Half_Year</f>
        <v>2.1165624418573756</v>
      </c>
      <c r="E113" s="62">
        <f t="shared" si="97"/>
        <v>0.12944847802681242</v>
      </c>
      <c r="F113" s="58">
        <f>NPV(realdiscrt3,E$91:E113)/(1+realdiscrt3)^-Half_Year</f>
        <v>1.9500941618349354</v>
      </c>
      <c r="G113" s="62">
        <f t="shared" si="98"/>
        <v>0.16703988997325889</v>
      </c>
      <c r="H113" s="57">
        <f>NPV(realdiscrt3,G$91:G113)/(1+realdiscrt3)^-Half_Year</f>
        <v>2.2633514701118584</v>
      </c>
      <c r="I113" s="62">
        <f t="shared" si="99"/>
        <v>0.11994261648163711</v>
      </c>
      <c r="J113" s="59">
        <f>NPV(realdiscrt3,I$91:I113)/(1+realdiscrt3)^-Half_Year</f>
        <v>1.7370310486133733</v>
      </c>
      <c r="K113" s="63">
        <f t="shared" si="100"/>
        <v>186.64227093630012</v>
      </c>
      <c r="L113" s="60">
        <f>NPV(realdiscrt3,K$91:K113)/(1+realdiscrt3)^-Half_Year</f>
        <v>3813.0725790092706</v>
      </c>
      <c r="M113" s="63">
        <f t="shared" si="101"/>
        <v>0</v>
      </c>
      <c r="N113" s="60">
        <f>NPV(realdiscrt3,M$91:M113)/(1+realdiscrt3)^-Half_Year</f>
        <v>0</v>
      </c>
      <c r="O113" s="63">
        <f t="shared" si="102"/>
        <v>10.739952210274792</v>
      </c>
      <c r="P113" s="60">
        <f>NPV(realdiscrt3,O$91:O113)/(1+realdiscrt3)^-Half_Year</f>
        <v>234.95637702357121</v>
      </c>
      <c r="Q113" s="63">
        <f t="shared" si="103"/>
        <v>84.296373954599773</v>
      </c>
      <c r="R113" s="60">
        <f>NPV(realdiscrt3,Q$91:Q113)/(1+realdiscrt3)^-Half_Year</f>
        <v>1844.1395485585815</v>
      </c>
      <c r="S113" s="63">
        <f t="shared" si="104"/>
        <v>26.119690351143497</v>
      </c>
      <c r="T113" s="60">
        <f>NPV(realdiscrt3,S$91:S113)/(1+realdiscrt3)^-Half_Year</f>
        <v>494.56320112418558</v>
      </c>
      <c r="U113" s="63">
        <f t="shared" si="105"/>
        <v>24.329168945606646</v>
      </c>
      <c r="V113" s="60">
        <f>NPV(realdiscrt3,U$91:U113)/(1+realdiscrt3)^-Half_Year</f>
        <v>456.96079779121897</v>
      </c>
      <c r="W113" s="624">
        <f t="shared" si="106"/>
        <v>23.817354945223819</v>
      </c>
      <c r="X113" s="60">
        <f>NPV(realdiscrt3,W$91:W113)/(1+realdiscrt3)^-Half_Year</f>
        <v>447.04988995243644</v>
      </c>
      <c r="Y113" s="624">
        <f t="shared" si="107"/>
        <v>10.850382367421716</v>
      </c>
      <c r="Z113" s="60">
        <f>NPV(realdiscrt3,Y$91:Y113)/(1+realdiscrt3)^-Half_Year</f>
        <v>201.45644785902471</v>
      </c>
      <c r="AA113" s="63">
        <f t="shared" si="108"/>
        <v>10.596834010158393</v>
      </c>
      <c r="AB113" s="60">
        <f>NPV(realdiscrt3,AA$91:AA113)/(1+realdiscrt3)^-Half_Year</f>
        <v>196.04660409452558</v>
      </c>
      <c r="AC113" s="63">
        <f t="shared" si="109"/>
        <v>11.008363494676585</v>
      </c>
      <c r="AD113" s="60">
        <f>NPV(realdiscrt3,AC$91:AC113)/(1+realdiscrt3)^-Half_Year</f>
        <v>205.35892848019387</v>
      </c>
      <c r="AE113" s="63">
        <f t="shared" si="110"/>
        <v>9.3710744293547741</v>
      </c>
      <c r="AF113" s="60">
        <f>NPV(realdiscrt3,AE$91:AE113)/(1+realdiscrt3)^-Half_Year</f>
        <v>168.14594494852676</v>
      </c>
      <c r="AG113" s="63">
        <f t="shared" si="111"/>
        <v>9.5537351876189067</v>
      </c>
      <c r="AH113" s="60">
        <f>NPV(realdiscrt3,AG$91:AG113)/(1+realdiscrt3)^-Half_Year</f>
        <v>172.30682955622297</v>
      </c>
      <c r="AI113" s="63">
        <f t="shared" si="112"/>
        <v>10.377149771788103</v>
      </c>
      <c r="AJ113" s="60">
        <f>NPV(realdiscrt3,AI$91:AI113)/(1+realdiscrt3)^-Half_Year</f>
        <v>191.20933403776044</v>
      </c>
      <c r="AK113" s="63">
        <f t="shared" si="113"/>
        <v>10.093845563373094</v>
      </c>
      <c r="AL113" s="60">
        <f>NPV(realdiscrt3,AK$91:AK113)/(1+realdiscrt3)^-Half_Year</f>
        <v>184.50934954540122</v>
      </c>
      <c r="AM113" s="63">
        <f t="shared" si="114"/>
        <v>22.128500197671094</v>
      </c>
      <c r="AN113" s="60">
        <f>NPV(realdiscrt3,AM$91:AM113)/(1+realdiscrt3)^-Half_Year</f>
        <v>447.94102792874486</v>
      </c>
      <c r="AO113" s="63"/>
      <c r="AP113" s="60"/>
      <c r="AQ113" s="63">
        <f t="shared" si="115"/>
        <v>1.0833179284981212E-2</v>
      </c>
      <c r="AR113" s="60">
        <f>NPV(realdiscrt3,AQ$91:AQ113)/(1+realdiscrt3)^-Half_Year</f>
        <v>0.23699589221736983</v>
      </c>
      <c r="AS113" s="63">
        <f t="shared" si="116"/>
        <v>4.5379702334816434E-3</v>
      </c>
      <c r="AT113" s="60">
        <f>NPV(realdiscrt3,AS$91:AS113)/(1+realdiscrt3)^-Half_Year</f>
        <v>9.9276516712952498E-2</v>
      </c>
      <c r="AU113" s="63">
        <f t="shared" si="117"/>
        <v>6.2952090514995698E-3</v>
      </c>
      <c r="AV113" s="60">
        <f>NPV(realdiscrt3,AU$91:AU113)/(1+realdiscrt3)^-Half_Year</f>
        <v>0.1377193755044174</v>
      </c>
      <c r="AW113" s="63">
        <v>1</v>
      </c>
      <c r="AX113" s="60">
        <f>NPV(realdiscrt3,AW$91:AW113)/(1+realdiscrt3)^-Half_Year</f>
        <v>21.876854982538106</v>
      </c>
      <c r="AY113" s="63">
        <f t="shared" si="118"/>
        <v>0</v>
      </c>
      <c r="AZ113" s="60">
        <f>NPV(realdiscrt3,AY$91:AY113)/(1+realdiscrt3)^-Half_Year</f>
        <v>0</v>
      </c>
      <c r="BA113" s="115">
        <f t="shared" si="119"/>
        <v>1.0021975853094038</v>
      </c>
      <c r="BB113" s="74">
        <f t="shared" si="120"/>
        <v>0</v>
      </c>
      <c r="BC113" s="59">
        <f>NPV(realdiscrt3,BB$91:BB113)/(1+realdiscrt3)^-Half_Year</f>
        <v>1.0547347623195183E-2</v>
      </c>
      <c r="BD113" s="74">
        <f t="shared" si="121"/>
        <v>0</v>
      </c>
      <c r="BE113" s="59">
        <f>NPV(realdiscrt3,BD$91:BD113)/(1+realdiscrt3)^-Half_Year</f>
        <v>5.1847026672568524E-3</v>
      </c>
      <c r="BF113" s="74">
        <f t="shared" si="122"/>
        <v>0</v>
      </c>
      <c r="BG113" s="59">
        <f>NPV(realdiscrt3,BF$91:BF113)/(1+realdiscrt3)^-Half_Year</f>
        <v>0</v>
      </c>
      <c r="BH113" s="74">
        <f t="shared" si="123"/>
        <v>0</v>
      </c>
      <c r="BI113" s="59">
        <f>NPV(realdiscrt3,BH$91:BH113)/(1+realdiscrt3)^-Half_Year</f>
        <v>0</v>
      </c>
      <c r="BJ113" s="64">
        <f t="shared" si="124"/>
        <v>3.4361282634408609E-2</v>
      </c>
      <c r="BK113" s="61">
        <f>NPV(realdiscrt3,BJ$91:BJ113)/(1+realdiscrt3)^-Half_Year</f>
        <v>0.84406953748697733</v>
      </c>
      <c r="BL113" s="64">
        <f t="shared" si="125"/>
        <v>3.3956635537634415E-2</v>
      </c>
      <c r="BM113" s="61">
        <f>NPV(realdiscrt3,BL$91:BL113)/(1+realdiscrt3)^-Half_Year</f>
        <v>0.83412956256073234</v>
      </c>
      <c r="BN113" s="64">
        <f t="shared" si="126"/>
        <v>3.6620562258064523E-2</v>
      </c>
      <c r="BO113" s="61">
        <f>NPV(realdiscrt3,BN$91:BN113)/(1+realdiscrt3)^-Half_Year</f>
        <v>0.89956773082517894</v>
      </c>
      <c r="BP113" s="64">
        <f t="shared" si="127"/>
        <v>3.5069415053763452E-2</v>
      </c>
      <c r="BQ113" s="61">
        <f>NPV(realdiscrt3,BP$91:BP113)/(1+realdiscrt3)^-Half_Year</f>
        <v>0.861464493607906</v>
      </c>
      <c r="BR113" s="64">
        <f t="shared" si="128"/>
        <v>0.14005407115292715</v>
      </c>
      <c r="BS113" s="61">
        <f>NPV(realdiscrt3,BR$91:BR113)/(1+realdiscrt3)^-Half_Year</f>
        <v>3.0639426043266607</v>
      </c>
      <c r="BT113" s="624">
        <f t="shared" si="129"/>
        <v>0.21481504614821031</v>
      </c>
      <c r="BU113" s="61">
        <f>NPV(realdiscrt3,BT$91:BT113)/(1+realdiscrt3)^-Half_Year</f>
        <v>7.996345601836703</v>
      </c>
      <c r="BV113" s="788">
        <f t="shared" si="130"/>
        <v>0.11745227463199547</v>
      </c>
      <c r="BW113" s="61">
        <f>NPV(realdiscrt3,BV$91:BV113)/(1+realdiscrt3)^-Half_Year</f>
        <v>5.7726670763118895</v>
      </c>
      <c r="BX113" s="788">
        <f t="shared" si="131"/>
        <v>8.5926018459284131E-2</v>
      </c>
      <c r="BY113" s="61">
        <f>NPV(realdiscrt3,BX$91:BX113)/(1+realdiscrt3)^-Half_Year</f>
        <v>5.0526356130561716</v>
      </c>
      <c r="BZ113" s="788">
        <f t="shared" si="132"/>
        <v>0.11156462384716534</v>
      </c>
      <c r="CA113" s="61">
        <f>NPV(realdiscrt3,BZ$91:BZ113)/(1+realdiscrt3)^-Half_Year</f>
        <v>5.6381984040243962</v>
      </c>
      <c r="CB113" s="788">
        <f t="shared" si="133"/>
        <v>0.17866167388146653</v>
      </c>
      <c r="CC113" s="61">
        <f>NPV(realdiscrt3,CB$91:CB113)/(1+realdiscrt3)^-Half_Year</f>
        <v>7.1706349499837652</v>
      </c>
      <c r="CD113" s="624">
        <f t="shared" si="134"/>
        <v>0.11660160704924855</v>
      </c>
      <c r="CE113" s="61">
        <f>NPV(realdiscrt3,CD$91:CD113)/(1+realdiscrt3)^-Half_Year</f>
        <v>5.7532385903859371</v>
      </c>
      <c r="CF113" s="788">
        <f t="shared" si="135"/>
        <v>0.14372185625492781</v>
      </c>
      <c r="CG113" s="61">
        <f>NPV(realdiscrt3,CF$91:CF113)/(1+realdiscrt3)^-Half_Year</f>
        <v>6.3726407995301875</v>
      </c>
      <c r="CH113" s="634">
        <f t="shared" si="136"/>
        <v>1.2357164001387372E-3</v>
      </c>
      <c r="CI113" s="61">
        <f>NPV(realdiscrt3,CH$91:CH113)/(1+realdiscrt3)^-Half_Year</f>
        <v>4.1325511218496487E-2</v>
      </c>
      <c r="CJ113" s="634">
        <f t="shared" si="137"/>
        <v>1.3312995585695675E-3</v>
      </c>
      <c r="CK113" s="61">
        <f>NPV(realdiscrt3,CJ$91:CJ113)/(1+realdiscrt3)^-Half_Year</f>
        <v>5.2048449384911079E-2</v>
      </c>
    </row>
    <row r="114" spans="1:89">
      <c r="A114" s="56">
        <f t="shared" si="139"/>
        <v>24</v>
      </c>
      <c r="B114" s="56">
        <f t="shared" si="138"/>
        <v>2041</v>
      </c>
      <c r="C114" s="62">
        <f t="shared" si="96"/>
        <v>0.14374417844364859</v>
      </c>
      <c r="D114" s="57">
        <f>NPV(realdiscrt3,C$91:C114)/(1+realdiscrt3)^-Half_Year</f>
        <v>2.2462154865948984</v>
      </c>
      <c r="E114" s="62">
        <f t="shared" si="97"/>
        <v>0.13417695404446214</v>
      </c>
      <c r="F114" s="58">
        <f>NPV(realdiscrt3,E$91:E114)/(1+realdiscrt3)^-Half_Year</f>
        <v>2.0711178499858329</v>
      </c>
      <c r="G114" s="62">
        <f t="shared" si="98"/>
        <v>0.17429916317275329</v>
      </c>
      <c r="H114" s="57">
        <f>NPV(realdiscrt3,G$91:G114)/(1+realdiscrt3)^-Half_Year</f>
        <v>2.4205642174051949</v>
      </c>
      <c r="I114" s="62">
        <f t="shared" si="99"/>
        <v>0.12466874126875763</v>
      </c>
      <c r="J114" s="59">
        <f>NPV(realdiscrt3,I$91:I114)/(1+realdiscrt3)^-Half_Year</f>
        <v>1.8494786069360596</v>
      </c>
      <c r="K114" s="63">
        <f t="shared" si="100"/>
        <v>186.64227093630012</v>
      </c>
      <c r="L114" s="60">
        <f>NPV(realdiscrt3,K$91:K114)/(1+realdiscrt3)^-Half_Year</f>
        <v>3981.4184484950629</v>
      </c>
      <c r="M114" s="63">
        <f t="shared" si="101"/>
        <v>0</v>
      </c>
      <c r="N114" s="60">
        <f>NPV(realdiscrt3,M$91:M114)/(1+realdiscrt3)^-Half_Year</f>
        <v>0</v>
      </c>
      <c r="O114" s="63">
        <f t="shared" si="102"/>
        <v>10.739952210274792</v>
      </c>
      <c r="P114" s="60">
        <f>NPV(realdiscrt3,O$91:O114)/(1+realdiscrt3)^-Half_Year</f>
        <v>244.64349979594488</v>
      </c>
      <c r="Q114" s="63">
        <f t="shared" si="103"/>
        <v>84.296373954599773</v>
      </c>
      <c r="R114" s="60">
        <f>NPV(realdiscrt3,Q$91:Q114)/(1+realdiscrt3)^-Half_Year</f>
        <v>1920.1724123717845</v>
      </c>
      <c r="S114" s="63">
        <f t="shared" si="104"/>
        <v>26.460842077522194</v>
      </c>
      <c r="T114" s="60">
        <f>NPV(realdiscrt3,S$91:S114)/(1+realdiscrt3)^-Half_Year</f>
        <v>518.43010675344158</v>
      </c>
      <c r="U114" s="63">
        <f t="shared" si="105"/>
        <v>24.664765705132794</v>
      </c>
      <c r="V114" s="60">
        <f>NPV(realdiscrt3,U$91:U114)/(1+realdiscrt3)^-Half_Year</f>
        <v>479.20769506408294</v>
      </c>
      <c r="W114" s="624">
        <f t="shared" si="106"/>
        <v>24.147051020191398</v>
      </c>
      <c r="X114" s="60">
        <f>NPV(realdiscrt3,W$91:W114)/(1+realdiscrt3)^-Half_Year</f>
        <v>468.82982372156255</v>
      </c>
      <c r="Y114" s="624">
        <f t="shared" si="107"/>
        <v>11.009597964536457</v>
      </c>
      <c r="Z114" s="60">
        <f>NPV(realdiscrt3,Y$91:Y114)/(1+realdiscrt3)^-Half_Year</f>
        <v>211.38678321516412</v>
      </c>
      <c r="AA114" s="63">
        <f t="shared" si="108"/>
        <v>10.755831824260106</v>
      </c>
      <c r="AB114" s="60">
        <f>NPV(realdiscrt3,AA$91:AA114)/(1+realdiscrt3)^-Half_Year</f>
        <v>205.74804981426826</v>
      </c>
      <c r="AC114" s="63">
        <f t="shared" si="109"/>
        <v>11.165214578561953</v>
      </c>
      <c r="AD114" s="60">
        <f>NPV(realdiscrt3,AC$91:AC114)/(1+realdiscrt3)^-Half_Year</f>
        <v>215.42962547072156</v>
      </c>
      <c r="AE114" s="63">
        <f t="shared" si="110"/>
        <v>9.5380409852817589</v>
      </c>
      <c r="AF114" s="60">
        <f>NPV(realdiscrt3,AE$91:AE114)/(1+realdiscrt3)^-Half_Year</f>
        <v>176.74897894936353</v>
      </c>
      <c r="AG114" s="63">
        <f t="shared" si="111"/>
        <v>9.7195414494261101</v>
      </c>
      <c r="AH114" s="60">
        <f>NPV(realdiscrt3,AG$91:AG114)/(1+realdiscrt3)^-Half_Year</f>
        <v>181.07357166720638</v>
      </c>
      <c r="AI114" s="63">
        <f t="shared" si="112"/>
        <v>10.536702871503671</v>
      </c>
      <c r="AJ114" s="60">
        <f>NPV(realdiscrt3,AI$91:AI114)/(1+realdiscrt3)^-Half_Year</f>
        <v>200.71313185118353</v>
      </c>
      <c r="AK114" s="63">
        <f t="shared" si="113"/>
        <v>10.256595022178429</v>
      </c>
      <c r="AL114" s="60">
        <f>NPV(realdiscrt3,AK$91:AK114)/(1+realdiscrt3)^-Half_Year</f>
        <v>193.76049827130572</v>
      </c>
      <c r="AM114" s="63">
        <f t="shared" si="114"/>
        <v>22.279611507959721</v>
      </c>
      <c r="AN114" s="60">
        <f>NPV(realdiscrt3,AM$91:AM114)/(1+realdiscrt3)^-Half_Year</f>
        <v>468.03658587656486</v>
      </c>
      <c r="AO114" s="63"/>
      <c r="AP114" s="60"/>
      <c r="AQ114" s="63">
        <f t="shared" si="115"/>
        <v>1.0833179284981212E-2</v>
      </c>
      <c r="AR114" s="60">
        <f>NPV(realdiscrt3,AQ$91:AQ114)/(1+realdiscrt3)^-Half_Year</f>
        <v>0.24676710308443037</v>
      </c>
      <c r="AS114" s="63">
        <f t="shared" si="116"/>
        <v>4.5379702334816434E-3</v>
      </c>
      <c r="AT114" s="60">
        <f>NPV(realdiscrt3,AS$91:AS114)/(1+realdiscrt3)^-Half_Year</f>
        <v>0.10336963313734941</v>
      </c>
      <c r="AU114" s="63">
        <f t="shared" si="117"/>
        <v>6.2952090514995698E-3</v>
      </c>
      <c r="AV114" s="60">
        <f>NPV(realdiscrt3,AU$91:AU114)/(1+realdiscrt3)^-Half_Year</f>
        <v>0.143397469947081</v>
      </c>
      <c r="AW114" s="63">
        <v>1</v>
      </c>
      <c r="AX114" s="60">
        <f>NPV(realdiscrt3,AW$91:AW114)/(1+realdiscrt3)^-Half_Year</f>
        <v>22.778825734615204</v>
      </c>
      <c r="AY114" s="63">
        <f t="shared" si="118"/>
        <v>0</v>
      </c>
      <c r="AZ114" s="60">
        <f>NPV(realdiscrt3,AY$91:AY114)/(1+realdiscrt3)^-Half_Year</f>
        <v>0</v>
      </c>
      <c r="BA114" s="115">
        <f t="shared" si="119"/>
        <v>1.0021975853094038</v>
      </c>
      <c r="BB114" s="74">
        <f t="shared" si="120"/>
        <v>0</v>
      </c>
      <c r="BC114" s="59">
        <f>NPV(realdiscrt3,BB$91:BB114)/(1+realdiscrt3)^-Half_Year</f>
        <v>1.0547347623195183E-2</v>
      </c>
      <c r="BD114" s="74">
        <f t="shared" si="121"/>
        <v>0</v>
      </c>
      <c r="BE114" s="59">
        <f>NPV(realdiscrt3,BD$91:BD114)/(1+realdiscrt3)^-Half_Year</f>
        <v>5.1847026672568524E-3</v>
      </c>
      <c r="BF114" s="74">
        <f t="shared" si="122"/>
        <v>0</v>
      </c>
      <c r="BG114" s="59">
        <f>NPV(realdiscrt3,BF$91:BF114)/(1+realdiscrt3)^-Half_Year</f>
        <v>0</v>
      </c>
      <c r="BH114" s="74">
        <f t="shared" si="123"/>
        <v>0</v>
      </c>
      <c r="BI114" s="59">
        <f>NPV(realdiscrt3,BH$91:BH114)/(1+realdiscrt3)^-Half_Year</f>
        <v>0</v>
      </c>
      <c r="BJ114" s="64">
        <f t="shared" si="124"/>
        <v>3.4361282634408609E-2</v>
      </c>
      <c r="BK114" s="61">
        <f>NPV(realdiscrt3,BJ$91:BJ114)/(1+realdiscrt3)^-Half_Year</f>
        <v>0.87506240942706848</v>
      </c>
      <c r="BL114" s="64">
        <f t="shared" si="125"/>
        <v>3.3956635537634415E-2</v>
      </c>
      <c r="BM114" s="61">
        <f>NPV(realdiscrt3,BL$91:BL114)/(1+realdiscrt3)^-Half_Year</f>
        <v>0.86475745465462028</v>
      </c>
      <c r="BN114" s="64">
        <f t="shared" si="126"/>
        <v>3.6620562258064523E-2</v>
      </c>
      <c r="BO114" s="61">
        <f>NPV(realdiscrt3,BN$91:BN114)/(1+realdiscrt3)^-Half_Year</f>
        <v>0.93259840690657159</v>
      </c>
      <c r="BP114" s="64">
        <f t="shared" si="127"/>
        <v>3.5069415053763452E-2</v>
      </c>
      <c r="BQ114" s="61">
        <f>NPV(realdiscrt3,BP$91:BP114)/(1+realdiscrt3)^-Half_Year</f>
        <v>0.8930960802788529</v>
      </c>
      <c r="BR114" s="64">
        <f t="shared" si="128"/>
        <v>0.14005407115292715</v>
      </c>
      <c r="BS114" s="61">
        <f>NPV(realdiscrt3,BR$91:BR114)/(1+realdiscrt3)^-Half_Year</f>
        <v>3.1902672802159255</v>
      </c>
      <c r="BT114" s="624">
        <f t="shared" si="129"/>
        <v>0.21481504614821031</v>
      </c>
      <c r="BU114" s="61">
        <f>NPV(realdiscrt3,BT$91:BT114)/(1+realdiscrt3)^-Half_Year</f>
        <v>8.1901024905684796</v>
      </c>
      <c r="BV114" s="788">
        <f t="shared" si="130"/>
        <v>0.11745227463199547</v>
      </c>
      <c r="BW114" s="61">
        <f>NPV(realdiscrt3,BV$91:BV114)/(1+realdiscrt3)^-Half_Year</f>
        <v>5.8786055927948766</v>
      </c>
      <c r="BX114" s="788">
        <f t="shared" si="131"/>
        <v>8.5926018459284131E-2</v>
      </c>
      <c r="BY114" s="61">
        <f>NPV(realdiscrt3,BX$91:BX114)/(1+realdiscrt3)^-Half_Year</f>
        <v>5.1301383685488826</v>
      </c>
      <c r="BZ114" s="788">
        <f t="shared" si="132"/>
        <v>0.11156462384716534</v>
      </c>
      <c r="CA114" s="61">
        <f>NPV(realdiscrt3,BZ$91:BZ114)/(1+realdiscrt3)^-Half_Year</f>
        <v>5.738826431701022</v>
      </c>
      <c r="CB114" s="788">
        <f t="shared" si="133"/>
        <v>0.17866167388146653</v>
      </c>
      <c r="CC114" s="61">
        <f>NPV(realdiscrt3,CB$91:CB114)/(1+realdiscrt3)^-Half_Year</f>
        <v>7.3317825543419843</v>
      </c>
      <c r="CD114" s="624">
        <f t="shared" si="134"/>
        <v>0.11660160704924855</v>
      </c>
      <c r="CE114" s="61">
        <f>NPV(realdiscrt3,CD$91:CD114)/(1+realdiscrt3)^-Half_Year</f>
        <v>5.8584098295895464</v>
      </c>
      <c r="CF114" s="788">
        <f t="shared" si="135"/>
        <v>0.14372185625492781</v>
      </c>
      <c r="CG114" s="61">
        <f>NPV(realdiscrt3,CF$91:CF114)/(1+realdiscrt3)^-Half_Year</f>
        <v>6.5022737103063619</v>
      </c>
      <c r="CH114" s="634">
        <f t="shared" si="136"/>
        <v>1.2357164001387372E-3</v>
      </c>
      <c r="CI114" s="61">
        <f>NPV(realdiscrt3,CH$91:CH114)/(1+realdiscrt3)^-Half_Year</f>
        <v>4.2440091269283629E-2</v>
      </c>
      <c r="CJ114" s="634">
        <f t="shared" si="137"/>
        <v>1.3312995585695675E-3</v>
      </c>
      <c r="CK114" s="61">
        <f>NPV(realdiscrt3,CJ$91:CJ114)/(1+realdiscrt3)^-Half_Year</f>
        <v>5.3249242648993979E-2</v>
      </c>
    </row>
    <row r="115" spans="1:89" ht="13.5" thickBot="1">
      <c r="A115" s="56">
        <f>A114+1</f>
        <v>25</v>
      </c>
      <c r="B115" s="56">
        <f t="shared" si="138"/>
        <v>2042</v>
      </c>
      <c r="C115" s="65">
        <f t="shared" si="96"/>
        <v>0.14858453235133964</v>
      </c>
      <c r="D115" s="66">
        <f>NPV(realdiscrt3,C$91:C115)/(1+realdiscrt3)^-Half_Year</f>
        <v>2.3796472890560314</v>
      </c>
      <c r="E115" s="65">
        <f t="shared" si="97"/>
        <v>0.13909535890397703</v>
      </c>
      <c r="F115" s="67">
        <f>NPV(realdiscrt3,E$91:E115)/(1+realdiscrt3)^-Half_Year</f>
        <v>2.1960281899709524</v>
      </c>
      <c r="G115" s="65">
        <f t="shared" si="98"/>
        <v>0.18189779794084818</v>
      </c>
      <c r="H115" s="66">
        <f>NPV(realdiscrt3,G$91:G115)/(1+realdiscrt3)^-Half_Year</f>
        <v>2.5839119808558868</v>
      </c>
      <c r="I115" s="65">
        <f t="shared" si="99"/>
        <v>0.12960130468113801</v>
      </c>
      <c r="J115" s="68">
        <f>NPV(realdiscrt3,I$91:I115)/(1+realdiscrt3)^-Half_Year</f>
        <v>1.9658631014137768</v>
      </c>
      <c r="K115" s="69">
        <f t="shared" si="100"/>
        <v>186.64227093630012</v>
      </c>
      <c r="L115" s="70">
        <f>NPV(realdiscrt3,K$91:K115)/(1+realdiscrt3)^-Half_Year</f>
        <v>4149.0268410535973</v>
      </c>
      <c r="M115" s="69">
        <f t="shared" si="101"/>
        <v>0</v>
      </c>
      <c r="N115" s="70">
        <f>NPV(realdiscrt3,M$91:M115)/(1+realdiscrt3)^-Half_Year</f>
        <v>0</v>
      </c>
      <c r="O115" s="69">
        <f t="shared" si="102"/>
        <v>10.739952210274792</v>
      </c>
      <c r="P115" s="70">
        <f>NPV(realdiscrt3,O$91:O115)/(1+realdiscrt3)^-Half_Year</f>
        <v>254.288185949244</v>
      </c>
      <c r="Q115" s="69">
        <f t="shared" si="103"/>
        <v>84.296373954599773</v>
      </c>
      <c r="R115" s="70">
        <f>NPV(realdiscrt3,Q$91:Q115)/(1+realdiscrt3)^-Half_Year</f>
        <v>1995.8721971320417</v>
      </c>
      <c r="S115" s="69">
        <f t="shared" si="104"/>
        <v>26.806449618607974</v>
      </c>
      <c r="T115" s="70">
        <f>NPV(realdiscrt3,S$91:S115)/(1+realdiscrt3)^-Half_Year</f>
        <v>542.50282033668805</v>
      </c>
      <c r="U115" s="69">
        <f t="shared" si="105"/>
        <v>25.004993263837438</v>
      </c>
      <c r="V115" s="70">
        <f>NPV(realdiscrt3,U$91:U115)/(1+realdiscrt3)^-Half_Year</f>
        <v>501.66266577283068</v>
      </c>
      <c r="W115" s="716">
        <f t="shared" si="106"/>
        <v>24.481313862517737</v>
      </c>
      <c r="X115" s="70">
        <f>NPV(realdiscrt3,W$91:W115)/(1+realdiscrt3)^-Half_Year</f>
        <v>490.81452013375946</v>
      </c>
      <c r="Y115" s="716">
        <f t="shared" si="107"/>
        <v>11.171149848567755</v>
      </c>
      <c r="Z115" s="70">
        <f>NPV(realdiscrt3,Y$91:Y115)/(1+realdiscrt3)^-Half_Year</f>
        <v>221.41869324152674</v>
      </c>
      <c r="AA115" s="69">
        <f t="shared" si="108"/>
        <v>10.91721528532627</v>
      </c>
      <c r="AB115" s="70">
        <f>NPV(realdiscrt3,AA$91:AA115)/(1+realdiscrt3)^-Half_Year</f>
        <v>215.55192165964195</v>
      </c>
      <c r="AC115" s="69">
        <f t="shared" si="109"/>
        <v>11.324300532555663</v>
      </c>
      <c r="AD115" s="70">
        <f>NPV(realdiscrt3,AC$91:AC115)/(1+realdiscrt3)^-Half_Year</f>
        <v>225.5990677926016</v>
      </c>
      <c r="AE115" s="69">
        <f t="shared" si="110"/>
        <v>9.7079824221584445</v>
      </c>
      <c r="AF115" s="70">
        <f>NPV(realdiscrt3,AE$91:AE115)/(1+realdiscrt3)^-Half_Year</f>
        <v>185.46693614417185</v>
      </c>
      <c r="AG115" s="69">
        <f t="shared" si="111"/>
        <v>9.888225299518373</v>
      </c>
      <c r="AH115" s="70">
        <f>NPV(realdiscrt3,AG$91:AG115)/(1+realdiscrt3)^-Half_Year</f>
        <v>189.95339047456835</v>
      </c>
      <c r="AI115" s="69">
        <f t="shared" si="112"/>
        <v>10.698709168117105</v>
      </c>
      <c r="AJ115" s="70">
        <f>NPV(realdiscrt3,AI$91:AI115)/(1+realdiscrt3)^-Half_Year</f>
        <v>210.32078094977049</v>
      </c>
      <c r="AK115" s="69">
        <f t="shared" si="113"/>
        <v>10.421968593486293</v>
      </c>
      <c r="AL115" s="70">
        <f>NPV(realdiscrt3,AK$91:AK115)/(1+realdiscrt3)^-Half_Year</f>
        <v>203.11962894672459</v>
      </c>
      <c r="AM115" s="69">
        <f t="shared" si="114"/>
        <v>22.431754728585389</v>
      </c>
      <c r="AN115" s="70">
        <f>NPV(realdiscrt3,AM$91:AM115)/(1+realdiscrt3)^-Half_Year</f>
        <v>488.18073828890175</v>
      </c>
      <c r="AO115" s="69"/>
      <c r="AP115" s="70"/>
      <c r="AQ115" s="69">
        <f t="shared" si="115"/>
        <v>1.0833179284981212E-2</v>
      </c>
      <c r="AR115" s="70">
        <f>NPV(realdiscrt3,AQ$91:AQ115)/(1+realdiscrt3)^-Half_Year</f>
        <v>0.25649550896561368</v>
      </c>
      <c r="AS115" s="69">
        <f t="shared" si="116"/>
        <v>4.5379702334816434E-3</v>
      </c>
      <c r="AT115" s="70">
        <f>NPV(realdiscrt3,AS$91:AS115)/(1+realdiscrt3)^-Half_Year</f>
        <v>0.10744481874507235</v>
      </c>
      <c r="AU115" s="69">
        <f t="shared" si="117"/>
        <v>6.2952090514995698E-3</v>
      </c>
      <c r="AV115" s="70">
        <f>NPV(realdiscrt3,AU$91:AU115)/(1+realdiscrt3)^-Half_Year</f>
        <v>0.1490506902205414</v>
      </c>
      <c r="AW115" s="69">
        <v>1</v>
      </c>
      <c r="AX115" s="70">
        <f>NPV(realdiscrt3,AW$91:AW115)/(1+realdiscrt3)^-Half_Year</f>
        <v>23.676845201040031</v>
      </c>
      <c r="AY115" s="69">
        <f t="shared" si="118"/>
        <v>0</v>
      </c>
      <c r="AZ115" s="70">
        <f>NPV(realdiscrt3,AY$91:AY115)/(1+realdiscrt3)^-Half_Year</f>
        <v>0</v>
      </c>
      <c r="BA115" s="116">
        <f t="shared" si="119"/>
        <v>1.0021975853094038</v>
      </c>
      <c r="BB115" s="75">
        <f t="shared" si="120"/>
        <v>0</v>
      </c>
      <c r="BC115" s="68">
        <f>NPV(realdiscrt3,BB$91:BB115)/(1+realdiscrt3)^-Half_Year</f>
        <v>1.0547347623195183E-2</v>
      </c>
      <c r="BD115" s="75">
        <f t="shared" si="121"/>
        <v>0</v>
      </c>
      <c r="BE115" s="68">
        <f>NPV(realdiscrt3,BD$91:BD115)/(1+realdiscrt3)^-Half_Year</f>
        <v>5.1847026672568524E-3</v>
      </c>
      <c r="BF115" s="75">
        <f t="shared" si="122"/>
        <v>0</v>
      </c>
      <c r="BG115" s="68">
        <f>NPV(realdiscrt3,BF$91:BF115)/(1+realdiscrt3)^-Half_Year</f>
        <v>0</v>
      </c>
      <c r="BH115" s="75">
        <f t="shared" si="123"/>
        <v>0</v>
      </c>
      <c r="BI115" s="68">
        <f>NPV(realdiscrt3,BH$91:BH115)/(1+realdiscrt3)^-Half_Year</f>
        <v>0</v>
      </c>
      <c r="BJ115" s="71">
        <f t="shared" si="124"/>
        <v>3.4361282634408609E-2</v>
      </c>
      <c r="BK115" s="72">
        <f>NPV(realdiscrt3,BJ$91:BJ115)/(1+realdiscrt3)^-Half_Year</f>
        <v>0.90591951012409277</v>
      </c>
      <c r="BL115" s="71">
        <f t="shared" si="125"/>
        <v>3.3956635537634415E-2</v>
      </c>
      <c r="BM115" s="72">
        <f>NPV(realdiscrt3,BL$91:BL115)/(1+realdiscrt3)^-Half_Year</f>
        <v>0.89525117438170909</v>
      </c>
      <c r="BN115" s="71">
        <f t="shared" si="126"/>
        <v>3.6620562258064523E-2</v>
      </c>
      <c r="BO115" s="72">
        <f>NPV(realdiscrt3,BN$91:BN115)/(1+realdiscrt3)^-Half_Year</f>
        <v>0.96548438468573583</v>
      </c>
      <c r="BP115" s="71">
        <f t="shared" si="127"/>
        <v>3.5069415053763452E-2</v>
      </c>
      <c r="BQ115" s="72">
        <f>NPV(realdiscrt3,BP$91:BP115)/(1+realdiscrt3)^-Half_Year</f>
        <v>0.92458909767326436</v>
      </c>
      <c r="BR115" s="714">
        <f t="shared" si="128"/>
        <v>0.14005407115292715</v>
      </c>
      <c r="BS115" s="72">
        <f>NPV(realdiscrt3,BR$91:BR115)/(1+realdiscrt3)^-Half_Year</f>
        <v>3.3160385624633024</v>
      </c>
      <c r="BT115" s="716">
        <f t="shared" si="129"/>
        <v>0.21481504614821031</v>
      </c>
      <c r="BU115" s="72">
        <f>NPV(realdiscrt3,BT$91:BT115)/(1+realdiscrt3)^-Half_Year</f>
        <v>8.3830105836905204</v>
      </c>
      <c r="BV115" s="716">
        <f t="shared" si="130"/>
        <v>0.11745227463199547</v>
      </c>
      <c r="BW115" s="72">
        <f>NPV(realdiscrt3,BV$91:BV115)/(1+realdiscrt3)^-Half_Year</f>
        <v>5.984080021790283</v>
      </c>
      <c r="BX115" s="716">
        <f t="shared" si="131"/>
        <v>8.5926018459284131E-2</v>
      </c>
      <c r="BY115" s="72">
        <f>NPV(realdiscrt3,BX$91:BX115)/(1+realdiscrt3)^-Half_Year</f>
        <v>5.2073016057976993</v>
      </c>
      <c r="BZ115" s="716">
        <f t="shared" si="132"/>
        <v>0.11156462384716534</v>
      </c>
      <c r="CA115" s="72">
        <f>NPV(realdiscrt3,BZ$91:BZ115)/(1+realdiscrt3)^-Half_Year</f>
        <v>5.8390136356801392</v>
      </c>
      <c r="CB115" s="716">
        <f t="shared" si="133"/>
        <v>0.17866167388146653</v>
      </c>
      <c r="CC115" s="72">
        <f>NPV(realdiscrt3,CB$91:CB115)/(1+realdiscrt3)^-Half_Year</f>
        <v>7.4922242153915857</v>
      </c>
      <c r="CD115" s="716">
        <f t="shared" si="134"/>
        <v>0.11660160704924855</v>
      </c>
      <c r="CE115" s="72">
        <f>NPV(realdiscrt3,CD$91:CD115)/(1+realdiscrt3)^-Half_Year</f>
        <v>5.9631203425361887</v>
      </c>
      <c r="CF115" s="716">
        <f t="shared" si="135"/>
        <v>0.14372185625492781</v>
      </c>
      <c r="CG115" s="72">
        <f>NPV(realdiscrt3,CF$91:CF115)/(1+realdiscrt3)^-Half_Year</f>
        <v>6.6313387349739985</v>
      </c>
      <c r="CH115" s="771">
        <f t="shared" si="136"/>
        <v>1.2357164001387372E-3</v>
      </c>
      <c r="CI115" s="72">
        <f>NPV(realdiscrt3,CH$91:CH115)/(1+realdiscrt3)^-Half_Year</f>
        <v>4.3549788651588629E-2</v>
      </c>
      <c r="CJ115" s="772">
        <f t="shared" si="137"/>
        <v>1.3312995585695675E-3</v>
      </c>
      <c r="CK115" s="72">
        <f>NPV(realdiscrt3,CJ$91:CJ115)/(1+realdiscrt3)^-Half_Year</f>
        <v>5.4444775568232233E-2</v>
      </c>
    </row>
    <row r="117" spans="1:89" ht="15" customHeight="1">
      <c r="AW117" s="7"/>
      <c r="AX117" s="7"/>
      <c r="AY117" s="7"/>
      <c r="AZ117" s="7"/>
      <c r="BA117" s="7"/>
      <c r="BB117" s="7"/>
      <c r="BC117" s="7"/>
      <c r="BD117" s="7"/>
      <c r="BE117" s="7"/>
      <c r="BF117" s="7"/>
      <c r="BG117" s="7"/>
      <c r="BH117" s="7"/>
      <c r="BI117" s="7"/>
      <c r="BJ117" s="7"/>
      <c r="BK117" s="7"/>
      <c r="BL117" s="7"/>
      <c r="BM117" s="7"/>
      <c r="BN117" s="7"/>
      <c r="BO117" s="7"/>
      <c r="BP117" s="7"/>
      <c r="BQ117" s="7"/>
    </row>
    <row r="118" spans="1:89">
      <c r="AW118" s="9"/>
      <c r="AX118" s="9"/>
      <c r="AY118" s="9"/>
      <c r="AZ118" s="9"/>
      <c r="BA118" s="76"/>
      <c r="BB118" s="9"/>
      <c r="BC118" s="9"/>
      <c r="BD118" s="9"/>
      <c r="BE118" s="9"/>
      <c r="BF118" s="9"/>
      <c r="BG118" s="9"/>
      <c r="BH118" s="9"/>
      <c r="BI118" s="9"/>
      <c r="BJ118" s="9"/>
      <c r="BK118" s="9"/>
      <c r="BL118" s="9"/>
      <c r="BM118" s="9"/>
      <c r="BN118" s="9"/>
      <c r="BO118" s="9"/>
      <c r="BP118" s="9"/>
      <c r="BQ118" s="9"/>
      <c r="BR118" s="7"/>
      <c r="BS118" s="7"/>
      <c r="BT118" s="7"/>
      <c r="BU118" s="7"/>
      <c r="BV118" s="7"/>
      <c r="BW118" s="7"/>
      <c r="BX118" s="7"/>
      <c r="BY118" s="7"/>
      <c r="BZ118" s="7"/>
      <c r="CA118" s="7"/>
      <c r="CB118" s="7"/>
      <c r="CC118" s="7"/>
      <c r="CD118" s="7"/>
      <c r="CE118" s="7"/>
    </row>
    <row r="119" spans="1:89" ht="15" customHeight="1">
      <c r="AW119" s="1166"/>
      <c r="AX119" s="1166"/>
      <c r="AY119" s="1166"/>
      <c r="AZ119" s="1166"/>
      <c r="BA119" s="77"/>
      <c r="BB119" s="1166"/>
      <c r="BC119" s="1166"/>
      <c r="BD119" s="1166"/>
      <c r="BE119" s="1166"/>
      <c r="BF119" s="1166"/>
      <c r="BG119" s="1166"/>
      <c r="BH119" s="1166"/>
      <c r="BI119" s="1166"/>
      <c r="BJ119" s="1166"/>
      <c r="BK119" s="1166"/>
      <c r="BL119" s="1166"/>
      <c r="BM119" s="1166"/>
      <c r="BN119" s="1166"/>
      <c r="BO119" s="1166"/>
      <c r="BP119" s="1166"/>
      <c r="BQ119" s="1166"/>
      <c r="BR119" s="7"/>
      <c r="BS119" s="7"/>
      <c r="BT119" s="7"/>
      <c r="BU119" s="7"/>
      <c r="BV119" s="7"/>
      <c r="BW119" s="7"/>
      <c r="BX119" s="7"/>
      <c r="BY119" s="7"/>
      <c r="BZ119" s="7"/>
      <c r="CA119" s="7"/>
      <c r="CB119" s="7"/>
      <c r="CC119" s="7"/>
      <c r="CD119" s="7"/>
      <c r="CE119" s="7"/>
    </row>
    <row r="120" spans="1:89">
      <c r="A120" s="86"/>
      <c r="B120" s="86"/>
      <c r="C120" s="342"/>
      <c r="D120" s="1095" t="s">
        <v>304</v>
      </c>
      <c r="E120" s="1095"/>
      <c r="F120" s="1095"/>
      <c r="G120" s="1095"/>
      <c r="H120" s="1095"/>
      <c r="I120" s="1095"/>
      <c r="J120" s="1095"/>
      <c r="K120" s="1095"/>
      <c r="L120" s="1095"/>
      <c r="M120" s="1095"/>
      <c r="N120" s="1095"/>
      <c r="O120" s="1095"/>
      <c r="P120" s="1095"/>
      <c r="Q120" s="1095"/>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86"/>
      <c r="AT120" s="86"/>
      <c r="AU120" s="86"/>
      <c r="AV120" s="86"/>
      <c r="AW120" s="100"/>
      <c r="AX120" s="100"/>
      <c r="AY120" s="100"/>
      <c r="AZ120" s="100"/>
      <c r="BA120" s="1"/>
      <c r="BB120" s="100"/>
      <c r="BC120" s="100"/>
      <c r="BD120" s="100"/>
      <c r="BE120" s="100"/>
      <c r="BF120" s="100"/>
      <c r="BG120" s="100"/>
      <c r="BH120" s="100"/>
      <c r="BI120" s="100"/>
      <c r="BJ120" s="100"/>
      <c r="BK120" s="100"/>
      <c r="BL120" s="100"/>
      <c r="BM120" s="100"/>
      <c r="BN120" s="100"/>
      <c r="BO120" s="100"/>
      <c r="BP120" s="100"/>
      <c r="BQ120" s="100"/>
      <c r="BR120" s="7"/>
      <c r="BS120" s="7"/>
      <c r="BT120" s="7"/>
      <c r="BU120" s="7"/>
      <c r="BV120" s="7"/>
      <c r="BW120" s="7"/>
      <c r="BX120" s="7"/>
      <c r="BY120" s="7"/>
      <c r="BZ120" s="7"/>
      <c r="CA120" s="7"/>
      <c r="CB120" s="7"/>
      <c r="CC120" s="7"/>
      <c r="CD120" s="7"/>
      <c r="CE120" s="7"/>
    </row>
    <row r="121" spans="1:89" ht="51.75" customHeight="1">
      <c r="A121" s="23"/>
      <c r="B121" s="23"/>
      <c r="C121" s="343"/>
      <c r="D121" s="344" t="s">
        <v>670</v>
      </c>
      <c r="E121" s="345"/>
      <c r="F121" s="344"/>
      <c r="G121" s="344"/>
      <c r="H121" s="344"/>
      <c r="I121" s="344"/>
      <c r="J121" s="344"/>
      <c r="K121" s="344"/>
      <c r="L121" s="345"/>
      <c r="M121" s="345"/>
      <c r="N121" s="345"/>
      <c r="O121" s="345"/>
      <c r="P121" s="344" t="s">
        <v>305</v>
      </c>
      <c r="Q121" s="345"/>
      <c r="R121" s="345"/>
      <c r="S121" s="344"/>
      <c r="T121" s="344"/>
      <c r="U121" s="345"/>
      <c r="V121" s="345"/>
      <c r="W121" s="346" t="s">
        <v>306</v>
      </c>
      <c r="X121" s="345"/>
      <c r="Y121" s="347"/>
      <c r="Z121" s="347"/>
      <c r="AA121" s="347"/>
      <c r="AB121" s="344" t="s">
        <v>307</v>
      </c>
      <c r="AC121" s="344"/>
      <c r="AD121" s="344"/>
      <c r="AE121" s="344"/>
      <c r="AF121" s="344"/>
      <c r="AG121" s="344"/>
      <c r="AH121" s="344"/>
      <c r="AI121" s="344"/>
      <c r="AJ121" s="344"/>
      <c r="AK121" s="344"/>
      <c r="AL121" s="348"/>
      <c r="AM121" s="348"/>
      <c r="AN121" s="344" t="s">
        <v>308</v>
      </c>
      <c r="AO121" s="348"/>
      <c r="AP121" s="348"/>
      <c r="AQ121" s="348"/>
      <c r="AR121" s="348"/>
      <c r="AS121" s="23"/>
      <c r="AT121" s="23"/>
      <c r="AU121" s="23"/>
      <c r="AV121" s="23"/>
      <c r="AW121" s="80"/>
      <c r="AX121" s="79"/>
      <c r="AY121" s="80"/>
      <c r="AZ121" s="79"/>
      <c r="BA121" s="7"/>
      <c r="BB121" s="78"/>
      <c r="BC121" s="82"/>
      <c r="BD121" s="78"/>
      <c r="BE121" s="82"/>
      <c r="BF121" s="78"/>
      <c r="BG121" s="82"/>
      <c r="BH121" s="78"/>
      <c r="BI121" s="82"/>
      <c r="BJ121" s="81"/>
      <c r="BK121" s="83"/>
      <c r="BL121" s="81"/>
      <c r="BM121" s="83"/>
      <c r="BN121" s="81"/>
      <c r="BO121" s="83"/>
      <c r="BP121" s="81"/>
      <c r="BQ121" s="83"/>
      <c r="BR121" s="7"/>
      <c r="BS121" s="7"/>
      <c r="BT121" s="7"/>
      <c r="BU121" s="7"/>
      <c r="BV121" s="7"/>
      <c r="BW121" s="7"/>
      <c r="BX121" s="7"/>
      <c r="BY121" s="7"/>
      <c r="BZ121" s="7"/>
      <c r="CA121" s="7"/>
      <c r="CB121" s="7"/>
      <c r="CC121" s="7"/>
      <c r="CD121" s="7"/>
      <c r="CE121" s="7"/>
    </row>
    <row r="122" spans="1:89" ht="12.75" hidden="1" customHeight="1">
      <c r="A122" s="23"/>
      <c r="B122" s="23"/>
      <c r="C122" s="344"/>
      <c r="D122" s="345"/>
      <c r="E122" s="349" t="s">
        <v>309</v>
      </c>
      <c r="F122" s="350" t="s">
        <v>305</v>
      </c>
      <c r="G122" s="344"/>
      <c r="H122" s="344"/>
      <c r="I122" s="344"/>
      <c r="J122" s="344"/>
      <c r="K122" s="344"/>
      <c r="L122" s="344"/>
      <c r="M122" s="345"/>
      <c r="N122" s="345"/>
      <c r="O122" s="345"/>
      <c r="P122" s="344" t="s">
        <v>310</v>
      </c>
      <c r="Q122" s="344"/>
      <c r="R122" s="344"/>
      <c r="S122" s="344"/>
      <c r="T122" s="344"/>
      <c r="U122" s="344"/>
      <c r="V122" s="344"/>
      <c r="W122" s="344"/>
      <c r="X122" s="344"/>
      <c r="Y122" s="344"/>
      <c r="Z122" s="344"/>
      <c r="AA122" s="344"/>
      <c r="AB122" s="351" t="s">
        <v>311</v>
      </c>
      <c r="AC122" s="351" t="str">
        <f>P121</f>
        <v>MA</v>
      </c>
      <c r="AD122" s="344"/>
      <c r="AE122" s="344"/>
      <c r="AF122" s="344"/>
      <c r="AG122" s="344"/>
      <c r="AH122" s="344"/>
      <c r="AI122" s="344"/>
      <c r="AJ122" s="344"/>
      <c r="AK122" s="344"/>
      <c r="AL122" s="348"/>
      <c r="AM122" s="348"/>
      <c r="AN122" s="348"/>
      <c r="AO122" s="348"/>
      <c r="AP122" s="348"/>
      <c r="AQ122" s="348"/>
      <c r="AR122" s="348"/>
      <c r="AS122" s="23"/>
      <c r="AT122" s="23"/>
      <c r="AU122" s="23"/>
      <c r="AV122" s="23"/>
      <c r="AW122" s="80"/>
      <c r="AX122" s="79"/>
      <c r="AY122" s="80"/>
      <c r="AZ122" s="79"/>
      <c r="BA122" s="7"/>
      <c r="BB122" s="78"/>
      <c r="BC122" s="82"/>
      <c r="BD122" s="78"/>
      <c r="BE122" s="82"/>
      <c r="BF122" s="78"/>
      <c r="BG122" s="82"/>
      <c r="BH122" s="78"/>
      <c r="BI122" s="82"/>
      <c r="BJ122" s="81"/>
      <c r="BK122" s="83"/>
      <c r="BL122" s="81"/>
      <c r="BM122" s="83"/>
      <c r="BN122" s="81"/>
      <c r="BO122" s="83"/>
      <c r="BP122" s="81"/>
      <c r="BQ122" s="83"/>
      <c r="BR122" s="7"/>
      <c r="BS122" s="7"/>
      <c r="BT122" s="7"/>
      <c r="BU122" s="7"/>
      <c r="BV122" s="7"/>
      <c r="BW122" s="7"/>
      <c r="BX122" s="7"/>
      <c r="BY122" s="7"/>
      <c r="BZ122" s="7"/>
      <c r="CA122" s="7"/>
      <c r="CB122" s="7"/>
      <c r="CC122" s="7"/>
      <c r="CD122" s="7"/>
      <c r="CE122" s="7"/>
    </row>
    <row r="123" spans="1:89" ht="24" thickBot="1">
      <c r="A123" s="23"/>
      <c r="B123" s="23"/>
      <c r="C123" s="344"/>
      <c r="D123" s="345"/>
      <c r="E123" s="349"/>
      <c r="F123" s="350"/>
      <c r="G123" s="344"/>
      <c r="H123" s="344"/>
      <c r="I123" s="344"/>
      <c r="J123" s="344"/>
      <c r="K123" s="344"/>
      <c r="L123" s="344"/>
      <c r="M123" s="344"/>
      <c r="N123" s="344"/>
      <c r="O123" s="344"/>
      <c r="P123" s="344"/>
      <c r="Q123" s="345"/>
      <c r="R123" s="344"/>
      <c r="S123" s="344"/>
      <c r="T123" s="344"/>
      <c r="U123" s="344"/>
      <c r="V123" s="344"/>
      <c r="W123" s="344"/>
      <c r="X123" s="344"/>
      <c r="Y123" s="344"/>
      <c r="Z123" s="344"/>
      <c r="AA123" s="344"/>
      <c r="AB123" s="351"/>
      <c r="AC123" s="351"/>
      <c r="AD123" s="344"/>
      <c r="AE123" s="344"/>
      <c r="AF123" s="344"/>
      <c r="AG123" s="344"/>
      <c r="AH123" s="344"/>
      <c r="AI123" s="344"/>
      <c r="AJ123" s="344"/>
      <c r="AK123" s="344"/>
      <c r="AL123" s="348"/>
      <c r="AM123" s="348"/>
      <c r="AN123" s="348"/>
      <c r="AO123" s="348"/>
      <c r="AP123" s="348"/>
      <c r="AQ123" s="348"/>
      <c r="AR123" s="348"/>
      <c r="AS123" s="23"/>
      <c r="AT123" s="23"/>
      <c r="AU123" s="23"/>
      <c r="AV123" s="23"/>
      <c r="AW123" s="80"/>
      <c r="AX123" s="79"/>
      <c r="AY123" s="80"/>
      <c r="AZ123" s="79"/>
      <c r="BA123" s="7"/>
      <c r="BB123" s="78"/>
      <c r="BC123" s="82"/>
      <c r="BD123" s="78"/>
      <c r="BE123" s="82"/>
      <c r="BF123" s="78"/>
      <c r="BG123" s="82"/>
      <c r="BH123" s="78"/>
      <c r="BI123" s="82"/>
      <c r="BJ123" s="81"/>
      <c r="BK123" s="83"/>
      <c r="BL123" s="81"/>
      <c r="BM123" s="83"/>
      <c r="BN123" s="81"/>
      <c r="BO123" s="83"/>
      <c r="BP123" s="81"/>
      <c r="BQ123" s="83"/>
      <c r="BR123" s="7"/>
      <c r="BS123" s="7"/>
      <c r="BT123" s="7"/>
      <c r="BU123" s="7"/>
      <c r="BV123" s="7"/>
      <c r="BW123" s="7"/>
      <c r="BX123" s="7"/>
      <c r="BY123" s="7"/>
      <c r="BZ123" s="7"/>
      <c r="CA123" s="7"/>
      <c r="CB123" s="7"/>
      <c r="CC123" s="7"/>
      <c r="CD123" s="7"/>
      <c r="CE123" s="7"/>
    </row>
    <row r="124" spans="1:89" ht="24" thickBot="1">
      <c r="A124" s="23"/>
      <c r="B124" s="23"/>
      <c r="C124" s="345"/>
      <c r="D124" s="345"/>
      <c r="E124" s="439" t="s">
        <v>312</v>
      </c>
      <c r="F124" s="440"/>
      <c r="G124" s="440"/>
      <c r="H124" s="441"/>
      <c r="I124" s="345"/>
      <c r="J124" s="344"/>
      <c r="K124" s="344"/>
      <c r="L124" s="344"/>
      <c r="M124" s="344"/>
      <c r="N124" s="344"/>
      <c r="O124" s="344"/>
      <c r="P124" s="344"/>
      <c r="Q124" s="344"/>
      <c r="R124" s="344"/>
      <c r="S124" s="344"/>
      <c r="T124" s="344"/>
      <c r="U124" s="344"/>
      <c r="V124" s="344"/>
      <c r="W124" s="344"/>
      <c r="X124" s="344"/>
      <c r="Y124" s="344"/>
      <c r="Z124" s="344"/>
      <c r="AA124" s="344"/>
      <c r="AB124" s="345"/>
      <c r="AC124" s="345"/>
      <c r="AD124" s="344"/>
      <c r="AE124" s="344"/>
      <c r="AF124" s="344"/>
      <c r="AG124" s="344"/>
      <c r="AH124" s="344"/>
      <c r="AI124" s="344"/>
      <c r="AJ124" s="344"/>
      <c r="AK124" s="344"/>
      <c r="AL124" s="348"/>
      <c r="AM124" s="348"/>
      <c r="AN124" s="348"/>
      <c r="AO124" s="348"/>
      <c r="AP124" s="348"/>
      <c r="AQ124" s="348"/>
      <c r="AR124" s="348"/>
      <c r="AS124" s="23"/>
      <c r="AT124" s="23"/>
      <c r="AU124" s="23"/>
      <c r="AV124" s="23"/>
      <c r="AW124" s="80"/>
      <c r="AX124" s="79"/>
      <c r="AY124" s="80"/>
      <c r="AZ124" s="79"/>
      <c r="BA124" s="7"/>
      <c r="BB124" s="78"/>
      <c r="BC124" s="82"/>
      <c r="BD124" s="78"/>
      <c r="BE124" s="82"/>
      <c r="BF124" s="78"/>
      <c r="BG124" s="82"/>
      <c r="BH124" s="78"/>
      <c r="BI124" s="82"/>
      <c r="BJ124" s="81"/>
      <c r="BK124" s="83"/>
      <c r="BL124" s="81"/>
      <c r="BM124" s="83"/>
      <c r="BN124" s="81"/>
      <c r="BO124" s="83"/>
      <c r="BP124" s="81"/>
      <c r="BQ124" s="83"/>
      <c r="BR124" s="7"/>
      <c r="BS124" s="7"/>
      <c r="BT124" s="7"/>
      <c r="BU124" s="7"/>
      <c r="BV124" s="7"/>
      <c r="BW124" s="7"/>
      <c r="BX124" s="7"/>
      <c r="BY124" s="7"/>
      <c r="BZ124" s="7"/>
      <c r="CA124" s="7"/>
      <c r="CB124" s="7"/>
      <c r="CC124" s="7"/>
      <c r="CD124" s="7"/>
      <c r="CE124" s="7"/>
    </row>
    <row r="125" spans="1:89" ht="24" thickBot="1">
      <c r="A125" s="23"/>
      <c r="B125" s="23"/>
      <c r="C125" s="345"/>
      <c r="D125" s="348"/>
      <c r="E125" s="442" t="s">
        <v>313</v>
      </c>
      <c r="F125" s="443"/>
      <c r="G125" s="443"/>
      <c r="H125" s="444">
        <v>0.09</v>
      </c>
      <c r="I125" s="352"/>
      <c r="J125" s="344"/>
      <c r="K125" s="344"/>
      <c r="L125" s="353"/>
      <c r="M125" s="344"/>
      <c r="N125" s="353"/>
      <c r="O125" s="345"/>
      <c r="P125" s="344"/>
      <c r="Q125" s="344"/>
      <c r="R125" s="344"/>
      <c r="S125" s="344"/>
      <c r="T125" s="344"/>
      <c r="U125" s="344"/>
      <c r="V125" s="344"/>
      <c r="W125" s="344"/>
      <c r="X125" s="344"/>
      <c r="Y125" s="344"/>
      <c r="Z125" s="344"/>
      <c r="AA125" s="344"/>
      <c r="AB125" s="345"/>
      <c r="AC125" s="344"/>
      <c r="AD125" s="344"/>
      <c r="AE125" s="344"/>
      <c r="AF125" s="344"/>
      <c r="AG125" s="344"/>
      <c r="AH125" s="344"/>
      <c r="AI125" s="344"/>
      <c r="AJ125" s="344"/>
      <c r="AK125" s="344"/>
      <c r="AL125" s="348"/>
      <c r="AM125" s="348"/>
      <c r="AN125" s="348"/>
      <c r="AO125" s="348"/>
      <c r="AP125" s="348"/>
      <c r="AQ125" s="348"/>
      <c r="AR125" s="348"/>
      <c r="AS125" s="23"/>
      <c r="AT125" s="23"/>
      <c r="AU125" s="23"/>
      <c r="AV125" s="23"/>
      <c r="AW125" s="80"/>
      <c r="AX125" s="79"/>
      <c r="AY125" s="80"/>
      <c r="AZ125" s="79"/>
      <c r="BA125" s="7"/>
      <c r="BB125" s="78"/>
      <c r="BC125" s="82"/>
      <c r="BD125" s="78"/>
      <c r="BE125" s="82"/>
      <c r="BF125" s="78"/>
      <c r="BG125" s="82"/>
      <c r="BH125" s="78"/>
      <c r="BI125" s="82"/>
      <c r="BJ125" s="81"/>
      <c r="BK125" s="83"/>
      <c r="BL125" s="81"/>
      <c r="BM125" s="83"/>
      <c r="BN125" s="81"/>
      <c r="BO125" s="83"/>
      <c r="BP125" s="81"/>
      <c r="BQ125" s="83"/>
      <c r="BR125" s="7"/>
      <c r="BS125" s="7"/>
      <c r="BT125" s="7"/>
      <c r="BU125" s="7"/>
      <c r="BV125" s="7"/>
      <c r="BW125" s="7"/>
      <c r="BX125" s="7"/>
      <c r="BY125" s="7"/>
      <c r="BZ125" s="7"/>
      <c r="CA125" s="7"/>
      <c r="CB125" s="7"/>
      <c r="CC125" s="7"/>
      <c r="CD125" s="7"/>
      <c r="CE125" s="7"/>
    </row>
    <row r="126" spans="1:89" ht="24" thickBot="1">
      <c r="A126" s="23"/>
      <c r="B126" s="23"/>
      <c r="C126" s="345"/>
      <c r="D126" s="348"/>
      <c r="E126" s="445" t="s">
        <v>314</v>
      </c>
      <c r="F126" s="446"/>
      <c r="G126" s="446"/>
      <c r="H126" s="447">
        <v>0.08</v>
      </c>
      <c r="I126" s="352"/>
      <c r="J126" s="344"/>
      <c r="K126" s="344"/>
      <c r="L126" s="353"/>
      <c r="M126" s="344"/>
      <c r="N126" s="353"/>
      <c r="O126" s="345"/>
      <c r="P126" s="344"/>
      <c r="Q126" s="344"/>
      <c r="R126" s="344"/>
      <c r="S126" s="344"/>
      <c r="T126" s="344"/>
      <c r="U126" s="344"/>
      <c r="V126" s="344"/>
      <c r="W126" s="344"/>
      <c r="X126" s="344"/>
      <c r="Y126" s="344"/>
      <c r="Z126" s="344"/>
      <c r="AA126" s="344"/>
      <c r="AB126" s="345"/>
      <c r="AC126" s="344"/>
      <c r="AD126" s="344"/>
      <c r="AE126" s="344"/>
      <c r="AF126" s="344"/>
      <c r="AG126" s="344"/>
      <c r="AH126" s="344"/>
      <c r="AI126" s="344"/>
      <c r="AJ126" s="344"/>
      <c r="AK126" s="344"/>
      <c r="AL126" s="348"/>
      <c r="AM126" s="348"/>
      <c r="AN126" s="348"/>
      <c r="AO126" s="348"/>
      <c r="AP126" s="348"/>
      <c r="AQ126" s="348"/>
      <c r="AR126" s="348"/>
      <c r="AS126" s="23"/>
      <c r="AT126" s="23"/>
      <c r="AU126" s="23"/>
      <c r="AV126" s="23"/>
      <c r="AW126" s="80"/>
      <c r="AX126" s="79"/>
      <c r="AY126" s="80"/>
      <c r="AZ126" s="79"/>
      <c r="BA126" s="7"/>
      <c r="BB126" s="78"/>
      <c r="BC126" s="82"/>
      <c r="BD126" s="78"/>
      <c r="BE126" s="82"/>
      <c r="BF126" s="78"/>
      <c r="BG126" s="82"/>
      <c r="BH126" s="78"/>
      <c r="BI126" s="82"/>
      <c r="BJ126" s="81"/>
      <c r="BK126" s="83"/>
      <c r="BL126" s="81"/>
      <c r="BM126" s="83"/>
      <c r="BN126" s="81"/>
      <c r="BO126" s="83"/>
      <c r="BP126" s="81"/>
      <c r="BQ126" s="83"/>
      <c r="BR126" s="7"/>
      <c r="BS126" s="7"/>
      <c r="BT126" s="7"/>
      <c r="BU126" s="7"/>
      <c r="BV126" s="7"/>
      <c r="BW126" s="7"/>
      <c r="BX126" s="7"/>
      <c r="BY126" s="7"/>
      <c r="BZ126" s="7"/>
      <c r="CA126" s="7"/>
      <c r="CB126" s="7"/>
      <c r="CC126" s="7"/>
      <c r="CD126" s="7"/>
      <c r="CE126" s="7"/>
    </row>
    <row r="127" spans="1:89" ht="24" thickBot="1">
      <c r="A127" s="23"/>
      <c r="B127" s="23"/>
      <c r="C127" s="345"/>
      <c r="D127" s="348"/>
      <c r="E127" s="578" t="s">
        <v>240</v>
      </c>
      <c r="F127" s="579"/>
      <c r="G127" s="579"/>
      <c r="H127" s="580">
        <f>realdiscrt1</f>
        <v>4.4000000000000003E-3</v>
      </c>
      <c r="I127" s="354"/>
      <c r="J127" s="344"/>
      <c r="K127" s="344"/>
      <c r="L127" s="348"/>
      <c r="M127" s="348"/>
      <c r="N127" s="348"/>
      <c r="O127" s="348"/>
      <c r="P127" s="344"/>
      <c r="Q127" s="344"/>
      <c r="R127" s="344"/>
      <c r="S127" s="344"/>
      <c r="T127" s="344"/>
      <c r="U127" s="344"/>
      <c r="V127" s="344"/>
      <c r="W127" s="344"/>
      <c r="X127" s="344"/>
      <c r="Y127" s="344"/>
      <c r="Z127" s="344"/>
      <c r="AA127" s="344"/>
      <c r="AB127" s="344"/>
      <c r="AC127" s="344"/>
      <c r="AD127" s="344"/>
      <c r="AE127" s="344"/>
      <c r="AF127" s="344"/>
      <c r="AG127" s="344"/>
      <c r="AH127" s="344"/>
      <c r="AI127" s="344"/>
      <c r="AJ127" s="344"/>
      <c r="AK127" s="344"/>
      <c r="AL127" s="348"/>
      <c r="AM127" s="348"/>
      <c r="AN127" s="348"/>
      <c r="AO127" s="348"/>
      <c r="AP127" s="348"/>
      <c r="AQ127" s="348"/>
      <c r="AR127" s="348"/>
      <c r="AS127" s="23"/>
      <c r="AT127" s="23"/>
      <c r="AU127" s="23"/>
      <c r="AV127" s="23"/>
      <c r="AW127" s="80"/>
      <c r="AX127" s="79"/>
      <c r="AY127" s="80"/>
      <c r="AZ127" s="79"/>
      <c r="BA127" s="7"/>
      <c r="BB127" s="78"/>
      <c r="BC127" s="82"/>
      <c r="BD127" s="78"/>
      <c r="BE127" s="82"/>
      <c r="BF127" s="78"/>
      <c r="BG127" s="82"/>
      <c r="BH127" s="78"/>
      <c r="BI127" s="82"/>
      <c r="BJ127" s="81"/>
      <c r="BK127" s="83"/>
      <c r="BL127" s="81"/>
      <c r="BM127" s="83"/>
      <c r="BN127" s="81"/>
      <c r="BO127" s="83"/>
      <c r="BP127" s="81"/>
      <c r="BQ127" s="83"/>
      <c r="BR127" s="7"/>
      <c r="BS127" s="7"/>
      <c r="BT127" s="7"/>
      <c r="BU127" s="7"/>
      <c r="BV127" s="7"/>
      <c r="BW127" s="7"/>
      <c r="BX127" s="7"/>
      <c r="BY127" s="7"/>
      <c r="BZ127" s="7"/>
      <c r="CA127" s="7"/>
      <c r="CB127" s="7"/>
      <c r="CC127" s="7"/>
      <c r="CD127" s="7"/>
      <c r="CE127" s="7"/>
    </row>
    <row r="128" spans="1:89" ht="23.25">
      <c r="A128" s="23"/>
      <c r="B128" s="23"/>
      <c r="C128" s="345"/>
      <c r="D128" s="348"/>
      <c r="E128" s="448" t="s">
        <v>315</v>
      </c>
      <c r="F128" s="449"/>
      <c r="G128" s="449"/>
      <c r="H128" s="450">
        <v>0.5</v>
      </c>
      <c r="I128" s="354"/>
      <c r="J128" s="344"/>
      <c r="K128" s="344"/>
      <c r="L128" s="348"/>
      <c r="M128" s="348"/>
      <c r="N128" s="348"/>
      <c r="O128" s="348"/>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8"/>
      <c r="AM128" s="348"/>
      <c r="AN128" s="348"/>
      <c r="AO128" s="348"/>
      <c r="AP128" s="348"/>
      <c r="AQ128" s="348"/>
      <c r="AR128" s="348"/>
      <c r="AS128" s="23"/>
      <c r="AT128" s="23"/>
      <c r="AU128" s="23"/>
      <c r="AV128" s="23"/>
      <c r="AW128" s="80"/>
      <c r="AX128" s="79"/>
      <c r="AY128" s="80"/>
      <c r="AZ128" s="79"/>
      <c r="BA128" s="7"/>
      <c r="BB128" s="78"/>
      <c r="BC128" s="82"/>
      <c r="BD128" s="78"/>
      <c r="BE128" s="82"/>
      <c r="BF128" s="78"/>
      <c r="BG128" s="82"/>
      <c r="BH128" s="78"/>
      <c r="BI128" s="82"/>
      <c r="BJ128" s="81"/>
      <c r="BK128" s="83"/>
      <c r="BL128" s="81"/>
      <c r="BM128" s="83"/>
      <c r="BN128" s="81"/>
      <c r="BO128" s="83"/>
      <c r="BP128" s="81"/>
      <c r="BQ128" s="83"/>
      <c r="BR128" s="7"/>
      <c r="BS128" s="7"/>
      <c r="BT128" s="7"/>
      <c r="BU128" s="7"/>
      <c r="BV128" s="7"/>
      <c r="BW128" s="7"/>
      <c r="BX128" s="7"/>
      <c r="BY128" s="7"/>
      <c r="BZ128" s="7"/>
      <c r="CA128" s="7"/>
      <c r="CB128" s="7"/>
      <c r="CC128" s="7"/>
      <c r="CD128" s="7"/>
      <c r="CE128" s="7"/>
    </row>
    <row r="129" spans="1:83" ht="15">
      <c r="A129" s="23"/>
      <c r="B129" s="23"/>
      <c r="C129" s="355">
        <v>1</v>
      </c>
      <c r="D129" s="356">
        <v>2</v>
      </c>
      <c r="E129" s="355">
        <v>3</v>
      </c>
      <c r="F129" s="355">
        <v>4</v>
      </c>
      <c r="G129" s="356">
        <v>5</v>
      </c>
      <c r="H129" s="355">
        <v>6</v>
      </c>
      <c r="I129" s="355">
        <v>7</v>
      </c>
      <c r="J129" s="356">
        <v>8</v>
      </c>
      <c r="K129" s="355">
        <v>9</v>
      </c>
      <c r="L129" s="355">
        <v>10</v>
      </c>
      <c r="M129" s="356">
        <v>11</v>
      </c>
      <c r="N129" s="355">
        <v>12</v>
      </c>
      <c r="O129" s="355">
        <v>13</v>
      </c>
      <c r="P129" s="356">
        <v>14</v>
      </c>
      <c r="Q129" s="355">
        <v>15</v>
      </c>
      <c r="R129" s="355">
        <v>16</v>
      </c>
      <c r="S129" s="356">
        <v>17</v>
      </c>
      <c r="T129" s="355">
        <v>18</v>
      </c>
      <c r="U129" s="355">
        <v>19</v>
      </c>
      <c r="V129" s="356">
        <v>20</v>
      </c>
      <c r="W129" s="355">
        <v>21</v>
      </c>
      <c r="X129" s="355">
        <v>22</v>
      </c>
      <c r="Y129" s="356">
        <v>23</v>
      </c>
      <c r="Z129" s="355">
        <v>24</v>
      </c>
      <c r="AA129" s="355">
        <v>25</v>
      </c>
      <c r="AB129" s="356">
        <v>26</v>
      </c>
      <c r="AC129" s="355">
        <v>27</v>
      </c>
      <c r="AD129" s="355">
        <v>28</v>
      </c>
      <c r="AE129" s="356">
        <v>29</v>
      </c>
      <c r="AF129" s="355">
        <v>30</v>
      </c>
      <c r="AG129" s="355">
        <v>31</v>
      </c>
      <c r="AH129" s="356">
        <v>32</v>
      </c>
      <c r="AI129" s="355">
        <v>33</v>
      </c>
      <c r="AJ129" s="355">
        <v>34</v>
      </c>
      <c r="AK129" s="356">
        <v>35</v>
      </c>
      <c r="AL129" s="355">
        <v>36</v>
      </c>
      <c r="AM129" s="355">
        <v>37</v>
      </c>
      <c r="AN129" s="356">
        <v>38</v>
      </c>
      <c r="AO129" s="355">
        <v>39</v>
      </c>
      <c r="AP129" s="355">
        <v>40</v>
      </c>
      <c r="AQ129" s="356">
        <v>41</v>
      </c>
      <c r="AR129" s="355">
        <v>42</v>
      </c>
      <c r="AS129" s="23"/>
      <c r="AT129" s="23"/>
      <c r="AU129" s="23"/>
      <c r="AV129" s="23"/>
      <c r="AW129" s="80"/>
      <c r="AX129" s="79"/>
      <c r="AY129" s="80"/>
      <c r="AZ129" s="79"/>
      <c r="BA129" s="7"/>
      <c r="BB129" s="78"/>
      <c r="BC129" s="82"/>
      <c r="BD129" s="78"/>
      <c r="BE129" s="82"/>
      <c r="BF129" s="78"/>
      <c r="BG129" s="82"/>
      <c r="BH129" s="78"/>
      <c r="BI129" s="82"/>
      <c r="BJ129" s="81"/>
      <c r="BK129" s="83"/>
      <c r="BL129" s="81"/>
      <c r="BM129" s="83"/>
      <c r="BN129" s="81"/>
      <c r="BO129" s="83"/>
      <c r="BP129" s="81"/>
      <c r="BQ129" s="83"/>
      <c r="BR129" s="7"/>
      <c r="BS129" s="7"/>
      <c r="BT129" s="7"/>
      <c r="BU129" s="7"/>
      <c r="BV129" s="7"/>
      <c r="BW129" s="7"/>
      <c r="BX129" s="7"/>
      <c r="BY129" s="7"/>
      <c r="BZ129" s="7"/>
      <c r="CA129" s="7"/>
      <c r="CB129" s="7"/>
      <c r="CC129" s="7"/>
      <c r="CD129" s="7"/>
      <c r="CE129" s="7"/>
    </row>
    <row r="130" spans="1:83">
      <c r="A130" s="23"/>
      <c r="B130" s="23"/>
      <c r="C130" s="345"/>
      <c r="D130" s="357"/>
      <c r="E130" s="1120" t="s">
        <v>316</v>
      </c>
      <c r="F130" s="1121"/>
      <c r="G130" s="1121"/>
      <c r="H130" s="1122"/>
      <c r="I130" s="1127" t="s">
        <v>317</v>
      </c>
      <c r="J130" s="1128"/>
      <c r="K130" s="1129"/>
      <c r="L130" s="1117" t="s">
        <v>662</v>
      </c>
      <c r="M130" s="1117"/>
      <c r="N130" s="1117"/>
      <c r="O130" s="1117"/>
      <c r="P130" s="1117"/>
      <c r="Q130" s="1116" t="s">
        <v>663</v>
      </c>
      <c r="R130" s="1117"/>
      <c r="S130" s="1117"/>
      <c r="T130" s="1117"/>
      <c r="U130" s="1118"/>
      <c r="V130" s="1127" t="s">
        <v>318</v>
      </c>
      <c r="W130" s="1133"/>
      <c r="X130" s="1133"/>
      <c r="Y130" s="1134"/>
      <c r="Z130" s="345"/>
      <c r="AA130" s="358"/>
      <c r="AB130" s="1116" t="s">
        <v>319</v>
      </c>
      <c r="AC130" s="1117"/>
      <c r="AD130" s="1117"/>
      <c r="AE130" s="1117"/>
      <c r="AF130" s="1117"/>
      <c r="AG130" s="1117"/>
      <c r="AH130" s="1117"/>
      <c r="AI130" s="1118"/>
      <c r="AJ130" s="1139" t="s">
        <v>320</v>
      </c>
      <c r="AK130" s="1116" t="s">
        <v>662</v>
      </c>
      <c r="AL130" s="1117"/>
      <c r="AM130" s="1117"/>
      <c r="AN130" s="1118"/>
      <c r="AO130" s="1116" t="s">
        <v>663</v>
      </c>
      <c r="AP130" s="1117"/>
      <c r="AQ130" s="1117"/>
      <c r="AR130" s="1118"/>
      <c r="AS130" s="117"/>
      <c r="AT130" s="117"/>
      <c r="AU130" s="117"/>
      <c r="AV130" s="117"/>
      <c r="AW130" s="80"/>
      <c r="AX130" s="79"/>
      <c r="AY130" s="80"/>
      <c r="AZ130" s="79"/>
      <c r="BA130" s="7"/>
      <c r="BB130" s="78"/>
      <c r="BC130" s="82"/>
      <c r="BD130" s="78"/>
      <c r="BE130" s="82"/>
      <c r="BF130" s="78"/>
      <c r="BG130" s="82"/>
      <c r="BH130" s="78"/>
      <c r="BI130" s="82"/>
      <c r="BJ130" s="81"/>
      <c r="BK130" s="83"/>
      <c r="BL130" s="81"/>
      <c r="BM130" s="83"/>
      <c r="BN130" s="81"/>
      <c r="BO130" s="83"/>
      <c r="BP130" s="81"/>
      <c r="BQ130" s="83"/>
      <c r="BR130" s="7"/>
      <c r="BS130" s="7"/>
      <c r="BT130" s="7"/>
      <c r="BU130" s="7"/>
      <c r="BV130" s="7"/>
      <c r="BW130" s="7"/>
      <c r="BX130" s="7"/>
      <c r="BY130" s="7"/>
      <c r="BZ130" s="7"/>
      <c r="CA130" s="7"/>
      <c r="CB130" s="7"/>
      <c r="CC130" s="7"/>
      <c r="CD130" s="7"/>
      <c r="CE130" s="7"/>
    </row>
    <row r="131" spans="1:83">
      <c r="A131" s="23"/>
      <c r="B131" s="23"/>
      <c r="C131" s="345"/>
      <c r="D131" s="357"/>
      <c r="E131" s="1123"/>
      <c r="F131" s="1121"/>
      <c r="G131" s="1121"/>
      <c r="H131" s="1122"/>
      <c r="I131" s="1130"/>
      <c r="J131" s="1131"/>
      <c r="K131" s="1132"/>
      <c r="L131" s="1078" t="s">
        <v>321</v>
      </c>
      <c r="M131" s="1078"/>
      <c r="N131" s="1078"/>
      <c r="O131" s="1078"/>
      <c r="P131" s="1078"/>
      <c r="Q131" s="1149" t="str">
        <f>L131</f>
        <v>Intrastate</v>
      </c>
      <c r="R131" s="1150"/>
      <c r="S131" s="1150"/>
      <c r="T131" s="1150"/>
      <c r="U131" s="1151"/>
      <c r="V131" s="1135"/>
      <c r="W131" s="1133"/>
      <c r="X131" s="1133"/>
      <c r="Y131" s="1134"/>
      <c r="Z131" s="345"/>
      <c r="AA131" s="358"/>
      <c r="AB131" s="1152" t="s">
        <v>227</v>
      </c>
      <c r="AC131" s="1153"/>
      <c r="AD131" s="1153"/>
      <c r="AE131" s="1154"/>
      <c r="AF131" s="1142" t="s">
        <v>322</v>
      </c>
      <c r="AG131" s="1143"/>
      <c r="AH131" s="1146" t="s">
        <v>228</v>
      </c>
      <c r="AI131" s="1147"/>
      <c r="AJ131" s="1140"/>
      <c r="AK131" s="1077" t="s">
        <v>323</v>
      </c>
      <c r="AL131" s="1078"/>
      <c r="AM131" s="1078"/>
      <c r="AN131" s="1079"/>
      <c r="AO131" s="1077" t="s">
        <v>323</v>
      </c>
      <c r="AP131" s="1078"/>
      <c r="AQ131" s="1078"/>
      <c r="AR131" s="1079"/>
      <c r="AS131" s="117"/>
      <c r="AT131" s="117"/>
      <c r="AU131" s="117"/>
      <c r="AV131" s="117"/>
      <c r="AW131" s="80"/>
      <c r="AX131" s="79"/>
      <c r="AY131" s="80"/>
      <c r="AZ131" s="79"/>
      <c r="BA131" s="7"/>
      <c r="BB131" s="78"/>
      <c r="BC131" s="82"/>
      <c r="BD131" s="78"/>
      <c r="BE131" s="82"/>
      <c r="BF131" s="78"/>
      <c r="BG131" s="82"/>
      <c r="BH131" s="78"/>
      <c r="BI131" s="82"/>
      <c r="BJ131" s="81"/>
      <c r="BK131" s="83"/>
      <c r="BL131" s="81"/>
      <c r="BM131" s="83"/>
      <c r="BN131" s="81"/>
      <c r="BO131" s="83"/>
      <c r="BP131" s="81"/>
      <c r="BQ131" s="83"/>
      <c r="BR131" s="7"/>
      <c r="BS131" s="7"/>
      <c r="BT131" s="7"/>
      <c r="BU131" s="7"/>
      <c r="BV131" s="7"/>
      <c r="BW131" s="7"/>
      <c r="BX131" s="7"/>
      <c r="BY131" s="7"/>
      <c r="BZ131" s="7"/>
      <c r="CA131" s="7"/>
      <c r="CB131" s="7"/>
      <c r="CC131" s="7"/>
      <c r="CD131" s="7"/>
      <c r="CE131" s="7"/>
    </row>
    <row r="132" spans="1:83" ht="39" thickBot="1">
      <c r="A132" s="23"/>
      <c r="B132" s="23"/>
      <c r="C132" s="345"/>
      <c r="D132" s="357"/>
      <c r="E132" s="1124"/>
      <c r="F132" s="1125"/>
      <c r="G132" s="1125"/>
      <c r="H132" s="1126"/>
      <c r="I132" s="1080" t="s">
        <v>324</v>
      </c>
      <c r="J132" s="1082" t="s">
        <v>325</v>
      </c>
      <c r="K132" s="1084" t="s">
        <v>326</v>
      </c>
      <c r="L132" s="1086" t="s">
        <v>227</v>
      </c>
      <c r="M132" s="1087"/>
      <c r="N132" s="1087"/>
      <c r="O132" s="1088"/>
      <c r="P132" s="359" t="s">
        <v>327</v>
      </c>
      <c r="Q132" s="1086" t="s">
        <v>227</v>
      </c>
      <c r="R132" s="1087"/>
      <c r="S132" s="1087"/>
      <c r="T132" s="1088"/>
      <c r="U132" s="360" t="s">
        <v>327</v>
      </c>
      <c r="V132" s="1136"/>
      <c r="W132" s="1137"/>
      <c r="X132" s="1137"/>
      <c r="Y132" s="1138"/>
      <c r="Z132" s="345"/>
      <c r="AA132" s="358"/>
      <c r="AB132" s="1116"/>
      <c r="AC132" s="1117"/>
      <c r="AD132" s="1117"/>
      <c r="AE132" s="1155"/>
      <c r="AF132" s="1144"/>
      <c r="AG132" s="1145"/>
      <c r="AH132" s="1148"/>
      <c r="AI132" s="1118"/>
      <c r="AJ132" s="1141"/>
      <c r="AK132" s="1086" t="s">
        <v>227</v>
      </c>
      <c r="AL132" s="1087"/>
      <c r="AM132" s="1087"/>
      <c r="AN132" s="1089"/>
      <c r="AO132" s="1086" t="s">
        <v>227</v>
      </c>
      <c r="AP132" s="1087"/>
      <c r="AQ132" s="1087"/>
      <c r="AR132" s="1089"/>
      <c r="AS132" s="117"/>
      <c r="AT132" s="117"/>
      <c r="AU132" s="117"/>
      <c r="AV132" s="117"/>
      <c r="AW132" s="80"/>
      <c r="AX132" s="79"/>
      <c r="AY132" s="80"/>
      <c r="AZ132" s="79"/>
      <c r="BA132" s="7"/>
      <c r="BB132" s="78"/>
      <c r="BC132" s="82"/>
      <c r="BD132" s="78"/>
      <c r="BE132" s="82"/>
      <c r="BF132" s="78"/>
      <c r="BG132" s="82"/>
      <c r="BH132" s="78"/>
      <c r="BI132" s="82"/>
      <c r="BJ132" s="81"/>
      <c r="BK132" s="83"/>
      <c r="BL132" s="81"/>
      <c r="BM132" s="83"/>
      <c r="BN132" s="81"/>
      <c r="BO132" s="83"/>
      <c r="BP132" s="81"/>
      <c r="BQ132" s="83"/>
      <c r="BR132" s="7"/>
      <c r="BS132" s="7"/>
      <c r="BT132" s="7"/>
      <c r="BU132" s="7"/>
      <c r="BV132" s="7"/>
      <c r="BW132" s="7"/>
      <c r="BX132" s="7"/>
      <c r="BY132" s="7"/>
      <c r="BZ132" s="7"/>
      <c r="CA132" s="7"/>
      <c r="CB132" s="7"/>
      <c r="CC132" s="7"/>
      <c r="CD132" s="7"/>
      <c r="CE132" s="7"/>
    </row>
    <row r="133" spans="1:83" ht="39" thickBot="1">
      <c r="A133" s="23"/>
      <c r="B133" s="23"/>
      <c r="C133" s="361"/>
      <c r="D133" s="361"/>
      <c r="E133" s="362" t="s">
        <v>231</v>
      </c>
      <c r="F133" s="363" t="s">
        <v>232</v>
      </c>
      <c r="G133" s="363" t="s">
        <v>328</v>
      </c>
      <c r="H133" s="364" t="s">
        <v>234</v>
      </c>
      <c r="I133" s="1081"/>
      <c r="J133" s="1083"/>
      <c r="K133" s="1085"/>
      <c r="L133" s="365" t="s">
        <v>231</v>
      </c>
      <c r="M133" s="365" t="s">
        <v>232</v>
      </c>
      <c r="N133" s="365" t="s">
        <v>328</v>
      </c>
      <c r="O133" s="365" t="s">
        <v>234</v>
      </c>
      <c r="P133" s="366" t="s">
        <v>329</v>
      </c>
      <c r="Q133" s="367" t="s">
        <v>231</v>
      </c>
      <c r="R133" s="365" t="s">
        <v>232</v>
      </c>
      <c r="S133" s="365" t="s">
        <v>328</v>
      </c>
      <c r="T133" s="365" t="s">
        <v>234</v>
      </c>
      <c r="U133" s="368" t="s">
        <v>329</v>
      </c>
      <c r="V133" s="367" t="s">
        <v>231</v>
      </c>
      <c r="W133" s="365" t="s">
        <v>232</v>
      </c>
      <c r="X133" s="365" t="s">
        <v>328</v>
      </c>
      <c r="Y133" s="369" t="s">
        <v>234</v>
      </c>
      <c r="Z133" s="361"/>
      <c r="AA133" s="370"/>
      <c r="AB133" s="362" t="s">
        <v>231</v>
      </c>
      <c r="AC133" s="363" t="s">
        <v>232</v>
      </c>
      <c r="AD133" s="363" t="s">
        <v>328</v>
      </c>
      <c r="AE133" s="363" t="s">
        <v>234</v>
      </c>
      <c r="AF133" s="363" t="s">
        <v>94</v>
      </c>
      <c r="AG133" s="363" t="s">
        <v>93</v>
      </c>
      <c r="AH133" s="363" t="s">
        <v>330</v>
      </c>
      <c r="AI133" s="371" t="s">
        <v>331</v>
      </c>
      <c r="AJ133" s="372" t="s">
        <v>332</v>
      </c>
      <c r="AK133" s="362" t="s">
        <v>231</v>
      </c>
      <c r="AL133" s="363" t="s">
        <v>232</v>
      </c>
      <c r="AM133" s="363" t="s">
        <v>328</v>
      </c>
      <c r="AN133" s="364" t="s">
        <v>234</v>
      </c>
      <c r="AO133" s="367" t="s">
        <v>231</v>
      </c>
      <c r="AP133" s="365" t="s">
        <v>232</v>
      </c>
      <c r="AQ133" s="365" t="s">
        <v>328</v>
      </c>
      <c r="AR133" s="369" t="s">
        <v>234</v>
      </c>
      <c r="AS133" s="117"/>
      <c r="AT133" s="23"/>
      <c r="AU133" s="23"/>
      <c r="AV133" s="23"/>
      <c r="AW133" s="80"/>
      <c r="AX133" s="79"/>
      <c r="AY133" s="80"/>
      <c r="AZ133" s="79"/>
      <c r="BA133" s="7"/>
      <c r="BB133" s="78"/>
      <c r="BC133" s="82"/>
      <c r="BD133" s="78"/>
      <c r="BE133" s="82"/>
      <c r="BF133" s="78"/>
      <c r="BG133" s="82"/>
      <c r="BH133" s="78"/>
      <c r="BI133" s="82"/>
      <c r="BJ133" s="81"/>
      <c r="BK133" s="83"/>
      <c r="BL133" s="81"/>
      <c r="BM133" s="83"/>
      <c r="BN133" s="81"/>
      <c r="BO133" s="83"/>
      <c r="BP133" s="81"/>
      <c r="BQ133" s="83"/>
      <c r="BR133" s="7"/>
      <c r="BS133" s="7"/>
      <c r="BT133" s="7"/>
      <c r="BU133" s="7"/>
      <c r="BV133" s="7"/>
      <c r="BW133" s="7"/>
      <c r="BX133" s="7"/>
      <c r="BY133" s="7"/>
      <c r="BZ133" s="7"/>
      <c r="CA133" s="7"/>
      <c r="CB133" s="7"/>
      <c r="CC133" s="7"/>
      <c r="CD133" s="7"/>
      <c r="CE133" s="7"/>
    </row>
    <row r="134" spans="1:83">
      <c r="A134" s="23"/>
      <c r="B134" s="23"/>
      <c r="C134" s="373" t="s">
        <v>274</v>
      </c>
      <c r="D134" s="361"/>
      <c r="E134" s="374" t="s">
        <v>275</v>
      </c>
      <c r="F134" s="375" t="s">
        <v>275</v>
      </c>
      <c r="G134" s="375" t="s">
        <v>275</v>
      </c>
      <c r="H134" s="376" t="s">
        <v>275</v>
      </c>
      <c r="I134" s="374" t="s">
        <v>276</v>
      </c>
      <c r="J134" s="377" t="s">
        <v>276</v>
      </c>
      <c r="K134" s="376" t="s">
        <v>276</v>
      </c>
      <c r="L134" s="378" t="s">
        <v>275</v>
      </c>
      <c r="M134" s="379" t="s">
        <v>275</v>
      </c>
      <c r="N134" s="379" t="s">
        <v>275</v>
      </c>
      <c r="O134" s="379" t="s">
        <v>275</v>
      </c>
      <c r="P134" s="380" t="s">
        <v>333</v>
      </c>
      <c r="Q134" s="378" t="s">
        <v>275</v>
      </c>
      <c r="R134" s="379" t="s">
        <v>275</v>
      </c>
      <c r="S134" s="379" t="s">
        <v>275</v>
      </c>
      <c r="T134" s="379" t="s">
        <v>275</v>
      </c>
      <c r="U134" s="381" t="s">
        <v>276</v>
      </c>
      <c r="V134" s="378" t="s">
        <v>275</v>
      </c>
      <c r="W134" s="379" t="s">
        <v>275</v>
      </c>
      <c r="X134" s="379" t="s">
        <v>275</v>
      </c>
      <c r="Y134" s="381" t="s">
        <v>275</v>
      </c>
      <c r="Z134" s="373" t="s">
        <v>274</v>
      </c>
      <c r="AA134" s="361"/>
      <c r="AB134" s="378" t="s">
        <v>275</v>
      </c>
      <c r="AC134" s="379" t="s">
        <v>275</v>
      </c>
      <c r="AD134" s="379" t="s">
        <v>275</v>
      </c>
      <c r="AE134" s="379" t="s">
        <v>275</v>
      </c>
      <c r="AF134" s="382" t="s">
        <v>275</v>
      </c>
      <c r="AG134" s="382" t="s">
        <v>275</v>
      </c>
      <c r="AH134" s="379" t="s">
        <v>276</v>
      </c>
      <c r="AI134" s="383" t="s">
        <v>334</v>
      </c>
      <c r="AJ134" s="373" t="s">
        <v>275</v>
      </c>
      <c r="AK134" s="378" t="s">
        <v>275</v>
      </c>
      <c r="AL134" s="379" t="s">
        <v>275</v>
      </c>
      <c r="AM134" s="379" t="s">
        <v>275</v>
      </c>
      <c r="AN134" s="379" t="s">
        <v>275</v>
      </c>
      <c r="AO134" s="378" t="s">
        <v>275</v>
      </c>
      <c r="AP134" s="379" t="s">
        <v>275</v>
      </c>
      <c r="AQ134" s="379" t="s">
        <v>275</v>
      </c>
      <c r="AR134" s="381" t="s">
        <v>275</v>
      </c>
      <c r="AS134" s="117"/>
      <c r="AT134" s="23"/>
      <c r="AU134" s="23"/>
      <c r="AV134" s="23"/>
      <c r="AW134" s="80"/>
      <c r="AX134" s="79"/>
      <c r="AY134" s="80"/>
      <c r="AZ134" s="79"/>
      <c r="BA134" s="7"/>
      <c r="BB134" s="78"/>
      <c r="BC134" s="82"/>
      <c r="BD134" s="78"/>
      <c r="BE134" s="82"/>
      <c r="BF134" s="78"/>
      <c r="BG134" s="82"/>
      <c r="BH134" s="78"/>
      <c r="BI134" s="82"/>
      <c r="BJ134" s="81"/>
      <c r="BK134" s="83"/>
      <c r="BL134" s="81"/>
      <c r="BM134" s="83"/>
      <c r="BN134" s="81"/>
      <c r="BO134" s="83"/>
      <c r="BP134" s="81"/>
      <c r="BQ134" s="83"/>
      <c r="BR134" s="7"/>
      <c r="BS134" s="7"/>
      <c r="BT134" s="7"/>
      <c r="BU134" s="7"/>
      <c r="BV134" s="7"/>
      <c r="BW134" s="7"/>
      <c r="BX134" s="7"/>
      <c r="BY134" s="7"/>
      <c r="BZ134" s="7"/>
      <c r="CA134" s="7"/>
      <c r="CB134" s="7"/>
      <c r="CC134" s="7"/>
      <c r="CD134" s="7"/>
      <c r="CE134" s="7"/>
    </row>
    <row r="135" spans="1:83" ht="63.75">
      <c r="A135" s="23"/>
      <c r="B135" s="23"/>
      <c r="C135" s="384" t="s">
        <v>279</v>
      </c>
      <c r="D135" s="361"/>
      <c r="E135" s="385" t="s">
        <v>0</v>
      </c>
      <c r="F135" s="386" t="s">
        <v>1</v>
      </c>
      <c r="G135" s="386" t="s">
        <v>335</v>
      </c>
      <c r="H135" s="387" t="s">
        <v>336</v>
      </c>
      <c r="I135" s="385" t="s">
        <v>337</v>
      </c>
      <c r="J135" s="388" t="s">
        <v>338</v>
      </c>
      <c r="K135" s="389" t="s">
        <v>339</v>
      </c>
      <c r="L135" s="385" t="s">
        <v>340</v>
      </c>
      <c r="M135" s="386" t="s">
        <v>341</v>
      </c>
      <c r="N135" s="386" t="s">
        <v>342</v>
      </c>
      <c r="O135" s="386" t="s">
        <v>343</v>
      </c>
      <c r="P135" s="390" t="s">
        <v>344</v>
      </c>
      <c r="Q135" s="385" t="s">
        <v>345</v>
      </c>
      <c r="R135" s="386" t="s">
        <v>346</v>
      </c>
      <c r="S135" s="386" t="s">
        <v>347</v>
      </c>
      <c r="T135" s="386" t="s">
        <v>348</v>
      </c>
      <c r="U135" s="390" t="s">
        <v>349</v>
      </c>
      <c r="V135" s="385" t="s">
        <v>350</v>
      </c>
      <c r="W135" s="386" t="s">
        <v>351</v>
      </c>
      <c r="X135" s="386" t="s">
        <v>352</v>
      </c>
      <c r="Y135" s="387" t="s">
        <v>353</v>
      </c>
      <c r="Z135" s="384" t="s">
        <v>279</v>
      </c>
      <c r="AA135" s="391"/>
      <c r="AB135" s="385" t="s">
        <v>354</v>
      </c>
      <c r="AC135" s="386" t="s">
        <v>355</v>
      </c>
      <c r="AD135" s="386" t="s">
        <v>2</v>
      </c>
      <c r="AE135" s="386" t="s">
        <v>356</v>
      </c>
      <c r="AF135" s="386" t="s">
        <v>357</v>
      </c>
      <c r="AG135" s="386" t="s">
        <v>358</v>
      </c>
      <c r="AH135" s="386" t="s">
        <v>359</v>
      </c>
      <c r="AI135" s="387" t="s">
        <v>360</v>
      </c>
      <c r="AJ135" s="392" t="s">
        <v>361</v>
      </c>
      <c r="AK135" s="385" t="s">
        <v>362</v>
      </c>
      <c r="AL135" s="386" t="s">
        <v>363</v>
      </c>
      <c r="AM135" s="386" t="s">
        <v>364</v>
      </c>
      <c r="AN135" s="387" t="s">
        <v>365</v>
      </c>
      <c r="AO135" s="385" t="s">
        <v>366</v>
      </c>
      <c r="AP135" s="386" t="s">
        <v>367</v>
      </c>
      <c r="AQ135" s="386" t="s">
        <v>368</v>
      </c>
      <c r="AR135" s="387" t="s">
        <v>369</v>
      </c>
      <c r="AS135" s="117"/>
      <c r="AT135" s="23"/>
      <c r="AU135" s="23"/>
      <c r="AV135" s="23"/>
      <c r="AW135" s="80"/>
      <c r="AX135" s="79"/>
      <c r="AY135" s="80"/>
      <c r="AZ135" s="79"/>
      <c r="BA135" s="7"/>
      <c r="BB135" s="78"/>
      <c r="BC135" s="82"/>
      <c r="BD135" s="78"/>
      <c r="BE135" s="82"/>
      <c r="BF135" s="78"/>
      <c r="BG135" s="82"/>
      <c r="BH135" s="78"/>
      <c r="BI135" s="82"/>
      <c r="BJ135" s="81"/>
      <c r="BK135" s="83"/>
      <c r="BL135" s="81"/>
      <c r="BM135" s="83"/>
      <c r="BN135" s="81"/>
      <c r="BO135" s="83"/>
      <c r="BP135" s="81"/>
      <c r="BQ135" s="83"/>
      <c r="BR135" s="7"/>
      <c r="BS135" s="7"/>
      <c r="BT135" s="7"/>
      <c r="BU135" s="7"/>
      <c r="BV135" s="7"/>
      <c r="BW135" s="7"/>
      <c r="BX135" s="7"/>
      <c r="BY135" s="7"/>
      <c r="BZ135" s="7"/>
      <c r="CA135" s="7"/>
      <c r="CB135" s="7"/>
      <c r="CC135" s="7"/>
      <c r="CD135" s="7"/>
      <c r="CE135" s="7"/>
    </row>
    <row r="136" spans="1:83">
      <c r="A136" s="23"/>
      <c r="B136" s="23"/>
      <c r="C136" s="386">
        <v>2015</v>
      </c>
      <c r="D136" s="391"/>
      <c r="E136" s="806">
        <f t="shared" ref="E136:E166" si="140">(AB136+AJ136)*(1+$H$125)</f>
        <v>8.7294623223610562E-2</v>
      </c>
      <c r="F136" s="807">
        <f t="shared" ref="F136:F166" si="141">(AC136+AJ136)*(1+$H$125)</f>
        <v>7.7997060274820368E-2</v>
      </c>
      <c r="G136" s="807">
        <f t="shared" ref="G136:G166" si="142">(AD136+AJ136)*(1+$H$125)</f>
        <v>5.1085005044075933E-2</v>
      </c>
      <c r="H136" s="808">
        <f t="shared" ref="H136:H166" si="143">(AE136+AJ136)*(1+$H$125)</f>
        <v>4.0431512805294889E-2</v>
      </c>
      <c r="I136" s="806"/>
      <c r="J136" s="809"/>
      <c r="K136" s="808"/>
      <c r="L136" s="806"/>
      <c r="M136" s="807"/>
      <c r="N136" s="807"/>
      <c r="O136" s="807"/>
      <c r="P136" s="808"/>
      <c r="Q136" s="806"/>
      <c r="R136" s="807"/>
      <c r="S136" s="807"/>
      <c r="T136" s="807"/>
      <c r="U136" s="808"/>
      <c r="V136" s="806">
        <v>4.7750339999999995E-2</v>
      </c>
      <c r="W136" s="807">
        <v>4.7188019999999997E-2</v>
      </c>
      <c r="X136" s="807">
        <v>5.0889959999999998E-2</v>
      </c>
      <c r="Y136" s="808">
        <v>4.8734400000000004E-2</v>
      </c>
      <c r="Z136" s="384">
        <v>2015</v>
      </c>
      <c r="AA136" s="396"/>
      <c r="AB136" s="397">
        <v>7.3423818747290426E-2</v>
      </c>
      <c r="AC136" s="394">
        <v>6.4893944482345284E-2</v>
      </c>
      <c r="AD136" s="394">
        <v>4.0203985555056818E-2</v>
      </c>
      <c r="AE136" s="394">
        <v>3.0430139464432009E-2</v>
      </c>
      <c r="AF136" s="394"/>
      <c r="AG136" s="394"/>
      <c r="AH136" s="398">
        <v>39.674354000000001</v>
      </c>
      <c r="AI136" s="399">
        <v>0.17</v>
      </c>
      <c r="AJ136" s="400">
        <v>6.6629915496000001E-3</v>
      </c>
      <c r="AK136" s="393"/>
      <c r="AL136" s="394"/>
      <c r="AM136" s="394"/>
      <c r="AN136" s="395"/>
      <c r="AO136" s="393"/>
      <c r="AP136" s="394"/>
      <c r="AQ136" s="394"/>
      <c r="AR136" s="395"/>
      <c r="AS136" s="117"/>
      <c r="AT136" s="23"/>
      <c r="AU136" s="23"/>
      <c r="AV136" s="23"/>
      <c r="AW136" s="80"/>
      <c r="AX136" s="79"/>
      <c r="AY136" s="80"/>
      <c r="AZ136" s="79"/>
      <c r="BA136" s="7"/>
      <c r="BB136" s="78"/>
      <c r="BC136" s="82"/>
      <c r="BD136" s="78"/>
      <c r="BE136" s="82"/>
      <c r="BF136" s="78"/>
      <c r="BG136" s="82"/>
      <c r="BH136" s="78"/>
      <c r="BI136" s="82"/>
      <c r="BJ136" s="81"/>
      <c r="BK136" s="83"/>
      <c r="BL136" s="81"/>
      <c r="BM136" s="83"/>
      <c r="BN136" s="81"/>
      <c r="BO136" s="83"/>
      <c r="BP136" s="81"/>
      <c r="BQ136" s="83"/>
      <c r="BR136" s="7"/>
      <c r="BS136" s="7"/>
      <c r="BT136" s="7"/>
      <c r="BU136" s="7"/>
      <c r="BV136" s="7"/>
      <c r="BW136" s="7"/>
      <c r="BX136" s="7"/>
      <c r="BY136" s="7"/>
      <c r="BZ136" s="7"/>
      <c r="CA136" s="7"/>
      <c r="CB136" s="7"/>
      <c r="CC136" s="7"/>
      <c r="CD136" s="7"/>
      <c r="CE136" s="7"/>
    </row>
    <row r="137" spans="1:83">
      <c r="A137" s="23"/>
      <c r="B137" s="23"/>
      <c r="C137" s="384">
        <v>2016</v>
      </c>
      <c r="D137" s="391"/>
      <c r="E137" s="806">
        <f t="shared" si="140"/>
        <v>8.0725574550858575E-2</v>
      </c>
      <c r="F137" s="807">
        <f t="shared" si="141"/>
        <v>7.5240507287603745E-2</v>
      </c>
      <c r="G137" s="807">
        <f t="shared" si="142"/>
        <v>5.9995187538079121E-2</v>
      </c>
      <c r="H137" s="808">
        <f t="shared" si="143"/>
        <v>4.1390373997102305E-2</v>
      </c>
      <c r="I137" s="806">
        <f>AH137*1.08</f>
        <v>78.979062403845234</v>
      </c>
      <c r="J137" s="810">
        <v>0</v>
      </c>
      <c r="K137" s="808">
        <f>(I137*$H$128)+(J137*(1-$H$128))</f>
        <v>39.489531201922617</v>
      </c>
      <c r="L137" s="806">
        <v>2.0453587827542124E-2</v>
      </c>
      <c r="M137" s="807">
        <v>1.019607498410232E-2</v>
      </c>
      <c r="N137" s="807">
        <v>3.4186980471072499E-2</v>
      </c>
      <c r="O137" s="807">
        <v>1.0076721958669016E-2</v>
      </c>
      <c r="P137" s="808"/>
      <c r="Q137" s="806"/>
      <c r="R137" s="807"/>
      <c r="S137" s="807"/>
      <c r="T137" s="807"/>
      <c r="U137" s="808"/>
      <c r="V137" s="806">
        <v>4.7251029999999999E-2</v>
      </c>
      <c r="W137" s="807">
        <v>4.6694589999999994E-2</v>
      </c>
      <c r="X137" s="807">
        <v>5.0357819999999998E-2</v>
      </c>
      <c r="Y137" s="808">
        <v>4.8224799999999998E-2</v>
      </c>
      <c r="Z137" s="384">
        <v>2016</v>
      </c>
      <c r="AA137" s="396"/>
      <c r="AB137" s="397">
        <v>6.6813168480599094E-2</v>
      </c>
      <c r="AC137" s="394">
        <v>6.1780996679447878E-2</v>
      </c>
      <c r="AD137" s="394">
        <v>4.779446479915006E-2</v>
      </c>
      <c r="AE137" s="394">
        <v>3.0725828523024541E-2</v>
      </c>
      <c r="AF137" s="394">
        <v>4.2546851809578672E-2</v>
      </c>
      <c r="AG137" s="394">
        <v>2.6817130105060951E-2</v>
      </c>
      <c r="AH137" s="398">
        <v>73.128761485041878</v>
      </c>
      <c r="AI137" s="399">
        <v>0.17</v>
      </c>
      <c r="AJ137" s="400">
        <v>7.2469916578032601E-3</v>
      </c>
      <c r="AK137" s="393">
        <v>1.8298702659985532E-2</v>
      </c>
      <c r="AL137" s="394">
        <v>1.0450114495259816E-2</v>
      </c>
      <c r="AM137" s="394">
        <v>2.9138848324572249E-2</v>
      </c>
      <c r="AN137" s="395">
        <v>9.2566374732424763E-3</v>
      </c>
      <c r="AO137" s="393"/>
      <c r="AP137" s="394"/>
      <c r="AQ137" s="394"/>
      <c r="AR137" s="395"/>
      <c r="AS137" s="117"/>
      <c r="AT137" s="117"/>
      <c r="AU137" s="117"/>
      <c r="AV137" s="117"/>
      <c r="AW137" s="80"/>
      <c r="AX137" s="79"/>
      <c r="AY137" s="80"/>
      <c r="AZ137" s="79"/>
      <c r="BA137" s="7"/>
      <c r="BB137" s="78"/>
      <c r="BC137" s="82"/>
      <c r="BD137" s="78"/>
      <c r="BE137" s="82"/>
      <c r="BF137" s="78"/>
      <c r="BG137" s="82"/>
      <c r="BH137" s="78"/>
      <c r="BI137" s="82"/>
      <c r="BJ137" s="81"/>
      <c r="BK137" s="83"/>
      <c r="BL137" s="81"/>
      <c r="BM137" s="83"/>
      <c r="BN137" s="81"/>
      <c r="BO137" s="83"/>
      <c r="BP137" s="81"/>
      <c r="BQ137" s="83"/>
      <c r="BR137" s="7"/>
      <c r="BS137" s="7"/>
      <c r="BT137" s="7"/>
      <c r="BU137" s="7"/>
      <c r="BV137" s="7"/>
      <c r="BW137" s="7"/>
      <c r="BX137" s="7"/>
      <c r="BY137" s="7"/>
      <c r="BZ137" s="7"/>
      <c r="CA137" s="7"/>
      <c r="CB137" s="7"/>
      <c r="CC137" s="7"/>
      <c r="CD137" s="7"/>
      <c r="CE137" s="7"/>
    </row>
    <row r="138" spans="1:83">
      <c r="A138" s="23"/>
      <c r="B138" s="23"/>
      <c r="C138" s="384">
        <v>2017</v>
      </c>
      <c r="D138" s="391"/>
      <c r="E138" s="806">
        <f t="shared" si="140"/>
        <v>7.7477855045408023E-2</v>
      </c>
      <c r="F138" s="807">
        <f t="shared" si="141"/>
        <v>7.21837004945695E-2</v>
      </c>
      <c r="G138" s="807">
        <f t="shared" si="142"/>
        <v>6.1501440951353195E-2</v>
      </c>
      <c r="H138" s="808">
        <f t="shared" si="143"/>
        <v>4.7457589065379294E-2</v>
      </c>
      <c r="I138" s="806">
        <f t="shared" ref="I138:I166" si="144">AH138*1.08</f>
        <v>150.74187178401326</v>
      </c>
      <c r="J138" s="810">
        <v>0</v>
      </c>
      <c r="K138" s="808">
        <f t="shared" ref="K138:K166" si="145">(I138*$H$128)+(J138*(1-$H$128))</f>
        <v>75.370935892006628</v>
      </c>
      <c r="L138" s="806">
        <v>1.9567006134038452E-2</v>
      </c>
      <c r="M138" s="807">
        <v>9.7481572563141317E-3</v>
      </c>
      <c r="N138" s="807">
        <v>3.5277463514295733E-2</v>
      </c>
      <c r="O138" s="807">
        <v>1.1930462855729565E-2</v>
      </c>
      <c r="P138" s="808"/>
      <c r="Q138" s="806">
        <v>1.9567006134038452E-2</v>
      </c>
      <c r="R138" s="807">
        <v>9.7481572563141317E-3</v>
      </c>
      <c r="S138" s="807">
        <v>3.5277463514295733E-2</v>
      </c>
      <c r="T138" s="807">
        <v>1.1930462855729565E-2</v>
      </c>
      <c r="U138" s="808"/>
      <c r="V138" s="806">
        <v>4.6940235000000004E-2</v>
      </c>
      <c r="W138" s="807">
        <v>4.6387454999999994E-2</v>
      </c>
      <c r="X138" s="807">
        <v>5.0026589999999996E-2</v>
      </c>
      <c r="Y138" s="808">
        <v>4.7907600000000002E-2</v>
      </c>
      <c r="Z138" s="384">
        <v>2017</v>
      </c>
      <c r="AA138" s="396"/>
      <c r="AB138" s="397">
        <v>6.3900895526507406E-2</v>
      </c>
      <c r="AC138" s="394">
        <v>5.9043873002802338E-2</v>
      </c>
      <c r="AD138" s="394">
        <v>4.9243634889759857E-2</v>
      </c>
      <c r="AE138" s="394">
        <v>3.6359367104462699E-2</v>
      </c>
      <c r="AF138" s="394">
        <v>2.4964069674493366E-2</v>
      </c>
      <c r="AG138" s="394">
        <v>1.5905216996632984E-2</v>
      </c>
      <c r="AH138" s="398">
        <v>139.57580720741967</v>
      </c>
      <c r="AI138" s="399">
        <v>0.17</v>
      </c>
      <c r="AJ138" s="400">
        <v>7.1797054325825182E-3</v>
      </c>
      <c r="AK138" s="393">
        <v>1.7505526669054278E-2</v>
      </c>
      <c r="AL138" s="394">
        <v>9.9910367082543805E-3</v>
      </c>
      <c r="AM138" s="394">
        <v>3.0068308006566881E-2</v>
      </c>
      <c r="AN138" s="395">
        <v>1.0959513420777235E-2</v>
      </c>
      <c r="AO138" s="393">
        <v>1.7505526669054278E-2</v>
      </c>
      <c r="AP138" s="394">
        <v>9.9910367082543805E-3</v>
      </c>
      <c r="AQ138" s="394">
        <v>3.0068308006566881E-2</v>
      </c>
      <c r="AR138" s="395">
        <v>1.0959513420777235E-2</v>
      </c>
      <c r="AS138" s="117"/>
      <c r="AT138" s="117"/>
      <c r="AU138" s="117"/>
      <c r="AV138" s="117"/>
      <c r="AW138" s="80"/>
      <c r="AX138" s="79"/>
      <c r="AY138" s="80"/>
      <c r="AZ138" s="79"/>
      <c r="BA138" s="7"/>
      <c r="BB138" s="78"/>
      <c r="BC138" s="82"/>
      <c r="BD138" s="78"/>
      <c r="BE138" s="82"/>
      <c r="BF138" s="78"/>
      <c r="BG138" s="82"/>
      <c r="BH138" s="78"/>
      <c r="BI138" s="82"/>
      <c r="BJ138" s="81"/>
      <c r="BK138" s="83"/>
      <c r="BL138" s="81"/>
      <c r="BM138" s="83"/>
      <c r="BN138" s="81"/>
      <c r="BO138" s="83"/>
      <c r="BP138" s="81"/>
      <c r="BQ138" s="83"/>
      <c r="BR138" s="7"/>
      <c r="BS138" s="7"/>
      <c r="BT138" s="7"/>
      <c r="BU138" s="7"/>
      <c r="BV138" s="7"/>
      <c r="BW138" s="7"/>
      <c r="BX138" s="7"/>
      <c r="BY138" s="7"/>
      <c r="BZ138" s="7"/>
      <c r="CA138" s="7"/>
      <c r="CB138" s="7"/>
      <c r="CC138" s="7"/>
      <c r="CD138" s="7"/>
      <c r="CE138" s="7"/>
    </row>
    <row r="139" spans="1:83">
      <c r="A139" s="23"/>
      <c r="B139" s="23"/>
      <c r="C139" s="384">
        <v>2018</v>
      </c>
      <c r="D139" s="391"/>
      <c r="E139" s="806">
        <f t="shared" si="140"/>
        <v>6.6806987539751908E-2</v>
      </c>
      <c r="F139" s="807">
        <f t="shared" si="141"/>
        <v>6.1523011517711425E-2</v>
      </c>
      <c r="G139" s="807">
        <f t="shared" si="142"/>
        <v>6.0202568392262935E-2</v>
      </c>
      <c r="H139" s="808">
        <f t="shared" si="143"/>
        <v>5.0609600291821107E-2</v>
      </c>
      <c r="I139" s="806">
        <f t="shared" si="144"/>
        <v>159.52943629839129</v>
      </c>
      <c r="J139" s="810">
        <v>0</v>
      </c>
      <c r="K139" s="808">
        <f t="shared" si="145"/>
        <v>79.764718149195645</v>
      </c>
      <c r="L139" s="806">
        <v>1.0354043919631739E-2</v>
      </c>
      <c r="M139" s="807">
        <v>5.0896814104195434E-3</v>
      </c>
      <c r="N139" s="807">
        <v>0</v>
      </c>
      <c r="O139" s="807">
        <v>0</v>
      </c>
      <c r="P139" s="808"/>
      <c r="Q139" s="806">
        <v>1.0354043919631739E-2</v>
      </c>
      <c r="R139" s="807">
        <v>5.0896814104195434E-3</v>
      </c>
      <c r="S139" s="807">
        <v>0</v>
      </c>
      <c r="T139" s="807">
        <v>0</v>
      </c>
      <c r="U139" s="808"/>
      <c r="V139" s="806">
        <v>4.6634535000000005E-2</v>
      </c>
      <c r="W139" s="807">
        <v>4.6085355000000001E-2</v>
      </c>
      <c r="X139" s="807">
        <v>4.9700790000000002E-2</v>
      </c>
      <c r="Y139" s="808">
        <v>4.7595600000000002E-2</v>
      </c>
      <c r="Z139" s="384">
        <v>2018</v>
      </c>
      <c r="AA139" s="396"/>
      <c r="AB139" s="397">
        <v>5.4183767284770055E-2</v>
      </c>
      <c r="AC139" s="394">
        <v>4.9336082860879704E-2</v>
      </c>
      <c r="AD139" s="394">
        <v>4.8124667149459073E-2</v>
      </c>
      <c r="AE139" s="394">
        <v>3.9323778983916112E-2</v>
      </c>
      <c r="AF139" s="394">
        <v>1.1641356761407807E-2</v>
      </c>
      <c r="AG139" s="394">
        <v>7.6362152414879755E-3</v>
      </c>
      <c r="AH139" s="398">
        <v>147.71244101702897</v>
      </c>
      <c r="AI139" s="399">
        <v>0.17</v>
      </c>
      <c r="AJ139" s="400">
        <v>7.1070469718830633E-3</v>
      </c>
      <c r="AK139" s="393">
        <v>9.2631949275248562E-3</v>
      </c>
      <c r="AL139" s="394">
        <v>5.2164929706980225E-3</v>
      </c>
      <c r="AM139" s="394">
        <v>0</v>
      </c>
      <c r="AN139" s="395">
        <v>0</v>
      </c>
      <c r="AO139" s="393">
        <v>9.2631949275248562E-3</v>
      </c>
      <c r="AP139" s="394">
        <v>5.2164929706980225E-3</v>
      </c>
      <c r="AQ139" s="394">
        <v>0</v>
      </c>
      <c r="AR139" s="395">
        <v>0</v>
      </c>
      <c r="AS139" s="117"/>
      <c r="AT139" s="117"/>
      <c r="AU139" s="117"/>
      <c r="AV139" s="117"/>
      <c r="AW139" s="80"/>
      <c r="AX139" s="79"/>
      <c r="AY139" s="80"/>
      <c r="AZ139" s="79"/>
      <c r="BA139" s="7"/>
      <c r="BB139" s="78"/>
      <c r="BC139" s="82"/>
      <c r="BD139" s="78"/>
      <c r="BE139" s="82"/>
      <c r="BF139" s="78"/>
      <c r="BG139" s="82"/>
      <c r="BH139" s="78"/>
      <c r="BI139" s="82"/>
      <c r="BJ139" s="81"/>
      <c r="BK139" s="83"/>
      <c r="BL139" s="81"/>
      <c r="BM139" s="83"/>
      <c r="BN139" s="81"/>
      <c r="BO139" s="83"/>
      <c r="BP139" s="81"/>
      <c r="BQ139" s="83"/>
      <c r="BR139" s="7"/>
      <c r="BS139" s="7"/>
      <c r="BT139" s="7"/>
      <c r="BU139" s="7"/>
      <c r="BV139" s="7"/>
      <c r="BW139" s="7"/>
      <c r="BX139" s="7"/>
      <c r="BY139" s="7"/>
      <c r="BZ139" s="7"/>
      <c r="CA139" s="7"/>
      <c r="CB139" s="7"/>
      <c r="CC139" s="7"/>
      <c r="CD139" s="7"/>
      <c r="CE139" s="7"/>
    </row>
    <row r="140" spans="1:83">
      <c r="A140" s="23"/>
      <c r="B140" s="23"/>
      <c r="C140" s="384">
        <v>2019</v>
      </c>
      <c r="D140" s="391"/>
      <c r="E140" s="806">
        <f t="shared" si="140"/>
        <v>6.5838878208239457E-2</v>
      </c>
      <c r="F140" s="807">
        <f t="shared" si="141"/>
        <v>6.0619495815783152E-2</v>
      </c>
      <c r="G140" s="807">
        <f t="shared" si="142"/>
        <v>5.9760559752368977E-2</v>
      </c>
      <c r="H140" s="808">
        <f t="shared" si="143"/>
        <v>4.9998843319103654E-2</v>
      </c>
      <c r="I140" s="806">
        <f t="shared" si="144"/>
        <v>144.57019903376704</v>
      </c>
      <c r="J140" s="810">
        <v>0</v>
      </c>
      <c r="K140" s="808">
        <f t="shared" si="145"/>
        <v>72.28509951688352</v>
      </c>
      <c r="L140" s="806"/>
      <c r="M140" s="807"/>
      <c r="N140" s="807"/>
      <c r="O140" s="807"/>
      <c r="P140" s="808"/>
      <c r="Q140" s="806"/>
      <c r="R140" s="807"/>
      <c r="S140" s="807"/>
      <c r="T140" s="807"/>
      <c r="U140" s="808"/>
      <c r="V140" s="806">
        <v>4.6201460000000007E-2</v>
      </c>
      <c r="W140" s="807">
        <v>4.5657380000000004E-2</v>
      </c>
      <c r="X140" s="807">
        <v>4.9239240000000004E-2</v>
      </c>
      <c r="Y140" s="808">
        <v>4.7153600000000004E-2</v>
      </c>
      <c r="Z140" s="384">
        <v>2019</v>
      </c>
      <c r="AA140" s="396"/>
      <c r="AB140" s="397">
        <v>5.3405229983238718E-2</v>
      </c>
      <c r="AC140" s="394">
        <v>4.8616805769976061E-2</v>
      </c>
      <c r="AD140" s="394">
        <v>4.7828791032898832E-2</v>
      </c>
      <c r="AE140" s="394">
        <v>3.8873087883114138E-2</v>
      </c>
      <c r="AF140" s="394">
        <v>7.4661677318493382E-3</v>
      </c>
      <c r="AG140" s="394">
        <v>5.0434836829590414E-3</v>
      </c>
      <c r="AH140" s="398">
        <v>133.86129540163614</v>
      </c>
      <c r="AI140" s="399">
        <v>0.17</v>
      </c>
      <c r="AJ140" s="400">
        <v>6.99741057477912E-3</v>
      </c>
      <c r="AK140" s="393"/>
      <c r="AL140" s="394"/>
      <c r="AM140" s="394"/>
      <c r="AN140" s="395"/>
      <c r="AO140" s="393"/>
      <c r="AP140" s="394"/>
      <c r="AQ140" s="394"/>
      <c r="AR140" s="395"/>
      <c r="AS140" s="117"/>
      <c r="AT140" s="117"/>
      <c r="AU140" s="117"/>
      <c r="AV140" s="117"/>
      <c r="AW140" s="80"/>
      <c r="AX140" s="79"/>
      <c r="AY140" s="80"/>
      <c r="AZ140" s="79"/>
      <c r="BA140" s="7"/>
      <c r="BB140" s="78"/>
      <c r="BC140" s="82"/>
      <c r="BD140" s="78"/>
      <c r="BE140" s="82"/>
      <c r="BF140" s="78"/>
      <c r="BG140" s="82"/>
      <c r="BH140" s="78"/>
      <c r="BI140" s="82"/>
      <c r="BJ140" s="81"/>
      <c r="BK140" s="83"/>
      <c r="BL140" s="81"/>
      <c r="BM140" s="83"/>
      <c r="BN140" s="81"/>
      <c r="BO140" s="83"/>
      <c r="BP140" s="81"/>
      <c r="BQ140" s="83"/>
      <c r="BR140" s="7"/>
      <c r="BS140" s="7"/>
      <c r="BT140" s="7"/>
      <c r="BU140" s="7"/>
      <c r="BV140" s="7"/>
      <c r="BW140" s="7"/>
      <c r="BX140" s="7"/>
      <c r="BY140" s="7"/>
      <c r="BZ140" s="7"/>
      <c r="CA140" s="7"/>
      <c r="CB140" s="7"/>
      <c r="CC140" s="7"/>
      <c r="CD140" s="7"/>
      <c r="CE140" s="7"/>
    </row>
    <row r="141" spans="1:83">
      <c r="A141" s="23"/>
      <c r="B141" s="23"/>
      <c r="C141" s="384">
        <v>2020</v>
      </c>
      <c r="D141" s="391"/>
      <c r="E141" s="806">
        <f t="shared" si="140"/>
        <v>6.4247007286068913E-2</v>
      </c>
      <c r="F141" s="807">
        <f t="shared" si="141"/>
        <v>5.8561827531587278E-2</v>
      </c>
      <c r="G141" s="807">
        <f t="shared" si="142"/>
        <v>5.9847490380259029E-2</v>
      </c>
      <c r="H141" s="808">
        <f t="shared" si="143"/>
        <v>4.8054763158417592E-2</v>
      </c>
      <c r="I141" s="806">
        <f t="shared" si="144"/>
        <v>146.61423000000002</v>
      </c>
      <c r="J141" s="809">
        <f>AH141*(1+$AI141)*(1+$H$125)*(1+$H$126)*(1+$G$178)</f>
        <v>191.09062432441803</v>
      </c>
      <c r="K141" s="808">
        <f t="shared" si="145"/>
        <v>168.85242716220904</v>
      </c>
      <c r="L141" s="806"/>
      <c r="M141" s="807"/>
      <c r="N141" s="807"/>
      <c r="O141" s="807"/>
      <c r="P141" s="808"/>
      <c r="Q141" s="806"/>
      <c r="R141" s="807"/>
      <c r="S141" s="807"/>
      <c r="T141" s="807"/>
      <c r="U141" s="808"/>
      <c r="V141" s="806">
        <v>4.5773480000000005E-2</v>
      </c>
      <c r="W141" s="807">
        <v>4.5234440000000001E-2</v>
      </c>
      <c r="X141" s="807">
        <v>4.8783119999999999E-2</v>
      </c>
      <c r="Y141" s="808">
        <v>4.6716800000000003E-2</v>
      </c>
      <c r="Z141" s="384">
        <v>2020</v>
      </c>
      <c r="AA141" s="396"/>
      <c r="AB141" s="397">
        <v>5.2091642031927961E-2</v>
      </c>
      <c r="AC141" s="394">
        <v>4.6875880789284258E-2</v>
      </c>
      <c r="AD141" s="394">
        <v>4.8055387989900542E-2</v>
      </c>
      <c r="AE141" s="394">
        <v>3.723637219004601E-2</v>
      </c>
      <c r="AF141" s="394">
        <v>7.3453425979728522E-3</v>
      </c>
      <c r="AG141" s="394">
        <v>4.9670752191450646E-3</v>
      </c>
      <c r="AH141" s="398">
        <v>135.75391666666667</v>
      </c>
      <c r="AI141" s="399">
        <v>0.17</v>
      </c>
      <c r="AJ141" s="400">
        <v>6.8505664874013153E-3</v>
      </c>
      <c r="AK141" s="393"/>
      <c r="AL141" s="394"/>
      <c r="AM141" s="394"/>
      <c r="AN141" s="395"/>
      <c r="AO141" s="393"/>
      <c r="AP141" s="394"/>
      <c r="AQ141" s="394"/>
      <c r="AR141" s="395"/>
      <c r="AS141" s="117"/>
      <c r="AT141" s="117"/>
      <c r="AU141" s="117"/>
      <c r="AV141" s="117"/>
      <c r="AW141" s="80"/>
      <c r="AX141" s="79"/>
      <c r="AY141" s="80"/>
      <c r="AZ141" s="79"/>
      <c r="BA141" s="7"/>
      <c r="BB141" s="78"/>
      <c r="BC141" s="82"/>
      <c r="BD141" s="78"/>
      <c r="BE141" s="82"/>
      <c r="BF141" s="78"/>
      <c r="BG141" s="82"/>
      <c r="BH141" s="78"/>
      <c r="BI141" s="82"/>
      <c r="BJ141" s="81"/>
      <c r="BK141" s="83"/>
      <c r="BL141" s="81"/>
      <c r="BM141" s="83"/>
      <c r="BN141" s="81"/>
      <c r="BO141" s="83"/>
      <c r="BP141" s="81"/>
      <c r="BQ141" s="83"/>
      <c r="BR141" s="7"/>
      <c r="BS141" s="7"/>
      <c r="BT141" s="7"/>
      <c r="BU141" s="7"/>
      <c r="BV141" s="7"/>
      <c r="BW141" s="7"/>
      <c r="BX141" s="7"/>
      <c r="BY141" s="7"/>
      <c r="BZ141" s="7"/>
      <c r="CA141" s="7"/>
      <c r="CB141" s="7"/>
      <c r="CC141" s="7"/>
      <c r="CD141" s="7"/>
      <c r="CE141" s="7"/>
    </row>
    <row r="142" spans="1:83">
      <c r="A142" s="23"/>
      <c r="B142" s="23"/>
      <c r="C142" s="384">
        <v>2021</v>
      </c>
      <c r="D142" s="391"/>
      <c r="E142" s="806">
        <f t="shared" si="140"/>
        <v>6.8591154161493167E-2</v>
      </c>
      <c r="F142" s="807">
        <f t="shared" si="141"/>
        <v>6.3158572508211858E-2</v>
      </c>
      <c r="G142" s="807">
        <f t="shared" si="142"/>
        <v>6.5064842423172425E-2</v>
      </c>
      <c r="H142" s="808">
        <f t="shared" si="143"/>
        <v>5.3352983676381305E-2</v>
      </c>
      <c r="I142" s="806">
        <f t="shared" si="144"/>
        <v>149.68826999999999</v>
      </c>
      <c r="J142" s="809">
        <f t="shared" ref="J142:J166" si="146">AH142*(1+$AI142)*(1+$H$125)*(1+$H$126)*(1+$G$178)</f>
        <v>195.09719464708201</v>
      </c>
      <c r="K142" s="808">
        <f t="shared" si="145"/>
        <v>172.392732323541</v>
      </c>
      <c r="L142" s="806"/>
      <c r="M142" s="807"/>
      <c r="N142" s="807"/>
      <c r="O142" s="807"/>
      <c r="P142" s="808"/>
      <c r="Q142" s="806"/>
      <c r="R142" s="807"/>
      <c r="S142" s="807"/>
      <c r="T142" s="807"/>
      <c r="U142" s="808"/>
      <c r="V142" s="806">
        <v>4.4560870000000002E-2</v>
      </c>
      <c r="W142" s="807">
        <v>4.4036110000000003E-2</v>
      </c>
      <c r="X142" s="807">
        <v>4.7490780000000003E-2</v>
      </c>
      <c r="Y142" s="808">
        <v>4.5479200000000004E-2</v>
      </c>
      <c r="Z142" s="384">
        <v>2021</v>
      </c>
      <c r="AA142" s="396"/>
      <c r="AB142" s="397">
        <v>5.4176686834584847E-2</v>
      </c>
      <c r="AC142" s="394">
        <v>4.9192666969189149E-2</v>
      </c>
      <c r="AD142" s="394">
        <v>5.0941538450804347E-2</v>
      </c>
      <c r="AE142" s="394">
        <v>4.0196713912463863E-2</v>
      </c>
      <c r="AF142" s="394">
        <v>1.3118284149075002E-3</v>
      </c>
      <c r="AG142" s="394">
        <v>1.2220995926737498E-3</v>
      </c>
      <c r="AH142" s="398">
        <v>138.60024999999999</v>
      </c>
      <c r="AI142" s="399">
        <v>0.17</v>
      </c>
      <c r="AJ142" s="400">
        <v>8.7509775337575087E-3</v>
      </c>
      <c r="AK142" s="393"/>
      <c r="AL142" s="394"/>
      <c r="AM142" s="394"/>
      <c r="AN142" s="395"/>
      <c r="AO142" s="393"/>
      <c r="AP142" s="394"/>
      <c r="AQ142" s="394"/>
      <c r="AR142" s="395"/>
      <c r="AS142" s="117"/>
      <c r="AT142" s="117"/>
      <c r="AU142" s="117"/>
      <c r="AV142" s="117"/>
      <c r="AW142" s="80"/>
      <c r="AX142" s="79"/>
      <c r="AY142" s="80"/>
      <c r="AZ142" s="79"/>
      <c r="BA142" s="7"/>
      <c r="BB142" s="78"/>
      <c r="BC142" s="82"/>
      <c r="BD142" s="78"/>
      <c r="BE142" s="82"/>
      <c r="BF142" s="78"/>
      <c r="BG142" s="82"/>
      <c r="BH142" s="78"/>
      <c r="BI142" s="82"/>
      <c r="BJ142" s="81"/>
      <c r="BK142" s="83"/>
      <c r="BL142" s="81"/>
      <c r="BM142" s="83"/>
      <c r="BN142" s="81"/>
      <c r="BO142" s="83"/>
      <c r="BP142" s="81"/>
      <c r="BQ142" s="83"/>
      <c r="BR142" s="7"/>
      <c r="BS142" s="7"/>
      <c r="BT142" s="7"/>
      <c r="BU142" s="7"/>
      <c r="BV142" s="7"/>
      <c r="BW142" s="7"/>
      <c r="BX142" s="7"/>
      <c r="BY142" s="7"/>
      <c r="BZ142" s="7"/>
      <c r="CA142" s="7"/>
      <c r="CB142" s="7"/>
      <c r="CC142" s="7"/>
      <c r="CD142" s="7"/>
      <c r="CE142" s="7"/>
    </row>
    <row r="143" spans="1:83">
      <c r="A143" s="23"/>
      <c r="B143" s="23"/>
      <c r="C143" s="384">
        <v>2022</v>
      </c>
      <c r="D143" s="391"/>
      <c r="E143" s="806">
        <f t="shared" si="140"/>
        <v>7.2294506350866136E-2</v>
      </c>
      <c r="F143" s="807">
        <f t="shared" si="141"/>
        <v>6.6411036699260226E-2</v>
      </c>
      <c r="G143" s="807">
        <f t="shared" si="142"/>
        <v>6.8165769258550626E-2</v>
      </c>
      <c r="H143" s="808">
        <f t="shared" si="143"/>
        <v>5.5933736657473011E-2</v>
      </c>
      <c r="I143" s="806">
        <f t="shared" si="144"/>
        <v>151.09560000000002</v>
      </c>
      <c r="J143" s="809">
        <f t="shared" si="146"/>
        <v>196.93144749096004</v>
      </c>
      <c r="K143" s="808">
        <f t="shared" si="145"/>
        <v>174.01352374548003</v>
      </c>
      <c r="L143" s="806"/>
      <c r="M143" s="807"/>
      <c r="N143" s="807"/>
      <c r="O143" s="807"/>
      <c r="P143" s="808"/>
      <c r="Q143" s="806"/>
      <c r="R143" s="807"/>
      <c r="S143" s="807"/>
      <c r="T143" s="807"/>
      <c r="U143" s="808"/>
      <c r="V143" s="806">
        <v>4.334826E-2</v>
      </c>
      <c r="W143" s="807">
        <v>4.2837779999999999E-2</v>
      </c>
      <c r="X143" s="807">
        <v>4.619844E-2</v>
      </c>
      <c r="Y143" s="808">
        <v>4.4241599999999999E-2</v>
      </c>
      <c r="Z143" s="384">
        <v>2022</v>
      </c>
      <c r="AA143" s="396"/>
      <c r="AB143" s="397">
        <v>5.7359482127875949E-2</v>
      </c>
      <c r="AC143" s="394">
        <v>5.196180354842099E-2</v>
      </c>
      <c r="AD143" s="394">
        <v>5.3571649933091083E-2</v>
      </c>
      <c r="AE143" s="394">
        <v>4.2349601675221712E-2</v>
      </c>
      <c r="AF143" s="394">
        <v>1.3112963861375E-3</v>
      </c>
      <c r="AG143" s="394">
        <v>1.2213015495187499E-3</v>
      </c>
      <c r="AH143" s="398">
        <v>139.90333333333334</v>
      </c>
      <c r="AI143" s="399">
        <v>0.17</v>
      </c>
      <c r="AJ143" s="400">
        <v>8.9657530564048998E-3</v>
      </c>
      <c r="AK143" s="393"/>
      <c r="AL143" s="394"/>
      <c r="AM143" s="394"/>
      <c r="AN143" s="395"/>
      <c r="AO143" s="393"/>
      <c r="AP143" s="394"/>
      <c r="AQ143" s="394"/>
      <c r="AR143" s="395"/>
      <c r="AS143" s="117"/>
      <c r="AT143" s="117"/>
      <c r="AU143" s="117"/>
      <c r="AV143" s="117"/>
      <c r="AW143" s="80"/>
      <c r="AX143" s="79"/>
      <c r="AY143" s="80"/>
      <c r="AZ143" s="79"/>
      <c r="BA143" s="7"/>
      <c r="BB143" s="78"/>
      <c r="BC143" s="82"/>
      <c r="BD143" s="78"/>
      <c r="BE143" s="82"/>
      <c r="BF143" s="78"/>
      <c r="BG143" s="82"/>
      <c r="BH143" s="78"/>
      <c r="BI143" s="82"/>
      <c r="BJ143" s="81"/>
      <c r="BK143" s="83"/>
      <c r="BL143" s="81"/>
      <c r="BM143" s="83"/>
      <c r="BN143" s="81"/>
      <c r="BO143" s="83"/>
      <c r="BP143" s="81"/>
      <c r="BQ143" s="83"/>
      <c r="BR143" s="7"/>
      <c r="BS143" s="7"/>
      <c r="BT143" s="7"/>
      <c r="BU143" s="7"/>
      <c r="BV143" s="7"/>
      <c r="BW143" s="7"/>
      <c r="BX143" s="7"/>
      <c r="BY143" s="7"/>
      <c r="BZ143" s="7"/>
      <c r="CA143" s="7"/>
      <c r="CB143" s="7"/>
      <c r="CC143" s="7"/>
      <c r="CD143" s="7"/>
      <c r="CE143" s="7"/>
    </row>
    <row r="144" spans="1:83">
      <c r="A144" s="23"/>
      <c r="B144" s="23"/>
      <c r="C144" s="384">
        <v>2023</v>
      </c>
      <c r="D144" s="391"/>
      <c r="E144" s="806">
        <f t="shared" si="140"/>
        <v>7.4031589926540131E-2</v>
      </c>
      <c r="F144" s="807">
        <f t="shared" si="141"/>
        <v>6.8628872847888669E-2</v>
      </c>
      <c r="G144" s="807">
        <f t="shared" si="142"/>
        <v>7.2610902085829196E-2</v>
      </c>
      <c r="H144" s="808">
        <f t="shared" si="143"/>
        <v>5.902756941383009E-2</v>
      </c>
      <c r="I144" s="806">
        <f t="shared" si="144"/>
        <v>148.7475</v>
      </c>
      <c r="J144" s="809">
        <f t="shared" si="146"/>
        <v>193.87103585849997</v>
      </c>
      <c r="K144" s="808">
        <f t="shared" si="145"/>
        <v>171.30926792924998</v>
      </c>
      <c r="L144" s="806"/>
      <c r="M144" s="807"/>
      <c r="N144" s="807"/>
      <c r="O144" s="807"/>
      <c r="P144" s="808"/>
      <c r="Q144" s="806"/>
      <c r="R144" s="807"/>
      <c r="S144" s="807"/>
      <c r="T144" s="807"/>
      <c r="U144" s="808"/>
      <c r="V144" s="806">
        <v>4.2135650000000004E-2</v>
      </c>
      <c r="W144" s="807">
        <v>4.1639450000000001E-2</v>
      </c>
      <c r="X144" s="807">
        <v>4.4906099999999997E-2</v>
      </c>
      <c r="Y144" s="808">
        <v>4.3004000000000001E-2</v>
      </c>
      <c r="Z144" s="384">
        <v>2023</v>
      </c>
      <c r="AA144" s="396"/>
      <c r="AB144" s="397">
        <v>5.8633717462512752E-2</v>
      </c>
      <c r="AC144" s="394">
        <v>5.3677096289438016E-2</v>
      </c>
      <c r="AD144" s="394">
        <v>5.7330334122410974E-2</v>
      </c>
      <c r="AE144" s="394">
        <v>4.4868561028833812E-2</v>
      </c>
      <c r="AF144" s="394">
        <v>1.3112554608475E-3</v>
      </c>
      <c r="AG144" s="394">
        <v>1.2212401615837498E-3</v>
      </c>
      <c r="AH144" s="398">
        <v>137.72916666666666</v>
      </c>
      <c r="AI144" s="399">
        <v>0.17</v>
      </c>
      <c r="AJ144" s="400">
        <v>9.2851723783497556E-3</v>
      </c>
      <c r="AK144" s="393"/>
      <c r="AL144" s="394"/>
      <c r="AM144" s="394"/>
      <c r="AN144" s="395"/>
      <c r="AO144" s="393"/>
      <c r="AP144" s="394"/>
      <c r="AQ144" s="394"/>
      <c r="AR144" s="395"/>
      <c r="AS144" s="117"/>
      <c r="AT144" s="117"/>
      <c r="AU144" s="117"/>
      <c r="AV144" s="117"/>
      <c r="AW144" s="80"/>
      <c r="AX144" s="79"/>
      <c r="AY144" s="80"/>
      <c r="AZ144" s="79"/>
      <c r="BA144" s="7"/>
      <c r="BB144" s="78"/>
      <c r="BC144" s="82"/>
      <c r="BD144" s="78"/>
      <c r="BE144" s="82"/>
      <c r="BF144" s="78"/>
      <c r="BG144" s="82"/>
      <c r="BH144" s="78"/>
      <c r="BI144" s="82"/>
      <c r="BJ144" s="81"/>
      <c r="BK144" s="83"/>
      <c r="BL144" s="81"/>
      <c r="BM144" s="83"/>
      <c r="BN144" s="81"/>
      <c r="BO144" s="83"/>
      <c r="BP144" s="81"/>
      <c r="BQ144" s="83"/>
      <c r="BR144" s="7"/>
      <c r="BS144" s="7"/>
      <c r="BT144" s="7"/>
      <c r="BU144" s="7"/>
      <c r="BV144" s="7"/>
      <c r="BW144" s="7"/>
      <c r="BX144" s="7"/>
      <c r="BY144" s="7"/>
      <c r="BZ144" s="7"/>
      <c r="CA144" s="7"/>
      <c r="CB144" s="7"/>
      <c r="CC144" s="7"/>
      <c r="CD144" s="7"/>
      <c r="CE144" s="7"/>
    </row>
    <row r="145" spans="1:83">
      <c r="A145" s="23"/>
      <c r="B145" s="23"/>
      <c r="C145" s="384">
        <v>2024</v>
      </c>
      <c r="D145" s="391"/>
      <c r="E145" s="806">
        <f t="shared" si="140"/>
        <v>7.681278553635866E-2</v>
      </c>
      <c r="F145" s="807">
        <f t="shared" si="141"/>
        <v>7.145498929495013E-2</v>
      </c>
      <c r="G145" s="807">
        <f t="shared" si="142"/>
        <v>7.3260892599858254E-2</v>
      </c>
      <c r="H145" s="808">
        <f t="shared" si="143"/>
        <v>6.1910033344607568E-2</v>
      </c>
      <c r="I145" s="806">
        <f t="shared" si="144"/>
        <v>151.81811999999999</v>
      </c>
      <c r="J145" s="809">
        <f t="shared" si="146"/>
        <v>197.87314870159202</v>
      </c>
      <c r="K145" s="808">
        <f t="shared" si="145"/>
        <v>174.84563435079599</v>
      </c>
      <c r="L145" s="806"/>
      <c r="M145" s="807"/>
      <c r="N145" s="807"/>
      <c r="O145" s="807"/>
      <c r="P145" s="808"/>
      <c r="Q145" s="806"/>
      <c r="R145" s="807"/>
      <c r="S145" s="807"/>
      <c r="T145" s="807"/>
      <c r="U145" s="808"/>
      <c r="V145" s="806">
        <v>4.0928135000000004E-2</v>
      </c>
      <c r="W145" s="807">
        <v>4.0446154999999998E-2</v>
      </c>
      <c r="X145" s="807">
        <v>4.3619190000000002E-2</v>
      </c>
      <c r="Y145" s="808">
        <v>4.1771599999999999E-2</v>
      </c>
      <c r="Z145" s="384">
        <v>2024</v>
      </c>
      <c r="AA145" s="396"/>
      <c r="AB145" s="397">
        <v>6.0763312289651622E-2</v>
      </c>
      <c r="AC145" s="394">
        <v>5.5847902893863988E-2</v>
      </c>
      <c r="AD145" s="394">
        <v>5.7504694916715483E-2</v>
      </c>
      <c r="AE145" s="394">
        <v>4.70910625724488E-2</v>
      </c>
      <c r="AF145" s="394">
        <v>1.3102108336432901E-3</v>
      </c>
      <c r="AG145" s="394">
        <v>1.2196732207774353E-3</v>
      </c>
      <c r="AH145" s="398">
        <v>140.57233333333332</v>
      </c>
      <c r="AI145" s="399">
        <v>0.17</v>
      </c>
      <c r="AJ145" s="400">
        <v>9.707133156548968E-3</v>
      </c>
      <c r="AK145" s="393"/>
      <c r="AL145" s="394"/>
      <c r="AM145" s="394"/>
      <c r="AN145" s="395"/>
      <c r="AO145" s="393"/>
      <c r="AP145" s="394"/>
      <c r="AQ145" s="394"/>
      <c r="AR145" s="395"/>
      <c r="AS145" s="117"/>
      <c r="AT145" s="117"/>
      <c r="AU145" s="117"/>
      <c r="AV145" s="117"/>
      <c r="AW145" s="80"/>
      <c r="AX145" s="79"/>
      <c r="AY145" s="80"/>
      <c r="AZ145" s="79"/>
      <c r="BA145" s="7"/>
      <c r="BB145" s="78"/>
      <c r="BC145" s="82"/>
      <c r="BD145" s="78"/>
      <c r="BE145" s="82"/>
      <c r="BF145" s="78"/>
      <c r="BG145" s="82"/>
      <c r="BH145" s="78"/>
      <c r="BI145" s="82"/>
      <c r="BJ145" s="81"/>
      <c r="BK145" s="83"/>
      <c r="BL145" s="81"/>
      <c r="BM145" s="83"/>
      <c r="BN145" s="81"/>
      <c r="BO145" s="83"/>
      <c r="BP145" s="81"/>
      <c r="BQ145" s="83"/>
      <c r="BR145" s="7"/>
      <c r="BS145" s="7"/>
      <c r="BT145" s="7"/>
      <c r="BU145" s="7"/>
      <c r="BV145" s="7"/>
      <c r="BW145" s="7"/>
      <c r="BX145" s="7"/>
      <c r="BY145" s="7"/>
      <c r="BZ145" s="7"/>
      <c r="CA145" s="7"/>
      <c r="CB145" s="7"/>
      <c r="CC145" s="7"/>
      <c r="CD145" s="7"/>
      <c r="CE145" s="7"/>
    </row>
    <row r="146" spans="1:83">
      <c r="A146" s="23"/>
      <c r="B146" s="23"/>
      <c r="C146" s="384">
        <v>2025</v>
      </c>
      <c r="D146" s="391"/>
      <c r="E146" s="806">
        <f t="shared" si="140"/>
        <v>8.1336424874560109E-2</v>
      </c>
      <c r="F146" s="807">
        <f t="shared" si="141"/>
        <v>7.3749763642892679E-2</v>
      </c>
      <c r="G146" s="807">
        <f t="shared" si="142"/>
        <v>7.9164912716288269E-2</v>
      </c>
      <c r="H146" s="808">
        <f t="shared" si="143"/>
        <v>6.4116917251986025E-2</v>
      </c>
      <c r="I146" s="806">
        <f t="shared" si="144"/>
        <v>154.97892000000002</v>
      </c>
      <c r="J146" s="809">
        <f t="shared" si="146"/>
        <v>201.992798242872</v>
      </c>
      <c r="K146" s="808">
        <f t="shared" si="145"/>
        <v>178.48585912143602</v>
      </c>
      <c r="L146" s="806"/>
      <c r="M146" s="807"/>
      <c r="N146" s="807"/>
      <c r="O146" s="807"/>
      <c r="P146" s="808"/>
      <c r="Q146" s="806"/>
      <c r="R146" s="807"/>
      <c r="S146" s="807"/>
      <c r="T146" s="807"/>
      <c r="U146" s="808"/>
      <c r="V146" s="806">
        <v>3.9715525000000002E-2</v>
      </c>
      <c r="W146" s="807">
        <v>3.9247825000000007E-2</v>
      </c>
      <c r="X146" s="807">
        <v>4.2326849999999999E-2</v>
      </c>
      <c r="Y146" s="808">
        <v>4.0534000000000001E-2</v>
      </c>
      <c r="Z146" s="384">
        <v>2025</v>
      </c>
      <c r="AA146" s="396"/>
      <c r="AB146" s="397">
        <v>6.475826083973478E-2</v>
      </c>
      <c r="AC146" s="394">
        <v>5.7798021177654577E-2</v>
      </c>
      <c r="AD146" s="394">
        <v>6.2766047850494569E-2</v>
      </c>
      <c r="AE146" s="394">
        <v>4.8960547424529204E-2</v>
      </c>
      <c r="AF146" s="394">
        <v>1.3091706001412372E-3</v>
      </c>
      <c r="AG146" s="394">
        <v>1.2181128705243554E-3</v>
      </c>
      <c r="AH146" s="398">
        <v>143.499</v>
      </c>
      <c r="AI146" s="399">
        <v>0.17</v>
      </c>
      <c r="AJ146" s="400">
        <v>9.8623124396781548E-3</v>
      </c>
      <c r="AK146" s="393"/>
      <c r="AL146" s="394"/>
      <c r="AM146" s="394"/>
      <c r="AN146" s="395"/>
      <c r="AO146" s="393"/>
      <c r="AP146" s="394"/>
      <c r="AQ146" s="394"/>
      <c r="AR146" s="395"/>
      <c r="AS146" s="117"/>
      <c r="AT146" s="117"/>
      <c r="AU146" s="117"/>
      <c r="AV146" s="11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row>
    <row r="147" spans="1:83">
      <c r="A147" s="23"/>
      <c r="B147" s="23"/>
      <c r="C147" s="384">
        <v>2026</v>
      </c>
      <c r="D147" s="391"/>
      <c r="E147" s="806">
        <f t="shared" si="140"/>
        <v>8.2734450089741812E-2</v>
      </c>
      <c r="F147" s="807">
        <f t="shared" si="141"/>
        <v>7.6133216438945675E-2</v>
      </c>
      <c r="G147" s="807">
        <f t="shared" si="142"/>
        <v>8.3685037909056098E-2</v>
      </c>
      <c r="H147" s="808">
        <f t="shared" si="143"/>
        <v>6.6806869852763476E-2</v>
      </c>
      <c r="I147" s="806">
        <f t="shared" si="144"/>
        <v>155.61144000000002</v>
      </c>
      <c r="J147" s="809">
        <f t="shared" si="146"/>
        <v>202.81719735950404</v>
      </c>
      <c r="K147" s="808">
        <f t="shared" si="145"/>
        <v>179.21431867975201</v>
      </c>
      <c r="L147" s="806"/>
      <c r="M147" s="807"/>
      <c r="N147" s="807"/>
      <c r="O147" s="807"/>
      <c r="P147" s="808"/>
      <c r="Q147" s="806"/>
      <c r="R147" s="807"/>
      <c r="S147" s="807"/>
      <c r="T147" s="807"/>
      <c r="U147" s="808"/>
      <c r="V147" s="806">
        <v>3.8502914999999992E-2</v>
      </c>
      <c r="W147" s="807">
        <v>3.8049494999999996E-2</v>
      </c>
      <c r="X147" s="807">
        <v>4.1034509999999996E-2</v>
      </c>
      <c r="Y147" s="808">
        <v>3.9296399999999995E-2</v>
      </c>
      <c r="Z147" s="384">
        <v>2026</v>
      </c>
      <c r="AA147" s="396"/>
      <c r="AB147" s="397">
        <v>6.6094760974844305E-2</v>
      </c>
      <c r="AC147" s="394">
        <v>6.0038583313563439E-2</v>
      </c>
      <c r="AD147" s="394">
        <v>6.6966859891646399E-2</v>
      </c>
      <c r="AE147" s="394">
        <v>5.1482302041836646E-2</v>
      </c>
      <c r="AF147" s="394">
        <v>1.3081347446967371E-3</v>
      </c>
      <c r="AG147" s="394">
        <v>1.2165590873576058E-3</v>
      </c>
      <c r="AH147" s="398">
        <v>144.08466666666666</v>
      </c>
      <c r="AI147" s="399">
        <v>0.17</v>
      </c>
      <c r="AJ147" s="400">
        <v>9.8084042451023132E-3</v>
      </c>
      <c r="AK147" s="393"/>
      <c r="AL147" s="394"/>
      <c r="AM147" s="394"/>
      <c r="AN147" s="395"/>
      <c r="AO147" s="393"/>
      <c r="AP147" s="394"/>
      <c r="AQ147" s="394"/>
      <c r="AR147" s="395"/>
      <c r="AS147" s="117"/>
      <c r="AT147" s="117"/>
      <c r="AU147" s="117"/>
      <c r="AV147" s="11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row>
    <row r="148" spans="1:83">
      <c r="A148" s="23"/>
      <c r="B148" s="23"/>
      <c r="C148" s="384">
        <v>2027</v>
      </c>
      <c r="D148" s="391"/>
      <c r="E148" s="806">
        <f t="shared" si="140"/>
        <v>8.4045923674573558E-2</v>
      </c>
      <c r="F148" s="807">
        <f t="shared" si="141"/>
        <v>7.8095793781387535E-2</v>
      </c>
      <c r="G148" s="807">
        <f t="shared" si="142"/>
        <v>8.1199845846300772E-2</v>
      </c>
      <c r="H148" s="808">
        <f t="shared" si="143"/>
        <v>6.8637649043552282E-2</v>
      </c>
      <c r="I148" s="806">
        <f t="shared" si="144"/>
        <v>154.16630999999998</v>
      </c>
      <c r="J148" s="809">
        <f t="shared" si="146"/>
        <v>200.93367763614603</v>
      </c>
      <c r="K148" s="808">
        <f t="shared" si="145"/>
        <v>177.54999381807301</v>
      </c>
      <c r="L148" s="806"/>
      <c r="M148" s="807"/>
      <c r="N148" s="807"/>
      <c r="O148" s="807"/>
      <c r="P148" s="808"/>
      <c r="Q148" s="806"/>
      <c r="R148" s="807"/>
      <c r="S148" s="807"/>
      <c r="T148" s="807"/>
      <c r="U148" s="808"/>
      <c r="V148" s="806">
        <v>3.7295399999999999E-2</v>
      </c>
      <c r="W148" s="807">
        <v>3.6856200000000006E-2</v>
      </c>
      <c r="X148" s="807">
        <v>3.9747600000000001E-2</v>
      </c>
      <c r="Y148" s="808">
        <v>3.8064000000000001E-2</v>
      </c>
      <c r="Z148" s="384">
        <v>2027</v>
      </c>
      <c r="AA148" s="396"/>
      <c r="AB148" s="397">
        <v>6.7342028062459605E-2</v>
      </c>
      <c r="AC148" s="394">
        <v>6.1883193298068746E-2</v>
      </c>
      <c r="AD148" s="394">
        <v>6.4730947486062548E-2</v>
      </c>
      <c r="AE148" s="394">
        <v>5.320599629088045E-2</v>
      </c>
      <c r="AF148" s="394">
        <v>1.3071032517306585E-3</v>
      </c>
      <c r="AG148" s="394">
        <v>1.2150118479084876E-3</v>
      </c>
      <c r="AH148" s="398">
        <v>142.74658333333332</v>
      </c>
      <c r="AI148" s="399">
        <v>0.17</v>
      </c>
      <c r="AJ148" s="400">
        <v>9.7643239325620121E-3</v>
      </c>
      <c r="AK148" s="393"/>
      <c r="AL148" s="394"/>
      <c r="AM148" s="394"/>
      <c r="AN148" s="395"/>
      <c r="AO148" s="393"/>
      <c r="AP148" s="394"/>
      <c r="AQ148" s="394"/>
      <c r="AR148" s="395"/>
      <c r="AS148" s="117"/>
      <c r="AT148" s="117"/>
      <c r="AU148" s="117"/>
      <c r="AV148" s="117"/>
      <c r="AW148" s="9"/>
      <c r="AX148" s="9"/>
      <c r="AY148" s="9"/>
      <c r="AZ148" s="9"/>
      <c r="BA148" s="76"/>
      <c r="BB148" s="9"/>
      <c r="BC148" s="9"/>
      <c r="BD148" s="9"/>
      <c r="BE148" s="9"/>
      <c r="BF148" s="9"/>
      <c r="BG148" s="9"/>
      <c r="BH148" s="9"/>
      <c r="BI148" s="9"/>
      <c r="BJ148" s="9"/>
      <c r="BK148" s="9"/>
      <c r="BL148" s="9"/>
      <c r="BM148" s="9"/>
      <c r="BN148" s="9"/>
      <c r="BO148" s="9"/>
      <c r="BP148" s="9"/>
      <c r="BQ148" s="9"/>
      <c r="BR148" s="7"/>
      <c r="BS148" s="7"/>
      <c r="BT148" s="7"/>
      <c r="BU148" s="7"/>
      <c r="BV148" s="7"/>
      <c r="BW148" s="7"/>
      <c r="BX148" s="7"/>
      <c r="BY148" s="7"/>
      <c r="BZ148" s="7"/>
      <c r="CA148" s="7"/>
      <c r="CB148" s="7"/>
      <c r="CC148" s="7"/>
      <c r="CD148" s="7"/>
      <c r="CE148" s="7"/>
    </row>
    <row r="149" spans="1:83">
      <c r="A149" s="23"/>
      <c r="B149" s="23"/>
      <c r="C149" s="384">
        <v>2028</v>
      </c>
      <c r="D149" s="391"/>
      <c r="E149" s="806">
        <f t="shared" si="140"/>
        <v>8.6953990514622784E-2</v>
      </c>
      <c r="F149" s="807">
        <f t="shared" si="141"/>
        <v>8.1686038200854585E-2</v>
      </c>
      <c r="G149" s="807">
        <f t="shared" si="142"/>
        <v>8.7321593182787149E-2</v>
      </c>
      <c r="H149" s="808">
        <f t="shared" si="143"/>
        <v>7.2580861864675758E-2</v>
      </c>
      <c r="I149" s="806">
        <f t="shared" si="144"/>
        <v>157.869</v>
      </c>
      <c r="J149" s="809">
        <f t="shared" si="146"/>
        <v>205.75960308540002</v>
      </c>
      <c r="K149" s="808">
        <f t="shared" si="145"/>
        <v>181.81430154270001</v>
      </c>
      <c r="L149" s="806"/>
      <c r="M149" s="807"/>
      <c r="N149" s="807"/>
      <c r="O149" s="807"/>
      <c r="P149" s="808"/>
      <c r="Q149" s="806"/>
      <c r="R149" s="807"/>
      <c r="S149" s="807"/>
      <c r="T149" s="807"/>
      <c r="U149" s="808"/>
      <c r="V149" s="806">
        <v>3.6082789999999997E-2</v>
      </c>
      <c r="W149" s="807">
        <v>3.5657869999999994E-2</v>
      </c>
      <c r="X149" s="807">
        <v>3.8455259999999998E-2</v>
      </c>
      <c r="Y149" s="808">
        <v>3.6826399999999995E-2</v>
      </c>
      <c r="Z149" s="384">
        <v>2028</v>
      </c>
      <c r="AA149" s="396"/>
      <c r="AB149" s="397">
        <v>6.8890639030336959E-2</v>
      </c>
      <c r="AC149" s="394">
        <v>6.4057655256237689E-2</v>
      </c>
      <c r="AD149" s="394">
        <v>6.9227889184616198E-2</v>
      </c>
      <c r="AE149" s="394">
        <v>5.5704282470752528E-2</v>
      </c>
      <c r="AF149" s="394">
        <v>1.3060761057290646E-3</v>
      </c>
      <c r="AG149" s="394">
        <v>1.213471128906097E-3</v>
      </c>
      <c r="AH149" s="398">
        <v>146.17499999999998</v>
      </c>
      <c r="AI149" s="399">
        <v>0.17</v>
      </c>
      <c r="AJ149" s="400">
        <v>1.0883664194087608E-2</v>
      </c>
      <c r="AK149" s="393"/>
      <c r="AL149" s="394"/>
      <c r="AM149" s="394"/>
      <c r="AN149" s="395"/>
      <c r="AO149" s="393"/>
      <c r="AP149" s="394"/>
      <c r="AQ149" s="394"/>
      <c r="AR149" s="395"/>
      <c r="AS149" s="117"/>
      <c r="AT149" s="117"/>
      <c r="AU149" s="117"/>
      <c r="AV149" s="117"/>
      <c r="AW149" s="100"/>
      <c r="AX149" s="100"/>
      <c r="AY149" s="100"/>
      <c r="AZ149" s="100"/>
      <c r="BA149" s="1"/>
      <c r="BB149" s="100"/>
      <c r="BC149" s="100"/>
      <c r="BD149" s="100"/>
      <c r="BE149" s="100"/>
      <c r="BF149" s="100"/>
      <c r="BG149" s="100"/>
      <c r="BH149" s="100"/>
      <c r="BI149" s="100"/>
      <c r="BJ149" s="100"/>
      <c r="BK149" s="100"/>
      <c r="BL149" s="100"/>
      <c r="BM149" s="100"/>
      <c r="BN149" s="100"/>
      <c r="BO149" s="100"/>
      <c r="BP149" s="100"/>
      <c r="BQ149" s="100"/>
      <c r="BR149" s="7"/>
      <c r="BS149" s="7"/>
      <c r="BT149" s="7"/>
      <c r="BU149" s="7"/>
      <c r="BV149" s="7"/>
      <c r="BW149" s="7"/>
      <c r="BX149" s="7"/>
      <c r="BY149" s="7"/>
      <c r="BZ149" s="7"/>
      <c r="CA149" s="7"/>
      <c r="CB149" s="7"/>
      <c r="CC149" s="7"/>
      <c r="CD149" s="7"/>
      <c r="CE149" s="7"/>
    </row>
    <row r="150" spans="1:83">
      <c r="A150" s="23"/>
      <c r="B150" s="23"/>
      <c r="C150" s="384">
        <v>2029</v>
      </c>
      <c r="D150" s="391"/>
      <c r="E150" s="806">
        <f t="shared" si="140"/>
        <v>9.1057642818989218E-2</v>
      </c>
      <c r="F150" s="807">
        <f t="shared" si="141"/>
        <v>8.5884668575805623E-2</v>
      </c>
      <c r="G150" s="807">
        <f t="shared" si="142"/>
        <v>9.0526692782540039E-2</v>
      </c>
      <c r="H150" s="808">
        <f t="shared" si="143"/>
        <v>7.5324370416777087E-2</v>
      </c>
      <c r="I150" s="806">
        <f t="shared" si="144"/>
        <v>164.01041999999998</v>
      </c>
      <c r="J150" s="809">
        <f t="shared" si="146"/>
        <v>213.764063375772</v>
      </c>
      <c r="K150" s="808">
        <f t="shared" si="145"/>
        <v>188.88724168788599</v>
      </c>
      <c r="L150" s="806"/>
      <c r="M150" s="807"/>
      <c r="N150" s="807"/>
      <c r="O150" s="807"/>
      <c r="P150" s="808"/>
      <c r="Q150" s="806"/>
      <c r="R150" s="807"/>
      <c r="S150" s="807"/>
      <c r="T150" s="807"/>
      <c r="U150" s="808"/>
      <c r="V150" s="806">
        <v>3.4870180000000001E-2</v>
      </c>
      <c r="W150" s="807">
        <v>3.4459540000000004E-2</v>
      </c>
      <c r="X150" s="807">
        <v>3.7162919999999995E-2</v>
      </c>
      <c r="Y150" s="808">
        <v>3.5588799999999997E-2</v>
      </c>
      <c r="Z150" s="384">
        <v>2029</v>
      </c>
      <c r="AA150" s="396"/>
      <c r="AB150" s="397">
        <v>7.2759277684886714E-2</v>
      </c>
      <c r="AC150" s="394">
        <v>6.8013429755360483E-2</v>
      </c>
      <c r="AD150" s="394">
        <v>7.2272167559703976E-2</v>
      </c>
      <c r="AE150" s="394">
        <v>5.8325082820471899E-2</v>
      </c>
      <c r="AF150" s="394">
        <v>1.3050532912429408E-3</v>
      </c>
      <c r="AG150" s="394">
        <v>1.2119369071769111E-3</v>
      </c>
      <c r="AH150" s="398">
        <v>151.86149999999998</v>
      </c>
      <c r="AI150" s="399">
        <v>0.17</v>
      </c>
      <c r="AJ150" s="400">
        <v>1.0779844167396975E-2</v>
      </c>
      <c r="AK150" s="393"/>
      <c r="AL150" s="394"/>
      <c r="AM150" s="394"/>
      <c r="AN150" s="395"/>
      <c r="AO150" s="393"/>
      <c r="AP150" s="394"/>
      <c r="AQ150" s="394"/>
      <c r="AR150" s="395"/>
      <c r="AS150" s="117"/>
      <c r="AT150" s="117"/>
      <c r="AU150" s="117"/>
      <c r="AV150" s="117"/>
      <c r="AW150" s="80"/>
      <c r="AX150" s="79"/>
      <c r="AY150" s="80"/>
      <c r="AZ150" s="79"/>
      <c r="BA150" s="7"/>
      <c r="BB150" s="78"/>
      <c r="BC150" s="82"/>
      <c r="BD150" s="78"/>
      <c r="BE150" s="82"/>
      <c r="BF150" s="78"/>
      <c r="BG150" s="82"/>
      <c r="BH150" s="78"/>
      <c r="BI150" s="82"/>
      <c r="BJ150" s="81"/>
      <c r="BK150" s="83"/>
      <c r="BL150" s="81"/>
      <c r="BM150" s="83"/>
      <c r="BN150" s="81"/>
      <c r="BO150" s="83"/>
      <c r="BP150" s="81"/>
      <c r="BQ150" s="83"/>
      <c r="BR150" s="7"/>
      <c r="BS150" s="7"/>
      <c r="BT150" s="7"/>
      <c r="BU150" s="7"/>
      <c r="BV150" s="7"/>
      <c r="BW150" s="7"/>
      <c r="BX150" s="7"/>
      <c r="BY150" s="7"/>
      <c r="BZ150" s="7"/>
      <c r="CA150" s="7"/>
      <c r="CB150" s="7"/>
      <c r="CC150" s="7"/>
      <c r="CD150" s="7"/>
      <c r="CE150" s="7"/>
    </row>
    <row r="151" spans="1:83" ht="12.75" customHeight="1">
      <c r="A151" s="23"/>
      <c r="B151" s="23"/>
      <c r="C151" s="384">
        <v>2030</v>
      </c>
      <c r="D151" s="391"/>
      <c r="E151" s="806">
        <f t="shared" si="140"/>
        <v>9.8505675373120133E-2</v>
      </c>
      <c r="F151" s="807">
        <f t="shared" si="141"/>
        <v>8.9260937208283847E-2</v>
      </c>
      <c r="G151" s="807">
        <f t="shared" si="142"/>
        <v>0.10783409669283849</v>
      </c>
      <c r="H151" s="808">
        <f t="shared" si="143"/>
        <v>8.0615625771436689E-2</v>
      </c>
      <c r="I151" s="806">
        <f t="shared" si="144"/>
        <v>165.81672</v>
      </c>
      <c r="J151" s="809">
        <f t="shared" si="146"/>
        <v>216.11831640235201</v>
      </c>
      <c r="K151" s="808">
        <f t="shared" si="145"/>
        <v>190.96751820117601</v>
      </c>
      <c r="L151" s="806"/>
      <c r="M151" s="807"/>
      <c r="N151" s="807"/>
      <c r="O151" s="807"/>
      <c r="P151" s="808"/>
      <c r="Q151" s="806"/>
      <c r="R151" s="807"/>
      <c r="S151" s="807"/>
      <c r="T151" s="807"/>
      <c r="U151" s="808"/>
      <c r="V151" s="806">
        <v>3.3657569999999998E-2</v>
      </c>
      <c r="W151" s="807">
        <v>3.3261209999999999E-2</v>
      </c>
      <c r="X151" s="807">
        <v>3.5870579999999999E-2</v>
      </c>
      <c r="Y151" s="808">
        <v>3.4351200000000005E-2</v>
      </c>
      <c r="Z151" s="384">
        <v>2030</v>
      </c>
      <c r="AA151" s="396"/>
      <c r="AB151" s="397">
        <v>7.9677914616411077E-2</v>
      </c>
      <c r="AC151" s="394">
        <v>7.1196503456010821E-2</v>
      </c>
      <c r="AD151" s="394">
        <v>8.8236099313400387E-2</v>
      </c>
      <c r="AE151" s="394">
        <v>6.3265025073582226E-2</v>
      </c>
      <c r="AF151" s="394">
        <v>1.3040347928879202E-3</v>
      </c>
      <c r="AG151" s="394">
        <v>1.2104091596443801E-3</v>
      </c>
      <c r="AH151" s="398">
        <v>153.53399999999999</v>
      </c>
      <c r="AI151" s="399">
        <v>0.17</v>
      </c>
      <c r="AJ151" s="400">
        <v>1.0694264624983536E-2</v>
      </c>
      <c r="AK151" s="393"/>
      <c r="AL151" s="394"/>
      <c r="AM151" s="394"/>
      <c r="AN151" s="395"/>
      <c r="AO151" s="393"/>
      <c r="AP151" s="394"/>
      <c r="AQ151" s="394"/>
      <c r="AR151" s="395"/>
      <c r="AS151" s="117"/>
      <c r="AT151" s="117"/>
      <c r="AU151" s="117"/>
      <c r="AV151" s="117"/>
      <c r="AW151" s="80"/>
      <c r="AX151" s="79"/>
      <c r="AY151" s="80"/>
      <c r="AZ151" s="79"/>
      <c r="BA151" s="7"/>
      <c r="BB151" s="78"/>
      <c r="BC151" s="82"/>
      <c r="BD151" s="78"/>
      <c r="BE151" s="82"/>
      <c r="BF151" s="78"/>
      <c r="BG151" s="82"/>
      <c r="BH151" s="78"/>
      <c r="BI151" s="82"/>
      <c r="BJ151" s="81"/>
      <c r="BK151" s="83"/>
      <c r="BL151" s="81"/>
      <c r="BM151" s="83"/>
      <c r="BN151" s="81"/>
      <c r="BO151" s="83"/>
      <c r="BP151" s="81"/>
      <c r="BQ151" s="83"/>
      <c r="BR151" s="7"/>
      <c r="BS151" s="7"/>
      <c r="BT151" s="7"/>
      <c r="BU151" s="7"/>
      <c r="BV151" s="7"/>
      <c r="BW151" s="7"/>
      <c r="BX151" s="7"/>
      <c r="BY151" s="7"/>
      <c r="BZ151" s="7"/>
      <c r="CA151" s="7"/>
      <c r="CB151" s="7"/>
      <c r="CC151" s="7"/>
      <c r="CD151" s="7"/>
      <c r="CE151" s="7"/>
    </row>
    <row r="152" spans="1:83">
      <c r="A152" s="23"/>
      <c r="B152" s="23"/>
      <c r="C152" s="384">
        <v>2031</v>
      </c>
      <c r="D152" s="391"/>
      <c r="E152" s="806">
        <f t="shared" si="140"/>
        <v>0.10169661078682986</v>
      </c>
      <c r="F152" s="807">
        <f t="shared" si="141"/>
        <v>9.238510697434392E-2</v>
      </c>
      <c r="G152" s="807">
        <f t="shared" si="142"/>
        <v>0.1123371907059009</v>
      </c>
      <c r="H152" s="808">
        <f t="shared" si="143"/>
        <v>8.3634752433237439E-2</v>
      </c>
      <c r="I152" s="806">
        <f t="shared" si="144"/>
        <v>158.74213499999999</v>
      </c>
      <c r="J152" s="809">
        <f t="shared" si="146"/>
        <v>206.89760935034096</v>
      </c>
      <c r="K152" s="808">
        <f t="shared" si="145"/>
        <v>182.81987217517047</v>
      </c>
      <c r="L152" s="806"/>
      <c r="M152" s="807"/>
      <c r="N152" s="807"/>
      <c r="O152" s="807"/>
      <c r="P152" s="808"/>
      <c r="Q152" s="806"/>
      <c r="R152" s="807"/>
      <c r="S152" s="807"/>
      <c r="T152" s="807"/>
      <c r="U152" s="808"/>
      <c r="V152" s="806">
        <v>3.3657569999999998E-2</v>
      </c>
      <c r="W152" s="807">
        <v>3.3261209999999999E-2</v>
      </c>
      <c r="X152" s="807">
        <v>3.5870579999999999E-2</v>
      </c>
      <c r="Y152" s="808">
        <v>3.4351200000000005E-2</v>
      </c>
      <c r="Z152" s="384">
        <v>2031</v>
      </c>
      <c r="AA152" s="396"/>
      <c r="AB152" s="397">
        <v>8.2601388316142249E-2</v>
      </c>
      <c r="AC152" s="394">
        <v>7.4058724267990012E-2</v>
      </c>
      <c r="AD152" s="394">
        <v>9.2363388241895494E-2</v>
      </c>
      <c r="AE152" s="394">
        <v>6.6030876065140034E-2</v>
      </c>
      <c r="AF152" s="394">
        <v>1.3040347928879202E-3</v>
      </c>
      <c r="AG152" s="394">
        <v>1.2104091596443801E-3</v>
      </c>
      <c r="AH152" s="398">
        <v>146.98345833333332</v>
      </c>
      <c r="AI152" s="399">
        <v>0.17</v>
      </c>
      <c r="AJ152" s="400">
        <v>1.0698254607554858E-2</v>
      </c>
      <c r="AK152" s="393"/>
      <c r="AL152" s="394"/>
      <c r="AM152" s="394"/>
      <c r="AN152" s="395"/>
      <c r="AO152" s="393"/>
      <c r="AP152" s="394"/>
      <c r="AQ152" s="394"/>
      <c r="AR152" s="395"/>
      <c r="AS152" s="117"/>
      <c r="AT152" s="117"/>
      <c r="AU152" s="117"/>
      <c r="AV152" s="117"/>
      <c r="AW152" s="80"/>
      <c r="AX152" s="79"/>
      <c r="AY152" s="80"/>
      <c r="AZ152" s="79"/>
      <c r="BA152" s="7"/>
      <c r="BB152" s="78"/>
      <c r="BC152" s="82"/>
      <c r="BD152" s="78"/>
      <c r="BE152" s="82"/>
      <c r="BF152" s="78"/>
      <c r="BG152" s="82"/>
      <c r="BH152" s="78"/>
      <c r="BI152" s="82"/>
      <c r="BJ152" s="81"/>
      <c r="BK152" s="83"/>
      <c r="BL152" s="81"/>
      <c r="BM152" s="83"/>
      <c r="BN152" s="81"/>
      <c r="BO152" s="83"/>
      <c r="BP152" s="81"/>
      <c r="BQ152" s="83"/>
      <c r="BR152" s="7"/>
      <c r="BS152" s="7"/>
      <c r="BT152" s="7"/>
      <c r="BU152" s="7"/>
      <c r="BV152" s="7"/>
      <c r="BW152" s="7"/>
      <c r="BX152" s="7"/>
      <c r="BY152" s="7"/>
      <c r="BZ152" s="7"/>
      <c r="CA152" s="7"/>
      <c r="CB152" s="7"/>
      <c r="CC152" s="7"/>
      <c r="CD152" s="7"/>
      <c r="CE152" s="7"/>
    </row>
    <row r="153" spans="1:83">
      <c r="A153" s="23"/>
      <c r="B153" s="23"/>
      <c r="C153" s="384">
        <v>2032</v>
      </c>
      <c r="D153" s="391"/>
      <c r="E153" s="806">
        <f t="shared" si="140"/>
        <v>0.10500448791674621</v>
      </c>
      <c r="F153" s="807">
        <f t="shared" si="141"/>
        <v>9.5634721074260118E-2</v>
      </c>
      <c r="G153" s="807">
        <f t="shared" si="142"/>
        <v>0.11705073805079946</v>
      </c>
      <c r="H153" s="808">
        <f t="shared" si="143"/>
        <v>8.6785702824478853E-2</v>
      </c>
      <c r="I153" s="806">
        <f t="shared" si="144"/>
        <v>158.74213499999999</v>
      </c>
      <c r="J153" s="809">
        <f t="shared" si="146"/>
        <v>206.89760935034096</v>
      </c>
      <c r="K153" s="808">
        <f t="shared" si="145"/>
        <v>182.81987217517047</v>
      </c>
      <c r="L153" s="806"/>
      <c r="M153" s="807"/>
      <c r="N153" s="807"/>
      <c r="O153" s="807"/>
      <c r="P153" s="808"/>
      <c r="Q153" s="806"/>
      <c r="R153" s="807"/>
      <c r="S153" s="807"/>
      <c r="T153" s="807"/>
      <c r="U153" s="808"/>
      <c r="V153" s="806">
        <v>3.3657569999999998E-2</v>
      </c>
      <c r="W153" s="807">
        <v>3.3261209999999999E-2</v>
      </c>
      <c r="X153" s="807">
        <v>3.5870579999999999E-2</v>
      </c>
      <c r="Y153" s="808">
        <v>3.4351200000000005E-2</v>
      </c>
      <c r="Z153" s="384">
        <v>2032</v>
      </c>
      <c r="AA153" s="396"/>
      <c r="AB153" s="397">
        <v>8.5632127605267505E-2</v>
      </c>
      <c r="AC153" s="394">
        <v>7.703601123601421E-2</v>
      </c>
      <c r="AD153" s="394">
        <v>9.6683733232839297E-2</v>
      </c>
      <c r="AE153" s="394">
        <v>6.8917645869242414E-2</v>
      </c>
      <c r="AF153" s="394">
        <v>1.3040347928879202E-3</v>
      </c>
      <c r="AG153" s="394">
        <v>1.2104091596443801E-3</v>
      </c>
      <c r="AH153" s="398">
        <v>146.98345833333332</v>
      </c>
      <c r="AI153" s="399">
        <v>0.17</v>
      </c>
      <c r="AJ153" s="400">
        <v>1.0702264978903323E-2</v>
      </c>
      <c r="AK153" s="393"/>
      <c r="AL153" s="394"/>
      <c r="AM153" s="394"/>
      <c r="AN153" s="395"/>
      <c r="AO153" s="393"/>
      <c r="AP153" s="394"/>
      <c r="AQ153" s="394"/>
      <c r="AR153" s="395"/>
      <c r="AS153" s="117"/>
      <c r="AT153" s="117"/>
      <c r="AU153" s="117"/>
      <c r="AV153" s="117"/>
      <c r="AW153" s="80"/>
      <c r="AX153" s="79"/>
      <c r="AY153" s="80"/>
      <c r="AZ153" s="79"/>
      <c r="BA153" s="7"/>
      <c r="BB153" s="78"/>
      <c r="BC153" s="82"/>
      <c r="BD153" s="78"/>
      <c r="BE153" s="82"/>
      <c r="BF153" s="78"/>
      <c r="BG153" s="82"/>
      <c r="BH153" s="78"/>
      <c r="BI153" s="82"/>
      <c r="BJ153" s="81"/>
      <c r="BK153" s="83"/>
      <c r="BL153" s="81"/>
      <c r="BM153" s="83"/>
      <c r="BN153" s="81"/>
      <c r="BO153" s="83"/>
      <c r="BP153" s="81"/>
      <c r="BQ153" s="83"/>
      <c r="BR153" s="7"/>
      <c r="BS153" s="7"/>
      <c r="BT153" s="7"/>
      <c r="BU153" s="7"/>
      <c r="BV153" s="7"/>
      <c r="BW153" s="7"/>
      <c r="BX153" s="7"/>
      <c r="BY153" s="7"/>
      <c r="BZ153" s="7"/>
      <c r="CA153" s="7"/>
      <c r="CB153" s="7"/>
      <c r="CC153" s="7"/>
      <c r="CD153" s="7"/>
      <c r="CE153" s="7"/>
    </row>
    <row r="154" spans="1:83">
      <c r="A154" s="23"/>
      <c r="B154" s="23"/>
      <c r="C154" s="384">
        <v>2033</v>
      </c>
      <c r="D154" s="391"/>
      <c r="E154" s="806">
        <f t="shared" si="140"/>
        <v>0.10843359678616185</v>
      </c>
      <c r="F154" s="807">
        <f t="shared" si="141"/>
        <v>9.9014821804236028E-2</v>
      </c>
      <c r="G154" s="807">
        <f t="shared" si="142"/>
        <v>0.12198458186440997</v>
      </c>
      <c r="H154" s="808">
        <f t="shared" si="143"/>
        <v>9.0074239220751876E-2</v>
      </c>
      <c r="I154" s="806">
        <f t="shared" si="144"/>
        <v>158.74213499999999</v>
      </c>
      <c r="J154" s="809">
        <f t="shared" si="146"/>
        <v>206.89760935034096</v>
      </c>
      <c r="K154" s="808">
        <f t="shared" si="145"/>
        <v>182.81987217517047</v>
      </c>
      <c r="L154" s="806"/>
      <c r="M154" s="807"/>
      <c r="N154" s="807"/>
      <c r="O154" s="807"/>
      <c r="P154" s="808"/>
      <c r="Q154" s="806"/>
      <c r="R154" s="807"/>
      <c r="S154" s="807"/>
      <c r="T154" s="807"/>
      <c r="U154" s="808"/>
      <c r="V154" s="806">
        <v>3.3657569999999998E-2</v>
      </c>
      <c r="W154" s="807">
        <v>3.3261209999999999E-2</v>
      </c>
      <c r="X154" s="807">
        <v>3.5870579999999999E-2</v>
      </c>
      <c r="Y154" s="808">
        <v>3.4351200000000005E-2</v>
      </c>
      <c r="Z154" s="384">
        <v>2033</v>
      </c>
      <c r="AA154" s="396"/>
      <c r="AB154" s="397">
        <v>8.8774068180786286E-2</v>
      </c>
      <c r="AC154" s="394">
        <v>8.0132990215716723E-2</v>
      </c>
      <c r="AD154" s="394">
        <v>0.10120616458284878</v>
      </c>
      <c r="AE154" s="394">
        <v>7.1930620873070714E-2</v>
      </c>
      <c r="AF154" s="394">
        <v>1.3040347928879202E-3</v>
      </c>
      <c r="AG154" s="394">
        <v>1.2104091596443801E-3</v>
      </c>
      <c r="AH154" s="398">
        <v>146.98345833333332</v>
      </c>
      <c r="AI154" s="399">
        <v>0.17</v>
      </c>
      <c r="AJ154" s="400">
        <v>1.0706295843215405E-2</v>
      </c>
      <c r="AK154" s="393"/>
      <c r="AL154" s="394"/>
      <c r="AM154" s="394"/>
      <c r="AN154" s="395"/>
      <c r="AO154" s="393"/>
      <c r="AP154" s="394"/>
      <c r="AQ154" s="394"/>
      <c r="AR154" s="395"/>
      <c r="AS154" s="117"/>
      <c r="AT154" s="117"/>
      <c r="AU154" s="117"/>
      <c r="AV154" s="117"/>
      <c r="AW154" s="80"/>
      <c r="AX154" s="79"/>
      <c r="AY154" s="80"/>
      <c r="AZ154" s="79"/>
      <c r="BA154" s="7"/>
      <c r="BB154" s="78"/>
      <c r="BC154" s="82"/>
      <c r="BD154" s="78"/>
      <c r="BE154" s="82"/>
      <c r="BF154" s="78"/>
      <c r="BG154" s="82"/>
      <c r="BH154" s="78"/>
      <c r="BI154" s="82"/>
      <c r="BJ154" s="81"/>
      <c r="BK154" s="83"/>
      <c r="BL154" s="81"/>
      <c r="BM154" s="83"/>
      <c r="BN154" s="81"/>
      <c r="BO154" s="83"/>
      <c r="BP154" s="81"/>
      <c r="BQ154" s="83"/>
      <c r="BR154" s="7"/>
      <c r="BS154" s="7"/>
      <c r="BT154" s="7"/>
      <c r="BU154" s="7"/>
      <c r="BV154" s="7"/>
      <c r="BW154" s="7"/>
      <c r="BX154" s="7"/>
      <c r="BY154" s="7"/>
      <c r="BZ154" s="7"/>
      <c r="CA154" s="7"/>
      <c r="CB154" s="7"/>
      <c r="CC154" s="7"/>
      <c r="CD154" s="7"/>
      <c r="CE154" s="7"/>
    </row>
    <row r="155" spans="1:83">
      <c r="A155" s="23"/>
      <c r="B155" s="23"/>
      <c r="C155" s="384">
        <v>2034</v>
      </c>
      <c r="D155" s="391"/>
      <c r="E155" s="806">
        <f t="shared" si="140"/>
        <v>0.11198838482063794</v>
      </c>
      <c r="F155" s="807">
        <f t="shared" si="141"/>
        <v>0.10253065416539343</v>
      </c>
      <c r="G155" s="807">
        <f t="shared" si="142"/>
        <v>0.12714902569666653</v>
      </c>
      <c r="H155" s="808">
        <f t="shared" si="143"/>
        <v>9.3506375811216541E-2</v>
      </c>
      <c r="I155" s="806">
        <f t="shared" si="144"/>
        <v>158.74213499999999</v>
      </c>
      <c r="J155" s="809">
        <f t="shared" si="146"/>
        <v>206.89760935034096</v>
      </c>
      <c r="K155" s="808">
        <f t="shared" si="145"/>
        <v>182.81987217517047</v>
      </c>
      <c r="L155" s="806"/>
      <c r="M155" s="807"/>
      <c r="N155" s="807"/>
      <c r="O155" s="807"/>
      <c r="P155" s="808"/>
      <c r="Q155" s="806"/>
      <c r="R155" s="807"/>
      <c r="S155" s="807"/>
      <c r="T155" s="807"/>
      <c r="U155" s="808"/>
      <c r="V155" s="806">
        <v>3.3657569999999998E-2</v>
      </c>
      <c r="W155" s="807">
        <v>3.3261209999999999E-2</v>
      </c>
      <c r="X155" s="807">
        <v>3.5870579999999999E-2</v>
      </c>
      <c r="Y155" s="808">
        <v>3.4351200000000005E-2</v>
      </c>
      <c r="Z155" s="384">
        <v>2034</v>
      </c>
      <c r="AA155" s="396"/>
      <c r="AB155" s="397">
        <v>9.2031290144916567E-2</v>
      </c>
      <c r="AC155" s="394">
        <v>8.3354473030013351E-2</v>
      </c>
      <c r="AD155" s="394">
        <v>0.10594013498530977</v>
      </c>
      <c r="AE155" s="394">
        <v>7.5075318576640057E-2</v>
      </c>
      <c r="AF155" s="394">
        <v>1.3040347928879202E-3</v>
      </c>
      <c r="AG155" s="394">
        <v>1.2104091596443801E-3</v>
      </c>
      <c r="AH155" s="398">
        <v>146.98345833333332</v>
      </c>
      <c r="AI155" s="399">
        <v>0.17</v>
      </c>
      <c r="AJ155" s="400">
        <v>1.0710347305209976E-2</v>
      </c>
      <c r="AK155" s="393"/>
      <c r="AL155" s="394"/>
      <c r="AM155" s="394"/>
      <c r="AN155" s="395"/>
      <c r="AO155" s="393"/>
      <c r="AP155" s="394"/>
      <c r="AQ155" s="394"/>
      <c r="AR155" s="395"/>
      <c r="AS155" s="117"/>
      <c r="AT155" s="117"/>
      <c r="AU155" s="117"/>
      <c r="AV155" s="117"/>
      <c r="AW155" s="80"/>
      <c r="AX155" s="79"/>
      <c r="AY155" s="80"/>
      <c r="AZ155" s="79"/>
      <c r="BA155" s="7"/>
      <c r="BB155" s="78"/>
      <c r="BC155" s="82"/>
      <c r="BD155" s="78"/>
      <c r="BE155" s="82"/>
      <c r="BF155" s="78"/>
      <c r="BG155" s="82"/>
      <c r="BH155" s="78"/>
      <c r="BI155" s="82"/>
      <c r="BJ155" s="81"/>
      <c r="BK155" s="83"/>
      <c r="BL155" s="81"/>
      <c r="BM155" s="83"/>
      <c r="BN155" s="81"/>
      <c r="BO155" s="83"/>
      <c r="BP155" s="81"/>
      <c r="BQ155" s="83"/>
      <c r="BR155" s="7"/>
      <c r="BS155" s="7"/>
      <c r="BT155" s="7"/>
      <c r="BU155" s="7"/>
      <c r="BV155" s="7"/>
      <c r="BW155" s="7"/>
      <c r="BX155" s="7"/>
      <c r="BY155" s="7"/>
      <c r="BZ155" s="7"/>
      <c r="CA155" s="7"/>
      <c r="CB155" s="7"/>
      <c r="CC155" s="7"/>
      <c r="CD155" s="7"/>
      <c r="CE155" s="7"/>
    </row>
    <row r="156" spans="1:83">
      <c r="A156" s="23"/>
      <c r="B156" s="23"/>
      <c r="C156" s="384">
        <v>2035</v>
      </c>
      <c r="D156" s="391"/>
      <c r="E156" s="806">
        <f t="shared" si="140"/>
        <v>0.11567346262325473</v>
      </c>
      <c r="F156" s="807">
        <f t="shared" si="141"/>
        <v>0.10618767401283519</v>
      </c>
      <c r="G156" s="807">
        <f t="shared" si="142"/>
        <v>0.13255485504659509</v>
      </c>
      <c r="H156" s="808">
        <f t="shared" si="143"/>
        <v>9.7088389711859069E-2</v>
      </c>
      <c r="I156" s="806">
        <f t="shared" si="144"/>
        <v>158.74213499999999</v>
      </c>
      <c r="J156" s="809">
        <f t="shared" si="146"/>
        <v>206.89760935034096</v>
      </c>
      <c r="K156" s="808">
        <f t="shared" si="145"/>
        <v>182.81987217517047</v>
      </c>
      <c r="L156" s="806"/>
      <c r="M156" s="807"/>
      <c r="N156" s="807"/>
      <c r="O156" s="807"/>
      <c r="P156" s="808"/>
      <c r="Q156" s="806"/>
      <c r="R156" s="807"/>
      <c r="S156" s="807"/>
      <c r="T156" s="807"/>
      <c r="U156" s="808"/>
      <c r="V156" s="806">
        <v>3.3657569999999998E-2</v>
      </c>
      <c r="W156" s="807">
        <v>3.3261209999999999E-2</v>
      </c>
      <c r="X156" s="807">
        <v>3.5870579999999999E-2</v>
      </c>
      <c r="Y156" s="808">
        <v>3.4351200000000005E-2</v>
      </c>
      <c r="Z156" s="384">
        <v>2035</v>
      </c>
      <c r="AA156" s="396"/>
      <c r="AB156" s="397">
        <v>9.5408023303487174E-2</v>
      </c>
      <c r="AC156" s="394">
        <v>8.6705464945304109E-2</v>
      </c>
      <c r="AD156" s="394">
        <v>0.11089553928820309</v>
      </c>
      <c r="AE156" s="394">
        <v>7.8357497696702166E-2</v>
      </c>
      <c r="AF156" s="394">
        <v>1.3040347928879202E-3</v>
      </c>
      <c r="AG156" s="394">
        <v>1.2104091596443801E-3</v>
      </c>
      <c r="AH156" s="398">
        <v>146.98345833333332</v>
      </c>
      <c r="AI156" s="399">
        <v>0.17</v>
      </c>
      <c r="AJ156" s="400">
        <v>1.0714419470141017E-2</v>
      </c>
      <c r="AK156" s="393"/>
      <c r="AL156" s="394"/>
      <c r="AM156" s="394"/>
      <c r="AN156" s="395"/>
      <c r="AO156" s="393"/>
      <c r="AP156" s="394"/>
      <c r="AQ156" s="394"/>
      <c r="AR156" s="395"/>
      <c r="AS156" s="117"/>
      <c r="AT156" s="117"/>
      <c r="AU156" s="117"/>
      <c r="AV156" s="117"/>
      <c r="AW156" s="80"/>
      <c r="AX156" s="79"/>
      <c r="AY156" s="80"/>
      <c r="AZ156" s="79"/>
      <c r="BA156" s="7"/>
      <c r="BB156" s="78"/>
      <c r="BC156" s="82"/>
      <c r="BD156" s="78"/>
      <c r="BE156" s="82"/>
      <c r="BF156" s="78"/>
      <c r="BG156" s="82"/>
      <c r="BH156" s="78"/>
      <c r="BI156" s="82"/>
      <c r="BJ156" s="81"/>
      <c r="BK156" s="83"/>
      <c r="BL156" s="81"/>
      <c r="BM156" s="83"/>
      <c r="BN156" s="81"/>
      <c r="BO156" s="83"/>
      <c r="BP156" s="81"/>
      <c r="BQ156" s="83"/>
      <c r="BR156" s="7"/>
      <c r="BS156" s="7"/>
      <c r="BT156" s="7"/>
      <c r="BU156" s="7"/>
      <c r="BV156" s="7"/>
      <c r="BW156" s="7"/>
      <c r="BX156" s="7"/>
      <c r="BY156" s="7"/>
      <c r="BZ156" s="7"/>
      <c r="CA156" s="7"/>
      <c r="CB156" s="7"/>
      <c r="CC156" s="7"/>
      <c r="CD156" s="7"/>
      <c r="CE156" s="7"/>
    </row>
    <row r="157" spans="1:83" ht="15" customHeight="1">
      <c r="A157" s="23"/>
      <c r="B157" s="23"/>
      <c r="C157" s="384">
        <v>2036</v>
      </c>
      <c r="D157" s="391"/>
      <c r="E157" s="806">
        <f t="shared" si="140"/>
        <v>0.11949360996176281</v>
      </c>
      <c r="F157" s="807">
        <f t="shared" si="141"/>
        <v>0.10999155653231427</v>
      </c>
      <c r="G157" s="807">
        <f t="shared" si="142"/>
        <v>0.13821335990570574</v>
      </c>
      <c r="H157" s="808">
        <f t="shared" si="143"/>
        <v>0.10082683246023159</v>
      </c>
      <c r="I157" s="806">
        <f t="shared" si="144"/>
        <v>158.74213499999999</v>
      </c>
      <c r="J157" s="809">
        <f t="shared" si="146"/>
        <v>206.89760935034096</v>
      </c>
      <c r="K157" s="808">
        <f t="shared" si="145"/>
        <v>182.81987217517047</v>
      </c>
      <c r="L157" s="806"/>
      <c r="M157" s="807"/>
      <c r="N157" s="807"/>
      <c r="O157" s="807"/>
      <c r="P157" s="808"/>
      <c r="Q157" s="806"/>
      <c r="R157" s="807"/>
      <c r="S157" s="807"/>
      <c r="T157" s="807"/>
      <c r="U157" s="808"/>
      <c r="V157" s="806">
        <v>3.3657569999999998E-2</v>
      </c>
      <c r="W157" s="807">
        <v>3.3261209999999999E-2</v>
      </c>
      <c r="X157" s="807">
        <v>3.5870579999999999E-2</v>
      </c>
      <c r="Y157" s="808">
        <v>3.4351200000000005E-2</v>
      </c>
      <c r="Z157" s="384">
        <v>2036</v>
      </c>
      <c r="AA157" s="396"/>
      <c r="AB157" s="397">
        <v>9.8908652658734317E-2</v>
      </c>
      <c r="AC157" s="394">
        <v>9.0191172448231077E-2</v>
      </c>
      <c r="AD157" s="394">
        <v>0.11608273517611314</v>
      </c>
      <c r="AE157" s="394">
        <v>8.1783168712375412E-2</v>
      </c>
      <c r="AF157" s="394">
        <v>1.3040347928879202E-3</v>
      </c>
      <c r="AG157" s="394">
        <v>1.2104091596443801E-3</v>
      </c>
      <c r="AH157" s="398">
        <v>146.98345833333332</v>
      </c>
      <c r="AI157" s="399">
        <v>0.17</v>
      </c>
      <c r="AJ157" s="400">
        <v>1.0718512443800361E-2</v>
      </c>
      <c r="AK157" s="393"/>
      <c r="AL157" s="394"/>
      <c r="AM157" s="394"/>
      <c r="AN157" s="395"/>
      <c r="AO157" s="393"/>
      <c r="AP157" s="394"/>
      <c r="AQ157" s="394"/>
      <c r="AR157" s="395"/>
      <c r="AS157" s="117"/>
      <c r="AT157" s="117"/>
      <c r="AU157" s="117"/>
      <c r="AV157" s="117"/>
      <c r="AW157" s="80"/>
      <c r="AX157" s="79"/>
      <c r="AY157" s="80"/>
      <c r="AZ157" s="79"/>
      <c r="BA157" s="7"/>
      <c r="BB157" s="78"/>
      <c r="BC157" s="82"/>
      <c r="BD157" s="78"/>
      <c r="BE157" s="82"/>
      <c r="BF157" s="78"/>
      <c r="BG157" s="82"/>
      <c r="BH157" s="78"/>
      <c r="BI157" s="82"/>
      <c r="BJ157" s="81"/>
      <c r="BK157" s="83"/>
      <c r="BL157" s="81"/>
      <c r="BM157" s="83"/>
      <c r="BN157" s="81"/>
      <c r="BO157" s="83"/>
      <c r="BP157" s="81"/>
      <c r="BQ157" s="83"/>
      <c r="BR157" s="7"/>
      <c r="BS157" s="7"/>
      <c r="BT157" s="7"/>
      <c r="BU157" s="7"/>
      <c r="BV157" s="7"/>
      <c r="BW157" s="7"/>
      <c r="BX157" s="7"/>
      <c r="BY157" s="7"/>
      <c r="BZ157" s="7"/>
      <c r="CA157" s="7"/>
      <c r="CB157" s="7"/>
      <c r="CC157" s="7"/>
      <c r="CD157" s="7"/>
      <c r="CE157" s="7"/>
    </row>
    <row r="158" spans="1:83" ht="13.5" customHeight="1">
      <c r="A158" s="23"/>
      <c r="B158" s="23"/>
      <c r="C158" s="384">
        <v>2037</v>
      </c>
      <c r="D158" s="391"/>
      <c r="E158" s="806">
        <f t="shared" si="140"/>
        <v>0.12345378197540947</v>
      </c>
      <c r="F158" s="807">
        <f t="shared" si="141"/>
        <v>0.11394820505767918</v>
      </c>
      <c r="G158" s="807">
        <f t="shared" si="142"/>
        <v>0.14413635835586378</v>
      </c>
      <c r="H158" s="808">
        <f t="shared" si="143"/>
        <v>0.10472854201272432</v>
      </c>
      <c r="I158" s="806">
        <f t="shared" si="144"/>
        <v>158.74213499999999</v>
      </c>
      <c r="J158" s="809">
        <f t="shared" si="146"/>
        <v>206.89760935034096</v>
      </c>
      <c r="K158" s="808">
        <f t="shared" si="145"/>
        <v>182.81987217517047</v>
      </c>
      <c r="L158" s="806"/>
      <c r="M158" s="807"/>
      <c r="N158" s="807"/>
      <c r="O158" s="807"/>
      <c r="P158" s="808"/>
      <c r="Q158" s="806"/>
      <c r="R158" s="807"/>
      <c r="S158" s="807"/>
      <c r="T158" s="807"/>
      <c r="U158" s="808"/>
      <c r="V158" s="806">
        <v>3.3657569999999998E-2</v>
      </c>
      <c r="W158" s="807">
        <v>3.3261209999999999E-2</v>
      </c>
      <c r="X158" s="807">
        <v>3.5870579999999999E-2</v>
      </c>
      <c r="Y158" s="808">
        <v>3.4351200000000005E-2</v>
      </c>
      <c r="Z158" s="384">
        <v>2037</v>
      </c>
      <c r="AA158" s="396"/>
      <c r="AB158" s="397">
        <v>0.10253772410363504</v>
      </c>
      <c r="AC158" s="394">
        <v>9.381701133507514E-2</v>
      </c>
      <c r="AD158" s="394">
        <v>0.12151256481964816</v>
      </c>
      <c r="AE158" s="394">
        <v>8.5358604871813806E-2</v>
      </c>
      <c r="AF158" s="394">
        <v>1.3040347928879202E-3</v>
      </c>
      <c r="AG158" s="394">
        <v>1.2104091596443801E-3</v>
      </c>
      <c r="AH158" s="398">
        <v>146.98345833333332</v>
      </c>
      <c r="AI158" s="399">
        <v>0.17</v>
      </c>
      <c r="AJ158" s="400">
        <v>1.072262633252043E-2</v>
      </c>
      <c r="AK158" s="393"/>
      <c r="AL158" s="394"/>
      <c r="AM158" s="394"/>
      <c r="AN158" s="395"/>
      <c r="AO158" s="393"/>
      <c r="AP158" s="394"/>
      <c r="AQ158" s="394"/>
      <c r="AR158" s="395"/>
      <c r="AS158" s="117"/>
      <c r="AT158" s="117"/>
      <c r="AU158" s="117"/>
      <c r="AV158" s="117"/>
      <c r="AW158" s="80"/>
      <c r="AX158" s="79"/>
      <c r="AY158" s="80"/>
      <c r="AZ158" s="79"/>
      <c r="BA158" s="7"/>
      <c r="BB158" s="78"/>
      <c r="BC158" s="82"/>
      <c r="BD158" s="78"/>
      <c r="BE158" s="82"/>
      <c r="BF158" s="78"/>
      <c r="BG158" s="82"/>
      <c r="BH158" s="78"/>
      <c r="BI158" s="82"/>
      <c r="BJ158" s="81"/>
      <c r="BK158" s="83"/>
      <c r="BL158" s="81"/>
      <c r="BM158" s="83"/>
      <c r="BN158" s="81"/>
      <c r="BO158" s="83"/>
      <c r="BP158" s="81"/>
      <c r="BQ158" s="83"/>
      <c r="BR158" s="7"/>
      <c r="BS158" s="7"/>
      <c r="BT158" s="7"/>
      <c r="BU158" s="7"/>
      <c r="BV158" s="7"/>
      <c r="BW158" s="7"/>
      <c r="BX158" s="7"/>
      <c r="BY158" s="7"/>
      <c r="BZ158" s="7"/>
      <c r="CA158" s="7"/>
      <c r="CB158" s="7"/>
      <c r="CC158" s="7"/>
      <c r="CD158" s="7"/>
      <c r="CE158" s="7"/>
    </row>
    <row r="159" spans="1:83" ht="13.5" customHeight="1">
      <c r="A159" s="23"/>
      <c r="B159" s="23"/>
      <c r="C159" s="384">
        <v>2038</v>
      </c>
      <c r="D159" s="391"/>
      <c r="E159" s="806">
        <f t="shared" si="140"/>
        <v>0.12755911560950076</v>
      </c>
      <c r="F159" s="807">
        <f t="shared" si="141"/>
        <v>0.11806376024279572</v>
      </c>
      <c r="G159" s="807">
        <f t="shared" si="142"/>
        <v>0.15033622127096308</v>
      </c>
      <c r="H159" s="808">
        <f t="shared" si="143"/>
        <v>0.10880065526634024</v>
      </c>
      <c r="I159" s="806">
        <f t="shared" si="144"/>
        <v>158.74213499999999</v>
      </c>
      <c r="J159" s="809">
        <f t="shared" si="146"/>
        <v>206.89760935034096</v>
      </c>
      <c r="K159" s="808">
        <f t="shared" si="145"/>
        <v>182.81987217517047</v>
      </c>
      <c r="L159" s="806"/>
      <c r="M159" s="807"/>
      <c r="N159" s="807"/>
      <c r="O159" s="807"/>
      <c r="P159" s="808"/>
      <c r="Q159" s="806"/>
      <c r="R159" s="807"/>
      <c r="S159" s="807"/>
      <c r="T159" s="807"/>
      <c r="U159" s="808"/>
      <c r="V159" s="806">
        <v>3.3657569999999998E-2</v>
      </c>
      <c r="W159" s="807">
        <v>3.3261209999999999E-2</v>
      </c>
      <c r="X159" s="807">
        <v>3.5870579999999999E-2</v>
      </c>
      <c r="Y159" s="808">
        <v>3.4351200000000005E-2</v>
      </c>
      <c r="Z159" s="384">
        <v>2038</v>
      </c>
      <c r="AA159" s="396"/>
      <c r="AB159" s="397">
        <v>0.10629995032517231</v>
      </c>
      <c r="AC159" s="394">
        <v>9.7588615126360342E-2</v>
      </c>
      <c r="AD159" s="394">
        <v>0.12719637753752305</v>
      </c>
      <c r="AE159" s="394">
        <v>8.9090353680070913E-2</v>
      </c>
      <c r="AF159" s="394">
        <v>1.3040347928879202E-3</v>
      </c>
      <c r="AG159" s="394">
        <v>1.2104091596443801E-3</v>
      </c>
      <c r="AH159" s="398">
        <v>146.98345833333332</v>
      </c>
      <c r="AI159" s="399">
        <v>0.17</v>
      </c>
      <c r="AJ159" s="400">
        <v>1.0726761243177013E-2</v>
      </c>
      <c r="AK159" s="393"/>
      <c r="AL159" s="394"/>
      <c r="AM159" s="394"/>
      <c r="AN159" s="395"/>
      <c r="AO159" s="393"/>
      <c r="AP159" s="394"/>
      <c r="AQ159" s="394"/>
      <c r="AR159" s="395"/>
      <c r="AS159" s="117"/>
      <c r="AT159" s="117"/>
      <c r="AU159" s="117"/>
      <c r="AV159" s="117"/>
      <c r="AW159" s="80"/>
      <c r="AX159" s="79"/>
      <c r="AY159" s="80"/>
      <c r="AZ159" s="79"/>
      <c r="BA159" s="7"/>
      <c r="BB159" s="78"/>
      <c r="BC159" s="82"/>
      <c r="BD159" s="78"/>
      <c r="BE159" s="82"/>
      <c r="BF159" s="78"/>
      <c r="BG159" s="82"/>
      <c r="BH159" s="78"/>
      <c r="BI159" s="82"/>
      <c r="BJ159" s="81"/>
      <c r="BK159" s="83"/>
      <c r="BL159" s="81"/>
      <c r="BM159" s="83"/>
      <c r="BN159" s="81"/>
      <c r="BO159" s="83"/>
      <c r="BP159" s="81"/>
      <c r="BQ159" s="83"/>
      <c r="BR159" s="7"/>
      <c r="BS159" s="7"/>
      <c r="BT159" s="7"/>
      <c r="BU159" s="7"/>
      <c r="BV159" s="7"/>
      <c r="BW159" s="7"/>
      <c r="BX159" s="7"/>
      <c r="BY159" s="7"/>
      <c r="BZ159" s="7"/>
      <c r="CA159" s="7"/>
      <c r="CB159" s="7"/>
      <c r="CC159" s="7"/>
      <c r="CD159" s="7"/>
      <c r="CE159" s="7"/>
    </row>
    <row r="160" spans="1:83">
      <c r="A160" s="23"/>
      <c r="B160" s="23"/>
      <c r="C160" s="384">
        <v>2039</v>
      </c>
      <c r="D160" s="391"/>
      <c r="E160" s="806">
        <f t="shared" si="140"/>
        <v>0.13181493628605462</v>
      </c>
      <c r="F160" s="807">
        <f t="shared" si="141"/>
        <v>0.12234460960219545</v>
      </c>
      <c r="G160" s="807">
        <f t="shared" si="142"/>
        <v>0.15682589817403295</v>
      </c>
      <c r="H160" s="808">
        <f t="shared" si="143"/>
        <v>0.11305062112790271</v>
      </c>
      <c r="I160" s="806">
        <f t="shared" si="144"/>
        <v>158.74213499999999</v>
      </c>
      <c r="J160" s="809">
        <f t="shared" si="146"/>
        <v>206.89760935034096</v>
      </c>
      <c r="K160" s="808">
        <f t="shared" si="145"/>
        <v>182.81987217517047</v>
      </c>
      <c r="L160" s="806"/>
      <c r="M160" s="807"/>
      <c r="N160" s="807"/>
      <c r="O160" s="807"/>
      <c r="P160" s="808"/>
      <c r="Q160" s="806"/>
      <c r="R160" s="807"/>
      <c r="S160" s="807"/>
      <c r="T160" s="807"/>
      <c r="U160" s="808"/>
      <c r="V160" s="806">
        <v>3.3657569999999998E-2</v>
      </c>
      <c r="W160" s="807">
        <v>3.3261209999999999E-2</v>
      </c>
      <c r="X160" s="807">
        <v>3.5870579999999999E-2</v>
      </c>
      <c r="Y160" s="808">
        <v>3.4351200000000005E-2</v>
      </c>
      <c r="Z160" s="384">
        <v>2039</v>
      </c>
      <c r="AA160" s="396"/>
      <c r="AB160" s="397">
        <v>0.11020021692419751</v>
      </c>
      <c r="AC160" s="394">
        <v>0.10151184381973959</v>
      </c>
      <c r="AD160" s="394">
        <v>0.13314605351867304</v>
      </c>
      <c r="AE160" s="394">
        <v>9.2985248889195779E-2</v>
      </c>
      <c r="AF160" s="394">
        <v>1.3040347928879202E-3</v>
      </c>
      <c r="AG160" s="394">
        <v>1.2104091596443801E-3</v>
      </c>
      <c r="AH160" s="398">
        <v>146.98345833333332</v>
      </c>
      <c r="AI160" s="399">
        <v>0.17</v>
      </c>
      <c r="AJ160" s="400">
        <v>1.0730917283192025E-2</v>
      </c>
      <c r="AK160" s="393"/>
      <c r="AL160" s="394"/>
      <c r="AM160" s="394"/>
      <c r="AN160" s="395"/>
      <c r="AO160" s="393"/>
      <c r="AP160" s="394"/>
      <c r="AQ160" s="394"/>
      <c r="AR160" s="395"/>
      <c r="AS160" s="117"/>
      <c r="AT160" s="117"/>
      <c r="AU160" s="117"/>
      <c r="AV160" s="117"/>
      <c r="AW160" s="80"/>
      <c r="AX160" s="79"/>
      <c r="AY160" s="80"/>
      <c r="AZ160" s="79"/>
      <c r="BA160" s="7"/>
      <c r="BB160" s="78"/>
      <c r="BC160" s="82"/>
      <c r="BD160" s="78"/>
      <c r="BE160" s="82"/>
      <c r="BF160" s="78"/>
      <c r="BG160" s="82"/>
      <c r="BH160" s="78"/>
      <c r="BI160" s="82"/>
      <c r="BJ160" s="81"/>
      <c r="BK160" s="83"/>
      <c r="BL160" s="81"/>
      <c r="BM160" s="83"/>
      <c r="BN160" s="81"/>
      <c r="BO160" s="83"/>
      <c r="BP160" s="81"/>
      <c r="BQ160" s="83"/>
      <c r="BR160" s="7"/>
      <c r="BS160" s="7"/>
      <c r="BT160" s="7"/>
      <c r="BU160" s="7"/>
      <c r="BV160" s="7"/>
      <c r="BW160" s="7"/>
      <c r="BX160" s="7"/>
      <c r="BY160" s="7"/>
      <c r="BZ160" s="7"/>
      <c r="CA160" s="7"/>
      <c r="CB160" s="7"/>
      <c r="CC160" s="7"/>
      <c r="CD160" s="7"/>
      <c r="CE160" s="7"/>
    </row>
    <row r="161" spans="1:83">
      <c r="A161" s="23"/>
      <c r="B161" s="23"/>
      <c r="C161" s="384">
        <v>2040</v>
      </c>
      <c r="D161" s="391"/>
      <c r="E161" s="806">
        <f t="shared" si="140"/>
        <v>0.13622676481920798</v>
      </c>
      <c r="F161" s="807">
        <f t="shared" si="141"/>
        <v>0.12679739743527441</v>
      </c>
      <c r="G161" s="807">
        <f t="shared" si="142"/>
        <v>0.16361894430382407</v>
      </c>
      <c r="H161" s="808">
        <f t="shared" si="143"/>
        <v>0.11748621415462872</v>
      </c>
      <c r="I161" s="806">
        <f t="shared" si="144"/>
        <v>158.74213499999999</v>
      </c>
      <c r="J161" s="809">
        <f t="shared" si="146"/>
        <v>206.89760935034096</v>
      </c>
      <c r="K161" s="808">
        <f t="shared" si="145"/>
        <v>182.81987217517047</v>
      </c>
      <c r="L161" s="806"/>
      <c r="M161" s="807"/>
      <c r="N161" s="807"/>
      <c r="O161" s="807"/>
      <c r="P161" s="808"/>
      <c r="Q161" s="806"/>
      <c r="R161" s="807"/>
      <c r="S161" s="807"/>
      <c r="T161" s="807"/>
      <c r="U161" s="808"/>
      <c r="V161" s="806">
        <v>3.3657569999999998E-2</v>
      </c>
      <c r="W161" s="807">
        <v>3.3261209999999999E-2</v>
      </c>
      <c r="X161" s="807">
        <v>3.5870579999999999E-2</v>
      </c>
      <c r="Y161" s="808">
        <v>3.4351200000000005E-2</v>
      </c>
      <c r="Z161" s="384">
        <v>2040</v>
      </c>
      <c r="AA161" s="396"/>
      <c r="AB161" s="397">
        <v>0.11424358875983798</v>
      </c>
      <c r="AC161" s="394">
        <v>0.10559279299476132</v>
      </c>
      <c r="AD161" s="394">
        <v>0.13937402865398116</v>
      </c>
      <c r="AE161" s="394">
        <v>9.7050423012517567E-2</v>
      </c>
      <c r="AF161" s="394">
        <v>1.3040347928879202E-3</v>
      </c>
      <c r="AG161" s="394">
        <v>1.2104091596443801E-3</v>
      </c>
      <c r="AH161" s="398">
        <v>146.98345833333332</v>
      </c>
      <c r="AI161" s="399">
        <v>0.17</v>
      </c>
      <c r="AJ161" s="400">
        <v>1.0735094560536304E-2</v>
      </c>
      <c r="AK161" s="393"/>
      <c r="AL161" s="394"/>
      <c r="AM161" s="394"/>
      <c r="AN161" s="395"/>
      <c r="AO161" s="393"/>
      <c r="AP161" s="394"/>
      <c r="AQ161" s="394"/>
      <c r="AR161" s="395"/>
      <c r="AS161" s="117"/>
      <c r="AT161" s="117"/>
      <c r="AU161" s="117"/>
      <c r="AV161" s="117"/>
      <c r="AW161" s="80"/>
      <c r="AX161" s="79"/>
      <c r="AY161" s="80"/>
      <c r="AZ161" s="79"/>
      <c r="BA161" s="7"/>
      <c r="BB161" s="78"/>
      <c r="BC161" s="82"/>
      <c r="BD161" s="78"/>
      <c r="BE161" s="82"/>
      <c r="BF161" s="78"/>
      <c r="BG161" s="82"/>
      <c r="BH161" s="78"/>
      <c r="BI161" s="82"/>
      <c r="BJ161" s="81"/>
      <c r="BK161" s="83"/>
      <c r="BL161" s="81"/>
      <c r="BM161" s="83"/>
      <c r="BN161" s="81"/>
      <c r="BO161" s="83"/>
      <c r="BP161" s="81"/>
      <c r="BQ161" s="83"/>
      <c r="BR161" s="7"/>
      <c r="BS161" s="7"/>
      <c r="BT161" s="7"/>
      <c r="BU161" s="7"/>
      <c r="BV161" s="7"/>
      <c r="BW161" s="7"/>
      <c r="BX161" s="7"/>
      <c r="BY161" s="7"/>
      <c r="BZ161" s="7"/>
      <c r="CA161" s="7"/>
      <c r="CB161" s="7"/>
      <c r="CC161" s="7"/>
      <c r="CD161" s="7"/>
      <c r="CE161" s="7"/>
    </row>
    <row r="162" spans="1:83">
      <c r="A162" s="23"/>
      <c r="B162" s="23"/>
      <c r="C162" s="384">
        <v>2041</v>
      </c>
      <c r="D162" s="391"/>
      <c r="E162" s="806">
        <f t="shared" si="140"/>
        <v>0.14080032458435793</v>
      </c>
      <c r="F162" s="807">
        <f t="shared" si="141"/>
        <v>0.13142903514946144</v>
      </c>
      <c r="G162" s="807">
        <f t="shared" si="142"/>
        <v>0.17072954894744818</v>
      </c>
      <c r="H162" s="808">
        <f t="shared" si="143"/>
        <v>0.12211554879104754</v>
      </c>
      <c r="I162" s="806">
        <f t="shared" si="144"/>
        <v>158.74213499999999</v>
      </c>
      <c r="J162" s="809">
        <f t="shared" si="146"/>
        <v>206.89760935034096</v>
      </c>
      <c r="K162" s="808">
        <f t="shared" si="145"/>
        <v>182.81987217517047</v>
      </c>
      <c r="L162" s="806"/>
      <c r="M162" s="807"/>
      <c r="N162" s="807"/>
      <c r="O162" s="807"/>
      <c r="P162" s="808"/>
      <c r="Q162" s="806"/>
      <c r="R162" s="807"/>
      <c r="S162" s="807"/>
      <c r="T162" s="807"/>
      <c r="U162" s="808"/>
      <c r="V162" s="806">
        <v>3.3657569999999998E-2</v>
      </c>
      <c r="W162" s="807">
        <v>3.3261209999999999E-2</v>
      </c>
      <c r="X162" s="807">
        <v>3.5870579999999999E-2</v>
      </c>
      <c r="Y162" s="808">
        <v>3.4351200000000005E-2</v>
      </c>
      <c r="Z162" s="384">
        <v>2041</v>
      </c>
      <c r="AA162" s="396"/>
      <c r="AB162" s="397">
        <v>0.11843531652668769</v>
      </c>
      <c r="AC162" s="394">
        <v>0.10983780328366338</v>
      </c>
      <c r="AD162" s="394">
        <v>0.14589332052952278</v>
      </c>
      <c r="AE162" s="394">
        <v>0.10129332038603595</v>
      </c>
      <c r="AF162" s="394">
        <v>1.3040347928879202E-3</v>
      </c>
      <c r="AG162" s="394">
        <v>1.2104091596443801E-3</v>
      </c>
      <c r="AH162" s="398">
        <v>146.98345833333332</v>
      </c>
      <c r="AI162" s="399">
        <v>0.17</v>
      </c>
      <c r="AJ162" s="400">
        <v>1.0739293183732426E-2</v>
      </c>
      <c r="AK162" s="393"/>
      <c r="AL162" s="394"/>
      <c r="AM162" s="394"/>
      <c r="AN162" s="395"/>
      <c r="AO162" s="393"/>
      <c r="AP162" s="394"/>
      <c r="AQ162" s="394"/>
      <c r="AR162" s="395"/>
      <c r="AS162" s="117"/>
      <c r="AT162" s="117"/>
      <c r="AU162" s="117"/>
      <c r="AV162" s="117"/>
      <c r="AW162" s="80"/>
      <c r="AX162" s="79"/>
      <c r="AY162" s="80"/>
      <c r="AZ162" s="79"/>
      <c r="BA162" s="7"/>
      <c r="BB162" s="78"/>
      <c r="BC162" s="82"/>
      <c r="BD162" s="78"/>
      <c r="BE162" s="82"/>
      <c r="BF162" s="78"/>
      <c r="BG162" s="82"/>
      <c r="BH162" s="78"/>
      <c r="BI162" s="82"/>
      <c r="BJ162" s="81"/>
      <c r="BK162" s="83"/>
      <c r="BL162" s="81"/>
      <c r="BM162" s="83"/>
      <c r="BN162" s="81"/>
      <c r="BO162" s="83"/>
      <c r="BP162" s="81"/>
      <c r="BQ162" s="83"/>
      <c r="BR162" s="7"/>
      <c r="BS162" s="7"/>
      <c r="BT162" s="7"/>
      <c r="BU162" s="7"/>
      <c r="BV162" s="7"/>
      <c r="BW162" s="7"/>
      <c r="BX162" s="7"/>
      <c r="BY162" s="7"/>
      <c r="BZ162" s="7"/>
      <c r="CA162" s="7"/>
      <c r="CB162" s="7"/>
      <c r="CC162" s="7"/>
      <c r="CD162" s="7"/>
      <c r="CE162" s="7"/>
    </row>
    <row r="163" spans="1:83">
      <c r="A163" s="23"/>
      <c r="B163" s="23"/>
      <c r="C163" s="384">
        <v>2042</v>
      </c>
      <c r="D163" s="391"/>
      <c r="E163" s="806">
        <f t="shared" si="140"/>
        <v>0.14554154895034671</v>
      </c>
      <c r="F163" s="807">
        <f t="shared" si="141"/>
        <v>0.13624671199839528</v>
      </c>
      <c r="G163" s="807">
        <f t="shared" si="142"/>
        <v>0.17817256509829127</v>
      </c>
      <c r="H163" s="808">
        <f t="shared" si="143"/>
        <v>0.12694709422833528</v>
      </c>
      <c r="I163" s="806">
        <f t="shared" si="144"/>
        <v>158.74213499999999</v>
      </c>
      <c r="J163" s="809">
        <f t="shared" si="146"/>
        <v>206.89760935034096</v>
      </c>
      <c r="K163" s="808">
        <f t="shared" si="145"/>
        <v>182.81987217517047</v>
      </c>
      <c r="L163" s="806"/>
      <c r="M163" s="807"/>
      <c r="N163" s="807"/>
      <c r="O163" s="807"/>
      <c r="P163" s="808"/>
      <c r="Q163" s="806"/>
      <c r="R163" s="807"/>
      <c r="S163" s="807"/>
      <c r="T163" s="807"/>
      <c r="U163" s="808"/>
      <c r="V163" s="806">
        <v>3.3657569999999998E-2</v>
      </c>
      <c r="W163" s="807">
        <v>3.3261209999999999E-2</v>
      </c>
      <c r="X163" s="807">
        <v>3.5870579999999999E-2</v>
      </c>
      <c r="Y163" s="808">
        <v>3.4351200000000005E-2</v>
      </c>
      <c r="Z163" s="384">
        <v>2042</v>
      </c>
      <c r="AA163" s="396"/>
      <c r="AB163" s="397">
        <v>0.12278084357332295</v>
      </c>
      <c r="AC163" s="394">
        <v>0.11425347022290877</v>
      </c>
      <c r="AD163" s="394">
        <v>0.15271755563565739</v>
      </c>
      <c r="AE163" s="394">
        <v>0.10572171080083541</v>
      </c>
      <c r="AF163" s="394">
        <v>1.3040347928879202E-3</v>
      </c>
      <c r="AG163" s="394">
        <v>1.2104091596443801E-3</v>
      </c>
      <c r="AH163" s="398">
        <v>146.98345833333332</v>
      </c>
      <c r="AI163" s="401">
        <v>0.17</v>
      </c>
      <c r="AJ163" s="400">
        <v>1.0743513261857511E-2</v>
      </c>
      <c r="AK163" s="393"/>
      <c r="AL163" s="394"/>
      <c r="AM163" s="394"/>
      <c r="AN163" s="395"/>
      <c r="AO163" s="393"/>
      <c r="AP163" s="394"/>
      <c r="AQ163" s="394"/>
      <c r="AR163" s="395"/>
      <c r="AS163" s="117"/>
      <c r="AT163" s="117"/>
      <c r="AU163" s="117"/>
      <c r="AV163" s="117"/>
      <c r="AW163" s="80"/>
      <c r="AX163" s="79"/>
      <c r="AY163" s="80"/>
      <c r="AZ163" s="79"/>
      <c r="BA163" s="7"/>
      <c r="BB163" s="78"/>
      <c r="BC163" s="82"/>
      <c r="BD163" s="78"/>
      <c r="BE163" s="82"/>
      <c r="BF163" s="78"/>
      <c r="BG163" s="82"/>
      <c r="BH163" s="78"/>
      <c r="BI163" s="82"/>
      <c r="BJ163" s="81"/>
      <c r="BK163" s="83"/>
      <c r="BL163" s="81"/>
      <c r="BM163" s="83"/>
      <c r="BN163" s="81"/>
      <c r="BO163" s="83"/>
      <c r="BP163" s="81"/>
      <c r="BQ163" s="83"/>
      <c r="BR163" s="7"/>
      <c r="BS163" s="7"/>
      <c r="BT163" s="7"/>
      <c r="BU163" s="7"/>
      <c r="BV163" s="7"/>
      <c r="BW163" s="7"/>
      <c r="BX163" s="7"/>
      <c r="BY163" s="7"/>
      <c r="BZ163" s="7"/>
      <c r="CA163" s="7"/>
      <c r="CB163" s="7"/>
      <c r="CC163" s="7"/>
      <c r="CD163" s="7"/>
      <c r="CE163" s="7"/>
    </row>
    <row r="164" spans="1:83" ht="15" customHeight="1">
      <c r="A164" s="23"/>
      <c r="B164" s="23"/>
      <c r="C164" s="384">
        <v>2043</v>
      </c>
      <c r="D164" s="391"/>
      <c r="E164" s="806">
        <f t="shared" si="140"/>
        <v>0.15045658898434194</v>
      </c>
      <c r="F164" s="807">
        <f t="shared" si="141"/>
        <v>0.14125790625179471</v>
      </c>
      <c r="G164" s="807">
        <f t="shared" si="142"/>
        <v>0.18596354050119041</v>
      </c>
      <c r="H164" s="808">
        <f t="shared" si="143"/>
        <v>0.13198968991327753</v>
      </c>
      <c r="I164" s="806">
        <f t="shared" si="144"/>
        <v>158.74213499999999</v>
      </c>
      <c r="J164" s="809">
        <f t="shared" si="146"/>
        <v>206.89760935034096</v>
      </c>
      <c r="K164" s="808">
        <f t="shared" si="145"/>
        <v>182.81987217517047</v>
      </c>
      <c r="L164" s="806"/>
      <c r="M164" s="807"/>
      <c r="N164" s="807"/>
      <c r="O164" s="807"/>
      <c r="P164" s="808"/>
      <c r="Q164" s="806"/>
      <c r="R164" s="807"/>
      <c r="S164" s="807"/>
      <c r="T164" s="807"/>
      <c r="U164" s="808"/>
      <c r="V164" s="806">
        <v>3.3657569999999998E-2</v>
      </c>
      <c r="W164" s="807">
        <v>3.3261209999999999E-2</v>
      </c>
      <c r="X164" s="807">
        <v>3.5870579999999999E-2</v>
      </c>
      <c r="Y164" s="808">
        <v>3.4351200000000005E-2</v>
      </c>
      <c r="Z164" s="384">
        <v>2043</v>
      </c>
      <c r="AA164" s="396"/>
      <c r="AB164" s="397">
        <v>0.12728581297099698</v>
      </c>
      <c r="AC164" s="394">
        <v>0.11884665450077019</v>
      </c>
      <c r="AD164" s="394">
        <v>0.15986099784883961</v>
      </c>
      <c r="AE164" s="394">
        <v>0.11034370373148834</v>
      </c>
      <c r="AF164" s="394">
        <v>1.3040347928879202E-3</v>
      </c>
      <c r="AG164" s="394">
        <v>1.2104091596443801E-3</v>
      </c>
      <c r="AH164" s="398">
        <v>146.98345833333332</v>
      </c>
      <c r="AI164" s="401">
        <v>0.17</v>
      </c>
      <c r="AJ164" s="400">
        <v>1.074775490454607E-2</v>
      </c>
      <c r="AK164" s="393"/>
      <c r="AL164" s="394"/>
      <c r="AM164" s="394"/>
      <c r="AN164" s="395"/>
      <c r="AO164" s="393"/>
      <c r="AP164" s="394"/>
      <c r="AQ164" s="394"/>
      <c r="AR164" s="395"/>
      <c r="AS164" s="117"/>
      <c r="AT164" s="117"/>
      <c r="AU164" s="117"/>
      <c r="AV164" s="117"/>
      <c r="AW164" s="80"/>
      <c r="AX164" s="79"/>
      <c r="AY164" s="80"/>
      <c r="AZ164" s="79"/>
      <c r="BA164" s="7"/>
      <c r="BB164" s="78"/>
      <c r="BC164" s="82"/>
      <c r="BD164" s="78"/>
      <c r="BE164" s="82"/>
      <c r="BF164" s="78"/>
      <c r="BG164" s="82"/>
      <c r="BH164" s="78"/>
      <c r="BI164" s="82"/>
      <c r="BJ164" s="81"/>
      <c r="BK164" s="83"/>
      <c r="BL164" s="81"/>
      <c r="BM164" s="83"/>
      <c r="BN164" s="81"/>
      <c r="BO164" s="83"/>
      <c r="BP164" s="81"/>
      <c r="BQ164" s="83"/>
      <c r="BR164" s="7"/>
      <c r="BS164" s="7"/>
      <c r="BT164" s="7"/>
      <c r="BU164" s="7"/>
      <c r="BV164" s="7"/>
      <c r="BW164" s="7"/>
      <c r="BX164" s="7"/>
      <c r="BY164" s="7"/>
      <c r="BZ164" s="7"/>
      <c r="CA164" s="7"/>
      <c r="CB164" s="7"/>
      <c r="CC164" s="7"/>
      <c r="CD164" s="7"/>
      <c r="CE164" s="7"/>
    </row>
    <row r="165" spans="1:83">
      <c r="A165" s="23"/>
      <c r="B165" s="23"/>
      <c r="C165" s="384">
        <v>2044</v>
      </c>
      <c r="D165" s="391"/>
      <c r="E165" s="806">
        <f t="shared" si="140"/>
        <v>0.15555182143941779</v>
      </c>
      <c r="F165" s="807">
        <f t="shared" si="141"/>
        <v>0.14647039681437649</v>
      </c>
      <c r="G165" s="807">
        <f t="shared" si="142"/>
        <v>0.19411875014976532</v>
      </c>
      <c r="H165" s="808">
        <f t="shared" si="143"/>
        <v>0.13725256173525949</v>
      </c>
      <c r="I165" s="806">
        <f t="shared" si="144"/>
        <v>158.74213499999999</v>
      </c>
      <c r="J165" s="809">
        <f t="shared" si="146"/>
        <v>206.89760935034096</v>
      </c>
      <c r="K165" s="808">
        <f t="shared" si="145"/>
        <v>182.81987217517047</v>
      </c>
      <c r="L165" s="806"/>
      <c r="M165" s="807"/>
      <c r="N165" s="807"/>
      <c r="O165" s="807"/>
      <c r="P165" s="808"/>
      <c r="Q165" s="806"/>
      <c r="R165" s="807"/>
      <c r="S165" s="807"/>
      <c r="T165" s="807"/>
      <c r="U165" s="808"/>
      <c r="V165" s="806">
        <v>3.3657569999999998E-2</v>
      </c>
      <c r="W165" s="807">
        <v>3.3261209999999999E-2</v>
      </c>
      <c r="X165" s="807">
        <v>3.5870579999999999E-2</v>
      </c>
      <c r="Y165" s="808">
        <v>3.4351200000000005E-2</v>
      </c>
      <c r="Z165" s="384">
        <v>2044</v>
      </c>
      <c r="AA165" s="396"/>
      <c r="AB165" s="397">
        <v>0.13195607484169319</v>
      </c>
      <c r="AC165" s="394">
        <v>0.12362449261688467</v>
      </c>
      <c r="AD165" s="394">
        <v>0.16733857824568174</v>
      </c>
      <c r="AE165" s="394">
        <v>0.11516776318650211</v>
      </c>
      <c r="AF165" s="394">
        <v>1.3040347928879202E-3</v>
      </c>
      <c r="AG165" s="394">
        <v>1.2104091596443801E-3</v>
      </c>
      <c r="AH165" s="398">
        <v>146.98345833333332</v>
      </c>
      <c r="AI165" s="401">
        <v>0.17</v>
      </c>
      <c r="AJ165" s="400">
        <v>1.0752018221992834E-2</v>
      </c>
      <c r="AK165" s="393"/>
      <c r="AL165" s="394"/>
      <c r="AM165" s="394"/>
      <c r="AN165" s="395"/>
      <c r="AO165" s="393"/>
      <c r="AP165" s="394"/>
      <c r="AQ165" s="394"/>
      <c r="AR165" s="395"/>
      <c r="AS165" s="117"/>
      <c r="AT165" s="117"/>
      <c r="AU165" s="117"/>
      <c r="AV165" s="117"/>
      <c r="AW165" s="80"/>
      <c r="AX165" s="79"/>
      <c r="AY165" s="80"/>
      <c r="AZ165" s="79"/>
      <c r="BA165" s="7"/>
      <c r="BB165" s="78"/>
      <c r="BC165" s="82"/>
      <c r="BD165" s="78"/>
      <c r="BE165" s="82"/>
      <c r="BF165" s="78"/>
      <c r="BG165" s="82"/>
      <c r="BH165" s="78"/>
      <c r="BI165" s="82"/>
      <c r="BJ165" s="81"/>
      <c r="BK165" s="83"/>
      <c r="BL165" s="81"/>
      <c r="BM165" s="83"/>
      <c r="BN165" s="81"/>
      <c r="BO165" s="83"/>
      <c r="BP165" s="81"/>
      <c r="BQ165" s="83"/>
      <c r="BR165" s="7"/>
      <c r="BS165" s="7"/>
      <c r="BT165" s="7"/>
      <c r="BU165" s="7"/>
      <c r="BV165" s="7"/>
      <c r="BW165" s="7"/>
      <c r="BX165" s="7"/>
      <c r="BY165" s="7"/>
      <c r="BZ165" s="7"/>
      <c r="CA165" s="7"/>
      <c r="CB165" s="7"/>
      <c r="CC165" s="7"/>
      <c r="CD165" s="7"/>
      <c r="CE165" s="7"/>
    </row>
    <row r="166" spans="1:83" ht="13.5" thickBot="1">
      <c r="A166" s="23"/>
      <c r="B166" s="23"/>
      <c r="C166" s="402">
        <v>2045</v>
      </c>
      <c r="D166" s="391"/>
      <c r="E166" s="811">
        <f t="shared" si="140"/>
        <v>0.16083385703520917</v>
      </c>
      <c r="F166" s="812">
        <f t="shared" si="141"/>
        <v>0.15189227531187305</v>
      </c>
      <c r="G166" s="812">
        <f t="shared" si="142"/>
        <v>0.20265523030382834</v>
      </c>
      <c r="H166" s="813">
        <f t="shared" si="143"/>
        <v>0.14274533892092739</v>
      </c>
      <c r="I166" s="811">
        <f t="shared" si="144"/>
        <v>158.74213499999999</v>
      </c>
      <c r="J166" s="812">
        <f t="shared" si="146"/>
        <v>206.89760935034096</v>
      </c>
      <c r="K166" s="813">
        <f t="shared" si="145"/>
        <v>182.81987217517047</v>
      </c>
      <c r="L166" s="811"/>
      <c r="M166" s="812"/>
      <c r="N166" s="812"/>
      <c r="O166" s="812"/>
      <c r="P166" s="813"/>
      <c r="Q166" s="811"/>
      <c r="R166" s="812"/>
      <c r="S166" s="812"/>
      <c r="T166" s="812"/>
      <c r="U166" s="813"/>
      <c r="V166" s="811">
        <v>3.3657569999999998E-2</v>
      </c>
      <c r="W166" s="812">
        <v>3.3261209999999999E-2</v>
      </c>
      <c r="X166" s="812">
        <v>3.5870579999999999E-2</v>
      </c>
      <c r="Y166" s="813">
        <v>3.4351200000000005E-2</v>
      </c>
      <c r="Z166" s="402">
        <v>2045</v>
      </c>
      <c r="AA166" s="396"/>
      <c r="AB166" s="406">
        <v>0.13679769395505276</v>
      </c>
      <c r="AC166" s="404">
        <v>0.12859440797034072</v>
      </c>
      <c r="AD166" s="404">
        <v>0.17516592631158412</v>
      </c>
      <c r="AE166" s="404">
        <v>0.12020272320800526</v>
      </c>
      <c r="AF166" s="404">
        <v>1.3040347928879202E-3</v>
      </c>
      <c r="AG166" s="404">
        <v>1.2104091596443801E-3</v>
      </c>
      <c r="AH166" s="407">
        <v>146.98345833333332</v>
      </c>
      <c r="AI166" s="408">
        <v>0.17</v>
      </c>
      <c r="AJ166" s="409">
        <v>1.0756303324955635E-2</v>
      </c>
      <c r="AK166" s="403"/>
      <c r="AL166" s="404"/>
      <c r="AM166" s="404"/>
      <c r="AN166" s="405"/>
      <c r="AO166" s="403"/>
      <c r="AP166" s="404"/>
      <c r="AQ166" s="404"/>
      <c r="AR166" s="405"/>
      <c r="AS166" s="117"/>
      <c r="AT166" s="117"/>
      <c r="AU166" s="117"/>
      <c r="AV166" s="117"/>
      <c r="AW166" s="80"/>
      <c r="AX166" s="79"/>
      <c r="AY166" s="80"/>
      <c r="AZ166" s="79"/>
      <c r="BA166" s="7"/>
      <c r="BB166" s="78"/>
      <c r="BC166" s="82"/>
      <c r="BD166" s="78"/>
      <c r="BE166" s="82"/>
      <c r="BF166" s="78"/>
      <c r="BG166" s="82"/>
      <c r="BH166" s="78"/>
      <c r="BI166" s="82"/>
      <c r="BJ166" s="81"/>
      <c r="BK166" s="83"/>
      <c r="BL166" s="81"/>
      <c r="BM166" s="83"/>
      <c r="BN166" s="81"/>
      <c r="BO166" s="83"/>
      <c r="BP166" s="81"/>
      <c r="BQ166" s="83"/>
      <c r="BR166" s="7"/>
      <c r="BS166" s="7"/>
      <c r="BT166" s="7"/>
      <c r="BU166" s="7"/>
      <c r="BV166" s="7"/>
      <c r="BW166" s="7"/>
      <c r="BX166" s="7"/>
      <c r="BY166" s="7"/>
      <c r="BZ166" s="7"/>
      <c r="CA166" s="7"/>
      <c r="CB166" s="7"/>
      <c r="CC166" s="7"/>
      <c r="CD166" s="7"/>
      <c r="CE166" s="7"/>
    </row>
    <row r="167" spans="1:83" ht="13.5" thickBot="1">
      <c r="A167" s="23"/>
      <c r="B167" s="23"/>
      <c r="C167" s="391"/>
      <c r="D167" s="391"/>
      <c r="E167" s="396"/>
      <c r="F167" s="396"/>
      <c r="G167" s="396"/>
      <c r="H167" s="396"/>
      <c r="I167" s="410"/>
      <c r="J167" s="410"/>
      <c r="K167" s="410"/>
      <c r="L167" s="396"/>
      <c r="M167" s="396"/>
      <c r="N167" s="396"/>
      <c r="O167" s="411"/>
      <c r="P167" s="412"/>
      <c r="Q167" s="396"/>
      <c r="R167" s="396"/>
      <c r="S167" s="396"/>
      <c r="T167" s="396"/>
      <c r="U167" s="410"/>
      <c r="V167" s="396"/>
      <c r="W167" s="396"/>
      <c r="X167" s="396"/>
      <c r="Y167" s="396"/>
      <c r="Z167" s="391"/>
      <c r="AA167" s="396"/>
      <c r="AB167" s="396"/>
      <c r="AC167" s="396"/>
      <c r="AD167" s="396"/>
      <c r="AE167" s="396"/>
      <c r="AF167" s="396"/>
      <c r="AG167" s="396"/>
      <c r="AH167" s="410"/>
      <c r="AI167" s="413"/>
      <c r="AJ167" s="414"/>
      <c r="AK167" s="396"/>
      <c r="AL167" s="396"/>
      <c r="AM167" s="396"/>
      <c r="AN167" s="348"/>
      <c r="AO167" s="345"/>
      <c r="AP167" s="345"/>
      <c r="AQ167" s="345"/>
      <c r="AR167" s="345"/>
      <c r="AS167" s="117"/>
      <c r="AT167" s="23"/>
      <c r="AU167" s="23"/>
      <c r="AV167" s="23"/>
      <c r="AW167" s="80"/>
      <c r="AX167" s="79"/>
      <c r="AY167" s="80"/>
      <c r="AZ167" s="79"/>
      <c r="BA167" s="7"/>
      <c r="BB167" s="78"/>
      <c r="BC167" s="82"/>
      <c r="BD167" s="78"/>
      <c r="BE167" s="82"/>
      <c r="BF167" s="78"/>
      <c r="BG167" s="82"/>
      <c r="BH167" s="78"/>
      <c r="BI167" s="82"/>
      <c r="BJ167" s="81"/>
      <c r="BK167" s="83"/>
      <c r="BL167" s="81"/>
      <c r="BM167" s="83"/>
      <c r="BN167" s="81"/>
      <c r="BO167" s="83"/>
      <c r="BP167" s="81"/>
      <c r="BQ167" s="83"/>
      <c r="BR167" s="7"/>
      <c r="BS167" s="7"/>
      <c r="BT167" s="7"/>
      <c r="BU167" s="7"/>
      <c r="BV167" s="7"/>
      <c r="BW167" s="7"/>
      <c r="BX167" s="7"/>
      <c r="BY167" s="7"/>
      <c r="BZ167" s="7"/>
      <c r="CA167" s="7"/>
      <c r="CB167" s="7"/>
      <c r="CC167" s="7"/>
      <c r="CD167" s="7"/>
      <c r="CE167" s="7"/>
    </row>
    <row r="168" spans="1:83">
      <c r="A168" s="23"/>
      <c r="B168" s="23"/>
      <c r="C168" s="415" t="s">
        <v>370</v>
      </c>
      <c r="D168" s="416"/>
      <c r="E168" s="417"/>
      <c r="F168" s="418"/>
      <c r="G168" s="418"/>
      <c r="H168" s="418"/>
      <c r="I168" s="419"/>
      <c r="J168" s="420"/>
      <c r="K168" s="421"/>
      <c r="L168" s="419"/>
      <c r="M168" s="422"/>
      <c r="N168" s="422"/>
      <c r="O168" s="418"/>
      <c r="P168" s="423"/>
      <c r="Q168" s="419"/>
      <c r="R168" s="418"/>
      <c r="S168" s="418"/>
      <c r="T168" s="418"/>
      <c r="U168" s="423"/>
      <c r="V168" s="419"/>
      <c r="W168" s="418"/>
      <c r="X168" s="418"/>
      <c r="Y168" s="424"/>
      <c r="Z168" s="425" t="s">
        <v>370</v>
      </c>
      <c r="AA168" s="396"/>
      <c r="AB168" s="426"/>
      <c r="AC168" s="427"/>
      <c r="AD168" s="427"/>
      <c r="AE168" s="427"/>
      <c r="AF168" s="427"/>
      <c r="AG168" s="427"/>
      <c r="AH168" s="427"/>
      <c r="AI168" s="420"/>
      <c r="AJ168" s="428"/>
      <c r="AK168" s="419"/>
      <c r="AL168" s="418"/>
      <c r="AM168" s="418"/>
      <c r="AN168" s="424"/>
      <c r="AO168" s="419"/>
      <c r="AP168" s="418"/>
      <c r="AQ168" s="418"/>
      <c r="AR168" s="424"/>
      <c r="AS168" s="117"/>
      <c r="AT168" s="23"/>
      <c r="AU168" s="23"/>
      <c r="AV168" s="23"/>
      <c r="AW168" s="80"/>
      <c r="AX168" s="79"/>
      <c r="AY168" s="80"/>
      <c r="AZ168" s="79"/>
      <c r="BA168" s="7"/>
      <c r="BB168" s="78"/>
      <c r="BC168" s="82"/>
      <c r="BD168" s="78"/>
      <c r="BE168" s="82"/>
      <c r="BF168" s="78"/>
      <c r="BG168" s="82"/>
      <c r="BH168" s="78"/>
      <c r="BI168" s="82"/>
      <c r="BJ168" s="81"/>
      <c r="BK168" s="83"/>
      <c r="BL168" s="81"/>
      <c r="BM168" s="83"/>
      <c r="BN168" s="81"/>
      <c r="BO168" s="83"/>
      <c r="BP168" s="81"/>
      <c r="BQ168" s="83"/>
      <c r="BR168" s="7"/>
      <c r="BS168" s="7"/>
      <c r="BT168" s="7"/>
      <c r="BU168" s="7"/>
      <c r="BV168" s="7"/>
      <c r="BW168" s="7"/>
      <c r="BX168" s="7"/>
      <c r="BY168" s="7"/>
      <c r="BZ168" s="7"/>
      <c r="CA168" s="7"/>
      <c r="CB168" s="7"/>
      <c r="CC168" s="7"/>
      <c r="CD168" s="7"/>
      <c r="CE168" s="7"/>
    </row>
    <row r="169" spans="1:83">
      <c r="A169" s="23"/>
      <c r="B169" s="23"/>
      <c r="C169" s="429" t="s">
        <v>664</v>
      </c>
      <c r="D169" s="814">
        <v>10</v>
      </c>
      <c r="E169" s="815">
        <f>-PMT(H127,D169,NPV(H127,E137:E146))</f>
        <v>7.2803332311262459E-2</v>
      </c>
      <c r="F169" s="815">
        <f>-PMT(H127,D169,NPV(H127,F137:F146))</f>
        <v>6.7144973946582878E-2</v>
      </c>
      <c r="G169" s="815">
        <f>-PMT(H127,D169,NPV(H127,G137:G146))</f>
        <v>6.5881386841347062E-2</v>
      </c>
      <c r="H169" s="815">
        <f>-PMT(H127,D169,NPV(H127,H137:H146))</f>
        <v>5.3103860814970337E-2</v>
      </c>
      <c r="I169" s="815">
        <f>-PMT(H127,D169,NPV(H127,I137:I146))</f>
        <v>143.53066515470138</v>
      </c>
      <c r="J169" s="815">
        <f>-PMT(H127,D169,NPV(H127,J137:J146))</f>
        <v>116.63778980781997</v>
      </c>
      <c r="K169" s="815">
        <f>-PMT(H127,D169,NPV(H127,K137:K146))</f>
        <v>130.08422748126068</v>
      </c>
      <c r="L169" s="815">
        <f>-PMT(H127,D169,NPV(H127,L137:L146))</f>
        <v>5.1195941518911965E-3</v>
      </c>
      <c r="M169" s="815">
        <f>-PMT(H127,D169,NPV(H127,M137:M146))</f>
        <v>2.544245365503575E-3</v>
      </c>
      <c r="N169" s="815">
        <f>-PMT(H127,D169,NPV(H127,N137:N146))</f>
        <v>7.0687224529556048E-3</v>
      </c>
      <c r="O169" s="815">
        <f>-PMT(H127,D169,NPV(H127,O137:O146))</f>
        <v>2.2391207343715985E-3</v>
      </c>
      <c r="P169" s="815">
        <f>-PMT(H127,D169,NPV(H127,P137:P146))</f>
        <v>0</v>
      </c>
      <c r="Q169" s="815">
        <f>-PMT(H127,D169,NPV(H127,Q137:Q146))</f>
        <v>3.0469379433389942E-3</v>
      </c>
      <c r="R169" s="815">
        <f>-PMT(H127,D169,NPV(H127,R137:R146))</f>
        <v>1.5109955560288037E-3</v>
      </c>
      <c r="S169" s="815">
        <f>-PMT(H127,D169,NPV(H127,S137:S146))</f>
        <v>3.5978494728901599E-3</v>
      </c>
      <c r="T169" s="815">
        <f>-PMT(H127,D169,NPV(H127,T137:T146))</f>
        <v>1.2167544154479204E-3</v>
      </c>
      <c r="U169" s="815">
        <f>-PMT(H127,D169,NPV(H127,U137:U146))</f>
        <v>0</v>
      </c>
      <c r="V169" s="815">
        <f>-PMT(H127,D169,NPV(H127,V137:V146))</f>
        <v>4.4380085046471833E-2</v>
      </c>
      <c r="W169" s="815">
        <f>-PMT(H127,D169,NPV(H127,W137:W146))</f>
        <v>4.3857454015502589E-2</v>
      </c>
      <c r="X169" s="815">
        <f>-PMT(H127,D169,NPV(H127,X137:X146))</f>
        <v>4.7298108302716788E-2</v>
      </c>
      <c r="Y169" s="815">
        <f>-PMT(H127,D169,NPV(H127,Y137:Y146))</f>
        <v>4.5294689350668015E-2</v>
      </c>
      <c r="Z169" s="430" t="s">
        <v>664</v>
      </c>
      <c r="AA169" s="396"/>
      <c r="AB169" s="393">
        <v>5.8623476475650887E-2</v>
      </c>
      <c r="AC169" s="393">
        <v>5.3451254950241313E-2</v>
      </c>
      <c r="AD169" s="393">
        <v>5.2009944451506369E-2</v>
      </c>
      <c r="AE169" s="393">
        <v>4.0262656403843217E-2</v>
      </c>
      <c r="AF169" s="393">
        <v>1.0800794876305761E-2</v>
      </c>
      <c r="AG169" s="393">
        <v>7.1121684285517864E-3</v>
      </c>
      <c r="AH169" s="393">
        <v>132.28017983601939</v>
      </c>
      <c r="AI169" s="401"/>
      <c r="AJ169" s="393">
        <v>8.1240097823139217E-3</v>
      </c>
      <c r="AK169" s="393">
        <v>4.914592845356159E-3</v>
      </c>
      <c r="AL169" s="393">
        <v>2.7981930904980375E-3</v>
      </c>
      <c r="AM169" s="393">
        <v>6.5012990252414637E-3</v>
      </c>
      <c r="AN169" s="393">
        <v>2.2180273600231151E-3</v>
      </c>
      <c r="AO169" s="393">
        <v>2.9507858540447707E-3</v>
      </c>
      <c r="AP169" s="393">
        <v>1.6764868786661713E-3</v>
      </c>
      <c r="AQ169" s="393">
        <v>3.3419432550726874E-3</v>
      </c>
      <c r="AR169" s="393">
        <v>1.2180955425708019E-3</v>
      </c>
      <c r="AS169" s="23"/>
      <c r="AT169" s="23"/>
      <c r="AU169" s="23"/>
      <c r="AV169" s="23"/>
      <c r="AW169" s="80"/>
      <c r="AX169" s="79"/>
      <c r="AY169" s="80"/>
      <c r="AZ169" s="79"/>
      <c r="BA169" s="7"/>
      <c r="BB169" s="78"/>
      <c r="BC169" s="82"/>
      <c r="BD169" s="78"/>
      <c r="BE169" s="82"/>
      <c r="BF169" s="78"/>
      <c r="BG169" s="82"/>
      <c r="BH169" s="78"/>
      <c r="BI169" s="82"/>
      <c r="BJ169" s="81"/>
      <c r="BK169" s="83"/>
      <c r="BL169" s="81"/>
      <c r="BM169" s="83"/>
      <c r="BN169" s="81"/>
      <c r="BO169" s="83"/>
      <c r="BP169" s="81"/>
      <c r="BQ169" s="83"/>
      <c r="BR169" s="7"/>
      <c r="BS169" s="7"/>
      <c r="BT169" s="7"/>
      <c r="BU169" s="7"/>
      <c r="BV169" s="7"/>
      <c r="BW169" s="7"/>
      <c r="BX169" s="7"/>
      <c r="BY169" s="7"/>
      <c r="BZ169" s="7"/>
      <c r="CA169" s="7"/>
      <c r="CB169" s="7"/>
      <c r="CC169" s="7"/>
      <c r="CD169" s="7"/>
      <c r="CE169" s="7"/>
    </row>
    <row r="170" spans="1:83">
      <c r="A170" s="23"/>
      <c r="B170" s="23"/>
      <c r="C170" s="429" t="s">
        <v>665</v>
      </c>
      <c r="D170" s="814">
        <v>15</v>
      </c>
      <c r="E170" s="815">
        <f>-PMT(H127,D170,NPV(H127,E137:E151))</f>
        <v>7.796211461938217E-2</v>
      </c>
      <c r="F170" s="815">
        <f>-PMT(H127,D170,NPV(H127,F137:F151))</f>
        <v>7.2047777370623886E-2</v>
      </c>
      <c r="G170" s="815">
        <f>-PMT(H127,D170,NPV(H127,G137:G151))</f>
        <v>7.3765618971931679E-2</v>
      </c>
      <c r="H170" s="815">
        <f>-PMT(H127,D170,NPV(H127,H137:H151))</f>
        <v>5.951358285485045E-2</v>
      </c>
      <c r="I170" s="815">
        <f>-PMT(H127,D170,NPV(H127,I137:I151))</f>
        <v>148.72700357623302</v>
      </c>
      <c r="J170" s="815">
        <f>-PMT(H127,D170,NPV(H127,J137:J151))</f>
        <v>146.37496661989127</v>
      </c>
      <c r="K170" s="815">
        <f>-PMT(H127,D170,NPV(H127,K137:K151))</f>
        <v>147.55098509806214</v>
      </c>
      <c r="L170" s="815">
        <f>-PMT(H127,D170,NPV(H127,L137:L151))</f>
        <v>3.4503840549994125E-3</v>
      </c>
      <c r="M170" s="815">
        <f>-PMT(H127,D170,NPV(H127,M137:M151))</f>
        <v>1.7147108502530094E-3</v>
      </c>
      <c r="N170" s="815">
        <f>-PMT(H127,D170,NPV(H127,N137:N151))</f>
        <v>4.764011856659511E-3</v>
      </c>
      <c r="O170" s="815">
        <f>-PMT(H127,D170,NPV(H127,O137:O151))</f>
        <v>1.509070103973064E-3</v>
      </c>
      <c r="P170" s="815">
        <f>-PMT(H127,D170,NPV(H127,P137:P151))</f>
        <v>0</v>
      </c>
      <c r="Q170" s="815">
        <f>-PMT(H127,D170,NPV(H127,Q137:Q151))</f>
        <v>2.0535038099428232E-3</v>
      </c>
      <c r="R170" s="815">
        <f>-PMT(H127,D170,NPV(H127,R137:R151))</f>
        <v>1.0183453646947511E-3</v>
      </c>
      <c r="S170" s="815">
        <f>-PMT(H127,D170,NPV(H127,S137:S151))</f>
        <v>2.4247942483805059E-3</v>
      </c>
      <c r="T170" s="815">
        <f>-PMT(H127,D170,NPV(H127,T137:T151))</f>
        <v>8.2003961824997005E-4</v>
      </c>
      <c r="U170" s="815">
        <f>-PMT(H127,D170,NPV(H127,U137:U151))</f>
        <v>0</v>
      </c>
      <c r="V170" s="815">
        <f>-PMT(H127,D170,NPV(H127,V137:V151))</f>
        <v>4.1677942789867674E-2</v>
      </c>
      <c r="W170" s="815">
        <f>-PMT(H127,D170,NPV(H127,W137:W151))</f>
        <v>4.1187132864962478E-2</v>
      </c>
      <c r="X170" s="815">
        <f>-PMT(H127,D170,NPV(H127,X137:X151))</f>
        <v>4.4418298203921784E-2</v>
      </c>
      <c r="Y170" s="815">
        <f>-PMT(H127,D170,NPV(H127,Y137:Y151))</f>
        <v>4.2536860158451803E-2</v>
      </c>
      <c r="Z170" s="430" t="s">
        <v>665</v>
      </c>
      <c r="AA170" s="396"/>
      <c r="AB170" s="393">
        <v>6.2205147039497484E-2</v>
      </c>
      <c r="AC170" s="393">
        <v>5.6820065205894492E-2</v>
      </c>
      <c r="AD170" s="393">
        <v>5.7905477335878065E-2</v>
      </c>
      <c r="AE170" s="393">
        <v>4.4969020530882947E-2</v>
      </c>
      <c r="AF170" s="393">
        <v>8.0073585095161558E-3</v>
      </c>
      <c r="AG170" s="393">
        <v>5.3767295464849651E-3</v>
      </c>
      <c r="AH170" s="393">
        <v>136.77165652780394</v>
      </c>
      <c r="AI170" s="401"/>
      <c r="AJ170" s="393">
        <v>8.7855833096546088E-3</v>
      </c>
      <c r="AK170" s="393">
        <v>3.4686648375364488E-3</v>
      </c>
      <c r="AL170" s="393">
        <v>1.97493348626413E-3</v>
      </c>
      <c r="AM170" s="393">
        <v>4.5885443691380317E-3</v>
      </c>
      <c r="AN170" s="393">
        <v>1.5654589819532497E-3</v>
      </c>
      <c r="AO170" s="393">
        <v>2.0826317575211683E-3</v>
      </c>
      <c r="AP170" s="393">
        <v>1.1832457478375628E-3</v>
      </c>
      <c r="AQ170" s="393">
        <v>2.3587062901591514E-3</v>
      </c>
      <c r="AR170" s="393">
        <v>8.5971825341902305E-4</v>
      </c>
      <c r="AS170" s="23"/>
      <c r="AT170" s="23"/>
      <c r="AU170" s="23"/>
      <c r="AV170" s="23"/>
      <c r="AW170" s="80"/>
      <c r="AX170" s="79"/>
      <c r="AY170" s="80"/>
      <c r="AZ170" s="79"/>
      <c r="BA170" s="7"/>
      <c r="BB170" s="78"/>
      <c r="BC170" s="82"/>
      <c r="BD170" s="78"/>
      <c r="BE170" s="82"/>
      <c r="BF170" s="78"/>
      <c r="BG170" s="82"/>
      <c r="BH170" s="78"/>
      <c r="BI170" s="82"/>
      <c r="BJ170" s="81"/>
      <c r="BK170" s="83"/>
      <c r="BL170" s="81"/>
      <c r="BM170" s="83"/>
      <c r="BN170" s="81"/>
      <c r="BO170" s="83"/>
      <c r="BP170" s="81"/>
      <c r="BQ170" s="83"/>
      <c r="BR170" s="7"/>
      <c r="BS170" s="7"/>
      <c r="BT170" s="7"/>
      <c r="BU170" s="7"/>
      <c r="BV170" s="7"/>
      <c r="BW170" s="7"/>
      <c r="BX170" s="7"/>
      <c r="BY170" s="7"/>
      <c r="BZ170" s="7"/>
      <c r="CA170" s="7"/>
      <c r="CB170" s="7"/>
      <c r="CC170" s="7"/>
      <c r="CD170" s="7"/>
      <c r="CE170" s="7"/>
    </row>
    <row r="171" spans="1:83" ht="13.5" thickBot="1">
      <c r="A171" s="23"/>
      <c r="B171" s="23"/>
      <c r="C171" s="431" t="s">
        <v>666</v>
      </c>
      <c r="D171" s="814">
        <f>2039-2010+1</f>
        <v>30</v>
      </c>
      <c r="E171" s="815">
        <f>-PMT(H127,D171,NPV(H127,E$137:E166))</f>
        <v>0.10245917501608599</v>
      </c>
      <c r="F171" s="815">
        <f>-PMT(H127,D171,NPV(H127,F$137:F166))</f>
        <v>9.4879916500798842E-2</v>
      </c>
      <c r="G171" s="815">
        <f>-PMT(H127,D171,NPV(H127,G$137:G166))</f>
        <v>0.11185200886951238</v>
      </c>
      <c r="H171" s="815">
        <f>-PMT(H127,D171,NPV(H127,H$137:H166))</f>
        <v>8.3986195445693759E-2</v>
      </c>
      <c r="I171" s="815">
        <f>-PMT(H127,D171,NPV(H127,I$137:I166))</f>
        <v>153.56974167190495</v>
      </c>
      <c r="J171" s="815">
        <f>-PMT(H127,D171,NPV(H127,J$137:J166))</f>
        <v>175.64021489271366</v>
      </c>
      <c r="K171" s="815">
        <f>-PMT(H127,D171,NPV(H127,K$137:K166))</f>
        <v>164.60497828230936</v>
      </c>
      <c r="L171" s="815">
        <f>-PMT(H127,D171,NPV(H127,L$137:L166))</f>
        <v>1.7819779601785902E-3</v>
      </c>
      <c r="M171" s="815">
        <f>-PMT(H127,D171,NPV(H127,M$137:M166))</f>
        <v>8.8557589373350907E-4</v>
      </c>
      <c r="N171" s="815">
        <f>-PMT(H127,D171,NPV(H127,N$137:N166))</f>
        <v>2.4604113615399191E-3</v>
      </c>
      <c r="O171" s="815">
        <f>-PMT(H127,D171,NPV(H127,O$137:O166))</f>
        <v>7.7937111428161624E-4</v>
      </c>
      <c r="P171" s="815">
        <f>-PMT(H127,D171,NPV(H127,P$137:P166))</f>
        <v>0</v>
      </c>
      <c r="Q171" s="815">
        <f>-PMT(H127,D171,NPV(H127,Q$137:Q166))</f>
        <v>1.0605481801826545E-3</v>
      </c>
      <c r="R171" s="815">
        <f>-PMT(H127,D171,NPV(H127,R$137:R166))</f>
        <v>5.2593246630232998E-4</v>
      </c>
      <c r="S171" s="815">
        <f>-PMT(H127,D171,NPV(H127,S$137:S166))</f>
        <v>1.252304044913808E-3</v>
      </c>
      <c r="T171" s="815">
        <f>-PMT(H127,D171,NPV(H127,T$137:T166))</f>
        <v>4.2351590515768254E-4</v>
      </c>
      <c r="U171" s="815">
        <f>-PMT(H127,D171,NPV(H127,U$137:U166))</f>
        <v>0</v>
      </c>
      <c r="V171" s="815">
        <f>-PMT(H127,D171,NPV(H127,V$137:V166))</f>
        <v>3.7799754555731355E-2</v>
      </c>
      <c r="W171" s="815">
        <f>-PMT(H127,D171,NPV(H127,W$137:W166))</f>
        <v>3.7354615149775755E-2</v>
      </c>
      <c r="X171" s="815">
        <f>-PMT(H127,D171,NPV(H127,X$137:X166))</f>
        <v>4.0285116238983558E-2</v>
      </c>
      <c r="Y171" s="815">
        <f>-PMT(H127,D171,NPV(H127,Y$137:Y166))</f>
        <v>3.8578748516153692E-2</v>
      </c>
      <c r="Z171" s="432" t="s">
        <v>666</v>
      </c>
      <c r="AA171" s="396"/>
      <c r="AB171" s="393">
        <v>8.0149339557464269E-2</v>
      </c>
      <c r="AC171" s="393">
        <v>7.3446353985253718E-2</v>
      </c>
      <c r="AD171" s="393">
        <v>8.6327592658126187E-2</v>
      </c>
      <c r="AE171" s="393">
        <v>6.3023349487772051E-2</v>
      </c>
      <c r="AF171" s="393">
        <v>5.2527935772372697E-3</v>
      </c>
      <c r="AG171" s="393">
        <v>3.6646833259270399E-3</v>
      </c>
      <c r="AH171" s="393">
        <v>140.9679436740023</v>
      </c>
      <c r="AI171" s="408"/>
      <c r="AJ171" s="393">
        <v>9.5825817972760505E-3</v>
      </c>
      <c r="AK171" s="393">
        <v>2.0433028936390524E-3</v>
      </c>
      <c r="AL171" s="393">
        <v>1.1633834620049983E-3</v>
      </c>
      <c r="AM171" s="393">
        <v>2.7029956557318717E-3</v>
      </c>
      <c r="AN171" s="393">
        <v>9.2217236819286895E-4</v>
      </c>
      <c r="AO171" s="393">
        <v>1.2268257948928663E-3</v>
      </c>
      <c r="AP171" s="393">
        <v>6.9702020047567969E-4</v>
      </c>
      <c r="AQ171" s="393">
        <v>1.3894543329097833E-3</v>
      </c>
      <c r="AR171" s="393">
        <v>5.0643832056516556E-4</v>
      </c>
      <c r="AS171" s="23"/>
      <c r="AT171" s="23"/>
      <c r="AU171" s="23"/>
      <c r="AV171" s="23"/>
      <c r="AW171" s="80"/>
      <c r="AX171" s="79"/>
      <c r="AY171" s="80"/>
      <c r="AZ171" s="79"/>
      <c r="BA171" s="7"/>
      <c r="BB171" s="78"/>
      <c r="BC171" s="82"/>
      <c r="BD171" s="78"/>
      <c r="BE171" s="82"/>
      <c r="BF171" s="78"/>
      <c r="BG171" s="82"/>
      <c r="BH171" s="78"/>
      <c r="BI171" s="82"/>
      <c r="BJ171" s="81"/>
      <c r="BK171" s="83"/>
      <c r="BL171" s="81"/>
      <c r="BM171" s="83"/>
      <c r="BN171" s="81"/>
      <c r="BO171" s="83"/>
      <c r="BP171" s="81"/>
      <c r="BQ171" s="83"/>
      <c r="BR171" s="7"/>
      <c r="BS171" s="7"/>
      <c r="BT171" s="7"/>
      <c r="BU171" s="7"/>
      <c r="BV171" s="7"/>
      <c r="BW171" s="7"/>
      <c r="BX171" s="7"/>
      <c r="BY171" s="7"/>
      <c r="BZ171" s="7"/>
      <c r="CA171" s="7"/>
      <c r="CB171" s="7"/>
      <c r="CC171" s="7"/>
      <c r="CD171" s="7"/>
      <c r="CE171" s="7"/>
    </row>
    <row r="172" spans="1:83">
      <c r="A172" s="23"/>
      <c r="B172" s="23"/>
      <c r="C172" s="433"/>
      <c r="D172" s="345"/>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433"/>
      <c r="AA172" s="396"/>
      <c r="AB172" s="396"/>
      <c r="AC172" s="396"/>
      <c r="AD172" s="396"/>
      <c r="AE172" s="396"/>
      <c r="AF172" s="396"/>
      <c r="AG172" s="396"/>
      <c r="AH172" s="396"/>
      <c r="AI172" s="396"/>
      <c r="AJ172" s="348"/>
      <c r="AK172" s="396"/>
      <c r="AL172" s="396"/>
      <c r="AM172" s="396"/>
      <c r="AN172" s="348"/>
      <c r="AO172" s="348"/>
      <c r="AP172" s="348"/>
      <c r="AQ172" s="348"/>
      <c r="AR172" s="348"/>
      <c r="AS172" s="23"/>
      <c r="AT172" s="23"/>
      <c r="AU172" s="23"/>
      <c r="AV172" s="23"/>
      <c r="AW172" s="80"/>
      <c r="AX172" s="79"/>
      <c r="AY172" s="80"/>
      <c r="AZ172" s="79"/>
      <c r="BA172" s="7"/>
      <c r="BB172" s="78"/>
      <c r="BC172" s="82"/>
      <c r="BD172" s="78"/>
      <c r="BE172" s="82"/>
      <c r="BF172" s="78"/>
      <c r="BG172" s="82"/>
      <c r="BH172" s="78"/>
      <c r="BI172" s="82"/>
      <c r="BJ172" s="81"/>
      <c r="BK172" s="83"/>
      <c r="BL172" s="81"/>
      <c r="BM172" s="83"/>
      <c r="BN172" s="81"/>
      <c r="BO172" s="83"/>
      <c r="BP172" s="81"/>
      <c r="BQ172" s="83"/>
      <c r="BR172" s="7"/>
      <c r="BS172" s="7"/>
      <c r="BT172" s="7"/>
      <c r="BU172" s="7"/>
      <c r="BV172" s="7"/>
      <c r="BW172" s="7"/>
      <c r="BX172" s="7"/>
      <c r="BY172" s="7"/>
      <c r="BZ172" s="7"/>
      <c r="CA172" s="7"/>
      <c r="CB172" s="7"/>
      <c r="CC172" s="7"/>
      <c r="CD172" s="7"/>
      <c r="CE172" s="7"/>
    </row>
    <row r="173" spans="1:83" ht="15">
      <c r="A173" s="23"/>
      <c r="B173" s="23"/>
      <c r="C173" s="434" t="s">
        <v>371</v>
      </c>
      <c r="D173" s="348"/>
      <c r="E173" s="639" t="s">
        <v>372</v>
      </c>
      <c r="F173" s="435" t="s">
        <v>706</v>
      </c>
      <c r="G173" s="348"/>
      <c r="H173" s="396"/>
      <c r="I173" s="396"/>
      <c r="J173" s="396"/>
      <c r="K173" s="396"/>
      <c r="L173" s="436"/>
      <c r="M173" s="396"/>
      <c r="N173" s="396"/>
      <c r="O173" s="396"/>
      <c r="P173" s="396"/>
      <c r="Q173" s="396"/>
      <c r="R173" s="436"/>
      <c r="S173" s="436"/>
      <c r="T173" s="436"/>
      <c r="U173" s="436"/>
      <c r="V173" s="436"/>
      <c r="W173" s="436"/>
      <c r="X173" s="436"/>
      <c r="Y173" s="436"/>
      <c r="Z173" s="434" t="s">
        <v>371</v>
      </c>
      <c r="AA173" s="436"/>
      <c r="AB173" s="348" t="s">
        <v>372</v>
      </c>
      <c r="AC173" s="575" t="s">
        <v>706</v>
      </c>
      <c r="AD173" s="396"/>
      <c r="AE173" s="396"/>
      <c r="AF173" s="396"/>
      <c r="AG173" s="396"/>
      <c r="AH173" s="396"/>
      <c r="AI173" s="396"/>
      <c r="AJ173" s="345"/>
      <c r="AK173" s="348"/>
      <c r="AL173" s="348"/>
      <c r="AM173" s="348"/>
      <c r="AN173" s="348"/>
      <c r="AO173" s="348"/>
      <c r="AP173" s="348"/>
      <c r="AQ173" s="348"/>
      <c r="AR173" s="348"/>
      <c r="AS173" s="23"/>
      <c r="AT173" s="23"/>
      <c r="AU173" s="23"/>
      <c r="AV173" s="23"/>
      <c r="AW173" s="80"/>
      <c r="AX173" s="79"/>
      <c r="AY173" s="80"/>
      <c r="AZ173" s="79"/>
      <c r="BA173" s="7"/>
      <c r="BB173" s="78"/>
      <c r="BC173" s="82"/>
      <c r="BD173" s="78"/>
      <c r="BE173" s="82"/>
      <c r="BF173" s="78"/>
      <c r="BG173" s="82"/>
      <c r="BH173" s="78"/>
      <c r="BI173" s="82"/>
      <c r="BJ173" s="81"/>
      <c r="BK173" s="83"/>
      <c r="BL173" s="81"/>
      <c r="BM173" s="83"/>
      <c r="BN173" s="81"/>
      <c r="BO173" s="83"/>
      <c r="BP173" s="81"/>
      <c r="BQ173" s="83"/>
      <c r="BR173" s="7"/>
      <c r="BS173" s="7"/>
      <c r="BT173" s="7"/>
      <c r="BU173" s="7"/>
      <c r="BV173" s="7"/>
      <c r="BW173" s="7"/>
      <c r="BX173" s="7"/>
      <c r="BY173" s="7"/>
      <c r="BZ173" s="7"/>
      <c r="CA173" s="7"/>
      <c r="CB173" s="7"/>
      <c r="CC173" s="7"/>
      <c r="CD173" s="7"/>
      <c r="CE173" s="7"/>
    </row>
    <row r="174" spans="1:83">
      <c r="A174" s="23"/>
      <c r="B174" s="23"/>
      <c r="C174" s="345"/>
      <c r="D174" s="345"/>
      <c r="E174" s="640"/>
      <c r="F174" s="353" t="s">
        <v>373</v>
      </c>
      <c r="G174" s="396"/>
      <c r="H174" s="396"/>
      <c r="I174" s="396"/>
      <c r="J174" s="396"/>
      <c r="K174" s="396"/>
      <c r="L174" s="436"/>
      <c r="M174" s="396"/>
      <c r="N174" s="396"/>
      <c r="O174" s="396"/>
      <c r="P174" s="396"/>
      <c r="Q174" s="396"/>
      <c r="R174" s="436"/>
      <c r="S174" s="436"/>
      <c r="T174" s="436"/>
      <c r="U174" s="436"/>
      <c r="V174" s="436"/>
      <c r="W174" s="436"/>
      <c r="X174" s="436"/>
      <c r="Y174" s="436"/>
      <c r="Z174" s="436"/>
      <c r="AA174" s="436"/>
      <c r="AB174" s="345"/>
      <c r="AC174" s="353" t="s">
        <v>374</v>
      </c>
      <c r="AD174" s="396"/>
      <c r="AE174" s="396"/>
      <c r="AF174" s="396"/>
      <c r="AG174" s="396"/>
      <c r="AH174" s="396"/>
      <c r="AI174" s="396"/>
      <c r="AJ174" s="348"/>
      <c r="AK174" s="348"/>
      <c r="AL174" s="348"/>
      <c r="AM174" s="348"/>
      <c r="AN174" s="348"/>
      <c r="AO174" s="348"/>
      <c r="AP174" s="348"/>
      <c r="AQ174" s="348"/>
      <c r="AR174" s="348"/>
      <c r="AS174" s="23"/>
      <c r="AT174" s="23"/>
      <c r="AU174" s="23"/>
      <c r="AV174" s="23"/>
      <c r="AW174" s="80"/>
      <c r="AX174" s="79"/>
      <c r="AY174" s="80"/>
      <c r="AZ174" s="79"/>
      <c r="BA174" s="7"/>
      <c r="BB174" s="78"/>
      <c r="BC174" s="82"/>
      <c r="BD174" s="78"/>
      <c r="BE174" s="82"/>
      <c r="BF174" s="78"/>
      <c r="BG174" s="82"/>
      <c r="BH174" s="78"/>
      <c r="BI174" s="82"/>
      <c r="BJ174" s="81"/>
      <c r="BK174" s="83"/>
      <c r="BL174" s="81"/>
      <c r="BM174" s="83"/>
      <c r="BN174" s="81"/>
      <c r="BO174" s="83"/>
      <c r="BP174" s="81"/>
      <c r="BQ174" s="83"/>
      <c r="BR174" s="7"/>
      <c r="BS174" s="7"/>
      <c r="BT174" s="7"/>
      <c r="BU174" s="7"/>
      <c r="BV174" s="7"/>
      <c r="BW174" s="7"/>
      <c r="BX174" s="7"/>
      <c r="BY174" s="7"/>
      <c r="BZ174" s="7"/>
      <c r="CA174" s="7"/>
      <c r="CB174" s="7"/>
      <c r="CC174" s="7"/>
      <c r="CD174" s="7"/>
      <c r="CE174" s="7"/>
    </row>
    <row r="175" spans="1:83">
      <c r="A175" s="23"/>
      <c r="B175" s="23"/>
      <c r="C175" s="345"/>
      <c r="D175" s="345"/>
      <c r="E175" s="640">
        <v>1</v>
      </c>
      <c r="F175" s="353" t="s">
        <v>707</v>
      </c>
      <c r="G175" s="396"/>
      <c r="H175" s="396"/>
      <c r="I175" s="396"/>
      <c r="J175" s="396"/>
      <c r="K175" s="396"/>
      <c r="L175" s="436"/>
      <c r="M175" s="396"/>
      <c r="N175" s="396"/>
      <c r="O175" s="396"/>
      <c r="P175" s="396"/>
      <c r="Q175" s="396"/>
      <c r="R175" s="436"/>
      <c r="S175" s="436"/>
      <c r="T175" s="436"/>
      <c r="U175" s="436"/>
      <c r="V175" s="436"/>
      <c r="W175" s="436"/>
      <c r="X175" s="436"/>
      <c r="Y175" s="436"/>
      <c r="Z175" s="436"/>
      <c r="AA175" s="436"/>
      <c r="AB175" s="437"/>
      <c r="AC175" s="396"/>
      <c r="AD175" s="396"/>
      <c r="AE175" s="396"/>
      <c r="AF175" s="396"/>
      <c r="AG175" s="396"/>
      <c r="AH175" s="396"/>
      <c r="AI175" s="396"/>
      <c r="AJ175" s="348"/>
      <c r="AK175" s="348"/>
      <c r="AL175" s="348"/>
      <c r="AM175" s="348"/>
      <c r="AN175" s="348"/>
      <c r="AO175" s="348"/>
      <c r="AP175" s="348"/>
      <c r="AQ175" s="348"/>
      <c r="AR175" s="348"/>
      <c r="AS175" s="23"/>
      <c r="AT175" s="23"/>
      <c r="AU175" s="23"/>
      <c r="AV175" s="23"/>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row>
    <row r="176" spans="1:83">
      <c r="A176" s="23"/>
      <c r="B176" s="23"/>
      <c r="C176" s="345"/>
      <c r="D176" s="345"/>
      <c r="E176" s="640">
        <v>2</v>
      </c>
      <c r="F176" s="438" t="s">
        <v>708</v>
      </c>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53"/>
      <c r="AC176" s="345"/>
      <c r="AD176" s="345"/>
      <c r="AE176" s="345"/>
      <c r="AF176" s="345"/>
      <c r="AG176" s="345"/>
      <c r="AH176" s="345"/>
      <c r="AI176" s="345"/>
      <c r="AJ176" s="348"/>
      <c r="AK176" s="348"/>
      <c r="AL176" s="348"/>
      <c r="AM176" s="348"/>
      <c r="AN176" s="348"/>
      <c r="AO176" s="348"/>
      <c r="AP176" s="348"/>
      <c r="AQ176" s="348"/>
      <c r="AR176" s="348"/>
      <c r="AS176" s="23"/>
      <c r="AT176" s="23"/>
      <c r="AU176" s="23"/>
      <c r="AV176" s="23"/>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row>
    <row r="177" spans="1:83">
      <c r="A177" s="86"/>
      <c r="B177" s="23"/>
      <c r="C177" s="345"/>
      <c r="D177" s="345"/>
      <c r="E177" s="640">
        <v>3</v>
      </c>
      <c r="F177" s="345" t="s">
        <v>375</v>
      </c>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53"/>
      <c r="AC177" s="345"/>
      <c r="AD177" s="345"/>
      <c r="AE177" s="345"/>
      <c r="AF177" s="345"/>
      <c r="AG177" s="345"/>
      <c r="AH177" s="345"/>
      <c r="AI177" s="345"/>
      <c r="AJ177" s="348"/>
      <c r="AK177" s="348"/>
      <c r="AL177" s="348"/>
      <c r="AM177" s="348"/>
      <c r="AN177" s="348"/>
      <c r="AO177" s="348"/>
      <c r="AP177" s="348"/>
      <c r="AQ177" s="348"/>
      <c r="AR177" s="348"/>
      <c r="AS177" s="23"/>
      <c r="AT177" s="23"/>
      <c r="AU177" s="23"/>
      <c r="AV177" s="23"/>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row>
    <row r="178" spans="1:83">
      <c r="A178"/>
      <c r="B178" s="118"/>
      <c r="C178" s="342"/>
      <c r="D178" s="342"/>
      <c r="E178" s="641">
        <v>4</v>
      </c>
      <c r="F178" s="342" t="s">
        <v>709</v>
      </c>
      <c r="G178" s="638">
        <v>2.1999999999999999E-2</v>
      </c>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576"/>
      <c r="AJ178" s="342"/>
      <c r="AK178" s="342"/>
      <c r="AL178" s="342"/>
      <c r="AM178" s="342"/>
      <c r="AN178" s="342"/>
      <c r="AO178" s="342"/>
      <c r="AP178" s="342"/>
      <c r="AQ178" s="342"/>
      <c r="AR178" s="342"/>
      <c r="AS178" s="86"/>
      <c r="AT178" s="86"/>
      <c r="AU178" s="86"/>
      <c r="AV178" s="86"/>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row>
    <row r="179" spans="1:83">
      <c r="A179"/>
      <c r="B179"/>
      <c r="C179" s="577"/>
      <c r="D179" s="577"/>
      <c r="E179" s="642">
        <v>5</v>
      </c>
      <c r="F179" s="577" t="s">
        <v>710</v>
      </c>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c r="AT179"/>
      <c r="AU179"/>
      <c r="AV179"/>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row>
    <row r="180" spans="1:8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row>
    <row r="181" spans="1:83">
      <c r="A181" s="86"/>
      <c r="B181" s="120"/>
      <c r="C181"/>
      <c r="D181"/>
      <c r="E181"/>
      <c r="F181"/>
      <c r="G181"/>
      <c r="H181"/>
      <c r="I181"/>
      <c r="J181"/>
      <c r="K181"/>
      <c r="L181"/>
      <c r="M181"/>
      <c r="N181"/>
      <c r="O181"/>
      <c r="P181"/>
      <c r="Q181"/>
      <c r="R181"/>
      <c r="S181"/>
      <c r="T181"/>
      <c r="U181"/>
      <c r="V181"/>
      <c r="W181"/>
      <c r="X181"/>
      <c r="Y181"/>
      <c r="Z181"/>
      <c r="AA181"/>
      <c r="AB181"/>
      <c r="AC181"/>
      <c r="AD181"/>
      <c r="AE181"/>
      <c r="AF181"/>
      <c r="AG181" s="121"/>
      <c r="AH181"/>
      <c r="AI181"/>
      <c r="AJ181"/>
      <c r="AK181"/>
      <c r="AL181"/>
      <c r="AM181"/>
      <c r="AN181"/>
      <c r="AO181"/>
      <c r="AP181"/>
      <c r="AQ181"/>
      <c r="AR181"/>
      <c r="AS181"/>
      <c r="AT181"/>
      <c r="AU181"/>
      <c r="AV181"/>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row>
    <row r="182" spans="1:83">
      <c r="A182" s="86"/>
      <c r="B182" s="118"/>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119"/>
      <c r="AJ182" s="86"/>
      <c r="AK182" s="86"/>
      <c r="AL182" s="86"/>
      <c r="AM182" s="86"/>
      <c r="AN182" s="86"/>
      <c r="AO182" s="86"/>
      <c r="AP182" s="86"/>
      <c r="AQ182" s="86"/>
      <c r="AR182" s="86"/>
      <c r="AS182" s="86"/>
      <c r="AT182" s="86"/>
      <c r="AU182" s="86"/>
      <c r="AV182" s="86"/>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row>
    <row r="183" spans="1:83">
      <c r="A183" s="86"/>
      <c r="B183" s="118"/>
      <c r="C183" s="1094" t="s">
        <v>705</v>
      </c>
      <c r="D183" s="1095"/>
      <c r="E183" s="1095"/>
      <c r="F183" s="1095"/>
      <c r="G183" s="1095"/>
      <c r="H183" s="1095"/>
      <c r="I183" s="1095"/>
      <c r="J183" s="1095"/>
      <c r="K183" s="1095"/>
      <c r="L183" s="1095"/>
      <c r="M183" s="1095"/>
      <c r="N183" s="1095"/>
      <c r="O183" s="1095"/>
      <c r="P183" s="1095"/>
      <c r="Q183" s="86"/>
      <c r="R183" s="1094" t="s">
        <v>705</v>
      </c>
      <c r="S183" s="1095"/>
      <c r="T183" s="1095"/>
      <c r="U183" s="1095"/>
      <c r="V183" s="1095"/>
      <c r="W183" s="1095"/>
      <c r="X183" s="1095"/>
      <c r="Y183" s="1095"/>
      <c r="Z183" s="1095"/>
      <c r="AA183" s="1095"/>
      <c r="AB183" s="1095"/>
      <c r="AC183" s="1095"/>
      <c r="AD183" s="1095"/>
      <c r="AE183" s="1095"/>
      <c r="AF183" s="1095"/>
      <c r="AG183" s="1096" t="s">
        <v>376</v>
      </c>
      <c r="AH183" s="1096"/>
      <c r="AI183" s="1096"/>
      <c r="AJ183" s="1096"/>
      <c r="AK183" s="1096"/>
      <c r="AL183" s="1096"/>
      <c r="AM183" s="1096"/>
      <c r="AN183" s="1096"/>
      <c r="AO183" s="1096"/>
      <c r="AP183" s="1096"/>
      <c r="AQ183" s="1096"/>
      <c r="AR183" s="1096"/>
      <c r="AS183" s="1096"/>
      <c r="AT183" s="1096"/>
      <c r="AU183" s="1096"/>
      <c r="AV183" s="86"/>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row>
    <row r="184" spans="1:83" ht="15">
      <c r="A184" s="86"/>
      <c r="B184" s="86"/>
      <c r="C184" s="577"/>
      <c r="D184" s="577"/>
      <c r="E184" s="577"/>
      <c r="F184" s="577"/>
      <c r="G184" s="577"/>
      <c r="H184" s="577"/>
      <c r="I184" s="577"/>
      <c r="J184" s="577"/>
      <c r="K184" s="577"/>
      <c r="L184" s="577"/>
      <c r="M184" s="577"/>
      <c r="N184" s="577"/>
      <c r="O184" s="577"/>
      <c r="P184" s="342"/>
      <c r="Q184" s="118"/>
      <c r="R184" s="342"/>
      <c r="S184" s="1097" t="s">
        <v>673</v>
      </c>
      <c r="T184" s="1097"/>
      <c r="U184" s="1097"/>
      <c r="V184" s="1097"/>
      <c r="W184" s="1097"/>
      <c r="X184" s="1097"/>
      <c r="Y184" s="1097"/>
      <c r="Z184" s="1097"/>
      <c r="AA184" s="1097"/>
      <c r="AB184" s="1097"/>
      <c r="AC184" s="1097"/>
      <c r="AD184" s="1097"/>
      <c r="AE184" s="1097"/>
      <c r="AF184" s="1097"/>
      <c r="AG184" s="304"/>
      <c r="AH184" s="1098" t="s">
        <v>377</v>
      </c>
      <c r="AI184" s="1098"/>
      <c r="AJ184" s="1098"/>
      <c r="AK184" s="1098"/>
      <c r="AL184" s="1098"/>
      <c r="AM184" s="1098"/>
      <c r="AN184" s="1098"/>
      <c r="AO184" s="1098"/>
      <c r="AP184" s="1098"/>
      <c r="AQ184" s="1098"/>
      <c r="AR184" s="1098"/>
      <c r="AS184" s="1098"/>
      <c r="AT184" s="1098"/>
      <c r="AU184" s="1098"/>
      <c r="AV184" s="86"/>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row>
    <row r="185" spans="1:83" ht="15">
      <c r="A185" s="86"/>
      <c r="B185" s="118"/>
      <c r="C185" s="577"/>
      <c r="D185" s="581">
        <v>1</v>
      </c>
      <c r="E185" s="581">
        <v>2</v>
      </c>
      <c r="F185" s="581">
        <v>3</v>
      </c>
      <c r="G185" s="581">
        <v>4</v>
      </c>
      <c r="H185" s="581">
        <v>5</v>
      </c>
      <c r="I185" s="581">
        <v>6</v>
      </c>
      <c r="J185" s="581">
        <v>7</v>
      </c>
      <c r="K185" s="581">
        <v>8</v>
      </c>
      <c r="L185" s="581">
        <v>9</v>
      </c>
      <c r="M185" s="581">
        <v>10</v>
      </c>
      <c r="N185" s="581">
        <v>11</v>
      </c>
      <c r="O185" s="581">
        <v>12</v>
      </c>
      <c r="P185" s="342"/>
      <c r="Q185" s="118"/>
      <c r="R185" s="535"/>
      <c r="S185" s="1099" t="s">
        <v>674</v>
      </c>
      <c r="T185" s="1099"/>
      <c r="U185" s="1099"/>
      <c r="V185" s="1099"/>
      <c r="W185" s="1099"/>
      <c r="X185" s="1099"/>
      <c r="Y185" s="1099"/>
      <c r="Z185" s="1099"/>
      <c r="AA185" s="1099"/>
      <c r="AB185" s="1099"/>
      <c r="AC185" s="1099"/>
      <c r="AD185" s="1099"/>
      <c r="AE185" s="1099"/>
      <c r="AF185" s="1099"/>
      <c r="AG185" s="305"/>
      <c r="AH185" s="1100" t="s">
        <v>671</v>
      </c>
      <c r="AI185" s="1100"/>
      <c r="AJ185" s="1100"/>
      <c r="AK185" s="1100"/>
      <c r="AL185" s="1100"/>
      <c r="AM185" s="1100"/>
      <c r="AN185" s="1100"/>
      <c r="AO185" s="1100"/>
      <c r="AP185" s="1100"/>
      <c r="AQ185" s="1100"/>
      <c r="AR185" s="1100"/>
      <c r="AS185" s="1100"/>
      <c r="AT185" s="1100"/>
      <c r="AU185" s="1100"/>
      <c r="AV185" s="86"/>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row>
    <row r="186" spans="1:83" ht="15">
      <c r="A186" s="86"/>
      <c r="B186" s="118"/>
      <c r="C186" s="535"/>
      <c r="D186" s="1101" t="s">
        <v>711</v>
      </c>
      <c r="E186" s="1102"/>
      <c r="F186" s="1102"/>
      <c r="G186" s="1102"/>
      <c r="H186" s="1102"/>
      <c r="I186" s="1102"/>
      <c r="J186" s="1102"/>
      <c r="K186" s="1102"/>
      <c r="L186" s="1102"/>
      <c r="M186" s="1102"/>
      <c r="N186" s="1102"/>
      <c r="O186" s="1102"/>
      <c r="P186" s="535"/>
      <c r="Q186" s="118"/>
      <c r="R186" s="611"/>
      <c r="S186" s="612">
        <v>1</v>
      </c>
      <c r="T186" s="612">
        <v>2</v>
      </c>
      <c r="U186" s="612">
        <v>3</v>
      </c>
      <c r="V186" s="612">
        <v>4</v>
      </c>
      <c r="W186" s="612">
        <v>5</v>
      </c>
      <c r="X186" s="612">
        <v>6</v>
      </c>
      <c r="Y186" s="612">
        <v>7</v>
      </c>
      <c r="Z186" s="612">
        <v>8</v>
      </c>
      <c r="AA186" s="612">
        <v>9</v>
      </c>
      <c r="AB186" s="612">
        <v>10</v>
      </c>
      <c r="AC186" s="612">
        <v>11</v>
      </c>
      <c r="AD186" s="612">
        <v>12</v>
      </c>
      <c r="AE186" s="612">
        <v>13</v>
      </c>
      <c r="AF186" s="612">
        <v>14</v>
      </c>
      <c r="AG186" s="306">
        <v>15</v>
      </c>
      <c r="AH186" s="306">
        <v>16</v>
      </c>
      <c r="AI186" s="306">
        <v>17</v>
      </c>
      <c r="AJ186" s="306">
        <v>18</v>
      </c>
      <c r="AK186" s="306">
        <v>19</v>
      </c>
      <c r="AL186" s="306">
        <v>20</v>
      </c>
      <c r="AM186" s="306">
        <v>21</v>
      </c>
      <c r="AN186" s="306">
        <v>22</v>
      </c>
      <c r="AO186" s="306">
        <v>23</v>
      </c>
      <c r="AP186" s="306">
        <v>24</v>
      </c>
      <c r="AQ186" s="306">
        <v>25</v>
      </c>
      <c r="AR186" s="306">
        <v>26</v>
      </c>
      <c r="AS186" s="306">
        <v>27</v>
      </c>
      <c r="AT186" s="306">
        <v>28</v>
      </c>
      <c r="AU186" s="306">
        <v>29</v>
      </c>
      <c r="AV186" s="86"/>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row>
    <row r="187" spans="1:83" ht="15">
      <c r="A187" s="86"/>
      <c r="B187" s="118"/>
      <c r="C187" s="535"/>
      <c r="D187" s="1060"/>
      <c r="E187" s="1060"/>
      <c r="F187" s="1060"/>
      <c r="G187" s="1060"/>
      <c r="H187" s="1060"/>
      <c r="I187" s="1060"/>
      <c r="J187" s="1060"/>
      <c r="K187" s="1060"/>
      <c r="L187" s="1060"/>
      <c r="M187" s="1060"/>
      <c r="N187" s="1060"/>
      <c r="O187" s="1060"/>
      <c r="P187" s="535"/>
      <c r="Q187" s="118"/>
      <c r="R187" s="613"/>
      <c r="S187" s="614"/>
      <c r="T187" s="614"/>
      <c r="U187" s="614"/>
      <c r="V187" s="614"/>
      <c r="W187" s="614"/>
      <c r="X187" s="614"/>
      <c r="Y187" s="614"/>
      <c r="Z187" s="614"/>
      <c r="AA187" s="614"/>
      <c r="AB187" s="614"/>
      <c r="AC187" s="614"/>
      <c r="AD187" s="614"/>
      <c r="AE187" s="614"/>
      <c r="AF187" s="614"/>
      <c r="AG187" s="307"/>
      <c r="AH187" s="308"/>
      <c r="AI187" s="308"/>
      <c r="AJ187" s="308"/>
      <c r="AK187" s="308"/>
      <c r="AL187" s="308"/>
      <c r="AM187" s="308"/>
      <c r="AN187" s="308"/>
      <c r="AO187" s="308"/>
      <c r="AP187" s="308"/>
      <c r="AQ187" s="308"/>
      <c r="AR187" s="308"/>
      <c r="AS187" s="308"/>
      <c r="AT187" s="308"/>
      <c r="AU187" s="308"/>
      <c r="AV187" s="86"/>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row>
    <row r="188" spans="1:83" ht="15">
      <c r="A188" s="86"/>
      <c r="B188" s="118"/>
      <c r="C188" s="537"/>
      <c r="D188" s="582"/>
      <c r="E188" s="582"/>
      <c r="F188" s="582"/>
      <c r="G188" s="582"/>
      <c r="H188" s="582"/>
      <c r="I188" s="582"/>
      <c r="J188" s="582"/>
      <c r="K188" s="582"/>
      <c r="L188" s="582"/>
      <c r="M188" s="582"/>
      <c r="N188" s="582"/>
      <c r="O188" s="582"/>
      <c r="P188" s="583"/>
      <c r="Q188" s="118"/>
      <c r="R188" s="613"/>
      <c r="S188" s="544"/>
      <c r="T188" s="544"/>
      <c r="U188" s="1103" t="s">
        <v>378</v>
      </c>
      <c r="V188" s="544"/>
      <c r="W188" s="1106" t="s">
        <v>379</v>
      </c>
      <c r="X188" s="1052"/>
      <c r="Y188" s="1052"/>
      <c r="Z188" s="1052"/>
      <c r="AA188" s="1052"/>
      <c r="AB188" s="1052"/>
      <c r="AC188" s="1052"/>
      <c r="AD188" s="1052"/>
      <c r="AE188" s="1052"/>
      <c r="AF188" s="1053"/>
      <c r="AG188" s="307"/>
      <c r="AH188" s="309"/>
      <c r="AI188" s="309"/>
      <c r="AJ188" s="1045" t="s">
        <v>378</v>
      </c>
      <c r="AK188" s="309"/>
      <c r="AL188" s="1048" t="s">
        <v>379</v>
      </c>
      <c r="AM188" s="1049"/>
      <c r="AN188" s="1049"/>
      <c r="AO188" s="1049"/>
      <c r="AP188" s="1049"/>
      <c r="AQ188" s="1049"/>
      <c r="AR188" s="1049"/>
      <c r="AS188" s="1049"/>
      <c r="AT188" s="1049"/>
      <c r="AU188" s="1050"/>
      <c r="AV188" s="86"/>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row>
    <row r="189" spans="1:83">
      <c r="A189" s="86"/>
      <c r="B189" s="118"/>
      <c r="C189" s="539"/>
      <c r="D189" s="544"/>
      <c r="E189" s="544"/>
      <c r="F189" s="1051" t="s">
        <v>270</v>
      </c>
      <c r="G189" s="1052"/>
      <c r="H189" s="1052"/>
      <c r="I189" s="1053"/>
      <c r="J189" s="544"/>
      <c r="K189" s="1051" t="s">
        <v>271</v>
      </c>
      <c r="L189" s="1052"/>
      <c r="M189" s="1053"/>
      <c r="N189" s="544"/>
      <c r="O189" s="1054" t="s">
        <v>380</v>
      </c>
      <c r="P189" s="561"/>
      <c r="Q189" s="118"/>
      <c r="R189" s="613"/>
      <c r="S189" s="544"/>
      <c r="T189" s="544"/>
      <c r="U189" s="1104"/>
      <c r="V189" s="544"/>
      <c r="W189" s="1056" t="s">
        <v>270</v>
      </c>
      <c r="X189" s="1057"/>
      <c r="Y189" s="1057"/>
      <c r="Z189" s="1058"/>
      <c r="AA189" s="544"/>
      <c r="AB189" s="1059" t="s">
        <v>271</v>
      </c>
      <c r="AC189" s="1060"/>
      <c r="AD189" s="1061"/>
      <c r="AE189" s="544"/>
      <c r="AF189" s="1062" t="s">
        <v>380</v>
      </c>
      <c r="AG189" s="307"/>
      <c r="AH189" s="309"/>
      <c r="AI189" s="309"/>
      <c r="AJ189" s="1046"/>
      <c r="AK189" s="309"/>
      <c r="AL189" s="1063" t="s">
        <v>270</v>
      </c>
      <c r="AM189" s="1064"/>
      <c r="AN189" s="1064"/>
      <c r="AO189" s="1065"/>
      <c r="AP189" s="309"/>
      <c r="AQ189" s="1066" t="s">
        <v>271</v>
      </c>
      <c r="AR189" s="1067"/>
      <c r="AS189" s="1068"/>
      <c r="AT189" s="309"/>
      <c r="AU189" s="1069" t="s">
        <v>380</v>
      </c>
      <c r="AV189" s="86"/>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row>
    <row r="190" spans="1:83" ht="25.5">
      <c r="A190" s="86"/>
      <c r="B190" s="118"/>
      <c r="C190" s="539"/>
      <c r="D190" s="544" t="s">
        <v>280</v>
      </c>
      <c r="E190" s="544"/>
      <c r="F190" s="584" t="s">
        <v>381</v>
      </c>
      <c r="G190" s="585" t="s">
        <v>89</v>
      </c>
      <c r="H190" s="585" t="s">
        <v>277</v>
      </c>
      <c r="I190" s="586" t="s">
        <v>278</v>
      </c>
      <c r="J190" s="587"/>
      <c r="K190" s="584" t="s">
        <v>381</v>
      </c>
      <c r="L190" s="585" t="s">
        <v>277</v>
      </c>
      <c r="M190" s="586" t="s">
        <v>278</v>
      </c>
      <c r="N190" s="544"/>
      <c r="O190" s="1055"/>
      <c r="P190" s="561"/>
      <c r="Q190" s="118"/>
      <c r="R190" s="613"/>
      <c r="S190" s="544" t="s">
        <v>280</v>
      </c>
      <c r="T190" s="544"/>
      <c r="U190" s="1105"/>
      <c r="V190" s="544"/>
      <c r="W190" s="615" t="s">
        <v>381</v>
      </c>
      <c r="X190" s="616" t="s">
        <v>89</v>
      </c>
      <c r="Y190" s="616" t="s">
        <v>277</v>
      </c>
      <c r="Z190" s="617" t="s">
        <v>278</v>
      </c>
      <c r="AA190" s="587"/>
      <c r="AB190" s="615" t="s">
        <v>381</v>
      </c>
      <c r="AC190" s="616" t="s">
        <v>277</v>
      </c>
      <c r="AD190" s="617" t="s">
        <v>278</v>
      </c>
      <c r="AE190" s="544"/>
      <c r="AF190" s="1055"/>
      <c r="AG190" s="307"/>
      <c r="AH190" s="309" t="s">
        <v>280</v>
      </c>
      <c r="AI190" s="309"/>
      <c r="AJ190" s="1047"/>
      <c r="AK190" s="309"/>
      <c r="AL190" s="310" t="s">
        <v>381</v>
      </c>
      <c r="AM190" s="311" t="s">
        <v>89</v>
      </c>
      <c r="AN190" s="311" t="s">
        <v>277</v>
      </c>
      <c r="AO190" s="312" t="s">
        <v>278</v>
      </c>
      <c r="AP190" s="313"/>
      <c r="AQ190" s="310" t="s">
        <v>381</v>
      </c>
      <c r="AR190" s="311" t="s">
        <v>277</v>
      </c>
      <c r="AS190" s="312" t="s">
        <v>278</v>
      </c>
      <c r="AT190" s="309"/>
      <c r="AU190" s="1070"/>
      <c r="AV190" s="86"/>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row>
    <row r="191" spans="1:83">
      <c r="A191" s="86"/>
      <c r="B191" s="118"/>
      <c r="C191" s="539"/>
      <c r="D191" s="544"/>
      <c r="E191" s="544"/>
      <c r="F191" s="587"/>
      <c r="G191" s="587"/>
      <c r="H191" s="587"/>
      <c r="I191" s="587"/>
      <c r="J191" s="587"/>
      <c r="K191" s="587"/>
      <c r="L191" s="587"/>
      <c r="M191" s="587"/>
      <c r="N191" s="544"/>
      <c r="O191" s="587"/>
      <c r="P191" s="561"/>
      <c r="Q191" s="118"/>
      <c r="R191" s="613"/>
      <c r="S191" s="544"/>
      <c r="T191" s="544"/>
      <c r="U191" s="544">
        <v>1</v>
      </c>
      <c r="V191" s="544"/>
      <c r="W191" s="587">
        <v>2</v>
      </c>
      <c r="X191" s="587">
        <v>3</v>
      </c>
      <c r="Y191" s="587">
        <v>4</v>
      </c>
      <c r="Z191" s="587">
        <v>5</v>
      </c>
      <c r="AA191" s="587"/>
      <c r="AB191" s="587">
        <v>6</v>
      </c>
      <c r="AC191" s="587">
        <v>7</v>
      </c>
      <c r="AD191" s="587">
        <v>8</v>
      </c>
      <c r="AE191" s="544"/>
      <c r="AF191" s="587">
        <v>9</v>
      </c>
      <c r="AG191" s="307"/>
      <c r="AH191" s="309"/>
      <c r="AI191" s="309"/>
      <c r="AJ191" s="309">
        <v>1</v>
      </c>
      <c r="AK191" s="309"/>
      <c r="AL191" s="313">
        <v>2</v>
      </c>
      <c r="AM191" s="313">
        <v>3</v>
      </c>
      <c r="AN191" s="313">
        <v>4</v>
      </c>
      <c r="AO191" s="313">
        <v>5</v>
      </c>
      <c r="AP191" s="313"/>
      <c r="AQ191" s="313">
        <v>6</v>
      </c>
      <c r="AR191" s="313">
        <v>7</v>
      </c>
      <c r="AS191" s="313">
        <v>8</v>
      </c>
      <c r="AT191" s="309"/>
      <c r="AU191" s="313">
        <v>9</v>
      </c>
      <c r="AV191" s="86"/>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row>
    <row r="192" spans="1:83">
      <c r="A192" s="86"/>
      <c r="B192" s="118"/>
      <c r="C192" s="539"/>
      <c r="D192" s="544">
        <v>2015</v>
      </c>
      <c r="E192" s="544"/>
      <c r="F192" s="588">
        <v>5.0621808554043817</v>
      </c>
      <c r="G192" s="589">
        <v>6.272999216862293</v>
      </c>
      <c r="H192" s="589">
        <v>6.6766053373482634</v>
      </c>
      <c r="I192" s="590">
        <v>6.5142267151047006</v>
      </c>
      <c r="J192" s="591"/>
      <c r="K192" s="588">
        <v>5.2267196021821825</v>
      </c>
      <c r="L192" s="589">
        <v>6.0635456397596794</v>
      </c>
      <c r="M192" s="590">
        <v>5.7630206281973742</v>
      </c>
      <c r="N192" s="591"/>
      <c r="O192" s="592">
        <v>6.417067057965526</v>
      </c>
      <c r="P192" s="593"/>
      <c r="Q192" s="118"/>
      <c r="R192" s="613"/>
      <c r="S192" s="544"/>
      <c r="T192" s="544"/>
      <c r="U192" s="618"/>
      <c r="V192" s="544"/>
      <c r="W192" s="618"/>
      <c r="X192" s="618"/>
      <c r="Y192" s="618"/>
      <c r="Z192" s="618"/>
      <c r="AA192" s="591"/>
      <c r="AB192" s="618"/>
      <c r="AC192" s="618"/>
      <c r="AD192" s="618"/>
      <c r="AE192" s="591"/>
      <c r="AF192" s="618"/>
      <c r="AG192" s="307"/>
      <c r="AH192" s="309">
        <v>2013</v>
      </c>
      <c r="AI192" s="309"/>
      <c r="AJ192" s="314"/>
      <c r="AK192" s="309"/>
      <c r="AL192" s="315"/>
      <c r="AM192" s="314"/>
      <c r="AN192" s="314"/>
      <c r="AO192" s="314"/>
      <c r="AP192" s="316"/>
      <c r="AQ192" s="314"/>
      <c r="AR192" s="314"/>
      <c r="AS192" s="314"/>
      <c r="AT192" s="317"/>
      <c r="AU192" s="314"/>
      <c r="AV192" s="86"/>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row>
    <row r="193" spans="1:83">
      <c r="A193" s="86"/>
      <c r="B193" s="118"/>
      <c r="C193" s="539"/>
      <c r="D193" s="544">
        <v>2016</v>
      </c>
      <c r="E193" s="544"/>
      <c r="F193" s="594">
        <v>5.2786521819923946</v>
      </c>
      <c r="G193" s="595">
        <v>6.5290592934503069</v>
      </c>
      <c r="H193" s="595">
        <v>6.9458616639362774</v>
      </c>
      <c r="I193" s="596">
        <v>6.7623690416927129</v>
      </c>
      <c r="J193" s="591"/>
      <c r="K193" s="594">
        <v>5.4643049287701952</v>
      </c>
      <c r="L193" s="595">
        <v>6.3116879663476935</v>
      </c>
      <c r="M193" s="596">
        <v>6.0111629547853873</v>
      </c>
      <c r="N193" s="591"/>
      <c r="O193" s="597">
        <v>6.6170670579655262</v>
      </c>
      <c r="P193" s="593"/>
      <c r="Q193" s="118"/>
      <c r="R193" s="613"/>
      <c r="S193" s="544">
        <v>2016</v>
      </c>
      <c r="T193" s="544"/>
      <c r="U193" s="618">
        <v>0.13718579</v>
      </c>
      <c r="V193" s="544"/>
      <c r="W193" s="618">
        <v>6.1173870572516611</v>
      </c>
      <c r="X193" s="618">
        <v>5.8719784375677495</v>
      </c>
      <c r="Y193" s="618">
        <v>5.7925146457029308</v>
      </c>
      <c r="Z193" s="618">
        <v>5.8571382658082047</v>
      </c>
      <c r="AA193" s="591"/>
      <c r="AB193" s="618">
        <v>6.0262603458122426</v>
      </c>
      <c r="AC193" s="618">
        <v>5.8698342796515286</v>
      </c>
      <c r="AD193" s="618">
        <v>5.9381924705637603</v>
      </c>
      <c r="AE193" s="591"/>
      <c r="AF193" s="618">
        <v>5.8949095252242945</v>
      </c>
      <c r="AG193" s="307"/>
      <c r="AH193" s="309">
        <v>2014</v>
      </c>
      <c r="AI193" s="309"/>
      <c r="AJ193" s="314"/>
      <c r="AK193" s="309"/>
      <c r="AL193" s="315"/>
      <c r="AM193" s="314"/>
      <c r="AN193" s="314"/>
      <c r="AO193" s="314"/>
      <c r="AP193" s="316"/>
      <c r="AQ193" s="314"/>
      <c r="AR193" s="314"/>
      <c r="AS193" s="314"/>
      <c r="AT193" s="317"/>
      <c r="AU193" s="314"/>
      <c r="AV193" s="86"/>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row>
    <row r="194" spans="1:83">
      <c r="A194" s="86"/>
      <c r="B194" s="118"/>
      <c r="C194" s="539"/>
      <c r="D194" s="544">
        <v>2017</v>
      </c>
      <c r="E194" s="544"/>
      <c r="F194" s="594">
        <v>5.976177793272436</v>
      </c>
      <c r="G194" s="595">
        <v>7.3849399047303486</v>
      </c>
      <c r="H194" s="595">
        <v>7.8545272752163182</v>
      </c>
      <c r="I194" s="596">
        <v>7.6393636529727544</v>
      </c>
      <c r="J194" s="591"/>
      <c r="K194" s="594">
        <v>6.2146155400502359</v>
      </c>
      <c r="L194" s="595">
        <v>7.1675685776277334</v>
      </c>
      <c r="M194" s="596">
        <v>6.8248155660654266</v>
      </c>
      <c r="N194" s="591"/>
      <c r="O194" s="597">
        <v>6.6170670579655262</v>
      </c>
      <c r="P194" s="593"/>
      <c r="Q194" s="118"/>
      <c r="R194" s="613"/>
      <c r="S194" s="544">
        <v>2017</v>
      </c>
      <c r="T194" s="544"/>
      <c r="U194" s="618">
        <v>0.13718579</v>
      </c>
      <c r="V194" s="544"/>
      <c r="W194" s="618">
        <v>3.6002214036350604</v>
      </c>
      <c r="X194" s="618">
        <v>3.4179359643895388</v>
      </c>
      <c r="Y194" s="618">
        <v>3.3589115820233033</v>
      </c>
      <c r="Z194" s="618">
        <v>3.4069129317383142</v>
      </c>
      <c r="AA194" s="591"/>
      <c r="AB194" s="618">
        <v>3.5325339986729625</v>
      </c>
      <c r="AC194" s="618">
        <v>3.4163433195669017</v>
      </c>
      <c r="AD194" s="618">
        <v>3.4671186463362504</v>
      </c>
      <c r="AE194" s="591"/>
      <c r="AF194" s="618">
        <v>3.4349687947409526</v>
      </c>
      <c r="AG194" s="307"/>
      <c r="AH194" s="309">
        <v>2015</v>
      </c>
      <c r="AI194" s="309"/>
      <c r="AJ194" s="314">
        <v>8.5320943260000004E-2</v>
      </c>
      <c r="AK194" s="309"/>
      <c r="AL194" s="314">
        <v>2.1927907678016085</v>
      </c>
      <c r="AM194" s="314">
        <v>3.5802946679612617</v>
      </c>
      <c r="AN194" s="314">
        <v>4.0295711492679223</v>
      </c>
      <c r="AO194" s="314">
        <v>3.6641987957866435</v>
      </c>
      <c r="AP194" s="317"/>
      <c r="AQ194" s="314">
        <v>2.7080076648029094</v>
      </c>
      <c r="AR194" s="314">
        <v>3.5924174184789397</v>
      </c>
      <c r="AS194" s="314">
        <v>3.2059303561225141</v>
      </c>
      <c r="AT194" s="317"/>
      <c r="AU194" s="314">
        <v>3.4506457029031594</v>
      </c>
      <c r="AV194" s="86"/>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row>
    <row r="195" spans="1:83">
      <c r="A195" s="86"/>
      <c r="B195" s="118"/>
      <c r="C195" s="539"/>
      <c r="D195" s="544">
        <v>2018</v>
      </c>
      <c r="E195" s="544"/>
      <c r="F195" s="594">
        <v>6.4517516258519336</v>
      </c>
      <c r="G195" s="595">
        <v>7.8367604873098449</v>
      </c>
      <c r="H195" s="595">
        <v>8.2984301077958165</v>
      </c>
      <c r="I195" s="596">
        <v>8.0832664855522509</v>
      </c>
      <c r="J195" s="591"/>
      <c r="K195" s="594">
        <v>6.6796323726297331</v>
      </c>
      <c r="L195" s="595">
        <v>7.6220284102072329</v>
      </c>
      <c r="M195" s="596">
        <v>7.2792753986449252</v>
      </c>
      <c r="N195" s="591"/>
      <c r="O195" s="597">
        <v>6.7170670579655267</v>
      </c>
      <c r="P195" s="593"/>
      <c r="Q195" s="118"/>
      <c r="R195" s="613"/>
      <c r="S195" s="544">
        <v>2018</v>
      </c>
      <c r="T195" s="544"/>
      <c r="U195" s="618">
        <v>0.13718579</v>
      </c>
      <c r="V195" s="544"/>
      <c r="W195" s="618">
        <v>1.6927238822636623</v>
      </c>
      <c r="X195" s="618">
        <v>1.5584240312787274</v>
      </c>
      <c r="Y195" s="618">
        <v>1.5149374764059249</v>
      </c>
      <c r="Z195" s="618">
        <v>1.550302748259146</v>
      </c>
      <c r="AA195" s="591"/>
      <c r="AB195" s="618">
        <v>1.642854795420567</v>
      </c>
      <c r="AC195" s="618">
        <v>1.5572506410000664</v>
      </c>
      <c r="AD195" s="618">
        <v>1.5946596564818249</v>
      </c>
      <c r="AE195" s="591"/>
      <c r="AF195" s="618">
        <v>1.5709730674909146</v>
      </c>
      <c r="AG195" s="307"/>
      <c r="AH195" s="309">
        <v>2016</v>
      </c>
      <c r="AI195" s="309"/>
      <c r="AJ195" s="314">
        <v>0.119449320564</v>
      </c>
      <c r="AK195" s="309"/>
      <c r="AL195" s="314">
        <v>7.7619909954333419</v>
      </c>
      <c r="AM195" s="314">
        <v>12.625635938506228</v>
      </c>
      <c r="AN195" s="314">
        <v>14.200493700057233</v>
      </c>
      <c r="AO195" s="314">
        <v>12.919746742053448</v>
      </c>
      <c r="AP195" s="317"/>
      <c r="AQ195" s="314">
        <v>9.5679910040803424</v>
      </c>
      <c r="AR195" s="314">
        <v>12.668130056356748</v>
      </c>
      <c r="AS195" s="314">
        <v>11.313369290511957</v>
      </c>
      <c r="AT195" s="317"/>
      <c r="AU195" s="314">
        <v>12.171174849635115</v>
      </c>
      <c r="AV195" s="86"/>
      <c r="BR195" s="7"/>
      <c r="BS195" s="7"/>
      <c r="BT195" s="7"/>
      <c r="BU195" s="7"/>
      <c r="BV195" s="7"/>
      <c r="BW195" s="7"/>
      <c r="BX195" s="7"/>
      <c r="BY195" s="7"/>
      <c r="BZ195" s="7"/>
      <c r="CA195" s="7"/>
      <c r="CB195" s="7"/>
      <c r="CC195" s="7"/>
      <c r="CD195" s="7"/>
      <c r="CE195" s="7"/>
    </row>
    <row r="196" spans="1:83">
      <c r="A196" s="86"/>
      <c r="B196" s="118"/>
      <c r="C196" s="539"/>
      <c r="D196" s="544">
        <v>2019</v>
      </c>
      <c r="E196" s="544"/>
      <c r="F196" s="594">
        <v>6.5045344535658725</v>
      </c>
      <c r="G196" s="595">
        <v>7.7707770650237826</v>
      </c>
      <c r="H196" s="595">
        <v>8.1928579355097533</v>
      </c>
      <c r="I196" s="596">
        <v>8.0093653132661906</v>
      </c>
      <c r="J196" s="591"/>
      <c r="K196" s="594">
        <v>6.6901872003436722</v>
      </c>
      <c r="L196" s="595">
        <v>7.5586842379211712</v>
      </c>
      <c r="M196" s="596">
        <v>7.2476022263588629</v>
      </c>
      <c r="N196" s="591"/>
      <c r="O196" s="597">
        <v>6.957067057965526</v>
      </c>
      <c r="P196" s="593"/>
      <c r="Q196" s="118"/>
      <c r="R196" s="613"/>
      <c r="S196" s="544">
        <v>2019</v>
      </c>
      <c r="T196" s="544"/>
      <c r="U196" s="618">
        <v>0.13718579</v>
      </c>
      <c r="V196" s="544"/>
      <c r="W196" s="618">
        <v>1.0946312505384179</v>
      </c>
      <c r="X196" s="618">
        <v>0.97559939114648808</v>
      </c>
      <c r="Y196" s="618">
        <v>0.9370566418649604</v>
      </c>
      <c r="Z196" s="618">
        <v>0.96840138302228462</v>
      </c>
      <c r="AA196" s="591"/>
      <c r="AB196" s="618">
        <v>1.0504315728055131</v>
      </c>
      <c r="AC196" s="618">
        <v>0.97455939872924335</v>
      </c>
      <c r="AD196" s="618">
        <v>1.0077155388005732</v>
      </c>
      <c r="AE196" s="591"/>
      <c r="AF196" s="618">
        <v>0.98672177961496721</v>
      </c>
      <c r="AG196" s="307"/>
      <c r="AH196" s="309">
        <v>2017</v>
      </c>
      <c r="AI196" s="309"/>
      <c r="AJ196" s="314">
        <v>0.17064188652000001</v>
      </c>
      <c r="AK196" s="309"/>
      <c r="AL196" s="314">
        <v>3.2919570542621583</v>
      </c>
      <c r="AM196" s="314">
        <v>5.0526790032202742</v>
      </c>
      <c r="AN196" s="314">
        <v>5.6228042199467172</v>
      </c>
      <c r="AO196" s="314">
        <v>5.1591521017487452</v>
      </c>
      <c r="AP196" s="317"/>
      <c r="AQ196" s="314">
        <v>3.9457596842366769</v>
      </c>
      <c r="AR196" s="314">
        <v>5.0680625945137923</v>
      </c>
      <c r="AS196" s="314">
        <v>4.5776162227226926</v>
      </c>
      <c r="AT196" s="317"/>
      <c r="AU196" s="314">
        <v>4.8881563821226042</v>
      </c>
      <c r="AV196" s="86"/>
    </row>
    <row r="197" spans="1:83">
      <c r="A197" s="86"/>
      <c r="B197" s="118"/>
      <c r="C197" s="539"/>
      <c r="D197" s="544">
        <v>2020</v>
      </c>
      <c r="E197" s="544"/>
      <c r="F197" s="594">
        <v>6.1418435968398715</v>
      </c>
      <c r="G197" s="595">
        <v>7.3922507082977829</v>
      </c>
      <c r="H197" s="595">
        <v>7.8090530787837551</v>
      </c>
      <c r="I197" s="596">
        <v>7.6255604565401898</v>
      </c>
      <c r="J197" s="591"/>
      <c r="K197" s="594">
        <v>6.3274963436176712</v>
      </c>
      <c r="L197" s="595">
        <v>7.1748793811951703</v>
      </c>
      <c r="M197" s="596">
        <v>6.8743543696328633</v>
      </c>
      <c r="N197" s="591"/>
      <c r="O197" s="597">
        <v>7.2470670579655261</v>
      </c>
      <c r="P197" s="593"/>
      <c r="Q197" s="118"/>
      <c r="R197" s="613"/>
      <c r="S197" s="544">
        <v>2020</v>
      </c>
      <c r="T197" s="544"/>
      <c r="U197" s="618">
        <v>0.13718579</v>
      </c>
      <c r="V197" s="544"/>
      <c r="W197" s="618">
        <v>1.0770053073287347</v>
      </c>
      <c r="X197" s="618">
        <v>0.95865537870656259</v>
      </c>
      <c r="Y197" s="618">
        <v>0.92033343994433947</v>
      </c>
      <c r="Z197" s="618">
        <v>0.9514986078044434</v>
      </c>
      <c r="AA197" s="591"/>
      <c r="AB197" s="618">
        <v>1.0330588485274117</v>
      </c>
      <c r="AC197" s="618">
        <v>0.95762134438182556</v>
      </c>
      <c r="AD197" s="618">
        <v>0.99058753369344665</v>
      </c>
      <c r="AE197" s="591"/>
      <c r="AF197" s="618">
        <v>0.96971404726871901</v>
      </c>
      <c r="AG197" s="307"/>
      <c r="AH197" s="309">
        <v>2018</v>
      </c>
      <c r="AI197" s="309"/>
      <c r="AJ197" s="314">
        <v>0.17064188652000001</v>
      </c>
      <c r="AK197" s="309"/>
      <c r="AL197" s="314">
        <v>2.613805068917515</v>
      </c>
      <c r="AM197" s="314">
        <v>3.8980591755945686</v>
      </c>
      <c r="AN197" s="314">
        <v>4.3139031714817904</v>
      </c>
      <c r="AO197" s="314">
        <v>3.9757196569197051</v>
      </c>
      <c r="AP197" s="317"/>
      <c r="AQ197" s="314">
        <v>3.0906825866867944</v>
      </c>
      <c r="AR197" s="314">
        <v>3.9092798230714929</v>
      </c>
      <c r="AS197" s="314">
        <v>3.5515528307713797</v>
      </c>
      <c r="AT197" s="317"/>
      <c r="AU197" s="314">
        <v>3.7780579159345855</v>
      </c>
      <c r="AV197" s="86"/>
    </row>
    <row r="198" spans="1:83">
      <c r="A198" s="86"/>
      <c r="B198" s="118"/>
      <c r="C198" s="539"/>
      <c r="D198" s="544">
        <v>2021</v>
      </c>
      <c r="E198" s="544"/>
      <c r="F198" s="594">
        <v>6.447729922063183</v>
      </c>
      <c r="G198" s="595">
        <v>7.706054783521096</v>
      </c>
      <c r="H198" s="595">
        <v>8.1254964040070661</v>
      </c>
      <c r="I198" s="596">
        <v>7.9420037817635034</v>
      </c>
      <c r="J198" s="591"/>
      <c r="K198" s="594">
        <v>6.6333826688409854</v>
      </c>
      <c r="L198" s="595">
        <v>7.4913227064184822</v>
      </c>
      <c r="M198" s="596">
        <v>7.1802406948561757</v>
      </c>
      <c r="N198" s="591"/>
      <c r="O198" s="597">
        <v>7.5870670579655259</v>
      </c>
      <c r="P198" s="593"/>
      <c r="Q198" s="118"/>
      <c r="R198" s="613"/>
      <c r="S198" s="544">
        <v>2021</v>
      </c>
      <c r="T198" s="544"/>
      <c r="U198" s="618">
        <v>0.13718579</v>
      </c>
      <c r="V198" s="544"/>
      <c r="W198" s="618">
        <v>0.21311242924999999</v>
      </c>
      <c r="X198" s="618">
        <v>0.11652135181672998</v>
      </c>
      <c r="Y198" s="618">
        <v>8.5244971700000005E-2</v>
      </c>
      <c r="Z198" s="618">
        <v>0.11068036635584599</v>
      </c>
      <c r="AA198" s="591"/>
      <c r="AB198" s="618">
        <v>0.177245607407225</v>
      </c>
      <c r="AC198" s="618">
        <v>0.1156774265969</v>
      </c>
      <c r="AD198" s="618">
        <v>0.14258272161101201</v>
      </c>
      <c r="AE198" s="591"/>
      <c r="AF198" s="618">
        <v>0.12554686390475336</v>
      </c>
      <c r="AG198" s="307"/>
      <c r="AH198" s="309">
        <v>2019</v>
      </c>
      <c r="AI198" s="309"/>
      <c r="AJ198" s="314">
        <v>0.17064188652000001</v>
      </c>
      <c r="AK198" s="309"/>
      <c r="AL198" s="314">
        <v>1.376704183574059</v>
      </c>
      <c r="AM198" s="314">
        <v>1.9465229900063175</v>
      </c>
      <c r="AN198" s="314">
        <v>2.1310314359334162</v>
      </c>
      <c r="AO198" s="314">
        <v>1.9809806588940928</v>
      </c>
      <c r="AP198" s="317"/>
      <c r="AQ198" s="314">
        <v>1.5882929778608585</v>
      </c>
      <c r="AR198" s="314">
        <v>1.9515015498718891</v>
      </c>
      <c r="AS198" s="314">
        <v>1.7927794039030687</v>
      </c>
      <c r="AT198" s="317"/>
      <c r="AU198" s="314">
        <v>1.8932788740682758</v>
      </c>
      <c r="AV198" s="86"/>
    </row>
    <row r="199" spans="1:83">
      <c r="A199" s="86"/>
      <c r="B199" s="118"/>
      <c r="C199" s="539"/>
      <c r="D199" s="544">
        <v>2022</v>
      </c>
      <c r="E199" s="544"/>
      <c r="F199" s="594">
        <v>6.5282059858927886</v>
      </c>
      <c r="G199" s="595">
        <v>7.7786130973507008</v>
      </c>
      <c r="H199" s="595">
        <v>8.1954154678366713</v>
      </c>
      <c r="I199" s="596">
        <v>8.0224798455931072</v>
      </c>
      <c r="J199" s="591"/>
      <c r="K199" s="594">
        <v>6.7138587326705892</v>
      </c>
      <c r="L199" s="595">
        <v>7.5612417702480874</v>
      </c>
      <c r="M199" s="596">
        <v>7.2607167586857813</v>
      </c>
      <c r="N199" s="591"/>
      <c r="O199" s="597">
        <v>7.8370670579655259</v>
      </c>
      <c r="P199" s="593"/>
      <c r="Q199" s="118"/>
      <c r="R199" s="613"/>
      <c r="S199" s="544">
        <v>2022</v>
      </c>
      <c r="T199" s="544"/>
      <c r="U199" s="618">
        <v>0.13718579</v>
      </c>
      <c r="V199" s="544"/>
      <c r="W199" s="618">
        <v>0.21292833624999999</v>
      </c>
      <c r="X199" s="618">
        <v>0.11642069712805</v>
      </c>
      <c r="Y199" s="618">
        <v>8.5171334500000001E-2</v>
      </c>
      <c r="Z199" s="618">
        <v>0.11058475728811</v>
      </c>
      <c r="AA199" s="591"/>
      <c r="AB199" s="618">
        <v>0.17709249725912501</v>
      </c>
      <c r="AC199" s="618">
        <v>0.11557750091649999</v>
      </c>
      <c r="AD199" s="618">
        <v>0.14245955431822713</v>
      </c>
      <c r="AE199" s="591"/>
      <c r="AF199" s="618">
        <v>0.12543841270414458</v>
      </c>
      <c r="AG199" s="307"/>
      <c r="AH199" s="309">
        <v>2020</v>
      </c>
      <c r="AI199" s="309"/>
      <c r="AJ199" s="314">
        <v>0.17064188652000001</v>
      </c>
      <c r="AK199" s="309"/>
      <c r="AL199" s="314">
        <v>0.88035006449214492</v>
      </c>
      <c r="AM199" s="314">
        <v>1.2447275603817622</v>
      </c>
      <c r="AN199" s="314">
        <v>1.3627137074490121</v>
      </c>
      <c r="AO199" s="314">
        <v>1.2667619315920322</v>
      </c>
      <c r="AP199" s="317"/>
      <c r="AQ199" s="314">
        <v>1.0156530663415462</v>
      </c>
      <c r="AR199" s="314">
        <v>1.2479111604252777</v>
      </c>
      <c r="AS199" s="314">
        <v>1.1464143733106871</v>
      </c>
      <c r="AT199" s="317"/>
      <c r="AU199" s="314">
        <v>1.2106799694329253</v>
      </c>
      <c r="AV199" s="86"/>
    </row>
    <row r="200" spans="1:83">
      <c r="A200" s="86"/>
      <c r="B200" s="118"/>
      <c r="C200" s="539"/>
      <c r="D200" s="544">
        <v>2023</v>
      </c>
      <c r="E200" s="544"/>
      <c r="F200" s="594">
        <v>6.6169038371376443</v>
      </c>
      <c r="G200" s="595">
        <v>7.8673109485955575</v>
      </c>
      <c r="H200" s="595">
        <v>8.2841133190815288</v>
      </c>
      <c r="I200" s="596">
        <v>8.1006206968379644</v>
      </c>
      <c r="J200" s="591"/>
      <c r="K200" s="594">
        <v>6.8025565839154467</v>
      </c>
      <c r="L200" s="595">
        <v>7.649939621492944</v>
      </c>
      <c r="M200" s="596">
        <v>7.349414609930637</v>
      </c>
      <c r="N200" s="591"/>
      <c r="O200" s="597">
        <v>7.9870670579655263</v>
      </c>
      <c r="P200" s="593"/>
      <c r="Q200" s="118"/>
      <c r="R200" s="613"/>
      <c r="S200" s="544">
        <v>2023</v>
      </c>
      <c r="T200" s="544"/>
      <c r="U200" s="618">
        <v>0.13718579</v>
      </c>
      <c r="V200" s="544"/>
      <c r="W200" s="618">
        <v>0.21291417525</v>
      </c>
      <c r="X200" s="618">
        <v>0.11641295445968999</v>
      </c>
      <c r="Y200" s="618">
        <v>8.5165670100000007E-2</v>
      </c>
      <c r="Z200" s="618">
        <v>0.110577402744438</v>
      </c>
      <c r="AA200" s="591"/>
      <c r="AB200" s="618">
        <v>0.17708071955542501</v>
      </c>
      <c r="AC200" s="618">
        <v>0.1155698143257</v>
      </c>
      <c r="AD200" s="618">
        <v>0.14245007991108982</v>
      </c>
      <c r="AE200" s="591"/>
      <c r="AF200" s="618">
        <v>0.12543007030409775</v>
      </c>
      <c r="AG200" s="307"/>
      <c r="AH200" s="309">
        <v>2021</v>
      </c>
      <c r="AI200" s="309"/>
      <c r="AJ200" s="314">
        <v>0.17064188652000001</v>
      </c>
      <c r="AK200" s="309"/>
      <c r="AL200" s="314">
        <v>0.66209204054349136</v>
      </c>
      <c r="AM200" s="314">
        <v>0.93613239052728703</v>
      </c>
      <c r="AN200" s="314">
        <v>1.0248671927592654</v>
      </c>
      <c r="AO200" s="314">
        <v>0.95270395948050357</v>
      </c>
      <c r="AP200" s="317"/>
      <c r="AQ200" s="314">
        <v>0.763850470740016</v>
      </c>
      <c r="AR200" s="314">
        <v>0.93852670653191117</v>
      </c>
      <c r="AS200" s="314">
        <v>0.86219319149085294</v>
      </c>
      <c r="AT200" s="317"/>
      <c r="AU200" s="314">
        <v>0.91052594159732636</v>
      </c>
      <c r="AV200" s="86"/>
    </row>
    <row r="201" spans="1:83">
      <c r="A201" s="86"/>
      <c r="B201" s="118"/>
      <c r="C201" s="539"/>
      <c r="D201" s="544">
        <v>2024</v>
      </c>
      <c r="E201" s="544"/>
      <c r="F201" s="594">
        <v>6.8054092064554972</v>
      </c>
      <c r="G201" s="595">
        <v>8.0716518179134091</v>
      </c>
      <c r="H201" s="595">
        <v>8.4937326883993798</v>
      </c>
      <c r="I201" s="596">
        <v>8.3102400661558153</v>
      </c>
      <c r="J201" s="591"/>
      <c r="K201" s="594">
        <v>6.9910619532332969</v>
      </c>
      <c r="L201" s="595">
        <v>7.8490019908107946</v>
      </c>
      <c r="M201" s="596">
        <v>7.537919979248489</v>
      </c>
      <c r="N201" s="591"/>
      <c r="O201" s="597">
        <v>8.1870670579655265</v>
      </c>
      <c r="P201" s="593"/>
      <c r="Q201" s="118"/>
      <c r="R201" s="613"/>
      <c r="S201" s="544">
        <v>2024</v>
      </c>
      <c r="T201" s="544"/>
      <c r="U201" s="618">
        <v>0.13718579</v>
      </c>
      <c r="V201" s="544"/>
      <c r="W201" s="618">
        <v>0.21255271254958139</v>
      </c>
      <c r="X201" s="618">
        <v>0.11621532111360913</v>
      </c>
      <c r="Y201" s="618">
        <v>8.5021085019832562E-2</v>
      </c>
      <c r="Z201" s="618">
        <v>0.11038967636805021</v>
      </c>
      <c r="AA201" s="591"/>
      <c r="AB201" s="618">
        <v>0.17678009102748685</v>
      </c>
      <c r="AC201" s="618">
        <v>0.11537361237191278</v>
      </c>
      <c r="AD201" s="618">
        <v>0.14220824354439865</v>
      </c>
      <c r="AE201" s="591"/>
      <c r="AF201" s="618">
        <v>0.12521712867222859</v>
      </c>
      <c r="AG201" s="307"/>
      <c r="AH201" s="309">
        <v>2022</v>
      </c>
      <c r="AI201" s="309"/>
      <c r="AJ201" s="314">
        <v>0.17064188652000001</v>
      </c>
      <c r="AK201" s="309"/>
      <c r="AL201" s="314">
        <v>0.44076362391756391</v>
      </c>
      <c r="AM201" s="314">
        <v>0.62319599035916118</v>
      </c>
      <c r="AN201" s="314">
        <v>0.6822679480393502</v>
      </c>
      <c r="AO201" s="314">
        <v>0.63422790788504446</v>
      </c>
      <c r="AP201" s="317"/>
      <c r="AQ201" s="314">
        <v>0.50850558683372493</v>
      </c>
      <c r="AR201" s="314">
        <v>0.62478991889836499</v>
      </c>
      <c r="AS201" s="314">
        <v>0.57397366578611719</v>
      </c>
      <c r="AT201" s="317"/>
      <c r="AU201" s="314">
        <v>0.60614943106694441</v>
      </c>
      <c r="AV201" s="86"/>
    </row>
    <row r="202" spans="1:83">
      <c r="A202" s="86"/>
      <c r="B202" s="118"/>
      <c r="C202" s="539"/>
      <c r="D202" s="544">
        <v>2025</v>
      </c>
      <c r="E202" s="544"/>
      <c r="F202" s="594">
        <v>6.9226585507757221</v>
      </c>
      <c r="G202" s="595">
        <v>8.1730656622336344</v>
      </c>
      <c r="H202" s="595">
        <v>8.589868032719604</v>
      </c>
      <c r="I202" s="596">
        <v>8.4063754104760413</v>
      </c>
      <c r="J202" s="591"/>
      <c r="K202" s="594">
        <v>7.1083112975535219</v>
      </c>
      <c r="L202" s="595">
        <v>7.955694335131021</v>
      </c>
      <c r="M202" s="596">
        <v>7.6551693235687122</v>
      </c>
      <c r="N202" s="591"/>
      <c r="O202" s="597">
        <v>8.3070670579655257</v>
      </c>
      <c r="P202" s="593"/>
      <c r="Q202" s="118"/>
      <c r="R202" s="613"/>
      <c r="S202" s="544">
        <v>2025</v>
      </c>
      <c r="T202" s="544"/>
      <c r="U202" s="618">
        <v>0.13718579</v>
      </c>
      <c r="V202" s="544"/>
      <c r="W202" s="618">
        <v>0.2121927701613277</v>
      </c>
      <c r="X202" s="618">
        <v>0.11601851901340754</v>
      </c>
      <c r="Y202" s="618">
        <v>8.4877108064531082E-2</v>
      </c>
      <c r="Z202" s="618">
        <v>0.11020273956882587</v>
      </c>
      <c r="AA202" s="591"/>
      <c r="AB202" s="618">
        <v>0.17648072694317624</v>
      </c>
      <c r="AC202" s="618">
        <v>0.11517823564356867</v>
      </c>
      <c r="AD202" s="618">
        <v>0.14196742434149717</v>
      </c>
      <c r="AE202" s="591"/>
      <c r="AF202" s="618">
        <v>0.1250050826728907</v>
      </c>
      <c r="AG202" s="307"/>
      <c r="AH202" s="309">
        <v>2023</v>
      </c>
      <c r="AI202" s="309"/>
      <c r="AJ202" s="314">
        <v>0.17064188652000001</v>
      </c>
      <c r="AK202" s="309"/>
      <c r="AL202" s="314">
        <v>0.22138174549055886</v>
      </c>
      <c r="AM202" s="314">
        <v>0.31301180188642819</v>
      </c>
      <c r="AN202" s="314">
        <v>0.34268179367148199</v>
      </c>
      <c r="AO202" s="314">
        <v>0.31855278808733278</v>
      </c>
      <c r="AP202" s="317"/>
      <c r="AQ202" s="314">
        <v>0.25540640900530781</v>
      </c>
      <c r="AR202" s="314">
        <v>0.31381238220442226</v>
      </c>
      <c r="AS202" s="314">
        <v>0.28828897191640923</v>
      </c>
      <c r="AT202" s="317"/>
      <c r="AU202" s="314">
        <v>0.30444984975168243</v>
      </c>
      <c r="AV202" s="86"/>
    </row>
    <row r="203" spans="1:83">
      <c r="A203" s="86"/>
      <c r="B203" s="118"/>
      <c r="C203" s="539"/>
      <c r="D203" s="544">
        <v>2026</v>
      </c>
      <c r="E203" s="544"/>
      <c r="F203" s="594">
        <v>7.0264651280106616</v>
      </c>
      <c r="G203" s="595">
        <v>8.2847899894685746</v>
      </c>
      <c r="H203" s="595">
        <v>8.7042316099545438</v>
      </c>
      <c r="I203" s="596">
        <v>8.5207389877109811</v>
      </c>
      <c r="J203" s="591"/>
      <c r="K203" s="594">
        <v>7.2121178747884613</v>
      </c>
      <c r="L203" s="595">
        <v>8.0700579123659608</v>
      </c>
      <c r="M203" s="596">
        <v>7.7589759008036534</v>
      </c>
      <c r="N203" s="591"/>
      <c r="O203" s="597">
        <v>8.4470670579655263</v>
      </c>
      <c r="P203" s="593"/>
      <c r="Q203" s="118"/>
      <c r="R203" s="613"/>
      <c r="S203" s="544">
        <v>2026</v>
      </c>
      <c r="T203" s="544"/>
      <c r="U203" s="618">
        <v>0.13718579</v>
      </c>
      <c r="V203" s="544"/>
      <c r="W203" s="618">
        <v>0.21183434267188136</v>
      </c>
      <c r="X203" s="618">
        <v>0.11582254519927787</v>
      </c>
      <c r="Y203" s="618">
        <v>8.4733737068752549E-2</v>
      </c>
      <c r="Z203" s="618">
        <v>0.11001658953532693</v>
      </c>
      <c r="AA203" s="591"/>
      <c r="AB203" s="618">
        <v>0.17618262280020375</v>
      </c>
      <c r="AC203" s="618">
        <v>0.11498368120229721</v>
      </c>
      <c r="AD203" s="618">
        <v>0.14172761868058237</v>
      </c>
      <c r="AE203" s="591"/>
      <c r="AF203" s="618">
        <v>0.12479392911701598</v>
      </c>
      <c r="AG203" s="307"/>
      <c r="AH203" s="309">
        <v>2024</v>
      </c>
      <c r="AI203" s="309"/>
      <c r="AJ203" s="314">
        <v>0.17064188652000001</v>
      </c>
      <c r="AK203" s="309"/>
      <c r="AL203" s="314"/>
      <c r="AM203" s="314"/>
      <c r="AN203" s="314"/>
      <c r="AO203" s="314"/>
      <c r="AP203" s="317"/>
      <c r="AQ203" s="314"/>
      <c r="AR203" s="314"/>
      <c r="AS203" s="314"/>
      <c r="AT203" s="317"/>
      <c r="AU203" s="314"/>
      <c r="AV203" s="86"/>
    </row>
    <row r="204" spans="1:83">
      <c r="A204" s="86"/>
      <c r="B204" s="118"/>
      <c r="C204" s="539"/>
      <c r="D204" s="544">
        <v>2027</v>
      </c>
      <c r="E204" s="544"/>
      <c r="F204" s="594">
        <v>7.1063658645711882</v>
      </c>
      <c r="G204" s="595">
        <v>8.3646907260291012</v>
      </c>
      <c r="H204" s="595">
        <v>8.7841323465150705</v>
      </c>
      <c r="I204" s="596">
        <v>8.6006397242715078</v>
      </c>
      <c r="J204" s="591"/>
      <c r="K204" s="594">
        <v>7.292018611348988</v>
      </c>
      <c r="L204" s="595">
        <v>8.1499586489264875</v>
      </c>
      <c r="M204" s="596">
        <v>7.8388766373641801</v>
      </c>
      <c r="N204" s="591"/>
      <c r="O204" s="597">
        <v>8.627067057965526</v>
      </c>
      <c r="P204" s="593"/>
      <c r="Q204" s="118"/>
      <c r="R204" s="613"/>
      <c r="S204" s="544">
        <v>2027</v>
      </c>
      <c r="T204" s="544"/>
      <c r="U204" s="618">
        <v>0.13718579</v>
      </c>
      <c r="V204" s="544"/>
      <c r="W204" s="618">
        <v>0.21147742469053926</v>
      </c>
      <c r="X204" s="618">
        <v>0.11562739672379926</v>
      </c>
      <c r="Y204" s="618">
        <v>8.4590969876215713E-2</v>
      </c>
      <c r="Z204" s="618">
        <v>0.10983122346788096</v>
      </c>
      <c r="AA204" s="591"/>
      <c r="AB204" s="618">
        <v>0.17588577411512152</v>
      </c>
      <c r="AC204" s="618">
        <v>0.11478994612202473</v>
      </c>
      <c r="AD204" s="618">
        <v>0.14148882295500803</v>
      </c>
      <c r="AE204" s="591"/>
      <c r="AF204" s="618">
        <v>0.1245836648288822</v>
      </c>
      <c r="AG204" s="307"/>
      <c r="AH204" s="309">
        <v>2025</v>
      </c>
      <c r="AI204" s="309"/>
      <c r="AJ204" s="314">
        <v>0.17064188652000001</v>
      </c>
      <c r="AK204" s="309"/>
      <c r="AL204" s="314"/>
      <c r="AM204" s="314"/>
      <c r="AN204" s="314"/>
      <c r="AO204" s="314"/>
      <c r="AP204" s="316"/>
      <c r="AQ204" s="314"/>
      <c r="AR204" s="314"/>
      <c r="AS204" s="314"/>
      <c r="AT204" s="316"/>
      <c r="AU204" s="314"/>
      <c r="AV204" s="86"/>
    </row>
    <row r="205" spans="1:83">
      <c r="A205" s="86"/>
      <c r="B205" s="118"/>
      <c r="C205" s="539"/>
      <c r="D205" s="544">
        <v>2028</v>
      </c>
      <c r="E205" s="544"/>
      <c r="F205" s="594">
        <v>7.2208667366445818</v>
      </c>
      <c r="G205" s="595">
        <v>8.471273848102495</v>
      </c>
      <c r="H205" s="595">
        <v>8.8880762185884645</v>
      </c>
      <c r="I205" s="596">
        <v>8.7151405963449005</v>
      </c>
      <c r="J205" s="591"/>
      <c r="K205" s="594">
        <v>7.4065194834223842</v>
      </c>
      <c r="L205" s="595">
        <v>8.2539025209998815</v>
      </c>
      <c r="M205" s="596">
        <v>7.9533775094375745</v>
      </c>
      <c r="N205" s="591"/>
      <c r="O205" s="597">
        <v>8.7570670579655268</v>
      </c>
      <c r="P205" s="593"/>
      <c r="Q205" s="118"/>
      <c r="R205" s="613"/>
      <c r="S205" s="544">
        <v>2028</v>
      </c>
      <c r="T205" s="544"/>
      <c r="U205" s="618">
        <v>0.13718579</v>
      </c>
      <c r="V205" s="544"/>
      <c r="W205" s="618">
        <v>0.21112201084915735</v>
      </c>
      <c r="X205" s="618">
        <v>0.11543307065188528</v>
      </c>
      <c r="Y205" s="618">
        <v>8.4448804339662953E-2</v>
      </c>
      <c r="Z205" s="618">
        <v>0.10964663857853157</v>
      </c>
      <c r="AA205" s="591"/>
      <c r="AB205" s="618">
        <v>0.1755901764232442</v>
      </c>
      <c r="AC205" s="618">
        <v>0.11459702748892261</v>
      </c>
      <c r="AD205" s="618">
        <v>0.14125103357322116</v>
      </c>
      <c r="AE205" s="591"/>
      <c r="AF205" s="618">
        <v>0.12437428664605693</v>
      </c>
      <c r="AG205" s="307"/>
      <c r="AH205" s="309">
        <v>2026</v>
      </c>
      <c r="AI205" s="309"/>
      <c r="AJ205" s="314">
        <v>0.17064188652000001</v>
      </c>
      <c r="AK205" s="309"/>
      <c r="AL205" s="314"/>
      <c r="AM205" s="314"/>
      <c r="AN205" s="314"/>
      <c r="AO205" s="314"/>
      <c r="AP205" s="316"/>
      <c r="AQ205" s="314"/>
      <c r="AR205" s="314"/>
      <c r="AS205" s="314"/>
      <c r="AT205" s="316"/>
      <c r="AU205" s="314"/>
      <c r="AV205" s="86"/>
    </row>
    <row r="206" spans="1:83">
      <c r="A206" s="86"/>
      <c r="B206" s="118"/>
      <c r="C206" s="539"/>
      <c r="D206" s="544">
        <v>2029</v>
      </c>
      <c r="E206" s="544"/>
      <c r="F206" s="594">
        <v>7.4147007638445821</v>
      </c>
      <c r="G206" s="595">
        <v>8.6651078753024944</v>
      </c>
      <c r="H206" s="595">
        <v>9.081910245788464</v>
      </c>
      <c r="I206" s="596">
        <v>8.9089746235448999</v>
      </c>
      <c r="J206" s="591"/>
      <c r="K206" s="594">
        <v>7.6003535106223836</v>
      </c>
      <c r="L206" s="595">
        <v>8.4477365481998827</v>
      </c>
      <c r="M206" s="596">
        <v>8.1472115366375739</v>
      </c>
      <c r="N206" s="591"/>
      <c r="O206" s="597">
        <v>8.877067057965526</v>
      </c>
      <c r="P206" s="593"/>
      <c r="Q206" s="118"/>
      <c r="R206" s="613"/>
      <c r="S206" s="544">
        <v>2029</v>
      </c>
      <c r="T206" s="544"/>
      <c r="U206" s="618">
        <v>0.13718579</v>
      </c>
      <c r="V206" s="544"/>
      <c r="W206" s="618">
        <v>0.21076809580205566</v>
      </c>
      <c r="X206" s="618">
        <v>0.11523956406073195</v>
      </c>
      <c r="Y206" s="618">
        <v>8.4307238320822264E-2</v>
      </c>
      <c r="Z206" s="618">
        <v>0.10946283209098921</v>
      </c>
      <c r="AA206" s="591"/>
      <c r="AB206" s="618">
        <v>0.17529582527856968</v>
      </c>
      <c r="AC206" s="618">
        <v>0.11440492240135582</v>
      </c>
      <c r="AD206" s="618">
        <v>0.14101424695869827</v>
      </c>
      <c r="AE206" s="591"/>
      <c r="AF206" s="618">
        <v>0.12416579141934164</v>
      </c>
      <c r="AG206" s="307"/>
      <c r="AH206" s="309">
        <v>2027</v>
      </c>
      <c r="AI206" s="309"/>
      <c r="AJ206" s="314">
        <v>0.17064188652000001</v>
      </c>
      <c r="AK206" s="309"/>
      <c r="AL206" s="314"/>
      <c r="AM206" s="314"/>
      <c r="AN206" s="314"/>
      <c r="AO206" s="314"/>
      <c r="AP206" s="316"/>
      <c r="AQ206" s="314"/>
      <c r="AR206" s="314"/>
      <c r="AS206" s="314"/>
      <c r="AT206" s="316"/>
      <c r="AU206" s="314"/>
      <c r="AV206" s="86"/>
    </row>
    <row r="207" spans="1:83">
      <c r="A207" s="86"/>
      <c r="B207" s="118"/>
      <c r="C207" s="539"/>
      <c r="D207" s="544">
        <v>2030</v>
      </c>
      <c r="E207" s="544"/>
      <c r="F207" s="594">
        <v>7.6931607638445811</v>
      </c>
      <c r="G207" s="595">
        <v>8.9435678753024934</v>
      </c>
      <c r="H207" s="595">
        <v>9.3603702457884648</v>
      </c>
      <c r="I207" s="596">
        <v>9.1874346235449007</v>
      </c>
      <c r="J207" s="591"/>
      <c r="K207" s="594">
        <v>7.8788135106223827</v>
      </c>
      <c r="L207" s="595">
        <v>8.7261965481998818</v>
      </c>
      <c r="M207" s="596">
        <v>8.425671536637573</v>
      </c>
      <c r="N207" s="591"/>
      <c r="O207" s="597">
        <v>8.9770670579655256</v>
      </c>
      <c r="P207" s="593"/>
      <c r="Q207" s="118"/>
      <c r="R207" s="613"/>
      <c r="S207" s="544">
        <v>2030</v>
      </c>
      <c r="T207" s="544"/>
      <c r="U207" s="618">
        <v>0.13718579</v>
      </c>
      <c r="V207" s="544"/>
      <c r="W207" s="618">
        <v>0.21041567422592394</v>
      </c>
      <c r="X207" s="618">
        <v>0.11504687403976617</v>
      </c>
      <c r="Y207" s="618">
        <v>8.4166269690369583E-2</v>
      </c>
      <c r="Z207" s="618">
        <v>0.10927980124058206</v>
      </c>
      <c r="AA207" s="591"/>
      <c r="AB207" s="618">
        <v>0.17500271625370095</v>
      </c>
      <c r="AC207" s="618">
        <v>0.1142136279698315</v>
      </c>
      <c r="AD207" s="618">
        <v>0.14077845954988244</v>
      </c>
      <c r="AE207" s="591"/>
      <c r="AF207" s="618">
        <v>0.12395817601271604</v>
      </c>
      <c r="AG207" s="307"/>
      <c r="AH207" s="309">
        <v>2028</v>
      </c>
      <c r="AI207" s="309"/>
      <c r="AJ207" s="314">
        <v>0.17064188652000001</v>
      </c>
      <c r="AK207" s="309"/>
      <c r="AL207" s="314"/>
      <c r="AM207" s="314"/>
      <c r="AN207" s="314"/>
      <c r="AO207" s="314"/>
      <c r="AP207" s="316"/>
      <c r="AQ207" s="314"/>
      <c r="AR207" s="314"/>
      <c r="AS207" s="314"/>
      <c r="AT207" s="316"/>
      <c r="AU207" s="314"/>
      <c r="AV207" s="86"/>
    </row>
    <row r="208" spans="1:83">
      <c r="A208" s="86"/>
      <c r="B208" s="118"/>
      <c r="C208" s="539"/>
      <c r="D208" s="544">
        <v>2031</v>
      </c>
      <c r="E208" s="544"/>
      <c r="F208" s="594">
        <v>7.8302315518972359</v>
      </c>
      <c r="G208" s="595">
        <v>9.0777596292811094</v>
      </c>
      <c r="H208" s="595">
        <v>9.4937401349032502</v>
      </c>
      <c r="I208" s="596">
        <v>9.3222485720313948</v>
      </c>
      <c r="J208" s="591"/>
      <c r="K208" s="594">
        <v>8.015551298515577</v>
      </c>
      <c r="L208" s="595">
        <v>8.8603655385885283</v>
      </c>
      <c r="M208" s="596">
        <v>8.5615239700882224</v>
      </c>
      <c r="N208" s="591"/>
      <c r="O208" s="597">
        <v>9.1293640144989237</v>
      </c>
      <c r="P208" s="593"/>
      <c r="Q208" s="118"/>
      <c r="R208" s="613"/>
      <c r="S208" s="544">
        <v>2031</v>
      </c>
      <c r="T208" s="544"/>
      <c r="U208" s="618">
        <v>0.13718579</v>
      </c>
      <c r="V208" s="544"/>
      <c r="W208" s="618">
        <v>0.21041567422592394</v>
      </c>
      <c r="X208" s="618">
        <v>0.11504687403976617</v>
      </c>
      <c r="Y208" s="618">
        <v>8.4166269690369583E-2</v>
      </c>
      <c r="Z208" s="618">
        <v>0.10927980124058206</v>
      </c>
      <c r="AA208" s="591">
        <v>0</v>
      </c>
      <c r="AB208" s="618">
        <v>0.17500271625370095</v>
      </c>
      <c r="AC208" s="618">
        <v>0.1142136279698315</v>
      </c>
      <c r="AD208" s="618">
        <v>0.14077845954988244</v>
      </c>
      <c r="AE208" s="591"/>
      <c r="AF208" s="618">
        <v>0.12395817601271604</v>
      </c>
      <c r="AG208" s="307"/>
      <c r="AH208" s="309">
        <v>2029</v>
      </c>
      <c r="AI208" s="309"/>
      <c r="AJ208" s="314">
        <v>0.17064188652000001</v>
      </c>
      <c r="AK208" s="309"/>
      <c r="AL208" s="314"/>
      <c r="AM208" s="314"/>
      <c r="AN208" s="314"/>
      <c r="AO208" s="314"/>
      <c r="AP208" s="316"/>
      <c r="AQ208" s="314"/>
      <c r="AR208" s="314"/>
      <c r="AS208" s="314"/>
      <c r="AT208" s="316"/>
      <c r="AU208" s="314"/>
      <c r="AV208" s="86"/>
    </row>
    <row r="209" spans="1:48">
      <c r="A209" s="86"/>
      <c r="B209" s="118"/>
      <c r="C209" s="539"/>
      <c r="D209" s="544">
        <v>2032</v>
      </c>
      <c r="E209" s="544"/>
      <c r="F209" s="594">
        <v>7.9697445612311189</v>
      </c>
      <c r="G209" s="595">
        <v>9.2139648332706088</v>
      </c>
      <c r="H209" s="595">
        <v>9.6290103257000652</v>
      </c>
      <c r="I209" s="596">
        <v>9.4590407441952529</v>
      </c>
      <c r="J209" s="591"/>
      <c r="K209" s="594">
        <v>8.1546621877155498</v>
      </c>
      <c r="L209" s="595">
        <v>8.996597434377307</v>
      </c>
      <c r="M209" s="596">
        <v>8.6995668382827631</v>
      </c>
      <c r="N209" s="591"/>
      <c r="O209" s="597">
        <v>9.284244706100754</v>
      </c>
      <c r="P209" s="593"/>
      <c r="Q209" s="118"/>
      <c r="R209" s="613"/>
      <c r="S209" s="544">
        <v>2032</v>
      </c>
      <c r="T209" s="544"/>
      <c r="U209" s="618">
        <v>0.13718579</v>
      </c>
      <c r="V209" s="544"/>
      <c r="W209" s="618">
        <v>0.21041567422592394</v>
      </c>
      <c r="X209" s="618">
        <v>0.11504687403976617</v>
      </c>
      <c r="Y209" s="618">
        <v>8.4166269690369583E-2</v>
      </c>
      <c r="Z209" s="618">
        <v>0.10927980124058206</v>
      </c>
      <c r="AA209" s="591">
        <v>0</v>
      </c>
      <c r="AB209" s="618">
        <v>0.17500271625370095</v>
      </c>
      <c r="AC209" s="618">
        <v>0.1142136279698315</v>
      </c>
      <c r="AD209" s="618">
        <v>0.14077845954988244</v>
      </c>
      <c r="AE209" s="591"/>
      <c r="AF209" s="618">
        <v>0.12395817601271604</v>
      </c>
      <c r="AG209" s="307"/>
      <c r="AH209" s="309">
        <v>2030</v>
      </c>
      <c r="AI209" s="309"/>
      <c r="AJ209" s="314">
        <v>0.17064188652000001</v>
      </c>
      <c r="AK209" s="309"/>
      <c r="AL209" s="314"/>
      <c r="AM209" s="314"/>
      <c r="AN209" s="314"/>
      <c r="AO209" s="314"/>
      <c r="AP209" s="316"/>
      <c r="AQ209" s="314"/>
      <c r="AR209" s="314"/>
      <c r="AS209" s="314"/>
      <c r="AT209" s="316"/>
      <c r="AU209" s="314"/>
      <c r="AV209" s="86"/>
    </row>
    <row r="210" spans="1:48">
      <c r="A210" s="86"/>
      <c r="B210" s="118"/>
      <c r="C210" s="539"/>
      <c r="D210" s="544">
        <v>2033</v>
      </c>
      <c r="E210" s="544"/>
      <c r="F210" s="594">
        <v>8.1117433054560326</v>
      </c>
      <c r="G210" s="595">
        <v>9.3522136976291232</v>
      </c>
      <c r="H210" s="595">
        <v>9.7662078943540997</v>
      </c>
      <c r="I210" s="596">
        <v>9.597840167959486</v>
      </c>
      <c r="J210" s="591"/>
      <c r="K210" s="594">
        <v>8.2961873636904802</v>
      </c>
      <c r="L210" s="595">
        <v>9.1349239536158056</v>
      </c>
      <c r="M210" s="596">
        <v>8.8398354589865473</v>
      </c>
      <c r="N210" s="591"/>
      <c r="O210" s="597">
        <v>9.4417529661282664</v>
      </c>
      <c r="P210" s="593"/>
      <c r="Q210" s="118"/>
      <c r="R210" s="613"/>
      <c r="S210" s="544">
        <v>2033</v>
      </c>
      <c r="T210" s="544"/>
      <c r="U210" s="618">
        <v>0.13718579</v>
      </c>
      <c r="V210" s="544"/>
      <c r="W210" s="618">
        <v>0.21041567422592394</v>
      </c>
      <c r="X210" s="618">
        <v>0.11504687403976617</v>
      </c>
      <c r="Y210" s="618">
        <v>8.4166269690369583E-2</v>
      </c>
      <c r="Z210" s="618">
        <v>0.10927980124058206</v>
      </c>
      <c r="AA210" s="591">
        <v>0</v>
      </c>
      <c r="AB210" s="618">
        <v>0.17500271625370095</v>
      </c>
      <c r="AC210" s="618">
        <v>0.1142136279698315</v>
      </c>
      <c r="AD210" s="618">
        <v>0.14077845954988244</v>
      </c>
      <c r="AE210" s="591"/>
      <c r="AF210" s="618">
        <v>0.12395817601271604</v>
      </c>
      <c r="AG210" s="307"/>
      <c r="AH210" s="309">
        <v>2031</v>
      </c>
      <c r="AI210" s="309"/>
      <c r="AJ210" s="314">
        <v>0.17064188652000001</v>
      </c>
      <c r="AK210" s="309"/>
      <c r="AL210" s="314"/>
      <c r="AM210" s="314"/>
      <c r="AN210" s="314"/>
      <c r="AO210" s="314"/>
      <c r="AP210" s="316"/>
      <c r="AQ210" s="314"/>
      <c r="AR210" s="314"/>
      <c r="AS210" s="314"/>
      <c r="AT210" s="316"/>
      <c r="AU210" s="314"/>
      <c r="AV210" s="86"/>
    </row>
    <row r="211" spans="1:48">
      <c r="A211" s="86"/>
      <c r="B211" s="118"/>
      <c r="C211" s="539"/>
      <c r="D211" s="544">
        <v>2034</v>
      </c>
      <c r="E211" s="544"/>
      <c r="F211" s="594">
        <v>8.256272073473621</v>
      </c>
      <c r="G211" s="595">
        <v>9.4925368859993178</v>
      </c>
      <c r="H211" s="595">
        <v>9.9053603028315305</v>
      </c>
      <c r="I211" s="596">
        <v>9.7386762971950542</v>
      </c>
      <c r="J211" s="591"/>
      <c r="K211" s="594">
        <v>8.4401687266874692</v>
      </c>
      <c r="L211" s="595">
        <v>9.2753773020321351</v>
      </c>
      <c r="M211" s="596">
        <v>8.9823657194156059</v>
      </c>
      <c r="N211" s="591"/>
      <c r="O211" s="597">
        <v>9.6019333715765693</v>
      </c>
      <c r="P211" s="593"/>
      <c r="Q211" s="118"/>
      <c r="R211" s="613"/>
      <c r="S211" s="544">
        <v>2034</v>
      </c>
      <c r="T211" s="544"/>
      <c r="U211" s="618">
        <v>0.13718579</v>
      </c>
      <c r="V211" s="544"/>
      <c r="W211" s="618">
        <v>0.21041567422592394</v>
      </c>
      <c r="X211" s="618">
        <v>0.11504687403976617</v>
      </c>
      <c r="Y211" s="618">
        <v>8.4166269690369583E-2</v>
      </c>
      <c r="Z211" s="618">
        <v>0.10927980124058206</v>
      </c>
      <c r="AA211" s="591">
        <v>0</v>
      </c>
      <c r="AB211" s="618">
        <v>0.17500271625370095</v>
      </c>
      <c r="AC211" s="618">
        <v>0.1142136279698315</v>
      </c>
      <c r="AD211" s="618">
        <v>0.14077845954988244</v>
      </c>
      <c r="AE211" s="591"/>
      <c r="AF211" s="618">
        <v>0.12395817601271604</v>
      </c>
      <c r="AG211" s="307"/>
      <c r="AH211" s="309">
        <v>2032</v>
      </c>
      <c r="AI211" s="309"/>
      <c r="AJ211" s="314">
        <v>0.17064188652000001</v>
      </c>
      <c r="AK211" s="309"/>
      <c r="AL211" s="314"/>
      <c r="AM211" s="314"/>
      <c r="AN211" s="314"/>
      <c r="AO211" s="314"/>
      <c r="AP211" s="316"/>
      <c r="AQ211" s="314"/>
      <c r="AR211" s="314"/>
      <c r="AS211" s="314"/>
      <c r="AT211" s="316"/>
      <c r="AU211" s="314"/>
      <c r="AV211" s="86"/>
    </row>
    <row r="212" spans="1:48">
      <c r="A212" s="86"/>
      <c r="B212" s="118"/>
      <c r="C212" s="539"/>
      <c r="D212" s="544">
        <v>2035</v>
      </c>
      <c r="E212" s="544"/>
      <c r="F212" s="594">
        <v>8.4033759432909214</v>
      </c>
      <c r="G212" s="595">
        <v>9.6349655221095869</v>
      </c>
      <c r="H212" s="595">
        <v>10.046495404386411</v>
      </c>
      <c r="I212" s="596">
        <v>9.8815790179711094</v>
      </c>
      <c r="J212" s="591"/>
      <c r="K212" s="594">
        <v>8.5866489041376131</v>
      </c>
      <c r="L212" s="595">
        <v>9.4179901805312021</v>
      </c>
      <c r="M212" s="596">
        <v>9.127194085418262</v>
      </c>
      <c r="N212" s="591"/>
      <c r="O212" s="597">
        <v>9.7648312556945243</v>
      </c>
      <c r="P212" s="593"/>
      <c r="Q212" s="118"/>
      <c r="R212" s="613"/>
      <c r="S212" s="544">
        <v>2035</v>
      </c>
      <c r="T212" s="544"/>
      <c r="U212" s="618">
        <v>0.13718579</v>
      </c>
      <c r="V212" s="544"/>
      <c r="W212" s="618">
        <v>0.21041567422592394</v>
      </c>
      <c r="X212" s="618">
        <v>0.11504687403976617</v>
      </c>
      <c r="Y212" s="618">
        <v>8.4166269690369583E-2</v>
      </c>
      <c r="Z212" s="618">
        <v>0.10927980124058206</v>
      </c>
      <c r="AA212" s="591">
        <v>0</v>
      </c>
      <c r="AB212" s="618">
        <v>0.17500271625370095</v>
      </c>
      <c r="AC212" s="618">
        <v>0.1142136279698315</v>
      </c>
      <c r="AD212" s="618">
        <v>0.14077845954988244</v>
      </c>
      <c r="AE212" s="591"/>
      <c r="AF212" s="618">
        <v>0.12395817601271604</v>
      </c>
      <c r="AG212" s="307"/>
      <c r="AH212" s="309">
        <v>2033</v>
      </c>
      <c r="AI212" s="309"/>
      <c r="AJ212" s="314">
        <v>0.17064188652000001</v>
      </c>
      <c r="AK212" s="309"/>
      <c r="AL212" s="314"/>
      <c r="AM212" s="314"/>
      <c r="AN212" s="314"/>
      <c r="AO212" s="314"/>
      <c r="AP212" s="316"/>
      <c r="AQ212" s="314"/>
      <c r="AR212" s="314"/>
      <c r="AS212" s="314"/>
      <c r="AT212" s="316"/>
      <c r="AU212" s="314"/>
      <c r="AV212" s="86"/>
    </row>
    <row r="213" spans="1:48">
      <c r="A213" s="86"/>
      <c r="B213" s="118"/>
      <c r="C213" s="539"/>
      <c r="D213" s="544">
        <v>2036</v>
      </c>
      <c r="E213" s="544"/>
      <c r="F213" s="594">
        <v>8.5531007960800345</v>
      </c>
      <c r="G213" s="595">
        <v>9.7795311966773166</v>
      </c>
      <c r="H213" s="595">
        <v>10.189641449135879</v>
      </c>
      <c r="I213" s="596">
        <v>10.026578654896959</v>
      </c>
      <c r="J213" s="591"/>
      <c r="K213" s="594">
        <v>8.7356712632763749</v>
      </c>
      <c r="L213" s="595">
        <v>9.562795792808263</v>
      </c>
      <c r="M213" s="596">
        <v>9.2743576108047829</v>
      </c>
      <c r="N213" s="591"/>
      <c r="O213" s="597">
        <v>9.9304927208146818</v>
      </c>
      <c r="P213" s="593"/>
      <c r="Q213" s="118"/>
      <c r="R213" s="613"/>
      <c r="S213" s="544">
        <v>2036</v>
      </c>
      <c r="T213" s="544"/>
      <c r="U213" s="618">
        <v>0.13718579</v>
      </c>
      <c r="V213" s="544"/>
      <c r="W213" s="618">
        <v>0.21041567422592394</v>
      </c>
      <c r="X213" s="618">
        <v>0.11504687403976617</v>
      </c>
      <c r="Y213" s="618">
        <v>8.4166269690369583E-2</v>
      </c>
      <c r="Z213" s="618">
        <v>0.10927980124058206</v>
      </c>
      <c r="AA213" s="591">
        <v>0</v>
      </c>
      <c r="AB213" s="618">
        <v>0.17500271625370095</v>
      </c>
      <c r="AC213" s="618">
        <v>0.1142136279698315</v>
      </c>
      <c r="AD213" s="618">
        <v>0.14077845954988244</v>
      </c>
      <c r="AE213" s="591"/>
      <c r="AF213" s="618">
        <v>0.12395817601271604</v>
      </c>
      <c r="AG213" s="307"/>
      <c r="AH213" s="309">
        <v>2034</v>
      </c>
      <c r="AI213" s="309"/>
      <c r="AJ213" s="314">
        <v>0.17064188652000001</v>
      </c>
      <c r="AK213" s="309"/>
      <c r="AL213" s="314"/>
      <c r="AM213" s="314"/>
      <c r="AN213" s="314"/>
      <c r="AO213" s="314"/>
      <c r="AP213" s="316"/>
      <c r="AQ213" s="314"/>
      <c r="AR213" s="314"/>
      <c r="AS213" s="314"/>
      <c r="AT213" s="316"/>
      <c r="AU213" s="314"/>
      <c r="AV213" s="86"/>
    </row>
    <row r="214" spans="1:48">
      <c r="A214" s="86"/>
      <c r="B214" s="118"/>
      <c r="C214" s="539"/>
      <c r="D214" s="544">
        <v>2037</v>
      </c>
      <c r="E214" s="544"/>
      <c r="F214" s="594">
        <v>8.7054933304882969</v>
      </c>
      <c r="G214" s="595">
        <v>9.926265974415708</v>
      </c>
      <c r="H214" s="595">
        <v>10.3348270897148</v>
      </c>
      <c r="I214" s="596">
        <v>10.173705977557081</v>
      </c>
      <c r="J214" s="591"/>
      <c r="K214" s="594">
        <v>8.8872799239829785</v>
      </c>
      <c r="L214" s="595">
        <v>9.709827853079533</v>
      </c>
      <c r="M214" s="596">
        <v>9.4238939468274658</v>
      </c>
      <c r="N214" s="591"/>
      <c r="O214" s="597">
        <v>10.098964651400872</v>
      </c>
      <c r="P214" s="593"/>
      <c r="Q214" s="118"/>
      <c r="R214" s="613"/>
      <c r="S214" s="544">
        <v>2037</v>
      </c>
      <c r="T214" s="544"/>
      <c r="U214" s="618">
        <v>0.13718579</v>
      </c>
      <c r="V214" s="544"/>
      <c r="W214" s="618">
        <v>0.21041567422592394</v>
      </c>
      <c r="X214" s="618">
        <v>0.11504687403976617</v>
      </c>
      <c r="Y214" s="618">
        <v>8.4166269690369583E-2</v>
      </c>
      <c r="Z214" s="618">
        <v>0.10927980124058206</v>
      </c>
      <c r="AA214" s="591">
        <v>0</v>
      </c>
      <c r="AB214" s="618">
        <v>0.17500271625370095</v>
      </c>
      <c r="AC214" s="618">
        <v>0.1142136279698315</v>
      </c>
      <c r="AD214" s="618">
        <v>0.14077845954988244</v>
      </c>
      <c r="AE214" s="591"/>
      <c r="AF214" s="618">
        <v>0.12395817601271604</v>
      </c>
      <c r="AG214" s="307"/>
      <c r="AH214" s="309">
        <v>2035</v>
      </c>
      <c r="AI214" s="309"/>
      <c r="AJ214" s="314">
        <v>0.17064188652000001</v>
      </c>
      <c r="AK214" s="309"/>
      <c r="AL214" s="314"/>
      <c r="AM214" s="314"/>
      <c r="AN214" s="314"/>
      <c r="AO214" s="314"/>
      <c r="AP214" s="316"/>
      <c r="AQ214" s="314"/>
      <c r="AR214" s="314"/>
      <c r="AS214" s="314"/>
      <c r="AT214" s="316"/>
      <c r="AU214" s="314"/>
      <c r="AV214" s="86"/>
    </row>
    <row r="215" spans="1:48">
      <c r="A215" s="86"/>
      <c r="B215" s="118"/>
      <c r="C215" s="539"/>
      <c r="D215" s="544">
        <v>2038</v>
      </c>
      <c r="E215" s="544"/>
      <c r="F215" s="594">
        <v>8.8606010772034232</v>
      </c>
      <c r="G215" s="595">
        <v>10.075202401145745</v>
      </c>
      <c r="H215" s="595">
        <v>10.482081387010989</v>
      </c>
      <c r="I215" s="596">
        <v>10.322992207040574</v>
      </c>
      <c r="J215" s="591"/>
      <c r="K215" s="594">
        <v>9.041519771842637</v>
      </c>
      <c r="L215" s="595">
        <v>9.8591205939316726</v>
      </c>
      <c r="M215" s="596">
        <v>9.5758413518135708</v>
      </c>
      <c r="N215" s="591"/>
      <c r="O215" s="597">
        <v>10.270294727317147</v>
      </c>
      <c r="P215" s="593"/>
      <c r="Q215" s="118"/>
      <c r="R215" s="613"/>
      <c r="S215" s="544">
        <v>2038</v>
      </c>
      <c r="T215" s="544"/>
      <c r="U215" s="618">
        <v>0.13718579</v>
      </c>
      <c r="V215" s="544"/>
      <c r="W215" s="618">
        <v>0.21041567422592394</v>
      </c>
      <c r="X215" s="618">
        <v>0.11504687403976617</v>
      </c>
      <c r="Y215" s="618">
        <v>8.4166269690369583E-2</v>
      </c>
      <c r="Z215" s="618">
        <v>0.10927980124058206</v>
      </c>
      <c r="AA215" s="591">
        <v>0</v>
      </c>
      <c r="AB215" s="618">
        <v>0.17500271625370095</v>
      </c>
      <c r="AC215" s="618">
        <v>0.1142136279698315</v>
      </c>
      <c r="AD215" s="618">
        <v>0.14077845954988244</v>
      </c>
      <c r="AE215" s="591"/>
      <c r="AF215" s="618">
        <v>0.12395817601271604</v>
      </c>
      <c r="AG215" s="307"/>
      <c r="AH215" s="309">
        <v>2036</v>
      </c>
      <c r="AI215" s="309"/>
      <c r="AJ215" s="314">
        <v>0.17064188652000001</v>
      </c>
      <c r="AK215" s="309"/>
      <c r="AL215" s="314"/>
      <c r="AM215" s="314"/>
      <c r="AN215" s="314"/>
      <c r="AO215" s="314"/>
      <c r="AP215" s="316"/>
      <c r="AQ215" s="314"/>
      <c r="AR215" s="314"/>
      <c r="AS215" s="314"/>
      <c r="AT215" s="316"/>
      <c r="AU215" s="314"/>
      <c r="AV215" s="86"/>
    </row>
    <row r="216" spans="1:48">
      <c r="A216" s="86"/>
      <c r="B216" s="118"/>
      <c r="C216" s="539"/>
      <c r="D216" s="544">
        <v>2039</v>
      </c>
      <c r="E216" s="544"/>
      <c r="F216" s="594">
        <v>9.0184724137781611</v>
      </c>
      <c r="G216" s="595">
        <v>10.226373511014868</v>
      </c>
      <c r="H216" s="595">
        <v>10.631433815982142</v>
      </c>
      <c r="I216" s="596">
        <v>10.474469022566417</v>
      </c>
      <c r="J216" s="591"/>
      <c r="K216" s="594">
        <v>9.1984364714354765</v>
      </c>
      <c r="L216" s="595">
        <v>10.010708774291945</v>
      </c>
      <c r="M216" s="596">
        <v>9.730238700953576</v>
      </c>
      <c r="N216" s="591"/>
      <c r="O216" s="597">
        <v>10.444531437321837</v>
      </c>
      <c r="P216" s="593"/>
      <c r="Q216" s="118"/>
      <c r="R216" s="613"/>
      <c r="S216" s="544">
        <v>2039</v>
      </c>
      <c r="T216" s="544"/>
      <c r="U216" s="618">
        <v>0.13718579</v>
      </c>
      <c r="V216" s="544"/>
      <c r="W216" s="618">
        <v>0.21041567422592394</v>
      </c>
      <c r="X216" s="618">
        <v>0.11504687403976617</v>
      </c>
      <c r="Y216" s="618">
        <v>8.4166269690369583E-2</v>
      </c>
      <c r="Z216" s="618">
        <v>0.10927980124058206</v>
      </c>
      <c r="AA216" s="591">
        <v>0</v>
      </c>
      <c r="AB216" s="618">
        <v>0.17500271625370095</v>
      </c>
      <c r="AC216" s="618">
        <v>0.1142136279698315</v>
      </c>
      <c r="AD216" s="618">
        <v>0.14077845954988244</v>
      </c>
      <c r="AE216" s="591"/>
      <c r="AF216" s="618">
        <v>0.12395817601271604</v>
      </c>
      <c r="AG216" s="307"/>
      <c r="AH216" s="309">
        <v>2037</v>
      </c>
      <c r="AI216" s="309"/>
      <c r="AJ216" s="314">
        <v>0.17064188652000001</v>
      </c>
      <c r="AK216" s="309"/>
      <c r="AL216" s="314"/>
      <c r="AM216" s="314"/>
      <c r="AN216" s="314"/>
      <c r="AO216" s="314"/>
      <c r="AP216" s="316"/>
      <c r="AQ216" s="314"/>
      <c r="AR216" s="314"/>
      <c r="AS216" s="314"/>
      <c r="AT216" s="316"/>
      <c r="AU216" s="314"/>
      <c r="AV216" s="86"/>
    </row>
    <row r="217" spans="1:48">
      <c r="A217" s="86"/>
      <c r="B217" s="118"/>
      <c r="C217" s="539"/>
      <c r="D217" s="544">
        <v>2040</v>
      </c>
      <c r="E217" s="544"/>
      <c r="F217" s="594">
        <v>9.17915657971907</v>
      </c>
      <c r="G217" s="595">
        <v>10.379812833823959</v>
      </c>
      <c r="H217" s="595">
        <v>10.782914271555647</v>
      </c>
      <c r="I217" s="596">
        <v>10.628168568205938</v>
      </c>
      <c r="J217" s="591"/>
      <c r="K217" s="594">
        <v>9.3580764798560843</v>
      </c>
      <c r="L217" s="595">
        <v>10.164627687520937</v>
      </c>
      <c r="M217" s="596">
        <v>9.8871254962472541</v>
      </c>
      <c r="N217" s="591"/>
      <c r="O217" s="597">
        <v>10.621724092790538</v>
      </c>
      <c r="P217" s="593"/>
      <c r="Q217" s="118"/>
      <c r="R217" s="613"/>
      <c r="S217" s="544">
        <v>2040</v>
      </c>
      <c r="T217" s="544"/>
      <c r="U217" s="618">
        <v>0.13718579</v>
      </c>
      <c r="V217" s="544"/>
      <c r="W217" s="618">
        <v>0.21041567422592394</v>
      </c>
      <c r="X217" s="618">
        <v>0.11504687403976617</v>
      </c>
      <c r="Y217" s="618">
        <v>8.4166269690369583E-2</v>
      </c>
      <c r="Z217" s="618">
        <v>0.10927980124058206</v>
      </c>
      <c r="AA217" s="591">
        <v>0</v>
      </c>
      <c r="AB217" s="618">
        <v>0.17500271625370095</v>
      </c>
      <c r="AC217" s="618">
        <v>0.1142136279698315</v>
      </c>
      <c r="AD217" s="618">
        <v>0.14077845954988244</v>
      </c>
      <c r="AE217" s="591"/>
      <c r="AF217" s="618">
        <v>0.12395817601271604</v>
      </c>
      <c r="AG217" s="307"/>
      <c r="AH217" s="309">
        <v>2038</v>
      </c>
      <c r="AI217" s="309"/>
      <c r="AJ217" s="314">
        <v>0.17064188652000001</v>
      </c>
      <c r="AK217" s="309"/>
      <c r="AL217" s="314"/>
      <c r="AM217" s="314"/>
      <c r="AN217" s="314"/>
      <c r="AO217" s="314"/>
      <c r="AP217" s="316"/>
      <c r="AQ217" s="314"/>
      <c r="AR217" s="314"/>
      <c r="AS217" s="314"/>
      <c r="AT217" s="316"/>
      <c r="AU217" s="314"/>
      <c r="AV217" s="86"/>
    </row>
    <row r="218" spans="1:48">
      <c r="A218" s="86"/>
      <c r="B218" s="118"/>
      <c r="C218" s="539"/>
      <c r="D218" s="544">
        <v>2041</v>
      </c>
      <c r="E218" s="544"/>
      <c r="F218" s="594">
        <v>9.3427036918441555</v>
      </c>
      <c r="G218" s="595">
        <v>10.535554402464257</v>
      </c>
      <c r="H218" s="595">
        <v>10.936553074612467</v>
      </c>
      <c r="I218" s="596">
        <v>10.784123459703936</v>
      </c>
      <c r="J218" s="591"/>
      <c r="K218" s="594">
        <v>9.520487060467703</v>
      </c>
      <c r="L218" s="595">
        <v>10.320913169629691</v>
      </c>
      <c r="M218" s="596">
        <v>10.046541876610116</v>
      </c>
      <c r="N218" s="591"/>
      <c r="O218" s="597">
        <v>10.8019228416719</v>
      </c>
      <c r="P218" s="593"/>
      <c r="Q218" s="118"/>
      <c r="R218" s="613"/>
      <c r="S218" s="544">
        <v>2041</v>
      </c>
      <c r="T218" s="544"/>
      <c r="U218" s="618">
        <v>0.13718579</v>
      </c>
      <c r="V218" s="544"/>
      <c r="W218" s="618">
        <v>0.21041567422592394</v>
      </c>
      <c r="X218" s="618">
        <v>0.11504687403976617</v>
      </c>
      <c r="Y218" s="618">
        <v>8.4166269690369583E-2</v>
      </c>
      <c r="Z218" s="618">
        <v>0.10927980124058206</v>
      </c>
      <c r="AA218" s="591">
        <v>0</v>
      </c>
      <c r="AB218" s="618">
        <v>0.17500271625370095</v>
      </c>
      <c r="AC218" s="618">
        <v>0.1142136279698315</v>
      </c>
      <c r="AD218" s="618">
        <v>0.14077845954988244</v>
      </c>
      <c r="AE218" s="591"/>
      <c r="AF218" s="618">
        <v>0.12395817601271604</v>
      </c>
      <c r="AG218" s="307"/>
      <c r="AH218" s="309">
        <v>2039</v>
      </c>
      <c r="AI218" s="309"/>
      <c r="AJ218" s="314">
        <v>0.17064188652000001</v>
      </c>
      <c r="AK218" s="309"/>
      <c r="AL218" s="314"/>
      <c r="AM218" s="314"/>
      <c r="AN218" s="314"/>
      <c r="AO218" s="314"/>
      <c r="AP218" s="316"/>
      <c r="AQ218" s="314"/>
      <c r="AR218" s="314"/>
      <c r="AS218" s="314"/>
      <c r="AT218" s="316"/>
      <c r="AU218" s="314"/>
      <c r="AV218" s="86"/>
    </row>
    <row r="219" spans="1:48">
      <c r="A219" s="86"/>
      <c r="B219" s="118"/>
      <c r="C219" s="539"/>
      <c r="D219" s="544">
        <v>2042</v>
      </c>
      <c r="E219" s="544"/>
      <c r="F219" s="594">
        <v>9.5091647599141211</v>
      </c>
      <c r="G219" s="595">
        <v>10.693632760465871</v>
      </c>
      <c r="H219" s="595">
        <v>11.092380978056276</v>
      </c>
      <c r="I219" s="596">
        <v>10.942366791399893</v>
      </c>
      <c r="J219" s="591"/>
      <c r="K219" s="594">
        <v>9.6857162968951158</v>
      </c>
      <c r="L219" s="595">
        <v>10.47960160762319</v>
      </c>
      <c r="M219" s="596">
        <v>10.208528628142803</v>
      </c>
      <c r="N219" s="591"/>
      <c r="O219" s="597">
        <v>10.985178682680182</v>
      </c>
      <c r="P219" s="593"/>
      <c r="Q219" s="118"/>
      <c r="R219" s="613"/>
      <c r="S219" s="544">
        <v>2042</v>
      </c>
      <c r="T219" s="544"/>
      <c r="U219" s="618">
        <v>0.13718579</v>
      </c>
      <c r="V219" s="544"/>
      <c r="W219" s="618">
        <v>0.21041567422592394</v>
      </c>
      <c r="X219" s="618">
        <v>0.11504687403976617</v>
      </c>
      <c r="Y219" s="618">
        <v>8.4166269690369583E-2</v>
      </c>
      <c r="Z219" s="618">
        <v>0.10927980124058206</v>
      </c>
      <c r="AA219" s="591">
        <v>0</v>
      </c>
      <c r="AB219" s="618">
        <v>0.17500271625370095</v>
      </c>
      <c r="AC219" s="618">
        <v>0.1142136279698315</v>
      </c>
      <c r="AD219" s="618">
        <v>0.14077845954988244</v>
      </c>
      <c r="AE219" s="591"/>
      <c r="AF219" s="618">
        <v>0.12395817601271604</v>
      </c>
      <c r="AG219" s="307"/>
      <c r="AH219" s="309">
        <v>2040</v>
      </c>
      <c r="AI219" s="309"/>
      <c r="AJ219" s="314">
        <v>0.17064188652000001</v>
      </c>
      <c r="AK219" s="309"/>
      <c r="AL219" s="314"/>
      <c r="AM219" s="314"/>
      <c r="AN219" s="314"/>
      <c r="AO219" s="314"/>
      <c r="AP219" s="316"/>
      <c r="AQ219" s="314"/>
      <c r="AR219" s="314"/>
      <c r="AS219" s="314"/>
      <c r="AT219" s="316"/>
      <c r="AU219" s="314"/>
      <c r="AV219" s="86"/>
    </row>
    <row r="220" spans="1:48">
      <c r="A220" s="86"/>
      <c r="B220" s="118"/>
      <c r="C220" s="539"/>
      <c r="D220" s="544">
        <v>2043</v>
      </c>
      <c r="E220" s="544"/>
      <c r="F220" s="594">
        <v>9.678591702542132</v>
      </c>
      <c r="G220" s="595">
        <v>10.854082969659544</v>
      </c>
      <c r="H220" s="595">
        <v>11.250429172969074</v>
      </c>
      <c r="I220" s="596">
        <v>11.102932143250738</v>
      </c>
      <c r="J220" s="591"/>
      <c r="K220" s="594">
        <v>9.8538131072603949</v>
      </c>
      <c r="L220" s="595">
        <v>10.640729947972122</v>
      </c>
      <c r="M220" s="596">
        <v>10.373127194566065</v>
      </c>
      <c r="N220" s="591"/>
      <c r="O220" s="597">
        <v>11.171543479728596</v>
      </c>
      <c r="P220" s="593"/>
      <c r="Q220" s="118"/>
      <c r="R220" s="613"/>
      <c r="S220" s="544">
        <v>2043</v>
      </c>
      <c r="T220" s="544"/>
      <c r="U220" s="618">
        <v>0.13718579</v>
      </c>
      <c r="V220" s="544"/>
      <c r="W220" s="618">
        <v>0.21041567422592394</v>
      </c>
      <c r="X220" s="618">
        <v>0.11504687403976617</v>
      </c>
      <c r="Y220" s="618">
        <v>8.4166269690369583E-2</v>
      </c>
      <c r="Z220" s="618">
        <v>0.10927980124058206</v>
      </c>
      <c r="AA220" s="591">
        <v>0</v>
      </c>
      <c r="AB220" s="618">
        <v>0.17500271625370095</v>
      </c>
      <c r="AC220" s="618">
        <v>0.1142136279698315</v>
      </c>
      <c r="AD220" s="618">
        <v>0.14077845954988244</v>
      </c>
      <c r="AE220" s="591"/>
      <c r="AF220" s="618">
        <v>0.12395817601271604</v>
      </c>
      <c r="AG220" s="307"/>
      <c r="AH220" s="309">
        <v>2041</v>
      </c>
      <c r="AI220" s="309"/>
      <c r="AJ220" s="314">
        <v>0.17064188652000001</v>
      </c>
      <c r="AK220" s="309"/>
      <c r="AL220" s="314"/>
      <c r="AM220" s="314"/>
      <c r="AN220" s="314"/>
      <c r="AO220" s="314"/>
      <c r="AP220" s="316"/>
      <c r="AQ220" s="314"/>
      <c r="AR220" s="314"/>
      <c r="AS220" s="314"/>
      <c r="AT220" s="316"/>
      <c r="AU220" s="314"/>
      <c r="AV220" s="86"/>
    </row>
    <row r="221" spans="1:48">
      <c r="A221" s="86"/>
      <c r="B221" s="118"/>
      <c r="C221" s="539"/>
      <c r="D221" s="544">
        <v>2044</v>
      </c>
      <c r="E221" s="544"/>
      <c r="F221" s="594">
        <v>9.8510373633870447</v>
      </c>
      <c r="G221" s="595">
        <v>11.016940617953377</v>
      </c>
      <c r="H221" s="595">
        <v>11.410729294854503</v>
      </c>
      <c r="I221" s="596">
        <v>11.265853587956672</v>
      </c>
      <c r="J221" s="591"/>
      <c r="K221" s="594">
        <v>10.024827258665701</v>
      </c>
      <c r="L221" s="595">
        <v>10.80433570521491</v>
      </c>
      <c r="M221" s="596">
        <v>10.540379687823984</v>
      </c>
      <c r="N221" s="591"/>
      <c r="O221" s="597">
        <v>11.361069976607498</v>
      </c>
      <c r="P221" s="593"/>
      <c r="Q221" s="118"/>
      <c r="R221" s="613"/>
      <c r="S221" s="544">
        <v>2044</v>
      </c>
      <c r="T221" s="544"/>
      <c r="U221" s="618">
        <v>0.13718579</v>
      </c>
      <c r="V221" s="544"/>
      <c r="W221" s="618">
        <v>0.21041567422592394</v>
      </c>
      <c r="X221" s="618">
        <v>0.11504687403976617</v>
      </c>
      <c r="Y221" s="618">
        <v>8.4166269690369583E-2</v>
      </c>
      <c r="Z221" s="618">
        <v>0.10927980124058206</v>
      </c>
      <c r="AA221" s="591">
        <v>0</v>
      </c>
      <c r="AB221" s="618">
        <v>0.17500271625370095</v>
      </c>
      <c r="AC221" s="618">
        <v>0.1142136279698315</v>
      </c>
      <c r="AD221" s="618">
        <v>0.14077845954988244</v>
      </c>
      <c r="AE221" s="591"/>
      <c r="AF221" s="618">
        <v>0.12395817601271604</v>
      </c>
      <c r="AG221" s="307"/>
      <c r="AH221" s="309">
        <v>2042</v>
      </c>
      <c r="AI221" s="309"/>
      <c r="AJ221" s="314">
        <v>0.17064188652000001</v>
      </c>
      <c r="AK221" s="309"/>
      <c r="AL221" s="314"/>
      <c r="AM221" s="314"/>
      <c r="AN221" s="314"/>
      <c r="AO221" s="314"/>
      <c r="AP221" s="316"/>
      <c r="AQ221" s="314"/>
      <c r="AR221" s="314"/>
      <c r="AS221" s="314"/>
      <c r="AT221" s="316"/>
      <c r="AU221" s="314"/>
      <c r="AV221" s="86"/>
    </row>
    <row r="222" spans="1:48">
      <c r="A222" s="86"/>
      <c r="B222" s="118"/>
      <c r="C222" s="539"/>
      <c r="D222" s="544">
        <v>2045</v>
      </c>
      <c r="E222" s="544"/>
      <c r="F222" s="598">
        <v>10.026555527635157</v>
      </c>
      <c r="G222" s="599">
        <v>11.182241827226239</v>
      </c>
      <c r="H222" s="599">
        <v>11.573313429970133</v>
      </c>
      <c r="I222" s="600">
        <v>11.431165698191549</v>
      </c>
      <c r="J222" s="591"/>
      <c r="K222" s="598">
        <v>10.198809381927436</v>
      </c>
      <c r="L222" s="599">
        <v>10.970456970691989</v>
      </c>
      <c r="M222" s="600">
        <v>10.710328898858162</v>
      </c>
      <c r="N222" s="591"/>
      <c r="O222" s="601">
        <v>11.553811811911601</v>
      </c>
      <c r="P222" s="593"/>
      <c r="Q222" s="118"/>
      <c r="R222" s="613"/>
      <c r="S222" s="544">
        <v>2045</v>
      </c>
      <c r="T222" s="544"/>
      <c r="U222" s="618">
        <v>0.13718579</v>
      </c>
      <c r="V222" s="544"/>
      <c r="W222" s="618">
        <v>0.21041567422592394</v>
      </c>
      <c r="X222" s="618">
        <v>0.11504687403976617</v>
      </c>
      <c r="Y222" s="618">
        <v>8.4166269690369583E-2</v>
      </c>
      <c r="Z222" s="618">
        <v>0.10927980124058206</v>
      </c>
      <c r="AA222" s="591">
        <v>0</v>
      </c>
      <c r="AB222" s="618">
        <v>0.17500271625370095</v>
      </c>
      <c r="AC222" s="618">
        <v>0.1142136279698315</v>
      </c>
      <c r="AD222" s="618">
        <v>0.14077845954988244</v>
      </c>
      <c r="AE222" s="591"/>
      <c r="AF222" s="618">
        <v>0.12395817601271604</v>
      </c>
      <c r="AG222" s="307"/>
      <c r="AH222" s="309">
        <v>2043</v>
      </c>
      <c r="AI222" s="309"/>
      <c r="AJ222" s="314">
        <v>0.17064188652000001</v>
      </c>
      <c r="AK222" s="309"/>
      <c r="AL222" s="314"/>
      <c r="AM222" s="314"/>
      <c r="AN222" s="314"/>
      <c r="AO222" s="314"/>
      <c r="AP222" s="316"/>
      <c r="AQ222" s="314"/>
      <c r="AR222" s="314"/>
      <c r="AS222" s="314"/>
      <c r="AT222" s="316"/>
      <c r="AU222" s="314"/>
      <c r="AV222" s="86"/>
    </row>
    <row r="223" spans="1:48">
      <c r="A223" s="86"/>
      <c r="B223" s="118"/>
      <c r="C223" s="539"/>
      <c r="D223" s="544"/>
      <c r="E223" s="544"/>
      <c r="F223" s="591"/>
      <c r="G223" s="591"/>
      <c r="H223" s="591"/>
      <c r="I223" s="591"/>
      <c r="J223" s="591"/>
      <c r="K223" s="591"/>
      <c r="L223" s="591"/>
      <c r="M223" s="591"/>
      <c r="N223" s="591"/>
      <c r="O223" s="591"/>
      <c r="P223" s="593"/>
      <c r="Q223" s="118"/>
      <c r="R223" s="613"/>
      <c r="S223" s="544"/>
      <c r="T223" s="544"/>
      <c r="U223" s="544"/>
      <c r="V223" s="544"/>
      <c r="W223" s="591"/>
      <c r="X223" s="591"/>
      <c r="Y223" s="591"/>
      <c r="Z223" s="591"/>
      <c r="AA223" s="591"/>
      <c r="AB223" s="591"/>
      <c r="AC223" s="591"/>
      <c r="AD223" s="591"/>
      <c r="AE223" s="591"/>
      <c r="AF223" s="591"/>
      <c r="AG223" s="307"/>
      <c r="AH223" s="309"/>
      <c r="AI223" s="309"/>
      <c r="AJ223" s="309"/>
      <c r="AK223" s="309"/>
      <c r="AL223" s="316"/>
      <c r="AM223" s="316"/>
      <c r="AN223" s="316"/>
      <c r="AO223" s="316"/>
      <c r="AP223" s="316"/>
      <c r="AQ223" s="316"/>
      <c r="AR223" s="316"/>
      <c r="AS223" s="316"/>
      <c r="AT223" s="316"/>
      <c r="AU223" s="316"/>
      <c r="AV223" s="86"/>
    </row>
    <row r="224" spans="1:48" ht="15">
      <c r="A224" s="86"/>
      <c r="B224" s="118"/>
      <c r="C224" s="1071" t="s">
        <v>667</v>
      </c>
      <c r="D224" s="1072"/>
      <c r="E224" s="544" t="s">
        <v>382</v>
      </c>
      <c r="F224" s="588">
        <v>6.3410150707255175</v>
      </c>
      <c r="G224" s="589">
        <v>7.6267345789866088</v>
      </c>
      <c r="H224" s="589">
        <v>8.0553077484069711</v>
      </c>
      <c r="I224" s="590">
        <v>7.8660394605140036</v>
      </c>
      <c r="J224" s="591"/>
      <c r="K224" s="588">
        <v>6.5368688121518792</v>
      </c>
      <c r="L224" s="589">
        <v>7.4099647488364182</v>
      </c>
      <c r="M224" s="590">
        <v>7.0972835160508856</v>
      </c>
      <c r="N224" s="591"/>
      <c r="O224" s="592">
        <v>7.3635013392215241</v>
      </c>
      <c r="P224" s="593"/>
      <c r="Q224" s="118"/>
      <c r="R224" s="1073" t="s">
        <v>667</v>
      </c>
      <c r="S224" s="1072"/>
      <c r="T224" s="619"/>
      <c r="U224" s="592">
        <v>0.13718579</v>
      </c>
      <c r="V224" s="544"/>
      <c r="W224" s="588">
        <v>1.5718364975032959</v>
      </c>
      <c r="X224" s="589">
        <v>1.4409711779343579</v>
      </c>
      <c r="Y224" s="589">
        <v>1.3985967310630811</v>
      </c>
      <c r="Z224" s="590">
        <v>1.4330575854033687</v>
      </c>
      <c r="AA224" s="591"/>
      <c r="AB224" s="588">
        <v>1.5232427430168158</v>
      </c>
      <c r="AC224" s="589">
        <v>1.4398277954758518</v>
      </c>
      <c r="AD224" s="590">
        <v>1.4762801275512529</v>
      </c>
      <c r="AE224" s="591"/>
      <c r="AF224" s="592">
        <v>1.4531992900442832</v>
      </c>
      <c r="AG224" s="1074" t="s">
        <v>383</v>
      </c>
      <c r="AH224" s="1075"/>
      <c r="AI224" s="318"/>
      <c r="AJ224" s="319">
        <v>0.14017309837330136</v>
      </c>
      <c r="AK224" s="309"/>
      <c r="AL224" s="320">
        <v>2.0071784561140311</v>
      </c>
      <c r="AM224" s="321">
        <v>3.1236620799078345</v>
      </c>
      <c r="AN224" s="321">
        <v>3.4851816647370168</v>
      </c>
      <c r="AO224" s="322">
        <v>3.1911772664777329</v>
      </c>
      <c r="AP224" s="316"/>
      <c r="AQ224" s="320">
        <v>2.4217583561327789</v>
      </c>
      <c r="AR224" s="321">
        <v>3.1334169010847472</v>
      </c>
      <c r="AS224" s="322">
        <v>2.8224221169407366</v>
      </c>
      <c r="AT224" s="316"/>
      <c r="AU224" s="319">
        <v>3.0193373667934935</v>
      </c>
      <c r="AV224" s="86"/>
    </row>
    <row r="225" spans="1:48" ht="13.5">
      <c r="A225" s="86"/>
      <c r="B225" s="118"/>
      <c r="C225" s="1071" t="s">
        <v>668</v>
      </c>
      <c r="D225" s="1072"/>
      <c r="E225" s="540"/>
      <c r="F225" s="594">
        <v>6.6185864572265878</v>
      </c>
      <c r="G225" s="595">
        <v>7.8948821432131746</v>
      </c>
      <c r="H225" s="595">
        <v>8.3203140385420351</v>
      </c>
      <c r="I225" s="596">
        <v>8.134563698225973</v>
      </c>
      <c r="J225" s="591"/>
      <c r="K225" s="594">
        <v>6.8114389522966174</v>
      </c>
      <c r="L225" s="595">
        <v>7.6782571721409454</v>
      </c>
      <c r="M225" s="596">
        <v>7.367865130419025</v>
      </c>
      <c r="N225" s="591"/>
      <c r="O225" s="597">
        <v>7.7657665343177245</v>
      </c>
      <c r="P225" s="593"/>
      <c r="Q225" s="118"/>
      <c r="R225" s="1073" t="s">
        <v>668</v>
      </c>
      <c r="S225" s="1072"/>
      <c r="T225" s="604"/>
      <c r="U225" s="597">
        <v>0.13718579</v>
      </c>
      <c r="V225" s="540"/>
      <c r="W225" s="594">
        <v>1.171504575457893</v>
      </c>
      <c r="X225" s="595">
        <v>1.0509860684909289</v>
      </c>
      <c r="Y225" s="595">
        <v>1.0119619398119251</v>
      </c>
      <c r="Z225" s="596">
        <v>1.043698160894621</v>
      </c>
      <c r="AA225" s="591"/>
      <c r="AB225" s="594">
        <v>1.1267528661591995</v>
      </c>
      <c r="AC225" s="595">
        <v>1.0499330870956649</v>
      </c>
      <c r="AD225" s="596">
        <v>1.0835033305464292</v>
      </c>
      <c r="AE225" s="591"/>
      <c r="AF225" s="597">
        <v>1.0622473699523636</v>
      </c>
      <c r="AG225" s="1074" t="s">
        <v>384</v>
      </c>
      <c r="AH225" s="1075"/>
      <c r="AI225" s="323"/>
      <c r="AJ225" s="324">
        <v>0.15037357854375988</v>
      </c>
      <c r="AK225" s="325"/>
      <c r="AL225" s="326">
        <v>1.382765978841854</v>
      </c>
      <c r="AM225" s="327">
        <v>2.1519230840377017</v>
      </c>
      <c r="AN225" s="327">
        <v>2.4009776616534078</v>
      </c>
      <c r="AO225" s="328">
        <v>2.1984349937085339</v>
      </c>
      <c r="AP225" s="316"/>
      <c r="AQ225" s="326">
        <v>1.6683743558704949</v>
      </c>
      <c r="AR225" s="327">
        <v>2.1586432811442586</v>
      </c>
      <c r="AS225" s="328">
        <v>1.9443957607996234</v>
      </c>
      <c r="AT225" s="316"/>
      <c r="AU225" s="324">
        <v>2.0800527111729821</v>
      </c>
      <c r="AV225" s="86"/>
    </row>
    <row r="226" spans="1:48" ht="13.5">
      <c r="A226" s="86"/>
      <c r="B226" s="118"/>
      <c r="C226" s="1076" t="s">
        <v>669</v>
      </c>
      <c r="D226" s="1072"/>
      <c r="E226" s="544" t="s">
        <v>385</v>
      </c>
      <c r="F226" s="598">
        <v>7.5217335992747962</v>
      </c>
      <c r="G226" s="599">
        <v>8.7718347143251023</v>
      </c>
      <c r="H226" s="599">
        <v>9.189441272106226</v>
      </c>
      <c r="I226" s="600">
        <v>9.0146191225115331</v>
      </c>
      <c r="J226" s="591"/>
      <c r="K226" s="598">
        <v>7.7095175887623562</v>
      </c>
      <c r="L226" s="599">
        <v>8.5555945576229071</v>
      </c>
      <c r="M226" s="600">
        <v>8.2564337168652422</v>
      </c>
      <c r="N226" s="591"/>
      <c r="O226" s="601">
        <v>8.7743432776499883</v>
      </c>
      <c r="P226" s="593"/>
      <c r="Q226" s="118"/>
      <c r="R226" s="1073" t="s">
        <v>669</v>
      </c>
      <c r="S226" s="1072"/>
      <c r="T226" s="604"/>
      <c r="U226" s="601">
        <v>0.1646229480000001</v>
      </c>
      <c r="V226" s="544"/>
      <c r="W226" s="598">
        <v>0.88336686827565924</v>
      </c>
      <c r="X226" s="599">
        <v>0.75802992630841526</v>
      </c>
      <c r="Y226" s="599">
        <v>0.71744557893591343</v>
      </c>
      <c r="Z226" s="600">
        <v>0.75045064181137533</v>
      </c>
      <c r="AA226" s="591"/>
      <c r="AB226" s="598">
        <v>0.83682594661586063</v>
      </c>
      <c r="AC226" s="599">
        <v>0.75693484579877268</v>
      </c>
      <c r="AD226" s="600">
        <v>0.79184725685584001</v>
      </c>
      <c r="AE226" s="591"/>
      <c r="AF226" s="601">
        <v>0.7697414644220959</v>
      </c>
      <c r="AG226" s="1074" t="s">
        <v>386</v>
      </c>
      <c r="AH226" s="1075"/>
      <c r="AI226" s="323"/>
      <c r="AJ226" s="329">
        <v>0.16052771905004715</v>
      </c>
      <c r="AK226" s="309"/>
      <c r="AL226" s="330">
        <v>0.76119013906297206</v>
      </c>
      <c r="AM226" s="331">
        <v>1.1845985919927073</v>
      </c>
      <c r="AN226" s="331">
        <v>1.3216990786045861</v>
      </c>
      <c r="AO226" s="332">
        <v>1.2102026403509683</v>
      </c>
      <c r="AP226" s="316"/>
      <c r="AQ226" s="330">
        <v>0.91841289660439485</v>
      </c>
      <c r="AR226" s="331">
        <v>1.1882979509936822</v>
      </c>
      <c r="AS226" s="332">
        <v>1.0703581822255634</v>
      </c>
      <c r="AT226" s="316"/>
      <c r="AU226" s="329">
        <v>1.1450351228645299</v>
      </c>
      <c r="AV226" s="86"/>
    </row>
    <row r="227" spans="1:48">
      <c r="A227" s="86"/>
      <c r="B227" s="118"/>
      <c r="C227" s="602"/>
      <c r="D227" s="603"/>
      <c r="E227" s="544"/>
      <c r="F227" s="544"/>
      <c r="G227" s="544"/>
      <c r="H227" s="544"/>
      <c r="I227" s="544"/>
      <c r="J227" s="544"/>
      <c r="K227" s="544"/>
      <c r="L227" s="544"/>
      <c r="M227" s="544"/>
      <c r="N227" s="544"/>
      <c r="O227" s="544"/>
      <c r="P227" s="561"/>
      <c r="Q227" s="118"/>
      <c r="R227" s="620"/>
      <c r="S227" s="603"/>
      <c r="T227" s="544"/>
      <c r="U227" s="544"/>
      <c r="V227" s="544"/>
      <c r="W227" s="544"/>
      <c r="X227" s="544"/>
      <c r="Y227" s="544"/>
      <c r="Z227" s="544"/>
      <c r="AA227" s="544"/>
      <c r="AB227" s="544"/>
      <c r="AC227" s="544"/>
      <c r="AD227" s="544"/>
      <c r="AE227" s="544"/>
      <c r="AF227" s="544"/>
      <c r="AG227" s="333"/>
      <c r="AH227" s="334"/>
      <c r="AI227" s="309"/>
      <c r="AJ227" s="309"/>
      <c r="AK227" s="309"/>
      <c r="AL227" s="309"/>
      <c r="AM227" s="309"/>
      <c r="AN227" s="309"/>
      <c r="AO227" s="309"/>
      <c r="AP227" s="309"/>
      <c r="AQ227" s="309"/>
      <c r="AR227" s="309"/>
      <c r="AS227" s="309"/>
      <c r="AT227" s="309"/>
      <c r="AU227" s="309"/>
      <c r="AV227" s="86"/>
    </row>
    <row r="228" spans="1:48">
      <c r="A228" s="86"/>
      <c r="B228" s="118"/>
      <c r="C228" s="602"/>
      <c r="D228" s="603"/>
      <c r="E228" s="544" t="s">
        <v>382</v>
      </c>
      <c r="F228" s="604" t="s">
        <v>678</v>
      </c>
      <c r="G228" s="544"/>
      <c r="H228" s="605">
        <v>2.4299999999999999E-2</v>
      </c>
      <c r="I228" s="544"/>
      <c r="J228" s="544"/>
      <c r="K228" s="544"/>
      <c r="L228" s="606"/>
      <c r="M228" s="544"/>
      <c r="N228" s="544"/>
      <c r="O228" s="544"/>
      <c r="P228" s="561"/>
      <c r="Q228" s="118"/>
      <c r="R228" s="620"/>
      <c r="S228" s="603"/>
      <c r="T228" s="544"/>
      <c r="U228" s="604"/>
      <c r="V228" s="544"/>
      <c r="W228" s="544"/>
      <c r="X228" s="544"/>
      <c r="Y228" s="544"/>
      <c r="Z228" s="606"/>
      <c r="AA228" s="544"/>
      <c r="AB228" s="544"/>
      <c r="AC228" s="544"/>
      <c r="AD228" s="544"/>
      <c r="AE228" s="544"/>
      <c r="AF228" s="544"/>
      <c r="AG228" s="333"/>
      <c r="AH228" s="334"/>
      <c r="AI228" s="309"/>
      <c r="AJ228" s="323" t="s">
        <v>387</v>
      </c>
      <c r="AK228" s="309"/>
      <c r="AL228" s="309"/>
      <c r="AM228" s="309"/>
      <c r="AN228" s="309"/>
      <c r="AO228" s="335">
        <v>1.3599999999999999E-2</v>
      </c>
      <c r="AP228" s="309"/>
      <c r="AQ228" s="309"/>
      <c r="AR228" s="309"/>
      <c r="AS228" s="309"/>
      <c r="AT228" s="309"/>
      <c r="AU228" s="309"/>
      <c r="AV228" s="86"/>
    </row>
    <row r="229" spans="1:48" ht="15">
      <c r="A229" s="86"/>
      <c r="B229" s="118"/>
      <c r="C229" s="607"/>
      <c r="D229" s="608"/>
      <c r="E229" s="608" t="s">
        <v>385</v>
      </c>
      <c r="F229" s="609" t="s">
        <v>679</v>
      </c>
      <c r="G229" s="608"/>
      <c r="H229" s="608"/>
      <c r="I229" s="608"/>
      <c r="J229" s="608"/>
      <c r="K229" s="608"/>
      <c r="L229" s="608"/>
      <c r="M229" s="608"/>
      <c r="N229" s="608"/>
      <c r="O229" s="608"/>
      <c r="P229" s="574"/>
      <c r="Q229" s="118"/>
      <c r="R229" s="613"/>
      <c r="S229" s="621"/>
      <c r="T229" s="544"/>
      <c r="U229" s="619"/>
      <c r="V229" s="544"/>
      <c r="W229" s="544"/>
      <c r="X229" s="544"/>
      <c r="Y229" s="544"/>
      <c r="Z229" s="544"/>
      <c r="AA229" s="544"/>
      <c r="AB229" s="544"/>
      <c r="AC229" s="544"/>
      <c r="AD229" s="544"/>
      <c r="AE229" s="544"/>
      <c r="AF229" s="544"/>
      <c r="AG229" s="307"/>
      <c r="AH229" s="336"/>
      <c r="AI229" s="309">
        <v>1</v>
      </c>
      <c r="AJ229" s="318" t="s">
        <v>388</v>
      </c>
      <c r="AK229" s="309"/>
      <c r="AL229" s="309"/>
      <c r="AM229" s="309"/>
      <c r="AN229" s="309"/>
      <c r="AO229" s="309"/>
      <c r="AP229" s="309"/>
      <c r="AQ229" s="309"/>
      <c r="AR229" s="309"/>
      <c r="AS229" s="309"/>
      <c r="AT229" s="309"/>
      <c r="AU229" s="309"/>
      <c r="AV229" s="86"/>
    </row>
    <row r="230" spans="1:48" ht="15">
      <c r="A230" s="86"/>
      <c r="B230" s="118"/>
      <c r="C230" s="535"/>
      <c r="D230" s="610"/>
      <c r="E230" s="610"/>
      <c r="F230" s="610"/>
      <c r="G230" s="610"/>
      <c r="H230" s="610"/>
      <c r="I230" s="610"/>
      <c r="J230" s="610"/>
      <c r="K230" s="610"/>
      <c r="L230" s="610"/>
      <c r="M230" s="610"/>
      <c r="N230" s="610"/>
      <c r="O230" s="610"/>
      <c r="P230" s="535"/>
      <c r="Q230" s="118"/>
      <c r="R230" s="613"/>
      <c r="S230" s="622" t="s">
        <v>215</v>
      </c>
      <c r="T230" s="623"/>
      <c r="U230" s="619" t="s">
        <v>675</v>
      </c>
      <c r="V230" s="544"/>
      <c r="W230" s="544"/>
      <c r="X230" s="544"/>
      <c r="Y230" s="544"/>
      <c r="Z230" s="544"/>
      <c r="AA230" s="544"/>
      <c r="AB230" s="544"/>
      <c r="AC230" s="544"/>
      <c r="AD230" s="544"/>
      <c r="AE230" s="544"/>
      <c r="AF230" s="544"/>
      <c r="AG230" s="307"/>
      <c r="AH230" s="336"/>
      <c r="AI230" s="337" t="s">
        <v>389</v>
      </c>
      <c r="AJ230" s="318" t="s">
        <v>390</v>
      </c>
      <c r="AK230" s="309"/>
      <c r="AL230" s="309"/>
      <c r="AM230" s="309"/>
      <c r="AN230" s="309"/>
      <c r="AO230" s="309"/>
      <c r="AP230" s="309"/>
      <c r="AQ230" s="309"/>
      <c r="AR230" s="309"/>
      <c r="AS230" s="309"/>
      <c r="AT230" s="309"/>
      <c r="AU230" s="309"/>
      <c r="AV230" s="86"/>
    </row>
    <row r="231" spans="1:48" ht="15">
      <c r="A231" s="86"/>
      <c r="B231" s="118"/>
      <c r="C231" s="535"/>
      <c r="D231" s="1107" t="s">
        <v>391</v>
      </c>
      <c r="E231" s="610"/>
      <c r="F231" s="610"/>
      <c r="G231" s="610"/>
      <c r="H231" s="610"/>
      <c r="I231" s="610"/>
      <c r="J231" s="610"/>
      <c r="K231" s="610"/>
      <c r="L231" s="610"/>
      <c r="M231" s="610"/>
      <c r="N231" s="610"/>
      <c r="O231" s="610"/>
      <c r="P231" s="535"/>
      <c r="Q231" s="118"/>
      <c r="R231" s="613"/>
      <c r="S231" s="621"/>
      <c r="T231" s="544"/>
      <c r="U231" s="619" t="s">
        <v>676</v>
      </c>
      <c r="V231" s="544"/>
      <c r="W231" s="544"/>
      <c r="X231" s="544"/>
      <c r="Y231" s="544"/>
      <c r="Z231" s="544"/>
      <c r="AA231" s="544"/>
      <c r="AB231" s="544"/>
      <c r="AC231" s="544"/>
      <c r="AD231" s="544"/>
      <c r="AE231" s="544"/>
      <c r="AF231" s="544"/>
      <c r="AG231" s="307"/>
      <c r="AH231" s="336"/>
      <c r="AI231" s="309">
        <v>5</v>
      </c>
      <c r="AJ231" s="318" t="s">
        <v>392</v>
      </c>
      <c r="AK231" s="309"/>
      <c r="AL231" s="309"/>
      <c r="AM231" s="309"/>
      <c r="AN231" s="309"/>
      <c r="AO231" s="309"/>
      <c r="AP231" s="309"/>
      <c r="AQ231" s="309"/>
      <c r="AR231" s="309"/>
      <c r="AS231" s="309"/>
      <c r="AT231" s="309"/>
      <c r="AU231" s="309"/>
      <c r="AV231" s="86"/>
    </row>
    <row r="232" spans="1:48" ht="15">
      <c r="A232" s="86"/>
      <c r="B232" s="118"/>
      <c r="C232" s="535"/>
      <c r="D232" s="1107"/>
      <c r="E232" s="610"/>
      <c r="F232" s="610">
        <v>1.7817226528898722E-2</v>
      </c>
      <c r="G232" s="610">
        <v>1.5004275234404396E-2</v>
      </c>
      <c r="H232" s="610">
        <v>1.424835616676523E-2</v>
      </c>
      <c r="I232" s="610">
        <v>1.4673731461555484E-2</v>
      </c>
      <c r="J232" s="610"/>
      <c r="K232" s="610">
        <v>1.7355124310131309E-2</v>
      </c>
      <c r="L232" s="610">
        <v>1.5375426126096547E-2</v>
      </c>
      <c r="M232" s="610">
        <v>1.6123632740716154E-2</v>
      </c>
      <c r="N232" s="610"/>
      <c r="O232" s="610">
        <v>1.696511294279146E-2</v>
      </c>
      <c r="P232" s="610"/>
      <c r="Q232" s="118"/>
      <c r="R232" s="613"/>
      <c r="S232" s="621"/>
      <c r="T232" s="623"/>
      <c r="U232" s="619" t="s">
        <v>677</v>
      </c>
      <c r="V232" s="544"/>
      <c r="W232" s="544"/>
      <c r="X232" s="605">
        <v>2.4299999999999999E-2</v>
      </c>
      <c r="Y232" s="544"/>
      <c r="Z232" s="544"/>
      <c r="AA232" s="544"/>
      <c r="AB232" s="544"/>
      <c r="AC232" s="544"/>
      <c r="AD232" s="544"/>
      <c r="AE232" s="544"/>
      <c r="AF232" s="544"/>
      <c r="AG232" s="307"/>
      <c r="AH232" s="336"/>
      <c r="AI232" s="337" t="s">
        <v>393</v>
      </c>
      <c r="AJ232" s="318" t="s">
        <v>390</v>
      </c>
      <c r="AK232" s="309"/>
      <c r="AL232" s="309"/>
      <c r="AM232" s="309"/>
      <c r="AN232" s="309"/>
      <c r="AO232" s="309"/>
      <c r="AP232" s="309"/>
      <c r="AQ232" s="309"/>
      <c r="AR232" s="309"/>
      <c r="AS232" s="309"/>
      <c r="AT232" s="309"/>
      <c r="AU232" s="309"/>
      <c r="AV232" s="86"/>
    </row>
    <row r="233" spans="1:48" ht="15">
      <c r="A233" s="86"/>
      <c r="B233" s="118"/>
      <c r="C233" s="610"/>
      <c r="D233" s="1107"/>
      <c r="E233" s="610"/>
      <c r="F233" s="610"/>
      <c r="G233" s="610"/>
      <c r="H233" s="610"/>
      <c r="I233" s="610"/>
      <c r="J233" s="610"/>
      <c r="K233" s="610"/>
      <c r="L233" s="610"/>
      <c r="M233" s="610"/>
      <c r="N233" s="610"/>
      <c r="O233" s="610"/>
      <c r="P233" s="535"/>
      <c r="Q233" s="118"/>
      <c r="R233" s="613"/>
      <c r="S233" s="621"/>
      <c r="T233" s="544"/>
      <c r="U233" s="619"/>
      <c r="V233" s="544"/>
      <c r="W233" s="544"/>
      <c r="X233" s="544"/>
      <c r="Y233" s="544"/>
      <c r="Z233" s="544"/>
      <c r="AA233" s="544"/>
      <c r="AB233" s="544"/>
      <c r="AC233" s="544"/>
      <c r="AD233" s="544"/>
      <c r="AE233" s="544"/>
      <c r="AF233" s="544"/>
      <c r="AG233" s="307"/>
      <c r="AH233" s="336"/>
      <c r="AI233" s="309">
        <v>8</v>
      </c>
      <c r="AJ233" s="318" t="s">
        <v>394</v>
      </c>
      <c r="AK233" s="309"/>
      <c r="AL233" s="309"/>
      <c r="AM233" s="309"/>
      <c r="AN233" s="309"/>
      <c r="AO233" s="309"/>
      <c r="AP233" s="309"/>
      <c r="AQ233" s="309"/>
      <c r="AR233" s="309"/>
      <c r="AS233" s="309"/>
      <c r="AT233" s="309"/>
      <c r="AU233" s="309"/>
      <c r="AV233" s="86"/>
    </row>
    <row r="234" spans="1:48" ht="15.75" thickBot="1">
      <c r="A234" s="86"/>
      <c r="B234" s="118"/>
      <c r="C234" s="122"/>
      <c r="D234" s="123"/>
      <c r="E234" s="123"/>
      <c r="F234" s="123"/>
      <c r="G234" s="123"/>
      <c r="H234" s="123"/>
      <c r="I234" s="123"/>
      <c r="J234" s="123"/>
      <c r="K234" s="123"/>
      <c r="L234" s="123"/>
      <c r="M234" s="123"/>
      <c r="N234" s="123"/>
      <c r="O234" s="123"/>
      <c r="P234" s="122"/>
      <c r="Q234" s="118"/>
      <c r="R234" s="124"/>
      <c r="S234" s="125"/>
      <c r="T234" s="126"/>
      <c r="U234" s="127"/>
      <c r="V234" s="126"/>
      <c r="W234" s="126"/>
      <c r="X234" s="126"/>
      <c r="Y234" s="126"/>
      <c r="Z234" s="126"/>
      <c r="AA234" s="126"/>
      <c r="AB234" s="126"/>
      <c r="AC234" s="126"/>
      <c r="AD234" s="126"/>
      <c r="AE234" s="126"/>
      <c r="AF234" s="126"/>
      <c r="AG234" s="338"/>
      <c r="AH234" s="339"/>
      <c r="AI234" s="340">
        <v>9</v>
      </c>
      <c r="AJ234" s="341" t="s">
        <v>395</v>
      </c>
      <c r="AK234" s="340"/>
      <c r="AL234" s="340"/>
      <c r="AM234" s="340"/>
      <c r="AN234" s="340"/>
      <c r="AO234" s="340"/>
      <c r="AP234" s="340"/>
      <c r="AQ234" s="340"/>
      <c r="AR234" s="340"/>
      <c r="AS234" s="340"/>
      <c r="AT234" s="340"/>
      <c r="AU234" s="340"/>
      <c r="AV234" s="86"/>
    </row>
    <row r="235" spans="1:48">
      <c r="A235" s="86"/>
      <c r="B235" s="118"/>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119"/>
      <c r="AJ235" s="86"/>
      <c r="AK235" s="86"/>
      <c r="AL235" s="86"/>
      <c r="AM235" s="86"/>
      <c r="AN235" s="86"/>
      <c r="AO235" s="86"/>
      <c r="AP235" s="86"/>
      <c r="AQ235" s="86"/>
      <c r="AR235" s="86"/>
      <c r="AS235" s="86"/>
      <c r="AT235" s="86"/>
      <c r="AU235" s="86"/>
      <c r="AV235" s="86"/>
    </row>
    <row r="236" spans="1:48">
      <c r="A236" s="86"/>
      <c r="B236" s="118"/>
      <c r="C236"/>
      <c r="D236"/>
      <c r="E236"/>
      <c r="F236"/>
      <c r="G236"/>
      <c r="H236"/>
      <c r="I236"/>
      <c r="J236"/>
      <c r="K236"/>
      <c r="L236"/>
      <c r="M236"/>
      <c r="N236"/>
      <c r="O236"/>
      <c r="P236"/>
      <c r="Q236" s="86"/>
      <c r="R236" s="86"/>
      <c r="S236" s="86"/>
      <c r="T236" s="86"/>
      <c r="U236" s="86"/>
      <c r="V236" s="86"/>
      <c r="W236" s="86"/>
      <c r="X236" s="86"/>
      <c r="Y236" s="86"/>
      <c r="Z236" s="86"/>
      <c r="AA236" s="86"/>
      <c r="AB236" s="86"/>
      <c r="AC236" s="86"/>
      <c r="AD236" s="86"/>
      <c r="AE236" s="86"/>
      <c r="AF236" s="86"/>
      <c r="AG236" s="86"/>
      <c r="AH236" s="86"/>
      <c r="AI236" s="119"/>
      <c r="AJ236" s="86"/>
      <c r="AK236" s="86"/>
      <c r="AL236" s="86"/>
      <c r="AM236" s="86"/>
      <c r="AN236" s="86"/>
      <c r="AO236" s="86"/>
      <c r="AP236" s="86"/>
      <c r="AQ236" s="86"/>
      <c r="AR236" s="86"/>
      <c r="AS236" s="86"/>
      <c r="AT236" s="86"/>
      <c r="AU236" s="86"/>
      <c r="AV236" s="86"/>
    </row>
    <row r="237" spans="1:48">
      <c r="A237" s="86"/>
      <c r="B237" s="118"/>
      <c r="C237" s="1094" t="s">
        <v>704</v>
      </c>
      <c r="D237" s="1095"/>
      <c r="E237" s="1095"/>
      <c r="F237" s="1095"/>
      <c r="G237" s="1095"/>
      <c r="H237" s="1095"/>
      <c r="I237" s="1095"/>
      <c r="J237" s="1095"/>
      <c r="K237" s="1095"/>
      <c r="L237" s="1095"/>
      <c r="M237" s="1095"/>
      <c r="N237" s="1095"/>
      <c r="O237" s="1095"/>
      <c r="P237" s="1095"/>
      <c r="Q237" s="535"/>
      <c r="R237" s="535"/>
      <c r="S237" s="535"/>
      <c r="T237" s="86"/>
      <c r="U237" s="86"/>
      <c r="V237" s="86"/>
      <c r="W237" s="86"/>
      <c r="X237" s="86"/>
      <c r="Y237" s="86"/>
      <c r="Z237" s="86"/>
      <c r="AA237" s="86"/>
      <c r="AB237" s="86"/>
      <c r="AC237" s="86"/>
      <c r="AD237" s="86"/>
      <c r="AE237" s="86"/>
      <c r="AF237" s="86"/>
      <c r="AG237" s="86"/>
      <c r="AH237" s="86"/>
      <c r="AI237" s="119"/>
      <c r="AJ237" s="86"/>
      <c r="AK237" s="86"/>
      <c r="AL237" s="86"/>
      <c r="AM237" s="86"/>
      <c r="AN237" s="86"/>
      <c r="AO237" s="86"/>
      <c r="AP237" s="86"/>
      <c r="AQ237" s="86"/>
      <c r="AR237" s="86"/>
      <c r="AS237" s="86"/>
      <c r="AT237" s="86"/>
      <c r="AU237" s="86"/>
      <c r="AV237" s="86"/>
    </row>
    <row r="238" spans="1:48">
      <c r="A238" s="86"/>
      <c r="B238" s="118"/>
      <c r="C238" s="536">
        <v>1</v>
      </c>
      <c r="D238" s="536">
        <v>2</v>
      </c>
      <c r="E238" s="536">
        <v>3</v>
      </c>
      <c r="F238" s="536">
        <v>4</v>
      </c>
      <c r="G238" s="536">
        <v>5</v>
      </c>
      <c r="H238" s="536">
        <v>6</v>
      </c>
      <c r="I238" s="536">
        <v>7</v>
      </c>
      <c r="J238" s="536">
        <v>8</v>
      </c>
      <c r="K238" s="536">
        <v>9</v>
      </c>
      <c r="L238" s="536">
        <v>10</v>
      </c>
      <c r="M238" s="536">
        <v>11</v>
      </c>
      <c r="N238" s="536">
        <v>12</v>
      </c>
      <c r="O238" s="536">
        <v>13</v>
      </c>
      <c r="P238" s="536">
        <v>14</v>
      </c>
      <c r="Q238" s="536">
        <v>15</v>
      </c>
      <c r="R238" s="536">
        <v>16</v>
      </c>
      <c r="S238" s="536">
        <v>17</v>
      </c>
      <c r="T238" s="86"/>
      <c r="U238" s="86"/>
      <c r="V238" s="86"/>
      <c r="W238" s="86"/>
      <c r="X238" s="86"/>
      <c r="Y238" s="86"/>
      <c r="Z238" s="86"/>
      <c r="AA238" s="86"/>
      <c r="AB238" s="86"/>
      <c r="AC238" s="86"/>
      <c r="AD238" s="86"/>
      <c r="AE238" s="86"/>
      <c r="AF238" s="86"/>
      <c r="AG238" s="86"/>
      <c r="AH238" s="86"/>
      <c r="AI238" s="119"/>
      <c r="AJ238" s="86"/>
      <c r="AK238" s="86"/>
      <c r="AL238" s="86"/>
      <c r="AM238" s="86"/>
      <c r="AN238" s="86"/>
      <c r="AO238" s="86"/>
      <c r="AP238" s="86"/>
      <c r="AQ238" s="86"/>
      <c r="AR238" s="86"/>
      <c r="AS238" s="86"/>
      <c r="AT238" s="86"/>
      <c r="AU238" s="86"/>
      <c r="AV238" s="86"/>
    </row>
    <row r="239" spans="1:48">
      <c r="A239" s="86"/>
      <c r="B239" s="118"/>
      <c r="C239" s="537"/>
      <c r="D239" s="538"/>
      <c r="E239" s="1044" t="s">
        <v>396</v>
      </c>
      <c r="F239" s="1044"/>
      <c r="G239" s="1044"/>
      <c r="H239" s="1044"/>
      <c r="I239" s="1044"/>
      <c r="J239" s="1044"/>
      <c r="K239" s="1044"/>
      <c r="L239" s="1044"/>
      <c r="M239" s="1044"/>
      <c r="N239" s="538"/>
      <c r="O239" s="1044" t="s">
        <v>397</v>
      </c>
      <c r="P239" s="1044"/>
      <c r="Q239" s="1044"/>
      <c r="R239" s="1044"/>
      <c r="S239" s="1044"/>
      <c r="T239" s="86"/>
      <c r="U239" s="86"/>
      <c r="V239" s="86"/>
      <c r="W239" s="86"/>
      <c r="X239" s="86"/>
      <c r="Y239" s="86"/>
      <c r="Z239" s="86"/>
      <c r="AA239" s="86"/>
      <c r="AB239" s="86"/>
      <c r="AC239" s="86"/>
      <c r="AD239" s="86"/>
      <c r="AE239" s="86"/>
      <c r="AF239" s="86"/>
      <c r="AG239" s="86"/>
      <c r="AH239" s="86"/>
      <c r="AI239" s="119"/>
      <c r="AJ239" s="86"/>
      <c r="AK239" s="86"/>
      <c r="AL239" s="86"/>
      <c r="AM239" s="86"/>
      <c r="AN239" s="86"/>
      <c r="AO239" s="86"/>
      <c r="AP239" s="86"/>
      <c r="AQ239" s="86"/>
      <c r="AR239" s="86"/>
      <c r="AS239" s="86"/>
      <c r="AT239" s="86"/>
      <c r="AU239" s="86"/>
      <c r="AV239" s="86"/>
    </row>
    <row r="240" spans="1:48" ht="25.5">
      <c r="A240" s="86"/>
      <c r="B240" s="118"/>
      <c r="C240" s="539"/>
      <c r="D240" s="540"/>
      <c r="E240" s="541" t="s">
        <v>239</v>
      </c>
      <c r="F240" s="542"/>
      <c r="G240" s="1090" t="s">
        <v>272</v>
      </c>
      <c r="H240" s="1091"/>
      <c r="I240" s="1092"/>
      <c r="J240" s="543"/>
      <c r="K240" s="1044" t="s">
        <v>273</v>
      </c>
      <c r="L240" s="1044"/>
      <c r="M240" s="1044"/>
      <c r="N240" s="544"/>
      <c r="O240" s="1093" t="s">
        <v>239</v>
      </c>
      <c r="P240" s="1093"/>
      <c r="Q240" s="1093"/>
      <c r="R240" s="1093"/>
      <c r="S240" s="545" t="s">
        <v>273</v>
      </c>
      <c r="T240" s="86"/>
      <c r="U240" s="86"/>
      <c r="V240" s="86"/>
      <c r="W240" s="86"/>
      <c r="X240" s="86"/>
      <c r="Y240" s="86"/>
      <c r="Z240" s="86"/>
      <c r="AA240" s="86"/>
      <c r="AB240" s="86"/>
      <c r="AC240" s="86"/>
      <c r="AD240" s="86"/>
      <c r="AE240" s="86"/>
      <c r="AF240" s="86"/>
      <c r="AG240" s="86"/>
      <c r="AH240" s="86"/>
      <c r="AI240" s="119"/>
      <c r="AJ240" s="86"/>
      <c r="AK240" s="86"/>
      <c r="AL240" s="86"/>
      <c r="AM240" s="86"/>
      <c r="AN240" s="86"/>
      <c r="AO240" s="86"/>
      <c r="AP240" s="86"/>
      <c r="AQ240" s="86"/>
      <c r="AR240" s="86"/>
      <c r="AS240" s="86"/>
      <c r="AT240" s="86"/>
      <c r="AU240" s="86"/>
      <c r="AV240" s="86"/>
    </row>
    <row r="241" spans="1:48" ht="38.25">
      <c r="A241" s="86"/>
      <c r="B241" s="118"/>
      <c r="C241" s="545" t="s">
        <v>280</v>
      </c>
      <c r="D241" s="543"/>
      <c r="E241" s="546" t="s">
        <v>398</v>
      </c>
      <c r="F241" s="547"/>
      <c r="G241" s="548" t="s">
        <v>398</v>
      </c>
      <c r="H241" s="547" t="s">
        <v>399</v>
      </c>
      <c r="I241" s="549" t="s">
        <v>400</v>
      </c>
      <c r="J241" s="547"/>
      <c r="K241" s="546" t="s">
        <v>398</v>
      </c>
      <c r="L241" s="546" t="s">
        <v>399</v>
      </c>
      <c r="M241" s="546" t="s">
        <v>400</v>
      </c>
      <c r="N241" s="543"/>
      <c r="O241" s="546" t="s">
        <v>401</v>
      </c>
      <c r="P241" s="545" t="s">
        <v>402</v>
      </c>
      <c r="Q241" s="546" t="s">
        <v>269</v>
      </c>
      <c r="R241" s="545" t="s">
        <v>34</v>
      </c>
      <c r="S241" s="545" t="s">
        <v>269</v>
      </c>
      <c r="T241" s="86"/>
      <c r="U241" s="86"/>
      <c r="V241" s="86"/>
      <c r="W241" s="86"/>
      <c r="X241" s="86"/>
      <c r="Y241" s="86"/>
      <c r="Z241" s="86"/>
      <c r="AA241" s="86"/>
      <c r="AB241" s="86"/>
      <c r="AC241" s="86"/>
      <c r="AD241" s="86"/>
      <c r="AE241" s="86"/>
      <c r="AF241" s="86"/>
      <c r="AG241" s="86"/>
      <c r="AH241" s="86"/>
      <c r="AI241" s="119"/>
      <c r="AJ241" s="86"/>
      <c r="AK241" s="86"/>
      <c r="AL241" s="86"/>
      <c r="AM241" s="86"/>
      <c r="AN241" s="86"/>
      <c r="AO241" s="86"/>
      <c r="AP241" s="86"/>
      <c r="AQ241" s="86"/>
      <c r="AR241" s="86"/>
      <c r="AS241" s="86"/>
      <c r="AT241" s="86"/>
      <c r="AU241" s="86"/>
      <c r="AV241" s="86"/>
    </row>
    <row r="242" spans="1:48">
      <c r="A242" s="86"/>
      <c r="B242" s="118"/>
      <c r="C242" s="545"/>
      <c r="D242" s="543"/>
      <c r="E242" s="550" t="s">
        <v>281</v>
      </c>
      <c r="F242" s="551"/>
      <c r="G242" s="550" t="s">
        <v>281</v>
      </c>
      <c r="H242" s="550" t="s">
        <v>281</v>
      </c>
      <c r="I242" s="550" t="s">
        <v>281</v>
      </c>
      <c r="J242" s="551"/>
      <c r="K242" s="550" t="s">
        <v>281</v>
      </c>
      <c r="L242" s="550" t="s">
        <v>281</v>
      </c>
      <c r="M242" s="550" t="s">
        <v>281</v>
      </c>
      <c r="N242" s="540"/>
      <c r="O242" s="550" t="s">
        <v>281</v>
      </c>
      <c r="P242" s="550" t="s">
        <v>281</v>
      </c>
      <c r="Q242" s="550" t="s">
        <v>281</v>
      </c>
      <c r="R242" s="550" t="s">
        <v>281</v>
      </c>
      <c r="S242" s="550" t="s">
        <v>281</v>
      </c>
      <c r="T242" s="86"/>
      <c r="U242" s="86"/>
      <c r="V242" s="86"/>
      <c r="W242" s="86"/>
      <c r="X242" s="86"/>
      <c r="Y242" s="86"/>
      <c r="Z242" s="86"/>
      <c r="AA242" s="86"/>
      <c r="AB242" s="86"/>
      <c r="AC242" s="86"/>
      <c r="AD242" s="86"/>
      <c r="AE242" s="86"/>
      <c r="AF242" s="86"/>
      <c r="AG242" s="86"/>
      <c r="AH242" s="86"/>
      <c r="AI242" s="119"/>
      <c r="AJ242" s="86"/>
      <c r="AK242" s="86"/>
      <c r="AL242" s="86"/>
      <c r="AM242" s="86"/>
      <c r="AN242" s="86"/>
      <c r="AO242" s="86"/>
      <c r="AP242" s="86"/>
      <c r="AQ242" s="86"/>
      <c r="AR242" s="86"/>
      <c r="AS242" s="86"/>
      <c r="AT242" s="86"/>
      <c r="AU242" s="86"/>
      <c r="AV242" s="86"/>
    </row>
    <row r="243" spans="1:48">
      <c r="A243" s="86"/>
      <c r="B243" s="118"/>
      <c r="C243" s="545"/>
      <c r="D243" s="543"/>
      <c r="E243" s="545" t="s">
        <v>672</v>
      </c>
      <c r="F243" s="551"/>
      <c r="G243" s="545" t="s">
        <v>672</v>
      </c>
      <c r="H243" s="545" t="s">
        <v>672</v>
      </c>
      <c r="I243" s="545" t="s">
        <v>672</v>
      </c>
      <c r="J243" s="543"/>
      <c r="K243" s="545" t="s">
        <v>672</v>
      </c>
      <c r="L243" s="545" t="s">
        <v>672</v>
      </c>
      <c r="M243" s="545" t="s">
        <v>672</v>
      </c>
      <c r="N243" s="540"/>
      <c r="O243" s="545" t="s">
        <v>672</v>
      </c>
      <c r="P243" s="545" t="s">
        <v>672</v>
      </c>
      <c r="Q243" s="545" t="s">
        <v>672</v>
      </c>
      <c r="R243" s="545" t="s">
        <v>672</v>
      </c>
      <c r="S243" s="545" t="s">
        <v>672</v>
      </c>
      <c r="T243" s="86"/>
      <c r="U243" s="86"/>
      <c r="V243" s="86"/>
      <c r="W243" s="86"/>
      <c r="X243" s="86"/>
      <c r="Y243" s="86"/>
      <c r="Z243" s="86"/>
      <c r="AA243" s="86"/>
      <c r="AB243" s="86"/>
      <c r="AC243" s="86"/>
      <c r="AD243" s="86"/>
      <c r="AE243" s="86"/>
      <c r="AF243" s="86"/>
      <c r="AG243" s="86"/>
      <c r="AH243" s="86"/>
      <c r="AI243" s="119"/>
      <c r="AJ243" s="86"/>
      <c r="AK243" s="86"/>
      <c r="AL243" s="86"/>
      <c r="AM243" s="86"/>
      <c r="AN243" s="86"/>
      <c r="AO243" s="86"/>
      <c r="AP243" s="86"/>
      <c r="AQ243" s="86"/>
      <c r="AR243" s="86"/>
      <c r="AS243" s="86"/>
      <c r="AT243" s="86"/>
      <c r="AU243" s="86"/>
      <c r="AV243" s="86"/>
    </row>
    <row r="244" spans="1:48">
      <c r="A244" s="86"/>
      <c r="B244" s="118"/>
      <c r="C244" s="552"/>
      <c r="D244" s="543"/>
      <c r="E244" s="553"/>
      <c r="F244" s="551"/>
      <c r="G244" s="551"/>
      <c r="H244" s="551"/>
      <c r="I244" s="554"/>
      <c r="J244" s="555"/>
      <c r="K244" s="555"/>
      <c r="L244" s="540"/>
      <c r="M244" s="556"/>
      <c r="N244" s="540"/>
      <c r="O244" s="536"/>
      <c r="P244" s="536"/>
      <c r="Q244" s="536"/>
      <c r="R244" s="536"/>
      <c r="S244" s="536"/>
      <c r="T244" s="86"/>
      <c r="U244" s="86"/>
      <c r="V244" s="86"/>
      <c r="W244" s="86"/>
      <c r="X244" s="86"/>
      <c r="Y244" s="86"/>
      <c r="Z244" s="86"/>
      <c r="AA244" s="86"/>
      <c r="AB244" s="86"/>
      <c r="AC244" s="86"/>
      <c r="AD244" s="86"/>
      <c r="AE244" s="86"/>
      <c r="AF244" s="86"/>
      <c r="AG244" s="86"/>
      <c r="AH244" s="86"/>
      <c r="AI244" s="119"/>
      <c r="AJ244" s="86"/>
      <c r="AK244" s="86"/>
      <c r="AL244" s="86"/>
      <c r="AM244" s="86"/>
      <c r="AN244" s="86"/>
      <c r="AO244" s="86"/>
      <c r="AP244" s="86"/>
      <c r="AQ244" s="86"/>
      <c r="AR244" s="86"/>
      <c r="AS244" s="86"/>
      <c r="AT244" s="86"/>
      <c r="AU244" s="86"/>
      <c r="AV244" s="86"/>
    </row>
    <row r="245" spans="1:48">
      <c r="A245" s="86"/>
      <c r="B245" s="118"/>
      <c r="C245" s="545">
        <v>2015</v>
      </c>
      <c r="D245" s="543"/>
      <c r="E245" s="557">
        <v>15.350882457599997</v>
      </c>
      <c r="F245" s="558"/>
      <c r="G245" s="559">
        <v>14.0934786696</v>
      </c>
      <c r="H245" s="559">
        <v>12.671999067599998</v>
      </c>
      <c r="I245" s="559">
        <v>13.89447152532</v>
      </c>
      <c r="J245" s="560"/>
      <c r="K245" s="559">
        <v>14.417109688270255</v>
      </c>
      <c r="L245" s="559">
        <v>15.579200016</v>
      </c>
      <c r="M245" s="559">
        <v>14.71925317347999</v>
      </c>
      <c r="N245" s="540"/>
      <c r="O245" s="559">
        <v>5.4375382783146025</v>
      </c>
      <c r="P245" s="559">
        <v>6.1866829925417699</v>
      </c>
      <c r="Q245" s="559">
        <v>16.745792711364693</v>
      </c>
      <c r="R245" s="559">
        <v>14.100736244999997</v>
      </c>
      <c r="S245" s="559">
        <v>14.417109688270255</v>
      </c>
      <c r="T245" s="86"/>
      <c r="U245" s="86"/>
      <c r="V245" s="86"/>
      <c r="W245" s="86"/>
      <c r="X245" s="86"/>
      <c r="Y245" s="86"/>
      <c r="Z245" s="86"/>
      <c r="AA245" s="86"/>
      <c r="AB245" s="86"/>
      <c r="AC245" s="86"/>
      <c r="AD245" s="86"/>
      <c r="AE245" s="86"/>
      <c r="AF245" s="86"/>
      <c r="AG245" s="86"/>
      <c r="AH245" s="86"/>
      <c r="AI245" s="119"/>
      <c r="AJ245" s="86"/>
      <c r="AK245" s="86"/>
      <c r="AL245" s="86"/>
      <c r="AM245" s="86"/>
      <c r="AN245" s="86"/>
      <c r="AO245" s="86"/>
      <c r="AP245" s="86"/>
      <c r="AQ245" s="86"/>
      <c r="AR245" s="86"/>
      <c r="AS245" s="86"/>
      <c r="AT245" s="86"/>
      <c r="AU245" s="86"/>
      <c r="AV245" s="86"/>
    </row>
    <row r="246" spans="1:48">
      <c r="A246" s="86"/>
      <c r="B246" s="118"/>
      <c r="C246" s="545">
        <v>2016</v>
      </c>
      <c r="D246" s="543"/>
      <c r="E246" s="557">
        <v>16.1687764381</v>
      </c>
      <c r="F246" s="558"/>
      <c r="G246" s="559">
        <v>14.911439546249998</v>
      </c>
      <c r="H246" s="559">
        <v>13.408155674550001</v>
      </c>
      <c r="I246" s="559">
        <v>14.700979804211997</v>
      </c>
      <c r="J246" s="560"/>
      <c r="K246" s="559">
        <v>14.668848199199999</v>
      </c>
      <c r="L246" s="559">
        <v>13.408155674550001</v>
      </c>
      <c r="M246" s="559">
        <v>14.341068142791</v>
      </c>
      <c r="N246" s="540"/>
      <c r="O246" s="559">
        <v>5.7272499505168772</v>
      </c>
      <c r="P246" s="559">
        <v>6.5163090445187688</v>
      </c>
      <c r="Q246" s="559">
        <v>17.638007415969192</v>
      </c>
      <c r="R246" s="559">
        <v>15.293344989649999</v>
      </c>
      <c r="S246" s="559">
        <v>14.668848199199999</v>
      </c>
      <c r="T246" s="86"/>
      <c r="U246" s="86"/>
      <c r="V246" s="86"/>
      <c r="W246" s="86"/>
      <c r="X246" s="86"/>
      <c r="Y246" s="86"/>
      <c r="Z246" s="86"/>
      <c r="AA246" s="86"/>
      <c r="AB246" s="86"/>
      <c r="AC246" s="86"/>
      <c r="AD246" s="86"/>
      <c r="AE246" s="86"/>
      <c r="AF246" s="86"/>
      <c r="AG246" s="86"/>
      <c r="AH246" s="86"/>
      <c r="AI246" s="119"/>
      <c r="AJ246" s="86"/>
      <c r="AK246" s="86"/>
      <c r="AL246" s="86"/>
      <c r="AM246" s="86"/>
      <c r="AN246" s="86"/>
      <c r="AO246" s="86"/>
      <c r="AP246" s="86"/>
      <c r="AQ246" s="86"/>
      <c r="AR246" s="86"/>
      <c r="AS246" s="86"/>
      <c r="AT246" s="86"/>
      <c r="AU246" s="86"/>
      <c r="AV246" s="86"/>
    </row>
    <row r="247" spans="1:48">
      <c r="A247" s="86"/>
      <c r="B247" s="118"/>
      <c r="C247" s="545">
        <v>2017</v>
      </c>
      <c r="D247" s="543"/>
      <c r="E247" s="557">
        <v>17.50807236487459</v>
      </c>
      <c r="F247" s="558"/>
      <c r="G247" s="559">
        <v>16.230841040151923</v>
      </c>
      <c r="H247" s="559">
        <v>14.505908299741746</v>
      </c>
      <c r="I247" s="559">
        <v>15.989350456494499</v>
      </c>
      <c r="J247" s="560"/>
      <c r="K247" s="559">
        <v>16.038090942894684</v>
      </c>
      <c r="L247" s="559">
        <v>14.505908299741746</v>
      </c>
      <c r="M247" s="559">
        <v>15.63972345567492</v>
      </c>
      <c r="N247" s="540"/>
      <c r="O247" s="559">
        <v>6.2016508774956529</v>
      </c>
      <c r="P247" s="559">
        <v>7.0560695016157906</v>
      </c>
      <c r="Q247" s="559">
        <v>19.099003031751447</v>
      </c>
      <c r="R247" s="559">
        <v>17.144289669315583</v>
      </c>
      <c r="S247" s="559">
        <v>16.038090942894684</v>
      </c>
      <c r="T247" s="86"/>
      <c r="U247" s="86"/>
      <c r="V247" s="86"/>
      <c r="W247" s="86"/>
      <c r="X247" s="86"/>
      <c r="Y247" s="86"/>
      <c r="Z247" s="86"/>
      <c r="AA247" s="86"/>
      <c r="AB247" s="86"/>
      <c r="AC247" s="86"/>
      <c r="AD247" s="86"/>
      <c r="AE247" s="86"/>
      <c r="AF247" s="86"/>
      <c r="AG247" s="86"/>
      <c r="AH247" s="86"/>
      <c r="AI247" s="119"/>
      <c r="AJ247" s="86"/>
      <c r="AK247" s="86"/>
      <c r="AL247" s="86"/>
      <c r="AM247" s="86"/>
      <c r="AN247" s="86"/>
      <c r="AO247" s="86"/>
      <c r="AP247" s="86"/>
      <c r="AQ247" s="86"/>
      <c r="AR247" s="86"/>
      <c r="AS247" s="86"/>
      <c r="AT247" s="86"/>
      <c r="AU247" s="86"/>
      <c r="AV247" s="86"/>
    </row>
    <row r="248" spans="1:48">
      <c r="A248" s="86"/>
      <c r="B248" s="118"/>
      <c r="C248" s="545">
        <v>2018</v>
      </c>
      <c r="D248" s="543"/>
      <c r="E248" s="557">
        <v>18.607493348249999</v>
      </c>
      <c r="F248" s="558"/>
      <c r="G248" s="559">
        <v>17.282527864499997</v>
      </c>
      <c r="H248" s="559">
        <v>15.373029287249999</v>
      </c>
      <c r="I248" s="559">
        <v>17.015198063684998</v>
      </c>
      <c r="J248" s="560"/>
      <c r="K248" s="559">
        <v>17.094657936000001</v>
      </c>
      <c r="L248" s="559">
        <v>15.373029287249999</v>
      </c>
      <c r="M248" s="559">
        <v>16.647034487325001</v>
      </c>
      <c r="N248" s="540"/>
      <c r="O248" s="559">
        <v>6.591084103735124</v>
      </c>
      <c r="P248" s="559">
        <v>7.4991560224252014</v>
      </c>
      <c r="Q248" s="559">
        <v>20.298326649854882</v>
      </c>
      <c r="R248" s="559">
        <v>18.382992653999999</v>
      </c>
      <c r="S248" s="559">
        <v>17.094657936000001</v>
      </c>
      <c r="T248" s="86"/>
      <c r="U248" s="86"/>
      <c r="V248" s="86"/>
      <c r="W248" s="86"/>
      <c r="X248" s="86"/>
      <c r="Y248" s="86"/>
      <c r="Z248" s="86"/>
      <c r="AA248" s="86"/>
      <c r="AB248" s="86"/>
      <c r="AC248" s="86"/>
      <c r="AD248" s="86"/>
      <c r="AE248" s="86"/>
      <c r="AF248" s="86"/>
      <c r="AG248" s="86"/>
      <c r="AH248" s="86"/>
      <c r="AI248" s="119"/>
      <c r="AJ248" s="86"/>
      <c r="AK248" s="86"/>
      <c r="AL248" s="86"/>
      <c r="AM248" s="86"/>
      <c r="AN248" s="86"/>
      <c r="AO248" s="86"/>
      <c r="AP248" s="86"/>
      <c r="AQ248" s="86"/>
      <c r="AR248" s="86"/>
      <c r="AS248" s="86"/>
      <c r="AT248" s="86"/>
      <c r="AU248" s="86"/>
      <c r="AV248" s="86"/>
    </row>
    <row r="249" spans="1:48">
      <c r="A249" s="86"/>
      <c r="B249" s="118"/>
      <c r="C249" s="545">
        <v>2019</v>
      </c>
      <c r="D249" s="543"/>
      <c r="E249" s="557">
        <v>18.994052724749999</v>
      </c>
      <c r="F249" s="558"/>
      <c r="G249" s="559">
        <v>17.693174584499999</v>
      </c>
      <c r="H249" s="559">
        <v>15.596835533249999</v>
      </c>
      <c r="I249" s="559">
        <v>17.399687117325001</v>
      </c>
      <c r="J249" s="560"/>
      <c r="K249" s="559">
        <v>17.52292362</v>
      </c>
      <c r="L249" s="559">
        <v>15.596835533249999</v>
      </c>
      <c r="M249" s="559">
        <v>17.022140717445001</v>
      </c>
      <c r="N249" s="540"/>
      <c r="O249" s="559">
        <v>6.7280098741177596</v>
      </c>
      <c r="P249" s="559">
        <v>7.6549464355695669</v>
      </c>
      <c r="Q249" s="559">
        <v>20.72001206158172</v>
      </c>
      <c r="R249" s="559">
        <v>18.574442813999998</v>
      </c>
      <c r="S249" s="559">
        <v>17.52292362</v>
      </c>
      <c r="T249" s="86"/>
      <c r="U249" s="86"/>
      <c r="V249" s="86"/>
      <c r="W249" s="86"/>
      <c r="X249" s="86"/>
      <c r="Y249" s="86"/>
      <c r="Z249" s="86"/>
      <c r="AA249" s="86"/>
      <c r="AB249" s="86"/>
      <c r="AC249" s="86"/>
      <c r="AD249" s="86"/>
      <c r="AE249" s="86"/>
      <c r="AF249" s="86"/>
      <c r="AG249" s="86"/>
      <c r="AH249" s="86"/>
      <c r="AI249" s="119"/>
      <c r="AJ249" s="86"/>
      <c r="AK249" s="86"/>
      <c r="AL249" s="86"/>
      <c r="AM249" s="86"/>
      <c r="AN249" s="86"/>
      <c r="AO249" s="86"/>
      <c r="AP249" s="86"/>
      <c r="AQ249" s="86"/>
      <c r="AR249" s="86"/>
      <c r="AS249" s="86"/>
      <c r="AT249" s="86"/>
      <c r="AU249" s="86"/>
      <c r="AV249" s="86"/>
    </row>
    <row r="250" spans="1:48">
      <c r="A250" s="86"/>
      <c r="B250" s="118"/>
      <c r="C250" s="545">
        <v>2020</v>
      </c>
      <c r="D250" s="543"/>
      <c r="E250" s="557">
        <v>19.361561675249998</v>
      </c>
      <c r="F250" s="558"/>
      <c r="G250" s="559">
        <v>18.052408486499999</v>
      </c>
      <c r="H250" s="559">
        <v>15.893137920000001</v>
      </c>
      <c r="I250" s="559">
        <v>17.750110607189999</v>
      </c>
      <c r="J250" s="560"/>
      <c r="K250" s="559">
        <v>17.876106126750003</v>
      </c>
      <c r="L250" s="559">
        <v>15.893137920000001</v>
      </c>
      <c r="M250" s="559">
        <v>17.360534392995</v>
      </c>
      <c r="N250" s="540"/>
      <c r="O250" s="559">
        <v>6.85818766627313</v>
      </c>
      <c r="P250" s="559">
        <v>7.8030591828298759</v>
      </c>
      <c r="Q250" s="559">
        <v>21.12091596542194</v>
      </c>
      <c r="R250" s="559">
        <v>18.703038707250002</v>
      </c>
      <c r="S250" s="559">
        <v>17.876106126750003</v>
      </c>
      <c r="T250" s="86"/>
      <c r="U250" s="86"/>
      <c r="V250" s="86"/>
      <c r="W250" s="86"/>
      <c r="X250" s="86"/>
      <c r="Y250" s="86"/>
      <c r="Z250" s="86"/>
      <c r="AA250" s="86"/>
      <c r="AB250" s="86"/>
      <c r="AC250" s="86"/>
      <c r="AD250" s="86"/>
      <c r="AE250" s="86"/>
      <c r="AF250" s="86"/>
      <c r="AG250" s="86"/>
      <c r="AH250" s="86"/>
      <c r="AI250" s="119"/>
      <c r="AJ250" s="86"/>
      <c r="AK250" s="86"/>
      <c r="AL250" s="86"/>
      <c r="AM250" s="86"/>
      <c r="AN250" s="86"/>
      <c r="AO250" s="86"/>
      <c r="AP250" s="86"/>
      <c r="AQ250" s="86"/>
      <c r="AR250" s="86"/>
      <c r="AS250" s="86"/>
      <c r="AT250" s="86"/>
      <c r="AU250" s="86"/>
      <c r="AV250" s="86"/>
    </row>
    <row r="251" spans="1:48">
      <c r="A251" s="86"/>
      <c r="B251" s="118"/>
      <c r="C251" s="545">
        <v>2021</v>
      </c>
      <c r="D251" s="543"/>
      <c r="E251" s="557">
        <v>19.736433668999997</v>
      </c>
      <c r="F251" s="558"/>
      <c r="G251" s="559">
        <v>18.439749806999998</v>
      </c>
      <c r="H251" s="559">
        <v>16.1539714215</v>
      </c>
      <c r="I251" s="559">
        <v>18.119740833029997</v>
      </c>
      <c r="J251" s="560"/>
      <c r="K251" s="559">
        <v>18.272570652750002</v>
      </c>
      <c r="L251" s="559">
        <v>16.1539714215</v>
      </c>
      <c r="M251" s="559">
        <v>17.721734852625001</v>
      </c>
      <c r="N251" s="540"/>
      <c r="O251" s="559">
        <v>6.9909735709997056</v>
      </c>
      <c r="P251" s="559">
        <v>7.9541393695565441</v>
      </c>
      <c r="Q251" s="559">
        <v>21.529851980531973</v>
      </c>
      <c r="R251" s="559">
        <v>18.917018628749997</v>
      </c>
      <c r="S251" s="559">
        <v>18.272570652750002</v>
      </c>
      <c r="T251" s="86"/>
      <c r="U251" s="86"/>
      <c r="V251" s="86"/>
      <c r="W251" s="86"/>
      <c r="X251" s="86"/>
      <c r="Y251" s="86"/>
      <c r="Z251" s="86"/>
      <c r="AA251" s="86"/>
      <c r="AB251" s="86"/>
      <c r="AC251" s="86"/>
      <c r="AD251" s="86"/>
      <c r="AE251" s="86"/>
      <c r="AF251" s="86"/>
      <c r="AG251" s="86"/>
      <c r="AH251" s="86"/>
      <c r="AI251" s="119"/>
      <c r="AJ251" s="86"/>
      <c r="AK251" s="86"/>
      <c r="AL251" s="86"/>
      <c r="AM251" s="86"/>
      <c r="AN251" s="86"/>
      <c r="AO251" s="86"/>
      <c r="AP251" s="86"/>
      <c r="AQ251" s="86"/>
      <c r="AR251" s="86"/>
      <c r="AS251" s="86"/>
      <c r="AT251" s="86"/>
      <c r="AU251" s="86"/>
      <c r="AV251" s="86"/>
    </row>
    <row r="252" spans="1:48">
      <c r="A252" s="86"/>
      <c r="B252" s="118"/>
      <c r="C252" s="545">
        <v>2022</v>
      </c>
      <c r="D252" s="543"/>
      <c r="E252" s="557">
        <v>20.12648420475</v>
      </c>
      <c r="F252" s="558"/>
      <c r="G252" s="559">
        <v>18.84859222275</v>
      </c>
      <c r="H252" s="559">
        <v>16.572273625499999</v>
      </c>
      <c r="I252" s="559">
        <v>18.529907619134999</v>
      </c>
      <c r="J252" s="560"/>
      <c r="K252" s="559">
        <v>18.69515463075</v>
      </c>
      <c r="L252" s="559">
        <v>16.572273625499999</v>
      </c>
      <c r="M252" s="559">
        <v>18.143205569385</v>
      </c>
      <c r="N252" s="540"/>
      <c r="O252" s="559">
        <v>7.1291359681437036</v>
      </c>
      <c r="P252" s="559">
        <v>8.1113367829574692</v>
      </c>
      <c r="Q252" s="559">
        <v>21.955345787592723</v>
      </c>
      <c r="R252" s="559">
        <v>19.086114807000001</v>
      </c>
      <c r="S252" s="559">
        <v>18.69515463075</v>
      </c>
      <c r="T252" s="86"/>
      <c r="U252" s="86"/>
      <c r="V252" s="86"/>
      <c r="W252" s="86"/>
      <c r="X252" s="86"/>
      <c r="Y252" s="86"/>
      <c r="Z252" s="86"/>
      <c r="AA252" s="86"/>
      <c r="AB252" s="86"/>
      <c r="AC252" s="86"/>
      <c r="AD252" s="86"/>
      <c r="AE252" s="86"/>
      <c r="AF252" s="86"/>
      <c r="AG252" s="86"/>
      <c r="AH252" s="86"/>
      <c r="AI252" s="119"/>
      <c r="AJ252" s="86"/>
      <c r="AK252" s="86"/>
      <c r="AL252" s="86"/>
      <c r="AM252" s="86"/>
      <c r="AN252" s="86"/>
      <c r="AO252" s="86"/>
      <c r="AP252" s="86"/>
      <c r="AQ252" s="86"/>
      <c r="AR252" s="86"/>
      <c r="AS252" s="86"/>
      <c r="AT252" s="86"/>
      <c r="AU252" s="86"/>
      <c r="AV252" s="86"/>
    </row>
    <row r="253" spans="1:48">
      <c r="A253" s="86"/>
      <c r="B253" s="118"/>
      <c r="C253" s="545">
        <v>2023</v>
      </c>
      <c r="D253" s="543"/>
      <c r="E253" s="557">
        <v>20.481043784250001</v>
      </c>
      <c r="F253" s="558"/>
      <c r="G253" s="559">
        <v>19.176351302250001</v>
      </c>
      <c r="H253" s="559">
        <v>16.827642189749998</v>
      </c>
      <c r="I253" s="559">
        <v>18.847532026500001</v>
      </c>
      <c r="J253" s="560"/>
      <c r="K253" s="559">
        <v>19.003308356250002</v>
      </c>
      <c r="L253" s="559">
        <v>16.827642189749998</v>
      </c>
      <c r="M253" s="559">
        <v>18.437635152959999</v>
      </c>
      <c r="N253" s="540"/>
      <c r="O253" s="559">
        <v>7.2547268773829243</v>
      </c>
      <c r="P253" s="559">
        <v>8.2542306997335313</v>
      </c>
      <c r="Q253" s="559">
        <v>22.342123631702666</v>
      </c>
      <c r="R253" s="559">
        <v>19.211857235249997</v>
      </c>
      <c r="S253" s="559">
        <v>19.003308356250002</v>
      </c>
      <c r="T253" s="86"/>
      <c r="U253" s="86"/>
      <c r="V253" s="86"/>
      <c r="W253" s="86"/>
      <c r="X253" s="86"/>
      <c r="Y253" s="86"/>
      <c r="Z253" s="86"/>
      <c r="AA253" s="86"/>
      <c r="AB253" s="86"/>
      <c r="AC253" s="86"/>
      <c r="AD253" s="86"/>
      <c r="AE253" s="86"/>
      <c r="AF253" s="86"/>
      <c r="AG253" s="86"/>
      <c r="AH253" s="86"/>
      <c r="AI253" s="119"/>
      <c r="AJ253" s="86"/>
      <c r="AK253" s="86"/>
      <c r="AL253" s="86"/>
      <c r="AM253" s="86"/>
      <c r="AN253" s="86"/>
      <c r="AO253" s="86"/>
      <c r="AP253" s="86"/>
      <c r="AQ253" s="86"/>
      <c r="AR253" s="86"/>
      <c r="AS253" s="86"/>
      <c r="AT253" s="86"/>
      <c r="AU253" s="86"/>
      <c r="AV253" s="86"/>
    </row>
    <row r="254" spans="1:48">
      <c r="A254" s="86"/>
      <c r="B254" s="118"/>
      <c r="C254" s="545">
        <v>2024</v>
      </c>
      <c r="D254" s="543"/>
      <c r="E254" s="557">
        <v>20.835465419999998</v>
      </c>
      <c r="F254" s="558"/>
      <c r="G254" s="559">
        <v>19.491366744</v>
      </c>
      <c r="H254" s="559">
        <v>17.033896472999999</v>
      </c>
      <c r="I254" s="559">
        <v>19.147320906059999</v>
      </c>
      <c r="J254" s="560"/>
      <c r="K254" s="559">
        <v>19.289497495500001</v>
      </c>
      <c r="L254" s="559">
        <v>17.033896472999999</v>
      </c>
      <c r="M254" s="559">
        <v>18.703041229650001</v>
      </c>
      <c r="N254" s="540"/>
      <c r="O254" s="559">
        <v>7.3802689246480551</v>
      </c>
      <c r="P254" s="559">
        <v>8.3970690226859546</v>
      </c>
      <c r="Q254" s="559">
        <v>22.728750997333616</v>
      </c>
      <c r="R254" s="559">
        <v>19.365093823500001</v>
      </c>
      <c r="S254" s="559">
        <v>19.289497495500001</v>
      </c>
      <c r="T254" s="86"/>
      <c r="U254" s="86"/>
      <c r="V254" s="86"/>
      <c r="W254" s="86"/>
      <c r="X254" s="86"/>
      <c r="Y254" s="86"/>
      <c r="Z254" s="86"/>
      <c r="AA254" s="86"/>
      <c r="AB254" s="86"/>
      <c r="AC254" s="86"/>
      <c r="AD254" s="86"/>
      <c r="AE254" s="86"/>
      <c r="AF254" s="86"/>
      <c r="AG254" s="86"/>
      <c r="AH254" s="86"/>
      <c r="AI254" s="119"/>
      <c r="AJ254" s="86"/>
      <c r="AK254" s="86"/>
      <c r="AL254" s="86"/>
      <c r="AM254" s="86"/>
      <c r="AN254" s="86"/>
      <c r="AO254" s="86"/>
      <c r="AP254" s="86"/>
      <c r="AQ254" s="86"/>
      <c r="AR254" s="86"/>
      <c r="AS254" s="86"/>
      <c r="AT254" s="86"/>
      <c r="AU254" s="86"/>
      <c r="AV254" s="86"/>
    </row>
    <row r="255" spans="1:48">
      <c r="A255" s="86"/>
      <c r="B255" s="118"/>
      <c r="C255" s="545">
        <v>2025</v>
      </c>
      <c r="D255" s="543"/>
      <c r="E255" s="557">
        <v>21.162962800499997</v>
      </c>
      <c r="F255" s="558"/>
      <c r="G255" s="559">
        <v>19.824966755999998</v>
      </c>
      <c r="H255" s="559">
        <v>17.243868143250001</v>
      </c>
      <c r="I255" s="559">
        <v>19.463612950215001</v>
      </c>
      <c r="J255" s="560"/>
      <c r="K255" s="559">
        <v>19.627561367249996</v>
      </c>
      <c r="L255" s="559">
        <v>17.243868143250001</v>
      </c>
      <c r="M255" s="559">
        <v>19.007801129009998</v>
      </c>
      <c r="N255" s="540"/>
      <c r="O255" s="559">
        <v>7.4962739522049473</v>
      </c>
      <c r="P255" s="559">
        <v>8.5290563843010005</v>
      </c>
      <c r="Q255" s="559">
        <v>23.086007543497367</v>
      </c>
      <c r="R255" s="559">
        <v>19.549149410249999</v>
      </c>
      <c r="S255" s="559">
        <v>19.627561367249996</v>
      </c>
      <c r="T255" s="86"/>
      <c r="U255" s="86"/>
      <c r="V255" s="86"/>
      <c r="W255" s="86"/>
      <c r="X255" s="86"/>
      <c r="Y255" s="86"/>
      <c r="Z255" s="86"/>
      <c r="AA255" s="86"/>
      <c r="AB255" s="86"/>
      <c r="AC255" s="86"/>
      <c r="AD255" s="86"/>
      <c r="AE255" s="86"/>
      <c r="AF255" s="86"/>
      <c r="AG255" s="86"/>
      <c r="AH255" s="86"/>
      <c r="AI255" s="119"/>
      <c r="AJ255" s="86"/>
      <c r="AK255" s="86"/>
      <c r="AL255" s="86"/>
      <c r="AM255" s="86"/>
      <c r="AN255" s="86"/>
      <c r="AO255" s="86"/>
      <c r="AP255" s="86"/>
      <c r="AQ255" s="86"/>
      <c r="AR255" s="86"/>
      <c r="AS255" s="86"/>
      <c r="AT255" s="86"/>
      <c r="AU255" s="86"/>
      <c r="AV255" s="86"/>
    </row>
    <row r="256" spans="1:48">
      <c r="A256" s="86"/>
      <c r="B256" s="118"/>
      <c r="C256" s="545">
        <v>2026</v>
      </c>
      <c r="D256" s="543"/>
      <c r="E256" s="557">
        <v>21.40700105925</v>
      </c>
      <c r="F256" s="558"/>
      <c r="G256" s="559">
        <v>20.077142119499999</v>
      </c>
      <c r="H256" s="559">
        <v>17.59608189075</v>
      </c>
      <c r="I256" s="559">
        <v>19.729793687474999</v>
      </c>
      <c r="J256" s="560"/>
      <c r="K256" s="559">
        <v>19.885687229999998</v>
      </c>
      <c r="L256" s="559">
        <v>17.59608189075</v>
      </c>
      <c r="M256" s="559">
        <v>19.290389841794997</v>
      </c>
      <c r="N256" s="540"/>
      <c r="O256" s="559">
        <v>7.5827163685931609</v>
      </c>
      <c r="P256" s="559">
        <v>8.6274082118984214</v>
      </c>
      <c r="Q256" s="559">
        <v>23.35222117036588</v>
      </c>
      <c r="R256" s="559">
        <v>19.7017459395</v>
      </c>
      <c r="S256" s="559">
        <v>19.885687229999998</v>
      </c>
      <c r="T256" s="86"/>
      <c r="U256" s="86"/>
      <c r="V256" s="86"/>
      <c r="W256" s="86"/>
      <c r="X256" s="86"/>
      <c r="Y256" s="86"/>
      <c r="Z256" s="86"/>
      <c r="AA256" s="86"/>
      <c r="AB256" s="86"/>
      <c r="AC256" s="86"/>
      <c r="AD256" s="86"/>
      <c r="AE256" s="86"/>
      <c r="AF256" s="86"/>
      <c r="AG256" s="86"/>
      <c r="AH256" s="86"/>
      <c r="AI256" s="119"/>
      <c r="AJ256" s="86"/>
      <c r="AK256" s="86"/>
      <c r="AL256" s="86"/>
      <c r="AM256" s="86"/>
      <c r="AN256" s="86"/>
      <c r="AO256" s="86"/>
      <c r="AP256" s="86"/>
      <c r="AQ256" s="86"/>
      <c r="AR256" s="86"/>
      <c r="AS256" s="86"/>
      <c r="AT256" s="86"/>
      <c r="AU256" s="86"/>
      <c r="AV256" s="86"/>
    </row>
    <row r="257" spans="1:48">
      <c r="A257" s="86"/>
      <c r="B257" s="118"/>
      <c r="C257" s="545">
        <v>2027</v>
      </c>
      <c r="D257" s="543"/>
      <c r="E257" s="557">
        <v>21.753328155750001</v>
      </c>
      <c r="F257" s="558"/>
      <c r="G257" s="559">
        <v>20.418419686500002</v>
      </c>
      <c r="H257" s="559">
        <v>17.940598377000001</v>
      </c>
      <c r="I257" s="559">
        <v>20.071524703170002</v>
      </c>
      <c r="J257" s="560"/>
      <c r="K257" s="559">
        <v>20.2232710575</v>
      </c>
      <c r="L257" s="559">
        <v>17.940598377000001</v>
      </c>
      <c r="M257" s="559">
        <v>19.62977616057</v>
      </c>
      <c r="N257" s="540"/>
      <c r="O257" s="559">
        <v>7.7053911952187786</v>
      </c>
      <c r="P257" s="559">
        <v>8.7669842892797032</v>
      </c>
      <c r="Q257" s="559">
        <v>23.730018458849877</v>
      </c>
      <c r="R257" s="559">
        <v>19.85467511025</v>
      </c>
      <c r="S257" s="559">
        <v>20.2232710575</v>
      </c>
      <c r="T257" s="86"/>
      <c r="U257" s="86"/>
      <c r="V257" s="86"/>
      <c r="W257" s="86"/>
      <c r="X257" s="86"/>
      <c r="Y257" s="86"/>
      <c r="Z257" s="86"/>
      <c r="AA257" s="86"/>
      <c r="AB257" s="86"/>
      <c r="AC257" s="86"/>
      <c r="AD257" s="86"/>
      <c r="AE257" s="86"/>
      <c r="AF257" s="86"/>
      <c r="AG257" s="86"/>
      <c r="AH257" s="86"/>
      <c r="AI257" s="119"/>
      <c r="AJ257" s="86"/>
      <c r="AK257" s="86"/>
      <c r="AL257" s="86"/>
      <c r="AM257" s="86"/>
      <c r="AN257" s="86"/>
      <c r="AO257" s="86"/>
      <c r="AP257" s="86"/>
      <c r="AQ257" s="86"/>
      <c r="AR257" s="86"/>
      <c r="AS257" s="86"/>
      <c r="AT257" s="86"/>
      <c r="AU257" s="86"/>
      <c r="AV257" s="86"/>
    </row>
    <row r="258" spans="1:48">
      <c r="A258" s="86"/>
      <c r="B258" s="118"/>
      <c r="C258" s="545">
        <v>2028</v>
      </c>
      <c r="D258" s="543"/>
      <c r="E258" s="557">
        <v>21.971345493749997</v>
      </c>
      <c r="F258" s="558"/>
      <c r="G258" s="559">
        <v>20.625465372749996</v>
      </c>
      <c r="H258" s="559">
        <v>18.040239483000001</v>
      </c>
      <c r="I258" s="559">
        <v>20.263533748184997</v>
      </c>
      <c r="J258" s="560"/>
      <c r="K258" s="559">
        <v>20.422293147000001</v>
      </c>
      <c r="L258" s="559">
        <v>18.040239483000001</v>
      </c>
      <c r="M258" s="559">
        <v>19.80295919436</v>
      </c>
      <c r="N258" s="540"/>
      <c r="O258" s="559">
        <v>7.7826165680262109</v>
      </c>
      <c r="P258" s="559">
        <v>8.8548492156648315</v>
      </c>
      <c r="Q258" s="559">
        <v>23.967846685319291</v>
      </c>
      <c r="R258" s="559">
        <v>19.978383853499995</v>
      </c>
      <c r="S258" s="559">
        <v>20.422293147000001</v>
      </c>
      <c r="T258" s="86"/>
      <c r="U258" s="86"/>
      <c r="V258" s="86"/>
      <c r="W258" s="86"/>
      <c r="X258" s="86"/>
      <c r="Y258" s="86"/>
      <c r="Z258" s="86"/>
      <c r="AA258" s="86"/>
      <c r="AB258" s="86"/>
      <c r="AC258" s="86"/>
      <c r="AD258" s="86"/>
      <c r="AE258" s="86"/>
      <c r="AF258" s="86"/>
      <c r="AG258" s="86"/>
      <c r="AH258" s="86"/>
      <c r="AI258" s="119"/>
      <c r="AJ258" s="86"/>
      <c r="AK258" s="86"/>
      <c r="AL258" s="86"/>
      <c r="AM258" s="86"/>
      <c r="AN258" s="86"/>
      <c r="AO258" s="86"/>
      <c r="AP258" s="86"/>
      <c r="AQ258" s="86"/>
      <c r="AR258" s="86"/>
      <c r="AS258" s="86"/>
      <c r="AT258" s="86"/>
      <c r="AU258" s="86"/>
      <c r="AV258" s="86"/>
    </row>
    <row r="259" spans="1:48">
      <c r="A259" s="86"/>
      <c r="B259" s="118"/>
      <c r="C259" s="545">
        <v>2029</v>
      </c>
      <c r="D259" s="543"/>
      <c r="E259" s="557">
        <v>22.250773812749998</v>
      </c>
      <c r="F259" s="558"/>
      <c r="G259" s="559">
        <v>20.896996214999998</v>
      </c>
      <c r="H259" s="559">
        <v>18.447507763499999</v>
      </c>
      <c r="I259" s="559">
        <v>20.554067831789997</v>
      </c>
      <c r="J259" s="560"/>
      <c r="K259" s="559">
        <v>20.688044540249997</v>
      </c>
      <c r="L259" s="559">
        <v>18.447507763499999</v>
      </c>
      <c r="M259" s="559">
        <v>20.105504978294999</v>
      </c>
      <c r="N259" s="540"/>
      <c r="O259" s="559">
        <v>7.8815947332752954</v>
      </c>
      <c r="P259" s="559">
        <v>8.9674638769761081</v>
      </c>
      <c r="Q259" s="559">
        <v>24.272666210879692</v>
      </c>
      <c r="R259" s="559">
        <v>20.115462104999999</v>
      </c>
      <c r="S259" s="559">
        <v>20.688044540249997</v>
      </c>
      <c r="T259" s="86"/>
      <c r="U259" s="86"/>
      <c r="V259" s="86"/>
      <c r="W259" s="86"/>
      <c r="X259" s="86"/>
      <c r="Y259" s="86"/>
      <c r="Z259" s="86"/>
      <c r="AA259" s="86"/>
      <c r="AB259" s="86"/>
      <c r="AC259" s="86"/>
      <c r="AD259" s="86"/>
      <c r="AE259" s="86"/>
      <c r="AF259" s="86"/>
      <c r="AG259" s="86"/>
      <c r="AH259" s="86"/>
      <c r="AI259" s="119"/>
      <c r="AJ259" s="86"/>
      <c r="AK259" s="86"/>
      <c r="AL259" s="86"/>
      <c r="AM259" s="86"/>
      <c r="AN259" s="86"/>
      <c r="AO259" s="86"/>
      <c r="AP259" s="86"/>
      <c r="AQ259" s="86"/>
      <c r="AR259" s="86"/>
      <c r="AS259" s="86"/>
      <c r="AT259" s="86"/>
      <c r="AU259" s="86"/>
      <c r="AV259" s="86"/>
    </row>
    <row r="260" spans="1:48">
      <c r="A260" s="86"/>
      <c r="B260" s="118"/>
      <c r="C260" s="545">
        <v>2030</v>
      </c>
      <c r="D260" s="543"/>
      <c r="E260" s="557">
        <v>22.471136982749996</v>
      </c>
      <c r="F260" s="558"/>
      <c r="G260" s="559">
        <v>21.126984705750001</v>
      </c>
      <c r="H260" s="559">
        <v>18.648324698250001</v>
      </c>
      <c r="I260" s="559">
        <v>20.779972304700003</v>
      </c>
      <c r="J260" s="560"/>
      <c r="K260" s="559">
        <v>20.925075256499998</v>
      </c>
      <c r="L260" s="559">
        <v>18.648324698250001</v>
      </c>
      <c r="M260" s="559">
        <v>20.333120111354997</v>
      </c>
      <c r="N260" s="540"/>
      <c r="O260" s="559">
        <v>7.9596510388535142</v>
      </c>
      <c r="P260" s="559">
        <v>9.0562742160420964</v>
      </c>
      <c r="Q260" s="559">
        <v>24.513053431368913</v>
      </c>
      <c r="R260" s="559">
        <v>20.249254142249999</v>
      </c>
      <c r="S260" s="559">
        <v>20.925075256499998</v>
      </c>
      <c r="T260" s="86"/>
      <c r="U260" s="86"/>
      <c r="V260" s="86"/>
      <c r="W260" s="86"/>
      <c r="X260" s="86"/>
      <c r="Y260" s="86"/>
      <c r="Z260" s="86"/>
      <c r="AA260" s="86"/>
      <c r="AB260" s="86"/>
      <c r="AC260" s="86"/>
      <c r="AD260" s="86"/>
      <c r="AE260" s="86"/>
      <c r="AF260" s="86"/>
      <c r="AG260" s="86"/>
      <c r="AH260" s="86"/>
      <c r="AI260" s="119"/>
      <c r="AJ260" s="86"/>
      <c r="AK260" s="86"/>
      <c r="AL260" s="86"/>
      <c r="AM260" s="86"/>
      <c r="AN260" s="86"/>
      <c r="AO260" s="86"/>
      <c r="AP260" s="86"/>
      <c r="AQ260" s="86"/>
      <c r="AR260" s="86"/>
      <c r="AS260" s="86"/>
      <c r="AT260" s="86"/>
      <c r="AU260" s="86"/>
      <c r="AV260" s="86"/>
    </row>
    <row r="261" spans="1:48">
      <c r="A261" s="86"/>
      <c r="B261" s="118"/>
      <c r="C261" s="545">
        <v>2031</v>
      </c>
      <c r="D261" s="543"/>
      <c r="E261" s="557">
        <v>22.764634611255445</v>
      </c>
      <c r="F261" s="558"/>
      <c r="G261" s="559">
        <v>21.416365362461153</v>
      </c>
      <c r="H261" s="559">
        <v>18.918028420858853</v>
      </c>
      <c r="I261" s="559">
        <v>21.066598190636828</v>
      </c>
      <c r="J261" s="560"/>
      <c r="K261" s="559">
        <v>21.210639685587648</v>
      </c>
      <c r="L261" s="559">
        <v>18.918028420858853</v>
      </c>
      <c r="M261" s="559">
        <v>20.614560756758159</v>
      </c>
      <c r="N261" s="540"/>
      <c r="O261" s="559">
        <v>8.0636127878930832</v>
      </c>
      <c r="P261" s="559">
        <v>9.1745590632905394</v>
      </c>
      <c r="Q261" s="559">
        <v>24.833220722194341</v>
      </c>
      <c r="R261" s="559">
        <v>20.38753243939934</v>
      </c>
      <c r="S261" s="559">
        <v>21.210639685587648</v>
      </c>
      <c r="T261" s="86"/>
      <c r="U261" s="86"/>
      <c r="V261" s="86"/>
      <c r="W261" s="86"/>
      <c r="X261" s="86"/>
      <c r="Y261" s="86"/>
      <c r="Z261" s="86"/>
      <c r="AA261" s="86"/>
      <c r="AB261" s="86"/>
      <c r="AC261" s="86"/>
      <c r="AD261" s="86"/>
      <c r="AE261" s="86"/>
      <c r="AF261" s="86"/>
      <c r="AG261" s="86"/>
      <c r="AH261" s="86"/>
      <c r="AI261" s="119"/>
      <c r="AJ261" s="86"/>
      <c r="AK261" s="86"/>
      <c r="AL261" s="86"/>
      <c r="AM261" s="86"/>
      <c r="AN261" s="86"/>
      <c r="AO261" s="86"/>
      <c r="AP261" s="86"/>
      <c r="AQ261" s="86"/>
      <c r="AR261" s="86"/>
      <c r="AS261" s="86"/>
      <c r="AT261" s="86"/>
      <c r="AU261" s="86"/>
      <c r="AV261" s="86"/>
    </row>
    <row r="262" spans="1:48">
      <c r="A262" s="86"/>
      <c r="B262" s="118"/>
      <c r="C262" s="545">
        <v>2032</v>
      </c>
      <c r="D262" s="543"/>
      <c r="E262" s="557">
        <v>23.061965639824471</v>
      </c>
      <c r="F262" s="558"/>
      <c r="G262" s="559">
        <v>21.709709725571724</v>
      </c>
      <c r="H262" s="559">
        <v>19.191632767205554</v>
      </c>
      <c r="I262" s="559">
        <v>21.357178951400456</v>
      </c>
      <c r="J262" s="560"/>
      <c r="K262" s="559">
        <v>21.500101211443674</v>
      </c>
      <c r="L262" s="559">
        <v>19.191632767205554</v>
      </c>
      <c r="M262" s="559">
        <v>20.899899415941761</v>
      </c>
      <c r="N262" s="540"/>
      <c r="O262" s="559">
        <v>8.1689323910911593</v>
      </c>
      <c r="P262" s="559">
        <v>9.2943888400270716</v>
      </c>
      <c r="Q262" s="559">
        <v>25.157569748045212</v>
      </c>
      <c r="R262" s="559">
        <v>20.526755012684891</v>
      </c>
      <c r="S262" s="559">
        <v>21.500101211443674</v>
      </c>
      <c r="T262" s="86"/>
      <c r="U262" s="86"/>
      <c r="V262" s="86"/>
      <c r="W262" s="86"/>
      <c r="X262" s="86"/>
      <c r="Y262" s="86"/>
      <c r="Z262" s="86"/>
      <c r="AA262" s="86"/>
      <c r="AB262" s="86"/>
      <c r="AC262" s="86"/>
      <c r="AD262" s="86"/>
      <c r="AE262" s="86"/>
      <c r="AF262" s="86"/>
      <c r="AG262" s="86"/>
      <c r="AH262" s="86"/>
      <c r="AI262" s="119"/>
      <c r="AJ262" s="86"/>
      <c r="AK262" s="86"/>
      <c r="AL262" s="86"/>
      <c r="AM262" s="86"/>
      <c r="AN262" s="86"/>
      <c r="AO262" s="86"/>
      <c r="AP262" s="86"/>
      <c r="AQ262" s="86"/>
      <c r="AR262" s="86"/>
      <c r="AS262" s="86"/>
      <c r="AT262" s="86"/>
      <c r="AU262" s="86"/>
      <c r="AV262" s="86"/>
    </row>
    <row r="263" spans="1:48">
      <c r="A263" s="86"/>
      <c r="B263" s="118"/>
      <c r="C263" s="545">
        <v>2033</v>
      </c>
      <c r="D263" s="543"/>
      <c r="E263" s="557">
        <v>23.363180136854979</v>
      </c>
      <c r="F263" s="558"/>
      <c r="G263" s="559">
        <v>22.007072086783857</v>
      </c>
      <c r="H263" s="559">
        <v>19.469194150547573</v>
      </c>
      <c r="I263" s="559">
        <v>21.651769175710779</v>
      </c>
      <c r="J263" s="560"/>
      <c r="K263" s="559">
        <v>21.793513017734092</v>
      </c>
      <c r="L263" s="559">
        <v>19.469194150547573</v>
      </c>
      <c r="M263" s="559">
        <v>21.189190112265599</v>
      </c>
      <c r="N263" s="540"/>
      <c r="O263" s="559">
        <v>8.2756275835083066</v>
      </c>
      <c r="P263" s="559">
        <v>9.4157837247206917</v>
      </c>
      <c r="Q263" s="559">
        <v>25.486155126955047</v>
      </c>
      <c r="R263" s="559">
        <v>20.666928310388407</v>
      </c>
      <c r="S263" s="559">
        <v>21.793513017734092</v>
      </c>
      <c r="T263" s="86"/>
      <c r="U263" s="86"/>
      <c r="V263" s="86"/>
      <c r="W263" s="86"/>
      <c r="X263" s="86"/>
      <c r="Y263" s="86"/>
      <c r="Z263" s="86"/>
      <c r="AA263" s="86"/>
      <c r="AB263" s="86"/>
      <c r="AC263" s="86"/>
      <c r="AD263" s="86"/>
      <c r="AE263" s="86"/>
      <c r="AF263" s="86"/>
      <c r="AG263" s="86"/>
      <c r="AH263" s="86"/>
      <c r="AI263" s="119"/>
      <c r="AJ263" s="86"/>
      <c r="AK263" s="86"/>
      <c r="AL263" s="86"/>
      <c r="AM263" s="86"/>
      <c r="AN263" s="86"/>
      <c r="AO263" s="86"/>
      <c r="AP263" s="86"/>
      <c r="AQ263" s="86"/>
      <c r="AR263" s="86"/>
      <c r="AS263" s="86"/>
      <c r="AT263" s="86"/>
      <c r="AU263" s="86"/>
      <c r="AV263" s="86"/>
    </row>
    <row r="264" spans="1:48">
      <c r="A264" s="86"/>
      <c r="B264" s="118"/>
      <c r="C264" s="545">
        <v>2034</v>
      </c>
      <c r="D264" s="543"/>
      <c r="E264" s="557">
        <v>23.66832882469291</v>
      </c>
      <c r="F264" s="558"/>
      <c r="G264" s="559">
        <v>22.308507481444313</v>
      </c>
      <c r="H264" s="559">
        <v>19.750769800026152</v>
      </c>
      <c r="I264" s="559">
        <v>21.950424206045767</v>
      </c>
      <c r="J264" s="560"/>
      <c r="K264" s="559">
        <v>22.090929013922221</v>
      </c>
      <c r="L264" s="559">
        <v>19.750769800026152</v>
      </c>
      <c r="M264" s="559">
        <v>21.482487618309243</v>
      </c>
      <c r="N264" s="540"/>
      <c r="O264" s="559">
        <v>8.3837163318443828</v>
      </c>
      <c r="P264" s="559">
        <v>9.5387641593932742</v>
      </c>
      <c r="Q264" s="559">
        <v>25.819032190328628</v>
      </c>
      <c r="R264" s="559">
        <v>20.808058824825739</v>
      </c>
      <c r="S264" s="559">
        <v>22.090929013922221</v>
      </c>
      <c r="T264" s="86"/>
      <c r="U264" s="86"/>
      <c r="V264" s="86"/>
      <c r="W264" s="86"/>
      <c r="X264" s="86"/>
      <c r="Y264" s="86"/>
      <c r="Z264" s="86"/>
      <c r="AA264" s="86"/>
      <c r="AB264" s="86"/>
      <c r="AC264" s="86"/>
      <c r="AD264" s="86"/>
      <c r="AE264" s="86"/>
      <c r="AF264" s="86"/>
      <c r="AG264" s="86"/>
      <c r="AH264" s="86"/>
      <c r="AI264" s="119"/>
      <c r="AJ264" s="86"/>
      <c r="AK264" s="86"/>
      <c r="AL264" s="86"/>
      <c r="AM264" s="86"/>
      <c r="AN264" s="86"/>
      <c r="AO264" s="86"/>
      <c r="AP264" s="86"/>
      <c r="AQ264" s="86"/>
      <c r="AR264" s="86"/>
      <c r="AS264" s="86"/>
      <c r="AT264" s="86"/>
      <c r="AU264" s="86"/>
      <c r="AV264" s="86"/>
    </row>
    <row r="265" spans="1:48">
      <c r="A265" s="86"/>
      <c r="B265" s="118"/>
      <c r="C265" s="545">
        <v>2035</v>
      </c>
      <c r="D265" s="543"/>
      <c r="E265" s="557">
        <v>23.977463088173529</v>
      </c>
      <c r="F265" s="558"/>
      <c r="G265" s="559">
        <v>22.614071698730321</v>
      </c>
      <c r="H265" s="559">
        <v>20.036417772466134</v>
      </c>
      <c r="I265" s="559">
        <v>22.253200149053335</v>
      </c>
      <c r="J265" s="560"/>
      <c r="K265" s="559">
        <v>22.392403845173636</v>
      </c>
      <c r="L265" s="559">
        <v>20.036417772466134</v>
      </c>
      <c r="M265" s="559">
        <v>21.779847466269686</v>
      </c>
      <c r="N265" s="540"/>
      <c r="O265" s="559">
        <v>8.4932168374639971</v>
      </c>
      <c r="P265" s="559">
        <v>9.6633508530618606</v>
      </c>
      <c r="Q265" s="559">
        <v>26.156256992259408</v>
      </c>
      <c r="R265" s="559">
        <v>20.950153092647522</v>
      </c>
      <c r="S265" s="559">
        <v>22.392403845173636</v>
      </c>
      <c r="T265" s="86"/>
      <c r="U265" s="86"/>
      <c r="V265" s="86"/>
      <c r="W265" s="86"/>
      <c r="X265" s="86"/>
      <c r="Y265" s="86"/>
      <c r="Z265" s="86"/>
      <c r="AA265" s="86"/>
      <c r="AB265" s="86"/>
      <c r="AC265" s="86"/>
      <c r="AD265" s="86"/>
      <c r="AE265" s="86"/>
      <c r="AF265" s="86"/>
      <c r="AG265" s="86"/>
      <c r="AH265" s="86"/>
      <c r="AI265" s="119"/>
      <c r="AJ265" s="86"/>
      <c r="AK265" s="86"/>
      <c r="AL265" s="86"/>
      <c r="AM265" s="86"/>
      <c r="AN265" s="86"/>
      <c r="AO265" s="86"/>
      <c r="AP265" s="86"/>
      <c r="AQ265" s="86"/>
      <c r="AR265" s="86"/>
      <c r="AS265" s="86"/>
      <c r="AT265" s="86"/>
      <c r="AU265" s="86"/>
      <c r="AV265" s="86"/>
    </row>
    <row r="266" spans="1:48">
      <c r="A266" s="86"/>
      <c r="B266" s="118"/>
      <c r="C266" s="545">
        <v>2036</v>
      </c>
      <c r="D266" s="543"/>
      <c r="E266" s="557">
        <v>24.290634983274259</v>
      </c>
      <c r="F266" s="558"/>
      <c r="G266" s="559">
        <v>22.923821291974953</v>
      </c>
      <c r="H266" s="559">
        <v>20.326196964346433</v>
      </c>
      <c r="I266" s="559">
        <v>22.56015388610696</v>
      </c>
      <c r="J266" s="560"/>
      <c r="K266" s="559">
        <v>22.697992902396301</v>
      </c>
      <c r="L266" s="559">
        <v>20.326196964346433</v>
      </c>
      <c r="M266" s="559">
        <v>22.081325958503335</v>
      </c>
      <c r="N266" s="540"/>
      <c r="O266" s="559">
        <v>8.6041475394614881</v>
      </c>
      <c r="P266" s="559">
        <v>9.789564785225906</v>
      </c>
      <c r="Q266" s="559">
        <v>26.497886318968614</v>
      </c>
      <c r="R266" s="559">
        <v>21.093217695141934</v>
      </c>
      <c r="S266" s="559">
        <v>22.697992902396301</v>
      </c>
      <c r="T266" s="86"/>
      <c r="U266" s="86"/>
      <c r="V266" s="86"/>
      <c r="W266" s="86"/>
      <c r="X266" s="86"/>
      <c r="Y266" s="86"/>
      <c r="Z266" s="86"/>
      <c r="AA266" s="86"/>
      <c r="AB266" s="86"/>
      <c r="AC266" s="86"/>
      <c r="AD266" s="86"/>
      <c r="AE266" s="86"/>
      <c r="AF266" s="86"/>
      <c r="AG266" s="86"/>
      <c r="AH266" s="86"/>
      <c r="AI266" s="119"/>
      <c r="AJ266" s="86"/>
      <c r="AK266" s="86"/>
      <c r="AL266" s="86"/>
      <c r="AM266" s="86"/>
      <c r="AN266" s="86"/>
      <c r="AO266" s="86"/>
      <c r="AP266" s="86"/>
      <c r="AQ266" s="86"/>
      <c r="AR266" s="86"/>
      <c r="AS266" s="86"/>
      <c r="AT266" s="86"/>
      <c r="AU266" s="86"/>
      <c r="AV266" s="86"/>
    </row>
    <row r="267" spans="1:48">
      <c r="A267" s="86"/>
      <c r="B267" s="118"/>
      <c r="C267" s="545">
        <v>2037</v>
      </c>
      <c r="D267" s="543"/>
      <c r="E267" s="557">
        <v>24.607897245880519</v>
      </c>
      <c r="F267" s="558"/>
      <c r="G267" s="559">
        <v>23.237813589133921</v>
      </c>
      <c r="H267" s="559">
        <v>20.620167123943634</v>
      </c>
      <c r="I267" s="559">
        <v>22.871343084007282</v>
      </c>
      <c r="J267" s="560"/>
      <c r="K267" s="559">
        <v>23.007752332417702</v>
      </c>
      <c r="L267" s="559">
        <v>20.620167123943634</v>
      </c>
      <c r="M267" s="559">
        <v>22.386980178214444</v>
      </c>
      <c r="N267" s="540"/>
      <c r="O267" s="559">
        <v>8.7165271177659367</v>
      </c>
      <c r="P267" s="559">
        <v>9.9174272094000759</v>
      </c>
      <c r="Q267" s="559">
        <v>26.843977698367635</v>
      </c>
      <c r="R267" s="559">
        <v>21.237259258539513</v>
      </c>
      <c r="S267" s="559">
        <v>23.007752332417702</v>
      </c>
      <c r="T267" s="86"/>
      <c r="U267" s="86"/>
      <c r="V267" s="86"/>
      <c r="W267" s="86"/>
      <c r="X267" s="86"/>
      <c r="Y267" s="86"/>
      <c r="Z267" s="86"/>
      <c r="AA267" s="86"/>
      <c r="AB267" s="86"/>
      <c r="AC267" s="86"/>
      <c r="AD267" s="86"/>
      <c r="AE267" s="86"/>
      <c r="AF267" s="86"/>
      <c r="AG267" s="86"/>
      <c r="AH267" s="86"/>
      <c r="AI267" s="119"/>
      <c r="AJ267" s="86"/>
      <c r="AK267" s="86"/>
      <c r="AL267" s="86"/>
      <c r="AM267" s="86"/>
      <c r="AN267" s="86"/>
      <c r="AO267" s="86"/>
      <c r="AP267" s="86"/>
      <c r="AQ267" s="86"/>
      <c r="AR267" s="86"/>
      <c r="AS267" s="86"/>
      <c r="AT267" s="86"/>
      <c r="AU267" s="86"/>
      <c r="AV267" s="86"/>
    </row>
    <row r="268" spans="1:48">
      <c r="A268" s="86"/>
      <c r="B268" s="118"/>
      <c r="C268" s="545">
        <v>2038</v>
      </c>
      <c r="D268" s="543"/>
      <c r="E268" s="557">
        <v>24.929303300666085</v>
      </c>
      <c r="F268" s="558"/>
      <c r="G268" s="559">
        <v>23.556106703395738</v>
      </c>
      <c r="H268" s="559">
        <v>20.918388863651231</v>
      </c>
      <c r="I268" s="559">
        <v>23.186826205831508</v>
      </c>
      <c r="J268" s="560"/>
      <c r="K268" s="559">
        <v>23.321739048300888</v>
      </c>
      <c r="L268" s="559">
        <v>20.918388863651231</v>
      </c>
      <c r="M268" s="559">
        <v>22.696868000291978</v>
      </c>
      <c r="N268" s="540"/>
      <c r="O268" s="559">
        <v>8.8303744962867299</v>
      </c>
      <c r="P268" s="559">
        <v>10.046959656693186</v>
      </c>
      <c r="Q268" s="559">
        <v>27.194589409745305</v>
      </c>
      <c r="R268" s="559">
        <v>21.382284454320065</v>
      </c>
      <c r="S268" s="559">
        <v>23.321739048300888</v>
      </c>
      <c r="T268" s="86"/>
      <c r="U268" s="86"/>
      <c r="V268" s="86"/>
      <c r="W268" s="86"/>
      <c r="X268" s="86"/>
      <c r="Y268" s="86"/>
      <c r="Z268" s="86"/>
      <c r="AA268" s="86"/>
      <c r="AB268" s="86"/>
      <c r="AC268" s="86"/>
      <c r="AD268" s="86"/>
      <c r="AE268" s="86"/>
      <c r="AF268" s="86"/>
      <c r="AG268" s="86"/>
      <c r="AH268" s="86"/>
      <c r="AI268" s="119"/>
      <c r="AJ268" s="86"/>
      <c r="AK268" s="86"/>
      <c r="AL268" s="86"/>
      <c r="AM268" s="86"/>
      <c r="AN268" s="86"/>
      <c r="AO268" s="86"/>
      <c r="AP268" s="86"/>
      <c r="AQ268" s="86"/>
      <c r="AR268" s="86"/>
      <c r="AS268" s="86"/>
      <c r="AT268" s="86"/>
      <c r="AU268" s="86"/>
      <c r="AV268" s="86"/>
    </row>
    <row r="269" spans="1:48">
      <c r="A269" s="86"/>
      <c r="B269" s="118"/>
      <c r="C269" s="545">
        <v>2039</v>
      </c>
      <c r="D269" s="543"/>
      <c r="E269" s="557">
        <v>25.254907270089404</v>
      </c>
      <c r="F269" s="558"/>
      <c r="G269" s="559">
        <v>23.878759543937218</v>
      </c>
      <c r="H269" s="559">
        <v>21.220923672477021</v>
      </c>
      <c r="I269" s="559">
        <v>23.506662521932789</v>
      </c>
      <c r="J269" s="560"/>
      <c r="K269" s="559">
        <v>23.640010739801276</v>
      </c>
      <c r="L269" s="559">
        <v>21.220923672477021</v>
      </c>
      <c r="M269" s="559">
        <v>23.011048102296968</v>
      </c>
      <c r="N269" s="540"/>
      <c r="O269" s="559">
        <v>8.9457088461002119</v>
      </c>
      <c r="P269" s="559">
        <v>10.178183939433886</v>
      </c>
      <c r="Q269" s="559">
        <v>27.549780493581725</v>
      </c>
      <c r="R269" s="559">
        <v>21.528299999521657</v>
      </c>
      <c r="S269" s="559">
        <v>23.640010739801276</v>
      </c>
      <c r="T269" s="86"/>
      <c r="U269" s="86"/>
      <c r="V269" s="86"/>
      <c r="W269" s="86"/>
      <c r="X269" s="86"/>
      <c r="Y269" s="86"/>
      <c r="Z269" s="86"/>
      <c r="AA269" s="86"/>
      <c r="AB269" s="86"/>
      <c r="AC269" s="86"/>
      <c r="AD269" s="86"/>
      <c r="AE269" s="86"/>
      <c r="AF269" s="86"/>
      <c r="AG269" s="86"/>
      <c r="AH269" s="86"/>
      <c r="AI269" s="119"/>
      <c r="AJ269" s="86"/>
      <c r="AK269" s="86"/>
      <c r="AL269" s="86"/>
      <c r="AM269" s="86"/>
      <c r="AN269" s="86"/>
      <c r="AO269" s="86"/>
      <c r="AP269" s="86"/>
      <c r="AQ269" s="86"/>
      <c r="AR269" s="86"/>
      <c r="AS269" s="86"/>
      <c r="AT269" s="86"/>
      <c r="AU269" s="86"/>
      <c r="AV269" s="86"/>
    </row>
    <row r="270" spans="1:48">
      <c r="A270" s="86"/>
      <c r="B270" s="118"/>
      <c r="C270" s="545">
        <v>2040</v>
      </c>
      <c r="D270" s="543"/>
      <c r="E270" s="557">
        <v>25.584763983507436</v>
      </c>
      <c r="F270" s="558"/>
      <c r="G270" s="559">
        <v>24.205831826826294</v>
      </c>
      <c r="H270" s="559">
        <v>21.527833928721243</v>
      </c>
      <c r="I270" s="559">
        <v>23.830912121091586</v>
      </c>
      <c r="J270" s="560"/>
      <c r="K270" s="559">
        <v>23.962625883966183</v>
      </c>
      <c r="L270" s="559">
        <v>21.527833928721243</v>
      </c>
      <c r="M270" s="559">
        <v>23.329579975602496</v>
      </c>
      <c r="N270" s="540"/>
      <c r="O270" s="559">
        <v>9.0625495886779515</v>
      </c>
      <c r="P270" s="559">
        <v>10.311122154843693</v>
      </c>
      <c r="Q270" s="559">
        <v>27.909610761490242</v>
      </c>
      <c r="R270" s="559">
        <v>21.67531265705173</v>
      </c>
      <c r="S270" s="559">
        <v>23.962625883966183</v>
      </c>
      <c r="T270" s="86"/>
      <c r="U270" s="86"/>
      <c r="V270" s="86"/>
      <c r="W270" s="86"/>
      <c r="X270" s="86"/>
      <c r="Y270" s="86"/>
      <c r="Z270" s="86"/>
      <c r="AA270" s="86"/>
      <c r="AB270" s="86"/>
      <c r="AC270" s="86"/>
      <c r="AD270" s="86"/>
      <c r="AE270" s="86"/>
      <c r="AF270" s="86"/>
      <c r="AG270" s="86"/>
      <c r="AH270" s="86"/>
      <c r="AI270" s="119"/>
      <c r="AJ270" s="86"/>
      <c r="AK270" s="86"/>
      <c r="AL270" s="86"/>
      <c r="AM270" s="86"/>
      <c r="AN270" s="86"/>
      <c r="AO270" s="86"/>
      <c r="AP270" s="86"/>
      <c r="AQ270" s="86"/>
      <c r="AR270" s="86"/>
      <c r="AS270" s="86"/>
      <c r="AT270" s="86"/>
      <c r="AU270" s="86"/>
      <c r="AV270" s="86"/>
    </row>
    <row r="271" spans="1:48">
      <c r="A271" s="86"/>
      <c r="B271" s="118"/>
      <c r="C271" s="545">
        <v>2041</v>
      </c>
      <c r="D271" s="543"/>
      <c r="E271" s="557">
        <v>25.91892898640851</v>
      </c>
      <c r="F271" s="558"/>
      <c r="G271" s="559">
        <v>24.537384086074169</v>
      </c>
      <c r="H271" s="559">
        <v>21.839182912838091</v>
      </c>
      <c r="I271" s="559">
        <v>24.159635921821117</v>
      </c>
      <c r="J271" s="560"/>
      <c r="K271" s="559">
        <v>24.289643755878981</v>
      </c>
      <c r="L271" s="559">
        <v>21.839182912838091</v>
      </c>
      <c r="M271" s="559">
        <v>23.65252393668835</v>
      </c>
      <c r="N271" s="540"/>
      <c r="O271" s="559">
        <v>9.1809163991571836</v>
      </c>
      <c r="P271" s="559">
        <v>10.44579668875801</v>
      </c>
      <c r="Q271" s="559">
        <v>28.274140806289296</v>
      </c>
      <c r="R271" s="559">
        <v>21.823329236000333</v>
      </c>
      <c r="S271" s="559">
        <v>24.289643755878981</v>
      </c>
      <c r="T271" s="86"/>
      <c r="U271" s="86"/>
      <c r="V271" s="86"/>
      <c r="W271" s="86"/>
      <c r="X271" s="86"/>
      <c r="Y271" s="86"/>
      <c r="Z271" s="86"/>
      <c r="AA271" s="86"/>
      <c r="AB271" s="86"/>
      <c r="AC271" s="86"/>
      <c r="AD271" s="86"/>
      <c r="AE271" s="86"/>
      <c r="AF271" s="86"/>
      <c r="AG271" s="86"/>
      <c r="AH271" s="86"/>
      <c r="AI271" s="119"/>
      <c r="AJ271" s="86"/>
      <c r="AK271" s="86"/>
      <c r="AL271" s="86"/>
      <c r="AM271" s="86"/>
      <c r="AN271" s="86"/>
      <c r="AO271" s="86"/>
      <c r="AP271" s="86"/>
      <c r="AQ271" s="86"/>
      <c r="AR271" s="86"/>
      <c r="AS271" s="86"/>
      <c r="AT271" s="86"/>
      <c r="AU271" s="86"/>
      <c r="AV271" s="86"/>
    </row>
    <row r="272" spans="1:48">
      <c r="A272" s="86"/>
      <c r="B272" s="118"/>
      <c r="C272" s="545">
        <v>2042</v>
      </c>
      <c r="D272" s="543"/>
      <c r="E272" s="557">
        <v>26.257458549765794</v>
      </c>
      <c r="F272" s="558"/>
      <c r="G272" s="559">
        <v>24.87347768483885</v>
      </c>
      <c r="H272" s="559">
        <v>22.155034820483223</v>
      </c>
      <c r="I272" s="559">
        <v>24.492895683829062</v>
      </c>
      <c r="J272" s="560"/>
      <c r="K272" s="559">
        <v>24.621124439549895</v>
      </c>
      <c r="L272" s="559">
        <v>22.155034820483223</v>
      </c>
      <c r="M272" s="559">
        <v>23.979941138592562</v>
      </c>
      <c r="N272" s="540"/>
      <c r="O272" s="559">
        <v>9.3008292096539513</v>
      </c>
      <c r="P272" s="559">
        <v>10.582230219395736</v>
      </c>
      <c r="Q272" s="559">
        <v>28.643432012205817</v>
      </c>
      <c r="R272" s="559">
        <v>21.972356591955492</v>
      </c>
      <c r="S272" s="559">
        <v>24.621124439549895</v>
      </c>
      <c r="T272" s="86"/>
      <c r="U272" s="86"/>
      <c r="V272" s="86"/>
      <c r="W272" s="86"/>
      <c r="X272" s="86"/>
      <c r="Y272" s="86"/>
      <c r="Z272" s="86"/>
      <c r="AA272" s="86"/>
      <c r="AB272" s="86"/>
      <c r="AC272" s="86"/>
      <c r="AD272" s="86"/>
      <c r="AE272" s="86"/>
      <c r="AF272" s="86"/>
      <c r="AG272" s="86"/>
      <c r="AH272" s="86"/>
      <c r="AI272" s="119"/>
      <c r="AJ272" s="86"/>
      <c r="AK272" s="86"/>
      <c r="AL272" s="86"/>
      <c r="AM272" s="86"/>
      <c r="AN272" s="86"/>
      <c r="AO272" s="86"/>
      <c r="AP272" s="86"/>
      <c r="AQ272" s="86"/>
      <c r="AR272" s="86"/>
      <c r="AS272" s="86"/>
      <c r="AT272" s="86"/>
      <c r="AU272" s="86"/>
      <c r="AV272" s="86"/>
    </row>
    <row r="273" spans="1:48">
      <c r="A273" s="86"/>
      <c r="B273" s="118"/>
      <c r="C273" s="545">
        <v>2043</v>
      </c>
      <c r="D273" s="543"/>
      <c r="E273" s="557">
        <v>26.600409679512914</v>
      </c>
      <c r="F273" s="558"/>
      <c r="G273" s="559">
        <v>25.214174826782152</v>
      </c>
      <c r="H273" s="559">
        <v>22.475454775749974</v>
      </c>
      <c r="I273" s="559">
        <v>24.830754019637649</v>
      </c>
      <c r="J273" s="560"/>
      <c r="K273" s="559">
        <v>24.957128838955438</v>
      </c>
      <c r="L273" s="559">
        <v>22.475454775749974</v>
      </c>
      <c r="M273" s="559">
        <v>24.311893582522018</v>
      </c>
      <c r="N273" s="540"/>
      <c r="O273" s="559">
        <v>9.4223082126195408</v>
      </c>
      <c r="P273" s="559">
        <v>10.720445721178114</v>
      </c>
      <c r="Q273" s="559">
        <v>29.017546565211877</v>
      </c>
      <c r="R273" s="559">
        <v>22.122401627320738</v>
      </c>
      <c r="S273" s="559">
        <v>24.957128838955438</v>
      </c>
      <c r="T273" s="86"/>
      <c r="U273" s="86"/>
      <c r="V273" s="86"/>
      <c r="W273" s="86"/>
      <c r="X273" s="86"/>
      <c r="Y273" s="86"/>
      <c r="Z273" s="86"/>
      <c r="AA273" s="86"/>
      <c r="AB273" s="86"/>
      <c r="AC273" s="86"/>
      <c r="AD273" s="86"/>
      <c r="AE273" s="86"/>
      <c r="AF273" s="86"/>
      <c r="AG273" s="86"/>
      <c r="AH273" s="86"/>
      <c r="AI273" s="119"/>
      <c r="AJ273" s="86"/>
      <c r="AK273" s="86"/>
      <c r="AL273" s="86"/>
      <c r="AM273" s="86"/>
      <c r="AN273" s="86"/>
      <c r="AO273" s="86"/>
      <c r="AP273" s="86"/>
      <c r="AQ273" s="86"/>
      <c r="AR273" s="86"/>
      <c r="AS273" s="86"/>
      <c r="AT273" s="86"/>
      <c r="AU273" s="86"/>
      <c r="AV273" s="86"/>
    </row>
    <row r="274" spans="1:48">
      <c r="A274" s="86"/>
      <c r="B274" s="118"/>
      <c r="C274" s="545">
        <v>2044</v>
      </c>
      <c r="D274" s="543"/>
      <c r="E274" s="557">
        <v>26.947840126143348</v>
      </c>
      <c r="F274" s="558"/>
      <c r="G274" s="559">
        <v>25.559538567582237</v>
      </c>
      <c r="H274" s="559">
        <v>22.800508844597001</v>
      </c>
      <c r="I274" s="559">
        <v>25.173274406364307</v>
      </c>
      <c r="J274" s="560"/>
      <c r="K274" s="559">
        <v>25.297718689228468</v>
      </c>
      <c r="L274" s="559">
        <v>22.800508844597001</v>
      </c>
      <c r="M274" s="559">
        <v>24.648444129624284</v>
      </c>
      <c r="N274" s="540"/>
      <c r="O274" s="559">
        <v>9.5453738642407355</v>
      </c>
      <c r="P274" s="559">
        <v>10.86046646859746</v>
      </c>
      <c r="Q274" s="559">
        <v>29.396547463496368</v>
      </c>
      <c r="R274" s="559">
        <v>22.273471291634795</v>
      </c>
      <c r="S274" s="559">
        <v>25.297718689228468</v>
      </c>
      <c r="T274" s="86"/>
      <c r="U274" s="86"/>
      <c r="V274" s="86"/>
      <c r="W274" s="86"/>
      <c r="X274" s="86"/>
      <c r="Y274" s="86"/>
      <c r="Z274" s="86"/>
      <c r="AA274" s="86"/>
      <c r="AB274" s="86"/>
      <c r="AC274" s="86"/>
      <c r="AD274" s="86"/>
      <c r="AE274" s="86"/>
      <c r="AF274" s="86"/>
      <c r="AG274" s="86"/>
      <c r="AH274" s="86"/>
      <c r="AI274" s="119"/>
      <c r="AJ274" s="86"/>
      <c r="AK274" s="86"/>
      <c r="AL274" s="86"/>
      <c r="AM274" s="86"/>
      <c r="AN274" s="86"/>
      <c r="AO274" s="86"/>
      <c r="AP274" s="86"/>
      <c r="AQ274" s="86"/>
      <c r="AR274" s="86"/>
      <c r="AS274" s="86"/>
      <c r="AT274" s="86"/>
      <c r="AU274" s="86"/>
      <c r="AV274" s="86"/>
    </row>
    <row r="275" spans="1:48">
      <c r="A275" s="86"/>
      <c r="B275" s="118"/>
      <c r="C275" s="545">
        <v>2045</v>
      </c>
      <c r="D275" s="543"/>
      <c r="E275" s="557">
        <v>27.299808394435178</v>
      </c>
      <c r="F275" s="558"/>
      <c r="G275" s="559">
        <v>25.909632826603872</v>
      </c>
      <c r="H275" s="559">
        <v>23.130264048470139</v>
      </c>
      <c r="I275" s="559">
        <v>25.52052119766515</v>
      </c>
      <c r="J275" s="560"/>
      <c r="K275" s="559">
        <v>25.642956568000994</v>
      </c>
      <c r="L275" s="559">
        <v>23.130264048470139</v>
      </c>
      <c r="M275" s="559">
        <v>24.98965651292297</v>
      </c>
      <c r="N275" s="540"/>
      <c r="O275" s="559">
        <v>9.6700468878844958</v>
      </c>
      <c r="P275" s="559">
        <v>11.002316040136417</v>
      </c>
      <c r="Q275" s="559">
        <v>29.780498528073441</v>
      </c>
      <c r="R275" s="559">
        <v>22.425572581893469</v>
      </c>
      <c r="S275" s="559">
        <v>25.642956568000994</v>
      </c>
      <c r="T275" s="86"/>
      <c r="U275" s="86"/>
      <c r="V275" s="86"/>
      <c r="W275" s="86"/>
      <c r="X275" s="86"/>
      <c r="Y275" s="86"/>
      <c r="Z275" s="86"/>
      <c r="AA275" s="86"/>
      <c r="AB275" s="86"/>
      <c r="AC275" s="86"/>
      <c r="AD275" s="86"/>
      <c r="AE275" s="86"/>
      <c r="AF275" s="86"/>
      <c r="AG275" s="86"/>
      <c r="AH275" s="86"/>
      <c r="AI275" s="119"/>
      <c r="AJ275" s="86"/>
      <c r="AK275" s="86"/>
      <c r="AL275" s="86"/>
      <c r="AM275" s="86"/>
      <c r="AN275" s="86"/>
      <c r="AO275" s="86"/>
      <c r="AP275" s="86"/>
      <c r="AQ275" s="86"/>
      <c r="AR275" s="86"/>
      <c r="AS275" s="86"/>
      <c r="AT275" s="86"/>
      <c r="AU275" s="86"/>
      <c r="AV275" s="86"/>
    </row>
    <row r="276" spans="1:48">
      <c r="A276" s="86"/>
      <c r="B276" s="118"/>
      <c r="C276" s="537"/>
      <c r="D276" s="540"/>
      <c r="E276" s="540"/>
      <c r="F276" s="540"/>
      <c r="G276" s="540"/>
      <c r="H276" s="540"/>
      <c r="I276" s="540"/>
      <c r="J276" s="540"/>
      <c r="K276" s="540"/>
      <c r="L276" s="540"/>
      <c r="M276" s="540"/>
      <c r="N276" s="540"/>
      <c r="O276" s="540"/>
      <c r="P276" s="540"/>
      <c r="Q276" s="540"/>
      <c r="R276" s="540"/>
      <c r="S276" s="561"/>
      <c r="T276" s="86"/>
      <c r="U276" s="86"/>
      <c r="V276" s="86"/>
      <c r="W276" s="86"/>
      <c r="X276" s="86"/>
      <c r="Y276" s="86"/>
      <c r="Z276" s="86"/>
      <c r="AA276" s="86"/>
      <c r="AB276" s="86"/>
      <c r="AC276" s="86"/>
      <c r="AD276" s="86"/>
      <c r="AE276" s="86"/>
      <c r="AF276" s="86"/>
      <c r="AG276" s="86"/>
      <c r="AH276" s="86"/>
      <c r="AI276" s="119"/>
      <c r="AJ276" s="86"/>
      <c r="AK276" s="86"/>
      <c r="AL276" s="86"/>
      <c r="AM276" s="86"/>
      <c r="AN276" s="86"/>
      <c r="AO276" s="86"/>
      <c r="AP276" s="86"/>
      <c r="AQ276" s="86"/>
      <c r="AR276" s="86"/>
      <c r="AS276" s="86"/>
      <c r="AT276" s="86"/>
      <c r="AU276" s="86"/>
      <c r="AV276" s="86"/>
    </row>
    <row r="277" spans="1:48">
      <c r="A277" s="86"/>
      <c r="B277" s="118"/>
      <c r="C277" s="562" t="s">
        <v>370</v>
      </c>
      <c r="D277" s="563"/>
      <c r="E277" s="540"/>
      <c r="F277" s="540"/>
      <c r="G277" s="540"/>
      <c r="H277" s="540"/>
      <c r="I277" s="540"/>
      <c r="J277" s="540"/>
      <c r="K277" s="540"/>
      <c r="L277" s="540"/>
      <c r="M277" s="540"/>
      <c r="N277" s="540"/>
      <c r="O277" s="540"/>
      <c r="P277" s="540"/>
      <c r="Q277" s="540"/>
      <c r="R277" s="540"/>
      <c r="S277" s="561"/>
      <c r="T277" s="86"/>
      <c r="U277" s="86"/>
      <c r="V277" s="86"/>
      <c r="W277" s="86"/>
      <c r="X277" s="86"/>
      <c r="Y277" s="86"/>
      <c r="Z277" s="86"/>
      <c r="AA277" s="86"/>
      <c r="AB277" s="86"/>
      <c r="AC277" s="86"/>
      <c r="AD277" s="86"/>
      <c r="AE277" s="86"/>
      <c r="AF277" s="86"/>
      <c r="AG277" s="86"/>
      <c r="AH277" s="86"/>
      <c r="AI277" s="119"/>
      <c r="AJ277" s="86"/>
      <c r="AK277" s="86"/>
      <c r="AL277" s="86"/>
      <c r="AM277" s="86"/>
      <c r="AN277" s="86"/>
      <c r="AO277" s="86"/>
      <c r="AP277" s="86"/>
      <c r="AQ277" s="86"/>
      <c r="AR277" s="86"/>
      <c r="AS277" s="86"/>
      <c r="AT277" s="86"/>
      <c r="AU277" s="86"/>
      <c r="AV277" s="86"/>
    </row>
    <row r="278" spans="1:48">
      <c r="A278" s="86"/>
      <c r="B278" s="118"/>
      <c r="C278" s="562" t="s">
        <v>667</v>
      </c>
      <c r="D278" s="563"/>
      <c r="E278" s="564">
        <v>19.199927311267771</v>
      </c>
      <c r="F278" s="565"/>
      <c r="G278" s="564">
        <v>17.898046358976984</v>
      </c>
      <c r="H278" s="564">
        <v>15.785126153301356</v>
      </c>
      <c r="I278" s="564">
        <v>17.602237530182396</v>
      </c>
      <c r="J278" s="566"/>
      <c r="K278" s="564">
        <v>17.711163180439005</v>
      </c>
      <c r="L278" s="564">
        <v>15.785126153301356</v>
      </c>
      <c r="M278" s="564">
        <v>17.210393553383216</v>
      </c>
      <c r="N278" s="567"/>
      <c r="O278" s="564">
        <v>6.8009340820787409</v>
      </c>
      <c r="P278" s="564">
        <v>7.7379176137102412</v>
      </c>
      <c r="Q278" s="564">
        <v>20.944594144070255</v>
      </c>
      <c r="R278" s="564">
        <v>18.34997941911293</v>
      </c>
      <c r="S278" s="564">
        <v>17.711163180439005</v>
      </c>
      <c r="T278" s="86"/>
      <c r="U278" s="86"/>
      <c r="V278" s="86"/>
      <c r="W278" s="86"/>
      <c r="X278" s="86"/>
      <c r="Y278" s="86"/>
      <c r="Z278" s="86"/>
      <c r="AA278" s="86"/>
      <c r="AB278" s="86"/>
      <c r="AC278" s="86"/>
      <c r="AD278" s="86"/>
      <c r="AE278" s="86"/>
      <c r="AF278" s="86"/>
      <c r="AG278" s="86"/>
      <c r="AH278" s="86"/>
      <c r="AI278" s="119"/>
      <c r="AJ278" s="86"/>
      <c r="AK278" s="86"/>
      <c r="AL278" s="86"/>
      <c r="AM278" s="86"/>
      <c r="AN278" s="86"/>
      <c r="AO278" s="86"/>
      <c r="AP278" s="86"/>
      <c r="AQ278" s="86"/>
      <c r="AR278" s="86"/>
      <c r="AS278" s="86"/>
      <c r="AT278" s="86"/>
      <c r="AU278" s="86"/>
      <c r="AV278" s="86"/>
    </row>
    <row r="279" spans="1:48">
      <c r="A279" s="86"/>
      <c r="B279" s="118"/>
      <c r="C279" s="562" t="s">
        <v>668</v>
      </c>
      <c r="D279" s="563"/>
      <c r="E279" s="564">
        <v>20.011412709648798</v>
      </c>
      <c r="F279" s="565"/>
      <c r="G279" s="564">
        <v>18.697879568182454</v>
      </c>
      <c r="H279" s="564">
        <v>16.472664930740706</v>
      </c>
      <c r="I279" s="564">
        <v>18.386349518940616</v>
      </c>
      <c r="J279" s="566"/>
      <c r="K279" s="564">
        <v>18.507149227118344</v>
      </c>
      <c r="L279" s="564">
        <v>16.472664930740706</v>
      </c>
      <c r="M279" s="564">
        <v>17.978183310060157</v>
      </c>
      <c r="N279" s="567"/>
      <c r="O279" s="564">
        <v>7.0883757277416359</v>
      </c>
      <c r="P279" s="564">
        <v>8.0649608913020376</v>
      </c>
      <c r="Q279" s="564">
        <v>21.829817928899654</v>
      </c>
      <c r="R279" s="564">
        <v>18.82760608435964</v>
      </c>
      <c r="S279" s="564">
        <v>18.507149227118344</v>
      </c>
      <c r="T279" s="86"/>
      <c r="U279" s="86"/>
      <c r="V279" s="86"/>
      <c r="W279" s="86"/>
      <c r="X279" s="86"/>
      <c r="Y279" s="86"/>
      <c r="Z279" s="86"/>
      <c r="AA279" s="86"/>
      <c r="AB279" s="86"/>
      <c r="AC279" s="86"/>
      <c r="AD279" s="86"/>
      <c r="AE279" s="86"/>
      <c r="AF279" s="86"/>
      <c r="AG279" s="86"/>
      <c r="AH279" s="86"/>
      <c r="AI279" s="119"/>
      <c r="AJ279" s="86"/>
      <c r="AK279" s="86"/>
      <c r="AL279" s="86"/>
      <c r="AM279" s="86"/>
      <c r="AN279" s="86"/>
      <c r="AO279" s="86"/>
      <c r="AP279" s="86"/>
      <c r="AQ279" s="86"/>
      <c r="AR279" s="86"/>
      <c r="AS279" s="86"/>
      <c r="AT279" s="86"/>
      <c r="AU279" s="86"/>
      <c r="AV279" s="86"/>
    </row>
    <row r="280" spans="1:48">
      <c r="A280" s="86"/>
      <c r="B280" s="118"/>
      <c r="C280" s="562" t="s">
        <v>669</v>
      </c>
      <c r="D280" s="563"/>
      <c r="E280" s="564">
        <v>21.988969801147444</v>
      </c>
      <c r="F280" s="565"/>
      <c r="G280" s="564">
        <v>20.652096091672757</v>
      </c>
      <c r="H280" s="564">
        <v>18.260884797248927</v>
      </c>
      <c r="I280" s="564">
        <v>20.317326510453427</v>
      </c>
      <c r="J280" s="566"/>
      <c r="K280" s="564">
        <v>20.443945436680767</v>
      </c>
      <c r="L280" s="564">
        <v>18.260884797248927</v>
      </c>
      <c r="M280" s="564">
        <v>19.876349670428489</v>
      </c>
      <c r="N280" s="567"/>
      <c r="O280" s="564">
        <v>7.7888593912884625</v>
      </c>
      <c r="P280" s="564">
        <v>8.8619521299847328</v>
      </c>
      <c r="Q280" s="564">
        <v>23.987072485476002</v>
      </c>
      <c r="R280" s="564">
        <v>19.854454029939408</v>
      </c>
      <c r="S280" s="564">
        <v>20.443945436680767</v>
      </c>
      <c r="T280" s="86"/>
      <c r="U280" s="86"/>
      <c r="V280" s="86"/>
      <c r="W280" s="86"/>
      <c r="X280" s="86"/>
      <c r="Y280" s="86"/>
      <c r="Z280" s="86"/>
      <c r="AA280" s="86"/>
      <c r="AB280" s="86"/>
      <c r="AC280" s="86"/>
      <c r="AD280" s="86"/>
      <c r="AE280" s="86"/>
      <c r="AF280" s="86"/>
      <c r="AG280" s="86"/>
      <c r="AH280" s="86"/>
      <c r="AI280" s="119"/>
      <c r="AJ280" s="86"/>
      <c r="AK280" s="86"/>
      <c r="AL280" s="86"/>
      <c r="AM280" s="86"/>
      <c r="AN280" s="86"/>
      <c r="AO280" s="86"/>
      <c r="AP280" s="86"/>
      <c r="AQ280" s="86"/>
      <c r="AR280" s="86"/>
      <c r="AS280" s="86"/>
      <c r="AT280" s="86"/>
      <c r="AU280" s="86"/>
      <c r="AV280" s="86"/>
    </row>
    <row r="281" spans="1:48">
      <c r="A281" s="86"/>
      <c r="B281" s="118"/>
      <c r="C281" s="562" t="s">
        <v>215</v>
      </c>
      <c r="D281" s="563"/>
      <c r="E281" s="540"/>
      <c r="F281" s="540"/>
      <c r="G281" s="540"/>
      <c r="H281" s="540"/>
      <c r="I281" s="540"/>
      <c r="J281" s="540"/>
      <c r="K281" s="540"/>
      <c r="L281" s="540"/>
      <c r="M281" s="540"/>
      <c r="N281" s="540"/>
      <c r="O281" s="540"/>
      <c r="P281" s="540"/>
      <c r="Q281" s="540"/>
      <c r="R281" s="540"/>
      <c r="S281" s="561"/>
      <c r="T281" s="86"/>
      <c r="U281" s="86"/>
      <c r="V281" s="86"/>
      <c r="W281" s="86"/>
      <c r="X281" s="86"/>
      <c r="Y281" s="86"/>
      <c r="Z281" s="86"/>
      <c r="AA281" s="86"/>
      <c r="AB281" s="86"/>
      <c r="AC281" s="86"/>
      <c r="AD281" s="86"/>
      <c r="AE281" s="86"/>
      <c r="AF281" s="86"/>
      <c r="AG281" s="86"/>
      <c r="AH281" s="86"/>
      <c r="AI281" s="119"/>
      <c r="AJ281" s="86"/>
      <c r="AK281" s="86"/>
      <c r="AL281" s="86"/>
      <c r="AM281" s="86"/>
      <c r="AN281" s="86"/>
      <c r="AO281" s="86"/>
      <c r="AP281" s="86"/>
      <c r="AQ281" s="86"/>
      <c r="AR281" s="86"/>
      <c r="AS281" s="86"/>
      <c r="AT281" s="86"/>
      <c r="AU281" s="86"/>
      <c r="AV281" s="86"/>
    </row>
    <row r="282" spans="1:48">
      <c r="A282" s="86"/>
      <c r="B282" s="118"/>
      <c r="C282" s="568" t="s">
        <v>702</v>
      </c>
      <c r="D282" s="563"/>
      <c r="E282" s="540"/>
      <c r="F282" s="540"/>
      <c r="G282" s="540"/>
      <c r="H282" s="540"/>
      <c r="I282" s="540"/>
      <c r="J282" s="540"/>
      <c r="K282" s="540"/>
      <c r="L282" s="540"/>
      <c r="M282" s="540"/>
      <c r="N282" s="540"/>
      <c r="O282" s="540"/>
      <c r="P282" s="540"/>
      <c r="Q282" s="540"/>
      <c r="R282" s="540"/>
      <c r="S282" s="561"/>
      <c r="T282" s="86"/>
      <c r="U282" s="86"/>
      <c r="V282" s="86"/>
      <c r="W282" s="86"/>
      <c r="X282" s="86"/>
      <c r="Y282" s="86"/>
      <c r="Z282" s="86"/>
      <c r="AA282" s="86"/>
      <c r="AB282" s="86"/>
      <c r="AC282" s="86"/>
      <c r="AD282" s="86"/>
      <c r="AE282" s="86"/>
      <c r="AF282" s="86"/>
      <c r="AG282" s="86"/>
      <c r="AH282" s="86"/>
      <c r="AI282" s="119"/>
      <c r="AJ282" s="86"/>
      <c r="AK282" s="86"/>
      <c r="AL282" s="86"/>
      <c r="AM282" s="86"/>
      <c r="AN282" s="86"/>
      <c r="AO282" s="86"/>
      <c r="AP282" s="86"/>
      <c r="AQ282" s="86"/>
      <c r="AR282" s="86"/>
      <c r="AS282" s="86"/>
      <c r="AT282" s="86"/>
      <c r="AU282" s="86"/>
      <c r="AV282" s="86"/>
    </row>
    <row r="283" spans="1:48">
      <c r="A283" s="86"/>
      <c r="B283" s="118"/>
      <c r="C283" s="569" t="s">
        <v>703</v>
      </c>
      <c r="D283" s="570">
        <v>2.4299999999999999E-2</v>
      </c>
      <c r="E283" s="540"/>
      <c r="F283" s="540"/>
      <c r="G283" s="540"/>
      <c r="H283" s="540"/>
      <c r="I283" s="540"/>
      <c r="J283" s="540"/>
      <c r="K283" s="540"/>
      <c r="L283" s="540"/>
      <c r="M283" s="540"/>
      <c r="N283" s="540"/>
      <c r="O283" s="540"/>
      <c r="P283" s="540"/>
      <c r="Q283" s="540"/>
      <c r="R283" s="540"/>
      <c r="S283" s="561"/>
      <c r="T283" s="86"/>
      <c r="U283" s="86"/>
      <c r="V283" s="86"/>
      <c r="W283" s="86"/>
      <c r="X283" s="86"/>
      <c r="Y283" s="86"/>
      <c r="Z283" s="86"/>
      <c r="AA283" s="86"/>
      <c r="AB283" s="86"/>
      <c r="AC283" s="86"/>
      <c r="AD283" s="86"/>
      <c r="AE283" s="86"/>
      <c r="AF283" s="86"/>
      <c r="AG283" s="86"/>
      <c r="AH283" s="86"/>
      <c r="AI283" s="119"/>
      <c r="AJ283" s="86"/>
      <c r="AK283" s="86"/>
      <c r="AL283" s="86"/>
      <c r="AM283" s="86"/>
      <c r="AN283" s="86"/>
      <c r="AO283" s="86"/>
      <c r="AP283" s="86"/>
      <c r="AQ283" s="86"/>
      <c r="AR283" s="86"/>
      <c r="AS283" s="86"/>
      <c r="AT283" s="86"/>
      <c r="AU283" s="86"/>
      <c r="AV283" s="86"/>
    </row>
    <row r="284" spans="1:48">
      <c r="A284"/>
      <c r="B284" s="118"/>
      <c r="C284" s="571"/>
      <c r="D284" s="572"/>
      <c r="E284" s="573"/>
      <c r="F284" s="573"/>
      <c r="G284" s="573"/>
      <c r="H284" s="573"/>
      <c r="I284" s="573"/>
      <c r="J284" s="573"/>
      <c r="K284" s="573"/>
      <c r="L284" s="573"/>
      <c r="M284" s="573"/>
      <c r="N284" s="573"/>
      <c r="O284" s="573"/>
      <c r="P284" s="573"/>
      <c r="Q284" s="573"/>
      <c r="R284" s="573"/>
      <c r="S284" s="574"/>
      <c r="T284" s="86"/>
      <c r="U284" s="86"/>
      <c r="V284" s="86"/>
      <c r="W284" s="86"/>
      <c r="X284" s="86"/>
      <c r="Y284" s="86"/>
      <c r="Z284" s="86"/>
      <c r="AA284" s="86"/>
      <c r="AB284" s="86"/>
      <c r="AC284" s="86"/>
      <c r="AD284" s="86"/>
      <c r="AE284" s="86"/>
      <c r="AF284" s="86"/>
      <c r="AG284" s="86"/>
      <c r="AH284" s="86"/>
      <c r="AI284" s="119"/>
      <c r="AJ284" s="86"/>
      <c r="AK284" s="86"/>
      <c r="AL284" s="86"/>
      <c r="AM284" s="86"/>
      <c r="AN284" s="86"/>
      <c r="AO284" s="86"/>
      <c r="AP284" s="86"/>
      <c r="AQ284" s="86"/>
      <c r="AR284" s="86"/>
      <c r="AS284" s="86"/>
      <c r="AT284" s="86"/>
      <c r="AU284" s="86"/>
      <c r="AV284" s="86"/>
    </row>
  </sheetData>
  <mergeCells count="202">
    <mergeCell ref="CD90:CE90"/>
    <mergeCell ref="CF90:CG90"/>
    <mergeCell ref="BR61:BS61"/>
    <mergeCell ref="BT61:BU61"/>
    <mergeCell ref="CH32:CI32"/>
    <mergeCell ref="CJ32:CK32"/>
    <mergeCell ref="CJ61:CK61"/>
    <mergeCell ref="CJ90:CK90"/>
    <mergeCell ref="BR32:BS32"/>
    <mergeCell ref="BT32:BU32"/>
    <mergeCell ref="BV32:BW32"/>
    <mergeCell ref="BX32:BY32"/>
    <mergeCell ref="BZ32:CA32"/>
    <mergeCell ref="CB32:CC32"/>
    <mergeCell ref="CD32:CE32"/>
    <mergeCell ref="CF32:CG32"/>
    <mergeCell ref="CH61:CI61"/>
    <mergeCell ref="CH90:CI90"/>
    <mergeCell ref="BX61:BY61"/>
    <mergeCell ref="BZ61:CA61"/>
    <mergeCell ref="CB61:CC61"/>
    <mergeCell ref="CD61:CE61"/>
    <mergeCell ref="CF61:CG61"/>
    <mergeCell ref="BX90:BY90"/>
    <mergeCell ref="BZ90:CA90"/>
    <mergeCell ref="CB90:CC90"/>
    <mergeCell ref="AS61:AT61"/>
    <mergeCell ref="AA61:AB61"/>
    <mergeCell ref="BL61:BM61"/>
    <mergeCell ref="BB119:BC119"/>
    <mergeCell ref="BD119:BE119"/>
    <mergeCell ref="BF119:BG119"/>
    <mergeCell ref="AY61:AZ61"/>
    <mergeCell ref="AU61:AV61"/>
    <mergeCell ref="AM90:AN90"/>
    <mergeCell ref="AO90:AP90"/>
    <mergeCell ref="AQ90:AR90"/>
    <mergeCell ref="AS90:AT90"/>
    <mergeCell ref="AU90:AV90"/>
    <mergeCell ref="AO61:AP61"/>
    <mergeCell ref="AK61:AL61"/>
    <mergeCell ref="AM61:AN61"/>
    <mergeCell ref="AQ61:AR61"/>
    <mergeCell ref="AY90:AZ90"/>
    <mergeCell ref="BL90:BM90"/>
    <mergeCell ref="BB61:BC61"/>
    <mergeCell ref="BD61:BE61"/>
    <mergeCell ref="BF61:BG61"/>
    <mergeCell ref="BH61:BI61"/>
    <mergeCell ref="BJ61:BK61"/>
    <mergeCell ref="BP119:BQ119"/>
    <mergeCell ref="BH119:BI119"/>
    <mergeCell ref="BJ119:BK119"/>
    <mergeCell ref="BL119:BM119"/>
    <mergeCell ref="BN119:BO119"/>
    <mergeCell ref="AW119:AX119"/>
    <mergeCell ref="AY119:AZ119"/>
    <mergeCell ref="BP61:BQ61"/>
    <mergeCell ref="BP90:BQ90"/>
    <mergeCell ref="BN61:BO61"/>
    <mergeCell ref="BN90:BO90"/>
    <mergeCell ref="BB90:BC90"/>
    <mergeCell ref="BD90:BE90"/>
    <mergeCell ref="BF90:BG90"/>
    <mergeCell ref="BH90:BI90"/>
    <mergeCell ref="BJ90:BK90"/>
    <mergeCell ref="AW90:AX90"/>
    <mergeCell ref="AW61:AX61"/>
    <mergeCell ref="C32:D32"/>
    <mergeCell ref="E32:F32"/>
    <mergeCell ref="C61:D61"/>
    <mergeCell ref="E61:F61"/>
    <mergeCell ref="K61:L61"/>
    <mergeCell ref="G61:H61"/>
    <mergeCell ref="I61:J61"/>
    <mergeCell ref="W61:X61"/>
    <mergeCell ref="Y61:Z61"/>
    <mergeCell ref="S61:T61"/>
    <mergeCell ref="U61:V61"/>
    <mergeCell ref="AA32:AB32"/>
    <mergeCell ref="U32:V32"/>
    <mergeCell ref="W32:X32"/>
    <mergeCell ref="Y32:Z32"/>
    <mergeCell ref="AY32:AZ32"/>
    <mergeCell ref="AQ32:AR32"/>
    <mergeCell ref="G32:H32"/>
    <mergeCell ref="I32:J32"/>
    <mergeCell ref="K10:N10"/>
    <mergeCell ref="O10:R10"/>
    <mergeCell ref="S32:T32"/>
    <mergeCell ref="M32:N32"/>
    <mergeCell ref="O32:P32"/>
    <mergeCell ref="Q32:R32"/>
    <mergeCell ref="K32:L32"/>
    <mergeCell ref="AC32:AD32"/>
    <mergeCell ref="AS32:AT32"/>
    <mergeCell ref="AE32:AF32"/>
    <mergeCell ref="AI32:AJ32"/>
    <mergeCell ref="AU32:AV32"/>
    <mergeCell ref="AM32:AN32"/>
    <mergeCell ref="AO32:AP32"/>
    <mergeCell ref="BP32:BQ32"/>
    <mergeCell ref="BJ32:BK32"/>
    <mergeCell ref="BL32:BM32"/>
    <mergeCell ref="BN32:BO32"/>
    <mergeCell ref="BD32:BE32"/>
    <mergeCell ref="BF32:BG32"/>
    <mergeCell ref="BH32:BI32"/>
    <mergeCell ref="BB32:BC32"/>
    <mergeCell ref="AG32:AH32"/>
    <mergeCell ref="AK32:AL32"/>
    <mergeCell ref="AW32:AX32"/>
    <mergeCell ref="L130:P130"/>
    <mergeCell ref="Q130:U130"/>
    <mergeCell ref="V130:Y132"/>
    <mergeCell ref="AB130:AI130"/>
    <mergeCell ref="AJ130:AJ132"/>
    <mergeCell ref="AK130:AN130"/>
    <mergeCell ref="AF131:AG132"/>
    <mergeCell ref="AH131:AI132"/>
    <mergeCell ref="AK131:AN131"/>
    <mergeCell ref="L131:P131"/>
    <mergeCell ref="Q131:U131"/>
    <mergeCell ref="AB131:AE132"/>
    <mergeCell ref="AO130:AR130"/>
    <mergeCell ref="M61:N61"/>
    <mergeCell ref="O61:P61"/>
    <mergeCell ref="Q61:R61"/>
    <mergeCell ref="AI61:AJ61"/>
    <mergeCell ref="AC61:AD61"/>
    <mergeCell ref="AE61:AF61"/>
    <mergeCell ref="AG61:AH61"/>
    <mergeCell ref="BV61:BW61"/>
    <mergeCell ref="U90:V90"/>
    <mergeCell ref="W90:X90"/>
    <mergeCell ref="Y90:Z90"/>
    <mergeCell ref="AA90:AB90"/>
    <mergeCell ref="AC90:AD90"/>
    <mergeCell ref="AE90:AF90"/>
    <mergeCell ref="AG90:AH90"/>
    <mergeCell ref="AI90:AJ90"/>
    <mergeCell ref="AK90:AL90"/>
    <mergeCell ref="BR90:BS90"/>
    <mergeCell ref="BT90:BU90"/>
    <mergeCell ref="BV90:BW90"/>
    <mergeCell ref="D120:Q120"/>
    <mergeCell ref="E130:H132"/>
    <mergeCell ref="I130:K131"/>
    <mergeCell ref="C90:D90"/>
    <mergeCell ref="E90:F90"/>
    <mergeCell ref="G90:H90"/>
    <mergeCell ref="I90:J90"/>
    <mergeCell ref="K90:L90"/>
    <mergeCell ref="M90:N90"/>
    <mergeCell ref="O90:P90"/>
    <mergeCell ref="Q90:R90"/>
    <mergeCell ref="S90:T90"/>
    <mergeCell ref="AO131:AR131"/>
    <mergeCell ref="I132:I133"/>
    <mergeCell ref="J132:J133"/>
    <mergeCell ref="K132:K133"/>
    <mergeCell ref="L132:O132"/>
    <mergeCell ref="Q132:T132"/>
    <mergeCell ref="AK132:AN132"/>
    <mergeCell ref="AO132:AR132"/>
    <mergeCell ref="G240:I240"/>
    <mergeCell ref="K240:M240"/>
    <mergeCell ref="O240:R240"/>
    <mergeCell ref="C183:P183"/>
    <mergeCell ref="R183:AF183"/>
    <mergeCell ref="AG183:AU183"/>
    <mergeCell ref="S184:AF184"/>
    <mergeCell ref="AH184:AU184"/>
    <mergeCell ref="S185:AF185"/>
    <mergeCell ref="AH185:AU185"/>
    <mergeCell ref="D186:O187"/>
    <mergeCell ref="U188:U190"/>
    <mergeCell ref="W188:AF188"/>
    <mergeCell ref="D231:D233"/>
    <mergeCell ref="C237:P237"/>
    <mergeCell ref="E239:M239"/>
    <mergeCell ref="C224:D224"/>
    <mergeCell ref="R224:S224"/>
    <mergeCell ref="AG224:AH224"/>
    <mergeCell ref="C225:D225"/>
    <mergeCell ref="R225:S225"/>
    <mergeCell ref="AG225:AH225"/>
    <mergeCell ref="C226:D226"/>
    <mergeCell ref="R226:S226"/>
    <mergeCell ref="AG226:AH226"/>
    <mergeCell ref="O239:S239"/>
    <mergeCell ref="AJ188:AJ190"/>
    <mergeCell ref="AL188:AU188"/>
    <mergeCell ref="F189:I189"/>
    <mergeCell ref="K189:M189"/>
    <mergeCell ref="O189:O190"/>
    <mergeCell ref="W189:Z189"/>
    <mergeCell ref="AB189:AD189"/>
    <mergeCell ref="AF189:AF190"/>
    <mergeCell ref="AL189:AO189"/>
    <mergeCell ref="AQ189:AS189"/>
    <mergeCell ref="AU189:AU190"/>
  </mergeCells>
  <phoneticPr fontId="27" type="noConversion"/>
  <dataValidations disablePrompts="1" count="3">
    <dataValidation type="decimal" allowBlank="1" showInputMessage="1" showErrorMessage="1" sqref="D11:H12">
      <formula1>0</formula1>
      <formula2>1</formula2>
    </dataValidation>
    <dataValidation type="list" allowBlank="1" showInputMessage="1" showErrorMessage="1" sqref="D22:D27">
      <formula1>"Yes, No"</formula1>
    </dataValidation>
    <dataValidation allowBlank="1" showInputMessage="1" showErrorMessage="1" sqref="P121"/>
  </dataValidations>
  <pageMargins left="0.7" right="0.7" top="1.3958333333333333" bottom="0.75" header="0.3" footer="0.3"/>
  <pageSetup orientation="landscape" r:id="rId1"/>
  <headerFooter>
    <oddHeader>&amp;RBoston Gas Company and Colonial Gas Company 
d/b/a National Grid 
D.P.U. 18-51
2017 Energy Efficiency Plan-Year Report
Appendix 2, BCR Model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39"/>
  <sheetViews>
    <sheetView tabSelected="1" zoomScale="120" zoomScaleNormal="120" workbookViewId="0">
      <pane xSplit="1" ySplit="6" topLeftCell="C7" activePane="bottomRight" state="frozen"/>
      <selection pane="topRight" activeCell="B1" sqref="B1"/>
      <selection pane="bottomLeft" activeCell="A6" sqref="A6"/>
      <selection pane="bottomRight" activeCell="A2" sqref="A2"/>
    </sheetView>
  </sheetViews>
  <sheetFormatPr defaultColWidth="8.85546875" defaultRowHeight="15.75"/>
  <cols>
    <col min="1" max="1" width="52.7109375" style="1014" bestFit="1" customWidth="1"/>
    <col min="2" max="2" width="46" style="1014" bestFit="1" customWidth="1"/>
    <col min="3" max="3" width="40.7109375" style="1014" bestFit="1" customWidth="1"/>
    <col min="4" max="4" width="4.85546875" style="1014" customWidth="1"/>
    <col min="5" max="5" width="50.7109375" style="1014" customWidth="1"/>
    <col min="6" max="16384" width="8.85546875" style="1014"/>
  </cols>
  <sheetData>
    <row r="1" spans="1:5">
      <c r="A1" s="1023" t="s">
        <v>1778</v>
      </c>
      <c r="C1" s="1221" t="s">
        <v>1776</v>
      </c>
    </row>
    <row r="2" spans="1:5">
      <c r="A2" s="1013"/>
      <c r="C2" s="1221" t="s">
        <v>1777</v>
      </c>
    </row>
    <row r="3" spans="1:5">
      <c r="A3" s="1013" t="s">
        <v>1580</v>
      </c>
      <c r="B3" s="1015" t="s">
        <v>293</v>
      </c>
      <c r="C3" s="1016" t="s">
        <v>1581</v>
      </c>
      <c r="D3" s="1017"/>
    </row>
    <row r="4" spans="1:5">
      <c r="A4" s="1018"/>
      <c r="B4" s="1018"/>
      <c r="C4" s="1017"/>
      <c r="D4" s="1017"/>
    </row>
    <row r="5" spans="1:5">
      <c r="A5" s="1019" t="s">
        <v>1582</v>
      </c>
      <c r="B5" s="1020" t="s">
        <v>1583</v>
      </c>
      <c r="C5" s="1019" t="s">
        <v>1584</v>
      </c>
      <c r="E5" s="1021" t="s">
        <v>1585</v>
      </c>
    </row>
    <row r="7" spans="1:5">
      <c r="A7" s="1013" t="s">
        <v>1586</v>
      </c>
      <c r="B7" s="1022" t="s">
        <v>1587</v>
      </c>
      <c r="C7" s="1023" t="s">
        <v>7</v>
      </c>
      <c r="E7" s="1014" t="s">
        <v>1588</v>
      </c>
    </row>
    <row r="8" spans="1:5">
      <c r="A8" s="1013"/>
      <c r="B8" s="1022" t="s">
        <v>1589</v>
      </c>
      <c r="C8" s="1023" t="s">
        <v>8</v>
      </c>
      <c r="E8" s="1014" t="s">
        <v>1590</v>
      </c>
    </row>
    <row r="9" spans="1:5">
      <c r="A9" s="1013"/>
      <c r="B9" s="1022"/>
      <c r="C9" s="1023" t="s">
        <v>905</v>
      </c>
      <c r="E9" s="1014" t="s">
        <v>1591</v>
      </c>
    </row>
    <row r="10" spans="1:5">
      <c r="A10" s="1013"/>
      <c r="B10" s="1022"/>
      <c r="C10" s="1023" t="s">
        <v>9</v>
      </c>
      <c r="E10" s="1014" t="s">
        <v>1592</v>
      </c>
    </row>
    <row r="11" spans="1:5">
      <c r="A11" s="1013"/>
      <c r="B11" s="1022"/>
      <c r="C11" s="1023" t="s">
        <v>715</v>
      </c>
      <c r="E11" s="1014" t="s">
        <v>1593</v>
      </c>
    </row>
    <row r="12" spans="1:5">
      <c r="A12" s="1013"/>
      <c r="B12" s="1022"/>
      <c r="C12" s="1023" t="s">
        <v>10</v>
      </c>
      <c r="E12" s="1014" t="s">
        <v>1594</v>
      </c>
    </row>
    <row r="13" spans="1:5">
      <c r="A13" s="1013"/>
      <c r="B13" s="1022"/>
      <c r="C13" s="1023" t="s">
        <v>285</v>
      </c>
      <c r="E13" s="1014" t="s">
        <v>1595</v>
      </c>
    </row>
    <row r="14" spans="1:5">
      <c r="A14" s="1013"/>
      <c r="B14" s="1022"/>
      <c r="C14" s="1023" t="s">
        <v>284</v>
      </c>
      <c r="E14" s="1014" t="s">
        <v>1596</v>
      </c>
    </row>
    <row r="15" spans="1:5">
      <c r="A15" s="1013"/>
      <c r="B15" s="1022"/>
      <c r="C15" s="1024" t="s">
        <v>11</v>
      </c>
      <c r="E15" s="1014" t="s">
        <v>1597</v>
      </c>
    </row>
    <row r="16" spans="1:5">
      <c r="A16" s="1013"/>
      <c r="B16" s="1022"/>
      <c r="C16" s="1024" t="s">
        <v>12</v>
      </c>
      <c r="E16" s="1014" t="s">
        <v>1598</v>
      </c>
    </row>
    <row r="17" spans="1:5">
      <c r="A17" s="1013"/>
      <c r="B17" s="1022"/>
      <c r="C17" s="1024" t="s">
        <v>13</v>
      </c>
      <c r="E17" s="1014" t="s">
        <v>1599</v>
      </c>
    </row>
    <row r="18" spans="1:5">
      <c r="A18" s="1013"/>
      <c r="B18" s="1022"/>
      <c r="C18" s="1023" t="s">
        <v>14</v>
      </c>
      <c r="E18" s="1025" t="s">
        <v>1600</v>
      </c>
    </row>
    <row r="19" spans="1:5">
      <c r="A19" s="1013"/>
      <c r="B19" s="1022"/>
      <c r="C19" s="1023" t="s">
        <v>291</v>
      </c>
      <c r="E19" s="1025" t="s">
        <v>1601</v>
      </c>
    </row>
    <row r="20" spans="1:5">
      <c r="A20" s="1013"/>
      <c r="B20" s="1022"/>
      <c r="C20" s="1023" t="s">
        <v>292</v>
      </c>
      <c r="E20" s="1025" t="s">
        <v>1602</v>
      </c>
    </row>
    <row r="21" spans="1:5">
      <c r="A21" s="1013"/>
      <c r="B21" s="1022"/>
      <c r="C21" s="1023" t="s">
        <v>512</v>
      </c>
      <c r="E21" s="1014" t="s">
        <v>1603</v>
      </c>
    </row>
    <row r="22" spans="1:5">
      <c r="A22" s="1013"/>
      <c r="B22" s="1022"/>
      <c r="C22" s="1023" t="s">
        <v>15</v>
      </c>
      <c r="E22" s="1034" t="s">
        <v>1772</v>
      </c>
    </row>
    <row r="23" spans="1:5">
      <c r="A23" s="1013"/>
      <c r="B23" s="1022"/>
      <c r="C23" s="1023" t="s">
        <v>546</v>
      </c>
      <c r="E23" s="1014" t="s">
        <v>1604</v>
      </c>
    </row>
    <row r="24" spans="1:5">
      <c r="A24" s="1013"/>
      <c r="B24" s="1022"/>
      <c r="C24" s="1023" t="s">
        <v>547</v>
      </c>
      <c r="E24" s="1014" t="s">
        <v>1605</v>
      </c>
    </row>
    <row r="25" spans="1:5">
      <c r="A25" s="1013"/>
      <c r="B25" s="1022"/>
      <c r="C25" s="1023" t="s">
        <v>548</v>
      </c>
      <c r="E25" s="1014" t="s">
        <v>1606</v>
      </c>
    </row>
    <row r="26" spans="1:5">
      <c r="A26" s="1013"/>
      <c r="B26" s="1022"/>
      <c r="C26" s="1023" t="s">
        <v>549</v>
      </c>
      <c r="E26" s="1014" t="s">
        <v>1773</v>
      </c>
    </row>
    <row r="27" spans="1:5">
      <c r="A27" s="1013"/>
      <c r="B27" s="1022"/>
      <c r="C27" s="1023" t="s">
        <v>723</v>
      </c>
      <c r="E27" s="1033" t="s">
        <v>1771</v>
      </c>
    </row>
    <row r="28" spans="1:5">
      <c r="A28" s="1013"/>
      <c r="B28" s="1022"/>
      <c r="C28" s="1024" t="s">
        <v>16</v>
      </c>
      <c r="E28" s="1014" t="s">
        <v>1607</v>
      </c>
    </row>
    <row r="29" spans="1:5">
      <c r="A29" s="1013"/>
      <c r="B29" s="1022"/>
      <c r="C29" s="1023" t="s">
        <v>29</v>
      </c>
      <c r="E29" s="1014" t="s">
        <v>1608</v>
      </c>
    </row>
    <row r="30" spans="1:5">
      <c r="A30" s="1013"/>
      <c r="B30" s="1022"/>
      <c r="C30" s="1023" t="s">
        <v>30</v>
      </c>
      <c r="E30" s="1014" t="s">
        <v>1609</v>
      </c>
    </row>
    <row r="31" spans="1:5">
      <c r="A31" s="1013"/>
      <c r="B31" s="1022"/>
      <c r="C31" s="1023" t="s">
        <v>31</v>
      </c>
      <c r="E31" s="1014" t="s">
        <v>1610</v>
      </c>
    </row>
    <row r="32" spans="1:5">
      <c r="A32" s="1013"/>
      <c r="B32" s="1022"/>
      <c r="C32" s="1023" t="s">
        <v>17</v>
      </c>
      <c r="E32" s="1025" t="s">
        <v>1611</v>
      </c>
    </row>
    <row r="33" spans="1:7">
      <c r="A33" s="1013"/>
      <c r="B33" s="1022"/>
      <c r="C33" s="1023" t="s">
        <v>18</v>
      </c>
      <c r="E33" s="1025" t="s">
        <v>1612</v>
      </c>
    </row>
    <row r="34" spans="1:7">
      <c r="A34" s="1013"/>
      <c r="B34" s="1022"/>
      <c r="C34" s="1023" t="s">
        <v>19</v>
      </c>
      <c r="E34" s="1025" t="s">
        <v>1613</v>
      </c>
    </row>
    <row r="35" spans="1:7">
      <c r="A35" s="1013"/>
      <c r="B35" s="1022"/>
      <c r="C35" s="1023" t="s">
        <v>20</v>
      </c>
      <c r="E35" s="1025" t="s">
        <v>1614</v>
      </c>
    </row>
    <row r="36" spans="1:7">
      <c r="A36" s="1013"/>
      <c r="B36" s="1022"/>
      <c r="C36" s="1023" t="s">
        <v>21</v>
      </c>
      <c r="E36" s="1014" t="s">
        <v>1615</v>
      </c>
    </row>
    <row r="37" spans="1:7">
      <c r="A37" s="1013"/>
      <c r="B37" s="1022"/>
      <c r="C37" s="1023" t="s">
        <v>22</v>
      </c>
      <c r="E37" s="1014" t="s">
        <v>1616</v>
      </c>
    </row>
    <row r="38" spans="1:7">
      <c r="A38" s="1013"/>
      <c r="B38" s="1022"/>
      <c r="C38" s="1023" t="s">
        <v>23</v>
      </c>
      <c r="E38" s="1014" t="s">
        <v>1617</v>
      </c>
    </row>
    <row r="39" spans="1:7">
      <c r="B39" s="1022" t="s">
        <v>293</v>
      </c>
      <c r="C39" s="1023" t="s">
        <v>24</v>
      </c>
      <c r="E39" s="1015" t="str">
        <f>"= Summer Coincident (%)"</f>
        <v>= Summer Coincident (%)</v>
      </c>
    </row>
    <row r="40" spans="1:7">
      <c r="B40" s="1015"/>
      <c r="C40" s="1023" t="s">
        <v>25</v>
      </c>
      <c r="E40" s="1015" t="str">
        <f>"= Summer Coincident (%)"</f>
        <v>= Summer Coincident (%)</v>
      </c>
      <c r="G40" s="1026"/>
    </row>
    <row r="41" spans="1:7" ht="13.15" customHeight="1">
      <c r="B41" s="1015"/>
      <c r="C41" s="1023" t="s">
        <v>470</v>
      </c>
      <c r="E41" s="1014" t="s">
        <v>1618</v>
      </c>
    </row>
    <row r="42" spans="1:7">
      <c r="B42" s="1015"/>
      <c r="C42" s="1024" t="s">
        <v>467</v>
      </c>
      <c r="E42" s="1025" t="s">
        <v>1619</v>
      </c>
    </row>
    <row r="43" spans="1:7">
      <c r="B43" s="1015"/>
      <c r="C43" s="1023" t="s">
        <v>471</v>
      </c>
      <c r="E43" s="1014" t="s">
        <v>1618</v>
      </c>
    </row>
    <row r="44" spans="1:7">
      <c r="B44" s="1015"/>
      <c r="C44" s="1024" t="s">
        <v>468</v>
      </c>
      <c r="E44" s="1025" t="s">
        <v>1620</v>
      </c>
    </row>
    <row r="45" spans="1:7">
      <c r="B45" s="1015"/>
      <c r="C45" s="1023" t="s">
        <v>472</v>
      </c>
      <c r="E45" s="1014" t="s">
        <v>1618</v>
      </c>
    </row>
    <row r="46" spans="1:7">
      <c r="B46" s="1015"/>
      <c r="C46" s="1024" t="s">
        <v>469</v>
      </c>
      <c r="E46" s="1025" t="s">
        <v>1621</v>
      </c>
    </row>
    <row r="47" spans="1:7">
      <c r="B47" s="1015"/>
      <c r="C47" s="1023" t="s">
        <v>26</v>
      </c>
      <c r="E47" s="1025" t="s">
        <v>1622</v>
      </c>
    </row>
    <row r="48" spans="1:7">
      <c r="B48" s="1015"/>
      <c r="C48" s="1023" t="s">
        <v>27</v>
      </c>
      <c r="E48" s="1025" t="s">
        <v>1623</v>
      </c>
    </row>
    <row r="49" spans="1:5">
      <c r="A49" s="1013" t="s">
        <v>1624</v>
      </c>
      <c r="B49" s="1022"/>
      <c r="C49" s="1023" t="s">
        <v>28</v>
      </c>
      <c r="E49" s="1025" t="s">
        <v>1625</v>
      </c>
    </row>
    <row r="50" spans="1:5">
      <c r="B50" s="1022"/>
      <c r="C50" s="1023" t="s">
        <v>1626</v>
      </c>
      <c r="E50" s="1014" t="s">
        <v>1627</v>
      </c>
    </row>
    <row r="51" spans="1:5">
      <c r="B51" s="1013"/>
      <c r="C51" s="1023" t="s">
        <v>1628</v>
      </c>
      <c r="E51" s="1014" t="s">
        <v>1629</v>
      </c>
    </row>
    <row r="52" spans="1:5">
      <c r="B52" s="1013"/>
      <c r="C52" s="1023" t="s">
        <v>497</v>
      </c>
      <c r="E52" s="1014" t="s">
        <v>1630</v>
      </c>
    </row>
    <row r="53" spans="1:5">
      <c r="C53" s="1023" t="s">
        <v>498</v>
      </c>
      <c r="E53" s="1014" t="s">
        <v>1631</v>
      </c>
    </row>
    <row r="54" spans="1:5">
      <c r="C54" s="1023" t="s">
        <v>507</v>
      </c>
      <c r="E54" s="1014" t="s">
        <v>1632</v>
      </c>
    </row>
    <row r="55" spans="1:5">
      <c r="C55" s="1023" t="s">
        <v>508</v>
      </c>
      <c r="E55" s="1014" t="s">
        <v>1633</v>
      </c>
    </row>
    <row r="56" spans="1:5">
      <c r="C56" s="1023" t="s">
        <v>499</v>
      </c>
      <c r="E56" s="1014" t="s">
        <v>1634</v>
      </c>
    </row>
    <row r="57" spans="1:5">
      <c r="C57" s="1023" t="s">
        <v>500</v>
      </c>
      <c r="E57" s="1014" t="s">
        <v>1635</v>
      </c>
    </row>
    <row r="58" spans="1:5">
      <c r="C58" s="1023" t="s">
        <v>601</v>
      </c>
      <c r="E58" s="1014" t="s">
        <v>1636</v>
      </c>
    </row>
    <row r="60" spans="1:5">
      <c r="A60" s="1013" t="s">
        <v>1637</v>
      </c>
      <c r="B60" s="1022" t="s">
        <v>1638</v>
      </c>
      <c r="C60" s="1023" t="s">
        <v>7</v>
      </c>
      <c r="E60" s="1014" t="s">
        <v>1588</v>
      </c>
    </row>
    <row r="61" spans="1:5">
      <c r="A61" s="1013"/>
      <c r="B61" s="1022" t="s">
        <v>1639</v>
      </c>
      <c r="C61" s="1023" t="s">
        <v>8</v>
      </c>
      <c r="E61" s="1014" t="s">
        <v>1590</v>
      </c>
    </row>
    <row r="62" spans="1:5">
      <c r="A62" s="1013"/>
      <c r="C62" s="1023" t="s">
        <v>905</v>
      </c>
      <c r="E62" s="1014" t="s">
        <v>1591</v>
      </c>
    </row>
    <row r="63" spans="1:5">
      <c r="A63" s="1013"/>
      <c r="C63" s="1023" t="s">
        <v>9</v>
      </c>
      <c r="E63" s="1014" t="s">
        <v>1592</v>
      </c>
    </row>
    <row r="64" spans="1:5">
      <c r="A64" s="1013"/>
      <c r="C64" s="1023" t="s">
        <v>715</v>
      </c>
      <c r="E64" s="1014" t="s">
        <v>1593</v>
      </c>
    </row>
    <row r="65" spans="1:5">
      <c r="A65" s="1013"/>
      <c r="C65" s="1023" t="s">
        <v>10</v>
      </c>
      <c r="E65" s="1014" t="s">
        <v>1594</v>
      </c>
    </row>
    <row r="66" spans="1:5">
      <c r="A66" s="1013"/>
      <c r="C66" s="1023" t="s">
        <v>285</v>
      </c>
      <c r="E66" s="1014" t="s">
        <v>1595</v>
      </c>
    </row>
    <row r="67" spans="1:5">
      <c r="A67" s="1013"/>
      <c r="C67" s="1023" t="s">
        <v>284</v>
      </c>
      <c r="E67" s="1014" t="s">
        <v>1596</v>
      </c>
    </row>
    <row r="68" spans="1:5">
      <c r="A68" s="1013"/>
      <c r="C68" s="1023" t="s">
        <v>656</v>
      </c>
      <c r="E68" s="1035" t="s">
        <v>1774</v>
      </c>
    </row>
    <row r="69" spans="1:5">
      <c r="A69" s="1013"/>
      <c r="C69" s="1023" t="s">
        <v>657</v>
      </c>
      <c r="E69" s="1035" t="s">
        <v>1775</v>
      </c>
    </row>
    <row r="70" spans="1:5">
      <c r="A70" s="1013"/>
      <c r="C70" s="1023" t="s">
        <v>658</v>
      </c>
      <c r="E70" s="1036" t="str">
        <f>"= TRC (Total) - Incentive (Total)"</f>
        <v>= TRC (Total) - Incentive (Total)</v>
      </c>
    </row>
    <row r="71" spans="1:5">
      <c r="A71" s="1013"/>
      <c r="C71" s="1023" t="s">
        <v>694</v>
      </c>
      <c r="E71" s="1014" t="str">
        <f>"= Quantity x Annual Gross kWh Saved/1000"</f>
        <v>= Quantity x Annual Gross kWh Saved/1000</v>
      </c>
    </row>
    <row r="72" spans="1:5">
      <c r="A72" s="1013"/>
      <c r="C72" s="1023" t="s">
        <v>532</v>
      </c>
      <c r="E72" s="1014" t="str">
        <f>"= Gross Annual MWh Savings x In-Service Rate  x kWh Realization Rate"</f>
        <v>= Gross Annual MWh Savings x In-Service Rate  x kWh Realization Rate</v>
      </c>
    </row>
    <row r="73" spans="1:5">
      <c r="A73" s="1013"/>
      <c r="C73" s="1023" t="s">
        <v>533</v>
      </c>
      <c r="E73" s="1014" t="str">
        <f>"= Adjusted Gross Annual MWh Savings x Measure Life"</f>
        <v>= Adjusted Gross Annual MWh Savings x Measure Life</v>
      </c>
    </row>
    <row r="74" spans="1:5">
      <c r="A74" s="1013"/>
      <c r="C74" s="1023" t="s">
        <v>534</v>
      </c>
      <c r="E74" s="1014" t="str">
        <f>"= Adjusted Gross Annual MWh Savings x Net to Gross"</f>
        <v>= Adjusted Gross Annual MWh Savings x Net to Gross</v>
      </c>
    </row>
    <row r="75" spans="1:5">
      <c r="A75" s="1013"/>
      <c r="C75" s="1023" t="s">
        <v>514</v>
      </c>
      <c r="E75" s="1014" t="str">
        <f>"= Adjusted Gross Lifetime MWh Savings x Net to Gross"</f>
        <v>= Adjusted Gross Lifetime MWh Savings x Net to Gross</v>
      </c>
    </row>
    <row r="76" spans="1:5">
      <c r="A76" s="1013"/>
      <c r="C76" s="1023" t="s">
        <v>515</v>
      </c>
      <c r="E76" s="1014" t="str">
        <f>"= Net Lifetime MWh Savings x Winter Peak Energy %"</f>
        <v>= Net Lifetime MWh Savings x Winter Peak Energy %</v>
      </c>
    </row>
    <row r="77" spans="1:5">
      <c r="A77" s="1013"/>
      <c r="C77" s="1023" t="s">
        <v>516</v>
      </c>
      <c r="E77" s="1014" t="str">
        <f>"= Net Lifetime MWh Savings x Winter Off-Peak Energy %"</f>
        <v>= Net Lifetime MWh Savings x Winter Off-Peak Energy %</v>
      </c>
    </row>
    <row r="78" spans="1:5">
      <c r="A78" s="1013"/>
      <c r="C78" s="1023" t="s">
        <v>517</v>
      </c>
      <c r="E78" s="1014" t="str">
        <f>"= Net Lifetime MWh Savings x Summer Peak Energy %"</f>
        <v>= Net Lifetime MWh Savings x Summer Peak Energy %</v>
      </c>
    </row>
    <row r="79" spans="1:5">
      <c r="A79" s="1013"/>
      <c r="C79" s="1023" t="s">
        <v>518</v>
      </c>
      <c r="E79" s="1014" t="str">
        <f>"= Net Lifetime MWh Savings x Summer Off-Peak Energy %"</f>
        <v>= Net Lifetime MWh Savings x Summer Off-Peak Energy %</v>
      </c>
    </row>
    <row r="80" spans="1:5">
      <c r="A80" s="1013"/>
      <c r="C80" s="1023" t="s">
        <v>286</v>
      </c>
      <c r="E80" s="1014" t="str">
        <f>"= Quantity x Maximum Load Reduction (kW) Savings x In-Service Rate  x Net to Gross"</f>
        <v>= Quantity x Maximum Load Reduction (kW) Savings x In-Service Rate  x Net to Gross</v>
      </c>
    </row>
    <row r="81" spans="1:5">
      <c r="A81" s="1013"/>
      <c r="C81" s="1023" t="s">
        <v>572</v>
      </c>
      <c r="E81" s="1014" t="str">
        <f>"= Quantiy x Maximum Load Reduction (kW) Savings x In-Service Rate  x Winter Coincident % x kW Winter Realization Rate"</f>
        <v>= Quantiy x Maximum Load Reduction (kW) Savings x In-Service Rate  x Winter Coincident % x kW Winter Realization Rate</v>
      </c>
    </row>
    <row r="82" spans="1:5">
      <c r="A82" s="1013"/>
      <c r="C82" s="1023" t="s">
        <v>570</v>
      </c>
      <c r="E82" s="1014" t="str">
        <f>"= Annual Adjusted Gross Winter kW x Net to Gross"</f>
        <v>= Annual Adjusted Gross Winter kW x Net to Gross</v>
      </c>
    </row>
    <row r="83" spans="1:5">
      <c r="A83" s="1013"/>
      <c r="C83" s="1023" t="s">
        <v>602</v>
      </c>
      <c r="E83" s="1014" t="str">
        <f>"= Quantiy x Maximum Load Reduction (kW) Savings x In-Service Rate  x Summer Coincident % x kW Summer Realization Rate"</f>
        <v>= Quantiy x Maximum Load Reduction (kW) Savings x In-Service Rate  x Summer Coincident % x kW Summer Realization Rate</v>
      </c>
    </row>
    <row r="84" spans="1:5">
      <c r="A84" s="1013"/>
      <c r="C84" s="1023" t="s">
        <v>571</v>
      </c>
      <c r="E84" s="1014" t="str">
        <f>"= Annual Adjusted Gross Summer kW x Net to Gross"</f>
        <v>= Annual Adjusted Gross Summer kW x Net to Gross</v>
      </c>
    </row>
    <row r="85" spans="1:5">
      <c r="A85" s="1013"/>
      <c r="C85" s="1023" t="s">
        <v>593</v>
      </c>
      <c r="E85" s="1014" t="str">
        <f>"= Quantity x Savings from Fuel Type 'NG' (MMBtu/Year) x In-Service Rate  x Non Electric Realization Rate"</f>
        <v>= Quantity x Savings from Fuel Type 'NG' (MMBtu/Year) x In-Service Rate  x Non Electric Realization Rate</v>
      </c>
    </row>
    <row r="86" spans="1:5">
      <c r="A86" s="1013"/>
      <c r="C86" s="1023" t="s">
        <v>594</v>
      </c>
      <c r="E86" s="1014" t="str">
        <f>"= Adjusted Gross Annual Gas Savings (MMBtu) x Measure Life"</f>
        <v>= Adjusted Gross Annual Gas Savings (MMBtu) x Measure Life</v>
      </c>
    </row>
    <row r="87" spans="1:5">
      <c r="A87" s="1013"/>
      <c r="C87" s="1023" t="s">
        <v>583</v>
      </c>
      <c r="E87" s="1014" t="str">
        <f>"= Adjusted Gross Annual Gas Savings (MMBtu) x Net to Gross"</f>
        <v>= Adjusted Gross Annual Gas Savings (MMBtu) x Net to Gross</v>
      </c>
    </row>
    <row r="88" spans="1:5">
      <c r="A88" s="1013"/>
      <c r="C88" s="1023" t="s">
        <v>584</v>
      </c>
      <c r="E88" s="1014" t="str">
        <f>"= Adjusted Net Annual Gas Savings (MMBtu) x Measure Life"</f>
        <v>= Adjusted Net Annual Gas Savings (MMBtu) x Measure Life</v>
      </c>
    </row>
    <row r="89" spans="1:5">
      <c r="A89" s="1013"/>
      <c r="C89" s="1023" t="s">
        <v>595</v>
      </c>
      <c r="E89" s="1014" t="str">
        <f>"= Quantity x Savings from Fuel Type 'Oil' (MMBtu/Year) x In-Service Rate  x Non Electric Realization Rate"</f>
        <v>= Quantity x Savings from Fuel Type 'Oil' (MMBtu/Year) x In-Service Rate  x Non Electric Realization Rate</v>
      </c>
    </row>
    <row r="90" spans="1:5">
      <c r="A90" s="1013"/>
      <c r="C90" s="1023" t="s">
        <v>596</v>
      </c>
      <c r="E90" s="1014" t="str">
        <f>"= Adjusted Gross Annual OIl Savings (MMBtu) x Measure Life"</f>
        <v>= Adjusted Gross Annual OIl Savings (MMBtu) x Measure Life</v>
      </c>
    </row>
    <row r="91" spans="1:5">
      <c r="A91" s="1013"/>
      <c r="C91" s="1023" t="s">
        <v>585</v>
      </c>
      <c r="E91" s="1014" t="str">
        <f>"= Adjusted Gross Annual Oil Savings (MMBtu) x Net to Gross"</f>
        <v>= Adjusted Gross Annual Oil Savings (MMBtu) x Net to Gross</v>
      </c>
    </row>
    <row r="92" spans="1:5">
      <c r="A92" s="1013"/>
      <c r="C92" s="1023" t="s">
        <v>586</v>
      </c>
      <c r="E92" s="1014" t="str">
        <f>"= Adjusted Net Annual Oil Savings (MMBtu) x Measure Life"</f>
        <v>= Adjusted Net Annual Oil Savings (MMBtu) x Measure Life</v>
      </c>
    </row>
    <row r="93" spans="1:5">
      <c r="A93" s="1013"/>
      <c r="C93" s="1023" t="s">
        <v>597</v>
      </c>
      <c r="E93" s="1014" t="str">
        <f>"= Quantity x Savings from Fuel Type 'Propane' (MMBtu/Year) x In-Service Rate  x Non Electric Realization Rate"</f>
        <v>= Quantity x Savings from Fuel Type 'Propane' (MMBtu/Year) x In-Service Rate  x Non Electric Realization Rate</v>
      </c>
    </row>
    <row r="94" spans="1:5">
      <c r="A94" s="1013"/>
      <c r="C94" s="1023" t="s">
        <v>598</v>
      </c>
      <c r="E94" s="1014" t="str">
        <f>"= Adjusted Gross Annual Propane Savings (MMBtu) x Measure Life"</f>
        <v>= Adjusted Gross Annual Propane Savings (MMBtu) x Measure Life</v>
      </c>
    </row>
    <row r="95" spans="1:5">
      <c r="A95" s="1013"/>
      <c r="C95" s="1023" t="s">
        <v>587</v>
      </c>
      <c r="E95" s="1014" t="str">
        <f>"= Adjusted Gross Annual Propane Savings (MMBtu) x Net to Gross"</f>
        <v>= Adjusted Gross Annual Propane Savings (MMBtu) x Net to Gross</v>
      </c>
    </row>
    <row r="96" spans="1:5">
      <c r="C96" s="1023" t="s">
        <v>588</v>
      </c>
      <c r="E96" s="1014" t="str">
        <f>"= Adjusted Net Annual Propane Savings (MMBtu) x Measure Life"</f>
        <v>= Adjusted Net Annual Propane Savings (MMBtu) x Measure Life</v>
      </c>
    </row>
    <row r="97" spans="3:5">
      <c r="C97" s="1023" t="s">
        <v>589</v>
      </c>
      <c r="E97" s="1014" t="str">
        <f>"= Quantity x Res Water Savings (Gallons per Year) x In-Service rate x Non Electric Realization Rate x Net to Gross"</f>
        <v>= Quantity x Res Water Savings (Gallons per Year) x In-Service rate x Non Electric Realization Rate x Net to Gross</v>
      </c>
    </row>
    <row r="98" spans="3:5">
      <c r="C98" s="1023" t="s">
        <v>590</v>
      </c>
      <c r="E98" s="1014" t="str">
        <f>"= Quantity x C&amp;I Water Savings (Gallons per Year) x In-Service rate x Non Electric Realization Rate x Net to Gross"</f>
        <v>= Quantity x C&amp;I Water Savings (Gallons per Year) x In-Service rate x Non Electric Realization Rate x Net to Gross</v>
      </c>
    </row>
    <row r="99" spans="3:5">
      <c r="C99" s="1023" t="s">
        <v>591</v>
      </c>
      <c r="E99" s="1014" t="str">
        <f>"= Quantity x C&amp;I Sewer Savings (Gallons per Year) x In-Service rate x Non Electric Realization Rate x Net to Gross"</f>
        <v>= Quantity x C&amp;I Sewer Savings (Gallons per Year) x In-Service rate x Non Electric Realization Rate x Net to Gross</v>
      </c>
    </row>
    <row r="100" spans="3:5">
      <c r="C100" s="1023" t="s">
        <v>592</v>
      </c>
      <c r="E100" s="1015" t="str">
        <f>"=(Net Annual Res Water  &amp; Sewer Savings Gallons + Net Annual C&amp;I Water Savings +Net Annual C&amp;I Sewer Savings) x Measure Life"</f>
        <v>=(Net Annual Res Water  &amp; Sewer Savings Gallons + Net Annual C&amp;I Water Savings +Net Annual C&amp;I Sewer Savings) x Measure Life</v>
      </c>
    </row>
    <row r="101" spans="3:5">
      <c r="C101" s="1023" t="s">
        <v>550</v>
      </c>
      <c r="E101" s="1014" t="str">
        <f>"= Net Annual MWh Savings x [Period] Energy % x [Period] Line Loss % x  Net Present Value of [Period] Avoided Energy Cost over Measure Life"</f>
        <v>= Net Annual MWh Savings x [Period] Energy % x [Period] Line Loss % x  Net Present Value of [Period] Avoided Energy Cost over Measure Life</v>
      </c>
    </row>
    <row r="102" spans="3:5">
      <c r="C102" s="1023" t="s">
        <v>551</v>
      </c>
      <c r="E102" s="1014" t="str">
        <f t="shared" ref="E102:E104" si="0">"= Net Annual MWh Savings x [Period] Energy % x [Period] Line Loss % x  Net Present Value of [Period] Avoided Energy Cost over Measure Life"</f>
        <v>= Net Annual MWh Savings x [Period] Energy % x [Period] Line Loss % x  Net Present Value of [Period] Avoided Energy Cost over Measure Life</v>
      </c>
    </row>
    <row r="103" spans="3:5">
      <c r="C103" s="1023" t="s">
        <v>552</v>
      </c>
      <c r="E103" s="1014" t="str">
        <f t="shared" si="0"/>
        <v>= Net Annual MWh Savings x [Period] Energy % x [Period] Line Loss % x  Net Present Value of [Period] Avoided Energy Cost over Measure Life</v>
      </c>
    </row>
    <row r="104" spans="3:5">
      <c r="C104" s="1023" t="s">
        <v>553</v>
      </c>
      <c r="E104" s="1014" t="str">
        <f t="shared" si="0"/>
        <v>= Net Annual MWh Savings x [Period] Energy % x [Period] Line Loss % x  Net Present Value of [Period] Avoided Energy Cost over Measure Life</v>
      </c>
    </row>
    <row r="105" spans="3:5">
      <c r="C105" s="1023" t="s">
        <v>554</v>
      </c>
      <c r="E105" s="1014" t="str">
        <f>"= Sum of Energy Benefits"</f>
        <v>= Sum of Energy Benefits</v>
      </c>
    </row>
    <row r="106" spans="3:5">
      <c r="C106" s="1023" t="s">
        <v>555</v>
      </c>
      <c r="E106" s="1014" t="s">
        <v>1640</v>
      </c>
    </row>
    <row r="107" spans="3:5">
      <c r="C107" s="1023" t="s">
        <v>556</v>
      </c>
      <c r="E107" s="1014" t="s">
        <v>1640</v>
      </c>
    </row>
    <row r="108" spans="3:5">
      <c r="C108" s="1023" t="s">
        <v>557</v>
      </c>
      <c r="E108" s="1014" t="s">
        <v>1640</v>
      </c>
    </row>
    <row r="109" spans="3:5">
      <c r="C109" s="1023" t="s">
        <v>558</v>
      </c>
      <c r="E109" s="1014" t="s">
        <v>1640</v>
      </c>
    </row>
    <row r="110" spans="3:5">
      <c r="C110" s="1023" t="s">
        <v>680</v>
      </c>
      <c r="E110" s="1014" t="s">
        <v>1641</v>
      </c>
    </row>
    <row r="111" spans="3:5">
      <c r="C111" s="1023" t="s">
        <v>683</v>
      </c>
      <c r="E111" s="1014" t="s">
        <v>1641</v>
      </c>
    </row>
    <row r="112" spans="3:5">
      <c r="C112" s="1023" t="s">
        <v>559</v>
      </c>
      <c r="E112" s="1014" t="str">
        <f>"= Sum of Energy DRIPE and Energy Electric Cross DRIPE Benefits"</f>
        <v>= Sum of Energy DRIPE and Energy Electric Cross DRIPE Benefits</v>
      </c>
    </row>
    <row r="113" spans="3:5">
      <c r="C113" s="1023" t="s">
        <v>560</v>
      </c>
      <c r="E113" s="1014" t="str">
        <f>"= Total Avoided Electric Benefits + Total Energy DRIPE Benefits"</f>
        <v>= Total Avoided Electric Benefits + Total Energy DRIPE Benefits</v>
      </c>
    </row>
    <row r="114" spans="3:5">
      <c r="C114" s="1023" t="s">
        <v>563</v>
      </c>
      <c r="E114" s="1014" t="str">
        <f>"= Annual Net Summer kw x Summer Generation Line Loss % x  Net Present Value of Avoided Summer Generation Capacity Cost over Measure Life"</f>
        <v>= Annual Net Summer kw x Summer Generation Line Loss % x  Net Present Value of Avoided Summer Generation Capacity Cost over Measure Life</v>
      </c>
    </row>
    <row r="115" spans="3:5">
      <c r="C115" s="1023" t="s">
        <v>565</v>
      </c>
      <c r="E115" s="1014" t="str">
        <f>"= Annual Net Winter kw x Summer Generation Line Loss % x  Net Present Value of Avoided Winterr Generation Capacity Cost over Measure Life"</f>
        <v>= Annual Net Winter kw x Summer Generation Line Loss % x  Net Present Value of Avoided Winterr Generation Capacity Cost over Measure Life</v>
      </c>
    </row>
    <row r="116" spans="3:5">
      <c r="C116" s="1023" t="s">
        <v>564</v>
      </c>
      <c r="E116" s="1014" t="str">
        <f>"=Annual Net Summer kw x Summer Generation Line Loss % x  Net Present Value of Electric Capacity DRIPE over Measure Life"</f>
        <v>=Annual Net Summer kw x Summer Generation Line Loss % x  Net Present Value of Electric Capacity DRIPE over Measure Life</v>
      </c>
    </row>
    <row r="117" spans="3:5">
      <c r="C117" s="1023" t="s">
        <v>567</v>
      </c>
      <c r="E117" s="1014" t="str">
        <f>"= Annual Net Summer kw x Transmission Line Loss % x  Net Present Value of Avoided Transmission Cost over Measure Life"</f>
        <v>= Annual Net Summer kw x Transmission Line Loss % x  Net Present Value of Avoided Transmission Cost over Measure Life</v>
      </c>
    </row>
    <row r="118" spans="3:5">
      <c r="C118" s="1023" t="s">
        <v>568</v>
      </c>
      <c r="E118" s="1014" t="str">
        <f>"= Annual Net Summer kw x Distribution Line Loss % x  Net Present Value of Avoided Distribution Cost over Measure Life"</f>
        <v>= Annual Net Summer kw x Distribution Line Loss % x  Net Present Value of Avoided Distribution Cost over Measure Life</v>
      </c>
    </row>
    <row r="119" spans="3:5">
      <c r="C119" s="1023" t="s">
        <v>561</v>
      </c>
      <c r="E119" s="1014" t="str">
        <f>"= Sum of Generation, Capacity DRIPE, Transmission and Distribution Benefits"</f>
        <v>= Sum of Generation, Capacity DRIPE, Transmission and Distribution Benefits</v>
      </c>
    </row>
    <row r="120" spans="3:5">
      <c r="C120" s="1023" t="s">
        <v>566</v>
      </c>
      <c r="E120" s="1014" t="str">
        <f>"= Sum of Total Electric Energy and Total Electric Capacity Benefits"</f>
        <v>= Sum of Total Electric Energy and Total Electric Capacity Benefits</v>
      </c>
    </row>
    <row r="121" spans="3:5">
      <c r="C121" s="1023" t="s">
        <v>407</v>
      </c>
      <c r="E121" s="1014" t="str">
        <f>"= Net Annual Natural Gas [End Use] Savings x  Net Present Value of Natural Gas [End Use] Avoided Energy Cost over Measure Life"</f>
        <v>= Net Annual Natural Gas [End Use] Savings x  Net Present Value of Natural Gas [End Use] Avoided Energy Cost over Measure Life</v>
      </c>
    </row>
    <row r="122" spans="3:5">
      <c r="C122" s="1023" t="s">
        <v>40</v>
      </c>
      <c r="E122" s="1014" t="str">
        <f t="shared" ref="E122:E127" si="1">"= Net Annual Natural Gas [End Use] Savings x  Net Present Value of Natural Gas [End Use] Avoided Energy Cost over Measure Life"</f>
        <v>= Net Annual Natural Gas [End Use] Savings x  Net Present Value of Natural Gas [End Use] Avoided Energy Cost over Measure Life</v>
      </c>
    </row>
    <row r="123" spans="3:5">
      <c r="C123" s="1023" t="s">
        <v>404</v>
      </c>
      <c r="E123" s="1014" t="str">
        <f t="shared" si="1"/>
        <v>= Net Annual Natural Gas [End Use] Savings x  Net Present Value of Natural Gas [End Use] Avoided Energy Cost over Measure Life</v>
      </c>
    </row>
    <row r="124" spans="3:5">
      <c r="C124" s="1023" t="s">
        <v>405</v>
      </c>
      <c r="E124" s="1014" t="str">
        <f t="shared" si="1"/>
        <v>= Net Annual Natural Gas [End Use] Savings x  Net Present Value of Natural Gas [End Use] Avoided Energy Cost over Measure Life</v>
      </c>
    </row>
    <row r="125" spans="3:5">
      <c r="C125" s="1023" t="s">
        <v>406</v>
      </c>
      <c r="E125" s="1014" t="str">
        <f t="shared" si="1"/>
        <v>= Net Annual Natural Gas [End Use] Savings x  Net Present Value of Natural Gas [End Use] Avoided Energy Cost over Measure Life</v>
      </c>
    </row>
    <row r="126" spans="3:5">
      <c r="C126" s="1023" t="s">
        <v>87</v>
      </c>
      <c r="E126" s="1014" t="str">
        <f t="shared" si="1"/>
        <v>= Net Annual Natural Gas [End Use] Savings x  Net Present Value of Natural Gas [End Use] Avoided Energy Cost over Measure Life</v>
      </c>
    </row>
    <row r="127" spans="3:5">
      <c r="C127" s="1023" t="s">
        <v>200</v>
      </c>
      <c r="E127" s="1014" t="str">
        <f t="shared" si="1"/>
        <v>= Net Annual Natural Gas [End Use] Savings x  Net Present Value of Natural Gas [End Use] Avoided Energy Cost over Measure Life</v>
      </c>
    </row>
    <row r="128" spans="3:5">
      <c r="C128" s="1023" t="s">
        <v>569</v>
      </c>
      <c r="E128" s="1014" t="str">
        <f>"= Sum of Natural Gas [End Use]  Benefits"</f>
        <v>= Sum of Natural Gas [End Use]  Benefits</v>
      </c>
    </row>
    <row r="129" spans="3:5">
      <c r="C129" s="1023" t="s">
        <v>296</v>
      </c>
      <c r="E129" s="1014" t="str">
        <f>"=Net Annual Gas Savings x Net Present Value of Gas Supply DRIPE over Measure Life"</f>
        <v>=Net Annual Gas Savings x Net Present Value of Gas Supply DRIPE over Measure Life</v>
      </c>
    </row>
    <row r="130" spans="3:5">
      <c r="C130" s="1023" t="s">
        <v>409</v>
      </c>
      <c r="E130" s="1014" t="str">
        <f>"= Net Annual Gas [End Use] Savings x  Net Present Value of Natural Gas [End Use] to Electric DRIPE over Measure Life"</f>
        <v>= Net Annual Gas [End Use] Savings x  Net Present Value of Natural Gas [End Use] to Electric DRIPE over Measure Life</v>
      </c>
    </row>
    <row r="131" spans="3:5">
      <c r="C131" s="1023" t="s">
        <v>687</v>
      </c>
      <c r="E131" s="1014" t="str">
        <f t="shared" ref="E131:E136" si="2">"= Net Annual Gas [End Use] Savings x  Net Present Value of Natural Gas [End Use] to Electric DRIPE over Measure Life"</f>
        <v>= Net Annual Gas [End Use] Savings x  Net Present Value of Natural Gas [End Use] to Electric DRIPE over Measure Life</v>
      </c>
    </row>
    <row r="132" spans="3:5">
      <c r="C132" s="1023" t="s">
        <v>688</v>
      </c>
      <c r="E132" s="1014" t="str">
        <f t="shared" si="2"/>
        <v>= Net Annual Gas [End Use] Savings x  Net Present Value of Natural Gas [End Use] to Electric DRIPE over Measure Life</v>
      </c>
    </row>
    <row r="133" spans="3:5">
      <c r="C133" s="1023" t="s">
        <v>689</v>
      </c>
      <c r="E133" s="1014" t="str">
        <f t="shared" si="2"/>
        <v>= Net Annual Gas [End Use] Savings x  Net Present Value of Natural Gas [End Use] to Electric DRIPE over Measure Life</v>
      </c>
    </row>
    <row r="134" spans="3:5">
      <c r="C134" s="1023" t="s">
        <v>408</v>
      </c>
      <c r="E134" s="1014" t="str">
        <f t="shared" si="2"/>
        <v>= Net Annual Gas [End Use] Savings x  Net Present Value of Natural Gas [End Use] to Electric DRIPE over Measure Life</v>
      </c>
    </row>
    <row r="135" spans="3:5">
      <c r="C135" s="1023" t="s">
        <v>691</v>
      </c>
      <c r="E135" s="1014" t="str">
        <f t="shared" si="2"/>
        <v>= Net Annual Gas [End Use] Savings x  Net Present Value of Natural Gas [End Use] to Electric DRIPE over Measure Life</v>
      </c>
    </row>
    <row r="136" spans="3:5">
      <c r="C136" s="1023" t="s">
        <v>690</v>
      </c>
      <c r="E136" s="1014" t="str">
        <f t="shared" si="2"/>
        <v>= Net Annual Gas [End Use] Savings x  Net Present Value of Natural Gas [End Use] to Electric DRIPE over Measure Life</v>
      </c>
    </row>
    <row r="137" spans="3:5">
      <c r="C137" s="1023" t="s">
        <v>523</v>
      </c>
      <c r="E137" s="1014" t="str">
        <f>"= Sum of Natural Gas DRIPE  Benefits"</f>
        <v>= Sum of Natural Gas DRIPE  Benefits</v>
      </c>
    </row>
    <row r="138" spans="3:5">
      <c r="C138" s="1023" t="s">
        <v>574</v>
      </c>
      <c r="E138" s="1014" t="str">
        <f>"= Total Avoided Gas Benefits + Total Gas DRIPE"</f>
        <v>= Total Avoided Gas Benefits + Total Gas DRIPE</v>
      </c>
    </row>
    <row r="139" spans="3:5">
      <c r="C139" s="1023" t="s">
        <v>33</v>
      </c>
      <c r="E139" s="1014" t="str">
        <f>"= Net Annual Oil [Sector] Savings x  Net Present Value of Fuel Oil [Sector] Avoided Energy Cost over Measure Life"</f>
        <v>= Net Annual Oil [Sector] Savings x  Net Present Value of Fuel Oil [Sector] Avoided Energy Cost over Measure Life</v>
      </c>
    </row>
    <row r="140" spans="3:5">
      <c r="C140" s="1023" t="s">
        <v>712</v>
      </c>
      <c r="E140" s="1014" t="str">
        <f>"= Net Annual Oil [Sector] Savings x  Net Present Value of Fuel Oil [Sector] Avoided Energy Cost over Measure Life"</f>
        <v>= Net Annual Oil [Sector] Savings x  Net Present Value of Fuel Oil [Sector] Avoided Energy Cost over Measure Life</v>
      </c>
    </row>
    <row r="141" spans="3:5">
      <c r="C141" s="1023" t="s">
        <v>34</v>
      </c>
      <c r="E141" s="1014" t="str">
        <f>"= Net Annual Propane Savings x  Net Present Value of Propane Avoided Energy Cost over Measure Life"</f>
        <v>= Net Annual Propane Savings x  Net Present Value of Propane Avoided Energy Cost over Measure Life</v>
      </c>
    </row>
    <row r="142" spans="3:5">
      <c r="C142" s="1023" t="s">
        <v>202</v>
      </c>
      <c r="E142" s="1014" t="str">
        <f>"= Net Annual Res Water Savings x  Net Present Value of Propane Avoided Energy Cost over Measure Life"</f>
        <v>= Net Annual Res Water Savings x  Net Present Value of Propane Avoided Energy Cost over Measure Life</v>
      </c>
    </row>
    <row r="143" spans="3:5">
      <c r="C143" s="1023" t="s">
        <v>203</v>
      </c>
      <c r="E143" s="1014" t="str">
        <f>"= Net Annual C&amp;I Water Savings x  Net Present Value of C&amp;I Water Cost over Measure Life"</f>
        <v>= Net Annual C&amp;I Water Savings x  Net Present Value of C&amp;I Water Cost over Measure Life</v>
      </c>
    </row>
    <row r="144" spans="3:5">
      <c r="C144" s="1023" t="s">
        <v>204</v>
      </c>
      <c r="E144" s="1014" t="str">
        <f>"= Net Annual C&amp;I Sewer Savings x  Net Present Value of C&amp;I Sewer Cost over Measure Life"</f>
        <v>= Net Annual C&amp;I Sewer Savings x  Net Present Value of C&amp;I Sewer Cost over Measure Life</v>
      </c>
    </row>
    <row r="145" spans="3:5">
      <c r="C145" s="1023" t="s">
        <v>526</v>
      </c>
      <c r="E145" s="1014" t="str">
        <f>"= Sum of Total Gas, Fuel Oil, Propane, Water and Sewer Benefits"</f>
        <v>= Sum of Total Gas, Fuel Oil, Propane, Water and Sewer Benefits</v>
      </c>
    </row>
    <row r="146" spans="3:5">
      <c r="C146" s="1023" t="s">
        <v>576</v>
      </c>
      <c r="E146" s="1014" t="str">
        <f>"= Quantity x Net Present Value of Annual per Unit NEI over Measure Life x In-Service Rate  x Net to Gross"</f>
        <v>= Quantity x Net Present Value of Annual per Unit NEI over Measure Life x In-Service Rate  x Net to Gross</v>
      </c>
    </row>
    <row r="147" spans="3:5">
      <c r="C147" s="1023" t="s">
        <v>577</v>
      </c>
      <c r="E147" s="1014" t="str">
        <f>"= Quantity x Net Present Value of One time per Unit NEI x In-Service Rate  x Net to Gross"</f>
        <v>= Quantity x Net Present Value of One time per Unit NEI x In-Service Rate  x Net to Gross</v>
      </c>
    </row>
    <row r="148" spans="3:5">
      <c r="C148" s="1023" t="s">
        <v>578</v>
      </c>
      <c r="E148" s="1014" t="str">
        <f>"= Quantity x Net Present Value of Annual per kWh NEI over Measure Life x In-Service Rate  x Net to Gross"</f>
        <v>= Quantity x Net Present Value of Annual per kWh NEI over Measure Life x In-Service Rate  x Net to Gross</v>
      </c>
    </row>
    <row r="149" spans="3:5">
      <c r="C149" s="1023" t="s">
        <v>575</v>
      </c>
      <c r="E149" s="1014" t="str">
        <f>"= Quantity x Net Present Value of One time per kWh NEI x In-Service Rate  x Net to Gross"</f>
        <v>= Quantity x Net Present Value of One time per kWh NEI x In-Service Rate  x Net to Gross</v>
      </c>
    </row>
    <row r="150" spans="3:5">
      <c r="C150" s="1023" t="s">
        <v>579</v>
      </c>
      <c r="E150" s="1014" t="str">
        <f>"= Quantity x Net Present Value of Annual per Therm NEI over Measure Life x In-Service Rate  x Net to Gross"</f>
        <v>= Quantity x Net Present Value of Annual per Therm NEI over Measure Life x In-Service Rate  x Net to Gross</v>
      </c>
    </row>
    <row r="151" spans="3:5">
      <c r="C151" s="1023" t="s">
        <v>580</v>
      </c>
      <c r="E151" s="1014" t="str">
        <f>"= Quantity x Net Present Value of One time per Therm NEI  x In-Service Rate  x Net to Gross"</f>
        <v>= Quantity x Net Present Value of One time per Therm NEI  x In-Service Rate  x Net to Gross</v>
      </c>
    </row>
    <row r="152" spans="3:5">
      <c r="C152" s="1023" t="s">
        <v>581</v>
      </c>
      <c r="E152" s="1014" t="str">
        <f>"= Sum of NEI Benefits"</f>
        <v>= Sum of NEI Benefits</v>
      </c>
    </row>
    <row r="153" spans="3:5">
      <c r="C153" s="1023" t="s">
        <v>599</v>
      </c>
      <c r="E153" s="1014" t="str">
        <f>"= Total Electric Benefits + Total Non-Electric Resource Benefits +Total Lifetime Non-Resource Benefits"</f>
        <v>= Total Electric Benefits + Total Non-Electric Resource Benefits +Total Lifetime Non-Resource Benefits</v>
      </c>
    </row>
    <row r="154" spans="3:5">
      <c r="C154" s="1023" t="s">
        <v>192</v>
      </c>
      <c r="E154" s="1015" t="s">
        <v>1642</v>
      </c>
    </row>
    <row r="155" spans="3:5">
      <c r="C155" s="1023" t="s">
        <v>193</v>
      </c>
      <c r="E155" s="1015" t="s">
        <v>1643</v>
      </c>
    </row>
    <row r="156" spans="3:5">
      <c r="C156" s="1023" t="s">
        <v>194</v>
      </c>
      <c r="E156" s="1015" t="s">
        <v>1644</v>
      </c>
    </row>
    <row r="157" spans="3:5">
      <c r="C157" s="1023" t="s">
        <v>195</v>
      </c>
      <c r="E157" s="1015" t="s">
        <v>1645</v>
      </c>
    </row>
    <row r="158" spans="3:5">
      <c r="C158" s="1023" t="s">
        <v>196</v>
      </c>
      <c r="E158" s="1015" t="s">
        <v>1646</v>
      </c>
    </row>
    <row r="159" spans="3:5">
      <c r="C159" s="1023" t="s">
        <v>197</v>
      </c>
      <c r="E159" s="1015" t="s">
        <v>1647</v>
      </c>
    </row>
    <row r="160" spans="3:5">
      <c r="C160" s="1023" t="s">
        <v>287</v>
      </c>
      <c r="E160" s="1015" t="s">
        <v>1648</v>
      </c>
    </row>
    <row r="161" spans="1:5">
      <c r="C161" s="1023" t="s">
        <v>199</v>
      </c>
      <c r="E161" s="1015" t="s">
        <v>1649</v>
      </c>
    </row>
    <row r="162" spans="1:5">
      <c r="E162" s="1014" t="s">
        <v>1650</v>
      </c>
    </row>
    <row r="165" spans="1:5">
      <c r="A165" s="1013" t="s">
        <v>1651</v>
      </c>
      <c r="B165" s="1022" t="s">
        <v>1652</v>
      </c>
      <c r="C165" s="1023" t="s">
        <v>419</v>
      </c>
      <c r="E165" s="1014" t="s">
        <v>1653</v>
      </c>
    </row>
    <row r="166" spans="1:5">
      <c r="B166" s="1022" t="s">
        <v>1654</v>
      </c>
      <c r="C166" s="1023" t="s">
        <v>420</v>
      </c>
      <c r="E166" s="1014" t="s">
        <v>1655</v>
      </c>
    </row>
    <row r="167" spans="1:5">
      <c r="C167" s="1023" t="s">
        <v>421</v>
      </c>
      <c r="E167" s="1014" t="s">
        <v>1656</v>
      </c>
    </row>
    <row r="168" spans="1:5">
      <c r="C168" s="1023" t="s">
        <v>422</v>
      </c>
      <c r="E168" s="1014" t="s">
        <v>1657</v>
      </c>
    </row>
    <row r="169" spans="1:5">
      <c r="C169" s="1023" t="s">
        <v>423</v>
      </c>
      <c r="E169" s="1014" t="s">
        <v>1591</v>
      </c>
    </row>
    <row r="170" spans="1:5">
      <c r="C170" s="1023" t="s">
        <v>424</v>
      </c>
      <c r="E170" s="1014" t="s">
        <v>1658</v>
      </c>
    </row>
    <row r="171" spans="1:5">
      <c r="C171" s="1027" t="s">
        <v>426</v>
      </c>
      <c r="E171" s="1014" t="s">
        <v>1659</v>
      </c>
    </row>
    <row r="173" spans="1:5">
      <c r="A173" s="1013" t="s">
        <v>1660</v>
      </c>
      <c r="B173" s="1022" t="s">
        <v>1661</v>
      </c>
      <c r="E173" s="1028"/>
    </row>
    <row r="174" spans="1:5">
      <c r="A174" s="1013" t="s">
        <v>293</v>
      </c>
      <c r="B174" s="1022" t="s">
        <v>293</v>
      </c>
    </row>
    <row r="175" spans="1:5">
      <c r="A175" s="1013" t="s">
        <v>1662</v>
      </c>
      <c r="B175" s="1022" t="s">
        <v>1663</v>
      </c>
    </row>
    <row r="176" spans="1:5">
      <c r="B176" s="1022" t="s">
        <v>1664</v>
      </c>
    </row>
    <row r="178" spans="1:6">
      <c r="A178" s="1013" t="s">
        <v>1665</v>
      </c>
      <c r="B178" s="1022" t="s">
        <v>1666</v>
      </c>
    </row>
    <row r="179" spans="1:6">
      <c r="B179" s="1022" t="s">
        <v>1667</v>
      </c>
    </row>
    <row r="181" spans="1:6">
      <c r="A181" s="1013" t="s">
        <v>1668</v>
      </c>
      <c r="B181" s="1022" t="s">
        <v>1669</v>
      </c>
    </row>
    <row r="182" spans="1:6">
      <c r="B182" s="1022" t="s">
        <v>293</v>
      </c>
    </row>
    <row r="184" spans="1:6">
      <c r="A184" s="1013" t="s">
        <v>1670</v>
      </c>
      <c r="B184" s="1029" t="s">
        <v>1671</v>
      </c>
    </row>
    <row r="185" spans="1:6">
      <c r="B185" s="1029" t="s">
        <v>1672</v>
      </c>
    </row>
    <row r="186" spans="1:6">
      <c r="B186" s="1029" t="s">
        <v>1673</v>
      </c>
    </row>
    <row r="188" spans="1:6">
      <c r="A188" s="1030" t="s">
        <v>1674</v>
      </c>
      <c r="B188" s="1025"/>
    </row>
    <row r="189" spans="1:6">
      <c r="A189" s="1031" t="s">
        <v>1675</v>
      </c>
      <c r="B189" s="1032" t="s">
        <v>1676</v>
      </c>
    </row>
    <row r="190" spans="1:6">
      <c r="A190" s="1031" t="s">
        <v>1677</v>
      </c>
      <c r="B190" s="1032" t="s">
        <v>1678</v>
      </c>
      <c r="F190" s="1028"/>
    </row>
    <row r="191" spans="1:6">
      <c r="A191" s="1031" t="s">
        <v>1679</v>
      </c>
      <c r="B191" s="1032" t="s">
        <v>1408</v>
      </c>
      <c r="C191" s="1014" t="s">
        <v>293</v>
      </c>
    </row>
    <row r="192" spans="1:6">
      <c r="A192" s="1031" t="s">
        <v>1680</v>
      </c>
      <c r="B192" s="1032" t="s">
        <v>1681</v>
      </c>
    </row>
    <row r="193" spans="1:3">
      <c r="A193" s="1031" t="s">
        <v>1682</v>
      </c>
      <c r="B193" s="1032" t="s">
        <v>1683</v>
      </c>
      <c r="C193" s="1014" t="s">
        <v>293</v>
      </c>
    </row>
    <row r="194" spans="1:3">
      <c r="A194" s="1023" t="s">
        <v>1684</v>
      </c>
      <c r="B194" s="1032" t="s">
        <v>1685</v>
      </c>
    </row>
    <row r="195" spans="1:3">
      <c r="A195" s="1031" t="s">
        <v>1686</v>
      </c>
      <c r="B195" s="1032" t="s">
        <v>1687</v>
      </c>
    </row>
    <row r="196" spans="1:3">
      <c r="A196" s="1031" t="s">
        <v>1688</v>
      </c>
      <c r="B196" s="1032" t="s">
        <v>1689</v>
      </c>
    </row>
    <row r="197" spans="1:3">
      <c r="A197" s="1031" t="s">
        <v>1690</v>
      </c>
      <c r="B197" s="1032" t="s">
        <v>1691</v>
      </c>
    </row>
    <row r="198" spans="1:3">
      <c r="A198" s="1031" t="s">
        <v>1692</v>
      </c>
      <c r="B198" s="1032" t="s">
        <v>1693</v>
      </c>
    </row>
    <row r="199" spans="1:3">
      <c r="A199" s="1023" t="s">
        <v>1694</v>
      </c>
      <c r="B199" s="1032" t="s">
        <v>1695</v>
      </c>
    </row>
    <row r="200" spans="1:3">
      <c r="A200" s="1023" t="s">
        <v>1696</v>
      </c>
      <c r="B200" s="1032" t="s">
        <v>452</v>
      </c>
    </row>
    <row r="201" spans="1:3">
      <c r="A201" s="1031" t="s">
        <v>1697</v>
      </c>
      <c r="B201" s="1032" t="s">
        <v>1698</v>
      </c>
    </row>
    <row r="202" spans="1:3">
      <c r="A202" s="1031" t="s">
        <v>1699</v>
      </c>
      <c r="B202" s="1032" t="s">
        <v>1700</v>
      </c>
    </row>
    <row r="203" spans="1:3">
      <c r="A203" s="1031" t="s">
        <v>1701</v>
      </c>
      <c r="B203" s="1032" t="s">
        <v>1702</v>
      </c>
    </row>
    <row r="204" spans="1:3">
      <c r="A204" s="1031" t="s">
        <v>1703</v>
      </c>
      <c r="B204" s="1032" t="s">
        <v>1704</v>
      </c>
    </row>
    <row r="205" spans="1:3">
      <c r="A205" s="1031" t="s">
        <v>1705</v>
      </c>
      <c r="B205" s="1032" t="s">
        <v>1706</v>
      </c>
    </row>
    <row r="206" spans="1:3">
      <c r="A206" s="1023" t="s">
        <v>1707</v>
      </c>
      <c r="B206" s="1032" t="s">
        <v>1708</v>
      </c>
    </row>
    <row r="207" spans="1:3">
      <c r="A207" s="1023" t="s">
        <v>1709</v>
      </c>
      <c r="B207" s="1014" t="s">
        <v>1710</v>
      </c>
    </row>
    <row r="208" spans="1:3">
      <c r="A208" s="1031" t="s">
        <v>1711</v>
      </c>
      <c r="B208" s="1032" t="s">
        <v>1712</v>
      </c>
    </row>
    <row r="209" spans="1:2">
      <c r="A209" s="1031" t="s">
        <v>1713</v>
      </c>
      <c r="B209" s="1032" t="s">
        <v>1714</v>
      </c>
    </row>
    <row r="210" spans="1:2">
      <c r="A210" s="1031" t="s">
        <v>1715</v>
      </c>
      <c r="B210" s="1032" t="s">
        <v>1716</v>
      </c>
    </row>
    <row r="211" spans="1:2">
      <c r="A211" s="1031" t="s">
        <v>1717</v>
      </c>
      <c r="B211" s="1032" t="s">
        <v>1718</v>
      </c>
    </row>
    <row r="212" spans="1:2">
      <c r="A212" s="1031" t="s">
        <v>1719</v>
      </c>
      <c r="B212" s="1032" t="s">
        <v>1720</v>
      </c>
    </row>
    <row r="213" spans="1:2">
      <c r="A213" s="1031" t="s">
        <v>1721</v>
      </c>
      <c r="B213" s="1032" t="s">
        <v>1722</v>
      </c>
    </row>
    <row r="214" spans="1:2">
      <c r="A214" s="1023" t="s">
        <v>1723</v>
      </c>
      <c r="B214" s="1032" t="s">
        <v>1724</v>
      </c>
    </row>
    <row r="215" spans="1:2">
      <c r="A215" s="1031" t="s">
        <v>1247</v>
      </c>
      <c r="B215" s="1032" t="s">
        <v>1725</v>
      </c>
    </row>
    <row r="216" spans="1:2">
      <c r="A216" s="1023" t="s">
        <v>1726</v>
      </c>
      <c r="B216" s="1032" t="s">
        <v>1727</v>
      </c>
    </row>
    <row r="217" spans="1:2">
      <c r="A217" s="1031" t="s">
        <v>1728</v>
      </c>
      <c r="B217" s="1032" t="s">
        <v>1729</v>
      </c>
    </row>
    <row r="218" spans="1:2">
      <c r="A218" s="1031" t="s">
        <v>1730</v>
      </c>
      <c r="B218" s="1032" t="s">
        <v>1391</v>
      </c>
    </row>
    <row r="219" spans="1:2">
      <c r="A219" s="1031" t="s">
        <v>1731</v>
      </c>
      <c r="B219" s="1032" t="s">
        <v>1732</v>
      </c>
    </row>
    <row r="220" spans="1:2">
      <c r="A220" s="1031" t="s">
        <v>1733</v>
      </c>
      <c r="B220" s="1032" t="s">
        <v>1734</v>
      </c>
    </row>
    <row r="221" spans="1:2">
      <c r="A221" s="1031" t="s">
        <v>1735</v>
      </c>
      <c r="B221" s="1032" t="s">
        <v>1736</v>
      </c>
    </row>
    <row r="222" spans="1:2">
      <c r="A222" s="1031" t="s">
        <v>1737</v>
      </c>
      <c r="B222" s="1032" t="s">
        <v>1738</v>
      </c>
    </row>
    <row r="223" spans="1:2">
      <c r="A223" s="1023" t="s">
        <v>1739</v>
      </c>
      <c r="B223" s="1032" t="s">
        <v>1740</v>
      </c>
    </row>
    <row r="224" spans="1:2">
      <c r="A224" s="1031" t="s">
        <v>1741</v>
      </c>
      <c r="B224" s="1032" t="s">
        <v>1742</v>
      </c>
    </row>
    <row r="225" spans="1:2">
      <c r="A225" s="1031" t="s">
        <v>1517</v>
      </c>
      <c r="B225" s="1032" t="s">
        <v>1743</v>
      </c>
    </row>
    <row r="226" spans="1:2">
      <c r="A226" s="1031" t="s">
        <v>1744</v>
      </c>
      <c r="B226" s="1032" t="s">
        <v>1745</v>
      </c>
    </row>
    <row r="227" spans="1:2">
      <c r="A227" s="1031" t="s">
        <v>1746</v>
      </c>
      <c r="B227" s="1032" t="s">
        <v>1747</v>
      </c>
    </row>
    <row r="228" spans="1:2">
      <c r="A228" s="1031" t="s">
        <v>1748</v>
      </c>
      <c r="B228" s="1032" t="s">
        <v>1749</v>
      </c>
    </row>
    <row r="229" spans="1:2">
      <c r="A229" s="1031" t="s">
        <v>1750</v>
      </c>
      <c r="B229" s="1032" t="s">
        <v>1751</v>
      </c>
    </row>
    <row r="230" spans="1:2">
      <c r="A230" s="1031" t="s">
        <v>1752</v>
      </c>
      <c r="B230" s="1032" t="s">
        <v>1753</v>
      </c>
    </row>
    <row r="231" spans="1:2">
      <c r="A231" s="1031" t="s">
        <v>1754</v>
      </c>
      <c r="B231" s="1032" t="s">
        <v>1755</v>
      </c>
    </row>
    <row r="232" spans="1:2">
      <c r="A232" s="1031" t="s">
        <v>1756</v>
      </c>
      <c r="B232" s="1032" t="s">
        <v>1757</v>
      </c>
    </row>
    <row r="233" spans="1:2">
      <c r="A233" s="1023" t="s">
        <v>1758</v>
      </c>
      <c r="B233" s="1032" t="s">
        <v>1759</v>
      </c>
    </row>
    <row r="234" spans="1:2">
      <c r="A234" s="1031" t="s">
        <v>1760</v>
      </c>
      <c r="B234" s="1032" t="s">
        <v>1761</v>
      </c>
    </row>
    <row r="235" spans="1:2">
      <c r="A235" s="1023" t="s">
        <v>1762</v>
      </c>
      <c r="B235" s="1032" t="s">
        <v>1763</v>
      </c>
    </row>
    <row r="236" spans="1:2">
      <c r="A236" s="1031" t="s">
        <v>1764</v>
      </c>
      <c r="B236" s="1032" t="s">
        <v>1765</v>
      </c>
    </row>
    <row r="237" spans="1:2">
      <c r="A237" s="1031" t="s">
        <v>1766</v>
      </c>
      <c r="B237" s="1032" t="s">
        <v>1767</v>
      </c>
    </row>
    <row r="238" spans="1:2">
      <c r="A238" s="1023" t="s">
        <v>1768</v>
      </c>
      <c r="B238" s="1032" t="s">
        <v>1769</v>
      </c>
    </row>
    <row r="239" spans="1:2">
      <c r="A239" s="1031" t="s">
        <v>1770</v>
      </c>
      <c r="B239" s="1032" t="s">
        <v>763</v>
      </c>
    </row>
  </sheetData>
  <pageMargins left="0.7" right="0.7" top="0.75" bottom="0.75" header="0.3" footer="0.3"/>
  <pageSetup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IF430"/>
  <sheetViews>
    <sheetView topLeftCell="A160" zoomScale="90" zoomScaleNormal="90" workbookViewId="0">
      <selection activeCell="A161" sqref="A161"/>
    </sheetView>
  </sheetViews>
  <sheetFormatPr defaultColWidth="9.140625" defaultRowHeight="12.75"/>
  <cols>
    <col min="1" max="1" width="8" style="860" customWidth="1"/>
    <col min="2" max="2" width="27.85546875" style="860" customWidth="1"/>
    <col min="3" max="3" width="47.7109375" style="860" bestFit="1" customWidth="1"/>
    <col min="4" max="4" width="16.28515625" style="860" hidden="1" customWidth="1"/>
    <col min="5" max="5" width="36.85546875" style="860" customWidth="1"/>
    <col min="6" max="6" width="18" style="860" customWidth="1"/>
    <col min="7" max="7" width="21.28515625" style="860" bestFit="1" customWidth="1"/>
    <col min="8" max="8" width="9.85546875" style="860" customWidth="1"/>
    <col min="9" max="9" width="6.140625" style="860" customWidth="1"/>
    <col min="10" max="10" width="17.28515625" style="860" bestFit="1" customWidth="1"/>
    <col min="11" max="11" width="15" style="860" bestFit="1" customWidth="1"/>
    <col min="12" max="12" width="13.140625" style="705" customWidth="1"/>
    <col min="13" max="13" width="6.42578125" style="705" bestFit="1" customWidth="1"/>
    <col min="14" max="14" width="6.42578125" style="705" customWidth="1"/>
    <col min="15" max="15" width="7.85546875" style="705" customWidth="1"/>
    <col min="16" max="16" width="8.7109375" style="705" customWidth="1"/>
    <col min="17" max="19" width="7.5703125" style="705" customWidth="1"/>
    <col min="20" max="20" width="7.5703125" style="860" customWidth="1"/>
    <col min="21" max="22" width="7.5703125" style="705" customWidth="1"/>
    <col min="23" max="23" width="16.42578125" style="705" customWidth="1"/>
    <col min="24" max="24" width="6.28515625" style="705" customWidth="1"/>
    <col min="25" max="25" width="8.42578125" style="705" customWidth="1"/>
    <col min="26" max="26" width="18.42578125" style="705" customWidth="1"/>
    <col min="27" max="30" width="8" style="705" customWidth="1"/>
    <col min="31" max="31" width="8.42578125" style="705" customWidth="1"/>
    <col min="32" max="32" width="8.7109375" style="705" customWidth="1"/>
    <col min="33" max="35" width="7.5703125" style="705" customWidth="1"/>
    <col min="36" max="36" width="27.140625" style="705" customWidth="1"/>
    <col min="37" max="37" width="13.7109375" style="705" customWidth="1"/>
    <col min="38" max="38" width="26.5703125" style="705" customWidth="1"/>
    <col min="39" max="39" width="13.7109375" style="705" customWidth="1"/>
    <col min="40" max="40" width="16.42578125" style="705" customWidth="1"/>
    <col min="41" max="41" width="13.7109375" style="705" customWidth="1"/>
    <col min="42" max="42" width="13.42578125" style="705" customWidth="1"/>
    <col min="43" max="45" width="11.5703125" style="705" customWidth="1"/>
    <col min="46" max="46" width="15.140625" style="705" customWidth="1"/>
    <col min="47" max="50" width="11.5703125" style="705" customWidth="1"/>
    <col min="51" max="51" width="10" style="705" bestFit="1" customWidth="1"/>
    <col min="52" max="52" width="9.140625" style="860"/>
    <col min="53" max="53" width="12.28515625" style="860" bestFit="1" customWidth="1"/>
    <col min="54" max="16384" width="9.140625" style="860"/>
  </cols>
  <sheetData>
    <row r="1" spans="1:51" s="133" customFormat="1">
      <c r="A1" s="130"/>
      <c r="B1" s="130"/>
      <c r="C1" s="180" t="s">
        <v>509</v>
      </c>
      <c r="D1" s="180"/>
      <c r="E1" s="643" t="s">
        <v>474</v>
      </c>
      <c r="F1" s="644"/>
      <c r="G1" s="130"/>
      <c r="H1" s="130"/>
      <c r="I1" s="231"/>
      <c r="J1" s="711"/>
      <c r="K1" s="152"/>
      <c r="L1" s="152"/>
      <c r="M1" s="152"/>
      <c r="N1" s="152"/>
      <c r="O1" s="152"/>
      <c r="P1" s="152"/>
      <c r="Q1" s="152"/>
      <c r="R1" s="2" t="s">
        <v>1</v>
      </c>
      <c r="S1" s="2" t="s">
        <v>1</v>
      </c>
      <c r="T1" s="2" t="s">
        <v>1</v>
      </c>
      <c r="U1" s="2" t="s">
        <v>1</v>
      </c>
      <c r="V1" s="2" t="s">
        <v>1</v>
      </c>
      <c r="W1" s="2"/>
      <c r="X1" s="130"/>
      <c r="Y1" s="99"/>
      <c r="Z1" s="99"/>
      <c r="AA1" s="130"/>
      <c r="AB1" s="153"/>
      <c r="AC1" s="153"/>
      <c r="AD1" s="154"/>
      <c r="AE1" s="154"/>
      <c r="AF1" s="155"/>
      <c r="AG1" s="154"/>
      <c r="AH1" s="154"/>
      <c r="AI1" s="154"/>
      <c r="AJ1" s="154"/>
      <c r="AK1" s="156"/>
      <c r="AL1" s="157"/>
      <c r="AM1" s="157"/>
      <c r="AN1" s="157"/>
      <c r="AO1" s="157"/>
      <c r="AP1" s="157"/>
      <c r="AQ1" s="158"/>
      <c r="AR1" s="158"/>
      <c r="AS1" s="252"/>
      <c r="AT1" s="252"/>
      <c r="AU1" s="252"/>
      <c r="AV1" s="252"/>
      <c r="AW1" s="252"/>
      <c r="AX1" s="252"/>
      <c r="AY1" s="159"/>
    </row>
    <row r="2" spans="1:51" s="133" customFormat="1" ht="13.5" thickBot="1">
      <c r="A2" s="130"/>
      <c r="B2" s="130"/>
      <c r="C2" s="228" t="s">
        <v>544</v>
      </c>
      <c r="D2" s="228"/>
      <c r="E2" s="229">
        <v>2017</v>
      </c>
      <c r="F2" s="644"/>
      <c r="G2" s="130"/>
      <c r="H2" s="130"/>
      <c r="I2" s="231"/>
      <c r="J2" s="711"/>
      <c r="K2" s="152"/>
      <c r="L2" s="152"/>
      <c r="M2" s="152"/>
      <c r="N2" s="152"/>
      <c r="O2" s="152"/>
      <c r="P2" s="152"/>
      <c r="Q2" s="152"/>
      <c r="R2" s="2"/>
      <c r="S2" s="2"/>
      <c r="T2" s="2"/>
      <c r="U2" s="2"/>
      <c r="V2" s="2"/>
      <c r="W2" s="2"/>
      <c r="X2" s="130"/>
      <c r="Y2" s="99"/>
      <c r="Z2" s="99"/>
      <c r="AA2" s="130"/>
      <c r="AB2" s="153"/>
      <c r="AC2" s="153"/>
      <c r="AD2" s="154"/>
      <c r="AE2" s="154"/>
      <c r="AF2" s="155"/>
      <c r="AG2" s="154"/>
      <c r="AH2" s="154"/>
      <c r="AI2" s="154"/>
      <c r="AJ2" s="154"/>
      <c r="AK2" s="156"/>
      <c r="AL2" s="157"/>
      <c r="AM2" s="157"/>
      <c r="AN2" s="157"/>
      <c r="AO2" s="157"/>
      <c r="AP2" s="157"/>
      <c r="AQ2" s="158"/>
      <c r="AR2" s="158"/>
      <c r="AS2" s="252"/>
      <c r="AT2" s="252"/>
      <c r="AU2" s="252"/>
      <c r="AV2" s="252"/>
      <c r="AW2" s="252"/>
      <c r="AX2" s="252"/>
      <c r="AY2" s="159"/>
    </row>
    <row r="3" spans="1:51" s="862" customFormat="1" ht="13.5" customHeight="1" thickBot="1">
      <c r="A3" s="151"/>
      <c r="B3" s="151"/>
      <c r="C3" s="151"/>
      <c r="D3" s="151"/>
      <c r="E3" s="151"/>
      <c r="F3" s="645"/>
      <c r="G3" s="300"/>
      <c r="H3" s="160"/>
      <c r="I3" s="160"/>
      <c r="J3" s="160"/>
      <c r="K3" s="161"/>
      <c r="L3" s="162"/>
      <c r="M3" s="1178" t="s">
        <v>3</v>
      </c>
      <c r="N3" s="1179"/>
      <c r="O3" s="1179"/>
      <c r="P3" s="1179"/>
      <c r="Q3" s="1179"/>
      <c r="R3" s="1179"/>
      <c r="S3" s="1179"/>
      <c r="T3" s="1179"/>
      <c r="U3" s="1179"/>
      <c r="V3" s="1179"/>
      <c r="W3" s="1173" t="s">
        <v>4</v>
      </c>
      <c r="X3" s="1174"/>
      <c r="Y3" s="1174"/>
      <c r="Z3" s="1174"/>
      <c r="AA3" s="1174"/>
      <c r="AB3" s="1174"/>
      <c r="AC3" s="1174"/>
      <c r="AD3" s="1175"/>
      <c r="AE3" s="1170" t="s">
        <v>5</v>
      </c>
      <c r="AF3" s="1171"/>
      <c r="AG3" s="1171"/>
      <c r="AH3" s="1171"/>
      <c r="AI3" s="1172"/>
      <c r="AJ3" s="1176" t="s">
        <v>6</v>
      </c>
      <c r="AK3" s="1177"/>
      <c r="AL3" s="1177"/>
      <c r="AM3" s="1177"/>
      <c r="AN3" s="1177"/>
      <c r="AO3" s="1177"/>
      <c r="AP3" s="1177"/>
      <c r="AQ3" s="1177"/>
      <c r="AR3" s="1177"/>
      <c r="AS3" s="1168" t="s">
        <v>466</v>
      </c>
      <c r="AT3" s="1169"/>
      <c r="AU3" s="1169"/>
      <c r="AV3" s="1169"/>
      <c r="AW3" s="1169"/>
      <c r="AX3" s="1169"/>
      <c r="AY3" s="928" t="s">
        <v>528</v>
      </c>
    </row>
    <row r="4" spans="1:51" s="859" customFormat="1" ht="93.75" customHeight="1" thickBot="1">
      <c r="A4" s="239" t="s">
        <v>7</v>
      </c>
      <c r="B4" s="240" t="s">
        <v>8</v>
      </c>
      <c r="C4" s="240" t="s">
        <v>905</v>
      </c>
      <c r="D4" s="646" t="s">
        <v>1333</v>
      </c>
      <c r="E4" s="646" t="s">
        <v>9</v>
      </c>
      <c r="F4" s="148" t="s">
        <v>715</v>
      </c>
      <c r="G4" s="301" t="s">
        <v>10</v>
      </c>
      <c r="H4" s="241" t="s">
        <v>285</v>
      </c>
      <c r="I4" s="242" t="s">
        <v>284</v>
      </c>
      <c r="J4" s="243" t="s">
        <v>11</v>
      </c>
      <c r="K4" s="243" t="s">
        <v>12</v>
      </c>
      <c r="L4" s="296" t="s">
        <v>13</v>
      </c>
      <c r="M4" s="291" t="s">
        <v>14</v>
      </c>
      <c r="N4" s="292" t="s">
        <v>291</v>
      </c>
      <c r="O4" s="292" t="s">
        <v>292</v>
      </c>
      <c r="P4" s="293" t="s">
        <v>512</v>
      </c>
      <c r="Q4" s="294" t="s">
        <v>15</v>
      </c>
      <c r="R4" s="294" t="s">
        <v>546</v>
      </c>
      <c r="S4" s="294" t="s">
        <v>547</v>
      </c>
      <c r="T4" s="295" t="s">
        <v>548</v>
      </c>
      <c r="U4" s="295" t="s">
        <v>549</v>
      </c>
      <c r="V4" s="295" t="s">
        <v>723</v>
      </c>
      <c r="W4" s="244" t="s">
        <v>16</v>
      </c>
      <c r="X4" s="245" t="s">
        <v>29</v>
      </c>
      <c r="Y4" s="246" t="s">
        <v>30</v>
      </c>
      <c r="Z4" s="247" t="s">
        <v>31</v>
      </c>
      <c r="AA4" s="248" t="s">
        <v>17</v>
      </c>
      <c r="AB4" s="248" t="s">
        <v>18</v>
      </c>
      <c r="AC4" s="248" t="s">
        <v>19</v>
      </c>
      <c r="AD4" s="249" t="s">
        <v>20</v>
      </c>
      <c r="AE4" s="250" t="s">
        <v>21</v>
      </c>
      <c r="AF4" s="251" t="s">
        <v>22</v>
      </c>
      <c r="AG4" s="251" t="s">
        <v>23</v>
      </c>
      <c r="AH4" s="251" t="s">
        <v>24</v>
      </c>
      <c r="AI4" s="251" t="s">
        <v>25</v>
      </c>
      <c r="AJ4" s="163" t="s">
        <v>470</v>
      </c>
      <c r="AK4" s="163" t="s">
        <v>467</v>
      </c>
      <c r="AL4" s="163" t="s">
        <v>471</v>
      </c>
      <c r="AM4" s="163" t="s">
        <v>468</v>
      </c>
      <c r="AN4" s="163" t="s">
        <v>472</v>
      </c>
      <c r="AO4" s="163" t="s">
        <v>469</v>
      </c>
      <c r="AP4" s="164" t="s">
        <v>26</v>
      </c>
      <c r="AQ4" s="164" t="s">
        <v>27</v>
      </c>
      <c r="AR4" s="164" t="s">
        <v>28</v>
      </c>
      <c r="AS4" s="253" t="s">
        <v>497</v>
      </c>
      <c r="AT4" s="253" t="s">
        <v>498</v>
      </c>
      <c r="AU4" s="253" t="s">
        <v>507</v>
      </c>
      <c r="AV4" s="253" t="s">
        <v>508</v>
      </c>
      <c r="AW4" s="253" t="s">
        <v>499</v>
      </c>
      <c r="AX4" s="253" t="s">
        <v>500</v>
      </c>
      <c r="AY4" s="929" t="s">
        <v>601</v>
      </c>
    </row>
    <row r="5" spans="1:51" s="133" customFormat="1" ht="12.75" customHeight="1" thickBot="1">
      <c r="A5" s="145" t="s">
        <v>32</v>
      </c>
      <c r="B5" s="132" t="s">
        <v>462</v>
      </c>
      <c r="C5" s="98" t="s">
        <v>615</v>
      </c>
      <c r="D5" s="902" t="s">
        <v>1417</v>
      </c>
      <c r="E5" s="647" t="s">
        <v>1291</v>
      </c>
      <c r="F5" s="132" t="s">
        <v>935</v>
      </c>
      <c r="G5" s="145" t="s">
        <v>1245</v>
      </c>
      <c r="H5" s="232" t="s">
        <v>1540</v>
      </c>
      <c r="I5" s="232">
        <v>25</v>
      </c>
      <c r="J5" s="961">
        <v>5449.6670711640018</v>
      </c>
      <c r="K5" s="962">
        <v>2315.2965775577554</v>
      </c>
      <c r="L5" s="888">
        <f t="shared" ref="L5:L68" si="0">J5-K5</f>
        <v>3134.3704936062463</v>
      </c>
      <c r="M5" s="978">
        <v>0.3</v>
      </c>
      <c r="N5" s="978">
        <v>0</v>
      </c>
      <c r="O5" s="978">
        <v>0.5</v>
      </c>
      <c r="P5" s="889">
        <f t="shared" ref="P5:P10" si="1">1-M5+N5+O5</f>
        <v>1.2</v>
      </c>
      <c r="Q5" s="978">
        <v>1</v>
      </c>
      <c r="R5" s="178">
        <v>1</v>
      </c>
      <c r="S5" s="178">
        <v>1</v>
      </c>
      <c r="T5" s="178">
        <v>1</v>
      </c>
      <c r="U5" s="978">
        <v>1</v>
      </c>
      <c r="V5" s="989">
        <v>1</v>
      </c>
      <c r="W5" s="872">
        <v>85.615581360011006</v>
      </c>
      <c r="X5" s="99" t="s">
        <v>35</v>
      </c>
      <c r="Y5" s="299">
        <f>IFERROR(VLOOKUP($X5,'Demand Lookups'!$A$5:$K$101,9,0), 0)</f>
        <v>5.3381390534849307E-4</v>
      </c>
      <c r="Z5" s="922" t="str">
        <f>IFERROR(VLOOKUP(X5,'Demand Lookups'!$A$5:$B$101,2,0),0)</f>
        <v>Res Single Family Electric Heating</v>
      </c>
      <c r="AA5" s="722">
        <f>IF(ISNA(VLOOKUP($X5,'Demand Lookups'!$A$5:$K$81,3,0)),0,VLOOKUP($X5,'Demand Lookups'!$A$5:$K$81,3,0))</f>
        <v>0.37811107066668143</v>
      </c>
      <c r="AB5" s="722">
        <f>IF(ISNA(VLOOKUP($X5,'Demand Lookups'!$A$5:$K$81,4,0)),0,VLOOKUP($X5,'Demand Lookups'!$A$5:$K$81,4,0))</f>
        <v>0.61526683076153199</v>
      </c>
      <c r="AC5" s="722">
        <f>IF(ISNA(VLOOKUP($X5,'Demand Lookups'!$A$5:$K$81,5,0)),0,VLOOKUP($X5,'Demand Lookups'!$A$5:$K$81,5,0))</f>
        <v>1.7402036484173826E-3</v>
      </c>
      <c r="AD5" s="723">
        <f>IF(ISNA(VLOOKUP($X5,'Demand Lookups'!$A$5:$K$81,6,0)),0,VLOOKUP($X5,'Demand Lookups'!$A$5:$K$81,6,0))</f>
        <v>4.8818949233697577E-3</v>
      </c>
      <c r="AE5" s="724">
        <f>IF(ISERROR(W5*Y5),"",W5*Y5)</f>
        <v>4.5702787844469121E-2</v>
      </c>
      <c r="AF5" s="723">
        <f>ROUND(IF(ISNA(VLOOKUP($X5,'Demand Lookups'!$A$5:$K$82,10,0)),0,(VLOOKUP($X5,'Demand Lookups'!$A$5:$K$82,10,0))),2)</f>
        <v>0</v>
      </c>
      <c r="AG5" s="723">
        <v>0.79700000000000004</v>
      </c>
      <c r="AH5" s="648">
        <f t="shared" ref="AH5:AH9" si="2">AF5</f>
        <v>0</v>
      </c>
      <c r="AI5" s="648">
        <f t="shared" ref="AI5:AI9" si="3">AF5</f>
        <v>0</v>
      </c>
      <c r="AJ5" s="167" t="s">
        <v>404</v>
      </c>
      <c r="AK5" s="846">
        <v>15.085172574257424</v>
      </c>
      <c r="AL5" s="167"/>
      <c r="AM5" s="168"/>
      <c r="AN5" s="167"/>
      <c r="AO5" s="168"/>
      <c r="AP5" s="171">
        <v>0</v>
      </c>
      <c r="AQ5" s="167"/>
      <c r="AR5" s="169"/>
      <c r="AS5" s="299">
        <f>SUMIF('NEI Lookups'!$L:$L,'Inputs Yr 2'!$F5,'NEI Lookups'!E:E)+SUMIF('NEI Lookups'!$M:$M,'Inputs Yr 2'!$F5,'NEI Lookups'!E:E)+SUMIF('NEI Lookups'!$N:$N,'Inputs Yr 2'!$F5,'NEI Lookups'!E:E)+SUMIF('NEI Lookups'!$O:$O,'Inputs Yr 2'!$F5,'NEI Lookups'!E:E)+SUMIF('NEI Lookups'!$P:$P,'Inputs Yr 2'!$F5,'NEI Lookups'!E:E)+SUMIF('NEI Lookups'!$Q:$Q,'Inputs Yr 2'!$F5,'NEI Lookups'!E:E)+SUMIF('NEI Lookups'!$R:$R,'Inputs Yr 2'!$F5,'NEI Lookups'!E:E)+SUMIF('NEI Lookups'!$S:$S,'Inputs Yr 2'!$F5,'NEI Lookups'!E:E)+SUMIF('NEI Lookups'!$T:$T,'Inputs Yr 2'!$F5,'NEI Lookups'!E:E)</f>
        <v>117</v>
      </c>
      <c r="AT5" s="299">
        <f>SUMIF('NEI Lookups'!$L:$L,'Inputs Yr 2'!$F5,'NEI Lookups'!F:F)+SUMIF('NEI Lookups'!$M:$M,'Inputs Yr 2'!$F5,'NEI Lookups'!F:F)+SUMIF('NEI Lookups'!$N:$N,'Inputs Yr 2'!$F5,'NEI Lookups'!F:F)+SUMIF('NEI Lookups'!$O:$O,'Inputs Yr 2'!$F5,'NEI Lookups'!F:F)+SUMIF('NEI Lookups'!$P:$P,'Inputs Yr 2'!$F5,'NEI Lookups'!F:F)+SUMIF('NEI Lookups'!$Q:$Q,'Inputs Yr 2'!$F5,'NEI Lookups'!F:F)+SUMIF('NEI Lookups'!$R:$R,'Inputs Yr 2'!$F5,'NEI Lookups'!F:F)+SUMIF('NEI Lookups'!$S:$S,'Inputs Yr 2'!$F5,'NEI Lookups'!F:F)+SUMIF('NEI Lookups'!$T:$T,'Inputs Yr 2'!$F5,'NEI Lookups'!F:F)</f>
        <v>0</v>
      </c>
      <c r="AU5" s="299">
        <f>SUMIF('NEI Lookups'!$L:$L,'Inputs Yr 2'!$F5,'NEI Lookups'!G:G)+SUMIF('NEI Lookups'!$M:$M,'Inputs Yr 2'!$F5,'NEI Lookups'!G:G)+SUMIF('NEI Lookups'!$N:$N,'Inputs Yr 2'!$F5,'NEI Lookups'!G:G)+SUMIF('NEI Lookups'!$O:$O,'Inputs Yr 2'!$F5,'NEI Lookups'!G:G)+SUMIF('NEI Lookups'!$P:$P,'Inputs Yr 2'!$F5,'NEI Lookups'!G:G)+SUMIF('NEI Lookups'!$Q:$Q,'Inputs Yr 2'!$F5,'NEI Lookups'!G:G)+SUMIF('NEI Lookups'!$R:$R,'Inputs Yr 2'!$F5,'NEI Lookups'!G:G)+SUMIF('NEI Lookups'!$S:$S,'Inputs Yr 2'!$F5,'NEI Lookups'!G:G)+SUMIF('NEI Lookups'!$T:$T,'Inputs Yr 2'!$F5,'NEI Lookups'!G:G)</f>
        <v>0</v>
      </c>
      <c r="AV5" s="299">
        <f>SUMIF('NEI Lookups'!$L:$L,'Inputs Yr 2'!$F5,'NEI Lookups'!H:H)+SUMIF('NEI Lookups'!$M:$M,'Inputs Yr 2'!$F5,'NEI Lookups'!H:H)+SUMIF('NEI Lookups'!$N:$N,'Inputs Yr 2'!$F5,'NEI Lookups'!H:H)+SUMIF('NEI Lookups'!$O:$O,'Inputs Yr 2'!$F5,'NEI Lookups'!H:H)+SUMIF('NEI Lookups'!$P:$P,'Inputs Yr 2'!$F5,'NEI Lookups'!H:H)+SUMIF('NEI Lookups'!$Q:$Q,'Inputs Yr 2'!$F5,'NEI Lookups'!H:H)+SUMIF('NEI Lookups'!$R:$R,'Inputs Yr 2'!$F5,'NEI Lookups'!H:H)+SUMIF('NEI Lookups'!$S:$S,'Inputs Yr 2'!$F5,'NEI Lookups'!H:H)+SUMIF('NEI Lookups'!$T:$T,'Inputs Yr 2'!$F5,'NEI Lookups'!H:H)</f>
        <v>0</v>
      </c>
      <c r="AW5" s="299">
        <f>SUMIF('NEI Lookups'!$L:$L,'Inputs Yr 2'!$F5,'NEI Lookups'!I:I)+SUMIF('NEI Lookups'!$M:$M,'Inputs Yr 2'!$F5,'NEI Lookups'!I:I)+SUMIF('NEI Lookups'!$N:$N,'Inputs Yr 2'!$F5,'NEI Lookups'!I:I)+SUMIF('NEI Lookups'!$O:$O,'Inputs Yr 2'!$F5,'NEI Lookups'!I:I)+SUMIF('NEI Lookups'!$P:$P,'Inputs Yr 2'!$F5,'NEI Lookups'!I:I)+SUMIF('NEI Lookups'!$Q:$Q,'Inputs Yr 2'!$F5,'NEI Lookups'!I:I)+SUMIF('NEI Lookups'!$R:$R,'Inputs Yr 2'!$F5,'NEI Lookups'!I:I)+SUMIF('NEI Lookups'!$S:$S,'Inputs Yr 2'!$F5,'NEI Lookups'!I:I)+SUMIF('NEI Lookups'!$T:$T,'Inputs Yr 2'!$F5,'NEI Lookups'!I:I)</f>
        <v>0</v>
      </c>
      <c r="AX5" s="299">
        <f>SUMIF('NEI Lookups'!$L:$L,'Inputs Yr 2'!$F5,'NEI Lookups'!J:J)+SUMIF('NEI Lookups'!$M:$M,'Inputs Yr 2'!$F5,'NEI Lookups'!J:J)+SUMIF('NEI Lookups'!$N:$N,'Inputs Yr 2'!$F5,'NEI Lookups'!J:J)+SUMIF('NEI Lookups'!$O:$O,'Inputs Yr 2'!$F5,'NEI Lookups'!J:J)+SUMIF('NEI Lookups'!$P:$P,'Inputs Yr 2'!$F5,'NEI Lookups'!J:J)+SUMIF('NEI Lookups'!$Q:$Q,'Inputs Yr 2'!$F5,'NEI Lookups'!J:J)+SUMIF('NEI Lookups'!$R:$R,'Inputs Yr 2'!$F5,'NEI Lookups'!J:J)+SUMIF('NEI Lookups'!$S:$S,'Inputs Yr 2'!$F5,'NEI Lookups'!J:J)+SUMIF('NEI Lookups'!$T:$T,'Inputs Yr 2'!$F5,'NEI Lookups'!J:J)</f>
        <v>0</v>
      </c>
      <c r="AY5" s="930">
        <f>'Calculations Yr 2'!CP5/'Calculations Yr 2'!I5</f>
        <v>1.1949890671593557</v>
      </c>
    </row>
    <row r="6" spans="1:51" s="133" customFormat="1" ht="12.75" customHeight="1">
      <c r="A6" s="145" t="s">
        <v>32</v>
      </c>
      <c r="B6" s="132" t="s">
        <v>462</v>
      </c>
      <c r="C6" s="98" t="s">
        <v>615</v>
      </c>
      <c r="D6" s="902" t="s">
        <v>1418</v>
      </c>
      <c r="E6" s="647" t="s">
        <v>1292</v>
      </c>
      <c r="F6" s="132" t="s">
        <v>936</v>
      </c>
      <c r="G6" s="145" t="s">
        <v>1245</v>
      </c>
      <c r="H6" s="232" t="s">
        <v>1540</v>
      </c>
      <c r="I6" s="232">
        <v>25</v>
      </c>
      <c r="J6" s="964"/>
      <c r="K6" s="166"/>
      <c r="L6" s="888">
        <f t="shared" si="0"/>
        <v>0</v>
      </c>
      <c r="M6" s="978">
        <v>0.3</v>
      </c>
      <c r="N6" s="978">
        <v>0</v>
      </c>
      <c r="O6" s="978">
        <v>0.5</v>
      </c>
      <c r="P6" s="889">
        <f t="shared" si="1"/>
        <v>1.2</v>
      </c>
      <c r="Q6" s="978">
        <v>1</v>
      </c>
      <c r="R6" s="178">
        <v>1</v>
      </c>
      <c r="S6" s="178">
        <v>1</v>
      </c>
      <c r="T6" s="178">
        <v>1</v>
      </c>
      <c r="U6" s="978">
        <v>1</v>
      </c>
      <c r="V6" s="978">
        <v>1</v>
      </c>
      <c r="W6" s="872">
        <v>14.388960035066006</v>
      </c>
      <c r="X6" s="99" t="s">
        <v>38</v>
      </c>
      <c r="Y6" s="299">
        <f>IFERROR(VLOOKUP($X6,'Demand Lookups'!$A$5:$K$101,9,0), 0)</f>
        <v>2.2229620624189838E-3</v>
      </c>
      <c r="Z6" s="922" t="str">
        <f>IFERROR(VLOOKUP(X6,'Demand Lookups'!$A$5:$B$101,2,0),0)</f>
        <v>Residential Electric Cooling - Central AC</v>
      </c>
      <c r="AA6" s="722">
        <f>IF(ISNA(VLOOKUP($X6,'Demand Lookups'!$A$5:$K$81,3,0)),0,VLOOKUP($X6,'Demand Lookups'!$A$5:$K$81,3,0))</f>
        <v>8.9580765460539422E-3</v>
      </c>
      <c r="AB6" s="722">
        <f>IF(ISNA(VLOOKUP($X6,'Demand Lookups'!$A$5:$K$81,4,0)),0,VLOOKUP($X6,'Demand Lookups'!$A$5:$K$81,4,0))</f>
        <v>4.1168791499145839E-2</v>
      </c>
      <c r="AC6" s="722">
        <f>IF(ISNA(VLOOKUP($X6,'Demand Lookups'!$A$5:$K$81,5,0)),0,VLOOKUP($X6,'Demand Lookups'!$A$5:$K$81,5,0))</f>
        <v>0.53821715078601073</v>
      </c>
      <c r="AD6" s="723">
        <f>IF(ISNA(VLOOKUP($X6,'Demand Lookups'!$A$5:$K$81,6,0)),0,VLOOKUP($X6,'Demand Lookups'!$A$5:$K$81,6,0))</f>
        <v>0.41165598116877211</v>
      </c>
      <c r="AE6" s="724">
        <f>(IF(ISERROR(W6*Y6),"",W6*Y6))</f>
        <v>3.198611227561466E-2</v>
      </c>
      <c r="AF6" s="723">
        <v>0.999</v>
      </c>
      <c r="AG6" s="723">
        <f>ROUND(IF(ISNA(VLOOKUP($X6,'Demand Lookups'!$A$5:$K$82,11,0)),0,VLOOKUP($X6,'Demand Lookups'!$A$5:$K$82,11,0)),2)</f>
        <v>0</v>
      </c>
      <c r="AH6" s="648">
        <f t="shared" si="2"/>
        <v>0.999</v>
      </c>
      <c r="AI6" s="648">
        <f t="shared" si="3"/>
        <v>0.999</v>
      </c>
      <c r="AJ6" s="167"/>
      <c r="AK6" s="846">
        <v>0</v>
      </c>
      <c r="AL6" s="167"/>
      <c r="AM6" s="168"/>
      <c r="AN6" s="167"/>
      <c r="AO6" s="168"/>
      <c r="AP6" s="171">
        <v>0</v>
      </c>
      <c r="AQ6" s="167"/>
      <c r="AR6" s="169"/>
      <c r="AS6" s="299">
        <f>SUMIF('NEI Lookups'!$L:$L,'Inputs Yr 2'!$F6,'NEI Lookups'!E:E)+SUMIF('NEI Lookups'!$M:$M,'Inputs Yr 2'!$F6,'NEI Lookups'!E:E)+SUMIF('NEI Lookups'!$N:$N,'Inputs Yr 2'!$F6,'NEI Lookups'!E:E)+SUMIF('NEI Lookups'!$O:$O,'Inputs Yr 2'!$F6,'NEI Lookups'!E:E)+SUMIF('NEI Lookups'!$P:$P,'Inputs Yr 2'!$F6,'NEI Lookups'!E:E)+SUMIF('NEI Lookups'!$Q:$Q,'Inputs Yr 2'!$F6,'NEI Lookups'!E:E)+SUMIF('NEI Lookups'!$R:$R,'Inputs Yr 2'!$F6,'NEI Lookups'!E:E)+SUMIF('NEI Lookups'!$S:$S,'Inputs Yr 2'!$F6,'NEI Lookups'!E:E)+SUMIF('NEI Lookups'!$T:$T,'Inputs Yr 2'!$F6,'NEI Lookups'!E:E)</f>
        <v>0</v>
      </c>
      <c r="AT6" s="299">
        <f>SUMIF('NEI Lookups'!$L:$L,'Inputs Yr 2'!$F6,'NEI Lookups'!F:F)+SUMIF('NEI Lookups'!$M:$M,'Inputs Yr 2'!$F6,'NEI Lookups'!F:F)+SUMIF('NEI Lookups'!$N:$N,'Inputs Yr 2'!$F6,'NEI Lookups'!F:F)+SUMIF('NEI Lookups'!$O:$O,'Inputs Yr 2'!$F6,'NEI Lookups'!F:F)+SUMIF('NEI Lookups'!$P:$P,'Inputs Yr 2'!$F6,'NEI Lookups'!F:F)+SUMIF('NEI Lookups'!$Q:$Q,'Inputs Yr 2'!$F6,'NEI Lookups'!F:F)+SUMIF('NEI Lookups'!$R:$R,'Inputs Yr 2'!$F6,'NEI Lookups'!F:F)+SUMIF('NEI Lookups'!$S:$S,'Inputs Yr 2'!$F6,'NEI Lookups'!F:F)+SUMIF('NEI Lookups'!$T:$T,'Inputs Yr 2'!$F6,'NEI Lookups'!F:F)</f>
        <v>0</v>
      </c>
      <c r="AU6" s="299">
        <f>SUMIF('NEI Lookups'!$L:$L,'Inputs Yr 2'!$F6,'NEI Lookups'!G:G)+SUMIF('NEI Lookups'!$M:$M,'Inputs Yr 2'!$F6,'NEI Lookups'!G:G)+SUMIF('NEI Lookups'!$N:$N,'Inputs Yr 2'!$F6,'NEI Lookups'!G:G)+SUMIF('NEI Lookups'!$O:$O,'Inputs Yr 2'!$F6,'NEI Lookups'!G:G)+SUMIF('NEI Lookups'!$P:$P,'Inputs Yr 2'!$F6,'NEI Lookups'!G:G)+SUMIF('NEI Lookups'!$Q:$Q,'Inputs Yr 2'!$F6,'NEI Lookups'!G:G)+SUMIF('NEI Lookups'!$R:$R,'Inputs Yr 2'!$F6,'NEI Lookups'!G:G)+SUMIF('NEI Lookups'!$S:$S,'Inputs Yr 2'!$F6,'NEI Lookups'!G:G)+SUMIF('NEI Lookups'!$T:$T,'Inputs Yr 2'!$F6,'NEI Lookups'!G:G)</f>
        <v>0</v>
      </c>
      <c r="AV6" s="299">
        <f>SUMIF('NEI Lookups'!$L:$L,'Inputs Yr 2'!$F6,'NEI Lookups'!H:H)+SUMIF('NEI Lookups'!$M:$M,'Inputs Yr 2'!$F6,'NEI Lookups'!H:H)+SUMIF('NEI Lookups'!$N:$N,'Inputs Yr 2'!$F6,'NEI Lookups'!H:H)+SUMIF('NEI Lookups'!$O:$O,'Inputs Yr 2'!$F6,'NEI Lookups'!H:H)+SUMIF('NEI Lookups'!$P:$P,'Inputs Yr 2'!$F6,'NEI Lookups'!H:H)+SUMIF('NEI Lookups'!$Q:$Q,'Inputs Yr 2'!$F6,'NEI Lookups'!H:H)+SUMIF('NEI Lookups'!$R:$R,'Inputs Yr 2'!$F6,'NEI Lookups'!H:H)+SUMIF('NEI Lookups'!$S:$S,'Inputs Yr 2'!$F6,'NEI Lookups'!H:H)+SUMIF('NEI Lookups'!$T:$T,'Inputs Yr 2'!$F6,'NEI Lookups'!H:H)</f>
        <v>0</v>
      </c>
      <c r="AW6" s="299">
        <f>SUMIF('NEI Lookups'!$L:$L,'Inputs Yr 2'!$F6,'NEI Lookups'!I:I)+SUMIF('NEI Lookups'!$M:$M,'Inputs Yr 2'!$F6,'NEI Lookups'!I:I)+SUMIF('NEI Lookups'!$N:$N,'Inputs Yr 2'!$F6,'NEI Lookups'!I:I)+SUMIF('NEI Lookups'!$O:$O,'Inputs Yr 2'!$F6,'NEI Lookups'!I:I)+SUMIF('NEI Lookups'!$P:$P,'Inputs Yr 2'!$F6,'NEI Lookups'!I:I)+SUMIF('NEI Lookups'!$Q:$Q,'Inputs Yr 2'!$F6,'NEI Lookups'!I:I)+SUMIF('NEI Lookups'!$R:$R,'Inputs Yr 2'!$F6,'NEI Lookups'!I:I)+SUMIF('NEI Lookups'!$S:$S,'Inputs Yr 2'!$F6,'NEI Lookups'!I:I)+SUMIF('NEI Lookups'!$T:$T,'Inputs Yr 2'!$F6,'NEI Lookups'!I:I)</f>
        <v>0</v>
      </c>
      <c r="AX6" s="299">
        <f>SUMIF('NEI Lookups'!$L:$L,'Inputs Yr 2'!$F6,'NEI Lookups'!J:J)+SUMIF('NEI Lookups'!$M:$M,'Inputs Yr 2'!$F6,'NEI Lookups'!J:J)+SUMIF('NEI Lookups'!$N:$N,'Inputs Yr 2'!$F6,'NEI Lookups'!J:J)+SUMIF('NEI Lookups'!$O:$O,'Inputs Yr 2'!$F6,'NEI Lookups'!J:J)+SUMIF('NEI Lookups'!$P:$P,'Inputs Yr 2'!$F6,'NEI Lookups'!J:J)+SUMIF('NEI Lookups'!$Q:$Q,'Inputs Yr 2'!$F6,'NEI Lookups'!J:J)+SUMIF('NEI Lookups'!$R:$R,'Inputs Yr 2'!$F6,'NEI Lookups'!J:J)+SUMIF('NEI Lookups'!$S:$S,'Inputs Yr 2'!$F6,'NEI Lookups'!J:J)+SUMIF('NEI Lookups'!$T:$T,'Inputs Yr 2'!$F6,'NEI Lookups'!J:J)</f>
        <v>0</v>
      </c>
      <c r="AY6" s="930" t="e">
        <f>'Calculations Yr 2'!CP6/'Calculations Yr 2'!I6</f>
        <v>#DIV/0!</v>
      </c>
    </row>
    <row r="7" spans="1:51" s="133" customFormat="1" ht="12.75" customHeight="1">
      <c r="A7" s="145" t="s">
        <v>32</v>
      </c>
      <c r="B7" s="132" t="s">
        <v>462</v>
      </c>
      <c r="C7" s="98" t="s">
        <v>615</v>
      </c>
      <c r="D7" s="902" t="s">
        <v>1419</v>
      </c>
      <c r="E7" s="98" t="s">
        <v>1293</v>
      </c>
      <c r="F7" s="132" t="s">
        <v>937</v>
      </c>
      <c r="G7" s="145" t="s">
        <v>89</v>
      </c>
      <c r="H7" s="232" t="s">
        <v>1540</v>
      </c>
      <c r="I7" s="232">
        <v>15</v>
      </c>
      <c r="J7" s="964"/>
      <c r="K7" s="166"/>
      <c r="L7" s="888">
        <f t="shared" si="0"/>
        <v>0</v>
      </c>
      <c r="M7" s="978">
        <v>0.3</v>
      </c>
      <c r="N7" s="978">
        <v>0</v>
      </c>
      <c r="O7" s="978">
        <v>0.5</v>
      </c>
      <c r="P7" s="889">
        <f t="shared" si="1"/>
        <v>1.2</v>
      </c>
      <c r="Q7" s="978">
        <v>1</v>
      </c>
      <c r="R7" s="178">
        <v>1</v>
      </c>
      <c r="S7" s="178">
        <v>1</v>
      </c>
      <c r="T7" s="178">
        <v>1</v>
      </c>
      <c r="U7" s="978">
        <v>1</v>
      </c>
      <c r="V7" s="978">
        <v>1</v>
      </c>
      <c r="W7" s="872">
        <v>1.2005539466446644</v>
      </c>
      <c r="X7" s="99" t="s">
        <v>41</v>
      </c>
      <c r="Y7" s="299">
        <f>IFERROR(VLOOKUP($X7,'Demand Lookups'!$A$5:$K$101,9,0), 0)</f>
        <v>1.4690681466850223E-4</v>
      </c>
      <c r="Z7" s="922" t="str">
        <f>IFERROR(VLOOKUP(X7,'Demand Lookups'!$A$5:$B$101,2,0),0)</f>
        <v xml:space="preserve">Res Single Family Electric Water Heat </v>
      </c>
      <c r="AA7" s="722">
        <f>IF(ISNA(VLOOKUP($X7,'Demand Lookups'!$A$5:$K$81,3,0)),0,VLOOKUP($X7,'Demand Lookups'!$A$5:$K$81,3,0))</f>
        <v>0.35840016688164417</v>
      </c>
      <c r="AB7" s="722">
        <f>IF(ISNA(VLOOKUP($X7,'Demand Lookups'!$A$5:$K$81,4,0)),0,VLOOKUP($X7,'Demand Lookups'!$A$5:$K$81,4,0))</f>
        <v>0.30757595908956603</v>
      </c>
      <c r="AC7" s="722">
        <f>IF(ISNA(VLOOKUP($X7,'Demand Lookups'!$A$5:$K$81,5,0)),0,VLOOKUP($X7,'Demand Lookups'!$A$5:$K$81,5,0))</f>
        <v>0.1725838203997784</v>
      </c>
      <c r="AD7" s="723">
        <f>IF(ISNA(VLOOKUP($X7,'Demand Lookups'!$A$5:$K$81,6,0)),0,VLOOKUP($X7,'Demand Lookups'!$A$5:$K$81,6,0))</f>
        <v>0.16144005362901251</v>
      </c>
      <c r="AE7" s="724">
        <v>1.15E-3</v>
      </c>
      <c r="AF7" s="723">
        <f>ROUND(IF(ISNA(VLOOKUP($X7,'Demand Lookups'!$A$5:$K$82,10,0)),0,(VLOOKUP($X7,'Demand Lookups'!$A$5:$K$82,10,0))),2)</f>
        <v>1</v>
      </c>
      <c r="AG7" s="723">
        <v>0</v>
      </c>
      <c r="AH7" s="648">
        <f t="shared" si="2"/>
        <v>1</v>
      </c>
      <c r="AI7" s="648">
        <f t="shared" si="3"/>
        <v>1</v>
      </c>
      <c r="AJ7" s="167" t="s">
        <v>40</v>
      </c>
      <c r="AK7" s="846">
        <v>4.3846688655115509</v>
      </c>
      <c r="AL7" s="167"/>
      <c r="AM7" s="168"/>
      <c r="AN7" s="167"/>
      <c r="AO7" s="168"/>
      <c r="AP7" s="171">
        <v>0</v>
      </c>
      <c r="AQ7" s="167"/>
      <c r="AR7" s="170"/>
      <c r="AS7" s="299">
        <f>SUMIF('NEI Lookups'!$L:$L,'Inputs Yr 2'!$F7,'NEI Lookups'!E:E)+SUMIF('NEI Lookups'!$M:$M,'Inputs Yr 2'!$F7,'NEI Lookups'!E:E)+SUMIF('NEI Lookups'!$N:$N,'Inputs Yr 2'!$F7,'NEI Lookups'!E:E)+SUMIF('NEI Lookups'!$O:$O,'Inputs Yr 2'!$F7,'NEI Lookups'!E:E)+SUMIF('NEI Lookups'!$P:$P,'Inputs Yr 2'!$F7,'NEI Lookups'!E:E)+SUMIF('NEI Lookups'!$Q:$Q,'Inputs Yr 2'!$F7,'NEI Lookups'!E:E)+SUMIF('NEI Lookups'!$R:$R,'Inputs Yr 2'!$F7,'NEI Lookups'!E:E)+SUMIF('NEI Lookups'!$S:$S,'Inputs Yr 2'!$F7,'NEI Lookups'!E:E)+SUMIF('NEI Lookups'!$T:$T,'Inputs Yr 2'!$F7,'NEI Lookups'!E:E)</f>
        <v>0</v>
      </c>
      <c r="AT7" s="299">
        <f>SUMIF('NEI Lookups'!$L:$L,'Inputs Yr 2'!$F7,'NEI Lookups'!F:F)+SUMIF('NEI Lookups'!$M:$M,'Inputs Yr 2'!$F7,'NEI Lookups'!F:F)+SUMIF('NEI Lookups'!$N:$N,'Inputs Yr 2'!$F7,'NEI Lookups'!F:F)+SUMIF('NEI Lookups'!$O:$O,'Inputs Yr 2'!$F7,'NEI Lookups'!F:F)+SUMIF('NEI Lookups'!$P:$P,'Inputs Yr 2'!$F7,'NEI Lookups'!F:F)+SUMIF('NEI Lookups'!$Q:$Q,'Inputs Yr 2'!$F7,'NEI Lookups'!F:F)+SUMIF('NEI Lookups'!$R:$R,'Inputs Yr 2'!$F7,'NEI Lookups'!F:F)+SUMIF('NEI Lookups'!$S:$S,'Inputs Yr 2'!$F7,'NEI Lookups'!F:F)+SUMIF('NEI Lookups'!$T:$T,'Inputs Yr 2'!$F7,'NEI Lookups'!F:F)</f>
        <v>0</v>
      </c>
      <c r="AU7" s="299">
        <f>SUMIF('NEI Lookups'!$L:$L,'Inputs Yr 2'!$F7,'NEI Lookups'!G:G)+SUMIF('NEI Lookups'!$M:$M,'Inputs Yr 2'!$F7,'NEI Lookups'!G:G)+SUMIF('NEI Lookups'!$N:$N,'Inputs Yr 2'!$F7,'NEI Lookups'!G:G)+SUMIF('NEI Lookups'!$O:$O,'Inputs Yr 2'!$F7,'NEI Lookups'!G:G)+SUMIF('NEI Lookups'!$P:$P,'Inputs Yr 2'!$F7,'NEI Lookups'!G:G)+SUMIF('NEI Lookups'!$Q:$Q,'Inputs Yr 2'!$F7,'NEI Lookups'!G:G)+SUMIF('NEI Lookups'!$R:$R,'Inputs Yr 2'!$F7,'NEI Lookups'!G:G)+SUMIF('NEI Lookups'!$S:$S,'Inputs Yr 2'!$F7,'NEI Lookups'!G:G)+SUMIF('NEI Lookups'!$T:$T,'Inputs Yr 2'!$F7,'NEI Lookups'!G:G)</f>
        <v>0</v>
      </c>
      <c r="AV7" s="299">
        <f>SUMIF('NEI Lookups'!$L:$L,'Inputs Yr 2'!$F7,'NEI Lookups'!H:H)+SUMIF('NEI Lookups'!$M:$M,'Inputs Yr 2'!$F7,'NEI Lookups'!H:H)+SUMIF('NEI Lookups'!$N:$N,'Inputs Yr 2'!$F7,'NEI Lookups'!H:H)+SUMIF('NEI Lookups'!$O:$O,'Inputs Yr 2'!$F7,'NEI Lookups'!H:H)+SUMIF('NEI Lookups'!$P:$P,'Inputs Yr 2'!$F7,'NEI Lookups'!H:H)+SUMIF('NEI Lookups'!$Q:$Q,'Inputs Yr 2'!$F7,'NEI Lookups'!H:H)+SUMIF('NEI Lookups'!$R:$R,'Inputs Yr 2'!$F7,'NEI Lookups'!H:H)+SUMIF('NEI Lookups'!$S:$S,'Inputs Yr 2'!$F7,'NEI Lookups'!H:H)+SUMIF('NEI Lookups'!$T:$T,'Inputs Yr 2'!$F7,'NEI Lookups'!H:H)</f>
        <v>0</v>
      </c>
      <c r="AW7" s="299">
        <f>SUMIF('NEI Lookups'!$L:$L,'Inputs Yr 2'!$F7,'NEI Lookups'!I:I)+SUMIF('NEI Lookups'!$M:$M,'Inputs Yr 2'!$F7,'NEI Lookups'!I:I)+SUMIF('NEI Lookups'!$N:$N,'Inputs Yr 2'!$F7,'NEI Lookups'!I:I)+SUMIF('NEI Lookups'!$O:$O,'Inputs Yr 2'!$F7,'NEI Lookups'!I:I)+SUMIF('NEI Lookups'!$P:$P,'Inputs Yr 2'!$F7,'NEI Lookups'!I:I)+SUMIF('NEI Lookups'!$Q:$Q,'Inputs Yr 2'!$F7,'NEI Lookups'!I:I)+SUMIF('NEI Lookups'!$R:$R,'Inputs Yr 2'!$F7,'NEI Lookups'!I:I)+SUMIF('NEI Lookups'!$S:$S,'Inputs Yr 2'!$F7,'NEI Lookups'!I:I)+SUMIF('NEI Lookups'!$T:$T,'Inputs Yr 2'!$F7,'NEI Lookups'!I:I)</f>
        <v>0</v>
      </c>
      <c r="AX7" s="299">
        <f>SUMIF('NEI Lookups'!$L:$L,'Inputs Yr 2'!$F7,'NEI Lookups'!J:J)+SUMIF('NEI Lookups'!$M:$M,'Inputs Yr 2'!$F7,'NEI Lookups'!J:J)+SUMIF('NEI Lookups'!$N:$N,'Inputs Yr 2'!$F7,'NEI Lookups'!J:J)+SUMIF('NEI Lookups'!$O:$O,'Inputs Yr 2'!$F7,'NEI Lookups'!J:J)+SUMIF('NEI Lookups'!$P:$P,'Inputs Yr 2'!$F7,'NEI Lookups'!J:J)+SUMIF('NEI Lookups'!$Q:$Q,'Inputs Yr 2'!$F7,'NEI Lookups'!J:J)+SUMIF('NEI Lookups'!$R:$R,'Inputs Yr 2'!$F7,'NEI Lookups'!J:J)+SUMIF('NEI Lookups'!$S:$S,'Inputs Yr 2'!$F7,'NEI Lookups'!J:J)+SUMIF('NEI Lookups'!$T:$T,'Inputs Yr 2'!$F7,'NEI Lookups'!J:J)</f>
        <v>0</v>
      </c>
      <c r="AY7" s="930" t="e">
        <f>'Calculations Yr 2'!CP7/'Calculations Yr 2'!I7</f>
        <v>#DIV/0!</v>
      </c>
    </row>
    <row r="8" spans="1:51" s="133" customFormat="1" ht="12" customHeight="1">
      <c r="A8" s="145" t="s">
        <v>32</v>
      </c>
      <c r="B8" s="132" t="s">
        <v>462</v>
      </c>
      <c r="C8" s="98" t="s">
        <v>615</v>
      </c>
      <c r="D8" s="902" t="s">
        <v>1420</v>
      </c>
      <c r="E8" s="98" t="s">
        <v>1413</v>
      </c>
      <c r="F8" s="132" t="s">
        <v>938</v>
      </c>
      <c r="G8" s="145" t="s">
        <v>459</v>
      </c>
      <c r="H8" s="232">
        <v>17</v>
      </c>
      <c r="I8" s="232">
        <v>5</v>
      </c>
      <c r="J8" s="964"/>
      <c r="K8" s="166"/>
      <c r="L8" s="888">
        <f t="shared" si="0"/>
        <v>0</v>
      </c>
      <c r="M8" s="978">
        <v>0.46</v>
      </c>
      <c r="N8" s="978">
        <v>0</v>
      </c>
      <c r="O8" s="978">
        <v>0</v>
      </c>
      <c r="P8" s="889">
        <f t="shared" si="1"/>
        <v>0.54</v>
      </c>
      <c r="Q8" s="978">
        <v>0.99</v>
      </c>
      <c r="R8" s="178">
        <v>1.01</v>
      </c>
      <c r="S8" s="178">
        <v>1</v>
      </c>
      <c r="T8" s="178">
        <v>1</v>
      </c>
      <c r="U8" s="978">
        <v>1.01</v>
      </c>
      <c r="V8" s="978">
        <v>1</v>
      </c>
      <c r="W8" s="872">
        <v>42.5</v>
      </c>
      <c r="X8" s="97" t="s">
        <v>539</v>
      </c>
      <c r="Y8" s="299">
        <f>IFERROR(VLOOKUP($X8,'Demand Lookups'!$A$5:$K$101,9,0), 0)</f>
        <v>1.0147133434804667E-3</v>
      </c>
      <c r="Z8" s="922" t="str">
        <f>IFERROR(VLOOKUP(X8,'Demand Lookups'!$A$5:$B$101,2,0),0)</f>
        <v>Res Single Family Electric Lighting- Indoor (All Bulb) - NMR</v>
      </c>
      <c r="AA8" s="722">
        <f>IF(ISNA(VLOOKUP($X8,'Demand Lookups'!$A$5:$K$81,3,0)),0,VLOOKUP($X8,'Demand Lookups'!$A$5:$K$81,3,0))</f>
        <v>0.43</v>
      </c>
      <c r="AB8" s="722">
        <f>IF(ISNA(VLOOKUP($X8,'Demand Lookups'!$A$5:$K$81,4,0)),0,VLOOKUP($X8,'Demand Lookups'!$A$5:$K$81,4,0))</f>
        <v>0.24</v>
      </c>
      <c r="AC8" s="722">
        <f>IF(ISNA(VLOOKUP($X8,'Demand Lookups'!$A$5:$K$81,5,0)),0,VLOOKUP($X8,'Demand Lookups'!$A$5:$K$81,5,0))</f>
        <v>0.21</v>
      </c>
      <c r="AD8" s="723">
        <f>IF(ISNA(VLOOKUP($X8,'Demand Lookups'!$A$5:$K$81,6,0)),0,VLOOKUP($X8,'Demand Lookups'!$A$5:$K$81,6,0))</f>
        <v>0.12</v>
      </c>
      <c r="AE8" s="724">
        <f>ROUND(IF(ISERROR(W8*Y8),"",W8*Y8),2)</f>
        <v>0.04</v>
      </c>
      <c r="AF8" s="723">
        <v>0.157</v>
      </c>
      <c r="AG8" s="723">
        <v>0.1565</v>
      </c>
      <c r="AH8" s="648">
        <f t="shared" si="2"/>
        <v>0.157</v>
      </c>
      <c r="AI8" s="648">
        <f t="shared" si="3"/>
        <v>0.157</v>
      </c>
      <c r="AJ8" s="167" t="s">
        <v>404</v>
      </c>
      <c r="AK8" s="846">
        <v>-5.9999463998687448E-3</v>
      </c>
      <c r="AL8" s="167"/>
      <c r="AM8" s="168"/>
      <c r="AN8" s="167"/>
      <c r="AO8" s="168"/>
      <c r="AP8" s="171">
        <v>0</v>
      </c>
      <c r="AQ8" s="171"/>
      <c r="AR8" s="171"/>
      <c r="AS8" s="299">
        <f>SUMIF('NEI Lookups'!$L:$L,'Inputs Yr 2'!$F8,'NEI Lookups'!E:E)+SUMIF('NEI Lookups'!$M:$M,'Inputs Yr 2'!$F8,'NEI Lookups'!E:E)+SUMIF('NEI Lookups'!$N:$N,'Inputs Yr 2'!$F8,'NEI Lookups'!E:E)+SUMIF('NEI Lookups'!$O:$O,'Inputs Yr 2'!$F8,'NEI Lookups'!E:E)+SUMIF('NEI Lookups'!$P:$P,'Inputs Yr 2'!$F8,'NEI Lookups'!E:E)+SUMIF('NEI Lookups'!$Q:$Q,'Inputs Yr 2'!$F8,'NEI Lookups'!E:E)+SUMIF('NEI Lookups'!$R:$R,'Inputs Yr 2'!$F8,'NEI Lookups'!E:E)+SUMIF('NEI Lookups'!$S:$S,'Inputs Yr 2'!$F8,'NEI Lookups'!E:E)+SUMIF('NEI Lookups'!$T:$T,'Inputs Yr 2'!$F8,'NEI Lookups'!E:E)</f>
        <v>0</v>
      </c>
      <c r="AT8" s="299">
        <f>SUMIF('NEI Lookups'!$L:$L,'Inputs Yr 2'!$F8,'NEI Lookups'!F:F)+SUMIF('NEI Lookups'!$M:$M,'Inputs Yr 2'!$F8,'NEI Lookups'!F:F)+SUMIF('NEI Lookups'!$N:$N,'Inputs Yr 2'!$F8,'NEI Lookups'!F:F)+SUMIF('NEI Lookups'!$O:$O,'Inputs Yr 2'!$F8,'NEI Lookups'!F:F)+SUMIF('NEI Lookups'!$P:$P,'Inputs Yr 2'!$F8,'NEI Lookups'!F:F)+SUMIF('NEI Lookups'!$Q:$Q,'Inputs Yr 2'!$F8,'NEI Lookups'!F:F)+SUMIF('NEI Lookups'!$R:$R,'Inputs Yr 2'!$F8,'NEI Lookups'!F:F)+SUMIF('NEI Lookups'!$S:$S,'Inputs Yr 2'!$F8,'NEI Lookups'!F:F)+SUMIF('NEI Lookups'!$T:$T,'Inputs Yr 2'!$F8,'NEI Lookups'!F:F)</f>
        <v>3</v>
      </c>
      <c r="AU8" s="299">
        <f>SUMIF('NEI Lookups'!$L:$L,'Inputs Yr 2'!$F8,'NEI Lookups'!G:G)+SUMIF('NEI Lookups'!$M:$M,'Inputs Yr 2'!$F8,'NEI Lookups'!G:G)+SUMIF('NEI Lookups'!$N:$N,'Inputs Yr 2'!$F8,'NEI Lookups'!G:G)+SUMIF('NEI Lookups'!$O:$O,'Inputs Yr 2'!$F8,'NEI Lookups'!G:G)+SUMIF('NEI Lookups'!$P:$P,'Inputs Yr 2'!$F8,'NEI Lookups'!G:G)+SUMIF('NEI Lookups'!$Q:$Q,'Inputs Yr 2'!$F8,'NEI Lookups'!G:G)+SUMIF('NEI Lookups'!$R:$R,'Inputs Yr 2'!$F8,'NEI Lookups'!G:G)+SUMIF('NEI Lookups'!$S:$S,'Inputs Yr 2'!$F8,'NEI Lookups'!G:G)+SUMIF('NEI Lookups'!$T:$T,'Inputs Yr 2'!$F8,'NEI Lookups'!G:G)</f>
        <v>0</v>
      </c>
      <c r="AV8" s="299">
        <f>SUMIF('NEI Lookups'!$L:$L,'Inputs Yr 2'!$F8,'NEI Lookups'!H:H)+SUMIF('NEI Lookups'!$M:$M,'Inputs Yr 2'!$F8,'NEI Lookups'!H:H)+SUMIF('NEI Lookups'!$N:$N,'Inputs Yr 2'!$F8,'NEI Lookups'!H:H)+SUMIF('NEI Lookups'!$O:$O,'Inputs Yr 2'!$F8,'NEI Lookups'!H:H)+SUMIF('NEI Lookups'!$P:$P,'Inputs Yr 2'!$F8,'NEI Lookups'!H:H)+SUMIF('NEI Lookups'!$Q:$Q,'Inputs Yr 2'!$F8,'NEI Lookups'!H:H)+SUMIF('NEI Lookups'!$R:$R,'Inputs Yr 2'!$F8,'NEI Lookups'!H:H)+SUMIF('NEI Lookups'!$S:$S,'Inputs Yr 2'!$F8,'NEI Lookups'!H:H)+SUMIF('NEI Lookups'!$T:$T,'Inputs Yr 2'!$F8,'NEI Lookups'!H:H)</f>
        <v>0</v>
      </c>
      <c r="AW8" s="299">
        <f>SUMIF('NEI Lookups'!$L:$L,'Inputs Yr 2'!$F8,'NEI Lookups'!I:I)+SUMIF('NEI Lookups'!$M:$M,'Inputs Yr 2'!$F8,'NEI Lookups'!I:I)+SUMIF('NEI Lookups'!$N:$N,'Inputs Yr 2'!$F8,'NEI Lookups'!I:I)+SUMIF('NEI Lookups'!$O:$O,'Inputs Yr 2'!$F8,'NEI Lookups'!I:I)+SUMIF('NEI Lookups'!$P:$P,'Inputs Yr 2'!$F8,'NEI Lookups'!I:I)+SUMIF('NEI Lookups'!$Q:$Q,'Inputs Yr 2'!$F8,'NEI Lookups'!I:I)+SUMIF('NEI Lookups'!$R:$R,'Inputs Yr 2'!$F8,'NEI Lookups'!I:I)+SUMIF('NEI Lookups'!$S:$S,'Inputs Yr 2'!$F8,'NEI Lookups'!I:I)+SUMIF('NEI Lookups'!$T:$T,'Inputs Yr 2'!$F8,'NEI Lookups'!I:I)</f>
        <v>0</v>
      </c>
      <c r="AX8" s="299">
        <f>SUMIF('NEI Lookups'!$L:$L,'Inputs Yr 2'!$F8,'NEI Lookups'!J:J)+SUMIF('NEI Lookups'!$M:$M,'Inputs Yr 2'!$F8,'NEI Lookups'!J:J)+SUMIF('NEI Lookups'!$N:$N,'Inputs Yr 2'!$F8,'NEI Lookups'!J:J)+SUMIF('NEI Lookups'!$O:$O,'Inputs Yr 2'!$F8,'NEI Lookups'!J:J)+SUMIF('NEI Lookups'!$P:$P,'Inputs Yr 2'!$F8,'NEI Lookups'!J:J)+SUMIF('NEI Lookups'!$Q:$Q,'Inputs Yr 2'!$F8,'NEI Lookups'!J:J)+SUMIF('NEI Lookups'!$R:$R,'Inputs Yr 2'!$F8,'NEI Lookups'!J:J)+SUMIF('NEI Lookups'!$S:$S,'Inputs Yr 2'!$F8,'NEI Lookups'!J:J)+SUMIF('NEI Lookups'!$T:$T,'Inputs Yr 2'!$F8,'NEI Lookups'!J:J)</f>
        <v>0</v>
      </c>
      <c r="AY8" s="930" t="e">
        <f>'Calculations Yr 2'!CP8/'Calculations Yr 2'!I8</f>
        <v>#DIV/0!</v>
      </c>
    </row>
    <row r="9" spans="1:51" s="133" customFormat="1" ht="12.75" customHeight="1">
      <c r="A9" s="145" t="s">
        <v>32</v>
      </c>
      <c r="B9" s="132" t="s">
        <v>462</v>
      </c>
      <c r="C9" s="98" t="s">
        <v>615</v>
      </c>
      <c r="D9" s="902" t="s">
        <v>1421</v>
      </c>
      <c r="E9" s="98" t="s">
        <v>414</v>
      </c>
      <c r="F9" s="132" t="s">
        <v>1396</v>
      </c>
      <c r="G9" s="145" t="s">
        <v>459</v>
      </c>
      <c r="H9" s="232">
        <v>20603</v>
      </c>
      <c r="I9" s="232">
        <v>7</v>
      </c>
      <c r="J9" s="964"/>
      <c r="K9" s="166"/>
      <c r="L9" s="888">
        <f t="shared" si="0"/>
        <v>0</v>
      </c>
      <c r="M9" s="978">
        <v>0.2</v>
      </c>
      <c r="N9" s="978">
        <v>0</v>
      </c>
      <c r="O9" s="978">
        <v>0</v>
      </c>
      <c r="P9" s="889">
        <f t="shared" si="1"/>
        <v>0.8</v>
      </c>
      <c r="Q9" s="978">
        <v>1</v>
      </c>
      <c r="R9" s="178">
        <v>0.93</v>
      </c>
      <c r="S9" s="178">
        <v>0.93</v>
      </c>
      <c r="T9" s="178">
        <v>0.93</v>
      </c>
      <c r="U9" s="978">
        <v>0.93</v>
      </c>
      <c r="V9" s="978">
        <v>1</v>
      </c>
      <c r="W9" s="872">
        <v>31.2</v>
      </c>
      <c r="X9" s="97" t="s">
        <v>539</v>
      </c>
      <c r="Y9" s="299">
        <f>IFERROR(VLOOKUP($X9,'Demand Lookups'!$A$5:$K$101,9,0), 0)</f>
        <v>1.0147133434804667E-3</v>
      </c>
      <c r="Z9" s="922" t="str">
        <f>IFERROR(VLOOKUP(X9,'Demand Lookups'!$A$5:$B$101,2,0),0)</f>
        <v>Res Single Family Electric Lighting- Indoor (All Bulb) - NMR</v>
      </c>
      <c r="AA9" s="722">
        <f>IF(ISNA(VLOOKUP($X9,'Demand Lookups'!$A$5:$K$81,3,0)),0,VLOOKUP($X9,'Demand Lookups'!$A$5:$K$81,3,0))</f>
        <v>0.43</v>
      </c>
      <c r="AB9" s="722">
        <f>IF(ISNA(VLOOKUP($X9,'Demand Lookups'!$A$5:$K$81,4,0)),0,VLOOKUP($X9,'Demand Lookups'!$A$5:$K$81,4,0))</f>
        <v>0.24</v>
      </c>
      <c r="AC9" s="722">
        <f>IF(ISNA(VLOOKUP($X9,'Demand Lookups'!$A$5:$K$81,5,0)),0,VLOOKUP($X9,'Demand Lookups'!$A$5:$K$81,5,0))</f>
        <v>0.21</v>
      </c>
      <c r="AD9" s="723">
        <f>IF(ISNA(VLOOKUP($X9,'Demand Lookups'!$A$5:$K$81,6,0)),0,VLOOKUP($X9,'Demand Lookups'!$A$5:$K$81,6,0))</f>
        <v>0.12</v>
      </c>
      <c r="AE9" s="724">
        <f>ROUND(IF(ISERROR(W9*Y9),"",W9*Y9),2)</f>
        <v>0.03</v>
      </c>
      <c r="AF9" s="723">
        <v>0.157</v>
      </c>
      <c r="AG9" s="723">
        <v>0.1565</v>
      </c>
      <c r="AH9" s="648">
        <f t="shared" si="2"/>
        <v>0.157</v>
      </c>
      <c r="AI9" s="648">
        <f t="shared" si="3"/>
        <v>0.157</v>
      </c>
      <c r="AJ9" s="167" t="s">
        <v>404</v>
      </c>
      <c r="AK9" s="846">
        <v>-4.9999999999999992E-3</v>
      </c>
      <c r="AL9" s="167"/>
      <c r="AM9" s="168"/>
      <c r="AN9" s="167"/>
      <c r="AO9" s="168"/>
      <c r="AP9" s="171">
        <v>0</v>
      </c>
      <c r="AQ9" s="171"/>
      <c r="AR9" s="171"/>
      <c r="AS9" s="299">
        <f>SUMIF('NEI Lookups'!$L:$L,'Inputs Yr 2'!$F9,'NEI Lookups'!E:E)+SUMIF('NEI Lookups'!$M:$M,'Inputs Yr 2'!$F9,'NEI Lookups'!E:E)+SUMIF('NEI Lookups'!$N:$N,'Inputs Yr 2'!$F9,'NEI Lookups'!E:E)+SUMIF('NEI Lookups'!$O:$O,'Inputs Yr 2'!$F9,'NEI Lookups'!E:E)+SUMIF('NEI Lookups'!$P:$P,'Inputs Yr 2'!$F9,'NEI Lookups'!E:E)+SUMIF('NEI Lookups'!$Q:$Q,'Inputs Yr 2'!$F9,'NEI Lookups'!E:E)+SUMIF('NEI Lookups'!$R:$R,'Inputs Yr 2'!$F9,'NEI Lookups'!E:E)+SUMIF('NEI Lookups'!$S:$S,'Inputs Yr 2'!$F9,'NEI Lookups'!E:E)+SUMIF('NEI Lookups'!$T:$T,'Inputs Yr 2'!$F9,'NEI Lookups'!E:E)</f>
        <v>0</v>
      </c>
      <c r="AT9" s="299">
        <f>SUMIF('NEI Lookups'!$L:$L,'Inputs Yr 2'!$F9,'NEI Lookups'!F:F)+SUMIF('NEI Lookups'!$M:$M,'Inputs Yr 2'!$F9,'NEI Lookups'!F:F)+SUMIF('NEI Lookups'!$N:$N,'Inputs Yr 2'!$F9,'NEI Lookups'!F:F)+SUMIF('NEI Lookups'!$O:$O,'Inputs Yr 2'!$F9,'NEI Lookups'!F:F)+SUMIF('NEI Lookups'!$P:$P,'Inputs Yr 2'!$F9,'NEI Lookups'!F:F)+SUMIF('NEI Lookups'!$Q:$Q,'Inputs Yr 2'!$F9,'NEI Lookups'!F:F)+SUMIF('NEI Lookups'!$R:$R,'Inputs Yr 2'!$F9,'NEI Lookups'!F:F)+SUMIF('NEI Lookups'!$S:$S,'Inputs Yr 2'!$F9,'NEI Lookups'!F:F)+SUMIF('NEI Lookups'!$T:$T,'Inputs Yr 2'!$F9,'NEI Lookups'!F:F)</f>
        <v>3</v>
      </c>
      <c r="AU9" s="299">
        <f>SUMIF('NEI Lookups'!$L:$L,'Inputs Yr 2'!$F9,'NEI Lookups'!G:G)+SUMIF('NEI Lookups'!$M:$M,'Inputs Yr 2'!$F9,'NEI Lookups'!G:G)+SUMIF('NEI Lookups'!$N:$N,'Inputs Yr 2'!$F9,'NEI Lookups'!G:G)+SUMIF('NEI Lookups'!$O:$O,'Inputs Yr 2'!$F9,'NEI Lookups'!G:G)+SUMIF('NEI Lookups'!$P:$P,'Inputs Yr 2'!$F9,'NEI Lookups'!G:G)+SUMIF('NEI Lookups'!$Q:$Q,'Inputs Yr 2'!$F9,'NEI Lookups'!G:G)+SUMIF('NEI Lookups'!$R:$R,'Inputs Yr 2'!$F9,'NEI Lookups'!G:G)+SUMIF('NEI Lookups'!$S:$S,'Inputs Yr 2'!$F9,'NEI Lookups'!G:G)+SUMIF('NEI Lookups'!$T:$T,'Inputs Yr 2'!$F9,'NEI Lookups'!G:G)</f>
        <v>0</v>
      </c>
      <c r="AV9" s="299">
        <f>SUMIF('NEI Lookups'!$L:$L,'Inputs Yr 2'!$F9,'NEI Lookups'!H:H)+SUMIF('NEI Lookups'!$M:$M,'Inputs Yr 2'!$F9,'NEI Lookups'!H:H)+SUMIF('NEI Lookups'!$N:$N,'Inputs Yr 2'!$F9,'NEI Lookups'!H:H)+SUMIF('NEI Lookups'!$O:$O,'Inputs Yr 2'!$F9,'NEI Lookups'!H:H)+SUMIF('NEI Lookups'!$P:$P,'Inputs Yr 2'!$F9,'NEI Lookups'!H:H)+SUMIF('NEI Lookups'!$Q:$Q,'Inputs Yr 2'!$F9,'NEI Lookups'!H:H)+SUMIF('NEI Lookups'!$R:$R,'Inputs Yr 2'!$F9,'NEI Lookups'!H:H)+SUMIF('NEI Lookups'!$S:$S,'Inputs Yr 2'!$F9,'NEI Lookups'!H:H)+SUMIF('NEI Lookups'!$T:$T,'Inputs Yr 2'!$F9,'NEI Lookups'!H:H)</f>
        <v>0</v>
      </c>
      <c r="AW9" s="299">
        <f>SUMIF('NEI Lookups'!$L:$L,'Inputs Yr 2'!$F9,'NEI Lookups'!I:I)+SUMIF('NEI Lookups'!$M:$M,'Inputs Yr 2'!$F9,'NEI Lookups'!I:I)+SUMIF('NEI Lookups'!$N:$N,'Inputs Yr 2'!$F9,'NEI Lookups'!I:I)+SUMIF('NEI Lookups'!$O:$O,'Inputs Yr 2'!$F9,'NEI Lookups'!I:I)+SUMIF('NEI Lookups'!$P:$P,'Inputs Yr 2'!$F9,'NEI Lookups'!I:I)+SUMIF('NEI Lookups'!$Q:$Q,'Inputs Yr 2'!$F9,'NEI Lookups'!I:I)+SUMIF('NEI Lookups'!$R:$R,'Inputs Yr 2'!$F9,'NEI Lookups'!I:I)+SUMIF('NEI Lookups'!$S:$S,'Inputs Yr 2'!$F9,'NEI Lookups'!I:I)+SUMIF('NEI Lookups'!$T:$T,'Inputs Yr 2'!$F9,'NEI Lookups'!I:I)</f>
        <v>0</v>
      </c>
      <c r="AX9" s="299">
        <f>SUMIF('NEI Lookups'!$L:$L,'Inputs Yr 2'!$F9,'NEI Lookups'!J:J)+SUMIF('NEI Lookups'!$M:$M,'Inputs Yr 2'!$F9,'NEI Lookups'!J:J)+SUMIF('NEI Lookups'!$N:$N,'Inputs Yr 2'!$F9,'NEI Lookups'!J:J)+SUMIF('NEI Lookups'!$O:$O,'Inputs Yr 2'!$F9,'NEI Lookups'!J:J)+SUMIF('NEI Lookups'!$P:$P,'Inputs Yr 2'!$F9,'NEI Lookups'!J:J)+SUMIF('NEI Lookups'!$Q:$Q,'Inputs Yr 2'!$F9,'NEI Lookups'!J:J)+SUMIF('NEI Lookups'!$R:$R,'Inputs Yr 2'!$F9,'NEI Lookups'!J:J)+SUMIF('NEI Lookups'!$S:$S,'Inputs Yr 2'!$F9,'NEI Lookups'!J:J)+SUMIF('NEI Lookups'!$T:$T,'Inputs Yr 2'!$F9,'NEI Lookups'!J:J)</f>
        <v>0</v>
      </c>
      <c r="AY9" s="930" t="e">
        <f>'Calculations Yr 2'!CP9/'Calculations Yr 2'!I9</f>
        <v>#DIV/0!</v>
      </c>
    </row>
    <row r="10" spans="1:51" s="133" customFormat="1" ht="12.75" customHeight="1">
      <c r="A10" s="145" t="s">
        <v>32</v>
      </c>
      <c r="B10" s="132" t="s">
        <v>462</v>
      </c>
      <c r="C10" s="98" t="s">
        <v>615</v>
      </c>
      <c r="D10" s="902" t="s">
        <v>1422</v>
      </c>
      <c r="E10" s="98" t="s">
        <v>1294</v>
      </c>
      <c r="F10" s="132" t="s">
        <v>940</v>
      </c>
      <c r="G10" s="145" t="s">
        <v>1245</v>
      </c>
      <c r="H10" s="232">
        <v>3813</v>
      </c>
      <c r="I10" s="232">
        <v>25</v>
      </c>
      <c r="J10" s="964">
        <v>748.10338316286379</v>
      </c>
      <c r="K10" s="166">
        <v>149.76450039339105</v>
      </c>
      <c r="L10" s="888">
        <f t="shared" si="0"/>
        <v>598.33888276947278</v>
      </c>
      <c r="M10" s="978">
        <v>0</v>
      </c>
      <c r="N10" s="978">
        <v>0</v>
      </c>
      <c r="O10" s="978">
        <v>0</v>
      </c>
      <c r="P10" s="889">
        <f t="shared" si="1"/>
        <v>1</v>
      </c>
      <c r="Q10" s="978">
        <v>1</v>
      </c>
      <c r="R10" s="178">
        <v>1</v>
      </c>
      <c r="S10" s="178">
        <v>1</v>
      </c>
      <c r="T10" s="178">
        <v>1</v>
      </c>
      <c r="U10" s="978">
        <v>1</v>
      </c>
      <c r="V10" s="978">
        <v>1</v>
      </c>
      <c r="W10" s="872"/>
      <c r="X10" s="937" t="s">
        <v>653</v>
      </c>
      <c r="Y10" s="299">
        <f>IFERROR(VLOOKUP($X10,'Demand Lookups'!$A$5:$K$101,9,0), 0)</f>
        <v>0</v>
      </c>
      <c r="Z10" s="922" t="str">
        <f>IFERROR(VLOOKUP(X10,'Demand Lookups'!$A$5:$B$101,2,0),0)</f>
        <v>Non-Electric Measures</v>
      </c>
      <c r="AA10" s="722">
        <f>IF(ISNA(VLOOKUP($X10,'Demand Lookups'!$A$5:$K$81,3,0)),0,VLOOKUP($X10,'Demand Lookups'!$A$5:$K$81,3,0))</f>
        <v>0</v>
      </c>
      <c r="AB10" s="722">
        <f>IF(ISNA(VLOOKUP($X10,'Demand Lookups'!$A$5:$K$81,4,0)),0,VLOOKUP($X10,'Demand Lookups'!$A$5:$K$81,4,0))</f>
        <v>0</v>
      </c>
      <c r="AC10" s="722">
        <f>IF(ISNA(VLOOKUP($X10,'Demand Lookups'!$A$5:$K$81,5,0)),0,VLOOKUP($X10,'Demand Lookups'!$A$5:$K$81,5,0))</f>
        <v>0</v>
      </c>
      <c r="AD10" s="723">
        <f>IF(ISNA(VLOOKUP($X10,'Demand Lookups'!$A$5:$K$81,6,0)),0,VLOOKUP($X10,'Demand Lookups'!$A$5:$K$81,6,0))</f>
        <v>0</v>
      </c>
      <c r="AE10" s="724">
        <f t="shared" ref="AE10" si="4">IF(ISERROR(W10*Y10),"",W10*Y10)</f>
        <v>0</v>
      </c>
      <c r="AF10" s="723">
        <f>ROUND(IF(ISNA(VLOOKUP($X10,'Demand Lookups'!$A$5:$K$82,10,0)),0,(VLOOKUP($X10,'Demand Lookups'!$A$5:$K$82,10,0))),2)</f>
        <v>0</v>
      </c>
      <c r="AG10" s="723">
        <f>ROUND(IF(ISNA(VLOOKUP($X10,'Demand Lookups'!$A$5:$K$82,11,0)),0,VLOOKUP($X10,'Demand Lookups'!$A$5:$K$82,11,0)),2)</f>
        <v>0</v>
      </c>
      <c r="AH10" s="648">
        <v>0</v>
      </c>
      <c r="AI10" s="648">
        <v>0</v>
      </c>
      <c r="AJ10" s="167" t="s">
        <v>404</v>
      </c>
      <c r="AK10" s="846">
        <v>1.0146711513244164</v>
      </c>
      <c r="AL10" s="167"/>
      <c r="AM10" s="168"/>
      <c r="AN10" s="167"/>
      <c r="AO10" s="168"/>
      <c r="AP10" s="171">
        <v>0</v>
      </c>
      <c r="AQ10" s="171"/>
      <c r="AR10" s="171"/>
      <c r="AS10" s="299">
        <f>SUMIF('NEI Lookups'!$L:$L,'Inputs Yr 2'!$F10,'NEI Lookups'!E:E)+SUMIF('NEI Lookups'!$M:$M,'Inputs Yr 2'!$F10,'NEI Lookups'!E:E)+SUMIF('NEI Lookups'!$N:$N,'Inputs Yr 2'!$F10,'NEI Lookups'!E:E)+SUMIF('NEI Lookups'!$O:$O,'Inputs Yr 2'!$F10,'NEI Lookups'!E:E)+SUMIF('NEI Lookups'!$P:$P,'Inputs Yr 2'!$F10,'NEI Lookups'!E:E)+SUMIF('NEI Lookups'!$Q:$Q,'Inputs Yr 2'!$F10,'NEI Lookups'!E:E)+SUMIF('NEI Lookups'!$R:$R,'Inputs Yr 2'!$F10,'NEI Lookups'!E:E)+SUMIF('NEI Lookups'!$S:$S,'Inputs Yr 2'!$F10,'NEI Lookups'!E:E)+SUMIF('NEI Lookups'!$T:$T,'Inputs Yr 2'!$F10,'NEI Lookups'!E:E)</f>
        <v>1.3805309734513274</v>
      </c>
      <c r="AT10" s="299">
        <f>SUMIF('NEI Lookups'!$L:$L,'Inputs Yr 2'!$F10,'NEI Lookups'!F:F)+SUMIF('NEI Lookups'!$M:$M,'Inputs Yr 2'!$F10,'NEI Lookups'!F:F)+SUMIF('NEI Lookups'!$N:$N,'Inputs Yr 2'!$F10,'NEI Lookups'!F:F)+SUMIF('NEI Lookups'!$O:$O,'Inputs Yr 2'!$F10,'NEI Lookups'!F:F)+SUMIF('NEI Lookups'!$P:$P,'Inputs Yr 2'!$F10,'NEI Lookups'!F:F)+SUMIF('NEI Lookups'!$Q:$Q,'Inputs Yr 2'!$F10,'NEI Lookups'!F:F)+SUMIF('NEI Lookups'!$R:$R,'Inputs Yr 2'!$F10,'NEI Lookups'!F:F)+SUMIF('NEI Lookups'!$S:$S,'Inputs Yr 2'!$F10,'NEI Lookups'!F:F)+SUMIF('NEI Lookups'!$T:$T,'Inputs Yr 2'!$F10,'NEI Lookups'!F:F)</f>
        <v>0</v>
      </c>
      <c r="AU10" s="299">
        <f>SUMIF('NEI Lookups'!$L:$L,'Inputs Yr 2'!$F10,'NEI Lookups'!G:G)+SUMIF('NEI Lookups'!$M:$M,'Inputs Yr 2'!$F10,'NEI Lookups'!G:G)+SUMIF('NEI Lookups'!$N:$N,'Inputs Yr 2'!$F10,'NEI Lookups'!G:G)+SUMIF('NEI Lookups'!$O:$O,'Inputs Yr 2'!$F10,'NEI Lookups'!G:G)+SUMIF('NEI Lookups'!$P:$P,'Inputs Yr 2'!$F10,'NEI Lookups'!G:G)+SUMIF('NEI Lookups'!$Q:$Q,'Inputs Yr 2'!$F10,'NEI Lookups'!G:G)+SUMIF('NEI Lookups'!$R:$R,'Inputs Yr 2'!$F10,'NEI Lookups'!G:G)+SUMIF('NEI Lookups'!$S:$S,'Inputs Yr 2'!$F10,'NEI Lookups'!G:G)+SUMIF('NEI Lookups'!$T:$T,'Inputs Yr 2'!$F10,'NEI Lookups'!G:G)</f>
        <v>0</v>
      </c>
      <c r="AV10" s="299">
        <f>SUMIF('NEI Lookups'!$L:$L,'Inputs Yr 2'!$F10,'NEI Lookups'!H:H)+SUMIF('NEI Lookups'!$M:$M,'Inputs Yr 2'!$F10,'NEI Lookups'!H:H)+SUMIF('NEI Lookups'!$N:$N,'Inputs Yr 2'!$F10,'NEI Lookups'!H:H)+SUMIF('NEI Lookups'!$O:$O,'Inputs Yr 2'!$F10,'NEI Lookups'!H:H)+SUMIF('NEI Lookups'!$P:$P,'Inputs Yr 2'!$F10,'NEI Lookups'!H:H)+SUMIF('NEI Lookups'!$Q:$Q,'Inputs Yr 2'!$F10,'NEI Lookups'!H:H)+SUMIF('NEI Lookups'!$R:$R,'Inputs Yr 2'!$F10,'NEI Lookups'!H:H)+SUMIF('NEI Lookups'!$S:$S,'Inputs Yr 2'!$F10,'NEI Lookups'!H:H)+SUMIF('NEI Lookups'!$T:$T,'Inputs Yr 2'!$F10,'NEI Lookups'!H:H)</f>
        <v>0</v>
      </c>
      <c r="AW10" s="299">
        <f>SUMIF('NEI Lookups'!$L:$L,'Inputs Yr 2'!$F10,'NEI Lookups'!I:I)+SUMIF('NEI Lookups'!$M:$M,'Inputs Yr 2'!$F10,'NEI Lookups'!I:I)+SUMIF('NEI Lookups'!$N:$N,'Inputs Yr 2'!$F10,'NEI Lookups'!I:I)+SUMIF('NEI Lookups'!$O:$O,'Inputs Yr 2'!$F10,'NEI Lookups'!I:I)+SUMIF('NEI Lookups'!$P:$P,'Inputs Yr 2'!$F10,'NEI Lookups'!I:I)+SUMIF('NEI Lookups'!$Q:$Q,'Inputs Yr 2'!$F10,'NEI Lookups'!I:I)+SUMIF('NEI Lookups'!$R:$R,'Inputs Yr 2'!$F10,'NEI Lookups'!I:I)+SUMIF('NEI Lookups'!$S:$S,'Inputs Yr 2'!$F10,'NEI Lookups'!I:I)+SUMIF('NEI Lookups'!$T:$T,'Inputs Yr 2'!$F10,'NEI Lookups'!I:I)</f>
        <v>0</v>
      </c>
      <c r="AX10" s="299">
        <f>SUMIF('NEI Lookups'!$L:$L,'Inputs Yr 2'!$F10,'NEI Lookups'!J:J)+SUMIF('NEI Lookups'!$M:$M,'Inputs Yr 2'!$F10,'NEI Lookups'!J:J)+SUMIF('NEI Lookups'!$N:$N,'Inputs Yr 2'!$F10,'NEI Lookups'!J:J)+SUMIF('NEI Lookups'!$O:$O,'Inputs Yr 2'!$F10,'NEI Lookups'!J:J)+SUMIF('NEI Lookups'!$P:$P,'Inputs Yr 2'!$F10,'NEI Lookups'!J:J)+SUMIF('NEI Lookups'!$Q:$Q,'Inputs Yr 2'!$F10,'NEI Lookups'!J:J)+SUMIF('NEI Lookups'!$R:$R,'Inputs Yr 2'!$F10,'NEI Lookups'!J:J)+SUMIF('NEI Lookups'!$S:$S,'Inputs Yr 2'!$F10,'NEI Lookups'!J:J)+SUMIF('NEI Lookups'!$T:$T,'Inputs Yr 2'!$F10,'NEI Lookups'!J:J)</f>
        <v>0</v>
      </c>
      <c r="AY10" s="930">
        <f>'Calculations Yr 2'!CP10/'Calculations Yr 2'!I10</f>
        <v>0.36152345748997733</v>
      </c>
    </row>
    <row r="11" spans="1:51" s="133" customFormat="1" ht="12.75" customHeight="1">
      <c r="A11" s="145" t="s">
        <v>32</v>
      </c>
      <c r="B11" s="132" t="s">
        <v>462</v>
      </c>
      <c r="C11" s="98" t="s">
        <v>615</v>
      </c>
      <c r="D11" s="902"/>
      <c r="E11" s="98" t="s">
        <v>1295</v>
      </c>
      <c r="F11" s="132" t="s">
        <v>941</v>
      </c>
      <c r="G11" s="145" t="s">
        <v>1245</v>
      </c>
      <c r="H11" s="232">
        <v>0</v>
      </c>
      <c r="I11" s="232">
        <v>0</v>
      </c>
      <c r="J11" s="964"/>
      <c r="K11" s="166"/>
      <c r="L11" s="888">
        <f t="shared" si="0"/>
        <v>0</v>
      </c>
      <c r="M11" s="978">
        <v>0</v>
      </c>
      <c r="N11" s="978">
        <v>0</v>
      </c>
      <c r="O11" s="978">
        <v>0</v>
      </c>
      <c r="P11" s="889">
        <v>1</v>
      </c>
      <c r="Q11" s="978">
        <v>0</v>
      </c>
      <c r="R11" s="178">
        <v>1</v>
      </c>
      <c r="S11" s="178">
        <v>1</v>
      </c>
      <c r="T11" s="178">
        <v>1</v>
      </c>
      <c r="U11" s="978">
        <v>0</v>
      </c>
      <c r="V11" s="978">
        <v>0</v>
      </c>
      <c r="W11" s="872"/>
      <c r="X11" s="99" t="s">
        <v>61</v>
      </c>
      <c r="Y11" s="299">
        <f>IFERROR(VLOOKUP($X11,'Demand Lookups'!$A$5:$K$101,9,0), 0)</f>
        <v>2.0660739342383619E-3</v>
      </c>
      <c r="Z11" s="922" t="str">
        <f>IFERROR(VLOOKUP(X11,'Demand Lookups'!$A$5:$B$101,2,0),0)</f>
        <v>Res Multi Family Electric Cooling (BUILDING_AC) Normal</v>
      </c>
      <c r="AA11" s="722">
        <v>8.9473960760131505E-3</v>
      </c>
      <c r="AB11" s="722">
        <v>4.2581477373051027E-2</v>
      </c>
      <c r="AC11" s="722">
        <v>0.52714991710093428</v>
      </c>
      <c r="AD11" s="723">
        <v>0.42132120944999413</v>
      </c>
      <c r="AE11" s="724">
        <v>0</v>
      </c>
      <c r="AF11" s="723">
        <v>1</v>
      </c>
      <c r="AG11" s="723">
        <v>0</v>
      </c>
      <c r="AH11" s="648">
        <v>1</v>
      </c>
      <c r="AI11" s="648">
        <v>1</v>
      </c>
      <c r="AJ11" s="167"/>
      <c r="AK11" s="846">
        <v>0</v>
      </c>
      <c r="AL11" s="167"/>
      <c r="AM11" s="168"/>
      <c r="AN11" s="167"/>
      <c r="AO11" s="168"/>
      <c r="AP11" s="171">
        <v>0</v>
      </c>
      <c r="AQ11" s="171"/>
      <c r="AR11" s="171"/>
      <c r="AS11" s="299">
        <f>SUMIF('NEI Lookups'!$L:$L,'Inputs Yr 2'!$F11,'NEI Lookups'!E:E)+SUMIF('NEI Lookups'!$M:$M,'Inputs Yr 2'!$F11,'NEI Lookups'!E:E)+SUMIF('NEI Lookups'!$N:$N,'Inputs Yr 2'!$F11,'NEI Lookups'!E:E)+SUMIF('NEI Lookups'!$O:$O,'Inputs Yr 2'!$F11,'NEI Lookups'!E:E)+SUMIF('NEI Lookups'!$P:$P,'Inputs Yr 2'!$F11,'NEI Lookups'!E:E)+SUMIF('NEI Lookups'!$Q:$Q,'Inputs Yr 2'!$F11,'NEI Lookups'!E:E)+SUMIF('NEI Lookups'!$R:$R,'Inputs Yr 2'!$F11,'NEI Lookups'!E:E)+SUMIF('NEI Lookups'!$S:$S,'Inputs Yr 2'!$F11,'NEI Lookups'!E:E)+SUMIF('NEI Lookups'!$T:$T,'Inputs Yr 2'!$F11,'NEI Lookups'!E:E)</f>
        <v>0</v>
      </c>
      <c r="AT11" s="299">
        <f>SUMIF('NEI Lookups'!$L:$L,'Inputs Yr 2'!$F11,'NEI Lookups'!F:F)+SUMIF('NEI Lookups'!$M:$M,'Inputs Yr 2'!$F11,'NEI Lookups'!F:F)+SUMIF('NEI Lookups'!$N:$N,'Inputs Yr 2'!$F11,'NEI Lookups'!F:F)+SUMIF('NEI Lookups'!$O:$O,'Inputs Yr 2'!$F11,'NEI Lookups'!F:F)+SUMIF('NEI Lookups'!$P:$P,'Inputs Yr 2'!$F11,'NEI Lookups'!F:F)+SUMIF('NEI Lookups'!$Q:$Q,'Inputs Yr 2'!$F11,'NEI Lookups'!F:F)+SUMIF('NEI Lookups'!$R:$R,'Inputs Yr 2'!$F11,'NEI Lookups'!F:F)+SUMIF('NEI Lookups'!$S:$S,'Inputs Yr 2'!$F11,'NEI Lookups'!F:F)+SUMIF('NEI Lookups'!$T:$T,'Inputs Yr 2'!$F11,'NEI Lookups'!F:F)</f>
        <v>0</v>
      </c>
      <c r="AU11" s="299">
        <f>SUMIF('NEI Lookups'!$L:$L,'Inputs Yr 2'!$F11,'NEI Lookups'!G:G)+SUMIF('NEI Lookups'!$M:$M,'Inputs Yr 2'!$F11,'NEI Lookups'!G:G)+SUMIF('NEI Lookups'!$N:$N,'Inputs Yr 2'!$F11,'NEI Lookups'!G:G)+SUMIF('NEI Lookups'!$O:$O,'Inputs Yr 2'!$F11,'NEI Lookups'!G:G)+SUMIF('NEI Lookups'!$P:$P,'Inputs Yr 2'!$F11,'NEI Lookups'!G:G)+SUMIF('NEI Lookups'!$Q:$Q,'Inputs Yr 2'!$F11,'NEI Lookups'!G:G)+SUMIF('NEI Lookups'!$R:$R,'Inputs Yr 2'!$F11,'NEI Lookups'!G:G)+SUMIF('NEI Lookups'!$S:$S,'Inputs Yr 2'!$F11,'NEI Lookups'!G:G)+SUMIF('NEI Lookups'!$T:$T,'Inputs Yr 2'!$F11,'NEI Lookups'!G:G)</f>
        <v>0</v>
      </c>
      <c r="AV11" s="299">
        <f>SUMIF('NEI Lookups'!$L:$L,'Inputs Yr 2'!$F11,'NEI Lookups'!H:H)+SUMIF('NEI Lookups'!$M:$M,'Inputs Yr 2'!$F11,'NEI Lookups'!H:H)+SUMIF('NEI Lookups'!$N:$N,'Inputs Yr 2'!$F11,'NEI Lookups'!H:H)+SUMIF('NEI Lookups'!$O:$O,'Inputs Yr 2'!$F11,'NEI Lookups'!H:H)+SUMIF('NEI Lookups'!$P:$P,'Inputs Yr 2'!$F11,'NEI Lookups'!H:H)+SUMIF('NEI Lookups'!$Q:$Q,'Inputs Yr 2'!$F11,'NEI Lookups'!H:H)+SUMIF('NEI Lookups'!$R:$R,'Inputs Yr 2'!$F11,'NEI Lookups'!H:H)+SUMIF('NEI Lookups'!$S:$S,'Inputs Yr 2'!$F11,'NEI Lookups'!H:H)+SUMIF('NEI Lookups'!$T:$T,'Inputs Yr 2'!$F11,'NEI Lookups'!H:H)</f>
        <v>0</v>
      </c>
      <c r="AW11" s="299">
        <f>SUMIF('NEI Lookups'!$L:$L,'Inputs Yr 2'!$F11,'NEI Lookups'!I:I)+SUMIF('NEI Lookups'!$M:$M,'Inputs Yr 2'!$F11,'NEI Lookups'!I:I)+SUMIF('NEI Lookups'!$N:$N,'Inputs Yr 2'!$F11,'NEI Lookups'!I:I)+SUMIF('NEI Lookups'!$O:$O,'Inputs Yr 2'!$F11,'NEI Lookups'!I:I)+SUMIF('NEI Lookups'!$P:$P,'Inputs Yr 2'!$F11,'NEI Lookups'!I:I)+SUMIF('NEI Lookups'!$Q:$Q,'Inputs Yr 2'!$F11,'NEI Lookups'!I:I)+SUMIF('NEI Lookups'!$R:$R,'Inputs Yr 2'!$F11,'NEI Lookups'!I:I)+SUMIF('NEI Lookups'!$S:$S,'Inputs Yr 2'!$F11,'NEI Lookups'!I:I)+SUMIF('NEI Lookups'!$T:$T,'Inputs Yr 2'!$F11,'NEI Lookups'!I:I)</f>
        <v>0</v>
      </c>
      <c r="AX11" s="299">
        <f>SUMIF('NEI Lookups'!$L:$L,'Inputs Yr 2'!$F11,'NEI Lookups'!J:J)+SUMIF('NEI Lookups'!$M:$M,'Inputs Yr 2'!$F11,'NEI Lookups'!J:J)+SUMIF('NEI Lookups'!$N:$N,'Inputs Yr 2'!$F11,'NEI Lookups'!J:J)+SUMIF('NEI Lookups'!$O:$O,'Inputs Yr 2'!$F11,'NEI Lookups'!J:J)+SUMIF('NEI Lookups'!$P:$P,'Inputs Yr 2'!$F11,'NEI Lookups'!J:J)+SUMIF('NEI Lookups'!$Q:$Q,'Inputs Yr 2'!$F11,'NEI Lookups'!J:J)+SUMIF('NEI Lookups'!$R:$R,'Inputs Yr 2'!$F11,'NEI Lookups'!J:J)+SUMIF('NEI Lookups'!$S:$S,'Inputs Yr 2'!$F11,'NEI Lookups'!J:J)+SUMIF('NEI Lookups'!$T:$T,'Inputs Yr 2'!$F11,'NEI Lookups'!J:J)</f>
        <v>0</v>
      </c>
      <c r="AY11" s="930" t="e">
        <f>'Calculations Yr 2'!CP11/'Calculations Yr 2'!I11</f>
        <v>#VALUE!</v>
      </c>
    </row>
    <row r="12" spans="1:51" s="133" customFormat="1" ht="12.75" customHeight="1">
      <c r="A12" s="145" t="s">
        <v>32</v>
      </c>
      <c r="B12" s="132" t="s">
        <v>462</v>
      </c>
      <c r="C12" s="98" t="s">
        <v>615</v>
      </c>
      <c r="D12" s="902" t="s">
        <v>1423</v>
      </c>
      <c r="E12" s="98" t="s">
        <v>1296</v>
      </c>
      <c r="F12" s="132" t="s">
        <v>942</v>
      </c>
      <c r="G12" s="145" t="s">
        <v>89</v>
      </c>
      <c r="H12" s="232">
        <v>3813</v>
      </c>
      <c r="I12" s="232">
        <v>15</v>
      </c>
      <c r="J12" s="964"/>
      <c r="K12" s="166"/>
      <c r="L12" s="888">
        <f t="shared" si="0"/>
        <v>0</v>
      </c>
      <c r="M12" s="978">
        <v>0</v>
      </c>
      <c r="N12" s="978">
        <v>0</v>
      </c>
      <c r="O12" s="978">
        <v>0</v>
      </c>
      <c r="P12" s="889">
        <f>1-M12+N12+O12</f>
        <v>1</v>
      </c>
      <c r="Q12" s="978">
        <v>1</v>
      </c>
      <c r="R12" s="178">
        <v>1</v>
      </c>
      <c r="S12" s="178">
        <v>1</v>
      </c>
      <c r="T12" s="178">
        <v>1</v>
      </c>
      <c r="U12" s="978">
        <v>1</v>
      </c>
      <c r="V12" s="978">
        <v>1</v>
      </c>
      <c r="W12" s="872"/>
      <c r="X12" s="937" t="s">
        <v>653</v>
      </c>
      <c r="Y12" s="299">
        <f>IFERROR(VLOOKUP($X12,'Demand Lookups'!$A$5:$K$101,9,0), 0)</f>
        <v>0</v>
      </c>
      <c r="Z12" s="922" t="str">
        <f>IFERROR(VLOOKUP(X12,'Demand Lookups'!$A$5:$B$101,2,0),0)</f>
        <v>Non-Electric Measures</v>
      </c>
      <c r="AA12" s="722">
        <f>IF(ISNA(VLOOKUP($X12,'Demand Lookups'!$A$5:$K$81,3,0)),0,VLOOKUP($X12,'Demand Lookups'!$A$5:$K$81,3,0))</f>
        <v>0</v>
      </c>
      <c r="AB12" s="722">
        <f>IF(ISNA(VLOOKUP($X12,'Demand Lookups'!$A$5:$K$81,4,0)),0,VLOOKUP($X12,'Demand Lookups'!$A$5:$K$81,4,0))</f>
        <v>0</v>
      </c>
      <c r="AC12" s="722">
        <f>IF(ISNA(VLOOKUP($X12,'Demand Lookups'!$A$5:$K$81,5,0)),0,VLOOKUP($X12,'Demand Lookups'!$A$5:$K$81,5,0))</f>
        <v>0</v>
      </c>
      <c r="AD12" s="723">
        <f>IF(ISNA(VLOOKUP($X12,'Demand Lookups'!$A$5:$K$81,6,0)),0,VLOOKUP($X12,'Demand Lookups'!$A$5:$K$81,6,0))</f>
        <v>0</v>
      </c>
      <c r="AE12" s="724">
        <f t="shared" ref="AE12:AE14" si="5">IF(ISERROR(W12*Y12),"",W12*Y12)</f>
        <v>0</v>
      </c>
      <c r="AF12" s="723">
        <f>ROUND(IF(ISNA(VLOOKUP($X12,'Demand Lookups'!$A$5:$K$82,10,0)),0,(VLOOKUP($X12,'Demand Lookups'!$A$5:$K$82,10,0))),2)</f>
        <v>0</v>
      </c>
      <c r="AG12" s="723">
        <f>ROUND(IF(ISNA(VLOOKUP($X12,'Demand Lookups'!$A$5:$K$82,11,0)),0,VLOOKUP($X12,'Demand Lookups'!$A$5:$K$82,11,0)),2)</f>
        <v>0</v>
      </c>
      <c r="AH12" s="648">
        <v>0</v>
      </c>
      <c r="AI12" s="648">
        <v>0</v>
      </c>
      <c r="AJ12" s="167" t="s">
        <v>40</v>
      </c>
      <c r="AK12" s="846">
        <v>3.0122006294256494</v>
      </c>
      <c r="AL12" s="176"/>
      <c r="AM12" s="168"/>
      <c r="AN12" s="167"/>
      <c r="AO12" s="168"/>
      <c r="AP12" s="171">
        <v>0</v>
      </c>
      <c r="AQ12" s="171"/>
      <c r="AR12" s="171"/>
      <c r="AS12" s="299">
        <f>SUMIF('NEI Lookups'!$L:$L,'Inputs Yr 2'!$F12,'NEI Lookups'!E:E)+SUMIF('NEI Lookups'!$M:$M,'Inputs Yr 2'!$F12,'NEI Lookups'!E:E)+SUMIF('NEI Lookups'!$N:$N,'Inputs Yr 2'!$F12,'NEI Lookups'!E:E)+SUMIF('NEI Lookups'!$O:$O,'Inputs Yr 2'!$F12,'NEI Lookups'!E:E)+SUMIF('NEI Lookups'!$P:$P,'Inputs Yr 2'!$F12,'NEI Lookups'!E:E)+SUMIF('NEI Lookups'!$Q:$Q,'Inputs Yr 2'!$F12,'NEI Lookups'!E:E)+SUMIF('NEI Lookups'!$R:$R,'Inputs Yr 2'!$F12,'NEI Lookups'!E:E)+SUMIF('NEI Lookups'!$S:$S,'Inputs Yr 2'!$F12,'NEI Lookups'!E:E)+SUMIF('NEI Lookups'!$T:$T,'Inputs Yr 2'!$F12,'NEI Lookups'!E:E)</f>
        <v>0</v>
      </c>
      <c r="AT12" s="299">
        <f>SUMIF('NEI Lookups'!$L:$L,'Inputs Yr 2'!$F12,'NEI Lookups'!F:F)+SUMIF('NEI Lookups'!$M:$M,'Inputs Yr 2'!$F12,'NEI Lookups'!F:F)+SUMIF('NEI Lookups'!$N:$N,'Inputs Yr 2'!$F12,'NEI Lookups'!F:F)+SUMIF('NEI Lookups'!$O:$O,'Inputs Yr 2'!$F12,'NEI Lookups'!F:F)+SUMIF('NEI Lookups'!$P:$P,'Inputs Yr 2'!$F12,'NEI Lookups'!F:F)+SUMIF('NEI Lookups'!$Q:$Q,'Inputs Yr 2'!$F12,'NEI Lookups'!F:F)+SUMIF('NEI Lookups'!$R:$R,'Inputs Yr 2'!$F12,'NEI Lookups'!F:F)+SUMIF('NEI Lookups'!$S:$S,'Inputs Yr 2'!$F12,'NEI Lookups'!F:F)+SUMIF('NEI Lookups'!$T:$T,'Inputs Yr 2'!$F12,'NEI Lookups'!F:F)</f>
        <v>0</v>
      </c>
      <c r="AU12" s="299">
        <f>SUMIF('NEI Lookups'!$L:$L,'Inputs Yr 2'!$F12,'NEI Lookups'!G:G)+SUMIF('NEI Lookups'!$M:$M,'Inputs Yr 2'!$F12,'NEI Lookups'!G:G)+SUMIF('NEI Lookups'!$N:$N,'Inputs Yr 2'!$F12,'NEI Lookups'!G:G)+SUMIF('NEI Lookups'!$O:$O,'Inputs Yr 2'!$F12,'NEI Lookups'!G:G)+SUMIF('NEI Lookups'!$P:$P,'Inputs Yr 2'!$F12,'NEI Lookups'!G:G)+SUMIF('NEI Lookups'!$Q:$Q,'Inputs Yr 2'!$F12,'NEI Lookups'!G:G)+SUMIF('NEI Lookups'!$R:$R,'Inputs Yr 2'!$F12,'NEI Lookups'!G:G)+SUMIF('NEI Lookups'!$S:$S,'Inputs Yr 2'!$F12,'NEI Lookups'!G:G)+SUMIF('NEI Lookups'!$T:$T,'Inputs Yr 2'!$F12,'NEI Lookups'!G:G)</f>
        <v>0</v>
      </c>
      <c r="AV12" s="299">
        <f>SUMIF('NEI Lookups'!$L:$L,'Inputs Yr 2'!$F12,'NEI Lookups'!H:H)+SUMIF('NEI Lookups'!$M:$M,'Inputs Yr 2'!$F12,'NEI Lookups'!H:H)+SUMIF('NEI Lookups'!$N:$N,'Inputs Yr 2'!$F12,'NEI Lookups'!H:H)+SUMIF('NEI Lookups'!$O:$O,'Inputs Yr 2'!$F12,'NEI Lookups'!H:H)+SUMIF('NEI Lookups'!$P:$P,'Inputs Yr 2'!$F12,'NEI Lookups'!H:H)+SUMIF('NEI Lookups'!$Q:$Q,'Inputs Yr 2'!$F12,'NEI Lookups'!H:H)+SUMIF('NEI Lookups'!$R:$R,'Inputs Yr 2'!$F12,'NEI Lookups'!H:H)+SUMIF('NEI Lookups'!$S:$S,'Inputs Yr 2'!$F12,'NEI Lookups'!H:H)+SUMIF('NEI Lookups'!$T:$T,'Inputs Yr 2'!$F12,'NEI Lookups'!H:H)</f>
        <v>0</v>
      </c>
      <c r="AW12" s="299">
        <f>SUMIF('NEI Lookups'!$L:$L,'Inputs Yr 2'!$F12,'NEI Lookups'!I:I)+SUMIF('NEI Lookups'!$M:$M,'Inputs Yr 2'!$F12,'NEI Lookups'!I:I)+SUMIF('NEI Lookups'!$N:$N,'Inputs Yr 2'!$F12,'NEI Lookups'!I:I)+SUMIF('NEI Lookups'!$O:$O,'Inputs Yr 2'!$F12,'NEI Lookups'!I:I)+SUMIF('NEI Lookups'!$P:$P,'Inputs Yr 2'!$F12,'NEI Lookups'!I:I)+SUMIF('NEI Lookups'!$Q:$Q,'Inputs Yr 2'!$F12,'NEI Lookups'!I:I)+SUMIF('NEI Lookups'!$R:$R,'Inputs Yr 2'!$F12,'NEI Lookups'!I:I)+SUMIF('NEI Lookups'!$S:$S,'Inputs Yr 2'!$F12,'NEI Lookups'!I:I)+SUMIF('NEI Lookups'!$T:$T,'Inputs Yr 2'!$F12,'NEI Lookups'!I:I)</f>
        <v>0</v>
      </c>
      <c r="AX12" s="299">
        <f>SUMIF('NEI Lookups'!$L:$L,'Inputs Yr 2'!$F12,'NEI Lookups'!J:J)+SUMIF('NEI Lookups'!$M:$M,'Inputs Yr 2'!$F12,'NEI Lookups'!J:J)+SUMIF('NEI Lookups'!$N:$N,'Inputs Yr 2'!$F12,'NEI Lookups'!J:J)+SUMIF('NEI Lookups'!$O:$O,'Inputs Yr 2'!$F12,'NEI Lookups'!J:J)+SUMIF('NEI Lookups'!$P:$P,'Inputs Yr 2'!$F12,'NEI Lookups'!J:J)+SUMIF('NEI Lookups'!$Q:$Q,'Inputs Yr 2'!$F12,'NEI Lookups'!J:J)+SUMIF('NEI Lookups'!$R:$R,'Inputs Yr 2'!$F12,'NEI Lookups'!J:J)+SUMIF('NEI Lookups'!$S:$S,'Inputs Yr 2'!$F12,'NEI Lookups'!J:J)+SUMIF('NEI Lookups'!$T:$T,'Inputs Yr 2'!$F12,'NEI Lookups'!J:J)</f>
        <v>0</v>
      </c>
      <c r="AY12" s="930" t="e">
        <f>'Calculations Yr 2'!CP12/'Calculations Yr 2'!I12</f>
        <v>#DIV/0!</v>
      </c>
    </row>
    <row r="13" spans="1:51" s="133" customFormat="1" ht="12.75" customHeight="1">
      <c r="A13" s="145" t="s">
        <v>32</v>
      </c>
      <c r="B13" s="132" t="s">
        <v>462</v>
      </c>
      <c r="C13" s="98" t="s">
        <v>615</v>
      </c>
      <c r="D13" s="98"/>
      <c r="E13" s="98" t="s">
        <v>1297</v>
      </c>
      <c r="F13" s="132" t="s">
        <v>943</v>
      </c>
      <c r="G13" s="145" t="s">
        <v>459</v>
      </c>
      <c r="H13" s="232">
        <v>0</v>
      </c>
      <c r="I13" s="232">
        <v>0</v>
      </c>
      <c r="J13" s="964"/>
      <c r="K13" s="166"/>
      <c r="L13" s="888">
        <f t="shared" si="0"/>
        <v>0</v>
      </c>
      <c r="M13" s="978">
        <v>0</v>
      </c>
      <c r="N13" s="978">
        <v>0</v>
      </c>
      <c r="O13" s="978">
        <v>0</v>
      </c>
      <c r="P13" s="889">
        <v>0.9</v>
      </c>
      <c r="Q13" s="978">
        <v>0</v>
      </c>
      <c r="R13" s="178">
        <v>1</v>
      </c>
      <c r="S13" s="178">
        <v>1</v>
      </c>
      <c r="T13" s="178">
        <v>1</v>
      </c>
      <c r="U13" s="978">
        <v>0</v>
      </c>
      <c r="V13" s="978">
        <v>0</v>
      </c>
      <c r="W13" s="872"/>
      <c r="X13" s="937" t="s">
        <v>653</v>
      </c>
      <c r="Y13" s="299">
        <f>IFERROR(VLOOKUP($X13,'Demand Lookups'!$A$5:$K$101,9,0), 0)</f>
        <v>0</v>
      </c>
      <c r="Z13" s="922" t="str">
        <f>IFERROR(VLOOKUP(X13,'Demand Lookups'!$A$5:$B$101,2,0),0)</f>
        <v>Non-Electric Measures</v>
      </c>
      <c r="AA13" s="722">
        <f>IF(ISNA(VLOOKUP($X13,'Demand Lookups'!$A$5:$K$81,3,0)),0,VLOOKUP($X13,'Demand Lookups'!$A$5:$K$81,3,0))</f>
        <v>0</v>
      </c>
      <c r="AB13" s="722">
        <f>IF(ISNA(VLOOKUP($X13,'Demand Lookups'!$A$5:$K$81,4,0)),0,VLOOKUP($X13,'Demand Lookups'!$A$5:$K$81,4,0))</f>
        <v>0</v>
      </c>
      <c r="AC13" s="722">
        <f>IF(ISNA(VLOOKUP($X13,'Demand Lookups'!$A$5:$K$81,5,0)),0,VLOOKUP($X13,'Demand Lookups'!$A$5:$K$81,5,0))</f>
        <v>0</v>
      </c>
      <c r="AD13" s="723">
        <f>IF(ISNA(VLOOKUP($X13,'Demand Lookups'!$A$5:$K$81,6,0)),0,VLOOKUP($X13,'Demand Lookups'!$A$5:$K$81,6,0))</f>
        <v>0</v>
      </c>
      <c r="AE13" s="724">
        <f t="shared" si="5"/>
        <v>0</v>
      </c>
      <c r="AF13" s="723">
        <f>ROUND(IF(ISNA(VLOOKUP($X13,'Demand Lookups'!$A$5:$K$82,10,0)),0,(VLOOKUP($X13,'Demand Lookups'!$A$5:$K$82,10,0))),2)</f>
        <v>0</v>
      </c>
      <c r="AG13" s="723">
        <f>ROUND(IF(ISNA(VLOOKUP($X13,'Demand Lookups'!$A$5:$K$82,11,0)),0,VLOOKUP($X13,'Demand Lookups'!$A$5:$K$82,11,0)),2)</f>
        <v>0</v>
      </c>
      <c r="AH13" s="648">
        <v>0</v>
      </c>
      <c r="AI13" s="648">
        <v>0</v>
      </c>
      <c r="AJ13" s="167"/>
      <c r="AK13" s="846">
        <v>0</v>
      </c>
      <c r="AL13" s="167"/>
      <c r="AM13" s="168"/>
      <c r="AN13" s="167"/>
      <c r="AO13" s="168"/>
      <c r="AP13" s="171">
        <v>0</v>
      </c>
      <c r="AQ13" s="171"/>
      <c r="AR13" s="171"/>
      <c r="AS13" s="299">
        <f>SUMIF('NEI Lookups'!$L:$L,'Inputs Yr 2'!$F13,'NEI Lookups'!E:E)+SUMIF('NEI Lookups'!$M:$M,'Inputs Yr 2'!$F13,'NEI Lookups'!E:E)+SUMIF('NEI Lookups'!$N:$N,'Inputs Yr 2'!$F13,'NEI Lookups'!E:E)+SUMIF('NEI Lookups'!$O:$O,'Inputs Yr 2'!$F13,'NEI Lookups'!E:E)+SUMIF('NEI Lookups'!$P:$P,'Inputs Yr 2'!$F13,'NEI Lookups'!E:E)+SUMIF('NEI Lookups'!$Q:$Q,'Inputs Yr 2'!$F13,'NEI Lookups'!E:E)+SUMIF('NEI Lookups'!$R:$R,'Inputs Yr 2'!$F13,'NEI Lookups'!E:E)+SUMIF('NEI Lookups'!$S:$S,'Inputs Yr 2'!$F13,'NEI Lookups'!E:E)+SUMIF('NEI Lookups'!$T:$T,'Inputs Yr 2'!$F13,'NEI Lookups'!E:E)</f>
        <v>0</v>
      </c>
      <c r="AT13" s="299">
        <f>SUMIF('NEI Lookups'!$L:$L,'Inputs Yr 2'!$F13,'NEI Lookups'!F:F)+SUMIF('NEI Lookups'!$M:$M,'Inputs Yr 2'!$F13,'NEI Lookups'!F:F)+SUMIF('NEI Lookups'!$N:$N,'Inputs Yr 2'!$F13,'NEI Lookups'!F:F)+SUMIF('NEI Lookups'!$O:$O,'Inputs Yr 2'!$F13,'NEI Lookups'!F:F)+SUMIF('NEI Lookups'!$P:$P,'Inputs Yr 2'!$F13,'NEI Lookups'!F:F)+SUMIF('NEI Lookups'!$Q:$Q,'Inputs Yr 2'!$F13,'NEI Lookups'!F:F)+SUMIF('NEI Lookups'!$R:$R,'Inputs Yr 2'!$F13,'NEI Lookups'!F:F)+SUMIF('NEI Lookups'!$S:$S,'Inputs Yr 2'!$F13,'NEI Lookups'!F:F)+SUMIF('NEI Lookups'!$T:$T,'Inputs Yr 2'!$F13,'NEI Lookups'!F:F)</f>
        <v>0</v>
      </c>
      <c r="AU13" s="299">
        <f>SUMIF('NEI Lookups'!$L:$L,'Inputs Yr 2'!$F13,'NEI Lookups'!G:G)+SUMIF('NEI Lookups'!$M:$M,'Inputs Yr 2'!$F13,'NEI Lookups'!G:G)+SUMIF('NEI Lookups'!$N:$N,'Inputs Yr 2'!$F13,'NEI Lookups'!G:G)+SUMIF('NEI Lookups'!$O:$O,'Inputs Yr 2'!$F13,'NEI Lookups'!G:G)+SUMIF('NEI Lookups'!$P:$P,'Inputs Yr 2'!$F13,'NEI Lookups'!G:G)+SUMIF('NEI Lookups'!$Q:$Q,'Inputs Yr 2'!$F13,'NEI Lookups'!G:G)+SUMIF('NEI Lookups'!$R:$R,'Inputs Yr 2'!$F13,'NEI Lookups'!G:G)+SUMIF('NEI Lookups'!$S:$S,'Inputs Yr 2'!$F13,'NEI Lookups'!G:G)+SUMIF('NEI Lookups'!$T:$T,'Inputs Yr 2'!$F13,'NEI Lookups'!G:G)</f>
        <v>0</v>
      </c>
      <c r="AV13" s="299">
        <f>SUMIF('NEI Lookups'!$L:$L,'Inputs Yr 2'!$F13,'NEI Lookups'!H:H)+SUMIF('NEI Lookups'!$M:$M,'Inputs Yr 2'!$F13,'NEI Lookups'!H:H)+SUMIF('NEI Lookups'!$N:$N,'Inputs Yr 2'!$F13,'NEI Lookups'!H:H)+SUMIF('NEI Lookups'!$O:$O,'Inputs Yr 2'!$F13,'NEI Lookups'!H:H)+SUMIF('NEI Lookups'!$P:$P,'Inputs Yr 2'!$F13,'NEI Lookups'!H:H)+SUMIF('NEI Lookups'!$Q:$Q,'Inputs Yr 2'!$F13,'NEI Lookups'!H:H)+SUMIF('NEI Lookups'!$R:$R,'Inputs Yr 2'!$F13,'NEI Lookups'!H:H)+SUMIF('NEI Lookups'!$S:$S,'Inputs Yr 2'!$F13,'NEI Lookups'!H:H)+SUMIF('NEI Lookups'!$T:$T,'Inputs Yr 2'!$F13,'NEI Lookups'!H:H)</f>
        <v>0</v>
      </c>
      <c r="AW13" s="299">
        <f>SUMIF('NEI Lookups'!$L:$L,'Inputs Yr 2'!$F13,'NEI Lookups'!I:I)+SUMIF('NEI Lookups'!$M:$M,'Inputs Yr 2'!$F13,'NEI Lookups'!I:I)+SUMIF('NEI Lookups'!$N:$N,'Inputs Yr 2'!$F13,'NEI Lookups'!I:I)+SUMIF('NEI Lookups'!$O:$O,'Inputs Yr 2'!$F13,'NEI Lookups'!I:I)+SUMIF('NEI Lookups'!$P:$P,'Inputs Yr 2'!$F13,'NEI Lookups'!I:I)+SUMIF('NEI Lookups'!$Q:$Q,'Inputs Yr 2'!$F13,'NEI Lookups'!I:I)+SUMIF('NEI Lookups'!$R:$R,'Inputs Yr 2'!$F13,'NEI Lookups'!I:I)+SUMIF('NEI Lookups'!$S:$S,'Inputs Yr 2'!$F13,'NEI Lookups'!I:I)+SUMIF('NEI Lookups'!$T:$T,'Inputs Yr 2'!$F13,'NEI Lookups'!I:I)</f>
        <v>0</v>
      </c>
      <c r="AX13" s="299">
        <f>SUMIF('NEI Lookups'!$L:$L,'Inputs Yr 2'!$F13,'NEI Lookups'!J:J)+SUMIF('NEI Lookups'!$M:$M,'Inputs Yr 2'!$F13,'NEI Lookups'!J:J)+SUMIF('NEI Lookups'!$N:$N,'Inputs Yr 2'!$F13,'NEI Lookups'!J:J)+SUMIF('NEI Lookups'!$O:$O,'Inputs Yr 2'!$F13,'NEI Lookups'!J:J)+SUMIF('NEI Lookups'!$P:$P,'Inputs Yr 2'!$F13,'NEI Lookups'!J:J)+SUMIF('NEI Lookups'!$Q:$Q,'Inputs Yr 2'!$F13,'NEI Lookups'!J:J)+SUMIF('NEI Lookups'!$R:$R,'Inputs Yr 2'!$F13,'NEI Lookups'!J:J)+SUMIF('NEI Lookups'!$S:$S,'Inputs Yr 2'!$F13,'NEI Lookups'!J:J)+SUMIF('NEI Lookups'!$T:$T,'Inputs Yr 2'!$F13,'NEI Lookups'!J:J)</f>
        <v>0</v>
      </c>
      <c r="AY13" s="930" t="e">
        <f>'Calculations Yr 2'!CP13/'Calculations Yr 2'!I13</f>
        <v>#VALUE!</v>
      </c>
    </row>
    <row r="14" spans="1:51" s="133" customFormat="1" ht="13.5" customHeight="1" thickBot="1">
      <c r="A14" s="147" t="s">
        <v>32</v>
      </c>
      <c r="B14" s="146" t="s">
        <v>462</v>
      </c>
      <c r="C14" s="177" t="s">
        <v>615</v>
      </c>
      <c r="D14" s="903" t="s">
        <v>1424</v>
      </c>
      <c r="E14" s="177" t="s">
        <v>724</v>
      </c>
      <c r="F14" s="146" t="s">
        <v>944</v>
      </c>
      <c r="G14" s="147" t="s">
        <v>1245</v>
      </c>
      <c r="H14" s="232">
        <v>1</v>
      </c>
      <c r="I14" s="233">
        <v>20</v>
      </c>
      <c r="J14" s="970"/>
      <c r="K14" s="173"/>
      <c r="L14" s="898">
        <f t="shared" si="0"/>
        <v>0</v>
      </c>
      <c r="M14" s="979">
        <v>0</v>
      </c>
      <c r="N14" s="979">
        <v>0</v>
      </c>
      <c r="O14" s="979">
        <v>0</v>
      </c>
      <c r="P14" s="895">
        <f>1-M14+N14+O14</f>
        <v>1</v>
      </c>
      <c r="Q14" s="979">
        <v>1</v>
      </c>
      <c r="R14" s="221">
        <v>1</v>
      </c>
      <c r="S14" s="221">
        <v>1</v>
      </c>
      <c r="T14" s="221">
        <v>1</v>
      </c>
      <c r="U14" s="979">
        <v>1</v>
      </c>
      <c r="V14" s="979">
        <v>1</v>
      </c>
      <c r="W14" s="222"/>
      <c r="X14" s="146" t="s">
        <v>653</v>
      </c>
      <c r="Y14" s="302">
        <f>IFERROR(VLOOKUP($X14,'Demand Lookups'!$A$5:$K$101,9,0), 0)</f>
        <v>0</v>
      </c>
      <c r="Z14" s="923" t="str">
        <f>IFERROR(VLOOKUP(X14,'Demand Lookups'!$A$5:$B$101,2,0),0)</f>
        <v>Non-Electric Measures</v>
      </c>
      <c r="AA14" s="650">
        <f>IF(ISNA(VLOOKUP($X14,'Demand Lookups'!$A$5:$K$81,3,0)),0,VLOOKUP($X14,'Demand Lookups'!$A$5:$K$81,3,0))</f>
        <v>0</v>
      </c>
      <c r="AB14" s="650">
        <f>IF(ISNA(VLOOKUP($X14,'Demand Lookups'!$A$5:$K$81,4,0)),0,VLOOKUP($X14,'Demand Lookups'!$A$5:$K$81,4,0))</f>
        <v>0</v>
      </c>
      <c r="AC14" s="650">
        <f>IF(ISNA(VLOOKUP($X14,'Demand Lookups'!$A$5:$K$81,5,0)),0,VLOOKUP($X14,'Demand Lookups'!$A$5:$K$81,5,0))</f>
        <v>0</v>
      </c>
      <c r="AD14" s="651">
        <f>IF(ISNA(VLOOKUP($X14,'Demand Lookups'!$A$5:$K$81,6,0)),0,VLOOKUP($X14,'Demand Lookups'!$A$5:$K$81,6,0))</f>
        <v>0</v>
      </c>
      <c r="AE14" s="652">
        <f t="shared" si="5"/>
        <v>0</v>
      </c>
      <c r="AF14" s="651">
        <f>ROUND(IF(ISNA(VLOOKUP($X14,'Demand Lookups'!$A$5:$K$82,10,0)),0,(VLOOKUP($X14,'Demand Lookups'!$A$5:$K$82,10,0))),2)</f>
        <v>0</v>
      </c>
      <c r="AG14" s="651">
        <f>ROUND(IF(ISNA(VLOOKUP($X14,'Demand Lookups'!$A$5:$K$82,11,0)),0,VLOOKUP($X14,'Demand Lookups'!$A$5:$K$82,11,0)),2)</f>
        <v>0</v>
      </c>
      <c r="AH14" s="653">
        <v>0</v>
      </c>
      <c r="AI14" s="653">
        <v>0</v>
      </c>
      <c r="AJ14" s="174" t="s">
        <v>404</v>
      </c>
      <c r="AK14" s="994">
        <v>7437.9</v>
      </c>
      <c r="AL14" s="174"/>
      <c r="AM14" s="303"/>
      <c r="AN14" s="174"/>
      <c r="AO14" s="303"/>
      <c r="AP14" s="175">
        <v>0</v>
      </c>
      <c r="AQ14" s="175"/>
      <c r="AR14" s="175"/>
      <c r="AS14" s="302">
        <f>SUMIF('NEI Lookups'!$L:$L,'Inputs Yr 2'!$F14,'NEI Lookups'!E:E)+SUMIF('NEI Lookups'!$M:$M,'Inputs Yr 2'!$F14,'NEI Lookups'!E:E)+SUMIF('NEI Lookups'!$N:$N,'Inputs Yr 2'!$F14,'NEI Lookups'!E:E)+SUMIF('NEI Lookups'!$O:$O,'Inputs Yr 2'!$F14,'NEI Lookups'!E:E)+SUMIF('NEI Lookups'!$P:$P,'Inputs Yr 2'!$F14,'NEI Lookups'!E:E)+SUMIF('NEI Lookups'!$Q:$Q,'Inputs Yr 2'!$F14,'NEI Lookups'!E:E)+SUMIF('NEI Lookups'!$R:$R,'Inputs Yr 2'!$F14,'NEI Lookups'!E:E)+SUMIF('NEI Lookups'!$S:$S,'Inputs Yr 2'!$F14,'NEI Lookups'!E:E)+SUMIF('NEI Lookups'!$T:$T,'Inputs Yr 2'!$F14,'NEI Lookups'!E:E)</f>
        <v>0</v>
      </c>
      <c r="AT14" s="302">
        <f>SUMIF('NEI Lookups'!$L:$L,'Inputs Yr 2'!$F14,'NEI Lookups'!F:F)+SUMIF('NEI Lookups'!$M:$M,'Inputs Yr 2'!$F14,'NEI Lookups'!F:F)+SUMIF('NEI Lookups'!$N:$N,'Inputs Yr 2'!$F14,'NEI Lookups'!F:F)+SUMIF('NEI Lookups'!$O:$O,'Inputs Yr 2'!$F14,'NEI Lookups'!F:F)+SUMIF('NEI Lookups'!$P:$P,'Inputs Yr 2'!$F14,'NEI Lookups'!F:F)+SUMIF('NEI Lookups'!$Q:$Q,'Inputs Yr 2'!$F14,'NEI Lookups'!F:F)+SUMIF('NEI Lookups'!$R:$R,'Inputs Yr 2'!$F14,'NEI Lookups'!F:F)+SUMIF('NEI Lookups'!$S:$S,'Inputs Yr 2'!$F14,'NEI Lookups'!F:F)+SUMIF('NEI Lookups'!$T:$T,'Inputs Yr 2'!$F14,'NEI Lookups'!F:F)</f>
        <v>0</v>
      </c>
      <c r="AU14" s="302">
        <f>SUMIF('NEI Lookups'!$L:$L,'Inputs Yr 2'!$F14,'NEI Lookups'!G:G)+SUMIF('NEI Lookups'!$M:$M,'Inputs Yr 2'!$F14,'NEI Lookups'!G:G)+SUMIF('NEI Lookups'!$N:$N,'Inputs Yr 2'!$F14,'NEI Lookups'!G:G)+SUMIF('NEI Lookups'!$O:$O,'Inputs Yr 2'!$F14,'NEI Lookups'!G:G)+SUMIF('NEI Lookups'!$P:$P,'Inputs Yr 2'!$F14,'NEI Lookups'!G:G)+SUMIF('NEI Lookups'!$Q:$Q,'Inputs Yr 2'!$F14,'NEI Lookups'!G:G)+SUMIF('NEI Lookups'!$R:$R,'Inputs Yr 2'!$F14,'NEI Lookups'!G:G)+SUMIF('NEI Lookups'!$S:$S,'Inputs Yr 2'!$F14,'NEI Lookups'!G:G)+SUMIF('NEI Lookups'!$T:$T,'Inputs Yr 2'!$F14,'NEI Lookups'!G:G)</f>
        <v>0</v>
      </c>
      <c r="AV14" s="302">
        <f>SUMIF('NEI Lookups'!$L:$L,'Inputs Yr 2'!$F14,'NEI Lookups'!H:H)+SUMIF('NEI Lookups'!$M:$M,'Inputs Yr 2'!$F14,'NEI Lookups'!H:H)+SUMIF('NEI Lookups'!$N:$N,'Inputs Yr 2'!$F14,'NEI Lookups'!H:H)+SUMIF('NEI Lookups'!$O:$O,'Inputs Yr 2'!$F14,'NEI Lookups'!H:H)+SUMIF('NEI Lookups'!$P:$P,'Inputs Yr 2'!$F14,'NEI Lookups'!H:H)+SUMIF('NEI Lookups'!$Q:$Q,'Inputs Yr 2'!$F14,'NEI Lookups'!H:H)+SUMIF('NEI Lookups'!$R:$R,'Inputs Yr 2'!$F14,'NEI Lookups'!H:H)+SUMIF('NEI Lookups'!$S:$S,'Inputs Yr 2'!$F14,'NEI Lookups'!H:H)+SUMIF('NEI Lookups'!$T:$T,'Inputs Yr 2'!$F14,'NEI Lookups'!H:H)</f>
        <v>0</v>
      </c>
      <c r="AW14" s="302">
        <f>SUMIF('NEI Lookups'!$L:$L,'Inputs Yr 2'!$F14,'NEI Lookups'!I:I)+SUMIF('NEI Lookups'!$M:$M,'Inputs Yr 2'!$F14,'NEI Lookups'!I:I)+SUMIF('NEI Lookups'!$N:$N,'Inputs Yr 2'!$F14,'NEI Lookups'!I:I)+SUMIF('NEI Lookups'!$O:$O,'Inputs Yr 2'!$F14,'NEI Lookups'!I:I)+SUMIF('NEI Lookups'!$P:$P,'Inputs Yr 2'!$F14,'NEI Lookups'!I:I)+SUMIF('NEI Lookups'!$Q:$Q,'Inputs Yr 2'!$F14,'NEI Lookups'!I:I)+SUMIF('NEI Lookups'!$R:$R,'Inputs Yr 2'!$F14,'NEI Lookups'!I:I)+SUMIF('NEI Lookups'!$S:$S,'Inputs Yr 2'!$F14,'NEI Lookups'!I:I)+SUMIF('NEI Lookups'!$T:$T,'Inputs Yr 2'!$F14,'NEI Lookups'!I:I)</f>
        <v>0</v>
      </c>
      <c r="AX14" s="302">
        <f>SUMIF('NEI Lookups'!$L:$L,'Inputs Yr 2'!$F14,'NEI Lookups'!J:J)+SUMIF('NEI Lookups'!$M:$M,'Inputs Yr 2'!$F14,'NEI Lookups'!J:J)+SUMIF('NEI Lookups'!$N:$N,'Inputs Yr 2'!$F14,'NEI Lookups'!J:J)+SUMIF('NEI Lookups'!$O:$O,'Inputs Yr 2'!$F14,'NEI Lookups'!J:J)+SUMIF('NEI Lookups'!$P:$P,'Inputs Yr 2'!$F14,'NEI Lookups'!J:J)+SUMIF('NEI Lookups'!$Q:$Q,'Inputs Yr 2'!$F14,'NEI Lookups'!J:J)+SUMIF('NEI Lookups'!$R:$R,'Inputs Yr 2'!$F14,'NEI Lookups'!J:J)+SUMIF('NEI Lookups'!$S:$S,'Inputs Yr 2'!$F14,'NEI Lookups'!J:J)+SUMIF('NEI Lookups'!$T:$T,'Inputs Yr 2'!$F14,'NEI Lookups'!J:J)</f>
        <v>0</v>
      </c>
      <c r="AY14" s="930" t="e">
        <f>'Calculations Yr 2'!CP14/'Calculations Yr 2'!I14</f>
        <v>#DIV/0!</v>
      </c>
    </row>
    <row r="15" spans="1:51" s="8" customFormat="1" ht="12.75" customHeight="1">
      <c r="A15" s="145" t="s">
        <v>32</v>
      </c>
      <c r="B15" s="132" t="s">
        <v>462</v>
      </c>
      <c r="C15" s="132" t="s">
        <v>725</v>
      </c>
      <c r="D15" s="902" t="s">
        <v>1425</v>
      </c>
      <c r="E15" s="98" t="s">
        <v>1298</v>
      </c>
      <c r="F15" s="98" t="s">
        <v>945</v>
      </c>
      <c r="G15" s="145" t="s">
        <v>460</v>
      </c>
      <c r="H15" s="925">
        <v>8576</v>
      </c>
      <c r="I15" s="232">
        <v>15</v>
      </c>
      <c r="J15" s="971">
        <v>254.9968749999999</v>
      </c>
      <c r="K15" s="166">
        <v>254.50669309701482</v>
      </c>
      <c r="L15" s="944">
        <f t="shared" si="0"/>
        <v>0.49018190298508557</v>
      </c>
      <c r="M15" s="978">
        <v>0.19</v>
      </c>
      <c r="N15" s="978">
        <v>0</v>
      </c>
      <c r="O15" s="978">
        <v>0</v>
      </c>
      <c r="P15" s="889">
        <f>1-M15+N15+O15</f>
        <v>0.81</v>
      </c>
      <c r="Q15" s="978">
        <v>1</v>
      </c>
      <c r="R15" s="178">
        <v>1</v>
      </c>
      <c r="S15" s="178">
        <v>1</v>
      </c>
      <c r="T15" s="178">
        <v>1</v>
      </c>
      <c r="U15" s="978">
        <v>0.86199999999999999</v>
      </c>
      <c r="V15" s="978">
        <v>1</v>
      </c>
      <c r="W15" s="179"/>
      <c r="X15" s="937" t="s">
        <v>653</v>
      </c>
      <c r="Y15" s="299">
        <f>IFERROR(VLOOKUP($X15,'Demand Lookups'!$A$5:$K$101,9,0), 0)</f>
        <v>0</v>
      </c>
      <c r="Z15" s="922" t="str">
        <f>IFERROR(VLOOKUP(X15,'Demand Lookups'!$A$5:$B$101,2,0),0)</f>
        <v>Non-Electric Measures</v>
      </c>
      <c r="AA15" s="835">
        <f>IF(ISNA(VLOOKUP($X15,'Demand Lookups'!$A$5:$K$81,3,0)),0,VLOOKUP($X15,'Demand Lookups'!$A$5:$K$81,3,0))</f>
        <v>0</v>
      </c>
      <c r="AB15" s="835">
        <f>IF(ISNA(VLOOKUP($X15,'Demand Lookups'!$A$5:$K$81,4,0)),0,VLOOKUP($X15,'Demand Lookups'!$A$5:$K$81,4,0))</f>
        <v>0</v>
      </c>
      <c r="AC15" s="835">
        <f>IF(ISNA(VLOOKUP($X15,'Demand Lookups'!$A$5:$K$81,5,0)),0,VLOOKUP($X15,'Demand Lookups'!$A$5:$K$81,5,0))</f>
        <v>0</v>
      </c>
      <c r="AD15" s="836">
        <f>IF(ISNA(VLOOKUP($X15,'Demand Lookups'!$A$5:$K$81,6,0)),0,VLOOKUP($X15,'Demand Lookups'!$A$5:$K$81,6,0))</f>
        <v>0</v>
      </c>
      <c r="AE15" s="837">
        <f>IF(ISERROR(W15*Y15),"",W15*Y15)</f>
        <v>0</v>
      </c>
      <c r="AF15" s="836">
        <f>ROUND(IF(ISNA(VLOOKUP($X15,'Demand Lookups'!$A$5:$K$82,10,0)),0,(VLOOKUP($X15,'Demand Lookups'!$A$5:$K$82,10,0))),2)</f>
        <v>0</v>
      </c>
      <c r="AG15" s="836">
        <f>ROUND(IF(ISNA(VLOOKUP($X15,'Demand Lookups'!$A$5:$K$82,11,0)),0,VLOOKUP($X15,'Demand Lookups'!$A$5:$K$82,11,0)),2)</f>
        <v>0</v>
      </c>
      <c r="AH15" s="648">
        <f>AF15</f>
        <v>0</v>
      </c>
      <c r="AI15" s="648">
        <f>AF15</f>
        <v>0</v>
      </c>
      <c r="AJ15" s="167" t="s">
        <v>404</v>
      </c>
      <c r="AK15" s="179">
        <v>2.647267147394686</v>
      </c>
      <c r="AL15" s="167"/>
      <c r="AM15" s="168"/>
      <c r="AN15" s="167"/>
      <c r="AO15" s="168"/>
      <c r="AP15" s="921">
        <v>0</v>
      </c>
      <c r="AQ15" s="171"/>
      <c r="AR15" s="171"/>
      <c r="AS15" s="299">
        <f>SUMIF('NEI Lookups'!$L:$L,'Inputs Yr 2'!$F15,'NEI Lookups'!E:E)+SUMIF('NEI Lookups'!$M:$M,'Inputs Yr 2'!$F15,'NEI Lookups'!E:E)+SUMIF('NEI Lookups'!$N:$N,'Inputs Yr 2'!$F15,'NEI Lookups'!E:E)+SUMIF('NEI Lookups'!$O:$O,'Inputs Yr 2'!$F15,'NEI Lookups'!E:E)+SUMIF('NEI Lookups'!$P:$P,'Inputs Yr 2'!$F15,'NEI Lookups'!E:E)+SUMIF('NEI Lookups'!$Q:$Q,'Inputs Yr 2'!$F15,'NEI Lookups'!E:E)+SUMIF('NEI Lookups'!$R:$R,'Inputs Yr 2'!$F15,'NEI Lookups'!E:E)+SUMIF('NEI Lookups'!$S:$S,'Inputs Yr 2'!$F15,'NEI Lookups'!E:E)+SUMIF('NEI Lookups'!$T:$T,'Inputs Yr 2'!$F15,'NEI Lookups'!E:E)</f>
        <v>19.350000000000005</v>
      </c>
      <c r="AT15" s="299">
        <f>SUMIF('NEI Lookups'!$L:$L,'Inputs Yr 2'!$F15,'NEI Lookups'!F:F)+SUMIF('NEI Lookups'!$M:$M,'Inputs Yr 2'!$F15,'NEI Lookups'!F:F)+SUMIF('NEI Lookups'!$N:$N,'Inputs Yr 2'!$F15,'NEI Lookups'!F:F)+SUMIF('NEI Lookups'!$O:$O,'Inputs Yr 2'!$F15,'NEI Lookups'!F:F)+SUMIF('NEI Lookups'!$P:$P,'Inputs Yr 2'!$F15,'NEI Lookups'!F:F)+SUMIF('NEI Lookups'!$Q:$Q,'Inputs Yr 2'!$F15,'NEI Lookups'!F:F)+SUMIF('NEI Lookups'!$R:$R,'Inputs Yr 2'!$F15,'NEI Lookups'!F:F)+SUMIF('NEI Lookups'!$S:$S,'Inputs Yr 2'!$F15,'NEI Lookups'!F:F)+SUMIF('NEI Lookups'!$T:$T,'Inputs Yr 2'!$F15,'NEI Lookups'!F:F)</f>
        <v>0</v>
      </c>
      <c r="AU15" s="299">
        <f>SUMIF('NEI Lookups'!$L:$L,'Inputs Yr 2'!$F15,'NEI Lookups'!G:G)+SUMIF('NEI Lookups'!$M:$M,'Inputs Yr 2'!$F15,'NEI Lookups'!G:G)+SUMIF('NEI Lookups'!$N:$N,'Inputs Yr 2'!$F15,'NEI Lookups'!G:G)+SUMIF('NEI Lookups'!$O:$O,'Inputs Yr 2'!$F15,'NEI Lookups'!G:G)+SUMIF('NEI Lookups'!$P:$P,'Inputs Yr 2'!$F15,'NEI Lookups'!G:G)+SUMIF('NEI Lookups'!$Q:$Q,'Inputs Yr 2'!$F15,'NEI Lookups'!G:G)+SUMIF('NEI Lookups'!$R:$R,'Inputs Yr 2'!$F15,'NEI Lookups'!G:G)+SUMIF('NEI Lookups'!$S:$S,'Inputs Yr 2'!$F15,'NEI Lookups'!G:G)+SUMIF('NEI Lookups'!$T:$T,'Inputs Yr 2'!$F15,'NEI Lookups'!G:G)</f>
        <v>0</v>
      </c>
      <c r="AV15" s="299">
        <f>SUMIF('NEI Lookups'!$L:$L,'Inputs Yr 2'!$F15,'NEI Lookups'!H:H)+SUMIF('NEI Lookups'!$M:$M,'Inputs Yr 2'!$F15,'NEI Lookups'!H:H)+SUMIF('NEI Lookups'!$N:$N,'Inputs Yr 2'!$F15,'NEI Lookups'!H:H)+SUMIF('NEI Lookups'!$O:$O,'Inputs Yr 2'!$F15,'NEI Lookups'!H:H)+SUMIF('NEI Lookups'!$P:$P,'Inputs Yr 2'!$F15,'NEI Lookups'!H:H)+SUMIF('NEI Lookups'!$Q:$Q,'Inputs Yr 2'!$F15,'NEI Lookups'!H:H)+SUMIF('NEI Lookups'!$R:$R,'Inputs Yr 2'!$F15,'NEI Lookups'!H:H)+SUMIF('NEI Lookups'!$S:$S,'Inputs Yr 2'!$F15,'NEI Lookups'!H:H)+SUMIF('NEI Lookups'!$T:$T,'Inputs Yr 2'!$F15,'NEI Lookups'!H:H)</f>
        <v>0</v>
      </c>
      <c r="AW15" s="299">
        <f>SUMIF('NEI Lookups'!$L:$L,'Inputs Yr 2'!$F15,'NEI Lookups'!I:I)+SUMIF('NEI Lookups'!$M:$M,'Inputs Yr 2'!$F15,'NEI Lookups'!I:I)+SUMIF('NEI Lookups'!$N:$N,'Inputs Yr 2'!$F15,'NEI Lookups'!I:I)+SUMIF('NEI Lookups'!$O:$O,'Inputs Yr 2'!$F15,'NEI Lookups'!I:I)+SUMIF('NEI Lookups'!$P:$P,'Inputs Yr 2'!$F15,'NEI Lookups'!I:I)+SUMIF('NEI Lookups'!$Q:$Q,'Inputs Yr 2'!$F15,'NEI Lookups'!I:I)+SUMIF('NEI Lookups'!$R:$R,'Inputs Yr 2'!$F15,'NEI Lookups'!I:I)+SUMIF('NEI Lookups'!$S:$S,'Inputs Yr 2'!$F15,'NEI Lookups'!I:I)+SUMIF('NEI Lookups'!$T:$T,'Inputs Yr 2'!$F15,'NEI Lookups'!I:I)</f>
        <v>0</v>
      </c>
      <c r="AX15" s="299">
        <f>SUMIF('NEI Lookups'!$L:$L,'Inputs Yr 2'!$F15,'NEI Lookups'!J:J)+SUMIF('NEI Lookups'!$M:$M,'Inputs Yr 2'!$F15,'NEI Lookups'!J:J)+SUMIF('NEI Lookups'!$N:$N,'Inputs Yr 2'!$F15,'NEI Lookups'!J:J)+SUMIF('NEI Lookups'!$O:$O,'Inputs Yr 2'!$F15,'NEI Lookups'!J:J)+SUMIF('NEI Lookups'!$P:$P,'Inputs Yr 2'!$F15,'NEI Lookups'!J:J)+SUMIF('NEI Lookups'!$Q:$Q,'Inputs Yr 2'!$F15,'NEI Lookups'!J:J)+SUMIF('NEI Lookups'!$R:$R,'Inputs Yr 2'!$F15,'NEI Lookups'!J:J)+SUMIF('NEI Lookups'!$S:$S,'Inputs Yr 2'!$F15,'NEI Lookups'!J:J)+SUMIF('NEI Lookups'!$T:$T,'Inputs Yr 2'!$F15,'NEI Lookups'!J:J)</f>
        <v>0</v>
      </c>
      <c r="AY15" s="931">
        <f>'Calculations Yr 2'!CP15/'Calculations Yr 2'!I15</f>
        <v>2.3210115767161104</v>
      </c>
    </row>
    <row r="16" spans="1:51" s="8" customFormat="1" ht="12.75" customHeight="1">
      <c r="A16" s="145" t="s">
        <v>32</v>
      </c>
      <c r="B16" s="132" t="s">
        <v>462</v>
      </c>
      <c r="C16" s="132" t="s">
        <v>725</v>
      </c>
      <c r="D16" s="902" t="s">
        <v>1426</v>
      </c>
      <c r="E16" s="98" t="s">
        <v>1299</v>
      </c>
      <c r="F16" s="98" t="s">
        <v>946</v>
      </c>
      <c r="G16" s="145" t="s">
        <v>460</v>
      </c>
      <c r="H16" s="232">
        <v>5698</v>
      </c>
      <c r="I16" s="232">
        <v>25</v>
      </c>
      <c r="J16" s="971">
        <v>167.51098631098625</v>
      </c>
      <c r="K16" s="963">
        <v>125.7358020358021</v>
      </c>
      <c r="L16" s="899">
        <f t="shared" si="0"/>
        <v>41.775184275184159</v>
      </c>
      <c r="M16" s="978">
        <v>0.19</v>
      </c>
      <c r="N16" s="978">
        <v>0</v>
      </c>
      <c r="O16" s="978">
        <v>0</v>
      </c>
      <c r="P16" s="889">
        <f>1-M16+N16+O16</f>
        <v>0.81</v>
      </c>
      <c r="Q16" s="978">
        <v>1</v>
      </c>
      <c r="R16" s="178">
        <v>1</v>
      </c>
      <c r="S16" s="178">
        <v>1</v>
      </c>
      <c r="T16" s="178">
        <v>1</v>
      </c>
      <c r="U16" s="978">
        <v>0.86199999999999999</v>
      </c>
      <c r="V16" s="978">
        <v>1</v>
      </c>
      <c r="W16" s="179"/>
      <c r="X16" s="937" t="s">
        <v>653</v>
      </c>
      <c r="Y16" s="299">
        <f>IFERROR(VLOOKUP($X16,'Demand Lookups'!$A$5:$K$101,9,0), 0)</f>
        <v>0</v>
      </c>
      <c r="Z16" s="922" t="str">
        <f>IFERROR(VLOOKUP(X16,'Demand Lookups'!$A$5:$B$101,2,0),0)</f>
        <v>Non-Electric Measures</v>
      </c>
      <c r="AA16" s="722">
        <f>IF(ISNA(VLOOKUP($X16,'Demand Lookups'!$A$5:$K$81,3,0)),0,VLOOKUP($X16,'Demand Lookups'!$A$5:$K$81,3,0))</f>
        <v>0</v>
      </c>
      <c r="AB16" s="722">
        <f>IF(ISNA(VLOOKUP($X16,'Demand Lookups'!$A$5:$K$81,4,0)),0,VLOOKUP($X16,'Demand Lookups'!$A$5:$K$81,4,0))</f>
        <v>0</v>
      </c>
      <c r="AC16" s="722">
        <f>IF(ISNA(VLOOKUP($X16,'Demand Lookups'!$A$5:$K$81,5,0)),0,VLOOKUP($X16,'Demand Lookups'!$A$5:$K$81,5,0))</f>
        <v>0</v>
      </c>
      <c r="AD16" s="723">
        <f>IF(ISNA(VLOOKUP($X16,'Demand Lookups'!$A$5:$K$81,6,0)),0,VLOOKUP($X16,'Demand Lookups'!$A$5:$K$81,6,0))</f>
        <v>0</v>
      </c>
      <c r="AE16" s="724">
        <f t="shared" ref="AE16:AE41" si="6">IF(ISERROR(W16*Y16),"",W16*Y16)</f>
        <v>0</v>
      </c>
      <c r="AF16" s="723">
        <f>ROUND(IF(ISNA(VLOOKUP($X16,'Demand Lookups'!$A$5:$K$82,10,0)),0,(VLOOKUP($X16,'Demand Lookups'!$A$5:$K$82,10,0))),2)</f>
        <v>0</v>
      </c>
      <c r="AG16" s="723">
        <f>ROUND(IF(ISNA(VLOOKUP($X16,'Demand Lookups'!$A$5:$K$82,11,0)),0,VLOOKUP($X16,'Demand Lookups'!$A$5:$K$82,11,0)),2)</f>
        <v>0</v>
      </c>
      <c r="AH16" s="648">
        <f>AF16</f>
        <v>0</v>
      </c>
      <c r="AI16" s="648">
        <f>AF16</f>
        <v>0</v>
      </c>
      <c r="AJ16" s="167" t="s">
        <v>404</v>
      </c>
      <c r="AK16" s="179">
        <v>0.90412899641437916</v>
      </c>
      <c r="AL16" s="167"/>
      <c r="AM16" s="168"/>
      <c r="AN16" s="167"/>
      <c r="AO16" s="168"/>
      <c r="AP16" s="921">
        <v>0</v>
      </c>
      <c r="AQ16" s="171"/>
      <c r="AR16" s="171"/>
      <c r="AS16" s="299">
        <f>SUMIF('NEI Lookups'!$L:$L,'Inputs Yr 2'!$F16,'NEI Lookups'!E:E)+SUMIF('NEI Lookups'!$M:$M,'Inputs Yr 2'!$F16,'NEI Lookups'!E:E)+SUMIF('NEI Lookups'!$N:$N,'Inputs Yr 2'!$F16,'NEI Lookups'!E:E)+SUMIF('NEI Lookups'!$O:$O,'Inputs Yr 2'!$F16,'NEI Lookups'!E:E)+SUMIF('NEI Lookups'!$P:$P,'Inputs Yr 2'!$F16,'NEI Lookups'!E:E)+SUMIF('NEI Lookups'!$Q:$Q,'Inputs Yr 2'!$F16,'NEI Lookups'!E:E)+SUMIF('NEI Lookups'!$R:$R,'Inputs Yr 2'!$F16,'NEI Lookups'!E:E)+SUMIF('NEI Lookups'!$S:$S,'Inputs Yr 2'!$F16,'NEI Lookups'!E:E)+SUMIF('NEI Lookups'!$T:$T,'Inputs Yr 2'!$F16,'NEI Lookups'!E:E)</f>
        <v>47.309999999999995</v>
      </c>
      <c r="AT16" s="299">
        <f>SUMIF('NEI Lookups'!$L:$L,'Inputs Yr 2'!$F16,'NEI Lookups'!F:F)+SUMIF('NEI Lookups'!$M:$M,'Inputs Yr 2'!$F16,'NEI Lookups'!F:F)+SUMIF('NEI Lookups'!$N:$N,'Inputs Yr 2'!$F16,'NEI Lookups'!F:F)+SUMIF('NEI Lookups'!$O:$O,'Inputs Yr 2'!$F16,'NEI Lookups'!F:F)+SUMIF('NEI Lookups'!$P:$P,'Inputs Yr 2'!$F16,'NEI Lookups'!F:F)+SUMIF('NEI Lookups'!$Q:$Q,'Inputs Yr 2'!$F16,'NEI Lookups'!F:F)+SUMIF('NEI Lookups'!$R:$R,'Inputs Yr 2'!$F16,'NEI Lookups'!F:F)+SUMIF('NEI Lookups'!$S:$S,'Inputs Yr 2'!$F16,'NEI Lookups'!F:F)+SUMIF('NEI Lookups'!$T:$T,'Inputs Yr 2'!$F16,'NEI Lookups'!F:F)</f>
        <v>0</v>
      </c>
      <c r="AU16" s="299">
        <f>SUMIF('NEI Lookups'!$L:$L,'Inputs Yr 2'!$F16,'NEI Lookups'!G:G)+SUMIF('NEI Lookups'!$M:$M,'Inputs Yr 2'!$F16,'NEI Lookups'!G:G)+SUMIF('NEI Lookups'!$N:$N,'Inputs Yr 2'!$F16,'NEI Lookups'!G:G)+SUMIF('NEI Lookups'!$O:$O,'Inputs Yr 2'!$F16,'NEI Lookups'!G:G)+SUMIF('NEI Lookups'!$P:$P,'Inputs Yr 2'!$F16,'NEI Lookups'!G:G)+SUMIF('NEI Lookups'!$Q:$Q,'Inputs Yr 2'!$F16,'NEI Lookups'!G:G)+SUMIF('NEI Lookups'!$R:$R,'Inputs Yr 2'!$F16,'NEI Lookups'!G:G)+SUMIF('NEI Lookups'!$S:$S,'Inputs Yr 2'!$F16,'NEI Lookups'!G:G)+SUMIF('NEI Lookups'!$T:$T,'Inputs Yr 2'!$F16,'NEI Lookups'!G:G)</f>
        <v>0</v>
      </c>
      <c r="AV16" s="299">
        <f>SUMIF('NEI Lookups'!$L:$L,'Inputs Yr 2'!$F16,'NEI Lookups'!H:H)+SUMIF('NEI Lookups'!$M:$M,'Inputs Yr 2'!$F16,'NEI Lookups'!H:H)+SUMIF('NEI Lookups'!$N:$N,'Inputs Yr 2'!$F16,'NEI Lookups'!H:H)+SUMIF('NEI Lookups'!$O:$O,'Inputs Yr 2'!$F16,'NEI Lookups'!H:H)+SUMIF('NEI Lookups'!$P:$P,'Inputs Yr 2'!$F16,'NEI Lookups'!H:H)+SUMIF('NEI Lookups'!$Q:$Q,'Inputs Yr 2'!$F16,'NEI Lookups'!H:H)+SUMIF('NEI Lookups'!$R:$R,'Inputs Yr 2'!$F16,'NEI Lookups'!H:H)+SUMIF('NEI Lookups'!$S:$S,'Inputs Yr 2'!$F16,'NEI Lookups'!H:H)+SUMIF('NEI Lookups'!$T:$T,'Inputs Yr 2'!$F16,'NEI Lookups'!H:H)</f>
        <v>0</v>
      </c>
      <c r="AW16" s="299">
        <f>SUMIF('NEI Lookups'!$L:$L,'Inputs Yr 2'!$F16,'NEI Lookups'!I:I)+SUMIF('NEI Lookups'!$M:$M,'Inputs Yr 2'!$F16,'NEI Lookups'!I:I)+SUMIF('NEI Lookups'!$N:$N,'Inputs Yr 2'!$F16,'NEI Lookups'!I:I)+SUMIF('NEI Lookups'!$O:$O,'Inputs Yr 2'!$F16,'NEI Lookups'!I:I)+SUMIF('NEI Lookups'!$P:$P,'Inputs Yr 2'!$F16,'NEI Lookups'!I:I)+SUMIF('NEI Lookups'!$Q:$Q,'Inputs Yr 2'!$F16,'NEI Lookups'!I:I)+SUMIF('NEI Lookups'!$R:$R,'Inputs Yr 2'!$F16,'NEI Lookups'!I:I)+SUMIF('NEI Lookups'!$S:$S,'Inputs Yr 2'!$F16,'NEI Lookups'!I:I)+SUMIF('NEI Lookups'!$T:$T,'Inputs Yr 2'!$F16,'NEI Lookups'!I:I)</f>
        <v>0</v>
      </c>
      <c r="AX16" s="299">
        <f>SUMIF('NEI Lookups'!$L:$L,'Inputs Yr 2'!$F16,'NEI Lookups'!J:J)+SUMIF('NEI Lookups'!$M:$M,'Inputs Yr 2'!$F16,'NEI Lookups'!J:J)+SUMIF('NEI Lookups'!$N:$N,'Inputs Yr 2'!$F16,'NEI Lookups'!J:J)+SUMIF('NEI Lookups'!$O:$O,'Inputs Yr 2'!$F16,'NEI Lookups'!J:J)+SUMIF('NEI Lookups'!$P:$P,'Inputs Yr 2'!$F16,'NEI Lookups'!J:J)+SUMIF('NEI Lookups'!$Q:$Q,'Inputs Yr 2'!$F16,'NEI Lookups'!J:J)+SUMIF('NEI Lookups'!$R:$R,'Inputs Yr 2'!$F16,'NEI Lookups'!J:J)+SUMIF('NEI Lookups'!$S:$S,'Inputs Yr 2'!$F16,'NEI Lookups'!J:J)+SUMIF('NEI Lookups'!$T:$T,'Inputs Yr 2'!$F16,'NEI Lookups'!J:J)</f>
        <v>0</v>
      </c>
      <c r="AY16" s="930">
        <f>'Calculations Yr 2'!CP16/'Calculations Yr 2'!I16</f>
        <v>7.7772847524082707</v>
      </c>
    </row>
    <row r="17" spans="1:51" s="8" customFormat="1" ht="12.75" customHeight="1">
      <c r="A17" s="145" t="s">
        <v>32</v>
      </c>
      <c r="B17" s="132" t="s">
        <v>462</v>
      </c>
      <c r="C17" s="132" t="s">
        <v>725</v>
      </c>
      <c r="D17" s="98"/>
      <c r="E17" s="98" t="s">
        <v>1300</v>
      </c>
      <c r="F17" s="98" t="s">
        <v>947</v>
      </c>
      <c r="G17" s="145" t="s">
        <v>460</v>
      </c>
      <c r="H17" s="232">
        <v>0</v>
      </c>
      <c r="I17" s="232">
        <v>0</v>
      </c>
      <c r="J17" s="971"/>
      <c r="K17" s="171"/>
      <c r="L17" s="899">
        <f t="shared" si="0"/>
        <v>0</v>
      </c>
      <c r="M17" s="978">
        <v>0</v>
      </c>
      <c r="N17" s="978">
        <v>0</v>
      </c>
      <c r="O17" s="978">
        <v>0</v>
      </c>
      <c r="P17" s="889">
        <v>0.81</v>
      </c>
      <c r="Q17" s="978">
        <v>0</v>
      </c>
      <c r="R17" s="178">
        <v>1</v>
      </c>
      <c r="S17" s="178">
        <v>1</v>
      </c>
      <c r="T17" s="178">
        <v>1</v>
      </c>
      <c r="U17" s="978">
        <v>0</v>
      </c>
      <c r="V17" s="978">
        <v>0</v>
      </c>
      <c r="W17" s="179"/>
      <c r="X17" s="937" t="s">
        <v>653</v>
      </c>
      <c r="Y17" s="299">
        <f>IFERROR(VLOOKUP($X17,'Demand Lookups'!$A$5:$K$101,9,0), 0)</f>
        <v>0</v>
      </c>
      <c r="Z17" s="922" t="str">
        <f>IFERROR(VLOOKUP(X17,'Demand Lookups'!$A$5:$B$101,2,0),0)</f>
        <v>Non-Electric Measures</v>
      </c>
      <c r="AA17" s="722">
        <f>IF(ISNA(VLOOKUP($X17,'Demand Lookups'!$A$5:$K$81,3,0)),0,VLOOKUP($X17,'Demand Lookups'!$A$5:$K$81,3,0))</f>
        <v>0</v>
      </c>
      <c r="AB17" s="722">
        <f>IF(ISNA(VLOOKUP($X17,'Demand Lookups'!$A$5:$K$81,4,0)),0,VLOOKUP($X17,'Demand Lookups'!$A$5:$K$81,4,0))</f>
        <v>0</v>
      </c>
      <c r="AC17" s="722">
        <f>IF(ISNA(VLOOKUP($X17,'Demand Lookups'!$A$5:$K$81,5,0)),0,VLOOKUP($X17,'Demand Lookups'!$A$5:$K$81,5,0))</f>
        <v>0</v>
      </c>
      <c r="AD17" s="723">
        <f>IF(ISNA(VLOOKUP($X17,'Demand Lookups'!$A$5:$K$81,6,0)),0,VLOOKUP($X17,'Demand Lookups'!$A$5:$K$81,6,0))</f>
        <v>0</v>
      </c>
      <c r="AE17" s="724">
        <f t="shared" si="6"/>
        <v>0</v>
      </c>
      <c r="AF17" s="723">
        <f>ROUND(IF(ISNA(VLOOKUP($X17,'Demand Lookups'!$A$5:$K$82,10,0)),0,(VLOOKUP($X17,'Demand Lookups'!$A$5:$K$82,10,0))),2)</f>
        <v>0</v>
      </c>
      <c r="AG17" s="723">
        <f>ROUND(IF(ISNA(VLOOKUP($X17,'Demand Lookups'!$A$5:$K$82,11,0)),0,VLOOKUP($X17,'Demand Lookups'!$A$5:$K$82,11,0)),2)</f>
        <v>0</v>
      </c>
      <c r="AH17" s="648">
        <v>0</v>
      </c>
      <c r="AI17" s="648">
        <v>0</v>
      </c>
      <c r="AJ17" s="167"/>
      <c r="AK17" s="179">
        <v>0</v>
      </c>
      <c r="AL17" s="167"/>
      <c r="AM17" s="168"/>
      <c r="AN17" s="167"/>
      <c r="AO17" s="168"/>
      <c r="AP17" s="921">
        <v>0</v>
      </c>
      <c r="AQ17" s="171"/>
      <c r="AR17" s="171"/>
      <c r="AS17" s="299">
        <f>SUMIF('NEI Lookups'!$L:$L,'Inputs Yr 2'!$F17,'NEI Lookups'!E:E)+SUMIF('NEI Lookups'!$M:$M,'Inputs Yr 2'!$F17,'NEI Lookups'!E:E)+SUMIF('NEI Lookups'!$N:$N,'Inputs Yr 2'!$F17,'NEI Lookups'!E:E)+SUMIF('NEI Lookups'!$O:$O,'Inputs Yr 2'!$F17,'NEI Lookups'!E:E)+SUMIF('NEI Lookups'!$P:$P,'Inputs Yr 2'!$F17,'NEI Lookups'!E:E)+SUMIF('NEI Lookups'!$Q:$Q,'Inputs Yr 2'!$F17,'NEI Lookups'!E:E)+SUMIF('NEI Lookups'!$R:$R,'Inputs Yr 2'!$F17,'NEI Lookups'!E:E)+SUMIF('NEI Lookups'!$S:$S,'Inputs Yr 2'!$F17,'NEI Lookups'!E:E)+SUMIF('NEI Lookups'!$T:$T,'Inputs Yr 2'!$F17,'NEI Lookups'!E:E)</f>
        <v>47.309999999999995</v>
      </c>
      <c r="AT17" s="299">
        <f>SUMIF('NEI Lookups'!$L:$L,'Inputs Yr 2'!$F17,'NEI Lookups'!F:F)+SUMIF('NEI Lookups'!$M:$M,'Inputs Yr 2'!$F17,'NEI Lookups'!F:F)+SUMIF('NEI Lookups'!$N:$N,'Inputs Yr 2'!$F17,'NEI Lookups'!F:F)+SUMIF('NEI Lookups'!$O:$O,'Inputs Yr 2'!$F17,'NEI Lookups'!F:F)+SUMIF('NEI Lookups'!$P:$P,'Inputs Yr 2'!$F17,'NEI Lookups'!F:F)+SUMIF('NEI Lookups'!$Q:$Q,'Inputs Yr 2'!$F17,'NEI Lookups'!F:F)+SUMIF('NEI Lookups'!$R:$R,'Inputs Yr 2'!$F17,'NEI Lookups'!F:F)+SUMIF('NEI Lookups'!$S:$S,'Inputs Yr 2'!$F17,'NEI Lookups'!F:F)+SUMIF('NEI Lookups'!$T:$T,'Inputs Yr 2'!$F17,'NEI Lookups'!F:F)</f>
        <v>0</v>
      </c>
      <c r="AU17" s="299">
        <f>SUMIF('NEI Lookups'!$L:$L,'Inputs Yr 2'!$F17,'NEI Lookups'!G:G)+SUMIF('NEI Lookups'!$M:$M,'Inputs Yr 2'!$F17,'NEI Lookups'!G:G)+SUMIF('NEI Lookups'!$N:$N,'Inputs Yr 2'!$F17,'NEI Lookups'!G:G)+SUMIF('NEI Lookups'!$O:$O,'Inputs Yr 2'!$F17,'NEI Lookups'!G:G)+SUMIF('NEI Lookups'!$P:$P,'Inputs Yr 2'!$F17,'NEI Lookups'!G:G)+SUMIF('NEI Lookups'!$Q:$Q,'Inputs Yr 2'!$F17,'NEI Lookups'!G:G)+SUMIF('NEI Lookups'!$R:$R,'Inputs Yr 2'!$F17,'NEI Lookups'!G:G)+SUMIF('NEI Lookups'!$S:$S,'Inputs Yr 2'!$F17,'NEI Lookups'!G:G)+SUMIF('NEI Lookups'!$T:$T,'Inputs Yr 2'!$F17,'NEI Lookups'!G:G)</f>
        <v>0</v>
      </c>
      <c r="AV17" s="299">
        <f>SUMIF('NEI Lookups'!$L:$L,'Inputs Yr 2'!$F17,'NEI Lookups'!H:H)+SUMIF('NEI Lookups'!$M:$M,'Inputs Yr 2'!$F17,'NEI Lookups'!H:H)+SUMIF('NEI Lookups'!$N:$N,'Inputs Yr 2'!$F17,'NEI Lookups'!H:H)+SUMIF('NEI Lookups'!$O:$O,'Inputs Yr 2'!$F17,'NEI Lookups'!H:H)+SUMIF('NEI Lookups'!$P:$P,'Inputs Yr 2'!$F17,'NEI Lookups'!H:H)+SUMIF('NEI Lookups'!$Q:$Q,'Inputs Yr 2'!$F17,'NEI Lookups'!H:H)+SUMIF('NEI Lookups'!$R:$R,'Inputs Yr 2'!$F17,'NEI Lookups'!H:H)+SUMIF('NEI Lookups'!$S:$S,'Inputs Yr 2'!$F17,'NEI Lookups'!H:H)+SUMIF('NEI Lookups'!$T:$T,'Inputs Yr 2'!$F17,'NEI Lookups'!H:H)</f>
        <v>0</v>
      </c>
      <c r="AW17" s="299">
        <f>SUMIF('NEI Lookups'!$L:$L,'Inputs Yr 2'!$F17,'NEI Lookups'!I:I)+SUMIF('NEI Lookups'!$M:$M,'Inputs Yr 2'!$F17,'NEI Lookups'!I:I)+SUMIF('NEI Lookups'!$N:$N,'Inputs Yr 2'!$F17,'NEI Lookups'!I:I)+SUMIF('NEI Lookups'!$O:$O,'Inputs Yr 2'!$F17,'NEI Lookups'!I:I)+SUMIF('NEI Lookups'!$P:$P,'Inputs Yr 2'!$F17,'NEI Lookups'!I:I)+SUMIF('NEI Lookups'!$Q:$Q,'Inputs Yr 2'!$F17,'NEI Lookups'!I:I)+SUMIF('NEI Lookups'!$R:$R,'Inputs Yr 2'!$F17,'NEI Lookups'!I:I)+SUMIF('NEI Lookups'!$S:$S,'Inputs Yr 2'!$F17,'NEI Lookups'!I:I)+SUMIF('NEI Lookups'!$T:$T,'Inputs Yr 2'!$F17,'NEI Lookups'!I:I)</f>
        <v>0</v>
      </c>
      <c r="AX17" s="299">
        <f>SUMIF('NEI Lookups'!$L:$L,'Inputs Yr 2'!$F17,'NEI Lookups'!J:J)+SUMIF('NEI Lookups'!$M:$M,'Inputs Yr 2'!$F17,'NEI Lookups'!J:J)+SUMIF('NEI Lookups'!$N:$N,'Inputs Yr 2'!$F17,'NEI Lookups'!J:J)+SUMIF('NEI Lookups'!$O:$O,'Inputs Yr 2'!$F17,'NEI Lookups'!J:J)+SUMIF('NEI Lookups'!$P:$P,'Inputs Yr 2'!$F17,'NEI Lookups'!J:J)+SUMIF('NEI Lookups'!$Q:$Q,'Inputs Yr 2'!$F17,'NEI Lookups'!J:J)+SUMIF('NEI Lookups'!$R:$R,'Inputs Yr 2'!$F17,'NEI Lookups'!J:J)+SUMIF('NEI Lookups'!$S:$S,'Inputs Yr 2'!$F17,'NEI Lookups'!J:J)+SUMIF('NEI Lookups'!$T:$T,'Inputs Yr 2'!$F17,'NEI Lookups'!J:J)</f>
        <v>0</v>
      </c>
      <c r="AY17" s="930" t="e">
        <f>'Calculations Yr 2'!CP17/'Calculations Yr 2'!I17</f>
        <v>#VALUE!</v>
      </c>
    </row>
    <row r="18" spans="1:51" s="8" customFormat="1" ht="12.75" customHeight="1">
      <c r="A18" s="145" t="s">
        <v>32</v>
      </c>
      <c r="B18" s="132" t="s">
        <v>462</v>
      </c>
      <c r="C18" s="132" t="s">
        <v>725</v>
      </c>
      <c r="D18" s="98"/>
      <c r="E18" s="98" t="s">
        <v>727</v>
      </c>
      <c r="F18" s="98" t="s">
        <v>948</v>
      </c>
      <c r="G18" s="145" t="s">
        <v>1247</v>
      </c>
      <c r="H18" s="232">
        <v>0</v>
      </c>
      <c r="I18" s="232">
        <v>0</v>
      </c>
      <c r="J18" s="971"/>
      <c r="K18" s="171"/>
      <c r="L18" s="899">
        <f t="shared" si="0"/>
        <v>0</v>
      </c>
      <c r="M18" s="978">
        <v>0</v>
      </c>
      <c r="N18" s="978">
        <v>0</v>
      </c>
      <c r="O18" s="978">
        <v>0</v>
      </c>
      <c r="P18" s="889">
        <v>1</v>
      </c>
      <c r="Q18" s="978">
        <v>0</v>
      </c>
      <c r="R18" s="178">
        <v>1</v>
      </c>
      <c r="S18" s="178">
        <v>1</v>
      </c>
      <c r="T18" s="178">
        <v>1</v>
      </c>
      <c r="U18" s="978">
        <v>0</v>
      </c>
      <c r="V18" s="978">
        <v>0</v>
      </c>
      <c r="W18" s="179"/>
      <c r="X18" s="937" t="s">
        <v>653</v>
      </c>
      <c r="Y18" s="299">
        <f>IFERROR(VLOOKUP($X18,'Demand Lookups'!$A$5:$K$101,9,0), 0)</f>
        <v>0</v>
      </c>
      <c r="Z18" s="922" t="str">
        <f>IFERROR(VLOOKUP(X18,'Demand Lookups'!$A$5:$B$101,2,0),0)</f>
        <v>Non-Electric Measures</v>
      </c>
      <c r="AA18" s="722">
        <f>IF(ISNA(VLOOKUP($X18,'Demand Lookups'!$A$5:$K$81,3,0)),0,VLOOKUP($X18,'Demand Lookups'!$A$5:$K$81,3,0))</f>
        <v>0</v>
      </c>
      <c r="AB18" s="722">
        <f>IF(ISNA(VLOOKUP($X18,'Demand Lookups'!$A$5:$K$81,4,0)),0,VLOOKUP($X18,'Demand Lookups'!$A$5:$K$81,4,0))</f>
        <v>0</v>
      </c>
      <c r="AC18" s="722">
        <f>IF(ISNA(VLOOKUP($X18,'Demand Lookups'!$A$5:$K$81,5,0)),0,VLOOKUP($X18,'Demand Lookups'!$A$5:$K$81,5,0))</f>
        <v>0</v>
      </c>
      <c r="AD18" s="723">
        <f>IF(ISNA(VLOOKUP($X18,'Demand Lookups'!$A$5:$K$81,6,0)),0,VLOOKUP($X18,'Demand Lookups'!$A$5:$K$81,6,0))</f>
        <v>0</v>
      </c>
      <c r="AE18" s="724">
        <f t="shared" si="6"/>
        <v>0</v>
      </c>
      <c r="AF18" s="723">
        <f>ROUND(IF(ISNA(VLOOKUP($X18,'Demand Lookups'!$A$5:$K$82,10,0)),0,(VLOOKUP($X18,'Demand Lookups'!$A$5:$K$82,10,0))),2)</f>
        <v>0</v>
      </c>
      <c r="AG18" s="723">
        <f>ROUND(IF(ISNA(VLOOKUP($X18,'Demand Lookups'!$A$5:$K$82,11,0)),0,VLOOKUP($X18,'Demand Lookups'!$A$5:$K$82,11,0)),2)</f>
        <v>0</v>
      </c>
      <c r="AH18" s="648">
        <v>0</v>
      </c>
      <c r="AI18" s="648">
        <v>0</v>
      </c>
      <c r="AJ18" s="167" t="s">
        <v>404</v>
      </c>
      <c r="AK18" s="179">
        <v>0</v>
      </c>
      <c r="AL18" s="167"/>
      <c r="AM18" s="168"/>
      <c r="AN18" s="167"/>
      <c r="AO18" s="168"/>
      <c r="AP18" s="921">
        <v>0</v>
      </c>
      <c r="AQ18" s="171"/>
      <c r="AR18" s="171"/>
      <c r="AS18" s="299">
        <f>SUMIF('NEI Lookups'!$L:$L,'Inputs Yr 2'!$F18,'NEI Lookups'!E:E)+SUMIF('NEI Lookups'!$M:$M,'Inputs Yr 2'!$F18,'NEI Lookups'!E:E)+SUMIF('NEI Lookups'!$N:$N,'Inputs Yr 2'!$F18,'NEI Lookups'!E:E)+SUMIF('NEI Lookups'!$O:$O,'Inputs Yr 2'!$F18,'NEI Lookups'!E:E)+SUMIF('NEI Lookups'!$P:$P,'Inputs Yr 2'!$F18,'NEI Lookups'!E:E)+SUMIF('NEI Lookups'!$Q:$Q,'Inputs Yr 2'!$F18,'NEI Lookups'!E:E)+SUMIF('NEI Lookups'!$R:$R,'Inputs Yr 2'!$F18,'NEI Lookups'!E:E)+SUMIF('NEI Lookups'!$S:$S,'Inputs Yr 2'!$F18,'NEI Lookups'!E:E)+SUMIF('NEI Lookups'!$T:$T,'Inputs Yr 2'!$F18,'NEI Lookups'!E:E)</f>
        <v>0</v>
      </c>
      <c r="AT18" s="299">
        <f>SUMIF('NEI Lookups'!$L:$L,'Inputs Yr 2'!$F18,'NEI Lookups'!F:F)+SUMIF('NEI Lookups'!$M:$M,'Inputs Yr 2'!$F18,'NEI Lookups'!F:F)+SUMIF('NEI Lookups'!$N:$N,'Inputs Yr 2'!$F18,'NEI Lookups'!F:F)+SUMIF('NEI Lookups'!$O:$O,'Inputs Yr 2'!$F18,'NEI Lookups'!F:F)+SUMIF('NEI Lookups'!$P:$P,'Inputs Yr 2'!$F18,'NEI Lookups'!F:F)+SUMIF('NEI Lookups'!$Q:$Q,'Inputs Yr 2'!$F18,'NEI Lookups'!F:F)+SUMIF('NEI Lookups'!$R:$R,'Inputs Yr 2'!$F18,'NEI Lookups'!F:F)+SUMIF('NEI Lookups'!$S:$S,'Inputs Yr 2'!$F18,'NEI Lookups'!F:F)+SUMIF('NEI Lookups'!$T:$T,'Inputs Yr 2'!$F18,'NEI Lookups'!F:F)</f>
        <v>0</v>
      </c>
      <c r="AU18" s="299">
        <f>SUMIF('NEI Lookups'!$L:$L,'Inputs Yr 2'!$F18,'NEI Lookups'!G:G)+SUMIF('NEI Lookups'!$M:$M,'Inputs Yr 2'!$F18,'NEI Lookups'!G:G)+SUMIF('NEI Lookups'!$N:$N,'Inputs Yr 2'!$F18,'NEI Lookups'!G:G)+SUMIF('NEI Lookups'!$O:$O,'Inputs Yr 2'!$F18,'NEI Lookups'!G:G)+SUMIF('NEI Lookups'!$P:$P,'Inputs Yr 2'!$F18,'NEI Lookups'!G:G)+SUMIF('NEI Lookups'!$Q:$Q,'Inputs Yr 2'!$F18,'NEI Lookups'!G:G)+SUMIF('NEI Lookups'!$R:$R,'Inputs Yr 2'!$F18,'NEI Lookups'!G:G)+SUMIF('NEI Lookups'!$S:$S,'Inputs Yr 2'!$F18,'NEI Lookups'!G:G)+SUMIF('NEI Lookups'!$T:$T,'Inputs Yr 2'!$F18,'NEI Lookups'!G:G)</f>
        <v>0</v>
      </c>
      <c r="AV18" s="299">
        <f>SUMIF('NEI Lookups'!$L:$L,'Inputs Yr 2'!$F18,'NEI Lookups'!H:H)+SUMIF('NEI Lookups'!$M:$M,'Inputs Yr 2'!$F18,'NEI Lookups'!H:H)+SUMIF('NEI Lookups'!$N:$N,'Inputs Yr 2'!$F18,'NEI Lookups'!H:H)+SUMIF('NEI Lookups'!$O:$O,'Inputs Yr 2'!$F18,'NEI Lookups'!H:H)+SUMIF('NEI Lookups'!$P:$P,'Inputs Yr 2'!$F18,'NEI Lookups'!H:H)+SUMIF('NEI Lookups'!$Q:$Q,'Inputs Yr 2'!$F18,'NEI Lookups'!H:H)+SUMIF('NEI Lookups'!$R:$R,'Inputs Yr 2'!$F18,'NEI Lookups'!H:H)+SUMIF('NEI Lookups'!$S:$S,'Inputs Yr 2'!$F18,'NEI Lookups'!H:H)+SUMIF('NEI Lookups'!$T:$T,'Inputs Yr 2'!$F18,'NEI Lookups'!H:H)</f>
        <v>0</v>
      </c>
      <c r="AW18" s="299">
        <f>SUMIF('NEI Lookups'!$L:$L,'Inputs Yr 2'!$F18,'NEI Lookups'!I:I)+SUMIF('NEI Lookups'!$M:$M,'Inputs Yr 2'!$F18,'NEI Lookups'!I:I)+SUMIF('NEI Lookups'!$N:$N,'Inputs Yr 2'!$F18,'NEI Lookups'!I:I)+SUMIF('NEI Lookups'!$O:$O,'Inputs Yr 2'!$F18,'NEI Lookups'!I:I)+SUMIF('NEI Lookups'!$P:$P,'Inputs Yr 2'!$F18,'NEI Lookups'!I:I)+SUMIF('NEI Lookups'!$Q:$Q,'Inputs Yr 2'!$F18,'NEI Lookups'!I:I)+SUMIF('NEI Lookups'!$R:$R,'Inputs Yr 2'!$F18,'NEI Lookups'!I:I)+SUMIF('NEI Lookups'!$S:$S,'Inputs Yr 2'!$F18,'NEI Lookups'!I:I)+SUMIF('NEI Lookups'!$T:$T,'Inputs Yr 2'!$F18,'NEI Lookups'!I:I)</f>
        <v>0</v>
      </c>
      <c r="AX18" s="299">
        <f>SUMIF('NEI Lookups'!$L:$L,'Inputs Yr 2'!$F18,'NEI Lookups'!J:J)+SUMIF('NEI Lookups'!$M:$M,'Inputs Yr 2'!$F18,'NEI Lookups'!J:J)+SUMIF('NEI Lookups'!$N:$N,'Inputs Yr 2'!$F18,'NEI Lookups'!J:J)+SUMIF('NEI Lookups'!$O:$O,'Inputs Yr 2'!$F18,'NEI Lookups'!J:J)+SUMIF('NEI Lookups'!$P:$P,'Inputs Yr 2'!$F18,'NEI Lookups'!J:J)+SUMIF('NEI Lookups'!$Q:$Q,'Inputs Yr 2'!$F18,'NEI Lookups'!J:J)+SUMIF('NEI Lookups'!$R:$R,'Inputs Yr 2'!$F18,'NEI Lookups'!J:J)+SUMIF('NEI Lookups'!$S:$S,'Inputs Yr 2'!$F18,'NEI Lookups'!J:J)+SUMIF('NEI Lookups'!$T:$T,'Inputs Yr 2'!$F18,'NEI Lookups'!J:J)</f>
        <v>0</v>
      </c>
      <c r="AY18" s="930" t="e">
        <f>'Calculations Yr 2'!CP18/'Calculations Yr 2'!I18</f>
        <v>#VALUE!</v>
      </c>
    </row>
    <row r="19" spans="1:51" s="8" customFormat="1" ht="12.75" customHeight="1">
      <c r="A19" s="145" t="s">
        <v>32</v>
      </c>
      <c r="B19" s="132" t="s">
        <v>462</v>
      </c>
      <c r="C19" s="132" t="s">
        <v>725</v>
      </c>
      <c r="D19" s="98"/>
      <c r="E19" s="98" t="s">
        <v>728</v>
      </c>
      <c r="F19" s="98" t="s">
        <v>949</v>
      </c>
      <c r="G19" s="145" t="s">
        <v>1247</v>
      </c>
      <c r="H19" s="232">
        <v>0</v>
      </c>
      <c r="I19" s="232">
        <v>0</v>
      </c>
      <c r="J19" s="971"/>
      <c r="K19" s="171"/>
      <c r="L19" s="899">
        <f t="shared" si="0"/>
        <v>0</v>
      </c>
      <c r="M19" s="978">
        <v>0</v>
      </c>
      <c r="N19" s="978">
        <v>0</v>
      </c>
      <c r="O19" s="978">
        <v>0</v>
      </c>
      <c r="P19" s="889">
        <v>1</v>
      </c>
      <c r="Q19" s="978">
        <v>0</v>
      </c>
      <c r="R19" s="178">
        <v>1</v>
      </c>
      <c r="S19" s="178">
        <v>1</v>
      </c>
      <c r="T19" s="178">
        <v>1</v>
      </c>
      <c r="U19" s="978">
        <v>0</v>
      </c>
      <c r="V19" s="978">
        <v>0</v>
      </c>
      <c r="W19" s="179"/>
      <c r="X19" s="937" t="s">
        <v>653</v>
      </c>
      <c r="Y19" s="299">
        <f>IFERROR(VLOOKUP($X19,'Demand Lookups'!$A$5:$K$101,9,0), 0)</f>
        <v>0</v>
      </c>
      <c r="Z19" s="922" t="str">
        <f>IFERROR(VLOOKUP(X19,'Demand Lookups'!$A$5:$B$101,2,0),0)</f>
        <v>Non-Electric Measures</v>
      </c>
      <c r="AA19" s="722">
        <f>IF(ISNA(VLOOKUP($X19,'Demand Lookups'!$A$5:$K$81,3,0)),0,VLOOKUP($X19,'Demand Lookups'!$A$5:$K$81,3,0))</f>
        <v>0</v>
      </c>
      <c r="AB19" s="722">
        <f>IF(ISNA(VLOOKUP($X19,'Demand Lookups'!$A$5:$K$81,4,0)),0,VLOOKUP($X19,'Demand Lookups'!$A$5:$K$81,4,0))</f>
        <v>0</v>
      </c>
      <c r="AC19" s="722">
        <f>IF(ISNA(VLOOKUP($X19,'Demand Lookups'!$A$5:$K$81,5,0)),0,VLOOKUP($X19,'Demand Lookups'!$A$5:$K$81,5,0))</f>
        <v>0</v>
      </c>
      <c r="AD19" s="723">
        <f>IF(ISNA(VLOOKUP($X19,'Demand Lookups'!$A$5:$K$81,6,0)),0,VLOOKUP($X19,'Demand Lookups'!$A$5:$K$81,6,0))</f>
        <v>0</v>
      </c>
      <c r="AE19" s="724">
        <f t="shared" si="6"/>
        <v>0</v>
      </c>
      <c r="AF19" s="723">
        <f>ROUND(IF(ISNA(VLOOKUP($X19,'Demand Lookups'!$A$5:$K$82,10,0)),0,(VLOOKUP($X19,'Demand Lookups'!$A$5:$K$82,10,0))),2)</f>
        <v>0</v>
      </c>
      <c r="AG19" s="723">
        <f>ROUND(IF(ISNA(VLOOKUP($X19,'Demand Lookups'!$A$5:$K$82,11,0)),0,VLOOKUP($X19,'Demand Lookups'!$A$5:$K$82,11,0)),2)</f>
        <v>0</v>
      </c>
      <c r="AH19" s="648">
        <v>0</v>
      </c>
      <c r="AI19" s="648">
        <v>0</v>
      </c>
      <c r="AJ19" s="167" t="s">
        <v>404</v>
      </c>
      <c r="AK19" s="179">
        <v>0</v>
      </c>
      <c r="AL19" s="167"/>
      <c r="AM19" s="168"/>
      <c r="AN19" s="167"/>
      <c r="AO19" s="168"/>
      <c r="AP19" s="921">
        <v>0</v>
      </c>
      <c r="AQ19" s="171"/>
      <c r="AR19" s="171"/>
      <c r="AS19" s="299">
        <f>SUMIF('NEI Lookups'!$L:$L,'Inputs Yr 2'!$F19,'NEI Lookups'!E:E)+SUMIF('NEI Lookups'!$M:$M,'Inputs Yr 2'!$F19,'NEI Lookups'!E:E)+SUMIF('NEI Lookups'!$N:$N,'Inputs Yr 2'!$F19,'NEI Lookups'!E:E)+SUMIF('NEI Lookups'!$O:$O,'Inputs Yr 2'!$F19,'NEI Lookups'!E:E)+SUMIF('NEI Lookups'!$P:$P,'Inputs Yr 2'!$F19,'NEI Lookups'!E:E)+SUMIF('NEI Lookups'!$Q:$Q,'Inputs Yr 2'!$F19,'NEI Lookups'!E:E)+SUMIF('NEI Lookups'!$R:$R,'Inputs Yr 2'!$F19,'NEI Lookups'!E:E)+SUMIF('NEI Lookups'!$S:$S,'Inputs Yr 2'!$F19,'NEI Lookups'!E:E)+SUMIF('NEI Lookups'!$T:$T,'Inputs Yr 2'!$F19,'NEI Lookups'!E:E)</f>
        <v>0</v>
      </c>
      <c r="AT19" s="299">
        <f>SUMIF('NEI Lookups'!$L:$L,'Inputs Yr 2'!$F19,'NEI Lookups'!F:F)+SUMIF('NEI Lookups'!$M:$M,'Inputs Yr 2'!$F19,'NEI Lookups'!F:F)+SUMIF('NEI Lookups'!$N:$N,'Inputs Yr 2'!$F19,'NEI Lookups'!F:F)+SUMIF('NEI Lookups'!$O:$O,'Inputs Yr 2'!$F19,'NEI Lookups'!F:F)+SUMIF('NEI Lookups'!$P:$P,'Inputs Yr 2'!$F19,'NEI Lookups'!F:F)+SUMIF('NEI Lookups'!$Q:$Q,'Inputs Yr 2'!$F19,'NEI Lookups'!F:F)+SUMIF('NEI Lookups'!$R:$R,'Inputs Yr 2'!$F19,'NEI Lookups'!F:F)+SUMIF('NEI Lookups'!$S:$S,'Inputs Yr 2'!$F19,'NEI Lookups'!F:F)+SUMIF('NEI Lookups'!$T:$T,'Inputs Yr 2'!$F19,'NEI Lookups'!F:F)</f>
        <v>0</v>
      </c>
      <c r="AU19" s="299">
        <f>SUMIF('NEI Lookups'!$L:$L,'Inputs Yr 2'!$F19,'NEI Lookups'!G:G)+SUMIF('NEI Lookups'!$M:$M,'Inputs Yr 2'!$F19,'NEI Lookups'!G:G)+SUMIF('NEI Lookups'!$N:$N,'Inputs Yr 2'!$F19,'NEI Lookups'!G:G)+SUMIF('NEI Lookups'!$O:$O,'Inputs Yr 2'!$F19,'NEI Lookups'!G:G)+SUMIF('NEI Lookups'!$P:$P,'Inputs Yr 2'!$F19,'NEI Lookups'!G:G)+SUMIF('NEI Lookups'!$Q:$Q,'Inputs Yr 2'!$F19,'NEI Lookups'!G:G)+SUMIF('NEI Lookups'!$R:$R,'Inputs Yr 2'!$F19,'NEI Lookups'!G:G)+SUMIF('NEI Lookups'!$S:$S,'Inputs Yr 2'!$F19,'NEI Lookups'!G:G)+SUMIF('NEI Lookups'!$T:$T,'Inputs Yr 2'!$F19,'NEI Lookups'!G:G)</f>
        <v>0</v>
      </c>
      <c r="AV19" s="299">
        <f>SUMIF('NEI Lookups'!$L:$L,'Inputs Yr 2'!$F19,'NEI Lookups'!H:H)+SUMIF('NEI Lookups'!$M:$M,'Inputs Yr 2'!$F19,'NEI Lookups'!H:H)+SUMIF('NEI Lookups'!$N:$N,'Inputs Yr 2'!$F19,'NEI Lookups'!H:H)+SUMIF('NEI Lookups'!$O:$O,'Inputs Yr 2'!$F19,'NEI Lookups'!H:H)+SUMIF('NEI Lookups'!$P:$P,'Inputs Yr 2'!$F19,'NEI Lookups'!H:H)+SUMIF('NEI Lookups'!$Q:$Q,'Inputs Yr 2'!$F19,'NEI Lookups'!H:H)+SUMIF('NEI Lookups'!$R:$R,'Inputs Yr 2'!$F19,'NEI Lookups'!H:H)+SUMIF('NEI Lookups'!$S:$S,'Inputs Yr 2'!$F19,'NEI Lookups'!H:H)+SUMIF('NEI Lookups'!$T:$T,'Inputs Yr 2'!$F19,'NEI Lookups'!H:H)</f>
        <v>0</v>
      </c>
      <c r="AW19" s="299">
        <f>SUMIF('NEI Lookups'!$L:$L,'Inputs Yr 2'!$F19,'NEI Lookups'!I:I)+SUMIF('NEI Lookups'!$M:$M,'Inputs Yr 2'!$F19,'NEI Lookups'!I:I)+SUMIF('NEI Lookups'!$N:$N,'Inputs Yr 2'!$F19,'NEI Lookups'!I:I)+SUMIF('NEI Lookups'!$O:$O,'Inputs Yr 2'!$F19,'NEI Lookups'!I:I)+SUMIF('NEI Lookups'!$P:$P,'Inputs Yr 2'!$F19,'NEI Lookups'!I:I)+SUMIF('NEI Lookups'!$Q:$Q,'Inputs Yr 2'!$F19,'NEI Lookups'!I:I)+SUMIF('NEI Lookups'!$R:$R,'Inputs Yr 2'!$F19,'NEI Lookups'!I:I)+SUMIF('NEI Lookups'!$S:$S,'Inputs Yr 2'!$F19,'NEI Lookups'!I:I)+SUMIF('NEI Lookups'!$T:$T,'Inputs Yr 2'!$F19,'NEI Lookups'!I:I)</f>
        <v>0</v>
      </c>
      <c r="AX19" s="299">
        <f>SUMIF('NEI Lookups'!$L:$L,'Inputs Yr 2'!$F19,'NEI Lookups'!J:J)+SUMIF('NEI Lookups'!$M:$M,'Inputs Yr 2'!$F19,'NEI Lookups'!J:J)+SUMIF('NEI Lookups'!$N:$N,'Inputs Yr 2'!$F19,'NEI Lookups'!J:J)+SUMIF('NEI Lookups'!$O:$O,'Inputs Yr 2'!$F19,'NEI Lookups'!J:J)+SUMIF('NEI Lookups'!$P:$P,'Inputs Yr 2'!$F19,'NEI Lookups'!J:J)+SUMIF('NEI Lookups'!$Q:$Q,'Inputs Yr 2'!$F19,'NEI Lookups'!J:J)+SUMIF('NEI Lookups'!$R:$R,'Inputs Yr 2'!$F19,'NEI Lookups'!J:J)+SUMIF('NEI Lookups'!$S:$S,'Inputs Yr 2'!$F19,'NEI Lookups'!J:J)+SUMIF('NEI Lookups'!$T:$T,'Inputs Yr 2'!$F19,'NEI Lookups'!J:J)</f>
        <v>0</v>
      </c>
      <c r="AY19" s="930" t="e">
        <f>'Calculations Yr 2'!CP19/'Calculations Yr 2'!I19</f>
        <v>#VALUE!</v>
      </c>
    </row>
    <row r="20" spans="1:51" s="8" customFormat="1" ht="12.75" customHeight="1">
      <c r="A20" s="145" t="s">
        <v>32</v>
      </c>
      <c r="B20" s="132" t="s">
        <v>462</v>
      </c>
      <c r="C20" s="132" t="s">
        <v>725</v>
      </c>
      <c r="D20" s="97"/>
      <c r="E20" s="97" t="s">
        <v>1319</v>
      </c>
      <c r="F20" s="98" t="s">
        <v>1337</v>
      </c>
      <c r="G20" s="145" t="s">
        <v>1247</v>
      </c>
      <c r="H20" s="232">
        <v>0</v>
      </c>
      <c r="I20" s="232">
        <v>0</v>
      </c>
      <c r="J20" s="971"/>
      <c r="K20" s="963"/>
      <c r="L20" s="899">
        <f t="shared" si="0"/>
        <v>0</v>
      </c>
      <c r="M20" s="978">
        <v>0</v>
      </c>
      <c r="N20" s="978">
        <v>0</v>
      </c>
      <c r="O20" s="978">
        <v>0</v>
      </c>
      <c r="P20" s="889">
        <v>1</v>
      </c>
      <c r="Q20" s="978">
        <v>0</v>
      </c>
      <c r="R20" s="178">
        <v>1</v>
      </c>
      <c r="S20" s="178">
        <v>1</v>
      </c>
      <c r="T20" s="178">
        <v>1</v>
      </c>
      <c r="U20" s="978">
        <v>0</v>
      </c>
      <c r="V20" s="978">
        <v>0</v>
      </c>
      <c r="W20" s="179"/>
      <c r="X20" s="937" t="s">
        <v>653</v>
      </c>
      <c r="Y20" s="299">
        <f>IFERROR(VLOOKUP($X20,'Demand Lookups'!$A$5:$K$101,9,0), 0)</f>
        <v>0</v>
      </c>
      <c r="Z20" s="922" t="str">
        <f>IFERROR(VLOOKUP(X20,'Demand Lookups'!$A$5:$B$101,2,0),0)</f>
        <v>Non-Electric Measures</v>
      </c>
      <c r="AA20" s="722">
        <f>IF(ISNA(VLOOKUP($X20,'Demand Lookups'!$A$5:$K$81,3,0)),0,VLOOKUP($X20,'Demand Lookups'!$A$5:$K$81,3,0))</f>
        <v>0</v>
      </c>
      <c r="AB20" s="722">
        <f>IF(ISNA(VLOOKUP($X20,'Demand Lookups'!$A$5:$K$81,4,0)),0,VLOOKUP($X20,'Demand Lookups'!$A$5:$K$81,4,0))</f>
        <v>0</v>
      </c>
      <c r="AC20" s="722">
        <f>IF(ISNA(VLOOKUP($X20,'Demand Lookups'!$A$5:$K$81,5,0)),0,VLOOKUP($X20,'Demand Lookups'!$A$5:$K$81,5,0))</f>
        <v>0</v>
      </c>
      <c r="AD20" s="723">
        <f>IF(ISNA(VLOOKUP($X20,'Demand Lookups'!$A$5:$K$81,6,0)),0,VLOOKUP($X20,'Demand Lookups'!$A$5:$K$81,6,0))</f>
        <v>0</v>
      </c>
      <c r="AE20" s="724">
        <f t="shared" si="6"/>
        <v>0</v>
      </c>
      <c r="AF20" s="723">
        <f>ROUND(IF(ISNA(VLOOKUP($X20,'Demand Lookups'!$A$5:$K$82,10,0)),0,(VLOOKUP($X20,'Demand Lookups'!$A$5:$K$82,10,0))),2)</f>
        <v>0</v>
      </c>
      <c r="AG20" s="723">
        <f>ROUND(IF(ISNA(VLOOKUP($X20,'Demand Lookups'!$A$5:$K$82,11,0)),0,VLOOKUP($X20,'Demand Lookups'!$A$5:$K$82,11,0)),2)</f>
        <v>0</v>
      </c>
      <c r="AH20" s="648">
        <v>0</v>
      </c>
      <c r="AI20" s="648">
        <v>0</v>
      </c>
      <c r="AJ20" s="167" t="s">
        <v>404</v>
      </c>
      <c r="AK20" s="179">
        <v>0</v>
      </c>
      <c r="AL20" s="167"/>
      <c r="AM20" s="168"/>
      <c r="AN20" s="167"/>
      <c r="AO20" s="168"/>
      <c r="AP20" s="921">
        <v>0</v>
      </c>
      <c r="AQ20" s="171"/>
      <c r="AR20" s="171"/>
      <c r="AS20" s="299">
        <f>SUMIF('NEI Lookups'!$L:$L,'Inputs Yr 2'!$F20,'NEI Lookups'!E:E)+SUMIF('NEI Lookups'!$M:$M,'Inputs Yr 2'!$F20,'NEI Lookups'!E:E)+SUMIF('NEI Lookups'!$N:$N,'Inputs Yr 2'!$F20,'NEI Lookups'!E:E)+SUMIF('NEI Lookups'!$O:$O,'Inputs Yr 2'!$F20,'NEI Lookups'!E:E)+SUMIF('NEI Lookups'!$P:$P,'Inputs Yr 2'!$F20,'NEI Lookups'!E:E)+SUMIF('NEI Lookups'!$Q:$Q,'Inputs Yr 2'!$F20,'NEI Lookups'!E:E)+SUMIF('NEI Lookups'!$R:$R,'Inputs Yr 2'!$F20,'NEI Lookups'!E:E)+SUMIF('NEI Lookups'!$S:$S,'Inputs Yr 2'!$F20,'NEI Lookups'!E:E)+SUMIF('NEI Lookups'!$T:$T,'Inputs Yr 2'!$F20,'NEI Lookups'!E:E)</f>
        <v>0</v>
      </c>
      <c r="AT20" s="299">
        <f>SUMIF('NEI Lookups'!$L:$L,'Inputs Yr 2'!$F20,'NEI Lookups'!F:F)+SUMIF('NEI Lookups'!$M:$M,'Inputs Yr 2'!$F20,'NEI Lookups'!F:F)+SUMIF('NEI Lookups'!$N:$N,'Inputs Yr 2'!$F20,'NEI Lookups'!F:F)+SUMIF('NEI Lookups'!$O:$O,'Inputs Yr 2'!$F20,'NEI Lookups'!F:F)+SUMIF('NEI Lookups'!$P:$P,'Inputs Yr 2'!$F20,'NEI Lookups'!F:F)+SUMIF('NEI Lookups'!$Q:$Q,'Inputs Yr 2'!$F20,'NEI Lookups'!F:F)+SUMIF('NEI Lookups'!$R:$R,'Inputs Yr 2'!$F20,'NEI Lookups'!F:F)+SUMIF('NEI Lookups'!$S:$S,'Inputs Yr 2'!$F20,'NEI Lookups'!F:F)+SUMIF('NEI Lookups'!$T:$T,'Inputs Yr 2'!$F20,'NEI Lookups'!F:F)</f>
        <v>0</v>
      </c>
      <c r="AU20" s="299">
        <f>SUMIF('NEI Lookups'!$L:$L,'Inputs Yr 2'!$F20,'NEI Lookups'!G:G)+SUMIF('NEI Lookups'!$M:$M,'Inputs Yr 2'!$F20,'NEI Lookups'!G:G)+SUMIF('NEI Lookups'!$N:$N,'Inputs Yr 2'!$F20,'NEI Lookups'!G:G)+SUMIF('NEI Lookups'!$O:$O,'Inputs Yr 2'!$F20,'NEI Lookups'!G:G)+SUMIF('NEI Lookups'!$P:$P,'Inputs Yr 2'!$F20,'NEI Lookups'!G:G)+SUMIF('NEI Lookups'!$Q:$Q,'Inputs Yr 2'!$F20,'NEI Lookups'!G:G)+SUMIF('NEI Lookups'!$R:$R,'Inputs Yr 2'!$F20,'NEI Lookups'!G:G)+SUMIF('NEI Lookups'!$S:$S,'Inputs Yr 2'!$F20,'NEI Lookups'!G:G)+SUMIF('NEI Lookups'!$T:$T,'Inputs Yr 2'!$F20,'NEI Lookups'!G:G)</f>
        <v>0</v>
      </c>
      <c r="AV20" s="299">
        <f>SUMIF('NEI Lookups'!$L:$L,'Inputs Yr 2'!$F20,'NEI Lookups'!H:H)+SUMIF('NEI Lookups'!$M:$M,'Inputs Yr 2'!$F20,'NEI Lookups'!H:H)+SUMIF('NEI Lookups'!$N:$N,'Inputs Yr 2'!$F20,'NEI Lookups'!H:H)+SUMIF('NEI Lookups'!$O:$O,'Inputs Yr 2'!$F20,'NEI Lookups'!H:H)+SUMIF('NEI Lookups'!$P:$P,'Inputs Yr 2'!$F20,'NEI Lookups'!H:H)+SUMIF('NEI Lookups'!$Q:$Q,'Inputs Yr 2'!$F20,'NEI Lookups'!H:H)+SUMIF('NEI Lookups'!$R:$R,'Inputs Yr 2'!$F20,'NEI Lookups'!H:H)+SUMIF('NEI Lookups'!$S:$S,'Inputs Yr 2'!$F20,'NEI Lookups'!H:H)+SUMIF('NEI Lookups'!$T:$T,'Inputs Yr 2'!$F20,'NEI Lookups'!H:H)</f>
        <v>0</v>
      </c>
      <c r="AW20" s="299">
        <f>SUMIF('NEI Lookups'!$L:$L,'Inputs Yr 2'!$F20,'NEI Lookups'!I:I)+SUMIF('NEI Lookups'!$M:$M,'Inputs Yr 2'!$F20,'NEI Lookups'!I:I)+SUMIF('NEI Lookups'!$N:$N,'Inputs Yr 2'!$F20,'NEI Lookups'!I:I)+SUMIF('NEI Lookups'!$O:$O,'Inputs Yr 2'!$F20,'NEI Lookups'!I:I)+SUMIF('NEI Lookups'!$P:$P,'Inputs Yr 2'!$F20,'NEI Lookups'!I:I)+SUMIF('NEI Lookups'!$Q:$Q,'Inputs Yr 2'!$F20,'NEI Lookups'!I:I)+SUMIF('NEI Lookups'!$R:$R,'Inputs Yr 2'!$F20,'NEI Lookups'!I:I)+SUMIF('NEI Lookups'!$S:$S,'Inputs Yr 2'!$F20,'NEI Lookups'!I:I)+SUMIF('NEI Lookups'!$T:$T,'Inputs Yr 2'!$F20,'NEI Lookups'!I:I)</f>
        <v>0</v>
      </c>
      <c r="AX20" s="299">
        <f>SUMIF('NEI Lookups'!$L:$L,'Inputs Yr 2'!$F20,'NEI Lookups'!J:J)+SUMIF('NEI Lookups'!$M:$M,'Inputs Yr 2'!$F20,'NEI Lookups'!J:J)+SUMIF('NEI Lookups'!$N:$N,'Inputs Yr 2'!$F20,'NEI Lookups'!J:J)+SUMIF('NEI Lookups'!$O:$O,'Inputs Yr 2'!$F20,'NEI Lookups'!J:J)+SUMIF('NEI Lookups'!$P:$P,'Inputs Yr 2'!$F20,'NEI Lookups'!J:J)+SUMIF('NEI Lookups'!$Q:$Q,'Inputs Yr 2'!$F20,'NEI Lookups'!J:J)+SUMIF('NEI Lookups'!$R:$R,'Inputs Yr 2'!$F20,'NEI Lookups'!J:J)+SUMIF('NEI Lookups'!$S:$S,'Inputs Yr 2'!$F20,'NEI Lookups'!J:J)+SUMIF('NEI Lookups'!$T:$T,'Inputs Yr 2'!$F20,'NEI Lookups'!J:J)</f>
        <v>0</v>
      </c>
      <c r="AY20" s="930" t="e">
        <f>'Calculations Yr 2'!CP20/'Calculations Yr 2'!I20</f>
        <v>#VALUE!</v>
      </c>
    </row>
    <row r="21" spans="1:51" s="8" customFormat="1" ht="12.75" customHeight="1">
      <c r="A21" s="145" t="s">
        <v>32</v>
      </c>
      <c r="B21" s="132" t="s">
        <v>462</v>
      </c>
      <c r="C21" s="132" t="s">
        <v>725</v>
      </c>
      <c r="D21" s="904" t="s">
        <v>1427</v>
      </c>
      <c r="E21" s="4" t="s">
        <v>1301</v>
      </c>
      <c r="F21" s="98" t="s">
        <v>950</v>
      </c>
      <c r="G21" s="145" t="s">
        <v>1247</v>
      </c>
      <c r="H21" s="232">
        <v>10</v>
      </c>
      <c r="I21" s="232">
        <v>20</v>
      </c>
      <c r="J21" s="971">
        <v>90</v>
      </c>
      <c r="K21" s="171">
        <v>90</v>
      </c>
      <c r="L21" s="899">
        <f t="shared" si="0"/>
        <v>0</v>
      </c>
      <c r="M21" s="978">
        <v>0</v>
      </c>
      <c r="N21" s="978">
        <v>0</v>
      </c>
      <c r="O21" s="978">
        <v>0</v>
      </c>
      <c r="P21" s="889">
        <v>1</v>
      </c>
      <c r="Q21" s="978">
        <v>1</v>
      </c>
      <c r="R21" s="178">
        <v>1</v>
      </c>
      <c r="S21" s="178">
        <v>1</v>
      </c>
      <c r="T21" s="178">
        <v>1</v>
      </c>
      <c r="U21" s="978">
        <v>0.86199999999999999</v>
      </c>
      <c r="V21" s="978">
        <v>1</v>
      </c>
      <c r="W21" s="179"/>
      <c r="X21" s="937" t="s">
        <v>653</v>
      </c>
      <c r="Y21" s="299">
        <f>IFERROR(VLOOKUP($X21,'Demand Lookups'!$A$5:$K$101,9,0), 0)</f>
        <v>0</v>
      </c>
      <c r="Z21" s="922" t="str">
        <f>IFERROR(VLOOKUP(X21,'Demand Lookups'!$A$5:$B$101,2,0),0)</f>
        <v>Non-Electric Measures</v>
      </c>
      <c r="AA21" s="722">
        <f>IF(ISNA(VLOOKUP($X21,'Demand Lookups'!$A$5:$K$81,3,0)),0,VLOOKUP($X21,'Demand Lookups'!$A$5:$K$81,3,0))</f>
        <v>0</v>
      </c>
      <c r="AB21" s="722">
        <f>IF(ISNA(VLOOKUP($X21,'Demand Lookups'!$A$5:$K$81,4,0)),0,VLOOKUP($X21,'Demand Lookups'!$A$5:$K$81,4,0))</f>
        <v>0</v>
      </c>
      <c r="AC21" s="722">
        <f>IF(ISNA(VLOOKUP($X21,'Demand Lookups'!$A$5:$K$81,5,0)),0,VLOOKUP($X21,'Demand Lookups'!$A$5:$K$81,5,0))</f>
        <v>0</v>
      </c>
      <c r="AD21" s="723">
        <f>IF(ISNA(VLOOKUP($X21,'Demand Lookups'!$A$5:$K$81,6,0)),0,VLOOKUP($X21,'Demand Lookups'!$A$5:$K$81,6,0))</f>
        <v>0</v>
      </c>
      <c r="AE21" s="724">
        <f t="shared" si="6"/>
        <v>0</v>
      </c>
      <c r="AF21" s="723">
        <f>ROUND(IF(ISNA(VLOOKUP($X21,'Demand Lookups'!$A$5:$K$82,10,0)),0,(VLOOKUP($X21,'Demand Lookups'!$A$5:$K$82,10,0))),2)</f>
        <v>0</v>
      </c>
      <c r="AG21" s="723">
        <f>ROUND(IF(ISNA(VLOOKUP($X21,'Demand Lookups'!$A$5:$K$82,11,0)),0,VLOOKUP($X21,'Demand Lookups'!$A$5:$K$82,11,0)),2)</f>
        <v>0</v>
      </c>
      <c r="AH21" s="648">
        <v>0</v>
      </c>
      <c r="AI21" s="648">
        <v>0</v>
      </c>
      <c r="AJ21" s="167"/>
      <c r="AK21" s="179">
        <v>0</v>
      </c>
      <c r="AL21" s="167"/>
      <c r="AM21" s="168"/>
      <c r="AN21" s="167"/>
      <c r="AO21" s="168"/>
      <c r="AP21" s="921">
        <v>0</v>
      </c>
      <c r="AQ21" s="171"/>
      <c r="AR21" s="171"/>
      <c r="AS21" s="299">
        <f>SUMIF('NEI Lookups'!$L:$L,'Inputs Yr 2'!$F21,'NEI Lookups'!E:E)+SUMIF('NEI Lookups'!$M:$M,'Inputs Yr 2'!$F21,'NEI Lookups'!E:E)+SUMIF('NEI Lookups'!$N:$N,'Inputs Yr 2'!$F21,'NEI Lookups'!E:E)+SUMIF('NEI Lookups'!$O:$O,'Inputs Yr 2'!$F21,'NEI Lookups'!E:E)+SUMIF('NEI Lookups'!$P:$P,'Inputs Yr 2'!$F21,'NEI Lookups'!E:E)+SUMIF('NEI Lookups'!$Q:$Q,'Inputs Yr 2'!$F21,'NEI Lookups'!E:E)+SUMIF('NEI Lookups'!$R:$R,'Inputs Yr 2'!$F21,'NEI Lookups'!E:E)+SUMIF('NEI Lookups'!$S:$S,'Inputs Yr 2'!$F21,'NEI Lookups'!E:E)+SUMIF('NEI Lookups'!$T:$T,'Inputs Yr 2'!$F21,'NEI Lookups'!E:E)</f>
        <v>0.23</v>
      </c>
      <c r="AT21" s="299">
        <f>SUMIF('NEI Lookups'!$L:$L,'Inputs Yr 2'!$F21,'NEI Lookups'!F:F)+SUMIF('NEI Lookups'!$M:$M,'Inputs Yr 2'!$F21,'NEI Lookups'!F:F)+SUMIF('NEI Lookups'!$N:$N,'Inputs Yr 2'!$F21,'NEI Lookups'!F:F)+SUMIF('NEI Lookups'!$O:$O,'Inputs Yr 2'!$F21,'NEI Lookups'!F:F)+SUMIF('NEI Lookups'!$P:$P,'Inputs Yr 2'!$F21,'NEI Lookups'!F:F)+SUMIF('NEI Lookups'!$Q:$Q,'Inputs Yr 2'!$F21,'NEI Lookups'!F:F)+SUMIF('NEI Lookups'!$R:$R,'Inputs Yr 2'!$F21,'NEI Lookups'!F:F)+SUMIF('NEI Lookups'!$S:$S,'Inputs Yr 2'!$F21,'NEI Lookups'!F:F)+SUMIF('NEI Lookups'!$T:$T,'Inputs Yr 2'!$F21,'NEI Lookups'!F:F)</f>
        <v>0</v>
      </c>
      <c r="AU21" s="299">
        <f>SUMIF('NEI Lookups'!$L:$L,'Inputs Yr 2'!$F21,'NEI Lookups'!G:G)+SUMIF('NEI Lookups'!$M:$M,'Inputs Yr 2'!$F21,'NEI Lookups'!G:G)+SUMIF('NEI Lookups'!$N:$N,'Inputs Yr 2'!$F21,'NEI Lookups'!G:G)+SUMIF('NEI Lookups'!$O:$O,'Inputs Yr 2'!$F21,'NEI Lookups'!G:G)+SUMIF('NEI Lookups'!$P:$P,'Inputs Yr 2'!$F21,'NEI Lookups'!G:G)+SUMIF('NEI Lookups'!$Q:$Q,'Inputs Yr 2'!$F21,'NEI Lookups'!G:G)+SUMIF('NEI Lookups'!$R:$R,'Inputs Yr 2'!$F21,'NEI Lookups'!G:G)+SUMIF('NEI Lookups'!$S:$S,'Inputs Yr 2'!$F21,'NEI Lookups'!G:G)+SUMIF('NEI Lookups'!$T:$T,'Inputs Yr 2'!$F21,'NEI Lookups'!G:G)</f>
        <v>0</v>
      </c>
      <c r="AV21" s="299">
        <f>SUMIF('NEI Lookups'!$L:$L,'Inputs Yr 2'!$F21,'NEI Lookups'!H:H)+SUMIF('NEI Lookups'!$M:$M,'Inputs Yr 2'!$F21,'NEI Lookups'!H:H)+SUMIF('NEI Lookups'!$N:$N,'Inputs Yr 2'!$F21,'NEI Lookups'!H:H)+SUMIF('NEI Lookups'!$O:$O,'Inputs Yr 2'!$F21,'NEI Lookups'!H:H)+SUMIF('NEI Lookups'!$P:$P,'Inputs Yr 2'!$F21,'NEI Lookups'!H:H)+SUMIF('NEI Lookups'!$Q:$Q,'Inputs Yr 2'!$F21,'NEI Lookups'!H:H)+SUMIF('NEI Lookups'!$R:$R,'Inputs Yr 2'!$F21,'NEI Lookups'!H:H)+SUMIF('NEI Lookups'!$S:$S,'Inputs Yr 2'!$F21,'NEI Lookups'!H:H)+SUMIF('NEI Lookups'!$T:$T,'Inputs Yr 2'!$F21,'NEI Lookups'!H:H)</f>
        <v>0</v>
      </c>
      <c r="AW21" s="299">
        <f>SUMIF('NEI Lookups'!$L:$L,'Inputs Yr 2'!$F21,'NEI Lookups'!I:I)+SUMIF('NEI Lookups'!$M:$M,'Inputs Yr 2'!$F21,'NEI Lookups'!I:I)+SUMIF('NEI Lookups'!$N:$N,'Inputs Yr 2'!$F21,'NEI Lookups'!I:I)+SUMIF('NEI Lookups'!$O:$O,'Inputs Yr 2'!$F21,'NEI Lookups'!I:I)+SUMIF('NEI Lookups'!$P:$P,'Inputs Yr 2'!$F21,'NEI Lookups'!I:I)+SUMIF('NEI Lookups'!$Q:$Q,'Inputs Yr 2'!$F21,'NEI Lookups'!I:I)+SUMIF('NEI Lookups'!$R:$R,'Inputs Yr 2'!$F21,'NEI Lookups'!I:I)+SUMIF('NEI Lookups'!$S:$S,'Inputs Yr 2'!$F21,'NEI Lookups'!I:I)+SUMIF('NEI Lookups'!$T:$T,'Inputs Yr 2'!$F21,'NEI Lookups'!I:I)</f>
        <v>0</v>
      </c>
      <c r="AX21" s="299">
        <f>SUMIF('NEI Lookups'!$L:$L,'Inputs Yr 2'!$F21,'NEI Lookups'!J:J)+SUMIF('NEI Lookups'!$M:$M,'Inputs Yr 2'!$F21,'NEI Lookups'!J:J)+SUMIF('NEI Lookups'!$N:$N,'Inputs Yr 2'!$F21,'NEI Lookups'!J:J)+SUMIF('NEI Lookups'!$O:$O,'Inputs Yr 2'!$F21,'NEI Lookups'!J:J)+SUMIF('NEI Lookups'!$P:$P,'Inputs Yr 2'!$F21,'NEI Lookups'!J:J)+SUMIF('NEI Lookups'!$Q:$Q,'Inputs Yr 2'!$F21,'NEI Lookups'!J:J)+SUMIF('NEI Lookups'!$R:$R,'Inputs Yr 2'!$F21,'NEI Lookups'!J:J)+SUMIF('NEI Lookups'!$S:$S,'Inputs Yr 2'!$F21,'NEI Lookups'!J:J)+SUMIF('NEI Lookups'!$T:$T,'Inputs Yr 2'!$F21,'NEI Lookups'!J:J)</f>
        <v>0</v>
      </c>
      <c r="AY21" s="930">
        <f>'Calculations Yr 2'!CP21/'Calculations Yr 2'!I21</f>
        <v>4.8931377531008832E-2</v>
      </c>
    </row>
    <row r="22" spans="1:51" s="8" customFormat="1" ht="12.75" customHeight="1">
      <c r="A22" s="145" t="s">
        <v>32</v>
      </c>
      <c r="B22" s="132" t="s">
        <v>462</v>
      </c>
      <c r="C22" s="132" t="s">
        <v>725</v>
      </c>
      <c r="D22" s="902" t="s">
        <v>1428</v>
      </c>
      <c r="E22" s="98" t="s">
        <v>729</v>
      </c>
      <c r="F22" s="98" t="s">
        <v>951</v>
      </c>
      <c r="G22" s="145" t="s">
        <v>1247</v>
      </c>
      <c r="H22" s="232">
        <v>97</v>
      </c>
      <c r="I22" s="232">
        <v>20</v>
      </c>
      <c r="J22" s="971">
        <v>9.4716494845360817</v>
      </c>
      <c r="K22" s="963">
        <v>2.4645360824742255</v>
      </c>
      <c r="L22" s="899">
        <f t="shared" si="0"/>
        <v>7.0071134020618562</v>
      </c>
      <c r="M22" s="978">
        <v>0</v>
      </c>
      <c r="N22" s="978">
        <v>0</v>
      </c>
      <c r="O22" s="978">
        <v>0</v>
      </c>
      <c r="P22" s="889">
        <f>1-M22+N22+O22</f>
        <v>1</v>
      </c>
      <c r="Q22" s="978">
        <v>1</v>
      </c>
      <c r="R22" s="178">
        <v>1</v>
      </c>
      <c r="S22" s="178">
        <v>1</v>
      </c>
      <c r="T22" s="178">
        <v>1</v>
      </c>
      <c r="U22" s="978">
        <v>0.86199999999999999</v>
      </c>
      <c r="V22" s="978">
        <v>1</v>
      </c>
      <c r="W22" s="179"/>
      <c r="X22" s="937" t="s">
        <v>653</v>
      </c>
      <c r="Y22" s="299">
        <f>IFERROR(VLOOKUP($X22,'Demand Lookups'!$A$5:$K$101,9,0), 0)</f>
        <v>0</v>
      </c>
      <c r="Z22" s="922" t="str">
        <f>IFERROR(VLOOKUP(X22,'Demand Lookups'!$A$5:$B$101,2,0),0)</f>
        <v>Non-Electric Measures</v>
      </c>
      <c r="AA22" s="722">
        <f>IF(ISNA(VLOOKUP($X22,'Demand Lookups'!$A$5:$K$81,3,0)),0,VLOOKUP($X22,'Demand Lookups'!$A$5:$K$81,3,0))</f>
        <v>0</v>
      </c>
      <c r="AB22" s="722">
        <f>IF(ISNA(VLOOKUP($X22,'Demand Lookups'!$A$5:$K$81,4,0)),0,VLOOKUP($X22,'Demand Lookups'!$A$5:$K$81,4,0))</f>
        <v>0</v>
      </c>
      <c r="AC22" s="722">
        <f>IF(ISNA(VLOOKUP($X22,'Demand Lookups'!$A$5:$K$81,5,0)),0,VLOOKUP($X22,'Demand Lookups'!$A$5:$K$81,5,0))</f>
        <v>0</v>
      </c>
      <c r="AD22" s="723">
        <f>IF(ISNA(VLOOKUP($X22,'Demand Lookups'!$A$5:$K$81,6,0)),0,VLOOKUP($X22,'Demand Lookups'!$A$5:$K$81,6,0))</f>
        <v>0</v>
      </c>
      <c r="AE22" s="724">
        <f t="shared" si="6"/>
        <v>0</v>
      </c>
      <c r="AF22" s="723">
        <f>ROUND(IF(ISNA(VLOOKUP($X22,'Demand Lookups'!$A$5:$K$82,10,0)),0,(VLOOKUP($X22,'Demand Lookups'!$A$5:$K$82,10,0))),2)</f>
        <v>0</v>
      </c>
      <c r="AG22" s="723">
        <f>ROUND(IF(ISNA(VLOOKUP($X22,'Demand Lookups'!$A$5:$K$82,11,0)),0,VLOOKUP($X22,'Demand Lookups'!$A$5:$K$82,11,0)),2)</f>
        <v>0</v>
      </c>
      <c r="AH22" s="648">
        <f>AF22</f>
        <v>0</v>
      </c>
      <c r="AI22" s="648">
        <f>AF22</f>
        <v>0</v>
      </c>
      <c r="AJ22" s="167" t="s">
        <v>404</v>
      </c>
      <c r="AK22" s="179">
        <v>0.1134020618556701</v>
      </c>
      <c r="AL22" s="167"/>
      <c r="AM22" s="168"/>
      <c r="AN22" s="167"/>
      <c r="AO22" s="168"/>
      <c r="AP22" s="921">
        <v>0</v>
      </c>
      <c r="AQ22" s="171"/>
      <c r="AR22" s="171"/>
      <c r="AS22" s="299">
        <f>SUMIF('NEI Lookups'!$L:$L,'Inputs Yr 2'!$F22,'NEI Lookups'!E:E)+SUMIF('NEI Lookups'!$M:$M,'Inputs Yr 2'!$F22,'NEI Lookups'!E:E)+SUMIF('NEI Lookups'!$N:$N,'Inputs Yr 2'!$F22,'NEI Lookups'!E:E)+SUMIF('NEI Lookups'!$O:$O,'Inputs Yr 2'!$F22,'NEI Lookups'!E:E)+SUMIF('NEI Lookups'!$P:$P,'Inputs Yr 2'!$F22,'NEI Lookups'!E:E)+SUMIF('NEI Lookups'!$Q:$Q,'Inputs Yr 2'!$F22,'NEI Lookups'!E:E)+SUMIF('NEI Lookups'!$R:$R,'Inputs Yr 2'!$F22,'NEI Lookups'!E:E)+SUMIF('NEI Lookups'!$S:$S,'Inputs Yr 2'!$F22,'NEI Lookups'!E:E)+SUMIF('NEI Lookups'!$T:$T,'Inputs Yr 2'!$F22,'NEI Lookups'!E:E)</f>
        <v>0</v>
      </c>
      <c r="AT22" s="299">
        <f>SUMIF('NEI Lookups'!$L:$L,'Inputs Yr 2'!$F22,'NEI Lookups'!F:F)+SUMIF('NEI Lookups'!$M:$M,'Inputs Yr 2'!$F22,'NEI Lookups'!F:F)+SUMIF('NEI Lookups'!$N:$N,'Inputs Yr 2'!$F22,'NEI Lookups'!F:F)+SUMIF('NEI Lookups'!$O:$O,'Inputs Yr 2'!$F22,'NEI Lookups'!F:F)+SUMIF('NEI Lookups'!$P:$P,'Inputs Yr 2'!$F22,'NEI Lookups'!F:F)+SUMIF('NEI Lookups'!$Q:$Q,'Inputs Yr 2'!$F22,'NEI Lookups'!F:F)+SUMIF('NEI Lookups'!$R:$R,'Inputs Yr 2'!$F22,'NEI Lookups'!F:F)+SUMIF('NEI Lookups'!$S:$S,'Inputs Yr 2'!$F22,'NEI Lookups'!F:F)+SUMIF('NEI Lookups'!$T:$T,'Inputs Yr 2'!$F22,'NEI Lookups'!F:F)</f>
        <v>0</v>
      </c>
      <c r="AU22" s="299">
        <f>SUMIF('NEI Lookups'!$L:$L,'Inputs Yr 2'!$F22,'NEI Lookups'!G:G)+SUMIF('NEI Lookups'!$M:$M,'Inputs Yr 2'!$F22,'NEI Lookups'!G:G)+SUMIF('NEI Lookups'!$N:$N,'Inputs Yr 2'!$F22,'NEI Lookups'!G:G)+SUMIF('NEI Lookups'!$O:$O,'Inputs Yr 2'!$F22,'NEI Lookups'!G:G)+SUMIF('NEI Lookups'!$P:$P,'Inputs Yr 2'!$F22,'NEI Lookups'!G:G)+SUMIF('NEI Lookups'!$Q:$Q,'Inputs Yr 2'!$F22,'NEI Lookups'!G:G)+SUMIF('NEI Lookups'!$R:$R,'Inputs Yr 2'!$F22,'NEI Lookups'!G:G)+SUMIF('NEI Lookups'!$S:$S,'Inputs Yr 2'!$F22,'NEI Lookups'!G:G)+SUMIF('NEI Lookups'!$T:$T,'Inputs Yr 2'!$F22,'NEI Lookups'!G:G)</f>
        <v>0</v>
      </c>
      <c r="AV22" s="299">
        <f>SUMIF('NEI Lookups'!$L:$L,'Inputs Yr 2'!$F22,'NEI Lookups'!H:H)+SUMIF('NEI Lookups'!$M:$M,'Inputs Yr 2'!$F22,'NEI Lookups'!H:H)+SUMIF('NEI Lookups'!$N:$N,'Inputs Yr 2'!$F22,'NEI Lookups'!H:H)+SUMIF('NEI Lookups'!$O:$O,'Inputs Yr 2'!$F22,'NEI Lookups'!H:H)+SUMIF('NEI Lookups'!$P:$P,'Inputs Yr 2'!$F22,'NEI Lookups'!H:H)+SUMIF('NEI Lookups'!$Q:$Q,'Inputs Yr 2'!$F22,'NEI Lookups'!H:H)+SUMIF('NEI Lookups'!$R:$R,'Inputs Yr 2'!$F22,'NEI Lookups'!H:H)+SUMIF('NEI Lookups'!$S:$S,'Inputs Yr 2'!$F22,'NEI Lookups'!H:H)+SUMIF('NEI Lookups'!$T:$T,'Inputs Yr 2'!$F22,'NEI Lookups'!H:H)</f>
        <v>0</v>
      </c>
      <c r="AW22" s="299">
        <f>SUMIF('NEI Lookups'!$L:$L,'Inputs Yr 2'!$F22,'NEI Lookups'!I:I)+SUMIF('NEI Lookups'!$M:$M,'Inputs Yr 2'!$F22,'NEI Lookups'!I:I)+SUMIF('NEI Lookups'!$N:$N,'Inputs Yr 2'!$F22,'NEI Lookups'!I:I)+SUMIF('NEI Lookups'!$O:$O,'Inputs Yr 2'!$F22,'NEI Lookups'!I:I)+SUMIF('NEI Lookups'!$P:$P,'Inputs Yr 2'!$F22,'NEI Lookups'!I:I)+SUMIF('NEI Lookups'!$Q:$Q,'Inputs Yr 2'!$F22,'NEI Lookups'!I:I)+SUMIF('NEI Lookups'!$R:$R,'Inputs Yr 2'!$F22,'NEI Lookups'!I:I)+SUMIF('NEI Lookups'!$S:$S,'Inputs Yr 2'!$F22,'NEI Lookups'!I:I)+SUMIF('NEI Lookups'!$T:$T,'Inputs Yr 2'!$F22,'NEI Lookups'!I:I)</f>
        <v>1.35</v>
      </c>
      <c r="AX22" s="299">
        <f>SUMIF('NEI Lookups'!$L:$L,'Inputs Yr 2'!$F22,'NEI Lookups'!J:J)+SUMIF('NEI Lookups'!$M:$M,'Inputs Yr 2'!$F22,'NEI Lookups'!J:J)+SUMIF('NEI Lookups'!$N:$N,'Inputs Yr 2'!$F22,'NEI Lookups'!J:J)+SUMIF('NEI Lookups'!$O:$O,'Inputs Yr 2'!$F22,'NEI Lookups'!J:J)+SUMIF('NEI Lookups'!$P:$P,'Inputs Yr 2'!$F22,'NEI Lookups'!J:J)+SUMIF('NEI Lookups'!$Q:$Q,'Inputs Yr 2'!$F22,'NEI Lookups'!J:J)+SUMIF('NEI Lookups'!$R:$R,'Inputs Yr 2'!$F22,'NEI Lookups'!J:J)+SUMIF('NEI Lookups'!$S:$S,'Inputs Yr 2'!$F22,'NEI Lookups'!J:J)+SUMIF('NEI Lookups'!$T:$T,'Inputs Yr 2'!$F22,'NEI Lookups'!J:J)</f>
        <v>0</v>
      </c>
      <c r="AY22" s="930">
        <f>'Calculations Yr 2'!CP22/'Calculations Yr 2'!I22</f>
        <v>4.5681342960536568</v>
      </c>
    </row>
    <row r="23" spans="1:51" s="8" customFormat="1" ht="12.75" customHeight="1">
      <c r="A23" s="145" t="s">
        <v>32</v>
      </c>
      <c r="B23" s="132" t="s">
        <v>462</v>
      </c>
      <c r="C23" s="132" t="s">
        <v>725</v>
      </c>
      <c r="D23" s="902" t="s">
        <v>1429</v>
      </c>
      <c r="E23" s="98" t="s">
        <v>1302</v>
      </c>
      <c r="F23" s="98" t="s">
        <v>952</v>
      </c>
      <c r="G23" s="145" t="s">
        <v>89</v>
      </c>
      <c r="H23" s="232">
        <v>294</v>
      </c>
      <c r="I23" s="232">
        <v>15</v>
      </c>
      <c r="J23" s="971">
        <v>11.892857142857142</v>
      </c>
      <c r="K23" s="963">
        <v>11.841836734693876</v>
      </c>
      <c r="L23" s="945">
        <f t="shared" si="0"/>
        <v>5.102040816326614E-2</v>
      </c>
      <c r="M23" s="978">
        <v>0</v>
      </c>
      <c r="N23" s="978">
        <v>0</v>
      </c>
      <c r="O23" s="978">
        <v>0</v>
      </c>
      <c r="P23" s="889">
        <f>1-M23+N23+O23</f>
        <v>1</v>
      </c>
      <c r="Q23" s="978">
        <v>1</v>
      </c>
      <c r="R23" s="178">
        <v>1</v>
      </c>
      <c r="S23" s="178">
        <v>1</v>
      </c>
      <c r="T23" s="178">
        <v>1</v>
      </c>
      <c r="U23" s="978">
        <v>0.86199999999999999</v>
      </c>
      <c r="V23" s="978">
        <v>1</v>
      </c>
      <c r="W23" s="179"/>
      <c r="X23" s="937" t="s">
        <v>653</v>
      </c>
      <c r="Y23" s="299">
        <f>IFERROR(VLOOKUP($X23,'Demand Lookups'!$A$5:$K$101,9,0), 0)</f>
        <v>0</v>
      </c>
      <c r="Z23" s="922" t="str">
        <f>IFERROR(VLOOKUP(X23,'Demand Lookups'!$A$5:$B$101,2,0),0)</f>
        <v>Non-Electric Measures</v>
      </c>
      <c r="AA23" s="722">
        <f>IF(ISNA(VLOOKUP($X23,'Demand Lookups'!$A$5:$K$81,3,0)),0,VLOOKUP($X23,'Demand Lookups'!$A$5:$K$81,3,0))</f>
        <v>0</v>
      </c>
      <c r="AB23" s="722">
        <f>IF(ISNA(VLOOKUP($X23,'Demand Lookups'!$A$5:$K$81,4,0)),0,VLOOKUP($X23,'Demand Lookups'!$A$5:$K$81,4,0))</f>
        <v>0</v>
      </c>
      <c r="AC23" s="722">
        <f>IF(ISNA(VLOOKUP($X23,'Demand Lookups'!$A$5:$K$81,5,0)),0,VLOOKUP($X23,'Demand Lookups'!$A$5:$K$81,5,0))</f>
        <v>0</v>
      </c>
      <c r="AD23" s="723">
        <f>IF(ISNA(VLOOKUP($X23,'Demand Lookups'!$A$5:$K$81,6,0)),0,VLOOKUP($X23,'Demand Lookups'!$A$5:$K$81,6,0))</f>
        <v>0</v>
      </c>
      <c r="AE23" s="724">
        <f t="shared" si="6"/>
        <v>0</v>
      </c>
      <c r="AF23" s="723">
        <f>ROUND(IF(ISNA(VLOOKUP($X23,'Demand Lookups'!$A$5:$K$82,10,0)),0,(VLOOKUP($X23,'Demand Lookups'!$A$5:$K$82,10,0))),2)</f>
        <v>0</v>
      </c>
      <c r="AG23" s="723">
        <f>ROUND(IF(ISNA(VLOOKUP($X23,'Demand Lookups'!$A$5:$K$82,11,0)),0,VLOOKUP($X23,'Demand Lookups'!$A$5:$K$82,11,0)),2)</f>
        <v>0</v>
      </c>
      <c r="AH23" s="648">
        <f>AF23</f>
        <v>0</v>
      </c>
      <c r="AI23" s="648">
        <f>AF23</f>
        <v>0</v>
      </c>
      <c r="AJ23" s="167" t="s">
        <v>40</v>
      </c>
      <c r="AK23" s="179">
        <v>1.1400000000000001</v>
      </c>
      <c r="AL23" s="167"/>
      <c r="AM23" s="168"/>
      <c r="AN23" s="167"/>
      <c r="AO23" s="168"/>
      <c r="AP23" s="921">
        <v>0</v>
      </c>
      <c r="AQ23" s="171"/>
      <c r="AR23" s="171"/>
      <c r="AS23" s="299">
        <f>SUMIF('NEI Lookups'!$L:$L,'Inputs Yr 2'!$F23,'NEI Lookups'!E:E)+SUMIF('NEI Lookups'!$M:$M,'Inputs Yr 2'!$F23,'NEI Lookups'!E:E)+SUMIF('NEI Lookups'!$N:$N,'Inputs Yr 2'!$F23,'NEI Lookups'!E:E)+SUMIF('NEI Lookups'!$O:$O,'Inputs Yr 2'!$F23,'NEI Lookups'!E:E)+SUMIF('NEI Lookups'!$P:$P,'Inputs Yr 2'!$F23,'NEI Lookups'!E:E)+SUMIF('NEI Lookups'!$Q:$Q,'Inputs Yr 2'!$F23,'NEI Lookups'!E:E)+SUMIF('NEI Lookups'!$R:$R,'Inputs Yr 2'!$F23,'NEI Lookups'!E:E)+SUMIF('NEI Lookups'!$S:$S,'Inputs Yr 2'!$F23,'NEI Lookups'!E:E)+SUMIF('NEI Lookups'!$T:$T,'Inputs Yr 2'!$F23,'NEI Lookups'!E:E)</f>
        <v>0</v>
      </c>
      <c r="AT23" s="299">
        <f>SUMIF('NEI Lookups'!$L:$L,'Inputs Yr 2'!$F23,'NEI Lookups'!F:F)+SUMIF('NEI Lookups'!$M:$M,'Inputs Yr 2'!$F23,'NEI Lookups'!F:F)+SUMIF('NEI Lookups'!$N:$N,'Inputs Yr 2'!$F23,'NEI Lookups'!F:F)+SUMIF('NEI Lookups'!$O:$O,'Inputs Yr 2'!$F23,'NEI Lookups'!F:F)+SUMIF('NEI Lookups'!$P:$P,'Inputs Yr 2'!$F23,'NEI Lookups'!F:F)+SUMIF('NEI Lookups'!$Q:$Q,'Inputs Yr 2'!$F23,'NEI Lookups'!F:F)+SUMIF('NEI Lookups'!$R:$R,'Inputs Yr 2'!$F23,'NEI Lookups'!F:F)+SUMIF('NEI Lookups'!$S:$S,'Inputs Yr 2'!$F23,'NEI Lookups'!F:F)+SUMIF('NEI Lookups'!$T:$T,'Inputs Yr 2'!$F23,'NEI Lookups'!F:F)</f>
        <v>0</v>
      </c>
      <c r="AU23" s="299">
        <f>SUMIF('NEI Lookups'!$L:$L,'Inputs Yr 2'!$F23,'NEI Lookups'!G:G)+SUMIF('NEI Lookups'!$M:$M,'Inputs Yr 2'!$F23,'NEI Lookups'!G:G)+SUMIF('NEI Lookups'!$N:$N,'Inputs Yr 2'!$F23,'NEI Lookups'!G:G)+SUMIF('NEI Lookups'!$O:$O,'Inputs Yr 2'!$F23,'NEI Lookups'!G:G)+SUMIF('NEI Lookups'!$P:$P,'Inputs Yr 2'!$F23,'NEI Lookups'!G:G)+SUMIF('NEI Lookups'!$Q:$Q,'Inputs Yr 2'!$F23,'NEI Lookups'!G:G)+SUMIF('NEI Lookups'!$R:$R,'Inputs Yr 2'!$F23,'NEI Lookups'!G:G)+SUMIF('NEI Lookups'!$S:$S,'Inputs Yr 2'!$F23,'NEI Lookups'!G:G)+SUMIF('NEI Lookups'!$T:$T,'Inputs Yr 2'!$F23,'NEI Lookups'!G:G)</f>
        <v>0</v>
      </c>
      <c r="AV23" s="299">
        <f>SUMIF('NEI Lookups'!$L:$L,'Inputs Yr 2'!$F23,'NEI Lookups'!H:H)+SUMIF('NEI Lookups'!$M:$M,'Inputs Yr 2'!$F23,'NEI Lookups'!H:H)+SUMIF('NEI Lookups'!$N:$N,'Inputs Yr 2'!$F23,'NEI Lookups'!H:H)+SUMIF('NEI Lookups'!$O:$O,'Inputs Yr 2'!$F23,'NEI Lookups'!H:H)+SUMIF('NEI Lookups'!$P:$P,'Inputs Yr 2'!$F23,'NEI Lookups'!H:H)+SUMIF('NEI Lookups'!$Q:$Q,'Inputs Yr 2'!$F23,'NEI Lookups'!H:H)+SUMIF('NEI Lookups'!$R:$R,'Inputs Yr 2'!$F23,'NEI Lookups'!H:H)+SUMIF('NEI Lookups'!$S:$S,'Inputs Yr 2'!$F23,'NEI Lookups'!H:H)+SUMIF('NEI Lookups'!$T:$T,'Inputs Yr 2'!$F23,'NEI Lookups'!H:H)</f>
        <v>0</v>
      </c>
      <c r="AW23" s="299">
        <f>SUMIF('NEI Lookups'!$L:$L,'Inputs Yr 2'!$F23,'NEI Lookups'!I:I)+SUMIF('NEI Lookups'!$M:$M,'Inputs Yr 2'!$F23,'NEI Lookups'!I:I)+SUMIF('NEI Lookups'!$N:$N,'Inputs Yr 2'!$F23,'NEI Lookups'!I:I)+SUMIF('NEI Lookups'!$O:$O,'Inputs Yr 2'!$F23,'NEI Lookups'!I:I)+SUMIF('NEI Lookups'!$P:$P,'Inputs Yr 2'!$F23,'NEI Lookups'!I:I)+SUMIF('NEI Lookups'!$Q:$Q,'Inputs Yr 2'!$F23,'NEI Lookups'!I:I)+SUMIF('NEI Lookups'!$R:$R,'Inputs Yr 2'!$F23,'NEI Lookups'!I:I)+SUMIF('NEI Lookups'!$S:$S,'Inputs Yr 2'!$F23,'NEI Lookups'!I:I)+SUMIF('NEI Lookups'!$T:$T,'Inputs Yr 2'!$F23,'NEI Lookups'!I:I)</f>
        <v>0</v>
      </c>
      <c r="AX23" s="299">
        <f>SUMIF('NEI Lookups'!$L:$L,'Inputs Yr 2'!$F23,'NEI Lookups'!J:J)+SUMIF('NEI Lookups'!$M:$M,'Inputs Yr 2'!$F23,'NEI Lookups'!J:J)+SUMIF('NEI Lookups'!$N:$N,'Inputs Yr 2'!$F23,'NEI Lookups'!J:J)+SUMIF('NEI Lookups'!$O:$O,'Inputs Yr 2'!$F23,'NEI Lookups'!J:J)+SUMIF('NEI Lookups'!$P:$P,'Inputs Yr 2'!$F23,'NEI Lookups'!J:J)+SUMIF('NEI Lookups'!$Q:$Q,'Inputs Yr 2'!$F23,'NEI Lookups'!J:J)+SUMIF('NEI Lookups'!$R:$R,'Inputs Yr 2'!$F23,'NEI Lookups'!J:J)+SUMIF('NEI Lookups'!$S:$S,'Inputs Yr 2'!$F23,'NEI Lookups'!J:J)+SUMIF('NEI Lookups'!$T:$T,'Inputs Yr 2'!$F23,'NEI Lookups'!J:J)</f>
        <v>0</v>
      </c>
      <c r="AY23" s="930">
        <f>'Calculations Yr 2'!CP23/'Calculations Yr 2'!I23</f>
        <v>10.781990482319035</v>
      </c>
    </row>
    <row r="24" spans="1:51" s="8" customFormat="1" ht="12.75" customHeight="1">
      <c r="A24" s="145" t="s">
        <v>32</v>
      </c>
      <c r="B24" s="132" t="s">
        <v>462</v>
      </c>
      <c r="C24" s="132" t="s">
        <v>725</v>
      </c>
      <c r="D24" s="902" t="s">
        <v>1430</v>
      </c>
      <c r="E24" s="98" t="s">
        <v>1303</v>
      </c>
      <c r="F24" s="98" t="s">
        <v>953</v>
      </c>
      <c r="G24" s="145" t="s">
        <v>1247</v>
      </c>
      <c r="H24" s="232">
        <v>367</v>
      </c>
      <c r="I24" s="232">
        <v>15</v>
      </c>
      <c r="J24" s="972">
        <v>8.4005449591280659</v>
      </c>
      <c r="K24" s="171">
        <v>6.3106267029972756</v>
      </c>
      <c r="L24" s="899">
        <f t="shared" si="0"/>
        <v>2.0899182561307903</v>
      </c>
      <c r="M24" s="978">
        <v>0</v>
      </c>
      <c r="N24" s="978">
        <v>0</v>
      </c>
      <c r="O24" s="978">
        <v>0</v>
      </c>
      <c r="P24" s="889">
        <v>1</v>
      </c>
      <c r="Q24" s="978">
        <v>1</v>
      </c>
      <c r="R24" s="178">
        <v>1</v>
      </c>
      <c r="S24" s="178">
        <v>1</v>
      </c>
      <c r="T24" s="178">
        <v>1</v>
      </c>
      <c r="U24" s="978">
        <v>0.86199999999999999</v>
      </c>
      <c r="V24" s="978">
        <v>1</v>
      </c>
      <c r="W24" s="179"/>
      <c r="X24" s="937" t="s">
        <v>653</v>
      </c>
      <c r="Y24" s="299">
        <f>IFERROR(VLOOKUP($X24,'Demand Lookups'!$A$5:$K$101,9,0), 0)</f>
        <v>0</v>
      </c>
      <c r="Z24" s="922" t="str">
        <f>IFERROR(VLOOKUP(X24,'Demand Lookups'!$A$5:$B$101,2,0),0)</f>
        <v>Non-Electric Measures</v>
      </c>
      <c r="AA24" s="722">
        <f>IF(ISNA(VLOOKUP($X24,'Demand Lookups'!$A$5:$K$81,3,0)),0,VLOOKUP($X24,'Demand Lookups'!$A$5:$K$81,3,0))</f>
        <v>0</v>
      </c>
      <c r="AB24" s="722">
        <f>IF(ISNA(VLOOKUP($X24,'Demand Lookups'!$A$5:$K$81,4,0)),0,VLOOKUP($X24,'Demand Lookups'!$A$5:$K$81,4,0))</f>
        <v>0</v>
      </c>
      <c r="AC24" s="722">
        <f>IF(ISNA(VLOOKUP($X24,'Demand Lookups'!$A$5:$K$81,5,0)),0,VLOOKUP($X24,'Demand Lookups'!$A$5:$K$81,5,0))</f>
        <v>0</v>
      </c>
      <c r="AD24" s="723">
        <f>IF(ISNA(VLOOKUP($X24,'Demand Lookups'!$A$5:$K$81,6,0)),0,VLOOKUP($X24,'Demand Lookups'!$A$5:$K$81,6,0))</f>
        <v>0</v>
      </c>
      <c r="AE24" s="724">
        <f t="shared" si="6"/>
        <v>0</v>
      </c>
      <c r="AF24" s="723">
        <f>ROUND(IF(ISNA(VLOOKUP($X24,'Demand Lookups'!$A$5:$K$82,10,0)),0,(VLOOKUP($X24,'Demand Lookups'!$A$5:$K$82,10,0))),2)</f>
        <v>0</v>
      </c>
      <c r="AG24" s="723">
        <f>ROUND(IF(ISNA(VLOOKUP($X24,'Demand Lookups'!$A$5:$K$82,11,0)),0,VLOOKUP($X24,'Demand Lookups'!$A$5:$K$82,11,0)),2)</f>
        <v>0</v>
      </c>
      <c r="AH24" s="648">
        <v>0</v>
      </c>
      <c r="AI24" s="648">
        <v>0</v>
      </c>
      <c r="AJ24" s="167" t="s">
        <v>404</v>
      </c>
      <c r="AK24" s="179">
        <v>0.16</v>
      </c>
      <c r="AL24" s="167"/>
      <c r="AM24" s="168"/>
      <c r="AN24" s="167"/>
      <c r="AO24" s="168"/>
      <c r="AP24" s="921">
        <v>0</v>
      </c>
      <c r="AQ24" s="171"/>
      <c r="AR24" s="171"/>
      <c r="AS24" s="299">
        <f>SUMIF('NEI Lookups'!$L:$L,'Inputs Yr 2'!$F24,'NEI Lookups'!E:E)+SUMIF('NEI Lookups'!$M:$M,'Inputs Yr 2'!$F24,'NEI Lookups'!E:E)+SUMIF('NEI Lookups'!$N:$N,'Inputs Yr 2'!$F24,'NEI Lookups'!E:E)+SUMIF('NEI Lookups'!$O:$O,'Inputs Yr 2'!$F24,'NEI Lookups'!E:E)+SUMIF('NEI Lookups'!$P:$P,'Inputs Yr 2'!$F24,'NEI Lookups'!E:E)+SUMIF('NEI Lookups'!$Q:$Q,'Inputs Yr 2'!$F24,'NEI Lookups'!E:E)+SUMIF('NEI Lookups'!$R:$R,'Inputs Yr 2'!$F24,'NEI Lookups'!E:E)+SUMIF('NEI Lookups'!$S:$S,'Inputs Yr 2'!$F24,'NEI Lookups'!E:E)+SUMIF('NEI Lookups'!$T:$T,'Inputs Yr 2'!$F24,'NEI Lookups'!E:E)</f>
        <v>0</v>
      </c>
      <c r="AT24" s="299">
        <f>SUMIF('NEI Lookups'!$L:$L,'Inputs Yr 2'!$F24,'NEI Lookups'!F:F)+SUMIF('NEI Lookups'!$M:$M,'Inputs Yr 2'!$F24,'NEI Lookups'!F:F)+SUMIF('NEI Lookups'!$N:$N,'Inputs Yr 2'!$F24,'NEI Lookups'!F:F)+SUMIF('NEI Lookups'!$O:$O,'Inputs Yr 2'!$F24,'NEI Lookups'!F:F)+SUMIF('NEI Lookups'!$P:$P,'Inputs Yr 2'!$F24,'NEI Lookups'!F:F)+SUMIF('NEI Lookups'!$Q:$Q,'Inputs Yr 2'!$F24,'NEI Lookups'!F:F)+SUMIF('NEI Lookups'!$R:$R,'Inputs Yr 2'!$F24,'NEI Lookups'!F:F)+SUMIF('NEI Lookups'!$S:$S,'Inputs Yr 2'!$F24,'NEI Lookups'!F:F)+SUMIF('NEI Lookups'!$T:$T,'Inputs Yr 2'!$F24,'NEI Lookups'!F:F)</f>
        <v>0</v>
      </c>
      <c r="AU24" s="299">
        <f>SUMIF('NEI Lookups'!$L:$L,'Inputs Yr 2'!$F24,'NEI Lookups'!G:G)+SUMIF('NEI Lookups'!$M:$M,'Inputs Yr 2'!$F24,'NEI Lookups'!G:G)+SUMIF('NEI Lookups'!$N:$N,'Inputs Yr 2'!$F24,'NEI Lookups'!G:G)+SUMIF('NEI Lookups'!$O:$O,'Inputs Yr 2'!$F24,'NEI Lookups'!G:G)+SUMIF('NEI Lookups'!$P:$P,'Inputs Yr 2'!$F24,'NEI Lookups'!G:G)+SUMIF('NEI Lookups'!$Q:$Q,'Inputs Yr 2'!$F24,'NEI Lookups'!G:G)+SUMIF('NEI Lookups'!$R:$R,'Inputs Yr 2'!$F24,'NEI Lookups'!G:G)+SUMIF('NEI Lookups'!$S:$S,'Inputs Yr 2'!$F24,'NEI Lookups'!G:G)+SUMIF('NEI Lookups'!$T:$T,'Inputs Yr 2'!$F24,'NEI Lookups'!G:G)</f>
        <v>0</v>
      </c>
      <c r="AV24" s="299">
        <f>SUMIF('NEI Lookups'!$L:$L,'Inputs Yr 2'!$F24,'NEI Lookups'!H:H)+SUMIF('NEI Lookups'!$M:$M,'Inputs Yr 2'!$F24,'NEI Lookups'!H:H)+SUMIF('NEI Lookups'!$N:$N,'Inputs Yr 2'!$F24,'NEI Lookups'!H:H)+SUMIF('NEI Lookups'!$O:$O,'Inputs Yr 2'!$F24,'NEI Lookups'!H:H)+SUMIF('NEI Lookups'!$P:$P,'Inputs Yr 2'!$F24,'NEI Lookups'!H:H)+SUMIF('NEI Lookups'!$Q:$Q,'Inputs Yr 2'!$F24,'NEI Lookups'!H:H)+SUMIF('NEI Lookups'!$R:$R,'Inputs Yr 2'!$F24,'NEI Lookups'!H:H)+SUMIF('NEI Lookups'!$S:$S,'Inputs Yr 2'!$F24,'NEI Lookups'!H:H)+SUMIF('NEI Lookups'!$T:$T,'Inputs Yr 2'!$F24,'NEI Lookups'!H:H)</f>
        <v>0</v>
      </c>
      <c r="AW24" s="299">
        <f>SUMIF('NEI Lookups'!$L:$L,'Inputs Yr 2'!$F24,'NEI Lookups'!I:I)+SUMIF('NEI Lookups'!$M:$M,'Inputs Yr 2'!$F24,'NEI Lookups'!I:I)+SUMIF('NEI Lookups'!$N:$N,'Inputs Yr 2'!$F24,'NEI Lookups'!I:I)+SUMIF('NEI Lookups'!$O:$O,'Inputs Yr 2'!$F24,'NEI Lookups'!I:I)+SUMIF('NEI Lookups'!$P:$P,'Inputs Yr 2'!$F24,'NEI Lookups'!I:I)+SUMIF('NEI Lookups'!$Q:$Q,'Inputs Yr 2'!$F24,'NEI Lookups'!I:I)+SUMIF('NEI Lookups'!$R:$R,'Inputs Yr 2'!$F24,'NEI Lookups'!I:I)+SUMIF('NEI Lookups'!$S:$S,'Inputs Yr 2'!$F24,'NEI Lookups'!I:I)+SUMIF('NEI Lookups'!$T:$T,'Inputs Yr 2'!$F24,'NEI Lookups'!I:I)</f>
        <v>1.35</v>
      </c>
      <c r="AX24" s="299">
        <f>SUMIF('NEI Lookups'!$L:$L,'Inputs Yr 2'!$F24,'NEI Lookups'!J:J)+SUMIF('NEI Lookups'!$M:$M,'Inputs Yr 2'!$F24,'NEI Lookups'!J:J)+SUMIF('NEI Lookups'!$N:$N,'Inputs Yr 2'!$F24,'NEI Lookups'!J:J)+SUMIF('NEI Lookups'!$O:$O,'Inputs Yr 2'!$F24,'NEI Lookups'!J:J)+SUMIF('NEI Lookups'!$P:$P,'Inputs Yr 2'!$F24,'NEI Lookups'!J:J)+SUMIF('NEI Lookups'!$Q:$Q,'Inputs Yr 2'!$F24,'NEI Lookups'!J:J)+SUMIF('NEI Lookups'!$R:$R,'Inputs Yr 2'!$F24,'NEI Lookups'!J:J)+SUMIF('NEI Lookups'!$S:$S,'Inputs Yr 2'!$F24,'NEI Lookups'!J:J)+SUMIF('NEI Lookups'!$T:$T,'Inputs Yr 2'!$F24,'NEI Lookups'!J:J)</f>
        <v>0</v>
      </c>
      <c r="AY24" s="930">
        <f>'Calculations Yr 2'!CP24/'Calculations Yr 2'!I24</f>
        <v>5.4547457871100375</v>
      </c>
    </row>
    <row r="25" spans="1:51" s="8" customFormat="1" ht="12.75" customHeight="1">
      <c r="A25" s="145" t="s">
        <v>32</v>
      </c>
      <c r="B25" s="132" t="s">
        <v>462</v>
      </c>
      <c r="C25" s="132" t="s">
        <v>725</v>
      </c>
      <c r="D25" s="902" t="s">
        <v>1431</v>
      </c>
      <c r="E25" s="150" t="s">
        <v>1304</v>
      </c>
      <c r="F25" s="98" t="s">
        <v>954</v>
      </c>
      <c r="G25" s="145" t="s">
        <v>89</v>
      </c>
      <c r="H25" s="232">
        <v>1774</v>
      </c>
      <c r="I25" s="232">
        <v>7</v>
      </c>
      <c r="J25" s="971">
        <v>3.7652874859075629</v>
      </c>
      <c r="K25" s="963">
        <v>3.7652874859075629</v>
      </c>
      <c r="L25" s="899">
        <f t="shared" si="0"/>
        <v>0</v>
      </c>
      <c r="M25" s="978">
        <v>0.15</v>
      </c>
      <c r="N25" s="978">
        <v>0</v>
      </c>
      <c r="O25" s="978">
        <v>0</v>
      </c>
      <c r="P25" s="889">
        <f>1-M25+N25+O25</f>
        <v>0.85</v>
      </c>
      <c r="Q25" s="978">
        <v>1</v>
      </c>
      <c r="R25" s="178">
        <v>1</v>
      </c>
      <c r="S25" s="178">
        <v>1</v>
      </c>
      <c r="T25" s="178">
        <v>1</v>
      </c>
      <c r="U25" s="978">
        <v>1</v>
      </c>
      <c r="V25" s="978">
        <v>1</v>
      </c>
      <c r="W25" s="179"/>
      <c r="X25" s="937" t="s">
        <v>653</v>
      </c>
      <c r="Y25" s="299">
        <f>IFERROR(VLOOKUP($X25,'Demand Lookups'!$A$5:$K$101,9,0), 0)</f>
        <v>0</v>
      </c>
      <c r="Z25" s="922" t="str">
        <f>IFERROR(VLOOKUP(X25,'Demand Lookups'!$A$5:$B$101,2,0),0)</f>
        <v>Non-Electric Measures</v>
      </c>
      <c r="AA25" s="722">
        <f>IF(ISNA(VLOOKUP($X25,'Demand Lookups'!$A$5:$K$81,3,0)),0,VLOOKUP($X25,'Demand Lookups'!$A$5:$K$81,3,0))</f>
        <v>0</v>
      </c>
      <c r="AB25" s="722">
        <f>IF(ISNA(VLOOKUP($X25,'Demand Lookups'!$A$5:$K$81,4,0)),0,VLOOKUP($X25,'Demand Lookups'!$A$5:$K$81,4,0))</f>
        <v>0</v>
      </c>
      <c r="AC25" s="722">
        <f>IF(ISNA(VLOOKUP($X25,'Demand Lookups'!$A$5:$K$81,5,0)),0,VLOOKUP($X25,'Demand Lookups'!$A$5:$K$81,5,0))</f>
        <v>0</v>
      </c>
      <c r="AD25" s="723">
        <f>IF(ISNA(VLOOKUP($X25,'Demand Lookups'!$A$5:$K$81,6,0)),0,VLOOKUP($X25,'Demand Lookups'!$A$5:$K$81,6,0))</f>
        <v>0</v>
      </c>
      <c r="AE25" s="724">
        <f t="shared" si="6"/>
        <v>0</v>
      </c>
      <c r="AF25" s="723">
        <f>ROUND(IF(ISNA(VLOOKUP($X25,'Demand Lookups'!$A$5:$K$82,10,0)),0,(VLOOKUP($X25,'Demand Lookups'!$A$5:$K$82,10,0))),2)</f>
        <v>0</v>
      </c>
      <c r="AG25" s="723">
        <f>ROUND(IF(ISNA(VLOOKUP($X25,'Demand Lookups'!$A$5:$K$82,11,0)),0,VLOOKUP($X25,'Demand Lookups'!$A$5:$K$82,11,0)),2)</f>
        <v>0</v>
      </c>
      <c r="AH25" s="648">
        <f>AF25</f>
        <v>0</v>
      </c>
      <c r="AI25" s="648">
        <f>AF25</f>
        <v>0</v>
      </c>
      <c r="AJ25" s="167" t="s">
        <v>40</v>
      </c>
      <c r="AK25" s="179">
        <v>0.8600000000000001</v>
      </c>
      <c r="AL25" s="167"/>
      <c r="AM25" s="168"/>
      <c r="AN25" s="167"/>
      <c r="AO25" s="168"/>
      <c r="AP25" s="921">
        <v>332</v>
      </c>
      <c r="AQ25" s="171"/>
      <c r="AR25" s="171"/>
      <c r="AS25" s="299">
        <f>SUMIF('NEI Lookups'!$L:$L,'Inputs Yr 2'!$F25,'NEI Lookups'!E:E)+SUMIF('NEI Lookups'!$M:$M,'Inputs Yr 2'!$F25,'NEI Lookups'!E:E)+SUMIF('NEI Lookups'!$N:$N,'Inputs Yr 2'!$F25,'NEI Lookups'!E:E)+SUMIF('NEI Lookups'!$O:$O,'Inputs Yr 2'!$F25,'NEI Lookups'!E:E)+SUMIF('NEI Lookups'!$P:$P,'Inputs Yr 2'!$F25,'NEI Lookups'!E:E)+SUMIF('NEI Lookups'!$Q:$Q,'Inputs Yr 2'!$F25,'NEI Lookups'!E:E)+SUMIF('NEI Lookups'!$R:$R,'Inputs Yr 2'!$F25,'NEI Lookups'!E:E)+SUMIF('NEI Lookups'!$S:$S,'Inputs Yr 2'!$F25,'NEI Lookups'!E:E)+SUMIF('NEI Lookups'!$T:$T,'Inputs Yr 2'!$F25,'NEI Lookups'!E:E)</f>
        <v>0.58000000000000007</v>
      </c>
      <c r="AT25" s="299">
        <f>SUMIF('NEI Lookups'!$L:$L,'Inputs Yr 2'!$F25,'NEI Lookups'!F:F)+SUMIF('NEI Lookups'!$M:$M,'Inputs Yr 2'!$F25,'NEI Lookups'!F:F)+SUMIF('NEI Lookups'!$N:$N,'Inputs Yr 2'!$F25,'NEI Lookups'!F:F)+SUMIF('NEI Lookups'!$O:$O,'Inputs Yr 2'!$F25,'NEI Lookups'!F:F)+SUMIF('NEI Lookups'!$P:$P,'Inputs Yr 2'!$F25,'NEI Lookups'!F:F)+SUMIF('NEI Lookups'!$Q:$Q,'Inputs Yr 2'!$F25,'NEI Lookups'!F:F)+SUMIF('NEI Lookups'!$R:$R,'Inputs Yr 2'!$F25,'NEI Lookups'!F:F)+SUMIF('NEI Lookups'!$S:$S,'Inputs Yr 2'!$F25,'NEI Lookups'!F:F)+SUMIF('NEI Lookups'!$T:$T,'Inputs Yr 2'!$F25,'NEI Lookups'!F:F)</f>
        <v>0</v>
      </c>
      <c r="AU25" s="299">
        <f>SUMIF('NEI Lookups'!$L:$L,'Inputs Yr 2'!$F25,'NEI Lookups'!G:G)+SUMIF('NEI Lookups'!$M:$M,'Inputs Yr 2'!$F25,'NEI Lookups'!G:G)+SUMIF('NEI Lookups'!$N:$N,'Inputs Yr 2'!$F25,'NEI Lookups'!G:G)+SUMIF('NEI Lookups'!$O:$O,'Inputs Yr 2'!$F25,'NEI Lookups'!G:G)+SUMIF('NEI Lookups'!$P:$P,'Inputs Yr 2'!$F25,'NEI Lookups'!G:G)+SUMIF('NEI Lookups'!$Q:$Q,'Inputs Yr 2'!$F25,'NEI Lookups'!G:G)+SUMIF('NEI Lookups'!$R:$R,'Inputs Yr 2'!$F25,'NEI Lookups'!G:G)+SUMIF('NEI Lookups'!$S:$S,'Inputs Yr 2'!$F25,'NEI Lookups'!G:G)+SUMIF('NEI Lookups'!$T:$T,'Inputs Yr 2'!$F25,'NEI Lookups'!G:G)</f>
        <v>0</v>
      </c>
      <c r="AV25" s="299">
        <f>SUMIF('NEI Lookups'!$L:$L,'Inputs Yr 2'!$F25,'NEI Lookups'!H:H)+SUMIF('NEI Lookups'!$M:$M,'Inputs Yr 2'!$F25,'NEI Lookups'!H:H)+SUMIF('NEI Lookups'!$N:$N,'Inputs Yr 2'!$F25,'NEI Lookups'!H:H)+SUMIF('NEI Lookups'!$O:$O,'Inputs Yr 2'!$F25,'NEI Lookups'!H:H)+SUMIF('NEI Lookups'!$P:$P,'Inputs Yr 2'!$F25,'NEI Lookups'!H:H)+SUMIF('NEI Lookups'!$Q:$Q,'Inputs Yr 2'!$F25,'NEI Lookups'!H:H)+SUMIF('NEI Lookups'!$R:$R,'Inputs Yr 2'!$F25,'NEI Lookups'!H:H)+SUMIF('NEI Lookups'!$S:$S,'Inputs Yr 2'!$F25,'NEI Lookups'!H:H)+SUMIF('NEI Lookups'!$T:$T,'Inputs Yr 2'!$F25,'NEI Lookups'!H:H)</f>
        <v>0</v>
      </c>
      <c r="AW25" s="299">
        <f>SUMIF('NEI Lookups'!$L:$L,'Inputs Yr 2'!$F25,'NEI Lookups'!I:I)+SUMIF('NEI Lookups'!$M:$M,'Inputs Yr 2'!$F25,'NEI Lookups'!I:I)+SUMIF('NEI Lookups'!$N:$N,'Inputs Yr 2'!$F25,'NEI Lookups'!I:I)+SUMIF('NEI Lookups'!$O:$O,'Inputs Yr 2'!$F25,'NEI Lookups'!I:I)+SUMIF('NEI Lookups'!$P:$P,'Inputs Yr 2'!$F25,'NEI Lookups'!I:I)+SUMIF('NEI Lookups'!$Q:$Q,'Inputs Yr 2'!$F25,'NEI Lookups'!I:I)+SUMIF('NEI Lookups'!$R:$R,'Inputs Yr 2'!$F25,'NEI Lookups'!I:I)+SUMIF('NEI Lookups'!$S:$S,'Inputs Yr 2'!$F25,'NEI Lookups'!I:I)+SUMIF('NEI Lookups'!$T:$T,'Inputs Yr 2'!$F25,'NEI Lookups'!I:I)</f>
        <v>0</v>
      </c>
      <c r="AX25" s="299">
        <f>SUMIF('NEI Lookups'!$L:$L,'Inputs Yr 2'!$F25,'NEI Lookups'!J:J)+SUMIF('NEI Lookups'!$M:$M,'Inputs Yr 2'!$F25,'NEI Lookups'!J:J)+SUMIF('NEI Lookups'!$N:$N,'Inputs Yr 2'!$F25,'NEI Lookups'!J:J)+SUMIF('NEI Lookups'!$O:$O,'Inputs Yr 2'!$F25,'NEI Lookups'!J:J)+SUMIF('NEI Lookups'!$P:$P,'Inputs Yr 2'!$F25,'NEI Lookups'!J:J)+SUMIF('NEI Lookups'!$Q:$Q,'Inputs Yr 2'!$F25,'NEI Lookups'!J:J)+SUMIF('NEI Lookups'!$R:$R,'Inputs Yr 2'!$F25,'NEI Lookups'!J:J)+SUMIF('NEI Lookups'!$S:$S,'Inputs Yr 2'!$F25,'NEI Lookups'!J:J)+SUMIF('NEI Lookups'!$T:$T,'Inputs Yr 2'!$F25,'NEI Lookups'!J:J)</f>
        <v>0</v>
      </c>
      <c r="AY25" s="930">
        <f>'Calculations Yr 2'!CP25/'Calculations Yr 2'!I25</f>
        <v>21.88632624200017</v>
      </c>
    </row>
    <row r="26" spans="1:51" s="8" customFormat="1" ht="12.75" customHeight="1">
      <c r="A26" s="145" t="s">
        <v>32</v>
      </c>
      <c r="B26" s="132" t="s">
        <v>462</v>
      </c>
      <c r="C26" s="132" t="s">
        <v>725</v>
      </c>
      <c r="D26" s="902" t="s">
        <v>1432</v>
      </c>
      <c r="E26" s="150" t="s">
        <v>1305</v>
      </c>
      <c r="F26" s="98" t="s">
        <v>955</v>
      </c>
      <c r="G26" s="145" t="s">
        <v>89</v>
      </c>
      <c r="H26" s="232">
        <v>2122</v>
      </c>
      <c r="I26" s="232">
        <v>7</v>
      </c>
      <c r="J26" s="971">
        <v>12.88159754948162</v>
      </c>
      <c r="K26" s="963">
        <v>12.88159754948162</v>
      </c>
      <c r="L26" s="899">
        <f t="shared" si="0"/>
        <v>0</v>
      </c>
      <c r="M26" s="978">
        <v>0.15</v>
      </c>
      <c r="N26" s="978">
        <v>0</v>
      </c>
      <c r="O26" s="978">
        <v>0</v>
      </c>
      <c r="P26" s="889">
        <f>1-M26+N26+O26</f>
        <v>0.85</v>
      </c>
      <c r="Q26" s="978">
        <v>1</v>
      </c>
      <c r="R26" s="178">
        <v>1</v>
      </c>
      <c r="S26" s="178">
        <v>1</v>
      </c>
      <c r="T26" s="178">
        <v>1</v>
      </c>
      <c r="U26" s="978">
        <v>1</v>
      </c>
      <c r="V26" s="978">
        <v>1</v>
      </c>
      <c r="W26" s="179"/>
      <c r="X26" s="937" t="s">
        <v>653</v>
      </c>
      <c r="Y26" s="299">
        <f>IFERROR(VLOOKUP($X26,'Demand Lookups'!$A$5:$K$101,9,0), 0)</f>
        <v>0</v>
      </c>
      <c r="Z26" s="922" t="str">
        <f>IFERROR(VLOOKUP(X26,'Demand Lookups'!$A$5:$B$101,2,0),0)</f>
        <v>Non-Electric Measures</v>
      </c>
      <c r="AA26" s="722">
        <f>IF(ISNA(VLOOKUP($X26,'Demand Lookups'!$A$5:$K$81,3,0)),0,VLOOKUP($X26,'Demand Lookups'!$A$5:$K$81,3,0))</f>
        <v>0</v>
      </c>
      <c r="AB26" s="722">
        <f>IF(ISNA(VLOOKUP($X26,'Demand Lookups'!$A$5:$K$81,4,0)),0,VLOOKUP($X26,'Demand Lookups'!$A$5:$K$81,4,0))</f>
        <v>0</v>
      </c>
      <c r="AC26" s="722">
        <f>IF(ISNA(VLOOKUP($X26,'Demand Lookups'!$A$5:$K$81,5,0)),0,VLOOKUP($X26,'Demand Lookups'!$A$5:$K$81,5,0))</f>
        <v>0</v>
      </c>
      <c r="AD26" s="723">
        <f>IF(ISNA(VLOOKUP($X26,'Demand Lookups'!$A$5:$K$81,6,0)),0,VLOOKUP($X26,'Demand Lookups'!$A$5:$K$81,6,0))</f>
        <v>0</v>
      </c>
      <c r="AE26" s="724">
        <f t="shared" si="6"/>
        <v>0</v>
      </c>
      <c r="AF26" s="723">
        <f>ROUND(IF(ISNA(VLOOKUP($X26,'Demand Lookups'!$A$5:$K$82,10,0)),0,(VLOOKUP($X26,'Demand Lookups'!$A$5:$K$82,10,0))),2)</f>
        <v>0</v>
      </c>
      <c r="AG26" s="723">
        <f>ROUND(IF(ISNA(VLOOKUP($X26,'Demand Lookups'!$A$5:$K$82,11,0)),0,VLOOKUP($X26,'Demand Lookups'!$A$5:$K$82,11,0)),2)</f>
        <v>0</v>
      </c>
      <c r="AH26" s="648">
        <f>AF26</f>
        <v>0</v>
      </c>
      <c r="AI26" s="648">
        <f>AF26</f>
        <v>0</v>
      </c>
      <c r="AJ26" s="167" t="s">
        <v>40</v>
      </c>
      <c r="AK26" s="179">
        <v>1.1400000000000001</v>
      </c>
      <c r="AL26" s="167"/>
      <c r="AM26" s="168"/>
      <c r="AN26" s="167"/>
      <c r="AO26" s="168"/>
      <c r="AP26" s="921">
        <v>2165</v>
      </c>
      <c r="AQ26" s="171"/>
      <c r="AR26" s="171"/>
      <c r="AS26" s="299">
        <f>SUMIF('NEI Lookups'!$L:$L,'Inputs Yr 2'!$F26,'NEI Lookups'!E:E)+SUMIF('NEI Lookups'!$M:$M,'Inputs Yr 2'!$F26,'NEI Lookups'!E:E)+SUMIF('NEI Lookups'!$N:$N,'Inputs Yr 2'!$F26,'NEI Lookups'!E:E)+SUMIF('NEI Lookups'!$O:$O,'Inputs Yr 2'!$F26,'NEI Lookups'!E:E)+SUMIF('NEI Lookups'!$P:$P,'Inputs Yr 2'!$F26,'NEI Lookups'!E:E)+SUMIF('NEI Lookups'!$Q:$Q,'Inputs Yr 2'!$F26,'NEI Lookups'!E:E)+SUMIF('NEI Lookups'!$R:$R,'Inputs Yr 2'!$F26,'NEI Lookups'!E:E)+SUMIF('NEI Lookups'!$S:$S,'Inputs Yr 2'!$F26,'NEI Lookups'!E:E)+SUMIF('NEI Lookups'!$T:$T,'Inputs Yr 2'!$F26,'NEI Lookups'!E:E)</f>
        <v>0.58000000000000007</v>
      </c>
      <c r="AT26" s="299">
        <f>SUMIF('NEI Lookups'!$L:$L,'Inputs Yr 2'!$F26,'NEI Lookups'!F:F)+SUMIF('NEI Lookups'!$M:$M,'Inputs Yr 2'!$F26,'NEI Lookups'!F:F)+SUMIF('NEI Lookups'!$N:$N,'Inputs Yr 2'!$F26,'NEI Lookups'!F:F)+SUMIF('NEI Lookups'!$O:$O,'Inputs Yr 2'!$F26,'NEI Lookups'!F:F)+SUMIF('NEI Lookups'!$P:$P,'Inputs Yr 2'!$F26,'NEI Lookups'!F:F)+SUMIF('NEI Lookups'!$Q:$Q,'Inputs Yr 2'!$F26,'NEI Lookups'!F:F)+SUMIF('NEI Lookups'!$R:$R,'Inputs Yr 2'!$F26,'NEI Lookups'!F:F)+SUMIF('NEI Lookups'!$S:$S,'Inputs Yr 2'!$F26,'NEI Lookups'!F:F)+SUMIF('NEI Lookups'!$T:$T,'Inputs Yr 2'!$F26,'NEI Lookups'!F:F)</f>
        <v>0</v>
      </c>
      <c r="AU26" s="299">
        <f>SUMIF('NEI Lookups'!$L:$L,'Inputs Yr 2'!$F26,'NEI Lookups'!G:G)+SUMIF('NEI Lookups'!$M:$M,'Inputs Yr 2'!$F26,'NEI Lookups'!G:G)+SUMIF('NEI Lookups'!$N:$N,'Inputs Yr 2'!$F26,'NEI Lookups'!G:G)+SUMIF('NEI Lookups'!$O:$O,'Inputs Yr 2'!$F26,'NEI Lookups'!G:G)+SUMIF('NEI Lookups'!$P:$P,'Inputs Yr 2'!$F26,'NEI Lookups'!G:G)+SUMIF('NEI Lookups'!$Q:$Q,'Inputs Yr 2'!$F26,'NEI Lookups'!G:G)+SUMIF('NEI Lookups'!$R:$R,'Inputs Yr 2'!$F26,'NEI Lookups'!G:G)+SUMIF('NEI Lookups'!$S:$S,'Inputs Yr 2'!$F26,'NEI Lookups'!G:G)+SUMIF('NEI Lookups'!$T:$T,'Inputs Yr 2'!$F26,'NEI Lookups'!G:G)</f>
        <v>0</v>
      </c>
      <c r="AV26" s="299">
        <f>SUMIF('NEI Lookups'!$L:$L,'Inputs Yr 2'!$F26,'NEI Lookups'!H:H)+SUMIF('NEI Lookups'!$M:$M,'Inputs Yr 2'!$F26,'NEI Lookups'!H:H)+SUMIF('NEI Lookups'!$N:$N,'Inputs Yr 2'!$F26,'NEI Lookups'!H:H)+SUMIF('NEI Lookups'!$O:$O,'Inputs Yr 2'!$F26,'NEI Lookups'!H:H)+SUMIF('NEI Lookups'!$P:$P,'Inputs Yr 2'!$F26,'NEI Lookups'!H:H)+SUMIF('NEI Lookups'!$Q:$Q,'Inputs Yr 2'!$F26,'NEI Lookups'!H:H)+SUMIF('NEI Lookups'!$R:$R,'Inputs Yr 2'!$F26,'NEI Lookups'!H:H)+SUMIF('NEI Lookups'!$S:$S,'Inputs Yr 2'!$F26,'NEI Lookups'!H:H)+SUMIF('NEI Lookups'!$T:$T,'Inputs Yr 2'!$F26,'NEI Lookups'!H:H)</f>
        <v>0</v>
      </c>
      <c r="AW26" s="299">
        <f>SUMIF('NEI Lookups'!$L:$L,'Inputs Yr 2'!$F26,'NEI Lookups'!I:I)+SUMIF('NEI Lookups'!$M:$M,'Inputs Yr 2'!$F26,'NEI Lookups'!I:I)+SUMIF('NEI Lookups'!$N:$N,'Inputs Yr 2'!$F26,'NEI Lookups'!I:I)+SUMIF('NEI Lookups'!$O:$O,'Inputs Yr 2'!$F26,'NEI Lookups'!I:I)+SUMIF('NEI Lookups'!$P:$P,'Inputs Yr 2'!$F26,'NEI Lookups'!I:I)+SUMIF('NEI Lookups'!$Q:$Q,'Inputs Yr 2'!$F26,'NEI Lookups'!I:I)+SUMIF('NEI Lookups'!$R:$R,'Inputs Yr 2'!$F26,'NEI Lookups'!I:I)+SUMIF('NEI Lookups'!$S:$S,'Inputs Yr 2'!$F26,'NEI Lookups'!I:I)+SUMIF('NEI Lookups'!$T:$T,'Inputs Yr 2'!$F26,'NEI Lookups'!I:I)</f>
        <v>0</v>
      </c>
      <c r="AX26" s="299">
        <f>SUMIF('NEI Lookups'!$L:$L,'Inputs Yr 2'!$F26,'NEI Lookups'!J:J)+SUMIF('NEI Lookups'!$M:$M,'Inputs Yr 2'!$F26,'NEI Lookups'!J:J)+SUMIF('NEI Lookups'!$N:$N,'Inputs Yr 2'!$F26,'NEI Lookups'!J:J)+SUMIF('NEI Lookups'!$O:$O,'Inputs Yr 2'!$F26,'NEI Lookups'!J:J)+SUMIF('NEI Lookups'!$P:$P,'Inputs Yr 2'!$F26,'NEI Lookups'!J:J)+SUMIF('NEI Lookups'!$Q:$Q,'Inputs Yr 2'!$F26,'NEI Lookups'!J:J)+SUMIF('NEI Lookups'!$R:$R,'Inputs Yr 2'!$F26,'NEI Lookups'!J:J)+SUMIF('NEI Lookups'!$S:$S,'Inputs Yr 2'!$F26,'NEI Lookups'!J:J)+SUMIF('NEI Lookups'!$T:$T,'Inputs Yr 2'!$F26,'NEI Lookups'!J:J)</f>
        <v>0</v>
      </c>
      <c r="AY26" s="930">
        <f>'Calculations Yr 2'!CP26/'Calculations Yr 2'!I26</f>
        <v>18.379019132136367</v>
      </c>
    </row>
    <row r="27" spans="1:51" s="8" customFormat="1" ht="12.75" customHeight="1">
      <c r="A27" s="145" t="s">
        <v>32</v>
      </c>
      <c r="B27" s="132" t="s">
        <v>462</v>
      </c>
      <c r="C27" s="132" t="s">
        <v>725</v>
      </c>
      <c r="D27" s="902" t="s">
        <v>1433</v>
      </c>
      <c r="E27" s="150" t="s">
        <v>1306</v>
      </c>
      <c r="F27" s="98" t="s">
        <v>956</v>
      </c>
      <c r="G27" s="145" t="s">
        <v>89</v>
      </c>
      <c r="H27" s="232">
        <v>177</v>
      </c>
      <c r="I27" s="232">
        <v>7</v>
      </c>
      <c r="J27" s="971">
        <v>34.862994350282484</v>
      </c>
      <c r="K27" s="963">
        <v>34.862994350282484</v>
      </c>
      <c r="L27" s="899">
        <f t="shared" si="0"/>
        <v>0</v>
      </c>
      <c r="M27" s="978">
        <v>0</v>
      </c>
      <c r="N27" s="978">
        <v>0</v>
      </c>
      <c r="O27" s="978">
        <v>0</v>
      </c>
      <c r="P27" s="889">
        <f>1-M27+N27+O27</f>
        <v>1</v>
      </c>
      <c r="Q27" s="978">
        <v>1</v>
      </c>
      <c r="R27" s="178">
        <v>1</v>
      </c>
      <c r="S27" s="178">
        <v>1</v>
      </c>
      <c r="T27" s="178">
        <v>1</v>
      </c>
      <c r="U27" s="978">
        <v>1</v>
      </c>
      <c r="V27" s="978">
        <v>1</v>
      </c>
      <c r="W27" s="179"/>
      <c r="X27" s="937" t="s">
        <v>653</v>
      </c>
      <c r="Y27" s="299">
        <f>IFERROR(VLOOKUP($X27,'Demand Lookups'!$A$5:$K$101,9,0), 0)</f>
        <v>0</v>
      </c>
      <c r="Z27" s="922" t="str">
        <f>IFERROR(VLOOKUP(X27,'Demand Lookups'!$A$5:$B$101,2,0),0)</f>
        <v>Non-Electric Measures</v>
      </c>
      <c r="AA27" s="722">
        <f>IF(ISNA(VLOOKUP($X27,'Demand Lookups'!$A$5:$K$81,3,0)),0,VLOOKUP($X27,'Demand Lookups'!$A$5:$K$81,3,0))</f>
        <v>0</v>
      </c>
      <c r="AB27" s="722">
        <f>IF(ISNA(VLOOKUP($X27,'Demand Lookups'!$A$5:$K$81,4,0)),0,VLOOKUP($X27,'Demand Lookups'!$A$5:$K$81,4,0))</f>
        <v>0</v>
      </c>
      <c r="AC27" s="722">
        <f>IF(ISNA(VLOOKUP($X27,'Demand Lookups'!$A$5:$K$81,5,0)),0,VLOOKUP($X27,'Demand Lookups'!$A$5:$K$81,5,0))</f>
        <v>0</v>
      </c>
      <c r="AD27" s="723">
        <f>IF(ISNA(VLOOKUP($X27,'Demand Lookups'!$A$5:$K$81,6,0)),0,VLOOKUP($X27,'Demand Lookups'!$A$5:$K$81,6,0))</f>
        <v>0</v>
      </c>
      <c r="AE27" s="724">
        <f t="shared" si="6"/>
        <v>0</v>
      </c>
      <c r="AF27" s="723">
        <f>ROUND(IF(ISNA(VLOOKUP($X27,'Demand Lookups'!$A$5:$K$82,10,0)),0,(VLOOKUP($X27,'Demand Lookups'!$A$5:$K$82,10,0))),2)</f>
        <v>0</v>
      </c>
      <c r="AG27" s="723">
        <f>ROUND(IF(ISNA(VLOOKUP($X27,'Demand Lookups'!$A$5:$K$82,11,0)),0,VLOOKUP($X27,'Demand Lookups'!$A$5:$K$82,11,0)),2)</f>
        <v>0</v>
      </c>
      <c r="AH27" s="648">
        <f>AF27</f>
        <v>0</v>
      </c>
      <c r="AI27" s="648">
        <f>AF27</f>
        <v>0</v>
      </c>
      <c r="AJ27" s="167" t="s">
        <v>40</v>
      </c>
      <c r="AK27" s="179">
        <v>1.6599999999999997</v>
      </c>
      <c r="AL27" s="167"/>
      <c r="AM27" s="168"/>
      <c r="AN27" s="167"/>
      <c r="AO27" s="168"/>
      <c r="AP27" s="921">
        <v>2723</v>
      </c>
      <c r="AQ27" s="171"/>
      <c r="AR27" s="171"/>
      <c r="AS27" s="299">
        <f>SUMIF('NEI Lookups'!$L:$L,'Inputs Yr 2'!$F27,'NEI Lookups'!E:E)+SUMIF('NEI Lookups'!$M:$M,'Inputs Yr 2'!$F27,'NEI Lookups'!E:E)+SUMIF('NEI Lookups'!$N:$N,'Inputs Yr 2'!$F27,'NEI Lookups'!E:E)+SUMIF('NEI Lookups'!$O:$O,'Inputs Yr 2'!$F27,'NEI Lookups'!E:E)+SUMIF('NEI Lookups'!$P:$P,'Inputs Yr 2'!$F27,'NEI Lookups'!E:E)+SUMIF('NEI Lookups'!$Q:$Q,'Inputs Yr 2'!$F27,'NEI Lookups'!E:E)+SUMIF('NEI Lookups'!$R:$R,'Inputs Yr 2'!$F27,'NEI Lookups'!E:E)+SUMIF('NEI Lookups'!$S:$S,'Inputs Yr 2'!$F27,'NEI Lookups'!E:E)+SUMIF('NEI Lookups'!$T:$T,'Inputs Yr 2'!$F27,'NEI Lookups'!E:E)</f>
        <v>0.58000000000000007</v>
      </c>
      <c r="AT27" s="299">
        <f>SUMIF('NEI Lookups'!$L:$L,'Inputs Yr 2'!$F27,'NEI Lookups'!F:F)+SUMIF('NEI Lookups'!$M:$M,'Inputs Yr 2'!$F27,'NEI Lookups'!F:F)+SUMIF('NEI Lookups'!$N:$N,'Inputs Yr 2'!$F27,'NEI Lookups'!F:F)+SUMIF('NEI Lookups'!$O:$O,'Inputs Yr 2'!$F27,'NEI Lookups'!F:F)+SUMIF('NEI Lookups'!$P:$P,'Inputs Yr 2'!$F27,'NEI Lookups'!F:F)+SUMIF('NEI Lookups'!$Q:$Q,'Inputs Yr 2'!$F27,'NEI Lookups'!F:F)+SUMIF('NEI Lookups'!$R:$R,'Inputs Yr 2'!$F27,'NEI Lookups'!F:F)+SUMIF('NEI Lookups'!$S:$S,'Inputs Yr 2'!$F27,'NEI Lookups'!F:F)+SUMIF('NEI Lookups'!$T:$T,'Inputs Yr 2'!$F27,'NEI Lookups'!F:F)</f>
        <v>0</v>
      </c>
      <c r="AU27" s="299">
        <f>SUMIF('NEI Lookups'!$L:$L,'Inputs Yr 2'!$F27,'NEI Lookups'!G:G)+SUMIF('NEI Lookups'!$M:$M,'Inputs Yr 2'!$F27,'NEI Lookups'!G:G)+SUMIF('NEI Lookups'!$N:$N,'Inputs Yr 2'!$F27,'NEI Lookups'!G:G)+SUMIF('NEI Lookups'!$O:$O,'Inputs Yr 2'!$F27,'NEI Lookups'!G:G)+SUMIF('NEI Lookups'!$P:$P,'Inputs Yr 2'!$F27,'NEI Lookups'!G:G)+SUMIF('NEI Lookups'!$Q:$Q,'Inputs Yr 2'!$F27,'NEI Lookups'!G:G)+SUMIF('NEI Lookups'!$R:$R,'Inputs Yr 2'!$F27,'NEI Lookups'!G:G)+SUMIF('NEI Lookups'!$S:$S,'Inputs Yr 2'!$F27,'NEI Lookups'!G:G)+SUMIF('NEI Lookups'!$T:$T,'Inputs Yr 2'!$F27,'NEI Lookups'!G:G)</f>
        <v>0</v>
      </c>
      <c r="AV27" s="299">
        <f>SUMIF('NEI Lookups'!$L:$L,'Inputs Yr 2'!$F27,'NEI Lookups'!H:H)+SUMIF('NEI Lookups'!$M:$M,'Inputs Yr 2'!$F27,'NEI Lookups'!H:H)+SUMIF('NEI Lookups'!$N:$N,'Inputs Yr 2'!$F27,'NEI Lookups'!H:H)+SUMIF('NEI Lookups'!$O:$O,'Inputs Yr 2'!$F27,'NEI Lookups'!H:H)+SUMIF('NEI Lookups'!$P:$P,'Inputs Yr 2'!$F27,'NEI Lookups'!H:H)+SUMIF('NEI Lookups'!$Q:$Q,'Inputs Yr 2'!$F27,'NEI Lookups'!H:H)+SUMIF('NEI Lookups'!$R:$R,'Inputs Yr 2'!$F27,'NEI Lookups'!H:H)+SUMIF('NEI Lookups'!$S:$S,'Inputs Yr 2'!$F27,'NEI Lookups'!H:H)+SUMIF('NEI Lookups'!$T:$T,'Inputs Yr 2'!$F27,'NEI Lookups'!H:H)</f>
        <v>0</v>
      </c>
      <c r="AW27" s="299">
        <f>SUMIF('NEI Lookups'!$L:$L,'Inputs Yr 2'!$F27,'NEI Lookups'!I:I)+SUMIF('NEI Lookups'!$M:$M,'Inputs Yr 2'!$F27,'NEI Lookups'!I:I)+SUMIF('NEI Lookups'!$N:$N,'Inputs Yr 2'!$F27,'NEI Lookups'!I:I)+SUMIF('NEI Lookups'!$O:$O,'Inputs Yr 2'!$F27,'NEI Lookups'!I:I)+SUMIF('NEI Lookups'!$P:$P,'Inputs Yr 2'!$F27,'NEI Lookups'!I:I)+SUMIF('NEI Lookups'!$Q:$Q,'Inputs Yr 2'!$F27,'NEI Lookups'!I:I)+SUMIF('NEI Lookups'!$R:$R,'Inputs Yr 2'!$F27,'NEI Lookups'!I:I)+SUMIF('NEI Lookups'!$S:$S,'Inputs Yr 2'!$F27,'NEI Lookups'!I:I)+SUMIF('NEI Lookups'!$T:$T,'Inputs Yr 2'!$F27,'NEI Lookups'!I:I)</f>
        <v>0</v>
      </c>
      <c r="AX27" s="299">
        <f>SUMIF('NEI Lookups'!$L:$L,'Inputs Yr 2'!$F27,'NEI Lookups'!J:J)+SUMIF('NEI Lookups'!$M:$M,'Inputs Yr 2'!$F27,'NEI Lookups'!J:J)+SUMIF('NEI Lookups'!$N:$N,'Inputs Yr 2'!$F27,'NEI Lookups'!J:J)+SUMIF('NEI Lookups'!$O:$O,'Inputs Yr 2'!$F27,'NEI Lookups'!J:J)+SUMIF('NEI Lookups'!$P:$P,'Inputs Yr 2'!$F27,'NEI Lookups'!J:J)+SUMIF('NEI Lookups'!$Q:$Q,'Inputs Yr 2'!$F27,'NEI Lookups'!J:J)+SUMIF('NEI Lookups'!$R:$R,'Inputs Yr 2'!$F27,'NEI Lookups'!J:J)+SUMIF('NEI Lookups'!$S:$S,'Inputs Yr 2'!$F27,'NEI Lookups'!J:J)+SUMIF('NEI Lookups'!$T:$T,'Inputs Yr 2'!$F27,'NEI Lookups'!J:J)</f>
        <v>0</v>
      </c>
      <c r="AY27" s="930">
        <f>'Calculations Yr 2'!CP27/'Calculations Yr 2'!I27</f>
        <v>8.9160814126990999</v>
      </c>
    </row>
    <row r="28" spans="1:51" s="8" customFormat="1" ht="12.75" customHeight="1">
      <c r="A28" s="145" t="s">
        <v>32</v>
      </c>
      <c r="B28" s="132" t="s">
        <v>462</v>
      </c>
      <c r="C28" s="132" t="s">
        <v>725</v>
      </c>
      <c r="D28" s="98"/>
      <c r="E28" s="150" t="s">
        <v>1307</v>
      </c>
      <c r="F28" s="98" t="s">
        <v>957</v>
      </c>
      <c r="G28" s="145" t="s">
        <v>89</v>
      </c>
      <c r="H28" s="232">
        <v>0</v>
      </c>
      <c r="I28" s="232">
        <v>0</v>
      </c>
      <c r="J28" s="971"/>
      <c r="K28" s="963"/>
      <c r="L28" s="899">
        <f t="shared" si="0"/>
        <v>0</v>
      </c>
      <c r="M28" s="978">
        <v>0</v>
      </c>
      <c r="N28" s="978">
        <v>0</v>
      </c>
      <c r="O28" s="978">
        <v>0</v>
      </c>
      <c r="P28" s="889">
        <f>1-M28+N28+O28</f>
        <v>1</v>
      </c>
      <c r="Q28" s="978">
        <v>0</v>
      </c>
      <c r="R28" s="178">
        <v>1</v>
      </c>
      <c r="S28" s="178">
        <v>1</v>
      </c>
      <c r="T28" s="178">
        <v>1</v>
      </c>
      <c r="U28" s="978">
        <v>0</v>
      </c>
      <c r="V28" s="978">
        <v>0</v>
      </c>
      <c r="W28" s="179"/>
      <c r="X28" s="937" t="s">
        <v>653</v>
      </c>
      <c r="Y28" s="299">
        <f>IFERROR(VLOOKUP($X28,'Demand Lookups'!$A$5:$K$101,9,0), 0)</f>
        <v>0</v>
      </c>
      <c r="Z28" s="922" t="str">
        <f>IFERROR(VLOOKUP(X28,'Demand Lookups'!$A$5:$B$101,2,0),0)</f>
        <v>Non-Electric Measures</v>
      </c>
      <c r="AA28" s="722">
        <f>IF(ISNA(VLOOKUP($X28,'Demand Lookups'!$A$5:$K$81,3,0)),0,VLOOKUP($X28,'Demand Lookups'!$A$5:$K$81,3,0))</f>
        <v>0</v>
      </c>
      <c r="AB28" s="722">
        <f>IF(ISNA(VLOOKUP($X28,'Demand Lookups'!$A$5:$K$81,4,0)),0,VLOOKUP($X28,'Demand Lookups'!$A$5:$K$81,4,0))</f>
        <v>0</v>
      </c>
      <c r="AC28" s="722">
        <f>IF(ISNA(VLOOKUP($X28,'Demand Lookups'!$A$5:$K$81,5,0)),0,VLOOKUP($X28,'Demand Lookups'!$A$5:$K$81,5,0))</f>
        <v>0</v>
      </c>
      <c r="AD28" s="723">
        <f>IF(ISNA(VLOOKUP($X28,'Demand Lookups'!$A$5:$K$81,6,0)),0,VLOOKUP($X28,'Demand Lookups'!$A$5:$K$81,6,0))</f>
        <v>0</v>
      </c>
      <c r="AE28" s="724">
        <f t="shared" si="6"/>
        <v>0</v>
      </c>
      <c r="AF28" s="723">
        <f>ROUND(IF(ISNA(VLOOKUP($X28,'Demand Lookups'!$A$5:$K$82,10,0)),0,(VLOOKUP($X28,'Demand Lookups'!$A$5:$K$82,10,0))),2)</f>
        <v>0</v>
      </c>
      <c r="AG28" s="723">
        <f>ROUND(IF(ISNA(VLOOKUP($X28,'Demand Lookups'!$A$5:$K$82,11,0)),0,VLOOKUP($X28,'Demand Lookups'!$A$5:$K$82,11,0)),2)</f>
        <v>0</v>
      </c>
      <c r="AH28" s="648">
        <f>AF28</f>
        <v>0</v>
      </c>
      <c r="AI28" s="648">
        <f>AF28</f>
        <v>0</v>
      </c>
      <c r="AJ28" s="167" t="s">
        <v>40</v>
      </c>
      <c r="AK28" s="179">
        <v>0</v>
      </c>
      <c r="AL28" s="167"/>
      <c r="AM28" s="168"/>
      <c r="AN28" s="167"/>
      <c r="AO28" s="168"/>
      <c r="AP28" s="921">
        <v>0</v>
      </c>
      <c r="AQ28" s="171"/>
      <c r="AR28" s="171"/>
      <c r="AS28" s="299">
        <f>SUMIF('NEI Lookups'!$L:$L,'Inputs Yr 2'!$F28,'NEI Lookups'!E:E)+SUMIF('NEI Lookups'!$M:$M,'Inputs Yr 2'!$F28,'NEI Lookups'!E:E)+SUMIF('NEI Lookups'!$N:$N,'Inputs Yr 2'!$F28,'NEI Lookups'!E:E)+SUMIF('NEI Lookups'!$O:$O,'Inputs Yr 2'!$F28,'NEI Lookups'!E:E)+SUMIF('NEI Lookups'!$P:$P,'Inputs Yr 2'!$F28,'NEI Lookups'!E:E)+SUMIF('NEI Lookups'!$Q:$Q,'Inputs Yr 2'!$F28,'NEI Lookups'!E:E)+SUMIF('NEI Lookups'!$R:$R,'Inputs Yr 2'!$F28,'NEI Lookups'!E:E)+SUMIF('NEI Lookups'!$S:$S,'Inputs Yr 2'!$F28,'NEI Lookups'!E:E)+SUMIF('NEI Lookups'!$T:$T,'Inputs Yr 2'!$F28,'NEI Lookups'!E:E)</f>
        <v>0</v>
      </c>
      <c r="AT28" s="299">
        <f>SUMIF('NEI Lookups'!$L:$L,'Inputs Yr 2'!$F28,'NEI Lookups'!F:F)+SUMIF('NEI Lookups'!$M:$M,'Inputs Yr 2'!$F28,'NEI Lookups'!F:F)+SUMIF('NEI Lookups'!$N:$N,'Inputs Yr 2'!$F28,'NEI Lookups'!F:F)+SUMIF('NEI Lookups'!$O:$O,'Inputs Yr 2'!$F28,'NEI Lookups'!F:F)+SUMIF('NEI Lookups'!$P:$P,'Inputs Yr 2'!$F28,'NEI Lookups'!F:F)+SUMIF('NEI Lookups'!$Q:$Q,'Inputs Yr 2'!$F28,'NEI Lookups'!F:F)+SUMIF('NEI Lookups'!$R:$R,'Inputs Yr 2'!$F28,'NEI Lookups'!F:F)+SUMIF('NEI Lookups'!$S:$S,'Inputs Yr 2'!$F28,'NEI Lookups'!F:F)+SUMIF('NEI Lookups'!$T:$T,'Inputs Yr 2'!$F28,'NEI Lookups'!F:F)</f>
        <v>0</v>
      </c>
      <c r="AU28" s="299">
        <f>SUMIF('NEI Lookups'!$L:$L,'Inputs Yr 2'!$F28,'NEI Lookups'!G:G)+SUMIF('NEI Lookups'!$M:$M,'Inputs Yr 2'!$F28,'NEI Lookups'!G:G)+SUMIF('NEI Lookups'!$N:$N,'Inputs Yr 2'!$F28,'NEI Lookups'!G:G)+SUMIF('NEI Lookups'!$O:$O,'Inputs Yr 2'!$F28,'NEI Lookups'!G:G)+SUMIF('NEI Lookups'!$P:$P,'Inputs Yr 2'!$F28,'NEI Lookups'!G:G)+SUMIF('NEI Lookups'!$Q:$Q,'Inputs Yr 2'!$F28,'NEI Lookups'!G:G)+SUMIF('NEI Lookups'!$R:$R,'Inputs Yr 2'!$F28,'NEI Lookups'!G:G)+SUMIF('NEI Lookups'!$S:$S,'Inputs Yr 2'!$F28,'NEI Lookups'!G:G)+SUMIF('NEI Lookups'!$T:$T,'Inputs Yr 2'!$F28,'NEI Lookups'!G:G)</f>
        <v>0</v>
      </c>
      <c r="AV28" s="299">
        <f>SUMIF('NEI Lookups'!$L:$L,'Inputs Yr 2'!$F28,'NEI Lookups'!H:H)+SUMIF('NEI Lookups'!$M:$M,'Inputs Yr 2'!$F28,'NEI Lookups'!H:H)+SUMIF('NEI Lookups'!$N:$N,'Inputs Yr 2'!$F28,'NEI Lookups'!H:H)+SUMIF('NEI Lookups'!$O:$O,'Inputs Yr 2'!$F28,'NEI Lookups'!H:H)+SUMIF('NEI Lookups'!$P:$P,'Inputs Yr 2'!$F28,'NEI Lookups'!H:H)+SUMIF('NEI Lookups'!$Q:$Q,'Inputs Yr 2'!$F28,'NEI Lookups'!H:H)+SUMIF('NEI Lookups'!$R:$R,'Inputs Yr 2'!$F28,'NEI Lookups'!H:H)+SUMIF('NEI Lookups'!$S:$S,'Inputs Yr 2'!$F28,'NEI Lookups'!H:H)+SUMIF('NEI Lookups'!$T:$T,'Inputs Yr 2'!$F28,'NEI Lookups'!H:H)</f>
        <v>0</v>
      </c>
      <c r="AW28" s="299">
        <f>SUMIF('NEI Lookups'!$L:$L,'Inputs Yr 2'!$F28,'NEI Lookups'!I:I)+SUMIF('NEI Lookups'!$M:$M,'Inputs Yr 2'!$F28,'NEI Lookups'!I:I)+SUMIF('NEI Lookups'!$N:$N,'Inputs Yr 2'!$F28,'NEI Lookups'!I:I)+SUMIF('NEI Lookups'!$O:$O,'Inputs Yr 2'!$F28,'NEI Lookups'!I:I)+SUMIF('NEI Lookups'!$P:$P,'Inputs Yr 2'!$F28,'NEI Lookups'!I:I)+SUMIF('NEI Lookups'!$Q:$Q,'Inputs Yr 2'!$F28,'NEI Lookups'!I:I)+SUMIF('NEI Lookups'!$R:$R,'Inputs Yr 2'!$F28,'NEI Lookups'!I:I)+SUMIF('NEI Lookups'!$S:$S,'Inputs Yr 2'!$F28,'NEI Lookups'!I:I)+SUMIF('NEI Lookups'!$T:$T,'Inputs Yr 2'!$F28,'NEI Lookups'!I:I)</f>
        <v>0</v>
      </c>
      <c r="AX28" s="299">
        <f>SUMIF('NEI Lookups'!$L:$L,'Inputs Yr 2'!$F28,'NEI Lookups'!J:J)+SUMIF('NEI Lookups'!$M:$M,'Inputs Yr 2'!$F28,'NEI Lookups'!J:J)+SUMIF('NEI Lookups'!$N:$N,'Inputs Yr 2'!$F28,'NEI Lookups'!J:J)+SUMIF('NEI Lookups'!$O:$O,'Inputs Yr 2'!$F28,'NEI Lookups'!J:J)+SUMIF('NEI Lookups'!$P:$P,'Inputs Yr 2'!$F28,'NEI Lookups'!J:J)+SUMIF('NEI Lookups'!$Q:$Q,'Inputs Yr 2'!$F28,'NEI Lookups'!J:J)+SUMIF('NEI Lookups'!$R:$R,'Inputs Yr 2'!$F28,'NEI Lookups'!J:J)+SUMIF('NEI Lookups'!$S:$S,'Inputs Yr 2'!$F28,'NEI Lookups'!J:J)+SUMIF('NEI Lookups'!$T:$T,'Inputs Yr 2'!$F28,'NEI Lookups'!J:J)</f>
        <v>0</v>
      </c>
      <c r="AY28" s="930" t="e">
        <f>'Calculations Yr 2'!CP28/'Calculations Yr 2'!I28</f>
        <v>#VALUE!</v>
      </c>
    </row>
    <row r="29" spans="1:51" s="8" customFormat="1" ht="12.75" customHeight="1">
      <c r="A29" s="145" t="s">
        <v>32</v>
      </c>
      <c r="B29" s="132" t="s">
        <v>462</v>
      </c>
      <c r="C29" s="132" t="s">
        <v>725</v>
      </c>
      <c r="D29" s="98"/>
      <c r="E29" s="98" t="s">
        <v>1308</v>
      </c>
      <c r="F29" s="98" t="s">
        <v>958</v>
      </c>
      <c r="G29" s="145" t="s">
        <v>89</v>
      </c>
      <c r="H29" s="232">
        <v>0</v>
      </c>
      <c r="I29" s="232">
        <v>0</v>
      </c>
      <c r="J29" s="972"/>
      <c r="K29" s="171"/>
      <c r="L29" s="899">
        <f t="shared" si="0"/>
        <v>0</v>
      </c>
      <c r="M29" s="978">
        <v>0</v>
      </c>
      <c r="N29" s="978">
        <v>0</v>
      </c>
      <c r="O29" s="978">
        <v>0</v>
      </c>
      <c r="P29" s="889">
        <v>1</v>
      </c>
      <c r="Q29" s="978">
        <v>0</v>
      </c>
      <c r="R29" s="178">
        <v>1</v>
      </c>
      <c r="S29" s="178">
        <v>1</v>
      </c>
      <c r="T29" s="178">
        <v>1</v>
      </c>
      <c r="U29" s="978">
        <v>0</v>
      </c>
      <c r="V29" s="978">
        <v>0</v>
      </c>
      <c r="W29" s="179"/>
      <c r="X29" s="937" t="s">
        <v>653</v>
      </c>
      <c r="Y29" s="299">
        <f>IFERROR(VLOOKUP($X29,'Demand Lookups'!$A$5:$K$101,9,0), 0)</f>
        <v>0</v>
      </c>
      <c r="Z29" s="922" t="str">
        <f>IFERROR(VLOOKUP(X29,'Demand Lookups'!$A$5:$B$101,2,0),0)</f>
        <v>Non-Electric Measures</v>
      </c>
      <c r="AA29" s="722">
        <f>IF(ISNA(VLOOKUP($X29,'Demand Lookups'!$A$5:$K$81,3,0)),0,VLOOKUP($X29,'Demand Lookups'!$A$5:$K$81,3,0))</f>
        <v>0</v>
      </c>
      <c r="AB29" s="722">
        <f>IF(ISNA(VLOOKUP($X29,'Demand Lookups'!$A$5:$K$81,4,0)),0,VLOOKUP($X29,'Demand Lookups'!$A$5:$K$81,4,0))</f>
        <v>0</v>
      </c>
      <c r="AC29" s="722">
        <f>IF(ISNA(VLOOKUP($X29,'Demand Lookups'!$A$5:$K$81,5,0)),0,VLOOKUP($X29,'Demand Lookups'!$A$5:$K$81,5,0))</f>
        <v>0</v>
      </c>
      <c r="AD29" s="723">
        <f>IF(ISNA(VLOOKUP($X29,'Demand Lookups'!$A$5:$K$81,6,0)),0,VLOOKUP($X29,'Demand Lookups'!$A$5:$K$81,6,0))</f>
        <v>0</v>
      </c>
      <c r="AE29" s="724">
        <f t="shared" si="6"/>
        <v>0</v>
      </c>
      <c r="AF29" s="723">
        <f>ROUND(IF(ISNA(VLOOKUP($X29,'Demand Lookups'!$A$5:$K$82,10,0)),0,(VLOOKUP($X29,'Demand Lookups'!$A$5:$K$82,10,0))),2)</f>
        <v>0</v>
      </c>
      <c r="AG29" s="723">
        <f>ROUND(IF(ISNA(VLOOKUP($X29,'Demand Lookups'!$A$5:$K$82,11,0)),0,VLOOKUP($X29,'Demand Lookups'!$A$5:$K$82,11,0)),2)</f>
        <v>0</v>
      </c>
      <c r="AH29" s="648">
        <v>0</v>
      </c>
      <c r="AI29" s="648">
        <v>0</v>
      </c>
      <c r="AJ29" s="167" t="s">
        <v>40</v>
      </c>
      <c r="AK29" s="179">
        <v>0</v>
      </c>
      <c r="AL29" s="167"/>
      <c r="AM29" s="168"/>
      <c r="AN29" s="167"/>
      <c r="AO29" s="168"/>
      <c r="AP29" s="921">
        <v>0</v>
      </c>
      <c r="AQ29" s="171"/>
      <c r="AR29" s="171"/>
      <c r="AS29" s="299">
        <f>SUMIF('NEI Lookups'!$L:$L,'Inputs Yr 2'!$F29,'NEI Lookups'!E:E)+SUMIF('NEI Lookups'!$M:$M,'Inputs Yr 2'!$F29,'NEI Lookups'!E:E)+SUMIF('NEI Lookups'!$N:$N,'Inputs Yr 2'!$F29,'NEI Lookups'!E:E)+SUMIF('NEI Lookups'!$O:$O,'Inputs Yr 2'!$F29,'NEI Lookups'!E:E)+SUMIF('NEI Lookups'!$P:$P,'Inputs Yr 2'!$F29,'NEI Lookups'!E:E)+SUMIF('NEI Lookups'!$Q:$Q,'Inputs Yr 2'!$F29,'NEI Lookups'!E:E)+SUMIF('NEI Lookups'!$R:$R,'Inputs Yr 2'!$F29,'NEI Lookups'!E:E)+SUMIF('NEI Lookups'!$S:$S,'Inputs Yr 2'!$F29,'NEI Lookups'!E:E)+SUMIF('NEI Lookups'!$T:$T,'Inputs Yr 2'!$F29,'NEI Lookups'!E:E)</f>
        <v>0</v>
      </c>
      <c r="AT29" s="299">
        <f>SUMIF('NEI Lookups'!$L:$L,'Inputs Yr 2'!$F29,'NEI Lookups'!F:F)+SUMIF('NEI Lookups'!$M:$M,'Inputs Yr 2'!$F29,'NEI Lookups'!F:F)+SUMIF('NEI Lookups'!$N:$N,'Inputs Yr 2'!$F29,'NEI Lookups'!F:F)+SUMIF('NEI Lookups'!$O:$O,'Inputs Yr 2'!$F29,'NEI Lookups'!F:F)+SUMIF('NEI Lookups'!$P:$P,'Inputs Yr 2'!$F29,'NEI Lookups'!F:F)+SUMIF('NEI Lookups'!$Q:$Q,'Inputs Yr 2'!$F29,'NEI Lookups'!F:F)+SUMIF('NEI Lookups'!$R:$R,'Inputs Yr 2'!$F29,'NEI Lookups'!F:F)+SUMIF('NEI Lookups'!$S:$S,'Inputs Yr 2'!$F29,'NEI Lookups'!F:F)+SUMIF('NEI Lookups'!$T:$T,'Inputs Yr 2'!$F29,'NEI Lookups'!F:F)</f>
        <v>0</v>
      </c>
      <c r="AU29" s="299">
        <f>SUMIF('NEI Lookups'!$L:$L,'Inputs Yr 2'!$F29,'NEI Lookups'!G:G)+SUMIF('NEI Lookups'!$M:$M,'Inputs Yr 2'!$F29,'NEI Lookups'!G:G)+SUMIF('NEI Lookups'!$N:$N,'Inputs Yr 2'!$F29,'NEI Lookups'!G:G)+SUMIF('NEI Lookups'!$O:$O,'Inputs Yr 2'!$F29,'NEI Lookups'!G:G)+SUMIF('NEI Lookups'!$P:$P,'Inputs Yr 2'!$F29,'NEI Lookups'!G:G)+SUMIF('NEI Lookups'!$Q:$Q,'Inputs Yr 2'!$F29,'NEI Lookups'!G:G)+SUMIF('NEI Lookups'!$R:$R,'Inputs Yr 2'!$F29,'NEI Lookups'!G:G)+SUMIF('NEI Lookups'!$S:$S,'Inputs Yr 2'!$F29,'NEI Lookups'!G:G)+SUMIF('NEI Lookups'!$T:$T,'Inputs Yr 2'!$F29,'NEI Lookups'!G:G)</f>
        <v>0</v>
      </c>
      <c r="AV29" s="299">
        <f>SUMIF('NEI Lookups'!$L:$L,'Inputs Yr 2'!$F29,'NEI Lookups'!H:H)+SUMIF('NEI Lookups'!$M:$M,'Inputs Yr 2'!$F29,'NEI Lookups'!H:H)+SUMIF('NEI Lookups'!$N:$N,'Inputs Yr 2'!$F29,'NEI Lookups'!H:H)+SUMIF('NEI Lookups'!$O:$O,'Inputs Yr 2'!$F29,'NEI Lookups'!H:H)+SUMIF('NEI Lookups'!$P:$P,'Inputs Yr 2'!$F29,'NEI Lookups'!H:H)+SUMIF('NEI Lookups'!$Q:$Q,'Inputs Yr 2'!$F29,'NEI Lookups'!H:H)+SUMIF('NEI Lookups'!$R:$R,'Inputs Yr 2'!$F29,'NEI Lookups'!H:H)+SUMIF('NEI Lookups'!$S:$S,'Inputs Yr 2'!$F29,'NEI Lookups'!H:H)+SUMIF('NEI Lookups'!$T:$T,'Inputs Yr 2'!$F29,'NEI Lookups'!H:H)</f>
        <v>0</v>
      </c>
      <c r="AW29" s="299">
        <f>SUMIF('NEI Lookups'!$L:$L,'Inputs Yr 2'!$F29,'NEI Lookups'!I:I)+SUMIF('NEI Lookups'!$M:$M,'Inputs Yr 2'!$F29,'NEI Lookups'!I:I)+SUMIF('NEI Lookups'!$N:$N,'Inputs Yr 2'!$F29,'NEI Lookups'!I:I)+SUMIF('NEI Lookups'!$O:$O,'Inputs Yr 2'!$F29,'NEI Lookups'!I:I)+SUMIF('NEI Lookups'!$P:$P,'Inputs Yr 2'!$F29,'NEI Lookups'!I:I)+SUMIF('NEI Lookups'!$Q:$Q,'Inputs Yr 2'!$F29,'NEI Lookups'!I:I)+SUMIF('NEI Lookups'!$R:$R,'Inputs Yr 2'!$F29,'NEI Lookups'!I:I)+SUMIF('NEI Lookups'!$S:$S,'Inputs Yr 2'!$F29,'NEI Lookups'!I:I)+SUMIF('NEI Lookups'!$T:$T,'Inputs Yr 2'!$F29,'NEI Lookups'!I:I)</f>
        <v>0</v>
      </c>
      <c r="AX29" s="299">
        <f>SUMIF('NEI Lookups'!$L:$L,'Inputs Yr 2'!$F29,'NEI Lookups'!J:J)+SUMIF('NEI Lookups'!$M:$M,'Inputs Yr 2'!$F29,'NEI Lookups'!J:J)+SUMIF('NEI Lookups'!$N:$N,'Inputs Yr 2'!$F29,'NEI Lookups'!J:J)+SUMIF('NEI Lookups'!$O:$O,'Inputs Yr 2'!$F29,'NEI Lookups'!J:J)+SUMIF('NEI Lookups'!$P:$P,'Inputs Yr 2'!$F29,'NEI Lookups'!J:J)+SUMIF('NEI Lookups'!$Q:$Q,'Inputs Yr 2'!$F29,'NEI Lookups'!J:J)+SUMIF('NEI Lookups'!$R:$R,'Inputs Yr 2'!$F29,'NEI Lookups'!J:J)+SUMIF('NEI Lookups'!$S:$S,'Inputs Yr 2'!$F29,'NEI Lookups'!J:J)+SUMIF('NEI Lookups'!$T:$T,'Inputs Yr 2'!$F29,'NEI Lookups'!J:J)</f>
        <v>0</v>
      </c>
      <c r="AY29" s="930" t="e">
        <f>'Calculations Yr 2'!CP29/'Calculations Yr 2'!I29</f>
        <v>#VALUE!</v>
      </c>
    </row>
    <row r="30" spans="1:51" s="8" customFormat="1" ht="12.75" customHeight="1">
      <c r="A30" s="145" t="s">
        <v>32</v>
      </c>
      <c r="B30" s="132" t="s">
        <v>462</v>
      </c>
      <c r="C30" s="132" t="s">
        <v>725</v>
      </c>
      <c r="D30" s="902" t="s">
        <v>1434</v>
      </c>
      <c r="E30" s="98" t="s">
        <v>1309</v>
      </c>
      <c r="F30" s="98" t="s">
        <v>959</v>
      </c>
      <c r="G30" s="145" t="s">
        <v>1247</v>
      </c>
      <c r="H30" s="232">
        <v>1042</v>
      </c>
      <c r="I30" s="232">
        <v>10</v>
      </c>
      <c r="J30" s="971">
        <v>95.486324376199619</v>
      </c>
      <c r="K30" s="963">
        <v>95.486324376199619</v>
      </c>
      <c r="L30" s="899">
        <f t="shared" si="0"/>
        <v>0</v>
      </c>
      <c r="M30" s="978">
        <v>0.24</v>
      </c>
      <c r="N30" s="978">
        <v>0</v>
      </c>
      <c r="O30" s="978">
        <v>0</v>
      </c>
      <c r="P30" s="889">
        <f>1-M30+N30+O30</f>
        <v>0.76</v>
      </c>
      <c r="Q30" s="978">
        <v>1</v>
      </c>
      <c r="R30" s="178">
        <v>1</v>
      </c>
      <c r="S30" s="178">
        <v>1</v>
      </c>
      <c r="T30" s="178">
        <v>1</v>
      </c>
      <c r="U30" s="978">
        <v>1</v>
      </c>
      <c r="V30" s="978">
        <v>1</v>
      </c>
      <c r="W30" s="179"/>
      <c r="X30" s="937" t="s">
        <v>653</v>
      </c>
      <c r="Y30" s="299">
        <f>IFERROR(VLOOKUP($X30,'Demand Lookups'!$A$5:$K$101,9,0), 0)</f>
        <v>0</v>
      </c>
      <c r="Z30" s="922" t="str">
        <f>IFERROR(VLOOKUP(X30,'Demand Lookups'!$A$5:$B$101,2,0),0)</f>
        <v>Non-Electric Measures</v>
      </c>
      <c r="AA30" s="722">
        <f>IF(ISNA(VLOOKUP($X30,'Demand Lookups'!$A$5:$K$81,3,0)),0,VLOOKUP($X30,'Demand Lookups'!$A$5:$K$81,3,0))</f>
        <v>0</v>
      </c>
      <c r="AB30" s="722">
        <f>IF(ISNA(VLOOKUP($X30,'Demand Lookups'!$A$5:$K$81,4,0)),0,VLOOKUP($X30,'Demand Lookups'!$A$5:$K$81,4,0))</f>
        <v>0</v>
      </c>
      <c r="AC30" s="722">
        <f>IF(ISNA(VLOOKUP($X30,'Demand Lookups'!$A$5:$K$81,5,0)),0,VLOOKUP($X30,'Demand Lookups'!$A$5:$K$81,5,0))</f>
        <v>0</v>
      </c>
      <c r="AD30" s="723">
        <f>IF(ISNA(VLOOKUP($X30,'Demand Lookups'!$A$5:$K$81,6,0)),0,VLOOKUP($X30,'Demand Lookups'!$A$5:$K$81,6,0))</f>
        <v>0</v>
      </c>
      <c r="AE30" s="724">
        <f t="shared" si="6"/>
        <v>0</v>
      </c>
      <c r="AF30" s="723">
        <f>ROUND(IF(ISNA(VLOOKUP($X30,'Demand Lookups'!$A$5:$K$82,10,0)),0,(VLOOKUP($X30,'Demand Lookups'!$A$5:$K$82,10,0))),2)</f>
        <v>0</v>
      </c>
      <c r="AG30" s="723">
        <f>ROUND(IF(ISNA(VLOOKUP($X30,'Demand Lookups'!$A$5:$K$82,11,0)),0,VLOOKUP($X30,'Demand Lookups'!$A$5:$K$82,11,0)),2)</f>
        <v>0</v>
      </c>
      <c r="AH30" s="648">
        <f>AF30</f>
        <v>0</v>
      </c>
      <c r="AI30" s="648">
        <f>AF30</f>
        <v>0</v>
      </c>
      <c r="AJ30" s="167" t="s">
        <v>404</v>
      </c>
      <c r="AK30" s="179">
        <v>2.2999999999999998</v>
      </c>
      <c r="AL30" s="167"/>
      <c r="AM30" s="168"/>
      <c r="AN30" s="167"/>
      <c r="AO30" s="168"/>
      <c r="AP30" s="921">
        <v>0</v>
      </c>
      <c r="AQ30" s="171"/>
      <c r="AR30" s="171"/>
      <c r="AS30" s="299">
        <f>SUMIF('NEI Lookups'!$L:$L,'Inputs Yr 2'!$F30,'NEI Lookups'!E:E)+SUMIF('NEI Lookups'!$M:$M,'Inputs Yr 2'!$F30,'NEI Lookups'!E:E)+SUMIF('NEI Lookups'!$N:$N,'Inputs Yr 2'!$F30,'NEI Lookups'!E:E)+SUMIF('NEI Lookups'!$O:$O,'Inputs Yr 2'!$F30,'NEI Lookups'!E:E)+SUMIF('NEI Lookups'!$P:$P,'Inputs Yr 2'!$F30,'NEI Lookups'!E:E)+SUMIF('NEI Lookups'!$Q:$Q,'Inputs Yr 2'!$F30,'NEI Lookups'!E:E)+SUMIF('NEI Lookups'!$R:$R,'Inputs Yr 2'!$F30,'NEI Lookups'!E:E)+SUMIF('NEI Lookups'!$S:$S,'Inputs Yr 2'!$F30,'NEI Lookups'!E:E)+SUMIF('NEI Lookups'!$T:$T,'Inputs Yr 2'!$F30,'NEI Lookups'!E:E)</f>
        <v>14.35</v>
      </c>
      <c r="AT30" s="299">
        <f>SUMIF('NEI Lookups'!$L:$L,'Inputs Yr 2'!$F30,'NEI Lookups'!F:F)+SUMIF('NEI Lookups'!$M:$M,'Inputs Yr 2'!$F30,'NEI Lookups'!F:F)+SUMIF('NEI Lookups'!$N:$N,'Inputs Yr 2'!$F30,'NEI Lookups'!F:F)+SUMIF('NEI Lookups'!$O:$O,'Inputs Yr 2'!$F30,'NEI Lookups'!F:F)+SUMIF('NEI Lookups'!$P:$P,'Inputs Yr 2'!$F30,'NEI Lookups'!F:F)+SUMIF('NEI Lookups'!$Q:$Q,'Inputs Yr 2'!$F30,'NEI Lookups'!F:F)+SUMIF('NEI Lookups'!$R:$R,'Inputs Yr 2'!$F30,'NEI Lookups'!F:F)+SUMIF('NEI Lookups'!$S:$S,'Inputs Yr 2'!$F30,'NEI Lookups'!F:F)+SUMIF('NEI Lookups'!$T:$T,'Inputs Yr 2'!$F30,'NEI Lookups'!F:F)</f>
        <v>0</v>
      </c>
      <c r="AU30" s="299">
        <f>SUMIF('NEI Lookups'!$L:$L,'Inputs Yr 2'!$F30,'NEI Lookups'!G:G)+SUMIF('NEI Lookups'!$M:$M,'Inputs Yr 2'!$F30,'NEI Lookups'!G:G)+SUMIF('NEI Lookups'!$N:$N,'Inputs Yr 2'!$F30,'NEI Lookups'!G:G)+SUMIF('NEI Lookups'!$O:$O,'Inputs Yr 2'!$F30,'NEI Lookups'!G:G)+SUMIF('NEI Lookups'!$P:$P,'Inputs Yr 2'!$F30,'NEI Lookups'!G:G)+SUMIF('NEI Lookups'!$Q:$Q,'Inputs Yr 2'!$F30,'NEI Lookups'!G:G)+SUMIF('NEI Lookups'!$R:$R,'Inputs Yr 2'!$F30,'NEI Lookups'!G:G)+SUMIF('NEI Lookups'!$S:$S,'Inputs Yr 2'!$F30,'NEI Lookups'!G:G)+SUMIF('NEI Lookups'!$T:$T,'Inputs Yr 2'!$F30,'NEI Lookups'!G:G)</f>
        <v>0</v>
      </c>
      <c r="AV30" s="299">
        <f>SUMIF('NEI Lookups'!$L:$L,'Inputs Yr 2'!$F30,'NEI Lookups'!H:H)+SUMIF('NEI Lookups'!$M:$M,'Inputs Yr 2'!$F30,'NEI Lookups'!H:H)+SUMIF('NEI Lookups'!$N:$N,'Inputs Yr 2'!$F30,'NEI Lookups'!H:H)+SUMIF('NEI Lookups'!$O:$O,'Inputs Yr 2'!$F30,'NEI Lookups'!H:H)+SUMIF('NEI Lookups'!$P:$P,'Inputs Yr 2'!$F30,'NEI Lookups'!H:H)+SUMIF('NEI Lookups'!$Q:$Q,'Inputs Yr 2'!$F30,'NEI Lookups'!H:H)+SUMIF('NEI Lookups'!$R:$R,'Inputs Yr 2'!$F30,'NEI Lookups'!H:H)+SUMIF('NEI Lookups'!$S:$S,'Inputs Yr 2'!$F30,'NEI Lookups'!H:H)+SUMIF('NEI Lookups'!$T:$T,'Inputs Yr 2'!$F30,'NEI Lookups'!H:H)</f>
        <v>0</v>
      </c>
      <c r="AW30" s="299">
        <f>SUMIF('NEI Lookups'!$L:$L,'Inputs Yr 2'!$F30,'NEI Lookups'!I:I)+SUMIF('NEI Lookups'!$M:$M,'Inputs Yr 2'!$F30,'NEI Lookups'!I:I)+SUMIF('NEI Lookups'!$N:$N,'Inputs Yr 2'!$F30,'NEI Lookups'!I:I)+SUMIF('NEI Lookups'!$O:$O,'Inputs Yr 2'!$F30,'NEI Lookups'!I:I)+SUMIF('NEI Lookups'!$P:$P,'Inputs Yr 2'!$F30,'NEI Lookups'!I:I)+SUMIF('NEI Lookups'!$Q:$Q,'Inputs Yr 2'!$F30,'NEI Lookups'!I:I)+SUMIF('NEI Lookups'!$R:$R,'Inputs Yr 2'!$F30,'NEI Lookups'!I:I)+SUMIF('NEI Lookups'!$S:$S,'Inputs Yr 2'!$F30,'NEI Lookups'!I:I)+SUMIF('NEI Lookups'!$T:$T,'Inputs Yr 2'!$F30,'NEI Lookups'!I:I)</f>
        <v>0</v>
      </c>
      <c r="AX30" s="299">
        <f>SUMIF('NEI Lookups'!$L:$L,'Inputs Yr 2'!$F30,'NEI Lookups'!J:J)+SUMIF('NEI Lookups'!$M:$M,'Inputs Yr 2'!$F30,'NEI Lookups'!J:J)+SUMIF('NEI Lookups'!$N:$N,'Inputs Yr 2'!$F30,'NEI Lookups'!J:J)+SUMIF('NEI Lookups'!$O:$O,'Inputs Yr 2'!$F30,'NEI Lookups'!J:J)+SUMIF('NEI Lookups'!$P:$P,'Inputs Yr 2'!$F30,'NEI Lookups'!J:J)+SUMIF('NEI Lookups'!$Q:$Q,'Inputs Yr 2'!$F30,'NEI Lookups'!J:J)+SUMIF('NEI Lookups'!$R:$R,'Inputs Yr 2'!$F30,'NEI Lookups'!J:J)+SUMIF('NEI Lookups'!$S:$S,'Inputs Yr 2'!$F30,'NEI Lookups'!J:J)+SUMIF('NEI Lookups'!$T:$T,'Inputs Yr 2'!$F30,'NEI Lookups'!J:J)</f>
        <v>0</v>
      </c>
      <c r="AY30" s="930">
        <f>'Calculations Yr 2'!CP30/'Calculations Yr 2'!I30</f>
        <v>3.6653287318341849</v>
      </c>
    </row>
    <row r="31" spans="1:51" s="8" customFormat="1" ht="12.75" customHeight="1">
      <c r="A31" s="145" t="s">
        <v>32</v>
      </c>
      <c r="B31" s="132" t="s">
        <v>462</v>
      </c>
      <c r="C31" s="132" t="s">
        <v>725</v>
      </c>
      <c r="D31" s="98"/>
      <c r="E31" s="98" t="s">
        <v>1310</v>
      </c>
      <c r="F31" s="98" t="s">
        <v>960</v>
      </c>
      <c r="G31" s="145" t="s">
        <v>1247</v>
      </c>
      <c r="H31" s="232">
        <v>0</v>
      </c>
      <c r="I31" s="232">
        <v>0</v>
      </c>
      <c r="J31" s="971"/>
      <c r="K31" s="963"/>
      <c r="L31" s="899">
        <f t="shared" si="0"/>
        <v>0</v>
      </c>
      <c r="M31" s="978">
        <v>0</v>
      </c>
      <c r="N31" s="978">
        <v>0</v>
      </c>
      <c r="O31" s="978">
        <v>0</v>
      </c>
      <c r="P31" s="889">
        <v>0.76</v>
      </c>
      <c r="Q31" s="978">
        <v>0</v>
      </c>
      <c r="R31" s="178">
        <v>1</v>
      </c>
      <c r="S31" s="178">
        <v>1</v>
      </c>
      <c r="T31" s="178">
        <v>1</v>
      </c>
      <c r="U31" s="978">
        <v>0</v>
      </c>
      <c r="V31" s="978">
        <v>0</v>
      </c>
      <c r="W31" s="179"/>
      <c r="X31" s="99" t="s">
        <v>61</v>
      </c>
      <c r="Y31" s="299">
        <f>IFERROR(VLOOKUP($X31,'Demand Lookups'!$A$5:$K$101,9,0), 0)</f>
        <v>2.0660739342383619E-3</v>
      </c>
      <c r="Z31" s="922" t="str">
        <f>IFERROR(VLOOKUP(X31,'Demand Lookups'!$A$5:$B$101,2,0),0)</f>
        <v>Res Multi Family Electric Cooling (BUILDING_AC) Normal</v>
      </c>
      <c r="AA31" s="722">
        <f>IF(ISNA(VLOOKUP($X31,'Demand Lookups'!$A$5:$K$81,3,0)),0,VLOOKUP($X31,'Demand Lookups'!$A$5:$K$81,3,0))</f>
        <v>8.9473960760131505E-3</v>
      </c>
      <c r="AB31" s="722">
        <f>IF(ISNA(VLOOKUP($X31,'Demand Lookups'!$A$5:$K$81,4,0)),0,VLOOKUP($X31,'Demand Lookups'!$A$5:$K$81,4,0))</f>
        <v>4.2581477373051027E-2</v>
      </c>
      <c r="AC31" s="722">
        <f>IF(ISNA(VLOOKUP($X31,'Demand Lookups'!$A$5:$K$81,5,0)),0,VLOOKUP($X31,'Demand Lookups'!$A$5:$K$81,5,0))</f>
        <v>0.52714991710093428</v>
      </c>
      <c r="AD31" s="723">
        <f>IF(ISNA(VLOOKUP($X31,'Demand Lookups'!$A$5:$K$81,6,0)),0,VLOOKUP($X31,'Demand Lookups'!$A$5:$K$81,6,0))</f>
        <v>0.42132120944999413</v>
      </c>
      <c r="AE31" s="724">
        <f t="shared" si="6"/>
        <v>0</v>
      </c>
      <c r="AF31" s="723">
        <f>ROUND(IF(ISNA(VLOOKUP($X31,'Demand Lookups'!$A$5:$K$82,10,0)),0,(VLOOKUP($X31,'Demand Lookups'!$A$5:$K$82,10,0))),2)</f>
        <v>1</v>
      </c>
      <c r="AG31" s="723">
        <f>ROUND(IF(ISNA(VLOOKUP($X31,'Demand Lookups'!$A$5:$K$82,11,0)),0,VLOOKUP($X31,'Demand Lookups'!$A$5:$K$82,11,0)),2)</f>
        <v>0</v>
      </c>
      <c r="AH31" s="648">
        <v>1</v>
      </c>
      <c r="AI31" s="648">
        <v>1</v>
      </c>
      <c r="AJ31" s="167" t="s">
        <v>404</v>
      </c>
      <c r="AK31" s="179">
        <v>0</v>
      </c>
      <c r="AL31" s="167"/>
      <c r="AM31" s="168"/>
      <c r="AN31" s="167"/>
      <c r="AO31" s="168"/>
      <c r="AP31" s="921">
        <v>0</v>
      </c>
      <c r="AQ31" s="171"/>
      <c r="AR31" s="171"/>
      <c r="AS31" s="299">
        <f>SUMIF('NEI Lookups'!$L:$L,'Inputs Yr 2'!$F31,'NEI Lookups'!E:E)+SUMIF('NEI Lookups'!$M:$M,'Inputs Yr 2'!$F31,'NEI Lookups'!E:E)+SUMIF('NEI Lookups'!$N:$N,'Inputs Yr 2'!$F31,'NEI Lookups'!E:E)+SUMIF('NEI Lookups'!$O:$O,'Inputs Yr 2'!$F31,'NEI Lookups'!E:E)+SUMIF('NEI Lookups'!$P:$P,'Inputs Yr 2'!$F31,'NEI Lookups'!E:E)+SUMIF('NEI Lookups'!$Q:$Q,'Inputs Yr 2'!$F31,'NEI Lookups'!E:E)+SUMIF('NEI Lookups'!$R:$R,'Inputs Yr 2'!$F31,'NEI Lookups'!E:E)+SUMIF('NEI Lookups'!$S:$S,'Inputs Yr 2'!$F31,'NEI Lookups'!E:E)+SUMIF('NEI Lookups'!$T:$T,'Inputs Yr 2'!$F31,'NEI Lookups'!E:E)</f>
        <v>14.35</v>
      </c>
      <c r="AT31" s="299">
        <f>SUMIF('NEI Lookups'!$L:$L,'Inputs Yr 2'!$F31,'NEI Lookups'!F:F)+SUMIF('NEI Lookups'!$M:$M,'Inputs Yr 2'!$F31,'NEI Lookups'!F:F)+SUMIF('NEI Lookups'!$N:$N,'Inputs Yr 2'!$F31,'NEI Lookups'!F:F)+SUMIF('NEI Lookups'!$O:$O,'Inputs Yr 2'!$F31,'NEI Lookups'!F:F)+SUMIF('NEI Lookups'!$P:$P,'Inputs Yr 2'!$F31,'NEI Lookups'!F:F)+SUMIF('NEI Lookups'!$Q:$Q,'Inputs Yr 2'!$F31,'NEI Lookups'!F:F)+SUMIF('NEI Lookups'!$R:$R,'Inputs Yr 2'!$F31,'NEI Lookups'!F:F)+SUMIF('NEI Lookups'!$S:$S,'Inputs Yr 2'!$F31,'NEI Lookups'!F:F)+SUMIF('NEI Lookups'!$T:$T,'Inputs Yr 2'!$F31,'NEI Lookups'!F:F)</f>
        <v>0</v>
      </c>
      <c r="AU31" s="299">
        <f>SUMIF('NEI Lookups'!$L:$L,'Inputs Yr 2'!$F31,'NEI Lookups'!G:G)+SUMIF('NEI Lookups'!$M:$M,'Inputs Yr 2'!$F31,'NEI Lookups'!G:G)+SUMIF('NEI Lookups'!$N:$N,'Inputs Yr 2'!$F31,'NEI Lookups'!G:G)+SUMIF('NEI Lookups'!$O:$O,'Inputs Yr 2'!$F31,'NEI Lookups'!G:G)+SUMIF('NEI Lookups'!$P:$P,'Inputs Yr 2'!$F31,'NEI Lookups'!G:G)+SUMIF('NEI Lookups'!$Q:$Q,'Inputs Yr 2'!$F31,'NEI Lookups'!G:G)+SUMIF('NEI Lookups'!$R:$R,'Inputs Yr 2'!$F31,'NEI Lookups'!G:G)+SUMIF('NEI Lookups'!$S:$S,'Inputs Yr 2'!$F31,'NEI Lookups'!G:G)+SUMIF('NEI Lookups'!$T:$T,'Inputs Yr 2'!$F31,'NEI Lookups'!G:G)</f>
        <v>0</v>
      </c>
      <c r="AV31" s="299">
        <f>SUMIF('NEI Lookups'!$L:$L,'Inputs Yr 2'!$F31,'NEI Lookups'!H:H)+SUMIF('NEI Lookups'!$M:$M,'Inputs Yr 2'!$F31,'NEI Lookups'!H:H)+SUMIF('NEI Lookups'!$N:$N,'Inputs Yr 2'!$F31,'NEI Lookups'!H:H)+SUMIF('NEI Lookups'!$O:$O,'Inputs Yr 2'!$F31,'NEI Lookups'!H:H)+SUMIF('NEI Lookups'!$P:$P,'Inputs Yr 2'!$F31,'NEI Lookups'!H:H)+SUMIF('NEI Lookups'!$Q:$Q,'Inputs Yr 2'!$F31,'NEI Lookups'!H:H)+SUMIF('NEI Lookups'!$R:$R,'Inputs Yr 2'!$F31,'NEI Lookups'!H:H)+SUMIF('NEI Lookups'!$S:$S,'Inputs Yr 2'!$F31,'NEI Lookups'!H:H)+SUMIF('NEI Lookups'!$T:$T,'Inputs Yr 2'!$F31,'NEI Lookups'!H:H)</f>
        <v>0</v>
      </c>
      <c r="AW31" s="299">
        <f>SUMIF('NEI Lookups'!$L:$L,'Inputs Yr 2'!$F31,'NEI Lookups'!I:I)+SUMIF('NEI Lookups'!$M:$M,'Inputs Yr 2'!$F31,'NEI Lookups'!I:I)+SUMIF('NEI Lookups'!$N:$N,'Inputs Yr 2'!$F31,'NEI Lookups'!I:I)+SUMIF('NEI Lookups'!$O:$O,'Inputs Yr 2'!$F31,'NEI Lookups'!I:I)+SUMIF('NEI Lookups'!$P:$P,'Inputs Yr 2'!$F31,'NEI Lookups'!I:I)+SUMIF('NEI Lookups'!$Q:$Q,'Inputs Yr 2'!$F31,'NEI Lookups'!I:I)+SUMIF('NEI Lookups'!$R:$R,'Inputs Yr 2'!$F31,'NEI Lookups'!I:I)+SUMIF('NEI Lookups'!$S:$S,'Inputs Yr 2'!$F31,'NEI Lookups'!I:I)+SUMIF('NEI Lookups'!$T:$T,'Inputs Yr 2'!$F31,'NEI Lookups'!I:I)</f>
        <v>0</v>
      </c>
      <c r="AX31" s="299">
        <f>SUMIF('NEI Lookups'!$L:$L,'Inputs Yr 2'!$F31,'NEI Lookups'!J:J)+SUMIF('NEI Lookups'!$M:$M,'Inputs Yr 2'!$F31,'NEI Lookups'!J:J)+SUMIF('NEI Lookups'!$N:$N,'Inputs Yr 2'!$F31,'NEI Lookups'!J:J)+SUMIF('NEI Lookups'!$O:$O,'Inputs Yr 2'!$F31,'NEI Lookups'!J:J)+SUMIF('NEI Lookups'!$P:$P,'Inputs Yr 2'!$F31,'NEI Lookups'!J:J)+SUMIF('NEI Lookups'!$Q:$Q,'Inputs Yr 2'!$F31,'NEI Lookups'!J:J)+SUMIF('NEI Lookups'!$R:$R,'Inputs Yr 2'!$F31,'NEI Lookups'!J:J)+SUMIF('NEI Lookups'!$S:$S,'Inputs Yr 2'!$F31,'NEI Lookups'!J:J)+SUMIF('NEI Lookups'!$T:$T,'Inputs Yr 2'!$F31,'NEI Lookups'!J:J)</f>
        <v>0</v>
      </c>
      <c r="AY31" s="930" t="e">
        <f>'Calculations Yr 2'!CP31/'Calculations Yr 2'!I31</f>
        <v>#VALUE!</v>
      </c>
    </row>
    <row r="32" spans="1:51" s="8" customFormat="1" ht="12.75" customHeight="1">
      <c r="A32" s="145" t="s">
        <v>32</v>
      </c>
      <c r="B32" s="132" t="s">
        <v>462</v>
      </c>
      <c r="C32" s="132" t="s">
        <v>725</v>
      </c>
      <c r="D32" s="98"/>
      <c r="E32" s="98" t="s">
        <v>737</v>
      </c>
      <c r="F32" s="98" t="s">
        <v>961</v>
      </c>
      <c r="G32" s="145" t="s">
        <v>1247</v>
      </c>
      <c r="H32" s="232">
        <v>0</v>
      </c>
      <c r="I32" s="232">
        <v>0</v>
      </c>
      <c r="J32" s="971"/>
      <c r="K32" s="963"/>
      <c r="L32" s="899">
        <f t="shared" si="0"/>
        <v>0</v>
      </c>
      <c r="M32" s="978">
        <v>0</v>
      </c>
      <c r="N32" s="978">
        <v>0</v>
      </c>
      <c r="O32" s="978">
        <v>0</v>
      </c>
      <c r="P32" s="889">
        <v>1</v>
      </c>
      <c r="Q32" s="978">
        <v>0</v>
      </c>
      <c r="R32" s="178">
        <v>1</v>
      </c>
      <c r="S32" s="178">
        <v>1</v>
      </c>
      <c r="T32" s="178">
        <v>1</v>
      </c>
      <c r="U32" s="978">
        <v>0</v>
      </c>
      <c r="V32" s="978">
        <v>0</v>
      </c>
      <c r="W32" s="179"/>
      <c r="X32" s="937" t="s">
        <v>653</v>
      </c>
      <c r="Y32" s="299">
        <f>IFERROR(VLOOKUP($X32,'Demand Lookups'!$A$5:$K$101,9,0), 0)</f>
        <v>0</v>
      </c>
      <c r="Z32" s="922" t="str">
        <f>IFERROR(VLOOKUP(X32,'Demand Lookups'!$A$5:$B$101,2,0),0)</f>
        <v>Non-Electric Measures</v>
      </c>
      <c r="AA32" s="722">
        <f>IF(ISNA(VLOOKUP($X32,'Demand Lookups'!$A$5:$K$81,3,0)),0,VLOOKUP($X32,'Demand Lookups'!$A$5:$K$81,3,0))</f>
        <v>0</v>
      </c>
      <c r="AB32" s="722">
        <f>IF(ISNA(VLOOKUP($X32,'Demand Lookups'!$A$5:$K$81,4,0)),0,VLOOKUP($X32,'Demand Lookups'!$A$5:$K$81,4,0))</f>
        <v>0</v>
      </c>
      <c r="AC32" s="722">
        <f>IF(ISNA(VLOOKUP($X32,'Demand Lookups'!$A$5:$K$81,5,0)),0,VLOOKUP($X32,'Demand Lookups'!$A$5:$K$81,5,0))</f>
        <v>0</v>
      </c>
      <c r="AD32" s="723">
        <f>IF(ISNA(VLOOKUP($X32,'Demand Lookups'!$A$5:$K$81,6,0)),0,VLOOKUP($X32,'Demand Lookups'!$A$5:$K$81,6,0))</f>
        <v>0</v>
      </c>
      <c r="AE32" s="724">
        <f t="shared" si="6"/>
        <v>0</v>
      </c>
      <c r="AF32" s="723">
        <f>ROUND(IF(ISNA(VLOOKUP($X32,'Demand Lookups'!$A$5:$K$82,10,0)),0,(VLOOKUP($X32,'Demand Lookups'!$A$5:$K$82,10,0))),2)</f>
        <v>0</v>
      </c>
      <c r="AG32" s="723">
        <f>ROUND(IF(ISNA(VLOOKUP($X32,'Demand Lookups'!$A$5:$K$82,11,0)),0,VLOOKUP($X32,'Demand Lookups'!$A$5:$K$82,11,0)),2)</f>
        <v>0</v>
      </c>
      <c r="AH32" s="648">
        <v>0</v>
      </c>
      <c r="AI32" s="648">
        <v>0</v>
      </c>
      <c r="AJ32" s="167" t="s">
        <v>404</v>
      </c>
      <c r="AK32" s="179">
        <v>0</v>
      </c>
      <c r="AL32" s="167"/>
      <c r="AM32" s="168"/>
      <c r="AN32" s="167"/>
      <c r="AO32" s="168"/>
      <c r="AP32" s="921">
        <v>0</v>
      </c>
      <c r="AQ32" s="171"/>
      <c r="AR32" s="171"/>
      <c r="AS32" s="299">
        <f>SUMIF('NEI Lookups'!$L:$L,'Inputs Yr 2'!$F32,'NEI Lookups'!E:E)+SUMIF('NEI Lookups'!$M:$M,'Inputs Yr 2'!$F32,'NEI Lookups'!E:E)+SUMIF('NEI Lookups'!$N:$N,'Inputs Yr 2'!$F32,'NEI Lookups'!E:E)+SUMIF('NEI Lookups'!$O:$O,'Inputs Yr 2'!$F32,'NEI Lookups'!E:E)+SUMIF('NEI Lookups'!$P:$P,'Inputs Yr 2'!$F32,'NEI Lookups'!E:E)+SUMIF('NEI Lookups'!$Q:$Q,'Inputs Yr 2'!$F32,'NEI Lookups'!E:E)+SUMIF('NEI Lookups'!$R:$R,'Inputs Yr 2'!$F32,'NEI Lookups'!E:E)+SUMIF('NEI Lookups'!$S:$S,'Inputs Yr 2'!$F32,'NEI Lookups'!E:E)+SUMIF('NEI Lookups'!$T:$T,'Inputs Yr 2'!$F32,'NEI Lookups'!E:E)</f>
        <v>14.35</v>
      </c>
      <c r="AT32" s="299">
        <f>SUMIF('NEI Lookups'!$L:$L,'Inputs Yr 2'!$F32,'NEI Lookups'!F:F)+SUMIF('NEI Lookups'!$M:$M,'Inputs Yr 2'!$F32,'NEI Lookups'!F:F)+SUMIF('NEI Lookups'!$N:$N,'Inputs Yr 2'!$F32,'NEI Lookups'!F:F)+SUMIF('NEI Lookups'!$O:$O,'Inputs Yr 2'!$F32,'NEI Lookups'!F:F)+SUMIF('NEI Lookups'!$P:$P,'Inputs Yr 2'!$F32,'NEI Lookups'!F:F)+SUMIF('NEI Lookups'!$Q:$Q,'Inputs Yr 2'!$F32,'NEI Lookups'!F:F)+SUMIF('NEI Lookups'!$R:$R,'Inputs Yr 2'!$F32,'NEI Lookups'!F:F)+SUMIF('NEI Lookups'!$S:$S,'Inputs Yr 2'!$F32,'NEI Lookups'!F:F)+SUMIF('NEI Lookups'!$T:$T,'Inputs Yr 2'!$F32,'NEI Lookups'!F:F)</f>
        <v>0</v>
      </c>
      <c r="AU32" s="299">
        <f>SUMIF('NEI Lookups'!$L:$L,'Inputs Yr 2'!$F32,'NEI Lookups'!G:G)+SUMIF('NEI Lookups'!$M:$M,'Inputs Yr 2'!$F32,'NEI Lookups'!G:G)+SUMIF('NEI Lookups'!$N:$N,'Inputs Yr 2'!$F32,'NEI Lookups'!G:G)+SUMIF('NEI Lookups'!$O:$O,'Inputs Yr 2'!$F32,'NEI Lookups'!G:G)+SUMIF('NEI Lookups'!$P:$P,'Inputs Yr 2'!$F32,'NEI Lookups'!G:G)+SUMIF('NEI Lookups'!$Q:$Q,'Inputs Yr 2'!$F32,'NEI Lookups'!G:G)+SUMIF('NEI Lookups'!$R:$R,'Inputs Yr 2'!$F32,'NEI Lookups'!G:G)+SUMIF('NEI Lookups'!$S:$S,'Inputs Yr 2'!$F32,'NEI Lookups'!G:G)+SUMIF('NEI Lookups'!$T:$T,'Inputs Yr 2'!$F32,'NEI Lookups'!G:G)</f>
        <v>0</v>
      </c>
      <c r="AV32" s="299">
        <f>SUMIF('NEI Lookups'!$L:$L,'Inputs Yr 2'!$F32,'NEI Lookups'!H:H)+SUMIF('NEI Lookups'!$M:$M,'Inputs Yr 2'!$F32,'NEI Lookups'!H:H)+SUMIF('NEI Lookups'!$N:$N,'Inputs Yr 2'!$F32,'NEI Lookups'!H:H)+SUMIF('NEI Lookups'!$O:$O,'Inputs Yr 2'!$F32,'NEI Lookups'!H:H)+SUMIF('NEI Lookups'!$P:$P,'Inputs Yr 2'!$F32,'NEI Lookups'!H:H)+SUMIF('NEI Lookups'!$Q:$Q,'Inputs Yr 2'!$F32,'NEI Lookups'!H:H)+SUMIF('NEI Lookups'!$R:$R,'Inputs Yr 2'!$F32,'NEI Lookups'!H:H)+SUMIF('NEI Lookups'!$S:$S,'Inputs Yr 2'!$F32,'NEI Lookups'!H:H)+SUMIF('NEI Lookups'!$T:$T,'Inputs Yr 2'!$F32,'NEI Lookups'!H:H)</f>
        <v>0</v>
      </c>
      <c r="AW32" s="299">
        <f>SUMIF('NEI Lookups'!$L:$L,'Inputs Yr 2'!$F32,'NEI Lookups'!I:I)+SUMIF('NEI Lookups'!$M:$M,'Inputs Yr 2'!$F32,'NEI Lookups'!I:I)+SUMIF('NEI Lookups'!$N:$N,'Inputs Yr 2'!$F32,'NEI Lookups'!I:I)+SUMIF('NEI Lookups'!$O:$O,'Inputs Yr 2'!$F32,'NEI Lookups'!I:I)+SUMIF('NEI Lookups'!$P:$P,'Inputs Yr 2'!$F32,'NEI Lookups'!I:I)+SUMIF('NEI Lookups'!$Q:$Q,'Inputs Yr 2'!$F32,'NEI Lookups'!I:I)+SUMIF('NEI Lookups'!$R:$R,'Inputs Yr 2'!$F32,'NEI Lookups'!I:I)+SUMIF('NEI Lookups'!$S:$S,'Inputs Yr 2'!$F32,'NEI Lookups'!I:I)+SUMIF('NEI Lookups'!$T:$T,'Inputs Yr 2'!$F32,'NEI Lookups'!I:I)</f>
        <v>0</v>
      </c>
      <c r="AX32" s="299">
        <f>SUMIF('NEI Lookups'!$L:$L,'Inputs Yr 2'!$F32,'NEI Lookups'!J:J)+SUMIF('NEI Lookups'!$M:$M,'Inputs Yr 2'!$F32,'NEI Lookups'!J:J)+SUMIF('NEI Lookups'!$N:$N,'Inputs Yr 2'!$F32,'NEI Lookups'!J:J)+SUMIF('NEI Lookups'!$O:$O,'Inputs Yr 2'!$F32,'NEI Lookups'!J:J)+SUMIF('NEI Lookups'!$P:$P,'Inputs Yr 2'!$F32,'NEI Lookups'!J:J)+SUMIF('NEI Lookups'!$Q:$Q,'Inputs Yr 2'!$F32,'NEI Lookups'!J:J)+SUMIF('NEI Lookups'!$R:$R,'Inputs Yr 2'!$F32,'NEI Lookups'!J:J)+SUMIF('NEI Lookups'!$S:$S,'Inputs Yr 2'!$F32,'NEI Lookups'!J:J)+SUMIF('NEI Lookups'!$T:$T,'Inputs Yr 2'!$F32,'NEI Lookups'!J:J)</f>
        <v>0</v>
      </c>
      <c r="AY32" s="930" t="e">
        <f>'Calculations Yr 2'!CP32/'Calculations Yr 2'!I32</f>
        <v>#VALUE!</v>
      </c>
    </row>
    <row r="33" spans="1:51" s="8" customFormat="1" ht="12.75" customHeight="1">
      <c r="A33" s="145" t="s">
        <v>32</v>
      </c>
      <c r="B33" s="132" t="s">
        <v>462</v>
      </c>
      <c r="C33" s="132" t="s">
        <v>725</v>
      </c>
      <c r="D33" s="905" t="s">
        <v>1504</v>
      </c>
      <c r="E33" s="150" t="s">
        <v>738</v>
      </c>
      <c r="F33" s="98" t="s">
        <v>962</v>
      </c>
      <c r="G33" s="145" t="s">
        <v>1247</v>
      </c>
      <c r="H33" s="232">
        <v>1</v>
      </c>
      <c r="I33" s="232">
        <v>15</v>
      </c>
      <c r="J33" s="971">
        <v>300</v>
      </c>
      <c r="K33" s="963">
        <v>300</v>
      </c>
      <c r="L33" s="899">
        <f t="shared" si="0"/>
        <v>0</v>
      </c>
      <c r="M33" s="978">
        <v>0</v>
      </c>
      <c r="N33" s="978">
        <v>0</v>
      </c>
      <c r="O33" s="978">
        <v>0</v>
      </c>
      <c r="P33" s="889">
        <v>1</v>
      </c>
      <c r="Q33" s="978">
        <v>1</v>
      </c>
      <c r="R33" s="178">
        <v>1</v>
      </c>
      <c r="S33" s="178">
        <v>1</v>
      </c>
      <c r="T33" s="178">
        <v>1</v>
      </c>
      <c r="U33" s="978">
        <v>1</v>
      </c>
      <c r="V33" s="978">
        <v>1</v>
      </c>
      <c r="W33" s="179">
        <v>74.8</v>
      </c>
      <c r="X33" s="99" t="s">
        <v>61</v>
      </c>
      <c r="Y33" s="299">
        <f>IFERROR(VLOOKUP($X33,'Demand Lookups'!$A$5:$K$101,9,0), 0)</f>
        <v>2.0660739342383619E-3</v>
      </c>
      <c r="Z33" s="922" t="str">
        <f>IFERROR(VLOOKUP(X33,'Demand Lookups'!$A$5:$B$101,2,0),0)</f>
        <v>Res Multi Family Electric Cooling (BUILDING_AC) Normal</v>
      </c>
      <c r="AA33" s="722">
        <f>ROUND(IF(ISNA(VLOOKUP($X33,'Demand Lookups'!$A$5:$K$81,3,0)),0,VLOOKUP($X33,'Demand Lookups'!$A$5:$K$81,3,0)), 2)</f>
        <v>0.01</v>
      </c>
      <c r="AB33" s="722">
        <f>ROUND(IF(ISNA(VLOOKUP($X33,'Demand Lookups'!$A$5:$K$81,4,0)),0,VLOOKUP($X33,'Demand Lookups'!$A$5:$K$81,4,0)), 2)</f>
        <v>0.04</v>
      </c>
      <c r="AC33" s="722">
        <f>ROUND( IF(ISNA(VLOOKUP($X33,'Demand Lookups'!$A$5:$K$81,5,0)),0,VLOOKUP($X33,'Demand Lookups'!$A$5:$K$81,5,0)),2)</f>
        <v>0.53</v>
      </c>
      <c r="AD33" s="723">
        <f>ROUND(IF(ISNA(VLOOKUP($X33,'Demand Lookups'!$A$5:$K$81,6,0)),0,VLOOKUP($X33,'Demand Lookups'!$A$5:$K$81,6,0)), 2)</f>
        <v>0.42</v>
      </c>
      <c r="AE33" s="724">
        <f>ROUND(IF(ISERROR(W33*Y33),"",W33*Y33), 3)</f>
        <v>0.155</v>
      </c>
      <c r="AF33" s="723">
        <f>ROUND(IF(ISNA(VLOOKUP($X33,'Demand Lookups'!$A$5:$K$82,10,0)),0,(VLOOKUP($X33,'Demand Lookups'!$A$5:$K$82,10,0))),2)</f>
        <v>1</v>
      </c>
      <c r="AG33" s="723">
        <f>ROUND(IF(ISNA(VLOOKUP($X33,'Demand Lookups'!$A$5:$K$82,11,0)),0,VLOOKUP($X33,'Demand Lookups'!$A$5:$K$82,11,0)),2)</f>
        <v>0</v>
      </c>
      <c r="AH33" s="648">
        <v>1</v>
      </c>
      <c r="AI33" s="648">
        <v>1</v>
      </c>
      <c r="AJ33" s="167" t="s">
        <v>404</v>
      </c>
      <c r="AK33" s="179">
        <v>4.7</v>
      </c>
      <c r="AL33" s="167"/>
      <c r="AM33" s="168"/>
      <c r="AN33" s="167"/>
      <c r="AO33" s="168"/>
      <c r="AP33" s="921">
        <v>0</v>
      </c>
      <c r="AQ33" s="171"/>
      <c r="AR33" s="171"/>
      <c r="AS33" s="299">
        <f>SUMIF('NEI Lookups'!$L:$L,'Inputs Yr 2'!$F33,'NEI Lookups'!E:E)+SUMIF('NEI Lookups'!$M:$M,'Inputs Yr 2'!$F33,'NEI Lookups'!E:E)+SUMIF('NEI Lookups'!$N:$N,'Inputs Yr 2'!$F33,'NEI Lookups'!E:E)+SUMIF('NEI Lookups'!$O:$O,'Inputs Yr 2'!$F33,'NEI Lookups'!E:E)+SUMIF('NEI Lookups'!$P:$P,'Inputs Yr 2'!$F33,'NEI Lookups'!E:E)+SUMIF('NEI Lookups'!$Q:$Q,'Inputs Yr 2'!$F33,'NEI Lookups'!E:E)+SUMIF('NEI Lookups'!$R:$R,'Inputs Yr 2'!$F33,'NEI Lookups'!E:E)+SUMIF('NEI Lookups'!$S:$S,'Inputs Yr 2'!$F33,'NEI Lookups'!E:E)+SUMIF('NEI Lookups'!$T:$T,'Inputs Yr 2'!$F33,'NEI Lookups'!E:E)</f>
        <v>14.35</v>
      </c>
      <c r="AT33" s="299">
        <f>SUMIF('NEI Lookups'!$L:$L,'Inputs Yr 2'!$F33,'NEI Lookups'!F:F)+SUMIF('NEI Lookups'!$M:$M,'Inputs Yr 2'!$F33,'NEI Lookups'!F:F)+SUMIF('NEI Lookups'!$N:$N,'Inputs Yr 2'!$F33,'NEI Lookups'!F:F)+SUMIF('NEI Lookups'!$O:$O,'Inputs Yr 2'!$F33,'NEI Lookups'!F:F)+SUMIF('NEI Lookups'!$P:$P,'Inputs Yr 2'!$F33,'NEI Lookups'!F:F)+SUMIF('NEI Lookups'!$Q:$Q,'Inputs Yr 2'!$F33,'NEI Lookups'!F:F)+SUMIF('NEI Lookups'!$R:$R,'Inputs Yr 2'!$F33,'NEI Lookups'!F:F)+SUMIF('NEI Lookups'!$S:$S,'Inputs Yr 2'!$F33,'NEI Lookups'!F:F)+SUMIF('NEI Lookups'!$T:$T,'Inputs Yr 2'!$F33,'NEI Lookups'!F:F)</f>
        <v>0</v>
      </c>
      <c r="AU33" s="299">
        <f>SUMIF('NEI Lookups'!$L:$L,'Inputs Yr 2'!$F33,'NEI Lookups'!G:G)+SUMIF('NEI Lookups'!$M:$M,'Inputs Yr 2'!$F33,'NEI Lookups'!G:G)+SUMIF('NEI Lookups'!$N:$N,'Inputs Yr 2'!$F33,'NEI Lookups'!G:G)+SUMIF('NEI Lookups'!$O:$O,'Inputs Yr 2'!$F33,'NEI Lookups'!G:G)+SUMIF('NEI Lookups'!$P:$P,'Inputs Yr 2'!$F33,'NEI Lookups'!G:G)+SUMIF('NEI Lookups'!$Q:$Q,'Inputs Yr 2'!$F33,'NEI Lookups'!G:G)+SUMIF('NEI Lookups'!$R:$R,'Inputs Yr 2'!$F33,'NEI Lookups'!G:G)+SUMIF('NEI Lookups'!$S:$S,'Inputs Yr 2'!$F33,'NEI Lookups'!G:G)+SUMIF('NEI Lookups'!$T:$T,'Inputs Yr 2'!$F33,'NEI Lookups'!G:G)</f>
        <v>0</v>
      </c>
      <c r="AV33" s="299">
        <f>SUMIF('NEI Lookups'!$L:$L,'Inputs Yr 2'!$F33,'NEI Lookups'!H:H)+SUMIF('NEI Lookups'!$M:$M,'Inputs Yr 2'!$F33,'NEI Lookups'!H:H)+SUMIF('NEI Lookups'!$N:$N,'Inputs Yr 2'!$F33,'NEI Lookups'!H:H)+SUMIF('NEI Lookups'!$O:$O,'Inputs Yr 2'!$F33,'NEI Lookups'!H:H)+SUMIF('NEI Lookups'!$P:$P,'Inputs Yr 2'!$F33,'NEI Lookups'!H:H)+SUMIF('NEI Lookups'!$Q:$Q,'Inputs Yr 2'!$F33,'NEI Lookups'!H:H)+SUMIF('NEI Lookups'!$R:$R,'Inputs Yr 2'!$F33,'NEI Lookups'!H:H)+SUMIF('NEI Lookups'!$S:$S,'Inputs Yr 2'!$F33,'NEI Lookups'!H:H)+SUMIF('NEI Lookups'!$T:$T,'Inputs Yr 2'!$F33,'NEI Lookups'!H:H)</f>
        <v>0</v>
      </c>
      <c r="AW33" s="299">
        <f>SUMIF('NEI Lookups'!$L:$L,'Inputs Yr 2'!$F33,'NEI Lookups'!I:I)+SUMIF('NEI Lookups'!$M:$M,'Inputs Yr 2'!$F33,'NEI Lookups'!I:I)+SUMIF('NEI Lookups'!$N:$N,'Inputs Yr 2'!$F33,'NEI Lookups'!I:I)+SUMIF('NEI Lookups'!$O:$O,'Inputs Yr 2'!$F33,'NEI Lookups'!I:I)+SUMIF('NEI Lookups'!$P:$P,'Inputs Yr 2'!$F33,'NEI Lookups'!I:I)+SUMIF('NEI Lookups'!$Q:$Q,'Inputs Yr 2'!$F33,'NEI Lookups'!I:I)+SUMIF('NEI Lookups'!$R:$R,'Inputs Yr 2'!$F33,'NEI Lookups'!I:I)+SUMIF('NEI Lookups'!$S:$S,'Inputs Yr 2'!$F33,'NEI Lookups'!I:I)+SUMIF('NEI Lookups'!$T:$T,'Inputs Yr 2'!$F33,'NEI Lookups'!I:I)</f>
        <v>0</v>
      </c>
      <c r="AX33" s="299">
        <f>SUMIF('NEI Lookups'!$L:$L,'Inputs Yr 2'!$F33,'NEI Lookups'!J:J)+SUMIF('NEI Lookups'!$M:$M,'Inputs Yr 2'!$F33,'NEI Lookups'!J:J)+SUMIF('NEI Lookups'!$N:$N,'Inputs Yr 2'!$F33,'NEI Lookups'!J:J)+SUMIF('NEI Lookups'!$O:$O,'Inputs Yr 2'!$F33,'NEI Lookups'!J:J)+SUMIF('NEI Lookups'!$P:$P,'Inputs Yr 2'!$F33,'NEI Lookups'!J:J)+SUMIF('NEI Lookups'!$Q:$Q,'Inputs Yr 2'!$F33,'NEI Lookups'!J:J)+SUMIF('NEI Lookups'!$R:$R,'Inputs Yr 2'!$F33,'NEI Lookups'!J:J)+SUMIF('NEI Lookups'!$S:$S,'Inputs Yr 2'!$F33,'NEI Lookups'!J:J)+SUMIF('NEI Lookups'!$T:$T,'Inputs Yr 2'!$F33,'NEI Lookups'!J:J)</f>
        <v>0</v>
      </c>
      <c r="AY33" s="930">
        <f>'Calculations Yr 2'!CP33/'Calculations Yr 2'!I33</f>
        <v>5.2568673189075232</v>
      </c>
    </row>
    <row r="34" spans="1:51" s="8" customFormat="1" ht="12.75" customHeight="1">
      <c r="A34" s="145" t="s">
        <v>32</v>
      </c>
      <c r="B34" s="132" t="s">
        <v>462</v>
      </c>
      <c r="C34" s="132" t="s">
        <v>725</v>
      </c>
      <c r="D34" s="98"/>
      <c r="E34" s="98" t="s">
        <v>739</v>
      </c>
      <c r="F34" s="98" t="s">
        <v>963</v>
      </c>
      <c r="G34" s="145" t="s">
        <v>89</v>
      </c>
      <c r="H34" s="232">
        <v>0</v>
      </c>
      <c r="I34" s="232">
        <v>0</v>
      </c>
      <c r="J34" s="971"/>
      <c r="K34" s="963"/>
      <c r="L34" s="899">
        <f t="shared" si="0"/>
        <v>0</v>
      </c>
      <c r="M34" s="978">
        <v>0</v>
      </c>
      <c r="N34" s="978">
        <v>0</v>
      </c>
      <c r="O34" s="978">
        <v>0</v>
      </c>
      <c r="P34" s="889">
        <v>1</v>
      </c>
      <c r="Q34" s="978">
        <v>0</v>
      </c>
      <c r="R34" s="178">
        <v>1</v>
      </c>
      <c r="S34" s="178">
        <v>1</v>
      </c>
      <c r="T34" s="178">
        <v>1</v>
      </c>
      <c r="U34" s="978">
        <v>0</v>
      </c>
      <c r="V34" s="978">
        <v>0</v>
      </c>
      <c r="W34" s="179"/>
      <c r="X34" s="937" t="s">
        <v>653</v>
      </c>
      <c r="Y34" s="299">
        <f>IFERROR(VLOOKUP($X34,'Demand Lookups'!$A$5:$K$101,9,0), 0)</f>
        <v>0</v>
      </c>
      <c r="Z34" s="922" t="str">
        <f>IFERROR(VLOOKUP(X34,'Demand Lookups'!$A$5:$B$101,2,0),0)</f>
        <v>Non-Electric Measures</v>
      </c>
      <c r="AA34" s="722">
        <f>IF(ISNA(VLOOKUP($X34,'Demand Lookups'!$A$5:$K$81,3,0)),0,VLOOKUP($X34,'Demand Lookups'!$A$5:$K$81,3,0))</f>
        <v>0</v>
      </c>
      <c r="AB34" s="722">
        <f>IF(ISNA(VLOOKUP($X34,'Demand Lookups'!$A$5:$K$81,4,0)),0,VLOOKUP($X34,'Demand Lookups'!$A$5:$K$81,4,0))</f>
        <v>0</v>
      </c>
      <c r="AC34" s="722">
        <f>IF(ISNA(VLOOKUP($X34,'Demand Lookups'!$A$5:$K$81,5,0)),0,VLOOKUP($X34,'Demand Lookups'!$A$5:$K$81,5,0))</f>
        <v>0</v>
      </c>
      <c r="AD34" s="723">
        <f>IF(ISNA(VLOOKUP($X34,'Demand Lookups'!$A$5:$K$81,6,0)),0,VLOOKUP($X34,'Demand Lookups'!$A$5:$K$81,6,0))</f>
        <v>0</v>
      </c>
      <c r="AE34" s="724">
        <f t="shared" si="6"/>
        <v>0</v>
      </c>
      <c r="AF34" s="723">
        <f>ROUND(IF(ISNA(VLOOKUP($X34,'Demand Lookups'!$A$5:$K$82,10,0)),0,(VLOOKUP($X34,'Demand Lookups'!$A$5:$K$82,10,0))),2)</f>
        <v>0</v>
      </c>
      <c r="AG34" s="723">
        <f>ROUND(IF(ISNA(VLOOKUP($X34,'Demand Lookups'!$A$5:$K$82,11,0)),0,VLOOKUP($X34,'Demand Lookups'!$A$5:$K$82,11,0)),2)</f>
        <v>0</v>
      </c>
      <c r="AH34" s="648">
        <v>0</v>
      </c>
      <c r="AI34" s="648">
        <v>0</v>
      </c>
      <c r="AJ34" s="167" t="s">
        <v>40</v>
      </c>
      <c r="AK34" s="179">
        <v>0</v>
      </c>
      <c r="AL34" s="167"/>
      <c r="AM34" s="168"/>
      <c r="AN34" s="167"/>
      <c r="AO34" s="168"/>
      <c r="AP34" s="921">
        <v>0</v>
      </c>
      <c r="AQ34" s="171"/>
      <c r="AR34" s="171"/>
      <c r="AS34" s="299">
        <f>SUMIF('NEI Lookups'!$L:$L,'Inputs Yr 2'!$F34,'NEI Lookups'!E:E)+SUMIF('NEI Lookups'!$M:$M,'Inputs Yr 2'!$F34,'NEI Lookups'!E:E)+SUMIF('NEI Lookups'!$N:$N,'Inputs Yr 2'!$F34,'NEI Lookups'!E:E)+SUMIF('NEI Lookups'!$O:$O,'Inputs Yr 2'!$F34,'NEI Lookups'!E:E)+SUMIF('NEI Lookups'!$P:$P,'Inputs Yr 2'!$F34,'NEI Lookups'!E:E)+SUMIF('NEI Lookups'!$Q:$Q,'Inputs Yr 2'!$F34,'NEI Lookups'!E:E)+SUMIF('NEI Lookups'!$R:$R,'Inputs Yr 2'!$F34,'NEI Lookups'!E:E)+SUMIF('NEI Lookups'!$S:$S,'Inputs Yr 2'!$F34,'NEI Lookups'!E:E)+SUMIF('NEI Lookups'!$T:$T,'Inputs Yr 2'!$F34,'NEI Lookups'!E:E)</f>
        <v>0</v>
      </c>
      <c r="AT34" s="299">
        <f>SUMIF('NEI Lookups'!$L:$L,'Inputs Yr 2'!$F34,'NEI Lookups'!F:F)+SUMIF('NEI Lookups'!$M:$M,'Inputs Yr 2'!$F34,'NEI Lookups'!F:F)+SUMIF('NEI Lookups'!$N:$N,'Inputs Yr 2'!$F34,'NEI Lookups'!F:F)+SUMIF('NEI Lookups'!$O:$O,'Inputs Yr 2'!$F34,'NEI Lookups'!F:F)+SUMIF('NEI Lookups'!$P:$P,'Inputs Yr 2'!$F34,'NEI Lookups'!F:F)+SUMIF('NEI Lookups'!$Q:$Q,'Inputs Yr 2'!$F34,'NEI Lookups'!F:F)+SUMIF('NEI Lookups'!$R:$R,'Inputs Yr 2'!$F34,'NEI Lookups'!F:F)+SUMIF('NEI Lookups'!$S:$S,'Inputs Yr 2'!$F34,'NEI Lookups'!F:F)+SUMIF('NEI Lookups'!$T:$T,'Inputs Yr 2'!$F34,'NEI Lookups'!F:F)</f>
        <v>0</v>
      </c>
      <c r="AU34" s="299">
        <f>SUMIF('NEI Lookups'!$L:$L,'Inputs Yr 2'!$F34,'NEI Lookups'!G:G)+SUMIF('NEI Lookups'!$M:$M,'Inputs Yr 2'!$F34,'NEI Lookups'!G:G)+SUMIF('NEI Lookups'!$N:$N,'Inputs Yr 2'!$F34,'NEI Lookups'!G:G)+SUMIF('NEI Lookups'!$O:$O,'Inputs Yr 2'!$F34,'NEI Lookups'!G:G)+SUMIF('NEI Lookups'!$P:$P,'Inputs Yr 2'!$F34,'NEI Lookups'!G:G)+SUMIF('NEI Lookups'!$Q:$Q,'Inputs Yr 2'!$F34,'NEI Lookups'!G:G)+SUMIF('NEI Lookups'!$R:$R,'Inputs Yr 2'!$F34,'NEI Lookups'!G:G)+SUMIF('NEI Lookups'!$S:$S,'Inputs Yr 2'!$F34,'NEI Lookups'!G:G)+SUMIF('NEI Lookups'!$T:$T,'Inputs Yr 2'!$F34,'NEI Lookups'!G:G)</f>
        <v>0</v>
      </c>
      <c r="AV34" s="299">
        <f>SUMIF('NEI Lookups'!$L:$L,'Inputs Yr 2'!$F34,'NEI Lookups'!H:H)+SUMIF('NEI Lookups'!$M:$M,'Inputs Yr 2'!$F34,'NEI Lookups'!H:H)+SUMIF('NEI Lookups'!$N:$N,'Inputs Yr 2'!$F34,'NEI Lookups'!H:H)+SUMIF('NEI Lookups'!$O:$O,'Inputs Yr 2'!$F34,'NEI Lookups'!H:H)+SUMIF('NEI Lookups'!$P:$P,'Inputs Yr 2'!$F34,'NEI Lookups'!H:H)+SUMIF('NEI Lookups'!$Q:$Q,'Inputs Yr 2'!$F34,'NEI Lookups'!H:H)+SUMIF('NEI Lookups'!$R:$R,'Inputs Yr 2'!$F34,'NEI Lookups'!H:H)+SUMIF('NEI Lookups'!$S:$S,'Inputs Yr 2'!$F34,'NEI Lookups'!H:H)+SUMIF('NEI Lookups'!$T:$T,'Inputs Yr 2'!$F34,'NEI Lookups'!H:H)</f>
        <v>0</v>
      </c>
      <c r="AW34" s="299">
        <f>SUMIF('NEI Lookups'!$L:$L,'Inputs Yr 2'!$F34,'NEI Lookups'!I:I)+SUMIF('NEI Lookups'!$M:$M,'Inputs Yr 2'!$F34,'NEI Lookups'!I:I)+SUMIF('NEI Lookups'!$N:$N,'Inputs Yr 2'!$F34,'NEI Lookups'!I:I)+SUMIF('NEI Lookups'!$O:$O,'Inputs Yr 2'!$F34,'NEI Lookups'!I:I)+SUMIF('NEI Lookups'!$P:$P,'Inputs Yr 2'!$F34,'NEI Lookups'!I:I)+SUMIF('NEI Lookups'!$Q:$Q,'Inputs Yr 2'!$F34,'NEI Lookups'!I:I)+SUMIF('NEI Lookups'!$R:$R,'Inputs Yr 2'!$F34,'NEI Lookups'!I:I)+SUMIF('NEI Lookups'!$S:$S,'Inputs Yr 2'!$F34,'NEI Lookups'!I:I)+SUMIF('NEI Lookups'!$T:$T,'Inputs Yr 2'!$F34,'NEI Lookups'!I:I)</f>
        <v>0</v>
      </c>
      <c r="AX34" s="299">
        <f>SUMIF('NEI Lookups'!$L:$L,'Inputs Yr 2'!$F34,'NEI Lookups'!J:J)+SUMIF('NEI Lookups'!$M:$M,'Inputs Yr 2'!$F34,'NEI Lookups'!J:J)+SUMIF('NEI Lookups'!$N:$N,'Inputs Yr 2'!$F34,'NEI Lookups'!J:J)+SUMIF('NEI Lookups'!$O:$O,'Inputs Yr 2'!$F34,'NEI Lookups'!J:J)+SUMIF('NEI Lookups'!$P:$P,'Inputs Yr 2'!$F34,'NEI Lookups'!J:J)+SUMIF('NEI Lookups'!$Q:$Q,'Inputs Yr 2'!$F34,'NEI Lookups'!J:J)+SUMIF('NEI Lookups'!$R:$R,'Inputs Yr 2'!$F34,'NEI Lookups'!J:J)+SUMIF('NEI Lookups'!$S:$S,'Inputs Yr 2'!$F34,'NEI Lookups'!J:J)+SUMIF('NEI Lookups'!$T:$T,'Inputs Yr 2'!$F34,'NEI Lookups'!J:J)</f>
        <v>0</v>
      </c>
      <c r="AY34" s="930" t="e">
        <f>'Calculations Yr 2'!CP34/'Calculations Yr 2'!I34</f>
        <v>#VALUE!</v>
      </c>
    </row>
    <row r="35" spans="1:51" s="133" customFormat="1" ht="12.75" customHeight="1">
      <c r="A35" s="145" t="s">
        <v>32</v>
      </c>
      <c r="B35" s="132" t="s">
        <v>462</v>
      </c>
      <c r="C35" s="132" t="s">
        <v>725</v>
      </c>
      <c r="D35" s="98"/>
      <c r="E35" s="98" t="s">
        <v>1413</v>
      </c>
      <c r="F35" s="98" t="s">
        <v>964</v>
      </c>
      <c r="G35" s="145" t="s">
        <v>459</v>
      </c>
      <c r="H35" s="232">
        <v>0</v>
      </c>
      <c r="I35" s="232">
        <v>0</v>
      </c>
      <c r="J35" s="971"/>
      <c r="K35" s="963"/>
      <c r="L35" s="899">
        <f t="shared" si="0"/>
        <v>0</v>
      </c>
      <c r="M35" s="978">
        <v>0</v>
      </c>
      <c r="N35" s="978">
        <v>0</v>
      </c>
      <c r="O35" s="978">
        <v>0</v>
      </c>
      <c r="P35" s="889">
        <v>0.82000000000000006</v>
      </c>
      <c r="Q35" s="978">
        <v>0</v>
      </c>
      <c r="R35" s="178">
        <v>1</v>
      </c>
      <c r="S35" s="178">
        <v>1</v>
      </c>
      <c r="T35" s="178">
        <v>1</v>
      </c>
      <c r="U35" s="978">
        <v>0</v>
      </c>
      <c r="V35" s="978">
        <v>0</v>
      </c>
      <c r="W35" s="179"/>
      <c r="X35" s="97" t="s">
        <v>539</v>
      </c>
      <c r="Y35" s="299">
        <f>IFERROR(VLOOKUP($X35,'Demand Lookups'!$A$5:$K$101,9,0), 0)</f>
        <v>1.0147133434804667E-3</v>
      </c>
      <c r="Z35" s="922" t="str">
        <f>IFERROR(VLOOKUP(X35,'Demand Lookups'!$A$5:$B$101,2,0),0)</f>
        <v>Res Single Family Electric Lighting- Indoor (All Bulb) - NMR</v>
      </c>
      <c r="AA35" s="722">
        <f>IF(ISNA(VLOOKUP($X35,'Demand Lookups'!$A$5:$K$81,3,0)),0,VLOOKUP($X35,'Demand Lookups'!$A$5:$K$81,3,0))</f>
        <v>0.43</v>
      </c>
      <c r="AB35" s="722">
        <f>IF(ISNA(VLOOKUP($X35,'Demand Lookups'!$A$5:$K$81,4,0)),0,VLOOKUP($X35,'Demand Lookups'!$A$5:$K$81,4,0))</f>
        <v>0.24</v>
      </c>
      <c r="AC35" s="722">
        <f>IF(ISNA(VLOOKUP($X35,'Demand Lookups'!$A$5:$K$81,5,0)),0,VLOOKUP($X35,'Demand Lookups'!$A$5:$K$81,5,0))</f>
        <v>0.21</v>
      </c>
      <c r="AD35" s="723">
        <f>IF(ISNA(VLOOKUP($X35,'Demand Lookups'!$A$5:$K$81,6,0)),0,VLOOKUP($X35,'Demand Lookups'!$A$5:$K$81,6,0))</f>
        <v>0.12</v>
      </c>
      <c r="AE35" s="724">
        <f t="shared" si="6"/>
        <v>0</v>
      </c>
      <c r="AF35" s="723">
        <f>ROUND(IF(ISNA(VLOOKUP($X35,'Demand Lookups'!$A$5:$K$82,10,0)),0,(VLOOKUP($X35,'Demand Lookups'!$A$5:$K$82,10,0))),2)</f>
        <v>0.13</v>
      </c>
      <c r="AG35" s="723">
        <f>ROUND(IF(ISNA(VLOOKUP($X35,'Demand Lookups'!$A$5:$K$82,11,0)),0,VLOOKUP($X35,'Demand Lookups'!$A$5:$K$82,11,0)),2)</f>
        <v>0.16</v>
      </c>
      <c r="AH35" s="648">
        <v>0.13</v>
      </c>
      <c r="AI35" s="648">
        <v>0.13</v>
      </c>
      <c r="AJ35" s="167"/>
      <c r="AK35" s="168">
        <v>0</v>
      </c>
      <c r="AL35" s="167"/>
      <c r="AM35" s="168"/>
      <c r="AN35" s="167"/>
      <c r="AO35" s="168"/>
      <c r="AP35" s="921">
        <v>0</v>
      </c>
      <c r="AQ35" s="171"/>
      <c r="AR35" s="171"/>
      <c r="AS35" s="299">
        <f>SUMIF('NEI Lookups'!$L:$L,'Inputs Yr 2'!$F35,'NEI Lookups'!E:E)+SUMIF('NEI Lookups'!$M:$M,'Inputs Yr 2'!$F35,'NEI Lookups'!E:E)+SUMIF('NEI Lookups'!$N:$N,'Inputs Yr 2'!$F35,'NEI Lookups'!E:E)+SUMIF('NEI Lookups'!$O:$O,'Inputs Yr 2'!$F35,'NEI Lookups'!E:E)+SUMIF('NEI Lookups'!$P:$P,'Inputs Yr 2'!$F35,'NEI Lookups'!E:E)+SUMIF('NEI Lookups'!$Q:$Q,'Inputs Yr 2'!$F35,'NEI Lookups'!E:E)+SUMIF('NEI Lookups'!$R:$R,'Inputs Yr 2'!$F35,'NEI Lookups'!E:E)+SUMIF('NEI Lookups'!$S:$S,'Inputs Yr 2'!$F35,'NEI Lookups'!E:E)+SUMIF('NEI Lookups'!$T:$T,'Inputs Yr 2'!$F35,'NEI Lookups'!E:E)</f>
        <v>0</v>
      </c>
      <c r="AT35" s="299">
        <f>SUMIF('NEI Lookups'!$L:$L,'Inputs Yr 2'!$F35,'NEI Lookups'!F:F)+SUMIF('NEI Lookups'!$M:$M,'Inputs Yr 2'!$F35,'NEI Lookups'!F:F)+SUMIF('NEI Lookups'!$N:$N,'Inputs Yr 2'!$F35,'NEI Lookups'!F:F)+SUMIF('NEI Lookups'!$O:$O,'Inputs Yr 2'!$F35,'NEI Lookups'!F:F)+SUMIF('NEI Lookups'!$P:$P,'Inputs Yr 2'!$F35,'NEI Lookups'!F:F)+SUMIF('NEI Lookups'!$Q:$Q,'Inputs Yr 2'!$F35,'NEI Lookups'!F:F)+SUMIF('NEI Lookups'!$R:$R,'Inputs Yr 2'!$F35,'NEI Lookups'!F:F)+SUMIF('NEI Lookups'!$S:$S,'Inputs Yr 2'!$F35,'NEI Lookups'!F:F)+SUMIF('NEI Lookups'!$T:$T,'Inputs Yr 2'!$F35,'NEI Lookups'!F:F)</f>
        <v>3</v>
      </c>
      <c r="AU35" s="299">
        <f>SUMIF('NEI Lookups'!$L:$L,'Inputs Yr 2'!$F35,'NEI Lookups'!G:G)+SUMIF('NEI Lookups'!$M:$M,'Inputs Yr 2'!$F35,'NEI Lookups'!G:G)+SUMIF('NEI Lookups'!$N:$N,'Inputs Yr 2'!$F35,'NEI Lookups'!G:G)+SUMIF('NEI Lookups'!$O:$O,'Inputs Yr 2'!$F35,'NEI Lookups'!G:G)+SUMIF('NEI Lookups'!$P:$P,'Inputs Yr 2'!$F35,'NEI Lookups'!G:G)+SUMIF('NEI Lookups'!$Q:$Q,'Inputs Yr 2'!$F35,'NEI Lookups'!G:G)+SUMIF('NEI Lookups'!$R:$R,'Inputs Yr 2'!$F35,'NEI Lookups'!G:G)+SUMIF('NEI Lookups'!$S:$S,'Inputs Yr 2'!$F35,'NEI Lookups'!G:G)+SUMIF('NEI Lookups'!$T:$T,'Inputs Yr 2'!$F35,'NEI Lookups'!G:G)</f>
        <v>0</v>
      </c>
      <c r="AV35" s="299">
        <f>SUMIF('NEI Lookups'!$L:$L,'Inputs Yr 2'!$F35,'NEI Lookups'!H:H)+SUMIF('NEI Lookups'!$M:$M,'Inputs Yr 2'!$F35,'NEI Lookups'!H:H)+SUMIF('NEI Lookups'!$N:$N,'Inputs Yr 2'!$F35,'NEI Lookups'!H:H)+SUMIF('NEI Lookups'!$O:$O,'Inputs Yr 2'!$F35,'NEI Lookups'!H:H)+SUMIF('NEI Lookups'!$P:$P,'Inputs Yr 2'!$F35,'NEI Lookups'!H:H)+SUMIF('NEI Lookups'!$Q:$Q,'Inputs Yr 2'!$F35,'NEI Lookups'!H:H)+SUMIF('NEI Lookups'!$R:$R,'Inputs Yr 2'!$F35,'NEI Lookups'!H:H)+SUMIF('NEI Lookups'!$S:$S,'Inputs Yr 2'!$F35,'NEI Lookups'!H:H)+SUMIF('NEI Lookups'!$T:$T,'Inputs Yr 2'!$F35,'NEI Lookups'!H:H)</f>
        <v>0</v>
      </c>
      <c r="AW35" s="299">
        <f>SUMIF('NEI Lookups'!$L:$L,'Inputs Yr 2'!$F35,'NEI Lookups'!I:I)+SUMIF('NEI Lookups'!$M:$M,'Inputs Yr 2'!$F35,'NEI Lookups'!I:I)+SUMIF('NEI Lookups'!$N:$N,'Inputs Yr 2'!$F35,'NEI Lookups'!I:I)+SUMIF('NEI Lookups'!$O:$O,'Inputs Yr 2'!$F35,'NEI Lookups'!I:I)+SUMIF('NEI Lookups'!$P:$P,'Inputs Yr 2'!$F35,'NEI Lookups'!I:I)+SUMIF('NEI Lookups'!$Q:$Q,'Inputs Yr 2'!$F35,'NEI Lookups'!I:I)+SUMIF('NEI Lookups'!$R:$R,'Inputs Yr 2'!$F35,'NEI Lookups'!I:I)+SUMIF('NEI Lookups'!$S:$S,'Inputs Yr 2'!$F35,'NEI Lookups'!I:I)+SUMIF('NEI Lookups'!$T:$T,'Inputs Yr 2'!$F35,'NEI Lookups'!I:I)</f>
        <v>0</v>
      </c>
      <c r="AX35" s="299">
        <f>SUMIF('NEI Lookups'!$L:$L,'Inputs Yr 2'!$F35,'NEI Lookups'!J:J)+SUMIF('NEI Lookups'!$M:$M,'Inputs Yr 2'!$F35,'NEI Lookups'!J:J)+SUMIF('NEI Lookups'!$N:$N,'Inputs Yr 2'!$F35,'NEI Lookups'!J:J)+SUMIF('NEI Lookups'!$O:$O,'Inputs Yr 2'!$F35,'NEI Lookups'!J:J)+SUMIF('NEI Lookups'!$P:$P,'Inputs Yr 2'!$F35,'NEI Lookups'!J:J)+SUMIF('NEI Lookups'!$Q:$Q,'Inputs Yr 2'!$F35,'NEI Lookups'!J:J)+SUMIF('NEI Lookups'!$R:$R,'Inputs Yr 2'!$F35,'NEI Lookups'!J:J)+SUMIF('NEI Lookups'!$S:$S,'Inputs Yr 2'!$F35,'NEI Lookups'!J:J)+SUMIF('NEI Lookups'!$T:$T,'Inputs Yr 2'!$F35,'NEI Lookups'!J:J)</f>
        <v>0</v>
      </c>
      <c r="AY35" s="930" t="e">
        <f>'Calculations Yr 2'!CP35/'Calculations Yr 2'!I35</f>
        <v>#VALUE!</v>
      </c>
    </row>
    <row r="36" spans="1:51" s="133" customFormat="1" ht="12.75" customHeight="1">
      <c r="A36" s="145" t="s">
        <v>32</v>
      </c>
      <c r="B36" s="132" t="s">
        <v>462</v>
      </c>
      <c r="C36" s="132" t="s">
        <v>725</v>
      </c>
      <c r="D36" s="98"/>
      <c r="E36" s="98" t="s">
        <v>414</v>
      </c>
      <c r="F36" s="98" t="s">
        <v>1398</v>
      </c>
      <c r="G36" s="145" t="s">
        <v>459</v>
      </c>
      <c r="H36" s="232">
        <v>0</v>
      </c>
      <c r="I36" s="232">
        <v>0</v>
      </c>
      <c r="J36" s="964"/>
      <c r="K36" s="166"/>
      <c r="L36" s="888">
        <f t="shared" si="0"/>
        <v>0</v>
      </c>
      <c r="M36" s="978">
        <v>0</v>
      </c>
      <c r="N36" s="978">
        <v>0</v>
      </c>
      <c r="O36" s="978">
        <v>0</v>
      </c>
      <c r="P36" s="889">
        <v>0.82000000000000006</v>
      </c>
      <c r="Q36" s="978">
        <v>0</v>
      </c>
      <c r="R36" s="178">
        <v>1</v>
      </c>
      <c r="S36" s="178">
        <v>1</v>
      </c>
      <c r="T36" s="178">
        <v>1</v>
      </c>
      <c r="U36" s="978">
        <v>0</v>
      </c>
      <c r="V36" s="978">
        <v>0</v>
      </c>
      <c r="W36" s="179"/>
      <c r="X36" s="97" t="s">
        <v>539</v>
      </c>
      <c r="Y36" s="299">
        <f>IFERROR(VLOOKUP($X36,'Demand Lookups'!$A$5:$K$101,9,0), 0)</f>
        <v>1.0147133434804667E-3</v>
      </c>
      <c r="Z36" s="922" t="str">
        <f>IFERROR(VLOOKUP(X36,'Demand Lookups'!$A$5:$B$101,2,0),0)</f>
        <v>Res Single Family Electric Lighting- Indoor (All Bulb) - NMR</v>
      </c>
      <c r="AA36" s="722">
        <f>IF(ISNA(VLOOKUP($X36,'Demand Lookups'!$A$5:$K$81,3,0)),0,VLOOKUP($X36,'Demand Lookups'!$A$5:$K$81,3,0))</f>
        <v>0.43</v>
      </c>
      <c r="AB36" s="722">
        <f>IF(ISNA(VLOOKUP($X36,'Demand Lookups'!$A$5:$K$81,4,0)),0,VLOOKUP($X36,'Demand Lookups'!$A$5:$K$81,4,0))</f>
        <v>0.24</v>
      </c>
      <c r="AC36" s="722">
        <f>IF(ISNA(VLOOKUP($X36,'Demand Lookups'!$A$5:$K$81,5,0)),0,VLOOKUP($X36,'Demand Lookups'!$A$5:$K$81,5,0))</f>
        <v>0.21</v>
      </c>
      <c r="AD36" s="723">
        <f>IF(ISNA(VLOOKUP($X36,'Demand Lookups'!$A$5:$K$81,6,0)),0,VLOOKUP($X36,'Demand Lookups'!$A$5:$K$81,6,0))</f>
        <v>0.12</v>
      </c>
      <c r="AE36" s="724">
        <f t="shared" si="6"/>
        <v>0</v>
      </c>
      <c r="AF36" s="723">
        <f>ROUND(IF(ISNA(VLOOKUP($X36,'Demand Lookups'!$A$5:$K$82,10,0)),0,(VLOOKUP($X36,'Demand Lookups'!$A$5:$K$82,10,0))),2)</f>
        <v>0.13</v>
      </c>
      <c r="AG36" s="723">
        <f>ROUND(IF(ISNA(VLOOKUP($X36,'Demand Lookups'!$A$5:$K$82,11,0)),0,VLOOKUP($X36,'Demand Lookups'!$A$5:$K$82,11,0)),2)</f>
        <v>0.16</v>
      </c>
      <c r="AH36" s="648">
        <v>0.13</v>
      </c>
      <c r="AI36" s="648">
        <v>0.13</v>
      </c>
      <c r="AJ36" s="167"/>
      <c r="AK36" s="168">
        <v>0</v>
      </c>
      <c r="AL36" s="167"/>
      <c r="AM36" s="168"/>
      <c r="AN36" s="167"/>
      <c r="AO36" s="168"/>
      <c r="AP36" s="921">
        <v>0</v>
      </c>
      <c r="AQ36" s="654"/>
      <c r="AR36" s="171"/>
      <c r="AS36" s="299">
        <f>SUMIF('NEI Lookups'!$L:$L,'Inputs Yr 2'!$F36,'NEI Lookups'!E:E)+SUMIF('NEI Lookups'!$M:$M,'Inputs Yr 2'!$F36,'NEI Lookups'!E:E)+SUMIF('NEI Lookups'!$N:$N,'Inputs Yr 2'!$F36,'NEI Lookups'!E:E)+SUMIF('NEI Lookups'!$O:$O,'Inputs Yr 2'!$F36,'NEI Lookups'!E:E)+SUMIF('NEI Lookups'!$P:$P,'Inputs Yr 2'!$F36,'NEI Lookups'!E:E)+SUMIF('NEI Lookups'!$Q:$Q,'Inputs Yr 2'!$F36,'NEI Lookups'!E:E)+SUMIF('NEI Lookups'!$R:$R,'Inputs Yr 2'!$F36,'NEI Lookups'!E:E)+SUMIF('NEI Lookups'!$S:$S,'Inputs Yr 2'!$F36,'NEI Lookups'!E:E)+SUMIF('NEI Lookups'!$T:$T,'Inputs Yr 2'!$F36,'NEI Lookups'!E:E)</f>
        <v>0</v>
      </c>
      <c r="AT36" s="299">
        <f>SUMIF('NEI Lookups'!$L:$L,'Inputs Yr 2'!$F36,'NEI Lookups'!F:F)+SUMIF('NEI Lookups'!$M:$M,'Inputs Yr 2'!$F36,'NEI Lookups'!F:F)+SUMIF('NEI Lookups'!$N:$N,'Inputs Yr 2'!$F36,'NEI Lookups'!F:F)+SUMIF('NEI Lookups'!$O:$O,'Inputs Yr 2'!$F36,'NEI Lookups'!F:F)+SUMIF('NEI Lookups'!$P:$P,'Inputs Yr 2'!$F36,'NEI Lookups'!F:F)+SUMIF('NEI Lookups'!$Q:$Q,'Inputs Yr 2'!$F36,'NEI Lookups'!F:F)+SUMIF('NEI Lookups'!$R:$R,'Inputs Yr 2'!$F36,'NEI Lookups'!F:F)+SUMIF('NEI Lookups'!$S:$S,'Inputs Yr 2'!$F36,'NEI Lookups'!F:F)+SUMIF('NEI Lookups'!$T:$T,'Inputs Yr 2'!$F36,'NEI Lookups'!F:F)</f>
        <v>3</v>
      </c>
      <c r="AU36" s="299">
        <f>SUMIF('NEI Lookups'!$L:$L,'Inputs Yr 2'!$F36,'NEI Lookups'!G:G)+SUMIF('NEI Lookups'!$M:$M,'Inputs Yr 2'!$F36,'NEI Lookups'!G:G)+SUMIF('NEI Lookups'!$N:$N,'Inputs Yr 2'!$F36,'NEI Lookups'!G:G)+SUMIF('NEI Lookups'!$O:$O,'Inputs Yr 2'!$F36,'NEI Lookups'!G:G)+SUMIF('NEI Lookups'!$P:$P,'Inputs Yr 2'!$F36,'NEI Lookups'!G:G)+SUMIF('NEI Lookups'!$Q:$Q,'Inputs Yr 2'!$F36,'NEI Lookups'!G:G)+SUMIF('NEI Lookups'!$R:$R,'Inputs Yr 2'!$F36,'NEI Lookups'!G:G)+SUMIF('NEI Lookups'!$S:$S,'Inputs Yr 2'!$F36,'NEI Lookups'!G:G)+SUMIF('NEI Lookups'!$T:$T,'Inputs Yr 2'!$F36,'NEI Lookups'!G:G)</f>
        <v>0</v>
      </c>
      <c r="AV36" s="299">
        <f>SUMIF('NEI Lookups'!$L:$L,'Inputs Yr 2'!$F36,'NEI Lookups'!H:H)+SUMIF('NEI Lookups'!$M:$M,'Inputs Yr 2'!$F36,'NEI Lookups'!H:H)+SUMIF('NEI Lookups'!$N:$N,'Inputs Yr 2'!$F36,'NEI Lookups'!H:H)+SUMIF('NEI Lookups'!$O:$O,'Inputs Yr 2'!$F36,'NEI Lookups'!H:H)+SUMIF('NEI Lookups'!$P:$P,'Inputs Yr 2'!$F36,'NEI Lookups'!H:H)+SUMIF('NEI Lookups'!$Q:$Q,'Inputs Yr 2'!$F36,'NEI Lookups'!H:H)+SUMIF('NEI Lookups'!$R:$R,'Inputs Yr 2'!$F36,'NEI Lookups'!H:H)+SUMIF('NEI Lookups'!$S:$S,'Inputs Yr 2'!$F36,'NEI Lookups'!H:H)+SUMIF('NEI Lookups'!$T:$T,'Inputs Yr 2'!$F36,'NEI Lookups'!H:H)</f>
        <v>0</v>
      </c>
      <c r="AW36" s="299">
        <f>SUMIF('NEI Lookups'!$L:$L,'Inputs Yr 2'!$F36,'NEI Lookups'!I:I)+SUMIF('NEI Lookups'!$M:$M,'Inputs Yr 2'!$F36,'NEI Lookups'!I:I)+SUMIF('NEI Lookups'!$N:$N,'Inputs Yr 2'!$F36,'NEI Lookups'!I:I)+SUMIF('NEI Lookups'!$O:$O,'Inputs Yr 2'!$F36,'NEI Lookups'!I:I)+SUMIF('NEI Lookups'!$P:$P,'Inputs Yr 2'!$F36,'NEI Lookups'!I:I)+SUMIF('NEI Lookups'!$Q:$Q,'Inputs Yr 2'!$F36,'NEI Lookups'!I:I)+SUMIF('NEI Lookups'!$R:$R,'Inputs Yr 2'!$F36,'NEI Lookups'!I:I)+SUMIF('NEI Lookups'!$S:$S,'Inputs Yr 2'!$F36,'NEI Lookups'!I:I)+SUMIF('NEI Lookups'!$T:$T,'Inputs Yr 2'!$F36,'NEI Lookups'!I:I)</f>
        <v>0</v>
      </c>
      <c r="AX36" s="299">
        <f>SUMIF('NEI Lookups'!$L:$L,'Inputs Yr 2'!$F36,'NEI Lookups'!J:J)+SUMIF('NEI Lookups'!$M:$M,'Inputs Yr 2'!$F36,'NEI Lookups'!J:J)+SUMIF('NEI Lookups'!$N:$N,'Inputs Yr 2'!$F36,'NEI Lookups'!J:J)+SUMIF('NEI Lookups'!$O:$O,'Inputs Yr 2'!$F36,'NEI Lookups'!J:J)+SUMIF('NEI Lookups'!$P:$P,'Inputs Yr 2'!$F36,'NEI Lookups'!J:J)+SUMIF('NEI Lookups'!$Q:$Q,'Inputs Yr 2'!$F36,'NEI Lookups'!J:J)+SUMIF('NEI Lookups'!$R:$R,'Inputs Yr 2'!$F36,'NEI Lookups'!J:J)+SUMIF('NEI Lookups'!$S:$S,'Inputs Yr 2'!$F36,'NEI Lookups'!J:J)+SUMIF('NEI Lookups'!$T:$T,'Inputs Yr 2'!$F36,'NEI Lookups'!J:J)</f>
        <v>0</v>
      </c>
      <c r="AY36" s="930" t="e">
        <f>'Calculations Yr 2'!CP36/'Calculations Yr 2'!I36</f>
        <v>#VALUE!</v>
      </c>
    </row>
    <row r="37" spans="1:51" s="133" customFormat="1" ht="12.75" customHeight="1">
      <c r="A37" s="145" t="s">
        <v>32</v>
      </c>
      <c r="B37" s="132" t="s">
        <v>462</v>
      </c>
      <c r="C37" s="132" t="s">
        <v>725</v>
      </c>
      <c r="D37" s="904" t="s">
        <v>1435</v>
      </c>
      <c r="E37" s="133" t="s">
        <v>1267</v>
      </c>
      <c r="F37" s="98" t="s">
        <v>1331</v>
      </c>
      <c r="G37" s="145" t="s">
        <v>1247</v>
      </c>
      <c r="H37" s="232">
        <v>1</v>
      </c>
      <c r="I37" s="232">
        <v>15</v>
      </c>
      <c r="J37" s="964">
        <v>6000</v>
      </c>
      <c r="K37" s="166">
        <v>4500</v>
      </c>
      <c r="L37" s="888">
        <f t="shared" si="0"/>
        <v>1500</v>
      </c>
      <c r="M37" s="978">
        <v>0</v>
      </c>
      <c r="N37" s="978">
        <v>0</v>
      </c>
      <c r="O37" s="978">
        <v>0</v>
      </c>
      <c r="P37" s="889">
        <v>1</v>
      </c>
      <c r="Q37" s="978">
        <v>1</v>
      </c>
      <c r="R37" s="178">
        <v>1</v>
      </c>
      <c r="S37" s="178">
        <v>1</v>
      </c>
      <c r="T37" s="178">
        <v>1</v>
      </c>
      <c r="U37" s="978">
        <v>0.86199999999999999</v>
      </c>
      <c r="V37" s="978">
        <v>1</v>
      </c>
      <c r="W37" s="890"/>
      <c r="X37" s="937" t="s">
        <v>653</v>
      </c>
      <c r="Y37" s="299">
        <f>IFERROR(VLOOKUP($X37,'Demand Lookups'!$A$5:$K$101,9,0), 0)</f>
        <v>0</v>
      </c>
      <c r="Z37" s="922" t="str">
        <f>IFERROR(VLOOKUP(X37,'Demand Lookups'!$A$5:$B$101,2,0),0)</f>
        <v>Non-Electric Measures</v>
      </c>
      <c r="AA37" s="722">
        <f>IF(ISNA(VLOOKUP($X37,'Demand Lookups'!$A$5:$K$81,3,0)),0,VLOOKUP($X37,'Demand Lookups'!$A$5:$K$81,3,0))</f>
        <v>0</v>
      </c>
      <c r="AB37" s="722">
        <f>IF(ISNA(VLOOKUP($X37,'Demand Lookups'!$A$5:$K$81,4,0)),0,VLOOKUP($X37,'Demand Lookups'!$A$5:$K$81,4,0))</f>
        <v>0</v>
      </c>
      <c r="AC37" s="722">
        <f>IF(ISNA(VLOOKUP($X37,'Demand Lookups'!$A$5:$K$81,5,0)),0,VLOOKUP($X37,'Demand Lookups'!$A$5:$K$81,5,0))</f>
        <v>0</v>
      </c>
      <c r="AD37" s="723">
        <f>IF(ISNA(VLOOKUP($X37,'Demand Lookups'!$A$5:$K$81,6,0)),0,VLOOKUP($X37,'Demand Lookups'!$A$5:$K$81,6,0))</f>
        <v>0</v>
      </c>
      <c r="AE37" s="724">
        <f t="shared" si="6"/>
        <v>0</v>
      </c>
      <c r="AF37" s="723">
        <f>ROUND(IF(ISNA(VLOOKUP($X37,'Demand Lookups'!$A$5:$K$82,10,0)),0,(VLOOKUP($X37,'Demand Lookups'!$A$5:$K$82,10,0))),2)</f>
        <v>0</v>
      </c>
      <c r="AG37" s="723">
        <f>ROUND(IF(ISNA(VLOOKUP($X37,'Demand Lookups'!$A$5:$K$82,11,0)),0,VLOOKUP($X37,'Demand Lookups'!$A$5:$K$82,11,0)),2)</f>
        <v>0</v>
      </c>
      <c r="AH37" s="648">
        <v>0</v>
      </c>
      <c r="AI37" s="648">
        <v>0</v>
      </c>
      <c r="AJ37" s="167" t="s">
        <v>404</v>
      </c>
      <c r="AK37" s="168">
        <v>35.5</v>
      </c>
      <c r="AL37" s="167"/>
      <c r="AM37" s="168"/>
      <c r="AN37" s="167"/>
      <c r="AO37" s="168"/>
      <c r="AP37" s="921">
        <v>0</v>
      </c>
      <c r="AQ37" s="171"/>
      <c r="AR37" s="171"/>
      <c r="AS37" s="299">
        <f>SUMIF('NEI Lookups'!$L:$L,'Inputs Yr 2'!$F37,'NEI Lookups'!E:E)+SUMIF('NEI Lookups'!$M:$M,'Inputs Yr 2'!$F37,'NEI Lookups'!E:E)+SUMIF('NEI Lookups'!$N:$N,'Inputs Yr 2'!$F37,'NEI Lookups'!E:E)+SUMIF('NEI Lookups'!$O:$O,'Inputs Yr 2'!$F37,'NEI Lookups'!E:E)+SUMIF('NEI Lookups'!$P:$P,'Inputs Yr 2'!$F37,'NEI Lookups'!E:E)+SUMIF('NEI Lookups'!$Q:$Q,'Inputs Yr 2'!$F37,'NEI Lookups'!E:E)+SUMIF('NEI Lookups'!$R:$R,'Inputs Yr 2'!$F37,'NEI Lookups'!E:E)+SUMIF('NEI Lookups'!$S:$S,'Inputs Yr 2'!$F37,'NEI Lookups'!E:E)+SUMIF('NEI Lookups'!$T:$T,'Inputs Yr 2'!$F37,'NEI Lookups'!E:E)</f>
        <v>0</v>
      </c>
      <c r="AT37" s="299">
        <f>SUMIF('NEI Lookups'!$L:$L,'Inputs Yr 2'!$F37,'NEI Lookups'!F:F)+SUMIF('NEI Lookups'!$M:$M,'Inputs Yr 2'!$F37,'NEI Lookups'!F:F)+SUMIF('NEI Lookups'!$N:$N,'Inputs Yr 2'!$F37,'NEI Lookups'!F:F)+SUMIF('NEI Lookups'!$O:$O,'Inputs Yr 2'!$F37,'NEI Lookups'!F:F)+SUMIF('NEI Lookups'!$P:$P,'Inputs Yr 2'!$F37,'NEI Lookups'!F:F)+SUMIF('NEI Lookups'!$Q:$Q,'Inputs Yr 2'!$F37,'NEI Lookups'!F:F)+SUMIF('NEI Lookups'!$R:$R,'Inputs Yr 2'!$F37,'NEI Lookups'!F:F)+SUMIF('NEI Lookups'!$S:$S,'Inputs Yr 2'!$F37,'NEI Lookups'!F:F)+SUMIF('NEI Lookups'!$T:$T,'Inputs Yr 2'!$F37,'NEI Lookups'!F:F)</f>
        <v>0</v>
      </c>
      <c r="AU37" s="299">
        <f>SUMIF('NEI Lookups'!$L:$L,'Inputs Yr 2'!$F37,'NEI Lookups'!G:G)+SUMIF('NEI Lookups'!$M:$M,'Inputs Yr 2'!$F37,'NEI Lookups'!G:G)+SUMIF('NEI Lookups'!$N:$N,'Inputs Yr 2'!$F37,'NEI Lookups'!G:G)+SUMIF('NEI Lookups'!$O:$O,'Inputs Yr 2'!$F37,'NEI Lookups'!G:G)+SUMIF('NEI Lookups'!$P:$P,'Inputs Yr 2'!$F37,'NEI Lookups'!G:G)+SUMIF('NEI Lookups'!$Q:$Q,'Inputs Yr 2'!$F37,'NEI Lookups'!G:G)+SUMIF('NEI Lookups'!$R:$R,'Inputs Yr 2'!$F37,'NEI Lookups'!G:G)+SUMIF('NEI Lookups'!$S:$S,'Inputs Yr 2'!$F37,'NEI Lookups'!G:G)+SUMIF('NEI Lookups'!$T:$T,'Inputs Yr 2'!$F37,'NEI Lookups'!G:G)</f>
        <v>0</v>
      </c>
      <c r="AV37" s="299">
        <f>SUMIF('NEI Lookups'!$L:$L,'Inputs Yr 2'!$F37,'NEI Lookups'!H:H)+SUMIF('NEI Lookups'!$M:$M,'Inputs Yr 2'!$F37,'NEI Lookups'!H:H)+SUMIF('NEI Lookups'!$N:$N,'Inputs Yr 2'!$F37,'NEI Lookups'!H:H)+SUMIF('NEI Lookups'!$O:$O,'Inputs Yr 2'!$F37,'NEI Lookups'!H:H)+SUMIF('NEI Lookups'!$P:$P,'Inputs Yr 2'!$F37,'NEI Lookups'!H:H)+SUMIF('NEI Lookups'!$Q:$Q,'Inputs Yr 2'!$F37,'NEI Lookups'!H:H)+SUMIF('NEI Lookups'!$R:$R,'Inputs Yr 2'!$F37,'NEI Lookups'!H:H)+SUMIF('NEI Lookups'!$S:$S,'Inputs Yr 2'!$F37,'NEI Lookups'!H:H)+SUMIF('NEI Lookups'!$T:$T,'Inputs Yr 2'!$F37,'NEI Lookups'!H:H)</f>
        <v>0</v>
      </c>
      <c r="AW37" s="299">
        <f>SUMIF('NEI Lookups'!$L:$L,'Inputs Yr 2'!$F37,'NEI Lookups'!I:I)+SUMIF('NEI Lookups'!$M:$M,'Inputs Yr 2'!$F37,'NEI Lookups'!I:I)+SUMIF('NEI Lookups'!$N:$N,'Inputs Yr 2'!$F37,'NEI Lookups'!I:I)+SUMIF('NEI Lookups'!$O:$O,'Inputs Yr 2'!$F37,'NEI Lookups'!I:I)+SUMIF('NEI Lookups'!$P:$P,'Inputs Yr 2'!$F37,'NEI Lookups'!I:I)+SUMIF('NEI Lookups'!$Q:$Q,'Inputs Yr 2'!$F37,'NEI Lookups'!I:I)+SUMIF('NEI Lookups'!$R:$R,'Inputs Yr 2'!$F37,'NEI Lookups'!I:I)+SUMIF('NEI Lookups'!$S:$S,'Inputs Yr 2'!$F37,'NEI Lookups'!I:I)+SUMIF('NEI Lookups'!$T:$T,'Inputs Yr 2'!$F37,'NEI Lookups'!I:I)</f>
        <v>0</v>
      </c>
      <c r="AX37" s="299">
        <f>SUMIF('NEI Lookups'!$L:$L,'Inputs Yr 2'!$F37,'NEI Lookups'!J:J)+SUMIF('NEI Lookups'!$M:$M,'Inputs Yr 2'!$F37,'NEI Lookups'!J:J)+SUMIF('NEI Lookups'!$N:$N,'Inputs Yr 2'!$F37,'NEI Lookups'!J:J)+SUMIF('NEI Lookups'!$O:$O,'Inputs Yr 2'!$F37,'NEI Lookups'!J:J)+SUMIF('NEI Lookups'!$P:$P,'Inputs Yr 2'!$F37,'NEI Lookups'!J:J)+SUMIF('NEI Lookups'!$Q:$Q,'Inputs Yr 2'!$F37,'NEI Lookups'!J:J)+SUMIF('NEI Lookups'!$R:$R,'Inputs Yr 2'!$F37,'NEI Lookups'!J:J)+SUMIF('NEI Lookups'!$S:$S,'Inputs Yr 2'!$F37,'NEI Lookups'!J:J)+SUMIF('NEI Lookups'!$T:$T,'Inputs Yr 2'!$F37,'NEI Lookups'!J:J)</f>
        <v>0</v>
      </c>
      <c r="AY37" s="930">
        <f>'Calculations Yr 2'!CP37/'Calculations Yr 2'!I37</f>
        <v>0.6949801057285151</v>
      </c>
    </row>
    <row r="38" spans="1:51" s="133" customFormat="1" ht="12.75" customHeight="1">
      <c r="A38" s="145" t="s">
        <v>32</v>
      </c>
      <c r="B38" s="132" t="s">
        <v>462</v>
      </c>
      <c r="C38" s="132" t="s">
        <v>725</v>
      </c>
      <c r="D38" s="902" t="s">
        <v>1436</v>
      </c>
      <c r="E38" s="98" t="s">
        <v>1414</v>
      </c>
      <c r="F38" s="98" t="s">
        <v>1337</v>
      </c>
      <c r="G38" s="145" t="s">
        <v>89</v>
      </c>
      <c r="H38" s="232">
        <v>170</v>
      </c>
      <c r="I38" s="232">
        <v>15</v>
      </c>
      <c r="J38" s="964">
        <v>8.5</v>
      </c>
      <c r="K38" s="166">
        <v>6.375</v>
      </c>
      <c r="L38" s="888">
        <f t="shared" si="0"/>
        <v>2.125</v>
      </c>
      <c r="M38" s="980">
        <v>0</v>
      </c>
      <c r="N38" s="980">
        <v>0</v>
      </c>
      <c r="O38" s="980">
        <v>0</v>
      </c>
      <c r="P38" s="889">
        <v>1</v>
      </c>
      <c r="Q38" s="980">
        <v>1</v>
      </c>
      <c r="R38" s="178">
        <v>1</v>
      </c>
      <c r="S38" s="178">
        <v>1</v>
      </c>
      <c r="T38" s="178">
        <v>1</v>
      </c>
      <c r="U38" s="980">
        <v>0.86199999999999999</v>
      </c>
      <c r="V38" s="980">
        <v>1</v>
      </c>
      <c r="W38" s="179"/>
      <c r="X38" s="937" t="s">
        <v>653</v>
      </c>
      <c r="Y38" s="299">
        <f>IFERROR(VLOOKUP($X38,'Demand Lookups'!$A$5:$K$101,9,0), 0)</f>
        <v>0</v>
      </c>
      <c r="Z38" s="922" t="str">
        <f>IFERROR(VLOOKUP(X38,'Demand Lookups'!$A$5:$B$101,2,0),0)</f>
        <v>Non-Electric Measures</v>
      </c>
      <c r="AA38" s="722">
        <f>IF(ISNA(VLOOKUP($X38,'Demand Lookups'!$A$5:$K$81,3,0)),0,VLOOKUP($X38,'Demand Lookups'!$A$5:$K$81,3,0))</f>
        <v>0</v>
      </c>
      <c r="AB38" s="722">
        <f>IF(ISNA(VLOOKUP($X38,'Demand Lookups'!$A$5:$K$81,4,0)),0,VLOOKUP($X38,'Demand Lookups'!$A$5:$K$81,4,0))</f>
        <v>0</v>
      </c>
      <c r="AC38" s="722">
        <f>IF(ISNA(VLOOKUP($X38,'Demand Lookups'!$A$5:$K$81,5,0)),0,VLOOKUP($X38,'Demand Lookups'!$A$5:$K$81,5,0))</f>
        <v>0</v>
      </c>
      <c r="AD38" s="723">
        <f>IF(ISNA(VLOOKUP($X38,'Demand Lookups'!$A$5:$K$81,6,0)),0,VLOOKUP($X38,'Demand Lookups'!$A$5:$K$81,6,0))</f>
        <v>0</v>
      </c>
      <c r="AE38" s="724">
        <f t="shared" si="6"/>
        <v>0</v>
      </c>
      <c r="AF38" s="723">
        <f>ROUND(IF(ISNA(VLOOKUP($X38,'Demand Lookups'!$A$5:$K$82,10,0)),0,(VLOOKUP($X38,'Demand Lookups'!$A$5:$K$82,10,0))),2)</f>
        <v>0</v>
      </c>
      <c r="AG38" s="723">
        <f>ROUND(IF(ISNA(VLOOKUP($X38,'Demand Lookups'!$A$5:$K$82,11,0)),0,VLOOKUP($X38,'Demand Lookups'!$A$5:$K$82,11,0)),2)</f>
        <v>0</v>
      </c>
      <c r="AH38" s="648">
        <v>0</v>
      </c>
      <c r="AI38" s="648">
        <v>0</v>
      </c>
      <c r="AJ38" s="167" t="s">
        <v>404</v>
      </c>
      <c r="AK38" s="168">
        <v>0.23705882352941182</v>
      </c>
      <c r="AL38" s="167"/>
      <c r="AM38" s="168"/>
      <c r="AN38" s="167"/>
      <c r="AO38" s="168"/>
      <c r="AP38" s="921">
        <v>0</v>
      </c>
      <c r="AQ38" s="171"/>
      <c r="AR38" s="171"/>
      <c r="AS38" s="299">
        <f>SUMIF('NEI Lookups'!$L:$L,'Inputs Yr 2'!$F38,'NEI Lookups'!E:E)+SUMIF('NEI Lookups'!$M:$M,'Inputs Yr 2'!$F38,'NEI Lookups'!E:E)+SUMIF('NEI Lookups'!$N:$N,'Inputs Yr 2'!$F38,'NEI Lookups'!E:E)+SUMIF('NEI Lookups'!$O:$O,'Inputs Yr 2'!$F38,'NEI Lookups'!E:E)+SUMIF('NEI Lookups'!$P:$P,'Inputs Yr 2'!$F38,'NEI Lookups'!E:E)+SUMIF('NEI Lookups'!$Q:$Q,'Inputs Yr 2'!$F38,'NEI Lookups'!E:E)+SUMIF('NEI Lookups'!$R:$R,'Inputs Yr 2'!$F38,'NEI Lookups'!E:E)+SUMIF('NEI Lookups'!$S:$S,'Inputs Yr 2'!$F38,'NEI Lookups'!E:E)+SUMIF('NEI Lookups'!$T:$T,'Inputs Yr 2'!$F38,'NEI Lookups'!E:E)</f>
        <v>0</v>
      </c>
      <c r="AT38" s="299">
        <f>SUMIF('NEI Lookups'!$L:$L,'Inputs Yr 2'!$F38,'NEI Lookups'!F:F)+SUMIF('NEI Lookups'!$M:$M,'Inputs Yr 2'!$F38,'NEI Lookups'!F:F)+SUMIF('NEI Lookups'!$N:$N,'Inputs Yr 2'!$F38,'NEI Lookups'!F:F)+SUMIF('NEI Lookups'!$O:$O,'Inputs Yr 2'!$F38,'NEI Lookups'!F:F)+SUMIF('NEI Lookups'!$P:$P,'Inputs Yr 2'!$F38,'NEI Lookups'!F:F)+SUMIF('NEI Lookups'!$Q:$Q,'Inputs Yr 2'!$F38,'NEI Lookups'!F:F)+SUMIF('NEI Lookups'!$R:$R,'Inputs Yr 2'!$F38,'NEI Lookups'!F:F)+SUMIF('NEI Lookups'!$S:$S,'Inputs Yr 2'!$F38,'NEI Lookups'!F:F)+SUMIF('NEI Lookups'!$T:$T,'Inputs Yr 2'!$F38,'NEI Lookups'!F:F)</f>
        <v>0</v>
      </c>
      <c r="AU38" s="299">
        <f>SUMIF('NEI Lookups'!$L:$L,'Inputs Yr 2'!$F38,'NEI Lookups'!G:G)+SUMIF('NEI Lookups'!$M:$M,'Inputs Yr 2'!$F38,'NEI Lookups'!G:G)+SUMIF('NEI Lookups'!$N:$N,'Inputs Yr 2'!$F38,'NEI Lookups'!G:G)+SUMIF('NEI Lookups'!$O:$O,'Inputs Yr 2'!$F38,'NEI Lookups'!G:G)+SUMIF('NEI Lookups'!$P:$P,'Inputs Yr 2'!$F38,'NEI Lookups'!G:G)+SUMIF('NEI Lookups'!$Q:$Q,'Inputs Yr 2'!$F38,'NEI Lookups'!G:G)+SUMIF('NEI Lookups'!$R:$R,'Inputs Yr 2'!$F38,'NEI Lookups'!G:G)+SUMIF('NEI Lookups'!$S:$S,'Inputs Yr 2'!$F38,'NEI Lookups'!G:G)+SUMIF('NEI Lookups'!$T:$T,'Inputs Yr 2'!$F38,'NEI Lookups'!G:G)</f>
        <v>0</v>
      </c>
      <c r="AV38" s="299">
        <f>SUMIF('NEI Lookups'!$L:$L,'Inputs Yr 2'!$F38,'NEI Lookups'!H:H)+SUMIF('NEI Lookups'!$M:$M,'Inputs Yr 2'!$F38,'NEI Lookups'!H:H)+SUMIF('NEI Lookups'!$N:$N,'Inputs Yr 2'!$F38,'NEI Lookups'!H:H)+SUMIF('NEI Lookups'!$O:$O,'Inputs Yr 2'!$F38,'NEI Lookups'!H:H)+SUMIF('NEI Lookups'!$P:$P,'Inputs Yr 2'!$F38,'NEI Lookups'!H:H)+SUMIF('NEI Lookups'!$Q:$Q,'Inputs Yr 2'!$F38,'NEI Lookups'!H:H)+SUMIF('NEI Lookups'!$R:$R,'Inputs Yr 2'!$F38,'NEI Lookups'!H:H)+SUMIF('NEI Lookups'!$S:$S,'Inputs Yr 2'!$F38,'NEI Lookups'!H:H)+SUMIF('NEI Lookups'!$T:$T,'Inputs Yr 2'!$F38,'NEI Lookups'!H:H)</f>
        <v>0</v>
      </c>
      <c r="AW38" s="299">
        <f>SUMIF('NEI Lookups'!$L:$L,'Inputs Yr 2'!$F38,'NEI Lookups'!I:I)+SUMIF('NEI Lookups'!$M:$M,'Inputs Yr 2'!$F38,'NEI Lookups'!I:I)+SUMIF('NEI Lookups'!$N:$N,'Inputs Yr 2'!$F38,'NEI Lookups'!I:I)+SUMIF('NEI Lookups'!$O:$O,'Inputs Yr 2'!$F38,'NEI Lookups'!I:I)+SUMIF('NEI Lookups'!$P:$P,'Inputs Yr 2'!$F38,'NEI Lookups'!I:I)+SUMIF('NEI Lookups'!$Q:$Q,'Inputs Yr 2'!$F38,'NEI Lookups'!I:I)+SUMIF('NEI Lookups'!$R:$R,'Inputs Yr 2'!$F38,'NEI Lookups'!I:I)+SUMIF('NEI Lookups'!$S:$S,'Inputs Yr 2'!$F38,'NEI Lookups'!I:I)+SUMIF('NEI Lookups'!$T:$T,'Inputs Yr 2'!$F38,'NEI Lookups'!I:I)</f>
        <v>0</v>
      </c>
      <c r="AX38" s="299">
        <f>SUMIF('NEI Lookups'!$L:$L,'Inputs Yr 2'!$F38,'NEI Lookups'!J:J)+SUMIF('NEI Lookups'!$M:$M,'Inputs Yr 2'!$F38,'NEI Lookups'!J:J)+SUMIF('NEI Lookups'!$N:$N,'Inputs Yr 2'!$F38,'NEI Lookups'!J:J)+SUMIF('NEI Lookups'!$O:$O,'Inputs Yr 2'!$F38,'NEI Lookups'!J:J)+SUMIF('NEI Lookups'!$P:$P,'Inputs Yr 2'!$F38,'NEI Lookups'!J:J)+SUMIF('NEI Lookups'!$Q:$Q,'Inputs Yr 2'!$F38,'NEI Lookups'!J:J)+SUMIF('NEI Lookups'!$R:$R,'Inputs Yr 2'!$F38,'NEI Lookups'!J:J)+SUMIF('NEI Lookups'!$S:$S,'Inputs Yr 2'!$F38,'NEI Lookups'!J:J)+SUMIF('NEI Lookups'!$T:$T,'Inputs Yr 2'!$F38,'NEI Lookups'!J:J)</f>
        <v>0</v>
      </c>
      <c r="AY38" s="930">
        <f>'Calculations Yr 2'!CP38/'Calculations Yr 2'!I38</f>
        <v>3.2759138274799939</v>
      </c>
    </row>
    <row r="39" spans="1:51" s="133" customFormat="1" ht="12.75" customHeight="1">
      <c r="A39" s="145" t="s">
        <v>32</v>
      </c>
      <c r="B39" s="132" t="s">
        <v>462</v>
      </c>
      <c r="C39" s="132" t="s">
        <v>725</v>
      </c>
      <c r="D39" s="98"/>
      <c r="E39" s="98" t="s">
        <v>740</v>
      </c>
      <c r="F39" s="98"/>
      <c r="G39" s="145"/>
      <c r="H39" s="232">
        <v>0</v>
      </c>
      <c r="I39" s="232">
        <v>0</v>
      </c>
      <c r="J39" s="964"/>
      <c r="K39" s="166"/>
      <c r="L39" s="888">
        <f t="shared" si="0"/>
        <v>0</v>
      </c>
      <c r="M39" s="980">
        <v>0</v>
      </c>
      <c r="N39" s="980">
        <v>0</v>
      </c>
      <c r="O39" s="980">
        <v>0</v>
      </c>
      <c r="P39" s="889">
        <v>1</v>
      </c>
      <c r="Q39" s="980">
        <v>0</v>
      </c>
      <c r="R39" s="178">
        <v>1</v>
      </c>
      <c r="S39" s="178">
        <v>1</v>
      </c>
      <c r="T39" s="178">
        <v>1</v>
      </c>
      <c r="U39" s="980">
        <v>0</v>
      </c>
      <c r="V39" s="980">
        <v>0</v>
      </c>
      <c r="W39" s="179"/>
      <c r="X39" s="937" t="s">
        <v>653</v>
      </c>
      <c r="Y39" s="299">
        <f>IFERROR(VLOOKUP($X39,'Demand Lookups'!$A$5:$K$101,9,0), 0)</f>
        <v>0</v>
      </c>
      <c r="Z39" s="922" t="str">
        <f>IFERROR(VLOOKUP(X39,'Demand Lookups'!$A$5:$B$101,2,0),0)</f>
        <v>Non-Electric Measures</v>
      </c>
      <c r="AA39" s="722">
        <f>IF(ISNA(VLOOKUP($X39,'Demand Lookups'!$A$5:$K$81,3,0)),0,VLOOKUP($X39,'Demand Lookups'!$A$5:$K$81,3,0))</f>
        <v>0</v>
      </c>
      <c r="AB39" s="722">
        <f>IF(ISNA(VLOOKUP($X39,'Demand Lookups'!$A$5:$K$81,4,0)),0,VLOOKUP($X39,'Demand Lookups'!$A$5:$K$81,4,0))</f>
        <v>0</v>
      </c>
      <c r="AC39" s="722">
        <f>IF(ISNA(VLOOKUP($X39,'Demand Lookups'!$A$5:$K$81,5,0)),0,VLOOKUP($X39,'Demand Lookups'!$A$5:$K$81,5,0))</f>
        <v>0</v>
      </c>
      <c r="AD39" s="723">
        <f>IF(ISNA(VLOOKUP($X39,'Demand Lookups'!$A$5:$K$81,6,0)),0,VLOOKUP($X39,'Demand Lookups'!$A$5:$K$81,6,0))</f>
        <v>0</v>
      </c>
      <c r="AE39" s="724">
        <f t="shared" si="6"/>
        <v>0</v>
      </c>
      <c r="AF39" s="723">
        <f>ROUND(IF(ISNA(VLOOKUP($X39,'Demand Lookups'!$A$5:$K$82,10,0)),0,(VLOOKUP($X39,'Demand Lookups'!$A$5:$K$82,10,0))),2)</f>
        <v>0</v>
      </c>
      <c r="AG39" s="723">
        <f>ROUND(IF(ISNA(VLOOKUP($X39,'Demand Lookups'!$A$5:$K$82,11,0)),0,VLOOKUP($X39,'Demand Lookups'!$A$5:$K$82,11,0)),2)</f>
        <v>0</v>
      </c>
      <c r="AH39" s="648">
        <v>0</v>
      </c>
      <c r="AI39" s="648">
        <v>0</v>
      </c>
      <c r="AJ39" s="167"/>
      <c r="AK39" s="168">
        <v>0</v>
      </c>
      <c r="AL39" s="167"/>
      <c r="AM39" s="168"/>
      <c r="AN39" s="167"/>
      <c r="AO39" s="168"/>
      <c r="AP39" s="921">
        <v>0</v>
      </c>
      <c r="AQ39" s="171"/>
      <c r="AR39" s="171"/>
      <c r="AS39" s="299">
        <f>SUMIF('NEI Lookups'!$L:$L,'Inputs Yr 2'!$F39,'NEI Lookups'!E:E)+SUMIF('NEI Lookups'!$M:$M,'Inputs Yr 2'!$F39,'NEI Lookups'!E:E)+SUMIF('NEI Lookups'!$N:$N,'Inputs Yr 2'!$F39,'NEI Lookups'!E:E)+SUMIF('NEI Lookups'!$O:$O,'Inputs Yr 2'!$F39,'NEI Lookups'!E:E)+SUMIF('NEI Lookups'!$P:$P,'Inputs Yr 2'!$F39,'NEI Lookups'!E:E)+SUMIF('NEI Lookups'!$Q:$Q,'Inputs Yr 2'!$F39,'NEI Lookups'!E:E)+SUMIF('NEI Lookups'!$R:$R,'Inputs Yr 2'!$F39,'NEI Lookups'!E:E)+SUMIF('NEI Lookups'!$S:$S,'Inputs Yr 2'!$F39,'NEI Lookups'!E:E)+SUMIF('NEI Lookups'!$T:$T,'Inputs Yr 2'!$F39,'NEI Lookups'!E:E)</f>
        <v>0</v>
      </c>
      <c r="AT39" s="299">
        <f>SUMIF('NEI Lookups'!$L:$L,'Inputs Yr 2'!$F39,'NEI Lookups'!F:F)+SUMIF('NEI Lookups'!$M:$M,'Inputs Yr 2'!$F39,'NEI Lookups'!F:F)+SUMIF('NEI Lookups'!$N:$N,'Inputs Yr 2'!$F39,'NEI Lookups'!F:F)+SUMIF('NEI Lookups'!$O:$O,'Inputs Yr 2'!$F39,'NEI Lookups'!F:F)+SUMIF('NEI Lookups'!$P:$P,'Inputs Yr 2'!$F39,'NEI Lookups'!F:F)+SUMIF('NEI Lookups'!$Q:$Q,'Inputs Yr 2'!$F39,'NEI Lookups'!F:F)+SUMIF('NEI Lookups'!$R:$R,'Inputs Yr 2'!$F39,'NEI Lookups'!F:F)+SUMIF('NEI Lookups'!$S:$S,'Inputs Yr 2'!$F39,'NEI Lookups'!F:F)+SUMIF('NEI Lookups'!$T:$T,'Inputs Yr 2'!$F39,'NEI Lookups'!F:F)</f>
        <v>0</v>
      </c>
      <c r="AU39" s="299">
        <f>SUMIF('NEI Lookups'!$L:$L,'Inputs Yr 2'!$F39,'NEI Lookups'!G:G)+SUMIF('NEI Lookups'!$M:$M,'Inputs Yr 2'!$F39,'NEI Lookups'!G:G)+SUMIF('NEI Lookups'!$N:$N,'Inputs Yr 2'!$F39,'NEI Lookups'!G:G)+SUMIF('NEI Lookups'!$O:$O,'Inputs Yr 2'!$F39,'NEI Lookups'!G:G)+SUMIF('NEI Lookups'!$P:$P,'Inputs Yr 2'!$F39,'NEI Lookups'!G:G)+SUMIF('NEI Lookups'!$Q:$Q,'Inputs Yr 2'!$F39,'NEI Lookups'!G:G)+SUMIF('NEI Lookups'!$R:$R,'Inputs Yr 2'!$F39,'NEI Lookups'!G:G)+SUMIF('NEI Lookups'!$S:$S,'Inputs Yr 2'!$F39,'NEI Lookups'!G:G)+SUMIF('NEI Lookups'!$T:$T,'Inputs Yr 2'!$F39,'NEI Lookups'!G:G)</f>
        <v>0</v>
      </c>
      <c r="AV39" s="299">
        <f>SUMIF('NEI Lookups'!$L:$L,'Inputs Yr 2'!$F39,'NEI Lookups'!H:H)+SUMIF('NEI Lookups'!$M:$M,'Inputs Yr 2'!$F39,'NEI Lookups'!H:H)+SUMIF('NEI Lookups'!$N:$N,'Inputs Yr 2'!$F39,'NEI Lookups'!H:H)+SUMIF('NEI Lookups'!$O:$O,'Inputs Yr 2'!$F39,'NEI Lookups'!H:H)+SUMIF('NEI Lookups'!$P:$P,'Inputs Yr 2'!$F39,'NEI Lookups'!H:H)+SUMIF('NEI Lookups'!$Q:$Q,'Inputs Yr 2'!$F39,'NEI Lookups'!H:H)+SUMIF('NEI Lookups'!$R:$R,'Inputs Yr 2'!$F39,'NEI Lookups'!H:H)+SUMIF('NEI Lookups'!$S:$S,'Inputs Yr 2'!$F39,'NEI Lookups'!H:H)+SUMIF('NEI Lookups'!$T:$T,'Inputs Yr 2'!$F39,'NEI Lookups'!H:H)</f>
        <v>0</v>
      </c>
      <c r="AW39" s="299">
        <f>SUMIF('NEI Lookups'!$L:$L,'Inputs Yr 2'!$F39,'NEI Lookups'!I:I)+SUMIF('NEI Lookups'!$M:$M,'Inputs Yr 2'!$F39,'NEI Lookups'!I:I)+SUMIF('NEI Lookups'!$N:$N,'Inputs Yr 2'!$F39,'NEI Lookups'!I:I)+SUMIF('NEI Lookups'!$O:$O,'Inputs Yr 2'!$F39,'NEI Lookups'!I:I)+SUMIF('NEI Lookups'!$P:$P,'Inputs Yr 2'!$F39,'NEI Lookups'!I:I)+SUMIF('NEI Lookups'!$Q:$Q,'Inputs Yr 2'!$F39,'NEI Lookups'!I:I)+SUMIF('NEI Lookups'!$R:$R,'Inputs Yr 2'!$F39,'NEI Lookups'!I:I)+SUMIF('NEI Lookups'!$S:$S,'Inputs Yr 2'!$F39,'NEI Lookups'!I:I)+SUMIF('NEI Lookups'!$T:$T,'Inputs Yr 2'!$F39,'NEI Lookups'!I:I)</f>
        <v>0</v>
      </c>
      <c r="AX39" s="299">
        <f>SUMIF('NEI Lookups'!$L:$L,'Inputs Yr 2'!$F39,'NEI Lookups'!J:J)+SUMIF('NEI Lookups'!$M:$M,'Inputs Yr 2'!$F39,'NEI Lookups'!J:J)+SUMIF('NEI Lookups'!$N:$N,'Inputs Yr 2'!$F39,'NEI Lookups'!J:J)+SUMIF('NEI Lookups'!$O:$O,'Inputs Yr 2'!$F39,'NEI Lookups'!J:J)+SUMIF('NEI Lookups'!$P:$P,'Inputs Yr 2'!$F39,'NEI Lookups'!J:J)+SUMIF('NEI Lookups'!$Q:$Q,'Inputs Yr 2'!$F39,'NEI Lookups'!J:J)+SUMIF('NEI Lookups'!$R:$R,'Inputs Yr 2'!$F39,'NEI Lookups'!J:J)+SUMIF('NEI Lookups'!$S:$S,'Inputs Yr 2'!$F39,'NEI Lookups'!J:J)+SUMIF('NEI Lookups'!$T:$T,'Inputs Yr 2'!$F39,'NEI Lookups'!J:J)</f>
        <v>0</v>
      </c>
      <c r="AY39" s="930" t="e">
        <f>'Calculations Yr 2'!CP39/'Calculations Yr 2'!I39</f>
        <v>#VALUE!</v>
      </c>
    </row>
    <row r="40" spans="1:51" s="133" customFormat="1" ht="12.75" customHeight="1">
      <c r="A40" s="145" t="s">
        <v>32</v>
      </c>
      <c r="B40" s="132" t="s">
        <v>462</v>
      </c>
      <c r="C40" s="132" t="s">
        <v>725</v>
      </c>
      <c r="D40" s="98"/>
      <c r="E40" s="98" t="s">
        <v>453</v>
      </c>
      <c r="F40" s="98"/>
      <c r="G40" s="145"/>
      <c r="H40" s="232">
        <v>0</v>
      </c>
      <c r="I40" s="232">
        <v>0</v>
      </c>
      <c r="J40" s="964"/>
      <c r="K40" s="166"/>
      <c r="L40" s="888">
        <f t="shared" si="0"/>
        <v>0</v>
      </c>
      <c r="M40" s="980">
        <v>0</v>
      </c>
      <c r="N40" s="980">
        <v>0</v>
      </c>
      <c r="O40" s="980">
        <v>0</v>
      </c>
      <c r="P40" s="889">
        <v>1</v>
      </c>
      <c r="Q40" s="980">
        <v>0</v>
      </c>
      <c r="R40" s="178">
        <v>1</v>
      </c>
      <c r="S40" s="178">
        <v>1</v>
      </c>
      <c r="T40" s="178">
        <v>1</v>
      </c>
      <c r="U40" s="980">
        <v>0</v>
      </c>
      <c r="V40" s="980">
        <v>0</v>
      </c>
      <c r="W40" s="179"/>
      <c r="X40" s="937" t="s">
        <v>653</v>
      </c>
      <c r="Y40" s="299">
        <f>IFERROR(VLOOKUP($X40,'Demand Lookups'!$A$5:$K$101,9,0), 0)</f>
        <v>0</v>
      </c>
      <c r="Z40" s="922" t="str">
        <f>IFERROR(VLOOKUP(X40,'Demand Lookups'!$A$5:$B$101,2,0),0)</f>
        <v>Non-Electric Measures</v>
      </c>
      <c r="AA40" s="722">
        <f>IF(ISNA(VLOOKUP($X40,'Demand Lookups'!$A$5:$K$81,3,0)),0,VLOOKUP($X40,'Demand Lookups'!$A$5:$K$81,3,0))</f>
        <v>0</v>
      </c>
      <c r="AB40" s="722">
        <f>IF(ISNA(VLOOKUP($X40,'Demand Lookups'!$A$5:$K$81,4,0)),0,VLOOKUP($X40,'Demand Lookups'!$A$5:$K$81,4,0))</f>
        <v>0</v>
      </c>
      <c r="AC40" s="722">
        <f>IF(ISNA(VLOOKUP($X40,'Demand Lookups'!$A$5:$K$81,5,0)),0,VLOOKUP($X40,'Demand Lookups'!$A$5:$K$81,5,0))</f>
        <v>0</v>
      </c>
      <c r="AD40" s="723">
        <f>IF(ISNA(VLOOKUP($X40,'Demand Lookups'!$A$5:$K$81,6,0)),0,VLOOKUP($X40,'Demand Lookups'!$A$5:$K$81,6,0))</f>
        <v>0</v>
      </c>
      <c r="AE40" s="724">
        <f t="shared" si="6"/>
        <v>0</v>
      </c>
      <c r="AF40" s="723">
        <f>ROUND(IF(ISNA(VLOOKUP($X40,'Demand Lookups'!$A$5:$K$82,10,0)),0,(VLOOKUP($X40,'Demand Lookups'!$A$5:$K$82,10,0))),2)</f>
        <v>0</v>
      </c>
      <c r="AG40" s="723">
        <f>ROUND(IF(ISNA(VLOOKUP($X40,'Demand Lookups'!$A$5:$K$82,11,0)),0,VLOOKUP($X40,'Demand Lookups'!$A$5:$K$82,11,0)),2)</f>
        <v>0</v>
      </c>
      <c r="AH40" s="648">
        <v>0</v>
      </c>
      <c r="AI40" s="648">
        <v>0</v>
      </c>
      <c r="AJ40" s="167"/>
      <c r="AK40" s="168">
        <v>0</v>
      </c>
      <c r="AL40" s="167"/>
      <c r="AM40" s="168"/>
      <c r="AN40" s="167"/>
      <c r="AO40" s="168"/>
      <c r="AP40" s="921">
        <v>0</v>
      </c>
      <c r="AQ40" s="171"/>
      <c r="AR40" s="171"/>
      <c r="AS40" s="299">
        <f>SUMIF('NEI Lookups'!$L:$L,'Inputs Yr 2'!$F40,'NEI Lookups'!E:E)+SUMIF('NEI Lookups'!$M:$M,'Inputs Yr 2'!$F40,'NEI Lookups'!E:E)+SUMIF('NEI Lookups'!$N:$N,'Inputs Yr 2'!$F40,'NEI Lookups'!E:E)+SUMIF('NEI Lookups'!$O:$O,'Inputs Yr 2'!$F40,'NEI Lookups'!E:E)+SUMIF('NEI Lookups'!$P:$P,'Inputs Yr 2'!$F40,'NEI Lookups'!E:E)+SUMIF('NEI Lookups'!$Q:$Q,'Inputs Yr 2'!$F40,'NEI Lookups'!E:E)+SUMIF('NEI Lookups'!$R:$R,'Inputs Yr 2'!$F40,'NEI Lookups'!E:E)+SUMIF('NEI Lookups'!$S:$S,'Inputs Yr 2'!$F40,'NEI Lookups'!E:E)+SUMIF('NEI Lookups'!$T:$T,'Inputs Yr 2'!$F40,'NEI Lookups'!E:E)</f>
        <v>0</v>
      </c>
      <c r="AT40" s="299">
        <f>SUMIF('NEI Lookups'!$L:$L,'Inputs Yr 2'!$F40,'NEI Lookups'!F:F)+SUMIF('NEI Lookups'!$M:$M,'Inputs Yr 2'!$F40,'NEI Lookups'!F:F)+SUMIF('NEI Lookups'!$N:$N,'Inputs Yr 2'!$F40,'NEI Lookups'!F:F)+SUMIF('NEI Lookups'!$O:$O,'Inputs Yr 2'!$F40,'NEI Lookups'!F:F)+SUMIF('NEI Lookups'!$P:$P,'Inputs Yr 2'!$F40,'NEI Lookups'!F:F)+SUMIF('NEI Lookups'!$Q:$Q,'Inputs Yr 2'!$F40,'NEI Lookups'!F:F)+SUMIF('NEI Lookups'!$R:$R,'Inputs Yr 2'!$F40,'NEI Lookups'!F:F)+SUMIF('NEI Lookups'!$S:$S,'Inputs Yr 2'!$F40,'NEI Lookups'!F:F)+SUMIF('NEI Lookups'!$T:$T,'Inputs Yr 2'!$F40,'NEI Lookups'!F:F)</f>
        <v>0</v>
      </c>
      <c r="AU40" s="299">
        <f>SUMIF('NEI Lookups'!$L:$L,'Inputs Yr 2'!$F40,'NEI Lookups'!G:G)+SUMIF('NEI Lookups'!$M:$M,'Inputs Yr 2'!$F40,'NEI Lookups'!G:G)+SUMIF('NEI Lookups'!$N:$N,'Inputs Yr 2'!$F40,'NEI Lookups'!G:G)+SUMIF('NEI Lookups'!$O:$O,'Inputs Yr 2'!$F40,'NEI Lookups'!G:G)+SUMIF('NEI Lookups'!$P:$P,'Inputs Yr 2'!$F40,'NEI Lookups'!G:G)+SUMIF('NEI Lookups'!$Q:$Q,'Inputs Yr 2'!$F40,'NEI Lookups'!G:G)+SUMIF('NEI Lookups'!$R:$R,'Inputs Yr 2'!$F40,'NEI Lookups'!G:G)+SUMIF('NEI Lookups'!$S:$S,'Inputs Yr 2'!$F40,'NEI Lookups'!G:G)+SUMIF('NEI Lookups'!$T:$T,'Inputs Yr 2'!$F40,'NEI Lookups'!G:G)</f>
        <v>0</v>
      </c>
      <c r="AV40" s="299">
        <f>SUMIF('NEI Lookups'!$L:$L,'Inputs Yr 2'!$F40,'NEI Lookups'!H:H)+SUMIF('NEI Lookups'!$M:$M,'Inputs Yr 2'!$F40,'NEI Lookups'!H:H)+SUMIF('NEI Lookups'!$N:$N,'Inputs Yr 2'!$F40,'NEI Lookups'!H:H)+SUMIF('NEI Lookups'!$O:$O,'Inputs Yr 2'!$F40,'NEI Lookups'!H:H)+SUMIF('NEI Lookups'!$P:$P,'Inputs Yr 2'!$F40,'NEI Lookups'!H:H)+SUMIF('NEI Lookups'!$Q:$Q,'Inputs Yr 2'!$F40,'NEI Lookups'!H:H)+SUMIF('NEI Lookups'!$R:$R,'Inputs Yr 2'!$F40,'NEI Lookups'!H:H)+SUMIF('NEI Lookups'!$S:$S,'Inputs Yr 2'!$F40,'NEI Lookups'!H:H)+SUMIF('NEI Lookups'!$T:$T,'Inputs Yr 2'!$F40,'NEI Lookups'!H:H)</f>
        <v>0</v>
      </c>
      <c r="AW40" s="299">
        <f>SUMIF('NEI Lookups'!$L:$L,'Inputs Yr 2'!$F40,'NEI Lookups'!I:I)+SUMIF('NEI Lookups'!$M:$M,'Inputs Yr 2'!$F40,'NEI Lookups'!I:I)+SUMIF('NEI Lookups'!$N:$N,'Inputs Yr 2'!$F40,'NEI Lookups'!I:I)+SUMIF('NEI Lookups'!$O:$O,'Inputs Yr 2'!$F40,'NEI Lookups'!I:I)+SUMIF('NEI Lookups'!$P:$P,'Inputs Yr 2'!$F40,'NEI Lookups'!I:I)+SUMIF('NEI Lookups'!$Q:$Q,'Inputs Yr 2'!$F40,'NEI Lookups'!I:I)+SUMIF('NEI Lookups'!$R:$R,'Inputs Yr 2'!$F40,'NEI Lookups'!I:I)+SUMIF('NEI Lookups'!$S:$S,'Inputs Yr 2'!$F40,'NEI Lookups'!I:I)+SUMIF('NEI Lookups'!$T:$T,'Inputs Yr 2'!$F40,'NEI Lookups'!I:I)</f>
        <v>0</v>
      </c>
      <c r="AX40" s="299">
        <f>SUMIF('NEI Lookups'!$L:$L,'Inputs Yr 2'!$F40,'NEI Lookups'!J:J)+SUMIF('NEI Lookups'!$M:$M,'Inputs Yr 2'!$F40,'NEI Lookups'!J:J)+SUMIF('NEI Lookups'!$N:$N,'Inputs Yr 2'!$F40,'NEI Lookups'!J:J)+SUMIF('NEI Lookups'!$O:$O,'Inputs Yr 2'!$F40,'NEI Lookups'!J:J)+SUMIF('NEI Lookups'!$P:$P,'Inputs Yr 2'!$F40,'NEI Lookups'!J:J)+SUMIF('NEI Lookups'!$Q:$Q,'Inputs Yr 2'!$F40,'NEI Lookups'!J:J)+SUMIF('NEI Lookups'!$R:$R,'Inputs Yr 2'!$F40,'NEI Lookups'!J:J)+SUMIF('NEI Lookups'!$S:$S,'Inputs Yr 2'!$F40,'NEI Lookups'!J:J)+SUMIF('NEI Lookups'!$T:$T,'Inputs Yr 2'!$F40,'NEI Lookups'!J:J)</f>
        <v>0</v>
      </c>
      <c r="AY40" s="930" t="e">
        <f>'Calculations Yr 2'!CP40/'Calculations Yr 2'!I40</f>
        <v>#VALUE!</v>
      </c>
    </row>
    <row r="41" spans="1:51" s="133" customFormat="1" ht="13.5" customHeight="1" thickBot="1">
      <c r="A41" s="147" t="s">
        <v>32</v>
      </c>
      <c r="B41" s="146" t="s">
        <v>462</v>
      </c>
      <c r="C41" s="146" t="s">
        <v>725</v>
      </c>
      <c r="D41" s="177"/>
      <c r="E41" s="177" t="s">
        <v>453</v>
      </c>
      <c r="F41" s="177"/>
      <c r="G41" s="147"/>
      <c r="H41" s="233">
        <v>0</v>
      </c>
      <c r="I41" s="233">
        <v>0</v>
      </c>
      <c r="J41" s="970"/>
      <c r="K41" s="173"/>
      <c r="L41" s="898">
        <f t="shared" si="0"/>
        <v>0</v>
      </c>
      <c r="M41" s="981">
        <v>0</v>
      </c>
      <c r="N41" s="981">
        <v>0</v>
      </c>
      <c r="O41" s="981">
        <v>0</v>
      </c>
      <c r="P41" s="895">
        <v>1</v>
      </c>
      <c r="Q41" s="981">
        <v>0</v>
      </c>
      <c r="R41" s="221">
        <v>1</v>
      </c>
      <c r="S41" s="221">
        <v>1</v>
      </c>
      <c r="T41" s="221">
        <v>1</v>
      </c>
      <c r="U41" s="981">
        <v>0</v>
      </c>
      <c r="V41" s="981">
        <v>0</v>
      </c>
      <c r="W41" s="222"/>
      <c r="X41" s="146" t="s">
        <v>653</v>
      </c>
      <c r="Y41" s="302">
        <f>IFERROR(VLOOKUP($X41,'Demand Lookups'!$A$5:$K$101,9,0), 0)</f>
        <v>0</v>
      </c>
      <c r="Z41" s="923" t="str">
        <f>IFERROR(VLOOKUP(X41,'Demand Lookups'!$A$5:$B$101,2,0),0)</f>
        <v>Non-Electric Measures</v>
      </c>
      <c r="AA41" s="650">
        <f>IF(ISNA(VLOOKUP($X41,'Demand Lookups'!$A$5:$K$81,3,0)),0,VLOOKUP($X41,'Demand Lookups'!$A$5:$K$81,3,0))</f>
        <v>0</v>
      </c>
      <c r="AB41" s="650">
        <f>IF(ISNA(VLOOKUP($X41,'Demand Lookups'!$A$5:$K$81,4,0)),0,VLOOKUP($X41,'Demand Lookups'!$A$5:$K$81,4,0))</f>
        <v>0</v>
      </c>
      <c r="AC41" s="650">
        <f>IF(ISNA(VLOOKUP($X41,'Demand Lookups'!$A$5:$K$81,5,0)),0,VLOOKUP($X41,'Demand Lookups'!$A$5:$K$81,5,0))</f>
        <v>0</v>
      </c>
      <c r="AD41" s="651">
        <f>IF(ISNA(VLOOKUP($X41,'Demand Lookups'!$A$5:$K$81,6,0)),0,VLOOKUP($X41,'Demand Lookups'!$A$5:$K$81,6,0))</f>
        <v>0</v>
      </c>
      <c r="AE41" s="652">
        <f t="shared" si="6"/>
        <v>0</v>
      </c>
      <c r="AF41" s="651">
        <f>ROUND(IF(ISNA(VLOOKUP($X41,'Demand Lookups'!$A$5:$K$82,10,0)),0,(VLOOKUP($X41,'Demand Lookups'!$A$5:$K$82,10,0))),2)</f>
        <v>0</v>
      </c>
      <c r="AG41" s="651">
        <f>ROUND(IF(ISNA(VLOOKUP($X41,'Demand Lookups'!$A$5:$K$82,11,0)),0,VLOOKUP($X41,'Demand Lookups'!$A$5:$K$82,11,0)),2)</f>
        <v>0</v>
      </c>
      <c r="AH41" s="653">
        <v>0</v>
      </c>
      <c r="AI41" s="653">
        <v>0</v>
      </c>
      <c r="AJ41" s="174"/>
      <c r="AK41" s="303">
        <v>0</v>
      </c>
      <c r="AL41" s="174"/>
      <c r="AM41" s="303"/>
      <c r="AN41" s="174"/>
      <c r="AO41" s="303"/>
      <c r="AP41" s="921">
        <v>0</v>
      </c>
      <c r="AQ41" s="175"/>
      <c r="AR41" s="175"/>
      <c r="AS41" s="302">
        <f>SUMIF('NEI Lookups'!$L:$L,'Inputs Yr 2'!$F41,'NEI Lookups'!E:E)+SUMIF('NEI Lookups'!$M:$M,'Inputs Yr 2'!$F41,'NEI Lookups'!E:E)+SUMIF('NEI Lookups'!$N:$N,'Inputs Yr 2'!$F41,'NEI Lookups'!E:E)+SUMIF('NEI Lookups'!$O:$O,'Inputs Yr 2'!$F41,'NEI Lookups'!E:E)+SUMIF('NEI Lookups'!$P:$P,'Inputs Yr 2'!$F41,'NEI Lookups'!E:E)+SUMIF('NEI Lookups'!$Q:$Q,'Inputs Yr 2'!$F41,'NEI Lookups'!E:E)+SUMIF('NEI Lookups'!$R:$R,'Inputs Yr 2'!$F41,'NEI Lookups'!E:E)+SUMIF('NEI Lookups'!$S:$S,'Inputs Yr 2'!$F41,'NEI Lookups'!E:E)+SUMIF('NEI Lookups'!$T:$T,'Inputs Yr 2'!$F41,'NEI Lookups'!E:E)</f>
        <v>0</v>
      </c>
      <c r="AT41" s="302">
        <f>SUMIF('NEI Lookups'!$L:$L,'Inputs Yr 2'!$F41,'NEI Lookups'!F:F)+SUMIF('NEI Lookups'!$M:$M,'Inputs Yr 2'!$F41,'NEI Lookups'!F:F)+SUMIF('NEI Lookups'!$N:$N,'Inputs Yr 2'!$F41,'NEI Lookups'!F:F)+SUMIF('NEI Lookups'!$O:$O,'Inputs Yr 2'!$F41,'NEI Lookups'!F:F)+SUMIF('NEI Lookups'!$P:$P,'Inputs Yr 2'!$F41,'NEI Lookups'!F:F)+SUMIF('NEI Lookups'!$Q:$Q,'Inputs Yr 2'!$F41,'NEI Lookups'!F:F)+SUMIF('NEI Lookups'!$R:$R,'Inputs Yr 2'!$F41,'NEI Lookups'!F:F)+SUMIF('NEI Lookups'!$S:$S,'Inputs Yr 2'!$F41,'NEI Lookups'!F:F)+SUMIF('NEI Lookups'!$T:$T,'Inputs Yr 2'!$F41,'NEI Lookups'!F:F)</f>
        <v>0</v>
      </c>
      <c r="AU41" s="302">
        <f>SUMIF('NEI Lookups'!$L:$L,'Inputs Yr 2'!$F41,'NEI Lookups'!G:G)+SUMIF('NEI Lookups'!$M:$M,'Inputs Yr 2'!$F41,'NEI Lookups'!G:G)+SUMIF('NEI Lookups'!$N:$N,'Inputs Yr 2'!$F41,'NEI Lookups'!G:G)+SUMIF('NEI Lookups'!$O:$O,'Inputs Yr 2'!$F41,'NEI Lookups'!G:G)+SUMIF('NEI Lookups'!$P:$P,'Inputs Yr 2'!$F41,'NEI Lookups'!G:G)+SUMIF('NEI Lookups'!$Q:$Q,'Inputs Yr 2'!$F41,'NEI Lookups'!G:G)+SUMIF('NEI Lookups'!$R:$R,'Inputs Yr 2'!$F41,'NEI Lookups'!G:G)+SUMIF('NEI Lookups'!$S:$S,'Inputs Yr 2'!$F41,'NEI Lookups'!G:G)+SUMIF('NEI Lookups'!$T:$T,'Inputs Yr 2'!$F41,'NEI Lookups'!G:G)</f>
        <v>0</v>
      </c>
      <c r="AV41" s="302">
        <f>SUMIF('NEI Lookups'!$L:$L,'Inputs Yr 2'!$F41,'NEI Lookups'!H:H)+SUMIF('NEI Lookups'!$M:$M,'Inputs Yr 2'!$F41,'NEI Lookups'!H:H)+SUMIF('NEI Lookups'!$N:$N,'Inputs Yr 2'!$F41,'NEI Lookups'!H:H)+SUMIF('NEI Lookups'!$O:$O,'Inputs Yr 2'!$F41,'NEI Lookups'!H:H)+SUMIF('NEI Lookups'!$P:$P,'Inputs Yr 2'!$F41,'NEI Lookups'!H:H)+SUMIF('NEI Lookups'!$Q:$Q,'Inputs Yr 2'!$F41,'NEI Lookups'!H:H)+SUMIF('NEI Lookups'!$R:$R,'Inputs Yr 2'!$F41,'NEI Lookups'!H:H)+SUMIF('NEI Lookups'!$S:$S,'Inputs Yr 2'!$F41,'NEI Lookups'!H:H)+SUMIF('NEI Lookups'!$T:$T,'Inputs Yr 2'!$F41,'NEI Lookups'!H:H)</f>
        <v>0</v>
      </c>
      <c r="AW41" s="302">
        <f>SUMIF('NEI Lookups'!$L:$L,'Inputs Yr 2'!$F41,'NEI Lookups'!I:I)+SUMIF('NEI Lookups'!$M:$M,'Inputs Yr 2'!$F41,'NEI Lookups'!I:I)+SUMIF('NEI Lookups'!$N:$N,'Inputs Yr 2'!$F41,'NEI Lookups'!I:I)+SUMIF('NEI Lookups'!$O:$O,'Inputs Yr 2'!$F41,'NEI Lookups'!I:I)+SUMIF('NEI Lookups'!$P:$P,'Inputs Yr 2'!$F41,'NEI Lookups'!I:I)+SUMIF('NEI Lookups'!$Q:$Q,'Inputs Yr 2'!$F41,'NEI Lookups'!I:I)+SUMIF('NEI Lookups'!$R:$R,'Inputs Yr 2'!$F41,'NEI Lookups'!I:I)+SUMIF('NEI Lookups'!$S:$S,'Inputs Yr 2'!$F41,'NEI Lookups'!I:I)+SUMIF('NEI Lookups'!$T:$T,'Inputs Yr 2'!$F41,'NEI Lookups'!I:I)</f>
        <v>0</v>
      </c>
      <c r="AX41" s="302">
        <f>SUMIF('NEI Lookups'!$L:$L,'Inputs Yr 2'!$F41,'NEI Lookups'!J:J)+SUMIF('NEI Lookups'!$M:$M,'Inputs Yr 2'!$F41,'NEI Lookups'!J:J)+SUMIF('NEI Lookups'!$N:$N,'Inputs Yr 2'!$F41,'NEI Lookups'!J:J)+SUMIF('NEI Lookups'!$O:$O,'Inputs Yr 2'!$F41,'NEI Lookups'!J:J)+SUMIF('NEI Lookups'!$P:$P,'Inputs Yr 2'!$F41,'NEI Lookups'!J:J)+SUMIF('NEI Lookups'!$Q:$Q,'Inputs Yr 2'!$F41,'NEI Lookups'!J:J)+SUMIF('NEI Lookups'!$R:$R,'Inputs Yr 2'!$F41,'NEI Lookups'!J:J)+SUMIF('NEI Lookups'!$S:$S,'Inputs Yr 2'!$F41,'NEI Lookups'!J:J)+SUMIF('NEI Lookups'!$T:$T,'Inputs Yr 2'!$F41,'NEI Lookups'!J:J)</f>
        <v>0</v>
      </c>
      <c r="AY41" s="930" t="e">
        <f>'Calculations Yr 2'!CP41/'Calculations Yr 2'!I41</f>
        <v>#VALUE!</v>
      </c>
    </row>
    <row r="42" spans="1:51" s="133" customFormat="1" ht="12.75" customHeight="1">
      <c r="A42" s="145" t="s">
        <v>32</v>
      </c>
      <c r="B42" s="132" t="s">
        <v>462</v>
      </c>
      <c r="C42" s="909" t="s">
        <v>741</v>
      </c>
      <c r="D42" s="907" t="s">
        <v>1437</v>
      </c>
      <c r="E42" s="98" t="s">
        <v>1299</v>
      </c>
      <c r="F42" s="98" t="s">
        <v>966</v>
      </c>
      <c r="G42" s="145" t="s">
        <v>460</v>
      </c>
      <c r="H42" s="232">
        <v>6480</v>
      </c>
      <c r="I42" s="232">
        <v>25</v>
      </c>
      <c r="J42" s="964">
        <v>2102.5857530864187</v>
      </c>
      <c r="K42" s="166">
        <v>1664.2830493827153</v>
      </c>
      <c r="L42" s="888">
        <f t="shared" si="0"/>
        <v>438.3027037037034</v>
      </c>
      <c r="M42" s="978">
        <v>0.25</v>
      </c>
      <c r="N42" s="978">
        <v>0.2</v>
      </c>
      <c r="O42" s="978">
        <v>0.28000000000000003</v>
      </c>
      <c r="P42" s="896">
        <f>1-M42+N42+O42</f>
        <v>1.23</v>
      </c>
      <c r="Q42" s="978">
        <v>1</v>
      </c>
      <c r="R42" s="178">
        <v>1</v>
      </c>
      <c r="S42" s="178">
        <v>1</v>
      </c>
      <c r="T42" s="178">
        <v>1</v>
      </c>
      <c r="U42" s="980">
        <v>0.74</v>
      </c>
      <c r="V42" s="978">
        <v>1</v>
      </c>
      <c r="W42" s="179">
        <v>209</v>
      </c>
      <c r="X42" s="99" t="s">
        <v>832</v>
      </c>
      <c r="Y42" s="299">
        <f>IFERROR(VLOOKUP($X42,'Demand Lookups'!$A$5:$K$101,9,0), 0)</f>
        <v>7.129186602870813E-4</v>
      </c>
      <c r="Z42" s="922" t="str">
        <f>IFERROR(VLOOKUP(X42,'Demand Lookups'!$A$5:$B$101,2,0),0)</f>
        <v>Res Single Family Combo Cooling and Furnace Fan for HES (gas ht)</v>
      </c>
      <c r="AA42" s="835">
        <f>ROUND(IF(ISNA(VLOOKUP($X42,'Demand Lookups'!$A$5:$K$81,3,0)),0,VLOOKUP($X42,'Demand Lookups'!$A$5:$K$81,3,0)),2)</f>
        <v>0.26</v>
      </c>
      <c r="AB42" s="835">
        <f>ROUND(IF(ISNA(VLOOKUP($X42,'Demand Lookups'!$A$5:$K$81,4,0)),0,VLOOKUP($X42,'Demand Lookups'!$A$5:$K$81,4,0)),2)</f>
        <v>0.43</v>
      </c>
      <c r="AC42" s="835">
        <f>ROUND(IF(ISNA(VLOOKUP($X42,'Demand Lookups'!$A$5:$K$81,5,0)),0,VLOOKUP($X42,'Demand Lookups'!$A$5:$K$81,5,0)),2)</f>
        <v>0.17</v>
      </c>
      <c r="AD42" s="836">
        <f>ROUND(IF(ISNA(VLOOKUP($X42,'Demand Lookups'!$A$5:$K$81,6,0)),0,VLOOKUP($X42,'Demand Lookups'!$A$5:$K$81,6,0)),2)</f>
        <v>0.14000000000000001</v>
      </c>
      <c r="AE42" s="837">
        <f t="shared" ref="AE42:AE51" si="7">IF(ISERROR(W42*Y42),"",W42*Y42)</f>
        <v>0.14899999999999999</v>
      </c>
      <c r="AF42" s="836">
        <f>ROUND(IF(ISNA(VLOOKUP($X42,'Demand Lookups'!$A$5:$K$82,10,0)),0,(VLOOKUP($X42,'Demand Lookups'!$A$5:$K$82,10,0))),2)</f>
        <v>1</v>
      </c>
      <c r="AG42" s="836">
        <f>ROUND(IF(ISNA(VLOOKUP($X42,'Demand Lookups'!$A$5:$K$82,11,0)),0,VLOOKUP($X42,'Demand Lookups'!$A$5:$K$82,11,0)),2)</f>
        <v>0.51</v>
      </c>
      <c r="AH42" s="648">
        <f>AF42</f>
        <v>1</v>
      </c>
      <c r="AI42" s="648">
        <f>AF42</f>
        <v>1</v>
      </c>
      <c r="AJ42" s="167" t="s">
        <v>404</v>
      </c>
      <c r="AK42" s="846">
        <v>15.129244219320949</v>
      </c>
      <c r="AL42" s="167"/>
      <c r="AM42" s="168"/>
      <c r="AN42" s="167"/>
      <c r="AO42" s="168"/>
      <c r="AP42" s="924">
        <v>0</v>
      </c>
      <c r="AQ42" s="171"/>
      <c r="AR42" s="171"/>
      <c r="AS42" s="299">
        <f>SUMIF('NEI Lookups'!$L:$L,'Inputs Yr 2'!$F42,'NEI Lookups'!E:E)+SUMIF('NEI Lookups'!$M:$M,'Inputs Yr 2'!$F42,'NEI Lookups'!E:E)+SUMIF('NEI Lookups'!$N:$N,'Inputs Yr 2'!$F42,'NEI Lookups'!E:E)+SUMIF('NEI Lookups'!$O:$O,'Inputs Yr 2'!$F42,'NEI Lookups'!E:E)+SUMIF('NEI Lookups'!$P:$P,'Inputs Yr 2'!$F42,'NEI Lookups'!E:E)+SUMIF('NEI Lookups'!$Q:$Q,'Inputs Yr 2'!$F42,'NEI Lookups'!E:E)+SUMIF('NEI Lookups'!$R:$R,'Inputs Yr 2'!$F42,'NEI Lookups'!E:E)+SUMIF('NEI Lookups'!$S:$S,'Inputs Yr 2'!$F42,'NEI Lookups'!E:E)+SUMIF('NEI Lookups'!$T:$T,'Inputs Yr 2'!$F42,'NEI Lookups'!E:E)</f>
        <v>47.309999999999995</v>
      </c>
      <c r="AT42" s="299">
        <f>SUMIF('NEI Lookups'!$L:$L,'Inputs Yr 2'!$F42,'NEI Lookups'!F:F)+SUMIF('NEI Lookups'!$M:$M,'Inputs Yr 2'!$F42,'NEI Lookups'!F:F)+SUMIF('NEI Lookups'!$N:$N,'Inputs Yr 2'!$F42,'NEI Lookups'!F:F)+SUMIF('NEI Lookups'!$O:$O,'Inputs Yr 2'!$F42,'NEI Lookups'!F:F)+SUMIF('NEI Lookups'!$P:$P,'Inputs Yr 2'!$F42,'NEI Lookups'!F:F)+SUMIF('NEI Lookups'!$Q:$Q,'Inputs Yr 2'!$F42,'NEI Lookups'!F:F)+SUMIF('NEI Lookups'!$R:$R,'Inputs Yr 2'!$F42,'NEI Lookups'!F:F)+SUMIF('NEI Lookups'!$S:$S,'Inputs Yr 2'!$F42,'NEI Lookups'!F:F)+SUMIF('NEI Lookups'!$T:$T,'Inputs Yr 2'!$F42,'NEI Lookups'!F:F)</f>
        <v>0</v>
      </c>
      <c r="AU42" s="299">
        <f>SUMIF('NEI Lookups'!$L:$L,'Inputs Yr 2'!$F42,'NEI Lookups'!G:G)+SUMIF('NEI Lookups'!$M:$M,'Inputs Yr 2'!$F42,'NEI Lookups'!G:G)+SUMIF('NEI Lookups'!$N:$N,'Inputs Yr 2'!$F42,'NEI Lookups'!G:G)+SUMIF('NEI Lookups'!$O:$O,'Inputs Yr 2'!$F42,'NEI Lookups'!G:G)+SUMIF('NEI Lookups'!$P:$P,'Inputs Yr 2'!$F42,'NEI Lookups'!G:G)+SUMIF('NEI Lookups'!$Q:$Q,'Inputs Yr 2'!$F42,'NEI Lookups'!G:G)+SUMIF('NEI Lookups'!$R:$R,'Inputs Yr 2'!$F42,'NEI Lookups'!G:G)+SUMIF('NEI Lookups'!$S:$S,'Inputs Yr 2'!$F42,'NEI Lookups'!G:G)+SUMIF('NEI Lookups'!$T:$T,'Inputs Yr 2'!$F42,'NEI Lookups'!G:G)</f>
        <v>0</v>
      </c>
      <c r="AV42" s="299">
        <f>SUMIF('NEI Lookups'!$L:$L,'Inputs Yr 2'!$F42,'NEI Lookups'!H:H)+SUMIF('NEI Lookups'!$M:$M,'Inputs Yr 2'!$F42,'NEI Lookups'!H:H)+SUMIF('NEI Lookups'!$N:$N,'Inputs Yr 2'!$F42,'NEI Lookups'!H:H)+SUMIF('NEI Lookups'!$O:$O,'Inputs Yr 2'!$F42,'NEI Lookups'!H:H)+SUMIF('NEI Lookups'!$P:$P,'Inputs Yr 2'!$F42,'NEI Lookups'!H:H)+SUMIF('NEI Lookups'!$Q:$Q,'Inputs Yr 2'!$F42,'NEI Lookups'!H:H)+SUMIF('NEI Lookups'!$R:$R,'Inputs Yr 2'!$F42,'NEI Lookups'!H:H)+SUMIF('NEI Lookups'!$S:$S,'Inputs Yr 2'!$F42,'NEI Lookups'!H:H)+SUMIF('NEI Lookups'!$T:$T,'Inputs Yr 2'!$F42,'NEI Lookups'!H:H)</f>
        <v>0</v>
      </c>
      <c r="AW42" s="299">
        <f>SUMIF('NEI Lookups'!$L:$L,'Inputs Yr 2'!$F42,'NEI Lookups'!I:I)+SUMIF('NEI Lookups'!$M:$M,'Inputs Yr 2'!$F42,'NEI Lookups'!I:I)+SUMIF('NEI Lookups'!$N:$N,'Inputs Yr 2'!$F42,'NEI Lookups'!I:I)+SUMIF('NEI Lookups'!$O:$O,'Inputs Yr 2'!$F42,'NEI Lookups'!I:I)+SUMIF('NEI Lookups'!$P:$P,'Inputs Yr 2'!$F42,'NEI Lookups'!I:I)+SUMIF('NEI Lookups'!$Q:$Q,'Inputs Yr 2'!$F42,'NEI Lookups'!I:I)+SUMIF('NEI Lookups'!$R:$R,'Inputs Yr 2'!$F42,'NEI Lookups'!I:I)+SUMIF('NEI Lookups'!$S:$S,'Inputs Yr 2'!$F42,'NEI Lookups'!I:I)+SUMIF('NEI Lookups'!$T:$T,'Inputs Yr 2'!$F42,'NEI Lookups'!I:I)</f>
        <v>0</v>
      </c>
      <c r="AX42" s="299">
        <f>SUMIF('NEI Lookups'!$L:$L,'Inputs Yr 2'!$F42,'NEI Lookups'!J:J)+SUMIF('NEI Lookups'!$M:$M,'Inputs Yr 2'!$F42,'NEI Lookups'!J:J)+SUMIF('NEI Lookups'!$N:$N,'Inputs Yr 2'!$F42,'NEI Lookups'!J:J)+SUMIF('NEI Lookups'!$O:$O,'Inputs Yr 2'!$F42,'NEI Lookups'!J:J)+SUMIF('NEI Lookups'!$P:$P,'Inputs Yr 2'!$F42,'NEI Lookups'!J:J)+SUMIF('NEI Lookups'!$Q:$Q,'Inputs Yr 2'!$F42,'NEI Lookups'!J:J)+SUMIF('NEI Lookups'!$R:$R,'Inputs Yr 2'!$F42,'NEI Lookups'!J:J)+SUMIF('NEI Lookups'!$S:$S,'Inputs Yr 2'!$F42,'NEI Lookups'!J:J)+SUMIF('NEI Lookups'!$T:$T,'Inputs Yr 2'!$F42,'NEI Lookups'!J:J)</f>
        <v>0</v>
      </c>
      <c r="AY42" s="931">
        <f>'Calculations Yr 2'!CP42/'Calculations Yr 2'!I42</f>
        <v>2.5169766184323357</v>
      </c>
    </row>
    <row r="43" spans="1:51" s="133" customFormat="1" ht="12.75" customHeight="1">
      <c r="A43" s="145" t="s">
        <v>32</v>
      </c>
      <c r="B43" s="132" t="s">
        <v>462</v>
      </c>
      <c r="C43" s="132" t="s">
        <v>741</v>
      </c>
      <c r="D43" s="907" t="s">
        <v>1438</v>
      </c>
      <c r="E43" s="98" t="s">
        <v>1298</v>
      </c>
      <c r="F43" s="98" t="s">
        <v>967</v>
      </c>
      <c r="G43" s="145" t="s">
        <v>460</v>
      </c>
      <c r="H43" s="232">
        <v>5578</v>
      </c>
      <c r="I43" s="232">
        <v>15</v>
      </c>
      <c r="J43" s="964">
        <v>755.74493546073859</v>
      </c>
      <c r="K43" s="166">
        <v>755.74493546073859</v>
      </c>
      <c r="L43" s="888">
        <f t="shared" si="0"/>
        <v>0</v>
      </c>
      <c r="M43" s="978">
        <v>0.08</v>
      </c>
      <c r="N43" s="978">
        <v>0.08</v>
      </c>
      <c r="O43" s="978">
        <v>0.28000000000000003</v>
      </c>
      <c r="P43" s="889">
        <f>1-M43+N43+O43</f>
        <v>1.28</v>
      </c>
      <c r="Q43" s="978">
        <v>1</v>
      </c>
      <c r="R43" s="178">
        <v>1</v>
      </c>
      <c r="S43" s="178">
        <v>1</v>
      </c>
      <c r="T43" s="178">
        <v>1</v>
      </c>
      <c r="U43" s="980">
        <v>0.74</v>
      </c>
      <c r="V43" s="978">
        <v>1</v>
      </c>
      <c r="W43" s="179"/>
      <c r="X43" s="937" t="s">
        <v>653</v>
      </c>
      <c r="Y43" s="299">
        <f>IFERROR(VLOOKUP($X43,'Demand Lookups'!$A$5:$K$101,9,0), 0)</f>
        <v>0</v>
      </c>
      <c r="Z43" s="922" t="str">
        <f>IFERROR(VLOOKUP(X43,'Demand Lookups'!$A$5:$B$101,2,0),0)</f>
        <v>Non-Electric Measures</v>
      </c>
      <c r="AA43" s="722">
        <f>IF(ISNA(VLOOKUP($X43,'Demand Lookups'!$A$5:$K$81,3,0)),0,VLOOKUP($X43,'Demand Lookups'!$A$5:$K$81,3,0))</f>
        <v>0</v>
      </c>
      <c r="AB43" s="722">
        <f>IF(ISNA(VLOOKUP($X43,'Demand Lookups'!$A$5:$K$81,4,0)),0,VLOOKUP($X43,'Demand Lookups'!$A$5:$K$81,4,0))</f>
        <v>0</v>
      </c>
      <c r="AC43" s="722">
        <f>IF(ISNA(VLOOKUP($X43,'Demand Lookups'!$A$5:$K$81,5,0)),0,VLOOKUP($X43,'Demand Lookups'!$A$5:$K$81,5,0))</f>
        <v>0</v>
      </c>
      <c r="AD43" s="723">
        <f>IF(ISNA(VLOOKUP($X43,'Demand Lookups'!$A$5:$K$81,6,0)),0,VLOOKUP($X43,'Demand Lookups'!$A$5:$K$81,6,0))</f>
        <v>0</v>
      </c>
      <c r="AE43" s="724">
        <f t="shared" si="7"/>
        <v>0</v>
      </c>
      <c r="AF43" s="723">
        <f>ROUND(IF(ISNA(VLOOKUP($X43,'Demand Lookups'!$A$5:$K$82,10,0)),0,(VLOOKUP($X43,'Demand Lookups'!$A$5:$K$82,10,0))),2)</f>
        <v>0</v>
      </c>
      <c r="AG43" s="723">
        <f>ROUND(IF(ISNA(VLOOKUP($X43,'Demand Lookups'!$A$5:$K$82,11,0)),0,VLOOKUP($X43,'Demand Lookups'!$A$5:$K$82,11,0)),2)</f>
        <v>0</v>
      </c>
      <c r="AH43" s="648">
        <f>AF43</f>
        <v>0</v>
      </c>
      <c r="AI43" s="648">
        <f>AF43</f>
        <v>0</v>
      </c>
      <c r="AJ43" s="167" t="s">
        <v>404</v>
      </c>
      <c r="AK43" s="846">
        <v>5.2052537845499449</v>
      </c>
      <c r="AL43" s="167"/>
      <c r="AM43" s="168"/>
      <c r="AN43" s="167"/>
      <c r="AO43" s="168"/>
      <c r="AP43" s="171">
        <v>0</v>
      </c>
      <c r="AQ43" s="171"/>
      <c r="AR43" s="171"/>
      <c r="AS43" s="299">
        <f>SUMIF('NEI Lookups'!$L:$L,'Inputs Yr 2'!$F43,'NEI Lookups'!E:E)+SUMIF('NEI Lookups'!$M:$M,'Inputs Yr 2'!$F43,'NEI Lookups'!E:E)+SUMIF('NEI Lookups'!$N:$N,'Inputs Yr 2'!$F43,'NEI Lookups'!E:E)+SUMIF('NEI Lookups'!$O:$O,'Inputs Yr 2'!$F43,'NEI Lookups'!E:E)+SUMIF('NEI Lookups'!$P:$P,'Inputs Yr 2'!$F43,'NEI Lookups'!E:E)+SUMIF('NEI Lookups'!$Q:$Q,'Inputs Yr 2'!$F43,'NEI Lookups'!E:E)+SUMIF('NEI Lookups'!$R:$R,'Inputs Yr 2'!$F43,'NEI Lookups'!E:E)+SUMIF('NEI Lookups'!$S:$S,'Inputs Yr 2'!$F43,'NEI Lookups'!E:E)+SUMIF('NEI Lookups'!$T:$T,'Inputs Yr 2'!$F43,'NEI Lookups'!E:E)</f>
        <v>19.28</v>
      </c>
      <c r="AT43" s="299">
        <f>SUMIF('NEI Lookups'!$L:$L,'Inputs Yr 2'!$F43,'NEI Lookups'!F:F)+SUMIF('NEI Lookups'!$M:$M,'Inputs Yr 2'!$F43,'NEI Lookups'!F:F)+SUMIF('NEI Lookups'!$N:$N,'Inputs Yr 2'!$F43,'NEI Lookups'!F:F)+SUMIF('NEI Lookups'!$O:$O,'Inputs Yr 2'!$F43,'NEI Lookups'!F:F)+SUMIF('NEI Lookups'!$P:$P,'Inputs Yr 2'!$F43,'NEI Lookups'!F:F)+SUMIF('NEI Lookups'!$Q:$Q,'Inputs Yr 2'!$F43,'NEI Lookups'!F:F)+SUMIF('NEI Lookups'!$R:$R,'Inputs Yr 2'!$F43,'NEI Lookups'!F:F)+SUMIF('NEI Lookups'!$S:$S,'Inputs Yr 2'!$F43,'NEI Lookups'!F:F)+SUMIF('NEI Lookups'!$T:$T,'Inputs Yr 2'!$F43,'NEI Lookups'!F:F)</f>
        <v>0</v>
      </c>
      <c r="AU43" s="299">
        <f>SUMIF('NEI Lookups'!$L:$L,'Inputs Yr 2'!$F43,'NEI Lookups'!G:G)+SUMIF('NEI Lookups'!$M:$M,'Inputs Yr 2'!$F43,'NEI Lookups'!G:G)+SUMIF('NEI Lookups'!$N:$N,'Inputs Yr 2'!$F43,'NEI Lookups'!G:G)+SUMIF('NEI Lookups'!$O:$O,'Inputs Yr 2'!$F43,'NEI Lookups'!G:G)+SUMIF('NEI Lookups'!$P:$P,'Inputs Yr 2'!$F43,'NEI Lookups'!G:G)+SUMIF('NEI Lookups'!$Q:$Q,'Inputs Yr 2'!$F43,'NEI Lookups'!G:G)+SUMIF('NEI Lookups'!$R:$R,'Inputs Yr 2'!$F43,'NEI Lookups'!G:G)+SUMIF('NEI Lookups'!$S:$S,'Inputs Yr 2'!$F43,'NEI Lookups'!G:G)+SUMIF('NEI Lookups'!$T:$T,'Inputs Yr 2'!$F43,'NEI Lookups'!G:G)</f>
        <v>0</v>
      </c>
      <c r="AV43" s="299">
        <f>SUMIF('NEI Lookups'!$L:$L,'Inputs Yr 2'!$F43,'NEI Lookups'!H:H)+SUMIF('NEI Lookups'!$M:$M,'Inputs Yr 2'!$F43,'NEI Lookups'!H:H)+SUMIF('NEI Lookups'!$N:$N,'Inputs Yr 2'!$F43,'NEI Lookups'!H:H)+SUMIF('NEI Lookups'!$O:$O,'Inputs Yr 2'!$F43,'NEI Lookups'!H:H)+SUMIF('NEI Lookups'!$P:$P,'Inputs Yr 2'!$F43,'NEI Lookups'!H:H)+SUMIF('NEI Lookups'!$Q:$Q,'Inputs Yr 2'!$F43,'NEI Lookups'!H:H)+SUMIF('NEI Lookups'!$R:$R,'Inputs Yr 2'!$F43,'NEI Lookups'!H:H)+SUMIF('NEI Lookups'!$S:$S,'Inputs Yr 2'!$F43,'NEI Lookups'!H:H)+SUMIF('NEI Lookups'!$T:$T,'Inputs Yr 2'!$F43,'NEI Lookups'!H:H)</f>
        <v>0</v>
      </c>
      <c r="AW43" s="299">
        <f>SUMIF('NEI Lookups'!$L:$L,'Inputs Yr 2'!$F43,'NEI Lookups'!I:I)+SUMIF('NEI Lookups'!$M:$M,'Inputs Yr 2'!$F43,'NEI Lookups'!I:I)+SUMIF('NEI Lookups'!$N:$N,'Inputs Yr 2'!$F43,'NEI Lookups'!I:I)+SUMIF('NEI Lookups'!$O:$O,'Inputs Yr 2'!$F43,'NEI Lookups'!I:I)+SUMIF('NEI Lookups'!$P:$P,'Inputs Yr 2'!$F43,'NEI Lookups'!I:I)+SUMIF('NEI Lookups'!$Q:$Q,'Inputs Yr 2'!$F43,'NEI Lookups'!I:I)+SUMIF('NEI Lookups'!$R:$R,'Inputs Yr 2'!$F43,'NEI Lookups'!I:I)+SUMIF('NEI Lookups'!$S:$S,'Inputs Yr 2'!$F43,'NEI Lookups'!I:I)+SUMIF('NEI Lookups'!$T:$T,'Inputs Yr 2'!$F43,'NEI Lookups'!I:I)</f>
        <v>0</v>
      </c>
      <c r="AX43" s="299">
        <f>SUMIF('NEI Lookups'!$L:$L,'Inputs Yr 2'!$F43,'NEI Lookups'!J:J)+SUMIF('NEI Lookups'!$M:$M,'Inputs Yr 2'!$F43,'NEI Lookups'!J:J)+SUMIF('NEI Lookups'!$N:$N,'Inputs Yr 2'!$F43,'NEI Lookups'!J:J)+SUMIF('NEI Lookups'!$O:$O,'Inputs Yr 2'!$F43,'NEI Lookups'!J:J)+SUMIF('NEI Lookups'!$P:$P,'Inputs Yr 2'!$F43,'NEI Lookups'!J:J)+SUMIF('NEI Lookups'!$Q:$Q,'Inputs Yr 2'!$F43,'NEI Lookups'!J:J)+SUMIF('NEI Lookups'!$R:$R,'Inputs Yr 2'!$F43,'NEI Lookups'!J:J)+SUMIF('NEI Lookups'!$S:$S,'Inputs Yr 2'!$F43,'NEI Lookups'!J:J)+SUMIF('NEI Lookups'!$T:$T,'Inputs Yr 2'!$F43,'NEI Lookups'!J:J)</f>
        <v>0</v>
      </c>
      <c r="AY43" s="930">
        <f>'Calculations Yr 2'!CP43/'Calculations Yr 2'!I43</f>
        <v>1.0648628361073489</v>
      </c>
    </row>
    <row r="44" spans="1:51" s="133" customFormat="1" ht="12.75" customHeight="1">
      <c r="A44" s="145" t="s">
        <v>32</v>
      </c>
      <c r="B44" s="132" t="s">
        <v>462</v>
      </c>
      <c r="C44" s="132" t="s">
        <v>741</v>
      </c>
      <c r="D44" s="907" t="s">
        <v>1439</v>
      </c>
      <c r="E44" s="98" t="s">
        <v>1301</v>
      </c>
      <c r="F44" s="98" t="s">
        <v>968</v>
      </c>
      <c r="G44" s="145" t="s">
        <v>1247</v>
      </c>
      <c r="H44" s="232">
        <v>52</v>
      </c>
      <c r="I44" s="232">
        <v>20</v>
      </c>
      <c r="J44" s="964">
        <v>323.12384615384622</v>
      </c>
      <c r="K44" s="166">
        <v>323.12384615384622</v>
      </c>
      <c r="L44" s="888">
        <f t="shared" si="0"/>
        <v>0</v>
      </c>
      <c r="M44" s="978">
        <v>0</v>
      </c>
      <c r="N44" s="978">
        <v>0</v>
      </c>
      <c r="O44" s="978">
        <v>0</v>
      </c>
      <c r="P44" s="889">
        <f>1-M44+N44+O44</f>
        <v>1</v>
      </c>
      <c r="Q44" s="978">
        <v>1</v>
      </c>
      <c r="R44" s="178">
        <v>1</v>
      </c>
      <c r="S44" s="178">
        <v>1</v>
      </c>
      <c r="T44" s="178">
        <v>1</v>
      </c>
      <c r="U44" s="980">
        <v>1</v>
      </c>
      <c r="V44" s="978">
        <v>1</v>
      </c>
      <c r="W44" s="179"/>
      <c r="X44" s="937" t="s">
        <v>653</v>
      </c>
      <c r="Y44" s="299">
        <f>IFERROR(VLOOKUP($X44,'Demand Lookups'!$A$5:$K$101,9,0), 0)</f>
        <v>0</v>
      </c>
      <c r="Z44" s="922" t="str">
        <f>IFERROR(VLOOKUP(X44,'Demand Lookups'!$A$5:$B$101,2,0),0)</f>
        <v>Non-Electric Measures</v>
      </c>
      <c r="AA44" s="722">
        <f>IF(ISNA(VLOOKUP($X44,'Demand Lookups'!$A$5:$K$81,3,0)),0,VLOOKUP($X44,'Demand Lookups'!$A$5:$K$81,3,0))</f>
        <v>0</v>
      </c>
      <c r="AB44" s="722">
        <f>IF(ISNA(VLOOKUP($X44,'Demand Lookups'!$A$5:$K$81,4,0)),0,VLOOKUP($X44,'Demand Lookups'!$A$5:$K$81,4,0))</f>
        <v>0</v>
      </c>
      <c r="AC44" s="722">
        <f>IF(ISNA(VLOOKUP($X44,'Demand Lookups'!$A$5:$K$81,5,0)),0,VLOOKUP($X44,'Demand Lookups'!$A$5:$K$81,5,0))</f>
        <v>0</v>
      </c>
      <c r="AD44" s="723">
        <f>IF(ISNA(VLOOKUP($X44,'Demand Lookups'!$A$5:$K$81,6,0)),0,VLOOKUP($X44,'Demand Lookups'!$A$5:$K$81,6,0))</f>
        <v>0</v>
      </c>
      <c r="AE44" s="724">
        <f t="shared" si="7"/>
        <v>0</v>
      </c>
      <c r="AF44" s="723">
        <f>ROUND(IF(ISNA(VLOOKUP($X44,'Demand Lookups'!$A$5:$K$82,10,0)),0,(VLOOKUP($X44,'Demand Lookups'!$A$5:$K$82,10,0))),2)</f>
        <v>0</v>
      </c>
      <c r="AG44" s="723">
        <f>ROUND(IF(ISNA(VLOOKUP($X44,'Demand Lookups'!$A$5:$K$82,11,0)),0,VLOOKUP($X44,'Demand Lookups'!$A$5:$K$82,11,0)),2)</f>
        <v>0</v>
      </c>
      <c r="AH44" s="648">
        <f>AF44</f>
        <v>0</v>
      </c>
      <c r="AI44" s="648">
        <f>AF44</f>
        <v>0</v>
      </c>
      <c r="AJ44" s="167" t="s">
        <v>404</v>
      </c>
      <c r="AK44" s="846">
        <v>1.8667463076923076</v>
      </c>
      <c r="AL44" s="167"/>
      <c r="AM44" s="168"/>
      <c r="AN44" s="167"/>
      <c r="AO44" s="168"/>
      <c r="AP44" s="171">
        <v>0</v>
      </c>
      <c r="AQ44" s="171"/>
      <c r="AR44" s="171"/>
      <c r="AS44" s="299">
        <f>SUMIF('NEI Lookups'!$L:$L,'Inputs Yr 2'!$F44,'NEI Lookups'!E:E)+SUMIF('NEI Lookups'!$M:$M,'Inputs Yr 2'!$F44,'NEI Lookups'!E:E)+SUMIF('NEI Lookups'!$N:$N,'Inputs Yr 2'!$F44,'NEI Lookups'!E:E)+SUMIF('NEI Lookups'!$O:$O,'Inputs Yr 2'!$F44,'NEI Lookups'!E:E)+SUMIF('NEI Lookups'!$P:$P,'Inputs Yr 2'!$F44,'NEI Lookups'!E:E)+SUMIF('NEI Lookups'!$Q:$Q,'Inputs Yr 2'!$F44,'NEI Lookups'!E:E)+SUMIF('NEI Lookups'!$R:$R,'Inputs Yr 2'!$F44,'NEI Lookups'!E:E)+SUMIF('NEI Lookups'!$S:$S,'Inputs Yr 2'!$F44,'NEI Lookups'!E:E)+SUMIF('NEI Lookups'!$T:$T,'Inputs Yr 2'!$F44,'NEI Lookups'!E:E)</f>
        <v>0.23</v>
      </c>
      <c r="AT44" s="299">
        <f>SUMIF('NEI Lookups'!$L:$L,'Inputs Yr 2'!$F44,'NEI Lookups'!F:F)+SUMIF('NEI Lookups'!$M:$M,'Inputs Yr 2'!$F44,'NEI Lookups'!F:F)+SUMIF('NEI Lookups'!$N:$N,'Inputs Yr 2'!$F44,'NEI Lookups'!F:F)+SUMIF('NEI Lookups'!$O:$O,'Inputs Yr 2'!$F44,'NEI Lookups'!F:F)+SUMIF('NEI Lookups'!$P:$P,'Inputs Yr 2'!$F44,'NEI Lookups'!F:F)+SUMIF('NEI Lookups'!$Q:$Q,'Inputs Yr 2'!$F44,'NEI Lookups'!F:F)+SUMIF('NEI Lookups'!$R:$R,'Inputs Yr 2'!$F44,'NEI Lookups'!F:F)+SUMIF('NEI Lookups'!$S:$S,'Inputs Yr 2'!$F44,'NEI Lookups'!F:F)+SUMIF('NEI Lookups'!$T:$T,'Inputs Yr 2'!$F44,'NEI Lookups'!F:F)</f>
        <v>0</v>
      </c>
      <c r="AU44" s="299">
        <f>SUMIF('NEI Lookups'!$L:$L,'Inputs Yr 2'!$F44,'NEI Lookups'!G:G)+SUMIF('NEI Lookups'!$M:$M,'Inputs Yr 2'!$F44,'NEI Lookups'!G:G)+SUMIF('NEI Lookups'!$N:$N,'Inputs Yr 2'!$F44,'NEI Lookups'!G:G)+SUMIF('NEI Lookups'!$O:$O,'Inputs Yr 2'!$F44,'NEI Lookups'!G:G)+SUMIF('NEI Lookups'!$P:$P,'Inputs Yr 2'!$F44,'NEI Lookups'!G:G)+SUMIF('NEI Lookups'!$Q:$Q,'Inputs Yr 2'!$F44,'NEI Lookups'!G:G)+SUMIF('NEI Lookups'!$R:$R,'Inputs Yr 2'!$F44,'NEI Lookups'!G:G)+SUMIF('NEI Lookups'!$S:$S,'Inputs Yr 2'!$F44,'NEI Lookups'!G:G)+SUMIF('NEI Lookups'!$T:$T,'Inputs Yr 2'!$F44,'NEI Lookups'!G:G)</f>
        <v>0</v>
      </c>
      <c r="AV44" s="299">
        <f>SUMIF('NEI Lookups'!$L:$L,'Inputs Yr 2'!$F44,'NEI Lookups'!H:H)+SUMIF('NEI Lookups'!$M:$M,'Inputs Yr 2'!$F44,'NEI Lookups'!H:H)+SUMIF('NEI Lookups'!$N:$N,'Inputs Yr 2'!$F44,'NEI Lookups'!H:H)+SUMIF('NEI Lookups'!$O:$O,'Inputs Yr 2'!$F44,'NEI Lookups'!H:H)+SUMIF('NEI Lookups'!$P:$P,'Inputs Yr 2'!$F44,'NEI Lookups'!H:H)+SUMIF('NEI Lookups'!$Q:$Q,'Inputs Yr 2'!$F44,'NEI Lookups'!H:H)+SUMIF('NEI Lookups'!$R:$R,'Inputs Yr 2'!$F44,'NEI Lookups'!H:H)+SUMIF('NEI Lookups'!$S:$S,'Inputs Yr 2'!$F44,'NEI Lookups'!H:H)+SUMIF('NEI Lookups'!$T:$T,'Inputs Yr 2'!$F44,'NEI Lookups'!H:H)</f>
        <v>0</v>
      </c>
      <c r="AW44" s="299">
        <f>SUMIF('NEI Lookups'!$L:$L,'Inputs Yr 2'!$F44,'NEI Lookups'!I:I)+SUMIF('NEI Lookups'!$M:$M,'Inputs Yr 2'!$F44,'NEI Lookups'!I:I)+SUMIF('NEI Lookups'!$N:$N,'Inputs Yr 2'!$F44,'NEI Lookups'!I:I)+SUMIF('NEI Lookups'!$O:$O,'Inputs Yr 2'!$F44,'NEI Lookups'!I:I)+SUMIF('NEI Lookups'!$P:$P,'Inputs Yr 2'!$F44,'NEI Lookups'!I:I)+SUMIF('NEI Lookups'!$Q:$Q,'Inputs Yr 2'!$F44,'NEI Lookups'!I:I)+SUMIF('NEI Lookups'!$R:$R,'Inputs Yr 2'!$F44,'NEI Lookups'!I:I)+SUMIF('NEI Lookups'!$S:$S,'Inputs Yr 2'!$F44,'NEI Lookups'!I:I)+SUMIF('NEI Lookups'!$T:$T,'Inputs Yr 2'!$F44,'NEI Lookups'!I:I)</f>
        <v>0</v>
      </c>
      <c r="AX44" s="299">
        <f>SUMIF('NEI Lookups'!$L:$L,'Inputs Yr 2'!$F44,'NEI Lookups'!J:J)+SUMIF('NEI Lookups'!$M:$M,'Inputs Yr 2'!$F44,'NEI Lookups'!J:J)+SUMIF('NEI Lookups'!$N:$N,'Inputs Yr 2'!$F44,'NEI Lookups'!J:J)+SUMIF('NEI Lookups'!$O:$O,'Inputs Yr 2'!$F44,'NEI Lookups'!J:J)+SUMIF('NEI Lookups'!$P:$P,'Inputs Yr 2'!$F44,'NEI Lookups'!J:J)+SUMIF('NEI Lookups'!$Q:$Q,'Inputs Yr 2'!$F44,'NEI Lookups'!J:J)+SUMIF('NEI Lookups'!$R:$R,'Inputs Yr 2'!$F44,'NEI Lookups'!J:J)+SUMIF('NEI Lookups'!$S:$S,'Inputs Yr 2'!$F44,'NEI Lookups'!J:J)+SUMIF('NEI Lookups'!$T:$T,'Inputs Yr 2'!$F44,'NEI Lookups'!J:J)</f>
        <v>0</v>
      </c>
      <c r="AY44" s="930">
        <f>'Calculations Yr 2'!CP44/'Calculations Yr 2'!I44</f>
        <v>1.0774398489789856</v>
      </c>
    </row>
    <row r="45" spans="1:51" s="133" customFormat="1" ht="12.75" customHeight="1">
      <c r="A45" s="145" t="s">
        <v>32</v>
      </c>
      <c r="B45" s="132" t="s">
        <v>462</v>
      </c>
      <c r="C45" s="132" t="s">
        <v>741</v>
      </c>
      <c r="D45" s="907" t="s">
        <v>1440</v>
      </c>
      <c r="E45" s="98" t="s">
        <v>1312</v>
      </c>
      <c r="F45" s="98" t="s">
        <v>969</v>
      </c>
      <c r="G45" s="145" t="s">
        <v>1247</v>
      </c>
      <c r="H45" s="232">
        <v>13</v>
      </c>
      <c r="I45" s="232">
        <v>20</v>
      </c>
      <c r="J45" s="964">
        <v>414.36076923076922</v>
      </c>
      <c r="K45" s="166">
        <v>414.36076923076922</v>
      </c>
      <c r="L45" s="888">
        <f t="shared" si="0"/>
        <v>0</v>
      </c>
      <c r="M45" s="978">
        <v>0</v>
      </c>
      <c r="N45" s="978">
        <v>0</v>
      </c>
      <c r="O45" s="978">
        <v>0</v>
      </c>
      <c r="P45" s="889">
        <f>1-M45+N45+O45</f>
        <v>1</v>
      </c>
      <c r="Q45" s="978">
        <v>1</v>
      </c>
      <c r="R45" s="178">
        <v>1</v>
      </c>
      <c r="S45" s="178">
        <v>1</v>
      </c>
      <c r="T45" s="178">
        <v>1</v>
      </c>
      <c r="U45" s="980">
        <v>1</v>
      </c>
      <c r="V45" s="978">
        <v>1</v>
      </c>
      <c r="W45" s="179"/>
      <c r="X45" s="937" t="s">
        <v>653</v>
      </c>
      <c r="Y45" s="299">
        <f>IFERROR(VLOOKUP($X45,'Demand Lookups'!$A$5:$K$101,9,0), 0)</f>
        <v>0</v>
      </c>
      <c r="Z45" s="922" t="str">
        <f>IFERROR(VLOOKUP(X45,'Demand Lookups'!$A$5:$B$101,2,0),0)</f>
        <v>Non-Electric Measures</v>
      </c>
      <c r="AA45" s="722">
        <f>IF(ISNA(VLOOKUP($X45,'Demand Lookups'!$A$5:$K$81,3,0)),0,VLOOKUP($X45,'Demand Lookups'!$A$5:$K$81,3,0))</f>
        <v>0</v>
      </c>
      <c r="AB45" s="722">
        <f>IF(ISNA(VLOOKUP($X45,'Demand Lookups'!$A$5:$K$81,4,0)),0,VLOOKUP($X45,'Demand Lookups'!$A$5:$K$81,4,0))</f>
        <v>0</v>
      </c>
      <c r="AC45" s="722">
        <f>IF(ISNA(VLOOKUP($X45,'Demand Lookups'!$A$5:$K$81,5,0)),0,VLOOKUP($X45,'Demand Lookups'!$A$5:$K$81,5,0))</f>
        <v>0</v>
      </c>
      <c r="AD45" s="723">
        <f>IF(ISNA(VLOOKUP($X45,'Demand Lookups'!$A$5:$K$81,6,0)),0,VLOOKUP($X45,'Demand Lookups'!$A$5:$K$81,6,0))</f>
        <v>0</v>
      </c>
      <c r="AE45" s="724">
        <f t="shared" si="7"/>
        <v>0</v>
      </c>
      <c r="AF45" s="723">
        <f>ROUND(IF(ISNA(VLOOKUP($X45,'Demand Lookups'!$A$5:$K$82,10,0)),0,(VLOOKUP($X45,'Demand Lookups'!$A$5:$K$82,10,0))),2)</f>
        <v>0</v>
      </c>
      <c r="AG45" s="723">
        <f>ROUND(IF(ISNA(VLOOKUP($X45,'Demand Lookups'!$A$5:$K$82,11,0)),0,VLOOKUP($X45,'Demand Lookups'!$A$5:$K$82,11,0)),2)</f>
        <v>0</v>
      </c>
      <c r="AH45" s="648">
        <f>AF45</f>
        <v>0</v>
      </c>
      <c r="AI45" s="648">
        <f>AF45</f>
        <v>0</v>
      </c>
      <c r="AJ45" s="167" t="s">
        <v>404</v>
      </c>
      <c r="AK45" s="846">
        <v>3.8461538461538458</v>
      </c>
      <c r="AL45" s="167"/>
      <c r="AM45" s="168"/>
      <c r="AN45" s="167"/>
      <c r="AO45" s="168"/>
      <c r="AP45" s="171">
        <v>0</v>
      </c>
      <c r="AQ45" s="171"/>
      <c r="AR45" s="171"/>
      <c r="AS45" s="299">
        <f>SUMIF('NEI Lookups'!$L:$L,'Inputs Yr 2'!$F45,'NEI Lookups'!E:E)+SUMIF('NEI Lookups'!$M:$M,'Inputs Yr 2'!$F45,'NEI Lookups'!E:E)+SUMIF('NEI Lookups'!$N:$N,'Inputs Yr 2'!$F45,'NEI Lookups'!E:E)+SUMIF('NEI Lookups'!$O:$O,'Inputs Yr 2'!$F45,'NEI Lookups'!E:E)+SUMIF('NEI Lookups'!$P:$P,'Inputs Yr 2'!$F45,'NEI Lookups'!E:E)+SUMIF('NEI Lookups'!$Q:$Q,'Inputs Yr 2'!$F45,'NEI Lookups'!E:E)+SUMIF('NEI Lookups'!$R:$R,'Inputs Yr 2'!$F45,'NEI Lookups'!E:E)+SUMIF('NEI Lookups'!$S:$S,'Inputs Yr 2'!$F45,'NEI Lookups'!E:E)+SUMIF('NEI Lookups'!$T:$T,'Inputs Yr 2'!$F45,'NEI Lookups'!E:E)</f>
        <v>0</v>
      </c>
      <c r="AT45" s="299">
        <f>SUMIF('NEI Lookups'!$L:$L,'Inputs Yr 2'!$F45,'NEI Lookups'!F:F)+SUMIF('NEI Lookups'!$M:$M,'Inputs Yr 2'!$F45,'NEI Lookups'!F:F)+SUMIF('NEI Lookups'!$N:$N,'Inputs Yr 2'!$F45,'NEI Lookups'!F:F)+SUMIF('NEI Lookups'!$O:$O,'Inputs Yr 2'!$F45,'NEI Lookups'!F:F)+SUMIF('NEI Lookups'!$P:$P,'Inputs Yr 2'!$F45,'NEI Lookups'!F:F)+SUMIF('NEI Lookups'!$Q:$Q,'Inputs Yr 2'!$F45,'NEI Lookups'!F:F)+SUMIF('NEI Lookups'!$R:$R,'Inputs Yr 2'!$F45,'NEI Lookups'!F:F)+SUMIF('NEI Lookups'!$S:$S,'Inputs Yr 2'!$F45,'NEI Lookups'!F:F)+SUMIF('NEI Lookups'!$T:$T,'Inputs Yr 2'!$F45,'NEI Lookups'!F:F)</f>
        <v>0</v>
      </c>
      <c r="AU45" s="299">
        <f>SUMIF('NEI Lookups'!$L:$L,'Inputs Yr 2'!$F45,'NEI Lookups'!G:G)+SUMIF('NEI Lookups'!$M:$M,'Inputs Yr 2'!$F45,'NEI Lookups'!G:G)+SUMIF('NEI Lookups'!$N:$N,'Inputs Yr 2'!$F45,'NEI Lookups'!G:G)+SUMIF('NEI Lookups'!$O:$O,'Inputs Yr 2'!$F45,'NEI Lookups'!G:G)+SUMIF('NEI Lookups'!$P:$P,'Inputs Yr 2'!$F45,'NEI Lookups'!G:G)+SUMIF('NEI Lookups'!$Q:$Q,'Inputs Yr 2'!$F45,'NEI Lookups'!G:G)+SUMIF('NEI Lookups'!$R:$R,'Inputs Yr 2'!$F45,'NEI Lookups'!G:G)+SUMIF('NEI Lookups'!$S:$S,'Inputs Yr 2'!$F45,'NEI Lookups'!G:G)+SUMIF('NEI Lookups'!$T:$T,'Inputs Yr 2'!$F45,'NEI Lookups'!G:G)</f>
        <v>0</v>
      </c>
      <c r="AV45" s="299">
        <f>SUMIF('NEI Lookups'!$L:$L,'Inputs Yr 2'!$F45,'NEI Lookups'!H:H)+SUMIF('NEI Lookups'!$M:$M,'Inputs Yr 2'!$F45,'NEI Lookups'!H:H)+SUMIF('NEI Lookups'!$N:$N,'Inputs Yr 2'!$F45,'NEI Lookups'!H:H)+SUMIF('NEI Lookups'!$O:$O,'Inputs Yr 2'!$F45,'NEI Lookups'!H:H)+SUMIF('NEI Lookups'!$P:$P,'Inputs Yr 2'!$F45,'NEI Lookups'!H:H)+SUMIF('NEI Lookups'!$Q:$Q,'Inputs Yr 2'!$F45,'NEI Lookups'!H:H)+SUMIF('NEI Lookups'!$R:$R,'Inputs Yr 2'!$F45,'NEI Lookups'!H:H)+SUMIF('NEI Lookups'!$S:$S,'Inputs Yr 2'!$F45,'NEI Lookups'!H:H)+SUMIF('NEI Lookups'!$T:$T,'Inputs Yr 2'!$F45,'NEI Lookups'!H:H)</f>
        <v>0</v>
      </c>
      <c r="AW45" s="299">
        <f>SUMIF('NEI Lookups'!$L:$L,'Inputs Yr 2'!$F45,'NEI Lookups'!I:I)+SUMIF('NEI Lookups'!$M:$M,'Inputs Yr 2'!$F45,'NEI Lookups'!I:I)+SUMIF('NEI Lookups'!$N:$N,'Inputs Yr 2'!$F45,'NEI Lookups'!I:I)+SUMIF('NEI Lookups'!$O:$O,'Inputs Yr 2'!$F45,'NEI Lookups'!I:I)+SUMIF('NEI Lookups'!$P:$P,'Inputs Yr 2'!$F45,'NEI Lookups'!I:I)+SUMIF('NEI Lookups'!$Q:$Q,'Inputs Yr 2'!$F45,'NEI Lookups'!I:I)+SUMIF('NEI Lookups'!$R:$R,'Inputs Yr 2'!$F45,'NEI Lookups'!I:I)+SUMIF('NEI Lookups'!$S:$S,'Inputs Yr 2'!$F45,'NEI Lookups'!I:I)+SUMIF('NEI Lookups'!$T:$T,'Inputs Yr 2'!$F45,'NEI Lookups'!I:I)</f>
        <v>0</v>
      </c>
      <c r="AX45" s="299">
        <f>SUMIF('NEI Lookups'!$L:$L,'Inputs Yr 2'!$F45,'NEI Lookups'!J:J)+SUMIF('NEI Lookups'!$M:$M,'Inputs Yr 2'!$F45,'NEI Lookups'!J:J)+SUMIF('NEI Lookups'!$N:$N,'Inputs Yr 2'!$F45,'NEI Lookups'!J:J)+SUMIF('NEI Lookups'!$O:$O,'Inputs Yr 2'!$F45,'NEI Lookups'!J:J)+SUMIF('NEI Lookups'!$P:$P,'Inputs Yr 2'!$F45,'NEI Lookups'!J:J)+SUMIF('NEI Lookups'!$Q:$Q,'Inputs Yr 2'!$F45,'NEI Lookups'!J:J)+SUMIF('NEI Lookups'!$R:$R,'Inputs Yr 2'!$F45,'NEI Lookups'!J:J)+SUMIF('NEI Lookups'!$S:$S,'Inputs Yr 2'!$F45,'NEI Lookups'!J:J)+SUMIF('NEI Lookups'!$T:$T,'Inputs Yr 2'!$F45,'NEI Lookups'!J:J)</f>
        <v>0</v>
      </c>
      <c r="AY45" s="930">
        <f>'Calculations Yr 2'!CP45/'Calculations Yr 2'!I45</f>
        <v>1.709212987364205</v>
      </c>
    </row>
    <row r="46" spans="1:51" s="133" customFormat="1" ht="12.75" customHeight="1">
      <c r="A46" s="145" t="s">
        <v>32</v>
      </c>
      <c r="B46" s="132" t="s">
        <v>462</v>
      </c>
      <c r="C46" s="132" t="s">
        <v>741</v>
      </c>
      <c r="D46" s="907" t="s">
        <v>1441</v>
      </c>
      <c r="E46" s="98" t="s">
        <v>1302</v>
      </c>
      <c r="F46" s="98" t="s">
        <v>970</v>
      </c>
      <c r="G46" s="145" t="s">
        <v>89</v>
      </c>
      <c r="H46" s="232">
        <v>883</v>
      </c>
      <c r="I46" s="232">
        <v>15</v>
      </c>
      <c r="J46" s="964">
        <v>3.5</v>
      </c>
      <c r="K46" s="166">
        <v>3.5</v>
      </c>
      <c r="L46" s="888">
        <f t="shared" si="0"/>
        <v>0</v>
      </c>
      <c r="M46" s="978">
        <v>0</v>
      </c>
      <c r="N46" s="978">
        <v>0</v>
      </c>
      <c r="O46" s="978">
        <v>0</v>
      </c>
      <c r="P46" s="889">
        <f>1-M46+N46+O46</f>
        <v>1</v>
      </c>
      <c r="Q46" s="978">
        <v>1</v>
      </c>
      <c r="R46" s="178">
        <v>1</v>
      </c>
      <c r="S46" s="178">
        <v>1</v>
      </c>
      <c r="T46" s="178">
        <v>1</v>
      </c>
      <c r="U46" s="980">
        <v>1</v>
      </c>
      <c r="V46" s="978">
        <v>1</v>
      </c>
      <c r="W46" s="179"/>
      <c r="X46" s="937" t="s">
        <v>653</v>
      </c>
      <c r="Y46" s="299">
        <f>IFERROR(VLOOKUP($X46,'Demand Lookups'!$A$5:$K$101,9,0), 0)</f>
        <v>0</v>
      </c>
      <c r="Z46" s="922" t="str">
        <f>IFERROR(VLOOKUP(X46,'Demand Lookups'!$A$5:$B$101,2,0),0)</f>
        <v>Non-Electric Measures</v>
      </c>
      <c r="AA46" s="722">
        <f>IF(ISNA(VLOOKUP($X46,'Demand Lookups'!$A$5:$K$81,3,0)),0,VLOOKUP($X46,'Demand Lookups'!$A$5:$K$81,3,0))</f>
        <v>0</v>
      </c>
      <c r="AB46" s="722">
        <f>IF(ISNA(VLOOKUP($X46,'Demand Lookups'!$A$5:$K$81,4,0)),0,VLOOKUP($X46,'Demand Lookups'!$A$5:$K$81,4,0))</f>
        <v>0</v>
      </c>
      <c r="AC46" s="722">
        <f>IF(ISNA(VLOOKUP($X46,'Demand Lookups'!$A$5:$K$81,5,0)),0,VLOOKUP($X46,'Demand Lookups'!$A$5:$K$81,5,0))</f>
        <v>0</v>
      </c>
      <c r="AD46" s="723">
        <f>IF(ISNA(VLOOKUP($X46,'Demand Lookups'!$A$5:$K$81,6,0)),0,VLOOKUP($X46,'Demand Lookups'!$A$5:$K$81,6,0))</f>
        <v>0</v>
      </c>
      <c r="AE46" s="724">
        <f t="shared" si="7"/>
        <v>0</v>
      </c>
      <c r="AF46" s="723">
        <f>ROUND(IF(ISNA(VLOOKUP($X46,'Demand Lookups'!$A$5:$K$82,10,0)),0,(VLOOKUP($X46,'Demand Lookups'!$A$5:$K$82,10,0))),2)</f>
        <v>0</v>
      </c>
      <c r="AG46" s="723">
        <f>ROUND(IF(ISNA(VLOOKUP($X46,'Demand Lookups'!$A$5:$K$82,11,0)),0,VLOOKUP($X46,'Demand Lookups'!$A$5:$K$82,11,0)),2)</f>
        <v>0</v>
      </c>
      <c r="AH46" s="648">
        <f>AF46</f>
        <v>0</v>
      </c>
      <c r="AI46" s="648">
        <f>AF46</f>
        <v>0</v>
      </c>
      <c r="AJ46" s="167" t="s">
        <v>40</v>
      </c>
      <c r="AK46" s="846">
        <v>0.3</v>
      </c>
      <c r="AL46" s="167"/>
      <c r="AM46" s="168"/>
      <c r="AN46" s="167"/>
      <c r="AO46" s="168"/>
      <c r="AP46" s="171">
        <v>0</v>
      </c>
      <c r="AQ46" s="171"/>
      <c r="AR46" s="171"/>
      <c r="AS46" s="299">
        <f>SUMIF('NEI Lookups'!$L:$L,'Inputs Yr 2'!$F46,'NEI Lookups'!E:E)+SUMIF('NEI Lookups'!$M:$M,'Inputs Yr 2'!$F46,'NEI Lookups'!E:E)+SUMIF('NEI Lookups'!$N:$N,'Inputs Yr 2'!$F46,'NEI Lookups'!E:E)+SUMIF('NEI Lookups'!$O:$O,'Inputs Yr 2'!$F46,'NEI Lookups'!E:E)+SUMIF('NEI Lookups'!$P:$P,'Inputs Yr 2'!$F46,'NEI Lookups'!E:E)+SUMIF('NEI Lookups'!$Q:$Q,'Inputs Yr 2'!$F46,'NEI Lookups'!E:E)+SUMIF('NEI Lookups'!$R:$R,'Inputs Yr 2'!$F46,'NEI Lookups'!E:E)+SUMIF('NEI Lookups'!$S:$S,'Inputs Yr 2'!$F46,'NEI Lookups'!E:E)+SUMIF('NEI Lookups'!$T:$T,'Inputs Yr 2'!$F46,'NEI Lookups'!E:E)</f>
        <v>0</v>
      </c>
      <c r="AT46" s="299">
        <f>SUMIF('NEI Lookups'!$L:$L,'Inputs Yr 2'!$F46,'NEI Lookups'!F:F)+SUMIF('NEI Lookups'!$M:$M,'Inputs Yr 2'!$F46,'NEI Lookups'!F:F)+SUMIF('NEI Lookups'!$N:$N,'Inputs Yr 2'!$F46,'NEI Lookups'!F:F)+SUMIF('NEI Lookups'!$O:$O,'Inputs Yr 2'!$F46,'NEI Lookups'!F:F)+SUMIF('NEI Lookups'!$P:$P,'Inputs Yr 2'!$F46,'NEI Lookups'!F:F)+SUMIF('NEI Lookups'!$Q:$Q,'Inputs Yr 2'!$F46,'NEI Lookups'!F:F)+SUMIF('NEI Lookups'!$R:$R,'Inputs Yr 2'!$F46,'NEI Lookups'!F:F)+SUMIF('NEI Lookups'!$S:$S,'Inputs Yr 2'!$F46,'NEI Lookups'!F:F)+SUMIF('NEI Lookups'!$T:$T,'Inputs Yr 2'!$F46,'NEI Lookups'!F:F)</f>
        <v>0</v>
      </c>
      <c r="AU46" s="299">
        <f>SUMIF('NEI Lookups'!$L:$L,'Inputs Yr 2'!$F46,'NEI Lookups'!G:G)+SUMIF('NEI Lookups'!$M:$M,'Inputs Yr 2'!$F46,'NEI Lookups'!G:G)+SUMIF('NEI Lookups'!$N:$N,'Inputs Yr 2'!$F46,'NEI Lookups'!G:G)+SUMIF('NEI Lookups'!$O:$O,'Inputs Yr 2'!$F46,'NEI Lookups'!G:G)+SUMIF('NEI Lookups'!$P:$P,'Inputs Yr 2'!$F46,'NEI Lookups'!G:G)+SUMIF('NEI Lookups'!$Q:$Q,'Inputs Yr 2'!$F46,'NEI Lookups'!G:G)+SUMIF('NEI Lookups'!$R:$R,'Inputs Yr 2'!$F46,'NEI Lookups'!G:G)+SUMIF('NEI Lookups'!$S:$S,'Inputs Yr 2'!$F46,'NEI Lookups'!G:G)+SUMIF('NEI Lookups'!$T:$T,'Inputs Yr 2'!$F46,'NEI Lookups'!G:G)</f>
        <v>0</v>
      </c>
      <c r="AV46" s="299">
        <f>SUMIF('NEI Lookups'!$L:$L,'Inputs Yr 2'!$F46,'NEI Lookups'!H:H)+SUMIF('NEI Lookups'!$M:$M,'Inputs Yr 2'!$F46,'NEI Lookups'!H:H)+SUMIF('NEI Lookups'!$N:$N,'Inputs Yr 2'!$F46,'NEI Lookups'!H:H)+SUMIF('NEI Lookups'!$O:$O,'Inputs Yr 2'!$F46,'NEI Lookups'!H:H)+SUMIF('NEI Lookups'!$P:$P,'Inputs Yr 2'!$F46,'NEI Lookups'!H:H)+SUMIF('NEI Lookups'!$Q:$Q,'Inputs Yr 2'!$F46,'NEI Lookups'!H:H)+SUMIF('NEI Lookups'!$R:$R,'Inputs Yr 2'!$F46,'NEI Lookups'!H:H)+SUMIF('NEI Lookups'!$S:$S,'Inputs Yr 2'!$F46,'NEI Lookups'!H:H)+SUMIF('NEI Lookups'!$T:$T,'Inputs Yr 2'!$F46,'NEI Lookups'!H:H)</f>
        <v>0</v>
      </c>
      <c r="AW46" s="299">
        <f>SUMIF('NEI Lookups'!$L:$L,'Inputs Yr 2'!$F46,'NEI Lookups'!I:I)+SUMIF('NEI Lookups'!$M:$M,'Inputs Yr 2'!$F46,'NEI Lookups'!I:I)+SUMIF('NEI Lookups'!$N:$N,'Inputs Yr 2'!$F46,'NEI Lookups'!I:I)+SUMIF('NEI Lookups'!$O:$O,'Inputs Yr 2'!$F46,'NEI Lookups'!I:I)+SUMIF('NEI Lookups'!$P:$P,'Inputs Yr 2'!$F46,'NEI Lookups'!I:I)+SUMIF('NEI Lookups'!$Q:$Q,'Inputs Yr 2'!$F46,'NEI Lookups'!I:I)+SUMIF('NEI Lookups'!$R:$R,'Inputs Yr 2'!$F46,'NEI Lookups'!I:I)+SUMIF('NEI Lookups'!$S:$S,'Inputs Yr 2'!$F46,'NEI Lookups'!I:I)+SUMIF('NEI Lookups'!$T:$T,'Inputs Yr 2'!$F46,'NEI Lookups'!I:I)</f>
        <v>0</v>
      </c>
      <c r="AX46" s="299">
        <f>SUMIF('NEI Lookups'!$L:$L,'Inputs Yr 2'!$F46,'NEI Lookups'!J:J)+SUMIF('NEI Lookups'!$M:$M,'Inputs Yr 2'!$F46,'NEI Lookups'!J:J)+SUMIF('NEI Lookups'!$N:$N,'Inputs Yr 2'!$F46,'NEI Lookups'!J:J)+SUMIF('NEI Lookups'!$O:$O,'Inputs Yr 2'!$F46,'NEI Lookups'!J:J)+SUMIF('NEI Lookups'!$P:$P,'Inputs Yr 2'!$F46,'NEI Lookups'!J:J)+SUMIF('NEI Lookups'!$Q:$Q,'Inputs Yr 2'!$F46,'NEI Lookups'!J:J)+SUMIF('NEI Lookups'!$R:$R,'Inputs Yr 2'!$F46,'NEI Lookups'!J:J)+SUMIF('NEI Lookups'!$S:$S,'Inputs Yr 2'!$F46,'NEI Lookups'!J:J)+SUMIF('NEI Lookups'!$T:$T,'Inputs Yr 2'!$F46,'NEI Lookups'!J:J)</f>
        <v>0</v>
      </c>
      <c r="AY46" s="930">
        <f>'Calculations Yr 2'!CP46/'Calculations Yr 2'!I46</f>
        <v>11.184748924678196</v>
      </c>
    </row>
    <row r="47" spans="1:51" s="133" customFormat="1" ht="12.75" customHeight="1">
      <c r="A47" s="145" t="s">
        <v>32</v>
      </c>
      <c r="B47" s="132" t="s">
        <v>462</v>
      </c>
      <c r="C47" s="132" t="s">
        <v>741</v>
      </c>
      <c r="D47" s="907"/>
      <c r="E47" s="98" t="s">
        <v>1303</v>
      </c>
      <c r="F47" s="98" t="s">
        <v>971</v>
      </c>
      <c r="G47" s="145" t="s">
        <v>1247</v>
      </c>
      <c r="H47" s="232">
        <v>0</v>
      </c>
      <c r="I47" s="232">
        <v>0</v>
      </c>
      <c r="J47" s="964">
        <v>0</v>
      </c>
      <c r="K47" s="166">
        <v>0</v>
      </c>
      <c r="L47" s="888">
        <f t="shared" si="0"/>
        <v>0</v>
      </c>
      <c r="M47" s="978">
        <v>0</v>
      </c>
      <c r="N47" s="978">
        <v>0</v>
      </c>
      <c r="O47" s="978">
        <v>0</v>
      </c>
      <c r="P47" s="889">
        <v>1</v>
      </c>
      <c r="Q47" s="978">
        <v>0</v>
      </c>
      <c r="R47" s="178">
        <v>1</v>
      </c>
      <c r="S47" s="178">
        <v>1</v>
      </c>
      <c r="T47" s="178">
        <v>1</v>
      </c>
      <c r="U47" s="980">
        <v>1</v>
      </c>
      <c r="V47" s="978">
        <v>0</v>
      </c>
      <c r="W47" s="179"/>
      <c r="X47" s="937" t="s">
        <v>653</v>
      </c>
      <c r="Y47" s="299">
        <f>IFERROR(VLOOKUP($X47,'Demand Lookups'!$A$5:$K$101,9,0), 0)</f>
        <v>0</v>
      </c>
      <c r="Z47" s="922" t="str">
        <f>IFERROR(VLOOKUP(X47,'Demand Lookups'!$A$5:$B$101,2,0),0)</f>
        <v>Non-Electric Measures</v>
      </c>
      <c r="AA47" s="722">
        <v>0</v>
      </c>
      <c r="AB47" s="722">
        <v>0</v>
      </c>
      <c r="AC47" s="722">
        <v>0</v>
      </c>
      <c r="AD47" s="723">
        <v>0</v>
      </c>
      <c r="AE47" s="724">
        <f t="shared" si="7"/>
        <v>0</v>
      </c>
      <c r="AF47" s="723">
        <v>0</v>
      </c>
      <c r="AG47" s="723">
        <v>0</v>
      </c>
      <c r="AH47" s="648">
        <v>0</v>
      </c>
      <c r="AI47" s="648">
        <v>0</v>
      </c>
      <c r="AJ47" s="167" t="s">
        <v>404</v>
      </c>
      <c r="AK47" s="846">
        <v>0</v>
      </c>
      <c r="AL47" s="167"/>
      <c r="AM47" s="168"/>
      <c r="AN47" s="167"/>
      <c r="AO47" s="168"/>
      <c r="AP47" s="171"/>
      <c r="AQ47" s="171"/>
      <c r="AR47" s="171"/>
      <c r="AS47" s="299">
        <f>SUMIF('NEI Lookups'!$L:$L,'Inputs Yr 2'!$F47,'NEI Lookups'!E:E)+SUMIF('NEI Lookups'!$M:$M,'Inputs Yr 2'!$F47,'NEI Lookups'!E:E)+SUMIF('NEI Lookups'!$N:$N,'Inputs Yr 2'!$F47,'NEI Lookups'!E:E)+SUMIF('NEI Lookups'!$O:$O,'Inputs Yr 2'!$F47,'NEI Lookups'!E:E)+SUMIF('NEI Lookups'!$P:$P,'Inputs Yr 2'!$F47,'NEI Lookups'!E:E)+SUMIF('NEI Lookups'!$Q:$Q,'Inputs Yr 2'!$F47,'NEI Lookups'!E:E)+SUMIF('NEI Lookups'!$R:$R,'Inputs Yr 2'!$F47,'NEI Lookups'!E:E)+SUMIF('NEI Lookups'!$S:$S,'Inputs Yr 2'!$F47,'NEI Lookups'!E:E)+SUMIF('NEI Lookups'!$T:$T,'Inputs Yr 2'!$F47,'NEI Lookups'!E:E)</f>
        <v>0</v>
      </c>
      <c r="AT47" s="299">
        <f>SUMIF('NEI Lookups'!$L:$L,'Inputs Yr 2'!$F47,'NEI Lookups'!F:F)+SUMIF('NEI Lookups'!$M:$M,'Inputs Yr 2'!$F47,'NEI Lookups'!F:F)+SUMIF('NEI Lookups'!$N:$N,'Inputs Yr 2'!$F47,'NEI Lookups'!F:F)+SUMIF('NEI Lookups'!$O:$O,'Inputs Yr 2'!$F47,'NEI Lookups'!F:F)+SUMIF('NEI Lookups'!$P:$P,'Inputs Yr 2'!$F47,'NEI Lookups'!F:F)+SUMIF('NEI Lookups'!$Q:$Q,'Inputs Yr 2'!$F47,'NEI Lookups'!F:F)+SUMIF('NEI Lookups'!$R:$R,'Inputs Yr 2'!$F47,'NEI Lookups'!F:F)+SUMIF('NEI Lookups'!$S:$S,'Inputs Yr 2'!$F47,'NEI Lookups'!F:F)+SUMIF('NEI Lookups'!$T:$T,'Inputs Yr 2'!$F47,'NEI Lookups'!F:F)</f>
        <v>0</v>
      </c>
      <c r="AU47" s="299">
        <f>SUMIF('NEI Lookups'!$L:$L,'Inputs Yr 2'!$F47,'NEI Lookups'!G:G)+SUMIF('NEI Lookups'!$M:$M,'Inputs Yr 2'!$F47,'NEI Lookups'!G:G)+SUMIF('NEI Lookups'!$N:$N,'Inputs Yr 2'!$F47,'NEI Lookups'!G:G)+SUMIF('NEI Lookups'!$O:$O,'Inputs Yr 2'!$F47,'NEI Lookups'!G:G)+SUMIF('NEI Lookups'!$P:$P,'Inputs Yr 2'!$F47,'NEI Lookups'!G:G)+SUMIF('NEI Lookups'!$Q:$Q,'Inputs Yr 2'!$F47,'NEI Lookups'!G:G)+SUMIF('NEI Lookups'!$R:$R,'Inputs Yr 2'!$F47,'NEI Lookups'!G:G)+SUMIF('NEI Lookups'!$S:$S,'Inputs Yr 2'!$F47,'NEI Lookups'!G:G)+SUMIF('NEI Lookups'!$T:$T,'Inputs Yr 2'!$F47,'NEI Lookups'!G:G)</f>
        <v>0</v>
      </c>
      <c r="AV47" s="299">
        <f>SUMIF('NEI Lookups'!$L:$L,'Inputs Yr 2'!$F47,'NEI Lookups'!H:H)+SUMIF('NEI Lookups'!$M:$M,'Inputs Yr 2'!$F47,'NEI Lookups'!H:H)+SUMIF('NEI Lookups'!$N:$N,'Inputs Yr 2'!$F47,'NEI Lookups'!H:H)+SUMIF('NEI Lookups'!$O:$O,'Inputs Yr 2'!$F47,'NEI Lookups'!H:H)+SUMIF('NEI Lookups'!$P:$P,'Inputs Yr 2'!$F47,'NEI Lookups'!H:H)+SUMIF('NEI Lookups'!$Q:$Q,'Inputs Yr 2'!$F47,'NEI Lookups'!H:H)+SUMIF('NEI Lookups'!$R:$R,'Inputs Yr 2'!$F47,'NEI Lookups'!H:H)+SUMIF('NEI Lookups'!$S:$S,'Inputs Yr 2'!$F47,'NEI Lookups'!H:H)+SUMIF('NEI Lookups'!$T:$T,'Inputs Yr 2'!$F47,'NEI Lookups'!H:H)</f>
        <v>0</v>
      </c>
      <c r="AW47" s="299">
        <f>SUMIF('NEI Lookups'!$L:$L,'Inputs Yr 2'!$F47,'NEI Lookups'!I:I)+SUMIF('NEI Lookups'!$M:$M,'Inputs Yr 2'!$F47,'NEI Lookups'!I:I)+SUMIF('NEI Lookups'!$N:$N,'Inputs Yr 2'!$F47,'NEI Lookups'!I:I)+SUMIF('NEI Lookups'!$O:$O,'Inputs Yr 2'!$F47,'NEI Lookups'!I:I)+SUMIF('NEI Lookups'!$P:$P,'Inputs Yr 2'!$F47,'NEI Lookups'!I:I)+SUMIF('NEI Lookups'!$Q:$Q,'Inputs Yr 2'!$F47,'NEI Lookups'!I:I)+SUMIF('NEI Lookups'!$R:$R,'Inputs Yr 2'!$F47,'NEI Lookups'!I:I)+SUMIF('NEI Lookups'!$S:$S,'Inputs Yr 2'!$F47,'NEI Lookups'!I:I)+SUMIF('NEI Lookups'!$T:$T,'Inputs Yr 2'!$F47,'NEI Lookups'!I:I)</f>
        <v>0</v>
      </c>
      <c r="AX47" s="299">
        <f>SUMIF('NEI Lookups'!$L:$L,'Inputs Yr 2'!$F47,'NEI Lookups'!J:J)+SUMIF('NEI Lookups'!$M:$M,'Inputs Yr 2'!$F47,'NEI Lookups'!J:J)+SUMIF('NEI Lookups'!$N:$N,'Inputs Yr 2'!$F47,'NEI Lookups'!J:J)+SUMIF('NEI Lookups'!$O:$O,'Inputs Yr 2'!$F47,'NEI Lookups'!J:J)+SUMIF('NEI Lookups'!$P:$P,'Inputs Yr 2'!$F47,'NEI Lookups'!J:J)+SUMIF('NEI Lookups'!$Q:$Q,'Inputs Yr 2'!$F47,'NEI Lookups'!J:J)+SUMIF('NEI Lookups'!$R:$R,'Inputs Yr 2'!$F47,'NEI Lookups'!J:J)+SUMIF('NEI Lookups'!$S:$S,'Inputs Yr 2'!$F47,'NEI Lookups'!J:J)+SUMIF('NEI Lookups'!$T:$T,'Inputs Yr 2'!$F47,'NEI Lookups'!J:J)</f>
        <v>0</v>
      </c>
      <c r="AY47" s="930" t="e">
        <f>'Calculations Yr 2'!CP47/'Calculations Yr 2'!I47</f>
        <v>#VALUE!</v>
      </c>
    </row>
    <row r="48" spans="1:51" s="8" customFormat="1" ht="12.75" customHeight="1">
      <c r="A48" s="145" t="s">
        <v>32</v>
      </c>
      <c r="B48" s="132" t="s">
        <v>462</v>
      </c>
      <c r="C48" s="132" t="s">
        <v>741</v>
      </c>
      <c r="D48" s="908" t="s">
        <v>1442</v>
      </c>
      <c r="E48" s="98" t="s">
        <v>1304</v>
      </c>
      <c r="F48" s="98" t="s">
        <v>972</v>
      </c>
      <c r="G48" s="145" t="s">
        <v>89</v>
      </c>
      <c r="H48" s="232">
        <v>11922</v>
      </c>
      <c r="I48" s="232">
        <v>7</v>
      </c>
      <c r="J48" s="964">
        <v>2.0832075155175307</v>
      </c>
      <c r="K48" s="166">
        <v>2.0832075155175307</v>
      </c>
      <c r="L48" s="888">
        <f t="shared" si="0"/>
        <v>0</v>
      </c>
      <c r="M48" s="978">
        <v>0</v>
      </c>
      <c r="N48" s="978">
        <v>0</v>
      </c>
      <c r="O48" s="978">
        <v>0</v>
      </c>
      <c r="P48" s="889">
        <f t="shared" ref="P48:P55" si="8">1-M48+N48+O48</f>
        <v>1</v>
      </c>
      <c r="Q48" s="978">
        <v>1</v>
      </c>
      <c r="R48" s="178">
        <v>1</v>
      </c>
      <c r="S48" s="178">
        <v>1</v>
      </c>
      <c r="T48" s="178">
        <v>1</v>
      </c>
      <c r="U48" s="980">
        <v>1</v>
      </c>
      <c r="V48" s="978">
        <v>1</v>
      </c>
      <c r="W48" s="179"/>
      <c r="X48" s="937" t="s">
        <v>653</v>
      </c>
      <c r="Y48" s="299">
        <f>IFERROR(VLOOKUP($X48,'Demand Lookups'!$A$5:$K$101,9,0), 0)</f>
        <v>0</v>
      </c>
      <c r="Z48" s="922" t="str">
        <f>IFERROR(VLOOKUP(X48,'Demand Lookups'!$A$5:$B$101,2,0),0)</f>
        <v>Non-Electric Measures</v>
      </c>
      <c r="AA48" s="722">
        <f>IF(ISNA(VLOOKUP($X48,'Demand Lookups'!$A$5:$K$81,3,0)),0,VLOOKUP($X48,'Demand Lookups'!$A$5:$K$81,3,0))</f>
        <v>0</v>
      </c>
      <c r="AB48" s="722">
        <f>IF(ISNA(VLOOKUP($X48,'Demand Lookups'!$A$5:$K$81,4,0)),0,VLOOKUP($X48,'Demand Lookups'!$A$5:$K$81,4,0))</f>
        <v>0</v>
      </c>
      <c r="AC48" s="722">
        <f>IF(ISNA(VLOOKUP($X48,'Demand Lookups'!$A$5:$K$81,5,0)),0,VLOOKUP($X48,'Demand Lookups'!$A$5:$K$81,5,0))</f>
        <v>0</v>
      </c>
      <c r="AD48" s="723">
        <f>IF(ISNA(VLOOKUP($X48,'Demand Lookups'!$A$5:$K$81,6,0)),0,VLOOKUP($X48,'Demand Lookups'!$A$5:$K$81,6,0))</f>
        <v>0</v>
      </c>
      <c r="AE48" s="724">
        <f t="shared" si="7"/>
        <v>0</v>
      </c>
      <c r="AF48" s="723">
        <f>ROUND(IF(ISNA(VLOOKUP($X48,'Demand Lookups'!$A$5:$K$82,10,0)),0,(VLOOKUP($X48,'Demand Lookups'!$A$5:$K$82,10,0))),2)</f>
        <v>0</v>
      </c>
      <c r="AG48" s="723">
        <f>ROUND(IF(ISNA(VLOOKUP($X48,'Demand Lookups'!$A$5:$K$82,11,0)),0,VLOOKUP($X48,'Demand Lookups'!$A$5:$K$82,11,0)),2)</f>
        <v>0</v>
      </c>
      <c r="AH48" s="648">
        <f>AF48</f>
        <v>0</v>
      </c>
      <c r="AI48" s="648">
        <f>AF48</f>
        <v>0</v>
      </c>
      <c r="AJ48" s="167" t="s">
        <v>40</v>
      </c>
      <c r="AK48" s="846">
        <v>0.2</v>
      </c>
      <c r="AL48" s="167"/>
      <c r="AM48" s="168"/>
      <c r="AN48" s="167"/>
      <c r="AO48" s="168"/>
      <c r="AP48" s="171">
        <v>332</v>
      </c>
      <c r="AQ48" s="171"/>
      <c r="AR48" s="171"/>
      <c r="AS48" s="299">
        <f>SUMIF('NEI Lookups'!$L:$L,'Inputs Yr 2'!$F48,'NEI Lookups'!E:E)+SUMIF('NEI Lookups'!$M:$M,'Inputs Yr 2'!$F48,'NEI Lookups'!E:E)+SUMIF('NEI Lookups'!$N:$N,'Inputs Yr 2'!$F48,'NEI Lookups'!E:E)+SUMIF('NEI Lookups'!$O:$O,'Inputs Yr 2'!$F48,'NEI Lookups'!E:E)+SUMIF('NEI Lookups'!$P:$P,'Inputs Yr 2'!$F48,'NEI Lookups'!E:E)+SUMIF('NEI Lookups'!$Q:$Q,'Inputs Yr 2'!$F48,'NEI Lookups'!E:E)+SUMIF('NEI Lookups'!$R:$R,'Inputs Yr 2'!$F48,'NEI Lookups'!E:E)+SUMIF('NEI Lookups'!$S:$S,'Inputs Yr 2'!$F48,'NEI Lookups'!E:E)+SUMIF('NEI Lookups'!$T:$T,'Inputs Yr 2'!$F48,'NEI Lookups'!E:E)</f>
        <v>0</v>
      </c>
      <c r="AT48" s="299">
        <f>SUMIF('NEI Lookups'!$L:$L,'Inputs Yr 2'!$F48,'NEI Lookups'!F:F)+SUMIF('NEI Lookups'!$M:$M,'Inputs Yr 2'!$F48,'NEI Lookups'!F:F)+SUMIF('NEI Lookups'!$N:$N,'Inputs Yr 2'!$F48,'NEI Lookups'!F:F)+SUMIF('NEI Lookups'!$O:$O,'Inputs Yr 2'!$F48,'NEI Lookups'!F:F)+SUMIF('NEI Lookups'!$P:$P,'Inputs Yr 2'!$F48,'NEI Lookups'!F:F)+SUMIF('NEI Lookups'!$Q:$Q,'Inputs Yr 2'!$F48,'NEI Lookups'!F:F)+SUMIF('NEI Lookups'!$R:$R,'Inputs Yr 2'!$F48,'NEI Lookups'!F:F)+SUMIF('NEI Lookups'!$S:$S,'Inputs Yr 2'!$F48,'NEI Lookups'!F:F)+SUMIF('NEI Lookups'!$T:$T,'Inputs Yr 2'!$F48,'NEI Lookups'!F:F)</f>
        <v>0</v>
      </c>
      <c r="AU48" s="299">
        <f>SUMIF('NEI Lookups'!$L:$L,'Inputs Yr 2'!$F48,'NEI Lookups'!G:G)+SUMIF('NEI Lookups'!$M:$M,'Inputs Yr 2'!$F48,'NEI Lookups'!G:G)+SUMIF('NEI Lookups'!$N:$N,'Inputs Yr 2'!$F48,'NEI Lookups'!G:G)+SUMIF('NEI Lookups'!$O:$O,'Inputs Yr 2'!$F48,'NEI Lookups'!G:G)+SUMIF('NEI Lookups'!$P:$P,'Inputs Yr 2'!$F48,'NEI Lookups'!G:G)+SUMIF('NEI Lookups'!$Q:$Q,'Inputs Yr 2'!$F48,'NEI Lookups'!G:G)+SUMIF('NEI Lookups'!$R:$R,'Inputs Yr 2'!$F48,'NEI Lookups'!G:G)+SUMIF('NEI Lookups'!$S:$S,'Inputs Yr 2'!$F48,'NEI Lookups'!G:G)+SUMIF('NEI Lookups'!$T:$T,'Inputs Yr 2'!$F48,'NEI Lookups'!G:G)</f>
        <v>0</v>
      </c>
      <c r="AV48" s="299">
        <f>SUMIF('NEI Lookups'!$L:$L,'Inputs Yr 2'!$F48,'NEI Lookups'!H:H)+SUMIF('NEI Lookups'!$M:$M,'Inputs Yr 2'!$F48,'NEI Lookups'!H:H)+SUMIF('NEI Lookups'!$N:$N,'Inputs Yr 2'!$F48,'NEI Lookups'!H:H)+SUMIF('NEI Lookups'!$O:$O,'Inputs Yr 2'!$F48,'NEI Lookups'!H:H)+SUMIF('NEI Lookups'!$P:$P,'Inputs Yr 2'!$F48,'NEI Lookups'!H:H)+SUMIF('NEI Lookups'!$Q:$Q,'Inputs Yr 2'!$F48,'NEI Lookups'!H:H)+SUMIF('NEI Lookups'!$R:$R,'Inputs Yr 2'!$F48,'NEI Lookups'!H:H)+SUMIF('NEI Lookups'!$S:$S,'Inputs Yr 2'!$F48,'NEI Lookups'!H:H)+SUMIF('NEI Lookups'!$T:$T,'Inputs Yr 2'!$F48,'NEI Lookups'!H:H)</f>
        <v>0</v>
      </c>
      <c r="AW48" s="299">
        <f>SUMIF('NEI Lookups'!$L:$L,'Inputs Yr 2'!$F48,'NEI Lookups'!I:I)+SUMIF('NEI Lookups'!$M:$M,'Inputs Yr 2'!$F48,'NEI Lookups'!I:I)+SUMIF('NEI Lookups'!$N:$N,'Inputs Yr 2'!$F48,'NEI Lookups'!I:I)+SUMIF('NEI Lookups'!$O:$O,'Inputs Yr 2'!$F48,'NEI Lookups'!I:I)+SUMIF('NEI Lookups'!$P:$P,'Inputs Yr 2'!$F48,'NEI Lookups'!I:I)+SUMIF('NEI Lookups'!$Q:$Q,'Inputs Yr 2'!$F48,'NEI Lookups'!I:I)+SUMIF('NEI Lookups'!$R:$R,'Inputs Yr 2'!$F48,'NEI Lookups'!I:I)+SUMIF('NEI Lookups'!$S:$S,'Inputs Yr 2'!$F48,'NEI Lookups'!I:I)+SUMIF('NEI Lookups'!$T:$T,'Inputs Yr 2'!$F48,'NEI Lookups'!I:I)</f>
        <v>0</v>
      </c>
      <c r="AX48" s="299">
        <f>SUMIF('NEI Lookups'!$L:$L,'Inputs Yr 2'!$F48,'NEI Lookups'!J:J)+SUMIF('NEI Lookups'!$M:$M,'Inputs Yr 2'!$F48,'NEI Lookups'!J:J)+SUMIF('NEI Lookups'!$N:$N,'Inputs Yr 2'!$F48,'NEI Lookups'!J:J)+SUMIF('NEI Lookups'!$O:$O,'Inputs Yr 2'!$F48,'NEI Lookups'!J:J)+SUMIF('NEI Lookups'!$P:$P,'Inputs Yr 2'!$F48,'NEI Lookups'!J:J)+SUMIF('NEI Lookups'!$Q:$Q,'Inputs Yr 2'!$F48,'NEI Lookups'!J:J)+SUMIF('NEI Lookups'!$R:$R,'Inputs Yr 2'!$F48,'NEI Lookups'!J:J)+SUMIF('NEI Lookups'!$S:$S,'Inputs Yr 2'!$F48,'NEI Lookups'!J:J)+SUMIF('NEI Lookups'!$T:$T,'Inputs Yr 2'!$F48,'NEI Lookups'!J:J)</f>
        <v>0</v>
      </c>
      <c r="AY48" s="930">
        <f>'Calculations Yr 2'!CP48/'Calculations Yr 2'!I48</f>
        <v>17.887012589948579</v>
      </c>
    </row>
    <row r="49" spans="1:51" s="8" customFormat="1" ht="12.75" customHeight="1">
      <c r="A49" s="145" t="s">
        <v>32</v>
      </c>
      <c r="B49" s="132" t="s">
        <v>462</v>
      </c>
      <c r="C49" s="132" t="s">
        <v>741</v>
      </c>
      <c r="D49" s="908" t="s">
        <v>1443</v>
      </c>
      <c r="E49" s="98" t="s">
        <v>1305</v>
      </c>
      <c r="F49" s="98" t="s">
        <v>973</v>
      </c>
      <c r="G49" s="145" t="s">
        <v>89</v>
      </c>
      <c r="H49" s="232">
        <v>9433</v>
      </c>
      <c r="I49" s="232">
        <v>7</v>
      </c>
      <c r="J49" s="964">
        <v>10.177780133573625</v>
      </c>
      <c r="K49" s="166">
        <v>10.177780133573625</v>
      </c>
      <c r="L49" s="888">
        <f t="shared" si="0"/>
        <v>0</v>
      </c>
      <c r="M49" s="978">
        <v>0</v>
      </c>
      <c r="N49" s="978">
        <v>0</v>
      </c>
      <c r="O49" s="978">
        <v>0</v>
      </c>
      <c r="P49" s="889">
        <f t="shared" si="8"/>
        <v>1</v>
      </c>
      <c r="Q49" s="978">
        <v>1</v>
      </c>
      <c r="R49" s="178">
        <v>1</v>
      </c>
      <c r="S49" s="178">
        <v>1</v>
      </c>
      <c r="T49" s="178">
        <v>1</v>
      </c>
      <c r="U49" s="980">
        <v>1</v>
      </c>
      <c r="V49" s="978">
        <v>1</v>
      </c>
      <c r="W49" s="179"/>
      <c r="X49" s="937" t="s">
        <v>653</v>
      </c>
      <c r="Y49" s="299">
        <f>IFERROR(VLOOKUP($X49,'Demand Lookups'!$A$5:$K$101,9,0), 0)</f>
        <v>0</v>
      </c>
      <c r="Z49" s="922" t="str">
        <f>IFERROR(VLOOKUP(X49,'Demand Lookups'!$A$5:$B$101,2,0),0)</f>
        <v>Non-Electric Measures</v>
      </c>
      <c r="AA49" s="722">
        <f>IF(ISNA(VLOOKUP($X49,'Demand Lookups'!$A$5:$K$81,3,0)),0,VLOOKUP($X49,'Demand Lookups'!$A$5:$K$81,3,0))</f>
        <v>0</v>
      </c>
      <c r="AB49" s="722">
        <f>IF(ISNA(VLOOKUP($X49,'Demand Lookups'!$A$5:$K$81,4,0)),0,VLOOKUP($X49,'Demand Lookups'!$A$5:$K$81,4,0))</f>
        <v>0</v>
      </c>
      <c r="AC49" s="722">
        <f>IF(ISNA(VLOOKUP($X49,'Demand Lookups'!$A$5:$K$81,5,0)),0,VLOOKUP($X49,'Demand Lookups'!$A$5:$K$81,5,0))</f>
        <v>0</v>
      </c>
      <c r="AD49" s="723">
        <f>IF(ISNA(VLOOKUP($X49,'Demand Lookups'!$A$5:$K$81,6,0)),0,VLOOKUP($X49,'Demand Lookups'!$A$5:$K$81,6,0))</f>
        <v>0</v>
      </c>
      <c r="AE49" s="724">
        <f t="shared" si="7"/>
        <v>0</v>
      </c>
      <c r="AF49" s="723">
        <f>ROUND(IF(ISNA(VLOOKUP($X49,'Demand Lookups'!$A$5:$K$82,10,0)),0,(VLOOKUP($X49,'Demand Lookups'!$A$5:$K$82,10,0))),2)</f>
        <v>0</v>
      </c>
      <c r="AG49" s="723">
        <f>ROUND(IF(ISNA(VLOOKUP($X49,'Demand Lookups'!$A$5:$K$82,11,0)),0,VLOOKUP($X49,'Demand Lookups'!$A$5:$K$82,11,0)),2)</f>
        <v>0</v>
      </c>
      <c r="AH49" s="648">
        <f>AF49</f>
        <v>0</v>
      </c>
      <c r="AI49" s="648">
        <f>AF49</f>
        <v>0</v>
      </c>
      <c r="AJ49" s="167" t="s">
        <v>40</v>
      </c>
      <c r="AK49" s="846">
        <v>1.2</v>
      </c>
      <c r="AL49" s="167"/>
      <c r="AM49" s="168"/>
      <c r="AN49" s="167"/>
      <c r="AO49" s="168"/>
      <c r="AP49" s="171">
        <v>2401</v>
      </c>
      <c r="AQ49" s="171"/>
      <c r="AR49" s="171"/>
      <c r="AS49" s="299">
        <f>SUMIF('NEI Lookups'!$L:$L,'Inputs Yr 2'!$F49,'NEI Lookups'!E:E)+SUMIF('NEI Lookups'!$M:$M,'Inputs Yr 2'!$F49,'NEI Lookups'!E:E)+SUMIF('NEI Lookups'!$N:$N,'Inputs Yr 2'!$F49,'NEI Lookups'!E:E)+SUMIF('NEI Lookups'!$O:$O,'Inputs Yr 2'!$F49,'NEI Lookups'!E:E)+SUMIF('NEI Lookups'!$P:$P,'Inputs Yr 2'!$F49,'NEI Lookups'!E:E)+SUMIF('NEI Lookups'!$Q:$Q,'Inputs Yr 2'!$F49,'NEI Lookups'!E:E)+SUMIF('NEI Lookups'!$R:$R,'Inputs Yr 2'!$F49,'NEI Lookups'!E:E)+SUMIF('NEI Lookups'!$S:$S,'Inputs Yr 2'!$F49,'NEI Lookups'!E:E)+SUMIF('NEI Lookups'!$T:$T,'Inputs Yr 2'!$F49,'NEI Lookups'!E:E)</f>
        <v>0</v>
      </c>
      <c r="AT49" s="299">
        <f>SUMIF('NEI Lookups'!$L:$L,'Inputs Yr 2'!$F49,'NEI Lookups'!F:F)+SUMIF('NEI Lookups'!$M:$M,'Inputs Yr 2'!$F49,'NEI Lookups'!F:F)+SUMIF('NEI Lookups'!$N:$N,'Inputs Yr 2'!$F49,'NEI Lookups'!F:F)+SUMIF('NEI Lookups'!$O:$O,'Inputs Yr 2'!$F49,'NEI Lookups'!F:F)+SUMIF('NEI Lookups'!$P:$P,'Inputs Yr 2'!$F49,'NEI Lookups'!F:F)+SUMIF('NEI Lookups'!$Q:$Q,'Inputs Yr 2'!$F49,'NEI Lookups'!F:F)+SUMIF('NEI Lookups'!$R:$R,'Inputs Yr 2'!$F49,'NEI Lookups'!F:F)+SUMIF('NEI Lookups'!$S:$S,'Inputs Yr 2'!$F49,'NEI Lookups'!F:F)+SUMIF('NEI Lookups'!$T:$T,'Inputs Yr 2'!$F49,'NEI Lookups'!F:F)</f>
        <v>0.03</v>
      </c>
      <c r="AU49" s="299">
        <f>SUMIF('NEI Lookups'!$L:$L,'Inputs Yr 2'!$F49,'NEI Lookups'!G:G)+SUMIF('NEI Lookups'!$M:$M,'Inputs Yr 2'!$F49,'NEI Lookups'!G:G)+SUMIF('NEI Lookups'!$N:$N,'Inputs Yr 2'!$F49,'NEI Lookups'!G:G)+SUMIF('NEI Lookups'!$O:$O,'Inputs Yr 2'!$F49,'NEI Lookups'!G:G)+SUMIF('NEI Lookups'!$P:$P,'Inputs Yr 2'!$F49,'NEI Lookups'!G:G)+SUMIF('NEI Lookups'!$Q:$Q,'Inputs Yr 2'!$F49,'NEI Lookups'!G:G)+SUMIF('NEI Lookups'!$R:$R,'Inputs Yr 2'!$F49,'NEI Lookups'!G:G)+SUMIF('NEI Lookups'!$S:$S,'Inputs Yr 2'!$F49,'NEI Lookups'!G:G)+SUMIF('NEI Lookups'!$T:$T,'Inputs Yr 2'!$F49,'NEI Lookups'!G:G)</f>
        <v>0</v>
      </c>
      <c r="AV49" s="299">
        <f>SUMIF('NEI Lookups'!$L:$L,'Inputs Yr 2'!$F49,'NEI Lookups'!H:H)+SUMIF('NEI Lookups'!$M:$M,'Inputs Yr 2'!$F49,'NEI Lookups'!H:H)+SUMIF('NEI Lookups'!$N:$N,'Inputs Yr 2'!$F49,'NEI Lookups'!H:H)+SUMIF('NEI Lookups'!$O:$O,'Inputs Yr 2'!$F49,'NEI Lookups'!H:H)+SUMIF('NEI Lookups'!$P:$P,'Inputs Yr 2'!$F49,'NEI Lookups'!H:H)+SUMIF('NEI Lookups'!$Q:$Q,'Inputs Yr 2'!$F49,'NEI Lookups'!H:H)+SUMIF('NEI Lookups'!$R:$R,'Inputs Yr 2'!$F49,'NEI Lookups'!H:H)+SUMIF('NEI Lookups'!$S:$S,'Inputs Yr 2'!$F49,'NEI Lookups'!H:H)+SUMIF('NEI Lookups'!$T:$T,'Inputs Yr 2'!$F49,'NEI Lookups'!H:H)</f>
        <v>0</v>
      </c>
      <c r="AW49" s="299">
        <f>SUMIF('NEI Lookups'!$L:$L,'Inputs Yr 2'!$F49,'NEI Lookups'!I:I)+SUMIF('NEI Lookups'!$M:$M,'Inputs Yr 2'!$F49,'NEI Lookups'!I:I)+SUMIF('NEI Lookups'!$N:$N,'Inputs Yr 2'!$F49,'NEI Lookups'!I:I)+SUMIF('NEI Lookups'!$O:$O,'Inputs Yr 2'!$F49,'NEI Lookups'!I:I)+SUMIF('NEI Lookups'!$P:$P,'Inputs Yr 2'!$F49,'NEI Lookups'!I:I)+SUMIF('NEI Lookups'!$Q:$Q,'Inputs Yr 2'!$F49,'NEI Lookups'!I:I)+SUMIF('NEI Lookups'!$R:$R,'Inputs Yr 2'!$F49,'NEI Lookups'!I:I)+SUMIF('NEI Lookups'!$S:$S,'Inputs Yr 2'!$F49,'NEI Lookups'!I:I)+SUMIF('NEI Lookups'!$T:$T,'Inputs Yr 2'!$F49,'NEI Lookups'!I:I)</f>
        <v>0</v>
      </c>
      <c r="AX49" s="299">
        <f>SUMIF('NEI Lookups'!$L:$L,'Inputs Yr 2'!$F49,'NEI Lookups'!J:J)+SUMIF('NEI Lookups'!$M:$M,'Inputs Yr 2'!$F49,'NEI Lookups'!J:J)+SUMIF('NEI Lookups'!$N:$N,'Inputs Yr 2'!$F49,'NEI Lookups'!J:J)+SUMIF('NEI Lookups'!$O:$O,'Inputs Yr 2'!$F49,'NEI Lookups'!J:J)+SUMIF('NEI Lookups'!$P:$P,'Inputs Yr 2'!$F49,'NEI Lookups'!J:J)+SUMIF('NEI Lookups'!$Q:$Q,'Inputs Yr 2'!$F49,'NEI Lookups'!J:J)+SUMIF('NEI Lookups'!$R:$R,'Inputs Yr 2'!$F49,'NEI Lookups'!J:J)+SUMIF('NEI Lookups'!$S:$S,'Inputs Yr 2'!$F49,'NEI Lookups'!J:J)+SUMIF('NEI Lookups'!$T:$T,'Inputs Yr 2'!$F49,'NEI Lookups'!J:J)</f>
        <v>0</v>
      </c>
      <c r="AY49" s="930">
        <f>'Calculations Yr 2'!CP49/'Calculations Yr 2'!I49</f>
        <v>24.970852224815218</v>
      </c>
    </row>
    <row r="50" spans="1:51" s="8" customFormat="1" ht="12.75" customHeight="1">
      <c r="A50" s="145" t="s">
        <v>32</v>
      </c>
      <c r="B50" s="132" t="s">
        <v>462</v>
      </c>
      <c r="C50" s="132" t="s">
        <v>741</v>
      </c>
      <c r="D50" s="908" t="s">
        <v>1444</v>
      </c>
      <c r="E50" s="98" t="s">
        <v>1309</v>
      </c>
      <c r="F50" s="98" t="s">
        <v>974</v>
      </c>
      <c r="G50" s="145" t="s">
        <v>1247</v>
      </c>
      <c r="H50" s="232">
        <v>10635</v>
      </c>
      <c r="I50" s="232">
        <v>15</v>
      </c>
      <c r="J50" s="964">
        <v>34.770286788904563</v>
      </c>
      <c r="K50" s="166">
        <v>34.770286788904563</v>
      </c>
      <c r="L50" s="888">
        <f t="shared" si="0"/>
        <v>0</v>
      </c>
      <c r="M50" s="978">
        <v>0.11</v>
      </c>
      <c r="N50" s="978">
        <v>0</v>
      </c>
      <c r="O50" s="978">
        <v>0</v>
      </c>
      <c r="P50" s="889">
        <f t="shared" si="8"/>
        <v>0.89</v>
      </c>
      <c r="Q50" s="978">
        <v>1</v>
      </c>
      <c r="R50" s="178">
        <v>1</v>
      </c>
      <c r="S50" s="178">
        <v>1</v>
      </c>
      <c r="T50" s="178">
        <v>1</v>
      </c>
      <c r="U50" s="980">
        <v>1</v>
      </c>
      <c r="V50" s="978">
        <v>1</v>
      </c>
      <c r="W50" s="179"/>
      <c r="X50" s="937" t="s">
        <v>653</v>
      </c>
      <c r="Y50" s="299">
        <f>IFERROR(VLOOKUP($X50,'Demand Lookups'!$A$5:$K$101,9,0), 0)</f>
        <v>0</v>
      </c>
      <c r="Z50" s="922" t="str">
        <f>IFERROR(VLOOKUP(X50,'Demand Lookups'!$A$5:$B$101,2,0),0)</f>
        <v>Non-Electric Measures</v>
      </c>
      <c r="AA50" s="722">
        <f>IF(ISNA(VLOOKUP($X50,'Demand Lookups'!$A$5:$K$81,3,0)),0,VLOOKUP($X50,'Demand Lookups'!$A$5:$K$81,3,0))</f>
        <v>0</v>
      </c>
      <c r="AB50" s="722">
        <f>IF(ISNA(VLOOKUP($X50,'Demand Lookups'!$A$5:$K$81,4,0)),0,VLOOKUP($X50,'Demand Lookups'!$A$5:$K$81,4,0))</f>
        <v>0</v>
      </c>
      <c r="AC50" s="722">
        <f>IF(ISNA(VLOOKUP($X50,'Demand Lookups'!$A$5:$K$81,5,0)),0,VLOOKUP($X50,'Demand Lookups'!$A$5:$K$81,5,0))</f>
        <v>0</v>
      </c>
      <c r="AD50" s="723">
        <f>IF(ISNA(VLOOKUP($X50,'Demand Lookups'!$A$5:$K$81,6,0)),0,VLOOKUP($X50,'Demand Lookups'!$A$5:$K$81,6,0))</f>
        <v>0</v>
      </c>
      <c r="AE50" s="724">
        <f t="shared" si="7"/>
        <v>0</v>
      </c>
      <c r="AF50" s="723">
        <f>ROUND(IF(ISNA(VLOOKUP($X50,'Demand Lookups'!$A$5:$K$82,10,0)),0,(VLOOKUP($X50,'Demand Lookups'!$A$5:$K$82,10,0))),2)</f>
        <v>0</v>
      </c>
      <c r="AG50" s="723">
        <f>ROUND(IF(ISNA(VLOOKUP($X50,'Demand Lookups'!$A$5:$K$82,11,0)),0,VLOOKUP($X50,'Demand Lookups'!$A$5:$K$82,11,0)),2)</f>
        <v>0</v>
      </c>
      <c r="AH50" s="648">
        <f>AF50</f>
        <v>0</v>
      </c>
      <c r="AI50" s="648">
        <f>AF50</f>
        <v>0</v>
      </c>
      <c r="AJ50" s="167" t="s">
        <v>404</v>
      </c>
      <c r="AK50" s="846">
        <v>3.2</v>
      </c>
      <c r="AL50" s="167"/>
      <c r="AM50" s="168"/>
      <c r="AN50" s="167"/>
      <c r="AO50" s="168"/>
      <c r="AP50" s="171">
        <v>0</v>
      </c>
      <c r="AQ50" s="171"/>
      <c r="AR50" s="171"/>
      <c r="AS50" s="299">
        <f>SUMIF('NEI Lookups'!$L:$L,'Inputs Yr 2'!$F50,'NEI Lookups'!E:E)+SUMIF('NEI Lookups'!$M:$M,'Inputs Yr 2'!$F50,'NEI Lookups'!E:E)+SUMIF('NEI Lookups'!$N:$N,'Inputs Yr 2'!$F50,'NEI Lookups'!E:E)+SUMIF('NEI Lookups'!$O:$O,'Inputs Yr 2'!$F50,'NEI Lookups'!E:E)+SUMIF('NEI Lookups'!$P:$P,'Inputs Yr 2'!$F50,'NEI Lookups'!E:E)+SUMIF('NEI Lookups'!$Q:$Q,'Inputs Yr 2'!$F50,'NEI Lookups'!E:E)+SUMIF('NEI Lookups'!$R:$R,'Inputs Yr 2'!$F50,'NEI Lookups'!E:E)+SUMIF('NEI Lookups'!$S:$S,'Inputs Yr 2'!$F50,'NEI Lookups'!E:E)+SUMIF('NEI Lookups'!$T:$T,'Inputs Yr 2'!$F50,'NEI Lookups'!E:E)</f>
        <v>3.2058823529411766</v>
      </c>
      <c r="AT50" s="299">
        <f>SUMIF('NEI Lookups'!$L:$L,'Inputs Yr 2'!$F50,'NEI Lookups'!F:F)+SUMIF('NEI Lookups'!$M:$M,'Inputs Yr 2'!$F50,'NEI Lookups'!F:F)+SUMIF('NEI Lookups'!$N:$N,'Inputs Yr 2'!$F50,'NEI Lookups'!F:F)+SUMIF('NEI Lookups'!$O:$O,'Inputs Yr 2'!$F50,'NEI Lookups'!F:F)+SUMIF('NEI Lookups'!$P:$P,'Inputs Yr 2'!$F50,'NEI Lookups'!F:F)+SUMIF('NEI Lookups'!$Q:$Q,'Inputs Yr 2'!$F50,'NEI Lookups'!F:F)+SUMIF('NEI Lookups'!$R:$R,'Inputs Yr 2'!$F50,'NEI Lookups'!F:F)+SUMIF('NEI Lookups'!$S:$S,'Inputs Yr 2'!$F50,'NEI Lookups'!F:F)+SUMIF('NEI Lookups'!$T:$T,'Inputs Yr 2'!$F50,'NEI Lookups'!F:F)</f>
        <v>0</v>
      </c>
      <c r="AU50" s="299">
        <f>SUMIF('NEI Lookups'!$L:$L,'Inputs Yr 2'!$F50,'NEI Lookups'!G:G)+SUMIF('NEI Lookups'!$M:$M,'Inputs Yr 2'!$F50,'NEI Lookups'!G:G)+SUMIF('NEI Lookups'!$N:$N,'Inputs Yr 2'!$F50,'NEI Lookups'!G:G)+SUMIF('NEI Lookups'!$O:$O,'Inputs Yr 2'!$F50,'NEI Lookups'!G:G)+SUMIF('NEI Lookups'!$P:$P,'Inputs Yr 2'!$F50,'NEI Lookups'!G:G)+SUMIF('NEI Lookups'!$Q:$Q,'Inputs Yr 2'!$F50,'NEI Lookups'!G:G)+SUMIF('NEI Lookups'!$R:$R,'Inputs Yr 2'!$F50,'NEI Lookups'!G:G)+SUMIF('NEI Lookups'!$S:$S,'Inputs Yr 2'!$F50,'NEI Lookups'!G:G)+SUMIF('NEI Lookups'!$T:$T,'Inputs Yr 2'!$F50,'NEI Lookups'!G:G)</f>
        <v>0</v>
      </c>
      <c r="AV50" s="299">
        <f>SUMIF('NEI Lookups'!$L:$L,'Inputs Yr 2'!$F50,'NEI Lookups'!H:H)+SUMIF('NEI Lookups'!$M:$M,'Inputs Yr 2'!$F50,'NEI Lookups'!H:H)+SUMIF('NEI Lookups'!$N:$N,'Inputs Yr 2'!$F50,'NEI Lookups'!H:H)+SUMIF('NEI Lookups'!$O:$O,'Inputs Yr 2'!$F50,'NEI Lookups'!H:H)+SUMIF('NEI Lookups'!$P:$P,'Inputs Yr 2'!$F50,'NEI Lookups'!H:H)+SUMIF('NEI Lookups'!$Q:$Q,'Inputs Yr 2'!$F50,'NEI Lookups'!H:H)+SUMIF('NEI Lookups'!$R:$R,'Inputs Yr 2'!$F50,'NEI Lookups'!H:H)+SUMIF('NEI Lookups'!$S:$S,'Inputs Yr 2'!$F50,'NEI Lookups'!H:H)+SUMIF('NEI Lookups'!$T:$T,'Inputs Yr 2'!$F50,'NEI Lookups'!H:H)</f>
        <v>0</v>
      </c>
      <c r="AW50" s="299">
        <f>SUMIF('NEI Lookups'!$L:$L,'Inputs Yr 2'!$F50,'NEI Lookups'!I:I)+SUMIF('NEI Lookups'!$M:$M,'Inputs Yr 2'!$F50,'NEI Lookups'!I:I)+SUMIF('NEI Lookups'!$N:$N,'Inputs Yr 2'!$F50,'NEI Lookups'!I:I)+SUMIF('NEI Lookups'!$O:$O,'Inputs Yr 2'!$F50,'NEI Lookups'!I:I)+SUMIF('NEI Lookups'!$P:$P,'Inputs Yr 2'!$F50,'NEI Lookups'!I:I)+SUMIF('NEI Lookups'!$Q:$Q,'Inputs Yr 2'!$F50,'NEI Lookups'!I:I)+SUMIF('NEI Lookups'!$R:$R,'Inputs Yr 2'!$F50,'NEI Lookups'!I:I)+SUMIF('NEI Lookups'!$S:$S,'Inputs Yr 2'!$F50,'NEI Lookups'!I:I)+SUMIF('NEI Lookups'!$T:$T,'Inputs Yr 2'!$F50,'NEI Lookups'!I:I)</f>
        <v>0</v>
      </c>
      <c r="AX50" s="299">
        <f>SUMIF('NEI Lookups'!$L:$L,'Inputs Yr 2'!$F50,'NEI Lookups'!J:J)+SUMIF('NEI Lookups'!$M:$M,'Inputs Yr 2'!$F50,'NEI Lookups'!J:J)+SUMIF('NEI Lookups'!$N:$N,'Inputs Yr 2'!$F50,'NEI Lookups'!J:J)+SUMIF('NEI Lookups'!$O:$O,'Inputs Yr 2'!$F50,'NEI Lookups'!J:J)+SUMIF('NEI Lookups'!$P:$P,'Inputs Yr 2'!$F50,'NEI Lookups'!J:J)+SUMIF('NEI Lookups'!$Q:$Q,'Inputs Yr 2'!$F50,'NEI Lookups'!J:J)+SUMIF('NEI Lookups'!$R:$R,'Inputs Yr 2'!$F50,'NEI Lookups'!J:J)+SUMIF('NEI Lookups'!$S:$S,'Inputs Yr 2'!$F50,'NEI Lookups'!J:J)+SUMIF('NEI Lookups'!$T:$T,'Inputs Yr 2'!$F50,'NEI Lookups'!J:J)</f>
        <v>0</v>
      </c>
      <c r="AY50" s="930">
        <f>'Calculations Yr 2'!CP50/'Calculations Yr 2'!I50</f>
        <v>13.879398319885484</v>
      </c>
    </row>
    <row r="51" spans="1:51" s="133" customFormat="1" ht="12.75" customHeight="1">
      <c r="A51" s="145" t="s">
        <v>32</v>
      </c>
      <c r="B51" s="132" t="s">
        <v>462</v>
      </c>
      <c r="C51" s="132" t="s">
        <v>741</v>
      </c>
      <c r="D51" s="908" t="s">
        <v>1445</v>
      </c>
      <c r="E51" s="98" t="s">
        <v>737</v>
      </c>
      <c r="F51" s="98" t="s">
        <v>975</v>
      </c>
      <c r="G51" s="145" t="s">
        <v>1247</v>
      </c>
      <c r="H51" s="232">
        <v>1802</v>
      </c>
      <c r="I51" s="232">
        <v>15</v>
      </c>
      <c r="J51" s="964">
        <v>72.111951795841222</v>
      </c>
      <c r="K51" s="166">
        <v>57.362542533081282</v>
      </c>
      <c r="L51" s="888">
        <f t="shared" si="0"/>
        <v>14.74940926275994</v>
      </c>
      <c r="M51" s="978">
        <v>0</v>
      </c>
      <c r="N51" s="978">
        <v>0</v>
      </c>
      <c r="O51" s="978">
        <v>0</v>
      </c>
      <c r="P51" s="889">
        <f t="shared" si="8"/>
        <v>1</v>
      </c>
      <c r="Q51" s="978">
        <v>1</v>
      </c>
      <c r="R51" s="178">
        <v>1</v>
      </c>
      <c r="S51" s="178">
        <v>1</v>
      </c>
      <c r="T51" s="178">
        <v>1</v>
      </c>
      <c r="U51" s="980">
        <v>1</v>
      </c>
      <c r="V51" s="978">
        <v>1</v>
      </c>
      <c r="W51" s="179"/>
      <c r="X51" s="937" t="s">
        <v>653</v>
      </c>
      <c r="Y51" s="299">
        <f>IFERROR(VLOOKUP($X51,'Demand Lookups'!$A$5:$K$101,9,0), 0)</f>
        <v>0</v>
      </c>
      <c r="Z51" s="922" t="str">
        <f>IFERROR(VLOOKUP(X51,'Demand Lookups'!$A$5:$B$101,2,0),0)</f>
        <v>Non-Electric Measures</v>
      </c>
      <c r="AA51" s="722">
        <f>IF(ISNA(VLOOKUP($X51,'Demand Lookups'!$A$5:$K$81,3,0)),0,VLOOKUP($X51,'Demand Lookups'!$A$5:$K$81,3,0))</f>
        <v>0</v>
      </c>
      <c r="AB51" s="722">
        <f>IF(ISNA(VLOOKUP($X51,'Demand Lookups'!$A$5:$K$81,4,0)),0,VLOOKUP($X51,'Demand Lookups'!$A$5:$K$81,4,0))</f>
        <v>0</v>
      </c>
      <c r="AC51" s="722">
        <f>IF(ISNA(VLOOKUP($X51,'Demand Lookups'!$A$5:$K$81,5,0)),0,VLOOKUP($X51,'Demand Lookups'!$A$5:$K$81,5,0))</f>
        <v>0</v>
      </c>
      <c r="AD51" s="723">
        <f>IF(ISNA(VLOOKUP($X51,'Demand Lookups'!$A$5:$K$81,6,0)),0,VLOOKUP($X51,'Demand Lookups'!$A$5:$K$81,6,0))</f>
        <v>0</v>
      </c>
      <c r="AE51" s="724">
        <f t="shared" si="7"/>
        <v>0</v>
      </c>
      <c r="AF51" s="723">
        <f>ROUND(IF(ISNA(VLOOKUP($X51,'Demand Lookups'!$A$5:$K$82,10,0)),0,(VLOOKUP($X51,'Demand Lookups'!$A$5:$K$82,10,0))),2)</f>
        <v>0</v>
      </c>
      <c r="AG51" s="723">
        <f>ROUND(IF(ISNA(VLOOKUP($X51,'Demand Lookups'!$A$5:$K$82,11,0)),0,VLOOKUP($X51,'Demand Lookups'!$A$5:$K$82,11,0)),2)</f>
        <v>0</v>
      </c>
      <c r="AH51" s="648">
        <f>AF51</f>
        <v>0</v>
      </c>
      <c r="AI51" s="648">
        <f>AF51</f>
        <v>0</v>
      </c>
      <c r="AJ51" s="167" t="s">
        <v>404</v>
      </c>
      <c r="AK51" s="846">
        <v>6.6</v>
      </c>
      <c r="AL51" s="167"/>
      <c r="AM51" s="168"/>
      <c r="AN51" s="167"/>
      <c r="AO51" s="168"/>
      <c r="AP51" s="171">
        <v>0</v>
      </c>
      <c r="AQ51" s="171"/>
      <c r="AR51" s="171"/>
      <c r="AS51" s="299">
        <f>SUMIF('NEI Lookups'!$L:$L,'Inputs Yr 2'!$F51,'NEI Lookups'!E:E)+SUMIF('NEI Lookups'!$M:$M,'Inputs Yr 2'!$F51,'NEI Lookups'!E:E)+SUMIF('NEI Lookups'!$N:$N,'Inputs Yr 2'!$F51,'NEI Lookups'!E:E)+SUMIF('NEI Lookups'!$O:$O,'Inputs Yr 2'!$F51,'NEI Lookups'!E:E)+SUMIF('NEI Lookups'!$P:$P,'Inputs Yr 2'!$F51,'NEI Lookups'!E:E)+SUMIF('NEI Lookups'!$Q:$Q,'Inputs Yr 2'!$F51,'NEI Lookups'!E:E)+SUMIF('NEI Lookups'!$R:$R,'Inputs Yr 2'!$F51,'NEI Lookups'!E:E)+SUMIF('NEI Lookups'!$S:$S,'Inputs Yr 2'!$F51,'NEI Lookups'!E:E)+SUMIF('NEI Lookups'!$T:$T,'Inputs Yr 2'!$F51,'NEI Lookups'!E:E)</f>
        <v>3.2058823529411766</v>
      </c>
      <c r="AT51" s="299">
        <f>SUMIF('NEI Lookups'!$L:$L,'Inputs Yr 2'!$F51,'NEI Lookups'!F:F)+SUMIF('NEI Lookups'!$M:$M,'Inputs Yr 2'!$F51,'NEI Lookups'!F:F)+SUMIF('NEI Lookups'!$N:$N,'Inputs Yr 2'!$F51,'NEI Lookups'!F:F)+SUMIF('NEI Lookups'!$O:$O,'Inputs Yr 2'!$F51,'NEI Lookups'!F:F)+SUMIF('NEI Lookups'!$P:$P,'Inputs Yr 2'!$F51,'NEI Lookups'!F:F)+SUMIF('NEI Lookups'!$Q:$Q,'Inputs Yr 2'!$F51,'NEI Lookups'!F:F)+SUMIF('NEI Lookups'!$R:$R,'Inputs Yr 2'!$F51,'NEI Lookups'!F:F)+SUMIF('NEI Lookups'!$S:$S,'Inputs Yr 2'!$F51,'NEI Lookups'!F:F)+SUMIF('NEI Lookups'!$T:$T,'Inputs Yr 2'!$F51,'NEI Lookups'!F:F)</f>
        <v>0</v>
      </c>
      <c r="AU51" s="299">
        <f>SUMIF('NEI Lookups'!$L:$L,'Inputs Yr 2'!$F51,'NEI Lookups'!G:G)+SUMIF('NEI Lookups'!$M:$M,'Inputs Yr 2'!$F51,'NEI Lookups'!G:G)+SUMIF('NEI Lookups'!$N:$N,'Inputs Yr 2'!$F51,'NEI Lookups'!G:G)+SUMIF('NEI Lookups'!$O:$O,'Inputs Yr 2'!$F51,'NEI Lookups'!G:G)+SUMIF('NEI Lookups'!$P:$P,'Inputs Yr 2'!$F51,'NEI Lookups'!G:G)+SUMIF('NEI Lookups'!$Q:$Q,'Inputs Yr 2'!$F51,'NEI Lookups'!G:G)+SUMIF('NEI Lookups'!$R:$R,'Inputs Yr 2'!$F51,'NEI Lookups'!G:G)+SUMIF('NEI Lookups'!$S:$S,'Inputs Yr 2'!$F51,'NEI Lookups'!G:G)+SUMIF('NEI Lookups'!$T:$T,'Inputs Yr 2'!$F51,'NEI Lookups'!G:G)</f>
        <v>0</v>
      </c>
      <c r="AV51" s="299">
        <f>SUMIF('NEI Lookups'!$L:$L,'Inputs Yr 2'!$F51,'NEI Lookups'!H:H)+SUMIF('NEI Lookups'!$M:$M,'Inputs Yr 2'!$F51,'NEI Lookups'!H:H)+SUMIF('NEI Lookups'!$N:$N,'Inputs Yr 2'!$F51,'NEI Lookups'!H:H)+SUMIF('NEI Lookups'!$O:$O,'Inputs Yr 2'!$F51,'NEI Lookups'!H:H)+SUMIF('NEI Lookups'!$P:$P,'Inputs Yr 2'!$F51,'NEI Lookups'!H:H)+SUMIF('NEI Lookups'!$Q:$Q,'Inputs Yr 2'!$F51,'NEI Lookups'!H:H)+SUMIF('NEI Lookups'!$R:$R,'Inputs Yr 2'!$F51,'NEI Lookups'!H:H)+SUMIF('NEI Lookups'!$S:$S,'Inputs Yr 2'!$F51,'NEI Lookups'!H:H)+SUMIF('NEI Lookups'!$T:$T,'Inputs Yr 2'!$F51,'NEI Lookups'!H:H)</f>
        <v>0</v>
      </c>
      <c r="AW51" s="299">
        <f>SUMIF('NEI Lookups'!$L:$L,'Inputs Yr 2'!$F51,'NEI Lookups'!I:I)+SUMIF('NEI Lookups'!$M:$M,'Inputs Yr 2'!$F51,'NEI Lookups'!I:I)+SUMIF('NEI Lookups'!$N:$N,'Inputs Yr 2'!$F51,'NEI Lookups'!I:I)+SUMIF('NEI Lookups'!$O:$O,'Inputs Yr 2'!$F51,'NEI Lookups'!I:I)+SUMIF('NEI Lookups'!$P:$P,'Inputs Yr 2'!$F51,'NEI Lookups'!I:I)+SUMIF('NEI Lookups'!$Q:$Q,'Inputs Yr 2'!$F51,'NEI Lookups'!I:I)+SUMIF('NEI Lookups'!$R:$R,'Inputs Yr 2'!$F51,'NEI Lookups'!I:I)+SUMIF('NEI Lookups'!$S:$S,'Inputs Yr 2'!$F51,'NEI Lookups'!I:I)+SUMIF('NEI Lookups'!$T:$T,'Inputs Yr 2'!$F51,'NEI Lookups'!I:I)</f>
        <v>0</v>
      </c>
      <c r="AX51" s="299">
        <f>SUMIF('NEI Lookups'!$L:$L,'Inputs Yr 2'!$F51,'NEI Lookups'!J:J)+SUMIF('NEI Lookups'!$M:$M,'Inputs Yr 2'!$F51,'NEI Lookups'!J:J)+SUMIF('NEI Lookups'!$N:$N,'Inputs Yr 2'!$F51,'NEI Lookups'!J:J)+SUMIF('NEI Lookups'!$O:$O,'Inputs Yr 2'!$F51,'NEI Lookups'!J:J)+SUMIF('NEI Lookups'!$P:$P,'Inputs Yr 2'!$F51,'NEI Lookups'!J:J)+SUMIF('NEI Lookups'!$Q:$Q,'Inputs Yr 2'!$F51,'NEI Lookups'!J:J)+SUMIF('NEI Lookups'!$R:$R,'Inputs Yr 2'!$F51,'NEI Lookups'!J:J)+SUMIF('NEI Lookups'!$S:$S,'Inputs Yr 2'!$F51,'NEI Lookups'!J:J)+SUMIF('NEI Lookups'!$T:$T,'Inputs Yr 2'!$F51,'NEI Lookups'!J:J)</f>
        <v>0</v>
      </c>
      <c r="AY51" s="930">
        <f>'Calculations Yr 2'!CP51/'Calculations Yr 2'!I51</f>
        <v>13.117043240203984</v>
      </c>
    </row>
    <row r="52" spans="1:51" s="8" customFormat="1" ht="12.75" customHeight="1">
      <c r="A52" s="145" t="s">
        <v>32</v>
      </c>
      <c r="B52" s="132" t="s">
        <v>462</v>
      </c>
      <c r="C52" s="132" t="s">
        <v>741</v>
      </c>
      <c r="D52" s="907" t="s">
        <v>1446</v>
      </c>
      <c r="E52" s="150" t="s">
        <v>1384</v>
      </c>
      <c r="F52" s="98" t="s">
        <v>976</v>
      </c>
      <c r="G52" s="145" t="s">
        <v>1247</v>
      </c>
      <c r="H52" s="232">
        <v>288</v>
      </c>
      <c r="I52" s="232">
        <v>15</v>
      </c>
      <c r="J52" s="964">
        <v>72.111951795841222</v>
      </c>
      <c r="K52" s="166">
        <v>57.362542533081282</v>
      </c>
      <c r="L52" s="888">
        <f t="shared" si="0"/>
        <v>14.74940926275994</v>
      </c>
      <c r="M52" s="978">
        <v>0</v>
      </c>
      <c r="N52" s="978">
        <v>0</v>
      </c>
      <c r="O52" s="978">
        <v>0</v>
      </c>
      <c r="P52" s="889">
        <f t="shared" si="8"/>
        <v>1</v>
      </c>
      <c r="Q52" s="978">
        <v>1</v>
      </c>
      <c r="R52" s="178">
        <v>1</v>
      </c>
      <c r="S52" s="178">
        <v>1</v>
      </c>
      <c r="T52" s="178">
        <v>1</v>
      </c>
      <c r="U52" s="980">
        <v>1</v>
      </c>
      <c r="V52" s="978">
        <v>1</v>
      </c>
      <c r="W52" s="179">
        <v>104</v>
      </c>
      <c r="X52" s="97" t="s">
        <v>38</v>
      </c>
      <c r="Y52" s="299">
        <f>IFERROR(VLOOKUP($X52,'Demand Lookups'!$A$5:$K$101,9,0), 0)</f>
        <v>2.2229620624189838E-3</v>
      </c>
      <c r="Z52" s="922" t="str">
        <f>IFERROR(VLOOKUP(X52,'Demand Lookups'!$A$5:$B$101,2,0),0)</f>
        <v>Residential Electric Cooling - Central AC</v>
      </c>
      <c r="AA52" s="722">
        <f>ROUND(IF(ISNA(VLOOKUP($X52,'Demand Lookups'!$A$5:$K$81,3,0)),0,VLOOKUP($X52,'Demand Lookups'!$A$5:$K$81,3,0)),2)</f>
        <v>0.01</v>
      </c>
      <c r="AB52" s="722">
        <f>ROUND(IF(ISNA(VLOOKUP($X52,'Demand Lookups'!$A$5:$K$81,4,0)),0,VLOOKUP($X52,'Demand Lookups'!$A$5:$K$81,4,0)),2)</f>
        <v>0.04</v>
      </c>
      <c r="AC52" s="722">
        <f>ROUND(IF(ISNA(VLOOKUP($X52,'Demand Lookups'!$A$5:$K$81,5,0)),0,VLOOKUP($X52,'Demand Lookups'!$A$5:$K$81,5,0)),2)</f>
        <v>0.54</v>
      </c>
      <c r="AD52" s="723">
        <f>ROUND(IF(ISNA(VLOOKUP($X52,'Demand Lookups'!$A$5:$K$81,6,0)),0,VLOOKUP($X52,'Demand Lookups'!$A$5:$K$81,6,0)),2)</f>
        <v>0.41</v>
      </c>
      <c r="AE52" s="724">
        <f>ROUND(IF(ISERROR(W52*Y52),"",W52*Y52),2)</f>
        <v>0.23</v>
      </c>
      <c r="AF52" s="723">
        <f>ROUND(IF(ISNA(VLOOKUP($X52,'Demand Lookups'!$A$5:$K$82,10,0)),0,(VLOOKUP($X52,'Demand Lookups'!$A$5:$K$82,10,0))),2)</f>
        <v>1</v>
      </c>
      <c r="AG52" s="723">
        <f>ROUND(IF(ISNA(VLOOKUP($X52,'Demand Lookups'!$A$5:$K$82,11,0)),0,VLOOKUP($X52,'Demand Lookups'!$A$5:$K$82,11,0)),2)</f>
        <v>0</v>
      </c>
      <c r="AH52" s="648">
        <f>AF52</f>
        <v>1</v>
      </c>
      <c r="AI52" s="648">
        <f>AF52</f>
        <v>1</v>
      </c>
      <c r="AJ52" s="167" t="s">
        <v>404</v>
      </c>
      <c r="AK52" s="846">
        <v>6.6</v>
      </c>
      <c r="AL52" s="167"/>
      <c r="AM52" s="168"/>
      <c r="AN52" s="167"/>
      <c r="AO52" s="168"/>
      <c r="AP52" s="171">
        <v>0</v>
      </c>
      <c r="AQ52" s="171"/>
      <c r="AR52" s="171"/>
      <c r="AS52" s="299">
        <f>SUMIF('NEI Lookups'!$L:$L,'Inputs Yr 2'!$F52,'NEI Lookups'!E:E)+SUMIF('NEI Lookups'!$M:$M,'Inputs Yr 2'!$F52,'NEI Lookups'!E:E)+SUMIF('NEI Lookups'!$N:$N,'Inputs Yr 2'!$F52,'NEI Lookups'!E:E)+SUMIF('NEI Lookups'!$O:$O,'Inputs Yr 2'!$F52,'NEI Lookups'!E:E)+SUMIF('NEI Lookups'!$P:$P,'Inputs Yr 2'!$F52,'NEI Lookups'!E:E)+SUMIF('NEI Lookups'!$Q:$Q,'Inputs Yr 2'!$F52,'NEI Lookups'!E:E)+SUMIF('NEI Lookups'!$R:$R,'Inputs Yr 2'!$F52,'NEI Lookups'!E:E)+SUMIF('NEI Lookups'!$S:$S,'Inputs Yr 2'!$F52,'NEI Lookups'!E:E)+SUMIF('NEI Lookups'!$T:$T,'Inputs Yr 2'!$F52,'NEI Lookups'!E:E)</f>
        <v>3.2058823529411766</v>
      </c>
      <c r="AT52" s="299">
        <f>SUMIF('NEI Lookups'!$L:$L,'Inputs Yr 2'!$F52,'NEI Lookups'!F:F)+SUMIF('NEI Lookups'!$M:$M,'Inputs Yr 2'!$F52,'NEI Lookups'!F:F)+SUMIF('NEI Lookups'!$N:$N,'Inputs Yr 2'!$F52,'NEI Lookups'!F:F)+SUMIF('NEI Lookups'!$O:$O,'Inputs Yr 2'!$F52,'NEI Lookups'!F:F)+SUMIF('NEI Lookups'!$P:$P,'Inputs Yr 2'!$F52,'NEI Lookups'!F:F)+SUMIF('NEI Lookups'!$Q:$Q,'Inputs Yr 2'!$F52,'NEI Lookups'!F:F)+SUMIF('NEI Lookups'!$R:$R,'Inputs Yr 2'!$F52,'NEI Lookups'!F:F)+SUMIF('NEI Lookups'!$S:$S,'Inputs Yr 2'!$F52,'NEI Lookups'!F:F)+SUMIF('NEI Lookups'!$T:$T,'Inputs Yr 2'!$F52,'NEI Lookups'!F:F)</f>
        <v>0</v>
      </c>
      <c r="AU52" s="299">
        <f>SUMIF('NEI Lookups'!$L:$L,'Inputs Yr 2'!$F52,'NEI Lookups'!G:G)+SUMIF('NEI Lookups'!$M:$M,'Inputs Yr 2'!$F52,'NEI Lookups'!G:G)+SUMIF('NEI Lookups'!$N:$N,'Inputs Yr 2'!$F52,'NEI Lookups'!G:G)+SUMIF('NEI Lookups'!$O:$O,'Inputs Yr 2'!$F52,'NEI Lookups'!G:G)+SUMIF('NEI Lookups'!$P:$P,'Inputs Yr 2'!$F52,'NEI Lookups'!G:G)+SUMIF('NEI Lookups'!$Q:$Q,'Inputs Yr 2'!$F52,'NEI Lookups'!G:G)+SUMIF('NEI Lookups'!$R:$R,'Inputs Yr 2'!$F52,'NEI Lookups'!G:G)+SUMIF('NEI Lookups'!$S:$S,'Inputs Yr 2'!$F52,'NEI Lookups'!G:G)+SUMIF('NEI Lookups'!$T:$T,'Inputs Yr 2'!$F52,'NEI Lookups'!G:G)</f>
        <v>0</v>
      </c>
      <c r="AV52" s="299">
        <f>SUMIF('NEI Lookups'!$L:$L,'Inputs Yr 2'!$F52,'NEI Lookups'!H:H)+SUMIF('NEI Lookups'!$M:$M,'Inputs Yr 2'!$F52,'NEI Lookups'!H:H)+SUMIF('NEI Lookups'!$N:$N,'Inputs Yr 2'!$F52,'NEI Lookups'!H:H)+SUMIF('NEI Lookups'!$O:$O,'Inputs Yr 2'!$F52,'NEI Lookups'!H:H)+SUMIF('NEI Lookups'!$P:$P,'Inputs Yr 2'!$F52,'NEI Lookups'!H:H)+SUMIF('NEI Lookups'!$Q:$Q,'Inputs Yr 2'!$F52,'NEI Lookups'!H:H)+SUMIF('NEI Lookups'!$R:$R,'Inputs Yr 2'!$F52,'NEI Lookups'!H:H)+SUMIF('NEI Lookups'!$S:$S,'Inputs Yr 2'!$F52,'NEI Lookups'!H:H)+SUMIF('NEI Lookups'!$T:$T,'Inputs Yr 2'!$F52,'NEI Lookups'!H:H)</f>
        <v>0</v>
      </c>
      <c r="AW52" s="299">
        <f>SUMIF('NEI Lookups'!$L:$L,'Inputs Yr 2'!$F52,'NEI Lookups'!I:I)+SUMIF('NEI Lookups'!$M:$M,'Inputs Yr 2'!$F52,'NEI Lookups'!I:I)+SUMIF('NEI Lookups'!$N:$N,'Inputs Yr 2'!$F52,'NEI Lookups'!I:I)+SUMIF('NEI Lookups'!$O:$O,'Inputs Yr 2'!$F52,'NEI Lookups'!I:I)+SUMIF('NEI Lookups'!$P:$P,'Inputs Yr 2'!$F52,'NEI Lookups'!I:I)+SUMIF('NEI Lookups'!$Q:$Q,'Inputs Yr 2'!$F52,'NEI Lookups'!I:I)+SUMIF('NEI Lookups'!$R:$R,'Inputs Yr 2'!$F52,'NEI Lookups'!I:I)+SUMIF('NEI Lookups'!$S:$S,'Inputs Yr 2'!$F52,'NEI Lookups'!I:I)+SUMIF('NEI Lookups'!$T:$T,'Inputs Yr 2'!$F52,'NEI Lookups'!I:I)</f>
        <v>0</v>
      </c>
      <c r="AX52" s="299">
        <f>SUMIF('NEI Lookups'!$L:$L,'Inputs Yr 2'!$F52,'NEI Lookups'!J:J)+SUMIF('NEI Lookups'!$M:$M,'Inputs Yr 2'!$F52,'NEI Lookups'!J:J)+SUMIF('NEI Lookups'!$N:$N,'Inputs Yr 2'!$F52,'NEI Lookups'!J:J)+SUMIF('NEI Lookups'!$O:$O,'Inputs Yr 2'!$F52,'NEI Lookups'!J:J)+SUMIF('NEI Lookups'!$P:$P,'Inputs Yr 2'!$F52,'NEI Lookups'!J:J)+SUMIF('NEI Lookups'!$Q:$Q,'Inputs Yr 2'!$F52,'NEI Lookups'!J:J)+SUMIF('NEI Lookups'!$R:$R,'Inputs Yr 2'!$F52,'NEI Lookups'!J:J)+SUMIF('NEI Lookups'!$S:$S,'Inputs Yr 2'!$F52,'NEI Lookups'!J:J)+SUMIF('NEI Lookups'!$T:$T,'Inputs Yr 2'!$F52,'NEI Lookups'!J:J)</f>
        <v>0</v>
      </c>
      <c r="AY52" s="930">
        <f>'Calculations Yr 2'!CP52/'Calculations Yr 2'!I52</f>
        <v>27.992570956117714</v>
      </c>
    </row>
    <row r="53" spans="1:51" s="8" customFormat="1" ht="12.75" customHeight="1">
      <c r="A53" s="145" t="s">
        <v>32</v>
      </c>
      <c r="B53" s="132" t="s">
        <v>462</v>
      </c>
      <c r="C53" s="132" t="s">
        <v>741</v>
      </c>
      <c r="D53" s="907" t="s">
        <v>1447</v>
      </c>
      <c r="E53" s="150" t="s">
        <v>1336</v>
      </c>
      <c r="F53" s="98" t="s">
        <v>1382</v>
      </c>
      <c r="G53" s="145" t="s">
        <v>1247</v>
      </c>
      <c r="H53" s="232">
        <v>26</v>
      </c>
      <c r="I53" s="232">
        <v>15</v>
      </c>
      <c r="J53" s="964">
        <v>72.111951795841222</v>
      </c>
      <c r="K53" s="166">
        <v>57.362542533081282</v>
      </c>
      <c r="L53" s="888">
        <f t="shared" si="0"/>
        <v>14.74940926275994</v>
      </c>
      <c r="M53" s="978">
        <v>0</v>
      </c>
      <c r="N53" s="978">
        <v>0</v>
      </c>
      <c r="O53" s="978">
        <v>0</v>
      </c>
      <c r="P53" s="889">
        <f t="shared" si="8"/>
        <v>1</v>
      </c>
      <c r="Q53" s="978">
        <v>1</v>
      </c>
      <c r="R53" s="178">
        <v>1</v>
      </c>
      <c r="S53" s="178">
        <v>1</v>
      </c>
      <c r="T53" s="178">
        <v>1</v>
      </c>
      <c r="U53" s="980">
        <v>1</v>
      </c>
      <c r="V53" s="978">
        <v>1</v>
      </c>
      <c r="W53" s="179">
        <v>104</v>
      </c>
      <c r="X53" s="97" t="s">
        <v>38</v>
      </c>
      <c r="Y53" s="299">
        <f>IFERROR(VLOOKUP($X53,'Demand Lookups'!$A$5:$K$101,9,0), 0)</f>
        <v>2.2229620624189838E-3</v>
      </c>
      <c r="Z53" s="922" t="str">
        <f>IFERROR(VLOOKUP(X53,'Demand Lookups'!$A$5:$B$101,2,0),0)</f>
        <v>Residential Electric Cooling - Central AC</v>
      </c>
      <c r="AA53" s="722">
        <f>ROUND(IF(ISNA(VLOOKUP($X53,'Demand Lookups'!$A$5:$K$81,3,0)),0,VLOOKUP($X53,'Demand Lookups'!$A$5:$K$81,3,0)),2)</f>
        <v>0.01</v>
      </c>
      <c r="AB53" s="722">
        <f>ROUND(IF(ISNA(VLOOKUP($X53,'Demand Lookups'!$A$5:$K$81,4,0)),0,VLOOKUP($X53,'Demand Lookups'!$A$5:$K$81,4,0)),2)</f>
        <v>0.04</v>
      </c>
      <c r="AC53" s="722">
        <f>ROUND(IF(ISNA(VLOOKUP($X53,'Demand Lookups'!$A$5:$K$81,5,0)),0,VLOOKUP($X53,'Demand Lookups'!$A$5:$K$81,5,0)),2)</f>
        <v>0.54</v>
      </c>
      <c r="AD53" s="723">
        <f>ROUND(IF(ISNA(VLOOKUP($X53,'Demand Lookups'!$A$5:$K$81,6,0)),0,VLOOKUP($X53,'Demand Lookups'!$A$5:$K$81,6,0)),2)</f>
        <v>0.41</v>
      </c>
      <c r="AE53" s="724">
        <f t="shared" ref="AE53:AE55" si="9">ROUND(IF(ISERROR(W53*Y53),"",W53*Y53),2)</f>
        <v>0.23</v>
      </c>
      <c r="AF53" s="723">
        <v>1</v>
      </c>
      <c r="AG53" s="723">
        <v>0</v>
      </c>
      <c r="AH53" s="648">
        <v>1</v>
      </c>
      <c r="AI53" s="648">
        <v>1</v>
      </c>
      <c r="AJ53" s="167" t="s">
        <v>404</v>
      </c>
      <c r="AK53" s="846">
        <v>0</v>
      </c>
      <c r="AL53" s="167"/>
      <c r="AM53" s="168"/>
      <c r="AN53" s="167"/>
      <c r="AO53" s="168"/>
      <c r="AP53" s="171">
        <v>0</v>
      </c>
      <c r="AQ53" s="171"/>
      <c r="AR53" s="171"/>
      <c r="AS53" s="299">
        <f>SUMIF('NEI Lookups'!$L:$L,'Inputs Yr 2'!$F53,'NEI Lookups'!E:E)+SUMIF('NEI Lookups'!$M:$M,'Inputs Yr 2'!$F53,'NEI Lookups'!E:E)+SUMIF('NEI Lookups'!$N:$N,'Inputs Yr 2'!$F53,'NEI Lookups'!E:E)+SUMIF('NEI Lookups'!$O:$O,'Inputs Yr 2'!$F53,'NEI Lookups'!E:E)+SUMIF('NEI Lookups'!$P:$P,'Inputs Yr 2'!$F53,'NEI Lookups'!E:E)+SUMIF('NEI Lookups'!$Q:$Q,'Inputs Yr 2'!$F53,'NEI Lookups'!E:E)+SUMIF('NEI Lookups'!$R:$R,'Inputs Yr 2'!$F53,'NEI Lookups'!E:E)+SUMIF('NEI Lookups'!$S:$S,'Inputs Yr 2'!$F53,'NEI Lookups'!E:E)+SUMIF('NEI Lookups'!$T:$T,'Inputs Yr 2'!$F53,'NEI Lookups'!E:E)</f>
        <v>3.2058823529411766</v>
      </c>
      <c r="AT53" s="299">
        <f>SUMIF('NEI Lookups'!$L:$L,'Inputs Yr 2'!$F53,'NEI Lookups'!F:F)+SUMIF('NEI Lookups'!$M:$M,'Inputs Yr 2'!$F53,'NEI Lookups'!F:F)+SUMIF('NEI Lookups'!$N:$N,'Inputs Yr 2'!$F53,'NEI Lookups'!F:F)+SUMIF('NEI Lookups'!$O:$O,'Inputs Yr 2'!$F53,'NEI Lookups'!F:F)+SUMIF('NEI Lookups'!$P:$P,'Inputs Yr 2'!$F53,'NEI Lookups'!F:F)+SUMIF('NEI Lookups'!$Q:$Q,'Inputs Yr 2'!$F53,'NEI Lookups'!F:F)+SUMIF('NEI Lookups'!$R:$R,'Inputs Yr 2'!$F53,'NEI Lookups'!F:F)+SUMIF('NEI Lookups'!$S:$S,'Inputs Yr 2'!$F53,'NEI Lookups'!F:F)+SUMIF('NEI Lookups'!$T:$T,'Inputs Yr 2'!$F53,'NEI Lookups'!F:F)</f>
        <v>0</v>
      </c>
      <c r="AU53" s="299">
        <f>SUMIF('NEI Lookups'!$L:$L,'Inputs Yr 2'!$F53,'NEI Lookups'!G:G)+SUMIF('NEI Lookups'!$M:$M,'Inputs Yr 2'!$F53,'NEI Lookups'!G:G)+SUMIF('NEI Lookups'!$N:$N,'Inputs Yr 2'!$F53,'NEI Lookups'!G:G)+SUMIF('NEI Lookups'!$O:$O,'Inputs Yr 2'!$F53,'NEI Lookups'!G:G)+SUMIF('NEI Lookups'!$P:$P,'Inputs Yr 2'!$F53,'NEI Lookups'!G:G)+SUMIF('NEI Lookups'!$Q:$Q,'Inputs Yr 2'!$F53,'NEI Lookups'!G:G)+SUMIF('NEI Lookups'!$R:$R,'Inputs Yr 2'!$F53,'NEI Lookups'!G:G)+SUMIF('NEI Lookups'!$S:$S,'Inputs Yr 2'!$F53,'NEI Lookups'!G:G)+SUMIF('NEI Lookups'!$T:$T,'Inputs Yr 2'!$F53,'NEI Lookups'!G:G)</f>
        <v>0</v>
      </c>
      <c r="AV53" s="299">
        <f>SUMIF('NEI Lookups'!$L:$L,'Inputs Yr 2'!$F53,'NEI Lookups'!H:H)+SUMIF('NEI Lookups'!$M:$M,'Inputs Yr 2'!$F53,'NEI Lookups'!H:H)+SUMIF('NEI Lookups'!$N:$N,'Inputs Yr 2'!$F53,'NEI Lookups'!H:H)+SUMIF('NEI Lookups'!$O:$O,'Inputs Yr 2'!$F53,'NEI Lookups'!H:H)+SUMIF('NEI Lookups'!$P:$P,'Inputs Yr 2'!$F53,'NEI Lookups'!H:H)+SUMIF('NEI Lookups'!$Q:$Q,'Inputs Yr 2'!$F53,'NEI Lookups'!H:H)+SUMIF('NEI Lookups'!$R:$R,'Inputs Yr 2'!$F53,'NEI Lookups'!H:H)+SUMIF('NEI Lookups'!$S:$S,'Inputs Yr 2'!$F53,'NEI Lookups'!H:H)+SUMIF('NEI Lookups'!$T:$T,'Inputs Yr 2'!$F53,'NEI Lookups'!H:H)</f>
        <v>0</v>
      </c>
      <c r="AW53" s="299">
        <f>SUMIF('NEI Lookups'!$L:$L,'Inputs Yr 2'!$F53,'NEI Lookups'!I:I)+SUMIF('NEI Lookups'!$M:$M,'Inputs Yr 2'!$F53,'NEI Lookups'!I:I)+SUMIF('NEI Lookups'!$N:$N,'Inputs Yr 2'!$F53,'NEI Lookups'!I:I)+SUMIF('NEI Lookups'!$O:$O,'Inputs Yr 2'!$F53,'NEI Lookups'!I:I)+SUMIF('NEI Lookups'!$P:$P,'Inputs Yr 2'!$F53,'NEI Lookups'!I:I)+SUMIF('NEI Lookups'!$Q:$Q,'Inputs Yr 2'!$F53,'NEI Lookups'!I:I)+SUMIF('NEI Lookups'!$R:$R,'Inputs Yr 2'!$F53,'NEI Lookups'!I:I)+SUMIF('NEI Lookups'!$S:$S,'Inputs Yr 2'!$F53,'NEI Lookups'!I:I)+SUMIF('NEI Lookups'!$T:$T,'Inputs Yr 2'!$F53,'NEI Lookups'!I:I)</f>
        <v>0</v>
      </c>
      <c r="AX53" s="299">
        <f>SUMIF('NEI Lookups'!$L:$L,'Inputs Yr 2'!$F53,'NEI Lookups'!J:J)+SUMIF('NEI Lookups'!$M:$M,'Inputs Yr 2'!$F53,'NEI Lookups'!J:J)+SUMIF('NEI Lookups'!$N:$N,'Inputs Yr 2'!$F53,'NEI Lookups'!J:J)+SUMIF('NEI Lookups'!$O:$O,'Inputs Yr 2'!$F53,'NEI Lookups'!J:J)+SUMIF('NEI Lookups'!$P:$P,'Inputs Yr 2'!$F53,'NEI Lookups'!J:J)+SUMIF('NEI Lookups'!$Q:$Q,'Inputs Yr 2'!$F53,'NEI Lookups'!J:J)+SUMIF('NEI Lookups'!$R:$R,'Inputs Yr 2'!$F53,'NEI Lookups'!J:J)+SUMIF('NEI Lookups'!$S:$S,'Inputs Yr 2'!$F53,'NEI Lookups'!J:J)+SUMIF('NEI Lookups'!$T:$T,'Inputs Yr 2'!$F53,'NEI Lookups'!J:J)</f>
        <v>0</v>
      </c>
      <c r="AY53" s="930">
        <f>'Calculations Yr 2'!CP53/'Calculations Yr 2'!I53</f>
        <v>15.520898701499108</v>
      </c>
    </row>
    <row r="54" spans="1:51" s="8" customFormat="1" ht="12.75" customHeight="1">
      <c r="A54" s="145" t="s">
        <v>32</v>
      </c>
      <c r="B54" s="132" t="s">
        <v>462</v>
      </c>
      <c r="C54" s="132" t="s">
        <v>741</v>
      </c>
      <c r="D54" s="908" t="s">
        <v>1448</v>
      </c>
      <c r="E54" s="98" t="s">
        <v>1413</v>
      </c>
      <c r="F54" s="98" t="s">
        <v>977</v>
      </c>
      <c r="G54" s="145" t="s">
        <v>459</v>
      </c>
      <c r="H54" s="232">
        <v>338</v>
      </c>
      <c r="I54" s="232">
        <v>5</v>
      </c>
      <c r="J54" s="964">
        <v>7.6574260355029571</v>
      </c>
      <c r="K54" s="166">
        <v>7.6574260355029571</v>
      </c>
      <c r="L54" s="888">
        <f t="shared" si="0"/>
        <v>0</v>
      </c>
      <c r="M54" s="978">
        <v>0.24</v>
      </c>
      <c r="N54" s="978">
        <v>0</v>
      </c>
      <c r="O54" s="978">
        <v>0</v>
      </c>
      <c r="P54" s="889">
        <f t="shared" si="8"/>
        <v>0.76</v>
      </c>
      <c r="Q54" s="978">
        <v>1</v>
      </c>
      <c r="R54" s="178">
        <v>1</v>
      </c>
      <c r="S54" s="178">
        <v>1</v>
      </c>
      <c r="T54" s="178">
        <v>1</v>
      </c>
      <c r="U54" s="980">
        <v>1</v>
      </c>
      <c r="V54" s="978">
        <v>1</v>
      </c>
      <c r="W54" s="179">
        <v>42.7</v>
      </c>
      <c r="X54" s="99" t="s">
        <v>539</v>
      </c>
      <c r="Y54" s="299">
        <f>IFERROR(VLOOKUP($X54,'Demand Lookups'!$A$5:$K$101,9,0), 0)</f>
        <v>1.0147133434804667E-3</v>
      </c>
      <c r="Z54" s="922" t="str">
        <f>IFERROR(VLOOKUP(X54,'Demand Lookups'!$A$5:$B$101,2,0),0)</f>
        <v>Res Single Family Electric Lighting- Indoor (All Bulb) - NMR</v>
      </c>
      <c r="AA54" s="722">
        <f>IF(ISNA(VLOOKUP($X54,'Demand Lookups'!$A$5:$K$81,3,0)),0,VLOOKUP($X54,'Demand Lookups'!$A$5:$K$81,3,0))</f>
        <v>0.43</v>
      </c>
      <c r="AB54" s="722">
        <f>IF(ISNA(VLOOKUP($X54,'Demand Lookups'!$A$5:$K$81,4,0)),0,VLOOKUP($X54,'Demand Lookups'!$A$5:$K$81,4,0))</f>
        <v>0.24</v>
      </c>
      <c r="AC54" s="722">
        <f>IF(ISNA(VLOOKUP($X54,'Demand Lookups'!$A$5:$K$81,5,0)),0,VLOOKUP($X54,'Demand Lookups'!$A$5:$K$81,5,0))</f>
        <v>0.21</v>
      </c>
      <c r="AD54" s="723">
        <f>IF(ISNA(VLOOKUP($X54,'Demand Lookups'!$A$5:$K$81,6,0)),0,VLOOKUP($X54,'Demand Lookups'!$A$5:$K$81,6,0))</f>
        <v>0.12</v>
      </c>
      <c r="AE54" s="724">
        <v>4.2000000000000003E-2</v>
      </c>
      <c r="AF54" s="723">
        <f>ROUND(IF(ISNA(VLOOKUP($X54,'Demand Lookups'!$A$5:$K$82,10,0)),0,(VLOOKUP($X54,'Demand Lookups'!$A$5:$K$82,10,0))),2)</f>
        <v>0.13</v>
      </c>
      <c r="AG54" s="723">
        <f>ROUND(IF(ISNA(VLOOKUP($X54,'Demand Lookups'!$A$5:$K$82,11,0)),0,VLOOKUP($X54,'Demand Lookups'!$A$5:$K$82,11,0)),2)</f>
        <v>0.16</v>
      </c>
      <c r="AH54" s="648">
        <f t="shared" ref="AH54:AH64" si="10">AF54</f>
        <v>0.13</v>
      </c>
      <c r="AI54" s="648">
        <f t="shared" ref="AI54:AI64" si="11">AF54</f>
        <v>0.13</v>
      </c>
      <c r="AJ54" s="167"/>
      <c r="AK54" s="846">
        <v>0</v>
      </c>
      <c r="AL54" s="167"/>
      <c r="AM54" s="168"/>
      <c r="AN54" s="167"/>
      <c r="AO54" s="168"/>
      <c r="AP54" s="171">
        <v>0</v>
      </c>
      <c r="AQ54" s="171"/>
      <c r="AR54" s="171"/>
      <c r="AS54" s="299">
        <f>SUMIF('NEI Lookups'!$L:$L,'Inputs Yr 2'!$F54,'NEI Lookups'!E:E)+SUMIF('NEI Lookups'!$M:$M,'Inputs Yr 2'!$F54,'NEI Lookups'!E:E)+SUMIF('NEI Lookups'!$N:$N,'Inputs Yr 2'!$F54,'NEI Lookups'!E:E)+SUMIF('NEI Lookups'!$O:$O,'Inputs Yr 2'!$F54,'NEI Lookups'!E:E)+SUMIF('NEI Lookups'!$P:$P,'Inputs Yr 2'!$F54,'NEI Lookups'!E:E)+SUMIF('NEI Lookups'!$Q:$Q,'Inputs Yr 2'!$F54,'NEI Lookups'!E:E)+SUMIF('NEI Lookups'!$R:$R,'Inputs Yr 2'!$F54,'NEI Lookups'!E:E)+SUMIF('NEI Lookups'!$S:$S,'Inputs Yr 2'!$F54,'NEI Lookups'!E:E)+SUMIF('NEI Lookups'!$T:$T,'Inputs Yr 2'!$F54,'NEI Lookups'!E:E)</f>
        <v>0</v>
      </c>
      <c r="AT54" s="299">
        <f>SUMIF('NEI Lookups'!$L:$L,'Inputs Yr 2'!$F54,'NEI Lookups'!F:F)+SUMIF('NEI Lookups'!$M:$M,'Inputs Yr 2'!$F54,'NEI Lookups'!F:F)+SUMIF('NEI Lookups'!$N:$N,'Inputs Yr 2'!$F54,'NEI Lookups'!F:F)+SUMIF('NEI Lookups'!$O:$O,'Inputs Yr 2'!$F54,'NEI Lookups'!F:F)+SUMIF('NEI Lookups'!$P:$P,'Inputs Yr 2'!$F54,'NEI Lookups'!F:F)+SUMIF('NEI Lookups'!$Q:$Q,'Inputs Yr 2'!$F54,'NEI Lookups'!F:F)+SUMIF('NEI Lookups'!$R:$R,'Inputs Yr 2'!$F54,'NEI Lookups'!F:F)+SUMIF('NEI Lookups'!$S:$S,'Inputs Yr 2'!$F54,'NEI Lookups'!F:F)+SUMIF('NEI Lookups'!$T:$T,'Inputs Yr 2'!$F54,'NEI Lookups'!F:F)</f>
        <v>3</v>
      </c>
      <c r="AU54" s="299">
        <f>SUMIF('NEI Lookups'!$L:$L,'Inputs Yr 2'!$F54,'NEI Lookups'!G:G)+SUMIF('NEI Lookups'!$M:$M,'Inputs Yr 2'!$F54,'NEI Lookups'!G:G)+SUMIF('NEI Lookups'!$N:$N,'Inputs Yr 2'!$F54,'NEI Lookups'!G:G)+SUMIF('NEI Lookups'!$O:$O,'Inputs Yr 2'!$F54,'NEI Lookups'!G:G)+SUMIF('NEI Lookups'!$P:$P,'Inputs Yr 2'!$F54,'NEI Lookups'!G:G)+SUMIF('NEI Lookups'!$Q:$Q,'Inputs Yr 2'!$F54,'NEI Lookups'!G:G)+SUMIF('NEI Lookups'!$R:$R,'Inputs Yr 2'!$F54,'NEI Lookups'!G:G)+SUMIF('NEI Lookups'!$S:$S,'Inputs Yr 2'!$F54,'NEI Lookups'!G:G)+SUMIF('NEI Lookups'!$T:$T,'Inputs Yr 2'!$F54,'NEI Lookups'!G:G)</f>
        <v>0</v>
      </c>
      <c r="AV54" s="299">
        <f>SUMIF('NEI Lookups'!$L:$L,'Inputs Yr 2'!$F54,'NEI Lookups'!H:H)+SUMIF('NEI Lookups'!$M:$M,'Inputs Yr 2'!$F54,'NEI Lookups'!H:H)+SUMIF('NEI Lookups'!$N:$N,'Inputs Yr 2'!$F54,'NEI Lookups'!H:H)+SUMIF('NEI Lookups'!$O:$O,'Inputs Yr 2'!$F54,'NEI Lookups'!H:H)+SUMIF('NEI Lookups'!$P:$P,'Inputs Yr 2'!$F54,'NEI Lookups'!H:H)+SUMIF('NEI Lookups'!$Q:$Q,'Inputs Yr 2'!$F54,'NEI Lookups'!H:H)+SUMIF('NEI Lookups'!$R:$R,'Inputs Yr 2'!$F54,'NEI Lookups'!H:H)+SUMIF('NEI Lookups'!$S:$S,'Inputs Yr 2'!$F54,'NEI Lookups'!H:H)+SUMIF('NEI Lookups'!$T:$T,'Inputs Yr 2'!$F54,'NEI Lookups'!H:H)</f>
        <v>0</v>
      </c>
      <c r="AW54" s="299">
        <f>SUMIF('NEI Lookups'!$L:$L,'Inputs Yr 2'!$F54,'NEI Lookups'!I:I)+SUMIF('NEI Lookups'!$M:$M,'Inputs Yr 2'!$F54,'NEI Lookups'!I:I)+SUMIF('NEI Lookups'!$N:$N,'Inputs Yr 2'!$F54,'NEI Lookups'!I:I)+SUMIF('NEI Lookups'!$O:$O,'Inputs Yr 2'!$F54,'NEI Lookups'!I:I)+SUMIF('NEI Lookups'!$P:$P,'Inputs Yr 2'!$F54,'NEI Lookups'!I:I)+SUMIF('NEI Lookups'!$Q:$Q,'Inputs Yr 2'!$F54,'NEI Lookups'!I:I)+SUMIF('NEI Lookups'!$R:$R,'Inputs Yr 2'!$F54,'NEI Lookups'!I:I)+SUMIF('NEI Lookups'!$S:$S,'Inputs Yr 2'!$F54,'NEI Lookups'!I:I)+SUMIF('NEI Lookups'!$T:$T,'Inputs Yr 2'!$F54,'NEI Lookups'!I:I)</f>
        <v>0</v>
      </c>
      <c r="AX54" s="299">
        <f>SUMIF('NEI Lookups'!$L:$L,'Inputs Yr 2'!$F54,'NEI Lookups'!J:J)+SUMIF('NEI Lookups'!$M:$M,'Inputs Yr 2'!$F54,'NEI Lookups'!J:J)+SUMIF('NEI Lookups'!$N:$N,'Inputs Yr 2'!$F54,'NEI Lookups'!J:J)+SUMIF('NEI Lookups'!$O:$O,'Inputs Yr 2'!$F54,'NEI Lookups'!J:J)+SUMIF('NEI Lookups'!$P:$P,'Inputs Yr 2'!$F54,'NEI Lookups'!J:J)+SUMIF('NEI Lookups'!$Q:$Q,'Inputs Yr 2'!$F54,'NEI Lookups'!J:J)+SUMIF('NEI Lookups'!$R:$R,'Inputs Yr 2'!$F54,'NEI Lookups'!J:J)+SUMIF('NEI Lookups'!$S:$S,'Inputs Yr 2'!$F54,'NEI Lookups'!J:J)+SUMIF('NEI Lookups'!$T:$T,'Inputs Yr 2'!$F54,'NEI Lookups'!J:J)</f>
        <v>0</v>
      </c>
      <c r="AY54" s="930">
        <f>'Calculations Yr 2'!CP54/'Calculations Yr 2'!I54</f>
        <v>3.5354287021360649</v>
      </c>
    </row>
    <row r="55" spans="1:51" s="133" customFormat="1" ht="12.75" customHeight="1">
      <c r="A55" s="145" t="s">
        <v>32</v>
      </c>
      <c r="B55" s="132" t="s">
        <v>462</v>
      </c>
      <c r="C55" s="132" t="s">
        <v>741</v>
      </c>
      <c r="D55" s="908" t="s">
        <v>1449</v>
      </c>
      <c r="E55" s="98" t="s">
        <v>414</v>
      </c>
      <c r="F55" s="98" t="s">
        <v>1399</v>
      </c>
      <c r="G55" s="145" t="s">
        <v>459</v>
      </c>
      <c r="H55" s="232">
        <v>78768</v>
      </c>
      <c r="I55" s="232">
        <v>7</v>
      </c>
      <c r="J55" s="964">
        <v>8.0434882185659138</v>
      </c>
      <c r="K55" s="166">
        <v>8.0434882185659138</v>
      </c>
      <c r="L55" s="888">
        <f t="shared" si="0"/>
        <v>0</v>
      </c>
      <c r="M55" s="978">
        <v>0.05</v>
      </c>
      <c r="N55" s="978">
        <v>0</v>
      </c>
      <c r="O55" s="978">
        <v>0</v>
      </c>
      <c r="P55" s="889">
        <f t="shared" si="8"/>
        <v>0.95</v>
      </c>
      <c r="Q55" s="978">
        <v>1</v>
      </c>
      <c r="R55" s="178">
        <v>1</v>
      </c>
      <c r="S55" s="178">
        <v>1</v>
      </c>
      <c r="T55" s="178">
        <v>1</v>
      </c>
      <c r="U55" s="980">
        <v>1</v>
      </c>
      <c r="V55" s="978">
        <v>1</v>
      </c>
      <c r="W55" s="179">
        <v>37.299999999999997</v>
      </c>
      <c r="X55" s="99" t="s">
        <v>539</v>
      </c>
      <c r="Y55" s="299">
        <f>IFERROR(VLOOKUP($X55,'Demand Lookups'!$A$5:$K$101,9,0), 0)</f>
        <v>1.0147133434804667E-3</v>
      </c>
      <c r="Z55" s="922" t="str">
        <f>IFERROR(VLOOKUP(X55,'Demand Lookups'!$A$5:$B$101,2,0),0)</f>
        <v>Res Single Family Electric Lighting- Indoor (All Bulb) - NMR</v>
      </c>
      <c r="AA55" s="722">
        <f>IF(ISNA(VLOOKUP($X55,'Demand Lookups'!$A$5:$K$81,3,0)),0,VLOOKUP($X55,'Demand Lookups'!$A$5:$K$81,3,0))</f>
        <v>0.43</v>
      </c>
      <c r="AB55" s="722">
        <f>IF(ISNA(VLOOKUP($X55,'Demand Lookups'!$A$5:$K$81,4,0)),0,VLOOKUP($X55,'Demand Lookups'!$A$5:$K$81,4,0))</f>
        <v>0.24</v>
      </c>
      <c r="AC55" s="722">
        <f>IF(ISNA(VLOOKUP($X55,'Demand Lookups'!$A$5:$K$81,5,0)),0,VLOOKUP($X55,'Demand Lookups'!$A$5:$K$81,5,0))</f>
        <v>0.21</v>
      </c>
      <c r="AD55" s="723">
        <f>IF(ISNA(VLOOKUP($X55,'Demand Lookups'!$A$5:$K$81,6,0)),0,VLOOKUP($X55,'Demand Lookups'!$A$5:$K$81,6,0))</f>
        <v>0.12</v>
      </c>
      <c r="AE55" s="724">
        <f t="shared" si="9"/>
        <v>0.04</v>
      </c>
      <c r="AF55" s="723">
        <f>ROUND(IF(ISNA(VLOOKUP($X55,'Demand Lookups'!$A$5:$K$82,10,0)),0,(VLOOKUP($X55,'Demand Lookups'!$A$5:$K$82,10,0))),2)</f>
        <v>0.13</v>
      </c>
      <c r="AG55" s="723">
        <f>ROUND(IF(ISNA(VLOOKUP($X55,'Demand Lookups'!$A$5:$K$82,11,0)),0,VLOOKUP($X55,'Demand Lookups'!$A$5:$K$82,11,0)),2)</f>
        <v>0.16</v>
      </c>
      <c r="AH55" s="648">
        <f t="shared" si="10"/>
        <v>0.13</v>
      </c>
      <c r="AI55" s="648">
        <f t="shared" si="11"/>
        <v>0.13</v>
      </c>
      <c r="AJ55" s="167"/>
      <c r="AK55" s="846">
        <v>0</v>
      </c>
      <c r="AL55" s="167"/>
      <c r="AM55" s="168"/>
      <c r="AN55" s="167"/>
      <c r="AO55" s="168"/>
      <c r="AP55" s="171">
        <v>0</v>
      </c>
      <c r="AQ55" s="171"/>
      <c r="AR55" s="171"/>
      <c r="AS55" s="299">
        <f>SUMIF('NEI Lookups'!$L:$L,'Inputs Yr 2'!$F55,'NEI Lookups'!E:E)+SUMIF('NEI Lookups'!$M:$M,'Inputs Yr 2'!$F55,'NEI Lookups'!E:E)+SUMIF('NEI Lookups'!$N:$N,'Inputs Yr 2'!$F55,'NEI Lookups'!E:E)+SUMIF('NEI Lookups'!$O:$O,'Inputs Yr 2'!$F55,'NEI Lookups'!E:E)+SUMIF('NEI Lookups'!$P:$P,'Inputs Yr 2'!$F55,'NEI Lookups'!E:E)+SUMIF('NEI Lookups'!$Q:$Q,'Inputs Yr 2'!$F55,'NEI Lookups'!E:E)+SUMIF('NEI Lookups'!$R:$R,'Inputs Yr 2'!$F55,'NEI Lookups'!E:E)+SUMIF('NEI Lookups'!$S:$S,'Inputs Yr 2'!$F55,'NEI Lookups'!E:E)+SUMIF('NEI Lookups'!$T:$T,'Inputs Yr 2'!$F55,'NEI Lookups'!E:E)</f>
        <v>0</v>
      </c>
      <c r="AT55" s="299">
        <f>SUMIF('NEI Lookups'!$L:$L,'Inputs Yr 2'!$F55,'NEI Lookups'!F:F)+SUMIF('NEI Lookups'!$M:$M,'Inputs Yr 2'!$F55,'NEI Lookups'!F:F)+SUMIF('NEI Lookups'!$N:$N,'Inputs Yr 2'!$F55,'NEI Lookups'!F:F)+SUMIF('NEI Lookups'!$O:$O,'Inputs Yr 2'!$F55,'NEI Lookups'!F:F)+SUMIF('NEI Lookups'!$P:$P,'Inputs Yr 2'!$F55,'NEI Lookups'!F:F)+SUMIF('NEI Lookups'!$Q:$Q,'Inputs Yr 2'!$F55,'NEI Lookups'!F:F)+SUMIF('NEI Lookups'!$R:$R,'Inputs Yr 2'!$F55,'NEI Lookups'!F:F)+SUMIF('NEI Lookups'!$S:$S,'Inputs Yr 2'!$F55,'NEI Lookups'!F:F)+SUMIF('NEI Lookups'!$T:$T,'Inputs Yr 2'!$F55,'NEI Lookups'!F:F)</f>
        <v>3</v>
      </c>
      <c r="AU55" s="299">
        <f>SUMIF('NEI Lookups'!$L:$L,'Inputs Yr 2'!$F55,'NEI Lookups'!G:G)+SUMIF('NEI Lookups'!$M:$M,'Inputs Yr 2'!$F55,'NEI Lookups'!G:G)+SUMIF('NEI Lookups'!$N:$N,'Inputs Yr 2'!$F55,'NEI Lookups'!G:G)+SUMIF('NEI Lookups'!$O:$O,'Inputs Yr 2'!$F55,'NEI Lookups'!G:G)+SUMIF('NEI Lookups'!$P:$P,'Inputs Yr 2'!$F55,'NEI Lookups'!G:G)+SUMIF('NEI Lookups'!$Q:$Q,'Inputs Yr 2'!$F55,'NEI Lookups'!G:G)+SUMIF('NEI Lookups'!$R:$R,'Inputs Yr 2'!$F55,'NEI Lookups'!G:G)+SUMIF('NEI Lookups'!$S:$S,'Inputs Yr 2'!$F55,'NEI Lookups'!G:G)+SUMIF('NEI Lookups'!$T:$T,'Inputs Yr 2'!$F55,'NEI Lookups'!G:G)</f>
        <v>0</v>
      </c>
      <c r="AV55" s="299">
        <f>SUMIF('NEI Lookups'!$L:$L,'Inputs Yr 2'!$F55,'NEI Lookups'!H:H)+SUMIF('NEI Lookups'!$M:$M,'Inputs Yr 2'!$F55,'NEI Lookups'!H:H)+SUMIF('NEI Lookups'!$N:$N,'Inputs Yr 2'!$F55,'NEI Lookups'!H:H)+SUMIF('NEI Lookups'!$O:$O,'Inputs Yr 2'!$F55,'NEI Lookups'!H:H)+SUMIF('NEI Lookups'!$P:$P,'Inputs Yr 2'!$F55,'NEI Lookups'!H:H)+SUMIF('NEI Lookups'!$Q:$Q,'Inputs Yr 2'!$F55,'NEI Lookups'!H:H)+SUMIF('NEI Lookups'!$R:$R,'Inputs Yr 2'!$F55,'NEI Lookups'!H:H)+SUMIF('NEI Lookups'!$S:$S,'Inputs Yr 2'!$F55,'NEI Lookups'!H:H)+SUMIF('NEI Lookups'!$T:$T,'Inputs Yr 2'!$F55,'NEI Lookups'!H:H)</f>
        <v>0</v>
      </c>
      <c r="AW55" s="299">
        <f>SUMIF('NEI Lookups'!$L:$L,'Inputs Yr 2'!$F55,'NEI Lookups'!I:I)+SUMIF('NEI Lookups'!$M:$M,'Inputs Yr 2'!$F55,'NEI Lookups'!I:I)+SUMIF('NEI Lookups'!$N:$N,'Inputs Yr 2'!$F55,'NEI Lookups'!I:I)+SUMIF('NEI Lookups'!$O:$O,'Inputs Yr 2'!$F55,'NEI Lookups'!I:I)+SUMIF('NEI Lookups'!$P:$P,'Inputs Yr 2'!$F55,'NEI Lookups'!I:I)+SUMIF('NEI Lookups'!$Q:$Q,'Inputs Yr 2'!$F55,'NEI Lookups'!I:I)+SUMIF('NEI Lookups'!$R:$R,'Inputs Yr 2'!$F55,'NEI Lookups'!I:I)+SUMIF('NEI Lookups'!$S:$S,'Inputs Yr 2'!$F55,'NEI Lookups'!I:I)+SUMIF('NEI Lookups'!$T:$T,'Inputs Yr 2'!$F55,'NEI Lookups'!I:I)</f>
        <v>0</v>
      </c>
      <c r="AX55" s="299">
        <f>SUMIF('NEI Lookups'!$L:$L,'Inputs Yr 2'!$F55,'NEI Lookups'!J:J)+SUMIF('NEI Lookups'!$M:$M,'Inputs Yr 2'!$F55,'NEI Lookups'!J:J)+SUMIF('NEI Lookups'!$N:$N,'Inputs Yr 2'!$F55,'NEI Lookups'!J:J)+SUMIF('NEI Lookups'!$O:$O,'Inputs Yr 2'!$F55,'NEI Lookups'!J:J)+SUMIF('NEI Lookups'!$P:$P,'Inputs Yr 2'!$F55,'NEI Lookups'!J:J)+SUMIF('NEI Lookups'!$Q:$Q,'Inputs Yr 2'!$F55,'NEI Lookups'!J:J)+SUMIF('NEI Lookups'!$R:$R,'Inputs Yr 2'!$F55,'NEI Lookups'!J:J)+SUMIF('NEI Lookups'!$S:$S,'Inputs Yr 2'!$F55,'NEI Lookups'!J:J)+SUMIF('NEI Lookups'!$T:$T,'Inputs Yr 2'!$F55,'NEI Lookups'!J:J)</f>
        <v>0</v>
      </c>
      <c r="AY55" s="930">
        <f>'Calculations Yr 2'!CP55/'Calculations Yr 2'!I55</f>
        <v>4.1199197603662645</v>
      </c>
    </row>
    <row r="56" spans="1:51" s="133" customFormat="1" ht="12.75" customHeight="1">
      <c r="A56" s="145" t="s">
        <v>32</v>
      </c>
      <c r="B56" s="132" t="s">
        <v>462</v>
      </c>
      <c r="C56" s="132" t="s">
        <v>741</v>
      </c>
      <c r="D56" s="908" t="s">
        <v>1450</v>
      </c>
      <c r="E56" s="98" t="s">
        <v>1397</v>
      </c>
      <c r="F56" s="98" t="s">
        <v>1400</v>
      </c>
      <c r="G56" s="145" t="s">
        <v>459</v>
      </c>
      <c r="H56" s="232">
        <v>19757</v>
      </c>
      <c r="I56" s="232">
        <v>7</v>
      </c>
      <c r="J56" s="964">
        <v>16.814870678746775</v>
      </c>
      <c r="K56" s="166">
        <v>16.814870678746775</v>
      </c>
      <c r="L56" s="888">
        <f t="shared" si="0"/>
        <v>0</v>
      </c>
      <c r="M56" s="978">
        <v>0</v>
      </c>
      <c r="N56" s="978">
        <v>0</v>
      </c>
      <c r="O56" s="978">
        <v>0</v>
      </c>
      <c r="P56" s="889">
        <f t="shared" ref="P56:P57" si="12">1-M56+N56+O56</f>
        <v>1</v>
      </c>
      <c r="Q56" s="978">
        <v>1</v>
      </c>
      <c r="R56" s="178">
        <v>1</v>
      </c>
      <c r="S56" s="178">
        <v>1</v>
      </c>
      <c r="T56" s="178">
        <v>1</v>
      </c>
      <c r="U56" s="980">
        <v>1</v>
      </c>
      <c r="V56" s="978">
        <v>1</v>
      </c>
      <c r="W56" s="179">
        <v>39.5</v>
      </c>
      <c r="X56" s="99" t="s">
        <v>539</v>
      </c>
      <c r="Y56" s="299">
        <f>IFERROR(VLOOKUP($X56,'Demand Lookups'!$A$5:$K$101,9,0), 0)</f>
        <v>1.0147133434804667E-3</v>
      </c>
      <c r="Z56" s="922" t="str">
        <f>IFERROR(VLOOKUP(X56,'Demand Lookups'!$A$5:$B$101,2,0),0)</f>
        <v>Res Single Family Electric Lighting- Indoor (All Bulb) - NMR</v>
      </c>
      <c r="AA56" s="722">
        <f>IF(ISNA(VLOOKUP($X56,'Demand Lookups'!$A$5:$K$81,3,0)),0,VLOOKUP($X56,'Demand Lookups'!$A$5:$K$81,3,0))</f>
        <v>0.43</v>
      </c>
      <c r="AB56" s="722">
        <f>IF(ISNA(VLOOKUP($X56,'Demand Lookups'!$A$5:$K$81,4,0)),0,VLOOKUP($X56,'Demand Lookups'!$A$5:$K$81,4,0))</f>
        <v>0.24</v>
      </c>
      <c r="AC56" s="722">
        <f>IF(ISNA(VLOOKUP($X56,'Demand Lookups'!$A$5:$K$81,5,0)),0,VLOOKUP($X56,'Demand Lookups'!$A$5:$K$81,5,0))</f>
        <v>0.21</v>
      </c>
      <c r="AD56" s="723">
        <f>IF(ISNA(VLOOKUP($X56,'Demand Lookups'!$A$5:$K$81,6,0)),0,VLOOKUP($X56,'Demand Lookups'!$A$5:$K$81,6,0))</f>
        <v>0.12</v>
      </c>
      <c r="AE56" s="724">
        <f t="shared" ref="AE56:AE57" si="13">ROUND(IF(ISERROR(W56*Y56),"",W56*Y56),2)</f>
        <v>0.04</v>
      </c>
      <c r="AF56" s="723">
        <f>ROUND(IF(ISNA(VLOOKUP($X56,'Demand Lookups'!$A$5:$K$82,10,0)),0,(VLOOKUP($X56,'Demand Lookups'!$A$5:$K$82,10,0))),2)</f>
        <v>0.13</v>
      </c>
      <c r="AG56" s="723">
        <f>ROUND(IF(ISNA(VLOOKUP($X56,'Demand Lookups'!$A$5:$K$82,11,0)),0,VLOOKUP($X56,'Demand Lookups'!$A$5:$K$82,11,0)),2)</f>
        <v>0.16</v>
      </c>
      <c r="AH56" s="648">
        <f t="shared" si="10"/>
        <v>0.13</v>
      </c>
      <c r="AI56" s="648">
        <f t="shared" si="11"/>
        <v>0.13</v>
      </c>
      <c r="AJ56" s="167"/>
      <c r="AK56" s="846">
        <v>0</v>
      </c>
      <c r="AL56" s="167"/>
      <c r="AM56" s="168"/>
      <c r="AN56" s="167"/>
      <c r="AO56" s="168"/>
      <c r="AP56" s="171">
        <v>0</v>
      </c>
      <c r="AQ56" s="171"/>
      <c r="AR56" s="171"/>
      <c r="AS56" s="299">
        <f>SUMIF('NEI Lookups'!$L:$L,'Inputs Yr 2'!$F56,'NEI Lookups'!E:E)+SUMIF('NEI Lookups'!$M:$M,'Inputs Yr 2'!$F56,'NEI Lookups'!E:E)+SUMIF('NEI Lookups'!$N:$N,'Inputs Yr 2'!$F56,'NEI Lookups'!E:E)+SUMIF('NEI Lookups'!$O:$O,'Inputs Yr 2'!$F56,'NEI Lookups'!E:E)+SUMIF('NEI Lookups'!$P:$P,'Inputs Yr 2'!$F56,'NEI Lookups'!E:E)+SUMIF('NEI Lookups'!$Q:$Q,'Inputs Yr 2'!$F56,'NEI Lookups'!E:E)+SUMIF('NEI Lookups'!$R:$R,'Inputs Yr 2'!$F56,'NEI Lookups'!E:E)+SUMIF('NEI Lookups'!$S:$S,'Inputs Yr 2'!$F56,'NEI Lookups'!E:E)+SUMIF('NEI Lookups'!$T:$T,'Inputs Yr 2'!$F56,'NEI Lookups'!E:E)</f>
        <v>0</v>
      </c>
      <c r="AT56" s="299">
        <f>SUMIF('NEI Lookups'!$L:$L,'Inputs Yr 2'!$F56,'NEI Lookups'!F:F)+SUMIF('NEI Lookups'!$M:$M,'Inputs Yr 2'!$F56,'NEI Lookups'!F:F)+SUMIF('NEI Lookups'!$N:$N,'Inputs Yr 2'!$F56,'NEI Lookups'!F:F)+SUMIF('NEI Lookups'!$O:$O,'Inputs Yr 2'!$F56,'NEI Lookups'!F:F)+SUMIF('NEI Lookups'!$P:$P,'Inputs Yr 2'!$F56,'NEI Lookups'!F:F)+SUMIF('NEI Lookups'!$Q:$Q,'Inputs Yr 2'!$F56,'NEI Lookups'!F:F)+SUMIF('NEI Lookups'!$R:$R,'Inputs Yr 2'!$F56,'NEI Lookups'!F:F)+SUMIF('NEI Lookups'!$S:$S,'Inputs Yr 2'!$F56,'NEI Lookups'!F:F)+SUMIF('NEI Lookups'!$T:$T,'Inputs Yr 2'!$F56,'NEI Lookups'!F:F)</f>
        <v>3</v>
      </c>
      <c r="AU56" s="299">
        <f>SUMIF('NEI Lookups'!$L:$L,'Inputs Yr 2'!$F56,'NEI Lookups'!G:G)+SUMIF('NEI Lookups'!$M:$M,'Inputs Yr 2'!$F56,'NEI Lookups'!G:G)+SUMIF('NEI Lookups'!$N:$N,'Inputs Yr 2'!$F56,'NEI Lookups'!G:G)+SUMIF('NEI Lookups'!$O:$O,'Inputs Yr 2'!$F56,'NEI Lookups'!G:G)+SUMIF('NEI Lookups'!$P:$P,'Inputs Yr 2'!$F56,'NEI Lookups'!G:G)+SUMIF('NEI Lookups'!$Q:$Q,'Inputs Yr 2'!$F56,'NEI Lookups'!G:G)+SUMIF('NEI Lookups'!$R:$R,'Inputs Yr 2'!$F56,'NEI Lookups'!G:G)+SUMIF('NEI Lookups'!$S:$S,'Inputs Yr 2'!$F56,'NEI Lookups'!G:G)+SUMIF('NEI Lookups'!$T:$T,'Inputs Yr 2'!$F56,'NEI Lookups'!G:G)</f>
        <v>0</v>
      </c>
      <c r="AV56" s="299">
        <f>SUMIF('NEI Lookups'!$L:$L,'Inputs Yr 2'!$F56,'NEI Lookups'!H:H)+SUMIF('NEI Lookups'!$M:$M,'Inputs Yr 2'!$F56,'NEI Lookups'!H:H)+SUMIF('NEI Lookups'!$N:$N,'Inputs Yr 2'!$F56,'NEI Lookups'!H:H)+SUMIF('NEI Lookups'!$O:$O,'Inputs Yr 2'!$F56,'NEI Lookups'!H:H)+SUMIF('NEI Lookups'!$P:$P,'Inputs Yr 2'!$F56,'NEI Lookups'!H:H)+SUMIF('NEI Lookups'!$Q:$Q,'Inputs Yr 2'!$F56,'NEI Lookups'!H:H)+SUMIF('NEI Lookups'!$R:$R,'Inputs Yr 2'!$F56,'NEI Lookups'!H:H)+SUMIF('NEI Lookups'!$S:$S,'Inputs Yr 2'!$F56,'NEI Lookups'!H:H)+SUMIF('NEI Lookups'!$T:$T,'Inputs Yr 2'!$F56,'NEI Lookups'!H:H)</f>
        <v>0</v>
      </c>
      <c r="AW56" s="299">
        <f>SUMIF('NEI Lookups'!$L:$L,'Inputs Yr 2'!$F56,'NEI Lookups'!I:I)+SUMIF('NEI Lookups'!$M:$M,'Inputs Yr 2'!$F56,'NEI Lookups'!I:I)+SUMIF('NEI Lookups'!$N:$N,'Inputs Yr 2'!$F56,'NEI Lookups'!I:I)+SUMIF('NEI Lookups'!$O:$O,'Inputs Yr 2'!$F56,'NEI Lookups'!I:I)+SUMIF('NEI Lookups'!$P:$P,'Inputs Yr 2'!$F56,'NEI Lookups'!I:I)+SUMIF('NEI Lookups'!$Q:$Q,'Inputs Yr 2'!$F56,'NEI Lookups'!I:I)+SUMIF('NEI Lookups'!$R:$R,'Inputs Yr 2'!$F56,'NEI Lookups'!I:I)+SUMIF('NEI Lookups'!$S:$S,'Inputs Yr 2'!$F56,'NEI Lookups'!I:I)+SUMIF('NEI Lookups'!$T:$T,'Inputs Yr 2'!$F56,'NEI Lookups'!I:I)</f>
        <v>0</v>
      </c>
      <c r="AX56" s="299">
        <f>SUMIF('NEI Lookups'!$L:$L,'Inputs Yr 2'!$F56,'NEI Lookups'!J:J)+SUMIF('NEI Lookups'!$M:$M,'Inputs Yr 2'!$F56,'NEI Lookups'!J:J)+SUMIF('NEI Lookups'!$N:$N,'Inputs Yr 2'!$F56,'NEI Lookups'!J:J)+SUMIF('NEI Lookups'!$O:$O,'Inputs Yr 2'!$F56,'NEI Lookups'!J:J)+SUMIF('NEI Lookups'!$P:$P,'Inputs Yr 2'!$F56,'NEI Lookups'!J:J)+SUMIF('NEI Lookups'!$Q:$Q,'Inputs Yr 2'!$F56,'NEI Lookups'!J:J)+SUMIF('NEI Lookups'!$R:$R,'Inputs Yr 2'!$F56,'NEI Lookups'!J:J)+SUMIF('NEI Lookups'!$S:$S,'Inputs Yr 2'!$F56,'NEI Lookups'!J:J)+SUMIF('NEI Lookups'!$T:$T,'Inputs Yr 2'!$F56,'NEI Lookups'!J:J)</f>
        <v>0</v>
      </c>
      <c r="AY56" s="930">
        <f>'Calculations Yr 2'!CP56/'Calculations Yr 2'!I56</f>
        <v>2.0446057691887716</v>
      </c>
    </row>
    <row r="57" spans="1:51" s="133" customFormat="1" ht="12.75" customHeight="1">
      <c r="A57" s="145" t="s">
        <v>32</v>
      </c>
      <c r="B57" s="132" t="s">
        <v>462</v>
      </c>
      <c r="C57" s="132" t="s">
        <v>741</v>
      </c>
      <c r="D57" s="908" t="s">
        <v>1451</v>
      </c>
      <c r="E57" s="98" t="s">
        <v>1281</v>
      </c>
      <c r="F57" s="98" t="s">
        <v>1401</v>
      </c>
      <c r="G57" s="145" t="s">
        <v>459</v>
      </c>
      <c r="H57" s="232">
        <v>35393</v>
      </c>
      <c r="I57" s="232">
        <v>7</v>
      </c>
      <c r="J57" s="964">
        <v>4.2265094792755624</v>
      </c>
      <c r="K57" s="166">
        <v>4.2265094792755624</v>
      </c>
      <c r="L57" s="888">
        <f t="shared" si="0"/>
        <v>0</v>
      </c>
      <c r="M57" s="978">
        <v>0</v>
      </c>
      <c r="N57" s="978">
        <v>0</v>
      </c>
      <c r="O57" s="978">
        <v>0</v>
      </c>
      <c r="P57" s="889">
        <f t="shared" si="12"/>
        <v>1</v>
      </c>
      <c r="Q57" s="978">
        <v>1</v>
      </c>
      <c r="R57" s="178">
        <v>1</v>
      </c>
      <c r="S57" s="178">
        <v>1</v>
      </c>
      <c r="T57" s="178">
        <v>1</v>
      </c>
      <c r="U57" s="980">
        <v>1</v>
      </c>
      <c r="V57" s="978">
        <v>1</v>
      </c>
      <c r="W57" s="179">
        <v>51.2</v>
      </c>
      <c r="X57" s="99" t="s">
        <v>539</v>
      </c>
      <c r="Y57" s="299">
        <f>IFERROR(VLOOKUP($X57,'Demand Lookups'!$A$5:$K$101,9,0), 0)</f>
        <v>1.0147133434804667E-3</v>
      </c>
      <c r="Z57" s="922" t="str">
        <f>IFERROR(VLOOKUP(X57,'Demand Lookups'!$A$5:$B$101,2,0),0)</f>
        <v>Res Single Family Electric Lighting- Indoor (All Bulb) - NMR</v>
      </c>
      <c r="AA57" s="722">
        <f>IF(ISNA(VLOOKUP($X57,'Demand Lookups'!$A$5:$K$81,3,0)),0,VLOOKUP($X57,'Demand Lookups'!$A$5:$K$81,3,0))</f>
        <v>0.43</v>
      </c>
      <c r="AB57" s="722">
        <f>IF(ISNA(VLOOKUP($X57,'Demand Lookups'!$A$5:$K$81,4,0)),0,VLOOKUP($X57,'Demand Lookups'!$A$5:$K$81,4,0))</f>
        <v>0.24</v>
      </c>
      <c r="AC57" s="722">
        <f>IF(ISNA(VLOOKUP($X57,'Demand Lookups'!$A$5:$K$81,5,0)),0,VLOOKUP($X57,'Demand Lookups'!$A$5:$K$81,5,0))</f>
        <v>0.21</v>
      </c>
      <c r="AD57" s="723">
        <f>IF(ISNA(VLOOKUP($X57,'Demand Lookups'!$A$5:$K$81,6,0)),0,VLOOKUP($X57,'Demand Lookups'!$A$5:$K$81,6,0))</f>
        <v>0.12</v>
      </c>
      <c r="AE57" s="724">
        <f t="shared" si="13"/>
        <v>0.05</v>
      </c>
      <c r="AF57" s="723">
        <f>ROUND(IF(ISNA(VLOOKUP($X57,'Demand Lookups'!$A$5:$K$82,10,0)),0,(VLOOKUP($X57,'Demand Lookups'!$A$5:$K$82,10,0))),2)</f>
        <v>0.13</v>
      </c>
      <c r="AG57" s="723">
        <f>ROUND(IF(ISNA(VLOOKUP($X57,'Demand Lookups'!$A$5:$K$82,11,0)),0,VLOOKUP($X57,'Demand Lookups'!$A$5:$K$82,11,0)),2)</f>
        <v>0.16</v>
      </c>
      <c r="AH57" s="648">
        <f t="shared" si="10"/>
        <v>0.13</v>
      </c>
      <c r="AI57" s="648">
        <f t="shared" si="11"/>
        <v>0.13</v>
      </c>
      <c r="AJ57" s="167"/>
      <c r="AK57" s="846">
        <v>0</v>
      </c>
      <c r="AL57" s="167"/>
      <c r="AM57" s="168"/>
      <c r="AN57" s="167"/>
      <c r="AO57" s="168"/>
      <c r="AP57" s="171">
        <v>0</v>
      </c>
      <c r="AQ57" s="171"/>
      <c r="AR57" s="171"/>
      <c r="AS57" s="299">
        <f>SUMIF('NEI Lookups'!$L:$L,'Inputs Yr 2'!$F57,'NEI Lookups'!E:E)+SUMIF('NEI Lookups'!$M:$M,'Inputs Yr 2'!$F57,'NEI Lookups'!E:E)+SUMIF('NEI Lookups'!$N:$N,'Inputs Yr 2'!$F57,'NEI Lookups'!E:E)+SUMIF('NEI Lookups'!$O:$O,'Inputs Yr 2'!$F57,'NEI Lookups'!E:E)+SUMIF('NEI Lookups'!$P:$P,'Inputs Yr 2'!$F57,'NEI Lookups'!E:E)+SUMIF('NEI Lookups'!$Q:$Q,'Inputs Yr 2'!$F57,'NEI Lookups'!E:E)+SUMIF('NEI Lookups'!$R:$R,'Inputs Yr 2'!$F57,'NEI Lookups'!E:E)+SUMIF('NEI Lookups'!$S:$S,'Inputs Yr 2'!$F57,'NEI Lookups'!E:E)+SUMIF('NEI Lookups'!$T:$T,'Inputs Yr 2'!$F57,'NEI Lookups'!E:E)</f>
        <v>0</v>
      </c>
      <c r="AT57" s="299">
        <f>SUMIF('NEI Lookups'!$L:$L,'Inputs Yr 2'!$F57,'NEI Lookups'!F:F)+SUMIF('NEI Lookups'!$M:$M,'Inputs Yr 2'!$F57,'NEI Lookups'!F:F)+SUMIF('NEI Lookups'!$N:$N,'Inputs Yr 2'!$F57,'NEI Lookups'!F:F)+SUMIF('NEI Lookups'!$O:$O,'Inputs Yr 2'!$F57,'NEI Lookups'!F:F)+SUMIF('NEI Lookups'!$P:$P,'Inputs Yr 2'!$F57,'NEI Lookups'!F:F)+SUMIF('NEI Lookups'!$Q:$Q,'Inputs Yr 2'!$F57,'NEI Lookups'!F:F)+SUMIF('NEI Lookups'!$R:$R,'Inputs Yr 2'!$F57,'NEI Lookups'!F:F)+SUMIF('NEI Lookups'!$S:$S,'Inputs Yr 2'!$F57,'NEI Lookups'!F:F)+SUMIF('NEI Lookups'!$T:$T,'Inputs Yr 2'!$F57,'NEI Lookups'!F:F)</f>
        <v>3</v>
      </c>
      <c r="AU57" s="299">
        <f>SUMIF('NEI Lookups'!$L:$L,'Inputs Yr 2'!$F57,'NEI Lookups'!G:G)+SUMIF('NEI Lookups'!$M:$M,'Inputs Yr 2'!$F57,'NEI Lookups'!G:G)+SUMIF('NEI Lookups'!$N:$N,'Inputs Yr 2'!$F57,'NEI Lookups'!G:G)+SUMIF('NEI Lookups'!$O:$O,'Inputs Yr 2'!$F57,'NEI Lookups'!G:G)+SUMIF('NEI Lookups'!$P:$P,'Inputs Yr 2'!$F57,'NEI Lookups'!G:G)+SUMIF('NEI Lookups'!$Q:$Q,'Inputs Yr 2'!$F57,'NEI Lookups'!G:G)+SUMIF('NEI Lookups'!$R:$R,'Inputs Yr 2'!$F57,'NEI Lookups'!G:G)+SUMIF('NEI Lookups'!$S:$S,'Inputs Yr 2'!$F57,'NEI Lookups'!G:G)+SUMIF('NEI Lookups'!$T:$T,'Inputs Yr 2'!$F57,'NEI Lookups'!G:G)</f>
        <v>0</v>
      </c>
      <c r="AV57" s="299">
        <f>SUMIF('NEI Lookups'!$L:$L,'Inputs Yr 2'!$F57,'NEI Lookups'!H:H)+SUMIF('NEI Lookups'!$M:$M,'Inputs Yr 2'!$F57,'NEI Lookups'!H:H)+SUMIF('NEI Lookups'!$N:$N,'Inputs Yr 2'!$F57,'NEI Lookups'!H:H)+SUMIF('NEI Lookups'!$O:$O,'Inputs Yr 2'!$F57,'NEI Lookups'!H:H)+SUMIF('NEI Lookups'!$P:$P,'Inputs Yr 2'!$F57,'NEI Lookups'!H:H)+SUMIF('NEI Lookups'!$Q:$Q,'Inputs Yr 2'!$F57,'NEI Lookups'!H:H)+SUMIF('NEI Lookups'!$R:$R,'Inputs Yr 2'!$F57,'NEI Lookups'!H:H)+SUMIF('NEI Lookups'!$S:$S,'Inputs Yr 2'!$F57,'NEI Lookups'!H:H)+SUMIF('NEI Lookups'!$T:$T,'Inputs Yr 2'!$F57,'NEI Lookups'!H:H)</f>
        <v>0</v>
      </c>
      <c r="AW57" s="299">
        <f>SUMIF('NEI Lookups'!$L:$L,'Inputs Yr 2'!$F57,'NEI Lookups'!I:I)+SUMIF('NEI Lookups'!$M:$M,'Inputs Yr 2'!$F57,'NEI Lookups'!I:I)+SUMIF('NEI Lookups'!$N:$N,'Inputs Yr 2'!$F57,'NEI Lookups'!I:I)+SUMIF('NEI Lookups'!$O:$O,'Inputs Yr 2'!$F57,'NEI Lookups'!I:I)+SUMIF('NEI Lookups'!$P:$P,'Inputs Yr 2'!$F57,'NEI Lookups'!I:I)+SUMIF('NEI Lookups'!$Q:$Q,'Inputs Yr 2'!$F57,'NEI Lookups'!I:I)+SUMIF('NEI Lookups'!$R:$R,'Inputs Yr 2'!$F57,'NEI Lookups'!I:I)+SUMIF('NEI Lookups'!$S:$S,'Inputs Yr 2'!$F57,'NEI Lookups'!I:I)+SUMIF('NEI Lookups'!$T:$T,'Inputs Yr 2'!$F57,'NEI Lookups'!I:I)</f>
        <v>0</v>
      </c>
      <c r="AX57" s="299">
        <f>SUMIF('NEI Lookups'!$L:$L,'Inputs Yr 2'!$F57,'NEI Lookups'!J:J)+SUMIF('NEI Lookups'!$M:$M,'Inputs Yr 2'!$F57,'NEI Lookups'!J:J)+SUMIF('NEI Lookups'!$N:$N,'Inputs Yr 2'!$F57,'NEI Lookups'!J:J)+SUMIF('NEI Lookups'!$O:$O,'Inputs Yr 2'!$F57,'NEI Lookups'!J:J)+SUMIF('NEI Lookups'!$P:$P,'Inputs Yr 2'!$F57,'NEI Lookups'!J:J)+SUMIF('NEI Lookups'!$Q:$Q,'Inputs Yr 2'!$F57,'NEI Lookups'!J:J)+SUMIF('NEI Lookups'!$R:$R,'Inputs Yr 2'!$F57,'NEI Lookups'!J:J)+SUMIF('NEI Lookups'!$S:$S,'Inputs Yr 2'!$F57,'NEI Lookups'!J:J)+SUMIF('NEI Lookups'!$T:$T,'Inputs Yr 2'!$F57,'NEI Lookups'!J:J)</f>
        <v>0</v>
      </c>
      <c r="AY57" s="930">
        <f>'Calculations Yr 2'!CP57/'Calculations Yr 2'!I57</f>
        <v>10.233682644025524</v>
      </c>
    </row>
    <row r="58" spans="1:51" s="858" customFormat="1" ht="12.75" customHeight="1">
      <c r="A58" s="145" t="s">
        <v>32</v>
      </c>
      <c r="B58" s="132" t="s">
        <v>462</v>
      </c>
      <c r="C58" s="132" t="s">
        <v>741</v>
      </c>
      <c r="D58" s="908" t="s">
        <v>1452</v>
      </c>
      <c r="E58" s="150" t="s">
        <v>742</v>
      </c>
      <c r="F58" s="98" t="s">
        <v>979</v>
      </c>
      <c r="G58" s="145" t="s">
        <v>1247</v>
      </c>
      <c r="H58" s="232">
        <v>1127</v>
      </c>
      <c r="I58" s="232">
        <v>20</v>
      </c>
      <c r="J58" s="964">
        <v>3998</v>
      </c>
      <c r="K58" s="166">
        <v>3039.0417036379768</v>
      </c>
      <c r="L58" s="888">
        <f t="shared" si="0"/>
        <v>958.95829636202325</v>
      </c>
      <c r="M58" s="978">
        <v>0</v>
      </c>
      <c r="N58" s="978">
        <v>0</v>
      </c>
      <c r="O58" s="978">
        <v>0</v>
      </c>
      <c r="P58" s="889">
        <f t="shared" ref="P58:P65" si="14">1-M58+N58+O58</f>
        <v>1</v>
      </c>
      <c r="Q58" s="978">
        <v>1</v>
      </c>
      <c r="R58" s="178">
        <v>1</v>
      </c>
      <c r="S58" s="178">
        <v>1</v>
      </c>
      <c r="T58" s="178">
        <v>1</v>
      </c>
      <c r="U58" s="980">
        <v>1</v>
      </c>
      <c r="V58" s="978">
        <v>1</v>
      </c>
      <c r="W58" s="179"/>
      <c r="X58" s="937" t="s">
        <v>653</v>
      </c>
      <c r="Y58" s="299">
        <f>IFERROR(VLOOKUP($X58,'Demand Lookups'!$A$5:$K$101,9,0), 0)</f>
        <v>0</v>
      </c>
      <c r="Z58" s="922" t="str">
        <f>IFERROR(VLOOKUP(X58,'Demand Lookups'!$A$5:$B$101,2,0),0)</f>
        <v>Non-Electric Measures</v>
      </c>
      <c r="AA58" s="722">
        <f>IF(ISNA(VLOOKUP($X58,'Demand Lookups'!$A$5:$K$81,3,0)),0,VLOOKUP($X58,'Demand Lookups'!$A$5:$K$81,3,0))</f>
        <v>0</v>
      </c>
      <c r="AB58" s="722">
        <f>IF(ISNA(VLOOKUP($X58,'Demand Lookups'!$A$5:$K$81,4,0)),0,VLOOKUP($X58,'Demand Lookups'!$A$5:$K$81,4,0))</f>
        <v>0</v>
      </c>
      <c r="AC58" s="722">
        <f>IF(ISNA(VLOOKUP($X58,'Demand Lookups'!$A$5:$K$81,5,0)),0,VLOOKUP($X58,'Demand Lookups'!$A$5:$K$81,5,0))</f>
        <v>0</v>
      </c>
      <c r="AD58" s="723">
        <f>IF(ISNA(VLOOKUP($X58,'Demand Lookups'!$A$5:$K$81,6,0)),0,VLOOKUP($X58,'Demand Lookups'!$A$5:$K$81,6,0))</f>
        <v>0</v>
      </c>
      <c r="AE58" s="724">
        <f t="shared" ref="AE58:AE63" si="15">IF(ISERROR(W58*Y58),"",W58*Y58)</f>
        <v>0</v>
      </c>
      <c r="AF58" s="723">
        <f>ROUND(IF(ISNA(VLOOKUP($X58,'Demand Lookups'!$A$5:$K$82,10,0)),0,(VLOOKUP($X58,'Demand Lookups'!$A$5:$K$82,10,0))),2)</f>
        <v>0</v>
      </c>
      <c r="AG58" s="723">
        <f>ROUND(IF(ISNA(VLOOKUP($X58,'Demand Lookups'!$A$5:$K$82,11,0)),0,VLOOKUP($X58,'Demand Lookups'!$A$5:$K$82,11,0)),2)</f>
        <v>0</v>
      </c>
      <c r="AH58" s="648">
        <f t="shared" si="10"/>
        <v>0</v>
      </c>
      <c r="AI58" s="648">
        <f t="shared" si="11"/>
        <v>0</v>
      </c>
      <c r="AJ58" s="167" t="s">
        <v>404</v>
      </c>
      <c r="AK58" s="846">
        <v>11.4</v>
      </c>
      <c r="AL58" s="167"/>
      <c r="AM58" s="168"/>
      <c r="AN58" s="167"/>
      <c r="AO58" s="168"/>
      <c r="AP58" s="171">
        <v>0</v>
      </c>
      <c r="AQ58" s="171"/>
      <c r="AR58" s="171"/>
      <c r="AS58" s="299">
        <f>SUMIF('NEI Lookups'!$L:$L,'Inputs Yr 2'!$F58,'NEI Lookups'!E:E)+SUMIF('NEI Lookups'!$M:$M,'Inputs Yr 2'!$F58,'NEI Lookups'!E:E)+SUMIF('NEI Lookups'!$N:$N,'Inputs Yr 2'!$F58,'NEI Lookups'!E:E)+SUMIF('NEI Lookups'!$O:$O,'Inputs Yr 2'!$F58,'NEI Lookups'!E:E)+SUMIF('NEI Lookups'!$P:$P,'Inputs Yr 2'!$F58,'NEI Lookups'!E:E)+SUMIF('NEI Lookups'!$Q:$Q,'Inputs Yr 2'!$F58,'NEI Lookups'!E:E)+SUMIF('NEI Lookups'!$R:$R,'Inputs Yr 2'!$F58,'NEI Lookups'!E:E)+SUMIF('NEI Lookups'!$S:$S,'Inputs Yr 2'!$F58,'NEI Lookups'!E:E)+SUMIF('NEI Lookups'!$T:$T,'Inputs Yr 2'!$F58,'NEI Lookups'!E:E)</f>
        <v>30.84</v>
      </c>
      <c r="AT58" s="299">
        <f>SUMIF('NEI Lookups'!$L:$L,'Inputs Yr 2'!$F58,'NEI Lookups'!F:F)+SUMIF('NEI Lookups'!$M:$M,'Inputs Yr 2'!$F58,'NEI Lookups'!F:F)+SUMIF('NEI Lookups'!$N:$N,'Inputs Yr 2'!$F58,'NEI Lookups'!F:F)+SUMIF('NEI Lookups'!$O:$O,'Inputs Yr 2'!$F58,'NEI Lookups'!F:F)+SUMIF('NEI Lookups'!$P:$P,'Inputs Yr 2'!$F58,'NEI Lookups'!F:F)+SUMIF('NEI Lookups'!$Q:$Q,'Inputs Yr 2'!$F58,'NEI Lookups'!F:F)+SUMIF('NEI Lookups'!$R:$R,'Inputs Yr 2'!$F58,'NEI Lookups'!F:F)+SUMIF('NEI Lookups'!$S:$S,'Inputs Yr 2'!$F58,'NEI Lookups'!F:F)+SUMIF('NEI Lookups'!$T:$T,'Inputs Yr 2'!$F58,'NEI Lookups'!F:F)</f>
        <v>0</v>
      </c>
      <c r="AU58" s="299">
        <f>SUMIF('NEI Lookups'!$L:$L,'Inputs Yr 2'!$F58,'NEI Lookups'!G:G)+SUMIF('NEI Lookups'!$M:$M,'Inputs Yr 2'!$F58,'NEI Lookups'!G:G)+SUMIF('NEI Lookups'!$N:$N,'Inputs Yr 2'!$F58,'NEI Lookups'!G:G)+SUMIF('NEI Lookups'!$O:$O,'Inputs Yr 2'!$F58,'NEI Lookups'!G:G)+SUMIF('NEI Lookups'!$P:$P,'Inputs Yr 2'!$F58,'NEI Lookups'!G:G)+SUMIF('NEI Lookups'!$Q:$Q,'Inputs Yr 2'!$F58,'NEI Lookups'!G:G)+SUMIF('NEI Lookups'!$R:$R,'Inputs Yr 2'!$F58,'NEI Lookups'!G:G)+SUMIF('NEI Lookups'!$S:$S,'Inputs Yr 2'!$F58,'NEI Lookups'!G:G)+SUMIF('NEI Lookups'!$T:$T,'Inputs Yr 2'!$F58,'NEI Lookups'!G:G)</f>
        <v>0</v>
      </c>
      <c r="AV58" s="299">
        <f>SUMIF('NEI Lookups'!$L:$L,'Inputs Yr 2'!$F58,'NEI Lookups'!H:H)+SUMIF('NEI Lookups'!$M:$M,'Inputs Yr 2'!$F58,'NEI Lookups'!H:H)+SUMIF('NEI Lookups'!$N:$N,'Inputs Yr 2'!$F58,'NEI Lookups'!H:H)+SUMIF('NEI Lookups'!$O:$O,'Inputs Yr 2'!$F58,'NEI Lookups'!H:H)+SUMIF('NEI Lookups'!$P:$P,'Inputs Yr 2'!$F58,'NEI Lookups'!H:H)+SUMIF('NEI Lookups'!$Q:$Q,'Inputs Yr 2'!$F58,'NEI Lookups'!H:H)+SUMIF('NEI Lookups'!$R:$R,'Inputs Yr 2'!$F58,'NEI Lookups'!H:H)+SUMIF('NEI Lookups'!$S:$S,'Inputs Yr 2'!$F58,'NEI Lookups'!H:H)+SUMIF('NEI Lookups'!$T:$T,'Inputs Yr 2'!$F58,'NEI Lookups'!H:H)</f>
        <v>0</v>
      </c>
      <c r="AW58" s="299">
        <f>SUMIF('NEI Lookups'!$L:$L,'Inputs Yr 2'!$F58,'NEI Lookups'!I:I)+SUMIF('NEI Lookups'!$M:$M,'Inputs Yr 2'!$F58,'NEI Lookups'!I:I)+SUMIF('NEI Lookups'!$N:$N,'Inputs Yr 2'!$F58,'NEI Lookups'!I:I)+SUMIF('NEI Lookups'!$O:$O,'Inputs Yr 2'!$F58,'NEI Lookups'!I:I)+SUMIF('NEI Lookups'!$P:$P,'Inputs Yr 2'!$F58,'NEI Lookups'!I:I)+SUMIF('NEI Lookups'!$Q:$Q,'Inputs Yr 2'!$F58,'NEI Lookups'!I:I)+SUMIF('NEI Lookups'!$R:$R,'Inputs Yr 2'!$F58,'NEI Lookups'!I:I)+SUMIF('NEI Lookups'!$S:$S,'Inputs Yr 2'!$F58,'NEI Lookups'!I:I)+SUMIF('NEI Lookups'!$T:$T,'Inputs Yr 2'!$F58,'NEI Lookups'!I:I)</f>
        <v>0</v>
      </c>
      <c r="AX58" s="299">
        <f>SUMIF('NEI Lookups'!$L:$L,'Inputs Yr 2'!$F58,'NEI Lookups'!J:J)+SUMIF('NEI Lookups'!$M:$M,'Inputs Yr 2'!$F58,'NEI Lookups'!J:J)+SUMIF('NEI Lookups'!$N:$N,'Inputs Yr 2'!$F58,'NEI Lookups'!J:J)+SUMIF('NEI Lookups'!$O:$O,'Inputs Yr 2'!$F58,'NEI Lookups'!J:J)+SUMIF('NEI Lookups'!$P:$P,'Inputs Yr 2'!$F58,'NEI Lookups'!J:J)+SUMIF('NEI Lookups'!$Q:$Q,'Inputs Yr 2'!$F58,'NEI Lookups'!J:J)+SUMIF('NEI Lookups'!$R:$R,'Inputs Yr 2'!$F58,'NEI Lookups'!J:J)+SUMIF('NEI Lookups'!$S:$S,'Inputs Yr 2'!$F58,'NEI Lookups'!J:J)+SUMIF('NEI Lookups'!$T:$T,'Inputs Yr 2'!$F58,'NEI Lookups'!J:J)</f>
        <v>0</v>
      </c>
      <c r="AY58" s="930">
        <f>'Calculations Yr 2'!CP58/'Calculations Yr 2'!I58</f>
        <v>0.67275924707697399</v>
      </c>
    </row>
    <row r="59" spans="1:51" s="857" customFormat="1" ht="12.75" customHeight="1">
      <c r="A59" s="145" t="s">
        <v>32</v>
      </c>
      <c r="B59" s="132" t="s">
        <v>462</v>
      </c>
      <c r="C59" s="132" t="s">
        <v>741</v>
      </c>
      <c r="D59" s="908" t="s">
        <v>1453</v>
      </c>
      <c r="E59" s="150" t="s">
        <v>743</v>
      </c>
      <c r="F59" s="98" t="s">
        <v>980</v>
      </c>
      <c r="G59" s="145" t="s">
        <v>1247</v>
      </c>
      <c r="H59" s="232">
        <v>1127</v>
      </c>
      <c r="I59" s="232">
        <v>10</v>
      </c>
      <c r="J59" s="964">
        <v>0</v>
      </c>
      <c r="K59" s="166">
        <v>0</v>
      </c>
      <c r="L59" s="888">
        <f t="shared" si="0"/>
        <v>0</v>
      </c>
      <c r="M59" s="978">
        <v>0</v>
      </c>
      <c r="N59" s="978">
        <v>0</v>
      </c>
      <c r="O59" s="978">
        <v>0</v>
      </c>
      <c r="P59" s="889">
        <f t="shared" si="14"/>
        <v>1</v>
      </c>
      <c r="Q59" s="978">
        <v>1</v>
      </c>
      <c r="R59" s="178">
        <v>1</v>
      </c>
      <c r="S59" s="178">
        <v>1</v>
      </c>
      <c r="T59" s="178">
        <v>1</v>
      </c>
      <c r="U59" s="980">
        <v>1</v>
      </c>
      <c r="V59" s="978">
        <v>1</v>
      </c>
      <c r="W59" s="179"/>
      <c r="X59" s="937" t="s">
        <v>653</v>
      </c>
      <c r="Y59" s="299">
        <f>IFERROR(VLOOKUP($X59,'Demand Lookups'!$A$5:$K$101,9,0), 0)</f>
        <v>0</v>
      </c>
      <c r="Z59" s="922" t="str">
        <f>IFERROR(VLOOKUP(X59,'Demand Lookups'!$A$5:$B$101,2,0),0)</f>
        <v>Non-Electric Measures</v>
      </c>
      <c r="AA59" s="722">
        <f>IF(ISNA(VLOOKUP($X59,'Demand Lookups'!$A$5:$K$81,3,0)),0,VLOOKUP($X59,'Demand Lookups'!$A$5:$K$81,3,0))</f>
        <v>0</v>
      </c>
      <c r="AB59" s="722">
        <f>IF(ISNA(VLOOKUP($X59,'Demand Lookups'!$A$5:$K$81,4,0)),0,VLOOKUP($X59,'Demand Lookups'!$A$5:$K$81,4,0))</f>
        <v>0</v>
      </c>
      <c r="AC59" s="722">
        <f>IF(ISNA(VLOOKUP($X59,'Demand Lookups'!$A$5:$K$81,5,0)),0,VLOOKUP($X59,'Demand Lookups'!$A$5:$K$81,5,0))</f>
        <v>0</v>
      </c>
      <c r="AD59" s="723">
        <f>IF(ISNA(VLOOKUP($X59,'Demand Lookups'!$A$5:$K$81,6,0)),0,VLOOKUP($X59,'Demand Lookups'!$A$5:$K$81,6,0))</f>
        <v>0</v>
      </c>
      <c r="AE59" s="724">
        <f t="shared" si="15"/>
        <v>0</v>
      </c>
      <c r="AF59" s="723">
        <f>ROUND(IF(ISNA(VLOOKUP($X59,'Demand Lookups'!$A$5:$K$82,10,0)),0,(VLOOKUP($X59,'Demand Lookups'!$A$5:$K$82,10,0))),2)</f>
        <v>0</v>
      </c>
      <c r="AG59" s="723">
        <f>ROUND(IF(ISNA(VLOOKUP($X59,'Demand Lookups'!$A$5:$K$82,11,0)),0,VLOOKUP($X59,'Demand Lookups'!$A$5:$K$82,11,0)),2)</f>
        <v>0</v>
      </c>
      <c r="AH59" s="648">
        <f t="shared" si="10"/>
        <v>0</v>
      </c>
      <c r="AI59" s="648">
        <f t="shared" si="11"/>
        <v>0</v>
      </c>
      <c r="AJ59" s="167" t="s">
        <v>404</v>
      </c>
      <c r="AK59" s="846">
        <v>7</v>
      </c>
      <c r="AL59" s="167"/>
      <c r="AM59" s="168"/>
      <c r="AN59" s="167"/>
      <c r="AO59" s="168"/>
      <c r="AP59" s="171">
        <v>0</v>
      </c>
      <c r="AQ59" s="171"/>
      <c r="AR59" s="171"/>
      <c r="AS59" s="299">
        <f>SUMIF('NEI Lookups'!$L:$L,'Inputs Yr 2'!$F59,'NEI Lookups'!E:E)+SUMIF('NEI Lookups'!$M:$M,'Inputs Yr 2'!$F59,'NEI Lookups'!E:E)+SUMIF('NEI Lookups'!$N:$N,'Inputs Yr 2'!$F59,'NEI Lookups'!E:E)+SUMIF('NEI Lookups'!$O:$O,'Inputs Yr 2'!$F59,'NEI Lookups'!E:E)+SUMIF('NEI Lookups'!$P:$P,'Inputs Yr 2'!$F59,'NEI Lookups'!E:E)+SUMIF('NEI Lookups'!$Q:$Q,'Inputs Yr 2'!$F59,'NEI Lookups'!E:E)+SUMIF('NEI Lookups'!$R:$R,'Inputs Yr 2'!$F59,'NEI Lookups'!E:E)+SUMIF('NEI Lookups'!$S:$S,'Inputs Yr 2'!$F59,'NEI Lookups'!E:E)+SUMIF('NEI Lookups'!$T:$T,'Inputs Yr 2'!$F59,'NEI Lookups'!E:E)</f>
        <v>139.16999999999999</v>
      </c>
      <c r="AT59" s="299">
        <f>SUMIF('NEI Lookups'!$L:$L,'Inputs Yr 2'!$F59,'NEI Lookups'!F:F)+SUMIF('NEI Lookups'!$M:$M,'Inputs Yr 2'!$F59,'NEI Lookups'!F:F)+SUMIF('NEI Lookups'!$N:$N,'Inputs Yr 2'!$F59,'NEI Lookups'!F:F)+SUMIF('NEI Lookups'!$O:$O,'Inputs Yr 2'!$F59,'NEI Lookups'!F:F)+SUMIF('NEI Lookups'!$P:$P,'Inputs Yr 2'!$F59,'NEI Lookups'!F:F)+SUMIF('NEI Lookups'!$Q:$Q,'Inputs Yr 2'!$F59,'NEI Lookups'!F:F)+SUMIF('NEI Lookups'!$R:$R,'Inputs Yr 2'!$F59,'NEI Lookups'!F:F)+SUMIF('NEI Lookups'!$S:$S,'Inputs Yr 2'!$F59,'NEI Lookups'!F:F)+SUMIF('NEI Lookups'!$T:$T,'Inputs Yr 2'!$F59,'NEI Lookups'!F:F)</f>
        <v>0</v>
      </c>
      <c r="AU59" s="299">
        <f>SUMIF('NEI Lookups'!$L:$L,'Inputs Yr 2'!$F59,'NEI Lookups'!G:G)+SUMIF('NEI Lookups'!$M:$M,'Inputs Yr 2'!$F59,'NEI Lookups'!G:G)+SUMIF('NEI Lookups'!$N:$N,'Inputs Yr 2'!$F59,'NEI Lookups'!G:G)+SUMIF('NEI Lookups'!$O:$O,'Inputs Yr 2'!$F59,'NEI Lookups'!G:G)+SUMIF('NEI Lookups'!$P:$P,'Inputs Yr 2'!$F59,'NEI Lookups'!G:G)+SUMIF('NEI Lookups'!$Q:$Q,'Inputs Yr 2'!$F59,'NEI Lookups'!G:G)+SUMIF('NEI Lookups'!$R:$R,'Inputs Yr 2'!$F59,'NEI Lookups'!G:G)+SUMIF('NEI Lookups'!$S:$S,'Inputs Yr 2'!$F59,'NEI Lookups'!G:G)+SUMIF('NEI Lookups'!$T:$T,'Inputs Yr 2'!$F59,'NEI Lookups'!G:G)</f>
        <v>0</v>
      </c>
      <c r="AV59" s="299">
        <f>SUMIF('NEI Lookups'!$L:$L,'Inputs Yr 2'!$F59,'NEI Lookups'!H:H)+SUMIF('NEI Lookups'!$M:$M,'Inputs Yr 2'!$F59,'NEI Lookups'!H:H)+SUMIF('NEI Lookups'!$N:$N,'Inputs Yr 2'!$F59,'NEI Lookups'!H:H)+SUMIF('NEI Lookups'!$O:$O,'Inputs Yr 2'!$F59,'NEI Lookups'!H:H)+SUMIF('NEI Lookups'!$P:$P,'Inputs Yr 2'!$F59,'NEI Lookups'!H:H)+SUMIF('NEI Lookups'!$Q:$Q,'Inputs Yr 2'!$F59,'NEI Lookups'!H:H)+SUMIF('NEI Lookups'!$R:$R,'Inputs Yr 2'!$F59,'NEI Lookups'!H:H)+SUMIF('NEI Lookups'!$S:$S,'Inputs Yr 2'!$F59,'NEI Lookups'!H:H)+SUMIF('NEI Lookups'!$T:$T,'Inputs Yr 2'!$F59,'NEI Lookups'!H:H)</f>
        <v>0</v>
      </c>
      <c r="AW59" s="299">
        <f>SUMIF('NEI Lookups'!$L:$L,'Inputs Yr 2'!$F59,'NEI Lookups'!I:I)+SUMIF('NEI Lookups'!$M:$M,'Inputs Yr 2'!$F59,'NEI Lookups'!I:I)+SUMIF('NEI Lookups'!$N:$N,'Inputs Yr 2'!$F59,'NEI Lookups'!I:I)+SUMIF('NEI Lookups'!$O:$O,'Inputs Yr 2'!$F59,'NEI Lookups'!I:I)+SUMIF('NEI Lookups'!$P:$P,'Inputs Yr 2'!$F59,'NEI Lookups'!I:I)+SUMIF('NEI Lookups'!$Q:$Q,'Inputs Yr 2'!$F59,'NEI Lookups'!I:I)+SUMIF('NEI Lookups'!$R:$R,'Inputs Yr 2'!$F59,'NEI Lookups'!I:I)+SUMIF('NEI Lookups'!$S:$S,'Inputs Yr 2'!$F59,'NEI Lookups'!I:I)+SUMIF('NEI Lookups'!$T:$T,'Inputs Yr 2'!$F59,'NEI Lookups'!I:I)</f>
        <v>0</v>
      </c>
      <c r="AX59" s="299">
        <f>SUMIF('NEI Lookups'!$L:$L,'Inputs Yr 2'!$F59,'NEI Lookups'!J:J)+SUMIF('NEI Lookups'!$M:$M,'Inputs Yr 2'!$F59,'NEI Lookups'!J:J)+SUMIF('NEI Lookups'!$N:$N,'Inputs Yr 2'!$F59,'NEI Lookups'!J:J)+SUMIF('NEI Lookups'!$O:$O,'Inputs Yr 2'!$F59,'NEI Lookups'!J:J)+SUMIF('NEI Lookups'!$P:$P,'Inputs Yr 2'!$F59,'NEI Lookups'!J:J)+SUMIF('NEI Lookups'!$Q:$Q,'Inputs Yr 2'!$F59,'NEI Lookups'!J:J)+SUMIF('NEI Lookups'!$R:$R,'Inputs Yr 2'!$F59,'NEI Lookups'!J:J)+SUMIF('NEI Lookups'!$S:$S,'Inputs Yr 2'!$F59,'NEI Lookups'!J:J)+SUMIF('NEI Lookups'!$T:$T,'Inputs Yr 2'!$F59,'NEI Lookups'!J:J)</f>
        <v>0</v>
      </c>
      <c r="AY59" s="930" t="e">
        <f>'Calculations Yr 2'!CP59/'Calculations Yr 2'!I59</f>
        <v>#DIV/0!</v>
      </c>
    </row>
    <row r="60" spans="1:51" s="133" customFormat="1" ht="12.75" customHeight="1">
      <c r="A60" s="145" t="s">
        <v>32</v>
      </c>
      <c r="B60" s="132" t="s">
        <v>462</v>
      </c>
      <c r="C60" s="132" t="s">
        <v>741</v>
      </c>
      <c r="D60" s="908" t="s">
        <v>1454</v>
      </c>
      <c r="E60" s="150" t="s">
        <v>744</v>
      </c>
      <c r="F60" s="98" t="s">
        <v>981</v>
      </c>
      <c r="G60" s="145" t="s">
        <v>1247</v>
      </c>
      <c r="H60" s="232">
        <v>132</v>
      </c>
      <c r="I60" s="232">
        <v>20</v>
      </c>
      <c r="J60" s="964">
        <v>2046</v>
      </c>
      <c r="K60" s="166">
        <v>1900</v>
      </c>
      <c r="L60" s="888">
        <f t="shared" si="0"/>
        <v>146</v>
      </c>
      <c r="M60" s="978">
        <v>0</v>
      </c>
      <c r="N60" s="978">
        <v>0</v>
      </c>
      <c r="O60" s="978">
        <v>0</v>
      </c>
      <c r="P60" s="889">
        <f t="shared" si="14"/>
        <v>1</v>
      </c>
      <c r="Q60" s="978">
        <v>1</v>
      </c>
      <c r="R60" s="178">
        <v>1</v>
      </c>
      <c r="S60" s="178">
        <v>1</v>
      </c>
      <c r="T60" s="178">
        <v>1</v>
      </c>
      <c r="U60" s="980">
        <v>1</v>
      </c>
      <c r="V60" s="978">
        <v>1</v>
      </c>
      <c r="W60" s="179"/>
      <c r="X60" s="937" t="s">
        <v>653</v>
      </c>
      <c r="Y60" s="299">
        <f>IFERROR(VLOOKUP($X60,'Demand Lookups'!$A$5:$K$101,9,0), 0)</f>
        <v>0</v>
      </c>
      <c r="Z60" s="922" t="str">
        <f>IFERROR(VLOOKUP(X60,'Demand Lookups'!$A$5:$B$101,2,0),0)</f>
        <v>Non-Electric Measures</v>
      </c>
      <c r="AA60" s="722">
        <f>IF(ISNA(VLOOKUP($X60,'Demand Lookups'!$A$5:$K$81,3,0)),0,VLOOKUP($X60,'Demand Lookups'!$A$5:$K$81,3,0))</f>
        <v>0</v>
      </c>
      <c r="AB60" s="722">
        <f>IF(ISNA(VLOOKUP($X60,'Demand Lookups'!$A$5:$K$81,4,0)),0,VLOOKUP($X60,'Demand Lookups'!$A$5:$K$81,4,0))</f>
        <v>0</v>
      </c>
      <c r="AC60" s="722">
        <f>IF(ISNA(VLOOKUP($X60,'Demand Lookups'!$A$5:$K$81,5,0)),0,VLOOKUP($X60,'Demand Lookups'!$A$5:$K$81,5,0))</f>
        <v>0</v>
      </c>
      <c r="AD60" s="723">
        <f>IF(ISNA(VLOOKUP($X60,'Demand Lookups'!$A$5:$K$81,6,0)),0,VLOOKUP($X60,'Demand Lookups'!$A$5:$K$81,6,0))</f>
        <v>0</v>
      </c>
      <c r="AE60" s="724">
        <f t="shared" si="15"/>
        <v>0</v>
      </c>
      <c r="AF60" s="723">
        <f>ROUND(IF(ISNA(VLOOKUP($X60,'Demand Lookups'!$A$5:$K$82,10,0)),0,(VLOOKUP($X60,'Demand Lookups'!$A$5:$K$82,10,0))),2)</f>
        <v>0</v>
      </c>
      <c r="AG60" s="723">
        <f>ROUND(IF(ISNA(VLOOKUP($X60,'Demand Lookups'!$A$5:$K$82,11,0)),0,VLOOKUP($X60,'Demand Lookups'!$A$5:$K$82,11,0)),2)</f>
        <v>0</v>
      </c>
      <c r="AH60" s="648">
        <f t="shared" si="10"/>
        <v>0</v>
      </c>
      <c r="AI60" s="648">
        <f t="shared" si="11"/>
        <v>0</v>
      </c>
      <c r="AJ60" s="167" t="s">
        <v>404</v>
      </c>
      <c r="AK60" s="846">
        <v>2.9</v>
      </c>
      <c r="AL60" s="167"/>
      <c r="AM60" s="168"/>
      <c r="AN60" s="167"/>
      <c r="AO60" s="168"/>
      <c r="AP60" s="171">
        <v>0</v>
      </c>
      <c r="AQ60" s="171"/>
      <c r="AR60" s="171"/>
      <c r="AS60" s="299">
        <f>SUMIF('NEI Lookups'!$L:$L,'Inputs Yr 2'!$F60,'NEI Lookups'!E:E)+SUMIF('NEI Lookups'!$M:$M,'Inputs Yr 2'!$F60,'NEI Lookups'!E:E)+SUMIF('NEI Lookups'!$N:$N,'Inputs Yr 2'!$F60,'NEI Lookups'!E:E)+SUMIF('NEI Lookups'!$O:$O,'Inputs Yr 2'!$F60,'NEI Lookups'!E:E)+SUMIF('NEI Lookups'!$P:$P,'Inputs Yr 2'!$F60,'NEI Lookups'!E:E)+SUMIF('NEI Lookups'!$Q:$Q,'Inputs Yr 2'!$F60,'NEI Lookups'!E:E)+SUMIF('NEI Lookups'!$R:$R,'Inputs Yr 2'!$F60,'NEI Lookups'!E:E)+SUMIF('NEI Lookups'!$S:$S,'Inputs Yr 2'!$F60,'NEI Lookups'!E:E)+SUMIF('NEI Lookups'!$T:$T,'Inputs Yr 2'!$F60,'NEI Lookups'!E:E)</f>
        <v>30.84</v>
      </c>
      <c r="AT60" s="299">
        <f>SUMIF('NEI Lookups'!$L:$L,'Inputs Yr 2'!$F60,'NEI Lookups'!F:F)+SUMIF('NEI Lookups'!$M:$M,'Inputs Yr 2'!$F60,'NEI Lookups'!F:F)+SUMIF('NEI Lookups'!$N:$N,'Inputs Yr 2'!$F60,'NEI Lookups'!F:F)+SUMIF('NEI Lookups'!$O:$O,'Inputs Yr 2'!$F60,'NEI Lookups'!F:F)+SUMIF('NEI Lookups'!$P:$P,'Inputs Yr 2'!$F60,'NEI Lookups'!F:F)+SUMIF('NEI Lookups'!$Q:$Q,'Inputs Yr 2'!$F60,'NEI Lookups'!F:F)+SUMIF('NEI Lookups'!$R:$R,'Inputs Yr 2'!$F60,'NEI Lookups'!F:F)+SUMIF('NEI Lookups'!$S:$S,'Inputs Yr 2'!$F60,'NEI Lookups'!F:F)+SUMIF('NEI Lookups'!$T:$T,'Inputs Yr 2'!$F60,'NEI Lookups'!F:F)</f>
        <v>0</v>
      </c>
      <c r="AU60" s="299">
        <f>SUMIF('NEI Lookups'!$L:$L,'Inputs Yr 2'!$F60,'NEI Lookups'!G:G)+SUMIF('NEI Lookups'!$M:$M,'Inputs Yr 2'!$F60,'NEI Lookups'!G:G)+SUMIF('NEI Lookups'!$N:$N,'Inputs Yr 2'!$F60,'NEI Lookups'!G:G)+SUMIF('NEI Lookups'!$O:$O,'Inputs Yr 2'!$F60,'NEI Lookups'!G:G)+SUMIF('NEI Lookups'!$P:$P,'Inputs Yr 2'!$F60,'NEI Lookups'!G:G)+SUMIF('NEI Lookups'!$Q:$Q,'Inputs Yr 2'!$F60,'NEI Lookups'!G:G)+SUMIF('NEI Lookups'!$R:$R,'Inputs Yr 2'!$F60,'NEI Lookups'!G:G)+SUMIF('NEI Lookups'!$S:$S,'Inputs Yr 2'!$F60,'NEI Lookups'!G:G)+SUMIF('NEI Lookups'!$T:$T,'Inputs Yr 2'!$F60,'NEI Lookups'!G:G)</f>
        <v>0</v>
      </c>
      <c r="AV60" s="299">
        <f>SUMIF('NEI Lookups'!$L:$L,'Inputs Yr 2'!$F60,'NEI Lookups'!H:H)+SUMIF('NEI Lookups'!$M:$M,'Inputs Yr 2'!$F60,'NEI Lookups'!H:H)+SUMIF('NEI Lookups'!$N:$N,'Inputs Yr 2'!$F60,'NEI Lookups'!H:H)+SUMIF('NEI Lookups'!$O:$O,'Inputs Yr 2'!$F60,'NEI Lookups'!H:H)+SUMIF('NEI Lookups'!$P:$P,'Inputs Yr 2'!$F60,'NEI Lookups'!H:H)+SUMIF('NEI Lookups'!$Q:$Q,'Inputs Yr 2'!$F60,'NEI Lookups'!H:H)+SUMIF('NEI Lookups'!$R:$R,'Inputs Yr 2'!$F60,'NEI Lookups'!H:H)+SUMIF('NEI Lookups'!$S:$S,'Inputs Yr 2'!$F60,'NEI Lookups'!H:H)+SUMIF('NEI Lookups'!$T:$T,'Inputs Yr 2'!$F60,'NEI Lookups'!H:H)</f>
        <v>0</v>
      </c>
      <c r="AW60" s="299">
        <f>SUMIF('NEI Lookups'!$L:$L,'Inputs Yr 2'!$F60,'NEI Lookups'!I:I)+SUMIF('NEI Lookups'!$M:$M,'Inputs Yr 2'!$F60,'NEI Lookups'!I:I)+SUMIF('NEI Lookups'!$N:$N,'Inputs Yr 2'!$F60,'NEI Lookups'!I:I)+SUMIF('NEI Lookups'!$O:$O,'Inputs Yr 2'!$F60,'NEI Lookups'!I:I)+SUMIF('NEI Lookups'!$P:$P,'Inputs Yr 2'!$F60,'NEI Lookups'!I:I)+SUMIF('NEI Lookups'!$Q:$Q,'Inputs Yr 2'!$F60,'NEI Lookups'!I:I)+SUMIF('NEI Lookups'!$R:$R,'Inputs Yr 2'!$F60,'NEI Lookups'!I:I)+SUMIF('NEI Lookups'!$S:$S,'Inputs Yr 2'!$F60,'NEI Lookups'!I:I)+SUMIF('NEI Lookups'!$T:$T,'Inputs Yr 2'!$F60,'NEI Lookups'!I:I)</f>
        <v>0</v>
      </c>
      <c r="AX60" s="299">
        <f>SUMIF('NEI Lookups'!$L:$L,'Inputs Yr 2'!$F60,'NEI Lookups'!J:J)+SUMIF('NEI Lookups'!$M:$M,'Inputs Yr 2'!$F60,'NEI Lookups'!J:J)+SUMIF('NEI Lookups'!$N:$N,'Inputs Yr 2'!$F60,'NEI Lookups'!J:J)+SUMIF('NEI Lookups'!$O:$O,'Inputs Yr 2'!$F60,'NEI Lookups'!J:J)+SUMIF('NEI Lookups'!$P:$P,'Inputs Yr 2'!$F60,'NEI Lookups'!J:J)+SUMIF('NEI Lookups'!$Q:$Q,'Inputs Yr 2'!$F60,'NEI Lookups'!J:J)+SUMIF('NEI Lookups'!$R:$R,'Inputs Yr 2'!$F60,'NEI Lookups'!J:J)+SUMIF('NEI Lookups'!$S:$S,'Inputs Yr 2'!$F60,'NEI Lookups'!J:J)+SUMIF('NEI Lookups'!$T:$T,'Inputs Yr 2'!$F60,'NEI Lookups'!J:J)</f>
        <v>0</v>
      </c>
      <c r="AY60" s="930">
        <f>'Calculations Yr 2'!CP60/'Calculations Yr 2'!I60</f>
        <v>0.54960966942322098</v>
      </c>
    </row>
    <row r="61" spans="1:51" s="133" customFormat="1" ht="12.75" customHeight="1">
      <c r="A61" s="145" t="s">
        <v>32</v>
      </c>
      <c r="B61" s="132" t="s">
        <v>462</v>
      </c>
      <c r="C61" s="132" t="s">
        <v>741</v>
      </c>
      <c r="D61" s="908" t="s">
        <v>1455</v>
      </c>
      <c r="E61" s="150" t="s">
        <v>745</v>
      </c>
      <c r="F61" s="98" t="s">
        <v>982</v>
      </c>
      <c r="G61" s="145" t="s">
        <v>1247</v>
      </c>
      <c r="H61" s="232">
        <v>132</v>
      </c>
      <c r="I61" s="232">
        <v>10</v>
      </c>
      <c r="J61" s="964">
        <v>0</v>
      </c>
      <c r="K61" s="166">
        <v>0</v>
      </c>
      <c r="L61" s="888">
        <f t="shared" si="0"/>
        <v>0</v>
      </c>
      <c r="M61" s="978">
        <v>0</v>
      </c>
      <c r="N61" s="978">
        <v>0</v>
      </c>
      <c r="O61" s="978">
        <v>0</v>
      </c>
      <c r="P61" s="889">
        <f t="shared" si="14"/>
        <v>1</v>
      </c>
      <c r="Q61" s="978">
        <v>1</v>
      </c>
      <c r="R61" s="178">
        <v>1</v>
      </c>
      <c r="S61" s="178">
        <v>1</v>
      </c>
      <c r="T61" s="178">
        <v>1</v>
      </c>
      <c r="U61" s="980">
        <v>1</v>
      </c>
      <c r="V61" s="978">
        <v>1</v>
      </c>
      <c r="W61" s="179"/>
      <c r="X61" s="937" t="s">
        <v>653</v>
      </c>
      <c r="Y61" s="299">
        <f>IFERROR(VLOOKUP($X61,'Demand Lookups'!$A$5:$K$101,9,0), 0)</f>
        <v>0</v>
      </c>
      <c r="Z61" s="922" t="str">
        <f>IFERROR(VLOOKUP(X61,'Demand Lookups'!$A$5:$B$101,2,0),0)</f>
        <v>Non-Electric Measures</v>
      </c>
      <c r="AA61" s="722">
        <f>IF(ISNA(VLOOKUP($X61,'Demand Lookups'!$A$5:$K$81,3,0)),0,VLOOKUP($X61,'Demand Lookups'!$A$5:$K$81,3,0))</f>
        <v>0</v>
      </c>
      <c r="AB61" s="722">
        <f>IF(ISNA(VLOOKUP($X61,'Demand Lookups'!$A$5:$K$81,4,0)),0,VLOOKUP($X61,'Demand Lookups'!$A$5:$K$81,4,0))</f>
        <v>0</v>
      </c>
      <c r="AC61" s="722">
        <f>IF(ISNA(VLOOKUP($X61,'Demand Lookups'!$A$5:$K$81,5,0)),0,VLOOKUP($X61,'Demand Lookups'!$A$5:$K$81,5,0))</f>
        <v>0</v>
      </c>
      <c r="AD61" s="723">
        <f>IF(ISNA(VLOOKUP($X61,'Demand Lookups'!$A$5:$K$81,6,0)),0,VLOOKUP($X61,'Demand Lookups'!$A$5:$K$81,6,0))</f>
        <v>0</v>
      </c>
      <c r="AE61" s="724">
        <f t="shared" si="15"/>
        <v>0</v>
      </c>
      <c r="AF61" s="723">
        <f>ROUND(IF(ISNA(VLOOKUP($X61,'Demand Lookups'!$A$5:$K$82,10,0)),0,(VLOOKUP($X61,'Demand Lookups'!$A$5:$K$82,10,0))),2)</f>
        <v>0</v>
      </c>
      <c r="AG61" s="723">
        <f>ROUND(IF(ISNA(VLOOKUP($X61,'Demand Lookups'!$A$5:$K$82,11,0)),0,VLOOKUP($X61,'Demand Lookups'!$A$5:$K$82,11,0)),2)</f>
        <v>0</v>
      </c>
      <c r="AH61" s="648">
        <f t="shared" si="10"/>
        <v>0</v>
      </c>
      <c r="AI61" s="648">
        <f t="shared" si="11"/>
        <v>0</v>
      </c>
      <c r="AJ61" s="167" t="s">
        <v>404</v>
      </c>
      <c r="AK61" s="846">
        <v>8</v>
      </c>
      <c r="AL61" s="167"/>
      <c r="AM61" s="168"/>
      <c r="AN61" s="167"/>
      <c r="AO61" s="168"/>
      <c r="AP61" s="171">
        <v>0</v>
      </c>
      <c r="AQ61" s="171"/>
      <c r="AR61" s="171"/>
      <c r="AS61" s="299">
        <f>SUMIF('NEI Lookups'!$L:$L,'Inputs Yr 2'!$F61,'NEI Lookups'!E:E)+SUMIF('NEI Lookups'!$M:$M,'Inputs Yr 2'!$F61,'NEI Lookups'!E:E)+SUMIF('NEI Lookups'!$N:$N,'Inputs Yr 2'!$F61,'NEI Lookups'!E:E)+SUMIF('NEI Lookups'!$O:$O,'Inputs Yr 2'!$F61,'NEI Lookups'!E:E)+SUMIF('NEI Lookups'!$P:$P,'Inputs Yr 2'!$F61,'NEI Lookups'!E:E)+SUMIF('NEI Lookups'!$Q:$Q,'Inputs Yr 2'!$F61,'NEI Lookups'!E:E)+SUMIF('NEI Lookups'!$R:$R,'Inputs Yr 2'!$F61,'NEI Lookups'!E:E)+SUMIF('NEI Lookups'!$S:$S,'Inputs Yr 2'!$F61,'NEI Lookups'!E:E)+SUMIF('NEI Lookups'!$T:$T,'Inputs Yr 2'!$F61,'NEI Lookups'!E:E)</f>
        <v>139.16999999999999</v>
      </c>
      <c r="AT61" s="299">
        <f>SUMIF('NEI Lookups'!$L:$L,'Inputs Yr 2'!$F61,'NEI Lookups'!F:F)+SUMIF('NEI Lookups'!$M:$M,'Inputs Yr 2'!$F61,'NEI Lookups'!F:F)+SUMIF('NEI Lookups'!$N:$N,'Inputs Yr 2'!$F61,'NEI Lookups'!F:F)+SUMIF('NEI Lookups'!$O:$O,'Inputs Yr 2'!$F61,'NEI Lookups'!F:F)+SUMIF('NEI Lookups'!$P:$P,'Inputs Yr 2'!$F61,'NEI Lookups'!F:F)+SUMIF('NEI Lookups'!$Q:$Q,'Inputs Yr 2'!$F61,'NEI Lookups'!F:F)+SUMIF('NEI Lookups'!$R:$R,'Inputs Yr 2'!$F61,'NEI Lookups'!F:F)+SUMIF('NEI Lookups'!$S:$S,'Inputs Yr 2'!$F61,'NEI Lookups'!F:F)+SUMIF('NEI Lookups'!$T:$T,'Inputs Yr 2'!$F61,'NEI Lookups'!F:F)</f>
        <v>0</v>
      </c>
      <c r="AU61" s="299">
        <f>SUMIF('NEI Lookups'!$L:$L,'Inputs Yr 2'!$F61,'NEI Lookups'!G:G)+SUMIF('NEI Lookups'!$M:$M,'Inputs Yr 2'!$F61,'NEI Lookups'!G:G)+SUMIF('NEI Lookups'!$N:$N,'Inputs Yr 2'!$F61,'NEI Lookups'!G:G)+SUMIF('NEI Lookups'!$O:$O,'Inputs Yr 2'!$F61,'NEI Lookups'!G:G)+SUMIF('NEI Lookups'!$P:$P,'Inputs Yr 2'!$F61,'NEI Lookups'!G:G)+SUMIF('NEI Lookups'!$Q:$Q,'Inputs Yr 2'!$F61,'NEI Lookups'!G:G)+SUMIF('NEI Lookups'!$R:$R,'Inputs Yr 2'!$F61,'NEI Lookups'!G:G)+SUMIF('NEI Lookups'!$S:$S,'Inputs Yr 2'!$F61,'NEI Lookups'!G:G)+SUMIF('NEI Lookups'!$T:$T,'Inputs Yr 2'!$F61,'NEI Lookups'!G:G)</f>
        <v>0</v>
      </c>
      <c r="AV61" s="299">
        <f>SUMIF('NEI Lookups'!$L:$L,'Inputs Yr 2'!$F61,'NEI Lookups'!H:H)+SUMIF('NEI Lookups'!$M:$M,'Inputs Yr 2'!$F61,'NEI Lookups'!H:H)+SUMIF('NEI Lookups'!$N:$N,'Inputs Yr 2'!$F61,'NEI Lookups'!H:H)+SUMIF('NEI Lookups'!$O:$O,'Inputs Yr 2'!$F61,'NEI Lookups'!H:H)+SUMIF('NEI Lookups'!$P:$P,'Inputs Yr 2'!$F61,'NEI Lookups'!H:H)+SUMIF('NEI Lookups'!$Q:$Q,'Inputs Yr 2'!$F61,'NEI Lookups'!H:H)+SUMIF('NEI Lookups'!$R:$R,'Inputs Yr 2'!$F61,'NEI Lookups'!H:H)+SUMIF('NEI Lookups'!$S:$S,'Inputs Yr 2'!$F61,'NEI Lookups'!H:H)+SUMIF('NEI Lookups'!$T:$T,'Inputs Yr 2'!$F61,'NEI Lookups'!H:H)</f>
        <v>0</v>
      </c>
      <c r="AW61" s="299">
        <f>SUMIF('NEI Lookups'!$L:$L,'Inputs Yr 2'!$F61,'NEI Lookups'!I:I)+SUMIF('NEI Lookups'!$M:$M,'Inputs Yr 2'!$F61,'NEI Lookups'!I:I)+SUMIF('NEI Lookups'!$N:$N,'Inputs Yr 2'!$F61,'NEI Lookups'!I:I)+SUMIF('NEI Lookups'!$O:$O,'Inputs Yr 2'!$F61,'NEI Lookups'!I:I)+SUMIF('NEI Lookups'!$P:$P,'Inputs Yr 2'!$F61,'NEI Lookups'!I:I)+SUMIF('NEI Lookups'!$Q:$Q,'Inputs Yr 2'!$F61,'NEI Lookups'!I:I)+SUMIF('NEI Lookups'!$R:$R,'Inputs Yr 2'!$F61,'NEI Lookups'!I:I)+SUMIF('NEI Lookups'!$S:$S,'Inputs Yr 2'!$F61,'NEI Lookups'!I:I)+SUMIF('NEI Lookups'!$T:$T,'Inputs Yr 2'!$F61,'NEI Lookups'!I:I)</f>
        <v>0</v>
      </c>
      <c r="AX61" s="299">
        <f>SUMIF('NEI Lookups'!$L:$L,'Inputs Yr 2'!$F61,'NEI Lookups'!J:J)+SUMIF('NEI Lookups'!$M:$M,'Inputs Yr 2'!$F61,'NEI Lookups'!J:J)+SUMIF('NEI Lookups'!$N:$N,'Inputs Yr 2'!$F61,'NEI Lookups'!J:J)+SUMIF('NEI Lookups'!$O:$O,'Inputs Yr 2'!$F61,'NEI Lookups'!J:J)+SUMIF('NEI Lookups'!$P:$P,'Inputs Yr 2'!$F61,'NEI Lookups'!J:J)+SUMIF('NEI Lookups'!$Q:$Q,'Inputs Yr 2'!$F61,'NEI Lookups'!J:J)+SUMIF('NEI Lookups'!$R:$R,'Inputs Yr 2'!$F61,'NEI Lookups'!J:J)+SUMIF('NEI Lookups'!$S:$S,'Inputs Yr 2'!$F61,'NEI Lookups'!J:J)+SUMIF('NEI Lookups'!$T:$T,'Inputs Yr 2'!$F61,'NEI Lookups'!J:J)</f>
        <v>0</v>
      </c>
      <c r="AY61" s="930" t="e">
        <f>'Calculations Yr 2'!CP61/'Calculations Yr 2'!I61</f>
        <v>#DIV/0!</v>
      </c>
    </row>
    <row r="62" spans="1:51" s="133" customFormat="1" ht="12.75" customHeight="1">
      <c r="A62" s="145" t="s">
        <v>32</v>
      </c>
      <c r="B62" s="132" t="s">
        <v>462</v>
      </c>
      <c r="C62" s="132" t="s">
        <v>741</v>
      </c>
      <c r="D62" s="908" t="s">
        <v>1456</v>
      </c>
      <c r="E62" s="150" t="s">
        <v>746</v>
      </c>
      <c r="F62" s="98" t="s">
        <v>983</v>
      </c>
      <c r="G62" s="145" t="s">
        <v>1247</v>
      </c>
      <c r="H62" s="232">
        <v>1073</v>
      </c>
      <c r="I62" s="232">
        <v>18</v>
      </c>
      <c r="J62" s="964">
        <v>1931</v>
      </c>
      <c r="K62" s="166">
        <v>1000</v>
      </c>
      <c r="L62" s="888">
        <f t="shared" si="0"/>
        <v>931</v>
      </c>
      <c r="M62" s="978">
        <v>0</v>
      </c>
      <c r="N62" s="978">
        <v>0</v>
      </c>
      <c r="O62" s="978">
        <v>0</v>
      </c>
      <c r="P62" s="889">
        <f t="shared" si="14"/>
        <v>1</v>
      </c>
      <c r="Q62" s="978">
        <v>1</v>
      </c>
      <c r="R62" s="178">
        <v>1</v>
      </c>
      <c r="S62" s="178">
        <v>1</v>
      </c>
      <c r="T62" s="178">
        <v>1</v>
      </c>
      <c r="U62" s="980">
        <v>1</v>
      </c>
      <c r="V62" s="978">
        <v>1</v>
      </c>
      <c r="W62" s="179"/>
      <c r="X62" s="99" t="s">
        <v>35</v>
      </c>
      <c r="Y62" s="299">
        <f>IFERROR(VLOOKUP($X62,'Demand Lookups'!$A$5:$K$101,9,0), 0)</f>
        <v>5.3381390534849307E-4</v>
      </c>
      <c r="Z62" s="922" t="str">
        <f>IFERROR(VLOOKUP(X62,'Demand Lookups'!$A$5:$B$101,2,0),0)</f>
        <v>Res Single Family Electric Heating</v>
      </c>
      <c r="AA62" s="722">
        <f>IF(ISNA(VLOOKUP($X62,'Demand Lookups'!$A$5:$K$81,3,0)),0,VLOOKUP($X62,'Demand Lookups'!$A$5:$K$81,3,0))</f>
        <v>0.37811107066668143</v>
      </c>
      <c r="AB62" s="722">
        <f>IF(ISNA(VLOOKUP($X62,'Demand Lookups'!$A$5:$K$81,4,0)),0,VLOOKUP($X62,'Demand Lookups'!$A$5:$K$81,4,0))</f>
        <v>0.61526683076153199</v>
      </c>
      <c r="AC62" s="722">
        <f>IF(ISNA(VLOOKUP($X62,'Demand Lookups'!$A$5:$K$81,5,0)),0,VLOOKUP($X62,'Demand Lookups'!$A$5:$K$81,5,0))</f>
        <v>1.7402036484173826E-3</v>
      </c>
      <c r="AD62" s="723">
        <f>IF(ISNA(VLOOKUP($X62,'Demand Lookups'!$A$5:$K$81,6,0)),0,VLOOKUP($X62,'Demand Lookups'!$A$5:$K$81,6,0))</f>
        <v>4.8818949233697577E-3</v>
      </c>
      <c r="AE62" s="724">
        <f t="shared" si="15"/>
        <v>0</v>
      </c>
      <c r="AF62" s="723">
        <f>ROUND(IF(ISNA(VLOOKUP($X62,'Demand Lookups'!$A$5:$K$82,10,0)),0,(VLOOKUP($X62,'Demand Lookups'!$A$5:$K$82,10,0))),2)</f>
        <v>0</v>
      </c>
      <c r="AG62" s="723">
        <f>ROUND(IF(ISNA(VLOOKUP($X62,'Demand Lookups'!$A$5:$K$82,11,0)),0,VLOOKUP($X62,'Demand Lookups'!$A$5:$K$82,11,0)),2)</f>
        <v>1</v>
      </c>
      <c r="AH62" s="648">
        <f t="shared" si="10"/>
        <v>0</v>
      </c>
      <c r="AI62" s="648">
        <f t="shared" si="11"/>
        <v>0</v>
      </c>
      <c r="AJ62" s="167" t="s">
        <v>404</v>
      </c>
      <c r="AK62" s="846">
        <v>7.2</v>
      </c>
      <c r="AL62" s="167"/>
      <c r="AM62" s="168"/>
      <c r="AN62" s="167"/>
      <c r="AO62" s="168"/>
      <c r="AP62" s="171">
        <v>0</v>
      </c>
      <c r="AQ62" s="171"/>
      <c r="AR62" s="171"/>
      <c r="AS62" s="299">
        <f>SUMIF('NEI Lookups'!$L:$L,'Inputs Yr 2'!$F62,'NEI Lookups'!E:E)+SUMIF('NEI Lookups'!$M:$M,'Inputs Yr 2'!$F62,'NEI Lookups'!E:E)+SUMIF('NEI Lookups'!$N:$N,'Inputs Yr 2'!$F62,'NEI Lookups'!E:E)+SUMIF('NEI Lookups'!$O:$O,'Inputs Yr 2'!$F62,'NEI Lookups'!E:E)+SUMIF('NEI Lookups'!$P:$P,'Inputs Yr 2'!$F62,'NEI Lookups'!E:E)+SUMIF('NEI Lookups'!$Q:$Q,'Inputs Yr 2'!$F62,'NEI Lookups'!E:E)+SUMIF('NEI Lookups'!$R:$R,'Inputs Yr 2'!$F62,'NEI Lookups'!E:E)+SUMIF('NEI Lookups'!$S:$S,'Inputs Yr 2'!$F62,'NEI Lookups'!E:E)+SUMIF('NEI Lookups'!$T:$T,'Inputs Yr 2'!$F62,'NEI Lookups'!E:E)</f>
        <v>30.84</v>
      </c>
      <c r="AT62" s="299">
        <f>SUMIF('NEI Lookups'!$L:$L,'Inputs Yr 2'!$F62,'NEI Lookups'!F:F)+SUMIF('NEI Lookups'!$M:$M,'Inputs Yr 2'!$F62,'NEI Lookups'!F:F)+SUMIF('NEI Lookups'!$N:$N,'Inputs Yr 2'!$F62,'NEI Lookups'!F:F)+SUMIF('NEI Lookups'!$O:$O,'Inputs Yr 2'!$F62,'NEI Lookups'!F:F)+SUMIF('NEI Lookups'!$P:$P,'Inputs Yr 2'!$F62,'NEI Lookups'!F:F)+SUMIF('NEI Lookups'!$Q:$Q,'Inputs Yr 2'!$F62,'NEI Lookups'!F:F)+SUMIF('NEI Lookups'!$R:$R,'Inputs Yr 2'!$F62,'NEI Lookups'!F:F)+SUMIF('NEI Lookups'!$S:$S,'Inputs Yr 2'!$F62,'NEI Lookups'!F:F)+SUMIF('NEI Lookups'!$T:$T,'Inputs Yr 2'!$F62,'NEI Lookups'!F:F)</f>
        <v>0</v>
      </c>
      <c r="AU62" s="299">
        <f>SUMIF('NEI Lookups'!$L:$L,'Inputs Yr 2'!$F62,'NEI Lookups'!G:G)+SUMIF('NEI Lookups'!$M:$M,'Inputs Yr 2'!$F62,'NEI Lookups'!G:G)+SUMIF('NEI Lookups'!$N:$N,'Inputs Yr 2'!$F62,'NEI Lookups'!G:G)+SUMIF('NEI Lookups'!$O:$O,'Inputs Yr 2'!$F62,'NEI Lookups'!G:G)+SUMIF('NEI Lookups'!$P:$P,'Inputs Yr 2'!$F62,'NEI Lookups'!G:G)+SUMIF('NEI Lookups'!$Q:$Q,'Inputs Yr 2'!$F62,'NEI Lookups'!G:G)+SUMIF('NEI Lookups'!$R:$R,'Inputs Yr 2'!$F62,'NEI Lookups'!G:G)+SUMIF('NEI Lookups'!$S:$S,'Inputs Yr 2'!$F62,'NEI Lookups'!G:G)+SUMIF('NEI Lookups'!$T:$T,'Inputs Yr 2'!$F62,'NEI Lookups'!G:G)</f>
        <v>0</v>
      </c>
      <c r="AV62" s="299">
        <f>SUMIF('NEI Lookups'!$L:$L,'Inputs Yr 2'!$F62,'NEI Lookups'!H:H)+SUMIF('NEI Lookups'!$M:$M,'Inputs Yr 2'!$F62,'NEI Lookups'!H:H)+SUMIF('NEI Lookups'!$N:$N,'Inputs Yr 2'!$F62,'NEI Lookups'!H:H)+SUMIF('NEI Lookups'!$O:$O,'Inputs Yr 2'!$F62,'NEI Lookups'!H:H)+SUMIF('NEI Lookups'!$P:$P,'Inputs Yr 2'!$F62,'NEI Lookups'!H:H)+SUMIF('NEI Lookups'!$Q:$Q,'Inputs Yr 2'!$F62,'NEI Lookups'!H:H)+SUMIF('NEI Lookups'!$R:$R,'Inputs Yr 2'!$F62,'NEI Lookups'!H:H)+SUMIF('NEI Lookups'!$S:$S,'Inputs Yr 2'!$F62,'NEI Lookups'!H:H)+SUMIF('NEI Lookups'!$T:$T,'Inputs Yr 2'!$F62,'NEI Lookups'!H:H)</f>
        <v>0</v>
      </c>
      <c r="AW62" s="299">
        <f>SUMIF('NEI Lookups'!$L:$L,'Inputs Yr 2'!$F62,'NEI Lookups'!I:I)+SUMIF('NEI Lookups'!$M:$M,'Inputs Yr 2'!$F62,'NEI Lookups'!I:I)+SUMIF('NEI Lookups'!$N:$N,'Inputs Yr 2'!$F62,'NEI Lookups'!I:I)+SUMIF('NEI Lookups'!$O:$O,'Inputs Yr 2'!$F62,'NEI Lookups'!I:I)+SUMIF('NEI Lookups'!$P:$P,'Inputs Yr 2'!$F62,'NEI Lookups'!I:I)+SUMIF('NEI Lookups'!$Q:$Q,'Inputs Yr 2'!$F62,'NEI Lookups'!I:I)+SUMIF('NEI Lookups'!$R:$R,'Inputs Yr 2'!$F62,'NEI Lookups'!I:I)+SUMIF('NEI Lookups'!$S:$S,'Inputs Yr 2'!$F62,'NEI Lookups'!I:I)+SUMIF('NEI Lookups'!$T:$T,'Inputs Yr 2'!$F62,'NEI Lookups'!I:I)</f>
        <v>0</v>
      </c>
      <c r="AX62" s="299">
        <f>SUMIF('NEI Lookups'!$L:$L,'Inputs Yr 2'!$F62,'NEI Lookups'!J:J)+SUMIF('NEI Lookups'!$M:$M,'Inputs Yr 2'!$F62,'NEI Lookups'!J:J)+SUMIF('NEI Lookups'!$N:$N,'Inputs Yr 2'!$F62,'NEI Lookups'!J:J)+SUMIF('NEI Lookups'!$O:$O,'Inputs Yr 2'!$F62,'NEI Lookups'!J:J)+SUMIF('NEI Lookups'!$P:$P,'Inputs Yr 2'!$F62,'NEI Lookups'!J:J)+SUMIF('NEI Lookups'!$Q:$Q,'Inputs Yr 2'!$F62,'NEI Lookups'!J:J)+SUMIF('NEI Lookups'!$R:$R,'Inputs Yr 2'!$F62,'NEI Lookups'!J:J)+SUMIF('NEI Lookups'!$S:$S,'Inputs Yr 2'!$F62,'NEI Lookups'!J:J)+SUMIF('NEI Lookups'!$T:$T,'Inputs Yr 2'!$F62,'NEI Lookups'!J:J)</f>
        <v>0</v>
      </c>
      <c r="AY62" s="930">
        <f>'Calculations Yr 2'!CP62/'Calculations Yr 2'!I62</f>
        <v>0.89058819768258501</v>
      </c>
    </row>
    <row r="63" spans="1:51" s="8" customFormat="1" ht="12.75" customHeight="1">
      <c r="A63" s="145" t="s">
        <v>32</v>
      </c>
      <c r="B63" s="132" t="s">
        <v>462</v>
      </c>
      <c r="C63" s="132" t="s">
        <v>741</v>
      </c>
      <c r="D63" s="908" t="s">
        <v>1457</v>
      </c>
      <c r="E63" s="150" t="s">
        <v>747</v>
      </c>
      <c r="F63" s="98" t="s">
        <v>984</v>
      </c>
      <c r="G63" s="145" t="s">
        <v>1247</v>
      </c>
      <c r="H63" s="232">
        <v>1073</v>
      </c>
      <c r="I63" s="232">
        <v>6</v>
      </c>
      <c r="J63" s="964">
        <v>0</v>
      </c>
      <c r="K63" s="166">
        <v>0</v>
      </c>
      <c r="L63" s="888">
        <f t="shared" si="0"/>
        <v>0</v>
      </c>
      <c r="M63" s="978">
        <v>0</v>
      </c>
      <c r="N63" s="978">
        <v>0</v>
      </c>
      <c r="O63" s="978">
        <v>0</v>
      </c>
      <c r="P63" s="889">
        <f t="shared" si="14"/>
        <v>1</v>
      </c>
      <c r="Q63" s="978">
        <v>1</v>
      </c>
      <c r="R63" s="178">
        <v>1</v>
      </c>
      <c r="S63" s="178">
        <v>1</v>
      </c>
      <c r="T63" s="178">
        <v>1</v>
      </c>
      <c r="U63" s="980">
        <v>1</v>
      </c>
      <c r="V63" s="978">
        <v>1</v>
      </c>
      <c r="W63" s="179"/>
      <c r="X63" s="937" t="s">
        <v>653</v>
      </c>
      <c r="Y63" s="299">
        <f>IFERROR(VLOOKUP($X63,'Demand Lookups'!$A$5:$K$101,9,0), 0)</f>
        <v>0</v>
      </c>
      <c r="Z63" s="922" t="str">
        <f>IFERROR(VLOOKUP(X63,'Demand Lookups'!$A$5:$B$101,2,0),0)</f>
        <v>Non-Electric Measures</v>
      </c>
      <c r="AA63" s="722">
        <f>IF(ISNA(VLOOKUP($X63,'Demand Lookups'!$A$5:$K$81,3,0)),0,VLOOKUP($X63,'Demand Lookups'!$A$5:$K$81,3,0))</f>
        <v>0</v>
      </c>
      <c r="AB63" s="722">
        <f>IF(ISNA(VLOOKUP($X63,'Demand Lookups'!$A$5:$K$81,4,0)),0,VLOOKUP($X63,'Demand Lookups'!$A$5:$K$81,4,0))</f>
        <v>0</v>
      </c>
      <c r="AC63" s="722">
        <f>IF(ISNA(VLOOKUP($X63,'Demand Lookups'!$A$5:$K$81,5,0)),0,VLOOKUP($X63,'Demand Lookups'!$A$5:$K$81,5,0))</f>
        <v>0</v>
      </c>
      <c r="AD63" s="723">
        <f>IF(ISNA(VLOOKUP($X63,'Demand Lookups'!$A$5:$K$81,6,0)),0,VLOOKUP($X63,'Demand Lookups'!$A$5:$K$81,6,0))</f>
        <v>0</v>
      </c>
      <c r="AE63" s="724">
        <f t="shared" si="15"/>
        <v>0</v>
      </c>
      <c r="AF63" s="723">
        <f>ROUND(IF(ISNA(VLOOKUP($X63,'Demand Lookups'!$A$5:$K$82,10,0)),0,(VLOOKUP($X63,'Demand Lookups'!$A$5:$K$82,10,0))),2)</f>
        <v>0</v>
      </c>
      <c r="AG63" s="723">
        <f>ROUND(IF(ISNA(VLOOKUP($X63,'Demand Lookups'!$A$5:$K$82,11,0)),0,VLOOKUP($X63,'Demand Lookups'!$A$5:$K$82,11,0)),2)</f>
        <v>0</v>
      </c>
      <c r="AH63" s="648">
        <f t="shared" si="10"/>
        <v>0</v>
      </c>
      <c r="AI63" s="648">
        <f t="shared" si="11"/>
        <v>0</v>
      </c>
      <c r="AJ63" s="167" t="s">
        <v>404</v>
      </c>
      <c r="AK63" s="846">
        <v>6.2</v>
      </c>
      <c r="AL63" s="167"/>
      <c r="AM63" s="168"/>
      <c r="AN63" s="167"/>
      <c r="AO63" s="168"/>
      <c r="AP63" s="171">
        <v>0</v>
      </c>
      <c r="AQ63" s="171"/>
      <c r="AR63" s="171"/>
      <c r="AS63" s="299">
        <f>SUMIF('NEI Lookups'!$L:$L,'Inputs Yr 2'!$F63,'NEI Lookups'!E:E)+SUMIF('NEI Lookups'!$M:$M,'Inputs Yr 2'!$F63,'NEI Lookups'!E:E)+SUMIF('NEI Lookups'!$N:$N,'Inputs Yr 2'!$F63,'NEI Lookups'!E:E)+SUMIF('NEI Lookups'!$O:$O,'Inputs Yr 2'!$F63,'NEI Lookups'!E:E)+SUMIF('NEI Lookups'!$P:$P,'Inputs Yr 2'!$F63,'NEI Lookups'!E:E)+SUMIF('NEI Lookups'!$Q:$Q,'Inputs Yr 2'!$F63,'NEI Lookups'!E:E)+SUMIF('NEI Lookups'!$R:$R,'Inputs Yr 2'!$F63,'NEI Lookups'!E:E)+SUMIF('NEI Lookups'!$S:$S,'Inputs Yr 2'!$F63,'NEI Lookups'!E:E)+SUMIF('NEI Lookups'!$T:$T,'Inputs Yr 2'!$F63,'NEI Lookups'!E:E)</f>
        <v>139.16999999999999</v>
      </c>
      <c r="AT63" s="299">
        <f>SUMIF('NEI Lookups'!$L:$L,'Inputs Yr 2'!$F63,'NEI Lookups'!F:F)+SUMIF('NEI Lookups'!$M:$M,'Inputs Yr 2'!$F63,'NEI Lookups'!F:F)+SUMIF('NEI Lookups'!$N:$N,'Inputs Yr 2'!$F63,'NEI Lookups'!F:F)+SUMIF('NEI Lookups'!$O:$O,'Inputs Yr 2'!$F63,'NEI Lookups'!F:F)+SUMIF('NEI Lookups'!$P:$P,'Inputs Yr 2'!$F63,'NEI Lookups'!F:F)+SUMIF('NEI Lookups'!$Q:$Q,'Inputs Yr 2'!$F63,'NEI Lookups'!F:F)+SUMIF('NEI Lookups'!$R:$R,'Inputs Yr 2'!$F63,'NEI Lookups'!F:F)+SUMIF('NEI Lookups'!$S:$S,'Inputs Yr 2'!$F63,'NEI Lookups'!F:F)+SUMIF('NEI Lookups'!$T:$T,'Inputs Yr 2'!$F63,'NEI Lookups'!F:F)</f>
        <v>0</v>
      </c>
      <c r="AU63" s="299">
        <f>SUMIF('NEI Lookups'!$L:$L,'Inputs Yr 2'!$F63,'NEI Lookups'!G:G)+SUMIF('NEI Lookups'!$M:$M,'Inputs Yr 2'!$F63,'NEI Lookups'!G:G)+SUMIF('NEI Lookups'!$N:$N,'Inputs Yr 2'!$F63,'NEI Lookups'!G:G)+SUMIF('NEI Lookups'!$O:$O,'Inputs Yr 2'!$F63,'NEI Lookups'!G:G)+SUMIF('NEI Lookups'!$P:$P,'Inputs Yr 2'!$F63,'NEI Lookups'!G:G)+SUMIF('NEI Lookups'!$Q:$Q,'Inputs Yr 2'!$F63,'NEI Lookups'!G:G)+SUMIF('NEI Lookups'!$R:$R,'Inputs Yr 2'!$F63,'NEI Lookups'!G:G)+SUMIF('NEI Lookups'!$S:$S,'Inputs Yr 2'!$F63,'NEI Lookups'!G:G)+SUMIF('NEI Lookups'!$T:$T,'Inputs Yr 2'!$F63,'NEI Lookups'!G:G)</f>
        <v>0</v>
      </c>
      <c r="AV63" s="299">
        <f>SUMIF('NEI Lookups'!$L:$L,'Inputs Yr 2'!$F63,'NEI Lookups'!H:H)+SUMIF('NEI Lookups'!$M:$M,'Inputs Yr 2'!$F63,'NEI Lookups'!H:H)+SUMIF('NEI Lookups'!$N:$N,'Inputs Yr 2'!$F63,'NEI Lookups'!H:H)+SUMIF('NEI Lookups'!$O:$O,'Inputs Yr 2'!$F63,'NEI Lookups'!H:H)+SUMIF('NEI Lookups'!$P:$P,'Inputs Yr 2'!$F63,'NEI Lookups'!H:H)+SUMIF('NEI Lookups'!$Q:$Q,'Inputs Yr 2'!$F63,'NEI Lookups'!H:H)+SUMIF('NEI Lookups'!$R:$R,'Inputs Yr 2'!$F63,'NEI Lookups'!H:H)+SUMIF('NEI Lookups'!$S:$S,'Inputs Yr 2'!$F63,'NEI Lookups'!H:H)+SUMIF('NEI Lookups'!$T:$T,'Inputs Yr 2'!$F63,'NEI Lookups'!H:H)</f>
        <v>0</v>
      </c>
      <c r="AW63" s="299">
        <f>SUMIF('NEI Lookups'!$L:$L,'Inputs Yr 2'!$F63,'NEI Lookups'!I:I)+SUMIF('NEI Lookups'!$M:$M,'Inputs Yr 2'!$F63,'NEI Lookups'!I:I)+SUMIF('NEI Lookups'!$N:$N,'Inputs Yr 2'!$F63,'NEI Lookups'!I:I)+SUMIF('NEI Lookups'!$O:$O,'Inputs Yr 2'!$F63,'NEI Lookups'!I:I)+SUMIF('NEI Lookups'!$P:$P,'Inputs Yr 2'!$F63,'NEI Lookups'!I:I)+SUMIF('NEI Lookups'!$Q:$Q,'Inputs Yr 2'!$F63,'NEI Lookups'!I:I)+SUMIF('NEI Lookups'!$R:$R,'Inputs Yr 2'!$F63,'NEI Lookups'!I:I)+SUMIF('NEI Lookups'!$S:$S,'Inputs Yr 2'!$F63,'NEI Lookups'!I:I)+SUMIF('NEI Lookups'!$T:$T,'Inputs Yr 2'!$F63,'NEI Lookups'!I:I)</f>
        <v>0</v>
      </c>
      <c r="AX63" s="299">
        <f>SUMIF('NEI Lookups'!$L:$L,'Inputs Yr 2'!$F63,'NEI Lookups'!J:J)+SUMIF('NEI Lookups'!$M:$M,'Inputs Yr 2'!$F63,'NEI Lookups'!J:J)+SUMIF('NEI Lookups'!$N:$N,'Inputs Yr 2'!$F63,'NEI Lookups'!J:J)+SUMIF('NEI Lookups'!$O:$O,'Inputs Yr 2'!$F63,'NEI Lookups'!J:J)+SUMIF('NEI Lookups'!$P:$P,'Inputs Yr 2'!$F63,'NEI Lookups'!J:J)+SUMIF('NEI Lookups'!$Q:$Q,'Inputs Yr 2'!$F63,'NEI Lookups'!J:J)+SUMIF('NEI Lookups'!$R:$R,'Inputs Yr 2'!$F63,'NEI Lookups'!J:J)+SUMIF('NEI Lookups'!$S:$S,'Inputs Yr 2'!$F63,'NEI Lookups'!J:J)+SUMIF('NEI Lookups'!$T:$T,'Inputs Yr 2'!$F63,'NEI Lookups'!J:J)</f>
        <v>0</v>
      </c>
      <c r="AY63" s="930" t="e">
        <f>'Calculations Yr 2'!CP63/'Calculations Yr 2'!I63</f>
        <v>#DIV/0!</v>
      </c>
    </row>
    <row r="64" spans="1:51" s="133" customFormat="1" ht="12.75" customHeight="1">
      <c r="A64" s="145" t="s">
        <v>32</v>
      </c>
      <c r="B64" s="132" t="s">
        <v>462</v>
      </c>
      <c r="C64" s="132" t="s">
        <v>741</v>
      </c>
      <c r="D64" s="908" t="s">
        <v>1458</v>
      </c>
      <c r="E64" s="98" t="s">
        <v>916</v>
      </c>
      <c r="F64" s="98" t="s">
        <v>990</v>
      </c>
      <c r="G64" s="145" t="s">
        <v>86</v>
      </c>
      <c r="H64" s="232">
        <v>5726</v>
      </c>
      <c r="I64" s="232">
        <v>5</v>
      </c>
      <c r="J64" s="964">
        <v>20.897967167307019</v>
      </c>
      <c r="K64" s="166">
        <v>20.897967167307019</v>
      </c>
      <c r="L64" s="888">
        <f t="shared" si="0"/>
        <v>0</v>
      </c>
      <c r="M64" s="978">
        <v>0</v>
      </c>
      <c r="N64" s="978">
        <v>0</v>
      </c>
      <c r="O64" s="978">
        <v>0</v>
      </c>
      <c r="P64" s="889">
        <f t="shared" si="14"/>
        <v>1</v>
      </c>
      <c r="Q64" s="978">
        <v>0.76</v>
      </c>
      <c r="R64" s="178">
        <v>1</v>
      </c>
      <c r="S64" s="178">
        <v>1</v>
      </c>
      <c r="T64" s="178">
        <v>1</v>
      </c>
      <c r="U64" s="980">
        <v>1</v>
      </c>
      <c r="V64" s="978">
        <v>1</v>
      </c>
      <c r="W64" s="179">
        <v>75.099999999999994</v>
      </c>
      <c r="X64" s="99" t="s">
        <v>51</v>
      </c>
      <c r="Y64" s="299">
        <f>IFERROR(VLOOKUP($X64,'Demand Lookups'!$A$5:$K$101,9,0), 0)</f>
        <v>2.1370386518846686E-4</v>
      </c>
      <c r="Z64" s="922" t="str">
        <f>IFERROR(VLOOKUP(X64,'Demand Lookups'!$A$5:$B$101,2,0),0)</f>
        <v>Res Single Family Electric Plug Load New</v>
      </c>
      <c r="AA64" s="722">
        <v>0.36</v>
      </c>
      <c r="AB64" s="722">
        <v>0.32</v>
      </c>
      <c r="AC64" s="722">
        <v>0.16</v>
      </c>
      <c r="AD64" s="723">
        <v>0.16</v>
      </c>
      <c r="AE64" s="724">
        <f>ROUND(IF(ISERROR(W64*Y64),"",W64*Y64), 3)</f>
        <v>1.6E-2</v>
      </c>
      <c r="AF64" s="723">
        <f>ROUND(IF(ISNA(VLOOKUP($X64,'Demand Lookups'!$A$5:$K$82,10,0)),0,(VLOOKUP($X64,'Demand Lookups'!$A$5:$K$82,10,0))),2)</f>
        <v>0.73</v>
      </c>
      <c r="AG64" s="723">
        <f>ROUND(IF(ISNA(VLOOKUP($X64,'Demand Lookups'!$A$5:$K$82,11,0)),0,VLOOKUP($X64,'Demand Lookups'!$A$5:$K$82,11,0)),2)</f>
        <v>1</v>
      </c>
      <c r="AH64" s="648">
        <f t="shared" si="10"/>
        <v>0.73</v>
      </c>
      <c r="AI64" s="648">
        <f t="shared" si="11"/>
        <v>0.73</v>
      </c>
      <c r="AJ64" s="167"/>
      <c r="AK64" s="846">
        <v>0</v>
      </c>
      <c r="AL64" s="167"/>
      <c r="AM64" s="168"/>
      <c r="AN64" s="167"/>
      <c r="AO64" s="168"/>
      <c r="AP64" s="171">
        <v>0</v>
      </c>
      <c r="AQ64" s="171"/>
      <c r="AR64" s="171"/>
      <c r="AS64" s="299">
        <f>SUMIF('NEI Lookups'!$L:$L,'Inputs Yr 2'!$F64,'NEI Lookups'!E:E)+SUMIF('NEI Lookups'!$M:$M,'Inputs Yr 2'!$F64,'NEI Lookups'!E:E)+SUMIF('NEI Lookups'!$N:$N,'Inputs Yr 2'!$F64,'NEI Lookups'!E:E)+SUMIF('NEI Lookups'!$O:$O,'Inputs Yr 2'!$F64,'NEI Lookups'!E:E)+SUMIF('NEI Lookups'!$P:$P,'Inputs Yr 2'!$F64,'NEI Lookups'!E:E)+SUMIF('NEI Lookups'!$Q:$Q,'Inputs Yr 2'!$F64,'NEI Lookups'!E:E)+SUMIF('NEI Lookups'!$R:$R,'Inputs Yr 2'!$F64,'NEI Lookups'!E:E)+SUMIF('NEI Lookups'!$S:$S,'Inputs Yr 2'!$F64,'NEI Lookups'!E:E)+SUMIF('NEI Lookups'!$T:$T,'Inputs Yr 2'!$F64,'NEI Lookups'!E:E)</f>
        <v>0</v>
      </c>
      <c r="AT64" s="299">
        <f>SUMIF('NEI Lookups'!$L:$L,'Inputs Yr 2'!$F64,'NEI Lookups'!F:F)+SUMIF('NEI Lookups'!$M:$M,'Inputs Yr 2'!$F64,'NEI Lookups'!F:F)+SUMIF('NEI Lookups'!$N:$N,'Inputs Yr 2'!$F64,'NEI Lookups'!F:F)+SUMIF('NEI Lookups'!$O:$O,'Inputs Yr 2'!$F64,'NEI Lookups'!F:F)+SUMIF('NEI Lookups'!$P:$P,'Inputs Yr 2'!$F64,'NEI Lookups'!F:F)+SUMIF('NEI Lookups'!$Q:$Q,'Inputs Yr 2'!$F64,'NEI Lookups'!F:F)+SUMIF('NEI Lookups'!$R:$R,'Inputs Yr 2'!$F64,'NEI Lookups'!F:F)+SUMIF('NEI Lookups'!$S:$S,'Inputs Yr 2'!$F64,'NEI Lookups'!F:F)+SUMIF('NEI Lookups'!$T:$T,'Inputs Yr 2'!$F64,'NEI Lookups'!F:F)</f>
        <v>0</v>
      </c>
      <c r="AU64" s="299">
        <f>SUMIF('NEI Lookups'!$L:$L,'Inputs Yr 2'!$F64,'NEI Lookups'!G:G)+SUMIF('NEI Lookups'!$M:$M,'Inputs Yr 2'!$F64,'NEI Lookups'!G:G)+SUMIF('NEI Lookups'!$N:$N,'Inputs Yr 2'!$F64,'NEI Lookups'!G:G)+SUMIF('NEI Lookups'!$O:$O,'Inputs Yr 2'!$F64,'NEI Lookups'!G:G)+SUMIF('NEI Lookups'!$P:$P,'Inputs Yr 2'!$F64,'NEI Lookups'!G:G)+SUMIF('NEI Lookups'!$Q:$Q,'Inputs Yr 2'!$F64,'NEI Lookups'!G:G)+SUMIF('NEI Lookups'!$R:$R,'Inputs Yr 2'!$F64,'NEI Lookups'!G:G)+SUMIF('NEI Lookups'!$S:$S,'Inputs Yr 2'!$F64,'NEI Lookups'!G:G)+SUMIF('NEI Lookups'!$T:$T,'Inputs Yr 2'!$F64,'NEI Lookups'!G:G)</f>
        <v>0</v>
      </c>
      <c r="AV64" s="299">
        <f>SUMIF('NEI Lookups'!$L:$L,'Inputs Yr 2'!$F64,'NEI Lookups'!H:H)+SUMIF('NEI Lookups'!$M:$M,'Inputs Yr 2'!$F64,'NEI Lookups'!H:H)+SUMIF('NEI Lookups'!$N:$N,'Inputs Yr 2'!$F64,'NEI Lookups'!H:H)+SUMIF('NEI Lookups'!$O:$O,'Inputs Yr 2'!$F64,'NEI Lookups'!H:H)+SUMIF('NEI Lookups'!$P:$P,'Inputs Yr 2'!$F64,'NEI Lookups'!H:H)+SUMIF('NEI Lookups'!$Q:$Q,'Inputs Yr 2'!$F64,'NEI Lookups'!H:H)+SUMIF('NEI Lookups'!$R:$R,'Inputs Yr 2'!$F64,'NEI Lookups'!H:H)+SUMIF('NEI Lookups'!$S:$S,'Inputs Yr 2'!$F64,'NEI Lookups'!H:H)+SUMIF('NEI Lookups'!$T:$T,'Inputs Yr 2'!$F64,'NEI Lookups'!H:H)</f>
        <v>0</v>
      </c>
      <c r="AW64" s="299">
        <f>SUMIF('NEI Lookups'!$L:$L,'Inputs Yr 2'!$F64,'NEI Lookups'!I:I)+SUMIF('NEI Lookups'!$M:$M,'Inputs Yr 2'!$F64,'NEI Lookups'!I:I)+SUMIF('NEI Lookups'!$N:$N,'Inputs Yr 2'!$F64,'NEI Lookups'!I:I)+SUMIF('NEI Lookups'!$O:$O,'Inputs Yr 2'!$F64,'NEI Lookups'!I:I)+SUMIF('NEI Lookups'!$P:$P,'Inputs Yr 2'!$F64,'NEI Lookups'!I:I)+SUMIF('NEI Lookups'!$Q:$Q,'Inputs Yr 2'!$F64,'NEI Lookups'!I:I)+SUMIF('NEI Lookups'!$R:$R,'Inputs Yr 2'!$F64,'NEI Lookups'!I:I)+SUMIF('NEI Lookups'!$S:$S,'Inputs Yr 2'!$F64,'NEI Lookups'!I:I)+SUMIF('NEI Lookups'!$T:$T,'Inputs Yr 2'!$F64,'NEI Lookups'!I:I)</f>
        <v>0</v>
      </c>
      <c r="AX64" s="299">
        <f>SUMIF('NEI Lookups'!$L:$L,'Inputs Yr 2'!$F64,'NEI Lookups'!J:J)+SUMIF('NEI Lookups'!$M:$M,'Inputs Yr 2'!$F64,'NEI Lookups'!J:J)+SUMIF('NEI Lookups'!$N:$N,'Inputs Yr 2'!$F64,'NEI Lookups'!J:J)+SUMIF('NEI Lookups'!$O:$O,'Inputs Yr 2'!$F64,'NEI Lookups'!J:J)+SUMIF('NEI Lookups'!$P:$P,'Inputs Yr 2'!$F64,'NEI Lookups'!J:J)+SUMIF('NEI Lookups'!$Q:$Q,'Inputs Yr 2'!$F64,'NEI Lookups'!J:J)+SUMIF('NEI Lookups'!$R:$R,'Inputs Yr 2'!$F64,'NEI Lookups'!J:J)+SUMIF('NEI Lookups'!$S:$S,'Inputs Yr 2'!$F64,'NEI Lookups'!J:J)+SUMIF('NEI Lookups'!$T:$T,'Inputs Yr 2'!$F64,'NEI Lookups'!J:J)</f>
        <v>0</v>
      </c>
      <c r="AY64" s="930">
        <f>'Calculations Yr 2'!CP64/'Calculations Yr 2'!I64</f>
        <v>1.6055814313068726</v>
      </c>
    </row>
    <row r="65" spans="1:51" s="133" customFormat="1" ht="12.75" customHeight="1">
      <c r="A65" s="145" t="s">
        <v>32</v>
      </c>
      <c r="B65" s="132" t="s">
        <v>462</v>
      </c>
      <c r="C65" s="132" t="s">
        <v>741</v>
      </c>
      <c r="D65" s="908"/>
      <c r="E65" s="98" t="s">
        <v>927</v>
      </c>
      <c r="F65" s="98" t="s">
        <v>991</v>
      </c>
      <c r="G65" s="145" t="s">
        <v>1246</v>
      </c>
      <c r="H65" s="232">
        <v>0</v>
      </c>
      <c r="I65" s="232">
        <v>0</v>
      </c>
      <c r="J65" s="964"/>
      <c r="K65" s="166"/>
      <c r="L65" s="888">
        <f t="shared" si="0"/>
        <v>0</v>
      </c>
      <c r="M65" s="978">
        <v>0</v>
      </c>
      <c r="N65" s="978">
        <v>0</v>
      </c>
      <c r="O65" s="978">
        <v>0</v>
      </c>
      <c r="P65" s="889">
        <f t="shared" si="14"/>
        <v>1</v>
      </c>
      <c r="Q65" s="978">
        <v>0</v>
      </c>
      <c r="R65" s="178">
        <v>1</v>
      </c>
      <c r="S65" s="178">
        <v>1</v>
      </c>
      <c r="T65" s="178">
        <v>1</v>
      </c>
      <c r="U65" s="980">
        <v>0</v>
      </c>
      <c r="V65" s="978">
        <v>0</v>
      </c>
      <c r="W65" s="179"/>
      <c r="X65" s="937" t="s">
        <v>653</v>
      </c>
      <c r="Y65" s="299">
        <f>IFERROR(VLOOKUP($X65,'Demand Lookups'!$A$5:$K$101,9,0), 0)</f>
        <v>0</v>
      </c>
      <c r="Z65" s="922" t="str">
        <f>IFERROR(VLOOKUP(X65,'Demand Lookups'!$A$5:$B$101,2,0),0)</f>
        <v>Non-Electric Measures</v>
      </c>
      <c r="AA65" s="722">
        <v>0</v>
      </c>
      <c r="AB65" s="722">
        <v>0</v>
      </c>
      <c r="AC65" s="722">
        <v>0</v>
      </c>
      <c r="AD65" s="723">
        <v>0</v>
      </c>
      <c r="AE65" s="724">
        <f>IF(ISERROR(W65*Y65),"",W65*Y65)</f>
        <v>0</v>
      </c>
      <c r="AF65" s="723">
        <v>0</v>
      </c>
      <c r="AG65" s="723">
        <v>0</v>
      </c>
      <c r="AH65" s="648">
        <v>0</v>
      </c>
      <c r="AI65" s="648">
        <v>0</v>
      </c>
      <c r="AJ65" s="167" t="s">
        <v>404</v>
      </c>
      <c r="AK65" s="846">
        <v>0</v>
      </c>
      <c r="AL65" s="167"/>
      <c r="AM65" s="168"/>
      <c r="AN65" s="167"/>
      <c r="AO65" s="168"/>
      <c r="AP65" s="171"/>
      <c r="AQ65" s="171"/>
      <c r="AR65" s="171"/>
      <c r="AS65" s="299">
        <f>SUMIF('NEI Lookups'!$L:$L,'Inputs Yr 2'!$F65,'NEI Lookups'!E:E)+SUMIF('NEI Lookups'!$M:$M,'Inputs Yr 2'!$F65,'NEI Lookups'!E:E)+SUMIF('NEI Lookups'!$N:$N,'Inputs Yr 2'!$F65,'NEI Lookups'!E:E)+SUMIF('NEI Lookups'!$O:$O,'Inputs Yr 2'!$F65,'NEI Lookups'!E:E)+SUMIF('NEI Lookups'!$P:$P,'Inputs Yr 2'!$F65,'NEI Lookups'!E:E)+SUMIF('NEI Lookups'!$Q:$Q,'Inputs Yr 2'!$F65,'NEI Lookups'!E:E)+SUMIF('NEI Lookups'!$R:$R,'Inputs Yr 2'!$F65,'NEI Lookups'!E:E)+SUMIF('NEI Lookups'!$S:$S,'Inputs Yr 2'!$F65,'NEI Lookups'!E:E)+SUMIF('NEI Lookups'!$T:$T,'Inputs Yr 2'!$F65,'NEI Lookups'!E:E)</f>
        <v>0</v>
      </c>
      <c r="AT65" s="299">
        <f>SUMIF('NEI Lookups'!$L:$L,'Inputs Yr 2'!$F65,'NEI Lookups'!F:F)+SUMIF('NEI Lookups'!$M:$M,'Inputs Yr 2'!$F65,'NEI Lookups'!F:F)+SUMIF('NEI Lookups'!$N:$N,'Inputs Yr 2'!$F65,'NEI Lookups'!F:F)+SUMIF('NEI Lookups'!$O:$O,'Inputs Yr 2'!$F65,'NEI Lookups'!F:F)+SUMIF('NEI Lookups'!$P:$P,'Inputs Yr 2'!$F65,'NEI Lookups'!F:F)+SUMIF('NEI Lookups'!$Q:$Q,'Inputs Yr 2'!$F65,'NEI Lookups'!F:F)+SUMIF('NEI Lookups'!$R:$R,'Inputs Yr 2'!$F65,'NEI Lookups'!F:F)+SUMIF('NEI Lookups'!$S:$S,'Inputs Yr 2'!$F65,'NEI Lookups'!F:F)+SUMIF('NEI Lookups'!$T:$T,'Inputs Yr 2'!$F65,'NEI Lookups'!F:F)</f>
        <v>0</v>
      </c>
      <c r="AU65" s="299">
        <f>SUMIF('NEI Lookups'!$L:$L,'Inputs Yr 2'!$F65,'NEI Lookups'!G:G)+SUMIF('NEI Lookups'!$M:$M,'Inputs Yr 2'!$F65,'NEI Lookups'!G:G)+SUMIF('NEI Lookups'!$N:$N,'Inputs Yr 2'!$F65,'NEI Lookups'!G:G)+SUMIF('NEI Lookups'!$O:$O,'Inputs Yr 2'!$F65,'NEI Lookups'!G:G)+SUMIF('NEI Lookups'!$P:$P,'Inputs Yr 2'!$F65,'NEI Lookups'!G:G)+SUMIF('NEI Lookups'!$Q:$Q,'Inputs Yr 2'!$F65,'NEI Lookups'!G:G)+SUMIF('NEI Lookups'!$R:$R,'Inputs Yr 2'!$F65,'NEI Lookups'!G:G)+SUMIF('NEI Lookups'!$S:$S,'Inputs Yr 2'!$F65,'NEI Lookups'!G:G)+SUMIF('NEI Lookups'!$T:$T,'Inputs Yr 2'!$F65,'NEI Lookups'!G:G)</f>
        <v>0</v>
      </c>
      <c r="AV65" s="299">
        <f>SUMIF('NEI Lookups'!$L:$L,'Inputs Yr 2'!$F65,'NEI Lookups'!H:H)+SUMIF('NEI Lookups'!$M:$M,'Inputs Yr 2'!$F65,'NEI Lookups'!H:H)+SUMIF('NEI Lookups'!$N:$N,'Inputs Yr 2'!$F65,'NEI Lookups'!H:H)+SUMIF('NEI Lookups'!$O:$O,'Inputs Yr 2'!$F65,'NEI Lookups'!H:H)+SUMIF('NEI Lookups'!$P:$P,'Inputs Yr 2'!$F65,'NEI Lookups'!H:H)+SUMIF('NEI Lookups'!$Q:$Q,'Inputs Yr 2'!$F65,'NEI Lookups'!H:H)+SUMIF('NEI Lookups'!$R:$R,'Inputs Yr 2'!$F65,'NEI Lookups'!H:H)+SUMIF('NEI Lookups'!$S:$S,'Inputs Yr 2'!$F65,'NEI Lookups'!H:H)+SUMIF('NEI Lookups'!$T:$T,'Inputs Yr 2'!$F65,'NEI Lookups'!H:H)</f>
        <v>0</v>
      </c>
      <c r="AW65" s="299">
        <f>SUMIF('NEI Lookups'!$L:$L,'Inputs Yr 2'!$F65,'NEI Lookups'!I:I)+SUMIF('NEI Lookups'!$M:$M,'Inputs Yr 2'!$F65,'NEI Lookups'!I:I)+SUMIF('NEI Lookups'!$N:$N,'Inputs Yr 2'!$F65,'NEI Lookups'!I:I)+SUMIF('NEI Lookups'!$O:$O,'Inputs Yr 2'!$F65,'NEI Lookups'!I:I)+SUMIF('NEI Lookups'!$P:$P,'Inputs Yr 2'!$F65,'NEI Lookups'!I:I)+SUMIF('NEI Lookups'!$Q:$Q,'Inputs Yr 2'!$F65,'NEI Lookups'!I:I)+SUMIF('NEI Lookups'!$R:$R,'Inputs Yr 2'!$F65,'NEI Lookups'!I:I)+SUMIF('NEI Lookups'!$S:$S,'Inputs Yr 2'!$F65,'NEI Lookups'!I:I)+SUMIF('NEI Lookups'!$T:$T,'Inputs Yr 2'!$F65,'NEI Lookups'!I:I)</f>
        <v>0</v>
      </c>
      <c r="AX65" s="299">
        <f>SUMIF('NEI Lookups'!$L:$L,'Inputs Yr 2'!$F65,'NEI Lookups'!J:J)+SUMIF('NEI Lookups'!$M:$M,'Inputs Yr 2'!$F65,'NEI Lookups'!J:J)+SUMIF('NEI Lookups'!$N:$N,'Inputs Yr 2'!$F65,'NEI Lookups'!J:J)+SUMIF('NEI Lookups'!$O:$O,'Inputs Yr 2'!$F65,'NEI Lookups'!J:J)+SUMIF('NEI Lookups'!$P:$P,'Inputs Yr 2'!$F65,'NEI Lookups'!J:J)+SUMIF('NEI Lookups'!$Q:$Q,'Inputs Yr 2'!$F65,'NEI Lookups'!J:J)+SUMIF('NEI Lookups'!$R:$R,'Inputs Yr 2'!$F65,'NEI Lookups'!J:J)+SUMIF('NEI Lookups'!$S:$S,'Inputs Yr 2'!$F65,'NEI Lookups'!J:J)+SUMIF('NEI Lookups'!$T:$T,'Inputs Yr 2'!$F65,'NEI Lookups'!J:J)</f>
        <v>0</v>
      </c>
      <c r="AY65" s="930" t="e">
        <f>'Calculations Yr 2'!CP65/'Calculations Yr 2'!I65</f>
        <v>#VALUE!</v>
      </c>
    </row>
    <row r="66" spans="1:51" s="133" customFormat="1" ht="12.75" customHeight="1">
      <c r="A66" s="145" t="s">
        <v>32</v>
      </c>
      <c r="B66" s="132" t="s">
        <v>462</v>
      </c>
      <c r="C66" s="132" t="s">
        <v>741</v>
      </c>
      <c r="D66" s="908" t="s">
        <v>1459</v>
      </c>
      <c r="E66" s="98" t="s">
        <v>929</v>
      </c>
      <c r="F66" s="98" t="s">
        <v>992</v>
      </c>
      <c r="G66" s="145" t="s">
        <v>89</v>
      </c>
      <c r="H66" s="232">
        <v>358</v>
      </c>
      <c r="I66" s="232">
        <v>12</v>
      </c>
      <c r="J66" s="964">
        <v>50</v>
      </c>
      <c r="K66" s="166">
        <v>50</v>
      </c>
      <c r="L66" s="888">
        <f t="shared" si="0"/>
        <v>0</v>
      </c>
      <c r="M66" s="978">
        <v>0</v>
      </c>
      <c r="N66" s="978">
        <v>0</v>
      </c>
      <c r="O66" s="978">
        <v>0</v>
      </c>
      <c r="P66" s="889">
        <f>1-M66+N66+O66</f>
        <v>1</v>
      </c>
      <c r="Q66" s="978">
        <v>1</v>
      </c>
      <c r="R66" s="178">
        <v>1</v>
      </c>
      <c r="S66" s="178">
        <v>1</v>
      </c>
      <c r="T66" s="178">
        <v>1</v>
      </c>
      <c r="U66" s="980">
        <v>1</v>
      </c>
      <c r="V66" s="978">
        <v>1</v>
      </c>
      <c r="W66" s="179"/>
      <c r="X66" s="937" t="s">
        <v>653</v>
      </c>
      <c r="Y66" s="299">
        <f>IFERROR(VLOOKUP($X66,'Demand Lookups'!$A$5:$K$101,9,0), 0)</f>
        <v>0</v>
      </c>
      <c r="Z66" s="922" t="str">
        <f>IFERROR(VLOOKUP(X66,'Demand Lookups'!$A$5:$B$101,2,0),0)</f>
        <v>Non-Electric Measures</v>
      </c>
      <c r="AA66" s="722">
        <f>IF(ISNA(VLOOKUP($X66,'Demand Lookups'!$A$5:$K$81,3,0)),0,VLOOKUP($X66,'Demand Lookups'!$A$5:$K$81,3,0))</f>
        <v>0</v>
      </c>
      <c r="AB66" s="722">
        <f>IF(ISNA(VLOOKUP($X66,'Demand Lookups'!$A$5:$K$81,4,0)),0,VLOOKUP($X66,'Demand Lookups'!$A$5:$K$81,4,0))</f>
        <v>0</v>
      </c>
      <c r="AC66" s="722">
        <f>IF(ISNA(VLOOKUP($X66,'Demand Lookups'!$A$5:$K$81,5,0)),0,VLOOKUP($X66,'Demand Lookups'!$A$5:$K$81,5,0))</f>
        <v>0</v>
      </c>
      <c r="AD66" s="723">
        <f>IF(ISNA(VLOOKUP($X66,'Demand Lookups'!$A$5:$K$81,6,0)),0,VLOOKUP($X66,'Demand Lookups'!$A$5:$K$81,6,0))</f>
        <v>0</v>
      </c>
      <c r="AE66" s="724">
        <f>IF(ISERROR(W66*Y66),"",W66*Y66)</f>
        <v>0</v>
      </c>
      <c r="AF66" s="723">
        <f>ROUND(IF(ISNA(VLOOKUP($X66,'Demand Lookups'!$A$5:$K$82,10,0)),0,(VLOOKUP($X66,'Demand Lookups'!$A$5:$K$82,10,0))),2)</f>
        <v>0</v>
      </c>
      <c r="AG66" s="723">
        <f>ROUND(IF(ISNA(VLOOKUP($X66,'Demand Lookups'!$A$5:$K$82,11,0)),0,VLOOKUP($X66,'Demand Lookups'!$A$5:$K$82,11,0)),2)</f>
        <v>0</v>
      </c>
      <c r="AH66" s="648">
        <f>AF66</f>
        <v>0</v>
      </c>
      <c r="AI66" s="648">
        <f>AF66</f>
        <v>0</v>
      </c>
      <c r="AJ66" s="167" t="s">
        <v>40</v>
      </c>
      <c r="AK66" s="846">
        <v>0.82</v>
      </c>
      <c r="AL66" s="167"/>
      <c r="AM66" s="168"/>
      <c r="AN66" s="167"/>
      <c r="AO66" s="168"/>
      <c r="AP66" s="171">
        <v>0</v>
      </c>
      <c r="AQ66" s="171"/>
      <c r="AR66" s="171"/>
      <c r="AS66" s="299">
        <f>SUMIF('NEI Lookups'!$L:$L,'Inputs Yr 2'!$F66,'NEI Lookups'!E:E)+SUMIF('NEI Lookups'!$M:$M,'Inputs Yr 2'!$F66,'NEI Lookups'!E:E)+SUMIF('NEI Lookups'!$N:$N,'Inputs Yr 2'!$F66,'NEI Lookups'!E:E)+SUMIF('NEI Lookups'!$O:$O,'Inputs Yr 2'!$F66,'NEI Lookups'!E:E)+SUMIF('NEI Lookups'!$P:$P,'Inputs Yr 2'!$F66,'NEI Lookups'!E:E)+SUMIF('NEI Lookups'!$Q:$Q,'Inputs Yr 2'!$F66,'NEI Lookups'!E:E)+SUMIF('NEI Lookups'!$R:$R,'Inputs Yr 2'!$F66,'NEI Lookups'!E:E)+SUMIF('NEI Lookups'!$S:$S,'Inputs Yr 2'!$F66,'NEI Lookups'!E:E)+SUMIF('NEI Lookups'!$T:$T,'Inputs Yr 2'!$F66,'NEI Lookups'!E:E)</f>
        <v>0</v>
      </c>
      <c r="AT66" s="299">
        <f>SUMIF('NEI Lookups'!$L:$L,'Inputs Yr 2'!$F66,'NEI Lookups'!F:F)+SUMIF('NEI Lookups'!$M:$M,'Inputs Yr 2'!$F66,'NEI Lookups'!F:F)+SUMIF('NEI Lookups'!$N:$N,'Inputs Yr 2'!$F66,'NEI Lookups'!F:F)+SUMIF('NEI Lookups'!$O:$O,'Inputs Yr 2'!$F66,'NEI Lookups'!F:F)+SUMIF('NEI Lookups'!$P:$P,'Inputs Yr 2'!$F66,'NEI Lookups'!F:F)+SUMIF('NEI Lookups'!$Q:$Q,'Inputs Yr 2'!$F66,'NEI Lookups'!F:F)+SUMIF('NEI Lookups'!$R:$R,'Inputs Yr 2'!$F66,'NEI Lookups'!F:F)+SUMIF('NEI Lookups'!$S:$S,'Inputs Yr 2'!$F66,'NEI Lookups'!F:F)+SUMIF('NEI Lookups'!$T:$T,'Inputs Yr 2'!$F66,'NEI Lookups'!F:F)</f>
        <v>0</v>
      </c>
      <c r="AU66" s="299">
        <f>SUMIF('NEI Lookups'!$L:$L,'Inputs Yr 2'!$F66,'NEI Lookups'!G:G)+SUMIF('NEI Lookups'!$M:$M,'Inputs Yr 2'!$F66,'NEI Lookups'!G:G)+SUMIF('NEI Lookups'!$N:$N,'Inputs Yr 2'!$F66,'NEI Lookups'!G:G)+SUMIF('NEI Lookups'!$O:$O,'Inputs Yr 2'!$F66,'NEI Lookups'!G:G)+SUMIF('NEI Lookups'!$P:$P,'Inputs Yr 2'!$F66,'NEI Lookups'!G:G)+SUMIF('NEI Lookups'!$Q:$Q,'Inputs Yr 2'!$F66,'NEI Lookups'!G:G)+SUMIF('NEI Lookups'!$R:$R,'Inputs Yr 2'!$F66,'NEI Lookups'!G:G)+SUMIF('NEI Lookups'!$S:$S,'Inputs Yr 2'!$F66,'NEI Lookups'!G:G)+SUMIF('NEI Lookups'!$T:$T,'Inputs Yr 2'!$F66,'NEI Lookups'!G:G)</f>
        <v>0</v>
      </c>
      <c r="AV66" s="299">
        <f>SUMIF('NEI Lookups'!$L:$L,'Inputs Yr 2'!$F66,'NEI Lookups'!H:H)+SUMIF('NEI Lookups'!$M:$M,'Inputs Yr 2'!$F66,'NEI Lookups'!H:H)+SUMIF('NEI Lookups'!$N:$N,'Inputs Yr 2'!$F66,'NEI Lookups'!H:H)+SUMIF('NEI Lookups'!$O:$O,'Inputs Yr 2'!$F66,'NEI Lookups'!H:H)+SUMIF('NEI Lookups'!$P:$P,'Inputs Yr 2'!$F66,'NEI Lookups'!H:H)+SUMIF('NEI Lookups'!$Q:$Q,'Inputs Yr 2'!$F66,'NEI Lookups'!H:H)+SUMIF('NEI Lookups'!$R:$R,'Inputs Yr 2'!$F66,'NEI Lookups'!H:H)+SUMIF('NEI Lookups'!$S:$S,'Inputs Yr 2'!$F66,'NEI Lookups'!H:H)+SUMIF('NEI Lookups'!$T:$T,'Inputs Yr 2'!$F66,'NEI Lookups'!H:H)</f>
        <v>0</v>
      </c>
      <c r="AW66" s="299">
        <f>SUMIF('NEI Lookups'!$L:$L,'Inputs Yr 2'!$F66,'NEI Lookups'!I:I)+SUMIF('NEI Lookups'!$M:$M,'Inputs Yr 2'!$F66,'NEI Lookups'!I:I)+SUMIF('NEI Lookups'!$N:$N,'Inputs Yr 2'!$F66,'NEI Lookups'!I:I)+SUMIF('NEI Lookups'!$O:$O,'Inputs Yr 2'!$F66,'NEI Lookups'!I:I)+SUMIF('NEI Lookups'!$P:$P,'Inputs Yr 2'!$F66,'NEI Lookups'!I:I)+SUMIF('NEI Lookups'!$Q:$Q,'Inputs Yr 2'!$F66,'NEI Lookups'!I:I)+SUMIF('NEI Lookups'!$R:$R,'Inputs Yr 2'!$F66,'NEI Lookups'!I:I)+SUMIF('NEI Lookups'!$S:$S,'Inputs Yr 2'!$F66,'NEI Lookups'!I:I)+SUMIF('NEI Lookups'!$T:$T,'Inputs Yr 2'!$F66,'NEI Lookups'!I:I)</f>
        <v>0</v>
      </c>
      <c r="AX66" s="299">
        <f>SUMIF('NEI Lookups'!$L:$L,'Inputs Yr 2'!$F66,'NEI Lookups'!J:J)+SUMIF('NEI Lookups'!$M:$M,'Inputs Yr 2'!$F66,'NEI Lookups'!J:J)+SUMIF('NEI Lookups'!$N:$N,'Inputs Yr 2'!$F66,'NEI Lookups'!J:J)+SUMIF('NEI Lookups'!$O:$O,'Inputs Yr 2'!$F66,'NEI Lookups'!J:J)+SUMIF('NEI Lookups'!$P:$P,'Inputs Yr 2'!$F66,'NEI Lookups'!J:J)+SUMIF('NEI Lookups'!$Q:$Q,'Inputs Yr 2'!$F66,'NEI Lookups'!J:J)+SUMIF('NEI Lookups'!$R:$R,'Inputs Yr 2'!$F66,'NEI Lookups'!J:J)+SUMIF('NEI Lookups'!$S:$S,'Inputs Yr 2'!$F66,'NEI Lookups'!J:J)+SUMIF('NEI Lookups'!$T:$T,'Inputs Yr 2'!$F66,'NEI Lookups'!J:J)</f>
        <v>0</v>
      </c>
      <c r="AY66" s="930">
        <f>'Calculations Yr 2'!CP66/'Calculations Yr 2'!I66</f>
        <v>1.7070024053648341</v>
      </c>
    </row>
    <row r="67" spans="1:51" s="133" customFormat="1" ht="12.75" customHeight="1">
      <c r="A67" s="145" t="s">
        <v>32</v>
      </c>
      <c r="B67" s="132" t="s">
        <v>462</v>
      </c>
      <c r="C67" s="132" t="s">
        <v>741</v>
      </c>
      <c r="D67" s="908" t="s">
        <v>1460</v>
      </c>
      <c r="E67" s="98" t="s">
        <v>930</v>
      </c>
      <c r="F67" s="98" t="s">
        <v>993</v>
      </c>
      <c r="G67" s="145" t="s">
        <v>89</v>
      </c>
      <c r="H67" s="232">
        <v>358</v>
      </c>
      <c r="I67" s="232">
        <v>4</v>
      </c>
      <c r="J67" s="964">
        <v>0</v>
      </c>
      <c r="K67" s="166">
        <v>0</v>
      </c>
      <c r="L67" s="888">
        <f t="shared" si="0"/>
        <v>0</v>
      </c>
      <c r="M67" s="978">
        <v>0</v>
      </c>
      <c r="N67" s="978">
        <v>0</v>
      </c>
      <c r="O67" s="978">
        <v>0</v>
      </c>
      <c r="P67" s="889">
        <f>1-M67+N67+O67</f>
        <v>1</v>
      </c>
      <c r="Q67" s="978">
        <v>1</v>
      </c>
      <c r="R67" s="178">
        <v>1</v>
      </c>
      <c r="S67" s="178">
        <v>1</v>
      </c>
      <c r="T67" s="178">
        <v>1</v>
      </c>
      <c r="U67" s="980">
        <v>1</v>
      </c>
      <c r="V67" s="978">
        <v>1</v>
      </c>
      <c r="W67" s="179"/>
      <c r="X67" s="937" t="s">
        <v>653</v>
      </c>
      <c r="Y67" s="299">
        <f>IFERROR(VLOOKUP($X67,'Demand Lookups'!$A$5:$K$101,9,0), 0)</f>
        <v>0</v>
      </c>
      <c r="Z67" s="922" t="str">
        <f>IFERROR(VLOOKUP(X67,'Demand Lookups'!$A$5:$B$101,2,0),0)</f>
        <v>Non-Electric Measures</v>
      </c>
      <c r="AA67" s="722">
        <f>IF(ISNA(VLOOKUP($X67,'Demand Lookups'!$A$5:$K$81,3,0)),0,VLOOKUP($X67,'Demand Lookups'!$A$5:$K$81,3,0))</f>
        <v>0</v>
      </c>
      <c r="AB67" s="722">
        <f>IF(ISNA(VLOOKUP($X67,'Demand Lookups'!$A$5:$K$81,4,0)),0,VLOOKUP($X67,'Demand Lookups'!$A$5:$K$81,4,0))</f>
        <v>0</v>
      </c>
      <c r="AC67" s="722">
        <f>IF(ISNA(VLOOKUP($X67,'Demand Lookups'!$A$5:$K$81,5,0)),0,VLOOKUP($X67,'Demand Lookups'!$A$5:$K$81,5,0))</f>
        <v>0</v>
      </c>
      <c r="AD67" s="723">
        <f>IF(ISNA(VLOOKUP($X67,'Demand Lookups'!$A$5:$K$81,6,0)),0,VLOOKUP($X67,'Demand Lookups'!$A$5:$K$81,6,0))</f>
        <v>0</v>
      </c>
      <c r="AE67" s="724">
        <f>IF(ISERROR(W67*Y67),"",W67*Y67)</f>
        <v>0</v>
      </c>
      <c r="AF67" s="723">
        <f>ROUND(IF(ISNA(VLOOKUP($X67,'Demand Lookups'!$A$5:$K$82,10,0)),0,(VLOOKUP($X67,'Demand Lookups'!$A$5:$K$82,10,0))),2)</f>
        <v>0</v>
      </c>
      <c r="AG67" s="723">
        <f>ROUND(IF(ISNA(VLOOKUP($X67,'Demand Lookups'!$A$5:$K$82,11,0)),0,VLOOKUP($X67,'Demand Lookups'!$A$5:$K$82,11,0)),2)</f>
        <v>0</v>
      </c>
      <c r="AH67" s="648">
        <f>AF67</f>
        <v>0</v>
      </c>
      <c r="AI67" s="648">
        <f>AF67</f>
        <v>0</v>
      </c>
      <c r="AJ67" s="649" t="s">
        <v>40</v>
      </c>
      <c r="AK67" s="846">
        <v>0.35</v>
      </c>
      <c r="AL67" s="167"/>
      <c r="AM67" s="168"/>
      <c r="AN67" s="167"/>
      <c r="AO67" s="168"/>
      <c r="AP67" s="171">
        <v>0</v>
      </c>
      <c r="AQ67" s="171"/>
      <c r="AR67" s="171"/>
      <c r="AS67" s="299">
        <f>SUMIF('NEI Lookups'!$L:$L,'Inputs Yr 2'!$F67,'NEI Lookups'!E:E)+SUMIF('NEI Lookups'!$M:$M,'Inputs Yr 2'!$F67,'NEI Lookups'!E:E)+SUMIF('NEI Lookups'!$N:$N,'Inputs Yr 2'!$F67,'NEI Lookups'!E:E)+SUMIF('NEI Lookups'!$O:$O,'Inputs Yr 2'!$F67,'NEI Lookups'!E:E)+SUMIF('NEI Lookups'!$P:$P,'Inputs Yr 2'!$F67,'NEI Lookups'!E:E)+SUMIF('NEI Lookups'!$Q:$Q,'Inputs Yr 2'!$F67,'NEI Lookups'!E:E)+SUMIF('NEI Lookups'!$R:$R,'Inputs Yr 2'!$F67,'NEI Lookups'!E:E)+SUMIF('NEI Lookups'!$S:$S,'Inputs Yr 2'!$F67,'NEI Lookups'!E:E)+SUMIF('NEI Lookups'!$T:$T,'Inputs Yr 2'!$F67,'NEI Lookups'!E:E)</f>
        <v>0</v>
      </c>
      <c r="AT67" s="299">
        <f>SUMIF('NEI Lookups'!$L:$L,'Inputs Yr 2'!$F67,'NEI Lookups'!F:F)+SUMIF('NEI Lookups'!$M:$M,'Inputs Yr 2'!$F67,'NEI Lookups'!F:F)+SUMIF('NEI Lookups'!$N:$N,'Inputs Yr 2'!$F67,'NEI Lookups'!F:F)+SUMIF('NEI Lookups'!$O:$O,'Inputs Yr 2'!$F67,'NEI Lookups'!F:F)+SUMIF('NEI Lookups'!$P:$P,'Inputs Yr 2'!$F67,'NEI Lookups'!F:F)+SUMIF('NEI Lookups'!$Q:$Q,'Inputs Yr 2'!$F67,'NEI Lookups'!F:F)+SUMIF('NEI Lookups'!$R:$R,'Inputs Yr 2'!$F67,'NEI Lookups'!F:F)+SUMIF('NEI Lookups'!$S:$S,'Inputs Yr 2'!$F67,'NEI Lookups'!F:F)+SUMIF('NEI Lookups'!$T:$T,'Inputs Yr 2'!$F67,'NEI Lookups'!F:F)</f>
        <v>0</v>
      </c>
      <c r="AU67" s="299">
        <f>SUMIF('NEI Lookups'!$L:$L,'Inputs Yr 2'!$F67,'NEI Lookups'!G:G)+SUMIF('NEI Lookups'!$M:$M,'Inputs Yr 2'!$F67,'NEI Lookups'!G:G)+SUMIF('NEI Lookups'!$N:$N,'Inputs Yr 2'!$F67,'NEI Lookups'!G:G)+SUMIF('NEI Lookups'!$O:$O,'Inputs Yr 2'!$F67,'NEI Lookups'!G:G)+SUMIF('NEI Lookups'!$P:$P,'Inputs Yr 2'!$F67,'NEI Lookups'!G:G)+SUMIF('NEI Lookups'!$Q:$Q,'Inputs Yr 2'!$F67,'NEI Lookups'!G:G)+SUMIF('NEI Lookups'!$R:$R,'Inputs Yr 2'!$F67,'NEI Lookups'!G:G)+SUMIF('NEI Lookups'!$S:$S,'Inputs Yr 2'!$F67,'NEI Lookups'!G:G)+SUMIF('NEI Lookups'!$T:$T,'Inputs Yr 2'!$F67,'NEI Lookups'!G:G)</f>
        <v>0</v>
      </c>
      <c r="AV67" s="299">
        <f>SUMIF('NEI Lookups'!$L:$L,'Inputs Yr 2'!$F67,'NEI Lookups'!H:H)+SUMIF('NEI Lookups'!$M:$M,'Inputs Yr 2'!$F67,'NEI Lookups'!H:H)+SUMIF('NEI Lookups'!$N:$N,'Inputs Yr 2'!$F67,'NEI Lookups'!H:H)+SUMIF('NEI Lookups'!$O:$O,'Inputs Yr 2'!$F67,'NEI Lookups'!H:H)+SUMIF('NEI Lookups'!$P:$P,'Inputs Yr 2'!$F67,'NEI Lookups'!H:H)+SUMIF('NEI Lookups'!$Q:$Q,'Inputs Yr 2'!$F67,'NEI Lookups'!H:H)+SUMIF('NEI Lookups'!$R:$R,'Inputs Yr 2'!$F67,'NEI Lookups'!H:H)+SUMIF('NEI Lookups'!$S:$S,'Inputs Yr 2'!$F67,'NEI Lookups'!H:H)+SUMIF('NEI Lookups'!$T:$T,'Inputs Yr 2'!$F67,'NEI Lookups'!H:H)</f>
        <v>0</v>
      </c>
      <c r="AW67" s="299">
        <f>SUMIF('NEI Lookups'!$L:$L,'Inputs Yr 2'!$F67,'NEI Lookups'!I:I)+SUMIF('NEI Lookups'!$M:$M,'Inputs Yr 2'!$F67,'NEI Lookups'!I:I)+SUMIF('NEI Lookups'!$N:$N,'Inputs Yr 2'!$F67,'NEI Lookups'!I:I)+SUMIF('NEI Lookups'!$O:$O,'Inputs Yr 2'!$F67,'NEI Lookups'!I:I)+SUMIF('NEI Lookups'!$P:$P,'Inputs Yr 2'!$F67,'NEI Lookups'!I:I)+SUMIF('NEI Lookups'!$Q:$Q,'Inputs Yr 2'!$F67,'NEI Lookups'!I:I)+SUMIF('NEI Lookups'!$R:$R,'Inputs Yr 2'!$F67,'NEI Lookups'!I:I)+SUMIF('NEI Lookups'!$S:$S,'Inputs Yr 2'!$F67,'NEI Lookups'!I:I)+SUMIF('NEI Lookups'!$T:$T,'Inputs Yr 2'!$F67,'NEI Lookups'!I:I)</f>
        <v>0</v>
      </c>
      <c r="AX67" s="299">
        <f>SUMIF('NEI Lookups'!$L:$L,'Inputs Yr 2'!$F67,'NEI Lookups'!J:J)+SUMIF('NEI Lookups'!$M:$M,'Inputs Yr 2'!$F67,'NEI Lookups'!J:J)+SUMIF('NEI Lookups'!$N:$N,'Inputs Yr 2'!$F67,'NEI Lookups'!J:J)+SUMIF('NEI Lookups'!$O:$O,'Inputs Yr 2'!$F67,'NEI Lookups'!J:J)+SUMIF('NEI Lookups'!$P:$P,'Inputs Yr 2'!$F67,'NEI Lookups'!J:J)+SUMIF('NEI Lookups'!$Q:$Q,'Inputs Yr 2'!$F67,'NEI Lookups'!J:J)+SUMIF('NEI Lookups'!$R:$R,'Inputs Yr 2'!$F67,'NEI Lookups'!J:J)+SUMIF('NEI Lookups'!$S:$S,'Inputs Yr 2'!$F67,'NEI Lookups'!J:J)+SUMIF('NEI Lookups'!$T:$T,'Inputs Yr 2'!$F67,'NEI Lookups'!J:J)</f>
        <v>0</v>
      </c>
      <c r="AY67" s="930" t="e">
        <f>'Calculations Yr 2'!CP67/'Calculations Yr 2'!I67</f>
        <v>#DIV/0!</v>
      </c>
    </row>
    <row r="68" spans="1:51" s="133" customFormat="1" ht="12.75" customHeight="1">
      <c r="A68" s="145" t="s">
        <v>32</v>
      </c>
      <c r="B68" s="132" t="s">
        <v>462</v>
      </c>
      <c r="C68" s="132" t="s">
        <v>741</v>
      </c>
      <c r="D68" s="906" t="s">
        <v>1461</v>
      </c>
      <c r="E68" s="98" t="s">
        <v>931</v>
      </c>
      <c r="F68" s="98" t="s">
        <v>994</v>
      </c>
      <c r="G68" s="145" t="s">
        <v>89</v>
      </c>
      <c r="H68" s="232">
        <v>10</v>
      </c>
      <c r="I68" s="232">
        <v>12</v>
      </c>
      <c r="J68" s="964">
        <v>50</v>
      </c>
      <c r="K68" s="166">
        <v>50</v>
      </c>
      <c r="L68" s="888">
        <f t="shared" si="0"/>
        <v>0</v>
      </c>
      <c r="M68" s="978">
        <v>0</v>
      </c>
      <c r="N68" s="978">
        <v>0</v>
      </c>
      <c r="O68" s="978">
        <v>0</v>
      </c>
      <c r="P68" s="889">
        <f>1-M68+N68+O68</f>
        <v>1</v>
      </c>
      <c r="Q68" s="978">
        <v>1</v>
      </c>
      <c r="R68" s="178">
        <v>1</v>
      </c>
      <c r="S68" s="178">
        <v>1</v>
      </c>
      <c r="T68" s="178">
        <v>1</v>
      </c>
      <c r="U68" s="980">
        <v>1</v>
      </c>
      <c r="V68" s="978">
        <v>1</v>
      </c>
      <c r="W68" s="179"/>
      <c r="X68" s="937" t="s">
        <v>653</v>
      </c>
      <c r="Y68" s="299">
        <f>IFERROR(VLOOKUP($X68,'Demand Lookups'!$A$5:$K$101,9,0), 0)</f>
        <v>0</v>
      </c>
      <c r="Z68" s="922" t="str">
        <f>IFERROR(VLOOKUP(X68,'Demand Lookups'!$A$5:$B$101,2,0),0)</f>
        <v>Non-Electric Measures</v>
      </c>
      <c r="AA68" s="722">
        <f>IF(ISNA(VLOOKUP($X68,'Demand Lookups'!$A$5:$K$81,3,0)),0,VLOOKUP($X68,'Demand Lookups'!$A$5:$K$81,3,0))</f>
        <v>0</v>
      </c>
      <c r="AB68" s="722">
        <f>IF(ISNA(VLOOKUP($X68,'Demand Lookups'!$A$5:$K$81,4,0)),0,VLOOKUP($X68,'Demand Lookups'!$A$5:$K$81,4,0))</f>
        <v>0</v>
      </c>
      <c r="AC68" s="722">
        <f>IF(ISNA(VLOOKUP($X68,'Demand Lookups'!$A$5:$K$81,5,0)),0,VLOOKUP($X68,'Demand Lookups'!$A$5:$K$81,5,0))</f>
        <v>0</v>
      </c>
      <c r="AD68" s="723">
        <f>IF(ISNA(VLOOKUP($X68,'Demand Lookups'!$A$5:$K$81,6,0)),0,VLOOKUP($X68,'Demand Lookups'!$A$5:$K$81,6,0))</f>
        <v>0</v>
      </c>
      <c r="AE68" s="724">
        <f>IF(ISERROR(W68*Y68),"",W68*Y68)</f>
        <v>0</v>
      </c>
      <c r="AF68" s="723">
        <f>ROUND(IF(ISNA(VLOOKUP($X68,'Demand Lookups'!$A$5:$K$82,10,0)),0,(VLOOKUP($X68,'Demand Lookups'!$A$5:$K$82,10,0))),2)</f>
        <v>0</v>
      </c>
      <c r="AG68" s="723">
        <f>ROUND(IF(ISNA(VLOOKUP($X68,'Demand Lookups'!$A$5:$K$82,11,0)),0,VLOOKUP($X68,'Demand Lookups'!$A$5:$K$82,11,0)),2)</f>
        <v>0</v>
      </c>
      <c r="AH68" s="648">
        <f>AF68</f>
        <v>0</v>
      </c>
      <c r="AI68" s="648">
        <f>AF68</f>
        <v>0</v>
      </c>
      <c r="AJ68" s="649" t="s">
        <v>405</v>
      </c>
      <c r="AK68" s="846">
        <v>0.32</v>
      </c>
      <c r="AL68" s="167"/>
      <c r="AM68" s="168"/>
      <c r="AN68" s="167"/>
      <c r="AO68" s="168"/>
      <c r="AP68" s="171">
        <v>0</v>
      </c>
      <c r="AQ68" s="171"/>
      <c r="AR68" s="171"/>
      <c r="AS68" s="299">
        <f>SUMIF('NEI Lookups'!$L:$L,'Inputs Yr 2'!$F68,'NEI Lookups'!E:E)+SUMIF('NEI Lookups'!$M:$M,'Inputs Yr 2'!$F68,'NEI Lookups'!E:E)+SUMIF('NEI Lookups'!$N:$N,'Inputs Yr 2'!$F68,'NEI Lookups'!E:E)+SUMIF('NEI Lookups'!$O:$O,'Inputs Yr 2'!$F68,'NEI Lookups'!E:E)+SUMIF('NEI Lookups'!$P:$P,'Inputs Yr 2'!$F68,'NEI Lookups'!E:E)+SUMIF('NEI Lookups'!$Q:$Q,'Inputs Yr 2'!$F68,'NEI Lookups'!E:E)+SUMIF('NEI Lookups'!$R:$R,'Inputs Yr 2'!$F68,'NEI Lookups'!E:E)+SUMIF('NEI Lookups'!$S:$S,'Inputs Yr 2'!$F68,'NEI Lookups'!E:E)+SUMIF('NEI Lookups'!$T:$T,'Inputs Yr 2'!$F68,'NEI Lookups'!E:E)</f>
        <v>0</v>
      </c>
      <c r="AT68" s="299">
        <f>SUMIF('NEI Lookups'!$L:$L,'Inputs Yr 2'!$F68,'NEI Lookups'!F:F)+SUMIF('NEI Lookups'!$M:$M,'Inputs Yr 2'!$F68,'NEI Lookups'!F:F)+SUMIF('NEI Lookups'!$N:$N,'Inputs Yr 2'!$F68,'NEI Lookups'!F:F)+SUMIF('NEI Lookups'!$O:$O,'Inputs Yr 2'!$F68,'NEI Lookups'!F:F)+SUMIF('NEI Lookups'!$P:$P,'Inputs Yr 2'!$F68,'NEI Lookups'!F:F)+SUMIF('NEI Lookups'!$Q:$Q,'Inputs Yr 2'!$F68,'NEI Lookups'!F:F)+SUMIF('NEI Lookups'!$R:$R,'Inputs Yr 2'!$F68,'NEI Lookups'!F:F)+SUMIF('NEI Lookups'!$S:$S,'Inputs Yr 2'!$F68,'NEI Lookups'!F:F)+SUMIF('NEI Lookups'!$T:$T,'Inputs Yr 2'!$F68,'NEI Lookups'!F:F)</f>
        <v>0</v>
      </c>
      <c r="AU68" s="299">
        <f>SUMIF('NEI Lookups'!$L:$L,'Inputs Yr 2'!$F68,'NEI Lookups'!G:G)+SUMIF('NEI Lookups'!$M:$M,'Inputs Yr 2'!$F68,'NEI Lookups'!G:G)+SUMIF('NEI Lookups'!$N:$N,'Inputs Yr 2'!$F68,'NEI Lookups'!G:G)+SUMIF('NEI Lookups'!$O:$O,'Inputs Yr 2'!$F68,'NEI Lookups'!G:G)+SUMIF('NEI Lookups'!$P:$P,'Inputs Yr 2'!$F68,'NEI Lookups'!G:G)+SUMIF('NEI Lookups'!$Q:$Q,'Inputs Yr 2'!$F68,'NEI Lookups'!G:G)+SUMIF('NEI Lookups'!$R:$R,'Inputs Yr 2'!$F68,'NEI Lookups'!G:G)+SUMIF('NEI Lookups'!$S:$S,'Inputs Yr 2'!$F68,'NEI Lookups'!G:G)+SUMIF('NEI Lookups'!$T:$T,'Inputs Yr 2'!$F68,'NEI Lookups'!G:G)</f>
        <v>0</v>
      </c>
      <c r="AV68" s="299">
        <f>SUMIF('NEI Lookups'!$L:$L,'Inputs Yr 2'!$F68,'NEI Lookups'!H:H)+SUMIF('NEI Lookups'!$M:$M,'Inputs Yr 2'!$F68,'NEI Lookups'!H:H)+SUMIF('NEI Lookups'!$N:$N,'Inputs Yr 2'!$F68,'NEI Lookups'!H:H)+SUMIF('NEI Lookups'!$O:$O,'Inputs Yr 2'!$F68,'NEI Lookups'!H:H)+SUMIF('NEI Lookups'!$P:$P,'Inputs Yr 2'!$F68,'NEI Lookups'!H:H)+SUMIF('NEI Lookups'!$Q:$Q,'Inputs Yr 2'!$F68,'NEI Lookups'!H:H)+SUMIF('NEI Lookups'!$R:$R,'Inputs Yr 2'!$F68,'NEI Lookups'!H:H)+SUMIF('NEI Lookups'!$S:$S,'Inputs Yr 2'!$F68,'NEI Lookups'!H:H)+SUMIF('NEI Lookups'!$T:$T,'Inputs Yr 2'!$F68,'NEI Lookups'!H:H)</f>
        <v>0</v>
      </c>
      <c r="AW68" s="299">
        <f>SUMIF('NEI Lookups'!$L:$L,'Inputs Yr 2'!$F68,'NEI Lookups'!I:I)+SUMIF('NEI Lookups'!$M:$M,'Inputs Yr 2'!$F68,'NEI Lookups'!I:I)+SUMIF('NEI Lookups'!$N:$N,'Inputs Yr 2'!$F68,'NEI Lookups'!I:I)+SUMIF('NEI Lookups'!$O:$O,'Inputs Yr 2'!$F68,'NEI Lookups'!I:I)+SUMIF('NEI Lookups'!$P:$P,'Inputs Yr 2'!$F68,'NEI Lookups'!I:I)+SUMIF('NEI Lookups'!$Q:$Q,'Inputs Yr 2'!$F68,'NEI Lookups'!I:I)+SUMIF('NEI Lookups'!$R:$R,'Inputs Yr 2'!$F68,'NEI Lookups'!I:I)+SUMIF('NEI Lookups'!$S:$S,'Inputs Yr 2'!$F68,'NEI Lookups'!I:I)+SUMIF('NEI Lookups'!$T:$T,'Inputs Yr 2'!$F68,'NEI Lookups'!I:I)</f>
        <v>0</v>
      </c>
      <c r="AX68" s="299">
        <f>SUMIF('NEI Lookups'!$L:$L,'Inputs Yr 2'!$F68,'NEI Lookups'!J:J)+SUMIF('NEI Lookups'!$M:$M,'Inputs Yr 2'!$F68,'NEI Lookups'!J:J)+SUMIF('NEI Lookups'!$N:$N,'Inputs Yr 2'!$F68,'NEI Lookups'!J:J)+SUMIF('NEI Lookups'!$O:$O,'Inputs Yr 2'!$F68,'NEI Lookups'!J:J)+SUMIF('NEI Lookups'!$P:$P,'Inputs Yr 2'!$F68,'NEI Lookups'!J:J)+SUMIF('NEI Lookups'!$Q:$Q,'Inputs Yr 2'!$F68,'NEI Lookups'!J:J)+SUMIF('NEI Lookups'!$R:$R,'Inputs Yr 2'!$F68,'NEI Lookups'!J:J)+SUMIF('NEI Lookups'!$S:$S,'Inputs Yr 2'!$F68,'NEI Lookups'!J:J)+SUMIF('NEI Lookups'!$T:$T,'Inputs Yr 2'!$F68,'NEI Lookups'!J:J)</f>
        <v>0</v>
      </c>
      <c r="AY68" s="930">
        <f>'Calculations Yr 2'!CP68/'Calculations Yr 2'!I68</f>
        <v>0.57683431628769877</v>
      </c>
    </row>
    <row r="69" spans="1:51" s="133" customFormat="1" ht="12.75" customHeight="1">
      <c r="A69" s="145" t="s">
        <v>32</v>
      </c>
      <c r="B69" s="132" t="s">
        <v>462</v>
      </c>
      <c r="C69" s="132" t="s">
        <v>741</v>
      </c>
      <c r="D69" s="906" t="s">
        <v>1462</v>
      </c>
      <c r="E69" s="98" t="s">
        <v>932</v>
      </c>
      <c r="F69" s="98" t="s">
        <v>995</v>
      </c>
      <c r="G69" s="145" t="s">
        <v>89</v>
      </c>
      <c r="H69" s="232">
        <v>10</v>
      </c>
      <c r="I69" s="232">
        <v>4</v>
      </c>
      <c r="J69" s="964">
        <v>0</v>
      </c>
      <c r="K69" s="166">
        <v>0</v>
      </c>
      <c r="L69" s="888">
        <f t="shared" ref="L69:L132" si="16">J69-K69</f>
        <v>0</v>
      </c>
      <c r="M69" s="978">
        <v>0</v>
      </c>
      <c r="N69" s="978">
        <v>0</v>
      </c>
      <c r="O69" s="978">
        <v>0</v>
      </c>
      <c r="P69" s="889">
        <f t="shared" ref="P69:P73" si="17">1-M69+N69+O69</f>
        <v>1</v>
      </c>
      <c r="Q69" s="978">
        <v>1</v>
      </c>
      <c r="R69" s="178">
        <v>1</v>
      </c>
      <c r="S69" s="178">
        <v>1</v>
      </c>
      <c r="T69" s="178">
        <v>1</v>
      </c>
      <c r="U69" s="980">
        <v>1</v>
      </c>
      <c r="V69" s="978">
        <v>1</v>
      </c>
      <c r="W69" s="179"/>
      <c r="X69" s="937" t="s">
        <v>653</v>
      </c>
      <c r="Y69" s="299">
        <f>IFERROR(VLOOKUP($X69,'Demand Lookups'!$A$5:$K$101,9,0), 0)</f>
        <v>0</v>
      </c>
      <c r="Z69" s="922" t="str">
        <f>IFERROR(VLOOKUP(X69,'Demand Lookups'!$A$5:$B$101,2,0),0)</f>
        <v>Non-Electric Measures</v>
      </c>
      <c r="AA69" s="722">
        <f>IF(ISNA(VLOOKUP($X69,'Demand Lookups'!$A$5:$K$81,3,0)),0,VLOOKUP($X69,'Demand Lookups'!$A$5:$K$81,3,0))</f>
        <v>0</v>
      </c>
      <c r="AB69" s="722">
        <f>IF(ISNA(VLOOKUP($X69,'Demand Lookups'!$A$5:$K$81,4,0)),0,VLOOKUP($X69,'Demand Lookups'!$A$5:$K$81,4,0))</f>
        <v>0</v>
      </c>
      <c r="AC69" s="722">
        <f>IF(ISNA(VLOOKUP($X69,'Demand Lookups'!$A$5:$K$81,5,0)),0,VLOOKUP($X69,'Demand Lookups'!$A$5:$K$81,5,0))</f>
        <v>0</v>
      </c>
      <c r="AD69" s="723">
        <f>IF(ISNA(VLOOKUP($X69,'Demand Lookups'!$A$5:$K$81,6,0)),0,VLOOKUP($X69,'Demand Lookups'!$A$5:$K$81,6,0))</f>
        <v>0</v>
      </c>
      <c r="AE69" s="724">
        <f>IF(ISERROR(W69*Y69),"",W69*Y69)</f>
        <v>0</v>
      </c>
      <c r="AF69" s="723">
        <f>ROUND(IF(ISNA(VLOOKUP($X69,'Demand Lookups'!$A$5:$K$82,10,0)),0,(VLOOKUP($X69,'Demand Lookups'!$A$5:$K$82,10,0))),2)</f>
        <v>0</v>
      </c>
      <c r="AG69" s="723">
        <f>ROUND(IF(ISNA(VLOOKUP($X69,'Demand Lookups'!$A$5:$K$82,11,0)),0,VLOOKUP($X69,'Demand Lookups'!$A$5:$K$82,11,0)),2)</f>
        <v>0</v>
      </c>
      <c r="AH69" s="648">
        <f>AF69</f>
        <v>0</v>
      </c>
      <c r="AI69" s="648">
        <f>AF69</f>
        <v>0</v>
      </c>
      <c r="AJ69" s="167" t="s">
        <v>405</v>
      </c>
      <c r="AK69" s="846">
        <v>0.63</v>
      </c>
      <c r="AL69" s="649"/>
      <c r="AM69" s="168"/>
      <c r="AN69" s="167"/>
      <c r="AO69" s="168"/>
      <c r="AP69" s="171">
        <v>0</v>
      </c>
      <c r="AQ69" s="171"/>
      <c r="AR69" s="171"/>
      <c r="AS69" s="299">
        <f>SUMIF('NEI Lookups'!$L:$L,'Inputs Yr 2'!$F69,'NEI Lookups'!E:E)+SUMIF('NEI Lookups'!$M:$M,'Inputs Yr 2'!$F69,'NEI Lookups'!E:E)+SUMIF('NEI Lookups'!$N:$N,'Inputs Yr 2'!$F69,'NEI Lookups'!E:E)+SUMIF('NEI Lookups'!$O:$O,'Inputs Yr 2'!$F69,'NEI Lookups'!E:E)+SUMIF('NEI Lookups'!$P:$P,'Inputs Yr 2'!$F69,'NEI Lookups'!E:E)+SUMIF('NEI Lookups'!$Q:$Q,'Inputs Yr 2'!$F69,'NEI Lookups'!E:E)+SUMIF('NEI Lookups'!$R:$R,'Inputs Yr 2'!$F69,'NEI Lookups'!E:E)+SUMIF('NEI Lookups'!$S:$S,'Inputs Yr 2'!$F69,'NEI Lookups'!E:E)+SUMIF('NEI Lookups'!$T:$T,'Inputs Yr 2'!$F69,'NEI Lookups'!E:E)</f>
        <v>0</v>
      </c>
      <c r="AT69" s="299">
        <f>SUMIF('NEI Lookups'!$L:$L,'Inputs Yr 2'!$F69,'NEI Lookups'!F:F)+SUMIF('NEI Lookups'!$M:$M,'Inputs Yr 2'!$F69,'NEI Lookups'!F:F)+SUMIF('NEI Lookups'!$N:$N,'Inputs Yr 2'!$F69,'NEI Lookups'!F:F)+SUMIF('NEI Lookups'!$O:$O,'Inputs Yr 2'!$F69,'NEI Lookups'!F:F)+SUMIF('NEI Lookups'!$P:$P,'Inputs Yr 2'!$F69,'NEI Lookups'!F:F)+SUMIF('NEI Lookups'!$Q:$Q,'Inputs Yr 2'!$F69,'NEI Lookups'!F:F)+SUMIF('NEI Lookups'!$R:$R,'Inputs Yr 2'!$F69,'NEI Lookups'!F:F)+SUMIF('NEI Lookups'!$S:$S,'Inputs Yr 2'!$F69,'NEI Lookups'!F:F)+SUMIF('NEI Lookups'!$T:$T,'Inputs Yr 2'!$F69,'NEI Lookups'!F:F)</f>
        <v>0</v>
      </c>
      <c r="AU69" s="299">
        <f>SUMIF('NEI Lookups'!$L:$L,'Inputs Yr 2'!$F69,'NEI Lookups'!G:G)+SUMIF('NEI Lookups'!$M:$M,'Inputs Yr 2'!$F69,'NEI Lookups'!G:G)+SUMIF('NEI Lookups'!$N:$N,'Inputs Yr 2'!$F69,'NEI Lookups'!G:G)+SUMIF('NEI Lookups'!$O:$O,'Inputs Yr 2'!$F69,'NEI Lookups'!G:G)+SUMIF('NEI Lookups'!$P:$P,'Inputs Yr 2'!$F69,'NEI Lookups'!G:G)+SUMIF('NEI Lookups'!$Q:$Q,'Inputs Yr 2'!$F69,'NEI Lookups'!G:G)+SUMIF('NEI Lookups'!$R:$R,'Inputs Yr 2'!$F69,'NEI Lookups'!G:G)+SUMIF('NEI Lookups'!$S:$S,'Inputs Yr 2'!$F69,'NEI Lookups'!G:G)+SUMIF('NEI Lookups'!$T:$T,'Inputs Yr 2'!$F69,'NEI Lookups'!G:G)</f>
        <v>0</v>
      </c>
      <c r="AV69" s="299">
        <f>SUMIF('NEI Lookups'!$L:$L,'Inputs Yr 2'!$F69,'NEI Lookups'!H:H)+SUMIF('NEI Lookups'!$M:$M,'Inputs Yr 2'!$F69,'NEI Lookups'!H:H)+SUMIF('NEI Lookups'!$N:$N,'Inputs Yr 2'!$F69,'NEI Lookups'!H:H)+SUMIF('NEI Lookups'!$O:$O,'Inputs Yr 2'!$F69,'NEI Lookups'!H:H)+SUMIF('NEI Lookups'!$P:$P,'Inputs Yr 2'!$F69,'NEI Lookups'!H:H)+SUMIF('NEI Lookups'!$Q:$Q,'Inputs Yr 2'!$F69,'NEI Lookups'!H:H)+SUMIF('NEI Lookups'!$R:$R,'Inputs Yr 2'!$F69,'NEI Lookups'!H:H)+SUMIF('NEI Lookups'!$S:$S,'Inputs Yr 2'!$F69,'NEI Lookups'!H:H)+SUMIF('NEI Lookups'!$T:$T,'Inputs Yr 2'!$F69,'NEI Lookups'!H:H)</f>
        <v>0</v>
      </c>
      <c r="AW69" s="299">
        <f>SUMIF('NEI Lookups'!$L:$L,'Inputs Yr 2'!$F69,'NEI Lookups'!I:I)+SUMIF('NEI Lookups'!$M:$M,'Inputs Yr 2'!$F69,'NEI Lookups'!I:I)+SUMIF('NEI Lookups'!$N:$N,'Inputs Yr 2'!$F69,'NEI Lookups'!I:I)+SUMIF('NEI Lookups'!$O:$O,'Inputs Yr 2'!$F69,'NEI Lookups'!I:I)+SUMIF('NEI Lookups'!$P:$P,'Inputs Yr 2'!$F69,'NEI Lookups'!I:I)+SUMIF('NEI Lookups'!$Q:$Q,'Inputs Yr 2'!$F69,'NEI Lookups'!I:I)+SUMIF('NEI Lookups'!$R:$R,'Inputs Yr 2'!$F69,'NEI Lookups'!I:I)+SUMIF('NEI Lookups'!$S:$S,'Inputs Yr 2'!$F69,'NEI Lookups'!I:I)+SUMIF('NEI Lookups'!$T:$T,'Inputs Yr 2'!$F69,'NEI Lookups'!I:I)</f>
        <v>0</v>
      </c>
      <c r="AX69" s="299">
        <f>SUMIF('NEI Lookups'!$L:$L,'Inputs Yr 2'!$F69,'NEI Lookups'!J:J)+SUMIF('NEI Lookups'!$M:$M,'Inputs Yr 2'!$F69,'NEI Lookups'!J:J)+SUMIF('NEI Lookups'!$N:$N,'Inputs Yr 2'!$F69,'NEI Lookups'!J:J)+SUMIF('NEI Lookups'!$O:$O,'Inputs Yr 2'!$F69,'NEI Lookups'!J:J)+SUMIF('NEI Lookups'!$P:$P,'Inputs Yr 2'!$F69,'NEI Lookups'!J:J)+SUMIF('NEI Lookups'!$Q:$Q,'Inputs Yr 2'!$F69,'NEI Lookups'!J:J)+SUMIF('NEI Lookups'!$R:$R,'Inputs Yr 2'!$F69,'NEI Lookups'!J:J)+SUMIF('NEI Lookups'!$S:$S,'Inputs Yr 2'!$F69,'NEI Lookups'!J:J)+SUMIF('NEI Lookups'!$T:$T,'Inputs Yr 2'!$F69,'NEI Lookups'!J:J)</f>
        <v>0</v>
      </c>
      <c r="AY69" s="930" t="e">
        <f>'Calculations Yr 2'!CP69/'Calculations Yr 2'!I69</f>
        <v>#DIV/0!</v>
      </c>
    </row>
    <row r="70" spans="1:51" s="133" customFormat="1" ht="12.75" customHeight="1">
      <c r="A70" s="145" t="s">
        <v>32</v>
      </c>
      <c r="B70" s="132" t="s">
        <v>462</v>
      </c>
      <c r="C70" s="132" t="s">
        <v>741</v>
      </c>
      <c r="D70" s="906" t="s">
        <v>1463</v>
      </c>
      <c r="E70" s="98" t="s">
        <v>933</v>
      </c>
      <c r="F70" s="98" t="s">
        <v>996</v>
      </c>
      <c r="G70" s="145" t="s">
        <v>89</v>
      </c>
      <c r="H70" s="232">
        <v>59</v>
      </c>
      <c r="I70" s="232">
        <v>12</v>
      </c>
      <c r="J70" s="964">
        <v>50</v>
      </c>
      <c r="K70" s="166">
        <v>350</v>
      </c>
      <c r="L70" s="888">
        <f t="shared" si="16"/>
        <v>-300</v>
      </c>
      <c r="M70" s="978">
        <v>0</v>
      </c>
      <c r="N70" s="978">
        <v>0</v>
      </c>
      <c r="O70" s="978">
        <v>0</v>
      </c>
      <c r="P70" s="889">
        <f t="shared" si="17"/>
        <v>1</v>
      </c>
      <c r="Q70" s="978">
        <v>1</v>
      </c>
      <c r="R70" s="178">
        <v>1</v>
      </c>
      <c r="S70" s="178">
        <v>1</v>
      </c>
      <c r="T70" s="178">
        <v>1</v>
      </c>
      <c r="U70" s="980">
        <v>1</v>
      </c>
      <c r="V70" s="978">
        <v>1</v>
      </c>
      <c r="W70" s="179"/>
      <c r="X70" s="937" t="s">
        <v>653</v>
      </c>
      <c r="Y70" s="299">
        <f>IFERROR(VLOOKUP($X70,'Demand Lookups'!$A$5:$K$101,9,0), 0)</f>
        <v>0</v>
      </c>
      <c r="Z70" s="922" t="str">
        <f>IFERROR(VLOOKUP(X70,'Demand Lookups'!$A$5:$B$101,2,0),0)</f>
        <v>Non-Electric Measures</v>
      </c>
      <c r="AA70" s="722">
        <v>0</v>
      </c>
      <c r="AB70" s="722">
        <v>0</v>
      </c>
      <c r="AC70" s="722">
        <v>0</v>
      </c>
      <c r="AD70" s="723">
        <v>0</v>
      </c>
      <c r="AE70" s="724">
        <f t="shared" ref="AE70:AE73" si="18">IF(ISERROR(W70*Y70),"",W70*Y70)</f>
        <v>0</v>
      </c>
      <c r="AF70" s="723">
        <v>0</v>
      </c>
      <c r="AG70" s="723">
        <v>0</v>
      </c>
      <c r="AH70" s="648">
        <v>0</v>
      </c>
      <c r="AI70" s="648">
        <v>0</v>
      </c>
      <c r="AJ70" s="167" t="s">
        <v>40</v>
      </c>
      <c r="AK70" s="846">
        <v>0.82</v>
      </c>
      <c r="AL70" s="649" t="s">
        <v>405</v>
      </c>
      <c r="AM70" s="846">
        <v>0.32</v>
      </c>
      <c r="AN70" s="167"/>
      <c r="AO70" s="168"/>
      <c r="AP70" s="171"/>
      <c r="AQ70" s="171"/>
      <c r="AR70" s="171"/>
      <c r="AS70" s="299">
        <f>SUMIF('NEI Lookups'!$L:$L,'Inputs Yr 2'!$F70,'NEI Lookups'!E:E)+SUMIF('NEI Lookups'!$M:$M,'Inputs Yr 2'!$F70,'NEI Lookups'!E:E)+SUMIF('NEI Lookups'!$N:$N,'Inputs Yr 2'!$F70,'NEI Lookups'!E:E)+SUMIF('NEI Lookups'!$O:$O,'Inputs Yr 2'!$F70,'NEI Lookups'!E:E)+SUMIF('NEI Lookups'!$P:$P,'Inputs Yr 2'!$F70,'NEI Lookups'!E:E)+SUMIF('NEI Lookups'!$Q:$Q,'Inputs Yr 2'!$F70,'NEI Lookups'!E:E)+SUMIF('NEI Lookups'!$R:$R,'Inputs Yr 2'!$F70,'NEI Lookups'!E:E)+SUMIF('NEI Lookups'!$S:$S,'Inputs Yr 2'!$F70,'NEI Lookups'!E:E)+SUMIF('NEI Lookups'!$T:$T,'Inputs Yr 2'!$F70,'NEI Lookups'!E:E)</f>
        <v>0</v>
      </c>
      <c r="AT70" s="299">
        <f>SUMIF('NEI Lookups'!$L:$L,'Inputs Yr 2'!$F70,'NEI Lookups'!F:F)+SUMIF('NEI Lookups'!$M:$M,'Inputs Yr 2'!$F70,'NEI Lookups'!F:F)+SUMIF('NEI Lookups'!$N:$N,'Inputs Yr 2'!$F70,'NEI Lookups'!F:F)+SUMIF('NEI Lookups'!$O:$O,'Inputs Yr 2'!$F70,'NEI Lookups'!F:F)+SUMIF('NEI Lookups'!$P:$P,'Inputs Yr 2'!$F70,'NEI Lookups'!F:F)+SUMIF('NEI Lookups'!$Q:$Q,'Inputs Yr 2'!$F70,'NEI Lookups'!F:F)+SUMIF('NEI Lookups'!$R:$R,'Inputs Yr 2'!$F70,'NEI Lookups'!F:F)+SUMIF('NEI Lookups'!$S:$S,'Inputs Yr 2'!$F70,'NEI Lookups'!F:F)+SUMIF('NEI Lookups'!$T:$T,'Inputs Yr 2'!$F70,'NEI Lookups'!F:F)</f>
        <v>0</v>
      </c>
      <c r="AU70" s="299">
        <f>SUMIF('NEI Lookups'!$L:$L,'Inputs Yr 2'!$F70,'NEI Lookups'!G:G)+SUMIF('NEI Lookups'!$M:$M,'Inputs Yr 2'!$F70,'NEI Lookups'!G:G)+SUMIF('NEI Lookups'!$N:$N,'Inputs Yr 2'!$F70,'NEI Lookups'!G:G)+SUMIF('NEI Lookups'!$O:$O,'Inputs Yr 2'!$F70,'NEI Lookups'!G:G)+SUMIF('NEI Lookups'!$P:$P,'Inputs Yr 2'!$F70,'NEI Lookups'!G:G)+SUMIF('NEI Lookups'!$Q:$Q,'Inputs Yr 2'!$F70,'NEI Lookups'!G:G)+SUMIF('NEI Lookups'!$R:$R,'Inputs Yr 2'!$F70,'NEI Lookups'!G:G)+SUMIF('NEI Lookups'!$S:$S,'Inputs Yr 2'!$F70,'NEI Lookups'!G:G)+SUMIF('NEI Lookups'!$T:$T,'Inputs Yr 2'!$F70,'NEI Lookups'!G:G)</f>
        <v>0</v>
      </c>
      <c r="AV70" s="299">
        <f>SUMIF('NEI Lookups'!$L:$L,'Inputs Yr 2'!$F70,'NEI Lookups'!H:H)+SUMIF('NEI Lookups'!$M:$M,'Inputs Yr 2'!$F70,'NEI Lookups'!H:H)+SUMIF('NEI Lookups'!$N:$N,'Inputs Yr 2'!$F70,'NEI Lookups'!H:H)+SUMIF('NEI Lookups'!$O:$O,'Inputs Yr 2'!$F70,'NEI Lookups'!H:H)+SUMIF('NEI Lookups'!$P:$P,'Inputs Yr 2'!$F70,'NEI Lookups'!H:H)+SUMIF('NEI Lookups'!$Q:$Q,'Inputs Yr 2'!$F70,'NEI Lookups'!H:H)+SUMIF('NEI Lookups'!$R:$R,'Inputs Yr 2'!$F70,'NEI Lookups'!H:H)+SUMIF('NEI Lookups'!$S:$S,'Inputs Yr 2'!$F70,'NEI Lookups'!H:H)+SUMIF('NEI Lookups'!$T:$T,'Inputs Yr 2'!$F70,'NEI Lookups'!H:H)</f>
        <v>0</v>
      </c>
      <c r="AW70" s="299">
        <f>SUMIF('NEI Lookups'!$L:$L,'Inputs Yr 2'!$F70,'NEI Lookups'!I:I)+SUMIF('NEI Lookups'!$M:$M,'Inputs Yr 2'!$F70,'NEI Lookups'!I:I)+SUMIF('NEI Lookups'!$N:$N,'Inputs Yr 2'!$F70,'NEI Lookups'!I:I)+SUMIF('NEI Lookups'!$O:$O,'Inputs Yr 2'!$F70,'NEI Lookups'!I:I)+SUMIF('NEI Lookups'!$P:$P,'Inputs Yr 2'!$F70,'NEI Lookups'!I:I)+SUMIF('NEI Lookups'!$Q:$Q,'Inputs Yr 2'!$F70,'NEI Lookups'!I:I)+SUMIF('NEI Lookups'!$R:$R,'Inputs Yr 2'!$F70,'NEI Lookups'!I:I)+SUMIF('NEI Lookups'!$S:$S,'Inputs Yr 2'!$F70,'NEI Lookups'!I:I)+SUMIF('NEI Lookups'!$T:$T,'Inputs Yr 2'!$F70,'NEI Lookups'!I:I)</f>
        <v>0</v>
      </c>
      <c r="AX70" s="299">
        <f>SUMIF('NEI Lookups'!$L:$L,'Inputs Yr 2'!$F70,'NEI Lookups'!J:J)+SUMIF('NEI Lookups'!$M:$M,'Inputs Yr 2'!$F70,'NEI Lookups'!J:J)+SUMIF('NEI Lookups'!$N:$N,'Inputs Yr 2'!$F70,'NEI Lookups'!J:J)+SUMIF('NEI Lookups'!$O:$O,'Inputs Yr 2'!$F70,'NEI Lookups'!J:J)+SUMIF('NEI Lookups'!$P:$P,'Inputs Yr 2'!$F70,'NEI Lookups'!J:J)+SUMIF('NEI Lookups'!$Q:$Q,'Inputs Yr 2'!$F70,'NEI Lookups'!J:J)+SUMIF('NEI Lookups'!$R:$R,'Inputs Yr 2'!$F70,'NEI Lookups'!J:J)+SUMIF('NEI Lookups'!$S:$S,'Inputs Yr 2'!$F70,'NEI Lookups'!J:J)+SUMIF('NEI Lookups'!$T:$T,'Inputs Yr 2'!$F70,'NEI Lookups'!J:J)</f>
        <v>0</v>
      </c>
      <c r="AY70" s="930">
        <f>'Calculations Yr 2'!CP70/'Calculations Yr 2'!I70</f>
        <v>2.2838367216525328</v>
      </c>
    </row>
    <row r="71" spans="1:51" s="133" customFormat="1" ht="12.75" customHeight="1">
      <c r="A71" s="145" t="s">
        <v>32</v>
      </c>
      <c r="B71" s="132" t="s">
        <v>462</v>
      </c>
      <c r="C71" s="132" t="s">
        <v>741</v>
      </c>
      <c r="D71" s="906" t="s">
        <v>1464</v>
      </c>
      <c r="E71" s="98" t="s">
        <v>934</v>
      </c>
      <c r="F71" s="98" t="s">
        <v>997</v>
      </c>
      <c r="G71" s="145" t="s">
        <v>89</v>
      </c>
      <c r="H71" s="232">
        <v>59</v>
      </c>
      <c r="I71" s="232">
        <v>4</v>
      </c>
      <c r="J71" s="964"/>
      <c r="K71" s="166"/>
      <c r="L71" s="888">
        <f t="shared" si="16"/>
        <v>0</v>
      </c>
      <c r="M71" s="978">
        <v>0</v>
      </c>
      <c r="N71" s="978">
        <v>0</v>
      </c>
      <c r="O71" s="978">
        <v>0</v>
      </c>
      <c r="P71" s="889">
        <f t="shared" si="17"/>
        <v>1</v>
      </c>
      <c r="Q71" s="978">
        <v>1</v>
      </c>
      <c r="R71" s="178">
        <v>1</v>
      </c>
      <c r="S71" s="178">
        <v>1</v>
      </c>
      <c r="T71" s="178">
        <v>1</v>
      </c>
      <c r="U71" s="980">
        <v>1</v>
      </c>
      <c r="V71" s="978">
        <v>1</v>
      </c>
      <c r="W71" s="179"/>
      <c r="X71" s="937" t="s">
        <v>653</v>
      </c>
      <c r="Y71" s="299">
        <f>IFERROR(VLOOKUP($X71,'Demand Lookups'!$A$5:$K$101,9,0), 0)</f>
        <v>0</v>
      </c>
      <c r="Z71" s="922" t="str">
        <f>IFERROR(VLOOKUP(X71,'Demand Lookups'!$A$5:$B$101,2,0),0)</f>
        <v>Non-Electric Measures</v>
      </c>
      <c r="AA71" s="722">
        <v>0</v>
      </c>
      <c r="AB71" s="722">
        <v>0</v>
      </c>
      <c r="AC71" s="722">
        <v>0</v>
      </c>
      <c r="AD71" s="723">
        <v>0</v>
      </c>
      <c r="AE71" s="724">
        <f t="shared" si="18"/>
        <v>0</v>
      </c>
      <c r="AF71" s="723">
        <v>0</v>
      </c>
      <c r="AG71" s="723">
        <v>0</v>
      </c>
      <c r="AH71" s="648">
        <v>0</v>
      </c>
      <c r="AI71" s="648">
        <v>0</v>
      </c>
      <c r="AJ71" s="167" t="s">
        <v>40</v>
      </c>
      <c r="AK71" s="846">
        <v>0.35</v>
      </c>
      <c r="AL71" s="167" t="s">
        <v>405</v>
      </c>
      <c r="AM71" s="846">
        <v>0.63</v>
      </c>
      <c r="AN71" s="167"/>
      <c r="AO71" s="168"/>
      <c r="AP71" s="171"/>
      <c r="AQ71" s="171"/>
      <c r="AR71" s="171"/>
      <c r="AS71" s="299">
        <f>SUMIF('NEI Lookups'!$L:$L,'Inputs Yr 2'!$F71,'NEI Lookups'!E:E)+SUMIF('NEI Lookups'!$M:$M,'Inputs Yr 2'!$F71,'NEI Lookups'!E:E)+SUMIF('NEI Lookups'!$N:$N,'Inputs Yr 2'!$F71,'NEI Lookups'!E:E)+SUMIF('NEI Lookups'!$O:$O,'Inputs Yr 2'!$F71,'NEI Lookups'!E:E)+SUMIF('NEI Lookups'!$P:$P,'Inputs Yr 2'!$F71,'NEI Lookups'!E:E)+SUMIF('NEI Lookups'!$Q:$Q,'Inputs Yr 2'!$F71,'NEI Lookups'!E:E)+SUMIF('NEI Lookups'!$R:$R,'Inputs Yr 2'!$F71,'NEI Lookups'!E:E)+SUMIF('NEI Lookups'!$S:$S,'Inputs Yr 2'!$F71,'NEI Lookups'!E:E)+SUMIF('NEI Lookups'!$T:$T,'Inputs Yr 2'!$F71,'NEI Lookups'!E:E)</f>
        <v>0</v>
      </c>
      <c r="AT71" s="299">
        <f>SUMIF('NEI Lookups'!$L:$L,'Inputs Yr 2'!$F71,'NEI Lookups'!F:F)+SUMIF('NEI Lookups'!$M:$M,'Inputs Yr 2'!$F71,'NEI Lookups'!F:F)+SUMIF('NEI Lookups'!$N:$N,'Inputs Yr 2'!$F71,'NEI Lookups'!F:F)+SUMIF('NEI Lookups'!$O:$O,'Inputs Yr 2'!$F71,'NEI Lookups'!F:F)+SUMIF('NEI Lookups'!$P:$P,'Inputs Yr 2'!$F71,'NEI Lookups'!F:F)+SUMIF('NEI Lookups'!$Q:$Q,'Inputs Yr 2'!$F71,'NEI Lookups'!F:F)+SUMIF('NEI Lookups'!$R:$R,'Inputs Yr 2'!$F71,'NEI Lookups'!F:F)+SUMIF('NEI Lookups'!$S:$S,'Inputs Yr 2'!$F71,'NEI Lookups'!F:F)+SUMIF('NEI Lookups'!$T:$T,'Inputs Yr 2'!$F71,'NEI Lookups'!F:F)</f>
        <v>0</v>
      </c>
      <c r="AU71" s="299">
        <f>SUMIF('NEI Lookups'!$L:$L,'Inputs Yr 2'!$F71,'NEI Lookups'!G:G)+SUMIF('NEI Lookups'!$M:$M,'Inputs Yr 2'!$F71,'NEI Lookups'!G:G)+SUMIF('NEI Lookups'!$N:$N,'Inputs Yr 2'!$F71,'NEI Lookups'!G:G)+SUMIF('NEI Lookups'!$O:$O,'Inputs Yr 2'!$F71,'NEI Lookups'!G:G)+SUMIF('NEI Lookups'!$P:$P,'Inputs Yr 2'!$F71,'NEI Lookups'!G:G)+SUMIF('NEI Lookups'!$Q:$Q,'Inputs Yr 2'!$F71,'NEI Lookups'!G:G)+SUMIF('NEI Lookups'!$R:$R,'Inputs Yr 2'!$F71,'NEI Lookups'!G:G)+SUMIF('NEI Lookups'!$S:$S,'Inputs Yr 2'!$F71,'NEI Lookups'!G:G)+SUMIF('NEI Lookups'!$T:$T,'Inputs Yr 2'!$F71,'NEI Lookups'!G:G)</f>
        <v>0</v>
      </c>
      <c r="AV71" s="299">
        <f>SUMIF('NEI Lookups'!$L:$L,'Inputs Yr 2'!$F71,'NEI Lookups'!H:H)+SUMIF('NEI Lookups'!$M:$M,'Inputs Yr 2'!$F71,'NEI Lookups'!H:H)+SUMIF('NEI Lookups'!$N:$N,'Inputs Yr 2'!$F71,'NEI Lookups'!H:H)+SUMIF('NEI Lookups'!$O:$O,'Inputs Yr 2'!$F71,'NEI Lookups'!H:H)+SUMIF('NEI Lookups'!$P:$P,'Inputs Yr 2'!$F71,'NEI Lookups'!H:H)+SUMIF('NEI Lookups'!$Q:$Q,'Inputs Yr 2'!$F71,'NEI Lookups'!H:H)+SUMIF('NEI Lookups'!$R:$R,'Inputs Yr 2'!$F71,'NEI Lookups'!H:H)+SUMIF('NEI Lookups'!$S:$S,'Inputs Yr 2'!$F71,'NEI Lookups'!H:H)+SUMIF('NEI Lookups'!$T:$T,'Inputs Yr 2'!$F71,'NEI Lookups'!H:H)</f>
        <v>0</v>
      </c>
      <c r="AW71" s="299">
        <f>SUMIF('NEI Lookups'!$L:$L,'Inputs Yr 2'!$F71,'NEI Lookups'!I:I)+SUMIF('NEI Lookups'!$M:$M,'Inputs Yr 2'!$F71,'NEI Lookups'!I:I)+SUMIF('NEI Lookups'!$N:$N,'Inputs Yr 2'!$F71,'NEI Lookups'!I:I)+SUMIF('NEI Lookups'!$O:$O,'Inputs Yr 2'!$F71,'NEI Lookups'!I:I)+SUMIF('NEI Lookups'!$P:$P,'Inputs Yr 2'!$F71,'NEI Lookups'!I:I)+SUMIF('NEI Lookups'!$Q:$Q,'Inputs Yr 2'!$F71,'NEI Lookups'!I:I)+SUMIF('NEI Lookups'!$R:$R,'Inputs Yr 2'!$F71,'NEI Lookups'!I:I)+SUMIF('NEI Lookups'!$S:$S,'Inputs Yr 2'!$F71,'NEI Lookups'!I:I)+SUMIF('NEI Lookups'!$T:$T,'Inputs Yr 2'!$F71,'NEI Lookups'!I:I)</f>
        <v>0</v>
      </c>
      <c r="AX71" s="299">
        <f>SUMIF('NEI Lookups'!$L:$L,'Inputs Yr 2'!$F71,'NEI Lookups'!J:J)+SUMIF('NEI Lookups'!$M:$M,'Inputs Yr 2'!$F71,'NEI Lookups'!J:J)+SUMIF('NEI Lookups'!$N:$N,'Inputs Yr 2'!$F71,'NEI Lookups'!J:J)+SUMIF('NEI Lookups'!$O:$O,'Inputs Yr 2'!$F71,'NEI Lookups'!J:J)+SUMIF('NEI Lookups'!$P:$P,'Inputs Yr 2'!$F71,'NEI Lookups'!J:J)+SUMIF('NEI Lookups'!$Q:$Q,'Inputs Yr 2'!$F71,'NEI Lookups'!J:J)+SUMIF('NEI Lookups'!$R:$R,'Inputs Yr 2'!$F71,'NEI Lookups'!J:J)+SUMIF('NEI Lookups'!$S:$S,'Inputs Yr 2'!$F71,'NEI Lookups'!J:J)+SUMIF('NEI Lookups'!$T:$T,'Inputs Yr 2'!$F71,'NEI Lookups'!J:J)</f>
        <v>0</v>
      </c>
      <c r="AY71" s="930" t="e">
        <f>'Calculations Yr 2'!CP71/'Calculations Yr 2'!I71</f>
        <v>#DIV/0!</v>
      </c>
    </row>
    <row r="72" spans="1:51" s="133" customFormat="1" ht="12.75" customHeight="1">
      <c r="A72" s="145" t="s">
        <v>32</v>
      </c>
      <c r="B72" s="132" t="s">
        <v>462</v>
      </c>
      <c r="C72" s="132" t="s">
        <v>741</v>
      </c>
      <c r="D72" s="906"/>
      <c r="E72" s="98" t="s">
        <v>740</v>
      </c>
      <c r="F72" s="98"/>
      <c r="G72" s="145"/>
      <c r="H72" s="232">
        <v>0</v>
      </c>
      <c r="I72" s="232">
        <v>0</v>
      </c>
      <c r="J72" s="964"/>
      <c r="K72" s="166"/>
      <c r="L72" s="888">
        <f t="shared" si="16"/>
        <v>0</v>
      </c>
      <c r="M72" s="978">
        <v>0</v>
      </c>
      <c r="N72" s="978">
        <v>0</v>
      </c>
      <c r="O72" s="978">
        <v>0</v>
      </c>
      <c r="P72" s="889">
        <f t="shared" si="17"/>
        <v>1</v>
      </c>
      <c r="Q72" s="978">
        <v>0</v>
      </c>
      <c r="R72" s="178">
        <v>1</v>
      </c>
      <c r="S72" s="178">
        <v>1</v>
      </c>
      <c r="T72" s="178">
        <v>1</v>
      </c>
      <c r="U72" s="980">
        <v>0</v>
      </c>
      <c r="V72" s="978">
        <v>0</v>
      </c>
      <c r="W72" s="179"/>
      <c r="X72" s="937" t="s">
        <v>653</v>
      </c>
      <c r="Y72" s="299">
        <f>IFERROR(VLOOKUP($X72,'Demand Lookups'!$A$5:$K$101,9,0), 0)</f>
        <v>0</v>
      </c>
      <c r="Z72" s="922" t="str">
        <f>IFERROR(VLOOKUP(X72,'Demand Lookups'!$A$5:$B$101,2,0),0)</f>
        <v>Non-Electric Measures</v>
      </c>
      <c r="AA72" s="867">
        <v>0</v>
      </c>
      <c r="AB72" s="867">
        <v>0</v>
      </c>
      <c r="AC72" s="867">
        <v>0</v>
      </c>
      <c r="AD72" s="868">
        <v>0</v>
      </c>
      <c r="AE72" s="724">
        <f t="shared" si="18"/>
        <v>0</v>
      </c>
      <c r="AF72" s="868">
        <v>0</v>
      </c>
      <c r="AG72" s="868">
        <v>0</v>
      </c>
      <c r="AH72" s="648">
        <v>0</v>
      </c>
      <c r="AI72" s="648">
        <v>0</v>
      </c>
      <c r="AJ72" s="167"/>
      <c r="AK72" s="168">
        <v>0</v>
      </c>
      <c r="AL72" s="167"/>
      <c r="AM72" s="168"/>
      <c r="AN72" s="167"/>
      <c r="AO72" s="168"/>
      <c r="AP72" s="171"/>
      <c r="AQ72" s="171"/>
      <c r="AR72" s="171"/>
      <c r="AS72" s="299">
        <f>SUMIF('NEI Lookups'!$L:$L,'Inputs Yr 2'!$F72,'NEI Lookups'!E:E)+SUMIF('NEI Lookups'!$M:$M,'Inputs Yr 2'!$F72,'NEI Lookups'!E:E)+SUMIF('NEI Lookups'!$N:$N,'Inputs Yr 2'!$F72,'NEI Lookups'!E:E)+SUMIF('NEI Lookups'!$O:$O,'Inputs Yr 2'!$F72,'NEI Lookups'!E:E)+SUMIF('NEI Lookups'!$P:$P,'Inputs Yr 2'!$F72,'NEI Lookups'!E:E)+SUMIF('NEI Lookups'!$Q:$Q,'Inputs Yr 2'!$F72,'NEI Lookups'!E:E)+SUMIF('NEI Lookups'!$R:$R,'Inputs Yr 2'!$F72,'NEI Lookups'!E:E)+SUMIF('NEI Lookups'!$S:$S,'Inputs Yr 2'!$F72,'NEI Lookups'!E:E)+SUMIF('NEI Lookups'!$T:$T,'Inputs Yr 2'!$F72,'NEI Lookups'!E:E)</f>
        <v>0</v>
      </c>
      <c r="AT72" s="299">
        <f>SUMIF('NEI Lookups'!$L:$L,'Inputs Yr 2'!$F72,'NEI Lookups'!F:F)+SUMIF('NEI Lookups'!$M:$M,'Inputs Yr 2'!$F72,'NEI Lookups'!F:F)+SUMIF('NEI Lookups'!$N:$N,'Inputs Yr 2'!$F72,'NEI Lookups'!F:F)+SUMIF('NEI Lookups'!$O:$O,'Inputs Yr 2'!$F72,'NEI Lookups'!F:F)+SUMIF('NEI Lookups'!$P:$P,'Inputs Yr 2'!$F72,'NEI Lookups'!F:F)+SUMIF('NEI Lookups'!$Q:$Q,'Inputs Yr 2'!$F72,'NEI Lookups'!F:F)+SUMIF('NEI Lookups'!$R:$R,'Inputs Yr 2'!$F72,'NEI Lookups'!F:F)+SUMIF('NEI Lookups'!$S:$S,'Inputs Yr 2'!$F72,'NEI Lookups'!F:F)+SUMIF('NEI Lookups'!$T:$T,'Inputs Yr 2'!$F72,'NEI Lookups'!F:F)</f>
        <v>0</v>
      </c>
      <c r="AU72" s="299">
        <f>SUMIF('NEI Lookups'!$L:$L,'Inputs Yr 2'!$F72,'NEI Lookups'!G:G)+SUMIF('NEI Lookups'!$M:$M,'Inputs Yr 2'!$F72,'NEI Lookups'!G:G)+SUMIF('NEI Lookups'!$N:$N,'Inputs Yr 2'!$F72,'NEI Lookups'!G:G)+SUMIF('NEI Lookups'!$O:$O,'Inputs Yr 2'!$F72,'NEI Lookups'!G:G)+SUMIF('NEI Lookups'!$P:$P,'Inputs Yr 2'!$F72,'NEI Lookups'!G:G)+SUMIF('NEI Lookups'!$Q:$Q,'Inputs Yr 2'!$F72,'NEI Lookups'!G:G)+SUMIF('NEI Lookups'!$R:$R,'Inputs Yr 2'!$F72,'NEI Lookups'!G:G)+SUMIF('NEI Lookups'!$S:$S,'Inputs Yr 2'!$F72,'NEI Lookups'!G:G)+SUMIF('NEI Lookups'!$T:$T,'Inputs Yr 2'!$F72,'NEI Lookups'!G:G)</f>
        <v>0</v>
      </c>
      <c r="AV72" s="299">
        <f>SUMIF('NEI Lookups'!$L:$L,'Inputs Yr 2'!$F72,'NEI Lookups'!H:H)+SUMIF('NEI Lookups'!$M:$M,'Inputs Yr 2'!$F72,'NEI Lookups'!H:H)+SUMIF('NEI Lookups'!$N:$N,'Inputs Yr 2'!$F72,'NEI Lookups'!H:H)+SUMIF('NEI Lookups'!$O:$O,'Inputs Yr 2'!$F72,'NEI Lookups'!H:H)+SUMIF('NEI Lookups'!$P:$P,'Inputs Yr 2'!$F72,'NEI Lookups'!H:H)+SUMIF('NEI Lookups'!$Q:$Q,'Inputs Yr 2'!$F72,'NEI Lookups'!H:H)+SUMIF('NEI Lookups'!$R:$R,'Inputs Yr 2'!$F72,'NEI Lookups'!H:H)+SUMIF('NEI Lookups'!$S:$S,'Inputs Yr 2'!$F72,'NEI Lookups'!H:H)+SUMIF('NEI Lookups'!$T:$T,'Inputs Yr 2'!$F72,'NEI Lookups'!H:H)</f>
        <v>0</v>
      </c>
      <c r="AW72" s="299">
        <f>SUMIF('NEI Lookups'!$L:$L,'Inputs Yr 2'!$F72,'NEI Lookups'!I:I)+SUMIF('NEI Lookups'!$M:$M,'Inputs Yr 2'!$F72,'NEI Lookups'!I:I)+SUMIF('NEI Lookups'!$N:$N,'Inputs Yr 2'!$F72,'NEI Lookups'!I:I)+SUMIF('NEI Lookups'!$O:$O,'Inputs Yr 2'!$F72,'NEI Lookups'!I:I)+SUMIF('NEI Lookups'!$P:$P,'Inputs Yr 2'!$F72,'NEI Lookups'!I:I)+SUMIF('NEI Lookups'!$Q:$Q,'Inputs Yr 2'!$F72,'NEI Lookups'!I:I)+SUMIF('NEI Lookups'!$R:$R,'Inputs Yr 2'!$F72,'NEI Lookups'!I:I)+SUMIF('NEI Lookups'!$S:$S,'Inputs Yr 2'!$F72,'NEI Lookups'!I:I)+SUMIF('NEI Lookups'!$T:$T,'Inputs Yr 2'!$F72,'NEI Lookups'!I:I)</f>
        <v>0</v>
      </c>
      <c r="AX72" s="299">
        <f>SUMIF('NEI Lookups'!$L:$L,'Inputs Yr 2'!$F72,'NEI Lookups'!J:J)+SUMIF('NEI Lookups'!$M:$M,'Inputs Yr 2'!$F72,'NEI Lookups'!J:J)+SUMIF('NEI Lookups'!$N:$N,'Inputs Yr 2'!$F72,'NEI Lookups'!J:J)+SUMIF('NEI Lookups'!$O:$O,'Inputs Yr 2'!$F72,'NEI Lookups'!J:J)+SUMIF('NEI Lookups'!$P:$P,'Inputs Yr 2'!$F72,'NEI Lookups'!J:J)+SUMIF('NEI Lookups'!$Q:$Q,'Inputs Yr 2'!$F72,'NEI Lookups'!J:J)+SUMIF('NEI Lookups'!$R:$R,'Inputs Yr 2'!$F72,'NEI Lookups'!J:J)+SUMIF('NEI Lookups'!$S:$S,'Inputs Yr 2'!$F72,'NEI Lookups'!J:J)+SUMIF('NEI Lookups'!$T:$T,'Inputs Yr 2'!$F72,'NEI Lookups'!J:J)</f>
        <v>0</v>
      </c>
      <c r="AY72" s="930" t="e">
        <f>'Calculations Yr 2'!CP72/'Calculations Yr 2'!I72</f>
        <v>#VALUE!</v>
      </c>
    </row>
    <row r="73" spans="1:51" s="133" customFormat="1" ht="13.5" customHeight="1" thickBot="1">
      <c r="A73" s="147" t="s">
        <v>32</v>
      </c>
      <c r="B73" s="146" t="s">
        <v>462</v>
      </c>
      <c r="C73" s="146" t="s">
        <v>741</v>
      </c>
      <c r="D73" s="149"/>
      <c r="E73" s="177" t="s">
        <v>453</v>
      </c>
      <c r="F73" s="177"/>
      <c r="G73" s="147"/>
      <c r="H73" s="233">
        <v>0</v>
      </c>
      <c r="I73" s="233">
        <v>0</v>
      </c>
      <c r="J73" s="970"/>
      <c r="K73" s="173"/>
      <c r="L73" s="888">
        <f t="shared" si="16"/>
        <v>0</v>
      </c>
      <c r="M73" s="979">
        <v>0</v>
      </c>
      <c r="N73" s="979">
        <v>0</v>
      </c>
      <c r="O73" s="979">
        <v>0</v>
      </c>
      <c r="P73" s="895">
        <f t="shared" si="17"/>
        <v>1</v>
      </c>
      <c r="Q73" s="979">
        <v>0</v>
      </c>
      <c r="R73" s="221">
        <v>1</v>
      </c>
      <c r="S73" s="221">
        <v>1</v>
      </c>
      <c r="T73" s="221">
        <v>1</v>
      </c>
      <c r="U73" s="981">
        <v>0</v>
      </c>
      <c r="V73" s="979">
        <v>0</v>
      </c>
      <c r="W73" s="222"/>
      <c r="X73" s="146" t="s">
        <v>653</v>
      </c>
      <c r="Y73" s="302">
        <f>IFERROR(VLOOKUP($X73,'Demand Lookups'!$A$5:$K$101,9,0), 0)</f>
        <v>0</v>
      </c>
      <c r="Z73" s="923" t="str">
        <f>IFERROR(VLOOKUP(X73,'Demand Lookups'!$A$5:$B$101,2,0),0)</f>
        <v>Non-Electric Measures</v>
      </c>
      <c r="AA73" s="874">
        <v>0</v>
      </c>
      <c r="AB73" s="874">
        <v>0</v>
      </c>
      <c r="AC73" s="874">
        <v>0</v>
      </c>
      <c r="AD73" s="653">
        <v>0</v>
      </c>
      <c r="AE73" s="953">
        <f t="shared" si="18"/>
        <v>0</v>
      </c>
      <c r="AF73" s="653">
        <v>0</v>
      </c>
      <c r="AG73" s="653">
        <v>0</v>
      </c>
      <c r="AH73" s="653">
        <v>0</v>
      </c>
      <c r="AI73" s="653">
        <v>0</v>
      </c>
      <c r="AJ73" s="174"/>
      <c r="AK73" s="303">
        <v>0</v>
      </c>
      <c r="AL73" s="174"/>
      <c r="AM73" s="303"/>
      <c r="AN73" s="174"/>
      <c r="AO73" s="303"/>
      <c r="AP73" s="175"/>
      <c r="AQ73" s="175"/>
      <c r="AR73" s="175"/>
      <c r="AS73" s="302">
        <f>SUMIF('NEI Lookups'!$L:$L,'Inputs Yr 2'!$F73,'NEI Lookups'!E:E)+SUMIF('NEI Lookups'!$M:$M,'Inputs Yr 2'!$F73,'NEI Lookups'!E:E)+SUMIF('NEI Lookups'!$N:$N,'Inputs Yr 2'!$F73,'NEI Lookups'!E:E)+SUMIF('NEI Lookups'!$O:$O,'Inputs Yr 2'!$F73,'NEI Lookups'!E:E)+SUMIF('NEI Lookups'!$P:$P,'Inputs Yr 2'!$F73,'NEI Lookups'!E:E)+SUMIF('NEI Lookups'!$Q:$Q,'Inputs Yr 2'!$F73,'NEI Lookups'!E:E)+SUMIF('NEI Lookups'!$R:$R,'Inputs Yr 2'!$F73,'NEI Lookups'!E:E)+SUMIF('NEI Lookups'!$S:$S,'Inputs Yr 2'!$F73,'NEI Lookups'!E:E)+SUMIF('NEI Lookups'!$T:$T,'Inputs Yr 2'!$F73,'NEI Lookups'!E:E)</f>
        <v>0</v>
      </c>
      <c r="AT73" s="302">
        <f>SUMIF('NEI Lookups'!$L:$L,'Inputs Yr 2'!$F73,'NEI Lookups'!F:F)+SUMIF('NEI Lookups'!$M:$M,'Inputs Yr 2'!$F73,'NEI Lookups'!F:F)+SUMIF('NEI Lookups'!$N:$N,'Inputs Yr 2'!$F73,'NEI Lookups'!F:F)+SUMIF('NEI Lookups'!$O:$O,'Inputs Yr 2'!$F73,'NEI Lookups'!F:F)+SUMIF('NEI Lookups'!$P:$P,'Inputs Yr 2'!$F73,'NEI Lookups'!F:F)+SUMIF('NEI Lookups'!$Q:$Q,'Inputs Yr 2'!$F73,'NEI Lookups'!F:F)+SUMIF('NEI Lookups'!$R:$R,'Inputs Yr 2'!$F73,'NEI Lookups'!F:F)+SUMIF('NEI Lookups'!$S:$S,'Inputs Yr 2'!$F73,'NEI Lookups'!F:F)+SUMIF('NEI Lookups'!$T:$T,'Inputs Yr 2'!$F73,'NEI Lookups'!F:F)</f>
        <v>0</v>
      </c>
      <c r="AU73" s="302">
        <f>SUMIF('NEI Lookups'!$L:$L,'Inputs Yr 2'!$F73,'NEI Lookups'!G:G)+SUMIF('NEI Lookups'!$M:$M,'Inputs Yr 2'!$F73,'NEI Lookups'!G:G)+SUMIF('NEI Lookups'!$N:$N,'Inputs Yr 2'!$F73,'NEI Lookups'!G:G)+SUMIF('NEI Lookups'!$O:$O,'Inputs Yr 2'!$F73,'NEI Lookups'!G:G)+SUMIF('NEI Lookups'!$P:$P,'Inputs Yr 2'!$F73,'NEI Lookups'!G:G)+SUMIF('NEI Lookups'!$Q:$Q,'Inputs Yr 2'!$F73,'NEI Lookups'!G:G)+SUMIF('NEI Lookups'!$R:$R,'Inputs Yr 2'!$F73,'NEI Lookups'!G:G)+SUMIF('NEI Lookups'!$S:$S,'Inputs Yr 2'!$F73,'NEI Lookups'!G:G)+SUMIF('NEI Lookups'!$T:$T,'Inputs Yr 2'!$F73,'NEI Lookups'!G:G)</f>
        <v>0</v>
      </c>
      <c r="AV73" s="302">
        <f>SUMIF('NEI Lookups'!$L:$L,'Inputs Yr 2'!$F73,'NEI Lookups'!H:H)+SUMIF('NEI Lookups'!$M:$M,'Inputs Yr 2'!$F73,'NEI Lookups'!H:H)+SUMIF('NEI Lookups'!$N:$N,'Inputs Yr 2'!$F73,'NEI Lookups'!H:H)+SUMIF('NEI Lookups'!$O:$O,'Inputs Yr 2'!$F73,'NEI Lookups'!H:H)+SUMIF('NEI Lookups'!$P:$P,'Inputs Yr 2'!$F73,'NEI Lookups'!H:H)+SUMIF('NEI Lookups'!$Q:$Q,'Inputs Yr 2'!$F73,'NEI Lookups'!H:H)+SUMIF('NEI Lookups'!$R:$R,'Inputs Yr 2'!$F73,'NEI Lookups'!H:H)+SUMIF('NEI Lookups'!$S:$S,'Inputs Yr 2'!$F73,'NEI Lookups'!H:H)+SUMIF('NEI Lookups'!$T:$T,'Inputs Yr 2'!$F73,'NEI Lookups'!H:H)</f>
        <v>0</v>
      </c>
      <c r="AW73" s="302">
        <f>SUMIF('NEI Lookups'!$L:$L,'Inputs Yr 2'!$F73,'NEI Lookups'!I:I)+SUMIF('NEI Lookups'!$M:$M,'Inputs Yr 2'!$F73,'NEI Lookups'!I:I)+SUMIF('NEI Lookups'!$N:$N,'Inputs Yr 2'!$F73,'NEI Lookups'!I:I)+SUMIF('NEI Lookups'!$O:$O,'Inputs Yr 2'!$F73,'NEI Lookups'!I:I)+SUMIF('NEI Lookups'!$P:$P,'Inputs Yr 2'!$F73,'NEI Lookups'!I:I)+SUMIF('NEI Lookups'!$Q:$Q,'Inputs Yr 2'!$F73,'NEI Lookups'!I:I)+SUMIF('NEI Lookups'!$R:$R,'Inputs Yr 2'!$F73,'NEI Lookups'!I:I)+SUMIF('NEI Lookups'!$S:$S,'Inputs Yr 2'!$F73,'NEI Lookups'!I:I)+SUMIF('NEI Lookups'!$T:$T,'Inputs Yr 2'!$F73,'NEI Lookups'!I:I)</f>
        <v>0</v>
      </c>
      <c r="AX73" s="302">
        <f>SUMIF('NEI Lookups'!$L:$L,'Inputs Yr 2'!$F73,'NEI Lookups'!J:J)+SUMIF('NEI Lookups'!$M:$M,'Inputs Yr 2'!$F73,'NEI Lookups'!J:J)+SUMIF('NEI Lookups'!$N:$N,'Inputs Yr 2'!$F73,'NEI Lookups'!J:J)+SUMIF('NEI Lookups'!$O:$O,'Inputs Yr 2'!$F73,'NEI Lookups'!J:J)+SUMIF('NEI Lookups'!$P:$P,'Inputs Yr 2'!$F73,'NEI Lookups'!J:J)+SUMIF('NEI Lookups'!$Q:$Q,'Inputs Yr 2'!$F73,'NEI Lookups'!J:J)+SUMIF('NEI Lookups'!$R:$R,'Inputs Yr 2'!$F73,'NEI Lookups'!J:J)+SUMIF('NEI Lookups'!$S:$S,'Inputs Yr 2'!$F73,'NEI Lookups'!J:J)+SUMIF('NEI Lookups'!$T:$T,'Inputs Yr 2'!$F73,'NEI Lookups'!J:J)</f>
        <v>0</v>
      </c>
      <c r="AY73" s="930" t="e">
        <f>'Calculations Yr 2'!CP73/'Calculations Yr 2'!I73</f>
        <v>#VALUE!</v>
      </c>
    </row>
    <row r="74" spans="1:51" s="133" customFormat="1" ht="12.75" customHeight="1">
      <c r="A74" s="145" t="s">
        <v>32</v>
      </c>
      <c r="B74" s="132" t="s">
        <v>462</v>
      </c>
      <c r="C74" s="98" t="s">
        <v>748</v>
      </c>
      <c r="D74" s="902" t="s">
        <v>1465</v>
      </c>
      <c r="E74" s="98" t="s">
        <v>1383</v>
      </c>
      <c r="F74" s="98" t="s">
        <v>1236</v>
      </c>
      <c r="G74" s="145" t="s">
        <v>1243</v>
      </c>
      <c r="H74" s="232">
        <v>437964</v>
      </c>
      <c r="I74" s="232">
        <v>1</v>
      </c>
      <c r="J74" s="964">
        <v>5.2843967939109442</v>
      </c>
      <c r="K74" s="964">
        <v>5.2843967939109442</v>
      </c>
      <c r="L74" s="926">
        <f t="shared" si="16"/>
        <v>0</v>
      </c>
      <c r="M74" s="978">
        <v>0</v>
      </c>
      <c r="N74" s="978">
        <v>0</v>
      </c>
      <c r="O74" s="978">
        <v>0</v>
      </c>
      <c r="P74" s="889">
        <f t="shared" ref="P74:P133" si="19">1-M74+N74+O74</f>
        <v>1</v>
      </c>
      <c r="Q74" s="978">
        <v>0.98</v>
      </c>
      <c r="R74" s="178">
        <v>1</v>
      </c>
      <c r="S74" s="178">
        <v>1</v>
      </c>
      <c r="T74" s="178">
        <v>1</v>
      </c>
      <c r="U74" s="978">
        <v>1</v>
      </c>
      <c r="V74" s="989">
        <v>1</v>
      </c>
      <c r="W74" s="179"/>
      <c r="X74" s="937" t="s">
        <v>653</v>
      </c>
      <c r="Y74" s="299">
        <f>IFERROR(VLOOKUP($X74,'Demand Lookups'!$A$5:$K$101,9,0), 0)</f>
        <v>0</v>
      </c>
      <c r="Z74" s="922" t="str">
        <f>IFERROR(VLOOKUP(X74,'Demand Lookups'!$A$5:$B$101,2,0),0)</f>
        <v>Non-Electric Measures</v>
      </c>
      <c r="AA74" s="910">
        <f>IF(ISNA(VLOOKUP($X74,'Demand Lookups'!$A$5:$K$81,3,0)),0,VLOOKUP($X74,'Demand Lookups'!$A$5:$K$81,3,0))</f>
        <v>0</v>
      </c>
      <c r="AB74" s="910">
        <f>IF(ISNA(VLOOKUP($X74,'Demand Lookups'!$A$5:$K$81,4,0)),0,VLOOKUP($X74,'Demand Lookups'!$A$5:$K$81,4,0))</f>
        <v>0</v>
      </c>
      <c r="AC74" s="910">
        <f>IF(ISNA(VLOOKUP($X74,'Demand Lookups'!$A$5:$K$81,5,0)),0,VLOOKUP($X74,'Demand Lookups'!$A$5:$K$81,5,0))</f>
        <v>0</v>
      </c>
      <c r="AD74" s="648">
        <f>IF(ISNA(VLOOKUP($X74,'Demand Lookups'!$A$5:$K$81,6,0)),0,VLOOKUP($X74,'Demand Lookups'!$A$5:$K$81,6,0))</f>
        <v>0</v>
      </c>
      <c r="AE74" s="992">
        <f t="shared" ref="AE74:AE133" si="20">IF(ISERROR(W74*Y74),"",W74*Y74)</f>
        <v>0</v>
      </c>
      <c r="AF74" s="648">
        <f>ROUND(IF(ISNA(VLOOKUP($X74,'Demand Lookups'!$A$5:$K$82,10,0)),0,(VLOOKUP($X74,'Demand Lookups'!$A$5:$K$82,10,0))),2)</f>
        <v>0</v>
      </c>
      <c r="AG74" s="648">
        <f>ROUND(IF(ISNA(VLOOKUP($X74,'Demand Lookups'!$A$5:$K$82,11,0)),0,VLOOKUP($X74,'Demand Lookups'!$A$5:$K$82,11,0)),2)</f>
        <v>0</v>
      </c>
      <c r="AH74" s="648">
        <f t="shared" ref="AH74:AH133" si="21">AF74</f>
        <v>0</v>
      </c>
      <c r="AI74" s="648">
        <f t="shared" ref="AI74:AI133" si="22">AF74</f>
        <v>0</v>
      </c>
      <c r="AJ74" s="167" t="s">
        <v>404</v>
      </c>
      <c r="AK74" s="846">
        <v>1.0359824095131107</v>
      </c>
      <c r="AL74" s="167"/>
      <c r="AM74" s="168"/>
      <c r="AN74" s="167"/>
      <c r="AO74" s="168"/>
      <c r="AP74" s="171">
        <v>0</v>
      </c>
      <c r="AQ74" s="171"/>
      <c r="AR74" s="171"/>
      <c r="AS74" s="299">
        <f>SUMIF('NEI Lookups'!$L:$L,'Inputs Yr 2'!$F74,'NEI Lookups'!E:E)+SUMIF('NEI Lookups'!$M:$M,'Inputs Yr 2'!$F74,'NEI Lookups'!E:E)+SUMIF('NEI Lookups'!$N:$N,'Inputs Yr 2'!$F74,'NEI Lookups'!E:E)+SUMIF('NEI Lookups'!$O:$O,'Inputs Yr 2'!$F74,'NEI Lookups'!E:E)+SUMIF('NEI Lookups'!$P:$P,'Inputs Yr 2'!$F74,'NEI Lookups'!E:E)+SUMIF('NEI Lookups'!$Q:$Q,'Inputs Yr 2'!$F74,'NEI Lookups'!E:E)+SUMIF('NEI Lookups'!$R:$R,'Inputs Yr 2'!$F74,'NEI Lookups'!E:E)+SUMIF('NEI Lookups'!$S:$S,'Inputs Yr 2'!$F74,'NEI Lookups'!E:E)+SUMIF('NEI Lookups'!$T:$T,'Inputs Yr 2'!$F74,'NEI Lookups'!E:E)</f>
        <v>0</v>
      </c>
      <c r="AT74" s="299">
        <f>SUMIF('NEI Lookups'!$L:$L,'Inputs Yr 2'!$F74,'NEI Lookups'!F:F)+SUMIF('NEI Lookups'!$M:$M,'Inputs Yr 2'!$F74,'NEI Lookups'!F:F)+SUMIF('NEI Lookups'!$N:$N,'Inputs Yr 2'!$F74,'NEI Lookups'!F:F)+SUMIF('NEI Lookups'!$O:$O,'Inputs Yr 2'!$F74,'NEI Lookups'!F:F)+SUMIF('NEI Lookups'!$P:$P,'Inputs Yr 2'!$F74,'NEI Lookups'!F:F)+SUMIF('NEI Lookups'!$Q:$Q,'Inputs Yr 2'!$F74,'NEI Lookups'!F:F)+SUMIF('NEI Lookups'!$R:$R,'Inputs Yr 2'!$F74,'NEI Lookups'!F:F)+SUMIF('NEI Lookups'!$S:$S,'Inputs Yr 2'!$F74,'NEI Lookups'!F:F)+SUMIF('NEI Lookups'!$T:$T,'Inputs Yr 2'!$F74,'NEI Lookups'!F:F)</f>
        <v>0</v>
      </c>
      <c r="AU74" s="299">
        <f>SUMIF('NEI Lookups'!$L:$L,'Inputs Yr 2'!$F74,'NEI Lookups'!G:G)+SUMIF('NEI Lookups'!$M:$M,'Inputs Yr 2'!$F74,'NEI Lookups'!G:G)+SUMIF('NEI Lookups'!$N:$N,'Inputs Yr 2'!$F74,'NEI Lookups'!G:G)+SUMIF('NEI Lookups'!$O:$O,'Inputs Yr 2'!$F74,'NEI Lookups'!G:G)+SUMIF('NEI Lookups'!$P:$P,'Inputs Yr 2'!$F74,'NEI Lookups'!G:G)+SUMIF('NEI Lookups'!$Q:$Q,'Inputs Yr 2'!$F74,'NEI Lookups'!G:G)+SUMIF('NEI Lookups'!$R:$R,'Inputs Yr 2'!$F74,'NEI Lookups'!G:G)+SUMIF('NEI Lookups'!$S:$S,'Inputs Yr 2'!$F74,'NEI Lookups'!G:G)+SUMIF('NEI Lookups'!$T:$T,'Inputs Yr 2'!$F74,'NEI Lookups'!G:G)</f>
        <v>0</v>
      </c>
      <c r="AV74" s="299">
        <f>SUMIF('NEI Lookups'!$L:$L,'Inputs Yr 2'!$F74,'NEI Lookups'!H:H)+SUMIF('NEI Lookups'!$M:$M,'Inputs Yr 2'!$F74,'NEI Lookups'!H:H)+SUMIF('NEI Lookups'!$N:$N,'Inputs Yr 2'!$F74,'NEI Lookups'!H:H)+SUMIF('NEI Lookups'!$O:$O,'Inputs Yr 2'!$F74,'NEI Lookups'!H:H)+SUMIF('NEI Lookups'!$P:$P,'Inputs Yr 2'!$F74,'NEI Lookups'!H:H)+SUMIF('NEI Lookups'!$Q:$Q,'Inputs Yr 2'!$F74,'NEI Lookups'!H:H)+SUMIF('NEI Lookups'!$R:$R,'Inputs Yr 2'!$F74,'NEI Lookups'!H:H)+SUMIF('NEI Lookups'!$S:$S,'Inputs Yr 2'!$F74,'NEI Lookups'!H:H)+SUMIF('NEI Lookups'!$T:$T,'Inputs Yr 2'!$F74,'NEI Lookups'!H:H)</f>
        <v>0</v>
      </c>
      <c r="AW74" s="299">
        <f>SUMIF('NEI Lookups'!$L:$L,'Inputs Yr 2'!$F74,'NEI Lookups'!I:I)+SUMIF('NEI Lookups'!$M:$M,'Inputs Yr 2'!$F74,'NEI Lookups'!I:I)+SUMIF('NEI Lookups'!$N:$N,'Inputs Yr 2'!$F74,'NEI Lookups'!I:I)+SUMIF('NEI Lookups'!$O:$O,'Inputs Yr 2'!$F74,'NEI Lookups'!I:I)+SUMIF('NEI Lookups'!$P:$P,'Inputs Yr 2'!$F74,'NEI Lookups'!I:I)+SUMIF('NEI Lookups'!$Q:$Q,'Inputs Yr 2'!$F74,'NEI Lookups'!I:I)+SUMIF('NEI Lookups'!$R:$R,'Inputs Yr 2'!$F74,'NEI Lookups'!I:I)+SUMIF('NEI Lookups'!$S:$S,'Inputs Yr 2'!$F74,'NEI Lookups'!I:I)+SUMIF('NEI Lookups'!$T:$T,'Inputs Yr 2'!$F74,'NEI Lookups'!I:I)</f>
        <v>0</v>
      </c>
      <c r="AX74" s="299">
        <f>SUMIF('NEI Lookups'!$L:$L,'Inputs Yr 2'!$F74,'NEI Lookups'!J:J)+SUMIF('NEI Lookups'!$M:$M,'Inputs Yr 2'!$F74,'NEI Lookups'!J:J)+SUMIF('NEI Lookups'!$N:$N,'Inputs Yr 2'!$F74,'NEI Lookups'!J:J)+SUMIF('NEI Lookups'!$O:$O,'Inputs Yr 2'!$F74,'NEI Lookups'!J:J)+SUMIF('NEI Lookups'!$P:$P,'Inputs Yr 2'!$F74,'NEI Lookups'!J:J)+SUMIF('NEI Lookups'!$Q:$Q,'Inputs Yr 2'!$F74,'NEI Lookups'!J:J)+SUMIF('NEI Lookups'!$R:$R,'Inputs Yr 2'!$F74,'NEI Lookups'!J:J)+SUMIF('NEI Lookups'!$S:$S,'Inputs Yr 2'!$F74,'NEI Lookups'!J:J)+SUMIF('NEI Lookups'!$T:$T,'Inputs Yr 2'!$F74,'NEI Lookups'!J:J)</f>
        <v>0</v>
      </c>
      <c r="AY74" s="931">
        <f>'Calculations Yr 2'!CP74/'Calculations Yr 2'!I74</f>
        <v>2.2214475104879963</v>
      </c>
    </row>
    <row r="75" spans="1:51" s="133" customFormat="1" ht="12.75" customHeight="1">
      <c r="A75" s="912" t="s">
        <v>32</v>
      </c>
      <c r="B75" s="132" t="s">
        <v>462</v>
      </c>
      <c r="C75" s="98" t="s">
        <v>748</v>
      </c>
      <c r="D75" s="132"/>
      <c r="E75" s="98" t="s">
        <v>453</v>
      </c>
      <c r="F75" s="98"/>
      <c r="G75" s="145" t="s">
        <v>1243</v>
      </c>
      <c r="H75" s="232">
        <v>0</v>
      </c>
      <c r="I75" s="232">
        <v>0</v>
      </c>
      <c r="J75" s="964"/>
      <c r="K75" s="166"/>
      <c r="L75" s="888">
        <f t="shared" si="16"/>
        <v>0</v>
      </c>
      <c r="M75" s="980">
        <v>0</v>
      </c>
      <c r="N75" s="980">
        <v>0</v>
      </c>
      <c r="O75" s="980">
        <v>0</v>
      </c>
      <c r="P75" s="889">
        <f t="shared" si="19"/>
        <v>1</v>
      </c>
      <c r="Q75" s="980">
        <v>0</v>
      </c>
      <c r="R75" s="178">
        <v>1</v>
      </c>
      <c r="S75" s="178">
        <v>1</v>
      </c>
      <c r="T75" s="178">
        <v>1</v>
      </c>
      <c r="U75" s="980">
        <v>0</v>
      </c>
      <c r="V75" s="980">
        <v>0</v>
      </c>
      <c r="W75" s="179"/>
      <c r="X75" s="937" t="s">
        <v>653</v>
      </c>
      <c r="Y75" s="299">
        <f>IFERROR(VLOOKUP($X75,'Demand Lookups'!$A$5:$K$101,9,0), 0)</f>
        <v>0</v>
      </c>
      <c r="Z75" s="922" t="str">
        <f>IFERROR(VLOOKUP(X75,'Demand Lookups'!$A$5:$B$101,2,0),0)</f>
        <v>Non-Electric Measures</v>
      </c>
      <c r="AA75" s="910">
        <f>IF(ISNA(VLOOKUP($X75,'Demand Lookups'!$A$5:$K$81,3,0)),0,VLOOKUP($X75,'Demand Lookups'!$A$5:$K$81,3,0))</f>
        <v>0</v>
      </c>
      <c r="AB75" s="910">
        <f>IF(ISNA(VLOOKUP($X75,'Demand Lookups'!$A$5:$K$81,4,0)),0,VLOOKUP($X75,'Demand Lookups'!$A$5:$K$81,4,0))</f>
        <v>0</v>
      </c>
      <c r="AC75" s="910">
        <f>IF(ISNA(VLOOKUP($X75,'Demand Lookups'!$A$5:$K$81,5,0)),0,VLOOKUP($X75,'Demand Lookups'!$A$5:$K$81,5,0))</f>
        <v>0</v>
      </c>
      <c r="AD75" s="648">
        <f>IF(ISNA(VLOOKUP($X75,'Demand Lookups'!$A$5:$K$81,6,0)),0,VLOOKUP($X75,'Demand Lookups'!$A$5:$K$81,6,0))</f>
        <v>0</v>
      </c>
      <c r="AE75" s="911">
        <f t="shared" si="20"/>
        <v>0</v>
      </c>
      <c r="AF75" s="648">
        <f>ROUND(IF(ISNA(VLOOKUP($X75,'Demand Lookups'!$A$5:$K$82,10,0)),0,(VLOOKUP($X75,'Demand Lookups'!$A$5:$K$82,10,0))),2)</f>
        <v>0</v>
      </c>
      <c r="AG75" s="648">
        <f>ROUND(IF(ISNA(VLOOKUP($X75,'Demand Lookups'!$A$5:$K$82,11,0)),0,VLOOKUP($X75,'Demand Lookups'!$A$5:$K$82,11,0)),2)</f>
        <v>0</v>
      </c>
      <c r="AH75" s="648">
        <f t="shared" si="21"/>
        <v>0</v>
      </c>
      <c r="AI75" s="648">
        <f t="shared" si="22"/>
        <v>0</v>
      </c>
      <c r="AJ75" s="167"/>
      <c r="AK75" s="168">
        <v>0</v>
      </c>
      <c r="AL75" s="167"/>
      <c r="AM75" s="168"/>
      <c r="AN75" s="167"/>
      <c r="AO75" s="168"/>
      <c r="AP75" s="171">
        <v>0</v>
      </c>
      <c r="AQ75" s="171"/>
      <c r="AR75" s="171"/>
      <c r="AS75" s="299">
        <f>SUMIF('NEI Lookups'!$L:$L,'Inputs Yr 2'!$F75,'NEI Lookups'!E:E)+SUMIF('NEI Lookups'!$M:$M,'Inputs Yr 2'!$F75,'NEI Lookups'!E:E)+SUMIF('NEI Lookups'!$N:$N,'Inputs Yr 2'!$F75,'NEI Lookups'!E:E)+SUMIF('NEI Lookups'!$O:$O,'Inputs Yr 2'!$F75,'NEI Lookups'!E:E)+SUMIF('NEI Lookups'!$P:$P,'Inputs Yr 2'!$F75,'NEI Lookups'!E:E)+SUMIF('NEI Lookups'!$Q:$Q,'Inputs Yr 2'!$F75,'NEI Lookups'!E:E)+SUMIF('NEI Lookups'!$R:$R,'Inputs Yr 2'!$F75,'NEI Lookups'!E:E)+SUMIF('NEI Lookups'!$S:$S,'Inputs Yr 2'!$F75,'NEI Lookups'!E:E)+SUMIF('NEI Lookups'!$T:$T,'Inputs Yr 2'!$F75,'NEI Lookups'!E:E)</f>
        <v>0</v>
      </c>
      <c r="AT75" s="299">
        <f>SUMIF('NEI Lookups'!$L:$L,'Inputs Yr 2'!$F75,'NEI Lookups'!F:F)+SUMIF('NEI Lookups'!$M:$M,'Inputs Yr 2'!$F75,'NEI Lookups'!F:F)+SUMIF('NEI Lookups'!$N:$N,'Inputs Yr 2'!$F75,'NEI Lookups'!F:F)+SUMIF('NEI Lookups'!$O:$O,'Inputs Yr 2'!$F75,'NEI Lookups'!F:F)+SUMIF('NEI Lookups'!$P:$P,'Inputs Yr 2'!$F75,'NEI Lookups'!F:F)+SUMIF('NEI Lookups'!$Q:$Q,'Inputs Yr 2'!$F75,'NEI Lookups'!F:F)+SUMIF('NEI Lookups'!$R:$R,'Inputs Yr 2'!$F75,'NEI Lookups'!F:F)+SUMIF('NEI Lookups'!$S:$S,'Inputs Yr 2'!$F75,'NEI Lookups'!F:F)+SUMIF('NEI Lookups'!$T:$T,'Inputs Yr 2'!$F75,'NEI Lookups'!F:F)</f>
        <v>0</v>
      </c>
      <c r="AU75" s="299">
        <f>SUMIF('NEI Lookups'!$L:$L,'Inputs Yr 2'!$F75,'NEI Lookups'!G:G)+SUMIF('NEI Lookups'!$M:$M,'Inputs Yr 2'!$F75,'NEI Lookups'!G:G)+SUMIF('NEI Lookups'!$N:$N,'Inputs Yr 2'!$F75,'NEI Lookups'!G:G)+SUMIF('NEI Lookups'!$O:$O,'Inputs Yr 2'!$F75,'NEI Lookups'!G:G)+SUMIF('NEI Lookups'!$P:$P,'Inputs Yr 2'!$F75,'NEI Lookups'!G:G)+SUMIF('NEI Lookups'!$Q:$Q,'Inputs Yr 2'!$F75,'NEI Lookups'!G:G)+SUMIF('NEI Lookups'!$R:$R,'Inputs Yr 2'!$F75,'NEI Lookups'!G:G)+SUMIF('NEI Lookups'!$S:$S,'Inputs Yr 2'!$F75,'NEI Lookups'!G:G)+SUMIF('NEI Lookups'!$T:$T,'Inputs Yr 2'!$F75,'NEI Lookups'!G:G)</f>
        <v>0</v>
      </c>
      <c r="AV75" s="299">
        <f>SUMIF('NEI Lookups'!$L:$L,'Inputs Yr 2'!$F75,'NEI Lookups'!H:H)+SUMIF('NEI Lookups'!$M:$M,'Inputs Yr 2'!$F75,'NEI Lookups'!H:H)+SUMIF('NEI Lookups'!$N:$N,'Inputs Yr 2'!$F75,'NEI Lookups'!H:H)+SUMIF('NEI Lookups'!$O:$O,'Inputs Yr 2'!$F75,'NEI Lookups'!H:H)+SUMIF('NEI Lookups'!$P:$P,'Inputs Yr 2'!$F75,'NEI Lookups'!H:H)+SUMIF('NEI Lookups'!$Q:$Q,'Inputs Yr 2'!$F75,'NEI Lookups'!H:H)+SUMIF('NEI Lookups'!$R:$R,'Inputs Yr 2'!$F75,'NEI Lookups'!H:H)+SUMIF('NEI Lookups'!$S:$S,'Inputs Yr 2'!$F75,'NEI Lookups'!H:H)+SUMIF('NEI Lookups'!$T:$T,'Inputs Yr 2'!$F75,'NEI Lookups'!H:H)</f>
        <v>0</v>
      </c>
      <c r="AW75" s="299">
        <f>SUMIF('NEI Lookups'!$L:$L,'Inputs Yr 2'!$F75,'NEI Lookups'!I:I)+SUMIF('NEI Lookups'!$M:$M,'Inputs Yr 2'!$F75,'NEI Lookups'!I:I)+SUMIF('NEI Lookups'!$N:$N,'Inputs Yr 2'!$F75,'NEI Lookups'!I:I)+SUMIF('NEI Lookups'!$O:$O,'Inputs Yr 2'!$F75,'NEI Lookups'!I:I)+SUMIF('NEI Lookups'!$P:$P,'Inputs Yr 2'!$F75,'NEI Lookups'!I:I)+SUMIF('NEI Lookups'!$Q:$Q,'Inputs Yr 2'!$F75,'NEI Lookups'!I:I)+SUMIF('NEI Lookups'!$R:$R,'Inputs Yr 2'!$F75,'NEI Lookups'!I:I)+SUMIF('NEI Lookups'!$S:$S,'Inputs Yr 2'!$F75,'NEI Lookups'!I:I)+SUMIF('NEI Lookups'!$T:$T,'Inputs Yr 2'!$F75,'NEI Lookups'!I:I)</f>
        <v>0</v>
      </c>
      <c r="AX75" s="299">
        <f>SUMIF('NEI Lookups'!$L:$L,'Inputs Yr 2'!$F75,'NEI Lookups'!J:J)+SUMIF('NEI Lookups'!$M:$M,'Inputs Yr 2'!$F75,'NEI Lookups'!J:J)+SUMIF('NEI Lookups'!$N:$N,'Inputs Yr 2'!$F75,'NEI Lookups'!J:J)+SUMIF('NEI Lookups'!$O:$O,'Inputs Yr 2'!$F75,'NEI Lookups'!J:J)+SUMIF('NEI Lookups'!$P:$P,'Inputs Yr 2'!$F75,'NEI Lookups'!J:J)+SUMIF('NEI Lookups'!$Q:$Q,'Inputs Yr 2'!$F75,'NEI Lookups'!J:J)+SUMIF('NEI Lookups'!$R:$R,'Inputs Yr 2'!$F75,'NEI Lookups'!J:J)+SUMIF('NEI Lookups'!$S:$S,'Inputs Yr 2'!$F75,'NEI Lookups'!J:J)+SUMIF('NEI Lookups'!$T:$T,'Inputs Yr 2'!$F75,'NEI Lookups'!J:J)</f>
        <v>0</v>
      </c>
      <c r="AY75" s="930" t="e">
        <f>'Calculations Yr 2'!CP75/'Calculations Yr 2'!I75</f>
        <v>#VALUE!</v>
      </c>
    </row>
    <row r="76" spans="1:51" s="133" customFormat="1" ht="13.5" customHeight="1" thickBot="1">
      <c r="A76" s="147" t="s">
        <v>32</v>
      </c>
      <c r="B76" s="146" t="s">
        <v>462</v>
      </c>
      <c r="C76" s="177" t="s">
        <v>748</v>
      </c>
      <c r="D76" s="177"/>
      <c r="E76" s="177" t="s">
        <v>453</v>
      </c>
      <c r="F76" s="177"/>
      <c r="G76" s="147"/>
      <c r="H76" s="233">
        <v>0</v>
      </c>
      <c r="I76" s="233">
        <v>0</v>
      </c>
      <c r="J76" s="970"/>
      <c r="K76" s="173"/>
      <c r="L76" s="898">
        <f t="shared" si="16"/>
        <v>0</v>
      </c>
      <c r="M76" s="981">
        <v>0</v>
      </c>
      <c r="N76" s="981">
        <v>0</v>
      </c>
      <c r="O76" s="981">
        <v>0</v>
      </c>
      <c r="P76" s="895">
        <f t="shared" si="19"/>
        <v>1</v>
      </c>
      <c r="Q76" s="981">
        <v>0</v>
      </c>
      <c r="R76" s="221">
        <v>1</v>
      </c>
      <c r="S76" s="221">
        <v>1</v>
      </c>
      <c r="T76" s="221">
        <v>1</v>
      </c>
      <c r="U76" s="981">
        <v>0</v>
      </c>
      <c r="V76" s="981">
        <v>0</v>
      </c>
      <c r="W76" s="222"/>
      <c r="X76" s="937" t="s">
        <v>653</v>
      </c>
      <c r="Y76" s="302">
        <f>IFERROR(VLOOKUP($X76,'Demand Lookups'!$A$5:$K$101,9,0), 0)</f>
        <v>0</v>
      </c>
      <c r="Z76" s="923" t="str">
        <f>IFERROR(VLOOKUP(X76,'Demand Lookups'!$A$5:$B$101,2,0),0)</f>
        <v>Non-Electric Measures</v>
      </c>
      <c r="AA76" s="874">
        <f>IF(ISNA(VLOOKUP($X76,'Demand Lookups'!$A$5:$K$81,3,0)),0,VLOOKUP($X76,'Demand Lookups'!$A$5:$K$81,3,0))</f>
        <v>0</v>
      </c>
      <c r="AB76" s="874">
        <f>IF(ISNA(VLOOKUP($X76,'Demand Lookups'!$A$5:$K$81,4,0)),0,VLOOKUP($X76,'Demand Lookups'!$A$5:$K$81,4,0))</f>
        <v>0</v>
      </c>
      <c r="AC76" s="874">
        <f>IF(ISNA(VLOOKUP($X76,'Demand Lookups'!$A$5:$K$81,5,0)),0,VLOOKUP($X76,'Demand Lookups'!$A$5:$K$81,5,0))</f>
        <v>0</v>
      </c>
      <c r="AD76" s="653">
        <f>IF(ISNA(VLOOKUP($X76,'Demand Lookups'!$A$5:$K$81,6,0)),0,VLOOKUP($X76,'Demand Lookups'!$A$5:$K$81,6,0))</f>
        <v>0</v>
      </c>
      <c r="AE76" s="875">
        <f t="shared" si="20"/>
        <v>0</v>
      </c>
      <c r="AF76" s="653">
        <f>ROUND(IF(ISNA(VLOOKUP($X76,'Demand Lookups'!$A$5:$K$82,10,0)),0,(VLOOKUP($X76,'Demand Lookups'!$A$5:$K$82,10,0))),2)</f>
        <v>0</v>
      </c>
      <c r="AG76" s="653">
        <f>ROUND(IF(ISNA(VLOOKUP($X76,'Demand Lookups'!$A$5:$K$82,11,0)),0,VLOOKUP($X76,'Demand Lookups'!$A$5:$K$82,11,0)),2)</f>
        <v>0</v>
      </c>
      <c r="AH76" s="653">
        <f t="shared" si="21"/>
        <v>0</v>
      </c>
      <c r="AI76" s="653">
        <f t="shared" si="22"/>
        <v>0</v>
      </c>
      <c r="AJ76" s="174"/>
      <c r="AK76" s="303">
        <v>0</v>
      </c>
      <c r="AL76" s="174"/>
      <c r="AM76" s="303"/>
      <c r="AN76" s="174"/>
      <c r="AO76" s="303"/>
      <c r="AP76" s="175">
        <v>0</v>
      </c>
      <c r="AQ76" s="175"/>
      <c r="AR76" s="175"/>
      <c r="AS76" s="302">
        <f>SUMIF('NEI Lookups'!$L:$L,'Inputs Yr 2'!$F76,'NEI Lookups'!E:E)+SUMIF('NEI Lookups'!$M:$M,'Inputs Yr 2'!$F76,'NEI Lookups'!E:E)+SUMIF('NEI Lookups'!$N:$N,'Inputs Yr 2'!$F76,'NEI Lookups'!E:E)+SUMIF('NEI Lookups'!$O:$O,'Inputs Yr 2'!$F76,'NEI Lookups'!E:E)+SUMIF('NEI Lookups'!$P:$P,'Inputs Yr 2'!$F76,'NEI Lookups'!E:E)+SUMIF('NEI Lookups'!$Q:$Q,'Inputs Yr 2'!$F76,'NEI Lookups'!E:E)+SUMIF('NEI Lookups'!$R:$R,'Inputs Yr 2'!$F76,'NEI Lookups'!E:E)+SUMIF('NEI Lookups'!$S:$S,'Inputs Yr 2'!$F76,'NEI Lookups'!E:E)+SUMIF('NEI Lookups'!$T:$T,'Inputs Yr 2'!$F76,'NEI Lookups'!E:E)</f>
        <v>0</v>
      </c>
      <c r="AT76" s="302">
        <f>SUMIF('NEI Lookups'!$L:$L,'Inputs Yr 2'!$F76,'NEI Lookups'!F:F)+SUMIF('NEI Lookups'!$M:$M,'Inputs Yr 2'!$F76,'NEI Lookups'!F:F)+SUMIF('NEI Lookups'!$N:$N,'Inputs Yr 2'!$F76,'NEI Lookups'!F:F)+SUMIF('NEI Lookups'!$O:$O,'Inputs Yr 2'!$F76,'NEI Lookups'!F:F)+SUMIF('NEI Lookups'!$P:$P,'Inputs Yr 2'!$F76,'NEI Lookups'!F:F)+SUMIF('NEI Lookups'!$Q:$Q,'Inputs Yr 2'!$F76,'NEI Lookups'!F:F)+SUMIF('NEI Lookups'!$R:$R,'Inputs Yr 2'!$F76,'NEI Lookups'!F:F)+SUMIF('NEI Lookups'!$S:$S,'Inputs Yr 2'!$F76,'NEI Lookups'!F:F)+SUMIF('NEI Lookups'!$T:$T,'Inputs Yr 2'!$F76,'NEI Lookups'!F:F)</f>
        <v>0</v>
      </c>
      <c r="AU76" s="302">
        <f>SUMIF('NEI Lookups'!$L:$L,'Inputs Yr 2'!$F76,'NEI Lookups'!G:G)+SUMIF('NEI Lookups'!$M:$M,'Inputs Yr 2'!$F76,'NEI Lookups'!G:G)+SUMIF('NEI Lookups'!$N:$N,'Inputs Yr 2'!$F76,'NEI Lookups'!G:G)+SUMIF('NEI Lookups'!$O:$O,'Inputs Yr 2'!$F76,'NEI Lookups'!G:G)+SUMIF('NEI Lookups'!$P:$P,'Inputs Yr 2'!$F76,'NEI Lookups'!G:G)+SUMIF('NEI Lookups'!$Q:$Q,'Inputs Yr 2'!$F76,'NEI Lookups'!G:G)+SUMIF('NEI Lookups'!$R:$R,'Inputs Yr 2'!$F76,'NEI Lookups'!G:G)+SUMIF('NEI Lookups'!$S:$S,'Inputs Yr 2'!$F76,'NEI Lookups'!G:G)+SUMIF('NEI Lookups'!$T:$T,'Inputs Yr 2'!$F76,'NEI Lookups'!G:G)</f>
        <v>0</v>
      </c>
      <c r="AV76" s="302">
        <f>SUMIF('NEI Lookups'!$L:$L,'Inputs Yr 2'!$F76,'NEI Lookups'!H:H)+SUMIF('NEI Lookups'!$M:$M,'Inputs Yr 2'!$F76,'NEI Lookups'!H:H)+SUMIF('NEI Lookups'!$N:$N,'Inputs Yr 2'!$F76,'NEI Lookups'!H:H)+SUMIF('NEI Lookups'!$O:$O,'Inputs Yr 2'!$F76,'NEI Lookups'!H:H)+SUMIF('NEI Lookups'!$P:$P,'Inputs Yr 2'!$F76,'NEI Lookups'!H:H)+SUMIF('NEI Lookups'!$Q:$Q,'Inputs Yr 2'!$F76,'NEI Lookups'!H:H)+SUMIF('NEI Lookups'!$R:$R,'Inputs Yr 2'!$F76,'NEI Lookups'!H:H)+SUMIF('NEI Lookups'!$S:$S,'Inputs Yr 2'!$F76,'NEI Lookups'!H:H)+SUMIF('NEI Lookups'!$T:$T,'Inputs Yr 2'!$F76,'NEI Lookups'!H:H)</f>
        <v>0</v>
      </c>
      <c r="AW76" s="302">
        <f>SUMIF('NEI Lookups'!$L:$L,'Inputs Yr 2'!$F76,'NEI Lookups'!I:I)+SUMIF('NEI Lookups'!$M:$M,'Inputs Yr 2'!$F76,'NEI Lookups'!I:I)+SUMIF('NEI Lookups'!$N:$N,'Inputs Yr 2'!$F76,'NEI Lookups'!I:I)+SUMIF('NEI Lookups'!$O:$O,'Inputs Yr 2'!$F76,'NEI Lookups'!I:I)+SUMIF('NEI Lookups'!$P:$P,'Inputs Yr 2'!$F76,'NEI Lookups'!I:I)+SUMIF('NEI Lookups'!$Q:$Q,'Inputs Yr 2'!$F76,'NEI Lookups'!I:I)+SUMIF('NEI Lookups'!$R:$R,'Inputs Yr 2'!$F76,'NEI Lookups'!I:I)+SUMIF('NEI Lookups'!$S:$S,'Inputs Yr 2'!$F76,'NEI Lookups'!I:I)+SUMIF('NEI Lookups'!$T:$T,'Inputs Yr 2'!$F76,'NEI Lookups'!I:I)</f>
        <v>0</v>
      </c>
      <c r="AX76" s="302">
        <f>SUMIF('NEI Lookups'!$L:$L,'Inputs Yr 2'!$F76,'NEI Lookups'!J:J)+SUMIF('NEI Lookups'!$M:$M,'Inputs Yr 2'!$F76,'NEI Lookups'!J:J)+SUMIF('NEI Lookups'!$N:$N,'Inputs Yr 2'!$F76,'NEI Lookups'!J:J)+SUMIF('NEI Lookups'!$O:$O,'Inputs Yr 2'!$F76,'NEI Lookups'!J:J)+SUMIF('NEI Lookups'!$P:$P,'Inputs Yr 2'!$F76,'NEI Lookups'!J:J)+SUMIF('NEI Lookups'!$Q:$Q,'Inputs Yr 2'!$F76,'NEI Lookups'!J:J)+SUMIF('NEI Lookups'!$R:$R,'Inputs Yr 2'!$F76,'NEI Lookups'!J:J)+SUMIF('NEI Lookups'!$S:$S,'Inputs Yr 2'!$F76,'NEI Lookups'!J:J)+SUMIF('NEI Lookups'!$T:$T,'Inputs Yr 2'!$F76,'NEI Lookups'!J:J)</f>
        <v>0</v>
      </c>
      <c r="AY76" s="932" t="e">
        <f>'Calculations Yr 2'!CP76/'Calculations Yr 2'!I76</f>
        <v>#VALUE!</v>
      </c>
    </row>
    <row r="77" spans="1:51" s="133" customFormat="1" ht="12.75" customHeight="1">
      <c r="A77" s="145" t="s">
        <v>32</v>
      </c>
      <c r="B77" s="132" t="s">
        <v>465</v>
      </c>
      <c r="C77" s="132" t="s">
        <v>909</v>
      </c>
      <c r="D77" s="902" t="s">
        <v>1466</v>
      </c>
      <c r="E77" s="150" t="s">
        <v>1313</v>
      </c>
      <c r="F77" s="98" t="s">
        <v>998</v>
      </c>
      <c r="G77" s="145" t="s">
        <v>1247</v>
      </c>
      <c r="H77" s="232">
        <v>163</v>
      </c>
      <c r="I77" s="232">
        <v>20</v>
      </c>
      <c r="J77" s="964">
        <v>3096.0815445704134</v>
      </c>
      <c r="K77" s="166">
        <v>1000</v>
      </c>
      <c r="L77" s="888">
        <f t="shared" si="16"/>
        <v>2096.0815445704134</v>
      </c>
      <c r="M77" s="978">
        <v>0.32</v>
      </c>
      <c r="N77" s="978">
        <v>0.08</v>
      </c>
      <c r="O77" s="978">
        <v>0</v>
      </c>
      <c r="P77" s="889">
        <f t="shared" si="19"/>
        <v>0.7599999999999999</v>
      </c>
      <c r="Q77" s="978">
        <v>1</v>
      </c>
      <c r="R77" s="178">
        <v>1</v>
      </c>
      <c r="S77" s="178">
        <v>1</v>
      </c>
      <c r="T77" s="178">
        <v>1</v>
      </c>
      <c r="U77" s="978">
        <v>1</v>
      </c>
      <c r="V77" s="978">
        <v>1</v>
      </c>
      <c r="W77" s="179"/>
      <c r="X77" s="909" t="s">
        <v>653</v>
      </c>
      <c r="Y77" s="299">
        <f>IFERROR(VLOOKUP($X77,'Demand Lookups'!$A$5:$K$101,9,0), 0)</f>
        <v>0</v>
      </c>
      <c r="Z77" s="922" t="str">
        <f>IFERROR(VLOOKUP(X77,'Demand Lookups'!$A$5:$B$101,2,0),0)</f>
        <v>Non-Electric Measures</v>
      </c>
      <c r="AA77" s="835">
        <f>IF(ISNA(VLOOKUP($X77,'Demand Lookups'!$A$5:$K$81,3,0)),0,VLOOKUP($X77,'Demand Lookups'!$A$5:$K$81,3,0))</f>
        <v>0</v>
      </c>
      <c r="AB77" s="835">
        <f>IF(ISNA(VLOOKUP($X77,'Demand Lookups'!$A$5:$K$81,4,0)),0,VLOOKUP($X77,'Demand Lookups'!$A$5:$K$81,4,0))</f>
        <v>0</v>
      </c>
      <c r="AC77" s="835">
        <f>IF(ISNA(VLOOKUP($X77,'Demand Lookups'!$A$5:$K$81,5,0)),0,VLOOKUP($X77,'Demand Lookups'!$A$5:$K$81,5,0))</f>
        <v>0</v>
      </c>
      <c r="AD77" s="836">
        <f>IF(ISNA(VLOOKUP($X77,'Demand Lookups'!$A$5:$K$81,6,0)),0,VLOOKUP($X77,'Demand Lookups'!$A$5:$K$81,6,0))</f>
        <v>0</v>
      </c>
      <c r="AE77" s="837">
        <f t="shared" si="20"/>
        <v>0</v>
      </c>
      <c r="AF77" s="836">
        <f>ROUND(IF(ISNA(VLOOKUP($X77,'Demand Lookups'!$A$5:$K$82,10,0)),0,(VLOOKUP($X77,'Demand Lookups'!$A$5:$K$82,10,0))),2)</f>
        <v>0</v>
      </c>
      <c r="AG77" s="836">
        <f>ROUND(IF(ISNA(VLOOKUP($X77,'Demand Lookups'!$A$5:$K$82,11,0)),0,VLOOKUP($X77,'Demand Lookups'!$A$5:$K$82,11,0)),2)</f>
        <v>0</v>
      </c>
      <c r="AH77" s="648">
        <f t="shared" si="21"/>
        <v>0</v>
      </c>
      <c r="AI77" s="648">
        <f t="shared" si="22"/>
        <v>0</v>
      </c>
      <c r="AJ77" s="167" t="s">
        <v>404</v>
      </c>
      <c r="AK77" s="865">
        <v>11.400000000000002</v>
      </c>
      <c r="AL77" s="167"/>
      <c r="AM77" s="168"/>
      <c r="AN77" s="167"/>
      <c r="AO77" s="168"/>
      <c r="AP77" s="171">
        <v>0</v>
      </c>
      <c r="AQ77" s="171"/>
      <c r="AR77" s="171"/>
      <c r="AS77" s="299">
        <f>SUMIF('NEI Lookups'!$L:$L,'Inputs Yr 2'!$F77,'NEI Lookups'!E:E)+SUMIF('NEI Lookups'!$M:$M,'Inputs Yr 2'!$F77,'NEI Lookups'!E:E)+SUMIF('NEI Lookups'!$N:$N,'Inputs Yr 2'!$F77,'NEI Lookups'!E:E)+SUMIF('NEI Lookups'!$O:$O,'Inputs Yr 2'!$F77,'NEI Lookups'!E:E)+SUMIF('NEI Lookups'!$P:$P,'Inputs Yr 2'!$F77,'NEI Lookups'!E:E)+SUMIF('NEI Lookups'!$Q:$Q,'Inputs Yr 2'!$F77,'NEI Lookups'!E:E)+SUMIF('NEI Lookups'!$R:$R,'Inputs Yr 2'!$F77,'NEI Lookups'!E:E)+SUMIF('NEI Lookups'!$S:$S,'Inputs Yr 2'!$F77,'NEI Lookups'!E:E)+SUMIF('NEI Lookups'!$T:$T,'Inputs Yr 2'!$F77,'NEI Lookups'!E:E)</f>
        <v>32.430074699999999</v>
      </c>
      <c r="AT77" s="299">
        <f>SUMIF('NEI Lookups'!$L:$L,'Inputs Yr 2'!$F77,'NEI Lookups'!F:F)+SUMIF('NEI Lookups'!$M:$M,'Inputs Yr 2'!$F77,'NEI Lookups'!F:F)+SUMIF('NEI Lookups'!$N:$N,'Inputs Yr 2'!$F77,'NEI Lookups'!F:F)+SUMIF('NEI Lookups'!$O:$O,'Inputs Yr 2'!$F77,'NEI Lookups'!F:F)+SUMIF('NEI Lookups'!$P:$P,'Inputs Yr 2'!$F77,'NEI Lookups'!F:F)+SUMIF('NEI Lookups'!$Q:$Q,'Inputs Yr 2'!$F77,'NEI Lookups'!F:F)+SUMIF('NEI Lookups'!$R:$R,'Inputs Yr 2'!$F77,'NEI Lookups'!F:F)+SUMIF('NEI Lookups'!$S:$S,'Inputs Yr 2'!$F77,'NEI Lookups'!F:F)+SUMIF('NEI Lookups'!$T:$T,'Inputs Yr 2'!$F77,'NEI Lookups'!F:F)</f>
        <v>0</v>
      </c>
      <c r="AU77" s="299">
        <f>SUMIF('NEI Lookups'!$L:$L,'Inputs Yr 2'!$F77,'NEI Lookups'!G:G)+SUMIF('NEI Lookups'!$M:$M,'Inputs Yr 2'!$F77,'NEI Lookups'!G:G)+SUMIF('NEI Lookups'!$N:$N,'Inputs Yr 2'!$F77,'NEI Lookups'!G:G)+SUMIF('NEI Lookups'!$O:$O,'Inputs Yr 2'!$F77,'NEI Lookups'!G:G)+SUMIF('NEI Lookups'!$P:$P,'Inputs Yr 2'!$F77,'NEI Lookups'!G:G)+SUMIF('NEI Lookups'!$Q:$Q,'Inputs Yr 2'!$F77,'NEI Lookups'!G:G)+SUMIF('NEI Lookups'!$R:$R,'Inputs Yr 2'!$F77,'NEI Lookups'!G:G)+SUMIF('NEI Lookups'!$S:$S,'Inputs Yr 2'!$F77,'NEI Lookups'!G:G)+SUMIF('NEI Lookups'!$T:$T,'Inputs Yr 2'!$F77,'NEI Lookups'!G:G)</f>
        <v>0</v>
      </c>
      <c r="AV77" s="299">
        <f>SUMIF('NEI Lookups'!$L:$L,'Inputs Yr 2'!$F77,'NEI Lookups'!H:H)+SUMIF('NEI Lookups'!$M:$M,'Inputs Yr 2'!$F77,'NEI Lookups'!H:H)+SUMIF('NEI Lookups'!$N:$N,'Inputs Yr 2'!$F77,'NEI Lookups'!H:H)+SUMIF('NEI Lookups'!$O:$O,'Inputs Yr 2'!$F77,'NEI Lookups'!H:H)+SUMIF('NEI Lookups'!$P:$P,'Inputs Yr 2'!$F77,'NEI Lookups'!H:H)+SUMIF('NEI Lookups'!$Q:$Q,'Inputs Yr 2'!$F77,'NEI Lookups'!H:H)+SUMIF('NEI Lookups'!$R:$R,'Inputs Yr 2'!$F77,'NEI Lookups'!H:H)+SUMIF('NEI Lookups'!$S:$S,'Inputs Yr 2'!$F77,'NEI Lookups'!H:H)+SUMIF('NEI Lookups'!$T:$T,'Inputs Yr 2'!$F77,'NEI Lookups'!H:H)</f>
        <v>0</v>
      </c>
      <c r="AW77" s="299">
        <f>SUMIF('NEI Lookups'!$L:$L,'Inputs Yr 2'!$F77,'NEI Lookups'!I:I)+SUMIF('NEI Lookups'!$M:$M,'Inputs Yr 2'!$F77,'NEI Lookups'!I:I)+SUMIF('NEI Lookups'!$N:$N,'Inputs Yr 2'!$F77,'NEI Lookups'!I:I)+SUMIF('NEI Lookups'!$O:$O,'Inputs Yr 2'!$F77,'NEI Lookups'!I:I)+SUMIF('NEI Lookups'!$P:$P,'Inputs Yr 2'!$F77,'NEI Lookups'!I:I)+SUMIF('NEI Lookups'!$Q:$Q,'Inputs Yr 2'!$F77,'NEI Lookups'!I:I)+SUMIF('NEI Lookups'!$R:$R,'Inputs Yr 2'!$F77,'NEI Lookups'!I:I)+SUMIF('NEI Lookups'!$S:$S,'Inputs Yr 2'!$F77,'NEI Lookups'!I:I)+SUMIF('NEI Lookups'!$T:$T,'Inputs Yr 2'!$F77,'NEI Lookups'!I:I)</f>
        <v>0</v>
      </c>
      <c r="AX77" s="299">
        <f>SUMIF('NEI Lookups'!$L:$L,'Inputs Yr 2'!$F77,'NEI Lookups'!J:J)+SUMIF('NEI Lookups'!$M:$M,'Inputs Yr 2'!$F77,'NEI Lookups'!J:J)+SUMIF('NEI Lookups'!$N:$N,'Inputs Yr 2'!$F77,'NEI Lookups'!J:J)+SUMIF('NEI Lookups'!$O:$O,'Inputs Yr 2'!$F77,'NEI Lookups'!J:J)+SUMIF('NEI Lookups'!$P:$P,'Inputs Yr 2'!$F77,'NEI Lookups'!J:J)+SUMIF('NEI Lookups'!$Q:$Q,'Inputs Yr 2'!$F77,'NEI Lookups'!J:J)+SUMIF('NEI Lookups'!$R:$R,'Inputs Yr 2'!$F77,'NEI Lookups'!J:J)+SUMIF('NEI Lookups'!$S:$S,'Inputs Yr 2'!$F77,'NEI Lookups'!J:J)+SUMIF('NEI Lookups'!$T:$T,'Inputs Yr 2'!$F77,'NEI Lookups'!J:J)</f>
        <v>0</v>
      </c>
      <c r="AY77" s="930">
        <f>'Calculations Yr 2'!CP77/'Calculations Yr 2'!I77</f>
        <v>0.87857399347202303</v>
      </c>
    </row>
    <row r="78" spans="1:51" s="133" customFormat="1" ht="12.75" customHeight="1">
      <c r="A78" s="145" t="s">
        <v>32</v>
      </c>
      <c r="B78" s="132" t="s">
        <v>465</v>
      </c>
      <c r="C78" s="132" t="s">
        <v>909</v>
      </c>
      <c r="D78" s="902" t="s">
        <v>1467</v>
      </c>
      <c r="E78" s="150" t="s">
        <v>1314</v>
      </c>
      <c r="F78" s="98" t="s">
        <v>999</v>
      </c>
      <c r="G78" s="145" t="s">
        <v>1247</v>
      </c>
      <c r="H78" s="232">
        <v>1334</v>
      </c>
      <c r="I78" s="232">
        <v>20</v>
      </c>
      <c r="J78" s="964">
        <v>3885.3089565388141</v>
      </c>
      <c r="K78" s="166">
        <v>1490.8144519289651</v>
      </c>
      <c r="L78" s="888">
        <f t="shared" si="16"/>
        <v>2394.4945046098492</v>
      </c>
      <c r="M78" s="978">
        <v>0.31</v>
      </c>
      <c r="N78" s="978">
        <v>0.08</v>
      </c>
      <c r="O78" s="978">
        <v>0</v>
      </c>
      <c r="P78" s="889">
        <f t="shared" si="19"/>
        <v>0.76999999999999991</v>
      </c>
      <c r="Q78" s="978">
        <v>1</v>
      </c>
      <c r="R78" s="178">
        <v>1</v>
      </c>
      <c r="S78" s="178">
        <v>1</v>
      </c>
      <c r="T78" s="178">
        <v>1</v>
      </c>
      <c r="U78" s="978">
        <v>1</v>
      </c>
      <c r="V78" s="978">
        <v>1</v>
      </c>
      <c r="W78" s="179"/>
      <c r="X78" s="937" t="s">
        <v>653</v>
      </c>
      <c r="Y78" s="299">
        <f>IFERROR(VLOOKUP($X78,'Demand Lookups'!$A$5:$K$101,9,0), 0)</f>
        <v>0</v>
      </c>
      <c r="Z78" s="922" t="str">
        <f>IFERROR(VLOOKUP(X78,'Demand Lookups'!$A$5:$B$101,2,0),0)</f>
        <v>Non-Electric Measures</v>
      </c>
      <c r="AA78" s="722">
        <f>IF(ISNA(VLOOKUP($X78,'Demand Lookups'!$A$5:$K$81,3,0)),0,VLOOKUP($X78,'Demand Lookups'!$A$5:$K$81,3,0))</f>
        <v>0</v>
      </c>
      <c r="AB78" s="722">
        <f>IF(ISNA(VLOOKUP($X78,'Demand Lookups'!$A$5:$K$81,4,0)),0,VLOOKUP($X78,'Demand Lookups'!$A$5:$K$81,4,0))</f>
        <v>0</v>
      </c>
      <c r="AC78" s="722">
        <f>IF(ISNA(VLOOKUP($X78,'Demand Lookups'!$A$5:$K$81,5,0)),0,VLOOKUP($X78,'Demand Lookups'!$A$5:$K$81,5,0))</f>
        <v>0</v>
      </c>
      <c r="AD78" s="723">
        <f>IF(ISNA(VLOOKUP($X78,'Demand Lookups'!$A$5:$K$81,6,0)),0,VLOOKUP($X78,'Demand Lookups'!$A$5:$K$81,6,0))</f>
        <v>0</v>
      </c>
      <c r="AE78" s="724">
        <f t="shared" si="20"/>
        <v>0</v>
      </c>
      <c r="AF78" s="723">
        <f>ROUND(IF(ISNA(VLOOKUP($X78,'Demand Lookups'!$A$5:$K$82,10,0)),0,(VLOOKUP($X78,'Demand Lookups'!$A$5:$K$82,10,0))),2)</f>
        <v>0</v>
      </c>
      <c r="AG78" s="723">
        <f>ROUND(IF(ISNA(VLOOKUP($X78,'Demand Lookups'!$A$5:$K$82,11,0)),0,VLOOKUP($X78,'Demand Lookups'!$A$5:$K$82,11,0)),2)</f>
        <v>0</v>
      </c>
      <c r="AH78" s="648">
        <f t="shared" si="21"/>
        <v>0</v>
      </c>
      <c r="AI78" s="648">
        <f t="shared" si="22"/>
        <v>0</v>
      </c>
      <c r="AJ78" s="167" t="s">
        <v>404</v>
      </c>
      <c r="AK78" s="865">
        <v>14.100000000000003</v>
      </c>
      <c r="AL78" s="167"/>
      <c r="AM78" s="168"/>
      <c r="AN78" s="167"/>
      <c r="AO78" s="168"/>
      <c r="AP78" s="171">
        <v>0</v>
      </c>
      <c r="AQ78" s="171"/>
      <c r="AR78" s="171"/>
      <c r="AS78" s="299">
        <f>SUMIF('NEI Lookups'!$L:$L,'Inputs Yr 2'!$F78,'NEI Lookups'!E:E)+SUMIF('NEI Lookups'!$M:$M,'Inputs Yr 2'!$F78,'NEI Lookups'!E:E)+SUMIF('NEI Lookups'!$N:$N,'Inputs Yr 2'!$F78,'NEI Lookups'!E:E)+SUMIF('NEI Lookups'!$O:$O,'Inputs Yr 2'!$F78,'NEI Lookups'!E:E)+SUMIF('NEI Lookups'!$P:$P,'Inputs Yr 2'!$F78,'NEI Lookups'!E:E)+SUMIF('NEI Lookups'!$Q:$Q,'Inputs Yr 2'!$F78,'NEI Lookups'!E:E)+SUMIF('NEI Lookups'!$R:$R,'Inputs Yr 2'!$F78,'NEI Lookups'!E:E)+SUMIF('NEI Lookups'!$S:$S,'Inputs Yr 2'!$F78,'NEI Lookups'!E:E)+SUMIF('NEI Lookups'!$T:$T,'Inputs Yr 2'!$F78,'NEI Lookups'!E:E)</f>
        <v>32.43</v>
      </c>
      <c r="AT78" s="299">
        <f>SUMIF('NEI Lookups'!$L:$L,'Inputs Yr 2'!$F78,'NEI Lookups'!F:F)+SUMIF('NEI Lookups'!$M:$M,'Inputs Yr 2'!$F78,'NEI Lookups'!F:F)+SUMIF('NEI Lookups'!$N:$N,'Inputs Yr 2'!$F78,'NEI Lookups'!F:F)+SUMIF('NEI Lookups'!$O:$O,'Inputs Yr 2'!$F78,'NEI Lookups'!F:F)+SUMIF('NEI Lookups'!$P:$P,'Inputs Yr 2'!$F78,'NEI Lookups'!F:F)+SUMIF('NEI Lookups'!$Q:$Q,'Inputs Yr 2'!$F78,'NEI Lookups'!F:F)+SUMIF('NEI Lookups'!$R:$R,'Inputs Yr 2'!$F78,'NEI Lookups'!F:F)+SUMIF('NEI Lookups'!$S:$S,'Inputs Yr 2'!$F78,'NEI Lookups'!F:F)+SUMIF('NEI Lookups'!$T:$T,'Inputs Yr 2'!$F78,'NEI Lookups'!F:F)</f>
        <v>0</v>
      </c>
      <c r="AU78" s="299">
        <f>SUMIF('NEI Lookups'!$L:$L,'Inputs Yr 2'!$F78,'NEI Lookups'!G:G)+SUMIF('NEI Lookups'!$M:$M,'Inputs Yr 2'!$F78,'NEI Lookups'!G:G)+SUMIF('NEI Lookups'!$N:$N,'Inputs Yr 2'!$F78,'NEI Lookups'!G:G)+SUMIF('NEI Lookups'!$O:$O,'Inputs Yr 2'!$F78,'NEI Lookups'!G:G)+SUMIF('NEI Lookups'!$P:$P,'Inputs Yr 2'!$F78,'NEI Lookups'!G:G)+SUMIF('NEI Lookups'!$Q:$Q,'Inputs Yr 2'!$F78,'NEI Lookups'!G:G)+SUMIF('NEI Lookups'!$R:$R,'Inputs Yr 2'!$F78,'NEI Lookups'!G:G)+SUMIF('NEI Lookups'!$S:$S,'Inputs Yr 2'!$F78,'NEI Lookups'!G:G)+SUMIF('NEI Lookups'!$T:$T,'Inputs Yr 2'!$F78,'NEI Lookups'!G:G)</f>
        <v>0</v>
      </c>
      <c r="AV78" s="299">
        <f>SUMIF('NEI Lookups'!$L:$L,'Inputs Yr 2'!$F78,'NEI Lookups'!H:H)+SUMIF('NEI Lookups'!$M:$M,'Inputs Yr 2'!$F78,'NEI Lookups'!H:H)+SUMIF('NEI Lookups'!$N:$N,'Inputs Yr 2'!$F78,'NEI Lookups'!H:H)+SUMIF('NEI Lookups'!$O:$O,'Inputs Yr 2'!$F78,'NEI Lookups'!H:H)+SUMIF('NEI Lookups'!$P:$P,'Inputs Yr 2'!$F78,'NEI Lookups'!H:H)+SUMIF('NEI Lookups'!$Q:$Q,'Inputs Yr 2'!$F78,'NEI Lookups'!H:H)+SUMIF('NEI Lookups'!$R:$R,'Inputs Yr 2'!$F78,'NEI Lookups'!H:H)+SUMIF('NEI Lookups'!$S:$S,'Inputs Yr 2'!$F78,'NEI Lookups'!H:H)+SUMIF('NEI Lookups'!$T:$T,'Inputs Yr 2'!$F78,'NEI Lookups'!H:H)</f>
        <v>0</v>
      </c>
      <c r="AW78" s="299">
        <f>SUMIF('NEI Lookups'!$L:$L,'Inputs Yr 2'!$F78,'NEI Lookups'!I:I)+SUMIF('NEI Lookups'!$M:$M,'Inputs Yr 2'!$F78,'NEI Lookups'!I:I)+SUMIF('NEI Lookups'!$N:$N,'Inputs Yr 2'!$F78,'NEI Lookups'!I:I)+SUMIF('NEI Lookups'!$O:$O,'Inputs Yr 2'!$F78,'NEI Lookups'!I:I)+SUMIF('NEI Lookups'!$P:$P,'Inputs Yr 2'!$F78,'NEI Lookups'!I:I)+SUMIF('NEI Lookups'!$Q:$Q,'Inputs Yr 2'!$F78,'NEI Lookups'!I:I)+SUMIF('NEI Lookups'!$R:$R,'Inputs Yr 2'!$F78,'NEI Lookups'!I:I)+SUMIF('NEI Lookups'!$S:$S,'Inputs Yr 2'!$F78,'NEI Lookups'!I:I)+SUMIF('NEI Lookups'!$T:$T,'Inputs Yr 2'!$F78,'NEI Lookups'!I:I)</f>
        <v>0</v>
      </c>
      <c r="AX78" s="299">
        <f>SUMIF('NEI Lookups'!$L:$L,'Inputs Yr 2'!$F78,'NEI Lookups'!J:J)+SUMIF('NEI Lookups'!$M:$M,'Inputs Yr 2'!$F78,'NEI Lookups'!J:J)+SUMIF('NEI Lookups'!$N:$N,'Inputs Yr 2'!$F78,'NEI Lookups'!J:J)+SUMIF('NEI Lookups'!$O:$O,'Inputs Yr 2'!$F78,'NEI Lookups'!J:J)+SUMIF('NEI Lookups'!$P:$P,'Inputs Yr 2'!$F78,'NEI Lookups'!J:J)+SUMIF('NEI Lookups'!$Q:$Q,'Inputs Yr 2'!$F78,'NEI Lookups'!J:J)+SUMIF('NEI Lookups'!$R:$R,'Inputs Yr 2'!$F78,'NEI Lookups'!J:J)+SUMIF('NEI Lookups'!$S:$S,'Inputs Yr 2'!$F78,'NEI Lookups'!J:J)+SUMIF('NEI Lookups'!$T:$T,'Inputs Yr 2'!$F78,'NEI Lookups'!J:J)</f>
        <v>0</v>
      </c>
      <c r="AY78" s="930">
        <f>'Calculations Yr 2'!CP78/'Calculations Yr 2'!I78</f>
        <v>0.82807142489944763</v>
      </c>
    </row>
    <row r="79" spans="1:51" s="133" customFormat="1" ht="12.75" customHeight="1">
      <c r="A79" s="145" t="s">
        <v>32</v>
      </c>
      <c r="B79" s="132" t="s">
        <v>465</v>
      </c>
      <c r="C79" s="132" t="s">
        <v>909</v>
      </c>
      <c r="D79" s="902" t="s">
        <v>1468</v>
      </c>
      <c r="E79" s="150" t="s">
        <v>1315</v>
      </c>
      <c r="F79" s="98" t="s">
        <v>1000</v>
      </c>
      <c r="G79" s="145" t="s">
        <v>1247</v>
      </c>
      <c r="H79" s="232">
        <v>939</v>
      </c>
      <c r="I79" s="232">
        <v>17</v>
      </c>
      <c r="J79" s="964">
        <v>921.04387370690438</v>
      </c>
      <c r="K79" s="166">
        <v>209.78564771668221</v>
      </c>
      <c r="L79" s="888">
        <f t="shared" si="16"/>
        <v>711.25822599022217</v>
      </c>
      <c r="M79" s="978">
        <v>0.41</v>
      </c>
      <c r="N79" s="978">
        <v>0.22</v>
      </c>
      <c r="O79" s="978">
        <v>0</v>
      </c>
      <c r="P79" s="889">
        <f t="shared" si="19"/>
        <v>0.81</v>
      </c>
      <c r="Q79" s="978">
        <v>1</v>
      </c>
      <c r="R79" s="178">
        <v>1</v>
      </c>
      <c r="S79" s="178">
        <v>1</v>
      </c>
      <c r="T79" s="178">
        <v>1</v>
      </c>
      <c r="U79" s="978">
        <v>1</v>
      </c>
      <c r="V79" s="978">
        <v>1</v>
      </c>
      <c r="W79" s="179"/>
      <c r="X79" s="937" t="s">
        <v>653</v>
      </c>
      <c r="Y79" s="299">
        <f>IFERROR(VLOOKUP($X79,'Demand Lookups'!$A$5:$K$101,9,0), 0)</f>
        <v>0</v>
      </c>
      <c r="Z79" s="922" t="str">
        <f>IFERROR(VLOOKUP(X79,'Demand Lookups'!$A$5:$B$101,2,0),0)</f>
        <v>Non-Electric Measures</v>
      </c>
      <c r="AA79" s="722">
        <f>IF(ISNA(VLOOKUP($X79,'Demand Lookups'!$A$5:$K$81,3,0)),0,VLOOKUP($X79,'Demand Lookups'!$A$5:$K$81,3,0))</f>
        <v>0</v>
      </c>
      <c r="AB79" s="722">
        <f>IF(ISNA(VLOOKUP($X79,'Demand Lookups'!$A$5:$K$81,4,0)),0,VLOOKUP($X79,'Demand Lookups'!$A$5:$K$81,4,0))</f>
        <v>0</v>
      </c>
      <c r="AC79" s="722">
        <f>IF(ISNA(VLOOKUP($X79,'Demand Lookups'!$A$5:$K$81,5,0)),0,VLOOKUP($X79,'Demand Lookups'!$A$5:$K$81,5,0))</f>
        <v>0</v>
      </c>
      <c r="AD79" s="723">
        <f>IF(ISNA(VLOOKUP($X79,'Demand Lookups'!$A$5:$K$81,6,0)),0,VLOOKUP($X79,'Demand Lookups'!$A$5:$K$81,6,0))</f>
        <v>0</v>
      </c>
      <c r="AE79" s="724">
        <f t="shared" si="20"/>
        <v>0</v>
      </c>
      <c r="AF79" s="723">
        <f>ROUND(IF(ISNA(VLOOKUP($X79,'Demand Lookups'!$A$5:$K$82,10,0)),0,(VLOOKUP($X79,'Demand Lookups'!$A$5:$K$82,10,0))),2)</f>
        <v>0</v>
      </c>
      <c r="AG79" s="723">
        <f>ROUND(IF(ISNA(VLOOKUP($X79,'Demand Lookups'!$A$5:$K$82,11,0)),0,VLOOKUP($X79,'Demand Lookups'!$A$5:$K$82,11,0)),2)</f>
        <v>0</v>
      </c>
      <c r="AH79" s="648">
        <f t="shared" si="21"/>
        <v>0</v>
      </c>
      <c r="AI79" s="648">
        <f t="shared" si="22"/>
        <v>0</v>
      </c>
      <c r="AJ79" s="167" t="s">
        <v>404</v>
      </c>
      <c r="AK79" s="865">
        <v>8.1</v>
      </c>
      <c r="AL79" s="167"/>
      <c r="AM79" s="168"/>
      <c r="AN79" s="167"/>
      <c r="AO79" s="168"/>
      <c r="AP79" s="171">
        <v>0</v>
      </c>
      <c r="AQ79" s="171"/>
      <c r="AR79" s="171"/>
      <c r="AS79" s="299">
        <f>SUMIF('NEI Lookups'!$L:$L,'Inputs Yr 2'!$F79,'NEI Lookups'!E:E)+SUMIF('NEI Lookups'!$M:$M,'Inputs Yr 2'!$F79,'NEI Lookups'!E:E)+SUMIF('NEI Lookups'!$N:$N,'Inputs Yr 2'!$F79,'NEI Lookups'!E:E)+SUMIF('NEI Lookups'!$O:$O,'Inputs Yr 2'!$F79,'NEI Lookups'!E:E)+SUMIF('NEI Lookups'!$P:$P,'Inputs Yr 2'!$F79,'NEI Lookups'!E:E)+SUMIF('NEI Lookups'!$Q:$Q,'Inputs Yr 2'!$F79,'NEI Lookups'!E:E)+SUMIF('NEI Lookups'!$R:$R,'Inputs Yr 2'!$F79,'NEI Lookups'!E:E)+SUMIF('NEI Lookups'!$S:$S,'Inputs Yr 2'!$F79,'NEI Lookups'!E:E)+SUMIF('NEI Lookups'!$T:$T,'Inputs Yr 2'!$F79,'NEI Lookups'!E:E)</f>
        <v>32.200000000000003</v>
      </c>
      <c r="AT79" s="299">
        <f>SUMIF('NEI Lookups'!$L:$L,'Inputs Yr 2'!$F79,'NEI Lookups'!F:F)+SUMIF('NEI Lookups'!$M:$M,'Inputs Yr 2'!$F79,'NEI Lookups'!F:F)+SUMIF('NEI Lookups'!$N:$N,'Inputs Yr 2'!$F79,'NEI Lookups'!F:F)+SUMIF('NEI Lookups'!$O:$O,'Inputs Yr 2'!$F79,'NEI Lookups'!F:F)+SUMIF('NEI Lookups'!$P:$P,'Inputs Yr 2'!$F79,'NEI Lookups'!F:F)+SUMIF('NEI Lookups'!$Q:$Q,'Inputs Yr 2'!$F79,'NEI Lookups'!F:F)+SUMIF('NEI Lookups'!$R:$R,'Inputs Yr 2'!$F79,'NEI Lookups'!F:F)+SUMIF('NEI Lookups'!$S:$S,'Inputs Yr 2'!$F79,'NEI Lookups'!F:F)+SUMIF('NEI Lookups'!$T:$T,'Inputs Yr 2'!$F79,'NEI Lookups'!F:F)</f>
        <v>0</v>
      </c>
      <c r="AU79" s="299">
        <f>SUMIF('NEI Lookups'!$L:$L,'Inputs Yr 2'!$F79,'NEI Lookups'!G:G)+SUMIF('NEI Lookups'!$M:$M,'Inputs Yr 2'!$F79,'NEI Lookups'!G:G)+SUMIF('NEI Lookups'!$N:$N,'Inputs Yr 2'!$F79,'NEI Lookups'!G:G)+SUMIF('NEI Lookups'!$O:$O,'Inputs Yr 2'!$F79,'NEI Lookups'!G:G)+SUMIF('NEI Lookups'!$P:$P,'Inputs Yr 2'!$F79,'NEI Lookups'!G:G)+SUMIF('NEI Lookups'!$Q:$Q,'Inputs Yr 2'!$F79,'NEI Lookups'!G:G)+SUMIF('NEI Lookups'!$R:$R,'Inputs Yr 2'!$F79,'NEI Lookups'!G:G)+SUMIF('NEI Lookups'!$S:$S,'Inputs Yr 2'!$F79,'NEI Lookups'!G:G)+SUMIF('NEI Lookups'!$T:$T,'Inputs Yr 2'!$F79,'NEI Lookups'!G:G)</f>
        <v>0</v>
      </c>
      <c r="AV79" s="299">
        <f>SUMIF('NEI Lookups'!$L:$L,'Inputs Yr 2'!$F79,'NEI Lookups'!H:H)+SUMIF('NEI Lookups'!$M:$M,'Inputs Yr 2'!$F79,'NEI Lookups'!H:H)+SUMIF('NEI Lookups'!$N:$N,'Inputs Yr 2'!$F79,'NEI Lookups'!H:H)+SUMIF('NEI Lookups'!$O:$O,'Inputs Yr 2'!$F79,'NEI Lookups'!H:H)+SUMIF('NEI Lookups'!$P:$P,'Inputs Yr 2'!$F79,'NEI Lookups'!H:H)+SUMIF('NEI Lookups'!$Q:$Q,'Inputs Yr 2'!$F79,'NEI Lookups'!H:H)+SUMIF('NEI Lookups'!$R:$R,'Inputs Yr 2'!$F79,'NEI Lookups'!H:H)+SUMIF('NEI Lookups'!$S:$S,'Inputs Yr 2'!$F79,'NEI Lookups'!H:H)+SUMIF('NEI Lookups'!$T:$T,'Inputs Yr 2'!$F79,'NEI Lookups'!H:H)</f>
        <v>0</v>
      </c>
      <c r="AW79" s="299">
        <f>SUMIF('NEI Lookups'!$L:$L,'Inputs Yr 2'!$F79,'NEI Lookups'!I:I)+SUMIF('NEI Lookups'!$M:$M,'Inputs Yr 2'!$F79,'NEI Lookups'!I:I)+SUMIF('NEI Lookups'!$N:$N,'Inputs Yr 2'!$F79,'NEI Lookups'!I:I)+SUMIF('NEI Lookups'!$O:$O,'Inputs Yr 2'!$F79,'NEI Lookups'!I:I)+SUMIF('NEI Lookups'!$P:$P,'Inputs Yr 2'!$F79,'NEI Lookups'!I:I)+SUMIF('NEI Lookups'!$Q:$Q,'Inputs Yr 2'!$F79,'NEI Lookups'!I:I)+SUMIF('NEI Lookups'!$R:$R,'Inputs Yr 2'!$F79,'NEI Lookups'!I:I)+SUMIF('NEI Lookups'!$S:$S,'Inputs Yr 2'!$F79,'NEI Lookups'!I:I)+SUMIF('NEI Lookups'!$T:$T,'Inputs Yr 2'!$F79,'NEI Lookups'!I:I)</f>
        <v>0</v>
      </c>
      <c r="AX79" s="299">
        <f>SUMIF('NEI Lookups'!$L:$L,'Inputs Yr 2'!$F79,'NEI Lookups'!J:J)+SUMIF('NEI Lookups'!$M:$M,'Inputs Yr 2'!$F79,'NEI Lookups'!J:J)+SUMIF('NEI Lookups'!$N:$N,'Inputs Yr 2'!$F79,'NEI Lookups'!J:J)+SUMIF('NEI Lookups'!$O:$O,'Inputs Yr 2'!$F79,'NEI Lookups'!J:J)+SUMIF('NEI Lookups'!$P:$P,'Inputs Yr 2'!$F79,'NEI Lookups'!J:J)+SUMIF('NEI Lookups'!$Q:$Q,'Inputs Yr 2'!$F79,'NEI Lookups'!J:J)+SUMIF('NEI Lookups'!$R:$R,'Inputs Yr 2'!$F79,'NEI Lookups'!J:J)+SUMIF('NEI Lookups'!$S:$S,'Inputs Yr 2'!$F79,'NEI Lookups'!J:J)+SUMIF('NEI Lookups'!$T:$T,'Inputs Yr 2'!$F79,'NEI Lookups'!J:J)</f>
        <v>0</v>
      </c>
      <c r="AY79" s="930">
        <f>'Calculations Yr 2'!CP79/'Calculations Yr 2'!I79</f>
        <v>1.9370881691151762</v>
      </c>
    </row>
    <row r="80" spans="1:51" s="133" customFormat="1" ht="12.75" customHeight="1">
      <c r="A80" s="145" t="s">
        <v>32</v>
      </c>
      <c r="B80" s="132" t="s">
        <v>465</v>
      </c>
      <c r="C80" s="132" t="s">
        <v>910</v>
      </c>
      <c r="D80" s="902"/>
      <c r="E80" s="150" t="s">
        <v>1316</v>
      </c>
      <c r="F80" s="98" t="s">
        <v>1001</v>
      </c>
      <c r="G80" s="145" t="s">
        <v>1247</v>
      </c>
      <c r="H80" s="232">
        <v>0</v>
      </c>
      <c r="I80" s="232">
        <v>0</v>
      </c>
      <c r="J80" s="964">
        <v>921.04387370690438</v>
      </c>
      <c r="K80" s="166">
        <v>300</v>
      </c>
      <c r="L80" s="888">
        <f t="shared" si="16"/>
        <v>621.04387370690438</v>
      </c>
      <c r="M80" s="978">
        <v>0</v>
      </c>
      <c r="N80" s="978">
        <v>0</v>
      </c>
      <c r="O80" s="978">
        <v>0</v>
      </c>
      <c r="P80" s="889">
        <f t="shared" si="19"/>
        <v>1</v>
      </c>
      <c r="Q80" s="978">
        <v>0</v>
      </c>
      <c r="R80" s="178">
        <v>1</v>
      </c>
      <c r="S80" s="178">
        <v>1</v>
      </c>
      <c r="T80" s="178">
        <v>1</v>
      </c>
      <c r="U80" s="978">
        <v>0</v>
      </c>
      <c r="V80" s="978">
        <v>0</v>
      </c>
      <c r="W80" s="179"/>
      <c r="X80" s="99" t="s">
        <v>35</v>
      </c>
      <c r="Y80" s="299">
        <f>IFERROR(VLOOKUP($X80,'Demand Lookups'!$A$5:$K$101,9,0), 0)</f>
        <v>5.3381390534849307E-4</v>
      </c>
      <c r="Z80" s="922" t="str">
        <f>IFERROR(VLOOKUP(X80,'Demand Lookups'!$A$5:$B$101,2,0),0)</f>
        <v>Res Single Family Electric Heating</v>
      </c>
      <c r="AA80" s="722">
        <v>0.37811107066668143</v>
      </c>
      <c r="AB80" s="722">
        <v>0.61526683076153199</v>
      </c>
      <c r="AC80" s="722">
        <v>1.7402036484173826E-3</v>
      </c>
      <c r="AD80" s="723">
        <v>4.8818949233697577E-3</v>
      </c>
      <c r="AE80" s="724">
        <v>8.9680736098546834E-2</v>
      </c>
      <c r="AF80" s="723">
        <v>0</v>
      </c>
      <c r="AG80" s="723">
        <v>1</v>
      </c>
      <c r="AH80" s="648">
        <v>0</v>
      </c>
      <c r="AI80" s="648">
        <v>0</v>
      </c>
      <c r="AJ80" s="167" t="s">
        <v>404</v>
      </c>
      <c r="AK80" s="865">
        <v>0</v>
      </c>
      <c r="AL80" s="167"/>
      <c r="AM80" s="168"/>
      <c r="AN80" s="167"/>
      <c r="AO80" s="168"/>
      <c r="AP80" s="171"/>
      <c r="AQ80" s="171"/>
      <c r="AR80" s="171"/>
      <c r="AS80" s="299">
        <f>SUMIF('NEI Lookups'!$L:$L,'Inputs Yr 2'!$F80,'NEI Lookups'!E:E)+SUMIF('NEI Lookups'!$M:$M,'Inputs Yr 2'!$F80,'NEI Lookups'!E:E)+SUMIF('NEI Lookups'!$N:$N,'Inputs Yr 2'!$F80,'NEI Lookups'!E:E)+SUMIF('NEI Lookups'!$O:$O,'Inputs Yr 2'!$F80,'NEI Lookups'!E:E)+SUMIF('NEI Lookups'!$P:$P,'Inputs Yr 2'!$F80,'NEI Lookups'!E:E)+SUMIF('NEI Lookups'!$Q:$Q,'Inputs Yr 2'!$F80,'NEI Lookups'!E:E)+SUMIF('NEI Lookups'!$R:$R,'Inputs Yr 2'!$F80,'NEI Lookups'!E:E)+SUMIF('NEI Lookups'!$S:$S,'Inputs Yr 2'!$F80,'NEI Lookups'!E:E)+SUMIF('NEI Lookups'!$T:$T,'Inputs Yr 2'!$F80,'NEI Lookups'!E:E)</f>
        <v>32.200000000000003</v>
      </c>
      <c r="AT80" s="299">
        <f>SUMIF('NEI Lookups'!$L:$L,'Inputs Yr 2'!$F80,'NEI Lookups'!F:F)+SUMIF('NEI Lookups'!$M:$M,'Inputs Yr 2'!$F80,'NEI Lookups'!F:F)+SUMIF('NEI Lookups'!$N:$N,'Inputs Yr 2'!$F80,'NEI Lookups'!F:F)+SUMIF('NEI Lookups'!$O:$O,'Inputs Yr 2'!$F80,'NEI Lookups'!F:F)+SUMIF('NEI Lookups'!$P:$P,'Inputs Yr 2'!$F80,'NEI Lookups'!F:F)+SUMIF('NEI Lookups'!$Q:$Q,'Inputs Yr 2'!$F80,'NEI Lookups'!F:F)+SUMIF('NEI Lookups'!$R:$R,'Inputs Yr 2'!$F80,'NEI Lookups'!F:F)+SUMIF('NEI Lookups'!$S:$S,'Inputs Yr 2'!$F80,'NEI Lookups'!F:F)+SUMIF('NEI Lookups'!$T:$T,'Inputs Yr 2'!$F80,'NEI Lookups'!F:F)</f>
        <v>0</v>
      </c>
      <c r="AU80" s="299">
        <f>SUMIF('NEI Lookups'!$L:$L,'Inputs Yr 2'!$F80,'NEI Lookups'!G:G)+SUMIF('NEI Lookups'!$M:$M,'Inputs Yr 2'!$F80,'NEI Lookups'!G:G)+SUMIF('NEI Lookups'!$N:$N,'Inputs Yr 2'!$F80,'NEI Lookups'!G:G)+SUMIF('NEI Lookups'!$O:$O,'Inputs Yr 2'!$F80,'NEI Lookups'!G:G)+SUMIF('NEI Lookups'!$P:$P,'Inputs Yr 2'!$F80,'NEI Lookups'!G:G)+SUMIF('NEI Lookups'!$Q:$Q,'Inputs Yr 2'!$F80,'NEI Lookups'!G:G)+SUMIF('NEI Lookups'!$R:$R,'Inputs Yr 2'!$F80,'NEI Lookups'!G:G)+SUMIF('NEI Lookups'!$S:$S,'Inputs Yr 2'!$F80,'NEI Lookups'!G:G)+SUMIF('NEI Lookups'!$T:$T,'Inputs Yr 2'!$F80,'NEI Lookups'!G:G)</f>
        <v>0</v>
      </c>
      <c r="AV80" s="299">
        <f>SUMIF('NEI Lookups'!$L:$L,'Inputs Yr 2'!$F80,'NEI Lookups'!H:H)+SUMIF('NEI Lookups'!$M:$M,'Inputs Yr 2'!$F80,'NEI Lookups'!H:H)+SUMIF('NEI Lookups'!$N:$N,'Inputs Yr 2'!$F80,'NEI Lookups'!H:H)+SUMIF('NEI Lookups'!$O:$O,'Inputs Yr 2'!$F80,'NEI Lookups'!H:H)+SUMIF('NEI Lookups'!$P:$P,'Inputs Yr 2'!$F80,'NEI Lookups'!H:H)+SUMIF('NEI Lookups'!$Q:$Q,'Inputs Yr 2'!$F80,'NEI Lookups'!H:H)+SUMIF('NEI Lookups'!$R:$R,'Inputs Yr 2'!$F80,'NEI Lookups'!H:H)+SUMIF('NEI Lookups'!$S:$S,'Inputs Yr 2'!$F80,'NEI Lookups'!H:H)+SUMIF('NEI Lookups'!$T:$T,'Inputs Yr 2'!$F80,'NEI Lookups'!H:H)</f>
        <v>0</v>
      </c>
      <c r="AW80" s="299">
        <f>SUMIF('NEI Lookups'!$L:$L,'Inputs Yr 2'!$F80,'NEI Lookups'!I:I)+SUMIF('NEI Lookups'!$M:$M,'Inputs Yr 2'!$F80,'NEI Lookups'!I:I)+SUMIF('NEI Lookups'!$N:$N,'Inputs Yr 2'!$F80,'NEI Lookups'!I:I)+SUMIF('NEI Lookups'!$O:$O,'Inputs Yr 2'!$F80,'NEI Lookups'!I:I)+SUMIF('NEI Lookups'!$P:$P,'Inputs Yr 2'!$F80,'NEI Lookups'!I:I)+SUMIF('NEI Lookups'!$Q:$Q,'Inputs Yr 2'!$F80,'NEI Lookups'!I:I)+SUMIF('NEI Lookups'!$R:$R,'Inputs Yr 2'!$F80,'NEI Lookups'!I:I)+SUMIF('NEI Lookups'!$S:$S,'Inputs Yr 2'!$F80,'NEI Lookups'!I:I)+SUMIF('NEI Lookups'!$T:$T,'Inputs Yr 2'!$F80,'NEI Lookups'!I:I)</f>
        <v>0</v>
      </c>
      <c r="AX80" s="299">
        <f>SUMIF('NEI Lookups'!$L:$L,'Inputs Yr 2'!$F80,'NEI Lookups'!J:J)+SUMIF('NEI Lookups'!$M:$M,'Inputs Yr 2'!$F80,'NEI Lookups'!J:J)+SUMIF('NEI Lookups'!$N:$N,'Inputs Yr 2'!$F80,'NEI Lookups'!J:J)+SUMIF('NEI Lookups'!$O:$O,'Inputs Yr 2'!$F80,'NEI Lookups'!J:J)+SUMIF('NEI Lookups'!$P:$P,'Inputs Yr 2'!$F80,'NEI Lookups'!J:J)+SUMIF('NEI Lookups'!$Q:$Q,'Inputs Yr 2'!$F80,'NEI Lookups'!J:J)+SUMIF('NEI Lookups'!$R:$R,'Inputs Yr 2'!$F80,'NEI Lookups'!J:J)+SUMIF('NEI Lookups'!$S:$S,'Inputs Yr 2'!$F80,'NEI Lookups'!J:J)+SUMIF('NEI Lookups'!$T:$T,'Inputs Yr 2'!$F80,'NEI Lookups'!J:J)</f>
        <v>0</v>
      </c>
      <c r="AY80" s="930" t="e">
        <f>'Calculations Yr 2'!CP80/'Calculations Yr 2'!I80</f>
        <v>#VALUE!</v>
      </c>
    </row>
    <row r="81" spans="1:51" s="133" customFormat="1" ht="12.75" customHeight="1">
      <c r="A81" s="145" t="s">
        <v>32</v>
      </c>
      <c r="B81" s="132" t="s">
        <v>465</v>
      </c>
      <c r="C81" s="132" t="s">
        <v>909</v>
      </c>
      <c r="D81" s="902" t="s">
        <v>1469</v>
      </c>
      <c r="E81" s="150" t="s">
        <v>1317</v>
      </c>
      <c r="F81" s="98" t="s">
        <v>1002</v>
      </c>
      <c r="G81" s="145" t="s">
        <v>1247</v>
      </c>
      <c r="H81" s="232">
        <v>917</v>
      </c>
      <c r="I81" s="232">
        <v>17</v>
      </c>
      <c r="J81" s="964">
        <v>1083.2058737069044</v>
      </c>
      <c r="K81" s="166">
        <v>516.71232876712327</v>
      </c>
      <c r="L81" s="888">
        <f t="shared" si="16"/>
        <v>566.49354493978115</v>
      </c>
      <c r="M81" s="978">
        <v>0.41</v>
      </c>
      <c r="N81" s="978">
        <v>0.22</v>
      </c>
      <c r="O81" s="978">
        <v>0</v>
      </c>
      <c r="P81" s="889">
        <f t="shared" si="19"/>
        <v>0.81</v>
      </c>
      <c r="Q81" s="978">
        <v>1</v>
      </c>
      <c r="R81" s="178">
        <v>1</v>
      </c>
      <c r="S81" s="178">
        <v>1</v>
      </c>
      <c r="T81" s="178">
        <v>1</v>
      </c>
      <c r="U81" s="978">
        <v>1</v>
      </c>
      <c r="V81" s="978">
        <v>1</v>
      </c>
      <c r="W81" s="179"/>
      <c r="X81" s="937" t="s">
        <v>653</v>
      </c>
      <c r="Y81" s="299">
        <f>IFERROR(VLOOKUP($X81,'Demand Lookups'!$A$5:$K$101,9,0), 0)</f>
        <v>0</v>
      </c>
      <c r="Z81" s="922" t="str">
        <f>IFERROR(VLOOKUP(X81,'Demand Lookups'!$A$5:$B$101,2,0),0)</f>
        <v>Non-Electric Measures</v>
      </c>
      <c r="AA81" s="722">
        <f>IF(ISNA(VLOOKUP($X81,'Demand Lookups'!$A$5:$K$81,3,0)),0,VLOOKUP($X81,'Demand Lookups'!$A$5:$K$81,3,0))</f>
        <v>0</v>
      </c>
      <c r="AB81" s="722">
        <f>IF(ISNA(VLOOKUP($X81,'Demand Lookups'!$A$5:$K$81,4,0)),0,VLOOKUP($X81,'Demand Lookups'!$A$5:$K$81,4,0))</f>
        <v>0</v>
      </c>
      <c r="AC81" s="722">
        <f>IF(ISNA(VLOOKUP($X81,'Demand Lookups'!$A$5:$K$81,5,0)),0,VLOOKUP($X81,'Demand Lookups'!$A$5:$K$81,5,0))</f>
        <v>0</v>
      </c>
      <c r="AD81" s="723">
        <f>IF(ISNA(VLOOKUP($X81,'Demand Lookups'!$A$5:$K$81,6,0)),0,VLOOKUP($X81,'Demand Lookups'!$A$5:$K$81,6,0))</f>
        <v>0</v>
      </c>
      <c r="AE81" s="724">
        <f t="shared" si="20"/>
        <v>0</v>
      </c>
      <c r="AF81" s="723">
        <f>ROUND(IF(ISNA(VLOOKUP($X81,'Demand Lookups'!$A$5:$K$82,10,0)),0,(VLOOKUP($X81,'Demand Lookups'!$A$5:$K$82,10,0))),2)</f>
        <v>0</v>
      </c>
      <c r="AG81" s="723">
        <f>ROUND(IF(ISNA(VLOOKUP($X81,'Demand Lookups'!$A$5:$K$82,11,0)),0,VLOOKUP($X81,'Demand Lookups'!$A$5:$K$82,11,0)),2)</f>
        <v>0</v>
      </c>
      <c r="AH81" s="648">
        <f t="shared" si="21"/>
        <v>0</v>
      </c>
      <c r="AI81" s="648">
        <f t="shared" si="22"/>
        <v>0</v>
      </c>
      <c r="AJ81" s="167" t="s">
        <v>404</v>
      </c>
      <c r="AK81" s="865">
        <v>9.1999999999999993</v>
      </c>
      <c r="AL81" s="167"/>
      <c r="AM81" s="168"/>
      <c r="AN81" s="167"/>
      <c r="AO81" s="168"/>
      <c r="AP81" s="171">
        <v>0</v>
      </c>
      <c r="AQ81" s="171"/>
      <c r="AR81" s="171"/>
      <c r="AS81" s="299">
        <f>SUMIF('NEI Lookups'!$L:$L,'Inputs Yr 2'!$F81,'NEI Lookups'!E:E)+SUMIF('NEI Lookups'!$M:$M,'Inputs Yr 2'!$F81,'NEI Lookups'!E:E)+SUMIF('NEI Lookups'!$N:$N,'Inputs Yr 2'!$F81,'NEI Lookups'!E:E)+SUMIF('NEI Lookups'!$O:$O,'Inputs Yr 2'!$F81,'NEI Lookups'!E:E)+SUMIF('NEI Lookups'!$P:$P,'Inputs Yr 2'!$F81,'NEI Lookups'!E:E)+SUMIF('NEI Lookups'!$Q:$Q,'Inputs Yr 2'!$F81,'NEI Lookups'!E:E)+SUMIF('NEI Lookups'!$R:$R,'Inputs Yr 2'!$F81,'NEI Lookups'!E:E)+SUMIF('NEI Lookups'!$S:$S,'Inputs Yr 2'!$F81,'NEI Lookups'!E:E)+SUMIF('NEI Lookups'!$T:$T,'Inputs Yr 2'!$F81,'NEI Lookups'!E:E)</f>
        <v>32.200000000000003</v>
      </c>
      <c r="AT81" s="299">
        <f>SUMIF('NEI Lookups'!$L:$L,'Inputs Yr 2'!$F81,'NEI Lookups'!F:F)+SUMIF('NEI Lookups'!$M:$M,'Inputs Yr 2'!$F81,'NEI Lookups'!F:F)+SUMIF('NEI Lookups'!$N:$N,'Inputs Yr 2'!$F81,'NEI Lookups'!F:F)+SUMIF('NEI Lookups'!$O:$O,'Inputs Yr 2'!$F81,'NEI Lookups'!F:F)+SUMIF('NEI Lookups'!$P:$P,'Inputs Yr 2'!$F81,'NEI Lookups'!F:F)+SUMIF('NEI Lookups'!$Q:$Q,'Inputs Yr 2'!$F81,'NEI Lookups'!F:F)+SUMIF('NEI Lookups'!$R:$R,'Inputs Yr 2'!$F81,'NEI Lookups'!F:F)+SUMIF('NEI Lookups'!$S:$S,'Inputs Yr 2'!$F81,'NEI Lookups'!F:F)+SUMIF('NEI Lookups'!$T:$T,'Inputs Yr 2'!$F81,'NEI Lookups'!F:F)</f>
        <v>0</v>
      </c>
      <c r="AU81" s="299">
        <f>SUMIF('NEI Lookups'!$L:$L,'Inputs Yr 2'!$F81,'NEI Lookups'!G:G)+SUMIF('NEI Lookups'!$M:$M,'Inputs Yr 2'!$F81,'NEI Lookups'!G:G)+SUMIF('NEI Lookups'!$N:$N,'Inputs Yr 2'!$F81,'NEI Lookups'!G:G)+SUMIF('NEI Lookups'!$O:$O,'Inputs Yr 2'!$F81,'NEI Lookups'!G:G)+SUMIF('NEI Lookups'!$P:$P,'Inputs Yr 2'!$F81,'NEI Lookups'!G:G)+SUMIF('NEI Lookups'!$Q:$Q,'Inputs Yr 2'!$F81,'NEI Lookups'!G:G)+SUMIF('NEI Lookups'!$R:$R,'Inputs Yr 2'!$F81,'NEI Lookups'!G:G)+SUMIF('NEI Lookups'!$S:$S,'Inputs Yr 2'!$F81,'NEI Lookups'!G:G)+SUMIF('NEI Lookups'!$T:$T,'Inputs Yr 2'!$F81,'NEI Lookups'!G:G)</f>
        <v>0</v>
      </c>
      <c r="AV81" s="299">
        <f>SUMIF('NEI Lookups'!$L:$L,'Inputs Yr 2'!$F81,'NEI Lookups'!H:H)+SUMIF('NEI Lookups'!$M:$M,'Inputs Yr 2'!$F81,'NEI Lookups'!H:H)+SUMIF('NEI Lookups'!$N:$N,'Inputs Yr 2'!$F81,'NEI Lookups'!H:H)+SUMIF('NEI Lookups'!$O:$O,'Inputs Yr 2'!$F81,'NEI Lookups'!H:H)+SUMIF('NEI Lookups'!$P:$P,'Inputs Yr 2'!$F81,'NEI Lookups'!H:H)+SUMIF('NEI Lookups'!$Q:$Q,'Inputs Yr 2'!$F81,'NEI Lookups'!H:H)+SUMIF('NEI Lookups'!$R:$R,'Inputs Yr 2'!$F81,'NEI Lookups'!H:H)+SUMIF('NEI Lookups'!$S:$S,'Inputs Yr 2'!$F81,'NEI Lookups'!H:H)+SUMIF('NEI Lookups'!$T:$T,'Inputs Yr 2'!$F81,'NEI Lookups'!H:H)</f>
        <v>0</v>
      </c>
      <c r="AW81" s="299">
        <f>SUMIF('NEI Lookups'!$L:$L,'Inputs Yr 2'!$F81,'NEI Lookups'!I:I)+SUMIF('NEI Lookups'!$M:$M,'Inputs Yr 2'!$F81,'NEI Lookups'!I:I)+SUMIF('NEI Lookups'!$N:$N,'Inputs Yr 2'!$F81,'NEI Lookups'!I:I)+SUMIF('NEI Lookups'!$O:$O,'Inputs Yr 2'!$F81,'NEI Lookups'!I:I)+SUMIF('NEI Lookups'!$P:$P,'Inputs Yr 2'!$F81,'NEI Lookups'!I:I)+SUMIF('NEI Lookups'!$Q:$Q,'Inputs Yr 2'!$F81,'NEI Lookups'!I:I)+SUMIF('NEI Lookups'!$R:$R,'Inputs Yr 2'!$F81,'NEI Lookups'!I:I)+SUMIF('NEI Lookups'!$S:$S,'Inputs Yr 2'!$F81,'NEI Lookups'!I:I)+SUMIF('NEI Lookups'!$T:$T,'Inputs Yr 2'!$F81,'NEI Lookups'!I:I)</f>
        <v>0</v>
      </c>
      <c r="AX81" s="299">
        <f>SUMIF('NEI Lookups'!$L:$L,'Inputs Yr 2'!$F81,'NEI Lookups'!J:J)+SUMIF('NEI Lookups'!$M:$M,'Inputs Yr 2'!$F81,'NEI Lookups'!J:J)+SUMIF('NEI Lookups'!$N:$N,'Inputs Yr 2'!$F81,'NEI Lookups'!J:J)+SUMIF('NEI Lookups'!$O:$O,'Inputs Yr 2'!$F81,'NEI Lookups'!J:J)+SUMIF('NEI Lookups'!$P:$P,'Inputs Yr 2'!$F81,'NEI Lookups'!J:J)+SUMIF('NEI Lookups'!$Q:$Q,'Inputs Yr 2'!$F81,'NEI Lookups'!J:J)+SUMIF('NEI Lookups'!$R:$R,'Inputs Yr 2'!$F81,'NEI Lookups'!J:J)+SUMIF('NEI Lookups'!$S:$S,'Inputs Yr 2'!$F81,'NEI Lookups'!J:J)+SUMIF('NEI Lookups'!$T:$T,'Inputs Yr 2'!$F81,'NEI Lookups'!J:J)</f>
        <v>0</v>
      </c>
      <c r="AY81" s="930">
        <f>'Calculations Yr 2'!CP81/'Calculations Yr 2'!I81</f>
        <v>1.8046453396726811</v>
      </c>
    </row>
    <row r="82" spans="1:51" s="133" customFormat="1" ht="12.75" customHeight="1">
      <c r="A82" s="145" t="s">
        <v>32</v>
      </c>
      <c r="B82" s="132" t="s">
        <v>465</v>
      </c>
      <c r="C82" s="132" t="s">
        <v>910</v>
      </c>
      <c r="D82" s="902"/>
      <c r="E82" s="98" t="s">
        <v>1318</v>
      </c>
      <c r="F82" s="98" t="s">
        <v>1003</v>
      </c>
      <c r="G82" s="145" t="s">
        <v>1247</v>
      </c>
      <c r="H82" s="232">
        <v>0</v>
      </c>
      <c r="I82" s="232">
        <v>0</v>
      </c>
      <c r="J82" s="964">
        <v>1083.2058737069044</v>
      </c>
      <c r="K82" s="166">
        <v>600</v>
      </c>
      <c r="L82" s="888">
        <f t="shared" si="16"/>
        <v>483.20587370690441</v>
      </c>
      <c r="M82" s="978">
        <v>0</v>
      </c>
      <c r="N82" s="978">
        <v>0</v>
      </c>
      <c r="O82" s="978">
        <v>0</v>
      </c>
      <c r="P82" s="889">
        <f t="shared" si="19"/>
        <v>1</v>
      </c>
      <c r="Q82" s="978">
        <v>0</v>
      </c>
      <c r="R82" s="178">
        <v>1</v>
      </c>
      <c r="S82" s="178">
        <v>1</v>
      </c>
      <c r="T82" s="178">
        <v>1</v>
      </c>
      <c r="U82" s="978">
        <v>0</v>
      </c>
      <c r="V82" s="978">
        <v>0</v>
      </c>
      <c r="W82" s="179"/>
      <c r="X82" s="99" t="s">
        <v>35</v>
      </c>
      <c r="Y82" s="299">
        <f>IFERROR(VLOOKUP($X82,'Demand Lookups'!$A$5:$K$101,9,0), 0)</f>
        <v>5.3381390534849307E-4</v>
      </c>
      <c r="Z82" s="922" t="str">
        <f>IFERROR(VLOOKUP(X82,'Demand Lookups'!$A$5:$B$101,2,0),0)</f>
        <v>Res Single Family Electric Heating</v>
      </c>
      <c r="AA82" s="722">
        <v>0.37811107066668143</v>
      </c>
      <c r="AB82" s="722">
        <v>0.61526683076153199</v>
      </c>
      <c r="AC82" s="722">
        <v>1.7402036484173826E-3</v>
      </c>
      <c r="AD82" s="723">
        <v>4.8818949233697577E-3</v>
      </c>
      <c r="AE82" s="724">
        <v>8.9680736098546834E-2</v>
      </c>
      <c r="AF82" s="723">
        <v>0</v>
      </c>
      <c r="AG82" s="723">
        <v>1</v>
      </c>
      <c r="AH82" s="648">
        <v>0</v>
      </c>
      <c r="AI82" s="648">
        <v>0</v>
      </c>
      <c r="AJ82" s="167" t="s">
        <v>404</v>
      </c>
      <c r="AK82" s="865">
        <v>0</v>
      </c>
      <c r="AL82" s="167"/>
      <c r="AM82" s="168"/>
      <c r="AN82" s="167"/>
      <c r="AO82" s="168"/>
      <c r="AP82" s="171"/>
      <c r="AQ82" s="171"/>
      <c r="AR82" s="171"/>
      <c r="AS82" s="299">
        <f>SUMIF('NEI Lookups'!$L:$L,'Inputs Yr 2'!$F82,'NEI Lookups'!E:E)+SUMIF('NEI Lookups'!$M:$M,'Inputs Yr 2'!$F82,'NEI Lookups'!E:E)+SUMIF('NEI Lookups'!$N:$N,'Inputs Yr 2'!$F82,'NEI Lookups'!E:E)+SUMIF('NEI Lookups'!$O:$O,'Inputs Yr 2'!$F82,'NEI Lookups'!E:E)+SUMIF('NEI Lookups'!$P:$P,'Inputs Yr 2'!$F82,'NEI Lookups'!E:E)+SUMIF('NEI Lookups'!$Q:$Q,'Inputs Yr 2'!$F82,'NEI Lookups'!E:E)+SUMIF('NEI Lookups'!$R:$R,'Inputs Yr 2'!$F82,'NEI Lookups'!E:E)+SUMIF('NEI Lookups'!$S:$S,'Inputs Yr 2'!$F82,'NEI Lookups'!E:E)+SUMIF('NEI Lookups'!$T:$T,'Inputs Yr 2'!$F82,'NEI Lookups'!E:E)</f>
        <v>32.200000000000003</v>
      </c>
      <c r="AT82" s="299">
        <f>SUMIF('NEI Lookups'!$L:$L,'Inputs Yr 2'!$F82,'NEI Lookups'!F:F)+SUMIF('NEI Lookups'!$M:$M,'Inputs Yr 2'!$F82,'NEI Lookups'!F:F)+SUMIF('NEI Lookups'!$N:$N,'Inputs Yr 2'!$F82,'NEI Lookups'!F:F)+SUMIF('NEI Lookups'!$O:$O,'Inputs Yr 2'!$F82,'NEI Lookups'!F:F)+SUMIF('NEI Lookups'!$P:$P,'Inputs Yr 2'!$F82,'NEI Lookups'!F:F)+SUMIF('NEI Lookups'!$Q:$Q,'Inputs Yr 2'!$F82,'NEI Lookups'!F:F)+SUMIF('NEI Lookups'!$R:$R,'Inputs Yr 2'!$F82,'NEI Lookups'!F:F)+SUMIF('NEI Lookups'!$S:$S,'Inputs Yr 2'!$F82,'NEI Lookups'!F:F)+SUMIF('NEI Lookups'!$T:$T,'Inputs Yr 2'!$F82,'NEI Lookups'!F:F)</f>
        <v>0</v>
      </c>
      <c r="AU82" s="299">
        <f>SUMIF('NEI Lookups'!$L:$L,'Inputs Yr 2'!$F82,'NEI Lookups'!G:G)+SUMIF('NEI Lookups'!$M:$M,'Inputs Yr 2'!$F82,'NEI Lookups'!G:G)+SUMIF('NEI Lookups'!$N:$N,'Inputs Yr 2'!$F82,'NEI Lookups'!G:G)+SUMIF('NEI Lookups'!$O:$O,'Inputs Yr 2'!$F82,'NEI Lookups'!G:G)+SUMIF('NEI Lookups'!$P:$P,'Inputs Yr 2'!$F82,'NEI Lookups'!G:G)+SUMIF('NEI Lookups'!$Q:$Q,'Inputs Yr 2'!$F82,'NEI Lookups'!G:G)+SUMIF('NEI Lookups'!$R:$R,'Inputs Yr 2'!$F82,'NEI Lookups'!G:G)+SUMIF('NEI Lookups'!$S:$S,'Inputs Yr 2'!$F82,'NEI Lookups'!G:G)+SUMIF('NEI Lookups'!$T:$T,'Inputs Yr 2'!$F82,'NEI Lookups'!G:G)</f>
        <v>0</v>
      </c>
      <c r="AV82" s="299">
        <f>SUMIF('NEI Lookups'!$L:$L,'Inputs Yr 2'!$F82,'NEI Lookups'!H:H)+SUMIF('NEI Lookups'!$M:$M,'Inputs Yr 2'!$F82,'NEI Lookups'!H:H)+SUMIF('NEI Lookups'!$N:$N,'Inputs Yr 2'!$F82,'NEI Lookups'!H:H)+SUMIF('NEI Lookups'!$O:$O,'Inputs Yr 2'!$F82,'NEI Lookups'!H:H)+SUMIF('NEI Lookups'!$P:$P,'Inputs Yr 2'!$F82,'NEI Lookups'!H:H)+SUMIF('NEI Lookups'!$Q:$Q,'Inputs Yr 2'!$F82,'NEI Lookups'!H:H)+SUMIF('NEI Lookups'!$R:$R,'Inputs Yr 2'!$F82,'NEI Lookups'!H:H)+SUMIF('NEI Lookups'!$S:$S,'Inputs Yr 2'!$F82,'NEI Lookups'!H:H)+SUMIF('NEI Lookups'!$T:$T,'Inputs Yr 2'!$F82,'NEI Lookups'!H:H)</f>
        <v>0</v>
      </c>
      <c r="AW82" s="299">
        <f>SUMIF('NEI Lookups'!$L:$L,'Inputs Yr 2'!$F82,'NEI Lookups'!I:I)+SUMIF('NEI Lookups'!$M:$M,'Inputs Yr 2'!$F82,'NEI Lookups'!I:I)+SUMIF('NEI Lookups'!$N:$N,'Inputs Yr 2'!$F82,'NEI Lookups'!I:I)+SUMIF('NEI Lookups'!$O:$O,'Inputs Yr 2'!$F82,'NEI Lookups'!I:I)+SUMIF('NEI Lookups'!$P:$P,'Inputs Yr 2'!$F82,'NEI Lookups'!I:I)+SUMIF('NEI Lookups'!$Q:$Q,'Inputs Yr 2'!$F82,'NEI Lookups'!I:I)+SUMIF('NEI Lookups'!$R:$R,'Inputs Yr 2'!$F82,'NEI Lookups'!I:I)+SUMIF('NEI Lookups'!$S:$S,'Inputs Yr 2'!$F82,'NEI Lookups'!I:I)+SUMIF('NEI Lookups'!$T:$T,'Inputs Yr 2'!$F82,'NEI Lookups'!I:I)</f>
        <v>0</v>
      </c>
      <c r="AX82" s="299">
        <f>SUMIF('NEI Lookups'!$L:$L,'Inputs Yr 2'!$F82,'NEI Lookups'!J:J)+SUMIF('NEI Lookups'!$M:$M,'Inputs Yr 2'!$F82,'NEI Lookups'!J:J)+SUMIF('NEI Lookups'!$N:$N,'Inputs Yr 2'!$F82,'NEI Lookups'!J:J)+SUMIF('NEI Lookups'!$O:$O,'Inputs Yr 2'!$F82,'NEI Lookups'!J:J)+SUMIF('NEI Lookups'!$P:$P,'Inputs Yr 2'!$F82,'NEI Lookups'!J:J)+SUMIF('NEI Lookups'!$Q:$Q,'Inputs Yr 2'!$F82,'NEI Lookups'!J:J)+SUMIF('NEI Lookups'!$R:$R,'Inputs Yr 2'!$F82,'NEI Lookups'!J:J)+SUMIF('NEI Lookups'!$S:$S,'Inputs Yr 2'!$F82,'NEI Lookups'!J:J)+SUMIF('NEI Lookups'!$T:$T,'Inputs Yr 2'!$F82,'NEI Lookups'!J:J)</f>
        <v>0</v>
      </c>
      <c r="AY82" s="930" t="e">
        <f>'Calculations Yr 2'!CP82/'Calculations Yr 2'!I82</f>
        <v>#VALUE!</v>
      </c>
    </row>
    <row r="83" spans="1:51" s="133" customFormat="1" ht="12.75" customHeight="1">
      <c r="A83" s="145" t="s">
        <v>32</v>
      </c>
      <c r="B83" s="132" t="s">
        <v>465</v>
      </c>
      <c r="C83" s="132" t="s">
        <v>909</v>
      </c>
      <c r="D83" s="902" t="s">
        <v>1470</v>
      </c>
      <c r="E83" s="98" t="s">
        <v>756</v>
      </c>
      <c r="F83" s="98" t="s">
        <v>1004</v>
      </c>
      <c r="G83" s="145" t="s">
        <v>1247</v>
      </c>
      <c r="H83" s="232">
        <v>54</v>
      </c>
      <c r="I83" s="232">
        <v>19</v>
      </c>
      <c r="J83" s="964">
        <v>1728.4780486343795</v>
      </c>
      <c r="K83" s="166">
        <v>1128</v>
      </c>
      <c r="L83" s="888">
        <f t="shared" si="16"/>
        <v>600.47804863437955</v>
      </c>
      <c r="M83" s="978">
        <v>0.34</v>
      </c>
      <c r="N83" s="978">
        <v>0.08</v>
      </c>
      <c r="O83" s="978">
        <v>0</v>
      </c>
      <c r="P83" s="889">
        <f t="shared" si="19"/>
        <v>0.73999999999999988</v>
      </c>
      <c r="Q83" s="978">
        <v>1</v>
      </c>
      <c r="R83" s="178">
        <v>1</v>
      </c>
      <c r="S83" s="178">
        <v>1</v>
      </c>
      <c r="T83" s="178">
        <v>1</v>
      </c>
      <c r="U83" s="978">
        <v>1</v>
      </c>
      <c r="V83" s="978">
        <v>1</v>
      </c>
      <c r="W83" s="179"/>
      <c r="X83" s="937" t="s">
        <v>653</v>
      </c>
      <c r="Y83" s="299">
        <f>IFERROR(VLOOKUP($X83,'Demand Lookups'!$A$5:$K$101,9,0), 0)</f>
        <v>0</v>
      </c>
      <c r="Z83" s="922" t="str">
        <f>IFERROR(VLOOKUP(X83,'Demand Lookups'!$A$5:$B$101,2,0),0)</f>
        <v>Non-Electric Measures</v>
      </c>
      <c r="AA83" s="722">
        <f>IF(ISNA(VLOOKUP($X83,'Demand Lookups'!$A$5:$K$81,3,0)),0,VLOOKUP($X83,'Demand Lookups'!$A$5:$K$81,3,0))</f>
        <v>0</v>
      </c>
      <c r="AB83" s="722">
        <f>IF(ISNA(VLOOKUP($X83,'Demand Lookups'!$A$5:$K$81,4,0)),0,VLOOKUP($X83,'Demand Lookups'!$A$5:$K$81,4,0))</f>
        <v>0</v>
      </c>
      <c r="AC83" s="722">
        <f>IF(ISNA(VLOOKUP($X83,'Demand Lookups'!$A$5:$K$81,5,0)),0,VLOOKUP($X83,'Demand Lookups'!$A$5:$K$81,5,0))</f>
        <v>0</v>
      </c>
      <c r="AD83" s="723">
        <f>IF(ISNA(VLOOKUP($X83,'Demand Lookups'!$A$5:$K$81,6,0)),0,VLOOKUP($X83,'Demand Lookups'!$A$5:$K$81,6,0))</f>
        <v>0</v>
      </c>
      <c r="AE83" s="724">
        <f t="shared" si="20"/>
        <v>0</v>
      </c>
      <c r="AF83" s="723">
        <f>ROUND(IF(ISNA(VLOOKUP($X83,'Demand Lookups'!$A$5:$K$82,10,0)),0,(VLOOKUP($X83,'Demand Lookups'!$A$5:$K$82,10,0))),2)</f>
        <v>0</v>
      </c>
      <c r="AG83" s="723">
        <f>ROUND(IF(ISNA(VLOOKUP($X83,'Demand Lookups'!$A$5:$K$82,11,0)),0,VLOOKUP($X83,'Demand Lookups'!$A$5:$K$82,11,0)),2)</f>
        <v>0</v>
      </c>
      <c r="AH83" s="648">
        <f t="shared" si="21"/>
        <v>0</v>
      </c>
      <c r="AI83" s="648">
        <f t="shared" si="22"/>
        <v>0</v>
      </c>
      <c r="AJ83" s="167" t="s">
        <v>405</v>
      </c>
      <c r="AK83" s="865">
        <v>10.3</v>
      </c>
      <c r="AL83" s="167"/>
      <c r="AM83" s="168"/>
      <c r="AN83" s="167"/>
      <c r="AO83" s="168"/>
      <c r="AP83" s="171">
        <v>0</v>
      </c>
      <c r="AQ83" s="171"/>
      <c r="AR83" s="171"/>
      <c r="AS83" s="299">
        <f>SUMIF('NEI Lookups'!$L:$L,'Inputs Yr 2'!$F83,'NEI Lookups'!E:E)+SUMIF('NEI Lookups'!$M:$M,'Inputs Yr 2'!$F83,'NEI Lookups'!E:E)+SUMIF('NEI Lookups'!$N:$N,'Inputs Yr 2'!$F83,'NEI Lookups'!E:E)+SUMIF('NEI Lookups'!$O:$O,'Inputs Yr 2'!$F83,'NEI Lookups'!E:E)+SUMIF('NEI Lookups'!$P:$P,'Inputs Yr 2'!$F83,'NEI Lookups'!E:E)+SUMIF('NEI Lookups'!$Q:$Q,'Inputs Yr 2'!$F83,'NEI Lookups'!E:E)+SUMIF('NEI Lookups'!$R:$R,'Inputs Yr 2'!$F83,'NEI Lookups'!E:E)+SUMIF('NEI Lookups'!$S:$S,'Inputs Yr 2'!$F83,'NEI Lookups'!E:E)+SUMIF('NEI Lookups'!$T:$T,'Inputs Yr 2'!$F83,'NEI Lookups'!E:E)</f>
        <v>1.3426916</v>
      </c>
      <c r="AT83" s="299">
        <f>SUMIF('NEI Lookups'!$L:$L,'Inputs Yr 2'!$F83,'NEI Lookups'!F:F)+SUMIF('NEI Lookups'!$M:$M,'Inputs Yr 2'!$F83,'NEI Lookups'!F:F)+SUMIF('NEI Lookups'!$N:$N,'Inputs Yr 2'!$F83,'NEI Lookups'!F:F)+SUMIF('NEI Lookups'!$O:$O,'Inputs Yr 2'!$F83,'NEI Lookups'!F:F)+SUMIF('NEI Lookups'!$P:$P,'Inputs Yr 2'!$F83,'NEI Lookups'!F:F)+SUMIF('NEI Lookups'!$Q:$Q,'Inputs Yr 2'!$F83,'NEI Lookups'!F:F)+SUMIF('NEI Lookups'!$R:$R,'Inputs Yr 2'!$F83,'NEI Lookups'!F:F)+SUMIF('NEI Lookups'!$S:$S,'Inputs Yr 2'!$F83,'NEI Lookups'!F:F)+SUMIF('NEI Lookups'!$T:$T,'Inputs Yr 2'!$F83,'NEI Lookups'!F:F)</f>
        <v>0</v>
      </c>
      <c r="AU83" s="299">
        <f>SUMIF('NEI Lookups'!$L:$L,'Inputs Yr 2'!$F83,'NEI Lookups'!G:G)+SUMIF('NEI Lookups'!$M:$M,'Inputs Yr 2'!$F83,'NEI Lookups'!G:G)+SUMIF('NEI Lookups'!$N:$N,'Inputs Yr 2'!$F83,'NEI Lookups'!G:G)+SUMIF('NEI Lookups'!$O:$O,'Inputs Yr 2'!$F83,'NEI Lookups'!G:G)+SUMIF('NEI Lookups'!$P:$P,'Inputs Yr 2'!$F83,'NEI Lookups'!G:G)+SUMIF('NEI Lookups'!$Q:$Q,'Inputs Yr 2'!$F83,'NEI Lookups'!G:G)+SUMIF('NEI Lookups'!$R:$R,'Inputs Yr 2'!$F83,'NEI Lookups'!G:G)+SUMIF('NEI Lookups'!$S:$S,'Inputs Yr 2'!$F83,'NEI Lookups'!G:G)+SUMIF('NEI Lookups'!$T:$T,'Inputs Yr 2'!$F83,'NEI Lookups'!G:G)</f>
        <v>0</v>
      </c>
      <c r="AV83" s="299">
        <f>SUMIF('NEI Lookups'!$L:$L,'Inputs Yr 2'!$F83,'NEI Lookups'!H:H)+SUMIF('NEI Lookups'!$M:$M,'Inputs Yr 2'!$F83,'NEI Lookups'!H:H)+SUMIF('NEI Lookups'!$N:$N,'Inputs Yr 2'!$F83,'NEI Lookups'!H:H)+SUMIF('NEI Lookups'!$O:$O,'Inputs Yr 2'!$F83,'NEI Lookups'!H:H)+SUMIF('NEI Lookups'!$P:$P,'Inputs Yr 2'!$F83,'NEI Lookups'!H:H)+SUMIF('NEI Lookups'!$Q:$Q,'Inputs Yr 2'!$F83,'NEI Lookups'!H:H)+SUMIF('NEI Lookups'!$R:$R,'Inputs Yr 2'!$F83,'NEI Lookups'!H:H)+SUMIF('NEI Lookups'!$S:$S,'Inputs Yr 2'!$F83,'NEI Lookups'!H:H)+SUMIF('NEI Lookups'!$T:$T,'Inputs Yr 2'!$F83,'NEI Lookups'!H:H)</f>
        <v>0</v>
      </c>
      <c r="AW83" s="299">
        <f>SUMIF('NEI Lookups'!$L:$L,'Inputs Yr 2'!$F83,'NEI Lookups'!I:I)+SUMIF('NEI Lookups'!$M:$M,'Inputs Yr 2'!$F83,'NEI Lookups'!I:I)+SUMIF('NEI Lookups'!$N:$N,'Inputs Yr 2'!$F83,'NEI Lookups'!I:I)+SUMIF('NEI Lookups'!$O:$O,'Inputs Yr 2'!$F83,'NEI Lookups'!I:I)+SUMIF('NEI Lookups'!$P:$P,'Inputs Yr 2'!$F83,'NEI Lookups'!I:I)+SUMIF('NEI Lookups'!$Q:$Q,'Inputs Yr 2'!$F83,'NEI Lookups'!I:I)+SUMIF('NEI Lookups'!$R:$R,'Inputs Yr 2'!$F83,'NEI Lookups'!I:I)+SUMIF('NEI Lookups'!$S:$S,'Inputs Yr 2'!$F83,'NEI Lookups'!I:I)+SUMIF('NEI Lookups'!$T:$T,'Inputs Yr 2'!$F83,'NEI Lookups'!I:I)</f>
        <v>0</v>
      </c>
      <c r="AX83" s="299">
        <f>SUMIF('NEI Lookups'!$L:$L,'Inputs Yr 2'!$F83,'NEI Lookups'!J:J)+SUMIF('NEI Lookups'!$M:$M,'Inputs Yr 2'!$F83,'NEI Lookups'!J:J)+SUMIF('NEI Lookups'!$N:$N,'Inputs Yr 2'!$F83,'NEI Lookups'!J:J)+SUMIF('NEI Lookups'!$O:$O,'Inputs Yr 2'!$F83,'NEI Lookups'!J:J)+SUMIF('NEI Lookups'!$P:$P,'Inputs Yr 2'!$F83,'NEI Lookups'!J:J)+SUMIF('NEI Lookups'!$Q:$Q,'Inputs Yr 2'!$F83,'NEI Lookups'!J:J)+SUMIF('NEI Lookups'!$R:$R,'Inputs Yr 2'!$F83,'NEI Lookups'!J:J)+SUMIF('NEI Lookups'!$S:$S,'Inputs Yr 2'!$F83,'NEI Lookups'!J:J)+SUMIF('NEI Lookups'!$T:$T,'Inputs Yr 2'!$F83,'NEI Lookups'!J:J)</f>
        <v>0</v>
      </c>
      <c r="AY83" s="930">
        <f>'Calculations Yr 2'!CP83/'Calculations Yr 2'!I83</f>
        <v>0.88142744559521402</v>
      </c>
    </row>
    <row r="84" spans="1:51" s="133" customFormat="1" ht="12.75" customHeight="1">
      <c r="A84" s="145" t="s">
        <v>32</v>
      </c>
      <c r="B84" s="132" t="s">
        <v>465</v>
      </c>
      <c r="C84" s="132" t="s">
        <v>909</v>
      </c>
      <c r="D84" s="902" t="s">
        <v>1471</v>
      </c>
      <c r="E84" s="98" t="s">
        <v>757</v>
      </c>
      <c r="F84" s="98" t="s">
        <v>1005</v>
      </c>
      <c r="G84" s="145" t="s">
        <v>1247</v>
      </c>
      <c r="H84" s="232">
        <v>1659</v>
      </c>
      <c r="I84" s="232">
        <v>19</v>
      </c>
      <c r="J84" s="964">
        <v>3365.2726894014531</v>
      </c>
      <c r="K84" s="166">
        <v>1591.1016949152543</v>
      </c>
      <c r="L84" s="888">
        <f t="shared" si="16"/>
        <v>1774.1709944861989</v>
      </c>
      <c r="M84" s="978">
        <v>0.34</v>
      </c>
      <c r="N84" s="978">
        <v>0.08</v>
      </c>
      <c r="O84" s="978">
        <v>0</v>
      </c>
      <c r="P84" s="889">
        <f t="shared" si="19"/>
        <v>0.73999999999999988</v>
      </c>
      <c r="Q84" s="978">
        <v>1</v>
      </c>
      <c r="R84" s="178">
        <v>1</v>
      </c>
      <c r="S84" s="178">
        <v>1</v>
      </c>
      <c r="T84" s="178">
        <v>1</v>
      </c>
      <c r="U84" s="978">
        <v>1</v>
      </c>
      <c r="V84" s="978">
        <v>1</v>
      </c>
      <c r="W84" s="179"/>
      <c r="X84" s="937" t="s">
        <v>653</v>
      </c>
      <c r="Y84" s="299">
        <f>IFERROR(VLOOKUP($X84,'Demand Lookups'!$A$5:$K$101,9,0), 0)</f>
        <v>0</v>
      </c>
      <c r="Z84" s="922" t="str">
        <f>IFERROR(VLOOKUP(X84,'Demand Lookups'!$A$5:$B$101,2,0),0)</f>
        <v>Non-Electric Measures</v>
      </c>
      <c r="AA84" s="722">
        <f>IF(ISNA(VLOOKUP($X84,'Demand Lookups'!$A$5:$K$81,3,0)),0,VLOOKUP($X84,'Demand Lookups'!$A$5:$K$81,3,0))</f>
        <v>0</v>
      </c>
      <c r="AB84" s="722">
        <f>IF(ISNA(VLOOKUP($X84,'Demand Lookups'!$A$5:$K$81,4,0)),0,VLOOKUP($X84,'Demand Lookups'!$A$5:$K$81,4,0))</f>
        <v>0</v>
      </c>
      <c r="AC84" s="722">
        <f>IF(ISNA(VLOOKUP($X84,'Demand Lookups'!$A$5:$K$81,5,0)),0,VLOOKUP($X84,'Demand Lookups'!$A$5:$K$81,5,0))</f>
        <v>0</v>
      </c>
      <c r="AD84" s="723">
        <f>IF(ISNA(VLOOKUP($X84,'Demand Lookups'!$A$5:$K$81,6,0)),0,VLOOKUP($X84,'Demand Lookups'!$A$5:$K$81,6,0))</f>
        <v>0</v>
      </c>
      <c r="AE84" s="724">
        <f t="shared" si="20"/>
        <v>0</v>
      </c>
      <c r="AF84" s="723">
        <f>ROUND(IF(ISNA(VLOOKUP($X84,'Demand Lookups'!$A$5:$K$82,10,0)),0,(VLOOKUP($X84,'Demand Lookups'!$A$5:$K$82,10,0))),2)</f>
        <v>0</v>
      </c>
      <c r="AG84" s="723">
        <f>ROUND(IF(ISNA(VLOOKUP($X84,'Demand Lookups'!$A$5:$K$82,11,0)),0,VLOOKUP($X84,'Demand Lookups'!$A$5:$K$82,11,0)),2)</f>
        <v>0</v>
      </c>
      <c r="AH84" s="648">
        <f t="shared" si="21"/>
        <v>0</v>
      </c>
      <c r="AI84" s="648">
        <f t="shared" si="22"/>
        <v>0</v>
      </c>
      <c r="AJ84" s="167" t="s">
        <v>405</v>
      </c>
      <c r="AK84" s="865">
        <v>12.800000000000002</v>
      </c>
      <c r="AL84" s="167"/>
      <c r="AM84" s="168"/>
      <c r="AN84" s="167"/>
      <c r="AO84" s="168"/>
      <c r="AP84" s="171">
        <v>0</v>
      </c>
      <c r="AQ84" s="171"/>
      <c r="AR84" s="171"/>
      <c r="AS84" s="299">
        <f>SUMIF('NEI Lookups'!$L:$L,'Inputs Yr 2'!$F84,'NEI Lookups'!E:E)+SUMIF('NEI Lookups'!$M:$M,'Inputs Yr 2'!$F84,'NEI Lookups'!E:E)+SUMIF('NEI Lookups'!$N:$N,'Inputs Yr 2'!$F84,'NEI Lookups'!E:E)+SUMIF('NEI Lookups'!$O:$O,'Inputs Yr 2'!$F84,'NEI Lookups'!E:E)+SUMIF('NEI Lookups'!$P:$P,'Inputs Yr 2'!$F84,'NEI Lookups'!E:E)+SUMIF('NEI Lookups'!$Q:$Q,'Inputs Yr 2'!$F84,'NEI Lookups'!E:E)+SUMIF('NEI Lookups'!$R:$R,'Inputs Yr 2'!$F84,'NEI Lookups'!E:E)+SUMIF('NEI Lookups'!$S:$S,'Inputs Yr 2'!$F84,'NEI Lookups'!E:E)+SUMIF('NEI Lookups'!$T:$T,'Inputs Yr 2'!$F84,'NEI Lookups'!E:E)</f>
        <v>1.3426916</v>
      </c>
      <c r="AT84" s="299">
        <f>SUMIF('NEI Lookups'!$L:$L,'Inputs Yr 2'!$F84,'NEI Lookups'!F:F)+SUMIF('NEI Lookups'!$M:$M,'Inputs Yr 2'!$F84,'NEI Lookups'!F:F)+SUMIF('NEI Lookups'!$N:$N,'Inputs Yr 2'!$F84,'NEI Lookups'!F:F)+SUMIF('NEI Lookups'!$O:$O,'Inputs Yr 2'!$F84,'NEI Lookups'!F:F)+SUMIF('NEI Lookups'!$P:$P,'Inputs Yr 2'!$F84,'NEI Lookups'!F:F)+SUMIF('NEI Lookups'!$Q:$Q,'Inputs Yr 2'!$F84,'NEI Lookups'!F:F)+SUMIF('NEI Lookups'!$R:$R,'Inputs Yr 2'!$F84,'NEI Lookups'!F:F)+SUMIF('NEI Lookups'!$S:$S,'Inputs Yr 2'!$F84,'NEI Lookups'!F:F)+SUMIF('NEI Lookups'!$T:$T,'Inputs Yr 2'!$F84,'NEI Lookups'!F:F)</f>
        <v>0</v>
      </c>
      <c r="AU84" s="299">
        <f>SUMIF('NEI Lookups'!$L:$L,'Inputs Yr 2'!$F84,'NEI Lookups'!G:G)+SUMIF('NEI Lookups'!$M:$M,'Inputs Yr 2'!$F84,'NEI Lookups'!G:G)+SUMIF('NEI Lookups'!$N:$N,'Inputs Yr 2'!$F84,'NEI Lookups'!G:G)+SUMIF('NEI Lookups'!$O:$O,'Inputs Yr 2'!$F84,'NEI Lookups'!G:G)+SUMIF('NEI Lookups'!$P:$P,'Inputs Yr 2'!$F84,'NEI Lookups'!G:G)+SUMIF('NEI Lookups'!$Q:$Q,'Inputs Yr 2'!$F84,'NEI Lookups'!G:G)+SUMIF('NEI Lookups'!$R:$R,'Inputs Yr 2'!$F84,'NEI Lookups'!G:G)+SUMIF('NEI Lookups'!$S:$S,'Inputs Yr 2'!$F84,'NEI Lookups'!G:G)+SUMIF('NEI Lookups'!$T:$T,'Inputs Yr 2'!$F84,'NEI Lookups'!G:G)</f>
        <v>0</v>
      </c>
      <c r="AV84" s="299">
        <f>SUMIF('NEI Lookups'!$L:$L,'Inputs Yr 2'!$F84,'NEI Lookups'!H:H)+SUMIF('NEI Lookups'!$M:$M,'Inputs Yr 2'!$F84,'NEI Lookups'!H:H)+SUMIF('NEI Lookups'!$N:$N,'Inputs Yr 2'!$F84,'NEI Lookups'!H:H)+SUMIF('NEI Lookups'!$O:$O,'Inputs Yr 2'!$F84,'NEI Lookups'!H:H)+SUMIF('NEI Lookups'!$P:$P,'Inputs Yr 2'!$F84,'NEI Lookups'!H:H)+SUMIF('NEI Lookups'!$Q:$Q,'Inputs Yr 2'!$F84,'NEI Lookups'!H:H)+SUMIF('NEI Lookups'!$R:$R,'Inputs Yr 2'!$F84,'NEI Lookups'!H:H)+SUMIF('NEI Lookups'!$S:$S,'Inputs Yr 2'!$F84,'NEI Lookups'!H:H)+SUMIF('NEI Lookups'!$T:$T,'Inputs Yr 2'!$F84,'NEI Lookups'!H:H)</f>
        <v>0</v>
      </c>
      <c r="AW84" s="299">
        <f>SUMIF('NEI Lookups'!$L:$L,'Inputs Yr 2'!$F84,'NEI Lookups'!I:I)+SUMIF('NEI Lookups'!$M:$M,'Inputs Yr 2'!$F84,'NEI Lookups'!I:I)+SUMIF('NEI Lookups'!$N:$N,'Inputs Yr 2'!$F84,'NEI Lookups'!I:I)+SUMIF('NEI Lookups'!$O:$O,'Inputs Yr 2'!$F84,'NEI Lookups'!I:I)+SUMIF('NEI Lookups'!$P:$P,'Inputs Yr 2'!$F84,'NEI Lookups'!I:I)+SUMIF('NEI Lookups'!$Q:$Q,'Inputs Yr 2'!$F84,'NEI Lookups'!I:I)+SUMIF('NEI Lookups'!$R:$R,'Inputs Yr 2'!$F84,'NEI Lookups'!I:I)+SUMIF('NEI Lookups'!$S:$S,'Inputs Yr 2'!$F84,'NEI Lookups'!I:I)+SUMIF('NEI Lookups'!$T:$T,'Inputs Yr 2'!$F84,'NEI Lookups'!I:I)</f>
        <v>0</v>
      </c>
      <c r="AX84" s="299">
        <f>SUMIF('NEI Lookups'!$L:$L,'Inputs Yr 2'!$F84,'NEI Lookups'!J:J)+SUMIF('NEI Lookups'!$M:$M,'Inputs Yr 2'!$F84,'NEI Lookups'!J:J)+SUMIF('NEI Lookups'!$N:$N,'Inputs Yr 2'!$F84,'NEI Lookups'!J:J)+SUMIF('NEI Lookups'!$O:$O,'Inputs Yr 2'!$F84,'NEI Lookups'!J:J)+SUMIF('NEI Lookups'!$P:$P,'Inputs Yr 2'!$F84,'NEI Lookups'!J:J)+SUMIF('NEI Lookups'!$Q:$Q,'Inputs Yr 2'!$F84,'NEI Lookups'!J:J)+SUMIF('NEI Lookups'!$R:$R,'Inputs Yr 2'!$F84,'NEI Lookups'!J:J)+SUMIF('NEI Lookups'!$S:$S,'Inputs Yr 2'!$F84,'NEI Lookups'!J:J)+SUMIF('NEI Lookups'!$T:$T,'Inputs Yr 2'!$F84,'NEI Lookups'!J:J)</f>
        <v>0</v>
      </c>
      <c r="AY84" s="930">
        <f>'Calculations Yr 2'!CP84/'Calculations Yr 2'!I84</f>
        <v>0.56083881404982194</v>
      </c>
    </row>
    <row r="85" spans="1:51" s="133" customFormat="1" ht="12.75" customHeight="1">
      <c r="A85" s="145" t="s">
        <v>32</v>
      </c>
      <c r="B85" s="132" t="s">
        <v>465</v>
      </c>
      <c r="C85" s="132" t="s">
        <v>909</v>
      </c>
      <c r="D85" s="902" t="s">
        <v>1472</v>
      </c>
      <c r="E85" s="150" t="s">
        <v>1319</v>
      </c>
      <c r="F85" s="98" t="s">
        <v>1006</v>
      </c>
      <c r="G85" s="145" t="s">
        <v>1247</v>
      </c>
      <c r="H85" s="232">
        <v>106</v>
      </c>
      <c r="I85" s="232">
        <v>15</v>
      </c>
      <c r="J85" s="964">
        <v>300</v>
      </c>
      <c r="K85" s="166">
        <v>225</v>
      </c>
      <c r="L85" s="888">
        <f t="shared" si="16"/>
        <v>75</v>
      </c>
      <c r="M85" s="978">
        <v>0</v>
      </c>
      <c r="N85" s="978">
        <v>0</v>
      </c>
      <c r="O85" s="978">
        <v>0</v>
      </c>
      <c r="P85" s="889">
        <f t="shared" si="19"/>
        <v>1</v>
      </c>
      <c r="Q85" s="978">
        <v>1</v>
      </c>
      <c r="R85" s="178">
        <v>1</v>
      </c>
      <c r="S85" s="178">
        <v>1</v>
      </c>
      <c r="T85" s="178">
        <v>1</v>
      </c>
      <c r="U85" s="978">
        <v>1</v>
      </c>
      <c r="V85" s="978">
        <v>1</v>
      </c>
      <c r="W85" s="179"/>
      <c r="X85" s="937" t="s">
        <v>653</v>
      </c>
      <c r="Y85" s="299">
        <f>IFERROR(VLOOKUP($X85,'Demand Lookups'!$A$5:$K$101,9,0), 0)</f>
        <v>0</v>
      </c>
      <c r="Z85" s="922" t="str">
        <f>IFERROR(VLOOKUP(X85,'Demand Lookups'!$A$5:$B$101,2,0),0)</f>
        <v>Non-Electric Measures</v>
      </c>
      <c r="AA85" s="722">
        <f>IF(ISNA(VLOOKUP($X85,'Demand Lookups'!$A$5:$K$81,3,0)),0,VLOOKUP($X85,'Demand Lookups'!$A$5:$K$81,3,0))</f>
        <v>0</v>
      </c>
      <c r="AB85" s="722">
        <f>IF(ISNA(VLOOKUP($X85,'Demand Lookups'!$A$5:$K$81,4,0)),0,VLOOKUP($X85,'Demand Lookups'!$A$5:$K$81,4,0))</f>
        <v>0</v>
      </c>
      <c r="AC85" s="722">
        <f>IF(ISNA(VLOOKUP($X85,'Demand Lookups'!$A$5:$K$81,5,0)),0,VLOOKUP($X85,'Demand Lookups'!$A$5:$K$81,5,0))</f>
        <v>0</v>
      </c>
      <c r="AD85" s="723">
        <f>IF(ISNA(VLOOKUP($X85,'Demand Lookups'!$A$5:$K$81,6,0)),0,VLOOKUP($X85,'Demand Lookups'!$A$5:$K$81,6,0))</f>
        <v>0</v>
      </c>
      <c r="AE85" s="724">
        <f t="shared" si="20"/>
        <v>0</v>
      </c>
      <c r="AF85" s="723">
        <f>ROUND(IF(ISNA(VLOOKUP($X85,'Demand Lookups'!$A$5:$K$82,10,0)),0,(VLOOKUP($X85,'Demand Lookups'!$A$5:$K$82,10,0))),2)</f>
        <v>0</v>
      </c>
      <c r="AG85" s="723">
        <f>ROUND(IF(ISNA(VLOOKUP($X85,'Demand Lookups'!$A$5:$K$82,11,0)),0,VLOOKUP($X85,'Demand Lookups'!$A$5:$K$82,11,0)),2)</f>
        <v>0</v>
      </c>
      <c r="AH85" s="648">
        <f t="shared" si="21"/>
        <v>0</v>
      </c>
      <c r="AI85" s="648">
        <f t="shared" si="22"/>
        <v>0</v>
      </c>
      <c r="AJ85" s="167" t="s">
        <v>404</v>
      </c>
      <c r="AK85" s="865">
        <v>4.5</v>
      </c>
      <c r="AL85" s="167"/>
      <c r="AM85" s="168"/>
      <c r="AN85" s="167"/>
      <c r="AO85" s="168"/>
      <c r="AP85" s="171">
        <v>0</v>
      </c>
      <c r="AQ85" s="171"/>
      <c r="AR85" s="171"/>
      <c r="AS85" s="299">
        <f>SUMIF('NEI Lookups'!$L:$L,'Inputs Yr 2'!$F85,'NEI Lookups'!E:E)+SUMIF('NEI Lookups'!$M:$M,'Inputs Yr 2'!$F85,'NEI Lookups'!E:E)+SUMIF('NEI Lookups'!$N:$N,'Inputs Yr 2'!$F85,'NEI Lookups'!E:E)+SUMIF('NEI Lookups'!$O:$O,'Inputs Yr 2'!$F85,'NEI Lookups'!E:E)+SUMIF('NEI Lookups'!$P:$P,'Inputs Yr 2'!$F85,'NEI Lookups'!E:E)+SUMIF('NEI Lookups'!$Q:$Q,'Inputs Yr 2'!$F85,'NEI Lookups'!E:E)+SUMIF('NEI Lookups'!$R:$R,'Inputs Yr 2'!$F85,'NEI Lookups'!E:E)+SUMIF('NEI Lookups'!$S:$S,'Inputs Yr 2'!$F85,'NEI Lookups'!E:E)+SUMIF('NEI Lookups'!$T:$T,'Inputs Yr 2'!$F85,'NEI Lookups'!E:E)</f>
        <v>0</v>
      </c>
      <c r="AT85" s="299">
        <f>SUMIF('NEI Lookups'!$L:$L,'Inputs Yr 2'!$F85,'NEI Lookups'!F:F)+SUMIF('NEI Lookups'!$M:$M,'Inputs Yr 2'!$F85,'NEI Lookups'!F:F)+SUMIF('NEI Lookups'!$N:$N,'Inputs Yr 2'!$F85,'NEI Lookups'!F:F)+SUMIF('NEI Lookups'!$O:$O,'Inputs Yr 2'!$F85,'NEI Lookups'!F:F)+SUMIF('NEI Lookups'!$P:$P,'Inputs Yr 2'!$F85,'NEI Lookups'!F:F)+SUMIF('NEI Lookups'!$Q:$Q,'Inputs Yr 2'!$F85,'NEI Lookups'!F:F)+SUMIF('NEI Lookups'!$R:$R,'Inputs Yr 2'!$F85,'NEI Lookups'!F:F)+SUMIF('NEI Lookups'!$S:$S,'Inputs Yr 2'!$F85,'NEI Lookups'!F:F)+SUMIF('NEI Lookups'!$T:$T,'Inputs Yr 2'!$F85,'NEI Lookups'!F:F)</f>
        <v>0</v>
      </c>
      <c r="AU85" s="299">
        <f>SUMIF('NEI Lookups'!$L:$L,'Inputs Yr 2'!$F85,'NEI Lookups'!G:G)+SUMIF('NEI Lookups'!$M:$M,'Inputs Yr 2'!$F85,'NEI Lookups'!G:G)+SUMIF('NEI Lookups'!$N:$N,'Inputs Yr 2'!$F85,'NEI Lookups'!G:G)+SUMIF('NEI Lookups'!$O:$O,'Inputs Yr 2'!$F85,'NEI Lookups'!G:G)+SUMIF('NEI Lookups'!$P:$P,'Inputs Yr 2'!$F85,'NEI Lookups'!G:G)+SUMIF('NEI Lookups'!$Q:$Q,'Inputs Yr 2'!$F85,'NEI Lookups'!G:G)+SUMIF('NEI Lookups'!$R:$R,'Inputs Yr 2'!$F85,'NEI Lookups'!G:G)+SUMIF('NEI Lookups'!$S:$S,'Inputs Yr 2'!$F85,'NEI Lookups'!G:G)+SUMIF('NEI Lookups'!$T:$T,'Inputs Yr 2'!$F85,'NEI Lookups'!G:G)</f>
        <v>0</v>
      </c>
      <c r="AV85" s="299">
        <f>SUMIF('NEI Lookups'!$L:$L,'Inputs Yr 2'!$F85,'NEI Lookups'!H:H)+SUMIF('NEI Lookups'!$M:$M,'Inputs Yr 2'!$F85,'NEI Lookups'!H:H)+SUMIF('NEI Lookups'!$N:$N,'Inputs Yr 2'!$F85,'NEI Lookups'!H:H)+SUMIF('NEI Lookups'!$O:$O,'Inputs Yr 2'!$F85,'NEI Lookups'!H:H)+SUMIF('NEI Lookups'!$P:$P,'Inputs Yr 2'!$F85,'NEI Lookups'!H:H)+SUMIF('NEI Lookups'!$Q:$Q,'Inputs Yr 2'!$F85,'NEI Lookups'!H:H)+SUMIF('NEI Lookups'!$R:$R,'Inputs Yr 2'!$F85,'NEI Lookups'!H:H)+SUMIF('NEI Lookups'!$S:$S,'Inputs Yr 2'!$F85,'NEI Lookups'!H:H)+SUMIF('NEI Lookups'!$T:$T,'Inputs Yr 2'!$F85,'NEI Lookups'!H:H)</f>
        <v>0</v>
      </c>
      <c r="AW85" s="299">
        <f>SUMIF('NEI Lookups'!$L:$L,'Inputs Yr 2'!$F85,'NEI Lookups'!I:I)+SUMIF('NEI Lookups'!$M:$M,'Inputs Yr 2'!$F85,'NEI Lookups'!I:I)+SUMIF('NEI Lookups'!$N:$N,'Inputs Yr 2'!$F85,'NEI Lookups'!I:I)+SUMIF('NEI Lookups'!$O:$O,'Inputs Yr 2'!$F85,'NEI Lookups'!I:I)+SUMIF('NEI Lookups'!$P:$P,'Inputs Yr 2'!$F85,'NEI Lookups'!I:I)+SUMIF('NEI Lookups'!$Q:$Q,'Inputs Yr 2'!$F85,'NEI Lookups'!I:I)+SUMIF('NEI Lookups'!$R:$R,'Inputs Yr 2'!$F85,'NEI Lookups'!I:I)+SUMIF('NEI Lookups'!$S:$S,'Inputs Yr 2'!$F85,'NEI Lookups'!I:I)+SUMIF('NEI Lookups'!$T:$T,'Inputs Yr 2'!$F85,'NEI Lookups'!I:I)</f>
        <v>0</v>
      </c>
      <c r="AX85" s="299">
        <f>SUMIF('NEI Lookups'!$L:$L,'Inputs Yr 2'!$F85,'NEI Lookups'!J:J)+SUMIF('NEI Lookups'!$M:$M,'Inputs Yr 2'!$F85,'NEI Lookups'!J:J)+SUMIF('NEI Lookups'!$N:$N,'Inputs Yr 2'!$F85,'NEI Lookups'!J:J)+SUMIF('NEI Lookups'!$O:$O,'Inputs Yr 2'!$F85,'NEI Lookups'!J:J)+SUMIF('NEI Lookups'!$P:$P,'Inputs Yr 2'!$F85,'NEI Lookups'!J:J)+SUMIF('NEI Lookups'!$Q:$Q,'Inputs Yr 2'!$F85,'NEI Lookups'!J:J)+SUMIF('NEI Lookups'!$R:$R,'Inputs Yr 2'!$F85,'NEI Lookups'!J:J)+SUMIF('NEI Lookups'!$S:$S,'Inputs Yr 2'!$F85,'NEI Lookups'!J:J)+SUMIF('NEI Lookups'!$T:$T,'Inputs Yr 2'!$F85,'NEI Lookups'!J:J)</f>
        <v>0</v>
      </c>
      <c r="AY85" s="930">
        <f>'Calculations Yr 2'!CP85/'Calculations Yr 2'!I85</f>
        <v>2.0439923373604247</v>
      </c>
    </row>
    <row r="86" spans="1:51" s="133" customFormat="1" ht="12.75" customHeight="1">
      <c r="A86" s="145" t="s">
        <v>32</v>
      </c>
      <c r="B86" s="132" t="s">
        <v>465</v>
      </c>
      <c r="C86" s="132" t="s">
        <v>909</v>
      </c>
      <c r="D86" s="902" t="s">
        <v>1473</v>
      </c>
      <c r="E86" s="98" t="s">
        <v>758</v>
      </c>
      <c r="F86" s="98" t="s">
        <v>1007</v>
      </c>
      <c r="G86" s="145" t="s">
        <v>1247</v>
      </c>
      <c r="H86" s="232">
        <v>26</v>
      </c>
      <c r="I86" s="232">
        <v>20</v>
      </c>
      <c r="J86" s="964">
        <v>960</v>
      </c>
      <c r="K86" s="166">
        <v>500</v>
      </c>
      <c r="L86" s="888">
        <f t="shared" si="16"/>
        <v>460</v>
      </c>
      <c r="M86" s="978">
        <v>0</v>
      </c>
      <c r="N86" s="978">
        <v>0</v>
      </c>
      <c r="O86" s="978">
        <v>0</v>
      </c>
      <c r="P86" s="889">
        <f t="shared" si="19"/>
        <v>1</v>
      </c>
      <c r="Q86" s="978">
        <v>1</v>
      </c>
      <c r="R86" s="178">
        <v>1</v>
      </c>
      <c r="S86" s="178">
        <v>1</v>
      </c>
      <c r="T86" s="178">
        <v>1</v>
      </c>
      <c r="U86" s="978">
        <v>1</v>
      </c>
      <c r="V86" s="978">
        <v>1</v>
      </c>
      <c r="W86" s="872">
        <v>-133</v>
      </c>
      <c r="X86" s="97" t="s">
        <v>35</v>
      </c>
      <c r="Y86" s="299">
        <f>IFERROR(VLOOKUP($X86,'Demand Lookups'!$A$5:$K$101,9,0), 0)</f>
        <v>5.3381390534849307E-4</v>
      </c>
      <c r="Z86" s="922" t="str">
        <f>IFERROR(VLOOKUP(X86,'Demand Lookups'!$A$5:$B$101,2,0),0)</f>
        <v>Res Single Family Electric Heating</v>
      </c>
      <c r="AA86" s="722">
        <f>ROUND(IF(ISNA(VLOOKUP($X86,'Demand Lookups'!$A$5:$K$81,3,0)),0,VLOOKUP($X86,'Demand Lookups'!$A$5:$K$81,3,0)), 3)</f>
        <v>0.378</v>
      </c>
      <c r="AB86" s="722">
        <f>ROUND(IF(ISNA(VLOOKUP($X86,'Demand Lookups'!$A$5:$K$81,4,0)),0,VLOOKUP($X86,'Demand Lookups'!$A$5:$K$81,4,0)), 3)</f>
        <v>0.61499999999999999</v>
      </c>
      <c r="AC86" s="722">
        <f>ROUND(IF(ISNA(VLOOKUP($X86,'Demand Lookups'!$A$5:$K$81,5,0)),0,VLOOKUP($X86,'Demand Lookups'!$A$5:$K$81,5,0)), 3)</f>
        <v>2E-3</v>
      </c>
      <c r="AD86" s="723">
        <f>ROUND(IF(ISNA(VLOOKUP($X86,'Demand Lookups'!$A$5:$K$81,6,0)),0,VLOOKUP($X86,'Demand Lookups'!$A$5:$K$81,6,0)), 3)</f>
        <v>5.0000000000000001E-3</v>
      </c>
      <c r="AE86" s="724">
        <f t="shared" si="20"/>
        <v>-7.0997249411349578E-2</v>
      </c>
      <c r="AF86" s="723">
        <f>ROUND(IF(ISNA(VLOOKUP($X86,'Demand Lookups'!$A$5:$K$82,10,0)),0,(VLOOKUP($X86,'Demand Lookups'!$A$5:$K$82,10,0))),2)</f>
        <v>0</v>
      </c>
      <c r="AG86" s="723">
        <f>ROUND(IF(ISNA(VLOOKUP($X86,'Demand Lookups'!$A$5:$K$82,11,0)),0,VLOOKUP($X86,'Demand Lookups'!$A$5:$K$82,11,0)),2)</f>
        <v>1</v>
      </c>
      <c r="AH86" s="648">
        <f t="shared" si="21"/>
        <v>0</v>
      </c>
      <c r="AI86" s="648">
        <f t="shared" si="22"/>
        <v>0</v>
      </c>
      <c r="AJ86" s="167" t="s">
        <v>404</v>
      </c>
      <c r="AK86" s="865">
        <v>7.7</v>
      </c>
      <c r="AL86" s="167"/>
      <c r="AM86" s="168"/>
      <c r="AN86" s="167"/>
      <c r="AO86" s="168"/>
      <c r="AP86" s="171">
        <v>0</v>
      </c>
      <c r="AQ86" s="171"/>
      <c r="AR86" s="171"/>
      <c r="AS86" s="299">
        <f>SUMIF('NEI Lookups'!$L:$L,'Inputs Yr 2'!$F86,'NEI Lookups'!E:E)+SUMIF('NEI Lookups'!$M:$M,'Inputs Yr 2'!$F86,'NEI Lookups'!E:E)+SUMIF('NEI Lookups'!$N:$N,'Inputs Yr 2'!$F86,'NEI Lookups'!E:E)+SUMIF('NEI Lookups'!$O:$O,'Inputs Yr 2'!$F86,'NEI Lookups'!E:E)+SUMIF('NEI Lookups'!$P:$P,'Inputs Yr 2'!$F86,'NEI Lookups'!E:E)+SUMIF('NEI Lookups'!$Q:$Q,'Inputs Yr 2'!$F86,'NEI Lookups'!E:E)+SUMIF('NEI Lookups'!$R:$R,'Inputs Yr 2'!$F86,'NEI Lookups'!E:E)+SUMIF('NEI Lookups'!$S:$S,'Inputs Yr 2'!$F86,'NEI Lookups'!E:E)+SUMIF('NEI Lookups'!$T:$T,'Inputs Yr 2'!$F86,'NEI Lookups'!E:E)</f>
        <v>0</v>
      </c>
      <c r="AT86" s="299">
        <f>SUMIF('NEI Lookups'!$L:$L,'Inputs Yr 2'!$F86,'NEI Lookups'!F:F)+SUMIF('NEI Lookups'!$M:$M,'Inputs Yr 2'!$F86,'NEI Lookups'!F:F)+SUMIF('NEI Lookups'!$N:$N,'Inputs Yr 2'!$F86,'NEI Lookups'!F:F)+SUMIF('NEI Lookups'!$O:$O,'Inputs Yr 2'!$F86,'NEI Lookups'!F:F)+SUMIF('NEI Lookups'!$P:$P,'Inputs Yr 2'!$F86,'NEI Lookups'!F:F)+SUMIF('NEI Lookups'!$Q:$Q,'Inputs Yr 2'!$F86,'NEI Lookups'!F:F)+SUMIF('NEI Lookups'!$R:$R,'Inputs Yr 2'!$F86,'NEI Lookups'!F:F)+SUMIF('NEI Lookups'!$S:$S,'Inputs Yr 2'!$F86,'NEI Lookups'!F:F)+SUMIF('NEI Lookups'!$T:$T,'Inputs Yr 2'!$F86,'NEI Lookups'!F:F)</f>
        <v>0</v>
      </c>
      <c r="AU86" s="299">
        <f>SUMIF('NEI Lookups'!$L:$L,'Inputs Yr 2'!$F86,'NEI Lookups'!G:G)+SUMIF('NEI Lookups'!$M:$M,'Inputs Yr 2'!$F86,'NEI Lookups'!G:G)+SUMIF('NEI Lookups'!$N:$N,'Inputs Yr 2'!$F86,'NEI Lookups'!G:G)+SUMIF('NEI Lookups'!$O:$O,'Inputs Yr 2'!$F86,'NEI Lookups'!G:G)+SUMIF('NEI Lookups'!$P:$P,'Inputs Yr 2'!$F86,'NEI Lookups'!G:G)+SUMIF('NEI Lookups'!$Q:$Q,'Inputs Yr 2'!$F86,'NEI Lookups'!G:G)+SUMIF('NEI Lookups'!$R:$R,'Inputs Yr 2'!$F86,'NEI Lookups'!G:G)+SUMIF('NEI Lookups'!$S:$S,'Inputs Yr 2'!$F86,'NEI Lookups'!G:G)+SUMIF('NEI Lookups'!$T:$T,'Inputs Yr 2'!$F86,'NEI Lookups'!G:G)</f>
        <v>0</v>
      </c>
      <c r="AV86" s="299">
        <f>SUMIF('NEI Lookups'!$L:$L,'Inputs Yr 2'!$F86,'NEI Lookups'!H:H)+SUMIF('NEI Lookups'!$M:$M,'Inputs Yr 2'!$F86,'NEI Lookups'!H:H)+SUMIF('NEI Lookups'!$N:$N,'Inputs Yr 2'!$F86,'NEI Lookups'!H:H)+SUMIF('NEI Lookups'!$O:$O,'Inputs Yr 2'!$F86,'NEI Lookups'!H:H)+SUMIF('NEI Lookups'!$P:$P,'Inputs Yr 2'!$F86,'NEI Lookups'!H:H)+SUMIF('NEI Lookups'!$Q:$Q,'Inputs Yr 2'!$F86,'NEI Lookups'!H:H)+SUMIF('NEI Lookups'!$R:$R,'Inputs Yr 2'!$F86,'NEI Lookups'!H:H)+SUMIF('NEI Lookups'!$S:$S,'Inputs Yr 2'!$F86,'NEI Lookups'!H:H)+SUMIF('NEI Lookups'!$T:$T,'Inputs Yr 2'!$F86,'NEI Lookups'!H:H)</f>
        <v>0</v>
      </c>
      <c r="AW86" s="299">
        <f>SUMIF('NEI Lookups'!$L:$L,'Inputs Yr 2'!$F86,'NEI Lookups'!I:I)+SUMIF('NEI Lookups'!$M:$M,'Inputs Yr 2'!$F86,'NEI Lookups'!I:I)+SUMIF('NEI Lookups'!$N:$N,'Inputs Yr 2'!$F86,'NEI Lookups'!I:I)+SUMIF('NEI Lookups'!$O:$O,'Inputs Yr 2'!$F86,'NEI Lookups'!I:I)+SUMIF('NEI Lookups'!$P:$P,'Inputs Yr 2'!$F86,'NEI Lookups'!I:I)+SUMIF('NEI Lookups'!$Q:$Q,'Inputs Yr 2'!$F86,'NEI Lookups'!I:I)+SUMIF('NEI Lookups'!$R:$R,'Inputs Yr 2'!$F86,'NEI Lookups'!I:I)+SUMIF('NEI Lookups'!$S:$S,'Inputs Yr 2'!$F86,'NEI Lookups'!I:I)+SUMIF('NEI Lookups'!$T:$T,'Inputs Yr 2'!$F86,'NEI Lookups'!I:I)</f>
        <v>0</v>
      </c>
      <c r="AX86" s="299">
        <f>SUMIF('NEI Lookups'!$L:$L,'Inputs Yr 2'!$F86,'NEI Lookups'!J:J)+SUMIF('NEI Lookups'!$M:$M,'Inputs Yr 2'!$F86,'NEI Lookups'!J:J)+SUMIF('NEI Lookups'!$N:$N,'Inputs Yr 2'!$F86,'NEI Lookups'!J:J)+SUMIF('NEI Lookups'!$O:$O,'Inputs Yr 2'!$F86,'NEI Lookups'!J:J)+SUMIF('NEI Lookups'!$P:$P,'Inputs Yr 2'!$F86,'NEI Lookups'!J:J)+SUMIF('NEI Lookups'!$Q:$Q,'Inputs Yr 2'!$F86,'NEI Lookups'!J:J)+SUMIF('NEI Lookups'!$R:$R,'Inputs Yr 2'!$F86,'NEI Lookups'!J:J)+SUMIF('NEI Lookups'!$S:$S,'Inputs Yr 2'!$F86,'NEI Lookups'!J:J)+SUMIF('NEI Lookups'!$T:$T,'Inputs Yr 2'!$F86,'NEI Lookups'!J:J)</f>
        <v>0</v>
      </c>
      <c r="AY86" s="930">
        <f>'Calculations Yr 2'!CP86/'Calculations Yr 2'!I86</f>
        <v>1.2276003730510396</v>
      </c>
    </row>
    <row r="87" spans="1:51" s="133" customFormat="1" ht="12.75" customHeight="1">
      <c r="A87" s="145" t="s">
        <v>32</v>
      </c>
      <c r="B87" s="132" t="s">
        <v>465</v>
      </c>
      <c r="C87" s="132" t="s">
        <v>909</v>
      </c>
      <c r="D87" s="902" t="s">
        <v>1505</v>
      </c>
      <c r="E87" s="98" t="s">
        <v>1320</v>
      </c>
      <c r="F87" s="98" t="s">
        <v>1008</v>
      </c>
      <c r="G87" s="145" t="s">
        <v>89</v>
      </c>
      <c r="H87" s="232">
        <v>25</v>
      </c>
      <c r="I87" s="232">
        <v>15</v>
      </c>
      <c r="J87" s="964">
        <v>2340</v>
      </c>
      <c r="K87" s="166">
        <v>500</v>
      </c>
      <c r="L87" s="888">
        <f t="shared" si="16"/>
        <v>1840</v>
      </c>
      <c r="M87" s="978">
        <v>0</v>
      </c>
      <c r="N87" s="978">
        <v>0</v>
      </c>
      <c r="O87" s="978">
        <v>0</v>
      </c>
      <c r="P87" s="889">
        <f t="shared" si="19"/>
        <v>1</v>
      </c>
      <c r="Q87" s="978">
        <v>1</v>
      </c>
      <c r="R87" s="178">
        <v>1</v>
      </c>
      <c r="S87" s="178">
        <v>1</v>
      </c>
      <c r="T87" s="178">
        <v>1</v>
      </c>
      <c r="U87" s="978">
        <v>1</v>
      </c>
      <c r="V87" s="978">
        <v>1</v>
      </c>
      <c r="W87" s="179"/>
      <c r="X87" s="937" t="s">
        <v>653</v>
      </c>
      <c r="Y87" s="299">
        <f>IFERROR(VLOOKUP($X87,'Demand Lookups'!$A$5:$K$101,9,0), 0)</f>
        <v>0</v>
      </c>
      <c r="Z87" s="922" t="str">
        <f>IFERROR(VLOOKUP(X87,'Demand Lookups'!$A$5:$B$101,2,0),0)</f>
        <v>Non-Electric Measures</v>
      </c>
      <c r="AA87" s="722">
        <f>IF(ISNA(VLOOKUP($X87,'Demand Lookups'!$A$5:$K$81,3,0)),0,VLOOKUP($X87,'Demand Lookups'!$A$5:$K$81,3,0))</f>
        <v>0</v>
      </c>
      <c r="AB87" s="722">
        <f>IF(ISNA(VLOOKUP($X87,'Demand Lookups'!$A$5:$K$81,4,0)),0,VLOOKUP($X87,'Demand Lookups'!$A$5:$K$81,4,0))</f>
        <v>0</v>
      </c>
      <c r="AC87" s="722">
        <f>IF(ISNA(VLOOKUP($X87,'Demand Lookups'!$A$5:$K$81,5,0)),0,VLOOKUP($X87,'Demand Lookups'!$A$5:$K$81,5,0))</f>
        <v>0</v>
      </c>
      <c r="AD87" s="723">
        <f>IF(ISNA(VLOOKUP($X87,'Demand Lookups'!$A$5:$K$81,6,0)),0,VLOOKUP($X87,'Demand Lookups'!$A$5:$K$81,6,0))</f>
        <v>0</v>
      </c>
      <c r="AE87" s="724">
        <f t="shared" si="20"/>
        <v>0</v>
      </c>
      <c r="AF87" s="723">
        <f>ROUND(IF(ISNA(VLOOKUP($X87,'Demand Lookups'!$A$5:$K$82,10,0)),0,(VLOOKUP($X87,'Demand Lookups'!$A$5:$K$82,10,0))),2)</f>
        <v>0</v>
      </c>
      <c r="AG87" s="723">
        <f>ROUND(IF(ISNA(VLOOKUP($X87,'Demand Lookups'!$A$5:$K$82,11,0)),0,VLOOKUP($X87,'Demand Lookups'!$A$5:$K$82,11,0)),2)</f>
        <v>0</v>
      </c>
      <c r="AH87" s="648">
        <f t="shared" si="21"/>
        <v>0</v>
      </c>
      <c r="AI87" s="648">
        <f t="shared" si="22"/>
        <v>0</v>
      </c>
      <c r="AJ87" s="167" t="s">
        <v>40</v>
      </c>
      <c r="AK87" s="865">
        <v>8.5</v>
      </c>
      <c r="AL87" s="167"/>
      <c r="AM87" s="168"/>
      <c r="AN87" s="167"/>
      <c r="AO87" s="168"/>
      <c r="AP87" s="171">
        <v>0</v>
      </c>
      <c r="AQ87" s="171"/>
      <c r="AR87" s="171"/>
      <c r="AS87" s="299">
        <f>SUMIF('NEI Lookups'!$L:$L,'Inputs Yr 2'!$F87,'NEI Lookups'!E:E)+SUMIF('NEI Lookups'!$M:$M,'Inputs Yr 2'!$F87,'NEI Lookups'!E:E)+SUMIF('NEI Lookups'!$N:$N,'Inputs Yr 2'!$F87,'NEI Lookups'!E:E)+SUMIF('NEI Lookups'!$O:$O,'Inputs Yr 2'!$F87,'NEI Lookups'!E:E)+SUMIF('NEI Lookups'!$P:$P,'Inputs Yr 2'!$F87,'NEI Lookups'!E:E)+SUMIF('NEI Lookups'!$Q:$Q,'Inputs Yr 2'!$F87,'NEI Lookups'!E:E)+SUMIF('NEI Lookups'!$R:$R,'Inputs Yr 2'!$F87,'NEI Lookups'!E:E)+SUMIF('NEI Lookups'!$S:$S,'Inputs Yr 2'!$F87,'NEI Lookups'!E:E)+SUMIF('NEI Lookups'!$T:$T,'Inputs Yr 2'!$F87,'NEI Lookups'!E:E)</f>
        <v>0.70289999999999997</v>
      </c>
      <c r="AT87" s="299">
        <f>SUMIF('NEI Lookups'!$L:$L,'Inputs Yr 2'!$F87,'NEI Lookups'!F:F)+SUMIF('NEI Lookups'!$M:$M,'Inputs Yr 2'!$F87,'NEI Lookups'!F:F)+SUMIF('NEI Lookups'!$N:$N,'Inputs Yr 2'!$F87,'NEI Lookups'!F:F)+SUMIF('NEI Lookups'!$O:$O,'Inputs Yr 2'!$F87,'NEI Lookups'!F:F)+SUMIF('NEI Lookups'!$P:$P,'Inputs Yr 2'!$F87,'NEI Lookups'!F:F)+SUMIF('NEI Lookups'!$Q:$Q,'Inputs Yr 2'!$F87,'NEI Lookups'!F:F)+SUMIF('NEI Lookups'!$R:$R,'Inputs Yr 2'!$F87,'NEI Lookups'!F:F)+SUMIF('NEI Lookups'!$S:$S,'Inputs Yr 2'!$F87,'NEI Lookups'!F:F)+SUMIF('NEI Lookups'!$T:$T,'Inputs Yr 2'!$F87,'NEI Lookups'!F:F)</f>
        <v>0</v>
      </c>
      <c r="AU87" s="299">
        <f>SUMIF('NEI Lookups'!$L:$L,'Inputs Yr 2'!$F87,'NEI Lookups'!G:G)+SUMIF('NEI Lookups'!$M:$M,'Inputs Yr 2'!$F87,'NEI Lookups'!G:G)+SUMIF('NEI Lookups'!$N:$N,'Inputs Yr 2'!$F87,'NEI Lookups'!G:G)+SUMIF('NEI Lookups'!$O:$O,'Inputs Yr 2'!$F87,'NEI Lookups'!G:G)+SUMIF('NEI Lookups'!$P:$P,'Inputs Yr 2'!$F87,'NEI Lookups'!G:G)+SUMIF('NEI Lookups'!$Q:$Q,'Inputs Yr 2'!$F87,'NEI Lookups'!G:G)+SUMIF('NEI Lookups'!$R:$R,'Inputs Yr 2'!$F87,'NEI Lookups'!G:G)+SUMIF('NEI Lookups'!$S:$S,'Inputs Yr 2'!$F87,'NEI Lookups'!G:G)+SUMIF('NEI Lookups'!$T:$T,'Inputs Yr 2'!$F87,'NEI Lookups'!G:G)</f>
        <v>0</v>
      </c>
      <c r="AV87" s="299">
        <f>SUMIF('NEI Lookups'!$L:$L,'Inputs Yr 2'!$F87,'NEI Lookups'!H:H)+SUMIF('NEI Lookups'!$M:$M,'Inputs Yr 2'!$F87,'NEI Lookups'!H:H)+SUMIF('NEI Lookups'!$N:$N,'Inputs Yr 2'!$F87,'NEI Lookups'!H:H)+SUMIF('NEI Lookups'!$O:$O,'Inputs Yr 2'!$F87,'NEI Lookups'!H:H)+SUMIF('NEI Lookups'!$P:$P,'Inputs Yr 2'!$F87,'NEI Lookups'!H:H)+SUMIF('NEI Lookups'!$Q:$Q,'Inputs Yr 2'!$F87,'NEI Lookups'!H:H)+SUMIF('NEI Lookups'!$R:$R,'Inputs Yr 2'!$F87,'NEI Lookups'!H:H)+SUMIF('NEI Lookups'!$S:$S,'Inputs Yr 2'!$F87,'NEI Lookups'!H:H)+SUMIF('NEI Lookups'!$T:$T,'Inputs Yr 2'!$F87,'NEI Lookups'!H:H)</f>
        <v>0</v>
      </c>
      <c r="AW87" s="299">
        <f>SUMIF('NEI Lookups'!$L:$L,'Inputs Yr 2'!$F87,'NEI Lookups'!I:I)+SUMIF('NEI Lookups'!$M:$M,'Inputs Yr 2'!$F87,'NEI Lookups'!I:I)+SUMIF('NEI Lookups'!$N:$N,'Inputs Yr 2'!$F87,'NEI Lookups'!I:I)+SUMIF('NEI Lookups'!$O:$O,'Inputs Yr 2'!$F87,'NEI Lookups'!I:I)+SUMIF('NEI Lookups'!$P:$P,'Inputs Yr 2'!$F87,'NEI Lookups'!I:I)+SUMIF('NEI Lookups'!$Q:$Q,'Inputs Yr 2'!$F87,'NEI Lookups'!I:I)+SUMIF('NEI Lookups'!$R:$R,'Inputs Yr 2'!$F87,'NEI Lookups'!I:I)+SUMIF('NEI Lookups'!$S:$S,'Inputs Yr 2'!$F87,'NEI Lookups'!I:I)+SUMIF('NEI Lookups'!$T:$T,'Inputs Yr 2'!$F87,'NEI Lookups'!I:I)</f>
        <v>0</v>
      </c>
      <c r="AX87" s="299">
        <f>SUMIF('NEI Lookups'!$L:$L,'Inputs Yr 2'!$F87,'NEI Lookups'!J:J)+SUMIF('NEI Lookups'!$M:$M,'Inputs Yr 2'!$F87,'NEI Lookups'!J:J)+SUMIF('NEI Lookups'!$N:$N,'Inputs Yr 2'!$F87,'NEI Lookups'!J:J)+SUMIF('NEI Lookups'!$O:$O,'Inputs Yr 2'!$F87,'NEI Lookups'!J:J)+SUMIF('NEI Lookups'!$P:$P,'Inputs Yr 2'!$F87,'NEI Lookups'!J:J)+SUMIF('NEI Lookups'!$Q:$Q,'Inputs Yr 2'!$F87,'NEI Lookups'!J:J)+SUMIF('NEI Lookups'!$R:$R,'Inputs Yr 2'!$F87,'NEI Lookups'!J:J)+SUMIF('NEI Lookups'!$S:$S,'Inputs Yr 2'!$F87,'NEI Lookups'!J:J)+SUMIF('NEI Lookups'!$T:$T,'Inputs Yr 2'!$F87,'NEI Lookups'!J:J)</f>
        <v>0</v>
      </c>
      <c r="AY87" s="930">
        <f>'Calculations Yr 2'!CP87/'Calculations Yr 2'!I87</f>
        <v>0.4783581560207496</v>
      </c>
    </row>
    <row r="88" spans="1:51" s="133" customFormat="1" ht="12.75" customHeight="1">
      <c r="A88" s="145" t="s">
        <v>32</v>
      </c>
      <c r="B88" s="132" t="s">
        <v>465</v>
      </c>
      <c r="C88" s="132" t="s">
        <v>909</v>
      </c>
      <c r="D88" s="902" t="s">
        <v>1474</v>
      </c>
      <c r="E88" s="98" t="s">
        <v>1321</v>
      </c>
      <c r="F88" s="98" t="s">
        <v>1009</v>
      </c>
      <c r="G88" s="145" t="s">
        <v>89</v>
      </c>
      <c r="H88" s="232">
        <v>285</v>
      </c>
      <c r="I88" s="232">
        <v>11</v>
      </c>
      <c r="J88" s="964">
        <v>562</v>
      </c>
      <c r="K88" s="166">
        <v>100</v>
      </c>
      <c r="L88" s="888">
        <f t="shared" si="16"/>
        <v>462</v>
      </c>
      <c r="M88" s="978">
        <v>0.13</v>
      </c>
      <c r="N88" s="978">
        <v>0.13</v>
      </c>
      <c r="O88" s="978">
        <v>0</v>
      </c>
      <c r="P88" s="889">
        <f t="shared" si="19"/>
        <v>1</v>
      </c>
      <c r="Q88" s="978">
        <v>1</v>
      </c>
      <c r="R88" s="178">
        <v>1</v>
      </c>
      <c r="S88" s="178">
        <v>1</v>
      </c>
      <c r="T88" s="178">
        <v>1</v>
      </c>
      <c r="U88" s="978">
        <v>1</v>
      </c>
      <c r="V88" s="978">
        <v>1</v>
      </c>
      <c r="W88" s="179"/>
      <c r="X88" s="937" t="s">
        <v>653</v>
      </c>
      <c r="Y88" s="299">
        <f>IFERROR(VLOOKUP($X88,'Demand Lookups'!$A$5:$K$101,9,0), 0)</f>
        <v>0</v>
      </c>
      <c r="Z88" s="922" t="str">
        <f>IFERROR(VLOOKUP(X88,'Demand Lookups'!$A$5:$B$101,2,0),0)</f>
        <v>Non-Electric Measures</v>
      </c>
      <c r="AA88" s="722">
        <f>IF(ISNA(VLOOKUP($X88,'Demand Lookups'!$A$5:$K$81,3,0)),0,VLOOKUP($X88,'Demand Lookups'!$A$5:$K$81,3,0))</f>
        <v>0</v>
      </c>
      <c r="AB88" s="722">
        <f>IF(ISNA(VLOOKUP($X88,'Demand Lookups'!$A$5:$K$81,4,0)),0,VLOOKUP($X88,'Demand Lookups'!$A$5:$K$81,4,0))</f>
        <v>0</v>
      </c>
      <c r="AC88" s="722">
        <f>IF(ISNA(VLOOKUP($X88,'Demand Lookups'!$A$5:$K$81,5,0)),0,VLOOKUP($X88,'Demand Lookups'!$A$5:$K$81,5,0))</f>
        <v>0</v>
      </c>
      <c r="AD88" s="723">
        <f>IF(ISNA(VLOOKUP($X88,'Demand Lookups'!$A$5:$K$81,6,0)),0,VLOOKUP($X88,'Demand Lookups'!$A$5:$K$81,6,0))</f>
        <v>0</v>
      </c>
      <c r="AE88" s="724">
        <f t="shared" si="20"/>
        <v>0</v>
      </c>
      <c r="AF88" s="723">
        <f>ROUND(IF(ISNA(VLOOKUP($X88,'Demand Lookups'!$A$5:$K$82,10,0)),0,(VLOOKUP($X88,'Demand Lookups'!$A$5:$K$82,10,0))),2)</f>
        <v>0</v>
      </c>
      <c r="AG88" s="723">
        <f>ROUND(IF(ISNA(VLOOKUP($X88,'Demand Lookups'!$A$5:$K$82,11,0)),0,VLOOKUP($X88,'Demand Lookups'!$A$5:$K$82,11,0)),2)</f>
        <v>0</v>
      </c>
      <c r="AH88" s="648">
        <f t="shared" si="21"/>
        <v>0</v>
      </c>
      <c r="AI88" s="648">
        <f t="shared" si="22"/>
        <v>0</v>
      </c>
      <c r="AJ88" s="167" t="s">
        <v>40</v>
      </c>
      <c r="AK88" s="865">
        <v>3.6</v>
      </c>
      <c r="AL88" s="167"/>
      <c r="AM88" s="168"/>
      <c r="AN88" s="167"/>
      <c r="AO88" s="168"/>
      <c r="AP88" s="171">
        <v>0</v>
      </c>
      <c r="AQ88" s="171"/>
      <c r="AR88" s="171"/>
      <c r="AS88" s="299">
        <f>SUMIF('NEI Lookups'!$L:$L,'Inputs Yr 2'!$F88,'NEI Lookups'!E:E)+SUMIF('NEI Lookups'!$M:$M,'Inputs Yr 2'!$F88,'NEI Lookups'!E:E)+SUMIF('NEI Lookups'!$N:$N,'Inputs Yr 2'!$F88,'NEI Lookups'!E:E)+SUMIF('NEI Lookups'!$O:$O,'Inputs Yr 2'!$F88,'NEI Lookups'!E:E)+SUMIF('NEI Lookups'!$P:$P,'Inputs Yr 2'!$F88,'NEI Lookups'!E:E)+SUMIF('NEI Lookups'!$Q:$Q,'Inputs Yr 2'!$F88,'NEI Lookups'!E:E)+SUMIF('NEI Lookups'!$R:$R,'Inputs Yr 2'!$F88,'NEI Lookups'!E:E)+SUMIF('NEI Lookups'!$S:$S,'Inputs Yr 2'!$F88,'NEI Lookups'!E:E)+SUMIF('NEI Lookups'!$T:$T,'Inputs Yr 2'!$F88,'NEI Lookups'!E:E)</f>
        <v>1.2972871500000001</v>
      </c>
      <c r="AT88" s="299">
        <f>SUMIF('NEI Lookups'!$L:$L,'Inputs Yr 2'!$F88,'NEI Lookups'!F:F)+SUMIF('NEI Lookups'!$M:$M,'Inputs Yr 2'!$F88,'NEI Lookups'!F:F)+SUMIF('NEI Lookups'!$N:$N,'Inputs Yr 2'!$F88,'NEI Lookups'!F:F)+SUMIF('NEI Lookups'!$O:$O,'Inputs Yr 2'!$F88,'NEI Lookups'!F:F)+SUMIF('NEI Lookups'!$P:$P,'Inputs Yr 2'!$F88,'NEI Lookups'!F:F)+SUMIF('NEI Lookups'!$Q:$Q,'Inputs Yr 2'!$F88,'NEI Lookups'!F:F)+SUMIF('NEI Lookups'!$R:$R,'Inputs Yr 2'!$F88,'NEI Lookups'!F:F)+SUMIF('NEI Lookups'!$S:$S,'Inputs Yr 2'!$F88,'NEI Lookups'!F:F)+SUMIF('NEI Lookups'!$T:$T,'Inputs Yr 2'!$F88,'NEI Lookups'!F:F)</f>
        <v>0</v>
      </c>
      <c r="AU88" s="299">
        <f>SUMIF('NEI Lookups'!$L:$L,'Inputs Yr 2'!$F88,'NEI Lookups'!G:G)+SUMIF('NEI Lookups'!$M:$M,'Inputs Yr 2'!$F88,'NEI Lookups'!G:G)+SUMIF('NEI Lookups'!$N:$N,'Inputs Yr 2'!$F88,'NEI Lookups'!G:G)+SUMIF('NEI Lookups'!$O:$O,'Inputs Yr 2'!$F88,'NEI Lookups'!G:G)+SUMIF('NEI Lookups'!$P:$P,'Inputs Yr 2'!$F88,'NEI Lookups'!G:G)+SUMIF('NEI Lookups'!$Q:$Q,'Inputs Yr 2'!$F88,'NEI Lookups'!G:G)+SUMIF('NEI Lookups'!$R:$R,'Inputs Yr 2'!$F88,'NEI Lookups'!G:G)+SUMIF('NEI Lookups'!$S:$S,'Inputs Yr 2'!$F88,'NEI Lookups'!G:G)+SUMIF('NEI Lookups'!$T:$T,'Inputs Yr 2'!$F88,'NEI Lookups'!G:G)</f>
        <v>0</v>
      </c>
      <c r="AV88" s="299">
        <f>SUMIF('NEI Lookups'!$L:$L,'Inputs Yr 2'!$F88,'NEI Lookups'!H:H)+SUMIF('NEI Lookups'!$M:$M,'Inputs Yr 2'!$F88,'NEI Lookups'!H:H)+SUMIF('NEI Lookups'!$N:$N,'Inputs Yr 2'!$F88,'NEI Lookups'!H:H)+SUMIF('NEI Lookups'!$O:$O,'Inputs Yr 2'!$F88,'NEI Lookups'!H:H)+SUMIF('NEI Lookups'!$P:$P,'Inputs Yr 2'!$F88,'NEI Lookups'!H:H)+SUMIF('NEI Lookups'!$Q:$Q,'Inputs Yr 2'!$F88,'NEI Lookups'!H:H)+SUMIF('NEI Lookups'!$R:$R,'Inputs Yr 2'!$F88,'NEI Lookups'!H:H)+SUMIF('NEI Lookups'!$S:$S,'Inputs Yr 2'!$F88,'NEI Lookups'!H:H)+SUMIF('NEI Lookups'!$T:$T,'Inputs Yr 2'!$F88,'NEI Lookups'!H:H)</f>
        <v>0</v>
      </c>
      <c r="AW88" s="299">
        <f>SUMIF('NEI Lookups'!$L:$L,'Inputs Yr 2'!$F88,'NEI Lookups'!I:I)+SUMIF('NEI Lookups'!$M:$M,'Inputs Yr 2'!$F88,'NEI Lookups'!I:I)+SUMIF('NEI Lookups'!$N:$N,'Inputs Yr 2'!$F88,'NEI Lookups'!I:I)+SUMIF('NEI Lookups'!$O:$O,'Inputs Yr 2'!$F88,'NEI Lookups'!I:I)+SUMIF('NEI Lookups'!$P:$P,'Inputs Yr 2'!$F88,'NEI Lookups'!I:I)+SUMIF('NEI Lookups'!$Q:$Q,'Inputs Yr 2'!$F88,'NEI Lookups'!I:I)+SUMIF('NEI Lookups'!$R:$R,'Inputs Yr 2'!$F88,'NEI Lookups'!I:I)+SUMIF('NEI Lookups'!$S:$S,'Inputs Yr 2'!$F88,'NEI Lookups'!I:I)+SUMIF('NEI Lookups'!$T:$T,'Inputs Yr 2'!$F88,'NEI Lookups'!I:I)</f>
        <v>0</v>
      </c>
      <c r="AX88" s="299">
        <f>SUMIF('NEI Lookups'!$L:$L,'Inputs Yr 2'!$F88,'NEI Lookups'!J:J)+SUMIF('NEI Lookups'!$M:$M,'Inputs Yr 2'!$F88,'NEI Lookups'!J:J)+SUMIF('NEI Lookups'!$N:$N,'Inputs Yr 2'!$F88,'NEI Lookups'!J:J)+SUMIF('NEI Lookups'!$O:$O,'Inputs Yr 2'!$F88,'NEI Lookups'!J:J)+SUMIF('NEI Lookups'!$P:$P,'Inputs Yr 2'!$F88,'NEI Lookups'!J:J)+SUMIF('NEI Lookups'!$Q:$Q,'Inputs Yr 2'!$F88,'NEI Lookups'!J:J)+SUMIF('NEI Lookups'!$R:$R,'Inputs Yr 2'!$F88,'NEI Lookups'!J:J)+SUMIF('NEI Lookups'!$S:$S,'Inputs Yr 2'!$F88,'NEI Lookups'!J:J)+SUMIF('NEI Lookups'!$T:$T,'Inputs Yr 2'!$F88,'NEI Lookups'!J:J)</f>
        <v>0</v>
      </c>
      <c r="AY88" s="930">
        <f>'Calculations Yr 2'!CP88/'Calculations Yr 2'!I88</f>
        <v>0.63728623936968798</v>
      </c>
    </row>
    <row r="89" spans="1:51" s="133" customFormat="1" ht="12.75" customHeight="1">
      <c r="A89" s="145" t="s">
        <v>32</v>
      </c>
      <c r="B89" s="132" t="s">
        <v>465</v>
      </c>
      <c r="C89" s="132" t="s">
        <v>909</v>
      </c>
      <c r="D89" s="902" t="s">
        <v>1475</v>
      </c>
      <c r="E89" s="150" t="s">
        <v>1322</v>
      </c>
      <c r="F89" s="98" t="s">
        <v>1010</v>
      </c>
      <c r="G89" s="145" t="s">
        <v>89</v>
      </c>
      <c r="H89" s="232">
        <v>140</v>
      </c>
      <c r="I89" s="232">
        <v>19</v>
      </c>
      <c r="J89" s="964">
        <v>1846.1784013069955</v>
      </c>
      <c r="K89" s="166">
        <v>500</v>
      </c>
      <c r="L89" s="888">
        <f t="shared" si="16"/>
        <v>1346.1784013069955</v>
      </c>
      <c r="M89" s="978">
        <v>0.37</v>
      </c>
      <c r="N89" s="978">
        <v>0.25</v>
      </c>
      <c r="O89" s="978">
        <v>0</v>
      </c>
      <c r="P89" s="889">
        <f t="shared" si="19"/>
        <v>0.88</v>
      </c>
      <c r="Q89" s="978">
        <v>1</v>
      </c>
      <c r="R89" s="178">
        <v>1</v>
      </c>
      <c r="S89" s="178">
        <v>1</v>
      </c>
      <c r="T89" s="178">
        <v>1</v>
      </c>
      <c r="U89" s="978">
        <v>1</v>
      </c>
      <c r="V89" s="978">
        <v>1</v>
      </c>
      <c r="W89" s="179"/>
      <c r="X89" s="937" t="s">
        <v>653</v>
      </c>
      <c r="Y89" s="299">
        <f>IFERROR(VLOOKUP($X89,'Demand Lookups'!$A$5:$K$101,9,0), 0)</f>
        <v>0</v>
      </c>
      <c r="Z89" s="922" t="str">
        <f>IFERROR(VLOOKUP(X89,'Demand Lookups'!$A$5:$B$101,2,0),0)</f>
        <v>Non-Electric Measures</v>
      </c>
      <c r="AA89" s="722">
        <f>IF(ISNA(VLOOKUP($X89,'Demand Lookups'!$A$5:$K$81,3,0)),0,VLOOKUP($X89,'Demand Lookups'!$A$5:$K$81,3,0))</f>
        <v>0</v>
      </c>
      <c r="AB89" s="722">
        <f>IF(ISNA(VLOOKUP($X89,'Demand Lookups'!$A$5:$K$81,4,0)),0,VLOOKUP($X89,'Demand Lookups'!$A$5:$K$81,4,0))</f>
        <v>0</v>
      </c>
      <c r="AC89" s="722">
        <f>IF(ISNA(VLOOKUP($X89,'Demand Lookups'!$A$5:$K$81,5,0)),0,VLOOKUP($X89,'Demand Lookups'!$A$5:$K$81,5,0))</f>
        <v>0</v>
      </c>
      <c r="AD89" s="723">
        <f>IF(ISNA(VLOOKUP($X89,'Demand Lookups'!$A$5:$K$81,6,0)),0,VLOOKUP($X89,'Demand Lookups'!$A$5:$K$81,6,0))</f>
        <v>0</v>
      </c>
      <c r="AE89" s="724">
        <f t="shared" si="20"/>
        <v>0</v>
      </c>
      <c r="AF89" s="723">
        <f>ROUND(IF(ISNA(VLOOKUP($X89,'Demand Lookups'!$A$5:$K$82,10,0)),0,(VLOOKUP($X89,'Demand Lookups'!$A$5:$K$82,10,0))),2)</f>
        <v>0</v>
      </c>
      <c r="AG89" s="723">
        <f>ROUND(IF(ISNA(VLOOKUP($X89,'Demand Lookups'!$A$5:$K$82,11,0)),0,VLOOKUP($X89,'Demand Lookups'!$A$5:$K$82,11,0)),2)</f>
        <v>0</v>
      </c>
      <c r="AH89" s="648">
        <f t="shared" si="21"/>
        <v>0</v>
      </c>
      <c r="AI89" s="648">
        <f t="shared" si="22"/>
        <v>0</v>
      </c>
      <c r="AJ89" s="167" t="s">
        <v>40</v>
      </c>
      <c r="AK89" s="865">
        <v>9.4</v>
      </c>
      <c r="AL89" s="167"/>
      <c r="AM89" s="168"/>
      <c r="AN89" s="167"/>
      <c r="AO89" s="168"/>
      <c r="AP89" s="171">
        <v>0</v>
      </c>
      <c r="AQ89" s="171"/>
      <c r="AR89" s="171"/>
      <c r="AS89" s="299">
        <f>SUMIF('NEI Lookups'!$L:$L,'Inputs Yr 2'!$F89,'NEI Lookups'!E:E)+SUMIF('NEI Lookups'!$M:$M,'Inputs Yr 2'!$F89,'NEI Lookups'!E:E)+SUMIF('NEI Lookups'!$N:$N,'Inputs Yr 2'!$F89,'NEI Lookups'!E:E)+SUMIF('NEI Lookups'!$O:$O,'Inputs Yr 2'!$F89,'NEI Lookups'!E:E)+SUMIF('NEI Lookups'!$P:$P,'Inputs Yr 2'!$F89,'NEI Lookups'!E:E)+SUMIF('NEI Lookups'!$Q:$Q,'Inputs Yr 2'!$F89,'NEI Lookups'!E:E)+SUMIF('NEI Lookups'!$R:$R,'Inputs Yr 2'!$F89,'NEI Lookups'!E:E)+SUMIF('NEI Lookups'!$S:$S,'Inputs Yr 2'!$F89,'NEI Lookups'!E:E)+SUMIF('NEI Lookups'!$T:$T,'Inputs Yr 2'!$F89,'NEI Lookups'!E:E)</f>
        <v>1.2252185999999998</v>
      </c>
      <c r="AT89" s="299">
        <f>SUMIF('NEI Lookups'!$L:$L,'Inputs Yr 2'!$F89,'NEI Lookups'!F:F)+SUMIF('NEI Lookups'!$M:$M,'Inputs Yr 2'!$F89,'NEI Lookups'!F:F)+SUMIF('NEI Lookups'!$N:$N,'Inputs Yr 2'!$F89,'NEI Lookups'!F:F)+SUMIF('NEI Lookups'!$O:$O,'Inputs Yr 2'!$F89,'NEI Lookups'!F:F)+SUMIF('NEI Lookups'!$P:$P,'Inputs Yr 2'!$F89,'NEI Lookups'!F:F)+SUMIF('NEI Lookups'!$Q:$Q,'Inputs Yr 2'!$F89,'NEI Lookups'!F:F)+SUMIF('NEI Lookups'!$R:$R,'Inputs Yr 2'!$F89,'NEI Lookups'!F:F)+SUMIF('NEI Lookups'!$S:$S,'Inputs Yr 2'!$F89,'NEI Lookups'!F:F)+SUMIF('NEI Lookups'!$T:$T,'Inputs Yr 2'!$F89,'NEI Lookups'!F:F)</f>
        <v>0</v>
      </c>
      <c r="AU89" s="299">
        <f>SUMIF('NEI Lookups'!$L:$L,'Inputs Yr 2'!$F89,'NEI Lookups'!G:G)+SUMIF('NEI Lookups'!$M:$M,'Inputs Yr 2'!$F89,'NEI Lookups'!G:G)+SUMIF('NEI Lookups'!$N:$N,'Inputs Yr 2'!$F89,'NEI Lookups'!G:G)+SUMIF('NEI Lookups'!$O:$O,'Inputs Yr 2'!$F89,'NEI Lookups'!G:G)+SUMIF('NEI Lookups'!$P:$P,'Inputs Yr 2'!$F89,'NEI Lookups'!G:G)+SUMIF('NEI Lookups'!$Q:$Q,'Inputs Yr 2'!$F89,'NEI Lookups'!G:G)+SUMIF('NEI Lookups'!$R:$R,'Inputs Yr 2'!$F89,'NEI Lookups'!G:G)+SUMIF('NEI Lookups'!$S:$S,'Inputs Yr 2'!$F89,'NEI Lookups'!G:G)+SUMIF('NEI Lookups'!$T:$T,'Inputs Yr 2'!$F89,'NEI Lookups'!G:G)</f>
        <v>0</v>
      </c>
      <c r="AV89" s="299">
        <f>SUMIF('NEI Lookups'!$L:$L,'Inputs Yr 2'!$F89,'NEI Lookups'!H:H)+SUMIF('NEI Lookups'!$M:$M,'Inputs Yr 2'!$F89,'NEI Lookups'!H:H)+SUMIF('NEI Lookups'!$N:$N,'Inputs Yr 2'!$F89,'NEI Lookups'!H:H)+SUMIF('NEI Lookups'!$O:$O,'Inputs Yr 2'!$F89,'NEI Lookups'!H:H)+SUMIF('NEI Lookups'!$P:$P,'Inputs Yr 2'!$F89,'NEI Lookups'!H:H)+SUMIF('NEI Lookups'!$Q:$Q,'Inputs Yr 2'!$F89,'NEI Lookups'!H:H)+SUMIF('NEI Lookups'!$R:$R,'Inputs Yr 2'!$F89,'NEI Lookups'!H:H)+SUMIF('NEI Lookups'!$S:$S,'Inputs Yr 2'!$F89,'NEI Lookups'!H:H)+SUMIF('NEI Lookups'!$T:$T,'Inputs Yr 2'!$F89,'NEI Lookups'!H:H)</f>
        <v>0</v>
      </c>
      <c r="AW89" s="299">
        <f>SUMIF('NEI Lookups'!$L:$L,'Inputs Yr 2'!$F89,'NEI Lookups'!I:I)+SUMIF('NEI Lookups'!$M:$M,'Inputs Yr 2'!$F89,'NEI Lookups'!I:I)+SUMIF('NEI Lookups'!$N:$N,'Inputs Yr 2'!$F89,'NEI Lookups'!I:I)+SUMIF('NEI Lookups'!$O:$O,'Inputs Yr 2'!$F89,'NEI Lookups'!I:I)+SUMIF('NEI Lookups'!$P:$P,'Inputs Yr 2'!$F89,'NEI Lookups'!I:I)+SUMIF('NEI Lookups'!$Q:$Q,'Inputs Yr 2'!$F89,'NEI Lookups'!I:I)+SUMIF('NEI Lookups'!$R:$R,'Inputs Yr 2'!$F89,'NEI Lookups'!I:I)+SUMIF('NEI Lookups'!$S:$S,'Inputs Yr 2'!$F89,'NEI Lookups'!I:I)+SUMIF('NEI Lookups'!$T:$T,'Inputs Yr 2'!$F89,'NEI Lookups'!I:I)</f>
        <v>0</v>
      </c>
      <c r="AX89" s="299">
        <f>SUMIF('NEI Lookups'!$L:$L,'Inputs Yr 2'!$F89,'NEI Lookups'!J:J)+SUMIF('NEI Lookups'!$M:$M,'Inputs Yr 2'!$F89,'NEI Lookups'!J:J)+SUMIF('NEI Lookups'!$N:$N,'Inputs Yr 2'!$F89,'NEI Lookups'!J:J)+SUMIF('NEI Lookups'!$O:$O,'Inputs Yr 2'!$F89,'NEI Lookups'!J:J)+SUMIF('NEI Lookups'!$P:$P,'Inputs Yr 2'!$F89,'NEI Lookups'!J:J)+SUMIF('NEI Lookups'!$Q:$Q,'Inputs Yr 2'!$F89,'NEI Lookups'!J:J)+SUMIF('NEI Lookups'!$R:$R,'Inputs Yr 2'!$F89,'NEI Lookups'!J:J)+SUMIF('NEI Lookups'!$S:$S,'Inputs Yr 2'!$F89,'NEI Lookups'!J:J)+SUMIF('NEI Lookups'!$T:$T,'Inputs Yr 2'!$F89,'NEI Lookups'!J:J)</f>
        <v>0</v>
      </c>
      <c r="AY89" s="930">
        <f>'Calculations Yr 2'!CP89/'Calculations Yr 2'!I89</f>
        <v>0.86319127186394018</v>
      </c>
    </row>
    <row r="90" spans="1:51" s="133" customFormat="1" ht="12.75" customHeight="1">
      <c r="A90" s="145" t="s">
        <v>32</v>
      </c>
      <c r="B90" s="132" t="s">
        <v>465</v>
      </c>
      <c r="C90" s="132" t="s">
        <v>909</v>
      </c>
      <c r="D90" s="902" t="s">
        <v>1476</v>
      </c>
      <c r="E90" s="150" t="s">
        <v>1323</v>
      </c>
      <c r="F90" s="98" t="s">
        <v>1011</v>
      </c>
      <c r="G90" s="145" t="s">
        <v>89</v>
      </c>
      <c r="H90" s="232">
        <v>2235</v>
      </c>
      <c r="I90" s="232">
        <v>19</v>
      </c>
      <c r="J90" s="964">
        <v>2439.083242018196</v>
      </c>
      <c r="K90" s="166">
        <v>774.96122162608333</v>
      </c>
      <c r="L90" s="888">
        <f t="shared" si="16"/>
        <v>1664.1220203921125</v>
      </c>
      <c r="M90" s="978">
        <v>0.28000000000000003</v>
      </c>
      <c r="N90" s="978">
        <v>0.25</v>
      </c>
      <c r="O90" s="978">
        <v>0</v>
      </c>
      <c r="P90" s="889">
        <f t="shared" si="19"/>
        <v>0.97</v>
      </c>
      <c r="Q90" s="978">
        <v>1</v>
      </c>
      <c r="R90" s="178">
        <v>1</v>
      </c>
      <c r="S90" s="178">
        <v>1</v>
      </c>
      <c r="T90" s="178">
        <v>1</v>
      </c>
      <c r="U90" s="978">
        <v>1</v>
      </c>
      <c r="V90" s="978">
        <v>1</v>
      </c>
      <c r="W90" s="179"/>
      <c r="X90" s="937" t="s">
        <v>653</v>
      </c>
      <c r="Y90" s="299">
        <f>IFERROR(VLOOKUP($X90,'Demand Lookups'!$A$5:$K$101,9,0), 0)</f>
        <v>0</v>
      </c>
      <c r="Z90" s="922" t="str">
        <f>IFERROR(VLOOKUP(X90,'Demand Lookups'!$A$5:$B$101,2,0),0)</f>
        <v>Non-Electric Measures</v>
      </c>
      <c r="AA90" s="722">
        <f>IF(ISNA(VLOOKUP($X90,'Demand Lookups'!$A$5:$K$81,3,0)),0,VLOOKUP($X90,'Demand Lookups'!$A$5:$K$81,3,0))</f>
        <v>0</v>
      </c>
      <c r="AB90" s="722">
        <f>IF(ISNA(VLOOKUP($X90,'Demand Lookups'!$A$5:$K$81,4,0)),0,VLOOKUP($X90,'Demand Lookups'!$A$5:$K$81,4,0))</f>
        <v>0</v>
      </c>
      <c r="AC90" s="722">
        <f>IF(ISNA(VLOOKUP($X90,'Demand Lookups'!$A$5:$K$81,5,0)),0,VLOOKUP($X90,'Demand Lookups'!$A$5:$K$81,5,0))</f>
        <v>0</v>
      </c>
      <c r="AD90" s="723">
        <f>IF(ISNA(VLOOKUP($X90,'Demand Lookups'!$A$5:$K$81,6,0)),0,VLOOKUP($X90,'Demand Lookups'!$A$5:$K$81,6,0))</f>
        <v>0</v>
      </c>
      <c r="AE90" s="724">
        <f t="shared" si="20"/>
        <v>0</v>
      </c>
      <c r="AF90" s="723">
        <f>ROUND(IF(ISNA(VLOOKUP($X90,'Demand Lookups'!$A$5:$K$82,10,0)),0,(VLOOKUP($X90,'Demand Lookups'!$A$5:$K$82,10,0))),2)</f>
        <v>0</v>
      </c>
      <c r="AG90" s="723">
        <f>ROUND(IF(ISNA(VLOOKUP($X90,'Demand Lookups'!$A$5:$K$82,11,0)),0,VLOOKUP($X90,'Demand Lookups'!$A$5:$K$82,11,0)),2)</f>
        <v>0</v>
      </c>
      <c r="AH90" s="648">
        <f t="shared" si="21"/>
        <v>0</v>
      </c>
      <c r="AI90" s="648">
        <f t="shared" si="22"/>
        <v>0</v>
      </c>
      <c r="AJ90" s="167" t="s">
        <v>40</v>
      </c>
      <c r="AK90" s="865">
        <v>9.9</v>
      </c>
      <c r="AL90" s="167"/>
      <c r="AM90" s="168"/>
      <c r="AN90" s="167"/>
      <c r="AO90" s="168"/>
      <c r="AP90" s="171">
        <v>0</v>
      </c>
      <c r="AQ90" s="171"/>
      <c r="AR90" s="171"/>
      <c r="AS90" s="299">
        <f>SUMIF('NEI Lookups'!$L:$L,'Inputs Yr 2'!$F90,'NEI Lookups'!E:E)+SUMIF('NEI Lookups'!$M:$M,'Inputs Yr 2'!$F90,'NEI Lookups'!E:E)+SUMIF('NEI Lookups'!$N:$N,'Inputs Yr 2'!$F90,'NEI Lookups'!E:E)+SUMIF('NEI Lookups'!$O:$O,'Inputs Yr 2'!$F90,'NEI Lookups'!E:E)+SUMIF('NEI Lookups'!$P:$P,'Inputs Yr 2'!$F90,'NEI Lookups'!E:E)+SUMIF('NEI Lookups'!$Q:$Q,'Inputs Yr 2'!$F90,'NEI Lookups'!E:E)+SUMIF('NEI Lookups'!$R:$R,'Inputs Yr 2'!$F90,'NEI Lookups'!E:E)+SUMIF('NEI Lookups'!$S:$S,'Inputs Yr 2'!$F90,'NEI Lookups'!E:E)+SUMIF('NEI Lookups'!$T:$T,'Inputs Yr 2'!$F90,'NEI Lookups'!E:E)</f>
        <v>1.2252185999999998</v>
      </c>
      <c r="AT90" s="299">
        <f>SUMIF('NEI Lookups'!$L:$L,'Inputs Yr 2'!$F90,'NEI Lookups'!F:F)+SUMIF('NEI Lookups'!$M:$M,'Inputs Yr 2'!$F90,'NEI Lookups'!F:F)+SUMIF('NEI Lookups'!$N:$N,'Inputs Yr 2'!$F90,'NEI Lookups'!F:F)+SUMIF('NEI Lookups'!$O:$O,'Inputs Yr 2'!$F90,'NEI Lookups'!F:F)+SUMIF('NEI Lookups'!$P:$P,'Inputs Yr 2'!$F90,'NEI Lookups'!F:F)+SUMIF('NEI Lookups'!$Q:$Q,'Inputs Yr 2'!$F90,'NEI Lookups'!F:F)+SUMIF('NEI Lookups'!$R:$R,'Inputs Yr 2'!$F90,'NEI Lookups'!F:F)+SUMIF('NEI Lookups'!$S:$S,'Inputs Yr 2'!$F90,'NEI Lookups'!F:F)+SUMIF('NEI Lookups'!$T:$T,'Inputs Yr 2'!$F90,'NEI Lookups'!F:F)</f>
        <v>0</v>
      </c>
      <c r="AU90" s="299">
        <f>SUMIF('NEI Lookups'!$L:$L,'Inputs Yr 2'!$F90,'NEI Lookups'!G:G)+SUMIF('NEI Lookups'!$M:$M,'Inputs Yr 2'!$F90,'NEI Lookups'!G:G)+SUMIF('NEI Lookups'!$N:$N,'Inputs Yr 2'!$F90,'NEI Lookups'!G:G)+SUMIF('NEI Lookups'!$O:$O,'Inputs Yr 2'!$F90,'NEI Lookups'!G:G)+SUMIF('NEI Lookups'!$P:$P,'Inputs Yr 2'!$F90,'NEI Lookups'!G:G)+SUMIF('NEI Lookups'!$Q:$Q,'Inputs Yr 2'!$F90,'NEI Lookups'!G:G)+SUMIF('NEI Lookups'!$R:$R,'Inputs Yr 2'!$F90,'NEI Lookups'!G:G)+SUMIF('NEI Lookups'!$S:$S,'Inputs Yr 2'!$F90,'NEI Lookups'!G:G)+SUMIF('NEI Lookups'!$T:$T,'Inputs Yr 2'!$F90,'NEI Lookups'!G:G)</f>
        <v>0</v>
      </c>
      <c r="AV90" s="299">
        <f>SUMIF('NEI Lookups'!$L:$L,'Inputs Yr 2'!$F90,'NEI Lookups'!H:H)+SUMIF('NEI Lookups'!$M:$M,'Inputs Yr 2'!$F90,'NEI Lookups'!H:H)+SUMIF('NEI Lookups'!$N:$N,'Inputs Yr 2'!$F90,'NEI Lookups'!H:H)+SUMIF('NEI Lookups'!$O:$O,'Inputs Yr 2'!$F90,'NEI Lookups'!H:H)+SUMIF('NEI Lookups'!$P:$P,'Inputs Yr 2'!$F90,'NEI Lookups'!H:H)+SUMIF('NEI Lookups'!$Q:$Q,'Inputs Yr 2'!$F90,'NEI Lookups'!H:H)+SUMIF('NEI Lookups'!$R:$R,'Inputs Yr 2'!$F90,'NEI Lookups'!H:H)+SUMIF('NEI Lookups'!$S:$S,'Inputs Yr 2'!$F90,'NEI Lookups'!H:H)+SUMIF('NEI Lookups'!$T:$T,'Inputs Yr 2'!$F90,'NEI Lookups'!H:H)</f>
        <v>0</v>
      </c>
      <c r="AW90" s="299">
        <f>SUMIF('NEI Lookups'!$L:$L,'Inputs Yr 2'!$F90,'NEI Lookups'!I:I)+SUMIF('NEI Lookups'!$M:$M,'Inputs Yr 2'!$F90,'NEI Lookups'!I:I)+SUMIF('NEI Lookups'!$N:$N,'Inputs Yr 2'!$F90,'NEI Lookups'!I:I)+SUMIF('NEI Lookups'!$O:$O,'Inputs Yr 2'!$F90,'NEI Lookups'!I:I)+SUMIF('NEI Lookups'!$P:$P,'Inputs Yr 2'!$F90,'NEI Lookups'!I:I)+SUMIF('NEI Lookups'!$Q:$Q,'Inputs Yr 2'!$F90,'NEI Lookups'!I:I)+SUMIF('NEI Lookups'!$R:$R,'Inputs Yr 2'!$F90,'NEI Lookups'!I:I)+SUMIF('NEI Lookups'!$S:$S,'Inputs Yr 2'!$F90,'NEI Lookups'!I:I)+SUMIF('NEI Lookups'!$T:$T,'Inputs Yr 2'!$F90,'NEI Lookups'!I:I)</f>
        <v>0</v>
      </c>
      <c r="AX90" s="299">
        <f>SUMIF('NEI Lookups'!$L:$L,'Inputs Yr 2'!$F90,'NEI Lookups'!J:J)+SUMIF('NEI Lookups'!$M:$M,'Inputs Yr 2'!$F90,'NEI Lookups'!J:J)+SUMIF('NEI Lookups'!$N:$N,'Inputs Yr 2'!$F90,'NEI Lookups'!J:J)+SUMIF('NEI Lookups'!$O:$O,'Inputs Yr 2'!$F90,'NEI Lookups'!J:J)+SUMIF('NEI Lookups'!$P:$P,'Inputs Yr 2'!$F90,'NEI Lookups'!J:J)+SUMIF('NEI Lookups'!$Q:$Q,'Inputs Yr 2'!$F90,'NEI Lookups'!J:J)+SUMIF('NEI Lookups'!$R:$R,'Inputs Yr 2'!$F90,'NEI Lookups'!J:J)+SUMIF('NEI Lookups'!$S:$S,'Inputs Yr 2'!$F90,'NEI Lookups'!J:J)+SUMIF('NEI Lookups'!$T:$T,'Inputs Yr 2'!$F90,'NEI Lookups'!J:J)</f>
        <v>0</v>
      </c>
      <c r="AY90" s="930">
        <f>'Calculations Yr 2'!CP90/'Calculations Yr 2'!I90</f>
        <v>0.68762855985089666</v>
      </c>
    </row>
    <row r="91" spans="1:51" s="133" customFormat="1" ht="12.75" customHeight="1">
      <c r="A91" s="145" t="s">
        <v>32</v>
      </c>
      <c r="B91" s="132" t="s">
        <v>465</v>
      </c>
      <c r="C91" s="132" t="s">
        <v>909</v>
      </c>
      <c r="D91" s="902" t="s">
        <v>1477</v>
      </c>
      <c r="E91" s="150" t="s">
        <v>1324</v>
      </c>
      <c r="F91" s="98" t="s">
        <v>1012</v>
      </c>
      <c r="G91" s="145" t="s">
        <v>89</v>
      </c>
      <c r="H91" s="232">
        <v>1449</v>
      </c>
      <c r="I91" s="232">
        <v>20</v>
      </c>
      <c r="J91" s="964">
        <v>1749</v>
      </c>
      <c r="K91" s="166">
        <v>400</v>
      </c>
      <c r="L91" s="888">
        <f t="shared" si="16"/>
        <v>1349</v>
      </c>
      <c r="M91" s="978">
        <v>0.66</v>
      </c>
      <c r="N91" s="978">
        <v>0</v>
      </c>
      <c r="O91" s="978">
        <v>0</v>
      </c>
      <c r="P91" s="889">
        <f t="shared" si="19"/>
        <v>0.33999999999999997</v>
      </c>
      <c r="Q91" s="978">
        <v>1</v>
      </c>
      <c r="R91" s="178">
        <v>1</v>
      </c>
      <c r="S91" s="178">
        <v>1</v>
      </c>
      <c r="T91" s="178">
        <v>1</v>
      </c>
      <c r="U91" s="978">
        <v>1</v>
      </c>
      <c r="V91" s="978">
        <v>1</v>
      </c>
      <c r="W91" s="179"/>
      <c r="X91" s="937" t="s">
        <v>653</v>
      </c>
      <c r="Y91" s="299">
        <f>IFERROR(VLOOKUP($X91,'Demand Lookups'!$A$5:$K$101,9,0), 0)</f>
        <v>0</v>
      </c>
      <c r="Z91" s="922" t="str">
        <f>IFERROR(VLOOKUP(X91,'Demand Lookups'!$A$5:$B$101,2,0),0)</f>
        <v>Non-Electric Measures</v>
      </c>
      <c r="AA91" s="722">
        <f>IF(ISNA(VLOOKUP($X91,'Demand Lookups'!$A$5:$K$81,3,0)),0,VLOOKUP($X91,'Demand Lookups'!$A$5:$K$81,3,0))</f>
        <v>0</v>
      </c>
      <c r="AB91" s="722">
        <f>IF(ISNA(VLOOKUP($X91,'Demand Lookups'!$A$5:$K$81,4,0)),0,VLOOKUP($X91,'Demand Lookups'!$A$5:$K$81,4,0))</f>
        <v>0</v>
      </c>
      <c r="AC91" s="722">
        <f>IF(ISNA(VLOOKUP($X91,'Demand Lookups'!$A$5:$K$81,5,0)),0,VLOOKUP($X91,'Demand Lookups'!$A$5:$K$81,5,0))</f>
        <v>0</v>
      </c>
      <c r="AD91" s="723">
        <f>IF(ISNA(VLOOKUP($X91,'Demand Lookups'!$A$5:$K$81,6,0)),0,VLOOKUP($X91,'Demand Lookups'!$A$5:$K$81,6,0))</f>
        <v>0</v>
      </c>
      <c r="AE91" s="724">
        <f t="shared" si="20"/>
        <v>0</v>
      </c>
      <c r="AF91" s="723">
        <f>ROUND(IF(ISNA(VLOOKUP($X91,'Demand Lookups'!$A$5:$K$82,10,0)),0,(VLOOKUP($X91,'Demand Lookups'!$A$5:$K$82,10,0))),2)</f>
        <v>0</v>
      </c>
      <c r="AG91" s="723">
        <f>ROUND(IF(ISNA(VLOOKUP($X91,'Demand Lookups'!$A$5:$K$82,11,0)),0,VLOOKUP($X91,'Demand Lookups'!$A$5:$K$82,11,0)),2)</f>
        <v>0</v>
      </c>
      <c r="AH91" s="648">
        <f t="shared" si="21"/>
        <v>0</v>
      </c>
      <c r="AI91" s="648">
        <f t="shared" si="22"/>
        <v>0</v>
      </c>
      <c r="AJ91" s="167" t="s">
        <v>40</v>
      </c>
      <c r="AK91" s="865">
        <v>8.0000000000000018</v>
      </c>
      <c r="AL91" s="167"/>
      <c r="AM91" s="168"/>
      <c r="AN91" s="167"/>
      <c r="AO91" s="168"/>
      <c r="AP91" s="171">
        <v>0</v>
      </c>
      <c r="AQ91" s="171"/>
      <c r="AR91" s="171"/>
      <c r="AS91" s="299">
        <f>SUMIF('NEI Lookups'!$L:$L,'Inputs Yr 2'!$F91,'NEI Lookups'!E:E)+SUMIF('NEI Lookups'!$M:$M,'Inputs Yr 2'!$F91,'NEI Lookups'!E:E)+SUMIF('NEI Lookups'!$N:$N,'Inputs Yr 2'!$F91,'NEI Lookups'!E:E)+SUMIF('NEI Lookups'!$O:$O,'Inputs Yr 2'!$F91,'NEI Lookups'!E:E)+SUMIF('NEI Lookups'!$P:$P,'Inputs Yr 2'!$F91,'NEI Lookups'!E:E)+SUMIF('NEI Lookups'!$Q:$Q,'Inputs Yr 2'!$F91,'NEI Lookups'!E:E)+SUMIF('NEI Lookups'!$R:$R,'Inputs Yr 2'!$F91,'NEI Lookups'!E:E)+SUMIF('NEI Lookups'!$S:$S,'Inputs Yr 2'!$F91,'NEI Lookups'!E:E)+SUMIF('NEI Lookups'!$T:$T,'Inputs Yr 2'!$F91,'NEI Lookups'!E:E)</f>
        <v>0.70289999999999997</v>
      </c>
      <c r="AT91" s="299">
        <f>SUMIF('NEI Lookups'!$L:$L,'Inputs Yr 2'!$F91,'NEI Lookups'!F:F)+SUMIF('NEI Lookups'!$M:$M,'Inputs Yr 2'!$F91,'NEI Lookups'!F:F)+SUMIF('NEI Lookups'!$N:$N,'Inputs Yr 2'!$F91,'NEI Lookups'!F:F)+SUMIF('NEI Lookups'!$O:$O,'Inputs Yr 2'!$F91,'NEI Lookups'!F:F)+SUMIF('NEI Lookups'!$P:$P,'Inputs Yr 2'!$F91,'NEI Lookups'!F:F)+SUMIF('NEI Lookups'!$Q:$Q,'Inputs Yr 2'!$F91,'NEI Lookups'!F:F)+SUMIF('NEI Lookups'!$R:$R,'Inputs Yr 2'!$F91,'NEI Lookups'!F:F)+SUMIF('NEI Lookups'!$S:$S,'Inputs Yr 2'!$F91,'NEI Lookups'!F:F)+SUMIF('NEI Lookups'!$T:$T,'Inputs Yr 2'!$F91,'NEI Lookups'!F:F)</f>
        <v>0</v>
      </c>
      <c r="AU91" s="299">
        <f>SUMIF('NEI Lookups'!$L:$L,'Inputs Yr 2'!$F91,'NEI Lookups'!G:G)+SUMIF('NEI Lookups'!$M:$M,'Inputs Yr 2'!$F91,'NEI Lookups'!G:G)+SUMIF('NEI Lookups'!$N:$N,'Inputs Yr 2'!$F91,'NEI Lookups'!G:G)+SUMIF('NEI Lookups'!$O:$O,'Inputs Yr 2'!$F91,'NEI Lookups'!G:G)+SUMIF('NEI Lookups'!$P:$P,'Inputs Yr 2'!$F91,'NEI Lookups'!G:G)+SUMIF('NEI Lookups'!$Q:$Q,'Inputs Yr 2'!$F91,'NEI Lookups'!G:G)+SUMIF('NEI Lookups'!$R:$R,'Inputs Yr 2'!$F91,'NEI Lookups'!G:G)+SUMIF('NEI Lookups'!$S:$S,'Inputs Yr 2'!$F91,'NEI Lookups'!G:G)+SUMIF('NEI Lookups'!$T:$T,'Inputs Yr 2'!$F91,'NEI Lookups'!G:G)</f>
        <v>0</v>
      </c>
      <c r="AV91" s="299">
        <f>SUMIF('NEI Lookups'!$L:$L,'Inputs Yr 2'!$F91,'NEI Lookups'!H:H)+SUMIF('NEI Lookups'!$M:$M,'Inputs Yr 2'!$F91,'NEI Lookups'!H:H)+SUMIF('NEI Lookups'!$N:$N,'Inputs Yr 2'!$F91,'NEI Lookups'!H:H)+SUMIF('NEI Lookups'!$O:$O,'Inputs Yr 2'!$F91,'NEI Lookups'!H:H)+SUMIF('NEI Lookups'!$P:$P,'Inputs Yr 2'!$F91,'NEI Lookups'!H:H)+SUMIF('NEI Lookups'!$Q:$Q,'Inputs Yr 2'!$F91,'NEI Lookups'!H:H)+SUMIF('NEI Lookups'!$R:$R,'Inputs Yr 2'!$F91,'NEI Lookups'!H:H)+SUMIF('NEI Lookups'!$S:$S,'Inputs Yr 2'!$F91,'NEI Lookups'!H:H)+SUMIF('NEI Lookups'!$T:$T,'Inputs Yr 2'!$F91,'NEI Lookups'!H:H)</f>
        <v>0</v>
      </c>
      <c r="AW91" s="299">
        <f>SUMIF('NEI Lookups'!$L:$L,'Inputs Yr 2'!$F91,'NEI Lookups'!I:I)+SUMIF('NEI Lookups'!$M:$M,'Inputs Yr 2'!$F91,'NEI Lookups'!I:I)+SUMIF('NEI Lookups'!$N:$N,'Inputs Yr 2'!$F91,'NEI Lookups'!I:I)+SUMIF('NEI Lookups'!$O:$O,'Inputs Yr 2'!$F91,'NEI Lookups'!I:I)+SUMIF('NEI Lookups'!$P:$P,'Inputs Yr 2'!$F91,'NEI Lookups'!I:I)+SUMIF('NEI Lookups'!$Q:$Q,'Inputs Yr 2'!$F91,'NEI Lookups'!I:I)+SUMIF('NEI Lookups'!$R:$R,'Inputs Yr 2'!$F91,'NEI Lookups'!I:I)+SUMIF('NEI Lookups'!$S:$S,'Inputs Yr 2'!$F91,'NEI Lookups'!I:I)+SUMIF('NEI Lookups'!$T:$T,'Inputs Yr 2'!$F91,'NEI Lookups'!I:I)</f>
        <v>0</v>
      </c>
      <c r="AX91" s="299">
        <f>SUMIF('NEI Lookups'!$L:$L,'Inputs Yr 2'!$F91,'NEI Lookups'!J:J)+SUMIF('NEI Lookups'!$M:$M,'Inputs Yr 2'!$F91,'NEI Lookups'!J:J)+SUMIF('NEI Lookups'!$N:$N,'Inputs Yr 2'!$F91,'NEI Lookups'!J:J)+SUMIF('NEI Lookups'!$O:$O,'Inputs Yr 2'!$F91,'NEI Lookups'!J:J)+SUMIF('NEI Lookups'!$P:$P,'Inputs Yr 2'!$F91,'NEI Lookups'!J:J)+SUMIF('NEI Lookups'!$Q:$Q,'Inputs Yr 2'!$F91,'NEI Lookups'!J:J)+SUMIF('NEI Lookups'!$R:$R,'Inputs Yr 2'!$F91,'NEI Lookups'!J:J)+SUMIF('NEI Lookups'!$S:$S,'Inputs Yr 2'!$F91,'NEI Lookups'!J:J)+SUMIF('NEI Lookups'!$T:$T,'Inputs Yr 2'!$F91,'NEI Lookups'!J:J)</f>
        <v>0</v>
      </c>
      <c r="AY91" s="930">
        <f>'Calculations Yr 2'!CP91/'Calculations Yr 2'!I91</f>
        <v>0.81527700735116271</v>
      </c>
    </row>
    <row r="92" spans="1:51" s="133" customFormat="1" ht="12.75" customHeight="1">
      <c r="A92" s="145" t="s">
        <v>32</v>
      </c>
      <c r="B92" s="132" t="s">
        <v>465</v>
      </c>
      <c r="C92" s="132" t="s">
        <v>909</v>
      </c>
      <c r="D92" s="902" t="s">
        <v>1478</v>
      </c>
      <c r="E92" s="98" t="s">
        <v>1309</v>
      </c>
      <c r="F92" s="98" t="s">
        <v>1013</v>
      </c>
      <c r="G92" s="145" t="s">
        <v>1247</v>
      </c>
      <c r="H92" s="232">
        <v>1355</v>
      </c>
      <c r="I92" s="232">
        <v>15</v>
      </c>
      <c r="J92" s="964">
        <v>92</v>
      </c>
      <c r="K92" s="166">
        <v>24.85400455062571</v>
      </c>
      <c r="L92" s="888">
        <f t="shared" si="16"/>
        <v>67.145995449374283</v>
      </c>
      <c r="M92" s="978">
        <v>0.57999999999999996</v>
      </c>
      <c r="N92" s="978">
        <v>0</v>
      </c>
      <c r="O92" s="978">
        <v>0</v>
      </c>
      <c r="P92" s="889">
        <f t="shared" si="19"/>
        <v>0.42000000000000004</v>
      </c>
      <c r="Q92" s="978">
        <v>1</v>
      </c>
      <c r="R92" s="178">
        <v>1</v>
      </c>
      <c r="S92" s="178">
        <v>1</v>
      </c>
      <c r="T92" s="178">
        <v>1</v>
      </c>
      <c r="U92" s="978">
        <v>1</v>
      </c>
      <c r="V92" s="978">
        <v>1</v>
      </c>
      <c r="W92" s="179"/>
      <c r="X92" s="937" t="s">
        <v>653</v>
      </c>
      <c r="Y92" s="299">
        <f>IFERROR(VLOOKUP($X92,'Demand Lookups'!$A$5:$K$101,9,0), 0)</f>
        <v>0</v>
      </c>
      <c r="Z92" s="922" t="str">
        <f>IFERROR(VLOOKUP(X92,'Demand Lookups'!$A$5:$B$101,2,0),0)</f>
        <v>Non-Electric Measures</v>
      </c>
      <c r="AA92" s="722">
        <f>IF(ISNA(VLOOKUP($X92,'Demand Lookups'!$A$5:$K$81,3,0)),0,VLOOKUP($X92,'Demand Lookups'!$A$5:$K$81,3,0))</f>
        <v>0</v>
      </c>
      <c r="AB92" s="722">
        <f>IF(ISNA(VLOOKUP($X92,'Demand Lookups'!$A$5:$K$81,4,0)),0,VLOOKUP($X92,'Demand Lookups'!$A$5:$K$81,4,0))</f>
        <v>0</v>
      </c>
      <c r="AC92" s="722">
        <f>IF(ISNA(VLOOKUP($X92,'Demand Lookups'!$A$5:$K$81,5,0)),0,VLOOKUP($X92,'Demand Lookups'!$A$5:$K$81,5,0))</f>
        <v>0</v>
      </c>
      <c r="AD92" s="723">
        <f>IF(ISNA(VLOOKUP($X92,'Demand Lookups'!$A$5:$K$81,6,0)),0,VLOOKUP($X92,'Demand Lookups'!$A$5:$K$81,6,0))</f>
        <v>0</v>
      </c>
      <c r="AE92" s="724">
        <f t="shared" si="20"/>
        <v>0</v>
      </c>
      <c r="AF92" s="723">
        <f>ROUND(IF(ISNA(VLOOKUP($X92,'Demand Lookups'!$A$5:$K$82,10,0)),0,(VLOOKUP($X92,'Demand Lookups'!$A$5:$K$82,10,0))),2)</f>
        <v>0</v>
      </c>
      <c r="AG92" s="723">
        <f>ROUND(IF(ISNA(VLOOKUP($X92,'Demand Lookups'!$A$5:$K$82,11,0)),0,VLOOKUP($X92,'Demand Lookups'!$A$5:$K$82,11,0)),2)</f>
        <v>0</v>
      </c>
      <c r="AH92" s="648">
        <f t="shared" si="21"/>
        <v>0</v>
      </c>
      <c r="AI92" s="648">
        <f t="shared" si="22"/>
        <v>0</v>
      </c>
      <c r="AJ92" s="167" t="s">
        <v>404</v>
      </c>
      <c r="AK92" s="865">
        <v>3.2</v>
      </c>
      <c r="AL92" s="167"/>
      <c r="AM92" s="168"/>
      <c r="AN92" s="167"/>
      <c r="AO92" s="168"/>
      <c r="AP92" s="171">
        <v>0</v>
      </c>
      <c r="AQ92" s="171"/>
      <c r="AR92" s="171"/>
      <c r="AS92" s="299">
        <f>SUMIF('NEI Lookups'!$L:$L,'Inputs Yr 2'!$F92,'NEI Lookups'!E:E)+SUMIF('NEI Lookups'!$M:$M,'Inputs Yr 2'!$F92,'NEI Lookups'!E:E)+SUMIF('NEI Lookups'!$N:$N,'Inputs Yr 2'!$F92,'NEI Lookups'!E:E)+SUMIF('NEI Lookups'!$O:$O,'Inputs Yr 2'!$F92,'NEI Lookups'!E:E)+SUMIF('NEI Lookups'!$P:$P,'Inputs Yr 2'!$F92,'NEI Lookups'!E:E)+SUMIF('NEI Lookups'!$Q:$Q,'Inputs Yr 2'!$F92,'NEI Lookups'!E:E)+SUMIF('NEI Lookups'!$R:$R,'Inputs Yr 2'!$F92,'NEI Lookups'!E:E)+SUMIF('NEI Lookups'!$S:$S,'Inputs Yr 2'!$F92,'NEI Lookups'!E:E)+SUMIF('NEI Lookups'!$T:$T,'Inputs Yr 2'!$F92,'NEI Lookups'!E:E)</f>
        <v>4.1923076923076925</v>
      </c>
      <c r="AT92" s="299">
        <f>SUMIF('NEI Lookups'!$L:$L,'Inputs Yr 2'!$F92,'NEI Lookups'!F:F)+SUMIF('NEI Lookups'!$M:$M,'Inputs Yr 2'!$F92,'NEI Lookups'!F:F)+SUMIF('NEI Lookups'!$N:$N,'Inputs Yr 2'!$F92,'NEI Lookups'!F:F)+SUMIF('NEI Lookups'!$O:$O,'Inputs Yr 2'!$F92,'NEI Lookups'!F:F)+SUMIF('NEI Lookups'!$P:$P,'Inputs Yr 2'!$F92,'NEI Lookups'!F:F)+SUMIF('NEI Lookups'!$Q:$Q,'Inputs Yr 2'!$F92,'NEI Lookups'!F:F)+SUMIF('NEI Lookups'!$R:$R,'Inputs Yr 2'!$F92,'NEI Lookups'!F:F)+SUMIF('NEI Lookups'!$S:$S,'Inputs Yr 2'!$F92,'NEI Lookups'!F:F)+SUMIF('NEI Lookups'!$T:$T,'Inputs Yr 2'!$F92,'NEI Lookups'!F:F)</f>
        <v>0</v>
      </c>
      <c r="AU92" s="299">
        <f>SUMIF('NEI Lookups'!$L:$L,'Inputs Yr 2'!$F92,'NEI Lookups'!G:G)+SUMIF('NEI Lookups'!$M:$M,'Inputs Yr 2'!$F92,'NEI Lookups'!G:G)+SUMIF('NEI Lookups'!$N:$N,'Inputs Yr 2'!$F92,'NEI Lookups'!G:G)+SUMIF('NEI Lookups'!$O:$O,'Inputs Yr 2'!$F92,'NEI Lookups'!G:G)+SUMIF('NEI Lookups'!$P:$P,'Inputs Yr 2'!$F92,'NEI Lookups'!G:G)+SUMIF('NEI Lookups'!$Q:$Q,'Inputs Yr 2'!$F92,'NEI Lookups'!G:G)+SUMIF('NEI Lookups'!$R:$R,'Inputs Yr 2'!$F92,'NEI Lookups'!G:G)+SUMIF('NEI Lookups'!$S:$S,'Inputs Yr 2'!$F92,'NEI Lookups'!G:G)+SUMIF('NEI Lookups'!$T:$T,'Inputs Yr 2'!$F92,'NEI Lookups'!G:G)</f>
        <v>0</v>
      </c>
      <c r="AV92" s="299">
        <f>SUMIF('NEI Lookups'!$L:$L,'Inputs Yr 2'!$F92,'NEI Lookups'!H:H)+SUMIF('NEI Lookups'!$M:$M,'Inputs Yr 2'!$F92,'NEI Lookups'!H:H)+SUMIF('NEI Lookups'!$N:$N,'Inputs Yr 2'!$F92,'NEI Lookups'!H:H)+SUMIF('NEI Lookups'!$O:$O,'Inputs Yr 2'!$F92,'NEI Lookups'!H:H)+SUMIF('NEI Lookups'!$P:$P,'Inputs Yr 2'!$F92,'NEI Lookups'!H:H)+SUMIF('NEI Lookups'!$Q:$Q,'Inputs Yr 2'!$F92,'NEI Lookups'!H:H)+SUMIF('NEI Lookups'!$R:$R,'Inputs Yr 2'!$F92,'NEI Lookups'!H:H)+SUMIF('NEI Lookups'!$S:$S,'Inputs Yr 2'!$F92,'NEI Lookups'!H:H)+SUMIF('NEI Lookups'!$T:$T,'Inputs Yr 2'!$F92,'NEI Lookups'!H:H)</f>
        <v>0</v>
      </c>
      <c r="AW92" s="299">
        <f>SUMIF('NEI Lookups'!$L:$L,'Inputs Yr 2'!$F92,'NEI Lookups'!I:I)+SUMIF('NEI Lookups'!$M:$M,'Inputs Yr 2'!$F92,'NEI Lookups'!I:I)+SUMIF('NEI Lookups'!$N:$N,'Inputs Yr 2'!$F92,'NEI Lookups'!I:I)+SUMIF('NEI Lookups'!$O:$O,'Inputs Yr 2'!$F92,'NEI Lookups'!I:I)+SUMIF('NEI Lookups'!$P:$P,'Inputs Yr 2'!$F92,'NEI Lookups'!I:I)+SUMIF('NEI Lookups'!$Q:$Q,'Inputs Yr 2'!$F92,'NEI Lookups'!I:I)+SUMIF('NEI Lookups'!$R:$R,'Inputs Yr 2'!$F92,'NEI Lookups'!I:I)+SUMIF('NEI Lookups'!$S:$S,'Inputs Yr 2'!$F92,'NEI Lookups'!I:I)+SUMIF('NEI Lookups'!$T:$T,'Inputs Yr 2'!$F92,'NEI Lookups'!I:I)</f>
        <v>0</v>
      </c>
      <c r="AX92" s="299">
        <f>SUMIF('NEI Lookups'!$L:$L,'Inputs Yr 2'!$F92,'NEI Lookups'!J:J)+SUMIF('NEI Lookups'!$M:$M,'Inputs Yr 2'!$F92,'NEI Lookups'!J:J)+SUMIF('NEI Lookups'!$N:$N,'Inputs Yr 2'!$F92,'NEI Lookups'!J:J)+SUMIF('NEI Lookups'!$O:$O,'Inputs Yr 2'!$F92,'NEI Lookups'!J:J)+SUMIF('NEI Lookups'!$P:$P,'Inputs Yr 2'!$F92,'NEI Lookups'!J:J)+SUMIF('NEI Lookups'!$Q:$Q,'Inputs Yr 2'!$F92,'NEI Lookups'!J:J)+SUMIF('NEI Lookups'!$R:$R,'Inputs Yr 2'!$F92,'NEI Lookups'!J:J)+SUMIF('NEI Lookups'!$S:$S,'Inputs Yr 2'!$F92,'NEI Lookups'!J:J)+SUMIF('NEI Lookups'!$T:$T,'Inputs Yr 2'!$F92,'NEI Lookups'!J:J)</f>
        <v>0</v>
      </c>
      <c r="AY92" s="930">
        <f>'Calculations Yr 2'!CP92/'Calculations Yr 2'!I92</f>
        <v>5.4011993529515303</v>
      </c>
    </row>
    <row r="93" spans="1:51" s="133" customFormat="1" ht="12.75" customHeight="1">
      <c r="A93" s="145" t="s">
        <v>32</v>
      </c>
      <c r="B93" s="132" t="s">
        <v>465</v>
      </c>
      <c r="C93" s="132" t="s">
        <v>909</v>
      </c>
      <c r="D93" s="902" t="s">
        <v>1479</v>
      </c>
      <c r="E93" s="150" t="s">
        <v>1385</v>
      </c>
      <c r="F93" s="98" t="s">
        <v>1014</v>
      </c>
      <c r="G93" s="145" t="s">
        <v>1247</v>
      </c>
      <c r="H93" s="232">
        <v>9355</v>
      </c>
      <c r="I93" s="232">
        <v>15</v>
      </c>
      <c r="J93" s="964">
        <v>268</v>
      </c>
      <c r="K93" s="166">
        <v>99.550372028935584</v>
      </c>
      <c r="L93" s="888">
        <f t="shared" si="16"/>
        <v>168.44962797106442</v>
      </c>
      <c r="M93" s="978">
        <v>0</v>
      </c>
      <c r="N93" s="978">
        <v>0</v>
      </c>
      <c r="O93" s="978">
        <v>0</v>
      </c>
      <c r="P93" s="889">
        <f t="shared" si="19"/>
        <v>1</v>
      </c>
      <c r="Q93" s="978">
        <v>1</v>
      </c>
      <c r="R93" s="178">
        <v>1</v>
      </c>
      <c r="S93" s="178">
        <v>1</v>
      </c>
      <c r="T93" s="178">
        <v>1</v>
      </c>
      <c r="U93" s="978">
        <v>1</v>
      </c>
      <c r="V93" s="978">
        <v>1</v>
      </c>
      <c r="W93" s="179"/>
      <c r="X93" s="937" t="s">
        <v>653</v>
      </c>
      <c r="Y93" s="299">
        <f>IFERROR(VLOOKUP($X93,'Demand Lookups'!$A$5:$K$101,9,0), 0)</f>
        <v>0</v>
      </c>
      <c r="Z93" s="922" t="str">
        <f>IFERROR(VLOOKUP(X93,'Demand Lookups'!$A$5:$B$101,2,0),0)</f>
        <v>Non-Electric Measures</v>
      </c>
      <c r="AA93" s="722">
        <f>IF(ISNA(VLOOKUP($X93,'Demand Lookups'!$A$5:$K$81,3,0)),0,VLOOKUP($X93,'Demand Lookups'!$A$5:$K$81,3,0))</f>
        <v>0</v>
      </c>
      <c r="AB93" s="722">
        <f>IF(ISNA(VLOOKUP($X93,'Demand Lookups'!$A$5:$K$81,4,0)),0,VLOOKUP($X93,'Demand Lookups'!$A$5:$K$81,4,0))</f>
        <v>0</v>
      </c>
      <c r="AC93" s="722">
        <f>IF(ISNA(VLOOKUP($X93,'Demand Lookups'!$A$5:$K$81,5,0)),0,VLOOKUP($X93,'Demand Lookups'!$A$5:$K$81,5,0))</f>
        <v>0</v>
      </c>
      <c r="AD93" s="723">
        <f>IF(ISNA(VLOOKUP($X93,'Demand Lookups'!$A$5:$K$81,6,0)),0,VLOOKUP($X93,'Demand Lookups'!$A$5:$K$81,6,0))</f>
        <v>0</v>
      </c>
      <c r="AE93" s="724">
        <f t="shared" si="20"/>
        <v>0</v>
      </c>
      <c r="AF93" s="723">
        <f>ROUND(IF(ISNA(VLOOKUP($X93,'Demand Lookups'!$A$5:$K$82,10,0)),0,(VLOOKUP($X93,'Demand Lookups'!$A$5:$K$82,10,0))),2)</f>
        <v>0</v>
      </c>
      <c r="AG93" s="723">
        <f>ROUND(IF(ISNA(VLOOKUP($X93,'Demand Lookups'!$A$5:$K$82,11,0)),0,VLOOKUP($X93,'Demand Lookups'!$A$5:$K$82,11,0)),2)</f>
        <v>0</v>
      </c>
      <c r="AH93" s="648">
        <f t="shared" si="21"/>
        <v>0</v>
      </c>
      <c r="AI93" s="648">
        <f t="shared" si="22"/>
        <v>0</v>
      </c>
      <c r="AJ93" s="167" t="s">
        <v>404</v>
      </c>
      <c r="AK93" s="865">
        <v>6.6</v>
      </c>
      <c r="AL93" s="167"/>
      <c r="AM93" s="168"/>
      <c r="AN93" s="167"/>
      <c r="AO93" s="168"/>
      <c r="AP93" s="171">
        <v>0</v>
      </c>
      <c r="AQ93" s="171"/>
      <c r="AR93" s="171"/>
      <c r="AS93" s="299">
        <f>SUMIF('NEI Lookups'!$L:$L,'Inputs Yr 2'!$F93,'NEI Lookups'!E:E)+SUMIF('NEI Lookups'!$M:$M,'Inputs Yr 2'!$F93,'NEI Lookups'!E:E)+SUMIF('NEI Lookups'!$N:$N,'Inputs Yr 2'!$F93,'NEI Lookups'!E:E)+SUMIF('NEI Lookups'!$O:$O,'Inputs Yr 2'!$F93,'NEI Lookups'!E:E)+SUMIF('NEI Lookups'!$P:$P,'Inputs Yr 2'!$F93,'NEI Lookups'!E:E)+SUMIF('NEI Lookups'!$Q:$Q,'Inputs Yr 2'!$F93,'NEI Lookups'!E:E)+SUMIF('NEI Lookups'!$R:$R,'Inputs Yr 2'!$F93,'NEI Lookups'!E:E)+SUMIF('NEI Lookups'!$S:$S,'Inputs Yr 2'!$F93,'NEI Lookups'!E:E)+SUMIF('NEI Lookups'!$T:$T,'Inputs Yr 2'!$F93,'NEI Lookups'!E:E)</f>
        <v>4.1923076923076925</v>
      </c>
      <c r="AT93" s="299">
        <f>SUMIF('NEI Lookups'!$L:$L,'Inputs Yr 2'!$F93,'NEI Lookups'!F:F)+SUMIF('NEI Lookups'!$M:$M,'Inputs Yr 2'!$F93,'NEI Lookups'!F:F)+SUMIF('NEI Lookups'!$N:$N,'Inputs Yr 2'!$F93,'NEI Lookups'!F:F)+SUMIF('NEI Lookups'!$O:$O,'Inputs Yr 2'!$F93,'NEI Lookups'!F:F)+SUMIF('NEI Lookups'!$P:$P,'Inputs Yr 2'!$F93,'NEI Lookups'!F:F)+SUMIF('NEI Lookups'!$Q:$Q,'Inputs Yr 2'!$F93,'NEI Lookups'!F:F)+SUMIF('NEI Lookups'!$R:$R,'Inputs Yr 2'!$F93,'NEI Lookups'!F:F)+SUMIF('NEI Lookups'!$S:$S,'Inputs Yr 2'!$F93,'NEI Lookups'!F:F)+SUMIF('NEI Lookups'!$T:$T,'Inputs Yr 2'!$F93,'NEI Lookups'!F:F)</f>
        <v>0</v>
      </c>
      <c r="AU93" s="299">
        <f>SUMIF('NEI Lookups'!$L:$L,'Inputs Yr 2'!$F93,'NEI Lookups'!G:G)+SUMIF('NEI Lookups'!$M:$M,'Inputs Yr 2'!$F93,'NEI Lookups'!G:G)+SUMIF('NEI Lookups'!$N:$N,'Inputs Yr 2'!$F93,'NEI Lookups'!G:G)+SUMIF('NEI Lookups'!$O:$O,'Inputs Yr 2'!$F93,'NEI Lookups'!G:G)+SUMIF('NEI Lookups'!$P:$P,'Inputs Yr 2'!$F93,'NEI Lookups'!G:G)+SUMIF('NEI Lookups'!$Q:$Q,'Inputs Yr 2'!$F93,'NEI Lookups'!G:G)+SUMIF('NEI Lookups'!$R:$R,'Inputs Yr 2'!$F93,'NEI Lookups'!G:G)+SUMIF('NEI Lookups'!$S:$S,'Inputs Yr 2'!$F93,'NEI Lookups'!G:G)+SUMIF('NEI Lookups'!$T:$T,'Inputs Yr 2'!$F93,'NEI Lookups'!G:G)</f>
        <v>0</v>
      </c>
      <c r="AV93" s="299">
        <f>SUMIF('NEI Lookups'!$L:$L,'Inputs Yr 2'!$F93,'NEI Lookups'!H:H)+SUMIF('NEI Lookups'!$M:$M,'Inputs Yr 2'!$F93,'NEI Lookups'!H:H)+SUMIF('NEI Lookups'!$N:$N,'Inputs Yr 2'!$F93,'NEI Lookups'!H:H)+SUMIF('NEI Lookups'!$O:$O,'Inputs Yr 2'!$F93,'NEI Lookups'!H:H)+SUMIF('NEI Lookups'!$P:$P,'Inputs Yr 2'!$F93,'NEI Lookups'!H:H)+SUMIF('NEI Lookups'!$Q:$Q,'Inputs Yr 2'!$F93,'NEI Lookups'!H:H)+SUMIF('NEI Lookups'!$R:$R,'Inputs Yr 2'!$F93,'NEI Lookups'!H:H)+SUMIF('NEI Lookups'!$S:$S,'Inputs Yr 2'!$F93,'NEI Lookups'!H:H)+SUMIF('NEI Lookups'!$T:$T,'Inputs Yr 2'!$F93,'NEI Lookups'!H:H)</f>
        <v>0</v>
      </c>
      <c r="AW93" s="299">
        <f>SUMIF('NEI Lookups'!$L:$L,'Inputs Yr 2'!$F93,'NEI Lookups'!I:I)+SUMIF('NEI Lookups'!$M:$M,'Inputs Yr 2'!$F93,'NEI Lookups'!I:I)+SUMIF('NEI Lookups'!$N:$N,'Inputs Yr 2'!$F93,'NEI Lookups'!I:I)+SUMIF('NEI Lookups'!$O:$O,'Inputs Yr 2'!$F93,'NEI Lookups'!I:I)+SUMIF('NEI Lookups'!$P:$P,'Inputs Yr 2'!$F93,'NEI Lookups'!I:I)+SUMIF('NEI Lookups'!$Q:$Q,'Inputs Yr 2'!$F93,'NEI Lookups'!I:I)+SUMIF('NEI Lookups'!$R:$R,'Inputs Yr 2'!$F93,'NEI Lookups'!I:I)+SUMIF('NEI Lookups'!$S:$S,'Inputs Yr 2'!$F93,'NEI Lookups'!I:I)+SUMIF('NEI Lookups'!$T:$T,'Inputs Yr 2'!$F93,'NEI Lookups'!I:I)</f>
        <v>0</v>
      </c>
      <c r="AX93" s="299">
        <f>SUMIF('NEI Lookups'!$L:$L,'Inputs Yr 2'!$F93,'NEI Lookups'!J:J)+SUMIF('NEI Lookups'!$M:$M,'Inputs Yr 2'!$F93,'NEI Lookups'!J:J)+SUMIF('NEI Lookups'!$N:$N,'Inputs Yr 2'!$F93,'NEI Lookups'!J:J)+SUMIF('NEI Lookups'!$O:$O,'Inputs Yr 2'!$F93,'NEI Lookups'!J:J)+SUMIF('NEI Lookups'!$P:$P,'Inputs Yr 2'!$F93,'NEI Lookups'!J:J)+SUMIF('NEI Lookups'!$Q:$Q,'Inputs Yr 2'!$F93,'NEI Lookups'!J:J)+SUMIF('NEI Lookups'!$R:$R,'Inputs Yr 2'!$F93,'NEI Lookups'!J:J)+SUMIF('NEI Lookups'!$S:$S,'Inputs Yr 2'!$F93,'NEI Lookups'!J:J)+SUMIF('NEI Lookups'!$T:$T,'Inputs Yr 2'!$F93,'NEI Lookups'!J:J)</f>
        <v>0</v>
      </c>
      <c r="AY93" s="930">
        <f>'Calculations Yr 2'!CP93/'Calculations Yr 2'!I93</f>
        <v>3.5828927995270043</v>
      </c>
    </row>
    <row r="94" spans="1:51" s="133" customFormat="1" ht="12.75" customHeight="1">
      <c r="A94" s="145" t="s">
        <v>32</v>
      </c>
      <c r="B94" s="132" t="s">
        <v>465</v>
      </c>
      <c r="C94" s="132" t="s">
        <v>909</v>
      </c>
      <c r="D94" s="902" t="s">
        <v>1480</v>
      </c>
      <c r="E94" s="150" t="s">
        <v>1386</v>
      </c>
      <c r="F94" s="98" t="s">
        <v>1015</v>
      </c>
      <c r="G94" s="145" t="s">
        <v>1247</v>
      </c>
      <c r="H94" s="232">
        <v>12952</v>
      </c>
      <c r="I94" s="232">
        <v>15</v>
      </c>
      <c r="J94" s="964">
        <v>268</v>
      </c>
      <c r="K94" s="166">
        <v>99.56597614726472</v>
      </c>
      <c r="L94" s="888">
        <f t="shared" si="16"/>
        <v>168.43402385273527</v>
      </c>
      <c r="M94" s="978">
        <v>0</v>
      </c>
      <c r="N94" s="978">
        <v>0</v>
      </c>
      <c r="O94" s="978">
        <v>0</v>
      </c>
      <c r="P94" s="889">
        <f t="shared" si="19"/>
        <v>1</v>
      </c>
      <c r="Q94" s="978">
        <v>1</v>
      </c>
      <c r="R94" s="178">
        <v>1</v>
      </c>
      <c r="S94" s="178">
        <v>1</v>
      </c>
      <c r="T94" s="178">
        <v>1</v>
      </c>
      <c r="U94" s="978">
        <v>1</v>
      </c>
      <c r="V94" s="978">
        <v>1</v>
      </c>
      <c r="W94" s="872">
        <v>104</v>
      </c>
      <c r="X94" s="99" t="s">
        <v>38</v>
      </c>
      <c r="Y94" s="299">
        <f>IFERROR(VLOOKUP($X94,'Demand Lookups'!$A$5:$K$101,9,0), 0)</f>
        <v>2.2229620624189838E-3</v>
      </c>
      <c r="Z94" s="922" t="str">
        <f>IFERROR(VLOOKUP(X94,'Demand Lookups'!$A$5:$B$101,2,0),0)</f>
        <v>Residential Electric Cooling - Central AC</v>
      </c>
      <c r="AA94" s="722">
        <f>IF(ISNA(VLOOKUP($X94,'Demand Lookups'!$A$5:$K$81,3,0)),0,VLOOKUP($X94,'Demand Lookups'!$A$5:$K$81,3,0))</f>
        <v>8.9580765460539422E-3</v>
      </c>
      <c r="AB94" s="722">
        <f>IF(ISNA(VLOOKUP($X94,'Demand Lookups'!$A$5:$K$81,4,0)),0,VLOOKUP($X94,'Demand Lookups'!$A$5:$K$81,4,0))</f>
        <v>4.1168791499145839E-2</v>
      </c>
      <c r="AC94" s="722">
        <f>IF(ISNA(VLOOKUP($X94,'Demand Lookups'!$A$5:$K$81,5,0)),0,VLOOKUP($X94,'Demand Lookups'!$A$5:$K$81,5,0))</f>
        <v>0.53821715078601073</v>
      </c>
      <c r="AD94" s="723">
        <f>IF(ISNA(VLOOKUP($X94,'Demand Lookups'!$A$5:$K$81,6,0)),0,VLOOKUP($X94,'Demand Lookups'!$A$5:$K$81,6,0))</f>
        <v>0.41165598116877211</v>
      </c>
      <c r="AE94" s="724">
        <f>ROUND((IF(ISERROR(W94*Y94),"",W94*Y94)),3)</f>
        <v>0.23100000000000001</v>
      </c>
      <c r="AF94" s="723">
        <f>ROUND(IF(ISNA(VLOOKUP($X94,'Demand Lookups'!$A$5:$K$82,10,0)),0,(VLOOKUP($X94,'Demand Lookups'!$A$5:$K$82,10,0))),2)</f>
        <v>1</v>
      </c>
      <c r="AG94" s="723">
        <f>ROUND(IF(ISNA(VLOOKUP($X94,'Demand Lookups'!$A$5:$K$82,11,0)),0,VLOOKUP($X94,'Demand Lookups'!$A$5:$K$82,11,0)),2)</f>
        <v>0</v>
      </c>
      <c r="AH94" s="648">
        <f t="shared" si="21"/>
        <v>1</v>
      </c>
      <c r="AI94" s="648">
        <f t="shared" si="22"/>
        <v>1</v>
      </c>
      <c r="AJ94" s="167" t="s">
        <v>404</v>
      </c>
      <c r="AK94" s="865">
        <v>6.6</v>
      </c>
      <c r="AL94" s="167"/>
      <c r="AM94" s="168"/>
      <c r="AN94" s="167"/>
      <c r="AO94" s="168"/>
      <c r="AP94" s="171">
        <v>0</v>
      </c>
      <c r="AQ94" s="171"/>
      <c r="AR94" s="171"/>
      <c r="AS94" s="299">
        <f>SUMIF('NEI Lookups'!$L:$L,'Inputs Yr 2'!$F94,'NEI Lookups'!E:E)+SUMIF('NEI Lookups'!$M:$M,'Inputs Yr 2'!$F94,'NEI Lookups'!E:E)+SUMIF('NEI Lookups'!$N:$N,'Inputs Yr 2'!$F94,'NEI Lookups'!E:E)+SUMIF('NEI Lookups'!$O:$O,'Inputs Yr 2'!$F94,'NEI Lookups'!E:E)+SUMIF('NEI Lookups'!$P:$P,'Inputs Yr 2'!$F94,'NEI Lookups'!E:E)+SUMIF('NEI Lookups'!$Q:$Q,'Inputs Yr 2'!$F94,'NEI Lookups'!E:E)+SUMIF('NEI Lookups'!$R:$R,'Inputs Yr 2'!$F94,'NEI Lookups'!E:E)+SUMIF('NEI Lookups'!$S:$S,'Inputs Yr 2'!$F94,'NEI Lookups'!E:E)+SUMIF('NEI Lookups'!$T:$T,'Inputs Yr 2'!$F94,'NEI Lookups'!E:E)</f>
        <v>4.1923076923076925</v>
      </c>
      <c r="AT94" s="299">
        <f>SUMIF('NEI Lookups'!$L:$L,'Inputs Yr 2'!$F94,'NEI Lookups'!F:F)+SUMIF('NEI Lookups'!$M:$M,'Inputs Yr 2'!$F94,'NEI Lookups'!F:F)+SUMIF('NEI Lookups'!$N:$N,'Inputs Yr 2'!$F94,'NEI Lookups'!F:F)+SUMIF('NEI Lookups'!$O:$O,'Inputs Yr 2'!$F94,'NEI Lookups'!F:F)+SUMIF('NEI Lookups'!$P:$P,'Inputs Yr 2'!$F94,'NEI Lookups'!F:F)+SUMIF('NEI Lookups'!$Q:$Q,'Inputs Yr 2'!$F94,'NEI Lookups'!F:F)+SUMIF('NEI Lookups'!$R:$R,'Inputs Yr 2'!$F94,'NEI Lookups'!F:F)+SUMIF('NEI Lookups'!$S:$S,'Inputs Yr 2'!$F94,'NEI Lookups'!F:F)+SUMIF('NEI Lookups'!$T:$T,'Inputs Yr 2'!$F94,'NEI Lookups'!F:F)</f>
        <v>0</v>
      </c>
      <c r="AU94" s="299">
        <f>SUMIF('NEI Lookups'!$L:$L,'Inputs Yr 2'!$F94,'NEI Lookups'!G:G)+SUMIF('NEI Lookups'!$M:$M,'Inputs Yr 2'!$F94,'NEI Lookups'!G:G)+SUMIF('NEI Lookups'!$N:$N,'Inputs Yr 2'!$F94,'NEI Lookups'!G:G)+SUMIF('NEI Lookups'!$O:$O,'Inputs Yr 2'!$F94,'NEI Lookups'!G:G)+SUMIF('NEI Lookups'!$P:$P,'Inputs Yr 2'!$F94,'NEI Lookups'!G:G)+SUMIF('NEI Lookups'!$Q:$Q,'Inputs Yr 2'!$F94,'NEI Lookups'!G:G)+SUMIF('NEI Lookups'!$R:$R,'Inputs Yr 2'!$F94,'NEI Lookups'!G:G)+SUMIF('NEI Lookups'!$S:$S,'Inputs Yr 2'!$F94,'NEI Lookups'!G:G)+SUMIF('NEI Lookups'!$T:$T,'Inputs Yr 2'!$F94,'NEI Lookups'!G:G)</f>
        <v>0</v>
      </c>
      <c r="AV94" s="299">
        <f>SUMIF('NEI Lookups'!$L:$L,'Inputs Yr 2'!$F94,'NEI Lookups'!H:H)+SUMIF('NEI Lookups'!$M:$M,'Inputs Yr 2'!$F94,'NEI Lookups'!H:H)+SUMIF('NEI Lookups'!$N:$N,'Inputs Yr 2'!$F94,'NEI Lookups'!H:H)+SUMIF('NEI Lookups'!$O:$O,'Inputs Yr 2'!$F94,'NEI Lookups'!H:H)+SUMIF('NEI Lookups'!$P:$P,'Inputs Yr 2'!$F94,'NEI Lookups'!H:H)+SUMIF('NEI Lookups'!$Q:$Q,'Inputs Yr 2'!$F94,'NEI Lookups'!H:H)+SUMIF('NEI Lookups'!$R:$R,'Inputs Yr 2'!$F94,'NEI Lookups'!H:H)+SUMIF('NEI Lookups'!$S:$S,'Inputs Yr 2'!$F94,'NEI Lookups'!H:H)+SUMIF('NEI Lookups'!$T:$T,'Inputs Yr 2'!$F94,'NEI Lookups'!H:H)</f>
        <v>0</v>
      </c>
      <c r="AW94" s="299">
        <f>SUMIF('NEI Lookups'!$L:$L,'Inputs Yr 2'!$F94,'NEI Lookups'!I:I)+SUMIF('NEI Lookups'!$M:$M,'Inputs Yr 2'!$F94,'NEI Lookups'!I:I)+SUMIF('NEI Lookups'!$N:$N,'Inputs Yr 2'!$F94,'NEI Lookups'!I:I)+SUMIF('NEI Lookups'!$O:$O,'Inputs Yr 2'!$F94,'NEI Lookups'!I:I)+SUMIF('NEI Lookups'!$P:$P,'Inputs Yr 2'!$F94,'NEI Lookups'!I:I)+SUMIF('NEI Lookups'!$Q:$Q,'Inputs Yr 2'!$F94,'NEI Lookups'!I:I)+SUMIF('NEI Lookups'!$R:$R,'Inputs Yr 2'!$F94,'NEI Lookups'!I:I)+SUMIF('NEI Lookups'!$S:$S,'Inputs Yr 2'!$F94,'NEI Lookups'!I:I)+SUMIF('NEI Lookups'!$T:$T,'Inputs Yr 2'!$F94,'NEI Lookups'!I:I)</f>
        <v>0</v>
      </c>
      <c r="AX94" s="299">
        <f>SUMIF('NEI Lookups'!$L:$L,'Inputs Yr 2'!$F94,'NEI Lookups'!J:J)+SUMIF('NEI Lookups'!$M:$M,'Inputs Yr 2'!$F94,'NEI Lookups'!J:J)+SUMIF('NEI Lookups'!$N:$N,'Inputs Yr 2'!$F94,'NEI Lookups'!J:J)+SUMIF('NEI Lookups'!$O:$O,'Inputs Yr 2'!$F94,'NEI Lookups'!J:J)+SUMIF('NEI Lookups'!$P:$P,'Inputs Yr 2'!$F94,'NEI Lookups'!J:J)+SUMIF('NEI Lookups'!$Q:$Q,'Inputs Yr 2'!$F94,'NEI Lookups'!J:J)+SUMIF('NEI Lookups'!$R:$R,'Inputs Yr 2'!$F94,'NEI Lookups'!J:J)+SUMIF('NEI Lookups'!$S:$S,'Inputs Yr 2'!$F94,'NEI Lookups'!J:J)+SUMIF('NEI Lookups'!$T:$T,'Inputs Yr 2'!$F94,'NEI Lookups'!J:J)</f>
        <v>0</v>
      </c>
      <c r="AY94" s="930">
        <f>'Calculations Yr 2'!CP94/'Calculations Yr 2'!I94</f>
        <v>7.6006607337990593</v>
      </c>
    </row>
    <row r="95" spans="1:51" s="133" customFormat="1" ht="12.75" customHeight="1">
      <c r="A95" s="145" t="s">
        <v>32</v>
      </c>
      <c r="B95" s="132" t="s">
        <v>465</v>
      </c>
      <c r="C95" s="132" t="s">
        <v>910</v>
      </c>
      <c r="D95" s="902" t="s">
        <v>1481</v>
      </c>
      <c r="E95" s="98" t="s">
        <v>734</v>
      </c>
      <c r="F95" s="98" t="s">
        <v>1264</v>
      </c>
      <c r="G95" s="145" t="s">
        <v>89</v>
      </c>
      <c r="H95" s="232">
        <v>195</v>
      </c>
      <c r="I95" s="232">
        <v>7</v>
      </c>
      <c r="J95" s="964">
        <v>31.5</v>
      </c>
      <c r="K95" s="166">
        <v>14</v>
      </c>
      <c r="L95" s="888">
        <f t="shared" si="16"/>
        <v>17.5</v>
      </c>
      <c r="M95" s="980">
        <v>0</v>
      </c>
      <c r="N95" s="980">
        <v>0</v>
      </c>
      <c r="O95" s="980">
        <v>0</v>
      </c>
      <c r="P95" s="889">
        <f t="shared" si="19"/>
        <v>1</v>
      </c>
      <c r="Q95" s="980">
        <v>1</v>
      </c>
      <c r="R95" s="178">
        <v>1</v>
      </c>
      <c r="S95" s="178">
        <v>1</v>
      </c>
      <c r="T95" s="178">
        <v>1</v>
      </c>
      <c r="U95" s="980">
        <v>1</v>
      </c>
      <c r="V95" s="980">
        <v>1</v>
      </c>
      <c r="W95" s="179"/>
      <c r="X95" s="937" t="s">
        <v>653</v>
      </c>
      <c r="Y95" s="299">
        <f>IFERROR(VLOOKUP($X95,'Demand Lookups'!$A$5:$K$101,9,0), 0)</f>
        <v>0</v>
      </c>
      <c r="Z95" s="922" t="str">
        <f>IFERROR(VLOOKUP(X95,'Demand Lookups'!$A$5:$B$101,2,0),0)</f>
        <v>Non-Electric Measures</v>
      </c>
      <c r="AA95" s="722">
        <v>0</v>
      </c>
      <c r="AB95" s="722">
        <v>0</v>
      </c>
      <c r="AC95" s="722">
        <v>0</v>
      </c>
      <c r="AD95" s="723">
        <v>0</v>
      </c>
      <c r="AE95" s="724">
        <f t="shared" ref="AE95:AE100" si="23">ROUND((IF(ISERROR(W95*Y95),"",W95*Y95)),3)</f>
        <v>0</v>
      </c>
      <c r="AF95" s="723">
        <v>0</v>
      </c>
      <c r="AG95" s="723">
        <v>0</v>
      </c>
      <c r="AH95" s="648">
        <v>0</v>
      </c>
      <c r="AI95" s="648">
        <v>0</v>
      </c>
      <c r="AJ95" s="167" t="s">
        <v>40</v>
      </c>
      <c r="AK95" s="168">
        <v>1.8399999999999999</v>
      </c>
      <c r="AL95" s="167"/>
      <c r="AM95" s="168"/>
      <c r="AN95" s="167"/>
      <c r="AO95" s="168"/>
      <c r="AP95" s="171">
        <v>3022</v>
      </c>
      <c r="AQ95" s="171"/>
      <c r="AR95" s="171"/>
      <c r="AS95" s="299">
        <f>SUMIF('NEI Lookups'!$L:$L,'Inputs Yr 2'!$F95,'NEI Lookups'!E:E)+SUMIF('NEI Lookups'!$M:$M,'Inputs Yr 2'!$F95,'NEI Lookups'!E:E)+SUMIF('NEI Lookups'!$N:$N,'Inputs Yr 2'!$F95,'NEI Lookups'!E:E)+SUMIF('NEI Lookups'!$O:$O,'Inputs Yr 2'!$F95,'NEI Lookups'!E:E)+SUMIF('NEI Lookups'!$P:$P,'Inputs Yr 2'!$F95,'NEI Lookups'!E:E)+SUMIF('NEI Lookups'!$Q:$Q,'Inputs Yr 2'!$F95,'NEI Lookups'!E:E)+SUMIF('NEI Lookups'!$R:$R,'Inputs Yr 2'!$F95,'NEI Lookups'!E:E)+SUMIF('NEI Lookups'!$S:$S,'Inputs Yr 2'!$F95,'NEI Lookups'!E:E)+SUMIF('NEI Lookups'!$T:$T,'Inputs Yr 2'!$F95,'NEI Lookups'!E:E)</f>
        <v>0</v>
      </c>
      <c r="AT95" s="299">
        <f>SUMIF('NEI Lookups'!$L:$L,'Inputs Yr 2'!$F95,'NEI Lookups'!F:F)+SUMIF('NEI Lookups'!$M:$M,'Inputs Yr 2'!$F95,'NEI Lookups'!F:F)+SUMIF('NEI Lookups'!$N:$N,'Inputs Yr 2'!$F95,'NEI Lookups'!F:F)+SUMIF('NEI Lookups'!$O:$O,'Inputs Yr 2'!$F95,'NEI Lookups'!F:F)+SUMIF('NEI Lookups'!$P:$P,'Inputs Yr 2'!$F95,'NEI Lookups'!F:F)+SUMIF('NEI Lookups'!$Q:$Q,'Inputs Yr 2'!$F95,'NEI Lookups'!F:F)+SUMIF('NEI Lookups'!$R:$R,'Inputs Yr 2'!$F95,'NEI Lookups'!F:F)+SUMIF('NEI Lookups'!$S:$S,'Inputs Yr 2'!$F95,'NEI Lookups'!F:F)+SUMIF('NEI Lookups'!$T:$T,'Inputs Yr 2'!$F95,'NEI Lookups'!F:F)</f>
        <v>0</v>
      </c>
      <c r="AU95" s="299">
        <f>SUMIF('NEI Lookups'!$L:$L,'Inputs Yr 2'!$F95,'NEI Lookups'!G:G)+SUMIF('NEI Lookups'!$M:$M,'Inputs Yr 2'!$F95,'NEI Lookups'!G:G)+SUMIF('NEI Lookups'!$N:$N,'Inputs Yr 2'!$F95,'NEI Lookups'!G:G)+SUMIF('NEI Lookups'!$O:$O,'Inputs Yr 2'!$F95,'NEI Lookups'!G:G)+SUMIF('NEI Lookups'!$P:$P,'Inputs Yr 2'!$F95,'NEI Lookups'!G:G)+SUMIF('NEI Lookups'!$Q:$Q,'Inputs Yr 2'!$F95,'NEI Lookups'!G:G)+SUMIF('NEI Lookups'!$R:$R,'Inputs Yr 2'!$F95,'NEI Lookups'!G:G)+SUMIF('NEI Lookups'!$S:$S,'Inputs Yr 2'!$F95,'NEI Lookups'!G:G)+SUMIF('NEI Lookups'!$T:$T,'Inputs Yr 2'!$F95,'NEI Lookups'!G:G)</f>
        <v>0</v>
      </c>
      <c r="AV95" s="299">
        <f>SUMIF('NEI Lookups'!$L:$L,'Inputs Yr 2'!$F95,'NEI Lookups'!H:H)+SUMIF('NEI Lookups'!$M:$M,'Inputs Yr 2'!$F95,'NEI Lookups'!H:H)+SUMIF('NEI Lookups'!$N:$N,'Inputs Yr 2'!$F95,'NEI Lookups'!H:H)+SUMIF('NEI Lookups'!$O:$O,'Inputs Yr 2'!$F95,'NEI Lookups'!H:H)+SUMIF('NEI Lookups'!$P:$P,'Inputs Yr 2'!$F95,'NEI Lookups'!H:H)+SUMIF('NEI Lookups'!$Q:$Q,'Inputs Yr 2'!$F95,'NEI Lookups'!H:H)+SUMIF('NEI Lookups'!$R:$R,'Inputs Yr 2'!$F95,'NEI Lookups'!H:H)+SUMIF('NEI Lookups'!$S:$S,'Inputs Yr 2'!$F95,'NEI Lookups'!H:H)+SUMIF('NEI Lookups'!$T:$T,'Inputs Yr 2'!$F95,'NEI Lookups'!H:H)</f>
        <v>0</v>
      </c>
      <c r="AW95" s="299">
        <f>SUMIF('NEI Lookups'!$L:$L,'Inputs Yr 2'!$F95,'NEI Lookups'!I:I)+SUMIF('NEI Lookups'!$M:$M,'Inputs Yr 2'!$F95,'NEI Lookups'!I:I)+SUMIF('NEI Lookups'!$N:$N,'Inputs Yr 2'!$F95,'NEI Lookups'!I:I)+SUMIF('NEI Lookups'!$O:$O,'Inputs Yr 2'!$F95,'NEI Lookups'!I:I)+SUMIF('NEI Lookups'!$P:$P,'Inputs Yr 2'!$F95,'NEI Lookups'!I:I)+SUMIF('NEI Lookups'!$Q:$Q,'Inputs Yr 2'!$F95,'NEI Lookups'!I:I)+SUMIF('NEI Lookups'!$R:$R,'Inputs Yr 2'!$F95,'NEI Lookups'!I:I)+SUMIF('NEI Lookups'!$S:$S,'Inputs Yr 2'!$F95,'NEI Lookups'!I:I)+SUMIF('NEI Lookups'!$T:$T,'Inputs Yr 2'!$F95,'NEI Lookups'!I:I)</f>
        <v>0</v>
      </c>
      <c r="AX95" s="299">
        <f>SUMIF('NEI Lookups'!$L:$L,'Inputs Yr 2'!$F95,'NEI Lookups'!J:J)+SUMIF('NEI Lookups'!$M:$M,'Inputs Yr 2'!$F95,'NEI Lookups'!J:J)+SUMIF('NEI Lookups'!$N:$N,'Inputs Yr 2'!$F95,'NEI Lookups'!J:J)+SUMIF('NEI Lookups'!$O:$O,'Inputs Yr 2'!$F95,'NEI Lookups'!J:J)+SUMIF('NEI Lookups'!$P:$P,'Inputs Yr 2'!$F95,'NEI Lookups'!J:J)+SUMIF('NEI Lookups'!$Q:$Q,'Inputs Yr 2'!$F95,'NEI Lookups'!J:J)+SUMIF('NEI Lookups'!$R:$R,'Inputs Yr 2'!$F95,'NEI Lookups'!J:J)+SUMIF('NEI Lookups'!$S:$S,'Inputs Yr 2'!$F95,'NEI Lookups'!J:J)+SUMIF('NEI Lookups'!$T:$T,'Inputs Yr 2'!$F95,'NEI Lookups'!J:J)</f>
        <v>0</v>
      </c>
      <c r="AY95" s="930">
        <f>'Calculations Yr 2'!CP95/'Calculations Yr 2'!I95</f>
        <v>10.80616224340557</v>
      </c>
    </row>
    <row r="96" spans="1:51" s="133" customFormat="1" ht="12.75" customHeight="1">
      <c r="A96" s="145" t="s">
        <v>32</v>
      </c>
      <c r="B96" s="132" t="s">
        <v>465</v>
      </c>
      <c r="C96" s="132" t="s">
        <v>910</v>
      </c>
      <c r="D96" s="902" t="s">
        <v>1482</v>
      </c>
      <c r="E96" s="98" t="s">
        <v>735</v>
      </c>
      <c r="F96" s="98" t="s">
        <v>1265</v>
      </c>
      <c r="G96" s="145" t="s">
        <v>89</v>
      </c>
      <c r="H96" s="232">
        <v>75</v>
      </c>
      <c r="I96" s="232">
        <v>7</v>
      </c>
      <c r="J96" s="964">
        <v>20.75</v>
      </c>
      <c r="K96" s="166">
        <v>10.35</v>
      </c>
      <c r="L96" s="888">
        <f t="shared" si="16"/>
        <v>10.4</v>
      </c>
      <c r="M96" s="980">
        <v>0</v>
      </c>
      <c r="N96" s="980">
        <v>0</v>
      </c>
      <c r="O96" s="980">
        <v>0</v>
      </c>
      <c r="P96" s="889">
        <f t="shared" si="19"/>
        <v>1</v>
      </c>
      <c r="Q96" s="980">
        <v>1</v>
      </c>
      <c r="R96" s="178">
        <v>1</v>
      </c>
      <c r="S96" s="178">
        <v>1</v>
      </c>
      <c r="T96" s="178">
        <v>1</v>
      </c>
      <c r="U96" s="980">
        <v>1</v>
      </c>
      <c r="V96" s="980">
        <v>1</v>
      </c>
      <c r="W96" s="179"/>
      <c r="X96" s="937" t="s">
        <v>653</v>
      </c>
      <c r="Y96" s="299">
        <f>IFERROR(VLOOKUP($X96,'Demand Lookups'!$A$5:$K$101,9,0), 0)</f>
        <v>0</v>
      </c>
      <c r="Z96" s="922" t="str">
        <f>IFERROR(VLOOKUP(X96,'Demand Lookups'!$A$5:$B$101,2,0),0)</f>
        <v>Non-Electric Measures</v>
      </c>
      <c r="AA96" s="722">
        <v>0</v>
      </c>
      <c r="AB96" s="722">
        <v>0</v>
      </c>
      <c r="AC96" s="722">
        <v>0</v>
      </c>
      <c r="AD96" s="723">
        <v>0</v>
      </c>
      <c r="AE96" s="724">
        <f t="shared" si="23"/>
        <v>0</v>
      </c>
      <c r="AF96" s="723">
        <v>0</v>
      </c>
      <c r="AG96" s="723">
        <v>0</v>
      </c>
      <c r="AH96" s="648">
        <v>0</v>
      </c>
      <c r="AI96" s="648">
        <v>0</v>
      </c>
      <c r="AJ96" s="167" t="s">
        <v>40</v>
      </c>
      <c r="AK96" s="168">
        <v>0.38</v>
      </c>
      <c r="AL96" s="167"/>
      <c r="AM96" s="168"/>
      <c r="AN96" s="167"/>
      <c r="AO96" s="168"/>
      <c r="AP96" s="171">
        <v>621</v>
      </c>
      <c r="AQ96" s="171"/>
      <c r="AR96" s="171"/>
      <c r="AS96" s="299">
        <f>SUMIF('NEI Lookups'!$L:$L,'Inputs Yr 2'!$F96,'NEI Lookups'!E:E)+SUMIF('NEI Lookups'!$M:$M,'Inputs Yr 2'!$F96,'NEI Lookups'!E:E)+SUMIF('NEI Lookups'!$N:$N,'Inputs Yr 2'!$F96,'NEI Lookups'!E:E)+SUMIF('NEI Lookups'!$O:$O,'Inputs Yr 2'!$F96,'NEI Lookups'!E:E)+SUMIF('NEI Lookups'!$P:$P,'Inputs Yr 2'!$F96,'NEI Lookups'!E:E)+SUMIF('NEI Lookups'!$Q:$Q,'Inputs Yr 2'!$F96,'NEI Lookups'!E:E)+SUMIF('NEI Lookups'!$R:$R,'Inputs Yr 2'!$F96,'NEI Lookups'!E:E)+SUMIF('NEI Lookups'!$S:$S,'Inputs Yr 2'!$F96,'NEI Lookups'!E:E)+SUMIF('NEI Lookups'!$T:$T,'Inputs Yr 2'!$F96,'NEI Lookups'!E:E)</f>
        <v>0</v>
      </c>
      <c r="AT96" s="299">
        <f>SUMIF('NEI Lookups'!$L:$L,'Inputs Yr 2'!$F96,'NEI Lookups'!F:F)+SUMIF('NEI Lookups'!$M:$M,'Inputs Yr 2'!$F96,'NEI Lookups'!F:F)+SUMIF('NEI Lookups'!$N:$N,'Inputs Yr 2'!$F96,'NEI Lookups'!F:F)+SUMIF('NEI Lookups'!$O:$O,'Inputs Yr 2'!$F96,'NEI Lookups'!F:F)+SUMIF('NEI Lookups'!$P:$P,'Inputs Yr 2'!$F96,'NEI Lookups'!F:F)+SUMIF('NEI Lookups'!$Q:$Q,'Inputs Yr 2'!$F96,'NEI Lookups'!F:F)+SUMIF('NEI Lookups'!$R:$R,'Inputs Yr 2'!$F96,'NEI Lookups'!F:F)+SUMIF('NEI Lookups'!$S:$S,'Inputs Yr 2'!$F96,'NEI Lookups'!F:F)+SUMIF('NEI Lookups'!$T:$T,'Inputs Yr 2'!$F96,'NEI Lookups'!F:F)</f>
        <v>0</v>
      </c>
      <c r="AU96" s="299">
        <f>SUMIF('NEI Lookups'!$L:$L,'Inputs Yr 2'!$F96,'NEI Lookups'!G:G)+SUMIF('NEI Lookups'!$M:$M,'Inputs Yr 2'!$F96,'NEI Lookups'!G:G)+SUMIF('NEI Lookups'!$N:$N,'Inputs Yr 2'!$F96,'NEI Lookups'!G:G)+SUMIF('NEI Lookups'!$O:$O,'Inputs Yr 2'!$F96,'NEI Lookups'!G:G)+SUMIF('NEI Lookups'!$P:$P,'Inputs Yr 2'!$F96,'NEI Lookups'!G:G)+SUMIF('NEI Lookups'!$Q:$Q,'Inputs Yr 2'!$F96,'NEI Lookups'!G:G)+SUMIF('NEI Lookups'!$R:$R,'Inputs Yr 2'!$F96,'NEI Lookups'!G:G)+SUMIF('NEI Lookups'!$S:$S,'Inputs Yr 2'!$F96,'NEI Lookups'!G:G)+SUMIF('NEI Lookups'!$T:$T,'Inputs Yr 2'!$F96,'NEI Lookups'!G:G)</f>
        <v>0</v>
      </c>
      <c r="AV96" s="299">
        <f>SUMIF('NEI Lookups'!$L:$L,'Inputs Yr 2'!$F96,'NEI Lookups'!H:H)+SUMIF('NEI Lookups'!$M:$M,'Inputs Yr 2'!$F96,'NEI Lookups'!H:H)+SUMIF('NEI Lookups'!$N:$N,'Inputs Yr 2'!$F96,'NEI Lookups'!H:H)+SUMIF('NEI Lookups'!$O:$O,'Inputs Yr 2'!$F96,'NEI Lookups'!H:H)+SUMIF('NEI Lookups'!$P:$P,'Inputs Yr 2'!$F96,'NEI Lookups'!H:H)+SUMIF('NEI Lookups'!$Q:$Q,'Inputs Yr 2'!$F96,'NEI Lookups'!H:H)+SUMIF('NEI Lookups'!$R:$R,'Inputs Yr 2'!$F96,'NEI Lookups'!H:H)+SUMIF('NEI Lookups'!$S:$S,'Inputs Yr 2'!$F96,'NEI Lookups'!H:H)+SUMIF('NEI Lookups'!$T:$T,'Inputs Yr 2'!$F96,'NEI Lookups'!H:H)</f>
        <v>0</v>
      </c>
      <c r="AW96" s="299">
        <f>SUMIF('NEI Lookups'!$L:$L,'Inputs Yr 2'!$F96,'NEI Lookups'!I:I)+SUMIF('NEI Lookups'!$M:$M,'Inputs Yr 2'!$F96,'NEI Lookups'!I:I)+SUMIF('NEI Lookups'!$N:$N,'Inputs Yr 2'!$F96,'NEI Lookups'!I:I)+SUMIF('NEI Lookups'!$O:$O,'Inputs Yr 2'!$F96,'NEI Lookups'!I:I)+SUMIF('NEI Lookups'!$P:$P,'Inputs Yr 2'!$F96,'NEI Lookups'!I:I)+SUMIF('NEI Lookups'!$Q:$Q,'Inputs Yr 2'!$F96,'NEI Lookups'!I:I)+SUMIF('NEI Lookups'!$R:$R,'Inputs Yr 2'!$F96,'NEI Lookups'!I:I)+SUMIF('NEI Lookups'!$S:$S,'Inputs Yr 2'!$F96,'NEI Lookups'!I:I)+SUMIF('NEI Lookups'!$T:$T,'Inputs Yr 2'!$F96,'NEI Lookups'!I:I)</f>
        <v>0</v>
      </c>
      <c r="AX96" s="299">
        <f>SUMIF('NEI Lookups'!$L:$L,'Inputs Yr 2'!$F96,'NEI Lookups'!J:J)+SUMIF('NEI Lookups'!$M:$M,'Inputs Yr 2'!$F96,'NEI Lookups'!J:J)+SUMIF('NEI Lookups'!$N:$N,'Inputs Yr 2'!$F96,'NEI Lookups'!J:J)+SUMIF('NEI Lookups'!$O:$O,'Inputs Yr 2'!$F96,'NEI Lookups'!J:J)+SUMIF('NEI Lookups'!$P:$P,'Inputs Yr 2'!$F96,'NEI Lookups'!J:J)+SUMIF('NEI Lookups'!$Q:$Q,'Inputs Yr 2'!$F96,'NEI Lookups'!J:J)+SUMIF('NEI Lookups'!$R:$R,'Inputs Yr 2'!$F96,'NEI Lookups'!J:J)+SUMIF('NEI Lookups'!$S:$S,'Inputs Yr 2'!$F96,'NEI Lookups'!J:J)+SUMIF('NEI Lookups'!$T:$T,'Inputs Yr 2'!$F96,'NEI Lookups'!J:J)</f>
        <v>0</v>
      </c>
      <c r="AY96" s="930">
        <f>'Calculations Yr 2'!CP96/'Calculations Yr 2'!I96</f>
        <v>3.37670506543764</v>
      </c>
    </row>
    <row r="97" spans="1:51" s="133" customFormat="1" ht="12.75" customHeight="1">
      <c r="A97" s="132" t="s">
        <v>32</v>
      </c>
      <c r="B97" s="132" t="s">
        <v>465</v>
      </c>
      <c r="C97" s="132" t="s">
        <v>910</v>
      </c>
      <c r="D97" s="902" t="s">
        <v>1483</v>
      </c>
      <c r="E97" s="98" t="s">
        <v>733</v>
      </c>
      <c r="F97" s="98" t="s">
        <v>1266</v>
      </c>
      <c r="G97" s="145" t="s">
        <v>89</v>
      </c>
      <c r="H97" s="232">
        <v>371</v>
      </c>
      <c r="I97" s="232">
        <v>7</v>
      </c>
      <c r="J97" s="964">
        <v>20</v>
      </c>
      <c r="K97" s="166">
        <v>10</v>
      </c>
      <c r="L97" s="888">
        <f t="shared" si="16"/>
        <v>10</v>
      </c>
      <c r="M97" s="980">
        <v>0.15</v>
      </c>
      <c r="N97" s="980">
        <v>0</v>
      </c>
      <c r="O97" s="980">
        <v>0</v>
      </c>
      <c r="P97" s="889">
        <f t="shared" si="19"/>
        <v>0.85</v>
      </c>
      <c r="Q97" s="980">
        <v>1</v>
      </c>
      <c r="R97" s="178">
        <v>1</v>
      </c>
      <c r="S97" s="178">
        <v>1</v>
      </c>
      <c r="T97" s="178">
        <v>1</v>
      </c>
      <c r="U97" s="980">
        <v>1</v>
      </c>
      <c r="V97" s="980">
        <v>1</v>
      </c>
      <c r="W97" s="179"/>
      <c r="X97" s="937" t="s">
        <v>653</v>
      </c>
      <c r="Y97" s="299">
        <f>IFERROR(VLOOKUP($X97,'Demand Lookups'!$A$5:$K$101,9,0), 0)</f>
        <v>0</v>
      </c>
      <c r="Z97" s="922" t="str">
        <f>IFERROR(VLOOKUP(X97,'Demand Lookups'!$A$5:$B$101,2,0),0)</f>
        <v>Non-Electric Measures</v>
      </c>
      <c r="AA97" s="722">
        <v>0</v>
      </c>
      <c r="AB97" s="722">
        <v>0</v>
      </c>
      <c r="AC97" s="722">
        <v>0</v>
      </c>
      <c r="AD97" s="723">
        <v>0</v>
      </c>
      <c r="AE97" s="724">
        <f t="shared" si="23"/>
        <v>0</v>
      </c>
      <c r="AF97" s="723">
        <v>0</v>
      </c>
      <c r="AG97" s="723">
        <v>0</v>
      </c>
      <c r="AH97" s="648">
        <v>0</v>
      </c>
      <c r="AI97" s="648">
        <v>0</v>
      </c>
      <c r="AJ97" s="167" t="s">
        <v>40</v>
      </c>
      <c r="AK97" s="168">
        <v>1.2</v>
      </c>
      <c r="AL97" s="167"/>
      <c r="AM97" s="168"/>
      <c r="AN97" s="167"/>
      <c r="AO97" s="168"/>
      <c r="AP97" s="171">
        <v>2401</v>
      </c>
      <c r="AQ97" s="171"/>
      <c r="AR97" s="171"/>
      <c r="AS97" s="299">
        <f>SUMIF('NEI Lookups'!$L:$L,'Inputs Yr 2'!$F97,'NEI Lookups'!E:E)+SUMIF('NEI Lookups'!$M:$M,'Inputs Yr 2'!$F97,'NEI Lookups'!E:E)+SUMIF('NEI Lookups'!$N:$N,'Inputs Yr 2'!$F97,'NEI Lookups'!E:E)+SUMIF('NEI Lookups'!$O:$O,'Inputs Yr 2'!$F97,'NEI Lookups'!E:E)+SUMIF('NEI Lookups'!$P:$P,'Inputs Yr 2'!$F97,'NEI Lookups'!E:E)+SUMIF('NEI Lookups'!$Q:$Q,'Inputs Yr 2'!$F97,'NEI Lookups'!E:E)+SUMIF('NEI Lookups'!$R:$R,'Inputs Yr 2'!$F97,'NEI Lookups'!E:E)+SUMIF('NEI Lookups'!$S:$S,'Inputs Yr 2'!$F97,'NEI Lookups'!E:E)+SUMIF('NEI Lookups'!$T:$T,'Inputs Yr 2'!$F97,'NEI Lookups'!E:E)</f>
        <v>0</v>
      </c>
      <c r="AT97" s="299">
        <f>SUMIF('NEI Lookups'!$L:$L,'Inputs Yr 2'!$F97,'NEI Lookups'!F:F)+SUMIF('NEI Lookups'!$M:$M,'Inputs Yr 2'!$F97,'NEI Lookups'!F:F)+SUMIF('NEI Lookups'!$N:$N,'Inputs Yr 2'!$F97,'NEI Lookups'!F:F)+SUMIF('NEI Lookups'!$O:$O,'Inputs Yr 2'!$F97,'NEI Lookups'!F:F)+SUMIF('NEI Lookups'!$P:$P,'Inputs Yr 2'!$F97,'NEI Lookups'!F:F)+SUMIF('NEI Lookups'!$Q:$Q,'Inputs Yr 2'!$F97,'NEI Lookups'!F:F)+SUMIF('NEI Lookups'!$R:$R,'Inputs Yr 2'!$F97,'NEI Lookups'!F:F)+SUMIF('NEI Lookups'!$S:$S,'Inputs Yr 2'!$F97,'NEI Lookups'!F:F)+SUMIF('NEI Lookups'!$T:$T,'Inputs Yr 2'!$F97,'NEI Lookups'!F:F)</f>
        <v>0</v>
      </c>
      <c r="AU97" s="299">
        <f>SUMIF('NEI Lookups'!$L:$L,'Inputs Yr 2'!$F97,'NEI Lookups'!G:G)+SUMIF('NEI Lookups'!$M:$M,'Inputs Yr 2'!$F97,'NEI Lookups'!G:G)+SUMIF('NEI Lookups'!$N:$N,'Inputs Yr 2'!$F97,'NEI Lookups'!G:G)+SUMIF('NEI Lookups'!$O:$O,'Inputs Yr 2'!$F97,'NEI Lookups'!G:G)+SUMIF('NEI Lookups'!$P:$P,'Inputs Yr 2'!$F97,'NEI Lookups'!G:G)+SUMIF('NEI Lookups'!$Q:$Q,'Inputs Yr 2'!$F97,'NEI Lookups'!G:G)+SUMIF('NEI Lookups'!$R:$R,'Inputs Yr 2'!$F97,'NEI Lookups'!G:G)+SUMIF('NEI Lookups'!$S:$S,'Inputs Yr 2'!$F97,'NEI Lookups'!G:G)+SUMIF('NEI Lookups'!$T:$T,'Inputs Yr 2'!$F97,'NEI Lookups'!G:G)</f>
        <v>0</v>
      </c>
      <c r="AV97" s="299">
        <f>SUMIF('NEI Lookups'!$L:$L,'Inputs Yr 2'!$F97,'NEI Lookups'!H:H)+SUMIF('NEI Lookups'!$M:$M,'Inputs Yr 2'!$F97,'NEI Lookups'!H:H)+SUMIF('NEI Lookups'!$N:$N,'Inputs Yr 2'!$F97,'NEI Lookups'!H:H)+SUMIF('NEI Lookups'!$O:$O,'Inputs Yr 2'!$F97,'NEI Lookups'!H:H)+SUMIF('NEI Lookups'!$P:$P,'Inputs Yr 2'!$F97,'NEI Lookups'!H:H)+SUMIF('NEI Lookups'!$Q:$Q,'Inputs Yr 2'!$F97,'NEI Lookups'!H:H)+SUMIF('NEI Lookups'!$R:$R,'Inputs Yr 2'!$F97,'NEI Lookups'!H:H)+SUMIF('NEI Lookups'!$S:$S,'Inputs Yr 2'!$F97,'NEI Lookups'!H:H)+SUMIF('NEI Lookups'!$T:$T,'Inputs Yr 2'!$F97,'NEI Lookups'!H:H)</f>
        <v>0</v>
      </c>
      <c r="AW97" s="299">
        <f>SUMIF('NEI Lookups'!$L:$L,'Inputs Yr 2'!$F97,'NEI Lookups'!I:I)+SUMIF('NEI Lookups'!$M:$M,'Inputs Yr 2'!$F97,'NEI Lookups'!I:I)+SUMIF('NEI Lookups'!$N:$N,'Inputs Yr 2'!$F97,'NEI Lookups'!I:I)+SUMIF('NEI Lookups'!$O:$O,'Inputs Yr 2'!$F97,'NEI Lookups'!I:I)+SUMIF('NEI Lookups'!$P:$P,'Inputs Yr 2'!$F97,'NEI Lookups'!I:I)+SUMIF('NEI Lookups'!$Q:$Q,'Inputs Yr 2'!$F97,'NEI Lookups'!I:I)+SUMIF('NEI Lookups'!$R:$R,'Inputs Yr 2'!$F97,'NEI Lookups'!I:I)+SUMIF('NEI Lookups'!$S:$S,'Inputs Yr 2'!$F97,'NEI Lookups'!I:I)+SUMIF('NEI Lookups'!$T:$T,'Inputs Yr 2'!$F97,'NEI Lookups'!I:I)</f>
        <v>0</v>
      </c>
      <c r="AX97" s="299">
        <f>SUMIF('NEI Lookups'!$L:$L,'Inputs Yr 2'!$F97,'NEI Lookups'!J:J)+SUMIF('NEI Lookups'!$M:$M,'Inputs Yr 2'!$F97,'NEI Lookups'!J:J)+SUMIF('NEI Lookups'!$N:$N,'Inputs Yr 2'!$F97,'NEI Lookups'!J:J)+SUMIF('NEI Lookups'!$O:$O,'Inputs Yr 2'!$F97,'NEI Lookups'!J:J)+SUMIF('NEI Lookups'!$P:$P,'Inputs Yr 2'!$F97,'NEI Lookups'!J:J)+SUMIF('NEI Lookups'!$Q:$Q,'Inputs Yr 2'!$F97,'NEI Lookups'!J:J)+SUMIF('NEI Lookups'!$R:$R,'Inputs Yr 2'!$F97,'NEI Lookups'!J:J)+SUMIF('NEI Lookups'!$S:$S,'Inputs Yr 2'!$F97,'NEI Lookups'!J:J)+SUMIF('NEI Lookups'!$T:$T,'Inputs Yr 2'!$F97,'NEI Lookups'!J:J)</f>
        <v>0</v>
      </c>
      <c r="AY97" s="930">
        <f>'Calculations Yr 2'!CP97/'Calculations Yr 2'!I97</f>
        <v>12.705888888228387</v>
      </c>
    </row>
    <row r="98" spans="1:51" s="133" customFormat="1" ht="12.75" customHeight="1">
      <c r="A98" s="145" t="s">
        <v>32</v>
      </c>
      <c r="B98" s="132" t="s">
        <v>465</v>
      </c>
      <c r="C98" s="132" t="s">
        <v>910</v>
      </c>
      <c r="D98" s="902"/>
      <c r="E98" s="150" t="s">
        <v>740</v>
      </c>
      <c r="F98" s="98"/>
      <c r="G98" s="145"/>
      <c r="H98" s="232">
        <v>0</v>
      </c>
      <c r="I98" s="232">
        <v>0</v>
      </c>
      <c r="J98" s="964"/>
      <c r="K98" s="166"/>
      <c r="L98" s="888">
        <f t="shared" si="16"/>
        <v>0</v>
      </c>
      <c r="M98" s="980">
        <v>0</v>
      </c>
      <c r="N98" s="980">
        <v>0</v>
      </c>
      <c r="O98" s="980">
        <v>0</v>
      </c>
      <c r="P98" s="889">
        <f t="shared" si="19"/>
        <v>1</v>
      </c>
      <c r="Q98" s="980">
        <v>0</v>
      </c>
      <c r="R98" s="178">
        <v>1</v>
      </c>
      <c r="S98" s="178">
        <v>1</v>
      </c>
      <c r="T98" s="178">
        <v>1</v>
      </c>
      <c r="U98" s="980">
        <v>0</v>
      </c>
      <c r="V98" s="980">
        <v>0</v>
      </c>
      <c r="W98" s="179"/>
      <c r="X98" s="937" t="s">
        <v>653</v>
      </c>
      <c r="Y98" s="299">
        <f>IFERROR(VLOOKUP($X98,'Demand Lookups'!$A$5:$K$101,9,0), 0)</f>
        <v>0</v>
      </c>
      <c r="Z98" s="922" t="str">
        <f>IFERROR(VLOOKUP(X98,'Demand Lookups'!$A$5:$B$101,2,0),0)</f>
        <v>Non-Electric Measures</v>
      </c>
      <c r="AA98" s="722">
        <v>0</v>
      </c>
      <c r="AB98" s="722">
        <v>0</v>
      </c>
      <c r="AC98" s="722">
        <v>0</v>
      </c>
      <c r="AD98" s="723">
        <v>0</v>
      </c>
      <c r="AE98" s="724">
        <f t="shared" si="23"/>
        <v>0</v>
      </c>
      <c r="AF98" s="723">
        <v>0</v>
      </c>
      <c r="AG98" s="723">
        <v>0</v>
      </c>
      <c r="AH98" s="648">
        <v>0</v>
      </c>
      <c r="AI98" s="648">
        <v>0</v>
      </c>
      <c r="AJ98" s="167"/>
      <c r="AK98" s="168">
        <v>0</v>
      </c>
      <c r="AL98" s="167"/>
      <c r="AM98" s="168"/>
      <c r="AN98" s="167"/>
      <c r="AO98" s="168"/>
      <c r="AP98" s="171"/>
      <c r="AQ98" s="171"/>
      <c r="AR98" s="171"/>
      <c r="AS98" s="299">
        <f>SUMIF('NEI Lookups'!$L:$L,'Inputs Yr 2'!$F98,'NEI Lookups'!E:E)+SUMIF('NEI Lookups'!$M:$M,'Inputs Yr 2'!$F98,'NEI Lookups'!E:E)+SUMIF('NEI Lookups'!$N:$N,'Inputs Yr 2'!$F98,'NEI Lookups'!E:E)+SUMIF('NEI Lookups'!$O:$O,'Inputs Yr 2'!$F98,'NEI Lookups'!E:E)+SUMIF('NEI Lookups'!$P:$P,'Inputs Yr 2'!$F98,'NEI Lookups'!E:E)+SUMIF('NEI Lookups'!$Q:$Q,'Inputs Yr 2'!$F98,'NEI Lookups'!E:E)+SUMIF('NEI Lookups'!$R:$R,'Inputs Yr 2'!$F98,'NEI Lookups'!E:E)+SUMIF('NEI Lookups'!$S:$S,'Inputs Yr 2'!$F98,'NEI Lookups'!E:E)+SUMIF('NEI Lookups'!$T:$T,'Inputs Yr 2'!$F98,'NEI Lookups'!E:E)</f>
        <v>0</v>
      </c>
      <c r="AT98" s="299">
        <f>SUMIF('NEI Lookups'!$L:$L,'Inputs Yr 2'!$F98,'NEI Lookups'!F:F)+SUMIF('NEI Lookups'!$M:$M,'Inputs Yr 2'!$F98,'NEI Lookups'!F:F)+SUMIF('NEI Lookups'!$N:$N,'Inputs Yr 2'!$F98,'NEI Lookups'!F:F)+SUMIF('NEI Lookups'!$O:$O,'Inputs Yr 2'!$F98,'NEI Lookups'!F:F)+SUMIF('NEI Lookups'!$P:$P,'Inputs Yr 2'!$F98,'NEI Lookups'!F:F)+SUMIF('NEI Lookups'!$Q:$Q,'Inputs Yr 2'!$F98,'NEI Lookups'!F:F)+SUMIF('NEI Lookups'!$R:$R,'Inputs Yr 2'!$F98,'NEI Lookups'!F:F)+SUMIF('NEI Lookups'!$S:$S,'Inputs Yr 2'!$F98,'NEI Lookups'!F:F)+SUMIF('NEI Lookups'!$T:$T,'Inputs Yr 2'!$F98,'NEI Lookups'!F:F)</f>
        <v>0</v>
      </c>
      <c r="AU98" s="299">
        <f>SUMIF('NEI Lookups'!$L:$L,'Inputs Yr 2'!$F98,'NEI Lookups'!G:G)+SUMIF('NEI Lookups'!$M:$M,'Inputs Yr 2'!$F98,'NEI Lookups'!G:G)+SUMIF('NEI Lookups'!$N:$N,'Inputs Yr 2'!$F98,'NEI Lookups'!G:G)+SUMIF('NEI Lookups'!$O:$O,'Inputs Yr 2'!$F98,'NEI Lookups'!G:G)+SUMIF('NEI Lookups'!$P:$P,'Inputs Yr 2'!$F98,'NEI Lookups'!G:G)+SUMIF('NEI Lookups'!$Q:$Q,'Inputs Yr 2'!$F98,'NEI Lookups'!G:G)+SUMIF('NEI Lookups'!$R:$R,'Inputs Yr 2'!$F98,'NEI Lookups'!G:G)+SUMIF('NEI Lookups'!$S:$S,'Inputs Yr 2'!$F98,'NEI Lookups'!G:G)+SUMIF('NEI Lookups'!$T:$T,'Inputs Yr 2'!$F98,'NEI Lookups'!G:G)</f>
        <v>0</v>
      </c>
      <c r="AV98" s="299">
        <f>SUMIF('NEI Lookups'!$L:$L,'Inputs Yr 2'!$F98,'NEI Lookups'!H:H)+SUMIF('NEI Lookups'!$M:$M,'Inputs Yr 2'!$F98,'NEI Lookups'!H:H)+SUMIF('NEI Lookups'!$N:$N,'Inputs Yr 2'!$F98,'NEI Lookups'!H:H)+SUMIF('NEI Lookups'!$O:$O,'Inputs Yr 2'!$F98,'NEI Lookups'!H:H)+SUMIF('NEI Lookups'!$P:$P,'Inputs Yr 2'!$F98,'NEI Lookups'!H:H)+SUMIF('NEI Lookups'!$Q:$Q,'Inputs Yr 2'!$F98,'NEI Lookups'!H:H)+SUMIF('NEI Lookups'!$R:$R,'Inputs Yr 2'!$F98,'NEI Lookups'!H:H)+SUMIF('NEI Lookups'!$S:$S,'Inputs Yr 2'!$F98,'NEI Lookups'!H:H)+SUMIF('NEI Lookups'!$T:$T,'Inputs Yr 2'!$F98,'NEI Lookups'!H:H)</f>
        <v>0</v>
      </c>
      <c r="AW98" s="299">
        <f>SUMIF('NEI Lookups'!$L:$L,'Inputs Yr 2'!$F98,'NEI Lookups'!I:I)+SUMIF('NEI Lookups'!$M:$M,'Inputs Yr 2'!$F98,'NEI Lookups'!I:I)+SUMIF('NEI Lookups'!$N:$N,'Inputs Yr 2'!$F98,'NEI Lookups'!I:I)+SUMIF('NEI Lookups'!$O:$O,'Inputs Yr 2'!$F98,'NEI Lookups'!I:I)+SUMIF('NEI Lookups'!$P:$P,'Inputs Yr 2'!$F98,'NEI Lookups'!I:I)+SUMIF('NEI Lookups'!$Q:$Q,'Inputs Yr 2'!$F98,'NEI Lookups'!I:I)+SUMIF('NEI Lookups'!$R:$R,'Inputs Yr 2'!$F98,'NEI Lookups'!I:I)+SUMIF('NEI Lookups'!$S:$S,'Inputs Yr 2'!$F98,'NEI Lookups'!I:I)+SUMIF('NEI Lookups'!$T:$T,'Inputs Yr 2'!$F98,'NEI Lookups'!I:I)</f>
        <v>0</v>
      </c>
      <c r="AX98" s="299">
        <f>SUMIF('NEI Lookups'!$L:$L,'Inputs Yr 2'!$F98,'NEI Lookups'!J:J)+SUMIF('NEI Lookups'!$M:$M,'Inputs Yr 2'!$F98,'NEI Lookups'!J:J)+SUMIF('NEI Lookups'!$N:$N,'Inputs Yr 2'!$F98,'NEI Lookups'!J:J)+SUMIF('NEI Lookups'!$O:$O,'Inputs Yr 2'!$F98,'NEI Lookups'!J:J)+SUMIF('NEI Lookups'!$P:$P,'Inputs Yr 2'!$F98,'NEI Lookups'!J:J)+SUMIF('NEI Lookups'!$Q:$Q,'Inputs Yr 2'!$F98,'NEI Lookups'!J:J)+SUMIF('NEI Lookups'!$R:$R,'Inputs Yr 2'!$F98,'NEI Lookups'!J:J)+SUMIF('NEI Lookups'!$S:$S,'Inputs Yr 2'!$F98,'NEI Lookups'!J:J)+SUMIF('NEI Lookups'!$T:$T,'Inputs Yr 2'!$F98,'NEI Lookups'!J:J)</f>
        <v>0</v>
      </c>
      <c r="AY98" s="930" t="e">
        <f>'Calculations Yr 2'!CP98/'Calculations Yr 2'!I98</f>
        <v>#VALUE!</v>
      </c>
    </row>
    <row r="99" spans="1:51" s="133" customFormat="1" ht="12.75" customHeight="1">
      <c r="A99" s="145" t="s">
        <v>32</v>
      </c>
      <c r="B99" s="132" t="s">
        <v>465</v>
      </c>
      <c r="C99" s="132" t="s">
        <v>910</v>
      </c>
      <c r="D99" s="902"/>
      <c r="E99" s="98" t="s">
        <v>453</v>
      </c>
      <c r="F99" s="98"/>
      <c r="G99" s="145"/>
      <c r="H99" s="232">
        <v>0</v>
      </c>
      <c r="I99" s="232">
        <v>0</v>
      </c>
      <c r="J99" s="964"/>
      <c r="K99" s="166"/>
      <c r="L99" s="888">
        <f t="shared" si="16"/>
        <v>0</v>
      </c>
      <c r="M99" s="980">
        <v>0</v>
      </c>
      <c r="N99" s="980">
        <v>0</v>
      </c>
      <c r="O99" s="980">
        <v>0</v>
      </c>
      <c r="P99" s="889">
        <f t="shared" si="19"/>
        <v>1</v>
      </c>
      <c r="Q99" s="980">
        <v>0</v>
      </c>
      <c r="R99" s="178">
        <v>1</v>
      </c>
      <c r="S99" s="178">
        <v>1</v>
      </c>
      <c r="T99" s="178">
        <v>1</v>
      </c>
      <c r="U99" s="980">
        <v>0</v>
      </c>
      <c r="V99" s="980">
        <v>0</v>
      </c>
      <c r="W99" s="179"/>
      <c r="X99" s="937" t="s">
        <v>653</v>
      </c>
      <c r="Y99" s="299">
        <f>IFERROR(VLOOKUP($X99,'Demand Lookups'!$A$5:$K$101,9,0), 0)</f>
        <v>0</v>
      </c>
      <c r="Z99" s="922" t="str">
        <f>IFERROR(VLOOKUP(X99,'Demand Lookups'!$A$5:$B$101,2,0),0)</f>
        <v>Non-Electric Measures</v>
      </c>
      <c r="AA99" s="722">
        <v>0</v>
      </c>
      <c r="AB99" s="722">
        <v>0</v>
      </c>
      <c r="AC99" s="722">
        <v>0</v>
      </c>
      <c r="AD99" s="723">
        <v>0</v>
      </c>
      <c r="AE99" s="724">
        <f t="shared" si="23"/>
        <v>0</v>
      </c>
      <c r="AF99" s="723">
        <v>0</v>
      </c>
      <c r="AG99" s="723">
        <v>0</v>
      </c>
      <c r="AH99" s="648">
        <v>0</v>
      </c>
      <c r="AI99" s="648">
        <v>0</v>
      </c>
      <c r="AJ99" s="167"/>
      <c r="AK99" s="168">
        <v>0</v>
      </c>
      <c r="AL99" s="167"/>
      <c r="AM99" s="168"/>
      <c r="AN99" s="167"/>
      <c r="AO99" s="168"/>
      <c r="AP99" s="171"/>
      <c r="AQ99" s="171"/>
      <c r="AR99" s="171"/>
      <c r="AS99" s="299">
        <f>SUMIF('NEI Lookups'!$L:$L,'Inputs Yr 2'!$F99,'NEI Lookups'!E:E)+SUMIF('NEI Lookups'!$M:$M,'Inputs Yr 2'!$F99,'NEI Lookups'!E:E)+SUMIF('NEI Lookups'!$N:$N,'Inputs Yr 2'!$F99,'NEI Lookups'!E:E)+SUMIF('NEI Lookups'!$O:$O,'Inputs Yr 2'!$F99,'NEI Lookups'!E:E)+SUMIF('NEI Lookups'!$P:$P,'Inputs Yr 2'!$F99,'NEI Lookups'!E:E)+SUMIF('NEI Lookups'!$Q:$Q,'Inputs Yr 2'!$F99,'NEI Lookups'!E:E)+SUMIF('NEI Lookups'!$R:$R,'Inputs Yr 2'!$F99,'NEI Lookups'!E:E)+SUMIF('NEI Lookups'!$S:$S,'Inputs Yr 2'!$F99,'NEI Lookups'!E:E)+SUMIF('NEI Lookups'!$T:$T,'Inputs Yr 2'!$F99,'NEI Lookups'!E:E)</f>
        <v>0</v>
      </c>
      <c r="AT99" s="299">
        <f>SUMIF('NEI Lookups'!$L:$L,'Inputs Yr 2'!$F99,'NEI Lookups'!F:F)+SUMIF('NEI Lookups'!$M:$M,'Inputs Yr 2'!$F99,'NEI Lookups'!F:F)+SUMIF('NEI Lookups'!$N:$N,'Inputs Yr 2'!$F99,'NEI Lookups'!F:F)+SUMIF('NEI Lookups'!$O:$O,'Inputs Yr 2'!$F99,'NEI Lookups'!F:F)+SUMIF('NEI Lookups'!$P:$P,'Inputs Yr 2'!$F99,'NEI Lookups'!F:F)+SUMIF('NEI Lookups'!$Q:$Q,'Inputs Yr 2'!$F99,'NEI Lookups'!F:F)+SUMIF('NEI Lookups'!$R:$R,'Inputs Yr 2'!$F99,'NEI Lookups'!F:F)+SUMIF('NEI Lookups'!$S:$S,'Inputs Yr 2'!$F99,'NEI Lookups'!F:F)+SUMIF('NEI Lookups'!$T:$T,'Inputs Yr 2'!$F99,'NEI Lookups'!F:F)</f>
        <v>0</v>
      </c>
      <c r="AU99" s="299">
        <f>SUMIF('NEI Lookups'!$L:$L,'Inputs Yr 2'!$F99,'NEI Lookups'!G:G)+SUMIF('NEI Lookups'!$M:$M,'Inputs Yr 2'!$F99,'NEI Lookups'!G:G)+SUMIF('NEI Lookups'!$N:$N,'Inputs Yr 2'!$F99,'NEI Lookups'!G:G)+SUMIF('NEI Lookups'!$O:$O,'Inputs Yr 2'!$F99,'NEI Lookups'!G:G)+SUMIF('NEI Lookups'!$P:$P,'Inputs Yr 2'!$F99,'NEI Lookups'!G:G)+SUMIF('NEI Lookups'!$Q:$Q,'Inputs Yr 2'!$F99,'NEI Lookups'!G:G)+SUMIF('NEI Lookups'!$R:$R,'Inputs Yr 2'!$F99,'NEI Lookups'!G:G)+SUMIF('NEI Lookups'!$S:$S,'Inputs Yr 2'!$F99,'NEI Lookups'!G:G)+SUMIF('NEI Lookups'!$T:$T,'Inputs Yr 2'!$F99,'NEI Lookups'!G:G)</f>
        <v>0</v>
      </c>
      <c r="AV99" s="299">
        <f>SUMIF('NEI Lookups'!$L:$L,'Inputs Yr 2'!$F99,'NEI Lookups'!H:H)+SUMIF('NEI Lookups'!$M:$M,'Inputs Yr 2'!$F99,'NEI Lookups'!H:H)+SUMIF('NEI Lookups'!$N:$N,'Inputs Yr 2'!$F99,'NEI Lookups'!H:H)+SUMIF('NEI Lookups'!$O:$O,'Inputs Yr 2'!$F99,'NEI Lookups'!H:H)+SUMIF('NEI Lookups'!$P:$P,'Inputs Yr 2'!$F99,'NEI Lookups'!H:H)+SUMIF('NEI Lookups'!$Q:$Q,'Inputs Yr 2'!$F99,'NEI Lookups'!H:H)+SUMIF('NEI Lookups'!$R:$R,'Inputs Yr 2'!$F99,'NEI Lookups'!H:H)+SUMIF('NEI Lookups'!$S:$S,'Inputs Yr 2'!$F99,'NEI Lookups'!H:H)+SUMIF('NEI Lookups'!$T:$T,'Inputs Yr 2'!$F99,'NEI Lookups'!H:H)</f>
        <v>0</v>
      </c>
      <c r="AW99" s="299">
        <f>SUMIF('NEI Lookups'!$L:$L,'Inputs Yr 2'!$F99,'NEI Lookups'!I:I)+SUMIF('NEI Lookups'!$M:$M,'Inputs Yr 2'!$F99,'NEI Lookups'!I:I)+SUMIF('NEI Lookups'!$N:$N,'Inputs Yr 2'!$F99,'NEI Lookups'!I:I)+SUMIF('NEI Lookups'!$O:$O,'Inputs Yr 2'!$F99,'NEI Lookups'!I:I)+SUMIF('NEI Lookups'!$P:$P,'Inputs Yr 2'!$F99,'NEI Lookups'!I:I)+SUMIF('NEI Lookups'!$Q:$Q,'Inputs Yr 2'!$F99,'NEI Lookups'!I:I)+SUMIF('NEI Lookups'!$R:$R,'Inputs Yr 2'!$F99,'NEI Lookups'!I:I)+SUMIF('NEI Lookups'!$S:$S,'Inputs Yr 2'!$F99,'NEI Lookups'!I:I)+SUMIF('NEI Lookups'!$T:$T,'Inputs Yr 2'!$F99,'NEI Lookups'!I:I)</f>
        <v>0</v>
      </c>
      <c r="AX99" s="299">
        <f>SUMIF('NEI Lookups'!$L:$L,'Inputs Yr 2'!$F99,'NEI Lookups'!J:J)+SUMIF('NEI Lookups'!$M:$M,'Inputs Yr 2'!$F99,'NEI Lookups'!J:J)+SUMIF('NEI Lookups'!$N:$N,'Inputs Yr 2'!$F99,'NEI Lookups'!J:J)+SUMIF('NEI Lookups'!$O:$O,'Inputs Yr 2'!$F99,'NEI Lookups'!J:J)+SUMIF('NEI Lookups'!$P:$P,'Inputs Yr 2'!$F99,'NEI Lookups'!J:J)+SUMIF('NEI Lookups'!$Q:$Q,'Inputs Yr 2'!$F99,'NEI Lookups'!J:J)+SUMIF('NEI Lookups'!$R:$R,'Inputs Yr 2'!$F99,'NEI Lookups'!J:J)+SUMIF('NEI Lookups'!$S:$S,'Inputs Yr 2'!$F99,'NEI Lookups'!J:J)+SUMIF('NEI Lookups'!$T:$T,'Inputs Yr 2'!$F99,'NEI Lookups'!J:J)</f>
        <v>0</v>
      </c>
      <c r="AY99" s="930" t="e">
        <f>'Calculations Yr 2'!CP99/'Calculations Yr 2'!I99</f>
        <v>#VALUE!</v>
      </c>
    </row>
    <row r="100" spans="1:51" s="133" customFormat="1" ht="14.25" customHeight="1" thickBot="1">
      <c r="A100" s="147" t="s">
        <v>32</v>
      </c>
      <c r="B100" s="146" t="s">
        <v>465</v>
      </c>
      <c r="C100" s="146" t="s">
        <v>910</v>
      </c>
      <c r="D100" s="146"/>
      <c r="E100" s="177" t="s">
        <v>453</v>
      </c>
      <c r="F100" s="177"/>
      <c r="G100" s="147"/>
      <c r="H100" s="232">
        <v>0</v>
      </c>
      <c r="I100" s="232">
        <v>0</v>
      </c>
      <c r="J100" s="970"/>
      <c r="K100" s="173"/>
      <c r="L100" s="898">
        <f t="shared" si="16"/>
        <v>0</v>
      </c>
      <c r="M100" s="981">
        <v>0</v>
      </c>
      <c r="N100" s="981">
        <v>0</v>
      </c>
      <c r="O100" s="981">
        <v>0</v>
      </c>
      <c r="P100" s="895">
        <v>1</v>
      </c>
      <c r="Q100" s="981">
        <v>0</v>
      </c>
      <c r="R100" s="221">
        <v>1</v>
      </c>
      <c r="S100" s="221">
        <v>1</v>
      </c>
      <c r="T100" s="221">
        <v>1</v>
      </c>
      <c r="U100" s="981">
        <v>0</v>
      </c>
      <c r="V100" s="981">
        <v>0</v>
      </c>
      <c r="W100" s="222"/>
      <c r="X100" s="146" t="s">
        <v>653</v>
      </c>
      <c r="Y100" s="302">
        <f>IFERROR(VLOOKUP($X100,'Demand Lookups'!$A$5:$K$101,9,0), 0)</f>
        <v>0</v>
      </c>
      <c r="Z100" s="923" t="str">
        <f>IFERROR(VLOOKUP(X100,'Demand Lookups'!$A$5:$B$101,2,0),0)</f>
        <v>Non-Electric Measures</v>
      </c>
      <c r="AA100" s="650">
        <v>0</v>
      </c>
      <c r="AB100" s="650">
        <v>0</v>
      </c>
      <c r="AC100" s="650">
        <v>0</v>
      </c>
      <c r="AD100" s="651">
        <v>0</v>
      </c>
      <c r="AE100" s="953">
        <f t="shared" si="23"/>
        <v>0</v>
      </c>
      <c r="AF100" s="651">
        <v>0</v>
      </c>
      <c r="AG100" s="651">
        <v>0</v>
      </c>
      <c r="AH100" s="653">
        <v>0</v>
      </c>
      <c r="AI100" s="653">
        <v>0</v>
      </c>
      <c r="AJ100" s="174"/>
      <c r="AK100" s="303">
        <v>0</v>
      </c>
      <c r="AL100" s="174"/>
      <c r="AM100" s="303"/>
      <c r="AN100" s="174"/>
      <c r="AO100" s="303"/>
      <c r="AP100" s="175"/>
      <c r="AQ100" s="175"/>
      <c r="AR100" s="175"/>
      <c r="AS100" s="302">
        <f>SUMIF('NEI Lookups'!$L:$L,'Inputs Yr 2'!$F100,'NEI Lookups'!E:E)+SUMIF('NEI Lookups'!$M:$M,'Inputs Yr 2'!$F100,'NEI Lookups'!E:E)+SUMIF('NEI Lookups'!$N:$N,'Inputs Yr 2'!$F100,'NEI Lookups'!E:E)+SUMIF('NEI Lookups'!$O:$O,'Inputs Yr 2'!$F100,'NEI Lookups'!E:E)+SUMIF('NEI Lookups'!$P:$P,'Inputs Yr 2'!$F100,'NEI Lookups'!E:E)+SUMIF('NEI Lookups'!$Q:$Q,'Inputs Yr 2'!$F100,'NEI Lookups'!E:E)+SUMIF('NEI Lookups'!$R:$R,'Inputs Yr 2'!$F100,'NEI Lookups'!E:E)+SUMIF('NEI Lookups'!$S:$S,'Inputs Yr 2'!$F100,'NEI Lookups'!E:E)+SUMIF('NEI Lookups'!$T:$T,'Inputs Yr 2'!$F100,'NEI Lookups'!E:E)</f>
        <v>0</v>
      </c>
      <c r="AT100" s="302">
        <f>SUMIF('NEI Lookups'!$L:$L,'Inputs Yr 2'!$F100,'NEI Lookups'!F:F)+SUMIF('NEI Lookups'!$M:$M,'Inputs Yr 2'!$F100,'NEI Lookups'!F:F)+SUMIF('NEI Lookups'!$N:$N,'Inputs Yr 2'!$F100,'NEI Lookups'!F:F)+SUMIF('NEI Lookups'!$O:$O,'Inputs Yr 2'!$F100,'NEI Lookups'!F:F)+SUMIF('NEI Lookups'!$P:$P,'Inputs Yr 2'!$F100,'NEI Lookups'!F:F)+SUMIF('NEI Lookups'!$Q:$Q,'Inputs Yr 2'!$F100,'NEI Lookups'!F:F)+SUMIF('NEI Lookups'!$R:$R,'Inputs Yr 2'!$F100,'NEI Lookups'!F:F)+SUMIF('NEI Lookups'!$S:$S,'Inputs Yr 2'!$F100,'NEI Lookups'!F:F)+SUMIF('NEI Lookups'!$T:$T,'Inputs Yr 2'!$F100,'NEI Lookups'!F:F)</f>
        <v>0</v>
      </c>
      <c r="AU100" s="302">
        <f>SUMIF('NEI Lookups'!$L:$L,'Inputs Yr 2'!$F100,'NEI Lookups'!G:G)+SUMIF('NEI Lookups'!$M:$M,'Inputs Yr 2'!$F100,'NEI Lookups'!G:G)+SUMIF('NEI Lookups'!$N:$N,'Inputs Yr 2'!$F100,'NEI Lookups'!G:G)+SUMIF('NEI Lookups'!$O:$O,'Inputs Yr 2'!$F100,'NEI Lookups'!G:G)+SUMIF('NEI Lookups'!$P:$P,'Inputs Yr 2'!$F100,'NEI Lookups'!G:G)+SUMIF('NEI Lookups'!$Q:$Q,'Inputs Yr 2'!$F100,'NEI Lookups'!G:G)+SUMIF('NEI Lookups'!$R:$R,'Inputs Yr 2'!$F100,'NEI Lookups'!G:G)+SUMIF('NEI Lookups'!$S:$S,'Inputs Yr 2'!$F100,'NEI Lookups'!G:G)+SUMIF('NEI Lookups'!$T:$T,'Inputs Yr 2'!$F100,'NEI Lookups'!G:G)</f>
        <v>0</v>
      </c>
      <c r="AV100" s="302">
        <f>SUMIF('NEI Lookups'!$L:$L,'Inputs Yr 2'!$F100,'NEI Lookups'!H:H)+SUMIF('NEI Lookups'!$M:$M,'Inputs Yr 2'!$F100,'NEI Lookups'!H:H)+SUMIF('NEI Lookups'!$N:$N,'Inputs Yr 2'!$F100,'NEI Lookups'!H:H)+SUMIF('NEI Lookups'!$O:$O,'Inputs Yr 2'!$F100,'NEI Lookups'!H:H)+SUMIF('NEI Lookups'!$P:$P,'Inputs Yr 2'!$F100,'NEI Lookups'!H:H)+SUMIF('NEI Lookups'!$Q:$Q,'Inputs Yr 2'!$F100,'NEI Lookups'!H:H)+SUMIF('NEI Lookups'!$R:$R,'Inputs Yr 2'!$F100,'NEI Lookups'!H:H)+SUMIF('NEI Lookups'!$S:$S,'Inputs Yr 2'!$F100,'NEI Lookups'!H:H)+SUMIF('NEI Lookups'!$T:$T,'Inputs Yr 2'!$F100,'NEI Lookups'!H:H)</f>
        <v>0</v>
      </c>
      <c r="AW100" s="302">
        <f>SUMIF('NEI Lookups'!$L:$L,'Inputs Yr 2'!$F100,'NEI Lookups'!I:I)+SUMIF('NEI Lookups'!$M:$M,'Inputs Yr 2'!$F100,'NEI Lookups'!I:I)+SUMIF('NEI Lookups'!$N:$N,'Inputs Yr 2'!$F100,'NEI Lookups'!I:I)+SUMIF('NEI Lookups'!$O:$O,'Inputs Yr 2'!$F100,'NEI Lookups'!I:I)+SUMIF('NEI Lookups'!$P:$P,'Inputs Yr 2'!$F100,'NEI Lookups'!I:I)+SUMIF('NEI Lookups'!$Q:$Q,'Inputs Yr 2'!$F100,'NEI Lookups'!I:I)+SUMIF('NEI Lookups'!$R:$R,'Inputs Yr 2'!$F100,'NEI Lookups'!I:I)+SUMIF('NEI Lookups'!$S:$S,'Inputs Yr 2'!$F100,'NEI Lookups'!I:I)+SUMIF('NEI Lookups'!$T:$T,'Inputs Yr 2'!$F100,'NEI Lookups'!I:I)</f>
        <v>0</v>
      </c>
      <c r="AX100" s="302">
        <f>SUMIF('NEI Lookups'!$L:$L,'Inputs Yr 2'!$F100,'NEI Lookups'!J:J)+SUMIF('NEI Lookups'!$M:$M,'Inputs Yr 2'!$F100,'NEI Lookups'!J:J)+SUMIF('NEI Lookups'!$N:$N,'Inputs Yr 2'!$F100,'NEI Lookups'!J:J)+SUMIF('NEI Lookups'!$O:$O,'Inputs Yr 2'!$F100,'NEI Lookups'!J:J)+SUMIF('NEI Lookups'!$P:$P,'Inputs Yr 2'!$F100,'NEI Lookups'!J:J)+SUMIF('NEI Lookups'!$Q:$Q,'Inputs Yr 2'!$F100,'NEI Lookups'!J:J)+SUMIF('NEI Lookups'!$R:$R,'Inputs Yr 2'!$F100,'NEI Lookups'!J:J)+SUMIF('NEI Lookups'!$S:$S,'Inputs Yr 2'!$F100,'NEI Lookups'!J:J)+SUMIF('NEI Lookups'!$T:$T,'Inputs Yr 2'!$F100,'NEI Lookups'!J:J)</f>
        <v>0</v>
      </c>
      <c r="AY100" s="930" t="e">
        <f>'Calculations Yr 2'!CP100/'Calculations Yr 2'!I100</f>
        <v>#VALUE!</v>
      </c>
    </row>
    <row r="101" spans="1:51" s="133" customFormat="1" ht="12.75" customHeight="1">
      <c r="A101" s="145" t="s">
        <v>79</v>
      </c>
      <c r="B101" s="132" t="s">
        <v>872</v>
      </c>
      <c r="C101" s="132" t="s">
        <v>761</v>
      </c>
      <c r="D101" s="98"/>
      <c r="E101" s="150" t="s">
        <v>762</v>
      </c>
      <c r="F101" s="98" t="s">
        <v>1016</v>
      </c>
      <c r="G101" s="145" t="s">
        <v>1243</v>
      </c>
      <c r="H101" s="925">
        <v>0</v>
      </c>
      <c r="I101" s="925">
        <v>0</v>
      </c>
      <c r="J101" s="964"/>
      <c r="K101" s="166"/>
      <c r="L101" s="888">
        <f t="shared" si="16"/>
        <v>0</v>
      </c>
      <c r="M101" s="978">
        <v>0</v>
      </c>
      <c r="N101" s="978">
        <v>0</v>
      </c>
      <c r="O101" s="978">
        <v>0</v>
      </c>
      <c r="P101" s="889">
        <f t="shared" si="19"/>
        <v>1</v>
      </c>
      <c r="Q101" s="978">
        <v>0</v>
      </c>
      <c r="R101" s="178">
        <v>1</v>
      </c>
      <c r="S101" s="178">
        <v>1</v>
      </c>
      <c r="T101" s="178">
        <v>1</v>
      </c>
      <c r="U101" s="980">
        <v>0</v>
      </c>
      <c r="V101" s="978">
        <v>0</v>
      </c>
      <c r="W101" s="179"/>
      <c r="X101" s="937" t="s">
        <v>653</v>
      </c>
      <c r="Y101" s="299">
        <f>IFERROR(VLOOKUP($X101,'Demand Lookups'!$A$5:$K$101,9,0), 0)</f>
        <v>0</v>
      </c>
      <c r="Z101" s="922" t="str">
        <f>IFERROR(VLOOKUP(X101,'Demand Lookups'!$A$5:$B$101,2,0),0)</f>
        <v>Non-Electric Measures</v>
      </c>
      <c r="AA101" s="835">
        <f>IF(ISNA(VLOOKUP($X101,'Demand Lookups'!$A$5:$K$81,3,0)),0,VLOOKUP($X101,'Demand Lookups'!$A$5:$K$81,3,0))</f>
        <v>0</v>
      </c>
      <c r="AB101" s="835">
        <f>IF(ISNA(VLOOKUP($X101,'Demand Lookups'!$A$5:$K$81,4,0)),0,VLOOKUP($X101,'Demand Lookups'!$A$5:$K$81,4,0))</f>
        <v>0</v>
      </c>
      <c r="AC101" s="835">
        <f>IF(ISNA(VLOOKUP($X101,'Demand Lookups'!$A$5:$K$81,5,0)),0,VLOOKUP($X101,'Demand Lookups'!$A$5:$K$81,5,0))</f>
        <v>0</v>
      </c>
      <c r="AD101" s="836">
        <f>IF(ISNA(VLOOKUP($X101,'Demand Lookups'!$A$5:$K$81,6,0)),0,VLOOKUP($X101,'Demand Lookups'!$A$5:$K$81,6,0))</f>
        <v>0</v>
      </c>
      <c r="AE101" s="993">
        <f t="shared" si="20"/>
        <v>0</v>
      </c>
      <c r="AF101" s="836">
        <f>ROUND(IF(ISNA(VLOOKUP($X101,'Demand Lookups'!$A$5:$K$82,10,0)),0,(VLOOKUP($X101,'Demand Lookups'!$A$5:$K$82,10,0))),2)</f>
        <v>0</v>
      </c>
      <c r="AG101" s="836">
        <f>ROUND(IF(ISNA(VLOOKUP($X101,'Demand Lookups'!$A$5:$K$82,11,0)),0,VLOOKUP($X101,'Demand Lookups'!$A$5:$K$82,11,0)),2)</f>
        <v>0</v>
      </c>
      <c r="AH101" s="648">
        <f t="shared" si="21"/>
        <v>0</v>
      </c>
      <c r="AI101" s="648">
        <f t="shared" si="22"/>
        <v>0</v>
      </c>
      <c r="AJ101" s="167"/>
      <c r="AK101" s="866">
        <v>0</v>
      </c>
      <c r="AL101" s="167"/>
      <c r="AM101" s="168"/>
      <c r="AN101" s="167"/>
      <c r="AO101" s="168"/>
      <c r="AP101" s="171">
        <v>0</v>
      </c>
      <c r="AQ101" s="171"/>
      <c r="AR101" s="171"/>
      <c r="AS101" s="299">
        <f>SUMIF('NEI Lookups'!$L:$L,'Inputs Yr 2'!$F101,'NEI Lookups'!E:E)+SUMIF('NEI Lookups'!$M:$M,'Inputs Yr 2'!$F101,'NEI Lookups'!E:E)+SUMIF('NEI Lookups'!$N:$N,'Inputs Yr 2'!$F101,'NEI Lookups'!E:E)+SUMIF('NEI Lookups'!$O:$O,'Inputs Yr 2'!$F101,'NEI Lookups'!E:E)+SUMIF('NEI Lookups'!$P:$P,'Inputs Yr 2'!$F101,'NEI Lookups'!E:E)+SUMIF('NEI Lookups'!$Q:$Q,'Inputs Yr 2'!$F101,'NEI Lookups'!E:E)+SUMIF('NEI Lookups'!$R:$R,'Inputs Yr 2'!$F101,'NEI Lookups'!E:E)+SUMIF('NEI Lookups'!$S:$S,'Inputs Yr 2'!$F101,'NEI Lookups'!E:E)+SUMIF('NEI Lookups'!$T:$T,'Inputs Yr 2'!$F101,'NEI Lookups'!E:E)</f>
        <v>7.6999999999999993</v>
      </c>
      <c r="AT101" s="299">
        <f>SUMIF('NEI Lookups'!$L:$L,'Inputs Yr 2'!$F101,'NEI Lookups'!F:F)+SUMIF('NEI Lookups'!$M:$M,'Inputs Yr 2'!$F101,'NEI Lookups'!F:F)+SUMIF('NEI Lookups'!$N:$N,'Inputs Yr 2'!$F101,'NEI Lookups'!F:F)+SUMIF('NEI Lookups'!$O:$O,'Inputs Yr 2'!$F101,'NEI Lookups'!F:F)+SUMIF('NEI Lookups'!$P:$P,'Inputs Yr 2'!$F101,'NEI Lookups'!F:F)+SUMIF('NEI Lookups'!$Q:$Q,'Inputs Yr 2'!$F101,'NEI Lookups'!F:F)+SUMIF('NEI Lookups'!$R:$R,'Inputs Yr 2'!$F101,'NEI Lookups'!F:F)+SUMIF('NEI Lookups'!$S:$S,'Inputs Yr 2'!$F101,'NEI Lookups'!F:F)+SUMIF('NEI Lookups'!$T:$T,'Inputs Yr 2'!$F101,'NEI Lookups'!F:F)</f>
        <v>0</v>
      </c>
      <c r="AU101" s="299">
        <f>SUMIF('NEI Lookups'!$L:$L,'Inputs Yr 2'!$F101,'NEI Lookups'!G:G)+SUMIF('NEI Lookups'!$M:$M,'Inputs Yr 2'!$F101,'NEI Lookups'!G:G)+SUMIF('NEI Lookups'!$N:$N,'Inputs Yr 2'!$F101,'NEI Lookups'!G:G)+SUMIF('NEI Lookups'!$O:$O,'Inputs Yr 2'!$F101,'NEI Lookups'!G:G)+SUMIF('NEI Lookups'!$P:$P,'Inputs Yr 2'!$F101,'NEI Lookups'!G:G)+SUMIF('NEI Lookups'!$Q:$Q,'Inputs Yr 2'!$F101,'NEI Lookups'!G:G)+SUMIF('NEI Lookups'!$R:$R,'Inputs Yr 2'!$F101,'NEI Lookups'!G:G)+SUMIF('NEI Lookups'!$S:$S,'Inputs Yr 2'!$F101,'NEI Lookups'!G:G)+SUMIF('NEI Lookups'!$T:$T,'Inputs Yr 2'!$F101,'NEI Lookups'!G:G)</f>
        <v>0</v>
      </c>
      <c r="AV101" s="299">
        <f>SUMIF('NEI Lookups'!$L:$L,'Inputs Yr 2'!$F101,'NEI Lookups'!H:H)+SUMIF('NEI Lookups'!$M:$M,'Inputs Yr 2'!$F101,'NEI Lookups'!H:H)+SUMIF('NEI Lookups'!$N:$N,'Inputs Yr 2'!$F101,'NEI Lookups'!H:H)+SUMIF('NEI Lookups'!$O:$O,'Inputs Yr 2'!$F101,'NEI Lookups'!H:H)+SUMIF('NEI Lookups'!$P:$P,'Inputs Yr 2'!$F101,'NEI Lookups'!H:H)+SUMIF('NEI Lookups'!$Q:$Q,'Inputs Yr 2'!$F101,'NEI Lookups'!H:H)+SUMIF('NEI Lookups'!$R:$R,'Inputs Yr 2'!$F101,'NEI Lookups'!H:H)+SUMIF('NEI Lookups'!$S:$S,'Inputs Yr 2'!$F101,'NEI Lookups'!H:H)+SUMIF('NEI Lookups'!$T:$T,'Inputs Yr 2'!$F101,'NEI Lookups'!H:H)</f>
        <v>0</v>
      </c>
      <c r="AW101" s="299">
        <f>SUMIF('NEI Lookups'!$L:$L,'Inputs Yr 2'!$F101,'NEI Lookups'!I:I)+SUMIF('NEI Lookups'!$M:$M,'Inputs Yr 2'!$F101,'NEI Lookups'!I:I)+SUMIF('NEI Lookups'!$N:$N,'Inputs Yr 2'!$F101,'NEI Lookups'!I:I)+SUMIF('NEI Lookups'!$O:$O,'Inputs Yr 2'!$F101,'NEI Lookups'!I:I)+SUMIF('NEI Lookups'!$P:$P,'Inputs Yr 2'!$F101,'NEI Lookups'!I:I)+SUMIF('NEI Lookups'!$Q:$Q,'Inputs Yr 2'!$F101,'NEI Lookups'!I:I)+SUMIF('NEI Lookups'!$R:$R,'Inputs Yr 2'!$F101,'NEI Lookups'!I:I)+SUMIF('NEI Lookups'!$S:$S,'Inputs Yr 2'!$F101,'NEI Lookups'!I:I)+SUMIF('NEI Lookups'!$T:$T,'Inputs Yr 2'!$F101,'NEI Lookups'!I:I)</f>
        <v>0</v>
      </c>
      <c r="AX101" s="299">
        <f>SUMIF('NEI Lookups'!$L:$L,'Inputs Yr 2'!$F101,'NEI Lookups'!J:J)+SUMIF('NEI Lookups'!$M:$M,'Inputs Yr 2'!$F101,'NEI Lookups'!J:J)+SUMIF('NEI Lookups'!$N:$N,'Inputs Yr 2'!$F101,'NEI Lookups'!J:J)+SUMIF('NEI Lookups'!$O:$O,'Inputs Yr 2'!$F101,'NEI Lookups'!J:J)+SUMIF('NEI Lookups'!$P:$P,'Inputs Yr 2'!$F101,'NEI Lookups'!J:J)+SUMIF('NEI Lookups'!$Q:$Q,'Inputs Yr 2'!$F101,'NEI Lookups'!J:J)+SUMIF('NEI Lookups'!$R:$R,'Inputs Yr 2'!$F101,'NEI Lookups'!J:J)+SUMIF('NEI Lookups'!$S:$S,'Inputs Yr 2'!$F101,'NEI Lookups'!J:J)+SUMIF('NEI Lookups'!$T:$T,'Inputs Yr 2'!$F101,'NEI Lookups'!J:J)</f>
        <v>0</v>
      </c>
      <c r="AY101" s="931" t="e">
        <f>'Calculations Yr 2'!CP101/'Calculations Yr 2'!I101</f>
        <v>#VALUE!</v>
      </c>
    </row>
    <row r="102" spans="1:51" s="133" customFormat="1" ht="12.75" customHeight="1">
      <c r="A102" s="145" t="s">
        <v>79</v>
      </c>
      <c r="B102" s="132" t="s">
        <v>872</v>
      </c>
      <c r="C102" s="132" t="s">
        <v>761</v>
      </c>
      <c r="D102" s="904" t="s">
        <v>1486</v>
      </c>
      <c r="E102" s="150" t="s">
        <v>1325</v>
      </c>
      <c r="F102" s="98" t="s">
        <v>1017</v>
      </c>
      <c r="G102" s="145" t="s">
        <v>460</v>
      </c>
      <c r="H102" s="232">
        <v>1115</v>
      </c>
      <c r="I102" s="232">
        <v>20</v>
      </c>
      <c r="J102" s="964">
        <v>4741.18</v>
      </c>
      <c r="K102" s="166">
        <f>J102</f>
        <v>4741.18</v>
      </c>
      <c r="L102" s="888">
        <f t="shared" si="16"/>
        <v>0</v>
      </c>
      <c r="M102" s="978">
        <v>0</v>
      </c>
      <c r="N102" s="978">
        <v>0</v>
      </c>
      <c r="O102" s="978">
        <v>0</v>
      </c>
      <c r="P102" s="889">
        <f t="shared" si="19"/>
        <v>1</v>
      </c>
      <c r="Q102" s="978">
        <v>1</v>
      </c>
      <c r="R102" s="178">
        <v>1</v>
      </c>
      <c r="S102" s="178">
        <v>1</v>
      </c>
      <c r="T102" s="178">
        <v>1</v>
      </c>
      <c r="U102" s="980">
        <v>1</v>
      </c>
      <c r="V102" s="978">
        <v>1</v>
      </c>
      <c r="W102" s="179">
        <v>344</v>
      </c>
      <c r="X102" s="99" t="s">
        <v>834</v>
      </c>
      <c r="Y102" s="940">
        <f>IFERROR(VLOOKUP($X102,'Demand Lookups'!$A$5:$K$101,9,0), 0)</f>
        <v>8.9244186046511626E-4</v>
      </c>
      <c r="Z102" s="922" t="str">
        <f>IFERROR(VLOOKUP(X102,'Demand Lookups'!$A$5:$B$101,2,0),0)</f>
        <v>Res Single Family Combo Cooling and Furnace Fan for LI SF (gas ht)</v>
      </c>
      <c r="AA102" s="722">
        <f>IF(ISNA(VLOOKUP($X102,'Demand Lookups'!$A$5:$K$81,3,0)),0,VLOOKUP($X102,'Demand Lookups'!$A$5:$K$81,3,0))</f>
        <v>0.23002062535084983</v>
      </c>
      <c r="AB102" s="722">
        <f>IF(ISNA(VLOOKUP($X102,'Demand Lookups'!$A$5:$K$81,4,0)),0,VLOOKUP($X102,'Demand Lookups'!$A$5:$K$81,4,0))</f>
        <v>0.38496005919697263</v>
      </c>
      <c r="AC102" s="722">
        <f>IF(ISNA(VLOOKUP($X102,'Demand Lookups'!$A$5:$K$81,5,0)),0,VLOOKUP($X102,'Demand Lookups'!$A$5:$K$81,5,0))</f>
        <v>0.21695479290710451</v>
      </c>
      <c r="AD102" s="723">
        <f>IF(ISNA(VLOOKUP($X102,'Demand Lookups'!$A$5:$K$81,6,0)),0,VLOOKUP($X102,'Demand Lookups'!$A$5:$K$81,6,0))</f>
        <v>0.16806452254507298</v>
      </c>
      <c r="AE102" s="724">
        <f>ROUND(IF(ISERROR(W102*Y102),"",W102*Y102), 2)</f>
        <v>0.31</v>
      </c>
      <c r="AF102" s="723">
        <f>ROUND(IF(ISNA(VLOOKUP($X102,'Demand Lookups'!$A$5:$K$82,10,0)),0,(VLOOKUP($X102,'Demand Lookups'!$A$5:$K$82,10,0))),2)</f>
        <v>1</v>
      </c>
      <c r="AG102" s="723">
        <f>ROUND(IF(ISNA(VLOOKUP($X102,'Demand Lookups'!$A$5:$K$82,11,0)),0,VLOOKUP($X102,'Demand Lookups'!$A$5:$K$82,11,0)),2)</f>
        <v>0.44</v>
      </c>
      <c r="AH102" s="648">
        <f t="shared" si="21"/>
        <v>1</v>
      </c>
      <c r="AI102" s="648">
        <f t="shared" si="22"/>
        <v>1</v>
      </c>
      <c r="AJ102" s="167" t="s">
        <v>404</v>
      </c>
      <c r="AK102" s="941">
        <v>26.3</v>
      </c>
      <c r="AL102" s="167"/>
      <c r="AM102" s="168"/>
      <c r="AN102" s="167"/>
      <c r="AO102" s="168"/>
      <c r="AP102" s="171">
        <v>0</v>
      </c>
      <c r="AQ102" s="171"/>
      <c r="AR102" s="171"/>
      <c r="AS102" s="299">
        <f>SUMIF('NEI Lookups'!$L:$L,'Inputs Yr 2'!$F102,'NEI Lookups'!E:E)+SUMIF('NEI Lookups'!$M:$M,'Inputs Yr 2'!$F102,'NEI Lookups'!E:E)+SUMIF('NEI Lookups'!$N:$N,'Inputs Yr 2'!$F102,'NEI Lookups'!E:E)+SUMIF('NEI Lookups'!$O:$O,'Inputs Yr 2'!$F102,'NEI Lookups'!E:E)+SUMIF('NEI Lookups'!$P:$P,'Inputs Yr 2'!$F102,'NEI Lookups'!E:E)+SUMIF('NEI Lookups'!$Q:$Q,'Inputs Yr 2'!$F102,'NEI Lookups'!E:E)+SUMIF('NEI Lookups'!$R:$R,'Inputs Yr 2'!$F102,'NEI Lookups'!E:E)+SUMIF('NEI Lookups'!$S:$S,'Inputs Yr 2'!$F102,'NEI Lookups'!E:E)+SUMIF('NEI Lookups'!$T:$T,'Inputs Yr 2'!$F102,'NEI Lookups'!E:E)</f>
        <v>558.21</v>
      </c>
      <c r="AT102" s="299">
        <f>SUMIF('NEI Lookups'!$L:$L,'Inputs Yr 2'!$F102,'NEI Lookups'!F:F)+SUMIF('NEI Lookups'!$M:$M,'Inputs Yr 2'!$F102,'NEI Lookups'!F:F)+SUMIF('NEI Lookups'!$N:$N,'Inputs Yr 2'!$F102,'NEI Lookups'!F:F)+SUMIF('NEI Lookups'!$O:$O,'Inputs Yr 2'!$F102,'NEI Lookups'!F:F)+SUMIF('NEI Lookups'!$P:$P,'Inputs Yr 2'!$F102,'NEI Lookups'!F:F)+SUMIF('NEI Lookups'!$Q:$Q,'Inputs Yr 2'!$F102,'NEI Lookups'!F:F)+SUMIF('NEI Lookups'!$R:$R,'Inputs Yr 2'!$F102,'NEI Lookups'!F:F)+SUMIF('NEI Lookups'!$S:$S,'Inputs Yr 2'!$F102,'NEI Lookups'!F:F)+SUMIF('NEI Lookups'!$T:$T,'Inputs Yr 2'!$F102,'NEI Lookups'!F:F)</f>
        <v>0</v>
      </c>
      <c r="AU102" s="299">
        <f>SUMIF('NEI Lookups'!$L:$L,'Inputs Yr 2'!$F102,'NEI Lookups'!G:G)+SUMIF('NEI Lookups'!$M:$M,'Inputs Yr 2'!$F102,'NEI Lookups'!G:G)+SUMIF('NEI Lookups'!$N:$N,'Inputs Yr 2'!$F102,'NEI Lookups'!G:G)+SUMIF('NEI Lookups'!$O:$O,'Inputs Yr 2'!$F102,'NEI Lookups'!G:G)+SUMIF('NEI Lookups'!$P:$P,'Inputs Yr 2'!$F102,'NEI Lookups'!G:G)+SUMIF('NEI Lookups'!$Q:$Q,'Inputs Yr 2'!$F102,'NEI Lookups'!G:G)+SUMIF('NEI Lookups'!$R:$R,'Inputs Yr 2'!$F102,'NEI Lookups'!G:G)+SUMIF('NEI Lookups'!$S:$S,'Inputs Yr 2'!$F102,'NEI Lookups'!G:G)+SUMIF('NEI Lookups'!$T:$T,'Inputs Yr 2'!$F102,'NEI Lookups'!G:G)</f>
        <v>0</v>
      </c>
      <c r="AV102" s="299">
        <f>SUMIF('NEI Lookups'!$L:$L,'Inputs Yr 2'!$F102,'NEI Lookups'!H:H)+SUMIF('NEI Lookups'!$M:$M,'Inputs Yr 2'!$F102,'NEI Lookups'!H:H)+SUMIF('NEI Lookups'!$N:$N,'Inputs Yr 2'!$F102,'NEI Lookups'!H:H)+SUMIF('NEI Lookups'!$O:$O,'Inputs Yr 2'!$F102,'NEI Lookups'!H:H)+SUMIF('NEI Lookups'!$P:$P,'Inputs Yr 2'!$F102,'NEI Lookups'!H:H)+SUMIF('NEI Lookups'!$Q:$Q,'Inputs Yr 2'!$F102,'NEI Lookups'!H:H)+SUMIF('NEI Lookups'!$R:$R,'Inputs Yr 2'!$F102,'NEI Lookups'!H:H)+SUMIF('NEI Lookups'!$S:$S,'Inputs Yr 2'!$F102,'NEI Lookups'!H:H)+SUMIF('NEI Lookups'!$T:$T,'Inputs Yr 2'!$F102,'NEI Lookups'!H:H)</f>
        <v>0</v>
      </c>
      <c r="AW102" s="299">
        <f>ROUND(SUMIF('NEI Lookups'!$L:$L,'Inputs Yr 2'!$F102,'NEI Lookups'!I:I)+SUMIF('NEI Lookups'!$M:$M,'Inputs Yr 2'!$F102,'NEI Lookups'!I:I)+SUMIF('NEI Lookups'!$N:$N,'Inputs Yr 2'!$F102,'NEI Lookups'!I:I)+SUMIF('NEI Lookups'!$O:$O,'Inputs Yr 2'!$F102,'NEI Lookups'!I:I)+SUMIF('NEI Lookups'!$P:$P,'Inputs Yr 2'!$F102,'NEI Lookups'!I:I)+SUMIF('NEI Lookups'!$Q:$Q,'Inputs Yr 2'!$F102,'NEI Lookups'!I:I)+SUMIF('NEI Lookups'!$R:$R,'Inputs Yr 2'!$F102,'NEI Lookups'!I:I)+SUMIF('NEI Lookups'!$S:$S,'Inputs Yr 2'!$F102,'NEI Lookups'!I:I)+SUMIF('NEI Lookups'!$T:$T,'Inputs Yr 2'!$F102,'NEI Lookups'!I:I),2)</f>
        <v>0.13</v>
      </c>
      <c r="AX102" s="940">
        <f>SUMIF('NEI Lookups'!$L:$L,'Inputs Yr 2'!$F102,'NEI Lookups'!J:J)+SUMIF('NEI Lookups'!$M:$M,'Inputs Yr 2'!$F102,'NEI Lookups'!J:J)+SUMIF('NEI Lookups'!$N:$N,'Inputs Yr 2'!$F102,'NEI Lookups'!J:J)+SUMIF('NEI Lookups'!$O:$O,'Inputs Yr 2'!$F102,'NEI Lookups'!J:J)+SUMIF('NEI Lookups'!$P:$P,'Inputs Yr 2'!$F102,'NEI Lookups'!J:J)+SUMIF('NEI Lookups'!$Q:$Q,'Inputs Yr 2'!$F102,'NEI Lookups'!J:J)+SUMIF('NEI Lookups'!$R:$R,'Inputs Yr 2'!$F102,'NEI Lookups'!J:J)+SUMIF('NEI Lookups'!$S:$S,'Inputs Yr 2'!$F102,'NEI Lookups'!J:J)+SUMIF('NEI Lookups'!$T:$T,'Inputs Yr 2'!$F102,'NEI Lookups'!J:J)</f>
        <v>7.5999999999999998E-2</v>
      </c>
      <c r="AY102" s="930">
        <f>'Calculations Yr 2'!CP102/'Calculations Yr 2'!I102</f>
        <v>3.9120197873384783</v>
      </c>
    </row>
    <row r="103" spans="1:51" s="133" customFormat="1" ht="12.75" customHeight="1">
      <c r="A103" s="145" t="s">
        <v>79</v>
      </c>
      <c r="B103" s="132" t="s">
        <v>872</v>
      </c>
      <c r="C103" s="132" t="s">
        <v>761</v>
      </c>
      <c r="D103" s="97"/>
      <c r="E103" s="98" t="s">
        <v>1298</v>
      </c>
      <c r="F103" s="98" t="s">
        <v>1018</v>
      </c>
      <c r="G103" s="145" t="s">
        <v>460</v>
      </c>
      <c r="H103" s="232">
        <v>0</v>
      </c>
      <c r="I103" s="232">
        <v>0</v>
      </c>
      <c r="J103" s="964"/>
      <c r="K103" s="166"/>
      <c r="L103" s="888">
        <f t="shared" si="16"/>
        <v>0</v>
      </c>
      <c r="M103" s="978">
        <v>0</v>
      </c>
      <c r="N103" s="978">
        <v>0</v>
      </c>
      <c r="O103" s="978">
        <v>0</v>
      </c>
      <c r="P103" s="889">
        <v>1</v>
      </c>
      <c r="Q103" s="978">
        <v>0</v>
      </c>
      <c r="R103" s="178">
        <v>1</v>
      </c>
      <c r="S103" s="178">
        <v>1</v>
      </c>
      <c r="T103" s="178">
        <v>1</v>
      </c>
      <c r="U103" s="980">
        <v>0</v>
      </c>
      <c r="V103" s="978">
        <v>0</v>
      </c>
      <c r="W103" s="179"/>
      <c r="X103" s="937" t="s">
        <v>653</v>
      </c>
      <c r="Y103" s="299">
        <f>IFERROR(VLOOKUP($X103,'Demand Lookups'!$A$5:$K$101,9,0), 0)</f>
        <v>0</v>
      </c>
      <c r="Z103" s="922" t="str">
        <f>IFERROR(VLOOKUP(X103,'Demand Lookups'!$A$5:$B$101,2,0),0)</f>
        <v>Non-Electric Measures</v>
      </c>
      <c r="AA103" s="722">
        <v>0</v>
      </c>
      <c r="AB103" s="722">
        <v>0</v>
      </c>
      <c r="AC103" s="722">
        <v>0</v>
      </c>
      <c r="AD103" s="723">
        <v>0</v>
      </c>
      <c r="AE103" s="837">
        <f t="shared" si="20"/>
        <v>0</v>
      </c>
      <c r="AF103" s="723">
        <v>0</v>
      </c>
      <c r="AG103" s="723">
        <v>0</v>
      </c>
      <c r="AH103" s="648">
        <v>0</v>
      </c>
      <c r="AI103" s="648">
        <v>0</v>
      </c>
      <c r="AJ103" s="167" t="s">
        <v>404</v>
      </c>
      <c r="AK103" s="866">
        <v>0</v>
      </c>
      <c r="AL103" s="167"/>
      <c r="AM103" s="168"/>
      <c r="AN103" s="167"/>
      <c r="AO103" s="168"/>
      <c r="AP103" s="171"/>
      <c r="AQ103" s="171"/>
      <c r="AR103" s="171"/>
      <c r="AS103" s="299">
        <f>SUMIF('NEI Lookups'!$L:$L,'Inputs Yr 2'!$F103,'NEI Lookups'!E:E)+SUMIF('NEI Lookups'!$M:$M,'Inputs Yr 2'!$F103,'NEI Lookups'!E:E)+SUMIF('NEI Lookups'!$N:$N,'Inputs Yr 2'!$F103,'NEI Lookups'!E:E)+SUMIF('NEI Lookups'!$O:$O,'Inputs Yr 2'!$F103,'NEI Lookups'!E:E)+SUMIF('NEI Lookups'!$P:$P,'Inputs Yr 2'!$F103,'NEI Lookups'!E:E)+SUMIF('NEI Lookups'!$Q:$Q,'Inputs Yr 2'!$F103,'NEI Lookups'!E:E)+SUMIF('NEI Lookups'!$R:$R,'Inputs Yr 2'!$F103,'NEI Lookups'!E:E)+SUMIF('NEI Lookups'!$S:$S,'Inputs Yr 2'!$F103,'NEI Lookups'!E:E)+SUMIF('NEI Lookups'!$T:$T,'Inputs Yr 2'!$F103,'NEI Lookups'!E:E)</f>
        <v>295.21000000000004</v>
      </c>
      <c r="AT103" s="299">
        <f>SUMIF('NEI Lookups'!$L:$L,'Inputs Yr 2'!$F103,'NEI Lookups'!F:F)+SUMIF('NEI Lookups'!$M:$M,'Inputs Yr 2'!$F103,'NEI Lookups'!F:F)+SUMIF('NEI Lookups'!$N:$N,'Inputs Yr 2'!$F103,'NEI Lookups'!F:F)+SUMIF('NEI Lookups'!$O:$O,'Inputs Yr 2'!$F103,'NEI Lookups'!F:F)+SUMIF('NEI Lookups'!$P:$P,'Inputs Yr 2'!$F103,'NEI Lookups'!F:F)+SUMIF('NEI Lookups'!$Q:$Q,'Inputs Yr 2'!$F103,'NEI Lookups'!F:F)+SUMIF('NEI Lookups'!$R:$R,'Inputs Yr 2'!$F103,'NEI Lookups'!F:F)+SUMIF('NEI Lookups'!$S:$S,'Inputs Yr 2'!$F103,'NEI Lookups'!F:F)+SUMIF('NEI Lookups'!$T:$T,'Inputs Yr 2'!$F103,'NEI Lookups'!F:F)</f>
        <v>0</v>
      </c>
      <c r="AU103" s="299">
        <f>SUMIF('NEI Lookups'!$L:$L,'Inputs Yr 2'!$F103,'NEI Lookups'!G:G)+SUMIF('NEI Lookups'!$M:$M,'Inputs Yr 2'!$F103,'NEI Lookups'!G:G)+SUMIF('NEI Lookups'!$N:$N,'Inputs Yr 2'!$F103,'NEI Lookups'!G:G)+SUMIF('NEI Lookups'!$O:$O,'Inputs Yr 2'!$F103,'NEI Lookups'!G:G)+SUMIF('NEI Lookups'!$P:$P,'Inputs Yr 2'!$F103,'NEI Lookups'!G:G)+SUMIF('NEI Lookups'!$Q:$Q,'Inputs Yr 2'!$F103,'NEI Lookups'!G:G)+SUMIF('NEI Lookups'!$R:$R,'Inputs Yr 2'!$F103,'NEI Lookups'!G:G)+SUMIF('NEI Lookups'!$S:$S,'Inputs Yr 2'!$F103,'NEI Lookups'!G:G)+SUMIF('NEI Lookups'!$T:$T,'Inputs Yr 2'!$F103,'NEI Lookups'!G:G)</f>
        <v>0</v>
      </c>
      <c r="AV103" s="299">
        <f>SUMIF('NEI Lookups'!$L:$L,'Inputs Yr 2'!$F103,'NEI Lookups'!H:H)+SUMIF('NEI Lookups'!$M:$M,'Inputs Yr 2'!$F103,'NEI Lookups'!H:H)+SUMIF('NEI Lookups'!$N:$N,'Inputs Yr 2'!$F103,'NEI Lookups'!H:H)+SUMIF('NEI Lookups'!$O:$O,'Inputs Yr 2'!$F103,'NEI Lookups'!H:H)+SUMIF('NEI Lookups'!$P:$P,'Inputs Yr 2'!$F103,'NEI Lookups'!H:H)+SUMIF('NEI Lookups'!$Q:$Q,'Inputs Yr 2'!$F103,'NEI Lookups'!H:H)+SUMIF('NEI Lookups'!$R:$R,'Inputs Yr 2'!$F103,'NEI Lookups'!H:H)+SUMIF('NEI Lookups'!$S:$S,'Inputs Yr 2'!$F103,'NEI Lookups'!H:H)+SUMIF('NEI Lookups'!$T:$T,'Inputs Yr 2'!$F103,'NEI Lookups'!H:H)</f>
        <v>0</v>
      </c>
      <c r="AW103" s="299">
        <f>ROUND(SUMIF('NEI Lookups'!$L:$L,'Inputs Yr 2'!$F103,'NEI Lookups'!I:I)+SUMIF('NEI Lookups'!$M:$M,'Inputs Yr 2'!$F103,'NEI Lookups'!I:I)+SUMIF('NEI Lookups'!$N:$N,'Inputs Yr 2'!$F103,'NEI Lookups'!I:I)+SUMIF('NEI Lookups'!$O:$O,'Inputs Yr 2'!$F103,'NEI Lookups'!I:I)+SUMIF('NEI Lookups'!$P:$P,'Inputs Yr 2'!$F103,'NEI Lookups'!I:I)+SUMIF('NEI Lookups'!$Q:$Q,'Inputs Yr 2'!$F103,'NEI Lookups'!I:I)+SUMIF('NEI Lookups'!$R:$R,'Inputs Yr 2'!$F103,'NEI Lookups'!I:I)+SUMIF('NEI Lookups'!$S:$S,'Inputs Yr 2'!$F103,'NEI Lookups'!I:I)+SUMIF('NEI Lookups'!$T:$T,'Inputs Yr 2'!$F103,'NEI Lookups'!I:I),2)</f>
        <v>0.13</v>
      </c>
      <c r="AX103" s="940">
        <f>SUMIF('NEI Lookups'!$L:$L,'Inputs Yr 2'!$F103,'NEI Lookups'!J:J)+SUMIF('NEI Lookups'!$M:$M,'Inputs Yr 2'!$F103,'NEI Lookups'!J:J)+SUMIF('NEI Lookups'!$N:$N,'Inputs Yr 2'!$F103,'NEI Lookups'!J:J)+SUMIF('NEI Lookups'!$O:$O,'Inputs Yr 2'!$F103,'NEI Lookups'!J:J)+SUMIF('NEI Lookups'!$P:$P,'Inputs Yr 2'!$F103,'NEI Lookups'!J:J)+SUMIF('NEI Lookups'!$Q:$Q,'Inputs Yr 2'!$F103,'NEI Lookups'!J:J)+SUMIF('NEI Lookups'!$R:$R,'Inputs Yr 2'!$F103,'NEI Lookups'!J:J)+SUMIF('NEI Lookups'!$S:$S,'Inputs Yr 2'!$F103,'NEI Lookups'!J:J)+SUMIF('NEI Lookups'!$T:$T,'Inputs Yr 2'!$F103,'NEI Lookups'!J:J)</f>
        <v>7.5999999999999998E-2</v>
      </c>
      <c r="AY103" s="930" t="e">
        <f>'Calculations Yr 2'!CP103/'Calculations Yr 2'!I103</f>
        <v>#VALUE!</v>
      </c>
    </row>
    <row r="104" spans="1:51" s="133" customFormat="1" ht="12.75" customHeight="1">
      <c r="A104" s="145" t="s">
        <v>79</v>
      </c>
      <c r="B104" s="132" t="s">
        <v>872</v>
      </c>
      <c r="C104" s="132" t="s">
        <v>761</v>
      </c>
      <c r="D104" s="97"/>
      <c r="E104" s="98" t="s">
        <v>1299</v>
      </c>
      <c r="F104" s="98" t="s">
        <v>1019</v>
      </c>
      <c r="G104" s="145" t="s">
        <v>460</v>
      </c>
      <c r="H104" s="232">
        <v>0</v>
      </c>
      <c r="I104" s="232">
        <v>0</v>
      </c>
      <c r="J104" s="964"/>
      <c r="K104" s="166"/>
      <c r="L104" s="888">
        <f t="shared" si="16"/>
        <v>0</v>
      </c>
      <c r="M104" s="978">
        <v>0</v>
      </c>
      <c r="N104" s="978">
        <v>0</v>
      </c>
      <c r="O104" s="978">
        <v>0</v>
      </c>
      <c r="P104" s="889">
        <v>1</v>
      </c>
      <c r="Q104" s="978">
        <v>0</v>
      </c>
      <c r="R104" s="178">
        <v>1</v>
      </c>
      <c r="S104" s="178">
        <v>1</v>
      </c>
      <c r="T104" s="178">
        <v>1</v>
      </c>
      <c r="U104" s="980">
        <v>0</v>
      </c>
      <c r="V104" s="978">
        <v>0</v>
      </c>
      <c r="W104" s="179"/>
      <c r="X104" s="937" t="s">
        <v>653</v>
      </c>
      <c r="Y104" s="299">
        <f>IFERROR(VLOOKUP($X104,'Demand Lookups'!$A$5:$K$101,9,0), 0)</f>
        <v>0</v>
      </c>
      <c r="Z104" s="922" t="str">
        <f>IFERROR(VLOOKUP(X104,'Demand Lookups'!$A$5:$B$101,2,0),0)</f>
        <v>Non-Electric Measures</v>
      </c>
      <c r="AA104" s="722">
        <v>0</v>
      </c>
      <c r="AB104" s="722">
        <v>0</v>
      </c>
      <c r="AC104" s="722">
        <v>0</v>
      </c>
      <c r="AD104" s="723">
        <v>0</v>
      </c>
      <c r="AE104" s="837">
        <f t="shared" si="20"/>
        <v>0</v>
      </c>
      <c r="AF104" s="723">
        <v>0</v>
      </c>
      <c r="AG104" s="723">
        <v>0</v>
      </c>
      <c r="AH104" s="648">
        <v>0</v>
      </c>
      <c r="AI104" s="648">
        <v>0</v>
      </c>
      <c r="AJ104" s="167" t="s">
        <v>404</v>
      </c>
      <c r="AK104" s="866">
        <v>0</v>
      </c>
      <c r="AL104" s="167"/>
      <c r="AM104" s="168"/>
      <c r="AN104" s="167"/>
      <c r="AO104" s="168"/>
      <c r="AP104" s="171"/>
      <c r="AQ104" s="171"/>
      <c r="AR104" s="171"/>
      <c r="AS104" s="299">
        <f>SUMIF('NEI Lookups'!$L:$L,'Inputs Yr 2'!$F104,'NEI Lookups'!E:E)+SUMIF('NEI Lookups'!$M:$M,'Inputs Yr 2'!$F104,'NEI Lookups'!E:E)+SUMIF('NEI Lookups'!$N:$N,'Inputs Yr 2'!$F104,'NEI Lookups'!E:E)+SUMIF('NEI Lookups'!$O:$O,'Inputs Yr 2'!$F104,'NEI Lookups'!E:E)+SUMIF('NEI Lookups'!$P:$P,'Inputs Yr 2'!$F104,'NEI Lookups'!E:E)+SUMIF('NEI Lookups'!$Q:$Q,'Inputs Yr 2'!$F104,'NEI Lookups'!E:E)+SUMIF('NEI Lookups'!$R:$R,'Inputs Yr 2'!$F104,'NEI Lookups'!E:E)+SUMIF('NEI Lookups'!$S:$S,'Inputs Yr 2'!$F104,'NEI Lookups'!E:E)+SUMIF('NEI Lookups'!$T:$T,'Inputs Yr 2'!$F104,'NEI Lookups'!E:E)</f>
        <v>263</v>
      </c>
      <c r="AT104" s="299">
        <f>SUMIF('NEI Lookups'!$L:$L,'Inputs Yr 2'!$F104,'NEI Lookups'!F:F)+SUMIF('NEI Lookups'!$M:$M,'Inputs Yr 2'!$F104,'NEI Lookups'!F:F)+SUMIF('NEI Lookups'!$N:$N,'Inputs Yr 2'!$F104,'NEI Lookups'!F:F)+SUMIF('NEI Lookups'!$O:$O,'Inputs Yr 2'!$F104,'NEI Lookups'!F:F)+SUMIF('NEI Lookups'!$P:$P,'Inputs Yr 2'!$F104,'NEI Lookups'!F:F)+SUMIF('NEI Lookups'!$Q:$Q,'Inputs Yr 2'!$F104,'NEI Lookups'!F:F)+SUMIF('NEI Lookups'!$R:$R,'Inputs Yr 2'!$F104,'NEI Lookups'!F:F)+SUMIF('NEI Lookups'!$S:$S,'Inputs Yr 2'!$F104,'NEI Lookups'!F:F)+SUMIF('NEI Lookups'!$T:$T,'Inputs Yr 2'!$F104,'NEI Lookups'!F:F)</f>
        <v>0</v>
      </c>
      <c r="AU104" s="299">
        <f>SUMIF('NEI Lookups'!$L:$L,'Inputs Yr 2'!$F104,'NEI Lookups'!G:G)+SUMIF('NEI Lookups'!$M:$M,'Inputs Yr 2'!$F104,'NEI Lookups'!G:G)+SUMIF('NEI Lookups'!$N:$N,'Inputs Yr 2'!$F104,'NEI Lookups'!G:G)+SUMIF('NEI Lookups'!$O:$O,'Inputs Yr 2'!$F104,'NEI Lookups'!G:G)+SUMIF('NEI Lookups'!$P:$P,'Inputs Yr 2'!$F104,'NEI Lookups'!G:G)+SUMIF('NEI Lookups'!$Q:$Q,'Inputs Yr 2'!$F104,'NEI Lookups'!G:G)+SUMIF('NEI Lookups'!$R:$R,'Inputs Yr 2'!$F104,'NEI Lookups'!G:G)+SUMIF('NEI Lookups'!$S:$S,'Inputs Yr 2'!$F104,'NEI Lookups'!G:G)+SUMIF('NEI Lookups'!$T:$T,'Inputs Yr 2'!$F104,'NEI Lookups'!G:G)</f>
        <v>0</v>
      </c>
      <c r="AV104" s="299">
        <f>SUMIF('NEI Lookups'!$L:$L,'Inputs Yr 2'!$F104,'NEI Lookups'!H:H)+SUMIF('NEI Lookups'!$M:$M,'Inputs Yr 2'!$F104,'NEI Lookups'!H:H)+SUMIF('NEI Lookups'!$N:$N,'Inputs Yr 2'!$F104,'NEI Lookups'!H:H)+SUMIF('NEI Lookups'!$O:$O,'Inputs Yr 2'!$F104,'NEI Lookups'!H:H)+SUMIF('NEI Lookups'!$P:$P,'Inputs Yr 2'!$F104,'NEI Lookups'!H:H)+SUMIF('NEI Lookups'!$Q:$Q,'Inputs Yr 2'!$F104,'NEI Lookups'!H:H)+SUMIF('NEI Lookups'!$R:$R,'Inputs Yr 2'!$F104,'NEI Lookups'!H:H)+SUMIF('NEI Lookups'!$S:$S,'Inputs Yr 2'!$F104,'NEI Lookups'!H:H)+SUMIF('NEI Lookups'!$T:$T,'Inputs Yr 2'!$F104,'NEI Lookups'!H:H)</f>
        <v>0</v>
      </c>
      <c r="AW104" s="299">
        <f>ROUND(SUMIF('NEI Lookups'!$L:$L,'Inputs Yr 2'!$F104,'NEI Lookups'!I:I)+SUMIF('NEI Lookups'!$M:$M,'Inputs Yr 2'!$F104,'NEI Lookups'!I:I)+SUMIF('NEI Lookups'!$N:$N,'Inputs Yr 2'!$F104,'NEI Lookups'!I:I)+SUMIF('NEI Lookups'!$O:$O,'Inputs Yr 2'!$F104,'NEI Lookups'!I:I)+SUMIF('NEI Lookups'!$P:$P,'Inputs Yr 2'!$F104,'NEI Lookups'!I:I)+SUMIF('NEI Lookups'!$Q:$Q,'Inputs Yr 2'!$F104,'NEI Lookups'!I:I)+SUMIF('NEI Lookups'!$R:$R,'Inputs Yr 2'!$F104,'NEI Lookups'!I:I)+SUMIF('NEI Lookups'!$S:$S,'Inputs Yr 2'!$F104,'NEI Lookups'!I:I)+SUMIF('NEI Lookups'!$T:$T,'Inputs Yr 2'!$F104,'NEI Lookups'!I:I),2)</f>
        <v>0.13</v>
      </c>
      <c r="AX104" s="940">
        <f>SUMIF('NEI Lookups'!$L:$L,'Inputs Yr 2'!$F104,'NEI Lookups'!J:J)+SUMIF('NEI Lookups'!$M:$M,'Inputs Yr 2'!$F104,'NEI Lookups'!J:J)+SUMIF('NEI Lookups'!$N:$N,'Inputs Yr 2'!$F104,'NEI Lookups'!J:J)+SUMIF('NEI Lookups'!$O:$O,'Inputs Yr 2'!$F104,'NEI Lookups'!J:J)+SUMIF('NEI Lookups'!$P:$P,'Inputs Yr 2'!$F104,'NEI Lookups'!J:J)+SUMIF('NEI Lookups'!$Q:$Q,'Inputs Yr 2'!$F104,'NEI Lookups'!J:J)+SUMIF('NEI Lookups'!$R:$R,'Inputs Yr 2'!$F104,'NEI Lookups'!J:J)+SUMIF('NEI Lookups'!$S:$S,'Inputs Yr 2'!$F104,'NEI Lookups'!J:J)+SUMIF('NEI Lookups'!$T:$T,'Inputs Yr 2'!$F104,'NEI Lookups'!J:J)</f>
        <v>7.5999999999999998E-2</v>
      </c>
      <c r="AY104" s="930" t="e">
        <f>'Calculations Yr 2'!CP104/'Calculations Yr 2'!I104</f>
        <v>#VALUE!</v>
      </c>
    </row>
    <row r="105" spans="1:51" s="133" customFormat="1" ht="12.75" customHeight="1">
      <c r="A105" s="145" t="s">
        <v>79</v>
      </c>
      <c r="B105" s="132" t="s">
        <v>872</v>
      </c>
      <c r="C105" s="132" t="s">
        <v>761</v>
      </c>
      <c r="D105" s="904" t="s">
        <v>1484</v>
      </c>
      <c r="E105" s="98" t="s">
        <v>1326</v>
      </c>
      <c r="F105" s="98" t="s">
        <v>1020</v>
      </c>
      <c r="G105" s="145" t="s">
        <v>1247</v>
      </c>
      <c r="H105" s="232">
        <v>357</v>
      </c>
      <c r="I105" s="232">
        <v>20</v>
      </c>
      <c r="J105" s="964">
        <v>4741.18</v>
      </c>
      <c r="K105" s="166">
        <f>J105</f>
        <v>4741.18</v>
      </c>
      <c r="L105" s="888">
        <f t="shared" si="16"/>
        <v>0</v>
      </c>
      <c r="M105" s="978">
        <v>0</v>
      </c>
      <c r="N105" s="978">
        <v>0</v>
      </c>
      <c r="O105" s="978">
        <v>0</v>
      </c>
      <c r="P105" s="889">
        <f t="shared" si="19"/>
        <v>1</v>
      </c>
      <c r="Q105" s="978">
        <v>1</v>
      </c>
      <c r="R105" s="178">
        <v>1</v>
      </c>
      <c r="S105" s="178">
        <v>1</v>
      </c>
      <c r="T105" s="178">
        <v>1</v>
      </c>
      <c r="U105" s="980">
        <v>1</v>
      </c>
      <c r="V105" s="978">
        <v>1</v>
      </c>
      <c r="W105" s="179"/>
      <c r="X105" s="937" t="s">
        <v>653</v>
      </c>
      <c r="Y105" s="299">
        <f>IFERROR(VLOOKUP($X105,'Demand Lookups'!$A$5:$K$101,9,0), 0)</f>
        <v>0</v>
      </c>
      <c r="Z105" s="922" t="str">
        <f>IFERROR(VLOOKUP(X105,'Demand Lookups'!$A$5:$B$101,2,0),0)</f>
        <v>Non-Electric Measures</v>
      </c>
      <c r="AA105" s="722">
        <f>IF(ISNA(VLOOKUP($X105,'Demand Lookups'!$A$5:$K$81,3,0)),0,VLOOKUP($X105,'Demand Lookups'!$A$5:$K$81,3,0))</f>
        <v>0</v>
      </c>
      <c r="AB105" s="722">
        <f>IF(ISNA(VLOOKUP($X105,'Demand Lookups'!$A$5:$K$81,4,0)),0,VLOOKUP($X105,'Demand Lookups'!$A$5:$K$81,4,0))</f>
        <v>0</v>
      </c>
      <c r="AC105" s="722">
        <f>IF(ISNA(VLOOKUP($X105,'Demand Lookups'!$A$5:$K$81,5,0)),0,VLOOKUP($X105,'Demand Lookups'!$A$5:$K$81,5,0))</f>
        <v>0</v>
      </c>
      <c r="AD105" s="723">
        <f>IF(ISNA(VLOOKUP($X105,'Demand Lookups'!$A$5:$K$81,6,0)),0,VLOOKUP($X105,'Demand Lookups'!$A$5:$K$81,6,0))</f>
        <v>0</v>
      </c>
      <c r="AE105" s="724">
        <f t="shared" si="20"/>
        <v>0</v>
      </c>
      <c r="AF105" s="723">
        <f>ROUND(IF(ISNA(VLOOKUP($X105,'Demand Lookups'!$A$5:$K$82,10,0)),0,(VLOOKUP($X105,'Demand Lookups'!$A$5:$K$82,10,0))),2)</f>
        <v>0</v>
      </c>
      <c r="AG105" s="723">
        <f>ROUND(IF(ISNA(VLOOKUP($X105,'Demand Lookups'!$A$5:$K$82,11,0)),0,VLOOKUP($X105,'Demand Lookups'!$A$5:$K$82,11,0)),2)</f>
        <v>0</v>
      </c>
      <c r="AH105" s="648">
        <f t="shared" si="21"/>
        <v>0</v>
      </c>
      <c r="AI105" s="648">
        <f t="shared" si="22"/>
        <v>0</v>
      </c>
      <c r="AJ105" s="167" t="s">
        <v>404</v>
      </c>
      <c r="AK105" s="941">
        <v>19.399999999999999</v>
      </c>
      <c r="AL105" s="167"/>
      <c r="AM105" s="168"/>
      <c r="AN105" s="167"/>
      <c r="AO105" s="168"/>
      <c r="AP105" s="171">
        <v>0</v>
      </c>
      <c r="AQ105" s="171"/>
      <c r="AR105" s="171"/>
      <c r="AS105" s="299">
        <f>SUMIF('NEI Lookups'!$L:$L,'Inputs Yr 2'!$F105,'NEI Lookups'!E:E)+SUMIF('NEI Lookups'!$M:$M,'Inputs Yr 2'!$F105,'NEI Lookups'!E:E)+SUMIF('NEI Lookups'!$N:$N,'Inputs Yr 2'!$F105,'NEI Lookups'!E:E)+SUMIF('NEI Lookups'!$O:$O,'Inputs Yr 2'!$F105,'NEI Lookups'!E:E)+SUMIF('NEI Lookups'!$P:$P,'Inputs Yr 2'!$F105,'NEI Lookups'!E:E)+SUMIF('NEI Lookups'!$Q:$Q,'Inputs Yr 2'!$F105,'NEI Lookups'!E:E)+SUMIF('NEI Lookups'!$R:$R,'Inputs Yr 2'!$F105,'NEI Lookups'!E:E)+SUMIF('NEI Lookups'!$S:$S,'Inputs Yr 2'!$F105,'NEI Lookups'!E:E)+SUMIF('NEI Lookups'!$T:$T,'Inputs Yr 2'!$F105,'NEI Lookups'!E:E)</f>
        <v>310.82</v>
      </c>
      <c r="AT105" s="299">
        <f>SUMIF('NEI Lookups'!$L:$L,'Inputs Yr 2'!$F105,'NEI Lookups'!F:F)+SUMIF('NEI Lookups'!$M:$M,'Inputs Yr 2'!$F105,'NEI Lookups'!F:F)+SUMIF('NEI Lookups'!$N:$N,'Inputs Yr 2'!$F105,'NEI Lookups'!F:F)+SUMIF('NEI Lookups'!$O:$O,'Inputs Yr 2'!$F105,'NEI Lookups'!F:F)+SUMIF('NEI Lookups'!$P:$P,'Inputs Yr 2'!$F105,'NEI Lookups'!F:F)+SUMIF('NEI Lookups'!$Q:$Q,'Inputs Yr 2'!$F105,'NEI Lookups'!F:F)+SUMIF('NEI Lookups'!$R:$R,'Inputs Yr 2'!$F105,'NEI Lookups'!F:F)+SUMIF('NEI Lookups'!$S:$S,'Inputs Yr 2'!$F105,'NEI Lookups'!F:F)+SUMIF('NEI Lookups'!$T:$T,'Inputs Yr 2'!$F105,'NEI Lookups'!F:F)</f>
        <v>0</v>
      </c>
      <c r="AU105" s="299">
        <f>SUMIF('NEI Lookups'!$L:$L,'Inputs Yr 2'!$F105,'NEI Lookups'!G:G)+SUMIF('NEI Lookups'!$M:$M,'Inputs Yr 2'!$F105,'NEI Lookups'!G:G)+SUMIF('NEI Lookups'!$N:$N,'Inputs Yr 2'!$F105,'NEI Lookups'!G:G)+SUMIF('NEI Lookups'!$O:$O,'Inputs Yr 2'!$F105,'NEI Lookups'!G:G)+SUMIF('NEI Lookups'!$P:$P,'Inputs Yr 2'!$F105,'NEI Lookups'!G:G)+SUMIF('NEI Lookups'!$Q:$Q,'Inputs Yr 2'!$F105,'NEI Lookups'!G:G)+SUMIF('NEI Lookups'!$R:$R,'Inputs Yr 2'!$F105,'NEI Lookups'!G:G)+SUMIF('NEI Lookups'!$S:$S,'Inputs Yr 2'!$F105,'NEI Lookups'!G:G)+SUMIF('NEI Lookups'!$T:$T,'Inputs Yr 2'!$F105,'NEI Lookups'!G:G)</f>
        <v>0</v>
      </c>
      <c r="AV105" s="299">
        <f>SUMIF('NEI Lookups'!$L:$L,'Inputs Yr 2'!$F105,'NEI Lookups'!H:H)+SUMIF('NEI Lookups'!$M:$M,'Inputs Yr 2'!$F105,'NEI Lookups'!H:H)+SUMIF('NEI Lookups'!$N:$N,'Inputs Yr 2'!$F105,'NEI Lookups'!H:H)+SUMIF('NEI Lookups'!$O:$O,'Inputs Yr 2'!$F105,'NEI Lookups'!H:H)+SUMIF('NEI Lookups'!$P:$P,'Inputs Yr 2'!$F105,'NEI Lookups'!H:H)+SUMIF('NEI Lookups'!$Q:$Q,'Inputs Yr 2'!$F105,'NEI Lookups'!H:H)+SUMIF('NEI Lookups'!$R:$R,'Inputs Yr 2'!$F105,'NEI Lookups'!H:H)+SUMIF('NEI Lookups'!$S:$S,'Inputs Yr 2'!$F105,'NEI Lookups'!H:H)+SUMIF('NEI Lookups'!$T:$T,'Inputs Yr 2'!$F105,'NEI Lookups'!H:H)</f>
        <v>0</v>
      </c>
      <c r="AW105" s="299">
        <f>ROUND(SUMIF('NEI Lookups'!$L:$L,'Inputs Yr 2'!$F105,'NEI Lookups'!I:I)+SUMIF('NEI Lookups'!$M:$M,'Inputs Yr 2'!$F105,'NEI Lookups'!I:I)+SUMIF('NEI Lookups'!$N:$N,'Inputs Yr 2'!$F105,'NEI Lookups'!I:I)+SUMIF('NEI Lookups'!$O:$O,'Inputs Yr 2'!$F105,'NEI Lookups'!I:I)+SUMIF('NEI Lookups'!$P:$P,'Inputs Yr 2'!$F105,'NEI Lookups'!I:I)+SUMIF('NEI Lookups'!$Q:$Q,'Inputs Yr 2'!$F105,'NEI Lookups'!I:I)+SUMIF('NEI Lookups'!$R:$R,'Inputs Yr 2'!$F105,'NEI Lookups'!I:I)+SUMIF('NEI Lookups'!$S:$S,'Inputs Yr 2'!$F105,'NEI Lookups'!I:I)+SUMIF('NEI Lookups'!$T:$T,'Inputs Yr 2'!$F105,'NEI Lookups'!I:I),2)</f>
        <v>0.13</v>
      </c>
      <c r="AX105" s="940">
        <f>SUMIF('NEI Lookups'!$L:$L,'Inputs Yr 2'!$F105,'NEI Lookups'!J:J)+SUMIF('NEI Lookups'!$M:$M,'Inputs Yr 2'!$F105,'NEI Lookups'!J:J)+SUMIF('NEI Lookups'!$N:$N,'Inputs Yr 2'!$F105,'NEI Lookups'!J:J)+SUMIF('NEI Lookups'!$O:$O,'Inputs Yr 2'!$F105,'NEI Lookups'!J:J)+SUMIF('NEI Lookups'!$P:$P,'Inputs Yr 2'!$F105,'NEI Lookups'!J:J)+SUMIF('NEI Lookups'!$Q:$Q,'Inputs Yr 2'!$F105,'NEI Lookups'!J:J)+SUMIF('NEI Lookups'!$R:$R,'Inputs Yr 2'!$F105,'NEI Lookups'!J:J)+SUMIF('NEI Lookups'!$S:$S,'Inputs Yr 2'!$F105,'NEI Lookups'!J:J)+SUMIF('NEI Lookups'!$T:$T,'Inputs Yr 2'!$F105,'NEI Lookups'!J:J)</f>
        <v>7.5999999999999998E-2</v>
      </c>
      <c r="AY105" s="930">
        <f>'Calculations Yr 2'!CP105/'Calculations Yr 2'!I105</f>
        <v>2.1136659861125247</v>
      </c>
    </row>
    <row r="106" spans="1:51" s="133" customFormat="1" ht="12.75" customHeight="1">
      <c r="A106" s="145" t="s">
        <v>79</v>
      </c>
      <c r="B106" s="132" t="s">
        <v>872</v>
      </c>
      <c r="C106" s="132" t="s">
        <v>761</v>
      </c>
      <c r="D106" s="904" t="s">
        <v>1485</v>
      </c>
      <c r="E106" s="98" t="s">
        <v>1327</v>
      </c>
      <c r="F106" s="98" t="s">
        <v>1021</v>
      </c>
      <c r="G106" s="145" t="s">
        <v>1247</v>
      </c>
      <c r="H106" s="232">
        <v>153</v>
      </c>
      <c r="I106" s="232">
        <v>18</v>
      </c>
      <c r="J106" s="964">
        <v>3979.03</v>
      </c>
      <c r="K106" s="166">
        <f>J106</f>
        <v>3979.03</v>
      </c>
      <c r="L106" s="888">
        <f t="shared" si="16"/>
        <v>0</v>
      </c>
      <c r="M106" s="978">
        <v>0</v>
      </c>
      <c r="N106" s="978">
        <v>0</v>
      </c>
      <c r="O106" s="978">
        <v>0</v>
      </c>
      <c r="P106" s="889">
        <f t="shared" si="19"/>
        <v>1</v>
      </c>
      <c r="Q106" s="978">
        <v>1</v>
      </c>
      <c r="R106" s="178">
        <v>1</v>
      </c>
      <c r="S106" s="178">
        <v>1</v>
      </c>
      <c r="T106" s="178">
        <v>1</v>
      </c>
      <c r="U106" s="980">
        <v>1</v>
      </c>
      <c r="V106" s="978">
        <v>1</v>
      </c>
      <c r="W106" s="179">
        <v>172</v>
      </c>
      <c r="X106" s="99" t="s">
        <v>35</v>
      </c>
      <c r="Y106" s="940">
        <f>IFERROR(VLOOKUP($X106,'Demand Lookups'!$A$5:$K$101,9,0), 0)</f>
        <v>5.3381390534849307E-4</v>
      </c>
      <c r="Z106" s="922" t="str">
        <f>IFERROR(VLOOKUP(X106,'Demand Lookups'!$A$5:$B$101,2,0),0)</f>
        <v>Res Single Family Electric Heating</v>
      </c>
      <c r="AA106" s="722">
        <f>IF(ISNA(VLOOKUP($X106,'Demand Lookups'!$A$5:$K$81,3,0)),0,VLOOKUP($X106,'Demand Lookups'!$A$5:$K$81,3,0))</f>
        <v>0.37811107066668143</v>
      </c>
      <c r="AB106" s="722">
        <f>IF(ISNA(VLOOKUP($X106,'Demand Lookups'!$A$5:$K$81,4,0)),0,VLOOKUP($X106,'Demand Lookups'!$A$5:$K$81,4,0))</f>
        <v>0.61526683076153199</v>
      </c>
      <c r="AC106" s="722">
        <f>IF(ISNA(VLOOKUP($X106,'Demand Lookups'!$A$5:$K$81,5,0)),0,VLOOKUP($X106,'Demand Lookups'!$A$5:$K$81,5,0))</f>
        <v>1.7402036484173826E-3</v>
      </c>
      <c r="AD106" s="723">
        <f>IF(ISNA(VLOOKUP($X106,'Demand Lookups'!$A$5:$K$81,6,0)),0,VLOOKUP($X106,'Demand Lookups'!$A$5:$K$81,6,0))</f>
        <v>4.8818949233697577E-3</v>
      </c>
      <c r="AE106" s="724">
        <f>ROUND(IF(ISERROR(W106*Y106),"",W106*Y106),2)</f>
        <v>0.09</v>
      </c>
      <c r="AF106" s="723">
        <f>ROUND(IF(ISNA(VLOOKUP($X106,'Demand Lookups'!$A$5:$K$82,10,0)),0,(VLOOKUP($X106,'Demand Lookups'!$A$5:$K$82,10,0))),2)</f>
        <v>0</v>
      </c>
      <c r="AG106" s="723">
        <f>ROUND(IF(ISNA(VLOOKUP($X106,'Demand Lookups'!$A$5:$K$82,11,0)),0,VLOOKUP($X106,'Demand Lookups'!$A$5:$K$82,11,0)),2)</f>
        <v>1</v>
      </c>
      <c r="AH106" s="648">
        <f t="shared" si="21"/>
        <v>0</v>
      </c>
      <c r="AI106" s="648">
        <f t="shared" si="22"/>
        <v>0</v>
      </c>
      <c r="AJ106" s="167" t="s">
        <v>404</v>
      </c>
      <c r="AK106" s="941">
        <v>20.7</v>
      </c>
      <c r="AL106" s="167"/>
      <c r="AM106" s="168"/>
      <c r="AN106" s="167"/>
      <c r="AO106" s="168"/>
      <c r="AP106" s="171">
        <v>0</v>
      </c>
      <c r="AQ106" s="171"/>
      <c r="AR106" s="171"/>
      <c r="AS106" s="299">
        <f>SUMIF('NEI Lookups'!$L:$L,'Inputs Yr 2'!$F106,'NEI Lookups'!E:E)+SUMIF('NEI Lookups'!$M:$M,'Inputs Yr 2'!$F106,'NEI Lookups'!E:E)+SUMIF('NEI Lookups'!$N:$N,'Inputs Yr 2'!$F106,'NEI Lookups'!E:E)+SUMIF('NEI Lookups'!$O:$O,'Inputs Yr 2'!$F106,'NEI Lookups'!E:E)+SUMIF('NEI Lookups'!$P:$P,'Inputs Yr 2'!$F106,'NEI Lookups'!E:E)+SUMIF('NEI Lookups'!$Q:$Q,'Inputs Yr 2'!$F106,'NEI Lookups'!E:E)+SUMIF('NEI Lookups'!$R:$R,'Inputs Yr 2'!$F106,'NEI Lookups'!E:E)+SUMIF('NEI Lookups'!$S:$S,'Inputs Yr 2'!$F106,'NEI Lookups'!E:E)+SUMIF('NEI Lookups'!$T:$T,'Inputs Yr 2'!$F106,'NEI Lookups'!E:E)</f>
        <v>310.82</v>
      </c>
      <c r="AT106" s="299">
        <f>SUMIF('NEI Lookups'!$L:$L,'Inputs Yr 2'!$F106,'NEI Lookups'!F:F)+SUMIF('NEI Lookups'!$M:$M,'Inputs Yr 2'!$F106,'NEI Lookups'!F:F)+SUMIF('NEI Lookups'!$N:$N,'Inputs Yr 2'!$F106,'NEI Lookups'!F:F)+SUMIF('NEI Lookups'!$O:$O,'Inputs Yr 2'!$F106,'NEI Lookups'!F:F)+SUMIF('NEI Lookups'!$P:$P,'Inputs Yr 2'!$F106,'NEI Lookups'!F:F)+SUMIF('NEI Lookups'!$Q:$Q,'Inputs Yr 2'!$F106,'NEI Lookups'!F:F)+SUMIF('NEI Lookups'!$R:$R,'Inputs Yr 2'!$F106,'NEI Lookups'!F:F)+SUMIF('NEI Lookups'!$S:$S,'Inputs Yr 2'!$F106,'NEI Lookups'!F:F)+SUMIF('NEI Lookups'!$T:$T,'Inputs Yr 2'!$F106,'NEI Lookups'!F:F)</f>
        <v>0</v>
      </c>
      <c r="AU106" s="299">
        <f>SUMIF('NEI Lookups'!$L:$L,'Inputs Yr 2'!$F106,'NEI Lookups'!G:G)+SUMIF('NEI Lookups'!$M:$M,'Inputs Yr 2'!$F106,'NEI Lookups'!G:G)+SUMIF('NEI Lookups'!$N:$N,'Inputs Yr 2'!$F106,'NEI Lookups'!G:G)+SUMIF('NEI Lookups'!$O:$O,'Inputs Yr 2'!$F106,'NEI Lookups'!G:G)+SUMIF('NEI Lookups'!$P:$P,'Inputs Yr 2'!$F106,'NEI Lookups'!G:G)+SUMIF('NEI Lookups'!$Q:$Q,'Inputs Yr 2'!$F106,'NEI Lookups'!G:G)+SUMIF('NEI Lookups'!$R:$R,'Inputs Yr 2'!$F106,'NEI Lookups'!G:G)+SUMIF('NEI Lookups'!$S:$S,'Inputs Yr 2'!$F106,'NEI Lookups'!G:G)+SUMIF('NEI Lookups'!$T:$T,'Inputs Yr 2'!$F106,'NEI Lookups'!G:G)</f>
        <v>0</v>
      </c>
      <c r="AV106" s="299">
        <f>SUMIF('NEI Lookups'!$L:$L,'Inputs Yr 2'!$F106,'NEI Lookups'!H:H)+SUMIF('NEI Lookups'!$M:$M,'Inputs Yr 2'!$F106,'NEI Lookups'!H:H)+SUMIF('NEI Lookups'!$N:$N,'Inputs Yr 2'!$F106,'NEI Lookups'!H:H)+SUMIF('NEI Lookups'!$O:$O,'Inputs Yr 2'!$F106,'NEI Lookups'!H:H)+SUMIF('NEI Lookups'!$P:$P,'Inputs Yr 2'!$F106,'NEI Lookups'!H:H)+SUMIF('NEI Lookups'!$Q:$Q,'Inputs Yr 2'!$F106,'NEI Lookups'!H:H)+SUMIF('NEI Lookups'!$R:$R,'Inputs Yr 2'!$F106,'NEI Lookups'!H:H)+SUMIF('NEI Lookups'!$S:$S,'Inputs Yr 2'!$F106,'NEI Lookups'!H:H)+SUMIF('NEI Lookups'!$T:$T,'Inputs Yr 2'!$F106,'NEI Lookups'!H:H)</f>
        <v>0</v>
      </c>
      <c r="AW106" s="299">
        <f>ROUND(SUMIF('NEI Lookups'!$L:$L,'Inputs Yr 2'!$F106,'NEI Lookups'!I:I)+SUMIF('NEI Lookups'!$M:$M,'Inputs Yr 2'!$F106,'NEI Lookups'!I:I)+SUMIF('NEI Lookups'!$N:$N,'Inputs Yr 2'!$F106,'NEI Lookups'!I:I)+SUMIF('NEI Lookups'!$O:$O,'Inputs Yr 2'!$F106,'NEI Lookups'!I:I)+SUMIF('NEI Lookups'!$P:$P,'Inputs Yr 2'!$F106,'NEI Lookups'!I:I)+SUMIF('NEI Lookups'!$Q:$Q,'Inputs Yr 2'!$F106,'NEI Lookups'!I:I)+SUMIF('NEI Lookups'!$R:$R,'Inputs Yr 2'!$F106,'NEI Lookups'!I:I)+SUMIF('NEI Lookups'!$S:$S,'Inputs Yr 2'!$F106,'NEI Lookups'!I:I)+SUMIF('NEI Lookups'!$T:$T,'Inputs Yr 2'!$F106,'NEI Lookups'!I:I),2)</f>
        <v>0.13</v>
      </c>
      <c r="AX106" s="940">
        <f>SUMIF('NEI Lookups'!$L:$L,'Inputs Yr 2'!$F106,'NEI Lookups'!J:J)+SUMIF('NEI Lookups'!$M:$M,'Inputs Yr 2'!$F106,'NEI Lookups'!J:J)+SUMIF('NEI Lookups'!$N:$N,'Inputs Yr 2'!$F106,'NEI Lookups'!J:J)+SUMIF('NEI Lookups'!$O:$O,'Inputs Yr 2'!$F106,'NEI Lookups'!J:J)+SUMIF('NEI Lookups'!$P:$P,'Inputs Yr 2'!$F106,'NEI Lookups'!J:J)+SUMIF('NEI Lookups'!$Q:$Q,'Inputs Yr 2'!$F106,'NEI Lookups'!J:J)+SUMIF('NEI Lookups'!$R:$R,'Inputs Yr 2'!$F106,'NEI Lookups'!J:J)+SUMIF('NEI Lookups'!$S:$S,'Inputs Yr 2'!$F106,'NEI Lookups'!J:J)+SUMIF('NEI Lookups'!$T:$T,'Inputs Yr 2'!$F106,'NEI Lookups'!J:J)</f>
        <v>7.5999999999999998E-2</v>
      </c>
      <c r="AY106" s="930">
        <f>'Calculations Yr 2'!CP106/'Calculations Yr 2'!I106</f>
        <v>2.3980071698707168</v>
      </c>
    </row>
    <row r="107" spans="1:51" s="133" customFormat="1" ht="12.75" customHeight="1">
      <c r="A107" s="145" t="s">
        <v>79</v>
      </c>
      <c r="B107" s="132" t="s">
        <v>872</v>
      </c>
      <c r="C107" s="132" t="s">
        <v>761</v>
      </c>
      <c r="D107" s="97"/>
      <c r="E107" s="98" t="s">
        <v>1301</v>
      </c>
      <c r="F107" s="98" t="s">
        <v>1022</v>
      </c>
      <c r="G107" s="145" t="s">
        <v>1247</v>
      </c>
      <c r="H107" s="232">
        <v>0</v>
      </c>
      <c r="I107" s="232">
        <v>0</v>
      </c>
      <c r="J107" s="964"/>
      <c r="K107" s="166"/>
      <c r="L107" s="888">
        <f t="shared" si="16"/>
        <v>0</v>
      </c>
      <c r="M107" s="978">
        <v>0</v>
      </c>
      <c r="N107" s="978">
        <v>0</v>
      </c>
      <c r="O107" s="978">
        <v>0</v>
      </c>
      <c r="P107" s="889">
        <v>1</v>
      </c>
      <c r="Q107" s="978">
        <v>0</v>
      </c>
      <c r="R107" s="178">
        <v>1</v>
      </c>
      <c r="S107" s="178">
        <v>1</v>
      </c>
      <c r="T107" s="178">
        <v>1</v>
      </c>
      <c r="U107" s="980">
        <v>0</v>
      </c>
      <c r="V107" s="980">
        <v>0</v>
      </c>
      <c r="W107" s="179"/>
      <c r="X107" s="937" t="s">
        <v>653</v>
      </c>
      <c r="Y107" s="299">
        <f>IFERROR(VLOOKUP($X107,'Demand Lookups'!$A$5:$K$101,9,0), 0)</f>
        <v>0</v>
      </c>
      <c r="Z107" s="922" t="str">
        <f>IFERROR(VLOOKUP(X107,'Demand Lookups'!$A$5:$B$101,2,0),0)</f>
        <v>Non-Electric Measures</v>
      </c>
      <c r="AA107" s="722">
        <v>0</v>
      </c>
      <c r="AB107" s="722">
        <v>0</v>
      </c>
      <c r="AC107" s="722">
        <v>0</v>
      </c>
      <c r="AD107" s="723">
        <v>0</v>
      </c>
      <c r="AE107" s="837">
        <f t="shared" si="20"/>
        <v>0</v>
      </c>
      <c r="AF107" s="723">
        <v>0</v>
      </c>
      <c r="AG107" s="723">
        <v>0</v>
      </c>
      <c r="AH107" s="648">
        <v>0</v>
      </c>
      <c r="AI107" s="648">
        <v>0</v>
      </c>
      <c r="AJ107" s="167" t="s">
        <v>404</v>
      </c>
      <c r="AK107" s="176">
        <v>0</v>
      </c>
      <c r="AL107" s="167"/>
      <c r="AM107" s="168"/>
      <c r="AN107" s="167"/>
      <c r="AO107" s="168"/>
      <c r="AP107" s="171"/>
      <c r="AQ107" s="171"/>
      <c r="AR107" s="171"/>
      <c r="AS107" s="299">
        <f>SUMIF('NEI Lookups'!$L:$L,'Inputs Yr 2'!$F107,'NEI Lookups'!E:E)+SUMIF('NEI Lookups'!$M:$M,'Inputs Yr 2'!$F107,'NEI Lookups'!E:E)+SUMIF('NEI Lookups'!$N:$N,'Inputs Yr 2'!$F107,'NEI Lookups'!E:E)+SUMIF('NEI Lookups'!$O:$O,'Inputs Yr 2'!$F107,'NEI Lookups'!E:E)+SUMIF('NEI Lookups'!$P:$P,'Inputs Yr 2'!$F107,'NEI Lookups'!E:E)+SUMIF('NEI Lookups'!$Q:$Q,'Inputs Yr 2'!$F107,'NEI Lookups'!E:E)+SUMIF('NEI Lookups'!$R:$R,'Inputs Yr 2'!$F107,'NEI Lookups'!E:E)+SUMIF('NEI Lookups'!$S:$S,'Inputs Yr 2'!$F107,'NEI Lookups'!E:E)+SUMIF('NEI Lookups'!$T:$T,'Inputs Yr 2'!$F107,'NEI Lookups'!E:E)</f>
        <v>6.21</v>
      </c>
      <c r="AT107" s="299">
        <f>SUMIF('NEI Lookups'!$L:$L,'Inputs Yr 2'!$F107,'NEI Lookups'!F:F)+SUMIF('NEI Lookups'!$M:$M,'Inputs Yr 2'!$F107,'NEI Lookups'!F:F)+SUMIF('NEI Lookups'!$N:$N,'Inputs Yr 2'!$F107,'NEI Lookups'!F:F)+SUMIF('NEI Lookups'!$O:$O,'Inputs Yr 2'!$F107,'NEI Lookups'!F:F)+SUMIF('NEI Lookups'!$P:$P,'Inputs Yr 2'!$F107,'NEI Lookups'!F:F)+SUMIF('NEI Lookups'!$Q:$Q,'Inputs Yr 2'!$F107,'NEI Lookups'!F:F)+SUMIF('NEI Lookups'!$R:$R,'Inputs Yr 2'!$F107,'NEI Lookups'!F:F)+SUMIF('NEI Lookups'!$S:$S,'Inputs Yr 2'!$F107,'NEI Lookups'!F:F)+SUMIF('NEI Lookups'!$T:$T,'Inputs Yr 2'!$F107,'NEI Lookups'!F:F)</f>
        <v>0</v>
      </c>
      <c r="AU107" s="299">
        <f>SUMIF('NEI Lookups'!$L:$L,'Inputs Yr 2'!$F107,'NEI Lookups'!G:G)+SUMIF('NEI Lookups'!$M:$M,'Inputs Yr 2'!$F107,'NEI Lookups'!G:G)+SUMIF('NEI Lookups'!$N:$N,'Inputs Yr 2'!$F107,'NEI Lookups'!G:G)+SUMIF('NEI Lookups'!$O:$O,'Inputs Yr 2'!$F107,'NEI Lookups'!G:G)+SUMIF('NEI Lookups'!$P:$P,'Inputs Yr 2'!$F107,'NEI Lookups'!G:G)+SUMIF('NEI Lookups'!$Q:$Q,'Inputs Yr 2'!$F107,'NEI Lookups'!G:G)+SUMIF('NEI Lookups'!$R:$R,'Inputs Yr 2'!$F107,'NEI Lookups'!G:G)+SUMIF('NEI Lookups'!$S:$S,'Inputs Yr 2'!$F107,'NEI Lookups'!G:G)+SUMIF('NEI Lookups'!$T:$T,'Inputs Yr 2'!$F107,'NEI Lookups'!G:G)</f>
        <v>0</v>
      </c>
      <c r="AV107" s="299">
        <f>SUMIF('NEI Lookups'!$L:$L,'Inputs Yr 2'!$F107,'NEI Lookups'!H:H)+SUMIF('NEI Lookups'!$M:$M,'Inputs Yr 2'!$F107,'NEI Lookups'!H:H)+SUMIF('NEI Lookups'!$N:$N,'Inputs Yr 2'!$F107,'NEI Lookups'!H:H)+SUMIF('NEI Lookups'!$O:$O,'Inputs Yr 2'!$F107,'NEI Lookups'!H:H)+SUMIF('NEI Lookups'!$P:$P,'Inputs Yr 2'!$F107,'NEI Lookups'!H:H)+SUMIF('NEI Lookups'!$Q:$Q,'Inputs Yr 2'!$F107,'NEI Lookups'!H:H)+SUMIF('NEI Lookups'!$R:$R,'Inputs Yr 2'!$F107,'NEI Lookups'!H:H)+SUMIF('NEI Lookups'!$S:$S,'Inputs Yr 2'!$F107,'NEI Lookups'!H:H)+SUMIF('NEI Lookups'!$T:$T,'Inputs Yr 2'!$F107,'NEI Lookups'!H:H)</f>
        <v>0</v>
      </c>
      <c r="AW107" s="299">
        <f>ROUND(SUMIF('NEI Lookups'!$L:$L,'Inputs Yr 2'!$F107,'NEI Lookups'!I:I)+SUMIF('NEI Lookups'!$M:$M,'Inputs Yr 2'!$F107,'NEI Lookups'!I:I)+SUMIF('NEI Lookups'!$N:$N,'Inputs Yr 2'!$F107,'NEI Lookups'!I:I)+SUMIF('NEI Lookups'!$O:$O,'Inputs Yr 2'!$F107,'NEI Lookups'!I:I)+SUMIF('NEI Lookups'!$P:$P,'Inputs Yr 2'!$F107,'NEI Lookups'!I:I)+SUMIF('NEI Lookups'!$Q:$Q,'Inputs Yr 2'!$F107,'NEI Lookups'!I:I)+SUMIF('NEI Lookups'!$R:$R,'Inputs Yr 2'!$F107,'NEI Lookups'!I:I)+SUMIF('NEI Lookups'!$S:$S,'Inputs Yr 2'!$F107,'NEI Lookups'!I:I)+SUMIF('NEI Lookups'!$T:$T,'Inputs Yr 2'!$F107,'NEI Lookups'!I:I),2)</f>
        <v>0.13</v>
      </c>
      <c r="AX107" s="940">
        <f>SUMIF('NEI Lookups'!$L:$L,'Inputs Yr 2'!$F107,'NEI Lookups'!J:J)+SUMIF('NEI Lookups'!$M:$M,'Inputs Yr 2'!$F107,'NEI Lookups'!J:J)+SUMIF('NEI Lookups'!$N:$N,'Inputs Yr 2'!$F107,'NEI Lookups'!J:J)+SUMIF('NEI Lookups'!$O:$O,'Inputs Yr 2'!$F107,'NEI Lookups'!J:J)+SUMIF('NEI Lookups'!$P:$P,'Inputs Yr 2'!$F107,'NEI Lookups'!J:J)+SUMIF('NEI Lookups'!$Q:$Q,'Inputs Yr 2'!$F107,'NEI Lookups'!J:J)+SUMIF('NEI Lookups'!$R:$R,'Inputs Yr 2'!$F107,'NEI Lookups'!J:J)+SUMIF('NEI Lookups'!$S:$S,'Inputs Yr 2'!$F107,'NEI Lookups'!J:J)+SUMIF('NEI Lookups'!$T:$T,'Inputs Yr 2'!$F107,'NEI Lookups'!J:J)</f>
        <v>7.5999999999999998E-2</v>
      </c>
      <c r="AY107" s="930" t="e">
        <f>'Calculations Yr 2'!CP107/'Calculations Yr 2'!I107</f>
        <v>#VALUE!</v>
      </c>
    </row>
    <row r="108" spans="1:51" s="133" customFormat="1" ht="12.75" customHeight="1">
      <c r="A108" s="145" t="s">
        <v>79</v>
      </c>
      <c r="B108" s="132" t="s">
        <v>872</v>
      </c>
      <c r="C108" s="132" t="s">
        <v>761</v>
      </c>
      <c r="D108" s="97"/>
      <c r="E108" s="150" t="s">
        <v>1312</v>
      </c>
      <c r="F108" s="98" t="s">
        <v>1023</v>
      </c>
      <c r="G108" s="145" t="s">
        <v>1247</v>
      </c>
      <c r="H108" s="232">
        <v>0</v>
      </c>
      <c r="I108" s="232">
        <v>0</v>
      </c>
      <c r="J108" s="964"/>
      <c r="K108" s="166"/>
      <c r="L108" s="888">
        <f t="shared" si="16"/>
        <v>0</v>
      </c>
      <c r="M108" s="978">
        <v>0</v>
      </c>
      <c r="N108" s="978">
        <v>0</v>
      </c>
      <c r="O108" s="978">
        <v>0</v>
      </c>
      <c r="P108" s="889">
        <v>1</v>
      </c>
      <c r="Q108" s="978">
        <v>0</v>
      </c>
      <c r="R108" s="178">
        <v>1</v>
      </c>
      <c r="S108" s="178">
        <v>1</v>
      </c>
      <c r="T108" s="178">
        <v>1</v>
      </c>
      <c r="U108" s="980">
        <v>0</v>
      </c>
      <c r="V108" s="980">
        <v>0</v>
      </c>
      <c r="W108" s="179"/>
      <c r="X108" s="937" t="s">
        <v>653</v>
      </c>
      <c r="Y108" s="299">
        <f>IFERROR(VLOOKUP($X108,'Demand Lookups'!$A$5:$K$101,9,0), 0)</f>
        <v>0</v>
      </c>
      <c r="Z108" s="922" t="str">
        <f>IFERROR(VLOOKUP(X108,'Demand Lookups'!$A$5:$B$101,2,0),0)</f>
        <v>Non-Electric Measures</v>
      </c>
      <c r="AA108" s="722">
        <v>0</v>
      </c>
      <c r="AB108" s="722">
        <v>0</v>
      </c>
      <c r="AC108" s="722">
        <v>0</v>
      </c>
      <c r="AD108" s="723">
        <v>0</v>
      </c>
      <c r="AE108" s="837">
        <f t="shared" si="20"/>
        <v>0</v>
      </c>
      <c r="AF108" s="723">
        <v>0</v>
      </c>
      <c r="AG108" s="723">
        <v>0</v>
      </c>
      <c r="AH108" s="648">
        <v>0</v>
      </c>
      <c r="AI108" s="648">
        <v>0</v>
      </c>
      <c r="AJ108" s="167" t="s">
        <v>404</v>
      </c>
      <c r="AK108" s="176">
        <v>0</v>
      </c>
      <c r="AL108" s="167"/>
      <c r="AM108" s="168"/>
      <c r="AN108" s="167"/>
      <c r="AO108" s="168"/>
      <c r="AP108" s="171"/>
      <c r="AQ108" s="171"/>
      <c r="AR108" s="171"/>
      <c r="AS108" s="299">
        <f>SUMIF('NEI Lookups'!$L:$L,'Inputs Yr 2'!$F108,'NEI Lookups'!E:E)+SUMIF('NEI Lookups'!$M:$M,'Inputs Yr 2'!$F108,'NEI Lookups'!E:E)+SUMIF('NEI Lookups'!$N:$N,'Inputs Yr 2'!$F108,'NEI Lookups'!E:E)+SUMIF('NEI Lookups'!$O:$O,'Inputs Yr 2'!$F108,'NEI Lookups'!E:E)+SUMIF('NEI Lookups'!$P:$P,'Inputs Yr 2'!$F108,'NEI Lookups'!E:E)+SUMIF('NEI Lookups'!$Q:$Q,'Inputs Yr 2'!$F108,'NEI Lookups'!E:E)+SUMIF('NEI Lookups'!$R:$R,'Inputs Yr 2'!$F108,'NEI Lookups'!E:E)+SUMIF('NEI Lookups'!$S:$S,'Inputs Yr 2'!$F108,'NEI Lookups'!E:E)+SUMIF('NEI Lookups'!$T:$T,'Inputs Yr 2'!$F108,'NEI Lookups'!E:E)</f>
        <v>0</v>
      </c>
      <c r="AT108" s="299">
        <f>SUMIF('NEI Lookups'!$L:$L,'Inputs Yr 2'!$F108,'NEI Lookups'!F:F)+SUMIF('NEI Lookups'!$M:$M,'Inputs Yr 2'!$F108,'NEI Lookups'!F:F)+SUMIF('NEI Lookups'!$N:$N,'Inputs Yr 2'!$F108,'NEI Lookups'!F:F)+SUMIF('NEI Lookups'!$O:$O,'Inputs Yr 2'!$F108,'NEI Lookups'!F:F)+SUMIF('NEI Lookups'!$P:$P,'Inputs Yr 2'!$F108,'NEI Lookups'!F:F)+SUMIF('NEI Lookups'!$Q:$Q,'Inputs Yr 2'!$F108,'NEI Lookups'!F:F)+SUMIF('NEI Lookups'!$R:$R,'Inputs Yr 2'!$F108,'NEI Lookups'!F:F)+SUMIF('NEI Lookups'!$S:$S,'Inputs Yr 2'!$F108,'NEI Lookups'!F:F)+SUMIF('NEI Lookups'!$T:$T,'Inputs Yr 2'!$F108,'NEI Lookups'!F:F)</f>
        <v>0</v>
      </c>
      <c r="AU108" s="299">
        <f>SUMIF('NEI Lookups'!$L:$L,'Inputs Yr 2'!$F108,'NEI Lookups'!G:G)+SUMIF('NEI Lookups'!$M:$M,'Inputs Yr 2'!$F108,'NEI Lookups'!G:G)+SUMIF('NEI Lookups'!$N:$N,'Inputs Yr 2'!$F108,'NEI Lookups'!G:G)+SUMIF('NEI Lookups'!$O:$O,'Inputs Yr 2'!$F108,'NEI Lookups'!G:G)+SUMIF('NEI Lookups'!$P:$P,'Inputs Yr 2'!$F108,'NEI Lookups'!G:G)+SUMIF('NEI Lookups'!$Q:$Q,'Inputs Yr 2'!$F108,'NEI Lookups'!G:G)+SUMIF('NEI Lookups'!$R:$R,'Inputs Yr 2'!$F108,'NEI Lookups'!G:G)+SUMIF('NEI Lookups'!$S:$S,'Inputs Yr 2'!$F108,'NEI Lookups'!G:G)+SUMIF('NEI Lookups'!$T:$T,'Inputs Yr 2'!$F108,'NEI Lookups'!G:G)</f>
        <v>0</v>
      </c>
      <c r="AV108" s="299">
        <f>SUMIF('NEI Lookups'!$L:$L,'Inputs Yr 2'!$F108,'NEI Lookups'!H:H)+SUMIF('NEI Lookups'!$M:$M,'Inputs Yr 2'!$F108,'NEI Lookups'!H:H)+SUMIF('NEI Lookups'!$N:$N,'Inputs Yr 2'!$F108,'NEI Lookups'!H:H)+SUMIF('NEI Lookups'!$O:$O,'Inputs Yr 2'!$F108,'NEI Lookups'!H:H)+SUMIF('NEI Lookups'!$P:$P,'Inputs Yr 2'!$F108,'NEI Lookups'!H:H)+SUMIF('NEI Lookups'!$Q:$Q,'Inputs Yr 2'!$F108,'NEI Lookups'!H:H)+SUMIF('NEI Lookups'!$R:$R,'Inputs Yr 2'!$F108,'NEI Lookups'!H:H)+SUMIF('NEI Lookups'!$S:$S,'Inputs Yr 2'!$F108,'NEI Lookups'!H:H)+SUMIF('NEI Lookups'!$T:$T,'Inputs Yr 2'!$F108,'NEI Lookups'!H:H)</f>
        <v>0</v>
      </c>
      <c r="AW108" s="299">
        <f>ROUND(SUMIF('NEI Lookups'!$L:$L,'Inputs Yr 2'!$F108,'NEI Lookups'!I:I)+SUMIF('NEI Lookups'!$M:$M,'Inputs Yr 2'!$F108,'NEI Lookups'!I:I)+SUMIF('NEI Lookups'!$N:$N,'Inputs Yr 2'!$F108,'NEI Lookups'!I:I)+SUMIF('NEI Lookups'!$O:$O,'Inputs Yr 2'!$F108,'NEI Lookups'!I:I)+SUMIF('NEI Lookups'!$P:$P,'Inputs Yr 2'!$F108,'NEI Lookups'!I:I)+SUMIF('NEI Lookups'!$Q:$Q,'Inputs Yr 2'!$F108,'NEI Lookups'!I:I)+SUMIF('NEI Lookups'!$R:$R,'Inputs Yr 2'!$F108,'NEI Lookups'!I:I)+SUMIF('NEI Lookups'!$S:$S,'Inputs Yr 2'!$F108,'NEI Lookups'!I:I)+SUMIF('NEI Lookups'!$T:$T,'Inputs Yr 2'!$F108,'NEI Lookups'!I:I),2)</f>
        <v>0.13</v>
      </c>
      <c r="AX108" s="940">
        <f>SUMIF('NEI Lookups'!$L:$L,'Inputs Yr 2'!$F108,'NEI Lookups'!J:J)+SUMIF('NEI Lookups'!$M:$M,'Inputs Yr 2'!$F108,'NEI Lookups'!J:J)+SUMIF('NEI Lookups'!$N:$N,'Inputs Yr 2'!$F108,'NEI Lookups'!J:J)+SUMIF('NEI Lookups'!$O:$O,'Inputs Yr 2'!$F108,'NEI Lookups'!J:J)+SUMIF('NEI Lookups'!$P:$P,'Inputs Yr 2'!$F108,'NEI Lookups'!J:J)+SUMIF('NEI Lookups'!$Q:$Q,'Inputs Yr 2'!$F108,'NEI Lookups'!J:J)+SUMIF('NEI Lookups'!$R:$R,'Inputs Yr 2'!$F108,'NEI Lookups'!J:J)+SUMIF('NEI Lookups'!$S:$S,'Inputs Yr 2'!$F108,'NEI Lookups'!J:J)+SUMIF('NEI Lookups'!$T:$T,'Inputs Yr 2'!$F108,'NEI Lookups'!J:J)</f>
        <v>7.5999999999999998E-2</v>
      </c>
      <c r="AY108" s="930" t="e">
        <f>'Calculations Yr 2'!CP108/'Calculations Yr 2'!I108</f>
        <v>#VALUE!</v>
      </c>
    </row>
    <row r="109" spans="1:51" s="133" customFormat="1" ht="12.75" customHeight="1">
      <c r="A109" s="145" t="s">
        <v>79</v>
      </c>
      <c r="B109" s="132" t="s">
        <v>872</v>
      </c>
      <c r="C109" s="132" t="s">
        <v>761</v>
      </c>
      <c r="D109" s="97"/>
      <c r="E109" s="98" t="s">
        <v>1302</v>
      </c>
      <c r="F109" s="98" t="s">
        <v>1024</v>
      </c>
      <c r="G109" s="145" t="s">
        <v>89</v>
      </c>
      <c r="H109" s="232">
        <v>0</v>
      </c>
      <c r="I109" s="232">
        <v>0</v>
      </c>
      <c r="J109" s="964"/>
      <c r="K109" s="166"/>
      <c r="L109" s="888">
        <f t="shared" si="16"/>
        <v>0</v>
      </c>
      <c r="M109" s="978">
        <v>0</v>
      </c>
      <c r="N109" s="978">
        <v>0</v>
      </c>
      <c r="O109" s="978">
        <v>0</v>
      </c>
      <c r="P109" s="889">
        <v>1</v>
      </c>
      <c r="Q109" s="978">
        <v>0</v>
      </c>
      <c r="R109" s="178">
        <v>1</v>
      </c>
      <c r="S109" s="178">
        <v>1</v>
      </c>
      <c r="T109" s="178">
        <v>1</v>
      </c>
      <c r="U109" s="980">
        <v>0</v>
      </c>
      <c r="V109" s="980">
        <v>0</v>
      </c>
      <c r="W109" s="179"/>
      <c r="X109" s="937" t="s">
        <v>653</v>
      </c>
      <c r="Y109" s="299">
        <f>IFERROR(VLOOKUP($X109,'Demand Lookups'!$A$5:$K$101,9,0), 0)</f>
        <v>0</v>
      </c>
      <c r="Z109" s="922" t="str">
        <f>IFERROR(VLOOKUP(X109,'Demand Lookups'!$A$5:$B$101,2,0),0)</f>
        <v>Non-Electric Measures</v>
      </c>
      <c r="AA109" s="722">
        <v>0</v>
      </c>
      <c r="AB109" s="722">
        <v>0</v>
      </c>
      <c r="AC109" s="722">
        <v>0</v>
      </c>
      <c r="AD109" s="723">
        <v>0</v>
      </c>
      <c r="AE109" s="837">
        <f t="shared" si="20"/>
        <v>0</v>
      </c>
      <c r="AF109" s="723">
        <v>0</v>
      </c>
      <c r="AG109" s="723">
        <v>0</v>
      </c>
      <c r="AH109" s="648">
        <v>0</v>
      </c>
      <c r="AI109" s="648">
        <v>0</v>
      </c>
      <c r="AJ109" s="167" t="s">
        <v>40</v>
      </c>
      <c r="AK109" s="176">
        <v>0</v>
      </c>
      <c r="AL109" s="167"/>
      <c r="AM109" s="168"/>
      <c r="AN109" s="167"/>
      <c r="AO109" s="168"/>
      <c r="AP109" s="171"/>
      <c r="AQ109" s="171"/>
      <c r="AR109" s="171"/>
      <c r="AS109" s="299">
        <f>SUMIF('NEI Lookups'!$L:$L,'Inputs Yr 2'!$F109,'NEI Lookups'!E:E)+SUMIF('NEI Lookups'!$M:$M,'Inputs Yr 2'!$F109,'NEI Lookups'!E:E)+SUMIF('NEI Lookups'!$N:$N,'Inputs Yr 2'!$F109,'NEI Lookups'!E:E)+SUMIF('NEI Lookups'!$O:$O,'Inputs Yr 2'!$F109,'NEI Lookups'!E:E)+SUMIF('NEI Lookups'!$P:$P,'Inputs Yr 2'!$F109,'NEI Lookups'!E:E)+SUMIF('NEI Lookups'!$Q:$Q,'Inputs Yr 2'!$F109,'NEI Lookups'!E:E)+SUMIF('NEI Lookups'!$R:$R,'Inputs Yr 2'!$F109,'NEI Lookups'!E:E)+SUMIF('NEI Lookups'!$S:$S,'Inputs Yr 2'!$F109,'NEI Lookups'!E:E)+SUMIF('NEI Lookups'!$T:$T,'Inputs Yr 2'!$F109,'NEI Lookups'!E:E)</f>
        <v>48.940000000000005</v>
      </c>
      <c r="AT109" s="299">
        <f>SUMIF('NEI Lookups'!$L:$L,'Inputs Yr 2'!$F109,'NEI Lookups'!F:F)+SUMIF('NEI Lookups'!$M:$M,'Inputs Yr 2'!$F109,'NEI Lookups'!F:F)+SUMIF('NEI Lookups'!$N:$N,'Inputs Yr 2'!$F109,'NEI Lookups'!F:F)+SUMIF('NEI Lookups'!$O:$O,'Inputs Yr 2'!$F109,'NEI Lookups'!F:F)+SUMIF('NEI Lookups'!$P:$P,'Inputs Yr 2'!$F109,'NEI Lookups'!F:F)+SUMIF('NEI Lookups'!$Q:$Q,'Inputs Yr 2'!$F109,'NEI Lookups'!F:F)+SUMIF('NEI Lookups'!$R:$R,'Inputs Yr 2'!$F109,'NEI Lookups'!F:F)+SUMIF('NEI Lookups'!$S:$S,'Inputs Yr 2'!$F109,'NEI Lookups'!F:F)+SUMIF('NEI Lookups'!$T:$T,'Inputs Yr 2'!$F109,'NEI Lookups'!F:F)</f>
        <v>0</v>
      </c>
      <c r="AU109" s="299">
        <f>SUMIF('NEI Lookups'!$L:$L,'Inputs Yr 2'!$F109,'NEI Lookups'!G:G)+SUMIF('NEI Lookups'!$M:$M,'Inputs Yr 2'!$F109,'NEI Lookups'!G:G)+SUMIF('NEI Lookups'!$N:$N,'Inputs Yr 2'!$F109,'NEI Lookups'!G:G)+SUMIF('NEI Lookups'!$O:$O,'Inputs Yr 2'!$F109,'NEI Lookups'!G:G)+SUMIF('NEI Lookups'!$P:$P,'Inputs Yr 2'!$F109,'NEI Lookups'!G:G)+SUMIF('NEI Lookups'!$Q:$Q,'Inputs Yr 2'!$F109,'NEI Lookups'!G:G)+SUMIF('NEI Lookups'!$R:$R,'Inputs Yr 2'!$F109,'NEI Lookups'!G:G)+SUMIF('NEI Lookups'!$S:$S,'Inputs Yr 2'!$F109,'NEI Lookups'!G:G)+SUMIF('NEI Lookups'!$T:$T,'Inputs Yr 2'!$F109,'NEI Lookups'!G:G)</f>
        <v>0</v>
      </c>
      <c r="AV109" s="299">
        <f>SUMIF('NEI Lookups'!$L:$L,'Inputs Yr 2'!$F109,'NEI Lookups'!H:H)+SUMIF('NEI Lookups'!$M:$M,'Inputs Yr 2'!$F109,'NEI Lookups'!H:H)+SUMIF('NEI Lookups'!$N:$N,'Inputs Yr 2'!$F109,'NEI Lookups'!H:H)+SUMIF('NEI Lookups'!$O:$O,'Inputs Yr 2'!$F109,'NEI Lookups'!H:H)+SUMIF('NEI Lookups'!$P:$P,'Inputs Yr 2'!$F109,'NEI Lookups'!H:H)+SUMIF('NEI Lookups'!$Q:$Q,'Inputs Yr 2'!$F109,'NEI Lookups'!H:H)+SUMIF('NEI Lookups'!$R:$R,'Inputs Yr 2'!$F109,'NEI Lookups'!H:H)+SUMIF('NEI Lookups'!$S:$S,'Inputs Yr 2'!$F109,'NEI Lookups'!H:H)+SUMIF('NEI Lookups'!$T:$T,'Inputs Yr 2'!$F109,'NEI Lookups'!H:H)</f>
        <v>0</v>
      </c>
      <c r="AW109" s="299">
        <f>ROUND(SUMIF('NEI Lookups'!$L:$L,'Inputs Yr 2'!$F109,'NEI Lookups'!I:I)+SUMIF('NEI Lookups'!$M:$M,'Inputs Yr 2'!$F109,'NEI Lookups'!I:I)+SUMIF('NEI Lookups'!$N:$N,'Inputs Yr 2'!$F109,'NEI Lookups'!I:I)+SUMIF('NEI Lookups'!$O:$O,'Inputs Yr 2'!$F109,'NEI Lookups'!I:I)+SUMIF('NEI Lookups'!$P:$P,'Inputs Yr 2'!$F109,'NEI Lookups'!I:I)+SUMIF('NEI Lookups'!$Q:$Q,'Inputs Yr 2'!$F109,'NEI Lookups'!I:I)+SUMIF('NEI Lookups'!$R:$R,'Inputs Yr 2'!$F109,'NEI Lookups'!I:I)+SUMIF('NEI Lookups'!$S:$S,'Inputs Yr 2'!$F109,'NEI Lookups'!I:I)+SUMIF('NEI Lookups'!$T:$T,'Inputs Yr 2'!$F109,'NEI Lookups'!I:I),2)</f>
        <v>0.13</v>
      </c>
      <c r="AX109" s="940">
        <f>SUMIF('NEI Lookups'!$L:$L,'Inputs Yr 2'!$F109,'NEI Lookups'!J:J)+SUMIF('NEI Lookups'!$M:$M,'Inputs Yr 2'!$F109,'NEI Lookups'!J:J)+SUMIF('NEI Lookups'!$N:$N,'Inputs Yr 2'!$F109,'NEI Lookups'!J:J)+SUMIF('NEI Lookups'!$O:$O,'Inputs Yr 2'!$F109,'NEI Lookups'!J:J)+SUMIF('NEI Lookups'!$P:$P,'Inputs Yr 2'!$F109,'NEI Lookups'!J:J)+SUMIF('NEI Lookups'!$Q:$Q,'Inputs Yr 2'!$F109,'NEI Lookups'!J:J)+SUMIF('NEI Lookups'!$R:$R,'Inputs Yr 2'!$F109,'NEI Lookups'!J:J)+SUMIF('NEI Lookups'!$S:$S,'Inputs Yr 2'!$F109,'NEI Lookups'!J:J)+SUMIF('NEI Lookups'!$T:$T,'Inputs Yr 2'!$F109,'NEI Lookups'!J:J)</f>
        <v>7.5999999999999998E-2</v>
      </c>
      <c r="AY109" s="930" t="e">
        <f>'Calculations Yr 2'!CP109/'Calculations Yr 2'!I109</f>
        <v>#VALUE!</v>
      </c>
    </row>
    <row r="110" spans="1:51" s="133" customFormat="1" ht="12.75" customHeight="1">
      <c r="A110" s="145" t="s">
        <v>79</v>
      </c>
      <c r="B110" s="132" t="s">
        <v>872</v>
      </c>
      <c r="C110" s="132" t="s">
        <v>761</v>
      </c>
      <c r="D110" s="97"/>
      <c r="E110" s="150" t="s">
        <v>1304</v>
      </c>
      <c r="F110" s="98" t="s">
        <v>1025</v>
      </c>
      <c r="G110" s="145" t="s">
        <v>89</v>
      </c>
      <c r="H110" s="232">
        <v>0</v>
      </c>
      <c r="I110" s="232">
        <v>0</v>
      </c>
      <c r="J110" s="964"/>
      <c r="K110" s="166"/>
      <c r="L110" s="888">
        <f t="shared" si="16"/>
        <v>0</v>
      </c>
      <c r="M110" s="978">
        <v>0</v>
      </c>
      <c r="N110" s="978">
        <v>0</v>
      </c>
      <c r="O110" s="978">
        <v>0</v>
      </c>
      <c r="P110" s="889">
        <v>1</v>
      </c>
      <c r="Q110" s="978">
        <v>0</v>
      </c>
      <c r="R110" s="178">
        <v>1</v>
      </c>
      <c r="S110" s="178">
        <v>1</v>
      </c>
      <c r="T110" s="178">
        <v>1</v>
      </c>
      <c r="U110" s="980">
        <v>0</v>
      </c>
      <c r="V110" s="980">
        <v>0</v>
      </c>
      <c r="W110" s="179"/>
      <c r="X110" s="937" t="s">
        <v>653</v>
      </c>
      <c r="Y110" s="299">
        <f>IFERROR(VLOOKUP($X110,'Demand Lookups'!$A$5:$K$101,9,0), 0)</f>
        <v>0</v>
      </c>
      <c r="Z110" s="922" t="str">
        <f>IFERROR(VLOOKUP(X110,'Demand Lookups'!$A$5:$B$101,2,0),0)</f>
        <v>Non-Electric Measures</v>
      </c>
      <c r="AA110" s="722">
        <v>0</v>
      </c>
      <c r="AB110" s="722">
        <v>0</v>
      </c>
      <c r="AC110" s="722">
        <v>0</v>
      </c>
      <c r="AD110" s="723">
        <v>0</v>
      </c>
      <c r="AE110" s="837">
        <f t="shared" si="20"/>
        <v>0</v>
      </c>
      <c r="AF110" s="723">
        <v>0</v>
      </c>
      <c r="AG110" s="723">
        <v>0</v>
      </c>
      <c r="AH110" s="648">
        <v>0</v>
      </c>
      <c r="AI110" s="648">
        <v>0</v>
      </c>
      <c r="AJ110" s="167" t="s">
        <v>40</v>
      </c>
      <c r="AK110" s="176">
        <v>0</v>
      </c>
      <c r="AL110" s="167"/>
      <c r="AM110" s="168"/>
      <c r="AN110" s="167"/>
      <c r="AO110" s="168"/>
      <c r="AP110" s="171">
        <v>332</v>
      </c>
      <c r="AQ110" s="171"/>
      <c r="AR110" s="171"/>
      <c r="AS110" s="299">
        <f>SUMIF('NEI Lookups'!$L:$L,'Inputs Yr 2'!$F110,'NEI Lookups'!E:E)+SUMIF('NEI Lookups'!$M:$M,'Inputs Yr 2'!$F110,'NEI Lookups'!E:E)+SUMIF('NEI Lookups'!$N:$N,'Inputs Yr 2'!$F110,'NEI Lookups'!E:E)+SUMIF('NEI Lookups'!$O:$O,'Inputs Yr 2'!$F110,'NEI Lookups'!E:E)+SUMIF('NEI Lookups'!$P:$P,'Inputs Yr 2'!$F110,'NEI Lookups'!E:E)+SUMIF('NEI Lookups'!$Q:$Q,'Inputs Yr 2'!$F110,'NEI Lookups'!E:E)+SUMIF('NEI Lookups'!$R:$R,'Inputs Yr 2'!$F110,'NEI Lookups'!E:E)+SUMIF('NEI Lookups'!$S:$S,'Inputs Yr 2'!$F110,'NEI Lookups'!E:E)+SUMIF('NEI Lookups'!$T:$T,'Inputs Yr 2'!$F110,'NEI Lookups'!E:E)</f>
        <v>0</v>
      </c>
      <c r="AT110" s="299">
        <f>SUMIF('NEI Lookups'!$L:$L,'Inputs Yr 2'!$F110,'NEI Lookups'!F:F)+SUMIF('NEI Lookups'!$M:$M,'Inputs Yr 2'!$F110,'NEI Lookups'!F:F)+SUMIF('NEI Lookups'!$N:$N,'Inputs Yr 2'!$F110,'NEI Lookups'!F:F)+SUMIF('NEI Lookups'!$O:$O,'Inputs Yr 2'!$F110,'NEI Lookups'!F:F)+SUMIF('NEI Lookups'!$P:$P,'Inputs Yr 2'!$F110,'NEI Lookups'!F:F)+SUMIF('NEI Lookups'!$Q:$Q,'Inputs Yr 2'!$F110,'NEI Lookups'!F:F)+SUMIF('NEI Lookups'!$R:$R,'Inputs Yr 2'!$F110,'NEI Lookups'!F:F)+SUMIF('NEI Lookups'!$S:$S,'Inputs Yr 2'!$F110,'NEI Lookups'!F:F)+SUMIF('NEI Lookups'!$T:$T,'Inputs Yr 2'!$F110,'NEI Lookups'!F:F)</f>
        <v>0</v>
      </c>
      <c r="AU110" s="299">
        <f>SUMIF('NEI Lookups'!$L:$L,'Inputs Yr 2'!$F110,'NEI Lookups'!G:G)+SUMIF('NEI Lookups'!$M:$M,'Inputs Yr 2'!$F110,'NEI Lookups'!G:G)+SUMIF('NEI Lookups'!$N:$N,'Inputs Yr 2'!$F110,'NEI Lookups'!G:G)+SUMIF('NEI Lookups'!$O:$O,'Inputs Yr 2'!$F110,'NEI Lookups'!G:G)+SUMIF('NEI Lookups'!$P:$P,'Inputs Yr 2'!$F110,'NEI Lookups'!G:G)+SUMIF('NEI Lookups'!$Q:$Q,'Inputs Yr 2'!$F110,'NEI Lookups'!G:G)+SUMIF('NEI Lookups'!$R:$R,'Inputs Yr 2'!$F110,'NEI Lookups'!G:G)+SUMIF('NEI Lookups'!$S:$S,'Inputs Yr 2'!$F110,'NEI Lookups'!G:G)+SUMIF('NEI Lookups'!$T:$T,'Inputs Yr 2'!$F110,'NEI Lookups'!G:G)</f>
        <v>0</v>
      </c>
      <c r="AV110" s="299">
        <f>SUMIF('NEI Lookups'!$L:$L,'Inputs Yr 2'!$F110,'NEI Lookups'!H:H)+SUMIF('NEI Lookups'!$M:$M,'Inputs Yr 2'!$F110,'NEI Lookups'!H:H)+SUMIF('NEI Lookups'!$N:$N,'Inputs Yr 2'!$F110,'NEI Lookups'!H:H)+SUMIF('NEI Lookups'!$O:$O,'Inputs Yr 2'!$F110,'NEI Lookups'!H:H)+SUMIF('NEI Lookups'!$P:$P,'Inputs Yr 2'!$F110,'NEI Lookups'!H:H)+SUMIF('NEI Lookups'!$Q:$Q,'Inputs Yr 2'!$F110,'NEI Lookups'!H:H)+SUMIF('NEI Lookups'!$R:$R,'Inputs Yr 2'!$F110,'NEI Lookups'!H:H)+SUMIF('NEI Lookups'!$S:$S,'Inputs Yr 2'!$F110,'NEI Lookups'!H:H)+SUMIF('NEI Lookups'!$T:$T,'Inputs Yr 2'!$F110,'NEI Lookups'!H:H)</f>
        <v>0</v>
      </c>
      <c r="AW110" s="299">
        <f>ROUND(SUMIF('NEI Lookups'!$L:$L,'Inputs Yr 2'!$F110,'NEI Lookups'!I:I)+SUMIF('NEI Lookups'!$M:$M,'Inputs Yr 2'!$F110,'NEI Lookups'!I:I)+SUMIF('NEI Lookups'!$N:$N,'Inputs Yr 2'!$F110,'NEI Lookups'!I:I)+SUMIF('NEI Lookups'!$O:$O,'Inputs Yr 2'!$F110,'NEI Lookups'!I:I)+SUMIF('NEI Lookups'!$P:$P,'Inputs Yr 2'!$F110,'NEI Lookups'!I:I)+SUMIF('NEI Lookups'!$Q:$Q,'Inputs Yr 2'!$F110,'NEI Lookups'!I:I)+SUMIF('NEI Lookups'!$R:$R,'Inputs Yr 2'!$F110,'NEI Lookups'!I:I)+SUMIF('NEI Lookups'!$S:$S,'Inputs Yr 2'!$F110,'NEI Lookups'!I:I)+SUMIF('NEI Lookups'!$T:$T,'Inputs Yr 2'!$F110,'NEI Lookups'!I:I),2)</f>
        <v>0.13</v>
      </c>
      <c r="AX110" s="940">
        <f>SUMIF('NEI Lookups'!$L:$L,'Inputs Yr 2'!$F110,'NEI Lookups'!J:J)+SUMIF('NEI Lookups'!$M:$M,'Inputs Yr 2'!$F110,'NEI Lookups'!J:J)+SUMIF('NEI Lookups'!$N:$N,'Inputs Yr 2'!$F110,'NEI Lookups'!J:J)+SUMIF('NEI Lookups'!$O:$O,'Inputs Yr 2'!$F110,'NEI Lookups'!J:J)+SUMIF('NEI Lookups'!$P:$P,'Inputs Yr 2'!$F110,'NEI Lookups'!J:J)+SUMIF('NEI Lookups'!$Q:$Q,'Inputs Yr 2'!$F110,'NEI Lookups'!J:J)+SUMIF('NEI Lookups'!$R:$R,'Inputs Yr 2'!$F110,'NEI Lookups'!J:J)+SUMIF('NEI Lookups'!$S:$S,'Inputs Yr 2'!$F110,'NEI Lookups'!J:J)+SUMIF('NEI Lookups'!$T:$T,'Inputs Yr 2'!$F110,'NEI Lookups'!J:J)</f>
        <v>7.5999999999999998E-2</v>
      </c>
      <c r="AY110" s="930" t="e">
        <f>'Calculations Yr 2'!CP110/'Calculations Yr 2'!I110</f>
        <v>#VALUE!</v>
      </c>
    </row>
    <row r="111" spans="1:51" s="133" customFormat="1" ht="12.75" customHeight="1">
      <c r="A111" s="145" t="s">
        <v>79</v>
      </c>
      <c r="B111" s="132" t="s">
        <v>872</v>
      </c>
      <c r="C111" s="132" t="s">
        <v>761</v>
      </c>
      <c r="D111" s="97"/>
      <c r="E111" s="98" t="s">
        <v>1394</v>
      </c>
      <c r="F111" s="98" t="s">
        <v>1026</v>
      </c>
      <c r="G111" s="145" t="s">
        <v>89</v>
      </c>
      <c r="H111" s="232">
        <v>0</v>
      </c>
      <c r="I111" s="232">
        <v>0</v>
      </c>
      <c r="J111" s="964"/>
      <c r="K111" s="166"/>
      <c r="L111" s="888">
        <f t="shared" si="16"/>
        <v>0</v>
      </c>
      <c r="M111" s="980">
        <v>0</v>
      </c>
      <c r="N111" s="980">
        <v>0</v>
      </c>
      <c r="O111" s="980">
        <v>0</v>
      </c>
      <c r="P111" s="889">
        <v>1</v>
      </c>
      <c r="Q111" s="980">
        <v>0</v>
      </c>
      <c r="R111" s="178">
        <v>1</v>
      </c>
      <c r="S111" s="178">
        <v>1</v>
      </c>
      <c r="T111" s="178">
        <v>1</v>
      </c>
      <c r="U111" s="980">
        <v>0</v>
      </c>
      <c r="V111" s="980">
        <v>0</v>
      </c>
      <c r="W111" s="179"/>
      <c r="X111" s="937" t="s">
        <v>653</v>
      </c>
      <c r="Y111" s="299">
        <f>IFERROR(VLOOKUP($X111,'Demand Lookups'!$A$5:$K$101,9,0), 0)</f>
        <v>0</v>
      </c>
      <c r="Z111" s="922" t="str">
        <f>IFERROR(VLOOKUP(X111,'Demand Lookups'!$A$5:$B$101,2,0),0)</f>
        <v>Non-Electric Measures</v>
      </c>
      <c r="AA111" s="722">
        <v>0</v>
      </c>
      <c r="AB111" s="722">
        <v>0</v>
      </c>
      <c r="AC111" s="722">
        <v>0</v>
      </c>
      <c r="AD111" s="723">
        <v>0</v>
      </c>
      <c r="AE111" s="837">
        <f t="shared" si="20"/>
        <v>0</v>
      </c>
      <c r="AF111" s="723">
        <v>0</v>
      </c>
      <c r="AG111" s="723">
        <v>0</v>
      </c>
      <c r="AH111" s="648">
        <v>0</v>
      </c>
      <c r="AI111" s="648">
        <v>0</v>
      </c>
      <c r="AJ111" s="167" t="s">
        <v>40</v>
      </c>
      <c r="AK111" s="176">
        <v>0</v>
      </c>
      <c r="AL111" s="167"/>
      <c r="AM111" s="168"/>
      <c r="AN111" s="167"/>
      <c r="AO111" s="168"/>
      <c r="AP111" s="171">
        <v>2401</v>
      </c>
      <c r="AQ111" s="171"/>
      <c r="AR111" s="171"/>
      <c r="AS111" s="299">
        <f>SUMIF('NEI Lookups'!$L:$L,'Inputs Yr 2'!$F111,'NEI Lookups'!E:E)+SUMIF('NEI Lookups'!$M:$M,'Inputs Yr 2'!$F111,'NEI Lookups'!E:E)+SUMIF('NEI Lookups'!$N:$N,'Inputs Yr 2'!$F111,'NEI Lookups'!E:E)+SUMIF('NEI Lookups'!$O:$O,'Inputs Yr 2'!$F111,'NEI Lookups'!E:E)+SUMIF('NEI Lookups'!$P:$P,'Inputs Yr 2'!$F111,'NEI Lookups'!E:E)+SUMIF('NEI Lookups'!$Q:$Q,'Inputs Yr 2'!$F111,'NEI Lookups'!E:E)+SUMIF('NEI Lookups'!$R:$R,'Inputs Yr 2'!$F111,'NEI Lookups'!E:E)+SUMIF('NEI Lookups'!$S:$S,'Inputs Yr 2'!$F111,'NEI Lookups'!E:E)+SUMIF('NEI Lookups'!$T:$T,'Inputs Yr 2'!$F111,'NEI Lookups'!E:E)</f>
        <v>0</v>
      </c>
      <c r="AT111" s="299">
        <f>SUMIF('NEI Lookups'!$L:$L,'Inputs Yr 2'!$F111,'NEI Lookups'!F:F)+SUMIF('NEI Lookups'!$M:$M,'Inputs Yr 2'!$F111,'NEI Lookups'!F:F)+SUMIF('NEI Lookups'!$N:$N,'Inputs Yr 2'!$F111,'NEI Lookups'!F:F)+SUMIF('NEI Lookups'!$O:$O,'Inputs Yr 2'!$F111,'NEI Lookups'!F:F)+SUMIF('NEI Lookups'!$P:$P,'Inputs Yr 2'!$F111,'NEI Lookups'!F:F)+SUMIF('NEI Lookups'!$Q:$Q,'Inputs Yr 2'!$F111,'NEI Lookups'!F:F)+SUMIF('NEI Lookups'!$R:$R,'Inputs Yr 2'!$F111,'NEI Lookups'!F:F)+SUMIF('NEI Lookups'!$S:$S,'Inputs Yr 2'!$F111,'NEI Lookups'!F:F)+SUMIF('NEI Lookups'!$T:$T,'Inputs Yr 2'!$F111,'NEI Lookups'!F:F)</f>
        <v>0</v>
      </c>
      <c r="AU111" s="299">
        <f>SUMIF('NEI Lookups'!$L:$L,'Inputs Yr 2'!$F111,'NEI Lookups'!G:G)+SUMIF('NEI Lookups'!$M:$M,'Inputs Yr 2'!$F111,'NEI Lookups'!G:G)+SUMIF('NEI Lookups'!$N:$N,'Inputs Yr 2'!$F111,'NEI Lookups'!G:G)+SUMIF('NEI Lookups'!$O:$O,'Inputs Yr 2'!$F111,'NEI Lookups'!G:G)+SUMIF('NEI Lookups'!$P:$P,'Inputs Yr 2'!$F111,'NEI Lookups'!G:G)+SUMIF('NEI Lookups'!$Q:$Q,'Inputs Yr 2'!$F111,'NEI Lookups'!G:G)+SUMIF('NEI Lookups'!$R:$R,'Inputs Yr 2'!$F111,'NEI Lookups'!G:G)+SUMIF('NEI Lookups'!$S:$S,'Inputs Yr 2'!$F111,'NEI Lookups'!G:G)+SUMIF('NEI Lookups'!$T:$T,'Inputs Yr 2'!$F111,'NEI Lookups'!G:G)</f>
        <v>0</v>
      </c>
      <c r="AV111" s="299">
        <f>SUMIF('NEI Lookups'!$L:$L,'Inputs Yr 2'!$F111,'NEI Lookups'!H:H)+SUMIF('NEI Lookups'!$M:$M,'Inputs Yr 2'!$F111,'NEI Lookups'!H:H)+SUMIF('NEI Lookups'!$N:$N,'Inputs Yr 2'!$F111,'NEI Lookups'!H:H)+SUMIF('NEI Lookups'!$O:$O,'Inputs Yr 2'!$F111,'NEI Lookups'!H:H)+SUMIF('NEI Lookups'!$P:$P,'Inputs Yr 2'!$F111,'NEI Lookups'!H:H)+SUMIF('NEI Lookups'!$Q:$Q,'Inputs Yr 2'!$F111,'NEI Lookups'!H:H)+SUMIF('NEI Lookups'!$R:$R,'Inputs Yr 2'!$F111,'NEI Lookups'!H:H)+SUMIF('NEI Lookups'!$S:$S,'Inputs Yr 2'!$F111,'NEI Lookups'!H:H)+SUMIF('NEI Lookups'!$T:$T,'Inputs Yr 2'!$F111,'NEI Lookups'!H:H)</f>
        <v>0</v>
      </c>
      <c r="AW111" s="299">
        <f>ROUND(SUMIF('NEI Lookups'!$L:$L,'Inputs Yr 2'!$F111,'NEI Lookups'!I:I)+SUMIF('NEI Lookups'!$M:$M,'Inputs Yr 2'!$F111,'NEI Lookups'!I:I)+SUMIF('NEI Lookups'!$N:$N,'Inputs Yr 2'!$F111,'NEI Lookups'!I:I)+SUMIF('NEI Lookups'!$O:$O,'Inputs Yr 2'!$F111,'NEI Lookups'!I:I)+SUMIF('NEI Lookups'!$P:$P,'Inputs Yr 2'!$F111,'NEI Lookups'!I:I)+SUMIF('NEI Lookups'!$Q:$Q,'Inputs Yr 2'!$F111,'NEI Lookups'!I:I)+SUMIF('NEI Lookups'!$R:$R,'Inputs Yr 2'!$F111,'NEI Lookups'!I:I)+SUMIF('NEI Lookups'!$S:$S,'Inputs Yr 2'!$F111,'NEI Lookups'!I:I)+SUMIF('NEI Lookups'!$T:$T,'Inputs Yr 2'!$F111,'NEI Lookups'!I:I),2)</f>
        <v>0.13</v>
      </c>
      <c r="AX111" s="940">
        <f>SUMIF('NEI Lookups'!$L:$L,'Inputs Yr 2'!$F111,'NEI Lookups'!J:J)+SUMIF('NEI Lookups'!$M:$M,'Inputs Yr 2'!$F111,'NEI Lookups'!J:J)+SUMIF('NEI Lookups'!$N:$N,'Inputs Yr 2'!$F111,'NEI Lookups'!J:J)+SUMIF('NEI Lookups'!$O:$O,'Inputs Yr 2'!$F111,'NEI Lookups'!J:J)+SUMIF('NEI Lookups'!$P:$P,'Inputs Yr 2'!$F111,'NEI Lookups'!J:J)+SUMIF('NEI Lookups'!$Q:$Q,'Inputs Yr 2'!$F111,'NEI Lookups'!J:J)+SUMIF('NEI Lookups'!$R:$R,'Inputs Yr 2'!$F111,'NEI Lookups'!J:J)+SUMIF('NEI Lookups'!$S:$S,'Inputs Yr 2'!$F111,'NEI Lookups'!J:J)+SUMIF('NEI Lookups'!$T:$T,'Inputs Yr 2'!$F111,'NEI Lookups'!J:J)</f>
        <v>7.5999999999999998E-2</v>
      </c>
      <c r="AY111" s="930" t="e">
        <f>'Calculations Yr 2'!CP111/'Calculations Yr 2'!I111</f>
        <v>#VALUE!</v>
      </c>
    </row>
    <row r="112" spans="1:51" s="133" customFormat="1" ht="12.75" customHeight="1">
      <c r="A112" s="145" t="s">
        <v>79</v>
      </c>
      <c r="B112" s="132" t="s">
        <v>872</v>
      </c>
      <c r="C112" s="132" t="s">
        <v>761</v>
      </c>
      <c r="D112" s="97"/>
      <c r="E112" s="150" t="s">
        <v>759</v>
      </c>
      <c r="F112" s="98" t="s">
        <v>1027</v>
      </c>
      <c r="G112" s="145" t="s">
        <v>1247</v>
      </c>
      <c r="H112" s="232">
        <v>0</v>
      </c>
      <c r="I112" s="232">
        <v>0</v>
      </c>
      <c r="J112" s="964"/>
      <c r="K112" s="166"/>
      <c r="L112" s="888">
        <f t="shared" si="16"/>
        <v>0</v>
      </c>
      <c r="M112" s="980">
        <v>0</v>
      </c>
      <c r="N112" s="980">
        <v>0</v>
      </c>
      <c r="O112" s="980">
        <v>0</v>
      </c>
      <c r="P112" s="889">
        <v>1</v>
      </c>
      <c r="Q112" s="980">
        <v>0</v>
      </c>
      <c r="R112" s="178">
        <v>1</v>
      </c>
      <c r="S112" s="178">
        <v>1</v>
      </c>
      <c r="T112" s="178">
        <v>1</v>
      </c>
      <c r="U112" s="980">
        <v>0</v>
      </c>
      <c r="V112" s="980">
        <v>0</v>
      </c>
      <c r="W112" s="878"/>
      <c r="X112" s="937" t="s">
        <v>653</v>
      </c>
      <c r="Y112" s="299">
        <f>IFERROR(VLOOKUP($X112,'Demand Lookups'!$A$5:$K$101,9,0), 0)</f>
        <v>0</v>
      </c>
      <c r="Z112" s="922" t="str">
        <f>IFERROR(VLOOKUP(X112,'Demand Lookups'!$A$5:$B$101,2,0),0)</f>
        <v>Non-Electric Measures</v>
      </c>
      <c r="AA112" s="722">
        <v>0</v>
      </c>
      <c r="AB112" s="722">
        <v>0</v>
      </c>
      <c r="AC112" s="722">
        <v>0</v>
      </c>
      <c r="AD112" s="723">
        <v>0</v>
      </c>
      <c r="AE112" s="837">
        <f t="shared" si="20"/>
        <v>0</v>
      </c>
      <c r="AF112" s="723">
        <v>0</v>
      </c>
      <c r="AG112" s="723">
        <v>0</v>
      </c>
      <c r="AH112" s="648">
        <v>0</v>
      </c>
      <c r="AI112" s="648">
        <v>0</v>
      </c>
      <c r="AJ112" s="167" t="s">
        <v>404</v>
      </c>
      <c r="AK112" s="176">
        <v>0</v>
      </c>
      <c r="AL112" s="167"/>
      <c r="AM112" s="168"/>
      <c r="AN112" s="167"/>
      <c r="AO112" s="168"/>
      <c r="AP112" s="171"/>
      <c r="AQ112" s="171"/>
      <c r="AR112" s="171"/>
      <c r="AS112" s="299">
        <f>SUMIF('NEI Lookups'!$L:$L,'Inputs Yr 2'!$F112,'NEI Lookups'!E:E)+SUMIF('NEI Lookups'!$M:$M,'Inputs Yr 2'!$F112,'NEI Lookups'!E:E)+SUMIF('NEI Lookups'!$N:$N,'Inputs Yr 2'!$F112,'NEI Lookups'!E:E)+SUMIF('NEI Lookups'!$O:$O,'Inputs Yr 2'!$F112,'NEI Lookups'!E:E)+SUMIF('NEI Lookups'!$P:$P,'Inputs Yr 2'!$F112,'NEI Lookups'!E:E)+SUMIF('NEI Lookups'!$Q:$Q,'Inputs Yr 2'!$F112,'NEI Lookups'!E:E)+SUMIF('NEI Lookups'!$R:$R,'Inputs Yr 2'!$F112,'NEI Lookups'!E:E)+SUMIF('NEI Lookups'!$S:$S,'Inputs Yr 2'!$F112,'NEI Lookups'!E:E)+SUMIF('NEI Lookups'!$T:$T,'Inputs Yr 2'!$F112,'NEI Lookups'!E:E)</f>
        <v>44.53</v>
      </c>
      <c r="AT112" s="299">
        <f>SUMIF('NEI Lookups'!$L:$L,'Inputs Yr 2'!$F112,'NEI Lookups'!F:F)+SUMIF('NEI Lookups'!$M:$M,'Inputs Yr 2'!$F112,'NEI Lookups'!F:F)+SUMIF('NEI Lookups'!$N:$N,'Inputs Yr 2'!$F112,'NEI Lookups'!F:F)+SUMIF('NEI Lookups'!$O:$O,'Inputs Yr 2'!$F112,'NEI Lookups'!F:F)+SUMIF('NEI Lookups'!$P:$P,'Inputs Yr 2'!$F112,'NEI Lookups'!F:F)+SUMIF('NEI Lookups'!$Q:$Q,'Inputs Yr 2'!$F112,'NEI Lookups'!F:F)+SUMIF('NEI Lookups'!$R:$R,'Inputs Yr 2'!$F112,'NEI Lookups'!F:F)+SUMIF('NEI Lookups'!$S:$S,'Inputs Yr 2'!$F112,'NEI Lookups'!F:F)+SUMIF('NEI Lookups'!$T:$T,'Inputs Yr 2'!$F112,'NEI Lookups'!F:F)</f>
        <v>0</v>
      </c>
      <c r="AU112" s="299">
        <f>SUMIF('NEI Lookups'!$L:$L,'Inputs Yr 2'!$F112,'NEI Lookups'!G:G)+SUMIF('NEI Lookups'!$M:$M,'Inputs Yr 2'!$F112,'NEI Lookups'!G:G)+SUMIF('NEI Lookups'!$N:$N,'Inputs Yr 2'!$F112,'NEI Lookups'!G:G)+SUMIF('NEI Lookups'!$O:$O,'Inputs Yr 2'!$F112,'NEI Lookups'!G:G)+SUMIF('NEI Lookups'!$P:$P,'Inputs Yr 2'!$F112,'NEI Lookups'!G:G)+SUMIF('NEI Lookups'!$Q:$Q,'Inputs Yr 2'!$F112,'NEI Lookups'!G:G)+SUMIF('NEI Lookups'!$R:$R,'Inputs Yr 2'!$F112,'NEI Lookups'!G:G)+SUMIF('NEI Lookups'!$S:$S,'Inputs Yr 2'!$F112,'NEI Lookups'!G:G)+SUMIF('NEI Lookups'!$T:$T,'Inputs Yr 2'!$F112,'NEI Lookups'!G:G)</f>
        <v>0</v>
      </c>
      <c r="AV112" s="299">
        <f>SUMIF('NEI Lookups'!$L:$L,'Inputs Yr 2'!$F112,'NEI Lookups'!H:H)+SUMIF('NEI Lookups'!$M:$M,'Inputs Yr 2'!$F112,'NEI Lookups'!H:H)+SUMIF('NEI Lookups'!$N:$N,'Inputs Yr 2'!$F112,'NEI Lookups'!H:H)+SUMIF('NEI Lookups'!$O:$O,'Inputs Yr 2'!$F112,'NEI Lookups'!H:H)+SUMIF('NEI Lookups'!$P:$P,'Inputs Yr 2'!$F112,'NEI Lookups'!H:H)+SUMIF('NEI Lookups'!$Q:$Q,'Inputs Yr 2'!$F112,'NEI Lookups'!H:H)+SUMIF('NEI Lookups'!$R:$R,'Inputs Yr 2'!$F112,'NEI Lookups'!H:H)+SUMIF('NEI Lookups'!$S:$S,'Inputs Yr 2'!$F112,'NEI Lookups'!H:H)+SUMIF('NEI Lookups'!$T:$T,'Inputs Yr 2'!$F112,'NEI Lookups'!H:H)</f>
        <v>0</v>
      </c>
      <c r="AW112" s="299">
        <f>ROUND(SUMIF('NEI Lookups'!$L:$L,'Inputs Yr 2'!$F112,'NEI Lookups'!I:I)+SUMIF('NEI Lookups'!$M:$M,'Inputs Yr 2'!$F112,'NEI Lookups'!I:I)+SUMIF('NEI Lookups'!$N:$N,'Inputs Yr 2'!$F112,'NEI Lookups'!I:I)+SUMIF('NEI Lookups'!$O:$O,'Inputs Yr 2'!$F112,'NEI Lookups'!I:I)+SUMIF('NEI Lookups'!$P:$P,'Inputs Yr 2'!$F112,'NEI Lookups'!I:I)+SUMIF('NEI Lookups'!$Q:$Q,'Inputs Yr 2'!$F112,'NEI Lookups'!I:I)+SUMIF('NEI Lookups'!$R:$R,'Inputs Yr 2'!$F112,'NEI Lookups'!I:I)+SUMIF('NEI Lookups'!$S:$S,'Inputs Yr 2'!$F112,'NEI Lookups'!I:I)+SUMIF('NEI Lookups'!$T:$T,'Inputs Yr 2'!$F112,'NEI Lookups'!I:I),2)</f>
        <v>0.13</v>
      </c>
      <c r="AX112" s="940">
        <f>SUMIF('NEI Lookups'!$L:$L,'Inputs Yr 2'!$F112,'NEI Lookups'!J:J)+SUMIF('NEI Lookups'!$M:$M,'Inputs Yr 2'!$F112,'NEI Lookups'!J:J)+SUMIF('NEI Lookups'!$N:$N,'Inputs Yr 2'!$F112,'NEI Lookups'!J:J)+SUMIF('NEI Lookups'!$O:$O,'Inputs Yr 2'!$F112,'NEI Lookups'!J:J)+SUMIF('NEI Lookups'!$P:$P,'Inputs Yr 2'!$F112,'NEI Lookups'!J:J)+SUMIF('NEI Lookups'!$Q:$Q,'Inputs Yr 2'!$F112,'NEI Lookups'!J:J)+SUMIF('NEI Lookups'!$R:$R,'Inputs Yr 2'!$F112,'NEI Lookups'!J:J)+SUMIF('NEI Lookups'!$S:$S,'Inputs Yr 2'!$F112,'NEI Lookups'!J:J)+SUMIF('NEI Lookups'!$T:$T,'Inputs Yr 2'!$F112,'NEI Lookups'!J:J)</f>
        <v>7.5999999999999998E-2</v>
      </c>
      <c r="AY112" s="930" t="e">
        <f>'Calculations Yr 2'!CP112/'Calculations Yr 2'!I112</f>
        <v>#VALUE!</v>
      </c>
    </row>
    <row r="113" spans="1:53" s="133" customFormat="1" ht="12.75" customHeight="1">
      <c r="A113" s="145" t="s">
        <v>79</v>
      </c>
      <c r="B113" s="132" t="s">
        <v>872</v>
      </c>
      <c r="C113" s="132" t="s">
        <v>761</v>
      </c>
      <c r="D113" s="97"/>
      <c r="E113" s="150" t="s">
        <v>760</v>
      </c>
      <c r="F113" s="98" t="s">
        <v>1028</v>
      </c>
      <c r="G113" s="145" t="s">
        <v>1247</v>
      </c>
      <c r="H113" s="232">
        <v>0</v>
      </c>
      <c r="I113" s="232">
        <v>0</v>
      </c>
      <c r="J113" s="964"/>
      <c r="K113" s="166"/>
      <c r="L113" s="888">
        <f t="shared" si="16"/>
        <v>0</v>
      </c>
      <c r="M113" s="980">
        <v>0</v>
      </c>
      <c r="N113" s="980">
        <v>0</v>
      </c>
      <c r="O113" s="980">
        <v>0</v>
      </c>
      <c r="P113" s="889">
        <v>1</v>
      </c>
      <c r="Q113" s="980">
        <v>0</v>
      </c>
      <c r="R113" s="178">
        <v>1</v>
      </c>
      <c r="S113" s="178">
        <v>1</v>
      </c>
      <c r="T113" s="178">
        <v>1</v>
      </c>
      <c r="U113" s="980">
        <v>0</v>
      </c>
      <c r="V113" s="980">
        <v>0</v>
      </c>
      <c r="W113" s="179"/>
      <c r="X113" s="97" t="s">
        <v>38</v>
      </c>
      <c r="Y113" s="299">
        <f>IFERROR(VLOOKUP($X113,'Demand Lookups'!$A$5:$K$101,9,0), 0)</f>
        <v>2.2229620624189838E-3</v>
      </c>
      <c r="Z113" s="922" t="str">
        <f>IFERROR(VLOOKUP(X113,'Demand Lookups'!$A$5:$B$101,2,0),0)</f>
        <v>Residential Electric Cooling - Central AC</v>
      </c>
      <c r="AA113" s="722">
        <v>8.9580765460539422E-3</v>
      </c>
      <c r="AB113" s="722">
        <v>4.1168791499145839E-2</v>
      </c>
      <c r="AC113" s="722">
        <v>0.53821715078601073</v>
      </c>
      <c r="AD113" s="723">
        <v>0.41165598116877211</v>
      </c>
      <c r="AE113" s="724">
        <v>0.23118805449157431</v>
      </c>
      <c r="AF113" s="723">
        <v>1</v>
      </c>
      <c r="AG113" s="723">
        <v>0</v>
      </c>
      <c r="AH113" s="648">
        <v>1</v>
      </c>
      <c r="AI113" s="648">
        <v>1</v>
      </c>
      <c r="AJ113" s="167" t="s">
        <v>404</v>
      </c>
      <c r="AK113" s="176">
        <v>0</v>
      </c>
      <c r="AL113" s="167"/>
      <c r="AM113" s="168"/>
      <c r="AN113" s="167"/>
      <c r="AO113" s="168"/>
      <c r="AP113" s="171"/>
      <c r="AQ113" s="171"/>
      <c r="AR113" s="171"/>
      <c r="AS113" s="299">
        <f>SUMIF('NEI Lookups'!$L:$L,'Inputs Yr 2'!$F113,'NEI Lookups'!E:E)+SUMIF('NEI Lookups'!$M:$M,'Inputs Yr 2'!$F113,'NEI Lookups'!E:E)+SUMIF('NEI Lookups'!$N:$N,'Inputs Yr 2'!$F113,'NEI Lookups'!E:E)+SUMIF('NEI Lookups'!$O:$O,'Inputs Yr 2'!$F113,'NEI Lookups'!E:E)+SUMIF('NEI Lookups'!$P:$P,'Inputs Yr 2'!$F113,'NEI Lookups'!E:E)+SUMIF('NEI Lookups'!$Q:$Q,'Inputs Yr 2'!$F113,'NEI Lookups'!E:E)+SUMIF('NEI Lookups'!$R:$R,'Inputs Yr 2'!$F113,'NEI Lookups'!E:E)+SUMIF('NEI Lookups'!$S:$S,'Inputs Yr 2'!$F113,'NEI Lookups'!E:E)+SUMIF('NEI Lookups'!$T:$T,'Inputs Yr 2'!$F113,'NEI Lookups'!E:E)</f>
        <v>44.53</v>
      </c>
      <c r="AT113" s="299">
        <f>SUMIF('NEI Lookups'!$L:$L,'Inputs Yr 2'!$F113,'NEI Lookups'!F:F)+SUMIF('NEI Lookups'!$M:$M,'Inputs Yr 2'!$F113,'NEI Lookups'!F:F)+SUMIF('NEI Lookups'!$N:$N,'Inputs Yr 2'!$F113,'NEI Lookups'!F:F)+SUMIF('NEI Lookups'!$O:$O,'Inputs Yr 2'!$F113,'NEI Lookups'!F:F)+SUMIF('NEI Lookups'!$P:$P,'Inputs Yr 2'!$F113,'NEI Lookups'!F:F)+SUMIF('NEI Lookups'!$Q:$Q,'Inputs Yr 2'!$F113,'NEI Lookups'!F:F)+SUMIF('NEI Lookups'!$R:$R,'Inputs Yr 2'!$F113,'NEI Lookups'!F:F)+SUMIF('NEI Lookups'!$S:$S,'Inputs Yr 2'!$F113,'NEI Lookups'!F:F)+SUMIF('NEI Lookups'!$T:$T,'Inputs Yr 2'!$F113,'NEI Lookups'!F:F)</f>
        <v>0</v>
      </c>
      <c r="AU113" s="299">
        <f>SUMIF('NEI Lookups'!$L:$L,'Inputs Yr 2'!$F113,'NEI Lookups'!G:G)+SUMIF('NEI Lookups'!$M:$M,'Inputs Yr 2'!$F113,'NEI Lookups'!G:G)+SUMIF('NEI Lookups'!$N:$N,'Inputs Yr 2'!$F113,'NEI Lookups'!G:G)+SUMIF('NEI Lookups'!$O:$O,'Inputs Yr 2'!$F113,'NEI Lookups'!G:G)+SUMIF('NEI Lookups'!$P:$P,'Inputs Yr 2'!$F113,'NEI Lookups'!G:G)+SUMIF('NEI Lookups'!$Q:$Q,'Inputs Yr 2'!$F113,'NEI Lookups'!G:G)+SUMIF('NEI Lookups'!$R:$R,'Inputs Yr 2'!$F113,'NEI Lookups'!G:G)+SUMIF('NEI Lookups'!$S:$S,'Inputs Yr 2'!$F113,'NEI Lookups'!G:G)+SUMIF('NEI Lookups'!$T:$T,'Inputs Yr 2'!$F113,'NEI Lookups'!G:G)</f>
        <v>0</v>
      </c>
      <c r="AV113" s="299">
        <f>SUMIF('NEI Lookups'!$L:$L,'Inputs Yr 2'!$F113,'NEI Lookups'!H:H)+SUMIF('NEI Lookups'!$M:$M,'Inputs Yr 2'!$F113,'NEI Lookups'!H:H)+SUMIF('NEI Lookups'!$N:$N,'Inputs Yr 2'!$F113,'NEI Lookups'!H:H)+SUMIF('NEI Lookups'!$O:$O,'Inputs Yr 2'!$F113,'NEI Lookups'!H:H)+SUMIF('NEI Lookups'!$P:$P,'Inputs Yr 2'!$F113,'NEI Lookups'!H:H)+SUMIF('NEI Lookups'!$Q:$Q,'Inputs Yr 2'!$F113,'NEI Lookups'!H:H)+SUMIF('NEI Lookups'!$R:$R,'Inputs Yr 2'!$F113,'NEI Lookups'!H:H)+SUMIF('NEI Lookups'!$S:$S,'Inputs Yr 2'!$F113,'NEI Lookups'!H:H)+SUMIF('NEI Lookups'!$T:$T,'Inputs Yr 2'!$F113,'NEI Lookups'!H:H)</f>
        <v>0</v>
      </c>
      <c r="AW113" s="299">
        <f>ROUND(SUMIF('NEI Lookups'!$L:$L,'Inputs Yr 2'!$F113,'NEI Lookups'!I:I)+SUMIF('NEI Lookups'!$M:$M,'Inputs Yr 2'!$F113,'NEI Lookups'!I:I)+SUMIF('NEI Lookups'!$N:$N,'Inputs Yr 2'!$F113,'NEI Lookups'!I:I)+SUMIF('NEI Lookups'!$O:$O,'Inputs Yr 2'!$F113,'NEI Lookups'!I:I)+SUMIF('NEI Lookups'!$P:$P,'Inputs Yr 2'!$F113,'NEI Lookups'!I:I)+SUMIF('NEI Lookups'!$Q:$Q,'Inputs Yr 2'!$F113,'NEI Lookups'!I:I)+SUMIF('NEI Lookups'!$R:$R,'Inputs Yr 2'!$F113,'NEI Lookups'!I:I)+SUMIF('NEI Lookups'!$S:$S,'Inputs Yr 2'!$F113,'NEI Lookups'!I:I)+SUMIF('NEI Lookups'!$T:$T,'Inputs Yr 2'!$F113,'NEI Lookups'!I:I),2)</f>
        <v>0.13</v>
      </c>
      <c r="AX113" s="940">
        <f>SUMIF('NEI Lookups'!$L:$L,'Inputs Yr 2'!$F113,'NEI Lookups'!J:J)+SUMIF('NEI Lookups'!$M:$M,'Inputs Yr 2'!$F113,'NEI Lookups'!J:J)+SUMIF('NEI Lookups'!$N:$N,'Inputs Yr 2'!$F113,'NEI Lookups'!J:J)+SUMIF('NEI Lookups'!$O:$O,'Inputs Yr 2'!$F113,'NEI Lookups'!J:J)+SUMIF('NEI Lookups'!$P:$P,'Inputs Yr 2'!$F113,'NEI Lookups'!J:J)+SUMIF('NEI Lookups'!$Q:$Q,'Inputs Yr 2'!$F113,'NEI Lookups'!J:J)+SUMIF('NEI Lookups'!$R:$R,'Inputs Yr 2'!$F113,'NEI Lookups'!J:J)+SUMIF('NEI Lookups'!$S:$S,'Inputs Yr 2'!$F113,'NEI Lookups'!J:J)+SUMIF('NEI Lookups'!$T:$T,'Inputs Yr 2'!$F113,'NEI Lookups'!J:J)</f>
        <v>7.5999999999999998E-2</v>
      </c>
      <c r="AY113" s="930" t="e">
        <f>'Calculations Yr 2'!CP113/'Calculations Yr 2'!I113</f>
        <v>#VALUE!</v>
      </c>
    </row>
    <row r="114" spans="1:53" s="133" customFormat="1" ht="12.75" customHeight="1">
      <c r="A114" s="145" t="s">
        <v>79</v>
      </c>
      <c r="B114" s="132" t="s">
        <v>872</v>
      </c>
      <c r="C114" s="132" t="s">
        <v>761</v>
      </c>
      <c r="D114" s="97"/>
      <c r="E114" s="150" t="s">
        <v>764</v>
      </c>
      <c r="F114" s="98"/>
      <c r="G114" s="145"/>
      <c r="H114" s="232">
        <v>0</v>
      </c>
      <c r="I114" s="232">
        <v>0</v>
      </c>
      <c r="J114" s="964"/>
      <c r="K114" s="166"/>
      <c r="L114" s="888">
        <f t="shared" si="16"/>
        <v>0</v>
      </c>
      <c r="M114" s="980">
        <v>0</v>
      </c>
      <c r="N114" s="980">
        <v>0</v>
      </c>
      <c r="O114" s="980">
        <v>0</v>
      </c>
      <c r="P114" s="889">
        <v>1</v>
      </c>
      <c r="Q114" s="980">
        <v>0</v>
      </c>
      <c r="R114" s="178">
        <v>1</v>
      </c>
      <c r="S114" s="178">
        <v>1</v>
      </c>
      <c r="T114" s="178">
        <v>1</v>
      </c>
      <c r="U114" s="980">
        <v>0</v>
      </c>
      <c r="V114" s="980">
        <v>0</v>
      </c>
      <c r="W114" s="179"/>
      <c r="X114" s="937" t="s">
        <v>653</v>
      </c>
      <c r="Y114" s="299">
        <f>IFERROR(VLOOKUP($X114,'Demand Lookups'!$A$5:$K$101,9,0), 0)</f>
        <v>0</v>
      </c>
      <c r="Z114" s="922" t="str">
        <f>IFERROR(VLOOKUP(X114,'Demand Lookups'!$A$5:$B$101,2,0),0)</f>
        <v>Non-Electric Measures</v>
      </c>
      <c r="AA114" s="722">
        <v>0</v>
      </c>
      <c r="AB114" s="722">
        <v>0</v>
      </c>
      <c r="AC114" s="722">
        <v>0</v>
      </c>
      <c r="AD114" s="723">
        <v>0</v>
      </c>
      <c r="AE114" s="837">
        <f t="shared" si="20"/>
        <v>0</v>
      </c>
      <c r="AF114" s="723">
        <v>0</v>
      </c>
      <c r="AG114" s="723">
        <v>0</v>
      </c>
      <c r="AH114" s="648">
        <v>0</v>
      </c>
      <c r="AI114" s="648">
        <v>0</v>
      </c>
      <c r="AJ114" s="167"/>
      <c r="AK114" s="168">
        <v>0</v>
      </c>
      <c r="AL114" s="167"/>
      <c r="AM114" s="168"/>
      <c r="AN114" s="167"/>
      <c r="AO114" s="168"/>
      <c r="AP114" s="171"/>
      <c r="AQ114" s="171"/>
      <c r="AR114" s="171"/>
      <c r="AS114" s="299">
        <f>SUMIF('NEI Lookups'!$L:$L,'Inputs Yr 2'!$F114,'NEI Lookups'!E:E)+SUMIF('NEI Lookups'!$M:$M,'Inputs Yr 2'!$F114,'NEI Lookups'!E:E)+SUMIF('NEI Lookups'!$N:$N,'Inputs Yr 2'!$F114,'NEI Lookups'!E:E)+SUMIF('NEI Lookups'!$O:$O,'Inputs Yr 2'!$F114,'NEI Lookups'!E:E)+SUMIF('NEI Lookups'!$P:$P,'Inputs Yr 2'!$F114,'NEI Lookups'!E:E)+SUMIF('NEI Lookups'!$Q:$Q,'Inputs Yr 2'!$F114,'NEI Lookups'!E:E)+SUMIF('NEI Lookups'!$R:$R,'Inputs Yr 2'!$F114,'NEI Lookups'!E:E)+SUMIF('NEI Lookups'!$S:$S,'Inputs Yr 2'!$F114,'NEI Lookups'!E:E)+SUMIF('NEI Lookups'!$T:$T,'Inputs Yr 2'!$F114,'NEI Lookups'!E:E)</f>
        <v>0</v>
      </c>
      <c r="AT114" s="299">
        <f>SUMIF('NEI Lookups'!$L:$L,'Inputs Yr 2'!$F114,'NEI Lookups'!F:F)+SUMIF('NEI Lookups'!$M:$M,'Inputs Yr 2'!$F114,'NEI Lookups'!F:F)+SUMIF('NEI Lookups'!$N:$N,'Inputs Yr 2'!$F114,'NEI Lookups'!F:F)+SUMIF('NEI Lookups'!$O:$O,'Inputs Yr 2'!$F114,'NEI Lookups'!F:F)+SUMIF('NEI Lookups'!$P:$P,'Inputs Yr 2'!$F114,'NEI Lookups'!F:F)+SUMIF('NEI Lookups'!$Q:$Q,'Inputs Yr 2'!$F114,'NEI Lookups'!F:F)+SUMIF('NEI Lookups'!$R:$R,'Inputs Yr 2'!$F114,'NEI Lookups'!F:F)+SUMIF('NEI Lookups'!$S:$S,'Inputs Yr 2'!$F114,'NEI Lookups'!F:F)+SUMIF('NEI Lookups'!$T:$T,'Inputs Yr 2'!$F114,'NEI Lookups'!F:F)</f>
        <v>0</v>
      </c>
      <c r="AU114" s="299">
        <f>SUMIF('NEI Lookups'!$L:$L,'Inputs Yr 2'!$F114,'NEI Lookups'!G:G)+SUMIF('NEI Lookups'!$M:$M,'Inputs Yr 2'!$F114,'NEI Lookups'!G:G)+SUMIF('NEI Lookups'!$N:$N,'Inputs Yr 2'!$F114,'NEI Lookups'!G:G)+SUMIF('NEI Lookups'!$O:$O,'Inputs Yr 2'!$F114,'NEI Lookups'!G:G)+SUMIF('NEI Lookups'!$P:$P,'Inputs Yr 2'!$F114,'NEI Lookups'!G:G)+SUMIF('NEI Lookups'!$Q:$Q,'Inputs Yr 2'!$F114,'NEI Lookups'!G:G)+SUMIF('NEI Lookups'!$R:$R,'Inputs Yr 2'!$F114,'NEI Lookups'!G:G)+SUMIF('NEI Lookups'!$S:$S,'Inputs Yr 2'!$F114,'NEI Lookups'!G:G)+SUMIF('NEI Lookups'!$T:$T,'Inputs Yr 2'!$F114,'NEI Lookups'!G:G)</f>
        <v>0</v>
      </c>
      <c r="AV114" s="299">
        <f>SUMIF('NEI Lookups'!$L:$L,'Inputs Yr 2'!$F114,'NEI Lookups'!H:H)+SUMIF('NEI Lookups'!$M:$M,'Inputs Yr 2'!$F114,'NEI Lookups'!H:H)+SUMIF('NEI Lookups'!$N:$N,'Inputs Yr 2'!$F114,'NEI Lookups'!H:H)+SUMIF('NEI Lookups'!$O:$O,'Inputs Yr 2'!$F114,'NEI Lookups'!H:H)+SUMIF('NEI Lookups'!$P:$P,'Inputs Yr 2'!$F114,'NEI Lookups'!H:H)+SUMIF('NEI Lookups'!$Q:$Q,'Inputs Yr 2'!$F114,'NEI Lookups'!H:H)+SUMIF('NEI Lookups'!$R:$R,'Inputs Yr 2'!$F114,'NEI Lookups'!H:H)+SUMIF('NEI Lookups'!$S:$S,'Inputs Yr 2'!$F114,'NEI Lookups'!H:H)+SUMIF('NEI Lookups'!$T:$T,'Inputs Yr 2'!$F114,'NEI Lookups'!H:H)</f>
        <v>0</v>
      </c>
      <c r="AW114" s="299">
        <f>SUMIF('NEI Lookups'!$L:$L,'Inputs Yr 2'!$F114,'NEI Lookups'!I:I)+SUMIF('NEI Lookups'!$M:$M,'Inputs Yr 2'!$F114,'NEI Lookups'!I:I)+SUMIF('NEI Lookups'!$N:$N,'Inputs Yr 2'!$F114,'NEI Lookups'!I:I)+SUMIF('NEI Lookups'!$O:$O,'Inputs Yr 2'!$F114,'NEI Lookups'!I:I)+SUMIF('NEI Lookups'!$P:$P,'Inputs Yr 2'!$F114,'NEI Lookups'!I:I)+SUMIF('NEI Lookups'!$Q:$Q,'Inputs Yr 2'!$F114,'NEI Lookups'!I:I)+SUMIF('NEI Lookups'!$R:$R,'Inputs Yr 2'!$F114,'NEI Lookups'!I:I)+SUMIF('NEI Lookups'!$S:$S,'Inputs Yr 2'!$F114,'NEI Lookups'!I:I)+SUMIF('NEI Lookups'!$T:$T,'Inputs Yr 2'!$F114,'NEI Lookups'!I:I)</f>
        <v>0</v>
      </c>
      <c r="AX114" s="299">
        <f>SUMIF('NEI Lookups'!$L:$L,'Inputs Yr 2'!$F114,'NEI Lookups'!J:J)+SUMIF('NEI Lookups'!$M:$M,'Inputs Yr 2'!$F114,'NEI Lookups'!J:J)+SUMIF('NEI Lookups'!$N:$N,'Inputs Yr 2'!$F114,'NEI Lookups'!J:J)+SUMIF('NEI Lookups'!$O:$O,'Inputs Yr 2'!$F114,'NEI Lookups'!J:J)+SUMIF('NEI Lookups'!$P:$P,'Inputs Yr 2'!$F114,'NEI Lookups'!J:J)+SUMIF('NEI Lookups'!$Q:$Q,'Inputs Yr 2'!$F114,'NEI Lookups'!J:J)+SUMIF('NEI Lookups'!$R:$R,'Inputs Yr 2'!$F114,'NEI Lookups'!J:J)+SUMIF('NEI Lookups'!$S:$S,'Inputs Yr 2'!$F114,'NEI Lookups'!J:J)+SUMIF('NEI Lookups'!$T:$T,'Inputs Yr 2'!$F114,'NEI Lookups'!J:J)</f>
        <v>0</v>
      </c>
      <c r="AY114" s="930" t="e">
        <f>'Calculations Yr 2'!CP114/'Calculations Yr 2'!I114</f>
        <v>#VALUE!</v>
      </c>
    </row>
    <row r="115" spans="1:53" s="133" customFormat="1" ht="12.75" customHeight="1">
      <c r="A115" s="145" t="s">
        <v>79</v>
      </c>
      <c r="B115" s="132" t="s">
        <v>872</v>
      </c>
      <c r="C115" s="132" t="s">
        <v>761</v>
      </c>
      <c r="D115" s="97"/>
      <c r="E115" s="98" t="s">
        <v>740</v>
      </c>
      <c r="F115" s="98"/>
      <c r="G115" s="145"/>
      <c r="H115" s="232">
        <v>0</v>
      </c>
      <c r="I115" s="232">
        <v>0</v>
      </c>
      <c r="J115" s="964"/>
      <c r="K115" s="166"/>
      <c r="L115" s="888">
        <f t="shared" si="16"/>
        <v>0</v>
      </c>
      <c r="M115" s="980">
        <v>0</v>
      </c>
      <c r="N115" s="980">
        <v>0</v>
      </c>
      <c r="O115" s="980">
        <v>0</v>
      </c>
      <c r="P115" s="889">
        <v>1</v>
      </c>
      <c r="Q115" s="980">
        <v>0</v>
      </c>
      <c r="R115" s="178">
        <v>1</v>
      </c>
      <c r="S115" s="178">
        <v>1</v>
      </c>
      <c r="T115" s="178">
        <v>1</v>
      </c>
      <c r="U115" s="980">
        <v>0</v>
      </c>
      <c r="V115" s="980">
        <v>0</v>
      </c>
      <c r="W115" s="179"/>
      <c r="X115" s="937" t="s">
        <v>653</v>
      </c>
      <c r="Y115" s="299">
        <f>IFERROR(VLOOKUP($X115,'Demand Lookups'!$A$5:$K$101,9,0), 0)</f>
        <v>0</v>
      </c>
      <c r="Z115" s="922" t="str">
        <f>IFERROR(VLOOKUP(X115,'Demand Lookups'!$A$5:$B$101,2,0),0)</f>
        <v>Non-Electric Measures</v>
      </c>
      <c r="AA115" s="722">
        <v>0</v>
      </c>
      <c r="AB115" s="722">
        <v>0</v>
      </c>
      <c r="AC115" s="722">
        <v>0</v>
      </c>
      <c r="AD115" s="723">
        <v>0</v>
      </c>
      <c r="AE115" s="837">
        <f t="shared" si="20"/>
        <v>0</v>
      </c>
      <c r="AF115" s="723">
        <v>0</v>
      </c>
      <c r="AG115" s="723">
        <v>0</v>
      </c>
      <c r="AH115" s="648">
        <v>0</v>
      </c>
      <c r="AI115" s="648">
        <v>0</v>
      </c>
      <c r="AJ115" s="167"/>
      <c r="AK115" s="168">
        <v>0</v>
      </c>
      <c r="AL115" s="167"/>
      <c r="AM115" s="168"/>
      <c r="AN115" s="167"/>
      <c r="AO115" s="168"/>
      <c r="AP115" s="171"/>
      <c r="AQ115" s="171"/>
      <c r="AR115" s="171"/>
      <c r="AS115" s="299">
        <f>SUMIF('NEI Lookups'!$L:$L,'Inputs Yr 2'!$F115,'NEI Lookups'!E:E)+SUMIF('NEI Lookups'!$M:$M,'Inputs Yr 2'!$F115,'NEI Lookups'!E:E)+SUMIF('NEI Lookups'!$N:$N,'Inputs Yr 2'!$F115,'NEI Lookups'!E:E)+SUMIF('NEI Lookups'!$O:$O,'Inputs Yr 2'!$F115,'NEI Lookups'!E:E)+SUMIF('NEI Lookups'!$P:$P,'Inputs Yr 2'!$F115,'NEI Lookups'!E:E)+SUMIF('NEI Lookups'!$Q:$Q,'Inputs Yr 2'!$F115,'NEI Lookups'!E:E)+SUMIF('NEI Lookups'!$R:$R,'Inputs Yr 2'!$F115,'NEI Lookups'!E:E)+SUMIF('NEI Lookups'!$S:$S,'Inputs Yr 2'!$F115,'NEI Lookups'!E:E)+SUMIF('NEI Lookups'!$T:$T,'Inputs Yr 2'!$F115,'NEI Lookups'!E:E)</f>
        <v>0</v>
      </c>
      <c r="AT115" s="299">
        <f>SUMIF('NEI Lookups'!$L:$L,'Inputs Yr 2'!$F115,'NEI Lookups'!F:F)+SUMIF('NEI Lookups'!$M:$M,'Inputs Yr 2'!$F115,'NEI Lookups'!F:F)+SUMIF('NEI Lookups'!$N:$N,'Inputs Yr 2'!$F115,'NEI Lookups'!F:F)+SUMIF('NEI Lookups'!$O:$O,'Inputs Yr 2'!$F115,'NEI Lookups'!F:F)+SUMIF('NEI Lookups'!$P:$P,'Inputs Yr 2'!$F115,'NEI Lookups'!F:F)+SUMIF('NEI Lookups'!$Q:$Q,'Inputs Yr 2'!$F115,'NEI Lookups'!F:F)+SUMIF('NEI Lookups'!$R:$R,'Inputs Yr 2'!$F115,'NEI Lookups'!F:F)+SUMIF('NEI Lookups'!$S:$S,'Inputs Yr 2'!$F115,'NEI Lookups'!F:F)+SUMIF('NEI Lookups'!$T:$T,'Inputs Yr 2'!$F115,'NEI Lookups'!F:F)</f>
        <v>0</v>
      </c>
      <c r="AU115" s="299">
        <f>SUMIF('NEI Lookups'!$L:$L,'Inputs Yr 2'!$F115,'NEI Lookups'!G:G)+SUMIF('NEI Lookups'!$M:$M,'Inputs Yr 2'!$F115,'NEI Lookups'!G:G)+SUMIF('NEI Lookups'!$N:$N,'Inputs Yr 2'!$F115,'NEI Lookups'!G:G)+SUMIF('NEI Lookups'!$O:$O,'Inputs Yr 2'!$F115,'NEI Lookups'!G:G)+SUMIF('NEI Lookups'!$P:$P,'Inputs Yr 2'!$F115,'NEI Lookups'!G:G)+SUMIF('NEI Lookups'!$Q:$Q,'Inputs Yr 2'!$F115,'NEI Lookups'!G:G)+SUMIF('NEI Lookups'!$R:$R,'Inputs Yr 2'!$F115,'NEI Lookups'!G:G)+SUMIF('NEI Lookups'!$S:$S,'Inputs Yr 2'!$F115,'NEI Lookups'!G:G)+SUMIF('NEI Lookups'!$T:$T,'Inputs Yr 2'!$F115,'NEI Lookups'!G:G)</f>
        <v>0</v>
      </c>
      <c r="AV115" s="299">
        <f>SUMIF('NEI Lookups'!$L:$L,'Inputs Yr 2'!$F115,'NEI Lookups'!H:H)+SUMIF('NEI Lookups'!$M:$M,'Inputs Yr 2'!$F115,'NEI Lookups'!H:H)+SUMIF('NEI Lookups'!$N:$N,'Inputs Yr 2'!$F115,'NEI Lookups'!H:H)+SUMIF('NEI Lookups'!$O:$O,'Inputs Yr 2'!$F115,'NEI Lookups'!H:H)+SUMIF('NEI Lookups'!$P:$P,'Inputs Yr 2'!$F115,'NEI Lookups'!H:H)+SUMIF('NEI Lookups'!$Q:$Q,'Inputs Yr 2'!$F115,'NEI Lookups'!H:H)+SUMIF('NEI Lookups'!$R:$R,'Inputs Yr 2'!$F115,'NEI Lookups'!H:H)+SUMIF('NEI Lookups'!$S:$S,'Inputs Yr 2'!$F115,'NEI Lookups'!H:H)+SUMIF('NEI Lookups'!$T:$T,'Inputs Yr 2'!$F115,'NEI Lookups'!H:H)</f>
        <v>0</v>
      </c>
      <c r="AW115" s="299">
        <f>SUMIF('NEI Lookups'!$L:$L,'Inputs Yr 2'!$F115,'NEI Lookups'!I:I)+SUMIF('NEI Lookups'!$M:$M,'Inputs Yr 2'!$F115,'NEI Lookups'!I:I)+SUMIF('NEI Lookups'!$N:$N,'Inputs Yr 2'!$F115,'NEI Lookups'!I:I)+SUMIF('NEI Lookups'!$O:$O,'Inputs Yr 2'!$F115,'NEI Lookups'!I:I)+SUMIF('NEI Lookups'!$P:$P,'Inputs Yr 2'!$F115,'NEI Lookups'!I:I)+SUMIF('NEI Lookups'!$Q:$Q,'Inputs Yr 2'!$F115,'NEI Lookups'!I:I)+SUMIF('NEI Lookups'!$R:$R,'Inputs Yr 2'!$F115,'NEI Lookups'!I:I)+SUMIF('NEI Lookups'!$S:$S,'Inputs Yr 2'!$F115,'NEI Lookups'!I:I)+SUMIF('NEI Lookups'!$T:$T,'Inputs Yr 2'!$F115,'NEI Lookups'!I:I)</f>
        <v>0</v>
      </c>
      <c r="AX115" s="299">
        <f>SUMIF('NEI Lookups'!$L:$L,'Inputs Yr 2'!$F115,'NEI Lookups'!J:J)+SUMIF('NEI Lookups'!$M:$M,'Inputs Yr 2'!$F115,'NEI Lookups'!J:J)+SUMIF('NEI Lookups'!$N:$N,'Inputs Yr 2'!$F115,'NEI Lookups'!J:J)+SUMIF('NEI Lookups'!$O:$O,'Inputs Yr 2'!$F115,'NEI Lookups'!J:J)+SUMIF('NEI Lookups'!$P:$P,'Inputs Yr 2'!$F115,'NEI Lookups'!J:J)+SUMIF('NEI Lookups'!$Q:$Q,'Inputs Yr 2'!$F115,'NEI Lookups'!J:J)+SUMIF('NEI Lookups'!$R:$R,'Inputs Yr 2'!$F115,'NEI Lookups'!J:J)+SUMIF('NEI Lookups'!$S:$S,'Inputs Yr 2'!$F115,'NEI Lookups'!J:J)+SUMIF('NEI Lookups'!$T:$T,'Inputs Yr 2'!$F115,'NEI Lookups'!J:J)</f>
        <v>0</v>
      </c>
      <c r="AY115" s="930" t="e">
        <f>'Calculations Yr 2'!CP115/'Calculations Yr 2'!I115</f>
        <v>#VALUE!</v>
      </c>
    </row>
    <row r="116" spans="1:53" s="133" customFormat="1" ht="12.75" customHeight="1">
      <c r="A116" s="145" t="s">
        <v>79</v>
      </c>
      <c r="B116" s="132" t="s">
        <v>872</v>
      </c>
      <c r="C116" s="132" t="s">
        <v>761</v>
      </c>
      <c r="D116" s="97"/>
      <c r="E116" s="98" t="s">
        <v>453</v>
      </c>
      <c r="F116" s="98"/>
      <c r="G116" s="145"/>
      <c r="H116" s="232">
        <v>0</v>
      </c>
      <c r="I116" s="232">
        <v>0</v>
      </c>
      <c r="J116" s="964"/>
      <c r="K116" s="166"/>
      <c r="L116" s="888">
        <f t="shared" si="16"/>
        <v>0</v>
      </c>
      <c r="M116" s="980">
        <v>0</v>
      </c>
      <c r="N116" s="980">
        <v>0</v>
      </c>
      <c r="O116" s="980">
        <v>0</v>
      </c>
      <c r="P116" s="889">
        <v>1</v>
      </c>
      <c r="Q116" s="980">
        <v>0</v>
      </c>
      <c r="R116" s="178">
        <v>1</v>
      </c>
      <c r="S116" s="178">
        <v>1</v>
      </c>
      <c r="T116" s="178">
        <v>1</v>
      </c>
      <c r="U116" s="980">
        <v>0</v>
      </c>
      <c r="V116" s="980">
        <v>0</v>
      </c>
      <c r="W116" s="179"/>
      <c r="X116" s="937" t="s">
        <v>653</v>
      </c>
      <c r="Y116" s="299">
        <f>IFERROR(VLOOKUP($X116,'Demand Lookups'!$A$5:$K$101,9,0), 0)</f>
        <v>0</v>
      </c>
      <c r="Z116" s="922" t="str">
        <f>IFERROR(VLOOKUP(X116,'Demand Lookups'!$A$5:$B$101,2,0),0)</f>
        <v>Non-Electric Measures</v>
      </c>
      <c r="AA116" s="722">
        <v>0</v>
      </c>
      <c r="AB116" s="722">
        <v>0</v>
      </c>
      <c r="AC116" s="722">
        <v>0</v>
      </c>
      <c r="AD116" s="723">
        <v>0</v>
      </c>
      <c r="AE116" s="837">
        <f t="shared" si="20"/>
        <v>0</v>
      </c>
      <c r="AF116" s="723">
        <v>0</v>
      </c>
      <c r="AG116" s="723">
        <v>0</v>
      </c>
      <c r="AH116" s="648">
        <v>0</v>
      </c>
      <c r="AI116" s="648">
        <v>0</v>
      </c>
      <c r="AJ116" s="167"/>
      <c r="AK116" s="168">
        <v>0</v>
      </c>
      <c r="AL116" s="167"/>
      <c r="AM116" s="168"/>
      <c r="AN116" s="167"/>
      <c r="AO116" s="168"/>
      <c r="AP116" s="171"/>
      <c r="AQ116" s="171"/>
      <c r="AR116" s="171"/>
      <c r="AS116" s="299">
        <f>SUMIF('NEI Lookups'!$L:$L,'Inputs Yr 2'!$F116,'NEI Lookups'!E:E)+SUMIF('NEI Lookups'!$M:$M,'Inputs Yr 2'!$F116,'NEI Lookups'!E:E)+SUMIF('NEI Lookups'!$N:$N,'Inputs Yr 2'!$F116,'NEI Lookups'!E:E)+SUMIF('NEI Lookups'!$O:$O,'Inputs Yr 2'!$F116,'NEI Lookups'!E:E)+SUMIF('NEI Lookups'!$P:$P,'Inputs Yr 2'!$F116,'NEI Lookups'!E:E)+SUMIF('NEI Lookups'!$Q:$Q,'Inputs Yr 2'!$F116,'NEI Lookups'!E:E)+SUMIF('NEI Lookups'!$R:$R,'Inputs Yr 2'!$F116,'NEI Lookups'!E:E)+SUMIF('NEI Lookups'!$S:$S,'Inputs Yr 2'!$F116,'NEI Lookups'!E:E)+SUMIF('NEI Lookups'!$T:$T,'Inputs Yr 2'!$F116,'NEI Lookups'!E:E)</f>
        <v>0</v>
      </c>
      <c r="AT116" s="299">
        <f>SUMIF('NEI Lookups'!$L:$L,'Inputs Yr 2'!$F116,'NEI Lookups'!F:F)+SUMIF('NEI Lookups'!$M:$M,'Inputs Yr 2'!$F116,'NEI Lookups'!F:F)+SUMIF('NEI Lookups'!$N:$N,'Inputs Yr 2'!$F116,'NEI Lookups'!F:F)+SUMIF('NEI Lookups'!$O:$O,'Inputs Yr 2'!$F116,'NEI Lookups'!F:F)+SUMIF('NEI Lookups'!$P:$P,'Inputs Yr 2'!$F116,'NEI Lookups'!F:F)+SUMIF('NEI Lookups'!$Q:$Q,'Inputs Yr 2'!$F116,'NEI Lookups'!F:F)+SUMIF('NEI Lookups'!$R:$R,'Inputs Yr 2'!$F116,'NEI Lookups'!F:F)+SUMIF('NEI Lookups'!$S:$S,'Inputs Yr 2'!$F116,'NEI Lookups'!F:F)+SUMIF('NEI Lookups'!$T:$T,'Inputs Yr 2'!$F116,'NEI Lookups'!F:F)</f>
        <v>0</v>
      </c>
      <c r="AU116" s="299">
        <f>SUMIF('NEI Lookups'!$L:$L,'Inputs Yr 2'!$F116,'NEI Lookups'!G:G)+SUMIF('NEI Lookups'!$M:$M,'Inputs Yr 2'!$F116,'NEI Lookups'!G:G)+SUMIF('NEI Lookups'!$N:$N,'Inputs Yr 2'!$F116,'NEI Lookups'!G:G)+SUMIF('NEI Lookups'!$O:$O,'Inputs Yr 2'!$F116,'NEI Lookups'!G:G)+SUMIF('NEI Lookups'!$P:$P,'Inputs Yr 2'!$F116,'NEI Lookups'!G:G)+SUMIF('NEI Lookups'!$Q:$Q,'Inputs Yr 2'!$F116,'NEI Lookups'!G:G)+SUMIF('NEI Lookups'!$R:$R,'Inputs Yr 2'!$F116,'NEI Lookups'!G:G)+SUMIF('NEI Lookups'!$S:$S,'Inputs Yr 2'!$F116,'NEI Lookups'!G:G)+SUMIF('NEI Lookups'!$T:$T,'Inputs Yr 2'!$F116,'NEI Lookups'!G:G)</f>
        <v>0</v>
      </c>
      <c r="AV116" s="299">
        <f>SUMIF('NEI Lookups'!$L:$L,'Inputs Yr 2'!$F116,'NEI Lookups'!H:H)+SUMIF('NEI Lookups'!$M:$M,'Inputs Yr 2'!$F116,'NEI Lookups'!H:H)+SUMIF('NEI Lookups'!$N:$N,'Inputs Yr 2'!$F116,'NEI Lookups'!H:H)+SUMIF('NEI Lookups'!$O:$O,'Inputs Yr 2'!$F116,'NEI Lookups'!H:H)+SUMIF('NEI Lookups'!$P:$P,'Inputs Yr 2'!$F116,'NEI Lookups'!H:H)+SUMIF('NEI Lookups'!$Q:$Q,'Inputs Yr 2'!$F116,'NEI Lookups'!H:H)+SUMIF('NEI Lookups'!$R:$R,'Inputs Yr 2'!$F116,'NEI Lookups'!H:H)+SUMIF('NEI Lookups'!$S:$S,'Inputs Yr 2'!$F116,'NEI Lookups'!H:H)+SUMIF('NEI Lookups'!$T:$T,'Inputs Yr 2'!$F116,'NEI Lookups'!H:H)</f>
        <v>0</v>
      </c>
      <c r="AW116" s="299">
        <f>SUMIF('NEI Lookups'!$L:$L,'Inputs Yr 2'!$F116,'NEI Lookups'!I:I)+SUMIF('NEI Lookups'!$M:$M,'Inputs Yr 2'!$F116,'NEI Lookups'!I:I)+SUMIF('NEI Lookups'!$N:$N,'Inputs Yr 2'!$F116,'NEI Lookups'!I:I)+SUMIF('NEI Lookups'!$O:$O,'Inputs Yr 2'!$F116,'NEI Lookups'!I:I)+SUMIF('NEI Lookups'!$P:$P,'Inputs Yr 2'!$F116,'NEI Lookups'!I:I)+SUMIF('NEI Lookups'!$Q:$Q,'Inputs Yr 2'!$F116,'NEI Lookups'!I:I)+SUMIF('NEI Lookups'!$R:$R,'Inputs Yr 2'!$F116,'NEI Lookups'!I:I)+SUMIF('NEI Lookups'!$S:$S,'Inputs Yr 2'!$F116,'NEI Lookups'!I:I)+SUMIF('NEI Lookups'!$T:$T,'Inputs Yr 2'!$F116,'NEI Lookups'!I:I)</f>
        <v>0</v>
      </c>
      <c r="AX116" s="299">
        <f>SUMIF('NEI Lookups'!$L:$L,'Inputs Yr 2'!$F116,'NEI Lookups'!J:J)+SUMIF('NEI Lookups'!$M:$M,'Inputs Yr 2'!$F116,'NEI Lookups'!J:J)+SUMIF('NEI Lookups'!$N:$N,'Inputs Yr 2'!$F116,'NEI Lookups'!J:J)+SUMIF('NEI Lookups'!$O:$O,'Inputs Yr 2'!$F116,'NEI Lookups'!J:J)+SUMIF('NEI Lookups'!$P:$P,'Inputs Yr 2'!$F116,'NEI Lookups'!J:J)+SUMIF('NEI Lookups'!$Q:$Q,'Inputs Yr 2'!$F116,'NEI Lookups'!J:J)+SUMIF('NEI Lookups'!$R:$R,'Inputs Yr 2'!$F116,'NEI Lookups'!J:J)+SUMIF('NEI Lookups'!$S:$S,'Inputs Yr 2'!$F116,'NEI Lookups'!J:J)+SUMIF('NEI Lookups'!$T:$T,'Inputs Yr 2'!$F116,'NEI Lookups'!J:J)</f>
        <v>0</v>
      </c>
      <c r="AY116" s="930" t="e">
        <f>'Calculations Yr 2'!CP116/'Calculations Yr 2'!I116</f>
        <v>#VALUE!</v>
      </c>
    </row>
    <row r="117" spans="1:53" s="133" customFormat="1" ht="12.75" customHeight="1">
      <c r="A117" s="145" t="s">
        <v>79</v>
      </c>
      <c r="B117" s="132" t="s">
        <v>872</v>
      </c>
      <c r="C117" s="132" t="s">
        <v>761</v>
      </c>
      <c r="D117" s="97"/>
      <c r="E117" s="98" t="s">
        <v>453</v>
      </c>
      <c r="F117" s="98"/>
      <c r="G117" s="145"/>
      <c r="H117" s="232">
        <v>0</v>
      </c>
      <c r="I117" s="232">
        <v>0</v>
      </c>
      <c r="J117" s="964"/>
      <c r="K117" s="166"/>
      <c r="L117" s="888">
        <f t="shared" si="16"/>
        <v>0</v>
      </c>
      <c r="M117" s="980">
        <v>0</v>
      </c>
      <c r="N117" s="980">
        <v>0</v>
      </c>
      <c r="O117" s="980">
        <v>0</v>
      </c>
      <c r="P117" s="889">
        <v>1</v>
      </c>
      <c r="Q117" s="980">
        <v>0</v>
      </c>
      <c r="R117" s="178">
        <v>1</v>
      </c>
      <c r="S117" s="178">
        <v>1</v>
      </c>
      <c r="T117" s="178">
        <v>1</v>
      </c>
      <c r="U117" s="980">
        <v>0</v>
      </c>
      <c r="V117" s="980">
        <v>0</v>
      </c>
      <c r="W117" s="179"/>
      <c r="X117" s="937" t="s">
        <v>653</v>
      </c>
      <c r="Y117" s="299">
        <f>IFERROR(VLOOKUP($X117,'Demand Lookups'!$A$5:$K$101,9,0), 0)</f>
        <v>0</v>
      </c>
      <c r="Z117" s="922" t="str">
        <f>IFERROR(VLOOKUP(X117,'Demand Lookups'!$A$5:$B$101,2,0),0)</f>
        <v>Non-Electric Measures</v>
      </c>
      <c r="AA117" s="722">
        <v>0</v>
      </c>
      <c r="AB117" s="722">
        <v>0</v>
      </c>
      <c r="AC117" s="722">
        <v>0</v>
      </c>
      <c r="AD117" s="723">
        <v>0</v>
      </c>
      <c r="AE117" s="837">
        <f t="shared" si="20"/>
        <v>0</v>
      </c>
      <c r="AF117" s="723">
        <v>0</v>
      </c>
      <c r="AG117" s="723">
        <v>0</v>
      </c>
      <c r="AH117" s="648">
        <v>0</v>
      </c>
      <c r="AI117" s="648">
        <v>0</v>
      </c>
      <c r="AJ117" s="167"/>
      <c r="AK117" s="168">
        <v>0</v>
      </c>
      <c r="AL117" s="167"/>
      <c r="AM117" s="168"/>
      <c r="AN117" s="167"/>
      <c r="AO117" s="168"/>
      <c r="AP117" s="171"/>
      <c r="AQ117" s="171"/>
      <c r="AR117" s="171"/>
      <c r="AS117" s="299">
        <f>SUMIF('NEI Lookups'!$L:$L,'Inputs Yr 2'!$F117,'NEI Lookups'!E:E)+SUMIF('NEI Lookups'!$M:$M,'Inputs Yr 2'!$F117,'NEI Lookups'!E:E)+SUMIF('NEI Lookups'!$N:$N,'Inputs Yr 2'!$F117,'NEI Lookups'!E:E)+SUMIF('NEI Lookups'!$O:$O,'Inputs Yr 2'!$F117,'NEI Lookups'!E:E)+SUMIF('NEI Lookups'!$P:$P,'Inputs Yr 2'!$F117,'NEI Lookups'!E:E)+SUMIF('NEI Lookups'!$Q:$Q,'Inputs Yr 2'!$F117,'NEI Lookups'!E:E)+SUMIF('NEI Lookups'!$R:$R,'Inputs Yr 2'!$F117,'NEI Lookups'!E:E)+SUMIF('NEI Lookups'!$S:$S,'Inputs Yr 2'!$F117,'NEI Lookups'!E:E)+SUMIF('NEI Lookups'!$T:$T,'Inputs Yr 2'!$F117,'NEI Lookups'!E:E)</f>
        <v>0</v>
      </c>
      <c r="AT117" s="299">
        <f>SUMIF('NEI Lookups'!$L:$L,'Inputs Yr 2'!$F117,'NEI Lookups'!F:F)+SUMIF('NEI Lookups'!$M:$M,'Inputs Yr 2'!$F117,'NEI Lookups'!F:F)+SUMIF('NEI Lookups'!$N:$N,'Inputs Yr 2'!$F117,'NEI Lookups'!F:F)+SUMIF('NEI Lookups'!$O:$O,'Inputs Yr 2'!$F117,'NEI Lookups'!F:F)+SUMIF('NEI Lookups'!$P:$P,'Inputs Yr 2'!$F117,'NEI Lookups'!F:F)+SUMIF('NEI Lookups'!$Q:$Q,'Inputs Yr 2'!$F117,'NEI Lookups'!F:F)+SUMIF('NEI Lookups'!$R:$R,'Inputs Yr 2'!$F117,'NEI Lookups'!F:F)+SUMIF('NEI Lookups'!$S:$S,'Inputs Yr 2'!$F117,'NEI Lookups'!F:F)+SUMIF('NEI Lookups'!$T:$T,'Inputs Yr 2'!$F117,'NEI Lookups'!F:F)</f>
        <v>0</v>
      </c>
      <c r="AU117" s="299">
        <f>SUMIF('NEI Lookups'!$L:$L,'Inputs Yr 2'!$F117,'NEI Lookups'!G:G)+SUMIF('NEI Lookups'!$M:$M,'Inputs Yr 2'!$F117,'NEI Lookups'!G:G)+SUMIF('NEI Lookups'!$N:$N,'Inputs Yr 2'!$F117,'NEI Lookups'!G:G)+SUMIF('NEI Lookups'!$O:$O,'Inputs Yr 2'!$F117,'NEI Lookups'!G:G)+SUMIF('NEI Lookups'!$P:$P,'Inputs Yr 2'!$F117,'NEI Lookups'!G:G)+SUMIF('NEI Lookups'!$Q:$Q,'Inputs Yr 2'!$F117,'NEI Lookups'!G:G)+SUMIF('NEI Lookups'!$R:$R,'Inputs Yr 2'!$F117,'NEI Lookups'!G:G)+SUMIF('NEI Lookups'!$S:$S,'Inputs Yr 2'!$F117,'NEI Lookups'!G:G)+SUMIF('NEI Lookups'!$T:$T,'Inputs Yr 2'!$F117,'NEI Lookups'!G:G)</f>
        <v>0</v>
      </c>
      <c r="AV117" s="299">
        <f>SUMIF('NEI Lookups'!$L:$L,'Inputs Yr 2'!$F117,'NEI Lookups'!H:H)+SUMIF('NEI Lookups'!$M:$M,'Inputs Yr 2'!$F117,'NEI Lookups'!H:H)+SUMIF('NEI Lookups'!$N:$N,'Inputs Yr 2'!$F117,'NEI Lookups'!H:H)+SUMIF('NEI Lookups'!$O:$O,'Inputs Yr 2'!$F117,'NEI Lookups'!H:H)+SUMIF('NEI Lookups'!$P:$P,'Inputs Yr 2'!$F117,'NEI Lookups'!H:H)+SUMIF('NEI Lookups'!$Q:$Q,'Inputs Yr 2'!$F117,'NEI Lookups'!H:H)+SUMIF('NEI Lookups'!$R:$R,'Inputs Yr 2'!$F117,'NEI Lookups'!H:H)+SUMIF('NEI Lookups'!$S:$S,'Inputs Yr 2'!$F117,'NEI Lookups'!H:H)+SUMIF('NEI Lookups'!$T:$T,'Inputs Yr 2'!$F117,'NEI Lookups'!H:H)</f>
        <v>0</v>
      </c>
      <c r="AW117" s="299">
        <f>SUMIF('NEI Lookups'!$L:$L,'Inputs Yr 2'!$F117,'NEI Lookups'!I:I)+SUMIF('NEI Lookups'!$M:$M,'Inputs Yr 2'!$F117,'NEI Lookups'!I:I)+SUMIF('NEI Lookups'!$N:$N,'Inputs Yr 2'!$F117,'NEI Lookups'!I:I)+SUMIF('NEI Lookups'!$O:$O,'Inputs Yr 2'!$F117,'NEI Lookups'!I:I)+SUMIF('NEI Lookups'!$P:$P,'Inputs Yr 2'!$F117,'NEI Lookups'!I:I)+SUMIF('NEI Lookups'!$Q:$Q,'Inputs Yr 2'!$F117,'NEI Lookups'!I:I)+SUMIF('NEI Lookups'!$R:$R,'Inputs Yr 2'!$F117,'NEI Lookups'!I:I)+SUMIF('NEI Lookups'!$S:$S,'Inputs Yr 2'!$F117,'NEI Lookups'!I:I)+SUMIF('NEI Lookups'!$T:$T,'Inputs Yr 2'!$F117,'NEI Lookups'!I:I)</f>
        <v>0</v>
      </c>
      <c r="AX117" s="299">
        <f>SUMIF('NEI Lookups'!$L:$L,'Inputs Yr 2'!$F117,'NEI Lookups'!J:J)+SUMIF('NEI Lookups'!$M:$M,'Inputs Yr 2'!$F117,'NEI Lookups'!J:J)+SUMIF('NEI Lookups'!$N:$N,'Inputs Yr 2'!$F117,'NEI Lookups'!J:J)+SUMIF('NEI Lookups'!$O:$O,'Inputs Yr 2'!$F117,'NEI Lookups'!J:J)+SUMIF('NEI Lookups'!$P:$P,'Inputs Yr 2'!$F117,'NEI Lookups'!J:J)+SUMIF('NEI Lookups'!$Q:$Q,'Inputs Yr 2'!$F117,'NEI Lookups'!J:J)+SUMIF('NEI Lookups'!$R:$R,'Inputs Yr 2'!$F117,'NEI Lookups'!J:J)+SUMIF('NEI Lookups'!$S:$S,'Inputs Yr 2'!$F117,'NEI Lookups'!J:J)+SUMIF('NEI Lookups'!$T:$T,'Inputs Yr 2'!$F117,'NEI Lookups'!J:J)</f>
        <v>0</v>
      </c>
      <c r="AY117" s="930" t="e">
        <f>'Calculations Yr 2'!CP117/'Calculations Yr 2'!I117</f>
        <v>#VALUE!</v>
      </c>
    </row>
    <row r="118" spans="1:53" s="133" customFormat="1" ht="12.75" customHeight="1">
      <c r="A118" s="145" t="s">
        <v>79</v>
      </c>
      <c r="B118" s="132" t="s">
        <v>872</v>
      </c>
      <c r="C118" s="132" t="s">
        <v>761</v>
      </c>
      <c r="D118" s="97"/>
      <c r="E118" s="98" t="s">
        <v>453</v>
      </c>
      <c r="F118" s="98"/>
      <c r="G118" s="145"/>
      <c r="H118" s="232">
        <v>0</v>
      </c>
      <c r="I118" s="232">
        <v>0</v>
      </c>
      <c r="J118" s="964"/>
      <c r="K118" s="166"/>
      <c r="L118" s="888">
        <f t="shared" si="16"/>
        <v>0</v>
      </c>
      <c r="M118" s="980">
        <v>0</v>
      </c>
      <c r="N118" s="980">
        <v>0</v>
      </c>
      <c r="O118" s="980">
        <v>0</v>
      </c>
      <c r="P118" s="889">
        <v>1</v>
      </c>
      <c r="Q118" s="980">
        <v>0</v>
      </c>
      <c r="R118" s="178">
        <v>1</v>
      </c>
      <c r="S118" s="178">
        <v>1</v>
      </c>
      <c r="T118" s="178">
        <v>1</v>
      </c>
      <c r="U118" s="980">
        <v>0</v>
      </c>
      <c r="V118" s="980">
        <v>0</v>
      </c>
      <c r="W118" s="179"/>
      <c r="X118" s="937" t="s">
        <v>653</v>
      </c>
      <c r="Y118" s="299">
        <f>IFERROR(VLOOKUP($X118,'Demand Lookups'!$A$5:$K$101,9,0), 0)</f>
        <v>0</v>
      </c>
      <c r="Z118" s="922" t="str">
        <f>IFERROR(VLOOKUP(X118,'Demand Lookups'!$A$5:$B$101,2,0),0)</f>
        <v>Non-Electric Measures</v>
      </c>
      <c r="AA118" s="722">
        <v>0</v>
      </c>
      <c r="AB118" s="722">
        <v>0</v>
      </c>
      <c r="AC118" s="722">
        <v>0</v>
      </c>
      <c r="AD118" s="723">
        <v>0</v>
      </c>
      <c r="AE118" s="837">
        <f t="shared" si="20"/>
        <v>0</v>
      </c>
      <c r="AF118" s="723">
        <v>0</v>
      </c>
      <c r="AG118" s="723">
        <v>0</v>
      </c>
      <c r="AH118" s="648">
        <v>0</v>
      </c>
      <c r="AI118" s="648">
        <v>0</v>
      </c>
      <c r="AJ118" s="167"/>
      <c r="AK118" s="168">
        <v>0</v>
      </c>
      <c r="AL118" s="167"/>
      <c r="AM118" s="168"/>
      <c r="AN118" s="167"/>
      <c r="AO118" s="168"/>
      <c r="AP118" s="171"/>
      <c r="AQ118" s="171"/>
      <c r="AR118" s="171"/>
      <c r="AS118" s="299">
        <f>SUMIF('NEI Lookups'!$L:$L,'Inputs Yr 2'!$F118,'NEI Lookups'!E:E)+SUMIF('NEI Lookups'!$M:$M,'Inputs Yr 2'!$F118,'NEI Lookups'!E:E)+SUMIF('NEI Lookups'!$N:$N,'Inputs Yr 2'!$F118,'NEI Lookups'!E:E)+SUMIF('NEI Lookups'!$O:$O,'Inputs Yr 2'!$F118,'NEI Lookups'!E:E)+SUMIF('NEI Lookups'!$P:$P,'Inputs Yr 2'!$F118,'NEI Lookups'!E:E)+SUMIF('NEI Lookups'!$Q:$Q,'Inputs Yr 2'!$F118,'NEI Lookups'!E:E)+SUMIF('NEI Lookups'!$R:$R,'Inputs Yr 2'!$F118,'NEI Lookups'!E:E)+SUMIF('NEI Lookups'!$S:$S,'Inputs Yr 2'!$F118,'NEI Lookups'!E:E)+SUMIF('NEI Lookups'!$T:$T,'Inputs Yr 2'!$F118,'NEI Lookups'!E:E)</f>
        <v>0</v>
      </c>
      <c r="AT118" s="299">
        <f>SUMIF('NEI Lookups'!$L:$L,'Inputs Yr 2'!$F118,'NEI Lookups'!F:F)+SUMIF('NEI Lookups'!$M:$M,'Inputs Yr 2'!$F118,'NEI Lookups'!F:F)+SUMIF('NEI Lookups'!$N:$N,'Inputs Yr 2'!$F118,'NEI Lookups'!F:F)+SUMIF('NEI Lookups'!$O:$O,'Inputs Yr 2'!$F118,'NEI Lookups'!F:F)+SUMIF('NEI Lookups'!$P:$P,'Inputs Yr 2'!$F118,'NEI Lookups'!F:F)+SUMIF('NEI Lookups'!$Q:$Q,'Inputs Yr 2'!$F118,'NEI Lookups'!F:F)+SUMIF('NEI Lookups'!$R:$R,'Inputs Yr 2'!$F118,'NEI Lookups'!F:F)+SUMIF('NEI Lookups'!$S:$S,'Inputs Yr 2'!$F118,'NEI Lookups'!F:F)+SUMIF('NEI Lookups'!$T:$T,'Inputs Yr 2'!$F118,'NEI Lookups'!F:F)</f>
        <v>0</v>
      </c>
      <c r="AU118" s="299">
        <f>SUMIF('NEI Lookups'!$L:$L,'Inputs Yr 2'!$F118,'NEI Lookups'!G:G)+SUMIF('NEI Lookups'!$M:$M,'Inputs Yr 2'!$F118,'NEI Lookups'!G:G)+SUMIF('NEI Lookups'!$N:$N,'Inputs Yr 2'!$F118,'NEI Lookups'!G:G)+SUMIF('NEI Lookups'!$O:$O,'Inputs Yr 2'!$F118,'NEI Lookups'!G:G)+SUMIF('NEI Lookups'!$P:$P,'Inputs Yr 2'!$F118,'NEI Lookups'!G:G)+SUMIF('NEI Lookups'!$Q:$Q,'Inputs Yr 2'!$F118,'NEI Lookups'!G:G)+SUMIF('NEI Lookups'!$R:$R,'Inputs Yr 2'!$F118,'NEI Lookups'!G:G)+SUMIF('NEI Lookups'!$S:$S,'Inputs Yr 2'!$F118,'NEI Lookups'!G:G)+SUMIF('NEI Lookups'!$T:$T,'Inputs Yr 2'!$F118,'NEI Lookups'!G:G)</f>
        <v>0</v>
      </c>
      <c r="AV118" s="299">
        <f>SUMIF('NEI Lookups'!$L:$L,'Inputs Yr 2'!$F118,'NEI Lookups'!H:H)+SUMIF('NEI Lookups'!$M:$M,'Inputs Yr 2'!$F118,'NEI Lookups'!H:H)+SUMIF('NEI Lookups'!$N:$N,'Inputs Yr 2'!$F118,'NEI Lookups'!H:H)+SUMIF('NEI Lookups'!$O:$O,'Inputs Yr 2'!$F118,'NEI Lookups'!H:H)+SUMIF('NEI Lookups'!$P:$P,'Inputs Yr 2'!$F118,'NEI Lookups'!H:H)+SUMIF('NEI Lookups'!$Q:$Q,'Inputs Yr 2'!$F118,'NEI Lookups'!H:H)+SUMIF('NEI Lookups'!$R:$R,'Inputs Yr 2'!$F118,'NEI Lookups'!H:H)+SUMIF('NEI Lookups'!$S:$S,'Inputs Yr 2'!$F118,'NEI Lookups'!H:H)+SUMIF('NEI Lookups'!$T:$T,'Inputs Yr 2'!$F118,'NEI Lookups'!H:H)</f>
        <v>0</v>
      </c>
      <c r="AW118" s="299">
        <f>SUMIF('NEI Lookups'!$L:$L,'Inputs Yr 2'!$F118,'NEI Lookups'!I:I)+SUMIF('NEI Lookups'!$M:$M,'Inputs Yr 2'!$F118,'NEI Lookups'!I:I)+SUMIF('NEI Lookups'!$N:$N,'Inputs Yr 2'!$F118,'NEI Lookups'!I:I)+SUMIF('NEI Lookups'!$O:$O,'Inputs Yr 2'!$F118,'NEI Lookups'!I:I)+SUMIF('NEI Lookups'!$P:$P,'Inputs Yr 2'!$F118,'NEI Lookups'!I:I)+SUMIF('NEI Lookups'!$Q:$Q,'Inputs Yr 2'!$F118,'NEI Lookups'!I:I)+SUMIF('NEI Lookups'!$R:$R,'Inputs Yr 2'!$F118,'NEI Lookups'!I:I)+SUMIF('NEI Lookups'!$S:$S,'Inputs Yr 2'!$F118,'NEI Lookups'!I:I)+SUMIF('NEI Lookups'!$T:$T,'Inputs Yr 2'!$F118,'NEI Lookups'!I:I)</f>
        <v>0</v>
      </c>
      <c r="AX118" s="299">
        <f>SUMIF('NEI Lookups'!$L:$L,'Inputs Yr 2'!$F118,'NEI Lookups'!J:J)+SUMIF('NEI Lookups'!$M:$M,'Inputs Yr 2'!$F118,'NEI Lookups'!J:J)+SUMIF('NEI Lookups'!$N:$N,'Inputs Yr 2'!$F118,'NEI Lookups'!J:J)+SUMIF('NEI Lookups'!$O:$O,'Inputs Yr 2'!$F118,'NEI Lookups'!J:J)+SUMIF('NEI Lookups'!$P:$P,'Inputs Yr 2'!$F118,'NEI Lookups'!J:J)+SUMIF('NEI Lookups'!$Q:$Q,'Inputs Yr 2'!$F118,'NEI Lookups'!J:J)+SUMIF('NEI Lookups'!$R:$R,'Inputs Yr 2'!$F118,'NEI Lookups'!J:J)+SUMIF('NEI Lookups'!$S:$S,'Inputs Yr 2'!$F118,'NEI Lookups'!J:J)+SUMIF('NEI Lookups'!$T:$T,'Inputs Yr 2'!$F118,'NEI Lookups'!J:J)</f>
        <v>0</v>
      </c>
      <c r="AY118" s="930" t="e">
        <f>'Calculations Yr 2'!CP118/'Calculations Yr 2'!I118</f>
        <v>#VALUE!</v>
      </c>
    </row>
    <row r="119" spans="1:53" s="133" customFormat="1" ht="13.5" customHeight="1" thickBot="1">
      <c r="A119" s="147" t="s">
        <v>79</v>
      </c>
      <c r="B119" s="146" t="s">
        <v>872</v>
      </c>
      <c r="C119" s="146" t="s">
        <v>761</v>
      </c>
      <c r="D119" s="177"/>
      <c r="E119" s="177" t="s">
        <v>453</v>
      </c>
      <c r="F119" s="177"/>
      <c r="G119" s="147"/>
      <c r="H119" s="233">
        <v>0</v>
      </c>
      <c r="I119" s="232">
        <v>0</v>
      </c>
      <c r="J119" s="970"/>
      <c r="K119" s="173"/>
      <c r="L119" s="898">
        <f t="shared" si="16"/>
        <v>0</v>
      </c>
      <c r="M119" s="981">
        <v>0</v>
      </c>
      <c r="N119" s="981">
        <v>0</v>
      </c>
      <c r="O119" s="981">
        <v>0</v>
      </c>
      <c r="P119" s="895">
        <v>1</v>
      </c>
      <c r="Q119" s="981">
        <v>0</v>
      </c>
      <c r="R119" s="221">
        <v>1</v>
      </c>
      <c r="S119" s="221">
        <v>1</v>
      </c>
      <c r="T119" s="221">
        <v>1</v>
      </c>
      <c r="U119" s="981">
        <v>0</v>
      </c>
      <c r="V119" s="981">
        <v>0</v>
      </c>
      <c r="W119" s="222"/>
      <c r="X119" s="937" t="s">
        <v>653</v>
      </c>
      <c r="Y119" s="302">
        <f>IFERROR(VLOOKUP($X119,'Demand Lookups'!$A$5:$K$101,9,0), 0)</f>
        <v>0</v>
      </c>
      <c r="Z119" s="923" t="str">
        <f>IFERROR(VLOOKUP(X119,'Demand Lookups'!$A$5:$B$101,2,0),0)</f>
        <v>Non-Electric Measures</v>
      </c>
      <c r="AA119" s="650">
        <v>0</v>
      </c>
      <c r="AB119" s="650">
        <v>0</v>
      </c>
      <c r="AC119" s="650">
        <v>0</v>
      </c>
      <c r="AD119" s="651">
        <v>0</v>
      </c>
      <c r="AE119" s="911">
        <f t="shared" si="20"/>
        <v>0</v>
      </c>
      <c r="AF119" s="651">
        <v>0</v>
      </c>
      <c r="AG119" s="651">
        <v>0</v>
      </c>
      <c r="AH119" s="653">
        <v>0</v>
      </c>
      <c r="AI119" s="653">
        <v>0</v>
      </c>
      <c r="AJ119" s="174"/>
      <c r="AK119" s="303">
        <v>0</v>
      </c>
      <c r="AL119" s="174"/>
      <c r="AM119" s="303"/>
      <c r="AN119" s="174"/>
      <c r="AO119" s="303"/>
      <c r="AP119" s="175"/>
      <c r="AQ119" s="175"/>
      <c r="AR119" s="175"/>
      <c r="AS119" s="302">
        <f>SUMIF('NEI Lookups'!$L:$L,'Inputs Yr 2'!$F119,'NEI Lookups'!E:E)+SUMIF('NEI Lookups'!$M:$M,'Inputs Yr 2'!$F119,'NEI Lookups'!E:E)+SUMIF('NEI Lookups'!$N:$N,'Inputs Yr 2'!$F119,'NEI Lookups'!E:E)+SUMIF('NEI Lookups'!$O:$O,'Inputs Yr 2'!$F119,'NEI Lookups'!E:E)+SUMIF('NEI Lookups'!$P:$P,'Inputs Yr 2'!$F119,'NEI Lookups'!E:E)+SUMIF('NEI Lookups'!$Q:$Q,'Inputs Yr 2'!$F119,'NEI Lookups'!E:E)+SUMIF('NEI Lookups'!$R:$R,'Inputs Yr 2'!$F119,'NEI Lookups'!E:E)+SUMIF('NEI Lookups'!$S:$S,'Inputs Yr 2'!$F119,'NEI Lookups'!E:E)+SUMIF('NEI Lookups'!$T:$T,'Inputs Yr 2'!$F119,'NEI Lookups'!E:E)</f>
        <v>0</v>
      </c>
      <c r="AT119" s="302">
        <f>SUMIF('NEI Lookups'!$L:$L,'Inputs Yr 2'!$F119,'NEI Lookups'!F:F)+SUMIF('NEI Lookups'!$M:$M,'Inputs Yr 2'!$F119,'NEI Lookups'!F:F)+SUMIF('NEI Lookups'!$N:$N,'Inputs Yr 2'!$F119,'NEI Lookups'!F:F)+SUMIF('NEI Lookups'!$O:$O,'Inputs Yr 2'!$F119,'NEI Lookups'!F:F)+SUMIF('NEI Lookups'!$P:$P,'Inputs Yr 2'!$F119,'NEI Lookups'!F:F)+SUMIF('NEI Lookups'!$Q:$Q,'Inputs Yr 2'!$F119,'NEI Lookups'!F:F)+SUMIF('NEI Lookups'!$R:$R,'Inputs Yr 2'!$F119,'NEI Lookups'!F:F)+SUMIF('NEI Lookups'!$S:$S,'Inputs Yr 2'!$F119,'NEI Lookups'!F:F)+SUMIF('NEI Lookups'!$T:$T,'Inputs Yr 2'!$F119,'NEI Lookups'!F:F)</f>
        <v>0</v>
      </c>
      <c r="AU119" s="302">
        <f>SUMIF('NEI Lookups'!$L:$L,'Inputs Yr 2'!$F119,'NEI Lookups'!G:G)+SUMIF('NEI Lookups'!$M:$M,'Inputs Yr 2'!$F119,'NEI Lookups'!G:G)+SUMIF('NEI Lookups'!$N:$N,'Inputs Yr 2'!$F119,'NEI Lookups'!G:G)+SUMIF('NEI Lookups'!$O:$O,'Inputs Yr 2'!$F119,'NEI Lookups'!G:G)+SUMIF('NEI Lookups'!$P:$P,'Inputs Yr 2'!$F119,'NEI Lookups'!G:G)+SUMIF('NEI Lookups'!$Q:$Q,'Inputs Yr 2'!$F119,'NEI Lookups'!G:G)+SUMIF('NEI Lookups'!$R:$R,'Inputs Yr 2'!$F119,'NEI Lookups'!G:G)+SUMIF('NEI Lookups'!$S:$S,'Inputs Yr 2'!$F119,'NEI Lookups'!G:G)+SUMIF('NEI Lookups'!$T:$T,'Inputs Yr 2'!$F119,'NEI Lookups'!G:G)</f>
        <v>0</v>
      </c>
      <c r="AV119" s="302">
        <f>SUMIF('NEI Lookups'!$L:$L,'Inputs Yr 2'!$F119,'NEI Lookups'!H:H)+SUMIF('NEI Lookups'!$M:$M,'Inputs Yr 2'!$F119,'NEI Lookups'!H:H)+SUMIF('NEI Lookups'!$N:$N,'Inputs Yr 2'!$F119,'NEI Lookups'!H:H)+SUMIF('NEI Lookups'!$O:$O,'Inputs Yr 2'!$F119,'NEI Lookups'!H:H)+SUMIF('NEI Lookups'!$P:$P,'Inputs Yr 2'!$F119,'NEI Lookups'!H:H)+SUMIF('NEI Lookups'!$Q:$Q,'Inputs Yr 2'!$F119,'NEI Lookups'!H:H)+SUMIF('NEI Lookups'!$R:$R,'Inputs Yr 2'!$F119,'NEI Lookups'!H:H)+SUMIF('NEI Lookups'!$S:$S,'Inputs Yr 2'!$F119,'NEI Lookups'!H:H)+SUMIF('NEI Lookups'!$T:$T,'Inputs Yr 2'!$F119,'NEI Lookups'!H:H)</f>
        <v>0</v>
      </c>
      <c r="AW119" s="302">
        <f>SUMIF('NEI Lookups'!$L:$L,'Inputs Yr 2'!$F119,'NEI Lookups'!I:I)+SUMIF('NEI Lookups'!$M:$M,'Inputs Yr 2'!$F119,'NEI Lookups'!I:I)+SUMIF('NEI Lookups'!$N:$N,'Inputs Yr 2'!$F119,'NEI Lookups'!I:I)+SUMIF('NEI Lookups'!$O:$O,'Inputs Yr 2'!$F119,'NEI Lookups'!I:I)+SUMIF('NEI Lookups'!$P:$P,'Inputs Yr 2'!$F119,'NEI Lookups'!I:I)+SUMIF('NEI Lookups'!$Q:$Q,'Inputs Yr 2'!$F119,'NEI Lookups'!I:I)+SUMIF('NEI Lookups'!$R:$R,'Inputs Yr 2'!$F119,'NEI Lookups'!I:I)+SUMIF('NEI Lookups'!$S:$S,'Inputs Yr 2'!$F119,'NEI Lookups'!I:I)+SUMIF('NEI Lookups'!$T:$T,'Inputs Yr 2'!$F119,'NEI Lookups'!I:I)</f>
        <v>0</v>
      </c>
      <c r="AX119" s="302">
        <f>SUMIF('NEI Lookups'!$L:$L,'Inputs Yr 2'!$F119,'NEI Lookups'!J:J)+SUMIF('NEI Lookups'!$M:$M,'Inputs Yr 2'!$F119,'NEI Lookups'!J:J)+SUMIF('NEI Lookups'!$N:$N,'Inputs Yr 2'!$F119,'NEI Lookups'!J:J)+SUMIF('NEI Lookups'!$O:$O,'Inputs Yr 2'!$F119,'NEI Lookups'!J:J)+SUMIF('NEI Lookups'!$P:$P,'Inputs Yr 2'!$F119,'NEI Lookups'!J:J)+SUMIF('NEI Lookups'!$Q:$Q,'Inputs Yr 2'!$F119,'NEI Lookups'!J:J)+SUMIF('NEI Lookups'!$R:$R,'Inputs Yr 2'!$F119,'NEI Lookups'!J:J)+SUMIF('NEI Lookups'!$S:$S,'Inputs Yr 2'!$F119,'NEI Lookups'!J:J)+SUMIF('NEI Lookups'!$T:$T,'Inputs Yr 2'!$F119,'NEI Lookups'!J:J)</f>
        <v>0</v>
      </c>
      <c r="AY119" s="932" t="e">
        <f>'Calculations Yr 2'!CP119/'Calculations Yr 2'!I119</f>
        <v>#VALUE!</v>
      </c>
    </row>
    <row r="120" spans="1:53" s="133" customFormat="1" ht="12.75" customHeight="1">
      <c r="A120" s="145" t="s">
        <v>79</v>
      </c>
      <c r="B120" s="132" t="s">
        <v>872</v>
      </c>
      <c r="C120" s="913" t="s">
        <v>765</v>
      </c>
      <c r="D120" s="904" t="s">
        <v>1496</v>
      </c>
      <c r="E120" s="150" t="s">
        <v>660</v>
      </c>
      <c r="F120" s="98" t="s">
        <v>1029</v>
      </c>
      <c r="G120" s="145" t="s">
        <v>1243</v>
      </c>
      <c r="H120" s="232" t="s">
        <v>1541</v>
      </c>
      <c r="I120" s="925">
        <v>5</v>
      </c>
      <c r="J120" s="964"/>
      <c r="K120" s="166"/>
      <c r="L120" s="888">
        <f t="shared" si="16"/>
        <v>0</v>
      </c>
      <c r="M120" s="978">
        <v>0</v>
      </c>
      <c r="N120" s="978">
        <v>0</v>
      </c>
      <c r="O120" s="978">
        <v>0</v>
      </c>
      <c r="P120" s="889">
        <f t="shared" si="19"/>
        <v>1</v>
      </c>
      <c r="Q120" s="978">
        <v>1</v>
      </c>
      <c r="R120" s="178">
        <v>1</v>
      </c>
      <c r="S120" s="178">
        <v>1</v>
      </c>
      <c r="T120" s="178">
        <v>1</v>
      </c>
      <c r="U120" s="980">
        <v>1</v>
      </c>
      <c r="V120" s="978">
        <v>1</v>
      </c>
      <c r="W120" s="179"/>
      <c r="X120" s="909" t="s">
        <v>653</v>
      </c>
      <c r="Y120" s="299">
        <f>IFERROR(VLOOKUP($X120,'Demand Lookups'!$A$5:$K$101,9,0), 0)</f>
        <v>0</v>
      </c>
      <c r="Z120" s="922" t="str">
        <f>IFERROR(VLOOKUP(X120,'Demand Lookups'!$A$5:$B$101,2,0),0)</f>
        <v>Non-Electric Measures</v>
      </c>
      <c r="AA120" s="835">
        <f>IF(ISNA(VLOOKUP($X120,'Demand Lookups'!$A$5:$K$81,3,0)),0,VLOOKUP($X120,'Demand Lookups'!$A$5:$K$81,3,0))</f>
        <v>0</v>
      </c>
      <c r="AB120" s="835">
        <f>IF(ISNA(VLOOKUP($X120,'Demand Lookups'!$A$5:$K$81,4,0)),0,VLOOKUP($X120,'Demand Lookups'!$A$5:$K$81,4,0))</f>
        <v>0</v>
      </c>
      <c r="AC120" s="835">
        <f>IF(ISNA(VLOOKUP($X120,'Demand Lookups'!$A$5:$K$81,5,0)),0,VLOOKUP($X120,'Demand Lookups'!$A$5:$K$81,5,0))</f>
        <v>0</v>
      </c>
      <c r="AD120" s="836">
        <f>IF(ISNA(VLOOKUP($X120,'Demand Lookups'!$A$5:$K$81,6,0)),0,VLOOKUP($X120,'Demand Lookups'!$A$5:$K$81,6,0))</f>
        <v>0</v>
      </c>
      <c r="AE120" s="993">
        <f t="shared" si="20"/>
        <v>0</v>
      </c>
      <c r="AF120" s="836">
        <f>ROUND(IF(ISNA(VLOOKUP($X120,'Demand Lookups'!$A$5:$K$82,10,0)),0,(VLOOKUP($X120,'Demand Lookups'!$A$5:$K$82,10,0))),2)</f>
        <v>0</v>
      </c>
      <c r="AG120" s="836">
        <f>ROUND(IF(ISNA(VLOOKUP($X120,'Demand Lookups'!$A$5:$K$82,11,0)),0,VLOOKUP($X120,'Demand Lookups'!$A$5:$K$82,11,0)),2)</f>
        <v>0</v>
      </c>
      <c r="AH120" s="648">
        <f t="shared" si="21"/>
        <v>0</v>
      </c>
      <c r="AI120" s="648">
        <f t="shared" si="22"/>
        <v>0</v>
      </c>
      <c r="AJ120" s="167"/>
      <c r="AK120" s="866">
        <v>0</v>
      </c>
      <c r="AL120" s="167"/>
      <c r="AM120" s="168"/>
      <c r="AN120" s="167"/>
      <c r="AO120" s="168"/>
      <c r="AP120" s="171" t="s">
        <v>293</v>
      </c>
      <c r="AQ120" s="171"/>
      <c r="AR120" s="171"/>
      <c r="AS120" s="299">
        <f>SUMIF('NEI Lookups'!$L:$L,'Inputs Yr 2'!$F120,'NEI Lookups'!E:E)+SUMIF('NEI Lookups'!$M:$M,'Inputs Yr 2'!$F120,'NEI Lookups'!E:E)+SUMIF('NEI Lookups'!$N:$N,'Inputs Yr 2'!$F120,'NEI Lookups'!E:E)+SUMIF('NEI Lookups'!$O:$O,'Inputs Yr 2'!$F120,'NEI Lookups'!E:E)+SUMIF('NEI Lookups'!$P:$P,'Inputs Yr 2'!$F120,'NEI Lookups'!E:E)+SUMIF('NEI Lookups'!$Q:$Q,'Inputs Yr 2'!$F120,'NEI Lookups'!E:E)+SUMIF('NEI Lookups'!$R:$R,'Inputs Yr 2'!$F120,'NEI Lookups'!E:E)+SUMIF('NEI Lookups'!$S:$S,'Inputs Yr 2'!$F120,'NEI Lookups'!E:E)+SUMIF('NEI Lookups'!$T:$T,'Inputs Yr 2'!$F120,'NEI Lookups'!E:E)</f>
        <v>7.6999999999999993</v>
      </c>
      <c r="AT120" s="299">
        <f>SUMIF('NEI Lookups'!$L:$L,'Inputs Yr 2'!$F120,'NEI Lookups'!F:F)+SUMIF('NEI Lookups'!$M:$M,'Inputs Yr 2'!$F120,'NEI Lookups'!F:F)+SUMIF('NEI Lookups'!$N:$N,'Inputs Yr 2'!$F120,'NEI Lookups'!F:F)+SUMIF('NEI Lookups'!$O:$O,'Inputs Yr 2'!$F120,'NEI Lookups'!F:F)+SUMIF('NEI Lookups'!$P:$P,'Inputs Yr 2'!$F120,'NEI Lookups'!F:F)+SUMIF('NEI Lookups'!$Q:$Q,'Inputs Yr 2'!$F120,'NEI Lookups'!F:F)+SUMIF('NEI Lookups'!$R:$R,'Inputs Yr 2'!$F120,'NEI Lookups'!F:F)+SUMIF('NEI Lookups'!$S:$S,'Inputs Yr 2'!$F120,'NEI Lookups'!F:F)+SUMIF('NEI Lookups'!$T:$T,'Inputs Yr 2'!$F120,'NEI Lookups'!F:F)</f>
        <v>0</v>
      </c>
      <c r="AU120" s="299">
        <f>SUMIF('NEI Lookups'!$L:$L,'Inputs Yr 2'!$F120,'NEI Lookups'!G:G)+SUMIF('NEI Lookups'!$M:$M,'Inputs Yr 2'!$F120,'NEI Lookups'!G:G)+SUMIF('NEI Lookups'!$N:$N,'Inputs Yr 2'!$F120,'NEI Lookups'!G:G)+SUMIF('NEI Lookups'!$O:$O,'Inputs Yr 2'!$F120,'NEI Lookups'!G:G)+SUMIF('NEI Lookups'!$P:$P,'Inputs Yr 2'!$F120,'NEI Lookups'!G:G)+SUMIF('NEI Lookups'!$Q:$Q,'Inputs Yr 2'!$F120,'NEI Lookups'!G:G)+SUMIF('NEI Lookups'!$R:$R,'Inputs Yr 2'!$F120,'NEI Lookups'!G:G)+SUMIF('NEI Lookups'!$S:$S,'Inputs Yr 2'!$F120,'NEI Lookups'!G:G)+SUMIF('NEI Lookups'!$T:$T,'Inputs Yr 2'!$F120,'NEI Lookups'!G:G)</f>
        <v>0</v>
      </c>
      <c r="AV120" s="299">
        <f>SUMIF('NEI Lookups'!$L:$L,'Inputs Yr 2'!$F120,'NEI Lookups'!H:H)+SUMIF('NEI Lookups'!$M:$M,'Inputs Yr 2'!$F120,'NEI Lookups'!H:H)+SUMIF('NEI Lookups'!$N:$N,'Inputs Yr 2'!$F120,'NEI Lookups'!H:H)+SUMIF('NEI Lookups'!$O:$O,'Inputs Yr 2'!$F120,'NEI Lookups'!H:H)+SUMIF('NEI Lookups'!$P:$P,'Inputs Yr 2'!$F120,'NEI Lookups'!H:H)+SUMIF('NEI Lookups'!$Q:$Q,'Inputs Yr 2'!$F120,'NEI Lookups'!H:H)+SUMIF('NEI Lookups'!$R:$R,'Inputs Yr 2'!$F120,'NEI Lookups'!H:H)+SUMIF('NEI Lookups'!$S:$S,'Inputs Yr 2'!$F120,'NEI Lookups'!H:H)+SUMIF('NEI Lookups'!$T:$T,'Inputs Yr 2'!$F120,'NEI Lookups'!H:H)</f>
        <v>0</v>
      </c>
      <c r="AW120" s="299">
        <f>SUMIF('NEI Lookups'!$L:$L,'Inputs Yr 2'!$F120,'NEI Lookups'!I:I)+SUMIF('NEI Lookups'!$M:$M,'Inputs Yr 2'!$F120,'NEI Lookups'!I:I)+SUMIF('NEI Lookups'!$N:$N,'Inputs Yr 2'!$F120,'NEI Lookups'!I:I)+SUMIF('NEI Lookups'!$O:$O,'Inputs Yr 2'!$F120,'NEI Lookups'!I:I)+SUMIF('NEI Lookups'!$P:$P,'Inputs Yr 2'!$F120,'NEI Lookups'!I:I)+SUMIF('NEI Lookups'!$Q:$Q,'Inputs Yr 2'!$F120,'NEI Lookups'!I:I)+SUMIF('NEI Lookups'!$R:$R,'Inputs Yr 2'!$F120,'NEI Lookups'!I:I)+SUMIF('NEI Lookups'!$S:$S,'Inputs Yr 2'!$F120,'NEI Lookups'!I:I)+SUMIF('NEI Lookups'!$T:$T,'Inputs Yr 2'!$F120,'NEI Lookups'!I:I)</f>
        <v>0</v>
      </c>
      <c r="AX120" s="299">
        <f>SUMIF('NEI Lookups'!$L:$L,'Inputs Yr 2'!$F120,'NEI Lookups'!J:J)+SUMIF('NEI Lookups'!$M:$M,'Inputs Yr 2'!$F120,'NEI Lookups'!J:J)+SUMIF('NEI Lookups'!$N:$N,'Inputs Yr 2'!$F120,'NEI Lookups'!J:J)+SUMIF('NEI Lookups'!$O:$O,'Inputs Yr 2'!$F120,'NEI Lookups'!J:J)+SUMIF('NEI Lookups'!$P:$P,'Inputs Yr 2'!$F120,'NEI Lookups'!J:J)+SUMIF('NEI Lookups'!$Q:$Q,'Inputs Yr 2'!$F120,'NEI Lookups'!J:J)+SUMIF('NEI Lookups'!$R:$R,'Inputs Yr 2'!$F120,'NEI Lookups'!J:J)+SUMIF('NEI Lookups'!$S:$S,'Inputs Yr 2'!$F120,'NEI Lookups'!J:J)+SUMIF('NEI Lookups'!$T:$T,'Inputs Yr 2'!$F120,'NEI Lookups'!J:J)</f>
        <v>0</v>
      </c>
      <c r="AY120" s="930" t="e">
        <f>'Calculations Yr 2'!CP120/'Calculations Yr 2'!I120</f>
        <v>#DIV/0!</v>
      </c>
    </row>
    <row r="121" spans="1:53" s="133" customFormat="1" ht="12.75" customHeight="1">
      <c r="A121" s="145" t="s">
        <v>79</v>
      </c>
      <c r="B121" s="132" t="s">
        <v>872</v>
      </c>
      <c r="C121" s="914" t="s">
        <v>765</v>
      </c>
      <c r="D121" s="906" t="s">
        <v>1488</v>
      </c>
      <c r="E121" s="150" t="s">
        <v>1298</v>
      </c>
      <c r="F121" s="98" t="s">
        <v>1030</v>
      </c>
      <c r="G121" s="145" t="s">
        <v>460</v>
      </c>
      <c r="H121" s="232">
        <v>3492</v>
      </c>
      <c r="I121" s="232">
        <v>15</v>
      </c>
      <c r="J121" s="964">
        <v>203.38469358533794</v>
      </c>
      <c r="K121" s="166">
        <f>J121</f>
        <v>203.38469358533794</v>
      </c>
      <c r="L121" s="888">
        <f t="shared" si="16"/>
        <v>0</v>
      </c>
      <c r="M121" s="978">
        <v>0</v>
      </c>
      <c r="N121" s="978">
        <v>0</v>
      </c>
      <c r="O121" s="978">
        <v>0</v>
      </c>
      <c r="P121" s="889">
        <f t="shared" si="19"/>
        <v>1</v>
      </c>
      <c r="Q121" s="978">
        <v>1</v>
      </c>
      <c r="R121" s="178">
        <v>1</v>
      </c>
      <c r="S121" s="178">
        <v>1</v>
      </c>
      <c r="T121" s="178">
        <v>1</v>
      </c>
      <c r="U121" s="980">
        <v>0.75</v>
      </c>
      <c r="V121" s="978">
        <v>1</v>
      </c>
      <c r="W121" s="179"/>
      <c r="X121" s="937" t="s">
        <v>653</v>
      </c>
      <c r="Y121" s="299">
        <f>IFERROR(VLOOKUP($X121,'Demand Lookups'!$A$5:$K$101,9,0), 0)</f>
        <v>0</v>
      </c>
      <c r="Z121" s="922" t="str">
        <f>IFERROR(VLOOKUP(X121,'Demand Lookups'!$A$5:$B$101,2,0),0)</f>
        <v>Non-Electric Measures</v>
      </c>
      <c r="AA121" s="722">
        <f>IF(ISNA(VLOOKUP($X121,'Demand Lookups'!$A$5:$K$81,3,0)),0,VLOOKUP($X121,'Demand Lookups'!$A$5:$K$81,3,0))</f>
        <v>0</v>
      </c>
      <c r="AB121" s="722">
        <f>IF(ISNA(VLOOKUP($X121,'Demand Lookups'!$A$5:$K$81,4,0)),0,VLOOKUP($X121,'Demand Lookups'!$A$5:$K$81,4,0))</f>
        <v>0</v>
      </c>
      <c r="AC121" s="722">
        <f>IF(ISNA(VLOOKUP($X121,'Demand Lookups'!$A$5:$K$81,5,0)),0,VLOOKUP($X121,'Demand Lookups'!$A$5:$K$81,5,0))</f>
        <v>0</v>
      </c>
      <c r="AD121" s="723">
        <f>IF(ISNA(VLOOKUP($X121,'Demand Lookups'!$A$5:$K$81,6,0)),0,VLOOKUP($X121,'Demand Lookups'!$A$5:$K$81,6,0))</f>
        <v>0</v>
      </c>
      <c r="AE121" s="724">
        <f t="shared" si="20"/>
        <v>0</v>
      </c>
      <c r="AF121" s="723">
        <f>ROUND(IF(ISNA(VLOOKUP($X121,'Demand Lookups'!$A$5:$K$82,10,0)),0,(VLOOKUP($X121,'Demand Lookups'!$A$5:$K$82,10,0))),2)</f>
        <v>0</v>
      </c>
      <c r="AG121" s="723">
        <f>ROUND(IF(ISNA(VLOOKUP($X121,'Demand Lookups'!$A$5:$K$82,11,0)),0,VLOOKUP($X121,'Demand Lookups'!$A$5:$K$82,11,0)),2)</f>
        <v>0</v>
      </c>
      <c r="AH121" s="648">
        <f t="shared" si="21"/>
        <v>0</v>
      </c>
      <c r="AI121" s="648">
        <f t="shared" si="22"/>
        <v>0</v>
      </c>
      <c r="AJ121" s="167" t="s">
        <v>404</v>
      </c>
      <c r="AK121" s="866">
        <v>4.0144453283696064</v>
      </c>
      <c r="AL121" s="167"/>
      <c r="AM121" s="168"/>
      <c r="AN121" s="167"/>
      <c r="AO121" s="168"/>
      <c r="AP121" s="171">
        <v>0</v>
      </c>
      <c r="AQ121" s="171"/>
      <c r="AR121" s="171"/>
      <c r="AS121" s="299">
        <f>SUMIF('NEI Lookups'!$L:$L,'Inputs Yr 2'!$F121,'NEI Lookups'!E:E)+SUMIF('NEI Lookups'!$M:$M,'Inputs Yr 2'!$F121,'NEI Lookups'!E:E)+SUMIF('NEI Lookups'!$N:$N,'Inputs Yr 2'!$F121,'NEI Lookups'!E:E)+SUMIF('NEI Lookups'!$O:$O,'Inputs Yr 2'!$F121,'NEI Lookups'!E:E)+SUMIF('NEI Lookups'!$P:$P,'Inputs Yr 2'!$F121,'NEI Lookups'!E:E)+SUMIF('NEI Lookups'!$Q:$Q,'Inputs Yr 2'!$F121,'NEI Lookups'!E:E)+SUMIF('NEI Lookups'!$R:$R,'Inputs Yr 2'!$F121,'NEI Lookups'!E:E)+SUMIF('NEI Lookups'!$S:$S,'Inputs Yr 2'!$F121,'NEI Lookups'!E:E)+SUMIF('NEI Lookups'!$T:$T,'Inputs Yr 2'!$F121,'NEI Lookups'!E:E)</f>
        <v>56.33</v>
      </c>
      <c r="AT121" s="299">
        <f>SUMIF('NEI Lookups'!$L:$L,'Inputs Yr 2'!$F121,'NEI Lookups'!F:F)+SUMIF('NEI Lookups'!$M:$M,'Inputs Yr 2'!$F121,'NEI Lookups'!F:F)+SUMIF('NEI Lookups'!$N:$N,'Inputs Yr 2'!$F121,'NEI Lookups'!F:F)+SUMIF('NEI Lookups'!$O:$O,'Inputs Yr 2'!$F121,'NEI Lookups'!F:F)+SUMIF('NEI Lookups'!$P:$P,'Inputs Yr 2'!$F121,'NEI Lookups'!F:F)+SUMIF('NEI Lookups'!$Q:$Q,'Inputs Yr 2'!$F121,'NEI Lookups'!F:F)+SUMIF('NEI Lookups'!$R:$R,'Inputs Yr 2'!$F121,'NEI Lookups'!F:F)+SUMIF('NEI Lookups'!$S:$S,'Inputs Yr 2'!$F121,'NEI Lookups'!F:F)+SUMIF('NEI Lookups'!$T:$T,'Inputs Yr 2'!$F121,'NEI Lookups'!F:F)</f>
        <v>0</v>
      </c>
      <c r="AU121" s="299">
        <f>SUMIF('NEI Lookups'!$L:$L,'Inputs Yr 2'!$F121,'NEI Lookups'!G:G)+SUMIF('NEI Lookups'!$M:$M,'Inputs Yr 2'!$F121,'NEI Lookups'!G:G)+SUMIF('NEI Lookups'!$N:$N,'Inputs Yr 2'!$F121,'NEI Lookups'!G:G)+SUMIF('NEI Lookups'!$O:$O,'Inputs Yr 2'!$F121,'NEI Lookups'!G:G)+SUMIF('NEI Lookups'!$P:$P,'Inputs Yr 2'!$F121,'NEI Lookups'!G:G)+SUMIF('NEI Lookups'!$Q:$Q,'Inputs Yr 2'!$F121,'NEI Lookups'!G:G)+SUMIF('NEI Lookups'!$R:$R,'Inputs Yr 2'!$F121,'NEI Lookups'!G:G)+SUMIF('NEI Lookups'!$S:$S,'Inputs Yr 2'!$F121,'NEI Lookups'!G:G)+SUMIF('NEI Lookups'!$T:$T,'Inputs Yr 2'!$F121,'NEI Lookups'!G:G)</f>
        <v>0</v>
      </c>
      <c r="AV121" s="299">
        <f>SUMIF('NEI Lookups'!$L:$L,'Inputs Yr 2'!$F121,'NEI Lookups'!H:H)+SUMIF('NEI Lookups'!$M:$M,'Inputs Yr 2'!$F121,'NEI Lookups'!H:H)+SUMIF('NEI Lookups'!$N:$N,'Inputs Yr 2'!$F121,'NEI Lookups'!H:H)+SUMIF('NEI Lookups'!$O:$O,'Inputs Yr 2'!$F121,'NEI Lookups'!H:H)+SUMIF('NEI Lookups'!$P:$P,'Inputs Yr 2'!$F121,'NEI Lookups'!H:H)+SUMIF('NEI Lookups'!$Q:$Q,'Inputs Yr 2'!$F121,'NEI Lookups'!H:H)+SUMIF('NEI Lookups'!$R:$R,'Inputs Yr 2'!$F121,'NEI Lookups'!H:H)+SUMIF('NEI Lookups'!$S:$S,'Inputs Yr 2'!$F121,'NEI Lookups'!H:H)+SUMIF('NEI Lookups'!$T:$T,'Inputs Yr 2'!$F121,'NEI Lookups'!H:H)</f>
        <v>0</v>
      </c>
      <c r="AW121" s="299">
        <f>SUMIF('NEI Lookups'!$L:$L,'Inputs Yr 2'!$F121,'NEI Lookups'!I:I)+SUMIF('NEI Lookups'!$M:$M,'Inputs Yr 2'!$F121,'NEI Lookups'!I:I)+SUMIF('NEI Lookups'!$N:$N,'Inputs Yr 2'!$F121,'NEI Lookups'!I:I)+SUMIF('NEI Lookups'!$O:$O,'Inputs Yr 2'!$F121,'NEI Lookups'!I:I)+SUMIF('NEI Lookups'!$P:$P,'Inputs Yr 2'!$F121,'NEI Lookups'!I:I)+SUMIF('NEI Lookups'!$Q:$Q,'Inputs Yr 2'!$F121,'NEI Lookups'!I:I)+SUMIF('NEI Lookups'!$R:$R,'Inputs Yr 2'!$F121,'NEI Lookups'!I:I)+SUMIF('NEI Lookups'!$S:$S,'Inputs Yr 2'!$F121,'NEI Lookups'!I:I)+SUMIF('NEI Lookups'!$T:$T,'Inputs Yr 2'!$F121,'NEI Lookups'!I:I)</f>
        <v>0.13400000000000001</v>
      </c>
      <c r="AX121" s="940">
        <f>SUMIF('NEI Lookups'!$L:$L,'Inputs Yr 2'!$F121,'NEI Lookups'!J:J)+SUMIF('NEI Lookups'!$M:$M,'Inputs Yr 2'!$F121,'NEI Lookups'!J:J)+SUMIF('NEI Lookups'!$N:$N,'Inputs Yr 2'!$F121,'NEI Lookups'!J:J)+SUMIF('NEI Lookups'!$O:$O,'Inputs Yr 2'!$F121,'NEI Lookups'!J:J)+SUMIF('NEI Lookups'!$P:$P,'Inputs Yr 2'!$F121,'NEI Lookups'!J:J)+SUMIF('NEI Lookups'!$Q:$Q,'Inputs Yr 2'!$F121,'NEI Lookups'!J:J)+SUMIF('NEI Lookups'!$R:$R,'Inputs Yr 2'!$F121,'NEI Lookups'!J:J)+SUMIF('NEI Lookups'!$S:$S,'Inputs Yr 2'!$F121,'NEI Lookups'!J:J)+SUMIF('NEI Lookups'!$T:$T,'Inputs Yr 2'!$F121,'NEI Lookups'!J:J)</f>
        <v>7.5999999999999998E-2</v>
      </c>
      <c r="AY121" s="930">
        <f>'Calculations Yr 2'!CP121/'Calculations Yr 2'!I121</f>
        <v>6.3370750085222785</v>
      </c>
      <c r="BA121" s="838"/>
    </row>
    <row r="122" spans="1:53" s="133" customFormat="1" ht="12.75" customHeight="1">
      <c r="A122" s="145" t="s">
        <v>79</v>
      </c>
      <c r="B122" s="132" t="s">
        <v>872</v>
      </c>
      <c r="C122" s="914" t="s">
        <v>765</v>
      </c>
      <c r="D122" s="918" t="s">
        <v>1489</v>
      </c>
      <c r="E122" s="98" t="s">
        <v>1299</v>
      </c>
      <c r="F122" s="98" t="s">
        <v>1031</v>
      </c>
      <c r="G122" s="145" t="s">
        <v>460</v>
      </c>
      <c r="H122" s="232">
        <v>1992</v>
      </c>
      <c r="I122" s="232">
        <v>25</v>
      </c>
      <c r="J122" s="964">
        <v>1156.6149397590366</v>
      </c>
      <c r="K122" s="166">
        <f t="shared" ref="K122:K141" si="24">J122</f>
        <v>1156.6149397590366</v>
      </c>
      <c r="L122" s="888">
        <f t="shared" si="16"/>
        <v>0</v>
      </c>
      <c r="M122" s="978">
        <v>0</v>
      </c>
      <c r="N122" s="978">
        <v>0</v>
      </c>
      <c r="O122" s="978">
        <v>0</v>
      </c>
      <c r="P122" s="889">
        <f t="shared" si="19"/>
        <v>1</v>
      </c>
      <c r="Q122" s="978">
        <v>1</v>
      </c>
      <c r="R122" s="178">
        <v>1</v>
      </c>
      <c r="S122" s="178">
        <v>1</v>
      </c>
      <c r="T122" s="178">
        <v>1</v>
      </c>
      <c r="U122" s="980">
        <v>0.75</v>
      </c>
      <c r="V122" s="978">
        <v>1</v>
      </c>
      <c r="W122" s="179"/>
      <c r="X122" s="937" t="s">
        <v>653</v>
      </c>
      <c r="Y122" s="299">
        <f>IFERROR(VLOOKUP($X122,'Demand Lookups'!$A$5:$K$101,9,0), 0)</f>
        <v>0</v>
      </c>
      <c r="Z122" s="922" t="str">
        <f>IFERROR(VLOOKUP(X122,'Demand Lookups'!$A$5:$B$101,2,0),0)</f>
        <v>Non-Electric Measures</v>
      </c>
      <c r="AA122" s="722">
        <f>IF(ISNA(VLOOKUP($X122,'Demand Lookups'!$A$5:$K$81,3,0)),0,VLOOKUP($X122,'Demand Lookups'!$A$5:$K$81,3,0))</f>
        <v>0</v>
      </c>
      <c r="AB122" s="722">
        <f>IF(ISNA(VLOOKUP($X122,'Demand Lookups'!$A$5:$K$81,4,0)),0,VLOOKUP($X122,'Demand Lookups'!$A$5:$K$81,4,0))</f>
        <v>0</v>
      </c>
      <c r="AC122" s="722">
        <f>IF(ISNA(VLOOKUP($X122,'Demand Lookups'!$A$5:$K$81,5,0)),0,VLOOKUP($X122,'Demand Lookups'!$A$5:$K$81,5,0))</f>
        <v>0</v>
      </c>
      <c r="AD122" s="723">
        <f>IF(ISNA(VLOOKUP($X122,'Demand Lookups'!$A$5:$K$81,6,0)),0,VLOOKUP($X122,'Demand Lookups'!$A$5:$K$81,6,0))</f>
        <v>0</v>
      </c>
      <c r="AE122" s="724">
        <f t="shared" si="20"/>
        <v>0</v>
      </c>
      <c r="AF122" s="723">
        <f>ROUND(IF(ISNA(VLOOKUP($X122,'Demand Lookups'!$A$5:$K$82,10,0)),0,(VLOOKUP($X122,'Demand Lookups'!$A$5:$K$82,10,0))),2)</f>
        <v>0</v>
      </c>
      <c r="AG122" s="723">
        <f>ROUND(IF(ISNA(VLOOKUP($X122,'Demand Lookups'!$A$5:$K$82,11,0)),0,VLOOKUP($X122,'Demand Lookups'!$A$5:$K$82,11,0)),2)</f>
        <v>0</v>
      </c>
      <c r="AH122" s="648">
        <f t="shared" si="21"/>
        <v>0</v>
      </c>
      <c r="AI122" s="648">
        <f t="shared" si="22"/>
        <v>0</v>
      </c>
      <c r="AJ122" s="167" t="s">
        <v>404</v>
      </c>
      <c r="AK122" s="866">
        <v>11.832883401606425</v>
      </c>
      <c r="AL122" s="167"/>
      <c r="AM122" s="168"/>
      <c r="AN122" s="167"/>
      <c r="AO122" s="168"/>
      <c r="AP122" s="171">
        <v>0</v>
      </c>
      <c r="AQ122" s="171"/>
      <c r="AR122" s="171"/>
      <c r="AS122" s="299">
        <f>SUMIF('NEI Lookups'!$L:$L,'Inputs Yr 2'!$F122,'NEI Lookups'!E:E)+SUMIF('NEI Lookups'!$M:$M,'Inputs Yr 2'!$F122,'NEI Lookups'!E:E)+SUMIF('NEI Lookups'!$N:$N,'Inputs Yr 2'!$F122,'NEI Lookups'!E:E)+SUMIF('NEI Lookups'!$O:$O,'Inputs Yr 2'!$F122,'NEI Lookups'!E:E)+SUMIF('NEI Lookups'!$P:$P,'Inputs Yr 2'!$F122,'NEI Lookups'!E:E)+SUMIF('NEI Lookups'!$Q:$Q,'Inputs Yr 2'!$F122,'NEI Lookups'!E:E)+SUMIF('NEI Lookups'!$R:$R,'Inputs Yr 2'!$F122,'NEI Lookups'!E:E)+SUMIF('NEI Lookups'!$S:$S,'Inputs Yr 2'!$F122,'NEI Lookups'!E:E)+SUMIF('NEI Lookups'!$T:$T,'Inputs Yr 2'!$F122,'NEI Lookups'!E:E)</f>
        <v>52.47</v>
      </c>
      <c r="AT122" s="299">
        <f>SUMIF('NEI Lookups'!$L:$L,'Inputs Yr 2'!$F122,'NEI Lookups'!F:F)+SUMIF('NEI Lookups'!$M:$M,'Inputs Yr 2'!$F122,'NEI Lookups'!F:F)+SUMIF('NEI Lookups'!$N:$N,'Inputs Yr 2'!$F122,'NEI Lookups'!F:F)+SUMIF('NEI Lookups'!$O:$O,'Inputs Yr 2'!$F122,'NEI Lookups'!F:F)+SUMIF('NEI Lookups'!$P:$P,'Inputs Yr 2'!$F122,'NEI Lookups'!F:F)+SUMIF('NEI Lookups'!$Q:$Q,'Inputs Yr 2'!$F122,'NEI Lookups'!F:F)+SUMIF('NEI Lookups'!$R:$R,'Inputs Yr 2'!$F122,'NEI Lookups'!F:F)+SUMIF('NEI Lookups'!$S:$S,'Inputs Yr 2'!$F122,'NEI Lookups'!F:F)+SUMIF('NEI Lookups'!$T:$T,'Inputs Yr 2'!$F122,'NEI Lookups'!F:F)</f>
        <v>0</v>
      </c>
      <c r="AU122" s="299">
        <f>SUMIF('NEI Lookups'!$L:$L,'Inputs Yr 2'!$F122,'NEI Lookups'!G:G)+SUMIF('NEI Lookups'!$M:$M,'Inputs Yr 2'!$F122,'NEI Lookups'!G:G)+SUMIF('NEI Lookups'!$N:$N,'Inputs Yr 2'!$F122,'NEI Lookups'!G:G)+SUMIF('NEI Lookups'!$O:$O,'Inputs Yr 2'!$F122,'NEI Lookups'!G:G)+SUMIF('NEI Lookups'!$P:$P,'Inputs Yr 2'!$F122,'NEI Lookups'!G:G)+SUMIF('NEI Lookups'!$Q:$Q,'Inputs Yr 2'!$F122,'NEI Lookups'!G:G)+SUMIF('NEI Lookups'!$R:$R,'Inputs Yr 2'!$F122,'NEI Lookups'!G:G)+SUMIF('NEI Lookups'!$S:$S,'Inputs Yr 2'!$F122,'NEI Lookups'!G:G)+SUMIF('NEI Lookups'!$T:$T,'Inputs Yr 2'!$F122,'NEI Lookups'!G:G)</f>
        <v>0</v>
      </c>
      <c r="AV122" s="299">
        <f>SUMIF('NEI Lookups'!$L:$L,'Inputs Yr 2'!$F122,'NEI Lookups'!H:H)+SUMIF('NEI Lookups'!$M:$M,'Inputs Yr 2'!$F122,'NEI Lookups'!H:H)+SUMIF('NEI Lookups'!$N:$N,'Inputs Yr 2'!$F122,'NEI Lookups'!H:H)+SUMIF('NEI Lookups'!$O:$O,'Inputs Yr 2'!$F122,'NEI Lookups'!H:H)+SUMIF('NEI Lookups'!$P:$P,'Inputs Yr 2'!$F122,'NEI Lookups'!H:H)+SUMIF('NEI Lookups'!$Q:$Q,'Inputs Yr 2'!$F122,'NEI Lookups'!H:H)+SUMIF('NEI Lookups'!$R:$R,'Inputs Yr 2'!$F122,'NEI Lookups'!H:H)+SUMIF('NEI Lookups'!$S:$S,'Inputs Yr 2'!$F122,'NEI Lookups'!H:H)+SUMIF('NEI Lookups'!$T:$T,'Inputs Yr 2'!$F122,'NEI Lookups'!H:H)</f>
        <v>0</v>
      </c>
      <c r="AW122" s="299">
        <f>SUMIF('NEI Lookups'!$L:$L,'Inputs Yr 2'!$F122,'NEI Lookups'!I:I)+SUMIF('NEI Lookups'!$M:$M,'Inputs Yr 2'!$F122,'NEI Lookups'!I:I)+SUMIF('NEI Lookups'!$N:$N,'Inputs Yr 2'!$F122,'NEI Lookups'!I:I)+SUMIF('NEI Lookups'!$O:$O,'Inputs Yr 2'!$F122,'NEI Lookups'!I:I)+SUMIF('NEI Lookups'!$P:$P,'Inputs Yr 2'!$F122,'NEI Lookups'!I:I)+SUMIF('NEI Lookups'!$Q:$Q,'Inputs Yr 2'!$F122,'NEI Lookups'!I:I)+SUMIF('NEI Lookups'!$R:$R,'Inputs Yr 2'!$F122,'NEI Lookups'!I:I)+SUMIF('NEI Lookups'!$S:$S,'Inputs Yr 2'!$F122,'NEI Lookups'!I:I)+SUMIF('NEI Lookups'!$T:$T,'Inputs Yr 2'!$F122,'NEI Lookups'!I:I)</f>
        <v>0.13400000000000001</v>
      </c>
      <c r="AX122" s="940">
        <f>SUMIF('NEI Lookups'!$L:$L,'Inputs Yr 2'!$F122,'NEI Lookups'!J:J)+SUMIF('NEI Lookups'!$M:$M,'Inputs Yr 2'!$F122,'NEI Lookups'!J:J)+SUMIF('NEI Lookups'!$N:$N,'Inputs Yr 2'!$F122,'NEI Lookups'!J:J)+SUMIF('NEI Lookups'!$O:$O,'Inputs Yr 2'!$F122,'NEI Lookups'!J:J)+SUMIF('NEI Lookups'!$P:$P,'Inputs Yr 2'!$F122,'NEI Lookups'!J:J)+SUMIF('NEI Lookups'!$Q:$Q,'Inputs Yr 2'!$F122,'NEI Lookups'!J:J)+SUMIF('NEI Lookups'!$R:$R,'Inputs Yr 2'!$F122,'NEI Lookups'!J:J)+SUMIF('NEI Lookups'!$S:$S,'Inputs Yr 2'!$F122,'NEI Lookups'!J:J)+SUMIF('NEI Lookups'!$T:$T,'Inputs Yr 2'!$F122,'NEI Lookups'!J:J)</f>
        <v>7.5999999999999998E-2</v>
      </c>
      <c r="AY122" s="930">
        <f>'Calculations Yr 2'!CP122/'Calculations Yr 2'!I122</f>
        <v>3.1214109913660044</v>
      </c>
    </row>
    <row r="123" spans="1:53" s="133" customFormat="1" ht="12.75" customHeight="1">
      <c r="A123" s="145" t="s">
        <v>79</v>
      </c>
      <c r="B123" s="132" t="s">
        <v>872</v>
      </c>
      <c r="C123" s="914" t="s">
        <v>765</v>
      </c>
      <c r="E123" s="98" t="s">
        <v>1326</v>
      </c>
      <c r="F123" s="98" t="s">
        <v>1032</v>
      </c>
      <c r="G123" s="145" t="s">
        <v>1247</v>
      </c>
      <c r="H123" s="232">
        <v>420</v>
      </c>
      <c r="I123" s="232">
        <v>0</v>
      </c>
      <c r="J123" s="964"/>
      <c r="K123" s="166">
        <f t="shared" si="24"/>
        <v>0</v>
      </c>
      <c r="L123" s="888">
        <f t="shared" si="16"/>
        <v>0</v>
      </c>
      <c r="M123" s="978">
        <v>0</v>
      </c>
      <c r="N123" s="978">
        <v>0</v>
      </c>
      <c r="O123" s="978">
        <v>0</v>
      </c>
      <c r="P123" s="889">
        <f t="shared" si="19"/>
        <v>1</v>
      </c>
      <c r="Q123" s="978">
        <v>0</v>
      </c>
      <c r="R123" s="178">
        <v>1</v>
      </c>
      <c r="S123" s="178">
        <v>1</v>
      </c>
      <c r="T123" s="178">
        <v>1</v>
      </c>
      <c r="U123" s="980">
        <v>0</v>
      </c>
      <c r="V123" s="978">
        <v>0</v>
      </c>
      <c r="W123" s="179"/>
      <c r="X123" s="937" t="s">
        <v>653</v>
      </c>
      <c r="Y123" s="299">
        <f>IFERROR(VLOOKUP($X123,'Demand Lookups'!$A$5:$K$101,9,0), 0)</f>
        <v>0</v>
      </c>
      <c r="Z123" s="922" t="str">
        <f>IFERROR(VLOOKUP(X123,'Demand Lookups'!$A$5:$B$101,2,0),0)</f>
        <v>Non-Electric Measures</v>
      </c>
      <c r="AA123" s="722">
        <f>IF(ISNA(VLOOKUP($X123,'Demand Lookups'!$A$5:$K$81,3,0)),0,VLOOKUP($X123,'Demand Lookups'!$A$5:$K$81,3,0))</f>
        <v>0</v>
      </c>
      <c r="AB123" s="722">
        <f>IF(ISNA(VLOOKUP($X123,'Demand Lookups'!$A$5:$K$81,4,0)),0,VLOOKUP($X123,'Demand Lookups'!$A$5:$K$81,4,0))</f>
        <v>0</v>
      </c>
      <c r="AC123" s="722">
        <f>IF(ISNA(VLOOKUP($X123,'Demand Lookups'!$A$5:$K$81,5,0)),0,VLOOKUP($X123,'Demand Lookups'!$A$5:$K$81,5,0))</f>
        <v>0</v>
      </c>
      <c r="AD123" s="723">
        <f>IF(ISNA(VLOOKUP($X123,'Demand Lookups'!$A$5:$K$81,6,0)),0,VLOOKUP($X123,'Demand Lookups'!$A$5:$K$81,6,0))</f>
        <v>0</v>
      </c>
      <c r="AE123" s="724">
        <f t="shared" si="20"/>
        <v>0</v>
      </c>
      <c r="AF123" s="723">
        <f>ROUND(IF(ISNA(VLOOKUP($X123,'Demand Lookups'!$A$5:$K$82,10,0)),0,(VLOOKUP($X123,'Demand Lookups'!$A$5:$K$82,10,0))),2)</f>
        <v>0</v>
      </c>
      <c r="AG123" s="723">
        <f>ROUND(IF(ISNA(VLOOKUP($X123,'Demand Lookups'!$A$5:$K$82,11,0)),0,VLOOKUP($X123,'Demand Lookups'!$A$5:$K$82,11,0)),2)</f>
        <v>0</v>
      </c>
      <c r="AH123" s="648">
        <f t="shared" si="21"/>
        <v>0</v>
      </c>
      <c r="AI123" s="648">
        <f t="shared" si="22"/>
        <v>0</v>
      </c>
      <c r="AJ123" s="167" t="s">
        <v>404</v>
      </c>
      <c r="AK123" s="866">
        <v>0</v>
      </c>
      <c r="AL123" s="167"/>
      <c r="AM123" s="168"/>
      <c r="AN123" s="167"/>
      <c r="AO123" s="168"/>
      <c r="AP123" s="171">
        <v>0</v>
      </c>
      <c r="AQ123" s="171"/>
      <c r="AR123" s="171"/>
      <c r="AS123" s="299">
        <f>SUMIF('NEI Lookups'!$L:$L,'Inputs Yr 2'!$F123,'NEI Lookups'!E:E)+SUMIF('NEI Lookups'!$M:$M,'Inputs Yr 2'!$F123,'NEI Lookups'!E:E)+SUMIF('NEI Lookups'!$N:$N,'Inputs Yr 2'!$F123,'NEI Lookups'!E:E)+SUMIF('NEI Lookups'!$O:$O,'Inputs Yr 2'!$F123,'NEI Lookups'!E:E)+SUMIF('NEI Lookups'!$P:$P,'Inputs Yr 2'!$F123,'NEI Lookups'!E:E)+SUMIF('NEI Lookups'!$Q:$Q,'Inputs Yr 2'!$F123,'NEI Lookups'!E:E)+SUMIF('NEI Lookups'!$R:$R,'Inputs Yr 2'!$F123,'NEI Lookups'!E:E)+SUMIF('NEI Lookups'!$S:$S,'Inputs Yr 2'!$F123,'NEI Lookups'!E:E)+SUMIF('NEI Lookups'!$T:$T,'Inputs Yr 2'!$F123,'NEI Lookups'!E:E)</f>
        <v>123.91</v>
      </c>
      <c r="AT123" s="299">
        <f>SUMIF('NEI Lookups'!$L:$L,'Inputs Yr 2'!$F123,'NEI Lookups'!F:F)+SUMIF('NEI Lookups'!$M:$M,'Inputs Yr 2'!$F123,'NEI Lookups'!F:F)+SUMIF('NEI Lookups'!$N:$N,'Inputs Yr 2'!$F123,'NEI Lookups'!F:F)+SUMIF('NEI Lookups'!$O:$O,'Inputs Yr 2'!$F123,'NEI Lookups'!F:F)+SUMIF('NEI Lookups'!$P:$P,'Inputs Yr 2'!$F123,'NEI Lookups'!F:F)+SUMIF('NEI Lookups'!$Q:$Q,'Inputs Yr 2'!$F123,'NEI Lookups'!F:F)+SUMIF('NEI Lookups'!$R:$R,'Inputs Yr 2'!$F123,'NEI Lookups'!F:F)+SUMIF('NEI Lookups'!$S:$S,'Inputs Yr 2'!$F123,'NEI Lookups'!F:F)+SUMIF('NEI Lookups'!$T:$T,'Inputs Yr 2'!$F123,'NEI Lookups'!F:F)</f>
        <v>0</v>
      </c>
      <c r="AU123" s="299">
        <f>SUMIF('NEI Lookups'!$L:$L,'Inputs Yr 2'!$F123,'NEI Lookups'!G:G)+SUMIF('NEI Lookups'!$M:$M,'Inputs Yr 2'!$F123,'NEI Lookups'!G:G)+SUMIF('NEI Lookups'!$N:$N,'Inputs Yr 2'!$F123,'NEI Lookups'!G:G)+SUMIF('NEI Lookups'!$O:$O,'Inputs Yr 2'!$F123,'NEI Lookups'!G:G)+SUMIF('NEI Lookups'!$P:$P,'Inputs Yr 2'!$F123,'NEI Lookups'!G:G)+SUMIF('NEI Lookups'!$Q:$Q,'Inputs Yr 2'!$F123,'NEI Lookups'!G:G)+SUMIF('NEI Lookups'!$R:$R,'Inputs Yr 2'!$F123,'NEI Lookups'!G:G)+SUMIF('NEI Lookups'!$S:$S,'Inputs Yr 2'!$F123,'NEI Lookups'!G:G)+SUMIF('NEI Lookups'!$T:$T,'Inputs Yr 2'!$F123,'NEI Lookups'!G:G)</f>
        <v>0</v>
      </c>
      <c r="AV123" s="299">
        <f>SUMIF('NEI Lookups'!$L:$L,'Inputs Yr 2'!$F123,'NEI Lookups'!H:H)+SUMIF('NEI Lookups'!$M:$M,'Inputs Yr 2'!$F123,'NEI Lookups'!H:H)+SUMIF('NEI Lookups'!$N:$N,'Inputs Yr 2'!$F123,'NEI Lookups'!H:H)+SUMIF('NEI Lookups'!$O:$O,'Inputs Yr 2'!$F123,'NEI Lookups'!H:H)+SUMIF('NEI Lookups'!$P:$P,'Inputs Yr 2'!$F123,'NEI Lookups'!H:H)+SUMIF('NEI Lookups'!$Q:$Q,'Inputs Yr 2'!$F123,'NEI Lookups'!H:H)+SUMIF('NEI Lookups'!$R:$R,'Inputs Yr 2'!$F123,'NEI Lookups'!H:H)+SUMIF('NEI Lookups'!$S:$S,'Inputs Yr 2'!$F123,'NEI Lookups'!H:H)+SUMIF('NEI Lookups'!$T:$T,'Inputs Yr 2'!$F123,'NEI Lookups'!H:H)</f>
        <v>0</v>
      </c>
      <c r="AW123" s="299">
        <f>SUMIF('NEI Lookups'!$L:$L,'Inputs Yr 2'!$F123,'NEI Lookups'!I:I)+SUMIF('NEI Lookups'!$M:$M,'Inputs Yr 2'!$F123,'NEI Lookups'!I:I)+SUMIF('NEI Lookups'!$N:$N,'Inputs Yr 2'!$F123,'NEI Lookups'!I:I)+SUMIF('NEI Lookups'!$O:$O,'Inputs Yr 2'!$F123,'NEI Lookups'!I:I)+SUMIF('NEI Lookups'!$P:$P,'Inputs Yr 2'!$F123,'NEI Lookups'!I:I)+SUMIF('NEI Lookups'!$Q:$Q,'Inputs Yr 2'!$F123,'NEI Lookups'!I:I)+SUMIF('NEI Lookups'!$R:$R,'Inputs Yr 2'!$F123,'NEI Lookups'!I:I)+SUMIF('NEI Lookups'!$S:$S,'Inputs Yr 2'!$F123,'NEI Lookups'!I:I)+SUMIF('NEI Lookups'!$T:$T,'Inputs Yr 2'!$F123,'NEI Lookups'!I:I)</f>
        <v>0.13400000000000001</v>
      </c>
      <c r="AX123" s="940">
        <f>SUMIF('NEI Lookups'!$L:$L,'Inputs Yr 2'!$F123,'NEI Lookups'!J:J)+SUMIF('NEI Lookups'!$M:$M,'Inputs Yr 2'!$F123,'NEI Lookups'!J:J)+SUMIF('NEI Lookups'!$N:$N,'Inputs Yr 2'!$F123,'NEI Lookups'!J:J)+SUMIF('NEI Lookups'!$O:$O,'Inputs Yr 2'!$F123,'NEI Lookups'!J:J)+SUMIF('NEI Lookups'!$P:$P,'Inputs Yr 2'!$F123,'NEI Lookups'!J:J)+SUMIF('NEI Lookups'!$Q:$Q,'Inputs Yr 2'!$F123,'NEI Lookups'!J:J)+SUMIF('NEI Lookups'!$R:$R,'Inputs Yr 2'!$F123,'NEI Lookups'!J:J)+SUMIF('NEI Lookups'!$S:$S,'Inputs Yr 2'!$F123,'NEI Lookups'!J:J)+SUMIF('NEI Lookups'!$T:$T,'Inputs Yr 2'!$F123,'NEI Lookups'!J:J)</f>
        <v>7.5999999999999998E-2</v>
      </c>
      <c r="AY123" s="930" t="e">
        <f>'Calculations Yr 2'!CP123/'Calculations Yr 2'!I123</f>
        <v>#DIV/0!</v>
      </c>
    </row>
    <row r="124" spans="1:53" s="133" customFormat="1" ht="12.75" customHeight="1">
      <c r="A124" s="145" t="s">
        <v>79</v>
      </c>
      <c r="B124" s="132" t="s">
        <v>872</v>
      </c>
      <c r="C124" s="914" t="s">
        <v>765</v>
      </c>
      <c r="D124" s="904" t="s">
        <v>1497</v>
      </c>
      <c r="E124" s="98" t="s">
        <v>1327</v>
      </c>
      <c r="F124" s="98" t="s">
        <v>1033</v>
      </c>
      <c r="G124" s="145" t="s">
        <v>1247</v>
      </c>
      <c r="H124" s="232">
        <v>5</v>
      </c>
      <c r="I124" s="232">
        <v>18</v>
      </c>
      <c r="J124" s="964">
        <v>8984</v>
      </c>
      <c r="K124" s="166">
        <f t="shared" si="24"/>
        <v>8984</v>
      </c>
      <c r="L124" s="888">
        <f t="shared" si="16"/>
        <v>0</v>
      </c>
      <c r="M124" s="978">
        <v>0</v>
      </c>
      <c r="N124" s="978">
        <v>0</v>
      </c>
      <c r="O124" s="978">
        <v>0</v>
      </c>
      <c r="P124" s="889">
        <f t="shared" si="19"/>
        <v>1</v>
      </c>
      <c r="Q124" s="978">
        <v>1</v>
      </c>
      <c r="R124" s="178">
        <v>1</v>
      </c>
      <c r="S124" s="178">
        <v>1</v>
      </c>
      <c r="T124" s="178">
        <v>1</v>
      </c>
      <c r="U124" s="980">
        <v>0.75</v>
      </c>
      <c r="V124" s="978">
        <v>1</v>
      </c>
      <c r="W124" s="179"/>
      <c r="X124" s="937" t="s">
        <v>653</v>
      </c>
      <c r="Y124" s="299">
        <f>IFERROR(VLOOKUP($X124,'Demand Lookups'!$A$5:$K$101,9,0), 0)</f>
        <v>0</v>
      </c>
      <c r="Z124" s="922" t="str">
        <f>IFERROR(VLOOKUP(X124,'Demand Lookups'!$A$5:$B$101,2,0),0)</f>
        <v>Non-Electric Measures</v>
      </c>
      <c r="AA124" s="722">
        <f>IF(ISNA(VLOOKUP($X124,'Demand Lookups'!$A$5:$K$81,3,0)),0,VLOOKUP($X124,'Demand Lookups'!$A$5:$K$81,3,0))</f>
        <v>0</v>
      </c>
      <c r="AB124" s="722">
        <f>IF(ISNA(VLOOKUP($X124,'Demand Lookups'!$A$5:$K$81,4,0)),0,VLOOKUP($X124,'Demand Lookups'!$A$5:$K$81,4,0))</f>
        <v>0</v>
      </c>
      <c r="AC124" s="722">
        <f>IF(ISNA(VLOOKUP($X124,'Demand Lookups'!$A$5:$K$81,5,0)),0,VLOOKUP($X124,'Demand Lookups'!$A$5:$K$81,5,0))</f>
        <v>0</v>
      </c>
      <c r="AD124" s="723">
        <f>IF(ISNA(VLOOKUP($X124,'Demand Lookups'!$A$5:$K$81,6,0)),0,VLOOKUP($X124,'Demand Lookups'!$A$5:$K$81,6,0))</f>
        <v>0</v>
      </c>
      <c r="AE124" s="724">
        <f t="shared" si="20"/>
        <v>0</v>
      </c>
      <c r="AF124" s="723">
        <f>ROUND(IF(ISNA(VLOOKUP($X124,'Demand Lookups'!$A$5:$K$82,10,0)),0,(VLOOKUP($X124,'Demand Lookups'!$A$5:$K$82,10,0))),2)</f>
        <v>0</v>
      </c>
      <c r="AG124" s="723">
        <f>ROUND(IF(ISNA(VLOOKUP($X124,'Demand Lookups'!$A$5:$K$82,11,0)),0,VLOOKUP($X124,'Demand Lookups'!$A$5:$K$82,11,0)),2)</f>
        <v>0</v>
      </c>
      <c r="AH124" s="648">
        <f t="shared" si="21"/>
        <v>0</v>
      </c>
      <c r="AI124" s="648">
        <f t="shared" si="22"/>
        <v>0</v>
      </c>
      <c r="AJ124" s="167" t="s">
        <v>404</v>
      </c>
      <c r="AK124" s="866">
        <v>48.16838773333334</v>
      </c>
      <c r="AL124" s="167"/>
      <c r="AM124" s="168"/>
      <c r="AN124" s="167"/>
      <c r="AO124" s="168"/>
      <c r="AP124" s="171">
        <v>0</v>
      </c>
      <c r="AQ124" s="171"/>
      <c r="AR124" s="171"/>
      <c r="AS124" s="299">
        <f>SUMIF('NEI Lookups'!$L:$L,'Inputs Yr 2'!$F124,'NEI Lookups'!E:E)+SUMIF('NEI Lookups'!$M:$M,'Inputs Yr 2'!$F124,'NEI Lookups'!E:E)+SUMIF('NEI Lookups'!$N:$N,'Inputs Yr 2'!$F124,'NEI Lookups'!E:E)+SUMIF('NEI Lookups'!$O:$O,'Inputs Yr 2'!$F124,'NEI Lookups'!E:E)+SUMIF('NEI Lookups'!$P:$P,'Inputs Yr 2'!$F124,'NEI Lookups'!E:E)+SUMIF('NEI Lookups'!$Q:$Q,'Inputs Yr 2'!$F124,'NEI Lookups'!E:E)+SUMIF('NEI Lookups'!$R:$R,'Inputs Yr 2'!$F124,'NEI Lookups'!E:E)+SUMIF('NEI Lookups'!$S:$S,'Inputs Yr 2'!$F124,'NEI Lookups'!E:E)+SUMIF('NEI Lookups'!$T:$T,'Inputs Yr 2'!$F124,'NEI Lookups'!E:E)</f>
        <v>123.91</v>
      </c>
      <c r="AT124" s="299">
        <f>SUMIF('NEI Lookups'!$L:$L,'Inputs Yr 2'!$F124,'NEI Lookups'!F:F)+SUMIF('NEI Lookups'!$M:$M,'Inputs Yr 2'!$F124,'NEI Lookups'!F:F)+SUMIF('NEI Lookups'!$N:$N,'Inputs Yr 2'!$F124,'NEI Lookups'!F:F)+SUMIF('NEI Lookups'!$O:$O,'Inputs Yr 2'!$F124,'NEI Lookups'!F:F)+SUMIF('NEI Lookups'!$P:$P,'Inputs Yr 2'!$F124,'NEI Lookups'!F:F)+SUMIF('NEI Lookups'!$Q:$Q,'Inputs Yr 2'!$F124,'NEI Lookups'!F:F)+SUMIF('NEI Lookups'!$R:$R,'Inputs Yr 2'!$F124,'NEI Lookups'!F:F)+SUMIF('NEI Lookups'!$S:$S,'Inputs Yr 2'!$F124,'NEI Lookups'!F:F)+SUMIF('NEI Lookups'!$T:$T,'Inputs Yr 2'!$F124,'NEI Lookups'!F:F)</f>
        <v>0</v>
      </c>
      <c r="AU124" s="299">
        <f>SUMIF('NEI Lookups'!$L:$L,'Inputs Yr 2'!$F124,'NEI Lookups'!G:G)+SUMIF('NEI Lookups'!$M:$M,'Inputs Yr 2'!$F124,'NEI Lookups'!G:G)+SUMIF('NEI Lookups'!$N:$N,'Inputs Yr 2'!$F124,'NEI Lookups'!G:G)+SUMIF('NEI Lookups'!$O:$O,'Inputs Yr 2'!$F124,'NEI Lookups'!G:G)+SUMIF('NEI Lookups'!$P:$P,'Inputs Yr 2'!$F124,'NEI Lookups'!G:G)+SUMIF('NEI Lookups'!$Q:$Q,'Inputs Yr 2'!$F124,'NEI Lookups'!G:G)+SUMIF('NEI Lookups'!$R:$R,'Inputs Yr 2'!$F124,'NEI Lookups'!G:G)+SUMIF('NEI Lookups'!$S:$S,'Inputs Yr 2'!$F124,'NEI Lookups'!G:G)+SUMIF('NEI Lookups'!$T:$T,'Inputs Yr 2'!$F124,'NEI Lookups'!G:G)</f>
        <v>0</v>
      </c>
      <c r="AV124" s="299">
        <f>SUMIF('NEI Lookups'!$L:$L,'Inputs Yr 2'!$F124,'NEI Lookups'!H:H)+SUMIF('NEI Lookups'!$M:$M,'Inputs Yr 2'!$F124,'NEI Lookups'!H:H)+SUMIF('NEI Lookups'!$N:$N,'Inputs Yr 2'!$F124,'NEI Lookups'!H:H)+SUMIF('NEI Lookups'!$O:$O,'Inputs Yr 2'!$F124,'NEI Lookups'!H:H)+SUMIF('NEI Lookups'!$P:$P,'Inputs Yr 2'!$F124,'NEI Lookups'!H:H)+SUMIF('NEI Lookups'!$Q:$Q,'Inputs Yr 2'!$F124,'NEI Lookups'!H:H)+SUMIF('NEI Lookups'!$R:$R,'Inputs Yr 2'!$F124,'NEI Lookups'!H:H)+SUMIF('NEI Lookups'!$S:$S,'Inputs Yr 2'!$F124,'NEI Lookups'!H:H)+SUMIF('NEI Lookups'!$T:$T,'Inputs Yr 2'!$F124,'NEI Lookups'!H:H)</f>
        <v>0</v>
      </c>
      <c r="AW124" s="299">
        <f>SUMIF('NEI Lookups'!$L:$L,'Inputs Yr 2'!$F124,'NEI Lookups'!I:I)+SUMIF('NEI Lookups'!$M:$M,'Inputs Yr 2'!$F124,'NEI Lookups'!I:I)+SUMIF('NEI Lookups'!$N:$N,'Inputs Yr 2'!$F124,'NEI Lookups'!I:I)+SUMIF('NEI Lookups'!$O:$O,'Inputs Yr 2'!$F124,'NEI Lookups'!I:I)+SUMIF('NEI Lookups'!$P:$P,'Inputs Yr 2'!$F124,'NEI Lookups'!I:I)+SUMIF('NEI Lookups'!$Q:$Q,'Inputs Yr 2'!$F124,'NEI Lookups'!I:I)+SUMIF('NEI Lookups'!$R:$R,'Inputs Yr 2'!$F124,'NEI Lookups'!I:I)+SUMIF('NEI Lookups'!$S:$S,'Inputs Yr 2'!$F124,'NEI Lookups'!I:I)+SUMIF('NEI Lookups'!$T:$T,'Inputs Yr 2'!$F124,'NEI Lookups'!I:I)</f>
        <v>0.13400000000000001</v>
      </c>
      <c r="AX124" s="940">
        <f>SUMIF('NEI Lookups'!$L:$L,'Inputs Yr 2'!$F124,'NEI Lookups'!J:J)+SUMIF('NEI Lookups'!$M:$M,'Inputs Yr 2'!$F124,'NEI Lookups'!J:J)+SUMIF('NEI Lookups'!$N:$N,'Inputs Yr 2'!$F124,'NEI Lookups'!J:J)+SUMIF('NEI Lookups'!$O:$O,'Inputs Yr 2'!$F124,'NEI Lookups'!J:J)+SUMIF('NEI Lookups'!$P:$P,'Inputs Yr 2'!$F124,'NEI Lookups'!J:J)+SUMIF('NEI Lookups'!$Q:$Q,'Inputs Yr 2'!$F124,'NEI Lookups'!J:J)+SUMIF('NEI Lookups'!$R:$R,'Inputs Yr 2'!$F124,'NEI Lookups'!J:J)+SUMIF('NEI Lookups'!$S:$S,'Inputs Yr 2'!$F124,'NEI Lookups'!J:J)+SUMIF('NEI Lookups'!$T:$T,'Inputs Yr 2'!$F124,'NEI Lookups'!J:J)</f>
        <v>7.5999999999999998E-2</v>
      </c>
      <c r="AY124" s="930">
        <f>'Calculations Yr 2'!CP124/'Calculations Yr 2'!I124</f>
        <v>0.99738863659753796</v>
      </c>
    </row>
    <row r="125" spans="1:53" s="133" customFormat="1" ht="12.75" customHeight="1">
      <c r="A125" s="145" t="s">
        <v>79</v>
      </c>
      <c r="B125" s="132" t="s">
        <v>872</v>
      </c>
      <c r="C125" s="914" t="s">
        <v>765</v>
      </c>
      <c r="D125" s="918" t="s">
        <v>1494</v>
      </c>
      <c r="E125" s="98" t="s">
        <v>1328</v>
      </c>
      <c r="F125" s="98" t="s">
        <v>1034</v>
      </c>
      <c r="G125" s="145" t="s">
        <v>1247</v>
      </c>
      <c r="H125" s="232">
        <v>420</v>
      </c>
      <c r="I125" s="232">
        <v>20</v>
      </c>
      <c r="J125" s="964">
        <v>19375.345357142858</v>
      </c>
      <c r="K125" s="166">
        <f t="shared" si="24"/>
        <v>19375.345357142858</v>
      </c>
      <c r="L125" s="888">
        <f t="shared" si="16"/>
        <v>0</v>
      </c>
      <c r="M125" s="978">
        <v>0</v>
      </c>
      <c r="N125" s="978">
        <v>0</v>
      </c>
      <c r="O125" s="978">
        <v>0</v>
      </c>
      <c r="P125" s="889">
        <v>1</v>
      </c>
      <c r="Q125" s="978">
        <v>1</v>
      </c>
      <c r="R125" s="178">
        <v>1</v>
      </c>
      <c r="S125" s="178">
        <v>1</v>
      </c>
      <c r="T125" s="178">
        <v>1</v>
      </c>
      <c r="U125" s="980">
        <v>0.75</v>
      </c>
      <c r="V125" s="978">
        <v>1</v>
      </c>
      <c r="W125" s="179"/>
      <c r="X125" s="937" t="s">
        <v>653</v>
      </c>
      <c r="Y125" s="299">
        <f>IFERROR(VLOOKUP($X125,'Demand Lookups'!$A$5:$K$101,9,0), 0)</f>
        <v>0</v>
      </c>
      <c r="Z125" s="922" t="str">
        <f>IFERROR(VLOOKUP(X125,'Demand Lookups'!$A$5:$B$101,2,0),0)</f>
        <v>Non-Electric Measures</v>
      </c>
      <c r="AA125" s="722">
        <v>0</v>
      </c>
      <c r="AB125" s="722">
        <v>0</v>
      </c>
      <c r="AC125" s="722">
        <v>0</v>
      </c>
      <c r="AD125" s="723">
        <v>0</v>
      </c>
      <c r="AE125" s="724">
        <f t="shared" si="20"/>
        <v>0</v>
      </c>
      <c r="AF125" s="723">
        <v>0</v>
      </c>
      <c r="AG125" s="723">
        <v>0</v>
      </c>
      <c r="AH125" s="648">
        <v>0</v>
      </c>
      <c r="AI125" s="648">
        <v>0</v>
      </c>
      <c r="AJ125" s="167" t="s">
        <v>404</v>
      </c>
      <c r="AK125" s="866">
        <v>99.286885990476208</v>
      </c>
      <c r="AL125" s="167"/>
      <c r="AM125" s="168"/>
      <c r="AN125" s="167"/>
      <c r="AO125" s="168"/>
      <c r="AP125" s="171"/>
      <c r="AQ125" s="171"/>
      <c r="AR125" s="171"/>
      <c r="AS125" s="299">
        <f>SUMIF('NEI Lookups'!$L:$L,'Inputs Yr 2'!$F125,'NEI Lookups'!E:E)+SUMIF('NEI Lookups'!$M:$M,'Inputs Yr 2'!$F125,'NEI Lookups'!E:E)+SUMIF('NEI Lookups'!$N:$N,'Inputs Yr 2'!$F125,'NEI Lookups'!E:E)+SUMIF('NEI Lookups'!$O:$O,'Inputs Yr 2'!$F125,'NEI Lookups'!E:E)+SUMIF('NEI Lookups'!$P:$P,'Inputs Yr 2'!$F125,'NEI Lookups'!E:E)+SUMIF('NEI Lookups'!$Q:$Q,'Inputs Yr 2'!$F125,'NEI Lookups'!E:E)+SUMIF('NEI Lookups'!$R:$R,'Inputs Yr 2'!$F125,'NEI Lookups'!E:E)+SUMIF('NEI Lookups'!$S:$S,'Inputs Yr 2'!$F125,'NEI Lookups'!E:E)+SUMIF('NEI Lookups'!$T:$T,'Inputs Yr 2'!$F125,'NEI Lookups'!E:E)</f>
        <v>123.91</v>
      </c>
      <c r="AT125" s="299">
        <f>SUMIF('NEI Lookups'!$L:$L,'Inputs Yr 2'!$F125,'NEI Lookups'!F:F)+SUMIF('NEI Lookups'!$M:$M,'Inputs Yr 2'!$F125,'NEI Lookups'!F:F)+SUMIF('NEI Lookups'!$N:$N,'Inputs Yr 2'!$F125,'NEI Lookups'!F:F)+SUMIF('NEI Lookups'!$O:$O,'Inputs Yr 2'!$F125,'NEI Lookups'!F:F)+SUMIF('NEI Lookups'!$P:$P,'Inputs Yr 2'!$F125,'NEI Lookups'!F:F)+SUMIF('NEI Lookups'!$Q:$Q,'Inputs Yr 2'!$F125,'NEI Lookups'!F:F)+SUMIF('NEI Lookups'!$R:$R,'Inputs Yr 2'!$F125,'NEI Lookups'!F:F)+SUMIF('NEI Lookups'!$S:$S,'Inputs Yr 2'!$F125,'NEI Lookups'!F:F)+SUMIF('NEI Lookups'!$T:$T,'Inputs Yr 2'!$F125,'NEI Lookups'!F:F)</f>
        <v>0</v>
      </c>
      <c r="AU125" s="299">
        <f>SUMIF('NEI Lookups'!$L:$L,'Inputs Yr 2'!$F125,'NEI Lookups'!G:G)+SUMIF('NEI Lookups'!$M:$M,'Inputs Yr 2'!$F125,'NEI Lookups'!G:G)+SUMIF('NEI Lookups'!$N:$N,'Inputs Yr 2'!$F125,'NEI Lookups'!G:G)+SUMIF('NEI Lookups'!$O:$O,'Inputs Yr 2'!$F125,'NEI Lookups'!G:G)+SUMIF('NEI Lookups'!$P:$P,'Inputs Yr 2'!$F125,'NEI Lookups'!G:G)+SUMIF('NEI Lookups'!$Q:$Q,'Inputs Yr 2'!$F125,'NEI Lookups'!G:G)+SUMIF('NEI Lookups'!$R:$R,'Inputs Yr 2'!$F125,'NEI Lookups'!G:G)+SUMIF('NEI Lookups'!$S:$S,'Inputs Yr 2'!$F125,'NEI Lookups'!G:G)+SUMIF('NEI Lookups'!$T:$T,'Inputs Yr 2'!$F125,'NEI Lookups'!G:G)</f>
        <v>0</v>
      </c>
      <c r="AV125" s="299">
        <f>SUMIF('NEI Lookups'!$L:$L,'Inputs Yr 2'!$F125,'NEI Lookups'!H:H)+SUMIF('NEI Lookups'!$M:$M,'Inputs Yr 2'!$F125,'NEI Lookups'!H:H)+SUMIF('NEI Lookups'!$N:$N,'Inputs Yr 2'!$F125,'NEI Lookups'!H:H)+SUMIF('NEI Lookups'!$O:$O,'Inputs Yr 2'!$F125,'NEI Lookups'!H:H)+SUMIF('NEI Lookups'!$P:$P,'Inputs Yr 2'!$F125,'NEI Lookups'!H:H)+SUMIF('NEI Lookups'!$Q:$Q,'Inputs Yr 2'!$F125,'NEI Lookups'!H:H)+SUMIF('NEI Lookups'!$R:$R,'Inputs Yr 2'!$F125,'NEI Lookups'!H:H)+SUMIF('NEI Lookups'!$S:$S,'Inputs Yr 2'!$F125,'NEI Lookups'!H:H)+SUMIF('NEI Lookups'!$T:$T,'Inputs Yr 2'!$F125,'NEI Lookups'!H:H)</f>
        <v>0</v>
      </c>
      <c r="AW125" s="299">
        <f>SUMIF('NEI Lookups'!$L:$L,'Inputs Yr 2'!$F125,'NEI Lookups'!I:I)+SUMIF('NEI Lookups'!$M:$M,'Inputs Yr 2'!$F125,'NEI Lookups'!I:I)+SUMIF('NEI Lookups'!$N:$N,'Inputs Yr 2'!$F125,'NEI Lookups'!I:I)+SUMIF('NEI Lookups'!$O:$O,'Inputs Yr 2'!$F125,'NEI Lookups'!I:I)+SUMIF('NEI Lookups'!$P:$P,'Inputs Yr 2'!$F125,'NEI Lookups'!I:I)+SUMIF('NEI Lookups'!$Q:$Q,'Inputs Yr 2'!$F125,'NEI Lookups'!I:I)+SUMIF('NEI Lookups'!$R:$R,'Inputs Yr 2'!$F125,'NEI Lookups'!I:I)+SUMIF('NEI Lookups'!$S:$S,'Inputs Yr 2'!$F125,'NEI Lookups'!I:I)+SUMIF('NEI Lookups'!$T:$T,'Inputs Yr 2'!$F125,'NEI Lookups'!I:I)</f>
        <v>0.13400000000000001</v>
      </c>
      <c r="AX125" s="940">
        <f>SUMIF('NEI Lookups'!$L:$L,'Inputs Yr 2'!$F125,'NEI Lookups'!J:J)+SUMIF('NEI Lookups'!$M:$M,'Inputs Yr 2'!$F125,'NEI Lookups'!J:J)+SUMIF('NEI Lookups'!$N:$N,'Inputs Yr 2'!$F125,'NEI Lookups'!J:J)+SUMIF('NEI Lookups'!$O:$O,'Inputs Yr 2'!$F125,'NEI Lookups'!J:J)+SUMIF('NEI Lookups'!$P:$P,'Inputs Yr 2'!$F125,'NEI Lookups'!J:J)+SUMIF('NEI Lookups'!$Q:$Q,'Inputs Yr 2'!$F125,'NEI Lookups'!J:J)+SUMIF('NEI Lookups'!$R:$R,'Inputs Yr 2'!$F125,'NEI Lookups'!J:J)+SUMIF('NEI Lookups'!$S:$S,'Inputs Yr 2'!$F125,'NEI Lookups'!J:J)+SUMIF('NEI Lookups'!$T:$T,'Inputs Yr 2'!$F125,'NEI Lookups'!J:J)</f>
        <v>7.5999999999999998E-2</v>
      </c>
      <c r="AY125" s="930">
        <f>'Calculations Yr 2'!CP125/'Calculations Yr 2'!I125</f>
        <v>0.93168938703399917</v>
      </c>
    </row>
    <row r="126" spans="1:53" s="133" customFormat="1" ht="12.75" customHeight="1">
      <c r="A126" s="145" t="s">
        <v>79</v>
      </c>
      <c r="B126" s="132" t="s">
        <v>872</v>
      </c>
      <c r="C126" s="914" t="s">
        <v>765</v>
      </c>
      <c r="D126" s="904" t="s">
        <v>1490</v>
      </c>
      <c r="E126" s="150" t="s">
        <v>1311</v>
      </c>
      <c r="F126" s="98" t="s">
        <v>1035</v>
      </c>
      <c r="G126" s="145" t="s">
        <v>1247</v>
      </c>
      <c r="H126" s="232">
        <v>134</v>
      </c>
      <c r="I126" s="232">
        <v>20</v>
      </c>
      <c r="J126" s="964">
        <v>76.649999999999991</v>
      </c>
      <c r="K126" s="166">
        <f t="shared" si="24"/>
        <v>76.649999999999991</v>
      </c>
      <c r="L126" s="888">
        <f t="shared" si="16"/>
        <v>0</v>
      </c>
      <c r="M126" s="978">
        <v>0</v>
      </c>
      <c r="N126" s="978">
        <v>0</v>
      </c>
      <c r="O126" s="978">
        <v>0</v>
      </c>
      <c r="P126" s="889">
        <f t="shared" si="19"/>
        <v>1</v>
      </c>
      <c r="Q126" s="978">
        <v>1</v>
      </c>
      <c r="R126" s="178">
        <v>1</v>
      </c>
      <c r="S126" s="178">
        <v>1</v>
      </c>
      <c r="T126" s="178">
        <v>1</v>
      </c>
      <c r="U126" s="980">
        <v>0.75</v>
      </c>
      <c r="V126" s="978">
        <v>1</v>
      </c>
      <c r="W126" s="179"/>
      <c r="X126" s="937" t="s">
        <v>653</v>
      </c>
      <c r="Y126" s="299">
        <f>IFERROR(VLOOKUP($X126,'Demand Lookups'!$A$5:$K$101,9,0), 0)</f>
        <v>0</v>
      </c>
      <c r="Z126" s="922" t="str">
        <f>IFERROR(VLOOKUP(X126,'Demand Lookups'!$A$5:$B$101,2,0),0)</f>
        <v>Non-Electric Measures</v>
      </c>
      <c r="AA126" s="722">
        <f>IF(ISNA(VLOOKUP($X126,'Demand Lookups'!$A$5:$K$81,3,0)),0,VLOOKUP($X126,'Demand Lookups'!$A$5:$K$81,3,0))</f>
        <v>0</v>
      </c>
      <c r="AB126" s="722">
        <f>IF(ISNA(VLOOKUP($X126,'Demand Lookups'!$A$5:$K$81,4,0)),0,VLOOKUP($X126,'Demand Lookups'!$A$5:$K$81,4,0))</f>
        <v>0</v>
      </c>
      <c r="AC126" s="722">
        <f>IF(ISNA(VLOOKUP($X126,'Demand Lookups'!$A$5:$K$81,5,0)),0,VLOOKUP($X126,'Demand Lookups'!$A$5:$K$81,5,0))</f>
        <v>0</v>
      </c>
      <c r="AD126" s="723">
        <f>IF(ISNA(VLOOKUP($X126,'Demand Lookups'!$A$5:$K$81,6,0)),0,VLOOKUP($X126,'Demand Lookups'!$A$5:$K$81,6,0))</f>
        <v>0</v>
      </c>
      <c r="AE126" s="724">
        <f t="shared" si="20"/>
        <v>0</v>
      </c>
      <c r="AF126" s="723">
        <f>ROUND(IF(ISNA(VLOOKUP($X126,'Demand Lookups'!$A$5:$K$82,10,0)),0,(VLOOKUP($X126,'Demand Lookups'!$A$5:$K$82,10,0))),2)</f>
        <v>0</v>
      </c>
      <c r="AG126" s="723">
        <f>ROUND(IF(ISNA(VLOOKUP($X126,'Demand Lookups'!$A$5:$K$82,11,0)),0,VLOOKUP($X126,'Demand Lookups'!$A$5:$K$82,11,0)),2)</f>
        <v>0</v>
      </c>
      <c r="AH126" s="648">
        <f t="shared" si="21"/>
        <v>0</v>
      </c>
      <c r="AI126" s="648">
        <f t="shared" si="22"/>
        <v>0</v>
      </c>
      <c r="AJ126" s="167" t="s">
        <v>404</v>
      </c>
      <c r="AK126" s="866">
        <v>5.232631840796019E-2</v>
      </c>
      <c r="AL126" s="167"/>
      <c r="AM126" s="168"/>
      <c r="AN126" s="167"/>
      <c r="AO126" s="168"/>
      <c r="AP126" s="171">
        <v>0</v>
      </c>
      <c r="AQ126" s="171"/>
      <c r="AR126" s="171"/>
      <c r="AS126" s="299">
        <f>SUMIF('NEI Lookups'!$L:$L,'Inputs Yr 2'!$F126,'NEI Lookups'!E:E)+SUMIF('NEI Lookups'!$M:$M,'Inputs Yr 2'!$F126,'NEI Lookups'!E:E)+SUMIF('NEI Lookups'!$N:$N,'Inputs Yr 2'!$F126,'NEI Lookups'!E:E)+SUMIF('NEI Lookups'!$O:$O,'Inputs Yr 2'!$F126,'NEI Lookups'!E:E)+SUMIF('NEI Lookups'!$P:$P,'Inputs Yr 2'!$F126,'NEI Lookups'!E:E)+SUMIF('NEI Lookups'!$Q:$Q,'Inputs Yr 2'!$F126,'NEI Lookups'!E:E)+SUMIF('NEI Lookups'!$R:$R,'Inputs Yr 2'!$F126,'NEI Lookups'!E:E)+SUMIF('NEI Lookups'!$S:$S,'Inputs Yr 2'!$F126,'NEI Lookups'!E:E)+SUMIF('NEI Lookups'!$T:$T,'Inputs Yr 2'!$F126,'NEI Lookups'!E:E)</f>
        <v>1.04</v>
      </c>
      <c r="AT126" s="299">
        <f>SUMIF('NEI Lookups'!$L:$L,'Inputs Yr 2'!$F126,'NEI Lookups'!F:F)+SUMIF('NEI Lookups'!$M:$M,'Inputs Yr 2'!$F126,'NEI Lookups'!F:F)+SUMIF('NEI Lookups'!$N:$N,'Inputs Yr 2'!$F126,'NEI Lookups'!F:F)+SUMIF('NEI Lookups'!$O:$O,'Inputs Yr 2'!$F126,'NEI Lookups'!F:F)+SUMIF('NEI Lookups'!$P:$P,'Inputs Yr 2'!$F126,'NEI Lookups'!F:F)+SUMIF('NEI Lookups'!$Q:$Q,'Inputs Yr 2'!$F126,'NEI Lookups'!F:F)+SUMIF('NEI Lookups'!$R:$R,'Inputs Yr 2'!$F126,'NEI Lookups'!F:F)+SUMIF('NEI Lookups'!$S:$S,'Inputs Yr 2'!$F126,'NEI Lookups'!F:F)+SUMIF('NEI Lookups'!$T:$T,'Inputs Yr 2'!$F126,'NEI Lookups'!F:F)</f>
        <v>0</v>
      </c>
      <c r="AU126" s="299">
        <f>SUMIF('NEI Lookups'!$L:$L,'Inputs Yr 2'!$F126,'NEI Lookups'!G:G)+SUMIF('NEI Lookups'!$M:$M,'Inputs Yr 2'!$F126,'NEI Lookups'!G:G)+SUMIF('NEI Lookups'!$N:$N,'Inputs Yr 2'!$F126,'NEI Lookups'!G:G)+SUMIF('NEI Lookups'!$O:$O,'Inputs Yr 2'!$F126,'NEI Lookups'!G:G)+SUMIF('NEI Lookups'!$P:$P,'Inputs Yr 2'!$F126,'NEI Lookups'!G:G)+SUMIF('NEI Lookups'!$Q:$Q,'Inputs Yr 2'!$F126,'NEI Lookups'!G:G)+SUMIF('NEI Lookups'!$R:$R,'Inputs Yr 2'!$F126,'NEI Lookups'!G:G)+SUMIF('NEI Lookups'!$S:$S,'Inputs Yr 2'!$F126,'NEI Lookups'!G:G)+SUMIF('NEI Lookups'!$T:$T,'Inputs Yr 2'!$F126,'NEI Lookups'!G:G)</f>
        <v>0</v>
      </c>
      <c r="AV126" s="299">
        <f>SUMIF('NEI Lookups'!$L:$L,'Inputs Yr 2'!$F126,'NEI Lookups'!H:H)+SUMIF('NEI Lookups'!$M:$M,'Inputs Yr 2'!$F126,'NEI Lookups'!H:H)+SUMIF('NEI Lookups'!$N:$N,'Inputs Yr 2'!$F126,'NEI Lookups'!H:H)+SUMIF('NEI Lookups'!$O:$O,'Inputs Yr 2'!$F126,'NEI Lookups'!H:H)+SUMIF('NEI Lookups'!$P:$P,'Inputs Yr 2'!$F126,'NEI Lookups'!H:H)+SUMIF('NEI Lookups'!$Q:$Q,'Inputs Yr 2'!$F126,'NEI Lookups'!H:H)+SUMIF('NEI Lookups'!$R:$R,'Inputs Yr 2'!$F126,'NEI Lookups'!H:H)+SUMIF('NEI Lookups'!$S:$S,'Inputs Yr 2'!$F126,'NEI Lookups'!H:H)+SUMIF('NEI Lookups'!$T:$T,'Inputs Yr 2'!$F126,'NEI Lookups'!H:H)</f>
        <v>0</v>
      </c>
      <c r="AW126" s="299">
        <f>SUMIF('NEI Lookups'!$L:$L,'Inputs Yr 2'!$F126,'NEI Lookups'!I:I)+SUMIF('NEI Lookups'!$M:$M,'Inputs Yr 2'!$F126,'NEI Lookups'!I:I)+SUMIF('NEI Lookups'!$N:$N,'Inputs Yr 2'!$F126,'NEI Lookups'!I:I)+SUMIF('NEI Lookups'!$O:$O,'Inputs Yr 2'!$F126,'NEI Lookups'!I:I)+SUMIF('NEI Lookups'!$P:$P,'Inputs Yr 2'!$F126,'NEI Lookups'!I:I)+SUMIF('NEI Lookups'!$Q:$Q,'Inputs Yr 2'!$F126,'NEI Lookups'!I:I)+SUMIF('NEI Lookups'!$R:$R,'Inputs Yr 2'!$F126,'NEI Lookups'!I:I)+SUMIF('NEI Lookups'!$S:$S,'Inputs Yr 2'!$F126,'NEI Lookups'!I:I)+SUMIF('NEI Lookups'!$T:$T,'Inputs Yr 2'!$F126,'NEI Lookups'!I:I)</f>
        <v>0.13400000000000001</v>
      </c>
      <c r="AX126" s="940">
        <f>SUMIF('NEI Lookups'!$L:$L,'Inputs Yr 2'!$F126,'NEI Lookups'!J:J)+SUMIF('NEI Lookups'!$M:$M,'Inputs Yr 2'!$F126,'NEI Lookups'!J:J)+SUMIF('NEI Lookups'!$N:$N,'Inputs Yr 2'!$F126,'NEI Lookups'!J:J)+SUMIF('NEI Lookups'!$O:$O,'Inputs Yr 2'!$F126,'NEI Lookups'!J:J)+SUMIF('NEI Lookups'!$P:$P,'Inputs Yr 2'!$F126,'NEI Lookups'!J:J)+SUMIF('NEI Lookups'!$Q:$Q,'Inputs Yr 2'!$F126,'NEI Lookups'!J:J)+SUMIF('NEI Lookups'!$R:$R,'Inputs Yr 2'!$F126,'NEI Lookups'!J:J)+SUMIF('NEI Lookups'!$S:$S,'Inputs Yr 2'!$F126,'NEI Lookups'!J:J)+SUMIF('NEI Lookups'!$T:$T,'Inputs Yr 2'!$F126,'NEI Lookups'!J:J)</f>
        <v>7.5999999999999998E-2</v>
      </c>
      <c r="AY126" s="930">
        <f>'Calculations Yr 2'!CP126/'Calculations Yr 2'!I126</f>
        <v>0.36759642565916328</v>
      </c>
    </row>
    <row r="127" spans="1:53" s="133" customFormat="1" ht="12.75" customHeight="1">
      <c r="A127" s="145" t="s">
        <v>79</v>
      </c>
      <c r="B127" s="132" t="s">
        <v>872</v>
      </c>
      <c r="C127" s="914" t="s">
        <v>765</v>
      </c>
      <c r="D127" s="906" t="s">
        <v>1491</v>
      </c>
      <c r="E127" s="150" t="s">
        <v>1312</v>
      </c>
      <c r="F127" s="98" t="s">
        <v>1036</v>
      </c>
      <c r="G127" s="145" t="s">
        <v>1247</v>
      </c>
      <c r="H127" s="232">
        <v>2277</v>
      </c>
      <c r="I127" s="232">
        <v>20</v>
      </c>
      <c r="J127" s="964">
        <v>3.6763636363636363</v>
      </c>
      <c r="K127" s="166">
        <f t="shared" si="24"/>
        <v>3.6763636363636363</v>
      </c>
      <c r="L127" s="888">
        <f t="shared" si="16"/>
        <v>0</v>
      </c>
      <c r="M127" s="978">
        <v>0</v>
      </c>
      <c r="N127" s="978">
        <v>0</v>
      </c>
      <c r="O127" s="978">
        <v>0</v>
      </c>
      <c r="P127" s="889">
        <f t="shared" si="19"/>
        <v>1</v>
      </c>
      <c r="Q127" s="978">
        <v>1</v>
      </c>
      <c r="R127" s="178">
        <v>1</v>
      </c>
      <c r="S127" s="178">
        <v>1</v>
      </c>
      <c r="T127" s="178">
        <v>1</v>
      </c>
      <c r="U127" s="980">
        <v>0.75</v>
      </c>
      <c r="V127" s="978">
        <v>1</v>
      </c>
      <c r="W127" s="179"/>
      <c r="X127" s="937" t="s">
        <v>653</v>
      </c>
      <c r="Y127" s="299">
        <f>IFERROR(VLOOKUP($X127,'Demand Lookups'!$A$5:$K$101,9,0), 0)</f>
        <v>0</v>
      </c>
      <c r="Z127" s="922" t="str">
        <f>IFERROR(VLOOKUP(X127,'Demand Lookups'!$A$5:$B$101,2,0),0)</f>
        <v>Non-Electric Measures</v>
      </c>
      <c r="AA127" s="722">
        <f>IF(ISNA(VLOOKUP($X127,'Demand Lookups'!$A$5:$K$81,3,0)),0,VLOOKUP($X127,'Demand Lookups'!$A$5:$K$81,3,0))</f>
        <v>0</v>
      </c>
      <c r="AB127" s="722">
        <f>IF(ISNA(VLOOKUP($X127,'Demand Lookups'!$A$5:$K$81,4,0)),0,VLOOKUP($X127,'Demand Lookups'!$A$5:$K$81,4,0))</f>
        <v>0</v>
      </c>
      <c r="AC127" s="722">
        <f>IF(ISNA(VLOOKUP($X127,'Demand Lookups'!$A$5:$K$81,5,0)),0,VLOOKUP($X127,'Demand Lookups'!$A$5:$K$81,5,0))</f>
        <v>0</v>
      </c>
      <c r="AD127" s="723">
        <f>IF(ISNA(VLOOKUP($X127,'Demand Lookups'!$A$5:$K$81,6,0)),0,VLOOKUP($X127,'Demand Lookups'!$A$5:$K$81,6,0))</f>
        <v>0</v>
      </c>
      <c r="AE127" s="724">
        <f t="shared" si="20"/>
        <v>0</v>
      </c>
      <c r="AF127" s="723">
        <f>ROUND(IF(ISNA(VLOOKUP($X127,'Demand Lookups'!$A$5:$K$82,10,0)),0,(VLOOKUP($X127,'Demand Lookups'!$A$5:$K$82,10,0))),2)</f>
        <v>0</v>
      </c>
      <c r="AG127" s="723">
        <f>ROUND(IF(ISNA(VLOOKUP($X127,'Demand Lookups'!$A$5:$K$82,11,0)),0,VLOOKUP($X127,'Demand Lookups'!$A$5:$K$82,11,0)),2)</f>
        <v>0</v>
      </c>
      <c r="AH127" s="648">
        <f t="shared" si="21"/>
        <v>0</v>
      </c>
      <c r="AI127" s="648">
        <f t="shared" si="22"/>
        <v>0</v>
      </c>
      <c r="AJ127" s="167" t="s">
        <v>404</v>
      </c>
      <c r="AK127" s="866">
        <v>1.6908212560386472E-2</v>
      </c>
      <c r="AL127" s="167"/>
      <c r="AM127" s="168"/>
      <c r="AN127" s="167"/>
      <c r="AO127" s="168"/>
      <c r="AP127" s="171">
        <v>0</v>
      </c>
      <c r="AQ127" s="171"/>
      <c r="AR127" s="171"/>
      <c r="AS127" s="299">
        <f>SUMIF('NEI Lookups'!$L:$L,'Inputs Yr 2'!$F127,'NEI Lookups'!E:E)+SUMIF('NEI Lookups'!$M:$M,'Inputs Yr 2'!$F127,'NEI Lookups'!E:E)+SUMIF('NEI Lookups'!$N:$N,'Inputs Yr 2'!$F127,'NEI Lookups'!E:E)+SUMIF('NEI Lookups'!$O:$O,'Inputs Yr 2'!$F127,'NEI Lookups'!E:E)+SUMIF('NEI Lookups'!$P:$P,'Inputs Yr 2'!$F127,'NEI Lookups'!E:E)+SUMIF('NEI Lookups'!$Q:$Q,'Inputs Yr 2'!$F127,'NEI Lookups'!E:E)+SUMIF('NEI Lookups'!$R:$R,'Inputs Yr 2'!$F127,'NEI Lookups'!E:E)+SUMIF('NEI Lookups'!$S:$S,'Inputs Yr 2'!$F127,'NEI Lookups'!E:E)+SUMIF('NEI Lookups'!$T:$T,'Inputs Yr 2'!$F127,'NEI Lookups'!E:E)</f>
        <v>0</v>
      </c>
      <c r="AT127" s="299">
        <f>SUMIF('NEI Lookups'!$L:$L,'Inputs Yr 2'!$F127,'NEI Lookups'!F:F)+SUMIF('NEI Lookups'!$M:$M,'Inputs Yr 2'!$F127,'NEI Lookups'!F:F)+SUMIF('NEI Lookups'!$N:$N,'Inputs Yr 2'!$F127,'NEI Lookups'!F:F)+SUMIF('NEI Lookups'!$O:$O,'Inputs Yr 2'!$F127,'NEI Lookups'!F:F)+SUMIF('NEI Lookups'!$P:$P,'Inputs Yr 2'!$F127,'NEI Lookups'!F:F)+SUMIF('NEI Lookups'!$Q:$Q,'Inputs Yr 2'!$F127,'NEI Lookups'!F:F)+SUMIF('NEI Lookups'!$R:$R,'Inputs Yr 2'!$F127,'NEI Lookups'!F:F)+SUMIF('NEI Lookups'!$S:$S,'Inputs Yr 2'!$F127,'NEI Lookups'!F:F)+SUMIF('NEI Lookups'!$T:$T,'Inputs Yr 2'!$F127,'NEI Lookups'!F:F)</f>
        <v>0</v>
      </c>
      <c r="AU127" s="299">
        <f>SUMIF('NEI Lookups'!$L:$L,'Inputs Yr 2'!$F127,'NEI Lookups'!G:G)+SUMIF('NEI Lookups'!$M:$M,'Inputs Yr 2'!$F127,'NEI Lookups'!G:G)+SUMIF('NEI Lookups'!$N:$N,'Inputs Yr 2'!$F127,'NEI Lookups'!G:G)+SUMIF('NEI Lookups'!$O:$O,'Inputs Yr 2'!$F127,'NEI Lookups'!G:G)+SUMIF('NEI Lookups'!$P:$P,'Inputs Yr 2'!$F127,'NEI Lookups'!G:G)+SUMIF('NEI Lookups'!$Q:$Q,'Inputs Yr 2'!$F127,'NEI Lookups'!G:G)+SUMIF('NEI Lookups'!$R:$R,'Inputs Yr 2'!$F127,'NEI Lookups'!G:G)+SUMIF('NEI Lookups'!$S:$S,'Inputs Yr 2'!$F127,'NEI Lookups'!G:G)+SUMIF('NEI Lookups'!$T:$T,'Inputs Yr 2'!$F127,'NEI Lookups'!G:G)</f>
        <v>0</v>
      </c>
      <c r="AV127" s="299">
        <f>SUMIF('NEI Lookups'!$L:$L,'Inputs Yr 2'!$F127,'NEI Lookups'!H:H)+SUMIF('NEI Lookups'!$M:$M,'Inputs Yr 2'!$F127,'NEI Lookups'!H:H)+SUMIF('NEI Lookups'!$N:$N,'Inputs Yr 2'!$F127,'NEI Lookups'!H:H)+SUMIF('NEI Lookups'!$O:$O,'Inputs Yr 2'!$F127,'NEI Lookups'!H:H)+SUMIF('NEI Lookups'!$P:$P,'Inputs Yr 2'!$F127,'NEI Lookups'!H:H)+SUMIF('NEI Lookups'!$Q:$Q,'Inputs Yr 2'!$F127,'NEI Lookups'!H:H)+SUMIF('NEI Lookups'!$R:$R,'Inputs Yr 2'!$F127,'NEI Lookups'!H:H)+SUMIF('NEI Lookups'!$S:$S,'Inputs Yr 2'!$F127,'NEI Lookups'!H:H)+SUMIF('NEI Lookups'!$T:$T,'Inputs Yr 2'!$F127,'NEI Lookups'!H:H)</f>
        <v>0</v>
      </c>
      <c r="AW127" s="299">
        <f>SUMIF('NEI Lookups'!$L:$L,'Inputs Yr 2'!$F127,'NEI Lookups'!I:I)+SUMIF('NEI Lookups'!$M:$M,'Inputs Yr 2'!$F127,'NEI Lookups'!I:I)+SUMIF('NEI Lookups'!$N:$N,'Inputs Yr 2'!$F127,'NEI Lookups'!I:I)+SUMIF('NEI Lookups'!$O:$O,'Inputs Yr 2'!$F127,'NEI Lookups'!I:I)+SUMIF('NEI Lookups'!$P:$P,'Inputs Yr 2'!$F127,'NEI Lookups'!I:I)+SUMIF('NEI Lookups'!$Q:$Q,'Inputs Yr 2'!$F127,'NEI Lookups'!I:I)+SUMIF('NEI Lookups'!$R:$R,'Inputs Yr 2'!$F127,'NEI Lookups'!I:I)+SUMIF('NEI Lookups'!$S:$S,'Inputs Yr 2'!$F127,'NEI Lookups'!I:I)+SUMIF('NEI Lookups'!$T:$T,'Inputs Yr 2'!$F127,'NEI Lookups'!I:I)</f>
        <v>1.484</v>
      </c>
      <c r="AX127" s="940">
        <f>SUMIF('NEI Lookups'!$L:$L,'Inputs Yr 2'!$F127,'NEI Lookups'!J:J)+SUMIF('NEI Lookups'!$M:$M,'Inputs Yr 2'!$F127,'NEI Lookups'!J:J)+SUMIF('NEI Lookups'!$N:$N,'Inputs Yr 2'!$F127,'NEI Lookups'!J:J)+SUMIF('NEI Lookups'!$O:$O,'Inputs Yr 2'!$F127,'NEI Lookups'!J:J)+SUMIF('NEI Lookups'!$P:$P,'Inputs Yr 2'!$F127,'NEI Lookups'!J:J)+SUMIF('NEI Lookups'!$Q:$Q,'Inputs Yr 2'!$F127,'NEI Lookups'!J:J)+SUMIF('NEI Lookups'!$R:$R,'Inputs Yr 2'!$F127,'NEI Lookups'!J:J)+SUMIF('NEI Lookups'!$S:$S,'Inputs Yr 2'!$F127,'NEI Lookups'!J:J)+SUMIF('NEI Lookups'!$T:$T,'Inputs Yr 2'!$F127,'NEI Lookups'!J:J)</f>
        <v>7.5999999999999998E-2</v>
      </c>
      <c r="AY127" s="930">
        <f>'Calculations Yr 2'!CP127/'Calculations Yr 2'!I127</f>
        <v>1.6179091939490524</v>
      </c>
    </row>
    <row r="128" spans="1:53" s="133" customFormat="1" ht="12.75" customHeight="1">
      <c r="A128" s="145" t="s">
        <v>79</v>
      </c>
      <c r="B128" s="132" t="s">
        <v>872</v>
      </c>
      <c r="C128" s="914" t="s">
        <v>765</v>
      </c>
      <c r="D128" s="904" t="s">
        <v>1492</v>
      </c>
      <c r="E128" s="98" t="s">
        <v>1302</v>
      </c>
      <c r="F128" s="98" t="s">
        <v>1037</v>
      </c>
      <c r="G128" s="145" t="s">
        <v>89</v>
      </c>
      <c r="H128" s="232">
        <v>49</v>
      </c>
      <c r="I128" s="232">
        <v>15</v>
      </c>
      <c r="J128" s="964">
        <v>15.919591836734693</v>
      </c>
      <c r="K128" s="166">
        <f t="shared" si="24"/>
        <v>15.919591836734693</v>
      </c>
      <c r="L128" s="888">
        <f t="shared" si="16"/>
        <v>0</v>
      </c>
      <c r="M128" s="978">
        <v>0</v>
      </c>
      <c r="N128" s="978">
        <v>0</v>
      </c>
      <c r="O128" s="978">
        <v>0</v>
      </c>
      <c r="P128" s="889">
        <f t="shared" si="19"/>
        <v>1</v>
      </c>
      <c r="Q128" s="978">
        <v>1</v>
      </c>
      <c r="R128" s="178">
        <v>1</v>
      </c>
      <c r="S128" s="178">
        <v>1</v>
      </c>
      <c r="T128" s="178">
        <v>1</v>
      </c>
      <c r="U128" s="980">
        <v>0.75</v>
      </c>
      <c r="V128" s="978">
        <v>1</v>
      </c>
      <c r="W128" s="179"/>
      <c r="X128" s="937" t="s">
        <v>653</v>
      </c>
      <c r="Y128" s="299">
        <f>IFERROR(VLOOKUP($X128,'Demand Lookups'!$A$5:$K$101,9,0), 0)</f>
        <v>0</v>
      </c>
      <c r="Z128" s="922" t="str">
        <f>IFERROR(VLOOKUP(X128,'Demand Lookups'!$A$5:$B$101,2,0),0)</f>
        <v>Non-Electric Measures</v>
      </c>
      <c r="AA128" s="722">
        <f>IF(ISNA(VLOOKUP($X128,'Demand Lookups'!$A$5:$K$81,3,0)),0,VLOOKUP($X128,'Demand Lookups'!$A$5:$K$81,3,0))</f>
        <v>0</v>
      </c>
      <c r="AB128" s="722">
        <f>IF(ISNA(VLOOKUP($X128,'Demand Lookups'!$A$5:$K$81,4,0)),0,VLOOKUP($X128,'Demand Lookups'!$A$5:$K$81,4,0))</f>
        <v>0</v>
      </c>
      <c r="AC128" s="722">
        <f>IF(ISNA(VLOOKUP($X128,'Demand Lookups'!$A$5:$K$81,5,0)),0,VLOOKUP($X128,'Demand Lookups'!$A$5:$K$81,5,0))</f>
        <v>0</v>
      </c>
      <c r="AD128" s="723">
        <f>IF(ISNA(VLOOKUP($X128,'Demand Lookups'!$A$5:$K$81,6,0)),0,VLOOKUP($X128,'Demand Lookups'!$A$5:$K$81,6,0))</f>
        <v>0</v>
      </c>
      <c r="AE128" s="724">
        <f t="shared" si="20"/>
        <v>0</v>
      </c>
      <c r="AF128" s="723">
        <f>ROUND(IF(ISNA(VLOOKUP($X128,'Demand Lookups'!$A$5:$K$82,10,0)),0,(VLOOKUP($X128,'Demand Lookups'!$A$5:$K$82,10,0))),2)</f>
        <v>0</v>
      </c>
      <c r="AG128" s="723">
        <f>ROUND(IF(ISNA(VLOOKUP($X128,'Demand Lookups'!$A$5:$K$82,11,0)),0,VLOOKUP($X128,'Demand Lookups'!$A$5:$K$82,11,0)),2)</f>
        <v>0</v>
      </c>
      <c r="AH128" s="648">
        <f t="shared" si="21"/>
        <v>0</v>
      </c>
      <c r="AI128" s="648">
        <f t="shared" si="22"/>
        <v>0</v>
      </c>
      <c r="AJ128" s="167" t="s">
        <v>40</v>
      </c>
      <c r="AK128" s="866">
        <v>1.1400000000000001</v>
      </c>
      <c r="AL128" s="167"/>
      <c r="AM128" s="168"/>
      <c r="AN128" s="167"/>
      <c r="AO128" s="168"/>
      <c r="AP128" s="171">
        <v>0</v>
      </c>
      <c r="AQ128" s="171"/>
      <c r="AR128" s="171"/>
      <c r="AS128" s="299">
        <f>SUMIF('NEI Lookups'!$L:$L,'Inputs Yr 2'!$F128,'NEI Lookups'!E:E)+SUMIF('NEI Lookups'!$M:$M,'Inputs Yr 2'!$F128,'NEI Lookups'!E:E)+SUMIF('NEI Lookups'!$N:$N,'Inputs Yr 2'!$F128,'NEI Lookups'!E:E)+SUMIF('NEI Lookups'!$O:$O,'Inputs Yr 2'!$F128,'NEI Lookups'!E:E)+SUMIF('NEI Lookups'!$P:$P,'Inputs Yr 2'!$F128,'NEI Lookups'!E:E)+SUMIF('NEI Lookups'!$Q:$Q,'Inputs Yr 2'!$F128,'NEI Lookups'!E:E)+SUMIF('NEI Lookups'!$R:$R,'Inputs Yr 2'!$F128,'NEI Lookups'!E:E)+SUMIF('NEI Lookups'!$S:$S,'Inputs Yr 2'!$F128,'NEI Lookups'!E:E)+SUMIF('NEI Lookups'!$T:$T,'Inputs Yr 2'!$F128,'NEI Lookups'!E:E)</f>
        <v>6.6099999999999994</v>
      </c>
      <c r="AT128" s="299">
        <f>SUMIF('NEI Lookups'!$L:$L,'Inputs Yr 2'!$F128,'NEI Lookups'!F:F)+SUMIF('NEI Lookups'!$M:$M,'Inputs Yr 2'!$F128,'NEI Lookups'!F:F)+SUMIF('NEI Lookups'!$N:$N,'Inputs Yr 2'!$F128,'NEI Lookups'!F:F)+SUMIF('NEI Lookups'!$O:$O,'Inputs Yr 2'!$F128,'NEI Lookups'!F:F)+SUMIF('NEI Lookups'!$P:$P,'Inputs Yr 2'!$F128,'NEI Lookups'!F:F)+SUMIF('NEI Lookups'!$Q:$Q,'Inputs Yr 2'!$F128,'NEI Lookups'!F:F)+SUMIF('NEI Lookups'!$R:$R,'Inputs Yr 2'!$F128,'NEI Lookups'!F:F)+SUMIF('NEI Lookups'!$S:$S,'Inputs Yr 2'!$F128,'NEI Lookups'!F:F)+SUMIF('NEI Lookups'!$T:$T,'Inputs Yr 2'!$F128,'NEI Lookups'!F:F)</f>
        <v>0</v>
      </c>
      <c r="AU128" s="299">
        <f>SUMIF('NEI Lookups'!$L:$L,'Inputs Yr 2'!$F128,'NEI Lookups'!G:G)+SUMIF('NEI Lookups'!$M:$M,'Inputs Yr 2'!$F128,'NEI Lookups'!G:G)+SUMIF('NEI Lookups'!$N:$N,'Inputs Yr 2'!$F128,'NEI Lookups'!G:G)+SUMIF('NEI Lookups'!$O:$O,'Inputs Yr 2'!$F128,'NEI Lookups'!G:G)+SUMIF('NEI Lookups'!$P:$P,'Inputs Yr 2'!$F128,'NEI Lookups'!G:G)+SUMIF('NEI Lookups'!$Q:$Q,'Inputs Yr 2'!$F128,'NEI Lookups'!G:G)+SUMIF('NEI Lookups'!$R:$R,'Inputs Yr 2'!$F128,'NEI Lookups'!G:G)+SUMIF('NEI Lookups'!$S:$S,'Inputs Yr 2'!$F128,'NEI Lookups'!G:G)+SUMIF('NEI Lookups'!$T:$T,'Inputs Yr 2'!$F128,'NEI Lookups'!G:G)</f>
        <v>0</v>
      </c>
      <c r="AV128" s="299">
        <f>SUMIF('NEI Lookups'!$L:$L,'Inputs Yr 2'!$F128,'NEI Lookups'!H:H)+SUMIF('NEI Lookups'!$M:$M,'Inputs Yr 2'!$F128,'NEI Lookups'!H:H)+SUMIF('NEI Lookups'!$N:$N,'Inputs Yr 2'!$F128,'NEI Lookups'!H:H)+SUMIF('NEI Lookups'!$O:$O,'Inputs Yr 2'!$F128,'NEI Lookups'!H:H)+SUMIF('NEI Lookups'!$P:$P,'Inputs Yr 2'!$F128,'NEI Lookups'!H:H)+SUMIF('NEI Lookups'!$Q:$Q,'Inputs Yr 2'!$F128,'NEI Lookups'!H:H)+SUMIF('NEI Lookups'!$R:$R,'Inputs Yr 2'!$F128,'NEI Lookups'!H:H)+SUMIF('NEI Lookups'!$S:$S,'Inputs Yr 2'!$F128,'NEI Lookups'!H:H)+SUMIF('NEI Lookups'!$T:$T,'Inputs Yr 2'!$F128,'NEI Lookups'!H:H)</f>
        <v>0</v>
      </c>
      <c r="AW128" s="299">
        <f>SUMIF('NEI Lookups'!$L:$L,'Inputs Yr 2'!$F128,'NEI Lookups'!I:I)+SUMIF('NEI Lookups'!$M:$M,'Inputs Yr 2'!$F128,'NEI Lookups'!I:I)+SUMIF('NEI Lookups'!$N:$N,'Inputs Yr 2'!$F128,'NEI Lookups'!I:I)+SUMIF('NEI Lookups'!$O:$O,'Inputs Yr 2'!$F128,'NEI Lookups'!I:I)+SUMIF('NEI Lookups'!$P:$P,'Inputs Yr 2'!$F128,'NEI Lookups'!I:I)+SUMIF('NEI Lookups'!$Q:$Q,'Inputs Yr 2'!$F128,'NEI Lookups'!I:I)+SUMIF('NEI Lookups'!$R:$R,'Inputs Yr 2'!$F128,'NEI Lookups'!I:I)+SUMIF('NEI Lookups'!$S:$S,'Inputs Yr 2'!$F128,'NEI Lookups'!I:I)+SUMIF('NEI Lookups'!$T:$T,'Inputs Yr 2'!$F128,'NEI Lookups'!I:I)</f>
        <v>0.13400000000000001</v>
      </c>
      <c r="AX128" s="940">
        <f>SUMIF('NEI Lookups'!$L:$L,'Inputs Yr 2'!$F128,'NEI Lookups'!J:J)+SUMIF('NEI Lookups'!$M:$M,'Inputs Yr 2'!$F128,'NEI Lookups'!J:J)+SUMIF('NEI Lookups'!$N:$N,'Inputs Yr 2'!$F128,'NEI Lookups'!J:J)+SUMIF('NEI Lookups'!$O:$O,'Inputs Yr 2'!$F128,'NEI Lookups'!J:J)+SUMIF('NEI Lookups'!$P:$P,'Inputs Yr 2'!$F128,'NEI Lookups'!J:J)+SUMIF('NEI Lookups'!$Q:$Q,'Inputs Yr 2'!$F128,'NEI Lookups'!J:J)+SUMIF('NEI Lookups'!$R:$R,'Inputs Yr 2'!$F128,'NEI Lookups'!J:J)+SUMIF('NEI Lookups'!$S:$S,'Inputs Yr 2'!$F128,'NEI Lookups'!J:J)+SUMIF('NEI Lookups'!$T:$T,'Inputs Yr 2'!$F128,'NEI Lookups'!J:J)</f>
        <v>7.5999999999999998E-2</v>
      </c>
      <c r="AY128" s="930">
        <f>'Calculations Yr 2'!CP128/'Calculations Yr 2'!I128</f>
        <v>14.121378437910884</v>
      </c>
    </row>
    <row r="129" spans="1:51" s="133" customFormat="1" ht="12.75" customHeight="1">
      <c r="A129" s="145" t="s">
        <v>79</v>
      </c>
      <c r="B129" s="132" t="s">
        <v>872</v>
      </c>
      <c r="C129" s="914" t="s">
        <v>765</v>
      </c>
      <c r="D129" s="904" t="s">
        <v>1498</v>
      </c>
      <c r="E129" s="150" t="s">
        <v>1303</v>
      </c>
      <c r="F129" s="98" t="s">
        <v>1038</v>
      </c>
      <c r="G129" s="145" t="s">
        <v>1247</v>
      </c>
      <c r="H129" s="232">
        <v>58228</v>
      </c>
      <c r="I129" s="232">
        <v>15</v>
      </c>
      <c r="J129" s="964">
        <v>5.9379660987840905</v>
      </c>
      <c r="K129" s="166">
        <f t="shared" si="24"/>
        <v>5.9379660987840905</v>
      </c>
      <c r="L129" s="888">
        <f t="shared" si="16"/>
        <v>0</v>
      </c>
      <c r="M129" s="978">
        <v>0</v>
      </c>
      <c r="N129" s="978">
        <v>0</v>
      </c>
      <c r="O129" s="978">
        <v>0</v>
      </c>
      <c r="P129" s="889">
        <f t="shared" si="19"/>
        <v>1</v>
      </c>
      <c r="Q129" s="978">
        <v>1</v>
      </c>
      <c r="R129" s="178">
        <v>1</v>
      </c>
      <c r="S129" s="178">
        <v>1</v>
      </c>
      <c r="T129" s="178">
        <v>1</v>
      </c>
      <c r="U129" s="980">
        <v>0.75</v>
      </c>
      <c r="V129" s="978">
        <v>1</v>
      </c>
      <c r="W129" s="179"/>
      <c r="X129" s="937" t="s">
        <v>653</v>
      </c>
      <c r="Y129" s="299">
        <f>IFERROR(VLOOKUP($X129,'Demand Lookups'!$A$5:$K$101,9,0), 0)</f>
        <v>0</v>
      </c>
      <c r="Z129" s="922" t="str">
        <f>IFERROR(VLOOKUP(X129,'Demand Lookups'!$A$5:$B$101,2,0),0)</f>
        <v>Non-Electric Measures</v>
      </c>
      <c r="AA129" s="722">
        <f>IF(ISNA(VLOOKUP($X129,'Demand Lookups'!$A$5:$K$81,3,0)),0,VLOOKUP($X129,'Demand Lookups'!$A$5:$K$81,3,0))</f>
        <v>0</v>
      </c>
      <c r="AB129" s="722">
        <f>IF(ISNA(VLOOKUP($X129,'Demand Lookups'!$A$5:$K$81,4,0)),0,VLOOKUP($X129,'Demand Lookups'!$A$5:$K$81,4,0))</f>
        <v>0</v>
      </c>
      <c r="AC129" s="722">
        <f>IF(ISNA(VLOOKUP($X129,'Demand Lookups'!$A$5:$K$81,5,0)),0,VLOOKUP($X129,'Demand Lookups'!$A$5:$K$81,5,0))</f>
        <v>0</v>
      </c>
      <c r="AD129" s="723">
        <f>IF(ISNA(VLOOKUP($X129,'Demand Lookups'!$A$5:$K$81,6,0)),0,VLOOKUP($X129,'Demand Lookups'!$A$5:$K$81,6,0))</f>
        <v>0</v>
      </c>
      <c r="AE129" s="724">
        <f t="shared" si="20"/>
        <v>0</v>
      </c>
      <c r="AF129" s="723">
        <f>ROUND(IF(ISNA(VLOOKUP($X129,'Demand Lookups'!$A$5:$K$82,10,0)),0,(VLOOKUP($X129,'Demand Lookups'!$A$5:$K$82,10,0))),2)</f>
        <v>0</v>
      </c>
      <c r="AG129" s="723">
        <f>ROUND(IF(ISNA(VLOOKUP($X129,'Demand Lookups'!$A$5:$K$82,11,0)),0,VLOOKUP($X129,'Demand Lookups'!$A$5:$K$82,11,0)),2)</f>
        <v>0</v>
      </c>
      <c r="AH129" s="648">
        <f t="shared" si="21"/>
        <v>0</v>
      </c>
      <c r="AI129" s="648">
        <f t="shared" si="22"/>
        <v>0</v>
      </c>
      <c r="AJ129" s="167" t="s">
        <v>404</v>
      </c>
      <c r="AK129" s="866">
        <v>0.16</v>
      </c>
      <c r="AL129" s="167"/>
      <c r="AM129" s="168"/>
      <c r="AN129" s="167"/>
      <c r="AO129" s="168"/>
      <c r="AP129" s="171">
        <v>0</v>
      </c>
      <c r="AQ129" s="171"/>
      <c r="AR129" s="171"/>
      <c r="AS129" s="299">
        <f>SUMIF('NEI Lookups'!$L:$L,'Inputs Yr 2'!$F129,'NEI Lookups'!E:E)+SUMIF('NEI Lookups'!$M:$M,'Inputs Yr 2'!$F129,'NEI Lookups'!E:E)+SUMIF('NEI Lookups'!$N:$N,'Inputs Yr 2'!$F129,'NEI Lookups'!E:E)+SUMIF('NEI Lookups'!$O:$O,'Inputs Yr 2'!$F129,'NEI Lookups'!E:E)+SUMIF('NEI Lookups'!$P:$P,'Inputs Yr 2'!$F129,'NEI Lookups'!E:E)+SUMIF('NEI Lookups'!$Q:$Q,'Inputs Yr 2'!$F129,'NEI Lookups'!E:E)+SUMIF('NEI Lookups'!$R:$R,'Inputs Yr 2'!$F129,'NEI Lookups'!E:E)+SUMIF('NEI Lookups'!$S:$S,'Inputs Yr 2'!$F129,'NEI Lookups'!E:E)+SUMIF('NEI Lookups'!$T:$T,'Inputs Yr 2'!$F129,'NEI Lookups'!E:E)</f>
        <v>6.6099999999999994</v>
      </c>
      <c r="AT129" s="299">
        <f>SUMIF('NEI Lookups'!$L:$L,'Inputs Yr 2'!$F129,'NEI Lookups'!F:F)+SUMIF('NEI Lookups'!$M:$M,'Inputs Yr 2'!$F129,'NEI Lookups'!F:F)+SUMIF('NEI Lookups'!$N:$N,'Inputs Yr 2'!$F129,'NEI Lookups'!F:F)+SUMIF('NEI Lookups'!$O:$O,'Inputs Yr 2'!$F129,'NEI Lookups'!F:F)+SUMIF('NEI Lookups'!$P:$P,'Inputs Yr 2'!$F129,'NEI Lookups'!F:F)+SUMIF('NEI Lookups'!$Q:$Q,'Inputs Yr 2'!$F129,'NEI Lookups'!F:F)+SUMIF('NEI Lookups'!$R:$R,'Inputs Yr 2'!$F129,'NEI Lookups'!F:F)+SUMIF('NEI Lookups'!$S:$S,'Inputs Yr 2'!$F129,'NEI Lookups'!F:F)+SUMIF('NEI Lookups'!$T:$T,'Inputs Yr 2'!$F129,'NEI Lookups'!F:F)</f>
        <v>0</v>
      </c>
      <c r="AU129" s="299">
        <f>SUMIF('NEI Lookups'!$L:$L,'Inputs Yr 2'!$F129,'NEI Lookups'!G:G)+SUMIF('NEI Lookups'!$M:$M,'Inputs Yr 2'!$F129,'NEI Lookups'!G:G)+SUMIF('NEI Lookups'!$N:$N,'Inputs Yr 2'!$F129,'NEI Lookups'!G:G)+SUMIF('NEI Lookups'!$O:$O,'Inputs Yr 2'!$F129,'NEI Lookups'!G:G)+SUMIF('NEI Lookups'!$P:$P,'Inputs Yr 2'!$F129,'NEI Lookups'!G:G)+SUMIF('NEI Lookups'!$Q:$Q,'Inputs Yr 2'!$F129,'NEI Lookups'!G:G)+SUMIF('NEI Lookups'!$R:$R,'Inputs Yr 2'!$F129,'NEI Lookups'!G:G)+SUMIF('NEI Lookups'!$S:$S,'Inputs Yr 2'!$F129,'NEI Lookups'!G:G)+SUMIF('NEI Lookups'!$T:$T,'Inputs Yr 2'!$F129,'NEI Lookups'!G:G)</f>
        <v>0</v>
      </c>
      <c r="AV129" s="299">
        <f>SUMIF('NEI Lookups'!$L:$L,'Inputs Yr 2'!$F129,'NEI Lookups'!H:H)+SUMIF('NEI Lookups'!$M:$M,'Inputs Yr 2'!$F129,'NEI Lookups'!H:H)+SUMIF('NEI Lookups'!$N:$N,'Inputs Yr 2'!$F129,'NEI Lookups'!H:H)+SUMIF('NEI Lookups'!$O:$O,'Inputs Yr 2'!$F129,'NEI Lookups'!H:H)+SUMIF('NEI Lookups'!$P:$P,'Inputs Yr 2'!$F129,'NEI Lookups'!H:H)+SUMIF('NEI Lookups'!$Q:$Q,'Inputs Yr 2'!$F129,'NEI Lookups'!H:H)+SUMIF('NEI Lookups'!$R:$R,'Inputs Yr 2'!$F129,'NEI Lookups'!H:H)+SUMIF('NEI Lookups'!$S:$S,'Inputs Yr 2'!$F129,'NEI Lookups'!H:H)+SUMIF('NEI Lookups'!$T:$T,'Inputs Yr 2'!$F129,'NEI Lookups'!H:H)</f>
        <v>0</v>
      </c>
      <c r="AW129" s="299">
        <f>SUMIF('NEI Lookups'!$L:$L,'Inputs Yr 2'!$F129,'NEI Lookups'!I:I)+SUMIF('NEI Lookups'!$M:$M,'Inputs Yr 2'!$F129,'NEI Lookups'!I:I)+SUMIF('NEI Lookups'!$N:$N,'Inputs Yr 2'!$F129,'NEI Lookups'!I:I)+SUMIF('NEI Lookups'!$O:$O,'Inputs Yr 2'!$F129,'NEI Lookups'!I:I)+SUMIF('NEI Lookups'!$P:$P,'Inputs Yr 2'!$F129,'NEI Lookups'!I:I)+SUMIF('NEI Lookups'!$Q:$Q,'Inputs Yr 2'!$F129,'NEI Lookups'!I:I)+SUMIF('NEI Lookups'!$R:$R,'Inputs Yr 2'!$F129,'NEI Lookups'!I:I)+SUMIF('NEI Lookups'!$S:$S,'Inputs Yr 2'!$F129,'NEI Lookups'!I:I)+SUMIF('NEI Lookups'!$T:$T,'Inputs Yr 2'!$F129,'NEI Lookups'!I:I)</f>
        <v>1.484</v>
      </c>
      <c r="AX129" s="940">
        <f>SUMIF('NEI Lookups'!$L:$L,'Inputs Yr 2'!$F129,'NEI Lookups'!J:J)+SUMIF('NEI Lookups'!$M:$M,'Inputs Yr 2'!$F129,'NEI Lookups'!J:J)+SUMIF('NEI Lookups'!$N:$N,'Inputs Yr 2'!$F129,'NEI Lookups'!J:J)+SUMIF('NEI Lookups'!$O:$O,'Inputs Yr 2'!$F129,'NEI Lookups'!J:J)+SUMIF('NEI Lookups'!$P:$P,'Inputs Yr 2'!$F129,'NEI Lookups'!J:J)+SUMIF('NEI Lookups'!$Q:$Q,'Inputs Yr 2'!$F129,'NEI Lookups'!J:J)+SUMIF('NEI Lookups'!$R:$R,'Inputs Yr 2'!$F129,'NEI Lookups'!J:J)+SUMIF('NEI Lookups'!$S:$S,'Inputs Yr 2'!$F129,'NEI Lookups'!J:J)+SUMIF('NEI Lookups'!$T:$T,'Inputs Yr 2'!$F129,'NEI Lookups'!J:J)</f>
        <v>7.5999999999999998E-2</v>
      </c>
      <c r="AY129" s="930">
        <f>'Calculations Yr 2'!CP129/'Calculations Yr 2'!I129</f>
        <v>23.282450748815087</v>
      </c>
    </row>
    <row r="130" spans="1:51" s="133" customFormat="1" ht="12.75" customHeight="1">
      <c r="A130" s="145" t="s">
        <v>79</v>
      </c>
      <c r="B130" s="132" t="s">
        <v>872</v>
      </c>
      <c r="C130" s="914" t="s">
        <v>765</v>
      </c>
      <c r="D130" s="904" t="s">
        <v>1499</v>
      </c>
      <c r="E130" s="98" t="s">
        <v>1329</v>
      </c>
      <c r="F130" s="98" t="s">
        <v>1039</v>
      </c>
      <c r="G130" s="145" t="s">
        <v>89</v>
      </c>
      <c r="H130" s="232">
        <v>45</v>
      </c>
      <c r="I130" s="232">
        <v>20</v>
      </c>
      <c r="J130" s="964">
        <v>20115.555555555555</v>
      </c>
      <c r="K130" s="166">
        <f t="shared" si="24"/>
        <v>20115.555555555555</v>
      </c>
      <c r="L130" s="888">
        <f t="shared" si="16"/>
        <v>0</v>
      </c>
      <c r="M130" s="978">
        <v>0</v>
      </c>
      <c r="N130" s="978">
        <v>0</v>
      </c>
      <c r="O130" s="978">
        <v>0</v>
      </c>
      <c r="P130" s="889">
        <f t="shared" si="19"/>
        <v>1</v>
      </c>
      <c r="Q130" s="978">
        <v>1</v>
      </c>
      <c r="R130" s="178">
        <v>1</v>
      </c>
      <c r="S130" s="178">
        <v>1</v>
      </c>
      <c r="T130" s="178">
        <v>1</v>
      </c>
      <c r="U130" s="980">
        <v>0.75</v>
      </c>
      <c r="V130" s="978">
        <v>1</v>
      </c>
      <c r="W130" s="179"/>
      <c r="X130" s="937" t="s">
        <v>653</v>
      </c>
      <c r="Y130" s="299">
        <f>IFERROR(VLOOKUP($X130,'Demand Lookups'!$A$5:$K$101,9,0), 0)</f>
        <v>0</v>
      </c>
      <c r="Z130" s="922" t="str">
        <f>IFERROR(VLOOKUP(X130,'Demand Lookups'!$A$5:$B$101,2,0),0)</f>
        <v>Non-Electric Measures</v>
      </c>
      <c r="AA130" s="722">
        <f>IF(ISNA(VLOOKUP($X130,'Demand Lookups'!$A$5:$K$81,3,0)),0,VLOOKUP($X130,'Demand Lookups'!$A$5:$K$81,3,0))</f>
        <v>0</v>
      </c>
      <c r="AB130" s="722">
        <f>IF(ISNA(VLOOKUP($X130,'Demand Lookups'!$A$5:$K$81,4,0)),0,VLOOKUP($X130,'Demand Lookups'!$A$5:$K$81,4,0))</f>
        <v>0</v>
      </c>
      <c r="AC130" s="722">
        <f>IF(ISNA(VLOOKUP($X130,'Demand Lookups'!$A$5:$K$81,5,0)),0,VLOOKUP($X130,'Demand Lookups'!$A$5:$K$81,5,0))</f>
        <v>0</v>
      </c>
      <c r="AD130" s="723">
        <f>IF(ISNA(VLOOKUP($X130,'Demand Lookups'!$A$5:$K$81,6,0)),0,VLOOKUP($X130,'Demand Lookups'!$A$5:$K$81,6,0))</f>
        <v>0</v>
      </c>
      <c r="AE130" s="724">
        <f t="shared" si="20"/>
        <v>0</v>
      </c>
      <c r="AF130" s="723">
        <f>ROUND(IF(ISNA(VLOOKUP($X130,'Demand Lookups'!$A$5:$K$82,10,0)),0,(VLOOKUP($X130,'Demand Lookups'!$A$5:$K$82,10,0))),2)</f>
        <v>0</v>
      </c>
      <c r="AG130" s="723">
        <f>ROUND(IF(ISNA(VLOOKUP($X130,'Demand Lookups'!$A$5:$K$82,11,0)),0,VLOOKUP($X130,'Demand Lookups'!$A$5:$K$82,11,0)),2)</f>
        <v>0</v>
      </c>
      <c r="AH130" s="648">
        <f t="shared" si="21"/>
        <v>0</v>
      </c>
      <c r="AI130" s="648">
        <f t="shared" si="22"/>
        <v>0</v>
      </c>
      <c r="AJ130" s="167" t="s">
        <v>40</v>
      </c>
      <c r="AK130" s="866">
        <v>255.9044551111111</v>
      </c>
      <c r="AL130" s="167"/>
      <c r="AM130" s="168"/>
      <c r="AN130" s="167"/>
      <c r="AO130" s="168"/>
      <c r="AP130" s="171">
        <v>0</v>
      </c>
      <c r="AQ130" s="171"/>
      <c r="AR130" s="171"/>
      <c r="AS130" s="299">
        <f>SUMIF('NEI Lookups'!$L:$L,'Inputs Yr 2'!$F130,'NEI Lookups'!E:E)+SUMIF('NEI Lookups'!$M:$M,'Inputs Yr 2'!$F130,'NEI Lookups'!E:E)+SUMIF('NEI Lookups'!$N:$N,'Inputs Yr 2'!$F130,'NEI Lookups'!E:E)+SUMIF('NEI Lookups'!$O:$O,'Inputs Yr 2'!$F130,'NEI Lookups'!E:E)+SUMIF('NEI Lookups'!$P:$P,'Inputs Yr 2'!$F130,'NEI Lookups'!E:E)+SUMIF('NEI Lookups'!$Q:$Q,'Inputs Yr 2'!$F130,'NEI Lookups'!E:E)+SUMIF('NEI Lookups'!$R:$R,'Inputs Yr 2'!$F130,'NEI Lookups'!E:E)+SUMIF('NEI Lookups'!$S:$S,'Inputs Yr 2'!$F130,'NEI Lookups'!E:E)+SUMIF('NEI Lookups'!$T:$T,'Inputs Yr 2'!$F130,'NEI Lookups'!E:E)</f>
        <v>0.58000000000000007</v>
      </c>
      <c r="AT130" s="299">
        <f>SUMIF('NEI Lookups'!$L:$L,'Inputs Yr 2'!$F130,'NEI Lookups'!F:F)+SUMIF('NEI Lookups'!$M:$M,'Inputs Yr 2'!$F130,'NEI Lookups'!F:F)+SUMIF('NEI Lookups'!$N:$N,'Inputs Yr 2'!$F130,'NEI Lookups'!F:F)+SUMIF('NEI Lookups'!$O:$O,'Inputs Yr 2'!$F130,'NEI Lookups'!F:F)+SUMIF('NEI Lookups'!$P:$P,'Inputs Yr 2'!$F130,'NEI Lookups'!F:F)+SUMIF('NEI Lookups'!$Q:$Q,'Inputs Yr 2'!$F130,'NEI Lookups'!F:F)+SUMIF('NEI Lookups'!$R:$R,'Inputs Yr 2'!$F130,'NEI Lookups'!F:F)+SUMIF('NEI Lookups'!$S:$S,'Inputs Yr 2'!$F130,'NEI Lookups'!F:F)+SUMIF('NEI Lookups'!$T:$T,'Inputs Yr 2'!$F130,'NEI Lookups'!F:F)</f>
        <v>0</v>
      </c>
      <c r="AU130" s="299">
        <f>SUMIF('NEI Lookups'!$L:$L,'Inputs Yr 2'!$F130,'NEI Lookups'!G:G)+SUMIF('NEI Lookups'!$M:$M,'Inputs Yr 2'!$F130,'NEI Lookups'!G:G)+SUMIF('NEI Lookups'!$N:$N,'Inputs Yr 2'!$F130,'NEI Lookups'!G:G)+SUMIF('NEI Lookups'!$O:$O,'Inputs Yr 2'!$F130,'NEI Lookups'!G:G)+SUMIF('NEI Lookups'!$P:$P,'Inputs Yr 2'!$F130,'NEI Lookups'!G:G)+SUMIF('NEI Lookups'!$Q:$Q,'Inputs Yr 2'!$F130,'NEI Lookups'!G:G)+SUMIF('NEI Lookups'!$R:$R,'Inputs Yr 2'!$F130,'NEI Lookups'!G:G)+SUMIF('NEI Lookups'!$S:$S,'Inputs Yr 2'!$F130,'NEI Lookups'!G:G)+SUMIF('NEI Lookups'!$T:$T,'Inputs Yr 2'!$F130,'NEI Lookups'!G:G)</f>
        <v>0</v>
      </c>
      <c r="AV130" s="299">
        <f>SUMIF('NEI Lookups'!$L:$L,'Inputs Yr 2'!$F130,'NEI Lookups'!H:H)+SUMIF('NEI Lookups'!$M:$M,'Inputs Yr 2'!$F130,'NEI Lookups'!H:H)+SUMIF('NEI Lookups'!$N:$N,'Inputs Yr 2'!$F130,'NEI Lookups'!H:H)+SUMIF('NEI Lookups'!$O:$O,'Inputs Yr 2'!$F130,'NEI Lookups'!H:H)+SUMIF('NEI Lookups'!$P:$P,'Inputs Yr 2'!$F130,'NEI Lookups'!H:H)+SUMIF('NEI Lookups'!$Q:$Q,'Inputs Yr 2'!$F130,'NEI Lookups'!H:H)+SUMIF('NEI Lookups'!$R:$R,'Inputs Yr 2'!$F130,'NEI Lookups'!H:H)+SUMIF('NEI Lookups'!$S:$S,'Inputs Yr 2'!$F130,'NEI Lookups'!H:H)+SUMIF('NEI Lookups'!$T:$T,'Inputs Yr 2'!$F130,'NEI Lookups'!H:H)</f>
        <v>0</v>
      </c>
      <c r="AW130" s="299">
        <f>SUMIF('NEI Lookups'!$L:$L,'Inputs Yr 2'!$F130,'NEI Lookups'!I:I)+SUMIF('NEI Lookups'!$M:$M,'Inputs Yr 2'!$F130,'NEI Lookups'!I:I)+SUMIF('NEI Lookups'!$N:$N,'Inputs Yr 2'!$F130,'NEI Lookups'!I:I)+SUMIF('NEI Lookups'!$O:$O,'Inputs Yr 2'!$F130,'NEI Lookups'!I:I)+SUMIF('NEI Lookups'!$P:$P,'Inputs Yr 2'!$F130,'NEI Lookups'!I:I)+SUMIF('NEI Lookups'!$Q:$Q,'Inputs Yr 2'!$F130,'NEI Lookups'!I:I)+SUMIF('NEI Lookups'!$R:$R,'Inputs Yr 2'!$F130,'NEI Lookups'!I:I)+SUMIF('NEI Lookups'!$S:$S,'Inputs Yr 2'!$F130,'NEI Lookups'!I:I)+SUMIF('NEI Lookups'!$T:$T,'Inputs Yr 2'!$F130,'NEI Lookups'!I:I)</f>
        <v>0.13400000000000001</v>
      </c>
      <c r="AX130" s="940">
        <f>SUMIF('NEI Lookups'!$L:$L,'Inputs Yr 2'!$F130,'NEI Lookups'!J:J)+SUMIF('NEI Lookups'!$M:$M,'Inputs Yr 2'!$F130,'NEI Lookups'!J:J)+SUMIF('NEI Lookups'!$N:$N,'Inputs Yr 2'!$F130,'NEI Lookups'!J:J)+SUMIF('NEI Lookups'!$O:$O,'Inputs Yr 2'!$F130,'NEI Lookups'!J:J)+SUMIF('NEI Lookups'!$P:$P,'Inputs Yr 2'!$F130,'NEI Lookups'!J:J)+SUMIF('NEI Lookups'!$Q:$Q,'Inputs Yr 2'!$F130,'NEI Lookups'!J:J)+SUMIF('NEI Lookups'!$R:$R,'Inputs Yr 2'!$F130,'NEI Lookups'!J:J)+SUMIF('NEI Lookups'!$S:$S,'Inputs Yr 2'!$F130,'NEI Lookups'!J:J)+SUMIF('NEI Lookups'!$T:$T,'Inputs Yr 2'!$F130,'NEI Lookups'!J:J)</f>
        <v>7.5999999999999998E-2</v>
      </c>
      <c r="AY130" s="930">
        <f>'Calculations Yr 2'!CP130/'Calculations Yr 2'!I130</f>
        <v>1.937208298516975</v>
      </c>
    </row>
    <row r="131" spans="1:51" s="133" customFormat="1" ht="12.75" customHeight="1">
      <c r="A131" s="145" t="s">
        <v>79</v>
      </c>
      <c r="B131" s="132" t="s">
        <v>872</v>
      </c>
      <c r="C131" s="914" t="s">
        <v>765</v>
      </c>
      <c r="D131" s="904" t="s">
        <v>1500</v>
      </c>
      <c r="E131" s="98" t="s">
        <v>1324</v>
      </c>
      <c r="F131" s="98" t="s">
        <v>1040</v>
      </c>
      <c r="G131" s="145" t="s">
        <v>89</v>
      </c>
      <c r="H131" s="232">
        <v>157</v>
      </c>
      <c r="I131" s="232">
        <v>20</v>
      </c>
      <c r="J131" s="964">
        <v>9887.3215923566877</v>
      </c>
      <c r="K131" s="166">
        <f t="shared" si="24"/>
        <v>9887.3215923566877</v>
      </c>
      <c r="L131" s="888">
        <f t="shared" si="16"/>
        <v>0</v>
      </c>
      <c r="M131" s="978">
        <v>0</v>
      </c>
      <c r="N131" s="978">
        <v>0</v>
      </c>
      <c r="O131" s="978">
        <v>0</v>
      </c>
      <c r="P131" s="889">
        <f t="shared" si="19"/>
        <v>1</v>
      </c>
      <c r="Q131" s="978">
        <v>1</v>
      </c>
      <c r="R131" s="178">
        <v>1</v>
      </c>
      <c r="S131" s="178">
        <v>1</v>
      </c>
      <c r="T131" s="178">
        <v>1</v>
      </c>
      <c r="U131" s="980">
        <v>0.75</v>
      </c>
      <c r="V131" s="978">
        <v>1</v>
      </c>
      <c r="W131" s="179"/>
      <c r="X131" s="937" t="s">
        <v>653</v>
      </c>
      <c r="Y131" s="299">
        <f>IFERROR(VLOOKUP($X131,'Demand Lookups'!$A$5:$K$101,9,0), 0)</f>
        <v>0</v>
      </c>
      <c r="Z131" s="922" t="str">
        <f>IFERROR(VLOOKUP(X131,'Demand Lookups'!$A$5:$B$101,2,0),0)</f>
        <v>Non-Electric Measures</v>
      </c>
      <c r="AA131" s="722">
        <f>IF(ISNA(VLOOKUP($X131,'Demand Lookups'!$A$5:$K$81,3,0)),0,VLOOKUP($X131,'Demand Lookups'!$A$5:$K$81,3,0))</f>
        <v>0</v>
      </c>
      <c r="AB131" s="722">
        <f>IF(ISNA(VLOOKUP($X131,'Demand Lookups'!$A$5:$K$81,4,0)),0,VLOOKUP($X131,'Demand Lookups'!$A$5:$K$81,4,0))</f>
        <v>0</v>
      </c>
      <c r="AC131" s="722">
        <f>IF(ISNA(VLOOKUP($X131,'Demand Lookups'!$A$5:$K$81,5,0)),0,VLOOKUP($X131,'Demand Lookups'!$A$5:$K$81,5,0))</f>
        <v>0</v>
      </c>
      <c r="AD131" s="723">
        <f>IF(ISNA(VLOOKUP($X131,'Demand Lookups'!$A$5:$K$81,6,0)),0,VLOOKUP($X131,'Demand Lookups'!$A$5:$K$81,6,0))</f>
        <v>0</v>
      </c>
      <c r="AE131" s="724">
        <f t="shared" si="20"/>
        <v>0</v>
      </c>
      <c r="AF131" s="723">
        <f>ROUND(IF(ISNA(VLOOKUP($X131,'Demand Lookups'!$A$5:$K$82,10,0)),0,(VLOOKUP($X131,'Demand Lookups'!$A$5:$K$82,10,0))),2)</f>
        <v>0</v>
      </c>
      <c r="AG131" s="723">
        <f>ROUND(IF(ISNA(VLOOKUP($X131,'Demand Lookups'!$A$5:$K$82,11,0)),0,VLOOKUP($X131,'Demand Lookups'!$A$5:$K$82,11,0)),2)</f>
        <v>0</v>
      </c>
      <c r="AH131" s="648">
        <f t="shared" si="21"/>
        <v>0</v>
      </c>
      <c r="AI131" s="648">
        <f t="shared" si="22"/>
        <v>0</v>
      </c>
      <c r="AJ131" s="167" t="s">
        <v>40</v>
      </c>
      <c r="AK131" s="866">
        <v>106.07764582590232</v>
      </c>
      <c r="AL131" s="167"/>
      <c r="AM131" s="168"/>
      <c r="AN131" s="167"/>
      <c r="AO131" s="168"/>
      <c r="AP131" s="171">
        <v>0</v>
      </c>
      <c r="AQ131" s="171"/>
      <c r="AR131" s="171"/>
      <c r="AS131" s="299">
        <f>SUMIF('NEI Lookups'!$L:$L,'Inputs Yr 2'!$F131,'NEI Lookups'!E:E)+SUMIF('NEI Lookups'!$M:$M,'Inputs Yr 2'!$F131,'NEI Lookups'!E:E)+SUMIF('NEI Lookups'!$N:$N,'Inputs Yr 2'!$F131,'NEI Lookups'!E:E)+SUMIF('NEI Lookups'!$O:$O,'Inputs Yr 2'!$F131,'NEI Lookups'!E:E)+SUMIF('NEI Lookups'!$P:$P,'Inputs Yr 2'!$F131,'NEI Lookups'!E:E)+SUMIF('NEI Lookups'!$Q:$Q,'Inputs Yr 2'!$F131,'NEI Lookups'!E:E)+SUMIF('NEI Lookups'!$R:$R,'Inputs Yr 2'!$F131,'NEI Lookups'!E:E)+SUMIF('NEI Lookups'!$S:$S,'Inputs Yr 2'!$F131,'NEI Lookups'!E:E)+SUMIF('NEI Lookups'!$T:$T,'Inputs Yr 2'!$F131,'NEI Lookups'!E:E)</f>
        <v>0.58000000000000007</v>
      </c>
      <c r="AT131" s="299">
        <f>SUMIF('NEI Lookups'!$L:$L,'Inputs Yr 2'!$F131,'NEI Lookups'!F:F)+SUMIF('NEI Lookups'!$M:$M,'Inputs Yr 2'!$F131,'NEI Lookups'!F:F)+SUMIF('NEI Lookups'!$N:$N,'Inputs Yr 2'!$F131,'NEI Lookups'!F:F)+SUMIF('NEI Lookups'!$O:$O,'Inputs Yr 2'!$F131,'NEI Lookups'!F:F)+SUMIF('NEI Lookups'!$P:$P,'Inputs Yr 2'!$F131,'NEI Lookups'!F:F)+SUMIF('NEI Lookups'!$Q:$Q,'Inputs Yr 2'!$F131,'NEI Lookups'!F:F)+SUMIF('NEI Lookups'!$R:$R,'Inputs Yr 2'!$F131,'NEI Lookups'!F:F)+SUMIF('NEI Lookups'!$S:$S,'Inputs Yr 2'!$F131,'NEI Lookups'!F:F)+SUMIF('NEI Lookups'!$T:$T,'Inputs Yr 2'!$F131,'NEI Lookups'!F:F)</f>
        <v>0</v>
      </c>
      <c r="AU131" s="299">
        <f>SUMIF('NEI Lookups'!$L:$L,'Inputs Yr 2'!$F131,'NEI Lookups'!G:G)+SUMIF('NEI Lookups'!$M:$M,'Inputs Yr 2'!$F131,'NEI Lookups'!G:G)+SUMIF('NEI Lookups'!$N:$N,'Inputs Yr 2'!$F131,'NEI Lookups'!G:G)+SUMIF('NEI Lookups'!$O:$O,'Inputs Yr 2'!$F131,'NEI Lookups'!G:G)+SUMIF('NEI Lookups'!$P:$P,'Inputs Yr 2'!$F131,'NEI Lookups'!G:G)+SUMIF('NEI Lookups'!$Q:$Q,'Inputs Yr 2'!$F131,'NEI Lookups'!G:G)+SUMIF('NEI Lookups'!$R:$R,'Inputs Yr 2'!$F131,'NEI Lookups'!G:G)+SUMIF('NEI Lookups'!$S:$S,'Inputs Yr 2'!$F131,'NEI Lookups'!G:G)+SUMIF('NEI Lookups'!$T:$T,'Inputs Yr 2'!$F131,'NEI Lookups'!G:G)</f>
        <v>0</v>
      </c>
      <c r="AV131" s="299">
        <f>SUMIF('NEI Lookups'!$L:$L,'Inputs Yr 2'!$F131,'NEI Lookups'!H:H)+SUMIF('NEI Lookups'!$M:$M,'Inputs Yr 2'!$F131,'NEI Lookups'!H:H)+SUMIF('NEI Lookups'!$N:$N,'Inputs Yr 2'!$F131,'NEI Lookups'!H:H)+SUMIF('NEI Lookups'!$O:$O,'Inputs Yr 2'!$F131,'NEI Lookups'!H:H)+SUMIF('NEI Lookups'!$P:$P,'Inputs Yr 2'!$F131,'NEI Lookups'!H:H)+SUMIF('NEI Lookups'!$Q:$Q,'Inputs Yr 2'!$F131,'NEI Lookups'!H:H)+SUMIF('NEI Lookups'!$R:$R,'Inputs Yr 2'!$F131,'NEI Lookups'!H:H)+SUMIF('NEI Lookups'!$S:$S,'Inputs Yr 2'!$F131,'NEI Lookups'!H:H)+SUMIF('NEI Lookups'!$T:$T,'Inputs Yr 2'!$F131,'NEI Lookups'!H:H)</f>
        <v>0</v>
      </c>
      <c r="AW131" s="299">
        <f>SUMIF('NEI Lookups'!$L:$L,'Inputs Yr 2'!$F131,'NEI Lookups'!I:I)+SUMIF('NEI Lookups'!$M:$M,'Inputs Yr 2'!$F131,'NEI Lookups'!I:I)+SUMIF('NEI Lookups'!$N:$N,'Inputs Yr 2'!$F131,'NEI Lookups'!I:I)+SUMIF('NEI Lookups'!$O:$O,'Inputs Yr 2'!$F131,'NEI Lookups'!I:I)+SUMIF('NEI Lookups'!$P:$P,'Inputs Yr 2'!$F131,'NEI Lookups'!I:I)+SUMIF('NEI Lookups'!$Q:$Q,'Inputs Yr 2'!$F131,'NEI Lookups'!I:I)+SUMIF('NEI Lookups'!$R:$R,'Inputs Yr 2'!$F131,'NEI Lookups'!I:I)+SUMIF('NEI Lookups'!$S:$S,'Inputs Yr 2'!$F131,'NEI Lookups'!I:I)+SUMIF('NEI Lookups'!$T:$T,'Inputs Yr 2'!$F131,'NEI Lookups'!I:I)</f>
        <v>0.13400000000000001</v>
      </c>
      <c r="AX131" s="940">
        <f>SUMIF('NEI Lookups'!$L:$L,'Inputs Yr 2'!$F131,'NEI Lookups'!J:J)+SUMIF('NEI Lookups'!$M:$M,'Inputs Yr 2'!$F131,'NEI Lookups'!J:J)+SUMIF('NEI Lookups'!$N:$N,'Inputs Yr 2'!$F131,'NEI Lookups'!J:J)+SUMIF('NEI Lookups'!$O:$O,'Inputs Yr 2'!$F131,'NEI Lookups'!J:J)+SUMIF('NEI Lookups'!$P:$P,'Inputs Yr 2'!$F131,'NEI Lookups'!J:J)+SUMIF('NEI Lookups'!$Q:$Q,'Inputs Yr 2'!$F131,'NEI Lookups'!J:J)+SUMIF('NEI Lookups'!$R:$R,'Inputs Yr 2'!$F131,'NEI Lookups'!J:J)+SUMIF('NEI Lookups'!$S:$S,'Inputs Yr 2'!$F131,'NEI Lookups'!J:J)+SUMIF('NEI Lookups'!$T:$T,'Inputs Yr 2'!$F131,'NEI Lookups'!J:J)</f>
        <v>7.5999999999999998E-2</v>
      </c>
      <c r="AY131" s="930">
        <f>'Calculations Yr 2'!CP131/'Calculations Yr 2'!I131</f>
        <v>1.6343704269816068</v>
      </c>
    </row>
    <row r="132" spans="1:51" s="133" customFormat="1" ht="12.75" customHeight="1">
      <c r="A132" s="145" t="s">
        <v>79</v>
      </c>
      <c r="B132" s="132" t="s">
        <v>872</v>
      </c>
      <c r="C132" s="914" t="s">
        <v>765</v>
      </c>
      <c r="D132" s="904" t="s">
        <v>1501</v>
      </c>
      <c r="E132" s="98" t="s">
        <v>1321</v>
      </c>
      <c r="F132" s="98" t="s">
        <v>1041</v>
      </c>
      <c r="G132" s="145" t="s">
        <v>89</v>
      </c>
      <c r="H132" s="232">
        <v>4</v>
      </c>
      <c r="I132" s="232">
        <v>13</v>
      </c>
      <c r="J132" s="964">
        <v>10000</v>
      </c>
      <c r="K132" s="166">
        <f t="shared" si="24"/>
        <v>10000</v>
      </c>
      <c r="L132" s="888">
        <f t="shared" si="16"/>
        <v>0</v>
      </c>
      <c r="M132" s="978">
        <v>0</v>
      </c>
      <c r="N132" s="978">
        <v>0</v>
      </c>
      <c r="O132" s="978">
        <v>0</v>
      </c>
      <c r="P132" s="889">
        <f t="shared" si="19"/>
        <v>1</v>
      </c>
      <c r="Q132" s="978">
        <v>1</v>
      </c>
      <c r="R132" s="178">
        <v>1</v>
      </c>
      <c r="S132" s="178">
        <v>1</v>
      </c>
      <c r="T132" s="178">
        <v>1</v>
      </c>
      <c r="U132" s="980">
        <v>0.75</v>
      </c>
      <c r="V132" s="978">
        <v>1</v>
      </c>
      <c r="W132" s="179"/>
      <c r="X132" s="937" t="s">
        <v>653</v>
      </c>
      <c r="Y132" s="299">
        <f>IFERROR(VLOOKUP($X132,'Demand Lookups'!$A$5:$K$101,9,0), 0)</f>
        <v>0</v>
      </c>
      <c r="Z132" s="922" t="str">
        <f>IFERROR(VLOOKUP(X132,'Demand Lookups'!$A$5:$B$101,2,0),0)</f>
        <v>Non-Electric Measures</v>
      </c>
      <c r="AA132" s="722">
        <f>IF(ISNA(VLOOKUP($X132,'Demand Lookups'!$A$5:$K$81,3,0)),0,VLOOKUP($X132,'Demand Lookups'!$A$5:$K$81,3,0))</f>
        <v>0</v>
      </c>
      <c r="AB132" s="722">
        <f>IF(ISNA(VLOOKUP($X132,'Demand Lookups'!$A$5:$K$81,4,0)),0,VLOOKUP($X132,'Demand Lookups'!$A$5:$K$81,4,0))</f>
        <v>0</v>
      </c>
      <c r="AC132" s="722">
        <f>IF(ISNA(VLOOKUP($X132,'Demand Lookups'!$A$5:$K$81,5,0)),0,VLOOKUP($X132,'Demand Lookups'!$A$5:$K$81,5,0))</f>
        <v>0</v>
      </c>
      <c r="AD132" s="723">
        <f>IF(ISNA(VLOOKUP($X132,'Demand Lookups'!$A$5:$K$81,6,0)),0,VLOOKUP($X132,'Demand Lookups'!$A$5:$K$81,6,0))</f>
        <v>0</v>
      </c>
      <c r="AE132" s="724">
        <f t="shared" si="20"/>
        <v>0</v>
      </c>
      <c r="AF132" s="723">
        <f>ROUND(IF(ISNA(VLOOKUP($X132,'Demand Lookups'!$A$5:$K$82,10,0)),0,(VLOOKUP($X132,'Demand Lookups'!$A$5:$K$82,10,0))),2)</f>
        <v>0</v>
      </c>
      <c r="AG132" s="723">
        <f>ROUND(IF(ISNA(VLOOKUP($X132,'Demand Lookups'!$A$5:$K$82,11,0)),0,VLOOKUP($X132,'Demand Lookups'!$A$5:$K$82,11,0)),2)</f>
        <v>0</v>
      </c>
      <c r="AH132" s="648">
        <f t="shared" si="21"/>
        <v>0</v>
      </c>
      <c r="AI132" s="648">
        <f t="shared" si="22"/>
        <v>0</v>
      </c>
      <c r="AJ132" s="167" t="s">
        <v>40</v>
      </c>
      <c r="AK132" s="866">
        <v>88.429687666666666</v>
      </c>
      <c r="AL132" s="167"/>
      <c r="AM132" s="168"/>
      <c r="AN132" s="167"/>
      <c r="AO132" s="168"/>
      <c r="AP132" s="171">
        <v>0</v>
      </c>
      <c r="AQ132" s="171"/>
      <c r="AR132" s="171"/>
      <c r="AS132" s="299">
        <f>SUMIF('NEI Lookups'!$L:$L,'Inputs Yr 2'!$F132,'NEI Lookups'!E:E)+SUMIF('NEI Lookups'!$M:$M,'Inputs Yr 2'!$F132,'NEI Lookups'!E:E)+SUMIF('NEI Lookups'!$N:$N,'Inputs Yr 2'!$F132,'NEI Lookups'!E:E)+SUMIF('NEI Lookups'!$O:$O,'Inputs Yr 2'!$F132,'NEI Lookups'!E:E)+SUMIF('NEI Lookups'!$P:$P,'Inputs Yr 2'!$F132,'NEI Lookups'!E:E)+SUMIF('NEI Lookups'!$Q:$Q,'Inputs Yr 2'!$F132,'NEI Lookups'!E:E)+SUMIF('NEI Lookups'!$R:$R,'Inputs Yr 2'!$F132,'NEI Lookups'!E:E)+SUMIF('NEI Lookups'!$S:$S,'Inputs Yr 2'!$F132,'NEI Lookups'!E:E)+SUMIF('NEI Lookups'!$T:$T,'Inputs Yr 2'!$F132,'NEI Lookups'!E:E)</f>
        <v>0.58000000000000007</v>
      </c>
      <c r="AT132" s="299">
        <f>SUMIF('NEI Lookups'!$L:$L,'Inputs Yr 2'!$F132,'NEI Lookups'!F:F)+SUMIF('NEI Lookups'!$M:$M,'Inputs Yr 2'!$F132,'NEI Lookups'!F:F)+SUMIF('NEI Lookups'!$N:$N,'Inputs Yr 2'!$F132,'NEI Lookups'!F:F)+SUMIF('NEI Lookups'!$O:$O,'Inputs Yr 2'!$F132,'NEI Lookups'!F:F)+SUMIF('NEI Lookups'!$P:$P,'Inputs Yr 2'!$F132,'NEI Lookups'!F:F)+SUMIF('NEI Lookups'!$Q:$Q,'Inputs Yr 2'!$F132,'NEI Lookups'!F:F)+SUMIF('NEI Lookups'!$R:$R,'Inputs Yr 2'!$F132,'NEI Lookups'!F:F)+SUMIF('NEI Lookups'!$S:$S,'Inputs Yr 2'!$F132,'NEI Lookups'!F:F)+SUMIF('NEI Lookups'!$T:$T,'Inputs Yr 2'!$F132,'NEI Lookups'!F:F)</f>
        <v>0</v>
      </c>
      <c r="AU132" s="299">
        <f>SUMIF('NEI Lookups'!$L:$L,'Inputs Yr 2'!$F132,'NEI Lookups'!G:G)+SUMIF('NEI Lookups'!$M:$M,'Inputs Yr 2'!$F132,'NEI Lookups'!G:G)+SUMIF('NEI Lookups'!$N:$N,'Inputs Yr 2'!$F132,'NEI Lookups'!G:G)+SUMIF('NEI Lookups'!$O:$O,'Inputs Yr 2'!$F132,'NEI Lookups'!G:G)+SUMIF('NEI Lookups'!$P:$P,'Inputs Yr 2'!$F132,'NEI Lookups'!G:G)+SUMIF('NEI Lookups'!$Q:$Q,'Inputs Yr 2'!$F132,'NEI Lookups'!G:G)+SUMIF('NEI Lookups'!$R:$R,'Inputs Yr 2'!$F132,'NEI Lookups'!G:G)+SUMIF('NEI Lookups'!$S:$S,'Inputs Yr 2'!$F132,'NEI Lookups'!G:G)+SUMIF('NEI Lookups'!$T:$T,'Inputs Yr 2'!$F132,'NEI Lookups'!G:G)</f>
        <v>0</v>
      </c>
      <c r="AV132" s="299">
        <f>SUMIF('NEI Lookups'!$L:$L,'Inputs Yr 2'!$F132,'NEI Lookups'!H:H)+SUMIF('NEI Lookups'!$M:$M,'Inputs Yr 2'!$F132,'NEI Lookups'!H:H)+SUMIF('NEI Lookups'!$N:$N,'Inputs Yr 2'!$F132,'NEI Lookups'!H:H)+SUMIF('NEI Lookups'!$O:$O,'Inputs Yr 2'!$F132,'NEI Lookups'!H:H)+SUMIF('NEI Lookups'!$P:$P,'Inputs Yr 2'!$F132,'NEI Lookups'!H:H)+SUMIF('NEI Lookups'!$Q:$Q,'Inputs Yr 2'!$F132,'NEI Lookups'!H:H)+SUMIF('NEI Lookups'!$R:$R,'Inputs Yr 2'!$F132,'NEI Lookups'!H:H)+SUMIF('NEI Lookups'!$S:$S,'Inputs Yr 2'!$F132,'NEI Lookups'!H:H)+SUMIF('NEI Lookups'!$T:$T,'Inputs Yr 2'!$F132,'NEI Lookups'!H:H)</f>
        <v>0</v>
      </c>
      <c r="AW132" s="299">
        <f>SUMIF('NEI Lookups'!$L:$L,'Inputs Yr 2'!$F132,'NEI Lookups'!I:I)+SUMIF('NEI Lookups'!$M:$M,'Inputs Yr 2'!$F132,'NEI Lookups'!I:I)+SUMIF('NEI Lookups'!$N:$N,'Inputs Yr 2'!$F132,'NEI Lookups'!I:I)+SUMIF('NEI Lookups'!$O:$O,'Inputs Yr 2'!$F132,'NEI Lookups'!I:I)+SUMIF('NEI Lookups'!$P:$P,'Inputs Yr 2'!$F132,'NEI Lookups'!I:I)+SUMIF('NEI Lookups'!$Q:$Q,'Inputs Yr 2'!$F132,'NEI Lookups'!I:I)+SUMIF('NEI Lookups'!$R:$R,'Inputs Yr 2'!$F132,'NEI Lookups'!I:I)+SUMIF('NEI Lookups'!$S:$S,'Inputs Yr 2'!$F132,'NEI Lookups'!I:I)+SUMIF('NEI Lookups'!$T:$T,'Inputs Yr 2'!$F132,'NEI Lookups'!I:I)</f>
        <v>0.13400000000000001</v>
      </c>
      <c r="AX132" s="940">
        <f>SUMIF('NEI Lookups'!$L:$L,'Inputs Yr 2'!$F132,'NEI Lookups'!J:J)+SUMIF('NEI Lookups'!$M:$M,'Inputs Yr 2'!$F132,'NEI Lookups'!J:J)+SUMIF('NEI Lookups'!$N:$N,'Inputs Yr 2'!$F132,'NEI Lookups'!J:J)+SUMIF('NEI Lookups'!$O:$O,'Inputs Yr 2'!$F132,'NEI Lookups'!J:J)+SUMIF('NEI Lookups'!$P:$P,'Inputs Yr 2'!$F132,'NEI Lookups'!J:J)+SUMIF('NEI Lookups'!$Q:$Q,'Inputs Yr 2'!$F132,'NEI Lookups'!J:J)+SUMIF('NEI Lookups'!$R:$R,'Inputs Yr 2'!$F132,'NEI Lookups'!J:J)+SUMIF('NEI Lookups'!$S:$S,'Inputs Yr 2'!$F132,'NEI Lookups'!J:J)+SUMIF('NEI Lookups'!$T:$T,'Inputs Yr 2'!$F132,'NEI Lookups'!J:J)</f>
        <v>7.5999999999999998E-2</v>
      </c>
      <c r="AY132" s="930">
        <f>'Calculations Yr 2'!CP132/'Calculations Yr 2'!I132</f>
        <v>0.865556638791668</v>
      </c>
    </row>
    <row r="133" spans="1:51" s="133" customFormat="1" ht="12.75" customHeight="1">
      <c r="A133" s="145" t="s">
        <v>79</v>
      </c>
      <c r="B133" s="132" t="s">
        <v>872</v>
      </c>
      <c r="C133" s="914" t="s">
        <v>765</v>
      </c>
      <c r="D133" s="906" t="s">
        <v>1487</v>
      </c>
      <c r="E133" s="655" t="s">
        <v>1304</v>
      </c>
      <c r="F133" s="98" t="s">
        <v>1042</v>
      </c>
      <c r="G133" s="145" t="s">
        <v>89</v>
      </c>
      <c r="H133" s="232">
        <v>1167</v>
      </c>
      <c r="I133" s="232">
        <v>7</v>
      </c>
      <c r="J133" s="964">
        <v>10.152956298200515</v>
      </c>
      <c r="K133" s="166">
        <f t="shared" si="24"/>
        <v>10.152956298200515</v>
      </c>
      <c r="L133" s="888">
        <f t="shared" ref="L133:L196" si="25">J133-K133</f>
        <v>0</v>
      </c>
      <c r="M133" s="978">
        <v>0</v>
      </c>
      <c r="N133" s="978">
        <v>0</v>
      </c>
      <c r="O133" s="978">
        <v>0</v>
      </c>
      <c r="P133" s="889">
        <f t="shared" si="19"/>
        <v>1</v>
      </c>
      <c r="Q133" s="978">
        <v>1</v>
      </c>
      <c r="R133" s="178">
        <v>1</v>
      </c>
      <c r="S133" s="178">
        <v>1</v>
      </c>
      <c r="T133" s="178">
        <v>1</v>
      </c>
      <c r="U133" s="980">
        <v>1</v>
      </c>
      <c r="V133" s="978">
        <v>1</v>
      </c>
      <c r="W133" s="179"/>
      <c r="X133" s="937" t="s">
        <v>653</v>
      </c>
      <c r="Y133" s="299">
        <f>IFERROR(VLOOKUP($X133,'Demand Lookups'!$A$5:$K$101,9,0), 0)</f>
        <v>0</v>
      </c>
      <c r="Z133" s="922" t="str">
        <f>IFERROR(VLOOKUP(X133,'Demand Lookups'!$A$5:$B$101,2,0),0)</f>
        <v>Non-Electric Measures</v>
      </c>
      <c r="AA133" s="722">
        <f>IF(ISNA(VLOOKUP($X133,'Demand Lookups'!$A$5:$K$81,3,0)),0,VLOOKUP($X133,'Demand Lookups'!$A$5:$K$81,3,0))</f>
        <v>0</v>
      </c>
      <c r="AB133" s="722">
        <f>IF(ISNA(VLOOKUP($X133,'Demand Lookups'!$A$5:$K$81,4,0)),0,VLOOKUP($X133,'Demand Lookups'!$A$5:$K$81,4,0))</f>
        <v>0</v>
      </c>
      <c r="AC133" s="722">
        <f>IF(ISNA(VLOOKUP($X133,'Demand Lookups'!$A$5:$K$81,5,0)),0,VLOOKUP($X133,'Demand Lookups'!$A$5:$K$81,5,0))</f>
        <v>0</v>
      </c>
      <c r="AD133" s="723">
        <f>IF(ISNA(VLOOKUP($X133,'Demand Lookups'!$A$5:$K$81,6,0)),0,VLOOKUP($X133,'Demand Lookups'!$A$5:$K$81,6,0))</f>
        <v>0</v>
      </c>
      <c r="AE133" s="724">
        <f t="shared" si="20"/>
        <v>0</v>
      </c>
      <c r="AF133" s="723">
        <f>ROUND(IF(ISNA(VLOOKUP($X133,'Demand Lookups'!$A$5:$K$82,10,0)),0,(VLOOKUP($X133,'Demand Lookups'!$A$5:$K$82,10,0))),2)</f>
        <v>0</v>
      </c>
      <c r="AG133" s="723">
        <f>ROUND(IF(ISNA(VLOOKUP($X133,'Demand Lookups'!$A$5:$K$82,11,0)),0,VLOOKUP($X133,'Demand Lookups'!$A$5:$K$82,11,0)),2)</f>
        <v>0</v>
      </c>
      <c r="AH133" s="648">
        <f t="shared" si="21"/>
        <v>0</v>
      </c>
      <c r="AI133" s="648">
        <f t="shared" si="22"/>
        <v>0</v>
      </c>
      <c r="AJ133" s="167" t="s">
        <v>40</v>
      </c>
      <c r="AK133" s="866">
        <v>0.3</v>
      </c>
      <c r="AL133" s="167"/>
      <c r="AM133" s="168"/>
      <c r="AN133" s="167"/>
      <c r="AO133" s="168"/>
      <c r="AP133" s="171">
        <v>708</v>
      </c>
      <c r="AQ133" s="171"/>
      <c r="AR133" s="171"/>
      <c r="AS133" s="299">
        <f>SUMIF('NEI Lookups'!$L:$L,'Inputs Yr 2'!$F133,'NEI Lookups'!E:E)+SUMIF('NEI Lookups'!$M:$M,'Inputs Yr 2'!$F133,'NEI Lookups'!E:E)+SUMIF('NEI Lookups'!$N:$N,'Inputs Yr 2'!$F133,'NEI Lookups'!E:E)+SUMIF('NEI Lookups'!$O:$O,'Inputs Yr 2'!$F133,'NEI Lookups'!E:E)+SUMIF('NEI Lookups'!$P:$P,'Inputs Yr 2'!$F133,'NEI Lookups'!E:E)+SUMIF('NEI Lookups'!$Q:$Q,'Inputs Yr 2'!$F133,'NEI Lookups'!E:E)+SUMIF('NEI Lookups'!$R:$R,'Inputs Yr 2'!$F133,'NEI Lookups'!E:E)+SUMIF('NEI Lookups'!$S:$S,'Inputs Yr 2'!$F133,'NEI Lookups'!E:E)+SUMIF('NEI Lookups'!$T:$T,'Inputs Yr 2'!$F133,'NEI Lookups'!E:E)</f>
        <v>0.58000000000000007</v>
      </c>
      <c r="AT133" s="299">
        <f>SUMIF('NEI Lookups'!$L:$L,'Inputs Yr 2'!$F133,'NEI Lookups'!F:F)+SUMIF('NEI Lookups'!$M:$M,'Inputs Yr 2'!$F133,'NEI Lookups'!F:F)+SUMIF('NEI Lookups'!$N:$N,'Inputs Yr 2'!$F133,'NEI Lookups'!F:F)+SUMIF('NEI Lookups'!$O:$O,'Inputs Yr 2'!$F133,'NEI Lookups'!F:F)+SUMIF('NEI Lookups'!$P:$P,'Inputs Yr 2'!$F133,'NEI Lookups'!F:F)+SUMIF('NEI Lookups'!$Q:$Q,'Inputs Yr 2'!$F133,'NEI Lookups'!F:F)+SUMIF('NEI Lookups'!$R:$R,'Inputs Yr 2'!$F133,'NEI Lookups'!F:F)+SUMIF('NEI Lookups'!$S:$S,'Inputs Yr 2'!$F133,'NEI Lookups'!F:F)+SUMIF('NEI Lookups'!$T:$T,'Inputs Yr 2'!$F133,'NEI Lookups'!F:F)</f>
        <v>0</v>
      </c>
      <c r="AU133" s="299">
        <f>SUMIF('NEI Lookups'!$L:$L,'Inputs Yr 2'!$F133,'NEI Lookups'!G:G)+SUMIF('NEI Lookups'!$M:$M,'Inputs Yr 2'!$F133,'NEI Lookups'!G:G)+SUMIF('NEI Lookups'!$N:$N,'Inputs Yr 2'!$F133,'NEI Lookups'!G:G)+SUMIF('NEI Lookups'!$O:$O,'Inputs Yr 2'!$F133,'NEI Lookups'!G:G)+SUMIF('NEI Lookups'!$P:$P,'Inputs Yr 2'!$F133,'NEI Lookups'!G:G)+SUMIF('NEI Lookups'!$Q:$Q,'Inputs Yr 2'!$F133,'NEI Lookups'!G:G)+SUMIF('NEI Lookups'!$R:$R,'Inputs Yr 2'!$F133,'NEI Lookups'!G:G)+SUMIF('NEI Lookups'!$S:$S,'Inputs Yr 2'!$F133,'NEI Lookups'!G:G)+SUMIF('NEI Lookups'!$T:$T,'Inputs Yr 2'!$F133,'NEI Lookups'!G:G)</f>
        <v>0</v>
      </c>
      <c r="AV133" s="299">
        <f>SUMIF('NEI Lookups'!$L:$L,'Inputs Yr 2'!$F133,'NEI Lookups'!H:H)+SUMIF('NEI Lookups'!$M:$M,'Inputs Yr 2'!$F133,'NEI Lookups'!H:H)+SUMIF('NEI Lookups'!$N:$N,'Inputs Yr 2'!$F133,'NEI Lookups'!H:H)+SUMIF('NEI Lookups'!$O:$O,'Inputs Yr 2'!$F133,'NEI Lookups'!H:H)+SUMIF('NEI Lookups'!$P:$P,'Inputs Yr 2'!$F133,'NEI Lookups'!H:H)+SUMIF('NEI Lookups'!$Q:$Q,'Inputs Yr 2'!$F133,'NEI Lookups'!H:H)+SUMIF('NEI Lookups'!$R:$R,'Inputs Yr 2'!$F133,'NEI Lookups'!H:H)+SUMIF('NEI Lookups'!$S:$S,'Inputs Yr 2'!$F133,'NEI Lookups'!H:H)+SUMIF('NEI Lookups'!$T:$T,'Inputs Yr 2'!$F133,'NEI Lookups'!H:H)</f>
        <v>0</v>
      </c>
      <c r="AW133" s="299">
        <f>SUMIF('NEI Lookups'!$L:$L,'Inputs Yr 2'!$F133,'NEI Lookups'!I:I)+SUMIF('NEI Lookups'!$M:$M,'Inputs Yr 2'!$F133,'NEI Lookups'!I:I)+SUMIF('NEI Lookups'!$N:$N,'Inputs Yr 2'!$F133,'NEI Lookups'!I:I)+SUMIF('NEI Lookups'!$O:$O,'Inputs Yr 2'!$F133,'NEI Lookups'!I:I)+SUMIF('NEI Lookups'!$P:$P,'Inputs Yr 2'!$F133,'NEI Lookups'!I:I)+SUMIF('NEI Lookups'!$Q:$Q,'Inputs Yr 2'!$F133,'NEI Lookups'!I:I)+SUMIF('NEI Lookups'!$R:$R,'Inputs Yr 2'!$F133,'NEI Lookups'!I:I)+SUMIF('NEI Lookups'!$S:$S,'Inputs Yr 2'!$F133,'NEI Lookups'!I:I)+SUMIF('NEI Lookups'!$T:$T,'Inputs Yr 2'!$F133,'NEI Lookups'!I:I)</f>
        <v>0.13400000000000001</v>
      </c>
      <c r="AX133" s="940">
        <f>SUMIF('NEI Lookups'!$L:$L,'Inputs Yr 2'!$F133,'NEI Lookups'!J:J)+SUMIF('NEI Lookups'!$M:$M,'Inputs Yr 2'!$F133,'NEI Lookups'!J:J)+SUMIF('NEI Lookups'!$N:$N,'Inputs Yr 2'!$F133,'NEI Lookups'!J:J)+SUMIF('NEI Lookups'!$O:$O,'Inputs Yr 2'!$F133,'NEI Lookups'!J:J)+SUMIF('NEI Lookups'!$P:$P,'Inputs Yr 2'!$F133,'NEI Lookups'!J:J)+SUMIF('NEI Lookups'!$Q:$Q,'Inputs Yr 2'!$F133,'NEI Lookups'!J:J)+SUMIF('NEI Lookups'!$R:$R,'Inputs Yr 2'!$F133,'NEI Lookups'!J:J)+SUMIF('NEI Lookups'!$S:$S,'Inputs Yr 2'!$F133,'NEI Lookups'!J:J)+SUMIF('NEI Lookups'!$T:$T,'Inputs Yr 2'!$F133,'NEI Lookups'!J:J)</f>
        <v>7.5999999999999998E-2</v>
      </c>
      <c r="AY133" s="930">
        <f>'Calculations Yr 2'!CP133/'Calculations Yr 2'!I133</f>
        <v>7.7390292376937113</v>
      </c>
    </row>
    <row r="134" spans="1:51" s="133" customFormat="1" ht="12.75" customHeight="1">
      <c r="A134" s="145" t="s">
        <v>79</v>
      </c>
      <c r="B134" s="132" t="s">
        <v>872</v>
      </c>
      <c r="C134" s="914" t="s">
        <v>765</v>
      </c>
      <c r="D134" s="906" t="s">
        <v>1502</v>
      </c>
      <c r="E134" s="150" t="s">
        <v>1306</v>
      </c>
      <c r="F134" s="98" t="s">
        <v>1390</v>
      </c>
      <c r="G134" s="145" t="s">
        <v>89</v>
      </c>
      <c r="H134" s="232">
        <v>78</v>
      </c>
      <c r="I134" s="232">
        <v>7</v>
      </c>
      <c r="J134" s="964">
        <v>19.541666666666668</v>
      </c>
      <c r="K134" s="166">
        <f t="shared" si="24"/>
        <v>19.541666666666668</v>
      </c>
      <c r="L134" s="888">
        <f t="shared" si="25"/>
        <v>0</v>
      </c>
      <c r="M134" s="978">
        <v>0</v>
      </c>
      <c r="N134" s="978">
        <v>0</v>
      </c>
      <c r="O134" s="978">
        <v>0</v>
      </c>
      <c r="P134" s="889">
        <f t="shared" ref="P134:P212" si="26">1-M134+N134+O134</f>
        <v>1</v>
      </c>
      <c r="Q134" s="978">
        <v>1</v>
      </c>
      <c r="R134" s="178">
        <v>1</v>
      </c>
      <c r="S134" s="178">
        <v>1</v>
      </c>
      <c r="T134" s="178">
        <v>1</v>
      </c>
      <c r="U134" s="980">
        <v>1</v>
      </c>
      <c r="V134" s="978">
        <v>1</v>
      </c>
      <c r="W134" s="179"/>
      <c r="X134" s="937" t="s">
        <v>653</v>
      </c>
      <c r="Y134" s="299">
        <f>IFERROR(VLOOKUP($X134,'Demand Lookups'!$A$5:$K$101,9,0), 0)</f>
        <v>0</v>
      </c>
      <c r="Z134" s="922" t="str">
        <f>IFERROR(VLOOKUP(X134,'Demand Lookups'!$A$5:$B$101,2,0),0)</f>
        <v>Non-Electric Measures</v>
      </c>
      <c r="AA134" s="722">
        <f>IF(ISNA(VLOOKUP($X134,'Demand Lookups'!$A$5:$K$81,3,0)),0,VLOOKUP($X134,'Demand Lookups'!$A$5:$K$81,3,0))</f>
        <v>0</v>
      </c>
      <c r="AB134" s="722">
        <f>IF(ISNA(VLOOKUP($X134,'Demand Lookups'!$A$5:$K$81,4,0)),0,VLOOKUP($X134,'Demand Lookups'!$A$5:$K$81,4,0))</f>
        <v>0</v>
      </c>
      <c r="AC134" s="722">
        <f>IF(ISNA(VLOOKUP($X134,'Demand Lookups'!$A$5:$K$81,5,0)),0,VLOOKUP($X134,'Demand Lookups'!$A$5:$K$81,5,0))</f>
        <v>0</v>
      </c>
      <c r="AD134" s="723">
        <f>IF(ISNA(VLOOKUP($X134,'Demand Lookups'!$A$5:$K$81,6,0)),0,VLOOKUP($X134,'Demand Lookups'!$A$5:$K$81,6,0))</f>
        <v>0</v>
      </c>
      <c r="AE134" s="724">
        <f t="shared" ref="AE134:AE212" si="27">IF(ISERROR(W134*Y134),"",W134*Y134)</f>
        <v>0</v>
      </c>
      <c r="AF134" s="723">
        <f>ROUND(IF(ISNA(VLOOKUP($X134,'Demand Lookups'!$A$5:$K$82,10,0)),0,(VLOOKUP($X134,'Demand Lookups'!$A$5:$K$82,10,0))),2)</f>
        <v>0</v>
      </c>
      <c r="AG134" s="723">
        <f>ROUND(IF(ISNA(VLOOKUP($X134,'Demand Lookups'!$A$5:$K$82,11,0)),0,VLOOKUP($X134,'Demand Lookups'!$A$5:$K$82,11,0)),2)</f>
        <v>0</v>
      </c>
      <c r="AH134" s="648">
        <f t="shared" ref="AH134:AH212" si="28">AF134</f>
        <v>0</v>
      </c>
      <c r="AI134" s="648">
        <f t="shared" ref="AI134:AI212" si="29">AF134</f>
        <v>0</v>
      </c>
      <c r="AJ134" s="167" t="s">
        <v>40</v>
      </c>
      <c r="AK134" s="866">
        <v>1.6599999999999997</v>
      </c>
      <c r="AL134" s="167"/>
      <c r="AM134" s="168"/>
      <c r="AN134" s="167"/>
      <c r="AO134" s="168"/>
      <c r="AP134" s="171">
        <v>2723</v>
      </c>
      <c r="AQ134" s="171"/>
      <c r="AR134" s="171"/>
      <c r="AS134" s="299">
        <f>SUMIF('NEI Lookups'!$L:$L,'Inputs Yr 2'!$F134,'NEI Lookups'!E:E)+SUMIF('NEI Lookups'!$M:$M,'Inputs Yr 2'!$F134,'NEI Lookups'!E:E)+SUMIF('NEI Lookups'!$N:$N,'Inputs Yr 2'!$F134,'NEI Lookups'!E:E)+SUMIF('NEI Lookups'!$O:$O,'Inputs Yr 2'!$F134,'NEI Lookups'!E:E)+SUMIF('NEI Lookups'!$P:$P,'Inputs Yr 2'!$F134,'NEI Lookups'!E:E)+SUMIF('NEI Lookups'!$Q:$Q,'Inputs Yr 2'!$F134,'NEI Lookups'!E:E)+SUMIF('NEI Lookups'!$R:$R,'Inputs Yr 2'!$F134,'NEI Lookups'!E:E)+SUMIF('NEI Lookups'!$S:$S,'Inputs Yr 2'!$F134,'NEI Lookups'!E:E)+SUMIF('NEI Lookups'!$T:$T,'Inputs Yr 2'!$F134,'NEI Lookups'!E:E)</f>
        <v>0.58000000000000007</v>
      </c>
      <c r="AT134" s="299">
        <f>SUMIF('NEI Lookups'!$L:$L,'Inputs Yr 2'!$F134,'NEI Lookups'!F:F)+SUMIF('NEI Lookups'!$M:$M,'Inputs Yr 2'!$F134,'NEI Lookups'!F:F)+SUMIF('NEI Lookups'!$N:$N,'Inputs Yr 2'!$F134,'NEI Lookups'!F:F)+SUMIF('NEI Lookups'!$O:$O,'Inputs Yr 2'!$F134,'NEI Lookups'!F:F)+SUMIF('NEI Lookups'!$P:$P,'Inputs Yr 2'!$F134,'NEI Lookups'!F:F)+SUMIF('NEI Lookups'!$Q:$Q,'Inputs Yr 2'!$F134,'NEI Lookups'!F:F)+SUMIF('NEI Lookups'!$R:$R,'Inputs Yr 2'!$F134,'NEI Lookups'!F:F)+SUMIF('NEI Lookups'!$S:$S,'Inputs Yr 2'!$F134,'NEI Lookups'!F:F)+SUMIF('NEI Lookups'!$T:$T,'Inputs Yr 2'!$F134,'NEI Lookups'!F:F)</f>
        <v>0</v>
      </c>
      <c r="AU134" s="299">
        <f>SUMIF('NEI Lookups'!$L:$L,'Inputs Yr 2'!$F134,'NEI Lookups'!G:G)+SUMIF('NEI Lookups'!$M:$M,'Inputs Yr 2'!$F134,'NEI Lookups'!G:G)+SUMIF('NEI Lookups'!$N:$N,'Inputs Yr 2'!$F134,'NEI Lookups'!G:G)+SUMIF('NEI Lookups'!$O:$O,'Inputs Yr 2'!$F134,'NEI Lookups'!G:G)+SUMIF('NEI Lookups'!$P:$P,'Inputs Yr 2'!$F134,'NEI Lookups'!G:G)+SUMIF('NEI Lookups'!$Q:$Q,'Inputs Yr 2'!$F134,'NEI Lookups'!G:G)+SUMIF('NEI Lookups'!$R:$R,'Inputs Yr 2'!$F134,'NEI Lookups'!G:G)+SUMIF('NEI Lookups'!$S:$S,'Inputs Yr 2'!$F134,'NEI Lookups'!G:G)+SUMIF('NEI Lookups'!$T:$T,'Inputs Yr 2'!$F134,'NEI Lookups'!G:G)</f>
        <v>0</v>
      </c>
      <c r="AV134" s="299">
        <f>SUMIF('NEI Lookups'!$L:$L,'Inputs Yr 2'!$F134,'NEI Lookups'!H:H)+SUMIF('NEI Lookups'!$M:$M,'Inputs Yr 2'!$F134,'NEI Lookups'!H:H)+SUMIF('NEI Lookups'!$N:$N,'Inputs Yr 2'!$F134,'NEI Lookups'!H:H)+SUMIF('NEI Lookups'!$O:$O,'Inputs Yr 2'!$F134,'NEI Lookups'!H:H)+SUMIF('NEI Lookups'!$P:$P,'Inputs Yr 2'!$F134,'NEI Lookups'!H:H)+SUMIF('NEI Lookups'!$Q:$Q,'Inputs Yr 2'!$F134,'NEI Lookups'!H:H)+SUMIF('NEI Lookups'!$R:$R,'Inputs Yr 2'!$F134,'NEI Lookups'!H:H)+SUMIF('NEI Lookups'!$S:$S,'Inputs Yr 2'!$F134,'NEI Lookups'!H:H)+SUMIF('NEI Lookups'!$T:$T,'Inputs Yr 2'!$F134,'NEI Lookups'!H:H)</f>
        <v>0</v>
      </c>
      <c r="AW134" s="299">
        <f>SUMIF('NEI Lookups'!$L:$L,'Inputs Yr 2'!$F134,'NEI Lookups'!I:I)+SUMIF('NEI Lookups'!$M:$M,'Inputs Yr 2'!$F134,'NEI Lookups'!I:I)+SUMIF('NEI Lookups'!$N:$N,'Inputs Yr 2'!$F134,'NEI Lookups'!I:I)+SUMIF('NEI Lookups'!$O:$O,'Inputs Yr 2'!$F134,'NEI Lookups'!I:I)+SUMIF('NEI Lookups'!$P:$P,'Inputs Yr 2'!$F134,'NEI Lookups'!I:I)+SUMIF('NEI Lookups'!$Q:$Q,'Inputs Yr 2'!$F134,'NEI Lookups'!I:I)+SUMIF('NEI Lookups'!$R:$R,'Inputs Yr 2'!$F134,'NEI Lookups'!I:I)+SUMIF('NEI Lookups'!$S:$S,'Inputs Yr 2'!$F134,'NEI Lookups'!I:I)+SUMIF('NEI Lookups'!$T:$T,'Inputs Yr 2'!$F134,'NEI Lookups'!I:I)</f>
        <v>0.13400000000000001</v>
      </c>
      <c r="AX134" s="940">
        <f>SUMIF('NEI Lookups'!$L:$L,'Inputs Yr 2'!$F134,'NEI Lookups'!J:J)+SUMIF('NEI Lookups'!$M:$M,'Inputs Yr 2'!$F134,'NEI Lookups'!J:J)+SUMIF('NEI Lookups'!$N:$N,'Inputs Yr 2'!$F134,'NEI Lookups'!J:J)+SUMIF('NEI Lookups'!$O:$O,'Inputs Yr 2'!$F134,'NEI Lookups'!J:J)+SUMIF('NEI Lookups'!$P:$P,'Inputs Yr 2'!$F134,'NEI Lookups'!J:J)+SUMIF('NEI Lookups'!$Q:$Q,'Inputs Yr 2'!$F134,'NEI Lookups'!J:J)+SUMIF('NEI Lookups'!$R:$R,'Inputs Yr 2'!$F134,'NEI Lookups'!J:J)+SUMIF('NEI Lookups'!$S:$S,'Inputs Yr 2'!$F134,'NEI Lookups'!J:J)+SUMIF('NEI Lookups'!$T:$T,'Inputs Yr 2'!$F134,'NEI Lookups'!J:J)</f>
        <v>7.5999999999999998E-2</v>
      </c>
      <c r="AY134" s="930">
        <f>'Calculations Yr 2'!CP134/'Calculations Yr 2'!I134</f>
        <v>16.755972235110537</v>
      </c>
    </row>
    <row r="135" spans="1:51" s="133" customFormat="1" ht="12.75" customHeight="1">
      <c r="A135" s="145" t="s">
        <v>79</v>
      </c>
      <c r="B135" s="132" t="s">
        <v>872</v>
      </c>
      <c r="C135" s="914" t="s">
        <v>765</v>
      </c>
      <c r="D135" s="906" t="s">
        <v>1493</v>
      </c>
      <c r="E135" s="656" t="s">
        <v>1305</v>
      </c>
      <c r="F135" s="98" t="s">
        <v>1043</v>
      </c>
      <c r="G135" s="145" t="s">
        <v>89</v>
      </c>
      <c r="H135" s="232">
        <v>504</v>
      </c>
      <c r="I135" s="232">
        <v>7</v>
      </c>
      <c r="J135" s="964">
        <v>19.191964285714285</v>
      </c>
      <c r="K135" s="166">
        <f t="shared" si="24"/>
        <v>19.191964285714285</v>
      </c>
      <c r="L135" s="888">
        <f t="shared" si="25"/>
        <v>0</v>
      </c>
      <c r="M135" s="978">
        <v>0</v>
      </c>
      <c r="N135" s="978">
        <v>0</v>
      </c>
      <c r="O135" s="978">
        <v>0</v>
      </c>
      <c r="P135" s="889">
        <f t="shared" ref="P135" si="30">1-M135+N135+O135</f>
        <v>1</v>
      </c>
      <c r="Q135" s="978">
        <v>1</v>
      </c>
      <c r="R135" s="178">
        <v>1</v>
      </c>
      <c r="S135" s="178">
        <v>1</v>
      </c>
      <c r="T135" s="178">
        <v>1</v>
      </c>
      <c r="U135" s="980">
        <v>1</v>
      </c>
      <c r="V135" s="978">
        <v>1</v>
      </c>
      <c r="W135" s="179"/>
      <c r="X135" s="937" t="s">
        <v>653</v>
      </c>
      <c r="Y135" s="299">
        <f>IFERROR(VLOOKUP($X135,'Demand Lookups'!$A$5:$K$101,9,0), 0)</f>
        <v>0</v>
      </c>
      <c r="Z135" s="922" t="str">
        <f>IFERROR(VLOOKUP(X135,'Demand Lookups'!$A$5:$B$101,2,0),0)</f>
        <v>Non-Electric Measures</v>
      </c>
      <c r="AA135" s="722">
        <f>IF(ISNA(VLOOKUP($X135,'Demand Lookups'!$A$5:$K$81,3,0)),0,VLOOKUP($X135,'Demand Lookups'!$A$5:$K$81,3,0))</f>
        <v>0</v>
      </c>
      <c r="AB135" s="722">
        <f>IF(ISNA(VLOOKUP($X135,'Demand Lookups'!$A$5:$K$81,4,0)),0,VLOOKUP($X135,'Demand Lookups'!$A$5:$K$81,4,0))</f>
        <v>0</v>
      </c>
      <c r="AC135" s="722">
        <f>IF(ISNA(VLOOKUP($X135,'Demand Lookups'!$A$5:$K$81,5,0)),0,VLOOKUP($X135,'Demand Lookups'!$A$5:$K$81,5,0))</f>
        <v>0</v>
      </c>
      <c r="AD135" s="723">
        <f>IF(ISNA(VLOOKUP($X135,'Demand Lookups'!$A$5:$K$81,6,0)),0,VLOOKUP($X135,'Demand Lookups'!$A$5:$K$81,6,0))</f>
        <v>0</v>
      </c>
      <c r="AE135" s="724">
        <f t="shared" ref="AE135" si="31">IF(ISERROR(W135*Y135),"",W135*Y135)</f>
        <v>0</v>
      </c>
      <c r="AF135" s="723">
        <f>ROUND(IF(ISNA(VLOOKUP($X135,'Demand Lookups'!$A$5:$K$82,10,0)),0,(VLOOKUP($X135,'Demand Lookups'!$A$5:$K$82,10,0))),2)</f>
        <v>0</v>
      </c>
      <c r="AG135" s="723">
        <f>ROUND(IF(ISNA(VLOOKUP($X135,'Demand Lookups'!$A$5:$K$82,11,0)),0,VLOOKUP($X135,'Demand Lookups'!$A$5:$K$82,11,0)),2)</f>
        <v>0</v>
      </c>
      <c r="AH135" s="648">
        <f t="shared" ref="AH135" si="32">AF135</f>
        <v>0</v>
      </c>
      <c r="AI135" s="648">
        <f t="shared" ref="AI135" si="33">AF135</f>
        <v>0</v>
      </c>
      <c r="AJ135" s="167" t="s">
        <v>40</v>
      </c>
      <c r="AK135" s="866">
        <v>1.07</v>
      </c>
      <c r="AL135" s="167"/>
      <c r="AM135" s="168"/>
      <c r="AN135" s="167"/>
      <c r="AO135" s="168"/>
      <c r="AP135" s="171">
        <v>1759</v>
      </c>
      <c r="AQ135" s="171"/>
      <c r="AR135" s="171"/>
      <c r="AS135" s="299">
        <f>SUMIF('NEI Lookups'!$L:$L,'Inputs Yr 2'!$F135,'NEI Lookups'!E:E)+SUMIF('NEI Lookups'!$M:$M,'Inputs Yr 2'!$F135,'NEI Lookups'!E:E)+SUMIF('NEI Lookups'!$N:$N,'Inputs Yr 2'!$F135,'NEI Lookups'!E:E)+SUMIF('NEI Lookups'!$O:$O,'Inputs Yr 2'!$F135,'NEI Lookups'!E:E)+SUMIF('NEI Lookups'!$P:$P,'Inputs Yr 2'!$F135,'NEI Lookups'!E:E)+SUMIF('NEI Lookups'!$Q:$Q,'Inputs Yr 2'!$F135,'NEI Lookups'!E:E)+SUMIF('NEI Lookups'!$R:$R,'Inputs Yr 2'!$F135,'NEI Lookups'!E:E)+SUMIF('NEI Lookups'!$S:$S,'Inputs Yr 2'!$F135,'NEI Lookups'!E:E)+SUMIF('NEI Lookups'!$T:$T,'Inputs Yr 2'!$F135,'NEI Lookups'!E:E)</f>
        <v>0.58000000000000007</v>
      </c>
      <c r="AT135" s="299">
        <f>SUMIF('NEI Lookups'!$L:$L,'Inputs Yr 2'!$F135,'NEI Lookups'!F:F)+SUMIF('NEI Lookups'!$M:$M,'Inputs Yr 2'!$F135,'NEI Lookups'!F:F)+SUMIF('NEI Lookups'!$N:$N,'Inputs Yr 2'!$F135,'NEI Lookups'!F:F)+SUMIF('NEI Lookups'!$O:$O,'Inputs Yr 2'!$F135,'NEI Lookups'!F:F)+SUMIF('NEI Lookups'!$P:$P,'Inputs Yr 2'!$F135,'NEI Lookups'!F:F)+SUMIF('NEI Lookups'!$Q:$Q,'Inputs Yr 2'!$F135,'NEI Lookups'!F:F)+SUMIF('NEI Lookups'!$R:$R,'Inputs Yr 2'!$F135,'NEI Lookups'!F:F)+SUMIF('NEI Lookups'!$S:$S,'Inputs Yr 2'!$F135,'NEI Lookups'!F:F)+SUMIF('NEI Lookups'!$T:$T,'Inputs Yr 2'!$F135,'NEI Lookups'!F:F)</f>
        <v>0</v>
      </c>
      <c r="AU135" s="299">
        <f>SUMIF('NEI Lookups'!$L:$L,'Inputs Yr 2'!$F135,'NEI Lookups'!G:G)+SUMIF('NEI Lookups'!$M:$M,'Inputs Yr 2'!$F135,'NEI Lookups'!G:G)+SUMIF('NEI Lookups'!$N:$N,'Inputs Yr 2'!$F135,'NEI Lookups'!G:G)+SUMIF('NEI Lookups'!$O:$O,'Inputs Yr 2'!$F135,'NEI Lookups'!G:G)+SUMIF('NEI Lookups'!$P:$P,'Inputs Yr 2'!$F135,'NEI Lookups'!G:G)+SUMIF('NEI Lookups'!$Q:$Q,'Inputs Yr 2'!$F135,'NEI Lookups'!G:G)+SUMIF('NEI Lookups'!$R:$R,'Inputs Yr 2'!$F135,'NEI Lookups'!G:G)+SUMIF('NEI Lookups'!$S:$S,'Inputs Yr 2'!$F135,'NEI Lookups'!G:G)+SUMIF('NEI Lookups'!$T:$T,'Inputs Yr 2'!$F135,'NEI Lookups'!G:G)</f>
        <v>0</v>
      </c>
      <c r="AV135" s="299">
        <f>SUMIF('NEI Lookups'!$L:$L,'Inputs Yr 2'!$F135,'NEI Lookups'!H:H)+SUMIF('NEI Lookups'!$M:$M,'Inputs Yr 2'!$F135,'NEI Lookups'!H:H)+SUMIF('NEI Lookups'!$N:$N,'Inputs Yr 2'!$F135,'NEI Lookups'!H:H)+SUMIF('NEI Lookups'!$O:$O,'Inputs Yr 2'!$F135,'NEI Lookups'!H:H)+SUMIF('NEI Lookups'!$P:$P,'Inputs Yr 2'!$F135,'NEI Lookups'!H:H)+SUMIF('NEI Lookups'!$Q:$Q,'Inputs Yr 2'!$F135,'NEI Lookups'!H:H)+SUMIF('NEI Lookups'!$R:$R,'Inputs Yr 2'!$F135,'NEI Lookups'!H:H)+SUMIF('NEI Lookups'!$S:$S,'Inputs Yr 2'!$F135,'NEI Lookups'!H:H)+SUMIF('NEI Lookups'!$T:$T,'Inputs Yr 2'!$F135,'NEI Lookups'!H:H)</f>
        <v>0</v>
      </c>
      <c r="AW135" s="299">
        <f>SUMIF('NEI Lookups'!$L:$L,'Inputs Yr 2'!$F135,'NEI Lookups'!I:I)+SUMIF('NEI Lookups'!$M:$M,'Inputs Yr 2'!$F135,'NEI Lookups'!I:I)+SUMIF('NEI Lookups'!$N:$N,'Inputs Yr 2'!$F135,'NEI Lookups'!I:I)+SUMIF('NEI Lookups'!$O:$O,'Inputs Yr 2'!$F135,'NEI Lookups'!I:I)+SUMIF('NEI Lookups'!$P:$P,'Inputs Yr 2'!$F135,'NEI Lookups'!I:I)+SUMIF('NEI Lookups'!$Q:$Q,'Inputs Yr 2'!$F135,'NEI Lookups'!I:I)+SUMIF('NEI Lookups'!$R:$R,'Inputs Yr 2'!$F135,'NEI Lookups'!I:I)+SUMIF('NEI Lookups'!$S:$S,'Inputs Yr 2'!$F135,'NEI Lookups'!I:I)+SUMIF('NEI Lookups'!$T:$T,'Inputs Yr 2'!$F135,'NEI Lookups'!I:I)</f>
        <v>0.13400000000000001</v>
      </c>
      <c r="AX135" s="940">
        <f>SUMIF('NEI Lookups'!$L:$L,'Inputs Yr 2'!$F135,'NEI Lookups'!J:J)+SUMIF('NEI Lookups'!$M:$M,'Inputs Yr 2'!$F135,'NEI Lookups'!J:J)+SUMIF('NEI Lookups'!$N:$N,'Inputs Yr 2'!$F135,'NEI Lookups'!J:J)+SUMIF('NEI Lookups'!$O:$O,'Inputs Yr 2'!$F135,'NEI Lookups'!J:J)+SUMIF('NEI Lookups'!$P:$P,'Inputs Yr 2'!$F135,'NEI Lookups'!J:J)+SUMIF('NEI Lookups'!$Q:$Q,'Inputs Yr 2'!$F135,'NEI Lookups'!J:J)+SUMIF('NEI Lookups'!$R:$R,'Inputs Yr 2'!$F135,'NEI Lookups'!J:J)+SUMIF('NEI Lookups'!$S:$S,'Inputs Yr 2'!$F135,'NEI Lookups'!J:J)+SUMIF('NEI Lookups'!$T:$T,'Inputs Yr 2'!$F135,'NEI Lookups'!J:J)</f>
        <v>7.5999999999999998E-2</v>
      </c>
      <c r="AY135" s="930">
        <f>'Calculations Yr 2'!CP135/'Calculations Yr 2'!I135</f>
        <v>11.086218649209934</v>
      </c>
    </row>
    <row r="136" spans="1:51" s="133" customFormat="1" ht="12.75" customHeight="1">
      <c r="A136" s="145" t="s">
        <v>79</v>
      </c>
      <c r="B136" s="132" t="s">
        <v>872</v>
      </c>
      <c r="C136" s="914" t="s">
        <v>765</v>
      </c>
      <c r="D136" s="906" t="s">
        <v>1503</v>
      </c>
      <c r="E136" s="98" t="s">
        <v>1309</v>
      </c>
      <c r="F136" s="98" t="s">
        <v>1044</v>
      </c>
      <c r="G136" s="145" t="s">
        <v>1247</v>
      </c>
      <c r="H136" s="232">
        <v>26</v>
      </c>
      <c r="I136" s="232">
        <v>15</v>
      </c>
      <c r="J136" s="964">
        <v>114.65</v>
      </c>
      <c r="K136" s="166">
        <f t="shared" si="24"/>
        <v>114.65</v>
      </c>
      <c r="L136" s="888">
        <f t="shared" si="25"/>
        <v>0</v>
      </c>
      <c r="M136" s="978">
        <v>0</v>
      </c>
      <c r="N136" s="978">
        <v>0</v>
      </c>
      <c r="O136" s="978">
        <v>0</v>
      </c>
      <c r="P136" s="889">
        <f t="shared" si="26"/>
        <v>1</v>
      </c>
      <c r="Q136" s="978">
        <v>1</v>
      </c>
      <c r="R136" s="178">
        <v>1</v>
      </c>
      <c r="S136" s="178">
        <v>1</v>
      </c>
      <c r="T136" s="178">
        <v>1</v>
      </c>
      <c r="U136" s="980">
        <v>0.75</v>
      </c>
      <c r="V136" s="978">
        <v>1</v>
      </c>
      <c r="W136" s="179"/>
      <c r="X136" s="937" t="s">
        <v>653</v>
      </c>
      <c r="Y136" s="299">
        <f>IFERROR(VLOOKUP($X136,'Demand Lookups'!$A$5:$K$101,9,0), 0)</f>
        <v>0</v>
      </c>
      <c r="Z136" s="922" t="str">
        <f>IFERROR(VLOOKUP(X136,'Demand Lookups'!$A$5:$B$101,2,0),0)</f>
        <v>Non-Electric Measures</v>
      </c>
      <c r="AA136" s="722">
        <f>IF(ISNA(VLOOKUP($X136,'Demand Lookups'!$A$5:$K$81,3,0)),0,VLOOKUP($X136,'Demand Lookups'!$A$5:$K$81,3,0))</f>
        <v>0</v>
      </c>
      <c r="AB136" s="722">
        <f>IF(ISNA(VLOOKUP($X136,'Demand Lookups'!$A$5:$K$81,4,0)),0,VLOOKUP($X136,'Demand Lookups'!$A$5:$K$81,4,0))</f>
        <v>0</v>
      </c>
      <c r="AC136" s="722">
        <f>IF(ISNA(VLOOKUP($X136,'Demand Lookups'!$A$5:$K$81,5,0)),0,VLOOKUP($X136,'Demand Lookups'!$A$5:$K$81,5,0))</f>
        <v>0</v>
      </c>
      <c r="AD136" s="723">
        <f>IF(ISNA(VLOOKUP($X136,'Demand Lookups'!$A$5:$K$81,6,0)),0,VLOOKUP($X136,'Demand Lookups'!$A$5:$K$81,6,0))</f>
        <v>0</v>
      </c>
      <c r="AE136" s="724">
        <f t="shared" si="27"/>
        <v>0</v>
      </c>
      <c r="AF136" s="723">
        <f>ROUND(IF(ISNA(VLOOKUP($X136,'Demand Lookups'!$A$5:$K$82,10,0)),0,(VLOOKUP($X136,'Demand Lookups'!$A$5:$K$82,10,0))),2)</f>
        <v>0</v>
      </c>
      <c r="AG136" s="723">
        <f>ROUND(IF(ISNA(VLOOKUP($X136,'Demand Lookups'!$A$5:$K$82,11,0)),0,VLOOKUP($X136,'Demand Lookups'!$A$5:$K$82,11,0)),2)</f>
        <v>0</v>
      </c>
      <c r="AH136" s="648">
        <f t="shared" si="28"/>
        <v>0</v>
      </c>
      <c r="AI136" s="648">
        <f t="shared" si="29"/>
        <v>0</v>
      </c>
      <c r="AJ136" s="167" t="s">
        <v>404</v>
      </c>
      <c r="AK136" s="866">
        <v>2.2999999999999998</v>
      </c>
      <c r="AL136" s="167"/>
      <c r="AM136" s="168"/>
      <c r="AN136" s="167"/>
      <c r="AO136" s="168"/>
      <c r="AP136" s="171">
        <v>0</v>
      </c>
      <c r="AQ136" s="171"/>
      <c r="AR136" s="171"/>
      <c r="AS136" s="299">
        <f>SUMIF('NEI Lookups'!$L:$L,'Inputs Yr 2'!$F136,'NEI Lookups'!E:E)+SUMIF('NEI Lookups'!$M:$M,'Inputs Yr 2'!$F136,'NEI Lookups'!E:E)+SUMIF('NEI Lookups'!$N:$N,'Inputs Yr 2'!$F136,'NEI Lookups'!E:E)+SUMIF('NEI Lookups'!$O:$O,'Inputs Yr 2'!$F136,'NEI Lookups'!E:E)+SUMIF('NEI Lookups'!$P:$P,'Inputs Yr 2'!$F136,'NEI Lookups'!E:E)+SUMIF('NEI Lookups'!$Q:$Q,'Inputs Yr 2'!$F136,'NEI Lookups'!E:E)+SUMIF('NEI Lookups'!$R:$R,'Inputs Yr 2'!$F136,'NEI Lookups'!E:E)+SUMIF('NEI Lookups'!$S:$S,'Inputs Yr 2'!$F136,'NEI Lookups'!E:E)+SUMIF('NEI Lookups'!$T:$T,'Inputs Yr 2'!$F136,'NEI Lookups'!E:E)</f>
        <v>16.02</v>
      </c>
      <c r="AT136" s="299">
        <f>SUMIF('NEI Lookups'!$L:$L,'Inputs Yr 2'!$F136,'NEI Lookups'!F:F)+SUMIF('NEI Lookups'!$M:$M,'Inputs Yr 2'!$F136,'NEI Lookups'!F:F)+SUMIF('NEI Lookups'!$N:$N,'Inputs Yr 2'!$F136,'NEI Lookups'!F:F)+SUMIF('NEI Lookups'!$O:$O,'Inputs Yr 2'!$F136,'NEI Lookups'!F:F)+SUMIF('NEI Lookups'!$P:$P,'Inputs Yr 2'!$F136,'NEI Lookups'!F:F)+SUMIF('NEI Lookups'!$Q:$Q,'Inputs Yr 2'!$F136,'NEI Lookups'!F:F)+SUMIF('NEI Lookups'!$R:$R,'Inputs Yr 2'!$F136,'NEI Lookups'!F:F)+SUMIF('NEI Lookups'!$S:$S,'Inputs Yr 2'!$F136,'NEI Lookups'!F:F)+SUMIF('NEI Lookups'!$T:$T,'Inputs Yr 2'!$F136,'NEI Lookups'!F:F)</f>
        <v>0</v>
      </c>
      <c r="AU136" s="299">
        <f>SUMIF('NEI Lookups'!$L:$L,'Inputs Yr 2'!$F136,'NEI Lookups'!G:G)+SUMIF('NEI Lookups'!$M:$M,'Inputs Yr 2'!$F136,'NEI Lookups'!G:G)+SUMIF('NEI Lookups'!$N:$N,'Inputs Yr 2'!$F136,'NEI Lookups'!G:G)+SUMIF('NEI Lookups'!$O:$O,'Inputs Yr 2'!$F136,'NEI Lookups'!G:G)+SUMIF('NEI Lookups'!$P:$P,'Inputs Yr 2'!$F136,'NEI Lookups'!G:G)+SUMIF('NEI Lookups'!$Q:$Q,'Inputs Yr 2'!$F136,'NEI Lookups'!G:G)+SUMIF('NEI Lookups'!$R:$R,'Inputs Yr 2'!$F136,'NEI Lookups'!G:G)+SUMIF('NEI Lookups'!$S:$S,'Inputs Yr 2'!$F136,'NEI Lookups'!G:G)+SUMIF('NEI Lookups'!$T:$T,'Inputs Yr 2'!$F136,'NEI Lookups'!G:G)</f>
        <v>0</v>
      </c>
      <c r="AV136" s="299">
        <f>SUMIF('NEI Lookups'!$L:$L,'Inputs Yr 2'!$F136,'NEI Lookups'!H:H)+SUMIF('NEI Lookups'!$M:$M,'Inputs Yr 2'!$F136,'NEI Lookups'!H:H)+SUMIF('NEI Lookups'!$N:$N,'Inputs Yr 2'!$F136,'NEI Lookups'!H:H)+SUMIF('NEI Lookups'!$O:$O,'Inputs Yr 2'!$F136,'NEI Lookups'!H:H)+SUMIF('NEI Lookups'!$P:$P,'Inputs Yr 2'!$F136,'NEI Lookups'!H:H)+SUMIF('NEI Lookups'!$Q:$Q,'Inputs Yr 2'!$F136,'NEI Lookups'!H:H)+SUMIF('NEI Lookups'!$R:$R,'Inputs Yr 2'!$F136,'NEI Lookups'!H:H)+SUMIF('NEI Lookups'!$S:$S,'Inputs Yr 2'!$F136,'NEI Lookups'!H:H)+SUMIF('NEI Lookups'!$T:$T,'Inputs Yr 2'!$F136,'NEI Lookups'!H:H)</f>
        <v>0</v>
      </c>
      <c r="AW136" s="299">
        <f>SUMIF('NEI Lookups'!$L:$L,'Inputs Yr 2'!$F136,'NEI Lookups'!I:I)+SUMIF('NEI Lookups'!$M:$M,'Inputs Yr 2'!$F136,'NEI Lookups'!I:I)+SUMIF('NEI Lookups'!$N:$N,'Inputs Yr 2'!$F136,'NEI Lookups'!I:I)+SUMIF('NEI Lookups'!$O:$O,'Inputs Yr 2'!$F136,'NEI Lookups'!I:I)+SUMIF('NEI Lookups'!$P:$P,'Inputs Yr 2'!$F136,'NEI Lookups'!I:I)+SUMIF('NEI Lookups'!$Q:$Q,'Inputs Yr 2'!$F136,'NEI Lookups'!I:I)+SUMIF('NEI Lookups'!$R:$R,'Inputs Yr 2'!$F136,'NEI Lookups'!I:I)+SUMIF('NEI Lookups'!$S:$S,'Inputs Yr 2'!$F136,'NEI Lookups'!I:I)+SUMIF('NEI Lookups'!$T:$T,'Inputs Yr 2'!$F136,'NEI Lookups'!I:I)</f>
        <v>0.13400000000000001</v>
      </c>
      <c r="AX136" s="940">
        <f>SUMIF('NEI Lookups'!$L:$L,'Inputs Yr 2'!$F136,'NEI Lookups'!J:J)+SUMIF('NEI Lookups'!$M:$M,'Inputs Yr 2'!$F136,'NEI Lookups'!J:J)+SUMIF('NEI Lookups'!$N:$N,'Inputs Yr 2'!$F136,'NEI Lookups'!J:J)+SUMIF('NEI Lookups'!$O:$O,'Inputs Yr 2'!$F136,'NEI Lookups'!J:J)+SUMIF('NEI Lookups'!$P:$P,'Inputs Yr 2'!$F136,'NEI Lookups'!J:J)+SUMIF('NEI Lookups'!$Q:$Q,'Inputs Yr 2'!$F136,'NEI Lookups'!J:J)+SUMIF('NEI Lookups'!$R:$R,'Inputs Yr 2'!$F136,'NEI Lookups'!J:J)+SUMIF('NEI Lookups'!$S:$S,'Inputs Yr 2'!$F136,'NEI Lookups'!J:J)+SUMIF('NEI Lookups'!$T:$T,'Inputs Yr 2'!$F136,'NEI Lookups'!J:J)</f>
        <v>7.5999999999999998E-2</v>
      </c>
      <c r="AY136" s="930">
        <f>'Calculations Yr 2'!CP136/'Calculations Yr 2'!I136</f>
        <v>4.3827878220627756</v>
      </c>
    </row>
    <row r="137" spans="1:51" s="133" customFormat="1" ht="12.75" customHeight="1">
      <c r="A137" s="145" t="s">
        <v>79</v>
      </c>
      <c r="B137" s="132" t="s">
        <v>872</v>
      </c>
      <c r="C137" s="914" t="s">
        <v>765</v>
      </c>
      <c r="D137" s="99"/>
      <c r="E137" s="150" t="s">
        <v>759</v>
      </c>
      <c r="F137" s="98" t="s">
        <v>1045</v>
      </c>
      <c r="G137" s="145" t="s">
        <v>1247</v>
      </c>
      <c r="H137" s="232">
        <v>0</v>
      </c>
      <c r="I137" s="232">
        <v>0</v>
      </c>
      <c r="J137" s="964"/>
      <c r="K137" s="166">
        <f t="shared" si="24"/>
        <v>0</v>
      </c>
      <c r="L137" s="888">
        <f t="shared" si="25"/>
        <v>0</v>
      </c>
      <c r="M137" s="978">
        <v>0</v>
      </c>
      <c r="N137" s="978">
        <v>0</v>
      </c>
      <c r="O137" s="978">
        <v>0</v>
      </c>
      <c r="P137" s="889">
        <v>1</v>
      </c>
      <c r="Q137" s="978">
        <v>0</v>
      </c>
      <c r="R137" s="178">
        <v>1</v>
      </c>
      <c r="S137" s="178">
        <v>1</v>
      </c>
      <c r="T137" s="178">
        <v>1</v>
      </c>
      <c r="U137" s="980">
        <v>0</v>
      </c>
      <c r="V137" s="978">
        <v>0</v>
      </c>
      <c r="W137" s="179"/>
      <c r="X137" s="937" t="s">
        <v>653</v>
      </c>
      <c r="Y137" s="299">
        <f>IFERROR(VLOOKUP($X137,'Demand Lookups'!$A$5:$K$101,9,0), 0)</f>
        <v>0</v>
      </c>
      <c r="Z137" s="922" t="str">
        <f>IFERROR(VLOOKUP(X137,'Demand Lookups'!$A$5:$B$101,2,0),0)</f>
        <v>Non-Electric Measures</v>
      </c>
      <c r="AA137" s="722">
        <v>0</v>
      </c>
      <c r="AB137" s="722">
        <v>0</v>
      </c>
      <c r="AC137" s="722">
        <v>0</v>
      </c>
      <c r="AD137" s="723">
        <v>0</v>
      </c>
      <c r="AE137" s="724">
        <f t="shared" si="27"/>
        <v>0</v>
      </c>
      <c r="AF137" s="723">
        <v>0</v>
      </c>
      <c r="AG137" s="723">
        <v>0</v>
      </c>
      <c r="AH137" s="648">
        <v>0</v>
      </c>
      <c r="AI137" s="648">
        <v>0</v>
      </c>
      <c r="AJ137" s="167" t="s">
        <v>404</v>
      </c>
      <c r="AK137" s="866">
        <v>0</v>
      </c>
      <c r="AL137" s="167"/>
      <c r="AM137" s="168"/>
      <c r="AN137" s="167"/>
      <c r="AO137" s="168"/>
      <c r="AP137" s="171"/>
      <c r="AQ137" s="171"/>
      <c r="AR137" s="171"/>
      <c r="AS137" s="299">
        <f>SUMIF('NEI Lookups'!$L:$L,'Inputs Yr 2'!$F137,'NEI Lookups'!E:E)+SUMIF('NEI Lookups'!$M:$M,'Inputs Yr 2'!$F137,'NEI Lookups'!E:E)+SUMIF('NEI Lookups'!$N:$N,'Inputs Yr 2'!$F137,'NEI Lookups'!E:E)+SUMIF('NEI Lookups'!$O:$O,'Inputs Yr 2'!$F137,'NEI Lookups'!E:E)+SUMIF('NEI Lookups'!$P:$P,'Inputs Yr 2'!$F137,'NEI Lookups'!E:E)+SUMIF('NEI Lookups'!$Q:$Q,'Inputs Yr 2'!$F137,'NEI Lookups'!E:E)+SUMIF('NEI Lookups'!$R:$R,'Inputs Yr 2'!$F137,'NEI Lookups'!E:E)+SUMIF('NEI Lookups'!$S:$S,'Inputs Yr 2'!$F137,'NEI Lookups'!E:E)+SUMIF('NEI Lookups'!$T:$T,'Inputs Yr 2'!$F137,'NEI Lookups'!E:E)</f>
        <v>16.02</v>
      </c>
      <c r="AT137" s="299">
        <f>SUMIF('NEI Lookups'!$L:$L,'Inputs Yr 2'!$F137,'NEI Lookups'!F:F)+SUMIF('NEI Lookups'!$M:$M,'Inputs Yr 2'!$F137,'NEI Lookups'!F:F)+SUMIF('NEI Lookups'!$N:$N,'Inputs Yr 2'!$F137,'NEI Lookups'!F:F)+SUMIF('NEI Lookups'!$O:$O,'Inputs Yr 2'!$F137,'NEI Lookups'!F:F)+SUMIF('NEI Lookups'!$P:$P,'Inputs Yr 2'!$F137,'NEI Lookups'!F:F)+SUMIF('NEI Lookups'!$Q:$Q,'Inputs Yr 2'!$F137,'NEI Lookups'!F:F)+SUMIF('NEI Lookups'!$R:$R,'Inputs Yr 2'!$F137,'NEI Lookups'!F:F)+SUMIF('NEI Lookups'!$S:$S,'Inputs Yr 2'!$F137,'NEI Lookups'!F:F)+SUMIF('NEI Lookups'!$T:$T,'Inputs Yr 2'!$F137,'NEI Lookups'!F:F)</f>
        <v>0</v>
      </c>
      <c r="AU137" s="299">
        <f>SUMIF('NEI Lookups'!$L:$L,'Inputs Yr 2'!$F137,'NEI Lookups'!G:G)+SUMIF('NEI Lookups'!$M:$M,'Inputs Yr 2'!$F137,'NEI Lookups'!G:G)+SUMIF('NEI Lookups'!$N:$N,'Inputs Yr 2'!$F137,'NEI Lookups'!G:G)+SUMIF('NEI Lookups'!$O:$O,'Inputs Yr 2'!$F137,'NEI Lookups'!G:G)+SUMIF('NEI Lookups'!$P:$P,'Inputs Yr 2'!$F137,'NEI Lookups'!G:G)+SUMIF('NEI Lookups'!$Q:$Q,'Inputs Yr 2'!$F137,'NEI Lookups'!G:G)+SUMIF('NEI Lookups'!$R:$R,'Inputs Yr 2'!$F137,'NEI Lookups'!G:G)+SUMIF('NEI Lookups'!$S:$S,'Inputs Yr 2'!$F137,'NEI Lookups'!G:G)+SUMIF('NEI Lookups'!$T:$T,'Inputs Yr 2'!$F137,'NEI Lookups'!G:G)</f>
        <v>0</v>
      </c>
      <c r="AV137" s="299">
        <f>SUMIF('NEI Lookups'!$L:$L,'Inputs Yr 2'!$F137,'NEI Lookups'!H:H)+SUMIF('NEI Lookups'!$M:$M,'Inputs Yr 2'!$F137,'NEI Lookups'!H:H)+SUMIF('NEI Lookups'!$N:$N,'Inputs Yr 2'!$F137,'NEI Lookups'!H:H)+SUMIF('NEI Lookups'!$O:$O,'Inputs Yr 2'!$F137,'NEI Lookups'!H:H)+SUMIF('NEI Lookups'!$P:$P,'Inputs Yr 2'!$F137,'NEI Lookups'!H:H)+SUMIF('NEI Lookups'!$Q:$Q,'Inputs Yr 2'!$F137,'NEI Lookups'!H:H)+SUMIF('NEI Lookups'!$R:$R,'Inputs Yr 2'!$F137,'NEI Lookups'!H:H)+SUMIF('NEI Lookups'!$S:$S,'Inputs Yr 2'!$F137,'NEI Lookups'!H:H)+SUMIF('NEI Lookups'!$T:$T,'Inputs Yr 2'!$F137,'NEI Lookups'!H:H)</f>
        <v>0</v>
      </c>
      <c r="AW137" s="299">
        <f>SUMIF('NEI Lookups'!$L:$L,'Inputs Yr 2'!$F137,'NEI Lookups'!I:I)+SUMIF('NEI Lookups'!$M:$M,'Inputs Yr 2'!$F137,'NEI Lookups'!I:I)+SUMIF('NEI Lookups'!$N:$N,'Inputs Yr 2'!$F137,'NEI Lookups'!I:I)+SUMIF('NEI Lookups'!$O:$O,'Inputs Yr 2'!$F137,'NEI Lookups'!I:I)+SUMIF('NEI Lookups'!$P:$P,'Inputs Yr 2'!$F137,'NEI Lookups'!I:I)+SUMIF('NEI Lookups'!$Q:$Q,'Inputs Yr 2'!$F137,'NEI Lookups'!I:I)+SUMIF('NEI Lookups'!$R:$R,'Inputs Yr 2'!$F137,'NEI Lookups'!I:I)+SUMIF('NEI Lookups'!$S:$S,'Inputs Yr 2'!$F137,'NEI Lookups'!I:I)+SUMIF('NEI Lookups'!$T:$T,'Inputs Yr 2'!$F137,'NEI Lookups'!I:I)</f>
        <v>0.13400000000000001</v>
      </c>
      <c r="AX137" s="940">
        <f>SUMIF('NEI Lookups'!$L:$L,'Inputs Yr 2'!$F137,'NEI Lookups'!J:J)+SUMIF('NEI Lookups'!$M:$M,'Inputs Yr 2'!$F137,'NEI Lookups'!J:J)+SUMIF('NEI Lookups'!$N:$N,'Inputs Yr 2'!$F137,'NEI Lookups'!J:J)+SUMIF('NEI Lookups'!$O:$O,'Inputs Yr 2'!$F137,'NEI Lookups'!J:J)+SUMIF('NEI Lookups'!$P:$P,'Inputs Yr 2'!$F137,'NEI Lookups'!J:J)+SUMIF('NEI Lookups'!$Q:$Q,'Inputs Yr 2'!$F137,'NEI Lookups'!J:J)+SUMIF('NEI Lookups'!$R:$R,'Inputs Yr 2'!$F137,'NEI Lookups'!J:J)+SUMIF('NEI Lookups'!$S:$S,'Inputs Yr 2'!$F137,'NEI Lookups'!J:J)+SUMIF('NEI Lookups'!$T:$T,'Inputs Yr 2'!$F137,'NEI Lookups'!J:J)</f>
        <v>7.5999999999999998E-2</v>
      </c>
      <c r="AY137" s="930" t="e">
        <f>'Calculations Yr 2'!CP137/'Calculations Yr 2'!I137</f>
        <v>#VALUE!</v>
      </c>
    </row>
    <row r="138" spans="1:51" s="133" customFormat="1" ht="12.75" customHeight="1">
      <c r="A138" s="145" t="s">
        <v>79</v>
      </c>
      <c r="B138" s="132" t="s">
        <v>872</v>
      </c>
      <c r="C138" s="914" t="s">
        <v>765</v>
      </c>
      <c r="D138" s="99"/>
      <c r="E138" s="150" t="s">
        <v>760</v>
      </c>
      <c r="F138" s="98" t="s">
        <v>1046</v>
      </c>
      <c r="G138" s="145" t="s">
        <v>1247</v>
      </c>
      <c r="H138" s="232">
        <v>0</v>
      </c>
      <c r="I138" s="232">
        <v>0</v>
      </c>
      <c r="J138" s="964"/>
      <c r="K138" s="166">
        <f t="shared" si="24"/>
        <v>0</v>
      </c>
      <c r="L138" s="888">
        <f t="shared" si="25"/>
        <v>0</v>
      </c>
      <c r="M138" s="978">
        <v>0</v>
      </c>
      <c r="N138" s="978">
        <v>0</v>
      </c>
      <c r="O138" s="978">
        <v>0</v>
      </c>
      <c r="P138" s="889">
        <v>1</v>
      </c>
      <c r="Q138" s="978">
        <v>0</v>
      </c>
      <c r="R138" s="178">
        <v>1</v>
      </c>
      <c r="S138" s="178">
        <v>1</v>
      </c>
      <c r="T138" s="178">
        <v>1</v>
      </c>
      <c r="U138" s="980">
        <v>0</v>
      </c>
      <c r="V138" s="978">
        <v>0</v>
      </c>
      <c r="W138" s="179"/>
      <c r="X138" s="99" t="s">
        <v>61</v>
      </c>
      <c r="Y138" s="299">
        <f>IFERROR(VLOOKUP($X138,'Demand Lookups'!$A$5:$K$101,9,0), 0)</f>
        <v>2.0660739342383619E-3</v>
      </c>
      <c r="Z138" s="922" t="str">
        <f>IFERROR(VLOOKUP(X138,'Demand Lookups'!$A$5:$B$101,2,0),0)</f>
        <v>Res Multi Family Electric Cooling (BUILDING_AC) Normal</v>
      </c>
      <c r="AA138" s="722">
        <v>8.9473960760131505E-3</v>
      </c>
      <c r="AB138" s="722">
        <v>4.2581477373051027E-2</v>
      </c>
      <c r="AC138" s="722">
        <v>0.52714991710093428</v>
      </c>
      <c r="AD138" s="723">
        <v>0.42132120944999413</v>
      </c>
      <c r="AE138" s="724">
        <v>0.15454233028102946</v>
      </c>
      <c r="AF138" s="723">
        <v>1</v>
      </c>
      <c r="AG138" s="723">
        <v>0</v>
      </c>
      <c r="AH138" s="648">
        <v>1</v>
      </c>
      <c r="AI138" s="648">
        <v>1</v>
      </c>
      <c r="AJ138" s="167" t="s">
        <v>404</v>
      </c>
      <c r="AK138" s="866">
        <v>0</v>
      </c>
      <c r="AL138" s="167"/>
      <c r="AM138" s="168"/>
      <c r="AN138" s="167"/>
      <c r="AO138" s="168"/>
      <c r="AP138" s="171"/>
      <c r="AQ138" s="171"/>
      <c r="AR138" s="171"/>
      <c r="AS138" s="299">
        <f>SUMIF('NEI Lookups'!$L:$L,'Inputs Yr 2'!$F138,'NEI Lookups'!E:E)+SUMIF('NEI Lookups'!$M:$M,'Inputs Yr 2'!$F138,'NEI Lookups'!E:E)+SUMIF('NEI Lookups'!$N:$N,'Inputs Yr 2'!$F138,'NEI Lookups'!E:E)+SUMIF('NEI Lookups'!$O:$O,'Inputs Yr 2'!$F138,'NEI Lookups'!E:E)+SUMIF('NEI Lookups'!$P:$P,'Inputs Yr 2'!$F138,'NEI Lookups'!E:E)+SUMIF('NEI Lookups'!$Q:$Q,'Inputs Yr 2'!$F138,'NEI Lookups'!E:E)+SUMIF('NEI Lookups'!$R:$R,'Inputs Yr 2'!$F138,'NEI Lookups'!E:E)+SUMIF('NEI Lookups'!$S:$S,'Inputs Yr 2'!$F138,'NEI Lookups'!E:E)+SUMIF('NEI Lookups'!$T:$T,'Inputs Yr 2'!$F138,'NEI Lookups'!E:E)</f>
        <v>16.02</v>
      </c>
      <c r="AT138" s="299">
        <f>SUMIF('NEI Lookups'!$L:$L,'Inputs Yr 2'!$F138,'NEI Lookups'!F:F)+SUMIF('NEI Lookups'!$M:$M,'Inputs Yr 2'!$F138,'NEI Lookups'!F:F)+SUMIF('NEI Lookups'!$N:$N,'Inputs Yr 2'!$F138,'NEI Lookups'!F:F)+SUMIF('NEI Lookups'!$O:$O,'Inputs Yr 2'!$F138,'NEI Lookups'!F:F)+SUMIF('NEI Lookups'!$P:$P,'Inputs Yr 2'!$F138,'NEI Lookups'!F:F)+SUMIF('NEI Lookups'!$Q:$Q,'Inputs Yr 2'!$F138,'NEI Lookups'!F:F)+SUMIF('NEI Lookups'!$R:$R,'Inputs Yr 2'!$F138,'NEI Lookups'!F:F)+SUMIF('NEI Lookups'!$S:$S,'Inputs Yr 2'!$F138,'NEI Lookups'!F:F)+SUMIF('NEI Lookups'!$T:$T,'Inputs Yr 2'!$F138,'NEI Lookups'!F:F)</f>
        <v>0</v>
      </c>
      <c r="AU138" s="299">
        <f>SUMIF('NEI Lookups'!$L:$L,'Inputs Yr 2'!$F138,'NEI Lookups'!G:G)+SUMIF('NEI Lookups'!$M:$M,'Inputs Yr 2'!$F138,'NEI Lookups'!G:G)+SUMIF('NEI Lookups'!$N:$N,'Inputs Yr 2'!$F138,'NEI Lookups'!G:G)+SUMIF('NEI Lookups'!$O:$O,'Inputs Yr 2'!$F138,'NEI Lookups'!G:G)+SUMIF('NEI Lookups'!$P:$P,'Inputs Yr 2'!$F138,'NEI Lookups'!G:G)+SUMIF('NEI Lookups'!$Q:$Q,'Inputs Yr 2'!$F138,'NEI Lookups'!G:G)+SUMIF('NEI Lookups'!$R:$R,'Inputs Yr 2'!$F138,'NEI Lookups'!G:G)+SUMIF('NEI Lookups'!$S:$S,'Inputs Yr 2'!$F138,'NEI Lookups'!G:G)+SUMIF('NEI Lookups'!$T:$T,'Inputs Yr 2'!$F138,'NEI Lookups'!G:G)</f>
        <v>0</v>
      </c>
      <c r="AV138" s="299">
        <f>SUMIF('NEI Lookups'!$L:$L,'Inputs Yr 2'!$F138,'NEI Lookups'!H:H)+SUMIF('NEI Lookups'!$M:$M,'Inputs Yr 2'!$F138,'NEI Lookups'!H:H)+SUMIF('NEI Lookups'!$N:$N,'Inputs Yr 2'!$F138,'NEI Lookups'!H:H)+SUMIF('NEI Lookups'!$O:$O,'Inputs Yr 2'!$F138,'NEI Lookups'!H:H)+SUMIF('NEI Lookups'!$P:$P,'Inputs Yr 2'!$F138,'NEI Lookups'!H:H)+SUMIF('NEI Lookups'!$Q:$Q,'Inputs Yr 2'!$F138,'NEI Lookups'!H:H)+SUMIF('NEI Lookups'!$R:$R,'Inputs Yr 2'!$F138,'NEI Lookups'!H:H)+SUMIF('NEI Lookups'!$S:$S,'Inputs Yr 2'!$F138,'NEI Lookups'!H:H)+SUMIF('NEI Lookups'!$T:$T,'Inputs Yr 2'!$F138,'NEI Lookups'!H:H)</f>
        <v>0</v>
      </c>
      <c r="AW138" s="299">
        <f>SUMIF('NEI Lookups'!$L:$L,'Inputs Yr 2'!$F138,'NEI Lookups'!I:I)+SUMIF('NEI Lookups'!$M:$M,'Inputs Yr 2'!$F138,'NEI Lookups'!I:I)+SUMIF('NEI Lookups'!$N:$N,'Inputs Yr 2'!$F138,'NEI Lookups'!I:I)+SUMIF('NEI Lookups'!$O:$O,'Inputs Yr 2'!$F138,'NEI Lookups'!I:I)+SUMIF('NEI Lookups'!$P:$P,'Inputs Yr 2'!$F138,'NEI Lookups'!I:I)+SUMIF('NEI Lookups'!$Q:$Q,'Inputs Yr 2'!$F138,'NEI Lookups'!I:I)+SUMIF('NEI Lookups'!$R:$R,'Inputs Yr 2'!$F138,'NEI Lookups'!I:I)+SUMIF('NEI Lookups'!$S:$S,'Inputs Yr 2'!$F138,'NEI Lookups'!I:I)+SUMIF('NEI Lookups'!$T:$T,'Inputs Yr 2'!$F138,'NEI Lookups'!I:I)</f>
        <v>0.13400000000000001</v>
      </c>
      <c r="AX138" s="940">
        <f>SUMIF('NEI Lookups'!$L:$L,'Inputs Yr 2'!$F138,'NEI Lookups'!J:J)+SUMIF('NEI Lookups'!$M:$M,'Inputs Yr 2'!$F138,'NEI Lookups'!J:J)+SUMIF('NEI Lookups'!$N:$N,'Inputs Yr 2'!$F138,'NEI Lookups'!J:J)+SUMIF('NEI Lookups'!$O:$O,'Inputs Yr 2'!$F138,'NEI Lookups'!J:J)+SUMIF('NEI Lookups'!$P:$P,'Inputs Yr 2'!$F138,'NEI Lookups'!J:J)+SUMIF('NEI Lookups'!$Q:$Q,'Inputs Yr 2'!$F138,'NEI Lookups'!J:J)+SUMIF('NEI Lookups'!$R:$R,'Inputs Yr 2'!$F138,'NEI Lookups'!J:J)+SUMIF('NEI Lookups'!$S:$S,'Inputs Yr 2'!$F138,'NEI Lookups'!J:J)+SUMIF('NEI Lookups'!$T:$T,'Inputs Yr 2'!$F138,'NEI Lookups'!J:J)</f>
        <v>7.5999999999999998E-2</v>
      </c>
      <c r="AY138" s="930" t="e">
        <f>'Calculations Yr 2'!CP138/'Calculations Yr 2'!I138</f>
        <v>#VALUE!</v>
      </c>
    </row>
    <row r="139" spans="1:51" s="133" customFormat="1" ht="12.75" customHeight="1">
      <c r="A139" s="145" t="s">
        <v>79</v>
      </c>
      <c r="B139" s="132" t="s">
        <v>872</v>
      </c>
      <c r="C139" s="914" t="s">
        <v>765</v>
      </c>
      <c r="D139" s="97"/>
      <c r="E139" s="150" t="s">
        <v>1319</v>
      </c>
      <c r="F139" s="98" t="s">
        <v>1047</v>
      </c>
      <c r="G139" s="145" t="s">
        <v>1247</v>
      </c>
      <c r="H139" s="232">
        <v>0</v>
      </c>
      <c r="I139" s="232">
        <v>0</v>
      </c>
      <c r="J139" s="964"/>
      <c r="K139" s="166">
        <f t="shared" si="24"/>
        <v>0</v>
      </c>
      <c r="L139" s="888">
        <f t="shared" si="25"/>
        <v>0</v>
      </c>
      <c r="M139" s="978">
        <v>0</v>
      </c>
      <c r="N139" s="978">
        <v>0</v>
      </c>
      <c r="O139" s="978">
        <v>0</v>
      </c>
      <c r="P139" s="889">
        <v>1</v>
      </c>
      <c r="Q139" s="978">
        <v>0</v>
      </c>
      <c r="R139" s="178">
        <v>1</v>
      </c>
      <c r="S139" s="178">
        <v>1</v>
      </c>
      <c r="T139" s="178">
        <v>1</v>
      </c>
      <c r="U139" s="980">
        <v>0</v>
      </c>
      <c r="V139" s="978">
        <v>0</v>
      </c>
      <c r="W139" s="179"/>
      <c r="X139" s="937" t="s">
        <v>653</v>
      </c>
      <c r="Y139" s="299">
        <f>IFERROR(VLOOKUP($X139,'Demand Lookups'!$A$5:$K$101,9,0), 0)</f>
        <v>0</v>
      </c>
      <c r="Z139" s="922" t="str">
        <f>IFERROR(VLOOKUP(X139,'Demand Lookups'!$A$5:$B$101,2,0),0)</f>
        <v>Non-Electric Measures</v>
      </c>
      <c r="AA139" s="722">
        <v>0</v>
      </c>
      <c r="AB139" s="722">
        <v>0</v>
      </c>
      <c r="AC139" s="722">
        <v>0</v>
      </c>
      <c r="AD139" s="723">
        <v>0</v>
      </c>
      <c r="AE139" s="724">
        <f t="shared" si="27"/>
        <v>0</v>
      </c>
      <c r="AF139" s="723">
        <v>0</v>
      </c>
      <c r="AG139" s="723">
        <v>0</v>
      </c>
      <c r="AH139" s="648">
        <v>0</v>
      </c>
      <c r="AI139" s="648">
        <v>0</v>
      </c>
      <c r="AJ139" s="167" t="s">
        <v>404</v>
      </c>
      <c r="AK139" s="866">
        <v>0</v>
      </c>
      <c r="AL139" s="167"/>
      <c r="AM139" s="168"/>
      <c r="AN139" s="167"/>
      <c r="AO139" s="168"/>
      <c r="AP139" s="171"/>
      <c r="AQ139" s="171"/>
      <c r="AR139" s="171"/>
      <c r="AS139" s="299">
        <f>SUMIF('NEI Lookups'!$L:$L,'Inputs Yr 2'!$F139,'NEI Lookups'!E:E)+SUMIF('NEI Lookups'!$M:$M,'Inputs Yr 2'!$F139,'NEI Lookups'!E:E)+SUMIF('NEI Lookups'!$N:$N,'Inputs Yr 2'!$F139,'NEI Lookups'!E:E)+SUMIF('NEI Lookups'!$O:$O,'Inputs Yr 2'!$F139,'NEI Lookups'!E:E)+SUMIF('NEI Lookups'!$P:$P,'Inputs Yr 2'!$F139,'NEI Lookups'!E:E)+SUMIF('NEI Lookups'!$Q:$Q,'Inputs Yr 2'!$F139,'NEI Lookups'!E:E)+SUMIF('NEI Lookups'!$R:$R,'Inputs Yr 2'!$F139,'NEI Lookups'!E:E)+SUMIF('NEI Lookups'!$S:$S,'Inputs Yr 2'!$F139,'NEI Lookups'!E:E)+SUMIF('NEI Lookups'!$T:$T,'Inputs Yr 2'!$F139,'NEI Lookups'!E:E)</f>
        <v>0</v>
      </c>
      <c r="AT139" s="299">
        <f>SUMIF('NEI Lookups'!$L:$L,'Inputs Yr 2'!$F139,'NEI Lookups'!F:F)+SUMIF('NEI Lookups'!$M:$M,'Inputs Yr 2'!$F139,'NEI Lookups'!F:F)+SUMIF('NEI Lookups'!$N:$N,'Inputs Yr 2'!$F139,'NEI Lookups'!F:F)+SUMIF('NEI Lookups'!$O:$O,'Inputs Yr 2'!$F139,'NEI Lookups'!F:F)+SUMIF('NEI Lookups'!$P:$P,'Inputs Yr 2'!$F139,'NEI Lookups'!F:F)+SUMIF('NEI Lookups'!$Q:$Q,'Inputs Yr 2'!$F139,'NEI Lookups'!F:F)+SUMIF('NEI Lookups'!$R:$R,'Inputs Yr 2'!$F139,'NEI Lookups'!F:F)+SUMIF('NEI Lookups'!$S:$S,'Inputs Yr 2'!$F139,'NEI Lookups'!F:F)+SUMIF('NEI Lookups'!$T:$T,'Inputs Yr 2'!$F139,'NEI Lookups'!F:F)</f>
        <v>0</v>
      </c>
      <c r="AU139" s="299">
        <f>SUMIF('NEI Lookups'!$L:$L,'Inputs Yr 2'!$F139,'NEI Lookups'!G:G)+SUMIF('NEI Lookups'!$M:$M,'Inputs Yr 2'!$F139,'NEI Lookups'!G:G)+SUMIF('NEI Lookups'!$N:$N,'Inputs Yr 2'!$F139,'NEI Lookups'!G:G)+SUMIF('NEI Lookups'!$O:$O,'Inputs Yr 2'!$F139,'NEI Lookups'!G:G)+SUMIF('NEI Lookups'!$P:$P,'Inputs Yr 2'!$F139,'NEI Lookups'!G:G)+SUMIF('NEI Lookups'!$Q:$Q,'Inputs Yr 2'!$F139,'NEI Lookups'!G:G)+SUMIF('NEI Lookups'!$R:$R,'Inputs Yr 2'!$F139,'NEI Lookups'!G:G)+SUMIF('NEI Lookups'!$S:$S,'Inputs Yr 2'!$F139,'NEI Lookups'!G:G)+SUMIF('NEI Lookups'!$T:$T,'Inputs Yr 2'!$F139,'NEI Lookups'!G:G)</f>
        <v>0</v>
      </c>
      <c r="AV139" s="299">
        <f>SUMIF('NEI Lookups'!$L:$L,'Inputs Yr 2'!$F139,'NEI Lookups'!H:H)+SUMIF('NEI Lookups'!$M:$M,'Inputs Yr 2'!$F139,'NEI Lookups'!H:H)+SUMIF('NEI Lookups'!$N:$N,'Inputs Yr 2'!$F139,'NEI Lookups'!H:H)+SUMIF('NEI Lookups'!$O:$O,'Inputs Yr 2'!$F139,'NEI Lookups'!H:H)+SUMIF('NEI Lookups'!$P:$P,'Inputs Yr 2'!$F139,'NEI Lookups'!H:H)+SUMIF('NEI Lookups'!$Q:$Q,'Inputs Yr 2'!$F139,'NEI Lookups'!H:H)+SUMIF('NEI Lookups'!$R:$R,'Inputs Yr 2'!$F139,'NEI Lookups'!H:H)+SUMIF('NEI Lookups'!$S:$S,'Inputs Yr 2'!$F139,'NEI Lookups'!H:H)+SUMIF('NEI Lookups'!$T:$T,'Inputs Yr 2'!$F139,'NEI Lookups'!H:H)</f>
        <v>0</v>
      </c>
      <c r="AW139" s="299">
        <f>SUMIF('NEI Lookups'!$L:$L,'Inputs Yr 2'!$F139,'NEI Lookups'!I:I)+SUMIF('NEI Lookups'!$M:$M,'Inputs Yr 2'!$F139,'NEI Lookups'!I:I)+SUMIF('NEI Lookups'!$N:$N,'Inputs Yr 2'!$F139,'NEI Lookups'!I:I)+SUMIF('NEI Lookups'!$O:$O,'Inputs Yr 2'!$F139,'NEI Lookups'!I:I)+SUMIF('NEI Lookups'!$P:$P,'Inputs Yr 2'!$F139,'NEI Lookups'!I:I)+SUMIF('NEI Lookups'!$Q:$Q,'Inputs Yr 2'!$F139,'NEI Lookups'!I:I)+SUMIF('NEI Lookups'!$R:$R,'Inputs Yr 2'!$F139,'NEI Lookups'!I:I)+SUMIF('NEI Lookups'!$S:$S,'Inputs Yr 2'!$F139,'NEI Lookups'!I:I)+SUMIF('NEI Lookups'!$T:$T,'Inputs Yr 2'!$F139,'NEI Lookups'!I:I)</f>
        <v>0</v>
      </c>
      <c r="AX139" s="940">
        <f>SUMIF('NEI Lookups'!$L:$L,'Inputs Yr 2'!$F139,'NEI Lookups'!J:J)+SUMIF('NEI Lookups'!$M:$M,'Inputs Yr 2'!$F139,'NEI Lookups'!J:J)+SUMIF('NEI Lookups'!$N:$N,'Inputs Yr 2'!$F139,'NEI Lookups'!J:J)+SUMIF('NEI Lookups'!$O:$O,'Inputs Yr 2'!$F139,'NEI Lookups'!J:J)+SUMIF('NEI Lookups'!$P:$P,'Inputs Yr 2'!$F139,'NEI Lookups'!J:J)+SUMIF('NEI Lookups'!$Q:$Q,'Inputs Yr 2'!$F139,'NEI Lookups'!J:J)+SUMIF('NEI Lookups'!$R:$R,'Inputs Yr 2'!$F139,'NEI Lookups'!J:J)+SUMIF('NEI Lookups'!$S:$S,'Inputs Yr 2'!$F139,'NEI Lookups'!J:J)+SUMIF('NEI Lookups'!$T:$T,'Inputs Yr 2'!$F139,'NEI Lookups'!J:J)</f>
        <v>0</v>
      </c>
      <c r="AY139" s="930" t="e">
        <f>'Calculations Yr 2'!CP139/'Calculations Yr 2'!I139</f>
        <v>#VALUE!</v>
      </c>
    </row>
    <row r="140" spans="1:51" s="133" customFormat="1" ht="12.75" customHeight="1">
      <c r="A140" s="145" t="s">
        <v>79</v>
      </c>
      <c r="B140" s="132" t="s">
        <v>872</v>
      </c>
      <c r="C140" s="914" t="s">
        <v>765</v>
      </c>
      <c r="D140" s="97"/>
      <c r="E140" s="150" t="s">
        <v>1308</v>
      </c>
      <c r="F140" s="98" t="s">
        <v>1048</v>
      </c>
      <c r="G140" s="145" t="s">
        <v>89</v>
      </c>
      <c r="H140" s="232">
        <v>0</v>
      </c>
      <c r="I140" s="232">
        <v>0</v>
      </c>
      <c r="J140" s="964"/>
      <c r="K140" s="166">
        <f t="shared" si="24"/>
        <v>0</v>
      </c>
      <c r="L140" s="888">
        <f t="shared" si="25"/>
        <v>0</v>
      </c>
      <c r="M140" s="978">
        <v>0</v>
      </c>
      <c r="N140" s="978">
        <v>0</v>
      </c>
      <c r="O140" s="978">
        <v>0</v>
      </c>
      <c r="P140" s="889">
        <f t="shared" si="26"/>
        <v>1</v>
      </c>
      <c r="Q140" s="978">
        <v>0</v>
      </c>
      <c r="R140" s="178">
        <v>1</v>
      </c>
      <c r="S140" s="178">
        <v>1</v>
      </c>
      <c r="T140" s="178">
        <v>1</v>
      </c>
      <c r="U140" s="980">
        <v>0</v>
      </c>
      <c r="V140" s="978">
        <v>0</v>
      </c>
      <c r="W140" s="179"/>
      <c r="X140" s="937" t="s">
        <v>653</v>
      </c>
      <c r="Y140" s="299">
        <f>IFERROR(VLOOKUP($X140,'Demand Lookups'!$A$5:$K$101,9,0), 0)</f>
        <v>0</v>
      </c>
      <c r="Z140" s="922" t="str">
        <f>IFERROR(VLOOKUP(X140,'Demand Lookups'!$A$5:$B$101,2,0),0)</f>
        <v>Non-Electric Measures</v>
      </c>
      <c r="AA140" s="722">
        <f>IF(ISNA(VLOOKUP($X140,'Demand Lookups'!$A$5:$K$81,3,0)),0,VLOOKUP($X140,'Demand Lookups'!$A$5:$K$81,3,0))</f>
        <v>0</v>
      </c>
      <c r="AB140" s="722">
        <f>IF(ISNA(VLOOKUP($X140,'Demand Lookups'!$A$5:$K$81,4,0)),0,VLOOKUP($X140,'Demand Lookups'!$A$5:$K$81,4,0))</f>
        <v>0</v>
      </c>
      <c r="AC140" s="722">
        <f>IF(ISNA(VLOOKUP($X140,'Demand Lookups'!$A$5:$K$81,5,0)),0,VLOOKUP($X140,'Demand Lookups'!$A$5:$K$81,5,0))</f>
        <v>0</v>
      </c>
      <c r="AD140" s="723">
        <f>IF(ISNA(VLOOKUP($X140,'Demand Lookups'!$A$5:$K$81,6,0)),0,VLOOKUP($X140,'Demand Lookups'!$A$5:$K$81,6,0))</f>
        <v>0</v>
      </c>
      <c r="AE140" s="724">
        <f t="shared" si="27"/>
        <v>0</v>
      </c>
      <c r="AF140" s="723">
        <f>ROUND(IF(ISNA(VLOOKUP($X140,'Demand Lookups'!$A$5:$K$82,10,0)),0,(VLOOKUP($X140,'Demand Lookups'!$A$5:$K$82,10,0))),2)</f>
        <v>0</v>
      </c>
      <c r="AG140" s="723">
        <f>ROUND(IF(ISNA(VLOOKUP($X140,'Demand Lookups'!$A$5:$K$82,11,0)),0,VLOOKUP($X140,'Demand Lookups'!$A$5:$K$82,11,0)),2)</f>
        <v>0</v>
      </c>
      <c r="AH140" s="648">
        <f t="shared" si="28"/>
        <v>0</v>
      </c>
      <c r="AI140" s="648">
        <f t="shared" si="29"/>
        <v>0</v>
      </c>
      <c r="AJ140" s="167" t="s">
        <v>40</v>
      </c>
      <c r="AK140" s="866">
        <v>0</v>
      </c>
      <c r="AL140" s="167"/>
      <c r="AM140" s="168"/>
      <c r="AN140" s="167"/>
      <c r="AO140" s="168"/>
      <c r="AP140" s="171">
        <v>0</v>
      </c>
      <c r="AQ140" s="171"/>
      <c r="AR140" s="171"/>
      <c r="AS140" s="299">
        <f>SUMIF('NEI Lookups'!$L:$L,'Inputs Yr 2'!$F140,'NEI Lookups'!E:E)+SUMIF('NEI Lookups'!$M:$M,'Inputs Yr 2'!$F140,'NEI Lookups'!E:E)+SUMIF('NEI Lookups'!$N:$N,'Inputs Yr 2'!$F140,'NEI Lookups'!E:E)+SUMIF('NEI Lookups'!$O:$O,'Inputs Yr 2'!$F140,'NEI Lookups'!E:E)+SUMIF('NEI Lookups'!$P:$P,'Inputs Yr 2'!$F140,'NEI Lookups'!E:E)+SUMIF('NEI Lookups'!$Q:$Q,'Inputs Yr 2'!$F140,'NEI Lookups'!E:E)+SUMIF('NEI Lookups'!$R:$R,'Inputs Yr 2'!$F140,'NEI Lookups'!E:E)+SUMIF('NEI Lookups'!$S:$S,'Inputs Yr 2'!$F140,'NEI Lookups'!E:E)+SUMIF('NEI Lookups'!$T:$T,'Inputs Yr 2'!$F140,'NEI Lookups'!E:E)</f>
        <v>0</v>
      </c>
      <c r="AT140" s="299">
        <f>SUMIF('NEI Lookups'!$L:$L,'Inputs Yr 2'!$F140,'NEI Lookups'!F:F)+SUMIF('NEI Lookups'!$M:$M,'Inputs Yr 2'!$F140,'NEI Lookups'!F:F)+SUMIF('NEI Lookups'!$N:$N,'Inputs Yr 2'!$F140,'NEI Lookups'!F:F)+SUMIF('NEI Lookups'!$O:$O,'Inputs Yr 2'!$F140,'NEI Lookups'!F:F)+SUMIF('NEI Lookups'!$P:$P,'Inputs Yr 2'!$F140,'NEI Lookups'!F:F)+SUMIF('NEI Lookups'!$Q:$Q,'Inputs Yr 2'!$F140,'NEI Lookups'!F:F)+SUMIF('NEI Lookups'!$R:$R,'Inputs Yr 2'!$F140,'NEI Lookups'!F:F)+SUMIF('NEI Lookups'!$S:$S,'Inputs Yr 2'!$F140,'NEI Lookups'!F:F)+SUMIF('NEI Lookups'!$T:$T,'Inputs Yr 2'!$F140,'NEI Lookups'!F:F)</f>
        <v>0</v>
      </c>
      <c r="AU140" s="299">
        <f>SUMIF('NEI Lookups'!$L:$L,'Inputs Yr 2'!$F140,'NEI Lookups'!G:G)+SUMIF('NEI Lookups'!$M:$M,'Inputs Yr 2'!$F140,'NEI Lookups'!G:G)+SUMIF('NEI Lookups'!$N:$N,'Inputs Yr 2'!$F140,'NEI Lookups'!G:G)+SUMIF('NEI Lookups'!$O:$O,'Inputs Yr 2'!$F140,'NEI Lookups'!G:G)+SUMIF('NEI Lookups'!$P:$P,'Inputs Yr 2'!$F140,'NEI Lookups'!G:G)+SUMIF('NEI Lookups'!$Q:$Q,'Inputs Yr 2'!$F140,'NEI Lookups'!G:G)+SUMIF('NEI Lookups'!$R:$R,'Inputs Yr 2'!$F140,'NEI Lookups'!G:G)+SUMIF('NEI Lookups'!$S:$S,'Inputs Yr 2'!$F140,'NEI Lookups'!G:G)+SUMIF('NEI Lookups'!$T:$T,'Inputs Yr 2'!$F140,'NEI Lookups'!G:G)</f>
        <v>0</v>
      </c>
      <c r="AV140" s="299">
        <f>SUMIF('NEI Lookups'!$L:$L,'Inputs Yr 2'!$F140,'NEI Lookups'!H:H)+SUMIF('NEI Lookups'!$M:$M,'Inputs Yr 2'!$F140,'NEI Lookups'!H:H)+SUMIF('NEI Lookups'!$N:$N,'Inputs Yr 2'!$F140,'NEI Lookups'!H:H)+SUMIF('NEI Lookups'!$O:$O,'Inputs Yr 2'!$F140,'NEI Lookups'!H:H)+SUMIF('NEI Lookups'!$P:$P,'Inputs Yr 2'!$F140,'NEI Lookups'!H:H)+SUMIF('NEI Lookups'!$Q:$Q,'Inputs Yr 2'!$F140,'NEI Lookups'!H:H)+SUMIF('NEI Lookups'!$R:$R,'Inputs Yr 2'!$F140,'NEI Lookups'!H:H)+SUMIF('NEI Lookups'!$S:$S,'Inputs Yr 2'!$F140,'NEI Lookups'!H:H)+SUMIF('NEI Lookups'!$T:$T,'Inputs Yr 2'!$F140,'NEI Lookups'!H:H)</f>
        <v>0</v>
      </c>
      <c r="AW140" s="299">
        <f>SUMIF('NEI Lookups'!$L:$L,'Inputs Yr 2'!$F140,'NEI Lookups'!I:I)+SUMIF('NEI Lookups'!$M:$M,'Inputs Yr 2'!$F140,'NEI Lookups'!I:I)+SUMIF('NEI Lookups'!$N:$N,'Inputs Yr 2'!$F140,'NEI Lookups'!I:I)+SUMIF('NEI Lookups'!$O:$O,'Inputs Yr 2'!$F140,'NEI Lookups'!I:I)+SUMIF('NEI Lookups'!$P:$P,'Inputs Yr 2'!$F140,'NEI Lookups'!I:I)+SUMIF('NEI Lookups'!$Q:$Q,'Inputs Yr 2'!$F140,'NEI Lookups'!I:I)+SUMIF('NEI Lookups'!$R:$R,'Inputs Yr 2'!$F140,'NEI Lookups'!I:I)+SUMIF('NEI Lookups'!$S:$S,'Inputs Yr 2'!$F140,'NEI Lookups'!I:I)+SUMIF('NEI Lookups'!$T:$T,'Inputs Yr 2'!$F140,'NEI Lookups'!I:I)</f>
        <v>0</v>
      </c>
      <c r="AX140" s="299">
        <f>SUMIF('NEI Lookups'!$L:$L,'Inputs Yr 2'!$F140,'NEI Lookups'!J:J)+SUMIF('NEI Lookups'!$M:$M,'Inputs Yr 2'!$F140,'NEI Lookups'!J:J)+SUMIF('NEI Lookups'!$N:$N,'Inputs Yr 2'!$F140,'NEI Lookups'!J:J)+SUMIF('NEI Lookups'!$O:$O,'Inputs Yr 2'!$F140,'NEI Lookups'!J:J)+SUMIF('NEI Lookups'!$P:$P,'Inputs Yr 2'!$F140,'NEI Lookups'!J:J)+SUMIF('NEI Lookups'!$Q:$Q,'Inputs Yr 2'!$F140,'NEI Lookups'!J:J)+SUMIF('NEI Lookups'!$R:$R,'Inputs Yr 2'!$F140,'NEI Lookups'!J:J)+SUMIF('NEI Lookups'!$S:$S,'Inputs Yr 2'!$F140,'NEI Lookups'!J:J)+SUMIF('NEI Lookups'!$T:$T,'Inputs Yr 2'!$F140,'NEI Lookups'!J:J)</f>
        <v>0</v>
      </c>
      <c r="AY140" s="930" t="e">
        <f>'Calculations Yr 2'!CP140/'Calculations Yr 2'!I140</f>
        <v>#VALUE!</v>
      </c>
    </row>
    <row r="141" spans="1:51" s="133" customFormat="1" ht="12.75" customHeight="1">
      <c r="A141" s="145" t="s">
        <v>79</v>
      </c>
      <c r="B141" s="132" t="s">
        <v>872</v>
      </c>
      <c r="C141" s="914" t="s">
        <v>765</v>
      </c>
      <c r="D141" s="904" t="s">
        <v>1495</v>
      </c>
      <c r="E141" s="145" t="s">
        <v>1415</v>
      </c>
      <c r="F141" s="914" t="s">
        <v>1332</v>
      </c>
      <c r="G141" s="912" t="s">
        <v>89</v>
      </c>
      <c r="H141" s="927">
        <v>6</v>
      </c>
      <c r="I141" s="232">
        <v>15</v>
      </c>
      <c r="J141" s="973">
        <v>3000</v>
      </c>
      <c r="K141" s="166">
        <f t="shared" si="24"/>
        <v>3000</v>
      </c>
      <c r="L141" s="888">
        <f t="shared" si="25"/>
        <v>0</v>
      </c>
      <c r="M141" s="978">
        <v>0</v>
      </c>
      <c r="N141" s="978">
        <v>0</v>
      </c>
      <c r="O141" s="978">
        <v>0</v>
      </c>
      <c r="P141" s="950">
        <f t="shared" si="26"/>
        <v>1</v>
      </c>
      <c r="Q141" s="978">
        <v>1</v>
      </c>
      <c r="R141" s="178">
        <v>1</v>
      </c>
      <c r="S141" s="178">
        <v>1</v>
      </c>
      <c r="T141" s="178">
        <v>1</v>
      </c>
      <c r="U141" s="980">
        <v>0.86199999999999999</v>
      </c>
      <c r="V141" s="978">
        <v>1</v>
      </c>
      <c r="W141" s="179"/>
      <c r="X141" s="937" t="s">
        <v>653</v>
      </c>
      <c r="Y141" s="299">
        <f>IFERROR(VLOOKUP($X141,'Demand Lookups'!$A$5:$K$101,9,0), 0)</f>
        <v>0</v>
      </c>
      <c r="Z141" s="922" t="str">
        <f>IFERROR(VLOOKUP(X141,'Demand Lookups'!$A$5:$B$101,2,0),0)</f>
        <v>Non-Electric Measures</v>
      </c>
      <c r="AA141" s="951">
        <f>IF(ISNA(VLOOKUP($X141,'Demand Lookups'!$A$5:$K$81,3,0)),0,VLOOKUP($X141,'Demand Lookups'!$A$5:$K$81,3,0))</f>
        <v>0</v>
      </c>
      <c r="AB141" s="951">
        <f>IF(ISNA(VLOOKUP($X141,'Demand Lookups'!$A$5:$K$81,4,0)),0,VLOOKUP($X141,'Demand Lookups'!$A$5:$K$81,4,0))</f>
        <v>0</v>
      </c>
      <c r="AC141" s="951">
        <f>IF(ISNA(VLOOKUP($X141,'Demand Lookups'!$A$5:$K$81,5,0)),0,VLOOKUP($X141,'Demand Lookups'!$A$5:$K$81,5,0))</f>
        <v>0</v>
      </c>
      <c r="AD141" s="952">
        <f>IF(ISNA(VLOOKUP($X141,'Demand Lookups'!$A$5:$K$81,6,0)),0,VLOOKUP($X141,'Demand Lookups'!$A$5:$K$81,6,0))</f>
        <v>0</v>
      </c>
      <c r="AE141" s="953">
        <f t="shared" si="27"/>
        <v>0</v>
      </c>
      <c r="AF141" s="952">
        <f>ROUND(IF(ISNA(VLOOKUP($X141,'Demand Lookups'!$A$5:$K$82,10,0)),0,(VLOOKUP($X141,'Demand Lookups'!$A$5:$K$82,10,0))),2)</f>
        <v>0</v>
      </c>
      <c r="AG141" s="952">
        <f>ROUND(IF(ISNA(VLOOKUP($X141,'Demand Lookups'!$A$5:$K$82,11,0)),0,VLOOKUP($X141,'Demand Lookups'!$A$5:$K$82,11,0)),2)</f>
        <v>0</v>
      </c>
      <c r="AH141" s="648">
        <f t="shared" si="28"/>
        <v>0</v>
      </c>
      <c r="AI141" s="648">
        <f t="shared" si="29"/>
        <v>0</v>
      </c>
      <c r="AJ141" s="167" t="s">
        <v>404</v>
      </c>
      <c r="AK141" s="866">
        <v>37.016666666666666</v>
      </c>
      <c r="AL141" s="167"/>
      <c r="AM141" s="168"/>
      <c r="AN141" s="167"/>
      <c r="AO141" s="168"/>
      <c r="AP141" s="171">
        <v>0</v>
      </c>
      <c r="AQ141" s="171"/>
      <c r="AR141" s="171"/>
      <c r="AS141" s="299">
        <f>SUMIF('NEI Lookups'!$L:$L,'Inputs Yr 2'!$F141,'NEI Lookups'!E:E)+SUMIF('NEI Lookups'!$M:$M,'Inputs Yr 2'!$F141,'NEI Lookups'!E:E)+SUMIF('NEI Lookups'!$N:$N,'Inputs Yr 2'!$F141,'NEI Lookups'!E:E)+SUMIF('NEI Lookups'!$O:$O,'Inputs Yr 2'!$F141,'NEI Lookups'!E:E)+SUMIF('NEI Lookups'!$P:$P,'Inputs Yr 2'!$F141,'NEI Lookups'!E:E)+SUMIF('NEI Lookups'!$Q:$Q,'Inputs Yr 2'!$F141,'NEI Lookups'!E:E)+SUMIF('NEI Lookups'!$R:$R,'Inputs Yr 2'!$F141,'NEI Lookups'!E:E)+SUMIF('NEI Lookups'!$S:$S,'Inputs Yr 2'!$F141,'NEI Lookups'!E:E)+SUMIF('NEI Lookups'!$T:$T,'Inputs Yr 2'!$F141,'NEI Lookups'!E:E)</f>
        <v>0</v>
      </c>
      <c r="AT141" s="299">
        <f>SUMIF('NEI Lookups'!$L:$L,'Inputs Yr 2'!$F141,'NEI Lookups'!F:F)+SUMIF('NEI Lookups'!$M:$M,'Inputs Yr 2'!$F141,'NEI Lookups'!F:F)+SUMIF('NEI Lookups'!$N:$N,'Inputs Yr 2'!$F141,'NEI Lookups'!F:F)+SUMIF('NEI Lookups'!$O:$O,'Inputs Yr 2'!$F141,'NEI Lookups'!F:F)+SUMIF('NEI Lookups'!$P:$P,'Inputs Yr 2'!$F141,'NEI Lookups'!F:F)+SUMIF('NEI Lookups'!$Q:$Q,'Inputs Yr 2'!$F141,'NEI Lookups'!F:F)+SUMIF('NEI Lookups'!$R:$R,'Inputs Yr 2'!$F141,'NEI Lookups'!F:F)+SUMIF('NEI Lookups'!$S:$S,'Inputs Yr 2'!$F141,'NEI Lookups'!F:F)+SUMIF('NEI Lookups'!$T:$T,'Inputs Yr 2'!$F141,'NEI Lookups'!F:F)</f>
        <v>0</v>
      </c>
      <c r="AU141" s="299">
        <f>SUMIF('NEI Lookups'!$L:$L,'Inputs Yr 2'!$F141,'NEI Lookups'!G:G)+SUMIF('NEI Lookups'!$M:$M,'Inputs Yr 2'!$F141,'NEI Lookups'!G:G)+SUMIF('NEI Lookups'!$N:$N,'Inputs Yr 2'!$F141,'NEI Lookups'!G:G)+SUMIF('NEI Lookups'!$O:$O,'Inputs Yr 2'!$F141,'NEI Lookups'!G:G)+SUMIF('NEI Lookups'!$P:$P,'Inputs Yr 2'!$F141,'NEI Lookups'!G:G)+SUMIF('NEI Lookups'!$Q:$Q,'Inputs Yr 2'!$F141,'NEI Lookups'!G:G)+SUMIF('NEI Lookups'!$R:$R,'Inputs Yr 2'!$F141,'NEI Lookups'!G:G)+SUMIF('NEI Lookups'!$S:$S,'Inputs Yr 2'!$F141,'NEI Lookups'!G:G)+SUMIF('NEI Lookups'!$T:$T,'Inputs Yr 2'!$F141,'NEI Lookups'!G:G)</f>
        <v>0</v>
      </c>
      <c r="AV141" s="299">
        <f>SUMIF('NEI Lookups'!$L:$L,'Inputs Yr 2'!$F141,'NEI Lookups'!H:H)+SUMIF('NEI Lookups'!$M:$M,'Inputs Yr 2'!$F141,'NEI Lookups'!H:H)+SUMIF('NEI Lookups'!$N:$N,'Inputs Yr 2'!$F141,'NEI Lookups'!H:H)+SUMIF('NEI Lookups'!$O:$O,'Inputs Yr 2'!$F141,'NEI Lookups'!H:H)+SUMIF('NEI Lookups'!$P:$P,'Inputs Yr 2'!$F141,'NEI Lookups'!H:H)+SUMIF('NEI Lookups'!$Q:$Q,'Inputs Yr 2'!$F141,'NEI Lookups'!H:H)+SUMIF('NEI Lookups'!$R:$R,'Inputs Yr 2'!$F141,'NEI Lookups'!H:H)+SUMIF('NEI Lookups'!$S:$S,'Inputs Yr 2'!$F141,'NEI Lookups'!H:H)+SUMIF('NEI Lookups'!$T:$T,'Inputs Yr 2'!$F141,'NEI Lookups'!H:H)</f>
        <v>0</v>
      </c>
      <c r="AW141" s="299">
        <f>SUMIF('NEI Lookups'!$L:$L,'Inputs Yr 2'!$F141,'NEI Lookups'!I:I)+SUMIF('NEI Lookups'!$M:$M,'Inputs Yr 2'!$F141,'NEI Lookups'!I:I)+SUMIF('NEI Lookups'!$N:$N,'Inputs Yr 2'!$F141,'NEI Lookups'!I:I)+SUMIF('NEI Lookups'!$O:$O,'Inputs Yr 2'!$F141,'NEI Lookups'!I:I)+SUMIF('NEI Lookups'!$P:$P,'Inputs Yr 2'!$F141,'NEI Lookups'!I:I)+SUMIF('NEI Lookups'!$Q:$Q,'Inputs Yr 2'!$F141,'NEI Lookups'!I:I)+SUMIF('NEI Lookups'!$R:$R,'Inputs Yr 2'!$F141,'NEI Lookups'!I:I)+SUMIF('NEI Lookups'!$S:$S,'Inputs Yr 2'!$F141,'NEI Lookups'!I:I)+SUMIF('NEI Lookups'!$T:$T,'Inputs Yr 2'!$F141,'NEI Lookups'!I:I)</f>
        <v>0</v>
      </c>
      <c r="AX141" s="958">
        <f>SUMIF('NEI Lookups'!$L:$L,'Inputs Yr 2'!$F141,'NEI Lookups'!J:J)+SUMIF('NEI Lookups'!$M:$M,'Inputs Yr 2'!$F141,'NEI Lookups'!J:J)+SUMIF('NEI Lookups'!$N:$N,'Inputs Yr 2'!$F141,'NEI Lookups'!J:J)+SUMIF('NEI Lookups'!$O:$O,'Inputs Yr 2'!$F141,'NEI Lookups'!J:J)+SUMIF('NEI Lookups'!$P:$P,'Inputs Yr 2'!$F141,'NEI Lookups'!J:J)+SUMIF('NEI Lookups'!$Q:$Q,'Inputs Yr 2'!$F141,'NEI Lookups'!J:J)+SUMIF('NEI Lookups'!$R:$R,'Inputs Yr 2'!$F141,'NEI Lookups'!J:J)+SUMIF('NEI Lookups'!$S:$S,'Inputs Yr 2'!$F141,'NEI Lookups'!J:J)+SUMIF('NEI Lookups'!$T:$T,'Inputs Yr 2'!$F141,'NEI Lookups'!J:J)</f>
        <v>0</v>
      </c>
      <c r="AY141" s="930">
        <f>'Calculations Yr 2'!CP141/'Calculations Yr 2'!I141</f>
        <v>1.4493434880967435</v>
      </c>
    </row>
    <row r="142" spans="1:51" s="97" customFormat="1" ht="12.75" customHeight="1">
      <c r="A142" s="97" t="s">
        <v>79</v>
      </c>
      <c r="B142" s="914" t="s">
        <v>872</v>
      </c>
      <c r="C142" s="914" t="s">
        <v>765</v>
      </c>
      <c r="E142" s="914" t="s">
        <v>740</v>
      </c>
      <c r="F142" s="914"/>
      <c r="G142" s="914"/>
      <c r="H142" s="914"/>
      <c r="I142" s="232"/>
      <c r="J142" s="974"/>
      <c r="K142" s="936"/>
      <c r="L142" s="888">
        <f t="shared" si="25"/>
        <v>0</v>
      </c>
      <c r="M142" s="982"/>
      <c r="N142" s="983"/>
      <c r="O142" s="983"/>
      <c r="P142" s="949"/>
      <c r="Q142" s="988">
        <v>0</v>
      </c>
      <c r="R142" s="948">
        <v>1</v>
      </c>
      <c r="S142" s="948">
        <v>1</v>
      </c>
      <c r="T142" s="178">
        <v>1</v>
      </c>
      <c r="U142" s="987">
        <v>0</v>
      </c>
      <c r="V142" s="978">
        <v>0</v>
      </c>
      <c r="W142" s="914"/>
      <c r="X142" s="937" t="s">
        <v>653</v>
      </c>
      <c r="Y142" s="299">
        <f>IFERROR(VLOOKUP($X142,'Demand Lookups'!$A$5:$K$101,9,0), 0)</f>
        <v>0</v>
      </c>
      <c r="Z142" s="922" t="str">
        <f>IFERROR(VLOOKUP(X142,'Demand Lookups'!$A$5:$B$101,2,0),0)</f>
        <v>Non-Electric Measures</v>
      </c>
      <c r="AA142" s="951">
        <f>IF(ISNA(VLOOKUP($X142,'Demand Lookups'!$A$5:$K$81,3,0)),0,VLOOKUP($X142,'Demand Lookups'!$A$5:$K$81,3,0))</f>
        <v>0</v>
      </c>
      <c r="AB142" s="951">
        <f>IF(ISNA(VLOOKUP($X142,'Demand Lookups'!$A$5:$K$81,4,0)),0,VLOOKUP($X142,'Demand Lookups'!$A$5:$K$81,4,0))</f>
        <v>0</v>
      </c>
      <c r="AC142" s="951">
        <f>IF(ISNA(VLOOKUP($X142,'Demand Lookups'!$A$5:$K$81,5,0)),0,VLOOKUP($X142,'Demand Lookups'!$A$5:$K$81,5,0))</f>
        <v>0</v>
      </c>
      <c r="AD142" s="952">
        <f>IF(ISNA(VLOOKUP($X142,'Demand Lookups'!$A$5:$K$81,6,0)),0,VLOOKUP($X142,'Demand Lookups'!$A$5:$K$81,6,0))</f>
        <v>0</v>
      </c>
      <c r="AE142" s="953">
        <f t="shared" ref="AE142" si="34">IF(ISERROR(W142*Y142),"",W142*Y142)</f>
        <v>0</v>
      </c>
      <c r="AF142" s="952">
        <f>ROUND(IF(ISNA(VLOOKUP($X142,'Demand Lookups'!$A$5:$K$82,10,0)),0,(VLOOKUP($X142,'Demand Lookups'!$A$5:$K$82,10,0))),2)</f>
        <v>0</v>
      </c>
      <c r="AG142" s="952">
        <f>ROUND(IF(ISNA(VLOOKUP($X142,'Demand Lookups'!$A$5:$K$82,11,0)),0,VLOOKUP($X142,'Demand Lookups'!$A$5:$K$82,11,0)),2)</f>
        <v>0</v>
      </c>
      <c r="AH142" s="648">
        <f t="shared" ref="AH142" si="35">AF142</f>
        <v>0</v>
      </c>
      <c r="AI142" s="648">
        <f t="shared" ref="AI142" si="36">AF142</f>
        <v>0</v>
      </c>
      <c r="AK142" s="936"/>
      <c r="AP142" s="914"/>
      <c r="AQ142" s="132"/>
      <c r="AR142" s="132"/>
      <c r="AS142" s="132"/>
      <c r="AT142" s="132"/>
      <c r="AU142" s="132"/>
      <c r="AV142" s="132"/>
      <c r="AW142" s="132"/>
      <c r="AY142" s="930" t="e">
        <f>'Calculations Yr 2'!CP142/'Calculations Yr 2'!I142</f>
        <v>#VALUE!</v>
      </c>
    </row>
    <row r="143" spans="1:51" s="97" customFormat="1" ht="12.75" customHeight="1">
      <c r="A143" s="97" t="s">
        <v>79</v>
      </c>
      <c r="B143" s="914" t="s">
        <v>872</v>
      </c>
      <c r="C143" s="914" t="s">
        <v>765</v>
      </c>
      <c r="E143" s="914" t="s">
        <v>764</v>
      </c>
      <c r="F143" s="914"/>
      <c r="G143" s="914"/>
      <c r="H143" s="914"/>
      <c r="I143" s="232"/>
      <c r="J143" s="974"/>
      <c r="K143" s="936"/>
      <c r="L143" s="888">
        <f t="shared" si="25"/>
        <v>0</v>
      </c>
      <c r="M143" s="982"/>
      <c r="N143" s="983"/>
      <c r="O143" s="983"/>
      <c r="P143" s="949"/>
      <c r="Q143" s="983"/>
      <c r="R143" s="914"/>
      <c r="S143" s="914"/>
      <c r="T143" s="914"/>
      <c r="U143" s="983"/>
      <c r="V143" s="983"/>
      <c r="W143" s="914"/>
      <c r="X143" s="937"/>
      <c r="Y143" s="299">
        <f>IFERROR(VLOOKUP($X143,'Demand Lookups'!$A$5:$K$101,9,0), 0)</f>
        <v>0</v>
      </c>
      <c r="Z143" s="922">
        <f>IFERROR(VLOOKUP(X143,'Demand Lookups'!$A$5:$B$101,2,0),0)</f>
        <v>0</v>
      </c>
      <c r="AA143" s="954"/>
      <c r="AB143" s="954"/>
      <c r="AC143" s="954"/>
      <c r="AD143" s="954"/>
      <c r="AE143" s="954"/>
      <c r="AF143" s="954"/>
      <c r="AG143" s="954"/>
      <c r="AH143" s="954"/>
      <c r="AI143" s="954"/>
      <c r="AK143" s="936"/>
      <c r="AP143" s="914"/>
      <c r="AQ143" s="132"/>
      <c r="AR143" s="132"/>
      <c r="AS143" s="132"/>
      <c r="AT143" s="132"/>
      <c r="AU143" s="132"/>
      <c r="AV143" s="132"/>
      <c r="AW143" s="132"/>
      <c r="AY143" s="930" t="e">
        <f>'Calculations Yr 2'!CP143/'Calculations Yr 2'!I143</f>
        <v>#VALUE!</v>
      </c>
    </row>
    <row r="144" spans="1:51" s="97" customFormat="1" ht="12.75" customHeight="1">
      <c r="A144" s="97" t="s">
        <v>79</v>
      </c>
      <c r="B144" s="914" t="s">
        <v>872</v>
      </c>
      <c r="C144" s="914" t="s">
        <v>765</v>
      </c>
      <c r="E144" s="914" t="s">
        <v>453</v>
      </c>
      <c r="F144" s="914"/>
      <c r="G144" s="914"/>
      <c r="H144" s="914"/>
      <c r="I144" s="914"/>
      <c r="J144" s="974"/>
      <c r="K144" s="936"/>
      <c r="L144" s="888">
        <f t="shared" si="25"/>
        <v>0</v>
      </c>
      <c r="M144" s="982"/>
      <c r="N144" s="983"/>
      <c r="O144" s="983"/>
      <c r="P144" s="949"/>
      <c r="Q144" s="983"/>
      <c r="R144" s="914"/>
      <c r="S144" s="914"/>
      <c r="T144" s="914"/>
      <c r="U144" s="983"/>
      <c r="V144" s="983"/>
      <c r="W144" s="914"/>
      <c r="X144" s="937"/>
      <c r="Y144" s="299">
        <f>IFERROR(VLOOKUP($X144,'Demand Lookups'!$A$5:$K$101,9,0), 0)</f>
        <v>0</v>
      </c>
      <c r="Z144" s="922">
        <f>IFERROR(VLOOKUP(X144,'Demand Lookups'!$A$5:$B$101,2,0),0)</f>
        <v>0</v>
      </c>
      <c r="AA144" s="954"/>
      <c r="AB144" s="954"/>
      <c r="AC144" s="954"/>
      <c r="AD144" s="954"/>
      <c r="AE144" s="954"/>
      <c r="AF144" s="954"/>
      <c r="AG144" s="954"/>
      <c r="AH144" s="954"/>
      <c r="AI144" s="954"/>
      <c r="AK144" s="936"/>
      <c r="AP144" s="914"/>
      <c r="AQ144" s="132"/>
      <c r="AR144" s="132"/>
      <c r="AS144" s="132"/>
      <c r="AT144" s="132"/>
      <c r="AU144" s="132"/>
      <c r="AV144" s="132"/>
      <c r="AW144" s="132"/>
      <c r="AY144" s="930" t="e">
        <f>'Calculations Yr 2'!CP144/'Calculations Yr 2'!I144</f>
        <v>#VALUE!</v>
      </c>
    </row>
    <row r="145" spans="1:240" s="97" customFormat="1" ht="12.75" customHeight="1">
      <c r="A145" s="97" t="s">
        <v>79</v>
      </c>
      <c r="B145" s="914" t="s">
        <v>872</v>
      </c>
      <c r="C145" s="914" t="s">
        <v>765</v>
      </c>
      <c r="E145" s="914" t="s">
        <v>453</v>
      </c>
      <c r="F145" s="914"/>
      <c r="G145" s="914"/>
      <c r="H145" s="914"/>
      <c r="I145" s="914"/>
      <c r="J145" s="974"/>
      <c r="K145" s="936"/>
      <c r="L145" s="888">
        <f t="shared" si="25"/>
        <v>0</v>
      </c>
      <c r="M145" s="982"/>
      <c r="N145" s="983"/>
      <c r="O145" s="983"/>
      <c r="P145" s="949"/>
      <c r="Q145" s="983"/>
      <c r="R145" s="914"/>
      <c r="S145" s="914"/>
      <c r="T145" s="914"/>
      <c r="U145" s="983"/>
      <c r="V145" s="983"/>
      <c r="W145" s="914"/>
      <c r="X145" s="937"/>
      <c r="Y145" s="299">
        <f>IFERROR(VLOOKUP($X145,'Demand Lookups'!$A$5:$K$101,9,0), 0)</f>
        <v>0</v>
      </c>
      <c r="Z145" s="922">
        <f>IFERROR(VLOOKUP(X145,'Demand Lookups'!$A$5:$B$101,2,0),0)</f>
        <v>0</v>
      </c>
      <c r="AA145" s="954"/>
      <c r="AB145" s="954"/>
      <c r="AC145" s="954"/>
      <c r="AD145" s="954"/>
      <c r="AE145" s="954"/>
      <c r="AF145" s="954"/>
      <c r="AG145" s="954"/>
      <c r="AH145" s="954"/>
      <c r="AI145" s="954"/>
      <c r="AK145" s="936"/>
      <c r="AP145" s="914"/>
      <c r="AQ145" s="132"/>
      <c r="AR145" s="132"/>
      <c r="AS145" s="132"/>
      <c r="AT145" s="132"/>
      <c r="AU145" s="132"/>
      <c r="AV145" s="132"/>
      <c r="AW145" s="132"/>
      <c r="AY145" s="930" t="e">
        <f>'Calculations Yr 2'!CP145/'Calculations Yr 2'!I145</f>
        <v>#VALUE!</v>
      </c>
    </row>
    <row r="146" spans="1:240" s="149" customFormat="1" ht="13.5" customHeight="1" thickBot="1">
      <c r="A146" s="149" t="s">
        <v>79</v>
      </c>
      <c r="B146" s="915" t="s">
        <v>872</v>
      </c>
      <c r="C146" s="915" t="s">
        <v>765</v>
      </c>
      <c r="E146" s="915" t="s">
        <v>453</v>
      </c>
      <c r="F146" s="915"/>
      <c r="G146" s="915"/>
      <c r="H146" s="915"/>
      <c r="I146" s="915"/>
      <c r="J146" s="975"/>
      <c r="L146" s="898">
        <f t="shared" si="25"/>
        <v>0</v>
      </c>
      <c r="M146" s="984"/>
      <c r="N146" s="985"/>
      <c r="O146" s="985"/>
      <c r="P146" s="897"/>
      <c r="Q146" s="984"/>
      <c r="R146" s="915"/>
      <c r="S146" s="915"/>
      <c r="T146" s="915"/>
      <c r="U146" s="985"/>
      <c r="V146" s="985"/>
      <c r="W146" s="915"/>
      <c r="X146" s="937"/>
      <c r="Y146" s="302">
        <f>IFERROR(VLOOKUP($X146,'Demand Lookups'!$A$5:$K$101,9,0), 0)</f>
        <v>0</v>
      </c>
      <c r="Z146" s="923">
        <f>IFERROR(VLOOKUP(X146,'Demand Lookups'!$A$5:$B$101,2,0),0)</f>
        <v>0</v>
      </c>
      <c r="AA146" s="960"/>
      <c r="AB146" s="960"/>
      <c r="AC146" s="960"/>
      <c r="AD146" s="960"/>
      <c r="AE146" s="960"/>
      <c r="AF146" s="960"/>
      <c r="AG146" s="960"/>
      <c r="AH146" s="960"/>
      <c r="AI146" s="960"/>
      <c r="AP146" s="915"/>
      <c r="AQ146" s="146"/>
      <c r="AR146" s="146"/>
      <c r="AS146" s="146"/>
      <c r="AT146" s="146"/>
      <c r="AU146" s="146"/>
      <c r="AV146" s="146"/>
      <c r="AW146" s="146"/>
      <c r="AY146" s="930" t="e">
        <f>'Calculations Yr 2'!CP146/'Calculations Yr 2'!I146</f>
        <v>#VALUE!</v>
      </c>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7"/>
      <c r="FX146" s="97"/>
      <c r="FY146" s="97"/>
      <c r="FZ146" s="97"/>
      <c r="GA146" s="97"/>
      <c r="GB146" s="97"/>
      <c r="GC146" s="97"/>
      <c r="GD146" s="97"/>
      <c r="GE146" s="97"/>
      <c r="GF146" s="97"/>
      <c r="GG146" s="97"/>
      <c r="GH146" s="97"/>
      <c r="GI146" s="97"/>
      <c r="GJ146" s="97"/>
      <c r="GK146" s="97"/>
      <c r="GL146" s="97"/>
      <c r="GM146" s="97"/>
      <c r="GN146" s="97"/>
      <c r="GO146" s="97"/>
      <c r="GP146" s="97"/>
      <c r="GQ146" s="97"/>
      <c r="GR146" s="97"/>
      <c r="GS146" s="97"/>
      <c r="GT146" s="97"/>
      <c r="GU146" s="97"/>
      <c r="GV146" s="97"/>
      <c r="GW146" s="97"/>
      <c r="GX146" s="97"/>
      <c r="GY146" s="97"/>
      <c r="GZ146" s="97"/>
      <c r="HA146" s="97"/>
      <c r="HB146" s="97"/>
      <c r="HC146" s="97"/>
      <c r="HD146" s="97"/>
      <c r="HE146" s="97"/>
      <c r="HF146" s="97"/>
      <c r="HG146" s="97"/>
      <c r="HH146" s="97"/>
      <c r="HI146" s="97"/>
      <c r="HJ146" s="97"/>
      <c r="HK146" s="97"/>
      <c r="HL146" s="97"/>
      <c r="HM146" s="97"/>
      <c r="HN146" s="97"/>
      <c r="HO146" s="97"/>
      <c r="HP146" s="97"/>
      <c r="HQ146" s="97"/>
      <c r="HR146" s="97"/>
      <c r="HS146" s="97"/>
      <c r="HT146" s="97"/>
      <c r="HU146" s="97"/>
      <c r="HV146" s="97"/>
      <c r="HW146" s="97"/>
      <c r="HX146" s="97"/>
      <c r="HY146" s="97"/>
      <c r="HZ146" s="97"/>
      <c r="IA146" s="97"/>
      <c r="IB146" s="97"/>
      <c r="IC146" s="97"/>
      <c r="ID146" s="97"/>
      <c r="IE146" s="97"/>
      <c r="IF146" s="97"/>
    </row>
    <row r="147" spans="1:240" s="133" customFormat="1" ht="12.75" customHeight="1">
      <c r="A147" s="145" t="s">
        <v>83</v>
      </c>
      <c r="B147" s="132" t="s">
        <v>873</v>
      </c>
      <c r="C147" s="914" t="s">
        <v>661</v>
      </c>
      <c r="D147" s="904" t="s">
        <v>1542</v>
      </c>
      <c r="E147" s="98" t="s">
        <v>1506</v>
      </c>
      <c r="F147" s="98" t="s">
        <v>1049</v>
      </c>
      <c r="G147" s="145" t="s">
        <v>1244</v>
      </c>
      <c r="H147" s="165">
        <v>1</v>
      </c>
      <c r="I147" s="232">
        <v>15</v>
      </c>
      <c r="J147" s="971">
        <v>56703.200000000004</v>
      </c>
      <c r="K147" s="871">
        <v>42527.4</v>
      </c>
      <c r="L147" s="888">
        <f t="shared" si="25"/>
        <v>14175.800000000003</v>
      </c>
      <c r="M147" s="978">
        <v>0.11</v>
      </c>
      <c r="N147" s="978">
        <v>2.5999999999999999E-2</v>
      </c>
      <c r="O147" s="978">
        <v>3.0000000000000001E-3</v>
      </c>
      <c r="P147" s="889">
        <f t="shared" si="26"/>
        <v>0.91900000000000004</v>
      </c>
      <c r="Q147" s="978">
        <v>1</v>
      </c>
      <c r="R147" s="178">
        <v>1</v>
      </c>
      <c r="S147" s="178">
        <v>1</v>
      </c>
      <c r="T147" s="178">
        <v>1</v>
      </c>
      <c r="U147" s="978">
        <v>1.01</v>
      </c>
      <c r="V147" s="978">
        <v>1</v>
      </c>
      <c r="W147" s="179"/>
      <c r="X147" s="909" t="s">
        <v>653</v>
      </c>
      <c r="Y147" s="299">
        <f>IFERROR(VLOOKUP($X147,'Demand Lookups'!$A$5:$K$101,9,0), 0)</f>
        <v>0</v>
      </c>
      <c r="Z147" s="922" t="str">
        <f>IFERROR(VLOOKUP(X147,'Demand Lookups'!$A$5:$B$101,2,0),0)</f>
        <v>Non-Electric Measures</v>
      </c>
      <c r="AA147" s="835">
        <f>IF(ISNA(VLOOKUP($X147,'Demand Lookups'!$A$5:$K$81,3,0)),0,VLOOKUP($X147,'Demand Lookups'!$A$5:$K$81,3,0))</f>
        <v>0</v>
      </c>
      <c r="AB147" s="835">
        <f>IF(ISNA(VLOOKUP($X147,'Demand Lookups'!$A$5:$K$81,4,0)),0,VLOOKUP($X147,'Demand Lookups'!$A$5:$K$81,4,0))</f>
        <v>0</v>
      </c>
      <c r="AC147" s="835">
        <f>IF(ISNA(VLOOKUP($X147,'Demand Lookups'!$A$5:$K$81,5,0)),0,VLOOKUP($X147,'Demand Lookups'!$A$5:$K$81,5,0))</f>
        <v>0</v>
      </c>
      <c r="AD147" s="836">
        <f>IF(ISNA(VLOOKUP($X147,'Demand Lookups'!$A$5:$K$81,6,0)),0,VLOOKUP($X147,'Demand Lookups'!$A$5:$K$81,6,0))</f>
        <v>0</v>
      </c>
      <c r="AE147" s="837">
        <f t="shared" si="27"/>
        <v>0</v>
      </c>
      <c r="AF147" s="836">
        <f>ROUND(IF(ISNA(VLOOKUP($X147,'Demand Lookups'!$A$5:$K$82,10,0)),0,(VLOOKUP($X147,'Demand Lookups'!$A$5:$K$82,10,0))),2)</f>
        <v>0</v>
      </c>
      <c r="AG147" s="836">
        <f>ROUND(IF(ISNA(VLOOKUP($X147,'Demand Lookups'!$A$5:$K$82,11,0)),0,VLOOKUP($X147,'Demand Lookups'!$A$5:$K$82,11,0)),2)</f>
        <v>0</v>
      </c>
      <c r="AH147" s="648">
        <f t="shared" si="28"/>
        <v>0</v>
      </c>
      <c r="AI147" s="648">
        <f t="shared" si="29"/>
        <v>0</v>
      </c>
      <c r="AJ147" s="167" t="s">
        <v>87</v>
      </c>
      <c r="AK147" s="168">
        <v>1607.8</v>
      </c>
      <c r="AL147" s="167"/>
      <c r="AM147" s="168"/>
      <c r="AN147" s="167"/>
      <c r="AO147" s="168"/>
      <c r="AP147" s="167"/>
      <c r="AQ147" s="171">
        <v>0</v>
      </c>
      <c r="AR147" s="171">
        <v>0</v>
      </c>
      <c r="AS147" s="299">
        <f>SUMIF('NEI Lookups'!$L:$L,'Inputs Yr 2'!$F147,'NEI Lookups'!E:E)+SUMIF('NEI Lookups'!$M:$M,'Inputs Yr 2'!$F147,'NEI Lookups'!E:E)+SUMIF('NEI Lookups'!$N:$N,'Inputs Yr 2'!$F147,'NEI Lookups'!E:E)+SUMIF('NEI Lookups'!$O:$O,'Inputs Yr 2'!$F147,'NEI Lookups'!E:E)+SUMIF('NEI Lookups'!$P:$P,'Inputs Yr 2'!$F147,'NEI Lookups'!E:E)+SUMIF('NEI Lookups'!$Q:$Q,'Inputs Yr 2'!$F147,'NEI Lookups'!E:E)+SUMIF('NEI Lookups'!$R:$R,'Inputs Yr 2'!$F147,'NEI Lookups'!E:E)+SUMIF('NEI Lookups'!$S:$S,'Inputs Yr 2'!$F147,'NEI Lookups'!E:E)+SUMIF('NEI Lookups'!$T:$T,'Inputs Yr 2'!$F147,'NEI Lookups'!E:E)</f>
        <v>0</v>
      </c>
      <c r="AT147" s="299">
        <f>SUMIF('NEI Lookups'!$L:$L,'Inputs Yr 2'!$F147,'NEI Lookups'!F:F)+SUMIF('NEI Lookups'!$M:$M,'Inputs Yr 2'!$F147,'NEI Lookups'!F:F)+SUMIF('NEI Lookups'!$N:$N,'Inputs Yr 2'!$F147,'NEI Lookups'!F:F)+SUMIF('NEI Lookups'!$O:$O,'Inputs Yr 2'!$F147,'NEI Lookups'!F:F)+SUMIF('NEI Lookups'!$P:$P,'Inputs Yr 2'!$F147,'NEI Lookups'!F:F)+SUMIF('NEI Lookups'!$Q:$Q,'Inputs Yr 2'!$F147,'NEI Lookups'!F:F)+SUMIF('NEI Lookups'!$R:$R,'Inputs Yr 2'!$F147,'NEI Lookups'!F:F)+SUMIF('NEI Lookups'!$S:$S,'Inputs Yr 2'!$F147,'NEI Lookups'!F:F)+SUMIF('NEI Lookups'!$T:$T,'Inputs Yr 2'!$F147,'NEI Lookups'!F:F)</f>
        <v>0</v>
      </c>
      <c r="AU147" s="299">
        <f>SUMIF('NEI Lookups'!$L:$L,'Inputs Yr 2'!$F147,'NEI Lookups'!G:G)+SUMIF('NEI Lookups'!$M:$M,'Inputs Yr 2'!$F147,'NEI Lookups'!G:G)+SUMIF('NEI Lookups'!$N:$N,'Inputs Yr 2'!$F147,'NEI Lookups'!G:G)+SUMIF('NEI Lookups'!$O:$O,'Inputs Yr 2'!$F147,'NEI Lookups'!G:G)+SUMIF('NEI Lookups'!$P:$P,'Inputs Yr 2'!$F147,'NEI Lookups'!G:G)+SUMIF('NEI Lookups'!$Q:$Q,'Inputs Yr 2'!$F147,'NEI Lookups'!G:G)+SUMIF('NEI Lookups'!$R:$R,'Inputs Yr 2'!$F147,'NEI Lookups'!G:G)+SUMIF('NEI Lookups'!$S:$S,'Inputs Yr 2'!$F147,'NEI Lookups'!G:G)+SUMIF('NEI Lookups'!$T:$T,'Inputs Yr 2'!$F147,'NEI Lookups'!G:G)</f>
        <v>0</v>
      </c>
      <c r="AV147" s="299">
        <f>SUMIF('NEI Lookups'!$L:$L,'Inputs Yr 2'!$F147,'NEI Lookups'!H:H)+SUMIF('NEI Lookups'!$M:$M,'Inputs Yr 2'!$F147,'NEI Lookups'!H:H)+SUMIF('NEI Lookups'!$N:$N,'Inputs Yr 2'!$F147,'NEI Lookups'!H:H)+SUMIF('NEI Lookups'!$O:$O,'Inputs Yr 2'!$F147,'NEI Lookups'!H:H)+SUMIF('NEI Lookups'!$P:$P,'Inputs Yr 2'!$F147,'NEI Lookups'!H:H)+SUMIF('NEI Lookups'!$Q:$Q,'Inputs Yr 2'!$F147,'NEI Lookups'!H:H)+SUMIF('NEI Lookups'!$R:$R,'Inputs Yr 2'!$F147,'NEI Lookups'!H:H)+SUMIF('NEI Lookups'!$S:$S,'Inputs Yr 2'!$F147,'NEI Lookups'!H:H)+SUMIF('NEI Lookups'!$T:$T,'Inputs Yr 2'!$F147,'NEI Lookups'!H:H)</f>
        <v>0</v>
      </c>
      <c r="AW147" s="940">
        <f>SUMIF('NEI Lookups'!$L:$L,'Inputs Yr 2'!$F147,'NEI Lookups'!I:I)+SUMIF('NEI Lookups'!$M:$M,'Inputs Yr 2'!$F147,'NEI Lookups'!I:I)+SUMIF('NEI Lookups'!$N:$N,'Inputs Yr 2'!$F147,'NEI Lookups'!I:I)+SUMIF('NEI Lookups'!$O:$O,'Inputs Yr 2'!$F147,'NEI Lookups'!I:I)+SUMIF('NEI Lookups'!$P:$P,'Inputs Yr 2'!$F147,'NEI Lookups'!I:I)+SUMIF('NEI Lookups'!$Q:$Q,'Inputs Yr 2'!$F147,'NEI Lookups'!I:I)+SUMIF('NEI Lookups'!$R:$R,'Inputs Yr 2'!$F147,'NEI Lookups'!I:I)+SUMIF('NEI Lookups'!$S:$S,'Inputs Yr 2'!$F147,'NEI Lookups'!I:I)+SUMIF('NEI Lookups'!$T:$T,'Inputs Yr 2'!$F147,'NEI Lookups'!I:I)</f>
        <v>-4.0000000000000001E-3</v>
      </c>
      <c r="AX147" s="299">
        <f>SUMIF('NEI Lookups'!$L:$L,'Inputs Yr 2'!$F147,'NEI Lookups'!J:J)+SUMIF('NEI Lookups'!$M:$M,'Inputs Yr 2'!$F147,'NEI Lookups'!J:J)+SUMIF('NEI Lookups'!$N:$N,'Inputs Yr 2'!$F147,'NEI Lookups'!J:J)+SUMIF('NEI Lookups'!$O:$O,'Inputs Yr 2'!$F147,'NEI Lookups'!J:J)+SUMIF('NEI Lookups'!$P:$P,'Inputs Yr 2'!$F147,'NEI Lookups'!J:J)+SUMIF('NEI Lookups'!$Q:$Q,'Inputs Yr 2'!$F147,'NEI Lookups'!J:J)+SUMIF('NEI Lookups'!$R:$R,'Inputs Yr 2'!$F147,'NEI Lookups'!J:J)+SUMIF('NEI Lookups'!$S:$S,'Inputs Yr 2'!$F147,'NEI Lookups'!J:J)+SUMIF('NEI Lookups'!$T:$T,'Inputs Yr 2'!$F147,'NEI Lookups'!J:J)</f>
        <v>0</v>
      </c>
      <c r="AY147" s="931">
        <f>'Calculations Yr 2'!CP147/'Calculations Yr 2'!I147</f>
        <v>3.6279797912684244</v>
      </c>
    </row>
    <row r="148" spans="1:240" s="133" customFormat="1" ht="12.75" customHeight="1">
      <c r="A148" s="145" t="s">
        <v>83</v>
      </c>
      <c r="B148" s="132" t="s">
        <v>873</v>
      </c>
      <c r="C148" s="914" t="s">
        <v>661</v>
      </c>
      <c r="D148" s="904" t="s">
        <v>1542</v>
      </c>
      <c r="E148" s="98" t="s">
        <v>1342</v>
      </c>
      <c r="F148" s="98" t="s">
        <v>1049</v>
      </c>
      <c r="G148" s="145" t="s">
        <v>1244</v>
      </c>
      <c r="H148" s="165">
        <v>1</v>
      </c>
      <c r="I148" s="232">
        <v>16</v>
      </c>
      <c r="J148" s="971">
        <v>263301.89333333331</v>
      </c>
      <c r="K148" s="871">
        <v>197476.41999999998</v>
      </c>
      <c r="L148" s="888">
        <f t="shared" si="25"/>
        <v>65825.473333333328</v>
      </c>
      <c r="M148" s="978">
        <v>0.11</v>
      </c>
      <c r="N148" s="978">
        <v>2.5999999999999999E-2</v>
      </c>
      <c r="O148" s="978">
        <v>3.0000000000000001E-3</v>
      </c>
      <c r="P148" s="889">
        <f t="shared" ref="P148:P152" si="37">1-M148+N148+O148</f>
        <v>0.91900000000000004</v>
      </c>
      <c r="Q148" s="978">
        <v>1</v>
      </c>
      <c r="R148" s="178">
        <v>1</v>
      </c>
      <c r="S148" s="178">
        <v>1</v>
      </c>
      <c r="T148" s="178">
        <v>1</v>
      </c>
      <c r="U148" s="978">
        <v>1.01</v>
      </c>
      <c r="V148" s="978">
        <v>1</v>
      </c>
      <c r="W148" s="179"/>
      <c r="X148" s="937" t="s">
        <v>653</v>
      </c>
      <c r="Y148" s="299"/>
      <c r="Z148" s="922" t="str">
        <f>IFERROR(VLOOKUP(X148,'Demand Lookups'!$A$5:$B$101,2,0),0)</f>
        <v>Non-Electric Measures</v>
      </c>
      <c r="AA148" s="835">
        <f>IF(ISNA(VLOOKUP($X148,'Demand Lookups'!$A$5:$K$81,3,0)),0,VLOOKUP($X148,'Demand Lookups'!$A$5:$K$81,3,0))</f>
        <v>0</v>
      </c>
      <c r="AB148" s="835">
        <f>IF(ISNA(VLOOKUP($X148,'Demand Lookups'!$A$5:$K$81,4,0)),0,VLOOKUP($X148,'Demand Lookups'!$A$5:$K$81,4,0))</f>
        <v>0</v>
      </c>
      <c r="AC148" s="835">
        <f>IF(ISNA(VLOOKUP($X148,'Demand Lookups'!$A$5:$K$81,5,0)),0,VLOOKUP($X148,'Demand Lookups'!$A$5:$K$81,5,0))</f>
        <v>0</v>
      </c>
      <c r="AD148" s="836">
        <f>IF(ISNA(VLOOKUP($X148,'Demand Lookups'!$A$5:$K$81,6,0)),0,VLOOKUP($X148,'Demand Lookups'!$A$5:$K$81,6,0))</f>
        <v>0</v>
      </c>
      <c r="AE148" s="837">
        <f t="shared" ref="AE148:AE152" si="38">IF(ISERROR(W148*Y148),"",W148*Y148)</f>
        <v>0</v>
      </c>
      <c r="AF148" s="836">
        <f>ROUND(IF(ISNA(VLOOKUP($X148,'Demand Lookups'!$A$5:$K$82,10,0)),0,(VLOOKUP($X148,'Demand Lookups'!$A$5:$K$82,10,0))),2)</f>
        <v>0</v>
      </c>
      <c r="AG148" s="836">
        <f>ROUND(IF(ISNA(VLOOKUP($X148,'Demand Lookups'!$A$5:$K$82,11,0)),0,VLOOKUP($X148,'Demand Lookups'!$A$5:$K$82,11,0)),2)</f>
        <v>0</v>
      </c>
      <c r="AH148" s="648">
        <f t="shared" ref="AH148:AH152" si="39">AF148</f>
        <v>0</v>
      </c>
      <c r="AI148" s="648">
        <f t="shared" ref="AI148:AI152" si="40">AF148</f>
        <v>0</v>
      </c>
      <c r="AJ148" s="167" t="s">
        <v>87</v>
      </c>
      <c r="AK148" s="168">
        <v>11616.26</v>
      </c>
      <c r="AL148" s="167"/>
      <c r="AM148" s="168"/>
      <c r="AN148" s="167"/>
      <c r="AO148" s="168"/>
      <c r="AP148" s="167"/>
      <c r="AQ148" s="171"/>
      <c r="AR148" s="171"/>
      <c r="AS148" s="299">
        <f>SUMIF('NEI Lookups'!$L:$L,'Inputs Yr 2'!$F148,'NEI Lookups'!E:E)+SUMIF('NEI Lookups'!$M:$M,'Inputs Yr 2'!$F148,'NEI Lookups'!E:E)+SUMIF('NEI Lookups'!$N:$N,'Inputs Yr 2'!$F148,'NEI Lookups'!E:E)+SUMIF('NEI Lookups'!$O:$O,'Inputs Yr 2'!$F148,'NEI Lookups'!E:E)+SUMIF('NEI Lookups'!$P:$P,'Inputs Yr 2'!$F148,'NEI Lookups'!E:E)+SUMIF('NEI Lookups'!$Q:$Q,'Inputs Yr 2'!$F148,'NEI Lookups'!E:E)+SUMIF('NEI Lookups'!$R:$R,'Inputs Yr 2'!$F148,'NEI Lookups'!E:E)+SUMIF('NEI Lookups'!$S:$S,'Inputs Yr 2'!$F148,'NEI Lookups'!E:E)+SUMIF('NEI Lookups'!$T:$T,'Inputs Yr 2'!$F148,'NEI Lookups'!E:E)</f>
        <v>0</v>
      </c>
      <c r="AT148" s="299">
        <f>SUMIF('NEI Lookups'!$L:$L,'Inputs Yr 2'!$F148,'NEI Lookups'!F:F)+SUMIF('NEI Lookups'!$M:$M,'Inputs Yr 2'!$F148,'NEI Lookups'!F:F)+SUMIF('NEI Lookups'!$N:$N,'Inputs Yr 2'!$F148,'NEI Lookups'!F:F)+SUMIF('NEI Lookups'!$O:$O,'Inputs Yr 2'!$F148,'NEI Lookups'!F:F)+SUMIF('NEI Lookups'!$P:$P,'Inputs Yr 2'!$F148,'NEI Lookups'!F:F)+SUMIF('NEI Lookups'!$Q:$Q,'Inputs Yr 2'!$F148,'NEI Lookups'!F:F)+SUMIF('NEI Lookups'!$R:$R,'Inputs Yr 2'!$F148,'NEI Lookups'!F:F)+SUMIF('NEI Lookups'!$S:$S,'Inputs Yr 2'!$F148,'NEI Lookups'!F:F)+SUMIF('NEI Lookups'!$T:$T,'Inputs Yr 2'!$F148,'NEI Lookups'!F:F)</f>
        <v>0</v>
      </c>
      <c r="AU148" s="299">
        <f>SUMIF('NEI Lookups'!$L:$L,'Inputs Yr 2'!$F148,'NEI Lookups'!G:G)+SUMIF('NEI Lookups'!$M:$M,'Inputs Yr 2'!$F148,'NEI Lookups'!G:G)+SUMIF('NEI Lookups'!$N:$N,'Inputs Yr 2'!$F148,'NEI Lookups'!G:G)+SUMIF('NEI Lookups'!$O:$O,'Inputs Yr 2'!$F148,'NEI Lookups'!G:G)+SUMIF('NEI Lookups'!$P:$P,'Inputs Yr 2'!$F148,'NEI Lookups'!G:G)+SUMIF('NEI Lookups'!$Q:$Q,'Inputs Yr 2'!$F148,'NEI Lookups'!G:G)+SUMIF('NEI Lookups'!$R:$R,'Inputs Yr 2'!$F148,'NEI Lookups'!G:G)+SUMIF('NEI Lookups'!$S:$S,'Inputs Yr 2'!$F148,'NEI Lookups'!G:G)+SUMIF('NEI Lookups'!$T:$T,'Inputs Yr 2'!$F148,'NEI Lookups'!G:G)</f>
        <v>0</v>
      </c>
      <c r="AV148" s="299">
        <f>SUMIF('NEI Lookups'!$L:$L,'Inputs Yr 2'!$F148,'NEI Lookups'!H:H)+SUMIF('NEI Lookups'!$M:$M,'Inputs Yr 2'!$F148,'NEI Lookups'!H:H)+SUMIF('NEI Lookups'!$N:$N,'Inputs Yr 2'!$F148,'NEI Lookups'!H:H)+SUMIF('NEI Lookups'!$O:$O,'Inputs Yr 2'!$F148,'NEI Lookups'!H:H)+SUMIF('NEI Lookups'!$P:$P,'Inputs Yr 2'!$F148,'NEI Lookups'!H:H)+SUMIF('NEI Lookups'!$Q:$Q,'Inputs Yr 2'!$F148,'NEI Lookups'!H:H)+SUMIF('NEI Lookups'!$R:$R,'Inputs Yr 2'!$F148,'NEI Lookups'!H:H)+SUMIF('NEI Lookups'!$S:$S,'Inputs Yr 2'!$F148,'NEI Lookups'!H:H)+SUMIF('NEI Lookups'!$T:$T,'Inputs Yr 2'!$F148,'NEI Lookups'!H:H)</f>
        <v>0</v>
      </c>
      <c r="AW148" s="940">
        <f>SUMIF('NEI Lookups'!$L:$L,'Inputs Yr 2'!$F148,'NEI Lookups'!I:I)+SUMIF('NEI Lookups'!$M:$M,'Inputs Yr 2'!$F148,'NEI Lookups'!I:I)+SUMIF('NEI Lookups'!$N:$N,'Inputs Yr 2'!$F148,'NEI Lookups'!I:I)+SUMIF('NEI Lookups'!$O:$O,'Inputs Yr 2'!$F148,'NEI Lookups'!I:I)+SUMIF('NEI Lookups'!$P:$P,'Inputs Yr 2'!$F148,'NEI Lookups'!I:I)+SUMIF('NEI Lookups'!$Q:$Q,'Inputs Yr 2'!$F148,'NEI Lookups'!I:I)+SUMIF('NEI Lookups'!$R:$R,'Inputs Yr 2'!$F148,'NEI Lookups'!I:I)+SUMIF('NEI Lookups'!$S:$S,'Inputs Yr 2'!$F148,'NEI Lookups'!I:I)+SUMIF('NEI Lookups'!$T:$T,'Inputs Yr 2'!$F148,'NEI Lookups'!I:I)</f>
        <v>-4.0000000000000001E-3</v>
      </c>
      <c r="AX148" s="299">
        <f>SUMIF('NEI Lookups'!$L:$L,'Inputs Yr 2'!$F148,'NEI Lookups'!J:J)+SUMIF('NEI Lookups'!$M:$M,'Inputs Yr 2'!$F148,'NEI Lookups'!J:J)+SUMIF('NEI Lookups'!$N:$N,'Inputs Yr 2'!$F148,'NEI Lookups'!J:J)+SUMIF('NEI Lookups'!$O:$O,'Inputs Yr 2'!$F148,'NEI Lookups'!J:J)+SUMIF('NEI Lookups'!$P:$P,'Inputs Yr 2'!$F148,'NEI Lookups'!J:J)+SUMIF('NEI Lookups'!$Q:$Q,'Inputs Yr 2'!$F148,'NEI Lookups'!J:J)+SUMIF('NEI Lookups'!$R:$R,'Inputs Yr 2'!$F148,'NEI Lookups'!J:J)+SUMIF('NEI Lookups'!$S:$S,'Inputs Yr 2'!$F148,'NEI Lookups'!J:J)+SUMIF('NEI Lookups'!$T:$T,'Inputs Yr 2'!$F148,'NEI Lookups'!J:J)</f>
        <v>0</v>
      </c>
      <c r="AY148" s="930">
        <f>'Calculations Yr 2'!CP148/'Calculations Yr 2'!I148</f>
        <v>6.0362088046641578</v>
      </c>
    </row>
    <row r="149" spans="1:240" s="133" customFormat="1" ht="12.75" customHeight="1">
      <c r="A149" s="145" t="s">
        <v>83</v>
      </c>
      <c r="B149" s="132" t="s">
        <v>873</v>
      </c>
      <c r="C149" s="914" t="s">
        <v>661</v>
      </c>
      <c r="D149" s="904" t="s">
        <v>1542</v>
      </c>
      <c r="E149" s="98" t="s">
        <v>1343</v>
      </c>
      <c r="F149" s="98" t="s">
        <v>1049</v>
      </c>
      <c r="G149" s="145" t="s">
        <v>1244</v>
      </c>
      <c r="H149" s="165">
        <v>1</v>
      </c>
      <c r="I149" s="232">
        <v>17</v>
      </c>
      <c r="J149" s="971">
        <v>827075.89333333343</v>
      </c>
      <c r="K149" s="871">
        <v>620306.92000000004</v>
      </c>
      <c r="L149" s="888">
        <f t="shared" si="25"/>
        <v>206768.97333333339</v>
      </c>
      <c r="M149" s="978">
        <v>0.11</v>
      </c>
      <c r="N149" s="978">
        <v>2.5999999999999999E-2</v>
      </c>
      <c r="O149" s="978">
        <v>3.0000000000000001E-3</v>
      </c>
      <c r="P149" s="889">
        <f t="shared" si="37"/>
        <v>0.91900000000000004</v>
      </c>
      <c r="Q149" s="978">
        <v>1</v>
      </c>
      <c r="R149" s="178">
        <v>1</v>
      </c>
      <c r="S149" s="178">
        <v>1</v>
      </c>
      <c r="T149" s="178">
        <v>1</v>
      </c>
      <c r="U149" s="978">
        <v>1.01</v>
      </c>
      <c r="V149" s="978">
        <v>1</v>
      </c>
      <c r="W149" s="179"/>
      <c r="X149" s="937" t="s">
        <v>653</v>
      </c>
      <c r="Y149" s="299"/>
      <c r="Z149" s="922" t="str">
        <f>IFERROR(VLOOKUP(X149,'Demand Lookups'!$A$5:$B$101,2,0),0)</f>
        <v>Non-Electric Measures</v>
      </c>
      <c r="AA149" s="835">
        <f>IF(ISNA(VLOOKUP($X149,'Demand Lookups'!$A$5:$K$81,3,0)),0,VLOOKUP($X149,'Demand Lookups'!$A$5:$K$81,3,0))</f>
        <v>0</v>
      </c>
      <c r="AB149" s="835">
        <f>IF(ISNA(VLOOKUP($X149,'Demand Lookups'!$A$5:$K$81,4,0)),0,VLOOKUP($X149,'Demand Lookups'!$A$5:$K$81,4,0))</f>
        <v>0</v>
      </c>
      <c r="AC149" s="835">
        <f>IF(ISNA(VLOOKUP($X149,'Demand Lookups'!$A$5:$K$81,5,0)),0,VLOOKUP($X149,'Demand Lookups'!$A$5:$K$81,5,0))</f>
        <v>0</v>
      </c>
      <c r="AD149" s="836">
        <f>IF(ISNA(VLOOKUP($X149,'Demand Lookups'!$A$5:$K$81,6,0)),0,VLOOKUP($X149,'Demand Lookups'!$A$5:$K$81,6,0))</f>
        <v>0</v>
      </c>
      <c r="AE149" s="837">
        <f t="shared" si="38"/>
        <v>0</v>
      </c>
      <c r="AF149" s="836">
        <f>ROUND(IF(ISNA(VLOOKUP($X149,'Demand Lookups'!$A$5:$K$82,10,0)),0,(VLOOKUP($X149,'Demand Lookups'!$A$5:$K$82,10,0))),2)</f>
        <v>0</v>
      </c>
      <c r="AG149" s="836">
        <f>ROUND(IF(ISNA(VLOOKUP($X149,'Demand Lookups'!$A$5:$K$82,11,0)),0,VLOOKUP($X149,'Demand Lookups'!$A$5:$K$82,11,0)),2)</f>
        <v>0</v>
      </c>
      <c r="AH149" s="648">
        <f t="shared" si="39"/>
        <v>0</v>
      </c>
      <c r="AI149" s="648">
        <f t="shared" si="40"/>
        <v>0</v>
      </c>
      <c r="AJ149" s="167" t="s">
        <v>87</v>
      </c>
      <c r="AK149" s="168">
        <v>35930.959999999999</v>
      </c>
      <c r="AL149" s="167"/>
      <c r="AM149" s="168"/>
      <c r="AN149" s="167"/>
      <c r="AO149" s="168"/>
      <c r="AP149" s="167"/>
      <c r="AQ149" s="171"/>
      <c r="AR149" s="171"/>
      <c r="AS149" s="299">
        <f>SUMIF('NEI Lookups'!$L:$L,'Inputs Yr 2'!$F149,'NEI Lookups'!E:E)+SUMIF('NEI Lookups'!$M:$M,'Inputs Yr 2'!$F149,'NEI Lookups'!E:E)+SUMIF('NEI Lookups'!$N:$N,'Inputs Yr 2'!$F149,'NEI Lookups'!E:E)+SUMIF('NEI Lookups'!$O:$O,'Inputs Yr 2'!$F149,'NEI Lookups'!E:E)+SUMIF('NEI Lookups'!$P:$P,'Inputs Yr 2'!$F149,'NEI Lookups'!E:E)+SUMIF('NEI Lookups'!$Q:$Q,'Inputs Yr 2'!$F149,'NEI Lookups'!E:E)+SUMIF('NEI Lookups'!$R:$R,'Inputs Yr 2'!$F149,'NEI Lookups'!E:E)+SUMIF('NEI Lookups'!$S:$S,'Inputs Yr 2'!$F149,'NEI Lookups'!E:E)+SUMIF('NEI Lookups'!$T:$T,'Inputs Yr 2'!$F149,'NEI Lookups'!E:E)</f>
        <v>0</v>
      </c>
      <c r="AT149" s="299">
        <f>SUMIF('NEI Lookups'!$L:$L,'Inputs Yr 2'!$F149,'NEI Lookups'!F:F)+SUMIF('NEI Lookups'!$M:$M,'Inputs Yr 2'!$F149,'NEI Lookups'!F:F)+SUMIF('NEI Lookups'!$N:$N,'Inputs Yr 2'!$F149,'NEI Lookups'!F:F)+SUMIF('NEI Lookups'!$O:$O,'Inputs Yr 2'!$F149,'NEI Lookups'!F:F)+SUMIF('NEI Lookups'!$P:$P,'Inputs Yr 2'!$F149,'NEI Lookups'!F:F)+SUMIF('NEI Lookups'!$Q:$Q,'Inputs Yr 2'!$F149,'NEI Lookups'!F:F)+SUMIF('NEI Lookups'!$R:$R,'Inputs Yr 2'!$F149,'NEI Lookups'!F:F)+SUMIF('NEI Lookups'!$S:$S,'Inputs Yr 2'!$F149,'NEI Lookups'!F:F)+SUMIF('NEI Lookups'!$T:$T,'Inputs Yr 2'!$F149,'NEI Lookups'!F:F)</f>
        <v>0</v>
      </c>
      <c r="AU149" s="299">
        <f>SUMIF('NEI Lookups'!$L:$L,'Inputs Yr 2'!$F149,'NEI Lookups'!G:G)+SUMIF('NEI Lookups'!$M:$M,'Inputs Yr 2'!$F149,'NEI Lookups'!G:G)+SUMIF('NEI Lookups'!$N:$N,'Inputs Yr 2'!$F149,'NEI Lookups'!G:G)+SUMIF('NEI Lookups'!$O:$O,'Inputs Yr 2'!$F149,'NEI Lookups'!G:G)+SUMIF('NEI Lookups'!$P:$P,'Inputs Yr 2'!$F149,'NEI Lookups'!G:G)+SUMIF('NEI Lookups'!$Q:$Q,'Inputs Yr 2'!$F149,'NEI Lookups'!G:G)+SUMIF('NEI Lookups'!$R:$R,'Inputs Yr 2'!$F149,'NEI Lookups'!G:G)+SUMIF('NEI Lookups'!$S:$S,'Inputs Yr 2'!$F149,'NEI Lookups'!G:G)+SUMIF('NEI Lookups'!$T:$T,'Inputs Yr 2'!$F149,'NEI Lookups'!G:G)</f>
        <v>0</v>
      </c>
      <c r="AV149" s="299">
        <f>SUMIF('NEI Lookups'!$L:$L,'Inputs Yr 2'!$F149,'NEI Lookups'!H:H)+SUMIF('NEI Lookups'!$M:$M,'Inputs Yr 2'!$F149,'NEI Lookups'!H:H)+SUMIF('NEI Lookups'!$N:$N,'Inputs Yr 2'!$F149,'NEI Lookups'!H:H)+SUMIF('NEI Lookups'!$O:$O,'Inputs Yr 2'!$F149,'NEI Lookups'!H:H)+SUMIF('NEI Lookups'!$P:$P,'Inputs Yr 2'!$F149,'NEI Lookups'!H:H)+SUMIF('NEI Lookups'!$Q:$Q,'Inputs Yr 2'!$F149,'NEI Lookups'!H:H)+SUMIF('NEI Lookups'!$R:$R,'Inputs Yr 2'!$F149,'NEI Lookups'!H:H)+SUMIF('NEI Lookups'!$S:$S,'Inputs Yr 2'!$F149,'NEI Lookups'!H:H)+SUMIF('NEI Lookups'!$T:$T,'Inputs Yr 2'!$F149,'NEI Lookups'!H:H)</f>
        <v>0</v>
      </c>
      <c r="AW149" s="940">
        <f>SUMIF('NEI Lookups'!$L:$L,'Inputs Yr 2'!$F149,'NEI Lookups'!I:I)+SUMIF('NEI Lookups'!$M:$M,'Inputs Yr 2'!$F149,'NEI Lookups'!I:I)+SUMIF('NEI Lookups'!$N:$N,'Inputs Yr 2'!$F149,'NEI Lookups'!I:I)+SUMIF('NEI Lookups'!$O:$O,'Inputs Yr 2'!$F149,'NEI Lookups'!I:I)+SUMIF('NEI Lookups'!$P:$P,'Inputs Yr 2'!$F149,'NEI Lookups'!I:I)+SUMIF('NEI Lookups'!$Q:$Q,'Inputs Yr 2'!$F149,'NEI Lookups'!I:I)+SUMIF('NEI Lookups'!$R:$R,'Inputs Yr 2'!$F149,'NEI Lookups'!I:I)+SUMIF('NEI Lookups'!$S:$S,'Inputs Yr 2'!$F149,'NEI Lookups'!I:I)+SUMIF('NEI Lookups'!$T:$T,'Inputs Yr 2'!$F149,'NEI Lookups'!I:I)</f>
        <v>-4.0000000000000001E-3</v>
      </c>
      <c r="AX149" s="299">
        <f>SUMIF('NEI Lookups'!$L:$L,'Inputs Yr 2'!$F149,'NEI Lookups'!J:J)+SUMIF('NEI Lookups'!$M:$M,'Inputs Yr 2'!$F149,'NEI Lookups'!J:J)+SUMIF('NEI Lookups'!$N:$N,'Inputs Yr 2'!$F149,'NEI Lookups'!J:J)+SUMIF('NEI Lookups'!$O:$O,'Inputs Yr 2'!$F149,'NEI Lookups'!J:J)+SUMIF('NEI Lookups'!$P:$P,'Inputs Yr 2'!$F149,'NEI Lookups'!J:J)+SUMIF('NEI Lookups'!$Q:$Q,'Inputs Yr 2'!$F149,'NEI Lookups'!J:J)+SUMIF('NEI Lookups'!$R:$R,'Inputs Yr 2'!$F149,'NEI Lookups'!J:J)+SUMIF('NEI Lookups'!$S:$S,'Inputs Yr 2'!$F149,'NEI Lookups'!J:J)+SUMIF('NEI Lookups'!$T:$T,'Inputs Yr 2'!$F149,'NEI Lookups'!J:J)</f>
        <v>0</v>
      </c>
      <c r="AY149" s="930">
        <f>'Calculations Yr 2'!CP149/'Calculations Yr 2'!I149</f>
        <v>6.3334012440310463</v>
      </c>
    </row>
    <row r="150" spans="1:240" s="133" customFormat="1" ht="12.75" customHeight="1">
      <c r="A150" s="145" t="s">
        <v>83</v>
      </c>
      <c r="B150" s="132" t="s">
        <v>873</v>
      </c>
      <c r="C150" s="914" t="s">
        <v>661</v>
      </c>
      <c r="D150" s="904" t="s">
        <v>1542</v>
      </c>
      <c r="E150" s="98" t="s">
        <v>1344</v>
      </c>
      <c r="F150" s="98" t="s">
        <v>1049</v>
      </c>
      <c r="G150" s="145" t="s">
        <v>1244</v>
      </c>
      <c r="H150" s="165">
        <v>1</v>
      </c>
      <c r="I150" s="232">
        <v>18</v>
      </c>
      <c r="J150" s="971">
        <v>300678.58666666667</v>
      </c>
      <c r="K150" s="871">
        <v>225508.94</v>
      </c>
      <c r="L150" s="888">
        <f t="shared" si="25"/>
        <v>75169.646666666667</v>
      </c>
      <c r="M150" s="978">
        <v>0.11</v>
      </c>
      <c r="N150" s="978">
        <v>2.5999999999999999E-2</v>
      </c>
      <c r="O150" s="978">
        <v>3.0000000000000001E-3</v>
      </c>
      <c r="P150" s="889">
        <f t="shared" si="37"/>
        <v>0.91900000000000004</v>
      </c>
      <c r="Q150" s="978">
        <v>1</v>
      </c>
      <c r="R150" s="178">
        <v>1</v>
      </c>
      <c r="S150" s="178">
        <v>1</v>
      </c>
      <c r="T150" s="178">
        <v>1</v>
      </c>
      <c r="U150" s="978">
        <v>1.01</v>
      </c>
      <c r="V150" s="978">
        <v>1</v>
      </c>
      <c r="W150" s="179"/>
      <c r="X150" s="937" t="s">
        <v>653</v>
      </c>
      <c r="Y150" s="299"/>
      <c r="Z150" s="922" t="str">
        <f>IFERROR(VLOOKUP(X150,'Demand Lookups'!$A$5:$B$101,2,0),0)</f>
        <v>Non-Electric Measures</v>
      </c>
      <c r="AA150" s="835">
        <f>IF(ISNA(VLOOKUP($X150,'Demand Lookups'!$A$5:$K$81,3,0)),0,VLOOKUP($X150,'Demand Lookups'!$A$5:$K$81,3,0))</f>
        <v>0</v>
      </c>
      <c r="AB150" s="835">
        <f>IF(ISNA(VLOOKUP($X150,'Demand Lookups'!$A$5:$K$81,4,0)),0,VLOOKUP($X150,'Demand Lookups'!$A$5:$K$81,4,0))</f>
        <v>0</v>
      </c>
      <c r="AC150" s="835">
        <f>IF(ISNA(VLOOKUP($X150,'Demand Lookups'!$A$5:$K$81,5,0)),0,VLOOKUP($X150,'Demand Lookups'!$A$5:$K$81,5,0))</f>
        <v>0</v>
      </c>
      <c r="AD150" s="836">
        <f>IF(ISNA(VLOOKUP($X150,'Demand Lookups'!$A$5:$K$81,6,0)),0,VLOOKUP($X150,'Demand Lookups'!$A$5:$K$81,6,0))</f>
        <v>0</v>
      </c>
      <c r="AE150" s="837">
        <f t="shared" si="38"/>
        <v>0</v>
      </c>
      <c r="AF150" s="836">
        <f>ROUND(IF(ISNA(VLOOKUP($X150,'Demand Lookups'!$A$5:$K$82,10,0)),0,(VLOOKUP($X150,'Demand Lookups'!$A$5:$K$82,10,0))),2)</f>
        <v>0</v>
      </c>
      <c r="AG150" s="836">
        <f>ROUND(IF(ISNA(VLOOKUP($X150,'Demand Lookups'!$A$5:$K$82,11,0)),0,VLOOKUP($X150,'Demand Lookups'!$A$5:$K$82,11,0)),2)</f>
        <v>0</v>
      </c>
      <c r="AH150" s="648">
        <f t="shared" si="39"/>
        <v>0</v>
      </c>
      <c r="AI150" s="648">
        <f t="shared" si="40"/>
        <v>0</v>
      </c>
      <c r="AJ150" s="167" t="s">
        <v>87</v>
      </c>
      <c r="AK150" s="168">
        <v>13265.227999999999</v>
      </c>
      <c r="AL150" s="167"/>
      <c r="AM150" s="168"/>
      <c r="AN150" s="167"/>
      <c r="AO150" s="168"/>
      <c r="AP150" s="167"/>
      <c r="AQ150" s="171"/>
      <c r="AR150" s="171"/>
      <c r="AS150" s="299">
        <f>SUMIF('NEI Lookups'!$L:$L,'Inputs Yr 2'!$F150,'NEI Lookups'!E:E)+SUMIF('NEI Lookups'!$M:$M,'Inputs Yr 2'!$F150,'NEI Lookups'!E:E)+SUMIF('NEI Lookups'!$N:$N,'Inputs Yr 2'!$F150,'NEI Lookups'!E:E)+SUMIF('NEI Lookups'!$O:$O,'Inputs Yr 2'!$F150,'NEI Lookups'!E:E)+SUMIF('NEI Lookups'!$P:$P,'Inputs Yr 2'!$F150,'NEI Lookups'!E:E)+SUMIF('NEI Lookups'!$Q:$Q,'Inputs Yr 2'!$F150,'NEI Lookups'!E:E)+SUMIF('NEI Lookups'!$R:$R,'Inputs Yr 2'!$F150,'NEI Lookups'!E:E)+SUMIF('NEI Lookups'!$S:$S,'Inputs Yr 2'!$F150,'NEI Lookups'!E:E)+SUMIF('NEI Lookups'!$T:$T,'Inputs Yr 2'!$F150,'NEI Lookups'!E:E)</f>
        <v>0</v>
      </c>
      <c r="AT150" s="299">
        <f>SUMIF('NEI Lookups'!$L:$L,'Inputs Yr 2'!$F150,'NEI Lookups'!F:F)+SUMIF('NEI Lookups'!$M:$M,'Inputs Yr 2'!$F150,'NEI Lookups'!F:F)+SUMIF('NEI Lookups'!$N:$N,'Inputs Yr 2'!$F150,'NEI Lookups'!F:F)+SUMIF('NEI Lookups'!$O:$O,'Inputs Yr 2'!$F150,'NEI Lookups'!F:F)+SUMIF('NEI Lookups'!$P:$P,'Inputs Yr 2'!$F150,'NEI Lookups'!F:F)+SUMIF('NEI Lookups'!$Q:$Q,'Inputs Yr 2'!$F150,'NEI Lookups'!F:F)+SUMIF('NEI Lookups'!$R:$R,'Inputs Yr 2'!$F150,'NEI Lookups'!F:F)+SUMIF('NEI Lookups'!$S:$S,'Inputs Yr 2'!$F150,'NEI Lookups'!F:F)+SUMIF('NEI Lookups'!$T:$T,'Inputs Yr 2'!$F150,'NEI Lookups'!F:F)</f>
        <v>0</v>
      </c>
      <c r="AU150" s="299">
        <f>SUMIF('NEI Lookups'!$L:$L,'Inputs Yr 2'!$F150,'NEI Lookups'!G:G)+SUMIF('NEI Lookups'!$M:$M,'Inputs Yr 2'!$F150,'NEI Lookups'!G:G)+SUMIF('NEI Lookups'!$N:$N,'Inputs Yr 2'!$F150,'NEI Lookups'!G:G)+SUMIF('NEI Lookups'!$O:$O,'Inputs Yr 2'!$F150,'NEI Lookups'!G:G)+SUMIF('NEI Lookups'!$P:$P,'Inputs Yr 2'!$F150,'NEI Lookups'!G:G)+SUMIF('NEI Lookups'!$Q:$Q,'Inputs Yr 2'!$F150,'NEI Lookups'!G:G)+SUMIF('NEI Lookups'!$R:$R,'Inputs Yr 2'!$F150,'NEI Lookups'!G:G)+SUMIF('NEI Lookups'!$S:$S,'Inputs Yr 2'!$F150,'NEI Lookups'!G:G)+SUMIF('NEI Lookups'!$T:$T,'Inputs Yr 2'!$F150,'NEI Lookups'!G:G)</f>
        <v>0</v>
      </c>
      <c r="AV150" s="299">
        <f>SUMIF('NEI Lookups'!$L:$L,'Inputs Yr 2'!$F150,'NEI Lookups'!H:H)+SUMIF('NEI Lookups'!$M:$M,'Inputs Yr 2'!$F150,'NEI Lookups'!H:H)+SUMIF('NEI Lookups'!$N:$N,'Inputs Yr 2'!$F150,'NEI Lookups'!H:H)+SUMIF('NEI Lookups'!$O:$O,'Inputs Yr 2'!$F150,'NEI Lookups'!H:H)+SUMIF('NEI Lookups'!$P:$P,'Inputs Yr 2'!$F150,'NEI Lookups'!H:H)+SUMIF('NEI Lookups'!$Q:$Q,'Inputs Yr 2'!$F150,'NEI Lookups'!H:H)+SUMIF('NEI Lookups'!$R:$R,'Inputs Yr 2'!$F150,'NEI Lookups'!H:H)+SUMIF('NEI Lookups'!$S:$S,'Inputs Yr 2'!$F150,'NEI Lookups'!H:H)+SUMIF('NEI Lookups'!$T:$T,'Inputs Yr 2'!$F150,'NEI Lookups'!H:H)</f>
        <v>0</v>
      </c>
      <c r="AW150" s="940">
        <f>SUMIF('NEI Lookups'!$L:$L,'Inputs Yr 2'!$F150,'NEI Lookups'!I:I)+SUMIF('NEI Lookups'!$M:$M,'Inputs Yr 2'!$F150,'NEI Lookups'!I:I)+SUMIF('NEI Lookups'!$N:$N,'Inputs Yr 2'!$F150,'NEI Lookups'!I:I)+SUMIF('NEI Lookups'!$O:$O,'Inputs Yr 2'!$F150,'NEI Lookups'!I:I)+SUMIF('NEI Lookups'!$P:$P,'Inputs Yr 2'!$F150,'NEI Lookups'!I:I)+SUMIF('NEI Lookups'!$Q:$Q,'Inputs Yr 2'!$F150,'NEI Lookups'!I:I)+SUMIF('NEI Lookups'!$R:$R,'Inputs Yr 2'!$F150,'NEI Lookups'!I:I)+SUMIF('NEI Lookups'!$S:$S,'Inputs Yr 2'!$F150,'NEI Lookups'!I:I)+SUMIF('NEI Lookups'!$T:$T,'Inputs Yr 2'!$F150,'NEI Lookups'!I:I)</f>
        <v>-4.0000000000000001E-3</v>
      </c>
      <c r="AX150" s="299">
        <f>SUMIF('NEI Lookups'!$L:$L,'Inputs Yr 2'!$F150,'NEI Lookups'!J:J)+SUMIF('NEI Lookups'!$M:$M,'Inputs Yr 2'!$F150,'NEI Lookups'!J:J)+SUMIF('NEI Lookups'!$N:$N,'Inputs Yr 2'!$F150,'NEI Lookups'!J:J)+SUMIF('NEI Lookups'!$O:$O,'Inputs Yr 2'!$F150,'NEI Lookups'!J:J)+SUMIF('NEI Lookups'!$P:$P,'Inputs Yr 2'!$F150,'NEI Lookups'!J:J)+SUMIF('NEI Lookups'!$Q:$Q,'Inputs Yr 2'!$F150,'NEI Lookups'!J:J)+SUMIF('NEI Lookups'!$R:$R,'Inputs Yr 2'!$F150,'NEI Lookups'!J:J)+SUMIF('NEI Lookups'!$S:$S,'Inputs Yr 2'!$F150,'NEI Lookups'!J:J)+SUMIF('NEI Lookups'!$T:$T,'Inputs Yr 2'!$F150,'NEI Lookups'!J:J)</f>
        <v>0</v>
      </c>
      <c r="AY150" s="930">
        <f>'Calculations Yr 2'!CP150/'Calculations Yr 2'!I150</f>
        <v>6.8313766843120112</v>
      </c>
    </row>
    <row r="151" spans="1:240" s="133" customFormat="1" ht="12.75" customHeight="1">
      <c r="A151" s="145" t="s">
        <v>83</v>
      </c>
      <c r="B151" s="132" t="s">
        <v>873</v>
      </c>
      <c r="C151" s="914" t="s">
        <v>661</v>
      </c>
      <c r="D151" s="904" t="s">
        <v>1542</v>
      </c>
      <c r="E151" s="98" t="s">
        <v>1345</v>
      </c>
      <c r="F151" s="98" t="s">
        <v>1049</v>
      </c>
      <c r="G151" s="145" t="s">
        <v>1244</v>
      </c>
      <c r="H151" s="165">
        <v>1</v>
      </c>
      <c r="I151" s="232">
        <v>19</v>
      </c>
      <c r="J151" s="971">
        <v>21270.399999999998</v>
      </c>
      <c r="K151" s="871">
        <v>15952.8</v>
      </c>
      <c r="L151" s="888">
        <f t="shared" si="25"/>
        <v>5317.5999999999985</v>
      </c>
      <c r="M151" s="978">
        <v>0.11</v>
      </c>
      <c r="N151" s="978">
        <v>2.5999999999999999E-2</v>
      </c>
      <c r="O151" s="978">
        <v>3.0000000000000001E-3</v>
      </c>
      <c r="P151" s="889">
        <f t="shared" si="37"/>
        <v>0.91900000000000004</v>
      </c>
      <c r="Q151" s="978">
        <v>1</v>
      </c>
      <c r="R151" s="178">
        <v>1</v>
      </c>
      <c r="S151" s="178">
        <v>1</v>
      </c>
      <c r="T151" s="178">
        <v>1</v>
      </c>
      <c r="U151" s="978">
        <v>1.01</v>
      </c>
      <c r="V151" s="978">
        <v>1</v>
      </c>
      <c r="W151" s="179"/>
      <c r="X151" s="937" t="s">
        <v>653</v>
      </c>
      <c r="Y151" s="299"/>
      <c r="Z151" s="922" t="str">
        <f>IFERROR(VLOOKUP(X151,'Demand Lookups'!$A$5:$B$101,2,0),0)</f>
        <v>Non-Electric Measures</v>
      </c>
      <c r="AA151" s="835">
        <f>IF(ISNA(VLOOKUP($X151,'Demand Lookups'!$A$5:$K$81,3,0)),0,VLOOKUP($X151,'Demand Lookups'!$A$5:$K$81,3,0))</f>
        <v>0</v>
      </c>
      <c r="AB151" s="835">
        <f>IF(ISNA(VLOOKUP($X151,'Demand Lookups'!$A$5:$K$81,4,0)),0,VLOOKUP($X151,'Demand Lookups'!$A$5:$K$81,4,0))</f>
        <v>0</v>
      </c>
      <c r="AC151" s="835">
        <f>IF(ISNA(VLOOKUP($X151,'Demand Lookups'!$A$5:$K$81,5,0)),0,VLOOKUP($X151,'Demand Lookups'!$A$5:$K$81,5,0))</f>
        <v>0</v>
      </c>
      <c r="AD151" s="836">
        <f>IF(ISNA(VLOOKUP($X151,'Demand Lookups'!$A$5:$K$81,6,0)),0,VLOOKUP($X151,'Demand Lookups'!$A$5:$K$81,6,0))</f>
        <v>0</v>
      </c>
      <c r="AE151" s="837">
        <f t="shared" si="38"/>
        <v>0</v>
      </c>
      <c r="AF151" s="836">
        <f>ROUND(IF(ISNA(VLOOKUP($X151,'Demand Lookups'!$A$5:$K$82,10,0)),0,(VLOOKUP($X151,'Demand Lookups'!$A$5:$K$82,10,0))),2)</f>
        <v>0</v>
      </c>
      <c r="AG151" s="836">
        <f>ROUND(IF(ISNA(VLOOKUP($X151,'Demand Lookups'!$A$5:$K$82,11,0)),0,VLOOKUP($X151,'Demand Lookups'!$A$5:$K$82,11,0)),2)</f>
        <v>0</v>
      </c>
      <c r="AH151" s="648">
        <f t="shared" si="39"/>
        <v>0</v>
      </c>
      <c r="AI151" s="648">
        <f t="shared" si="40"/>
        <v>0</v>
      </c>
      <c r="AJ151" s="167" t="s">
        <v>87</v>
      </c>
      <c r="AK151" s="168">
        <v>938.4</v>
      </c>
      <c r="AL151" s="167"/>
      <c r="AM151" s="168"/>
      <c r="AN151" s="167"/>
      <c r="AO151" s="168"/>
      <c r="AP151" s="167"/>
      <c r="AQ151" s="171"/>
      <c r="AR151" s="171"/>
      <c r="AS151" s="299">
        <f>SUMIF('NEI Lookups'!$L:$L,'Inputs Yr 2'!$F151,'NEI Lookups'!E:E)+SUMIF('NEI Lookups'!$M:$M,'Inputs Yr 2'!$F151,'NEI Lookups'!E:E)+SUMIF('NEI Lookups'!$N:$N,'Inputs Yr 2'!$F151,'NEI Lookups'!E:E)+SUMIF('NEI Lookups'!$O:$O,'Inputs Yr 2'!$F151,'NEI Lookups'!E:E)+SUMIF('NEI Lookups'!$P:$P,'Inputs Yr 2'!$F151,'NEI Lookups'!E:E)+SUMIF('NEI Lookups'!$Q:$Q,'Inputs Yr 2'!$F151,'NEI Lookups'!E:E)+SUMIF('NEI Lookups'!$R:$R,'Inputs Yr 2'!$F151,'NEI Lookups'!E:E)+SUMIF('NEI Lookups'!$S:$S,'Inputs Yr 2'!$F151,'NEI Lookups'!E:E)+SUMIF('NEI Lookups'!$T:$T,'Inputs Yr 2'!$F151,'NEI Lookups'!E:E)</f>
        <v>0</v>
      </c>
      <c r="AT151" s="299">
        <f>SUMIF('NEI Lookups'!$L:$L,'Inputs Yr 2'!$F151,'NEI Lookups'!F:F)+SUMIF('NEI Lookups'!$M:$M,'Inputs Yr 2'!$F151,'NEI Lookups'!F:F)+SUMIF('NEI Lookups'!$N:$N,'Inputs Yr 2'!$F151,'NEI Lookups'!F:F)+SUMIF('NEI Lookups'!$O:$O,'Inputs Yr 2'!$F151,'NEI Lookups'!F:F)+SUMIF('NEI Lookups'!$P:$P,'Inputs Yr 2'!$F151,'NEI Lookups'!F:F)+SUMIF('NEI Lookups'!$Q:$Q,'Inputs Yr 2'!$F151,'NEI Lookups'!F:F)+SUMIF('NEI Lookups'!$R:$R,'Inputs Yr 2'!$F151,'NEI Lookups'!F:F)+SUMIF('NEI Lookups'!$S:$S,'Inputs Yr 2'!$F151,'NEI Lookups'!F:F)+SUMIF('NEI Lookups'!$T:$T,'Inputs Yr 2'!$F151,'NEI Lookups'!F:F)</f>
        <v>0</v>
      </c>
      <c r="AU151" s="299">
        <f>SUMIF('NEI Lookups'!$L:$L,'Inputs Yr 2'!$F151,'NEI Lookups'!G:G)+SUMIF('NEI Lookups'!$M:$M,'Inputs Yr 2'!$F151,'NEI Lookups'!G:G)+SUMIF('NEI Lookups'!$N:$N,'Inputs Yr 2'!$F151,'NEI Lookups'!G:G)+SUMIF('NEI Lookups'!$O:$O,'Inputs Yr 2'!$F151,'NEI Lookups'!G:G)+SUMIF('NEI Lookups'!$P:$P,'Inputs Yr 2'!$F151,'NEI Lookups'!G:G)+SUMIF('NEI Lookups'!$Q:$Q,'Inputs Yr 2'!$F151,'NEI Lookups'!G:G)+SUMIF('NEI Lookups'!$R:$R,'Inputs Yr 2'!$F151,'NEI Lookups'!G:G)+SUMIF('NEI Lookups'!$S:$S,'Inputs Yr 2'!$F151,'NEI Lookups'!G:G)+SUMIF('NEI Lookups'!$T:$T,'Inputs Yr 2'!$F151,'NEI Lookups'!G:G)</f>
        <v>0</v>
      </c>
      <c r="AV151" s="299">
        <f>SUMIF('NEI Lookups'!$L:$L,'Inputs Yr 2'!$F151,'NEI Lookups'!H:H)+SUMIF('NEI Lookups'!$M:$M,'Inputs Yr 2'!$F151,'NEI Lookups'!H:H)+SUMIF('NEI Lookups'!$N:$N,'Inputs Yr 2'!$F151,'NEI Lookups'!H:H)+SUMIF('NEI Lookups'!$O:$O,'Inputs Yr 2'!$F151,'NEI Lookups'!H:H)+SUMIF('NEI Lookups'!$P:$P,'Inputs Yr 2'!$F151,'NEI Lookups'!H:H)+SUMIF('NEI Lookups'!$Q:$Q,'Inputs Yr 2'!$F151,'NEI Lookups'!H:H)+SUMIF('NEI Lookups'!$R:$R,'Inputs Yr 2'!$F151,'NEI Lookups'!H:H)+SUMIF('NEI Lookups'!$S:$S,'Inputs Yr 2'!$F151,'NEI Lookups'!H:H)+SUMIF('NEI Lookups'!$T:$T,'Inputs Yr 2'!$F151,'NEI Lookups'!H:H)</f>
        <v>0</v>
      </c>
      <c r="AW151" s="940">
        <f>SUMIF('NEI Lookups'!$L:$L,'Inputs Yr 2'!$F151,'NEI Lookups'!I:I)+SUMIF('NEI Lookups'!$M:$M,'Inputs Yr 2'!$F151,'NEI Lookups'!I:I)+SUMIF('NEI Lookups'!$N:$N,'Inputs Yr 2'!$F151,'NEI Lookups'!I:I)+SUMIF('NEI Lookups'!$O:$O,'Inputs Yr 2'!$F151,'NEI Lookups'!I:I)+SUMIF('NEI Lookups'!$P:$P,'Inputs Yr 2'!$F151,'NEI Lookups'!I:I)+SUMIF('NEI Lookups'!$Q:$Q,'Inputs Yr 2'!$F151,'NEI Lookups'!I:I)+SUMIF('NEI Lookups'!$R:$R,'Inputs Yr 2'!$F151,'NEI Lookups'!I:I)+SUMIF('NEI Lookups'!$S:$S,'Inputs Yr 2'!$F151,'NEI Lookups'!I:I)+SUMIF('NEI Lookups'!$T:$T,'Inputs Yr 2'!$F151,'NEI Lookups'!I:I)</f>
        <v>-4.0000000000000001E-3</v>
      </c>
      <c r="AX151" s="299">
        <f>SUMIF('NEI Lookups'!$L:$L,'Inputs Yr 2'!$F151,'NEI Lookups'!J:J)+SUMIF('NEI Lookups'!$M:$M,'Inputs Yr 2'!$F151,'NEI Lookups'!J:J)+SUMIF('NEI Lookups'!$N:$N,'Inputs Yr 2'!$F151,'NEI Lookups'!J:J)+SUMIF('NEI Lookups'!$O:$O,'Inputs Yr 2'!$F151,'NEI Lookups'!J:J)+SUMIF('NEI Lookups'!$P:$P,'Inputs Yr 2'!$F151,'NEI Lookups'!J:J)+SUMIF('NEI Lookups'!$Q:$Q,'Inputs Yr 2'!$F151,'NEI Lookups'!J:J)+SUMIF('NEI Lookups'!$R:$R,'Inputs Yr 2'!$F151,'NEI Lookups'!J:J)+SUMIF('NEI Lookups'!$S:$S,'Inputs Yr 2'!$F151,'NEI Lookups'!J:J)+SUMIF('NEI Lookups'!$T:$T,'Inputs Yr 2'!$F151,'NEI Lookups'!J:J)</f>
        <v>0</v>
      </c>
      <c r="AY151" s="930">
        <f>'Calculations Yr 2'!CP151/'Calculations Yr 2'!I151</f>
        <v>7.23528620278727</v>
      </c>
    </row>
    <row r="152" spans="1:240" s="133" customFormat="1" ht="12.75" customHeight="1">
      <c r="A152" s="145" t="s">
        <v>83</v>
      </c>
      <c r="B152" s="132" t="s">
        <v>873</v>
      </c>
      <c r="C152" s="914" t="s">
        <v>661</v>
      </c>
      <c r="D152" s="904" t="s">
        <v>1542</v>
      </c>
      <c r="E152" s="98" t="s">
        <v>1346</v>
      </c>
      <c r="F152" s="98" t="s">
        <v>1049</v>
      </c>
      <c r="G152" s="145" t="s">
        <v>1244</v>
      </c>
      <c r="H152" s="165">
        <v>1</v>
      </c>
      <c r="I152" s="232">
        <v>20</v>
      </c>
      <c r="J152" s="971">
        <v>145005.46666666665</v>
      </c>
      <c r="K152" s="871">
        <v>108754.09999999999</v>
      </c>
      <c r="L152" s="888">
        <f t="shared" si="25"/>
        <v>36251.366666666654</v>
      </c>
      <c r="M152" s="978">
        <v>0.11</v>
      </c>
      <c r="N152" s="978">
        <v>2.5999999999999999E-2</v>
      </c>
      <c r="O152" s="978">
        <v>3.0000000000000001E-3</v>
      </c>
      <c r="P152" s="889">
        <f t="shared" si="37"/>
        <v>0.91900000000000004</v>
      </c>
      <c r="Q152" s="978">
        <v>1</v>
      </c>
      <c r="R152" s="178">
        <v>1</v>
      </c>
      <c r="S152" s="178">
        <v>1</v>
      </c>
      <c r="T152" s="178">
        <v>1</v>
      </c>
      <c r="U152" s="978">
        <v>1.01</v>
      </c>
      <c r="V152" s="978">
        <v>1</v>
      </c>
      <c r="W152" s="179"/>
      <c r="X152" s="937" t="s">
        <v>653</v>
      </c>
      <c r="Y152" s="299"/>
      <c r="Z152" s="922" t="str">
        <f>IFERROR(VLOOKUP(X152,'Demand Lookups'!$A$5:$B$101,2,0),0)</f>
        <v>Non-Electric Measures</v>
      </c>
      <c r="AA152" s="835">
        <f>IF(ISNA(VLOOKUP($X152,'Demand Lookups'!$A$5:$K$81,3,0)),0,VLOOKUP($X152,'Demand Lookups'!$A$5:$K$81,3,0))</f>
        <v>0</v>
      </c>
      <c r="AB152" s="835">
        <f>IF(ISNA(VLOOKUP($X152,'Demand Lookups'!$A$5:$K$81,4,0)),0,VLOOKUP($X152,'Demand Lookups'!$A$5:$K$81,4,0))</f>
        <v>0</v>
      </c>
      <c r="AC152" s="835">
        <f>IF(ISNA(VLOOKUP($X152,'Demand Lookups'!$A$5:$K$81,5,0)),0,VLOOKUP($X152,'Demand Lookups'!$A$5:$K$81,5,0))</f>
        <v>0</v>
      </c>
      <c r="AD152" s="836">
        <f>IF(ISNA(VLOOKUP($X152,'Demand Lookups'!$A$5:$K$81,6,0)),0,VLOOKUP($X152,'Demand Lookups'!$A$5:$K$81,6,0))</f>
        <v>0</v>
      </c>
      <c r="AE152" s="837">
        <f t="shared" si="38"/>
        <v>0</v>
      </c>
      <c r="AF152" s="836">
        <f>ROUND(IF(ISNA(VLOOKUP($X152,'Demand Lookups'!$A$5:$K$82,10,0)),0,(VLOOKUP($X152,'Demand Lookups'!$A$5:$K$82,10,0))),2)</f>
        <v>0</v>
      </c>
      <c r="AG152" s="836">
        <f>ROUND(IF(ISNA(VLOOKUP($X152,'Demand Lookups'!$A$5:$K$82,11,0)),0,VLOOKUP($X152,'Demand Lookups'!$A$5:$K$82,11,0)),2)</f>
        <v>0</v>
      </c>
      <c r="AH152" s="648">
        <f t="shared" si="39"/>
        <v>0</v>
      </c>
      <c r="AI152" s="648">
        <f t="shared" si="40"/>
        <v>0</v>
      </c>
      <c r="AJ152" s="167" t="s">
        <v>87</v>
      </c>
      <c r="AK152" s="168">
        <v>6397.3</v>
      </c>
      <c r="AL152" s="167"/>
      <c r="AM152" s="168"/>
      <c r="AN152" s="167"/>
      <c r="AO152" s="168"/>
      <c r="AP152" s="167"/>
      <c r="AQ152" s="171"/>
      <c r="AR152" s="171"/>
      <c r="AS152" s="299">
        <f>SUMIF('NEI Lookups'!$L:$L,'Inputs Yr 2'!$F152,'NEI Lookups'!E:E)+SUMIF('NEI Lookups'!$M:$M,'Inputs Yr 2'!$F152,'NEI Lookups'!E:E)+SUMIF('NEI Lookups'!$N:$N,'Inputs Yr 2'!$F152,'NEI Lookups'!E:E)+SUMIF('NEI Lookups'!$O:$O,'Inputs Yr 2'!$F152,'NEI Lookups'!E:E)+SUMIF('NEI Lookups'!$P:$P,'Inputs Yr 2'!$F152,'NEI Lookups'!E:E)+SUMIF('NEI Lookups'!$Q:$Q,'Inputs Yr 2'!$F152,'NEI Lookups'!E:E)+SUMIF('NEI Lookups'!$R:$R,'Inputs Yr 2'!$F152,'NEI Lookups'!E:E)+SUMIF('NEI Lookups'!$S:$S,'Inputs Yr 2'!$F152,'NEI Lookups'!E:E)+SUMIF('NEI Lookups'!$T:$T,'Inputs Yr 2'!$F152,'NEI Lookups'!E:E)</f>
        <v>0</v>
      </c>
      <c r="AT152" s="299">
        <f>SUMIF('NEI Lookups'!$L:$L,'Inputs Yr 2'!$F152,'NEI Lookups'!F:F)+SUMIF('NEI Lookups'!$M:$M,'Inputs Yr 2'!$F152,'NEI Lookups'!F:F)+SUMIF('NEI Lookups'!$N:$N,'Inputs Yr 2'!$F152,'NEI Lookups'!F:F)+SUMIF('NEI Lookups'!$O:$O,'Inputs Yr 2'!$F152,'NEI Lookups'!F:F)+SUMIF('NEI Lookups'!$P:$P,'Inputs Yr 2'!$F152,'NEI Lookups'!F:F)+SUMIF('NEI Lookups'!$Q:$Q,'Inputs Yr 2'!$F152,'NEI Lookups'!F:F)+SUMIF('NEI Lookups'!$R:$R,'Inputs Yr 2'!$F152,'NEI Lookups'!F:F)+SUMIF('NEI Lookups'!$S:$S,'Inputs Yr 2'!$F152,'NEI Lookups'!F:F)+SUMIF('NEI Lookups'!$T:$T,'Inputs Yr 2'!$F152,'NEI Lookups'!F:F)</f>
        <v>0</v>
      </c>
      <c r="AU152" s="299">
        <f>SUMIF('NEI Lookups'!$L:$L,'Inputs Yr 2'!$F152,'NEI Lookups'!G:G)+SUMIF('NEI Lookups'!$M:$M,'Inputs Yr 2'!$F152,'NEI Lookups'!G:G)+SUMIF('NEI Lookups'!$N:$N,'Inputs Yr 2'!$F152,'NEI Lookups'!G:G)+SUMIF('NEI Lookups'!$O:$O,'Inputs Yr 2'!$F152,'NEI Lookups'!G:G)+SUMIF('NEI Lookups'!$P:$P,'Inputs Yr 2'!$F152,'NEI Lookups'!G:G)+SUMIF('NEI Lookups'!$Q:$Q,'Inputs Yr 2'!$F152,'NEI Lookups'!G:G)+SUMIF('NEI Lookups'!$R:$R,'Inputs Yr 2'!$F152,'NEI Lookups'!G:G)+SUMIF('NEI Lookups'!$S:$S,'Inputs Yr 2'!$F152,'NEI Lookups'!G:G)+SUMIF('NEI Lookups'!$T:$T,'Inputs Yr 2'!$F152,'NEI Lookups'!G:G)</f>
        <v>0</v>
      </c>
      <c r="AV152" s="299">
        <f>SUMIF('NEI Lookups'!$L:$L,'Inputs Yr 2'!$F152,'NEI Lookups'!H:H)+SUMIF('NEI Lookups'!$M:$M,'Inputs Yr 2'!$F152,'NEI Lookups'!H:H)+SUMIF('NEI Lookups'!$N:$N,'Inputs Yr 2'!$F152,'NEI Lookups'!H:H)+SUMIF('NEI Lookups'!$O:$O,'Inputs Yr 2'!$F152,'NEI Lookups'!H:H)+SUMIF('NEI Lookups'!$P:$P,'Inputs Yr 2'!$F152,'NEI Lookups'!H:H)+SUMIF('NEI Lookups'!$Q:$Q,'Inputs Yr 2'!$F152,'NEI Lookups'!H:H)+SUMIF('NEI Lookups'!$R:$R,'Inputs Yr 2'!$F152,'NEI Lookups'!H:H)+SUMIF('NEI Lookups'!$S:$S,'Inputs Yr 2'!$F152,'NEI Lookups'!H:H)+SUMIF('NEI Lookups'!$T:$T,'Inputs Yr 2'!$F152,'NEI Lookups'!H:H)</f>
        <v>0</v>
      </c>
      <c r="AW152" s="940">
        <f>SUMIF('NEI Lookups'!$L:$L,'Inputs Yr 2'!$F152,'NEI Lookups'!I:I)+SUMIF('NEI Lookups'!$M:$M,'Inputs Yr 2'!$F152,'NEI Lookups'!I:I)+SUMIF('NEI Lookups'!$N:$N,'Inputs Yr 2'!$F152,'NEI Lookups'!I:I)+SUMIF('NEI Lookups'!$O:$O,'Inputs Yr 2'!$F152,'NEI Lookups'!I:I)+SUMIF('NEI Lookups'!$P:$P,'Inputs Yr 2'!$F152,'NEI Lookups'!I:I)+SUMIF('NEI Lookups'!$Q:$Q,'Inputs Yr 2'!$F152,'NEI Lookups'!I:I)+SUMIF('NEI Lookups'!$R:$R,'Inputs Yr 2'!$F152,'NEI Lookups'!I:I)+SUMIF('NEI Lookups'!$S:$S,'Inputs Yr 2'!$F152,'NEI Lookups'!I:I)+SUMIF('NEI Lookups'!$T:$T,'Inputs Yr 2'!$F152,'NEI Lookups'!I:I)</f>
        <v>-4.0000000000000001E-3</v>
      </c>
      <c r="AX152" s="299">
        <f>SUMIF('NEI Lookups'!$L:$L,'Inputs Yr 2'!$F152,'NEI Lookups'!J:J)+SUMIF('NEI Lookups'!$M:$M,'Inputs Yr 2'!$F152,'NEI Lookups'!J:J)+SUMIF('NEI Lookups'!$N:$N,'Inputs Yr 2'!$F152,'NEI Lookups'!J:J)+SUMIF('NEI Lookups'!$O:$O,'Inputs Yr 2'!$F152,'NEI Lookups'!J:J)+SUMIF('NEI Lookups'!$P:$P,'Inputs Yr 2'!$F152,'NEI Lookups'!J:J)+SUMIF('NEI Lookups'!$Q:$Q,'Inputs Yr 2'!$F152,'NEI Lookups'!J:J)+SUMIF('NEI Lookups'!$R:$R,'Inputs Yr 2'!$F152,'NEI Lookups'!J:J)+SUMIF('NEI Lookups'!$S:$S,'Inputs Yr 2'!$F152,'NEI Lookups'!J:J)+SUMIF('NEI Lookups'!$T:$T,'Inputs Yr 2'!$F152,'NEI Lookups'!J:J)</f>
        <v>0</v>
      </c>
      <c r="AY152" s="930">
        <f>'Calculations Yr 2'!CP152/'Calculations Yr 2'!I152</f>
        <v>7.643471165994713</v>
      </c>
    </row>
    <row r="153" spans="1:240" s="133" customFormat="1" ht="12.75" customHeight="1">
      <c r="A153" s="145" t="s">
        <v>83</v>
      </c>
      <c r="B153" s="132" t="s">
        <v>873</v>
      </c>
      <c r="C153" s="132" t="s">
        <v>661</v>
      </c>
      <c r="D153" s="904" t="s">
        <v>1543</v>
      </c>
      <c r="E153" s="98" t="s">
        <v>1348</v>
      </c>
      <c r="F153" s="98" t="s">
        <v>1050</v>
      </c>
      <c r="G153" s="145" t="s">
        <v>460</v>
      </c>
      <c r="H153" s="165">
        <v>1</v>
      </c>
      <c r="I153" s="232">
        <v>25</v>
      </c>
      <c r="J153" s="971">
        <v>2968</v>
      </c>
      <c r="K153" s="871">
        <v>2226</v>
      </c>
      <c r="L153" s="888">
        <f t="shared" si="25"/>
        <v>742</v>
      </c>
      <c r="M153" s="978">
        <v>0.11</v>
      </c>
      <c r="N153" s="978">
        <v>2.5999999999999999E-2</v>
      </c>
      <c r="O153" s="978">
        <v>3.0000000000000001E-3</v>
      </c>
      <c r="P153" s="889">
        <f t="shared" si="26"/>
        <v>0.91900000000000004</v>
      </c>
      <c r="Q153" s="978">
        <v>1</v>
      </c>
      <c r="R153" s="178">
        <v>1</v>
      </c>
      <c r="S153" s="178">
        <v>1</v>
      </c>
      <c r="T153" s="178">
        <v>1</v>
      </c>
      <c r="U153" s="978">
        <v>0.77900000000000003</v>
      </c>
      <c r="V153" s="978">
        <v>1</v>
      </c>
      <c r="W153" s="179"/>
      <c r="X153" s="937" t="s">
        <v>653</v>
      </c>
      <c r="Y153" s="299">
        <f>IFERROR(VLOOKUP($X153,'Demand Lookups'!$A$5:$K$101,9,0), 0)</f>
        <v>0</v>
      </c>
      <c r="Z153" s="922" t="str">
        <f>IFERROR(VLOOKUP(X153,'Demand Lookups'!$A$5:$B$101,2,0),0)</f>
        <v>Non-Electric Measures</v>
      </c>
      <c r="AA153" s="722">
        <f>IF(ISNA(VLOOKUP($X153,'Demand Lookups'!$A$5:$K$81,3,0)),0,VLOOKUP($X153,'Demand Lookups'!$A$5:$K$81,3,0))</f>
        <v>0</v>
      </c>
      <c r="AB153" s="722">
        <f>IF(ISNA(VLOOKUP($X153,'Demand Lookups'!$A$5:$K$81,4,0)),0,VLOOKUP($X153,'Demand Lookups'!$A$5:$K$81,4,0))</f>
        <v>0</v>
      </c>
      <c r="AC153" s="722">
        <f>IF(ISNA(VLOOKUP($X153,'Demand Lookups'!$A$5:$K$81,5,0)),0,VLOOKUP($X153,'Demand Lookups'!$A$5:$K$81,5,0))</f>
        <v>0</v>
      </c>
      <c r="AD153" s="723">
        <f>IF(ISNA(VLOOKUP($X153,'Demand Lookups'!$A$5:$K$81,6,0)),0,VLOOKUP($X153,'Demand Lookups'!$A$5:$K$81,6,0))</f>
        <v>0</v>
      </c>
      <c r="AE153" s="724">
        <f t="shared" si="27"/>
        <v>0</v>
      </c>
      <c r="AF153" s="723">
        <f>ROUND(IF(ISNA(VLOOKUP($X153,'Demand Lookups'!$A$5:$K$82,10,0)),0,(VLOOKUP($X153,'Demand Lookups'!$A$5:$K$82,10,0))),2)</f>
        <v>0</v>
      </c>
      <c r="AG153" s="723">
        <f>ROUND(IF(ISNA(VLOOKUP($X153,'Demand Lookups'!$A$5:$K$82,11,0)),0,VLOOKUP($X153,'Demand Lookups'!$A$5:$K$82,11,0)),2)</f>
        <v>0</v>
      </c>
      <c r="AH153" s="648">
        <f t="shared" si="28"/>
        <v>0</v>
      </c>
      <c r="AI153" s="648">
        <f t="shared" si="29"/>
        <v>0</v>
      </c>
      <c r="AJ153" s="167" t="s">
        <v>87</v>
      </c>
      <c r="AK153" s="168">
        <v>148.4</v>
      </c>
      <c r="AL153" s="167"/>
      <c r="AM153" s="168"/>
      <c r="AN153" s="167"/>
      <c r="AO153" s="168"/>
      <c r="AP153" s="167"/>
      <c r="AQ153" s="171">
        <v>0</v>
      </c>
      <c r="AR153" s="171">
        <v>0</v>
      </c>
      <c r="AS153" s="299">
        <f>SUMIF('NEI Lookups'!$L:$L,'Inputs Yr 2'!$F153,'NEI Lookups'!E:E)+SUMIF('NEI Lookups'!$M:$M,'Inputs Yr 2'!$F153,'NEI Lookups'!E:E)+SUMIF('NEI Lookups'!$N:$N,'Inputs Yr 2'!$F153,'NEI Lookups'!E:E)+SUMIF('NEI Lookups'!$O:$O,'Inputs Yr 2'!$F153,'NEI Lookups'!E:E)+SUMIF('NEI Lookups'!$P:$P,'Inputs Yr 2'!$F153,'NEI Lookups'!E:E)+SUMIF('NEI Lookups'!$Q:$Q,'Inputs Yr 2'!$F153,'NEI Lookups'!E:E)+SUMIF('NEI Lookups'!$R:$R,'Inputs Yr 2'!$F153,'NEI Lookups'!E:E)+SUMIF('NEI Lookups'!$S:$S,'Inputs Yr 2'!$F153,'NEI Lookups'!E:E)+SUMIF('NEI Lookups'!$T:$T,'Inputs Yr 2'!$F153,'NEI Lookups'!E:E)</f>
        <v>0</v>
      </c>
      <c r="AT153" s="299">
        <f>SUMIF('NEI Lookups'!$L:$L,'Inputs Yr 2'!$F153,'NEI Lookups'!F:F)+SUMIF('NEI Lookups'!$M:$M,'Inputs Yr 2'!$F153,'NEI Lookups'!F:F)+SUMIF('NEI Lookups'!$N:$N,'Inputs Yr 2'!$F153,'NEI Lookups'!F:F)+SUMIF('NEI Lookups'!$O:$O,'Inputs Yr 2'!$F153,'NEI Lookups'!F:F)+SUMIF('NEI Lookups'!$P:$P,'Inputs Yr 2'!$F153,'NEI Lookups'!F:F)+SUMIF('NEI Lookups'!$Q:$Q,'Inputs Yr 2'!$F153,'NEI Lookups'!F:F)+SUMIF('NEI Lookups'!$R:$R,'Inputs Yr 2'!$F153,'NEI Lookups'!F:F)+SUMIF('NEI Lookups'!$S:$S,'Inputs Yr 2'!$F153,'NEI Lookups'!F:F)+SUMIF('NEI Lookups'!$T:$T,'Inputs Yr 2'!$F153,'NEI Lookups'!F:F)</f>
        <v>0</v>
      </c>
      <c r="AU153" s="299">
        <f>SUMIF('NEI Lookups'!$L:$L,'Inputs Yr 2'!$F153,'NEI Lookups'!G:G)+SUMIF('NEI Lookups'!$M:$M,'Inputs Yr 2'!$F153,'NEI Lookups'!G:G)+SUMIF('NEI Lookups'!$N:$N,'Inputs Yr 2'!$F153,'NEI Lookups'!G:G)+SUMIF('NEI Lookups'!$O:$O,'Inputs Yr 2'!$F153,'NEI Lookups'!G:G)+SUMIF('NEI Lookups'!$P:$P,'Inputs Yr 2'!$F153,'NEI Lookups'!G:G)+SUMIF('NEI Lookups'!$Q:$Q,'Inputs Yr 2'!$F153,'NEI Lookups'!G:G)+SUMIF('NEI Lookups'!$R:$R,'Inputs Yr 2'!$F153,'NEI Lookups'!G:G)+SUMIF('NEI Lookups'!$S:$S,'Inputs Yr 2'!$F153,'NEI Lookups'!G:G)+SUMIF('NEI Lookups'!$T:$T,'Inputs Yr 2'!$F153,'NEI Lookups'!G:G)</f>
        <v>0</v>
      </c>
      <c r="AV153" s="299">
        <f>SUMIF('NEI Lookups'!$L:$L,'Inputs Yr 2'!$F153,'NEI Lookups'!H:H)+SUMIF('NEI Lookups'!$M:$M,'Inputs Yr 2'!$F153,'NEI Lookups'!H:H)+SUMIF('NEI Lookups'!$N:$N,'Inputs Yr 2'!$F153,'NEI Lookups'!H:H)+SUMIF('NEI Lookups'!$O:$O,'Inputs Yr 2'!$F153,'NEI Lookups'!H:H)+SUMIF('NEI Lookups'!$P:$P,'Inputs Yr 2'!$F153,'NEI Lookups'!H:H)+SUMIF('NEI Lookups'!$Q:$Q,'Inputs Yr 2'!$F153,'NEI Lookups'!H:H)+SUMIF('NEI Lookups'!$R:$R,'Inputs Yr 2'!$F153,'NEI Lookups'!H:H)+SUMIF('NEI Lookups'!$S:$S,'Inputs Yr 2'!$F153,'NEI Lookups'!H:H)+SUMIF('NEI Lookups'!$T:$T,'Inputs Yr 2'!$F153,'NEI Lookups'!H:H)</f>
        <v>0</v>
      </c>
      <c r="AW153" s="940">
        <f>SUMIF('NEI Lookups'!$L:$L,'Inputs Yr 2'!$F153,'NEI Lookups'!I:I)+SUMIF('NEI Lookups'!$M:$M,'Inputs Yr 2'!$F153,'NEI Lookups'!I:I)+SUMIF('NEI Lookups'!$N:$N,'Inputs Yr 2'!$F153,'NEI Lookups'!I:I)+SUMIF('NEI Lookups'!$O:$O,'Inputs Yr 2'!$F153,'NEI Lookups'!I:I)+SUMIF('NEI Lookups'!$P:$P,'Inputs Yr 2'!$F153,'NEI Lookups'!I:I)+SUMIF('NEI Lookups'!$Q:$Q,'Inputs Yr 2'!$F153,'NEI Lookups'!I:I)+SUMIF('NEI Lookups'!$R:$R,'Inputs Yr 2'!$F153,'NEI Lookups'!I:I)+SUMIF('NEI Lookups'!$S:$S,'Inputs Yr 2'!$F153,'NEI Lookups'!I:I)+SUMIF('NEI Lookups'!$T:$T,'Inputs Yr 2'!$F153,'NEI Lookups'!I:I)</f>
        <v>0</v>
      </c>
      <c r="AX153" s="299">
        <f>SUMIF('NEI Lookups'!$L:$L,'Inputs Yr 2'!$F153,'NEI Lookups'!J:J)+SUMIF('NEI Lookups'!$M:$M,'Inputs Yr 2'!$F153,'NEI Lookups'!J:J)+SUMIF('NEI Lookups'!$N:$N,'Inputs Yr 2'!$F153,'NEI Lookups'!J:J)+SUMIF('NEI Lookups'!$O:$O,'Inputs Yr 2'!$F153,'NEI Lookups'!J:J)+SUMIF('NEI Lookups'!$P:$P,'Inputs Yr 2'!$F153,'NEI Lookups'!J:J)+SUMIF('NEI Lookups'!$Q:$Q,'Inputs Yr 2'!$F153,'NEI Lookups'!J:J)+SUMIF('NEI Lookups'!$R:$R,'Inputs Yr 2'!$F153,'NEI Lookups'!J:J)+SUMIF('NEI Lookups'!$S:$S,'Inputs Yr 2'!$F153,'NEI Lookups'!J:J)+SUMIF('NEI Lookups'!$T:$T,'Inputs Yr 2'!$F153,'NEI Lookups'!J:J)</f>
        <v>0</v>
      </c>
      <c r="AY153" s="930">
        <f>'Calculations Yr 2'!CP153/'Calculations Yr 2'!I153</f>
        <v>8.5598138084853215</v>
      </c>
    </row>
    <row r="154" spans="1:240" s="133" customFormat="1" ht="12.75" customHeight="1">
      <c r="A154" s="145" t="s">
        <v>83</v>
      </c>
      <c r="B154" s="132" t="s">
        <v>873</v>
      </c>
      <c r="C154" s="132" t="s">
        <v>661</v>
      </c>
      <c r="D154" s="99"/>
      <c r="E154" s="98" t="s">
        <v>1402</v>
      </c>
      <c r="F154" s="98" t="s">
        <v>1051</v>
      </c>
      <c r="G154" s="145" t="s">
        <v>545</v>
      </c>
      <c r="H154" s="165"/>
      <c r="I154" s="232">
        <v>15</v>
      </c>
      <c r="J154" s="971"/>
      <c r="K154" s="871"/>
      <c r="L154" s="888">
        <f t="shared" si="25"/>
        <v>0</v>
      </c>
      <c r="M154" s="978">
        <v>0</v>
      </c>
      <c r="N154" s="978">
        <v>0</v>
      </c>
      <c r="O154" s="978">
        <v>0</v>
      </c>
      <c r="P154" s="889">
        <f t="shared" si="26"/>
        <v>1</v>
      </c>
      <c r="Q154" s="978">
        <v>1</v>
      </c>
      <c r="R154" s="178">
        <v>1</v>
      </c>
      <c r="S154" s="178">
        <v>1</v>
      </c>
      <c r="T154" s="178">
        <v>1</v>
      </c>
      <c r="U154" s="978">
        <v>0</v>
      </c>
      <c r="V154" s="978">
        <v>0</v>
      </c>
      <c r="W154" s="179"/>
      <c r="X154" s="937" t="s">
        <v>653</v>
      </c>
      <c r="Y154" s="299">
        <f>IFERROR(VLOOKUP($X154,'Demand Lookups'!$A$5:$K$101,9,0), 0)</f>
        <v>0</v>
      </c>
      <c r="Z154" s="922" t="str">
        <f>IFERROR(VLOOKUP(X154,'Demand Lookups'!$A$5:$B$101,2,0),0)</f>
        <v>Non-Electric Measures</v>
      </c>
      <c r="AA154" s="722">
        <f>IF(ISNA(VLOOKUP($X154,'Demand Lookups'!$A$5:$K$81,3,0)),0,VLOOKUP($X154,'Demand Lookups'!$A$5:$K$81,3,0))</f>
        <v>0</v>
      </c>
      <c r="AB154" s="722">
        <f>IF(ISNA(VLOOKUP($X154,'Demand Lookups'!$A$5:$K$81,4,0)),0,VLOOKUP($X154,'Demand Lookups'!$A$5:$K$81,4,0))</f>
        <v>0</v>
      </c>
      <c r="AC154" s="722">
        <f>IF(ISNA(VLOOKUP($X154,'Demand Lookups'!$A$5:$K$81,5,0)),0,VLOOKUP($X154,'Demand Lookups'!$A$5:$K$81,5,0))</f>
        <v>0</v>
      </c>
      <c r="AD154" s="723">
        <f>IF(ISNA(VLOOKUP($X154,'Demand Lookups'!$A$5:$K$81,6,0)),0,VLOOKUP($X154,'Demand Lookups'!$A$5:$K$81,6,0))</f>
        <v>0</v>
      </c>
      <c r="AE154" s="724">
        <f t="shared" si="27"/>
        <v>0</v>
      </c>
      <c r="AF154" s="723">
        <f>ROUND(IF(ISNA(VLOOKUP($X154,'Demand Lookups'!$A$5:$K$82,10,0)),0,(VLOOKUP($X154,'Demand Lookups'!$A$5:$K$82,10,0))),2)</f>
        <v>0</v>
      </c>
      <c r="AG154" s="723">
        <f>ROUND(IF(ISNA(VLOOKUP($X154,'Demand Lookups'!$A$5:$K$82,11,0)),0,VLOOKUP($X154,'Demand Lookups'!$A$5:$K$82,11,0)),2)</f>
        <v>0</v>
      </c>
      <c r="AH154" s="648">
        <f t="shared" si="28"/>
        <v>0</v>
      </c>
      <c r="AI154" s="648">
        <f t="shared" si="29"/>
        <v>0</v>
      </c>
      <c r="AJ154" s="167" t="s">
        <v>200</v>
      </c>
      <c r="AK154" s="168">
        <v>143.30000000000001</v>
      </c>
      <c r="AL154" s="167"/>
      <c r="AM154" s="168"/>
      <c r="AN154" s="167"/>
      <c r="AO154" s="168"/>
      <c r="AP154" s="167"/>
      <c r="AQ154" s="171">
        <v>0</v>
      </c>
      <c r="AR154" s="171">
        <v>0</v>
      </c>
      <c r="AS154" s="299">
        <f>SUMIF('NEI Lookups'!$L:$L,'Inputs Yr 2'!$F154,'NEI Lookups'!E:E)+SUMIF('NEI Lookups'!$M:$M,'Inputs Yr 2'!$F154,'NEI Lookups'!E:E)+SUMIF('NEI Lookups'!$N:$N,'Inputs Yr 2'!$F154,'NEI Lookups'!E:E)+SUMIF('NEI Lookups'!$O:$O,'Inputs Yr 2'!$F154,'NEI Lookups'!E:E)+SUMIF('NEI Lookups'!$P:$P,'Inputs Yr 2'!$F154,'NEI Lookups'!E:E)+SUMIF('NEI Lookups'!$Q:$Q,'Inputs Yr 2'!$F154,'NEI Lookups'!E:E)+SUMIF('NEI Lookups'!$R:$R,'Inputs Yr 2'!$F154,'NEI Lookups'!E:E)+SUMIF('NEI Lookups'!$S:$S,'Inputs Yr 2'!$F154,'NEI Lookups'!E:E)+SUMIF('NEI Lookups'!$T:$T,'Inputs Yr 2'!$F154,'NEI Lookups'!E:E)</f>
        <v>0</v>
      </c>
      <c r="AT154" s="299">
        <f>SUMIF('NEI Lookups'!$L:$L,'Inputs Yr 2'!$F154,'NEI Lookups'!F:F)+SUMIF('NEI Lookups'!$M:$M,'Inputs Yr 2'!$F154,'NEI Lookups'!F:F)+SUMIF('NEI Lookups'!$N:$N,'Inputs Yr 2'!$F154,'NEI Lookups'!F:F)+SUMIF('NEI Lookups'!$O:$O,'Inputs Yr 2'!$F154,'NEI Lookups'!F:F)+SUMIF('NEI Lookups'!$P:$P,'Inputs Yr 2'!$F154,'NEI Lookups'!F:F)+SUMIF('NEI Lookups'!$Q:$Q,'Inputs Yr 2'!$F154,'NEI Lookups'!F:F)+SUMIF('NEI Lookups'!$R:$R,'Inputs Yr 2'!$F154,'NEI Lookups'!F:F)+SUMIF('NEI Lookups'!$S:$S,'Inputs Yr 2'!$F154,'NEI Lookups'!F:F)+SUMIF('NEI Lookups'!$T:$T,'Inputs Yr 2'!$F154,'NEI Lookups'!F:F)</f>
        <v>0</v>
      </c>
      <c r="AU154" s="299">
        <f>SUMIF('NEI Lookups'!$L:$L,'Inputs Yr 2'!$F154,'NEI Lookups'!G:G)+SUMIF('NEI Lookups'!$M:$M,'Inputs Yr 2'!$F154,'NEI Lookups'!G:G)+SUMIF('NEI Lookups'!$N:$N,'Inputs Yr 2'!$F154,'NEI Lookups'!G:G)+SUMIF('NEI Lookups'!$O:$O,'Inputs Yr 2'!$F154,'NEI Lookups'!G:G)+SUMIF('NEI Lookups'!$P:$P,'Inputs Yr 2'!$F154,'NEI Lookups'!G:G)+SUMIF('NEI Lookups'!$Q:$Q,'Inputs Yr 2'!$F154,'NEI Lookups'!G:G)+SUMIF('NEI Lookups'!$R:$R,'Inputs Yr 2'!$F154,'NEI Lookups'!G:G)+SUMIF('NEI Lookups'!$S:$S,'Inputs Yr 2'!$F154,'NEI Lookups'!G:G)+SUMIF('NEI Lookups'!$T:$T,'Inputs Yr 2'!$F154,'NEI Lookups'!G:G)</f>
        <v>0</v>
      </c>
      <c r="AV154" s="299">
        <f>SUMIF('NEI Lookups'!$L:$L,'Inputs Yr 2'!$F154,'NEI Lookups'!H:H)+SUMIF('NEI Lookups'!$M:$M,'Inputs Yr 2'!$F154,'NEI Lookups'!H:H)+SUMIF('NEI Lookups'!$N:$N,'Inputs Yr 2'!$F154,'NEI Lookups'!H:H)+SUMIF('NEI Lookups'!$O:$O,'Inputs Yr 2'!$F154,'NEI Lookups'!H:H)+SUMIF('NEI Lookups'!$P:$P,'Inputs Yr 2'!$F154,'NEI Lookups'!H:H)+SUMIF('NEI Lookups'!$Q:$Q,'Inputs Yr 2'!$F154,'NEI Lookups'!H:H)+SUMIF('NEI Lookups'!$R:$R,'Inputs Yr 2'!$F154,'NEI Lookups'!H:H)+SUMIF('NEI Lookups'!$S:$S,'Inputs Yr 2'!$F154,'NEI Lookups'!H:H)+SUMIF('NEI Lookups'!$T:$T,'Inputs Yr 2'!$F154,'NEI Lookups'!H:H)</f>
        <v>0</v>
      </c>
      <c r="AW154" s="299">
        <f>SUMIF('NEI Lookups'!$L:$L,'Inputs Yr 2'!$F154,'NEI Lookups'!I:I)+SUMIF('NEI Lookups'!$M:$M,'Inputs Yr 2'!$F154,'NEI Lookups'!I:I)+SUMIF('NEI Lookups'!$N:$N,'Inputs Yr 2'!$F154,'NEI Lookups'!I:I)+SUMIF('NEI Lookups'!$O:$O,'Inputs Yr 2'!$F154,'NEI Lookups'!I:I)+SUMIF('NEI Lookups'!$P:$P,'Inputs Yr 2'!$F154,'NEI Lookups'!I:I)+SUMIF('NEI Lookups'!$Q:$Q,'Inputs Yr 2'!$F154,'NEI Lookups'!I:I)+SUMIF('NEI Lookups'!$R:$R,'Inputs Yr 2'!$F154,'NEI Lookups'!I:I)+SUMIF('NEI Lookups'!$S:$S,'Inputs Yr 2'!$F154,'NEI Lookups'!I:I)+SUMIF('NEI Lookups'!$T:$T,'Inputs Yr 2'!$F154,'NEI Lookups'!I:I)</f>
        <v>3.4</v>
      </c>
      <c r="AX154" s="299">
        <f>SUMIF('NEI Lookups'!$L:$L,'Inputs Yr 2'!$F154,'NEI Lookups'!J:J)+SUMIF('NEI Lookups'!$M:$M,'Inputs Yr 2'!$F154,'NEI Lookups'!J:J)+SUMIF('NEI Lookups'!$N:$N,'Inputs Yr 2'!$F154,'NEI Lookups'!J:J)+SUMIF('NEI Lookups'!$O:$O,'Inputs Yr 2'!$F154,'NEI Lookups'!J:J)+SUMIF('NEI Lookups'!$P:$P,'Inputs Yr 2'!$F154,'NEI Lookups'!J:J)+SUMIF('NEI Lookups'!$Q:$Q,'Inputs Yr 2'!$F154,'NEI Lookups'!J:J)+SUMIF('NEI Lookups'!$R:$R,'Inputs Yr 2'!$F154,'NEI Lookups'!J:J)+SUMIF('NEI Lookups'!$S:$S,'Inputs Yr 2'!$F154,'NEI Lookups'!J:J)+SUMIF('NEI Lookups'!$T:$T,'Inputs Yr 2'!$F154,'NEI Lookups'!J:J)</f>
        <v>0</v>
      </c>
      <c r="AY154" s="930" t="e">
        <f>'Calculations Yr 2'!CP154/'Calculations Yr 2'!I154</f>
        <v>#VALUE!</v>
      </c>
    </row>
    <row r="155" spans="1:240" s="133" customFormat="1" ht="12.75" customHeight="1">
      <c r="A155" s="145" t="s">
        <v>83</v>
      </c>
      <c r="B155" s="132" t="s">
        <v>873</v>
      </c>
      <c r="C155" s="132" t="s">
        <v>661</v>
      </c>
      <c r="D155" s="99"/>
      <c r="E155" s="98" t="s">
        <v>605</v>
      </c>
      <c r="F155" s="98" t="s">
        <v>1052</v>
      </c>
      <c r="G155" s="145" t="s">
        <v>545</v>
      </c>
      <c r="H155" s="165"/>
      <c r="I155" s="232"/>
      <c r="J155" s="964"/>
      <c r="K155" s="166">
        <v>0</v>
      </c>
      <c r="L155" s="888">
        <f t="shared" si="25"/>
        <v>0</v>
      </c>
      <c r="M155" s="980">
        <v>0</v>
      </c>
      <c r="N155" s="980">
        <v>0</v>
      </c>
      <c r="O155" s="980">
        <v>0</v>
      </c>
      <c r="P155" s="889">
        <f t="shared" si="26"/>
        <v>1</v>
      </c>
      <c r="Q155" s="980">
        <v>1</v>
      </c>
      <c r="R155" s="178">
        <v>1</v>
      </c>
      <c r="S155" s="178">
        <v>1</v>
      </c>
      <c r="T155" s="178">
        <v>1</v>
      </c>
      <c r="U155" s="978">
        <v>0</v>
      </c>
      <c r="V155" s="978">
        <v>0</v>
      </c>
      <c r="W155" s="890"/>
      <c r="X155" s="937" t="s">
        <v>653</v>
      </c>
      <c r="Y155" s="299">
        <f>IFERROR(VLOOKUP($X155,'Demand Lookups'!$A$5:$K$101,9,0), 0)</f>
        <v>0</v>
      </c>
      <c r="Z155" s="922" t="str">
        <f>IFERROR(VLOOKUP(X155,'Demand Lookups'!$A$5:$B$101,2,0),0)</f>
        <v>Non-Electric Measures</v>
      </c>
      <c r="AA155" s="722">
        <v>0</v>
      </c>
      <c r="AB155" s="722">
        <v>0</v>
      </c>
      <c r="AC155" s="722">
        <v>0</v>
      </c>
      <c r="AD155" s="723">
        <v>0</v>
      </c>
      <c r="AE155" s="724">
        <f t="shared" si="27"/>
        <v>0</v>
      </c>
      <c r="AF155" s="723">
        <v>0</v>
      </c>
      <c r="AG155" s="723">
        <v>0</v>
      </c>
      <c r="AH155" s="648">
        <f t="shared" si="28"/>
        <v>0</v>
      </c>
      <c r="AI155" s="648">
        <f t="shared" si="29"/>
        <v>0</v>
      </c>
      <c r="AJ155" s="167" t="s">
        <v>200</v>
      </c>
      <c r="AK155" s="169">
        <v>0</v>
      </c>
      <c r="AL155" s="167"/>
      <c r="AM155" s="168"/>
      <c r="AN155" s="167"/>
      <c r="AO155" s="168"/>
      <c r="AP155" s="167"/>
      <c r="AQ155" s="171"/>
      <c r="AR155" s="171"/>
      <c r="AS155" s="299">
        <f>SUMIF('NEI Lookups'!$L:$L,'Inputs Yr 2'!$F155,'NEI Lookups'!E:E)+SUMIF('NEI Lookups'!$M:$M,'Inputs Yr 2'!$F155,'NEI Lookups'!E:E)+SUMIF('NEI Lookups'!$N:$N,'Inputs Yr 2'!$F155,'NEI Lookups'!E:E)+SUMIF('NEI Lookups'!$O:$O,'Inputs Yr 2'!$F155,'NEI Lookups'!E:E)+SUMIF('NEI Lookups'!$P:$P,'Inputs Yr 2'!$F155,'NEI Lookups'!E:E)+SUMIF('NEI Lookups'!$Q:$Q,'Inputs Yr 2'!$F155,'NEI Lookups'!E:E)+SUMIF('NEI Lookups'!$R:$R,'Inputs Yr 2'!$F155,'NEI Lookups'!E:E)+SUMIF('NEI Lookups'!$S:$S,'Inputs Yr 2'!$F155,'NEI Lookups'!E:E)+SUMIF('NEI Lookups'!$T:$T,'Inputs Yr 2'!$F155,'NEI Lookups'!E:E)</f>
        <v>0</v>
      </c>
      <c r="AT155" s="299">
        <f>SUMIF('NEI Lookups'!$L:$L,'Inputs Yr 2'!$F155,'NEI Lookups'!F:F)+SUMIF('NEI Lookups'!$M:$M,'Inputs Yr 2'!$F155,'NEI Lookups'!F:F)+SUMIF('NEI Lookups'!$N:$N,'Inputs Yr 2'!$F155,'NEI Lookups'!F:F)+SUMIF('NEI Lookups'!$O:$O,'Inputs Yr 2'!$F155,'NEI Lookups'!F:F)+SUMIF('NEI Lookups'!$P:$P,'Inputs Yr 2'!$F155,'NEI Lookups'!F:F)+SUMIF('NEI Lookups'!$Q:$Q,'Inputs Yr 2'!$F155,'NEI Lookups'!F:F)+SUMIF('NEI Lookups'!$R:$R,'Inputs Yr 2'!$F155,'NEI Lookups'!F:F)+SUMIF('NEI Lookups'!$S:$S,'Inputs Yr 2'!$F155,'NEI Lookups'!F:F)+SUMIF('NEI Lookups'!$T:$T,'Inputs Yr 2'!$F155,'NEI Lookups'!F:F)</f>
        <v>0</v>
      </c>
      <c r="AU155" s="299">
        <f>SUMIF('NEI Lookups'!$L:$L,'Inputs Yr 2'!$F155,'NEI Lookups'!G:G)+SUMIF('NEI Lookups'!$M:$M,'Inputs Yr 2'!$F155,'NEI Lookups'!G:G)+SUMIF('NEI Lookups'!$N:$N,'Inputs Yr 2'!$F155,'NEI Lookups'!G:G)+SUMIF('NEI Lookups'!$O:$O,'Inputs Yr 2'!$F155,'NEI Lookups'!G:G)+SUMIF('NEI Lookups'!$P:$P,'Inputs Yr 2'!$F155,'NEI Lookups'!G:G)+SUMIF('NEI Lookups'!$Q:$Q,'Inputs Yr 2'!$F155,'NEI Lookups'!G:G)+SUMIF('NEI Lookups'!$R:$R,'Inputs Yr 2'!$F155,'NEI Lookups'!G:G)+SUMIF('NEI Lookups'!$S:$S,'Inputs Yr 2'!$F155,'NEI Lookups'!G:G)+SUMIF('NEI Lookups'!$T:$T,'Inputs Yr 2'!$F155,'NEI Lookups'!G:G)</f>
        <v>0</v>
      </c>
      <c r="AV155" s="299">
        <f>SUMIF('NEI Lookups'!$L:$L,'Inputs Yr 2'!$F155,'NEI Lookups'!H:H)+SUMIF('NEI Lookups'!$M:$M,'Inputs Yr 2'!$F155,'NEI Lookups'!H:H)+SUMIF('NEI Lookups'!$N:$N,'Inputs Yr 2'!$F155,'NEI Lookups'!H:H)+SUMIF('NEI Lookups'!$O:$O,'Inputs Yr 2'!$F155,'NEI Lookups'!H:H)+SUMIF('NEI Lookups'!$P:$P,'Inputs Yr 2'!$F155,'NEI Lookups'!H:H)+SUMIF('NEI Lookups'!$Q:$Q,'Inputs Yr 2'!$F155,'NEI Lookups'!H:H)+SUMIF('NEI Lookups'!$R:$R,'Inputs Yr 2'!$F155,'NEI Lookups'!H:H)+SUMIF('NEI Lookups'!$S:$S,'Inputs Yr 2'!$F155,'NEI Lookups'!H:H)+SUMIF('NEI Lookups'!$T:$T,'Inputs Yr 2'!$F155,'NEI Lookups'!H:H)</f>
        <v>0</v>
      </c>
      <c r="AW155" s="299">
        <f>SUMIF('NEI Lookups'!$L:$L,'Inputs Yr 2'!$F155,'NEI Lookups'!I:I)+SUMIF('NEI Lookups'!$M:$M,'Inputs Yr 2'!$F155,'NEI Lookups'!I:I)+SUMIF('NEI Lookups'!$N:$N,'Inputs Yr 2'!$F155,'NEI Lookups'!I:I)+SUMIF('NEI Lookups'!$O:$O,'Inputs Yr 2'!$F155,'NEI Lookups'!I:I)+SUMIF('NEI Lookups'!$P:$P,'Inputs Yr 2'!$F155,'NEI Lookups'!I:I)+SUMIF('NEI Lookups'!$Q:$Q,'Inputs Yr 2'!$F155,'NEI Lookups'!I:I)+SUMIF('NEI Lookups'!$R:$R,'Inputs Yr 2'!$F155,'NEI Lookups'!I:I)+SUMIF('NEI Lookups'!$S:$S,'Inputs Yr 2'!$F155,'NEI Lookups'!I:I)+SUMIF('NEI Lookups'!$T:$T,'Inputs Yr 2'!$F155,'NEI Lookups'!I:I)</f>
        <v>3.4</v>
      </c>
      <c r="AX155" s="299">
        <f>SUMIF('NEI Lookups'!$L:$L,'Inputs Yr 2'!$F155,'NEI Lookups'!J:J)+SUMIF('NEI Lookups'!$M:$M,'Inputs Yr 2'!$F155,'NEI Lookups'!J:J)+SUMIF('NEI Lookups'!$N:$N,'Inputs Yr 2'!$F155,'NEI Lookups'!J:J)+SUMIF('NEI Lookups'!$O:$O,'Inputs Yr 2'!$F155,'NEI Lookups'!J:J)+SUMIF('NEI Lookups'!$P:$P,'Inputs Yr 2'!$F155,'NEI Lookups'!J:J)+SUMIF('NEI Lookups'!$Q:$Q,'Inputs Yr 2'!$F155,'NEI Lookups'!J:J)+SUMIF('NEI Lookups'!$R:$R,'Inputs Yr 2'!$F155,'NEI Lookups'!J:J)+SUMIF('NEI Lookups'!$S:$S,'Inputs Yr 2'!$F155,'NEI Lookups'!J:J)+SUMIF('NEI Lookups'!$T:$T,'Inputs Yr 2'!$F155,'NEI Lookups'!J:J)</f>
        <v>0</v>
      </c>
      <c r="AY155" s="930" t="e">
        <f>'Calculations Yr 2'!CP155/'Calculations Yr 2'!I155</f>
        <v>#VALUE!</v>
      </c>
    </row>
    <row r="156" spans="1:240" s="133" customFormat="1" ht="12.75" customHeight="1">
      <c r="A156" s="145" t="s">
        <v>83</v>
      </c>
      <c r="B156" s="132" t="s">
        <v>873</v>
      </c>
      <c r="C156" s="132" t="s">
        <v>661</v>
      </c>
      <c r="D156" s="906" t="s">
        <v>1544</v>
      </c>
      <c r="E156" s="4" t="s">
        <v>1350</v>
      </c>
      <c r="F156" s="98" t="s">
        <v>1053</v>
      </c>
      <c r="G156" s="145" t="s">
        <v>1247</v>
      </c>
      <c r="H156" s="165">
        <v>1</v>
      </c>
      <c r="I156" s="232">
        <v>15</v>
      </c>
      <c r="J156" s="971">
        <v>633933.33333333337</v>
      </c>
      <c r="K156" s="871">
        <v>475450</v>
      </c>
      <c r="L156" s="888">
        <f t="shared" si="25"/>
        <v>158483.33333333337</v>
      </c>
      <c r="M156" s="978">
        <v>0.11</v>
      </c>
      <c r="N156" s="978">
        <v>2.5999999999999999E-2</v>
      </c>
      <c r="O156" s="978">
        <v>3.0000000000000001E-3</v>
      </c>
      <c r="P156" s="889">
        <f t="shared" si="26"/>
        <v>0.91900000000000004</v>
      </c>
      <c r="Q156" s="978">
        <v>1</v>
      </c>
      <c r="R156" s="178">
        <v>1</v>
      </c>
      <c r="S156" s="178">
        <v>1</v>
      </c>
      <c r="T156" s="178">
        <v>1</v>
      </c>
      <c r="U156" s="978">
        <v>0.77900000000000003</v>
      </c>
      <c r="V156" s="978">
        <v>1</v>
      </c>
      <c r="W156" s="179"/>
      <c r="X156" s="937" t="s">
        <v>653</v>
      </c>
      <c r="Y156" s="299">
        <f>IFERROR(VLOOKUP($X156,'Demand Lookups'!$A$5:$K$101,9,0), 0)</f>
        <v>0</v>
      </c>
      <c r="Z156" s="922" t="str">
        <f>IFERROR(VLOOKUP(X156,'Demand Lookups'!$A$5:$B$101,2,0),0)</f>
        <v>Non-Electric Measures</v>
      </c>
      <c r="AA156" s="722">
        <f>IF(ISNA(VLOOKUP($X156,'Demand Lookups'!$A$5:$K$81,3,0)),0,VLOOKUP($X156,'Demand Lookups'!$A$5:$K$81,3,0))</f>
        <v>0</v>
      </c>
      <c r="AB156" s="722">
        <f>IF(ISNA(VLOOKUP($X156,'Demand Lookups'!$A$5:$K$81,4,0)),0,VLOOKUP($X156,'Demand Lookups'!$A$5:$K$81,4,0))</f>
        <v>0</v>
      </c>
      <c r="AC156" s="722">
        <f>IF(ISNA(VLOOKUP($X156,'Demand Lookups'!$A$5:$K$81,5,0)),0,VLOOKUP($X156,'Demand Lookups'!$A$5:$K$81,5,0))</f>
        <v>0</v>
      </c>
      <c r="AD156" s="723">
        <f>IF(ISNA(VLOOKUP($X156,'Demand Lookups'!$A$5:$K$81,6,0)),0,VLOOKUP($X156,'Demand Lookups'!$A$5:$K$81,6,0))</f>
        <v>0</v>
      </c>
      <c r="AE156" s="724">
        <f t="shared" si="27"/>
        <v>0</v>
      </c>
      <c r="AF156" s="723">
        <f>ROUND(IF(ISNA(VLOOKUP($X156,'Demand Lookups'!$A$5:$K$82,10,0)),0,(VLOOKUP($X156,'Demand Lookups'!$A$5:$K$82,10,0))),2)</f>
        <v>0</v>
      </c>
      <c r="AG156" s="723">
        <f>ROUND(IF(ISNA(VLOOKUP($X156,'Demand Lookups'!$A$5:$K$82,11,0)),0,VLOOKUP($X156,'Demand Lookups'!$A$5:$K$82,11,0)),2)</f>
        <v>0</v>
      </c>
      <c r="AH156" s="648">
        <f t="shared" si="28"/>
        <v>0</v>
      </c>
      <c r="AI156" s="648">
        <f t="shared" si="29"/>
        <v>0</v>
      </c>
      <c r="AJ156" s="167" t="s">
        <v>87</v>
      </c>
      <c r="AK156" s="168">
        <v>19018</v>
      </c>
      <c r="AL156" s="167"/>
      <c r="AM156" s="168"/>
      <c r="AN156" s="167"/>
      <c r="AO156" s="168"/>
      <c r="AP156" s="167"/>
      <c r="AQ156" s="171">
        <v>0</v>
      </c>
      <c r="AR156" s="171">
        <v>0</v>
      </c>
      <c r="AS156" s="299">
        <f>SUMIF('NEI Lookups'!$L:$L,'Inputs Yr 2'!$F156,'NEI Lookups'!E:E)+SUMIF('NEI Lookups'!$M:$M,'Inputs Yr 2'!$F156,'NEI Lookups'!E:E)+SUMIF('NEI Lookups'!$N:$N,'Inputs Yr 2'!$F156,'NEI Lookups'!E:E)+SUMIF('NEI Lookups'!$O:$O,'Inputs Yr 2'!$F156,'NEI Lookups'!E:E)+SUMIF('NEI Lookups'!$P:$P,'Inputs Yr 2'!$F156,'NEI Lookups'!E:E)+SUMIF('NEI Lookups'!$Q:$Q,'Inputs Yr 2'!$F156,'NEI Lookups'!E:E)+SUMIF('NEI Lookups'!$R:$R,'Inputs Yr 2'!$F156,'NEI Lookups'!E:E)+SUMIF('NEI Lookups'!$S:$S,'Inputs Yr 2'!$F156,'NEI Lookups'!E:E)+SUMIF('NEI Lookups'!$T:$T,'Inputs Yr 2'!$F156,'NEI Lookups'!E:E)</f>
        <v>0</v>
      </c>
      <c r="AT156" s="299">
        <f>SUMIF('NEI Lookups'!$L:$L,'Inputs Yr 2'!$F156,'NEI Lookups'!F:F)+SUMIF('NEI Lookups'!$M:$M,'Inputs Yr 2'!$F156,'NEI Lookups'!F:F)+SUMIF('NEI Lookups'!$N:$N,'Inputs Yr 2'!$F156,'NEI Lookups'!F:F)+SUMIF('NEI Lookups'!$O:$O,'Inputs Yr 2'!$F156,'NEI Lookups'!F:F)+SUMIF('NEI Lookups'!$P:$P,'Inputs Yr 2'!$F156,'NEI Lookups'!F:F)+SUMIF('NEI Lookups'!$Q:$Q,'Inputs Yr 2'!$F156,'NEI Lookups'!F:F)+SUMIF('NEI Lookups'!$R:$R,'Inputs Yr 2'!$F156,'NEI Lookups'!F:F)+SUMIF('NEI Lookups'!$S:$S,'Inputs Yr 2'!$F156,'NEI Lookups'!F:F)+SUMIF('NEI Lookups'!$T:$T,'Inputs Yr 2'!$F156,'NEI Lookups'!F:F)</f>
        <v>0</v>
      </c>
      <c r="AU156" s="299">
        <f>SUMIF('NEI Lookups'!$L:$L,'Inputs Yr 2'!$F156,'NEI Lookups'!G:G)+SUMIF('NEI Lookups'!$M:$M,'Inputs Yr 2'!$F156,'NEI Lookups'!G:G)+SUMIF('NEI Lookups'!$N:$N,'Inputs Yr 2'!$F156,'NEI Lookups'!G:G)+SUMIF('NEI Lookups'!$O:$O,'Inputs Yr 2'!$F156,'NEI Lookups'!G:G)+SUMIF('NEI Lookups'!$P:$P,'Inputs Yr 2'!$F156,'NEI Lookups'!G:G)+SUMIF('NEI Lookups'!$Q:$Q,'Inputs Yr 2'!$F156,'NEI Lookups'!G:G)+SUMIF('NEI Lookups'!$R:$R,'Inputs Yr 2'!$F156,'NEI Lookups'!G:G)+SUMIF('NEI Lookups'!$S:$S,'Inputs Yr 2'!$F156,'NEI Lookups'!G:G)+SUMIF('NEI Lookups'!$T:$T,'Inputs Yr 2'!$F156,'NEI Lookups'!G:G)</f>
        <v>0</v>
      </c>
      <c r="AV156" s="299">
        <f>SUMIF('NEI Lookups'!$L:$L,'Inputs Yr 2'!$F156,'NEI Lookups'!H:H)+SUMIF('NEI Lookups'!$M:$M,'Inputs Yr 2'!$F156,'NEI Lookups'!H:H)+SUMIF('NEI Lookups'!$N:$N,'Inputs Yr 2'!$F156,'NEI Lookups'!H:H)+SUMIF('NEI Lookups'!$O:$O,'Inputs Yr 2'!$F156,'NEI Lookups'!H:H)+SUMIF('NEI Lookups'!$P:$P,'Inputs Yr 2'!$F156,'NEI Lookups'!H:H)+SUMIF('NEI Lookups'!$Q:$Q,'Inputs Yr 2'!$F156,'NEI Lookups'!H:H)+SUMIF('NEI Lookups'!$R:$R,'Inputs Yr 2'!$F156,'NEI Lookups'!H:H)+SUMIF('NEI Lookups'!$S:$S,'Inputs Yr 2'!$F156,'NEI Lookups'!H:H)+SUMIF('NEI Lookups'!$T:$T,'Inputs Yr 2'!$F156,'NEI Lookups'!H:H)</f>
        <v>0</v>
      </c>
      <c r="AW156" s="940">
        <f>SUMIF('NEI Lookups'!$L:$L,'Inputs Yr 2'!$F156,'NEI Lookups'!I:I)+SUMIF('NEI Lookups'!$M:$M,'Inputs Yr 2'!$F156,'NEI Lookups'!I:I)+SUMIF('NEI Lookups'!$N:$N,'Inputs Yr 2'!$F156,'NEI Lookups'!I:I)+SUMIF('NEI Lookups'!$O:$O,'Inputs Yr 2'!$F156,'NEI Lookups'!I:I)+SUMIF('NEI Lookups'!$P:$P,'Inputs Yr 2'!$F156,'NEI Lookups'!I:I)+SUMIF('NEI Lookups'!$Q:$Q,'Inputs Yr 2'!$F156,'NEI Lookups'!I:I)+SUMIF('NEI Lookups'!$R:$R,'Inputs Yr 2'!$F156,'NEI Lookups'!I:I)+SUMIF('NEI Lookups'!$S:$S,'Inputs Yr 2'!$F156,'NEI Lookups'!I:I)+SUMIF('NEI Lookups'!$T:$T,'Inputs Yr 2'!$F156,'NEI Lookups'!I:I)</f>
        <v>0</v>
      </c>
      <c r="AX156" s="299">
        <f>SUMIF('NEI Lookups'!$L:$L,'Inputs Yr 2'!$F156,'NEI Lookups'!J:J)+SUMIF('NEI Lookups'!$M:$M,'Inputs Yr 2'!$F156,'NEI Lookups'!J:J)+SUMIF('NEI Lookups'!$N:$N,'Inputs Yr 2'!$F156,'NEI Lookups'!J:J)+SUMIF('NEI Lookups'!$O:$O,'Inputs Yr 2'!$F156,'NEI Lookups'!J:J)+SUMIF('NEI Lookups'!$P:$P,'Inputs Yr 2'!$F156,'NEI Lookups'!J:J)+SUMIF('NEI Lookups'!$Q:$Q,'Inputs Yr 2'!$F156,'NEI Lookups'!J:J)+SUMIF('NEI Lookups'!$R:$R,'Inputs Yr 2'!$F156,'NEI Lookups'!J:J)+SUMIF('NEI Lookups'!$S:$S,'Inputs Yr 2'!$F156,'NEI Lookups'!J:J)+SUMIF('NEI Lookups'!$T:$T,'Inputs Yr 2'!$F156,'NEI Lookups'!J:J)</f>
        <v>0</v>
      </c>
      <c r="AY156" s="930">
        <f>'Calculations Yr 2'!CP156/'Calculations Yr 2'!I156</f>
        <v>2.9741566651797657</v>
      </c>
    </row>
    <row r="157" spans="1:240" s="133" customFormat="1" ht="12.75" customHeight="1">
      <c r="A157" s="145" t="s">
        <v>83</v>
      </c>
      <c r="B157" s="132" t="s">
        <v>873</v>
      </c>
      <c r="C157" s="132" t="s">
        <v>661</v>
      </c>
      <c r="D157" s="906" t="s">
        <v>1544</v>
      </c>
      <c r="E157" s="935" t="s">
        <v>1351</v>
      </c>
      <c r="F157" s="98" t="s">
        <v>1053</v>
      </c>
      <c r="G157" s="145" t="s">
        <v>1247</v>
      </c>
      <c r="H157" s="165">
        <v>1</v>
      </c>
      <c r="I157" s="232">
        <v>20</v>
      </c>
      <c r="J157" s="971">
        <v>139225.33333333334</v>
      </c>
      <c r="K157" s="871">
        <v>104419</v>
      </c>
      <c r="L157" s="888">
        <f t="shared" si="25"/>
        <v>34806.333333333343</v>
      </c>
      <c r="M157" s="978">
        <v>0.11</v>
      </c>
      <c r="N157" s="978">
        <v>2.5999999999999999E-2</v>
      </c>
      <c r="O157" s="978">
        <v>3.0000000000000001E-3</v>
      </c>
      <c r="P157" s="889">
        <f t="shared" ref="P157" si="41">1-M157+N157+O157</f>
        <v>0.91900000000000004</v>
      </c>
      <c r="Q157" s="978">
        <v>1</v>
      </c>
      <c r="R157" s="178">
        <v>1</v>
      </c>
      <c r="S157" s="178">
        <v>1</v>
      </c>
      <c r="T157" s="178">
        <v>1</v>
      </c>
      <c r="U157" s="978">
        <v>0.77900000000000003</v>
      </c>
      <c r="V157" s="978">
        <v>1</v>
      </c>
      <c r="W157" s="179"/>
      <c r="X157" s="937" t="s">
        <v>653</v>
      </c>
      <c r="Y157" s="299">
        <f>IFERROR(VLOOKUP($X157,'Demand Lookups'!$A$5:$K$101,9,0), 0)</f>
        <v>0</v>
      </c>
      <c r="Z157" s="922" t="str">
        <f>IFERROR(VLOOKUP(X157,'Demand Lookups'!$A$5:$B$101,2,0),0)</f>
        <v>Non-Electric Measures</v>
      </c>
      <c r="AA157" s="722">
        <f>IF(ISNA(VLOOKUP($X157,'Demand Lookups'!$A$5:$K$81,3,0)),0,VLOOKUP($X157,'Demand Lookups'!$A$5:$K$81,3,0))</f>
        <v>0</v>
      </c>
      <c r="AB157" s="722">
        <f>IF(ISNA(VLOOKUP($X157,'Demand Lookups'!$A$5:$K$81,4,0)),0,VLOOKUP($X157,'Demand Lookups'!$A$5:$K$81,4,0))</f>
        <v>0</v>
      </c>
      <c r="AC157" s="722">
        <f>IF(ISNA(VLOOKUP($X157,'Demand Lookups'!$A$5:$K$81,5,0)),0,VLOOKUP($X157,'Demand Lookups'!$A$5:$K$81,5,0))</f>
        <v>0</v>
      </c>
      <c r="AD157" s="723">
        <f>IF(ISNA(VLOOKUP($X157,'Demand Lookups'!$A$5:$K$81,6,0)),0,VLOOKUP($X157,'Demand Lookups'!$A$5:$K$81,6,0))</f>
        <v>0</v>
      </c>
      <c r="AE157" s="724">
        <f t="shared" ref="AE157" si="42">IF(ISERROR(W157*Y157),"",W157*Y157)</f>
        <v>0</v>
      </c>
      <c r="AF157" s="723">
        <f>ROUND(IF(ISNA(VLOOKUP($X157,'Demand Lookups'!$A$5:$K$82,10,0)),0,(VLOOKUP($X157,'Demand Lookups'!$A$5:$K$82,10,0))),2)</f>
        <v>0</v>
      </c>
      <c r="AG157" s="723">
        <f>ROUND(IF(ISNA(VLOOKUP($X157,'Demand Lookups'!$A$5:$K$82,11,0)),0,VLOOKUP($X157,'Demand Lookups'!$A$5:$K$82,11,0)),2)</f>
        <v>0</v>
      </c>
      <c r="AH157" s="648">
        <f t="shared" ref="AH157" si="43">AF157</f>
        <v>0</v>
      </c>
      <c r="AI157" s="648">
        <f t="shared" ref="AI157" si="44">AF157</f>
        <v>0</v>
      </c>
      <c r="AJ157" s="167" t="s">
        <v>87</v>
      </c>
      <c r="AK157" s="168">
        <v>2503.5</v>
      </c>
      <c r="AL157" s="167"/>
      <c r="AM157" s="168"/>
      <c r="AN157" s="167"/>
      <c r="AO157" s="168"/>
      <c r="AP157" s="167"/>
      <c r="AQ157" s="171">
        <v>0</v>
      </c>
      <c r="AR157" s="171">
        <v>0</v>
      </c>
      <c r="AS157" s="299">
        <f>SUMIF('NEI Lookups'!$L:$L,'Inputs Yr 2'!$F157,'NEI Lookups'!E:E)+SUMIF('NEI Lookups'!$M:$M,'Inputs Yr 2'!$F157,'NEI Lookups'!E:E)+SUMIF('NEI Lookups'!$N:$N,'Inputs Yr 2'!$F157,'NEI Lookups'!E:E)+SUMIF('NEI Lookups'!$O:$O,'Inputs Yr 2'!$F157,'NEI Lookups'!E:E)+SUMIF('NEI Lookups'!$P:$P,'Inputs Yr 2'!$F157,'NEI Lookups'!E:E)+SUMIF('NEI Lookups'!$Q:$Q,'Inputs Yr 2'!$F157,'NEI Lookups'!E:E)+SUMIF('NEI Lookups'!$R:$R,'Inputs Yr 2'!$F157,'NEI Lookups'!E:E)+SUMIF('NEI Lookups'!$S:$S,'Inputs Yr 2'!$F157,'NEI Lookups'!E:E)+SUMIF('NEI Lookups'!$T:$T,'Inputs Yr 2'!$F157,'NEI Lookups'!E:E)</f>
        <v>0</v>
      </c>
      <c r="AT157" s="299">
        <f>SUMIF('NEI Lookups'!$L:$L,'Inputs Yr 2'!$F157,'NEI Lookups'!F:F)+SUMIF('NEI Lookups'!$M:$M,'Inputs Yr 2'!$F157,'NEI Lookups'!F:F)+SUMIF('NEI Lookups'!$N:$N,'Inputs Yr 2'!$F157,'NEI Lookups'!F:F)+SUMIF('NEI Lookups'!$O:$O,'Inputs Yr 2'!$F157,'NEI Lookups'!F:F)+SUMIF('NEI Lookups'!$P:$P,'Inputs Yr 2'!$F157,'NEI Lookups'!F:F)+SUMIF('NEI Lookups'!$Q:$Q,'Inputs Yr 2'!$F157,'NEI Lookups'!F:F)+SUMIF('NEI Lookups'!$R:$R,'Inputs Yr 2'!$F157,'NEI Lookups'!F:F)+SUMIF('NEI Lookups'!$S:$S,'Inputs Yr 2'!$F157,'NEI Lookups'!F:F)+SUMIF('NEI Lookups'!$T:$T,'Inputs Yr 2'!$F157,'NEI Lookups'!F:F)</f>
        <v>0</v>
      </c>
      <c r="AU157" s="299">
        <f>SUMIF('NEI Lookups'!$L:$L,'Inputs Yr 2'!$F157,'NEI Lookups'!G:G)+SUMIF('NEI Lookups'!$M:$M,'Inputs Yr 2'!$F157,'NEI Lookups'!G:G)+SUMIF('NEI Lookups'!$N:$N,'Inputs Yr 2'!$F157,'NEI Lookups'!G:G)+SUMIF('NEI Lookups'!$O:$O,'Inputs Yr 2'!$F157,'NEI Lookups'!G:G)+SUMIF('NEI Lookups'!$P:$P,'Inputs Yr 2'!$F157,'NEI Lookups'!G:G)+SUMIF('NEI Lookups'!$Q:$Q,'Inputs Yr 2'!$F157,'NEI Lookups'!G:G)+SUMIF('NEI Lookups'!$R:$R,'Inputs Yr 2'!$F157,'NEI Lookups'!G:G)+SUMIF('NEI Lookups'!$S:$S,'Inputs Yr 2'!$F157,'NEI Lookups'!G:G)+SUMIF('NEI Lookups'!$T:$T,'Inputs Yr 2'!$F157,'NEI Lookups'!G:G)</f>
        <v>0</v>
      </c>
      <c r="AV157" s="299">
        <f>SUMIF('NEI Lookups'!$L:$L,'Inputs Yr 2'!$F157,'NEI Lookups'!H:H)+SUMIF('NEI Lookups'!$M:$M,'Inputs Yr 2'!$F157,'NEI Lookups'!H:H)+SUMIF('NEI Lookups'!$N:$N,'Inputs Yr 2'!$F157,'NEI Lookups'!H:H)+SUMIF('NEI Lookups'!$O:$O,'Inputs Yr 2'!$F157,'NEI Lookups'!H:H)+SUMIF('NEI Lookups'!$P:$P,'Inputs Yr 2'!$F157,'NEI Lookups'!H:H)+SUMIF('NEI Lookups'!$Q:$Q,'Inputs Yr 2'!$F157,'NEI Lookups'!H:H)+SUMIF('NEI Lookups'!$R:$R,'Inputs Yr 2'!$F157,'NEI Lookups'!H:H)+SUMIF('NEI Lookups'!$S:$S,'Inputs Yr 2'!$F157,'NEI Lookups'!H:H)+SUMIF('NEI Lookups'!$T:$T,'Inputs Yr 2'!$F157,'NEI Lookups'!H:H)</f>
        <v>0</v>
      </c>
      <c r="AW157" s="940">
        <f>SUMIF('NEI Lookups'!$L:$L,'Inputs Yr 2'!$F157,'NEI Lookups'!I:I)+SUMIF('NEI Lookups'!$M:$M,'Inputs Yr 2'!$F157,'NEI Lookups'!I:I)+SUMIF('NEI Lookups'!$N:$N,'Inputs Yr 2'!$F157,'NEI Lookups'!I:I)+SUMIF('NEI Lookups'!$O:$O,'Inputs Yr 2'!$F157,'NEI Lookups'!I:I)+SUMIF('NEI Lookups'!$P:$P,'Inputs Yr 2'!$F157,'NEI Lookups'!I:I)+SUMIF('NEI Lookups'!$Q:$Q,'Inputs Yr 2'!$F157,'NEI Lookups'!I:I)+SUMIF('NEI Lookups'!$R:$R,'Inputs Yr 2'!$F157,'NEI Lookups'!I:I)+SUMIF('NEI Lookups'!$S:$S,'Inputs Yr 2'!$F157,'NEI Lookups'!I:I)+SUMIF('NEI Lookups'!$T:$T,'Inputs Yr 2'!$F157,'NEI Lookups'!I:I)</f>
        <v>0</v>
      </c>
      <c r="AX157" s="299">
        <f>SUMIF('NEI Lookups'!$L:$L,'Inputs Yr 2'!$F157,'NEI Lookups'!J:J)+SUMIF('NEI Lookups'!$M:$M,'Inputs Yr 2'!$F157,'NEI Lookups'!J:J)+SUMIF('NEI Lookups'!$N:$N,'Inputs Yr 2'!$F157,'NEI Lookups'!J:J)+SUMIF('NEI Lookups'!$O:$O,'Inputs Yr 2'!$F157,'NEI Lookups'!J:J)+SUMIF('NEI Lookups'!$P:$P,'Inputs Yr 2'!$F157,'NEI Lookups'!J:J)+SUMIF('NEI Lookups'!$Q:$Q,'Inputs Yr 2'!$F157,'NEI Lookups'!J:J)+SUMIF('NEI Lookups'!$R:$R,'Inputs Yr 2'!$F157,'NEI Lookups'!J:J)+SUMIF('NEI Lookups'!$S:$S,'Inputs Yr 2'!$F157,'NEI Lookups'!J:J)+SUMIF('NEI Lookups'!$T:$T,'Inputs Yr 2'!$F157,'NEI Lookups'!J:J)</f>
        <v>0</v>
      </c>
      <c r="AY157" s="930">
        <f>'Calculations Yr 2'!CP157/'Calculations Yr 2'!I157</f>
        <v>2.4135618866596298</v>
      </c>
    </row>
    <row r="158" spans="1:240" s="133" customFormat="1" ht="12.75" customHeight="1">
      <c r="A158" s="145" t="s">
        <v>83</v>
      </c>
      <c r="B158" s="132" t="s">
        <v>873</v>
      </c>
      <c r="C158" s="132" t="s">
        <v>661</v>
      </c>
      <c r="D158" s="97"/>
      <c r="E158" s="4" t="s">
        <v>1353</v>
      </c>
      <c r="F158" s="98" t="s">
        <v>1054</v>
      </c>
      <c r="G158" s="145" t="s">
        <v>1247</v>
      </c>
      <c r="H158" s="165">
        <v>1</v>
      </c>
      <c r="I158" s="232">
        <v>15</v>
      </c>
      <c r="J158" s="971">
        <v>213542.93333333335</v>
      </c>
      <c r="K158" s="871">
        <v>160157.20000000001</v>
      </c>
      <c r="L158" s="888">
        <f t="shared" si="25"/>
        <v>53385.733333333337</v>
      </c>
      <c r="M158" s="978">
        <v>0.11</v>
      </c>
      <c r="N158" s="978">
        <v>2.5999999999999999E-2</v>
      </c>
      <c r="O158" s="978">
        <v>3.0000000000000001E-3</v>
      </c>
      <c r="P158" s="889">
        <f t="shared" si="26"/>
        <v>0.91900000000000004</v>
      </c>
      <c r="Q158" s="978">
        <v>1</v>
      </c>
      <c r="R158" s="178">
        <v>1</v>
      </c>
      <c r="S158" s="178">
        <v>1</v>
      </c>
      <c r="T158" s="178">
        <v>1</v>
      </c>
      <c r="U158" s="978">
        <v>0.77900000000000003</v>
      </c>
      <c r="V158" s="978">
        <v>1</v>
      </c>
      <c r="W158" s="179"/>
      <c r="X158" s="937" t="s">
        <v>653</v>
      </c>
      <c r="Y158" s="299">
        <f>IFERROR(VLOOKUP($X158,'Demand Lookups'!$A$5:$K$101,9,0), 0)</f>
        <v>0</v>
      </c>
      <c r="Z158" s="922" t="str">
        <f>IFERROR(VLOOKUP(X158,'Demand Lookups'!$A$5:$B$101,2,0),0)</f>
        <v>Non-Electric Measures</v>
      </c>
      <c r="AA158" s="722">
        <f>IF(ISNA(VLOOKUP($X158,'Demand Lookups'!$A$5:$K$81,3,0)),0,VLOOKUP($X158,'Demand Lookups'!$A$5:$K$81,3,0))</f>
        <v>0</v>
      </c>
      <c r="AB158" s="722">
        <f>IF(ISNA(VLOOKUP($X158,'Demand Lookups'!$A$5:$K$81,4,0)),0,VLOOKUP($X158,'Demand Lookups'!$A$5:$K$81,4,0))</f>
        <v>0</v>
      </c>
      <c r="AC158" s="722">
        <f>IF(ISNA(VLOOKUP($X158,'Demand Lookups'!$A$5:$K$81,5,0)),0,VLOOKUP($X158,'Demand Lookups'!$A$5:$K$81,5,0))</f>
        <v>0</v>
      </c>
      <c r="AD158" s="723">
        <f>IF(ISNA(VLOOKUP($X158,'Demand Lookups'!$A$5:$K$81,6,0)),0,VLOOKUP($X158,'Demand Lookups'!$A$5:$K$81,6,0))</f>
        <v>0</v>
      </c>
      <c r="AE158" s="724">
        <f t="shared" si="27"/>
        <v>0</v>
      </c>
      <c r="AF158" s="723">
        <f>ROUND(IF(ISNA(VLOOKUP($X158,'Demand Lookups'!$A$5:$K$82,10,0)),0,(VLOOKUP($X158,'Demand Lookups'!$A$5:$K$82,10,0))),2)</f>
        <v>0</v>
      </c>
      <c r="AG158" s="723">
        <f>ROUND(IF(ISNA(VLOOKUP($X158,'Demand Lookups'!$A$5:$K$82,11,0)),0,VLOOKUP($X158,'Demand Lookups'!$A$5:$K$82,11,0)),2)</f>
        <v>0</v>
      </c>
      <c r="AH158" s="648">
        <f t="shared" si="28"/>
        <v>0</v>
      </c>
      <c r="AI158" s="648">
        <f t="shared" si="29"/>
        <v>0</v>
      </c>
      <c r="AJ158" s="167" t="s">
        <v>87</v>
      </c>
      <c r="AK158" s="168">
        <v>8382.7000000000007</v>
      </c>
      <c r="AL158" s="167"/>
      <c r="AM158" s="168"/>
      <c r="AN158" s="167"/>
      <c r="AO158" s="168"/>
      <c r="AP158" s="167"/>
      <c r="AQ158" s="171">
        <v>0</v>
      </c>
      <c r="AR158" s="171">
        <v>0</v>
      </c>
      <c r="AS158" s="299">
        <f>SUMIF('NEI Lookups'!$L:$L,'Inputs Yr 2'!$F158,'NEI Lookups'!E:E)+SUMIF('NEI Lookups'!$M:$M,'Inputs Yr 2'!$F158,'NEI Lookups'!E:E)+SUMIF('NEI Lookups'!$N:$N,'Inputs Yr 2'!$F158,'NEI Lookups'!E:E)+SUMIF('NEI Lookups'!$O:$O,'Inputs Yr 2'!$F158,'NEI Lookups'!E:E)+SUMIF('NEI Lookups'!$P:$P,'Inputs Yr 2'!$F158,'NEI Lookups'!E:E)+SUMIF('NEI Lookups'!$Q:$Q,'Inputs Yr 2'!$F158,'NEI Lookups'!E:E)+SUMIF('NEI Lookups'!$R:$R,'Inputs Yr 2'!$F158,'NEI Lookups'!E:E)+SUMIF('NEI Lookups'!$S:$S,'Inputs Yr 2'!$F158,'NEI Lookups'!E:E)+SUMIF('NEI Lookups'!$T:$T,'Inputs Yr 2'!$F158,'NEI Lookups'!E:E)</f>
        <v>0</v>
      </c>
      <c r="AT158" s="299">
        <f>SUMIF('NEI Lookups'!$L:$L,'Inputs Yr 2'!$F158,'NEI Lookups'!F:F)+SUMIF('NEI Lookups'!$M:$M,'Inputs Yr 2'!$F158,'NEI Lookups'!F:F)+SUMIF('NEI Lookups'!$N:$N,'Inputs Yr 2'!$F158,'NEI Lookups'!F:F)+SUMIF('NEI Lookups'!$O:$O,'Inputs Yr 2'!$F158,'NEI Lookups'!F:F)+SUMIF('NEI Lookups'!$P:$P,'Inputs Yr 2'!$F158,'NEI Lookups'!F:F)+SUMIF('NEI Lookups'!$Q:$Q,'Inputs Yr 2'!$F158,'NEI Lookups'!F:F)+SUMIF('NEI Lookups'!$R:$R,'Inputs Yr 2'!$F158,'NEI Lookups'!F:F)+SUMIF('NEI Lookups'!$S:$S,'Inputs Yr 2'!$F158,'NEI Lookups'!F:F)+SUMIF('NEI Lookups'!$T:$T,'Inputs Yr 2'!$F158,'NEI Lookups'!F:F)</f>
        <v>0</v>
      </c>
      <c r="AU158" s="299">
        <f>SUMIF('NEI Lookups'!$L:$L,'Inputs Yr 2'!$F158,'NEI Lookups'!G:G)+SUMIF('NEI Lookups'!$M:$M,'Inputs Yr 2'!$F158,'NEI Lookups'!G:G)+SUMIF('NEI Lookups'!$N:$N,'Inputs Yr 2'!$F158,'NEI Lookups'!G:G)+SUMIF('NEI Lookups'!$O:$O,'Inputs Yr 2'!$F158,'NEI Lookups'!G:G)+SUMIF('NEI Lookups'!$P:$P,'Inputs Yr 2'!$F158,'NEI Lookups'!G:G)+SUMIF('NEI Lookups'!$Q:$Q,'Inputs Yr 2'!$F158,'NEI Lookups'!G:G)+SUMIF('NEI Lookups'!$R:$R,'Inputs Yr 2'!$F158,'NEI Lookups'!G:G)+SUMIF('NEI Lookups'!$S:$S,'Inputs Yr 2'!$F158,'NEI Lookups'!G:G)+SUMIF('NEI Lookups'!$T:$T,'Inputs Yr 2'!$F158,'NEI Lookups'!G:G)</f>
        <v>0</v>
      </c>
      <c r="AV158" s="299">
        <f>SUMIF('NEI Lookups'!$L:$L,'Inputs Yr 2'!$F158,'NEI Lookups'!H:H)+SUMIF('NEI Lookups'!$M:$M,'Inputs Yr 2'!$F158,'NEI Lookups'!H:H)+SUMIF('NEI Lookups'!$N:$N,'Inputs Yr 2'!$F158,'NEI Lookups'!H:H)+SUMIF('NEI Lookups'!$O:$O,'Inputs Yr 2'!$F158,'NEI Lookups'!H:H)+SUMIF('NEI Lookups'!$P:$P,'Inputs Yr 2'!$F158,'NEI Lookups'!H:H)+SUMIF('NEI Lookups'!$Q:$Q,'Inputs Yr 2'!$F158,'NEI Lookups'!H:H)+SUMIF('NEI Lookups'!$R:$R,'Inputs Yr 2'!$F158,'NEI Lookups'!H:H)+SUMIF('NEI Lookups'!$S:$S,'Inputs Yr 2'!$F158,'NEI Lookups'!H:H)+SUMIF('NEI Lookups'!$T:$T,'Inputs Yr 2'!$F158,'NEI Lookups'!H:H)</f>
        <v>0</v>
      </c>
      <c r="AW158" s="940">
        <f>SUMIF('NEI Lookups'!$L:$L,'Inputs Yr 2'!$F158,'NEI Lookups'!I:I)+SUMIF('NEI Lookups'!$M:$M,'Inputs Yr 2'!$F158,'NEI Lookups'!I:I)+SUMIF('NEI Lookups'!$N:$N,'Inputs Yr 2'!$F158,'NEI Lookups'!I:I)+SUMIF('NEI Lookups'!$O:$O,'Inputs Yr 2'!$F158,'NEI Lookups'!I:I)+SUMIF('NEI Lookups'!$P:$P,'Inputs Yr 2'!$F158,'NEI Lookups'!I:I)+SUMIF('NEI Lookups'!$Q:$Q,'Inputs Yr 2'!$F158,'NEI Lookups'!I:I)+SUMIF('NEI Lookups'!$R:$R,'Inputs Yr 2'!$F158,'NEI Lookups'!I:I)+SUMIF('NEI Lookups'!$S:$S,'Inputs Yr 2'!$F158,'NEI Lookups'!I:I)+SUMIF('NEI Lookups'!$T:$T,'Inputs Yr 2'!$F158,'NEI Lookups'!I:I)</f>
        <v>0</v>
      </c>
      <c r="AX158" s="299">
        <f>SUMIF('NEI Lookups'!$L:$L,'Inputs Yr 2'!$F158,'NEI Lookups'!J:J)+SUMIF('NEI Lookups'!$M:$M,'Inputs Yr 2'!$F158,'NEI Lookups'!J:J)+SUMIF('NEI Lookups'!$N:$N,'Inputs Yr 2'!$F158,'NEI Lookups'!J:J)+SUMIF('NEI Lookups'!$O:$O,'Inputs Yr 2'!$F158,'NEI Lookups'!J:J)+SUMIF('NEI Lookups'!$P:$P,'Inputs Yr 2'!$F158,'NEI Lookups'!J:J)+SUMIF('NEI Lookups'!$Q:$Q,'Inputs Yr 2'!$F158,'NEI Lookups'!J:J)+SUMIF('NEI Lookups'!$R:$R,'Inputs Yr 2'!$F158,'NEI Lookups'!J:J)+SUMIF('NEI Lookups'!$S:$S,'Inputs Yr 2'!$F158,'NEI Lookups'!J:J)+SUMIF('NEI Lookups'!$T:$T,'Inputs Yr 2'!$F158,'NEI Lookups'!J:J)</f>
        <v>0</v>
      </c>
      <c r="AY158" s="930">
        <f>'Calculations Yr 2'!CP158/'Calculations Yr 2'!I158</f>
        <v>3.8917174933756375</v>
      </c>
    </row>
    <row r="159" spans="1:240" s="133" customFormat="1" ht="12.75" customHeight="1">
      <c r="A159" s="145" t="s">
        <v>83</v>
      </c>
      <c r="B159" s="132" t="s">
        <v>873</v>
      </c>
      <c r="C159" s="132" t="s">
        <v>661</v>
      </c>
      <c r="D159" s="936"/>
      <c r="E159" s="935" t="s">
        <v>1355</v>
      </c>
      <c r="F159" s="98" t="s">
        <v>1054</v>
      </c>
      <c r="G159" s="145" t="s">
        <v>1247</v>
      </c>
      <c r="H159" s="165">
        <v>1</v>
      </c>
      <c r="I159" s="232">
        <v>20</v>
      </c>
      <c r="J159" s="971">
        <v>91871.333333333328</v>
      </c>
      <c r="K159" s="871">
        <v>68903.5</v>
      </c>
      <c r="L159" s="888">
        <f t="shared" si="25"/>
        <v>22967.833333333328</v>
      </c>
      <c r="M159" s="978">
        <v>0.11</v>
      </c>
      <c r="N159" s="978">
        <v>2.5999999999999999E-2</v>
      </c>
      <c r="O159" s="978">
        <v>3.0000000000000001E-3</v>
      </c>
      <c r="P159" s="889">
        <f t="shared" ref="P159:P160" si="45">1-M159+N159+O159</f>
        <v>0.91900000000000004</v>
      </c>
      <c r="Q159" s="978">
        <v>1</v>
      </c>
      <c r="R159" s="178">
        <v>1</v>
      </c>
      <c r="S159" s="178">
        <v>1</v>
      </c>
      <c r="T159" s="178">
        <v>1</v>
      </c>
      <c r="U159" s="978">
        <v>0.77900000000000003</v>
      </c>
      <c r="V159" s="978">
        <v>1</v>
      </c>
      <c r="W159" s="179"/>
      <c r="X159" s="937" t="s">
        <v>653</v>
      </c>
      <c r="Y159" s="299">
        <f>IFERROR(VLOOKUP($X159,'Demand Lookups'!$A$5:$K$101,9,0), 0)</f>
        <v>0</v>
      </c>
      <c r="Z159" s="922" t="str">
        <f>IFERROR(VLOOKUP(X159,'Demand Lookups'!$A$5:$B$101,2,0),0)</f>
        <v>Non-Electric Measures</v>
      </c>
      <c r="AA159" s="722">
        <f>IF(ISNA(VLOOKUP($X159,'Demand Lookups'!$A$5:$K$81,3,0)),0,VLOOKUP($X159,'Demand Lookups'!$A$5:$K$81,3,0))</f>
        <v>0</v>
      </c>
      <c r="AB159" s="722">
        <f>IF(ISNA(VLOOKUP($X159,'Demand Lookups'!$A$5:$K$81,4,0)),0,VLOOKUP($X159,'Demand Lookups'!$A$5:$K$81,4,0))</f>
        <v>0</v>
      </c>
      <c r="AC159" s="722">
        <f>IF(ISNA(VLOOKUP($X159,'Demand Lookups'!$A$5:$K$81,5,0)),0,VLOOKUP($X159,'Demand Lookups'!$A$5:$K$81,5,0))</f>
        <v>0</v>
      </c>
      <c r="AD159" s="723">
        <f>IF(ISNA(VLOOKUP($X159,'Demand Lookups'!$A$5:$K$81,6,0)),0,VLOOKUP($X159,'Demand Lookups'!$A$5:$K$81,6,0))</f>
        <v>0</v>
      </c>
      <c r="AE159" s="724">
        <f t="shared" ref="AE159:AE196" si="46">IF(ISERROR(W159*Y159),"",W159*Y159)</f>
        <v>0</v>
      </c>
      <c r="AF159" s="723">
        <f>ROUND(IF(ISNA(VLOOKUP($X159,'Demand Lookups'!$A$5:$K$82,10,0)),0,(VLOOKUP($X159,'Demand Lookups'!$A$5:$K$82,10,0))),2)</f>
        <v>0</v>
      </c>
      <c r="AG159" s="723">
        <f>ROUND(IF(ISNA(VLOOKUP($X159,'Demand Lookups'!$A$5:$K$82,11,0)),0,VLOOKUP($X159,'Demand Lookups'!$A$5:$K$82,11,0)),2)</f>
        <v>0</v>
      </c>
      <c r="AH159" s="648">
        <f t="shared" ref="AH159:AH160" si="47">AF159</f>
        <v>0</v>
      </c>
      <c r="AI159" s="648">
        <f t="shared" ref="AI159:AI160" si="48">AF159</f>
        <v>0</v>
      </c>
      <c r="AJ159" s="167" t="s">
        <v>87</v>
      </c>
      <c r="AK159" s="168">
        <v>2574.3000000000002</v>
      </c>
      <c r="AL159" s="167"/>
      <c r="AM159" s="168"/>
      <c r="AN159" s="167"/>
      <c r="AO159" s="168"/>
      <c r="AP159" s="167"/>
      <c r="AQ159" s="171"/>
      <c r="AR159" s="171"/>
      <c r="AS159" s="299">
        <f>SUMIF('NEI Lookups'!$L:$L,'Inputs Yr 2'!$F159,'NEI Lookups'!E:E)+SUMIF('NEI Lookups'!$M:$M,'Inputs Yr 2'!$F159,'NEI Lookups'!E:E)+SUMIF('NEI Lookups'!$N:$N,'Inputs Yr 2'!$F159,'NEI Lookups'!E:E)+SUMIF('NEI Lookups'!$O:$O,'Inputs Yr 2'!$F159,'NEI Lookups'!E:E)+SUMIF('NEI Lookups'!$P:$P,'Inputs Yr 2'!$F159,'NEI Lookups'!E:E)+SUMIF('NEI Lookups'!$Q:$Q,'Inputs Yr 2'!$F159,'NEI Lookups'!E:E)+SUMIF('NEI Lookups'!$R:$R,'Inputs Yr 2'!$F159,'NEI Lookups'!E:E)+SUMIF('NEI Lookups'!$S:$S,'Inputs Yr 2'!$F159,'NEI Lookups'!E:E)+SUMIF('NEI Lookups'!$T:$T,'Inputs Yr 2'!$F159,'NEI Lookups'!E:E)</f>
        <v>0</v>
      </c>
      <c r="AT159" s="299">
        <f>SUMIF('NEI Lookups'!$L:$L,'Inputs Yr 2'!$F159,'NEI Lookups'!F:F)+SUMIF('NEI Lookups'!$M:$M,'Inputs Yr 2'!$F159,'NEI Lookups'!F:F)+SUMIF('NEI Lookups'!$N:$N,'Inputs Yr 2'!$F159,'NEI Lookups'!F:F)+SUMIF('NEI Lookups'!$O:$O,'Inputs Yr 2'!$F159,'NEI Lookups'!F:F)+SUMIF('NEI Lookups'!$P:$P,'Inputs Yr 2'!$F159,'NEI Lookups'!F:F)+SUMIF('NEI Lookups'!$Q:$Q,'Inputs Yr 2'!$F159,'NEI Lookups'!F:F)+SUMIF('NEI Lookups'!$R:$R,'Inputs Yr 2'!$F159,'NEI Lookups'!F:F)+SUMIF('NEI Lookups'!$S:$S,'Inputs Yr 2'!$F159,'NEI Lookups'!F:F)+SUMIF('NEI Lookups'!$T:$T,'Inputs Yr 2'!$F159,'NEI Lookups'!F:F)</f>
        <v>0</v>
      </c>
      <c r="AU159" s="299">
        <f>SUMIF('NEI Lookups'!$L:$L,'Inputs Yr 2'!$F159,'NEI Lookups'!G:G)+SUMIF('NEI Lookups'!$M:$M,'Inputs Yr 2'!$F159,'NEI Lookups'!G:G)+SUMIF('NEI Lookups'!$N:$N,'Inputs Yr 2'!$F159,'NEI Lookups'!G:G)+SUMIF('NEI Lookups'!$O:$O,'Inputs Yr 2'!$F159,'NEI Lookups'!G:G)+SUMIF('NEI Lookups'!$P:$P,'Inputs Yr 2'!$F159,'NEI Lookups'!G:G)+SUMIF('NEI Lookups'!$Q:$Q,'Inputs Yr 2'!$F159,'NEI Lookups'!G:G)+SUMIF('NEI Lookups'!$R:$R,'Inputs Yr 2'!$F159,'NEI Lookups'!G:G)+SUMIF('NEI Lookups'!$S:$S,'Inputs Yr 2'!$F159,'NEI Lookups'!G:G)+SUMIF('NEI Lookups'!$T:$T,'Inputs Yr 2'!$F159,'NEI Lookups'!G:G)</f>
        <v>0</v>
      </c>
      <c r="AV159" s="299">
        <f>SUMIF('NEI Lookups'!$L:$L,'Inputs Yr 2'!$F159,'NEI Lookups'!H:H)+SUMIF('NEI Lookups'!$M:$M,'Inputs Yr 2'!$F159,'NEI Lookups'!H:H)+SUMIF('NEI Lookups'!$N:$N,'Inputs Yr 2'!$F159,'NEI Lookups'!H:H)+SUMIF('NEI Lookups'!$O:$O,'Inputs Yr 2'!$F159,'NEI Lookups'!H:H)+SUMIF('NEI Lookups'!$P:$P,'Inputs Yr 2'!$F159,'NEI Lookups'!H:H)+SUMIF('NEI Lookups'!$Q:$Q,'Inputs Yr 2'!$F159,'NEI Lookups'!H:H)+SUMIF('NEI Lookups'!$R:$R,'Inputs Yr 2'!$F159,'NEI Lookups'!H:H)+SUMIF('NEI Lookups'!$S:$S,'Inputs Yr 2'!$F159,'NEI Lookups'!H:H)+SUMIF('NEI Lookups'!$T:$T,'Inputs Yr 2'!$F159,'NEI Lookups'!H:H)</f>
        <v>0</v>
      </c>
      <c r="AW159" s="940">
        <f>SUMIF('NEI Lookups'!$L:$L,'Inputs Yr 2'!$F159,'NEI Lookups'!I:I)+SUMIF('NEI Lookups'!$M:$M,'Inputs Yr 2'!$F159,'NEI Lookups'!I:I)+SUMIF('NEI Lookups'!$N:$N,'Inputs Yr 2'!$F159,'NEI Lookups'!I:I)+SUMIF('NEI Lookups'!$O:$O,'Inputs Yr 2'!$F159,'NEI Lookups'!I:I)+SUMIF('NEI Lookups'!$P:$P,'Inputs Yr 2'!$F159,'NEI Lookups'!I:I)+SUMIF('NEI Lookups'!$Q:$Q,'Inputs Yr 2'!$F159,'NEI Lookups'!I:I)+SUMIF('NEI Lookups'!$R:$R,'Inputs Yr 2'!$F159,'NEI Lookups'!I:I)+SUMIF('NEI Lookups'!$S:$S,'Inputs Yr 2'!$F159,'NEI Lookups'!I:I)+SUMIF('NEI Lookups'!$T:$T,'Inputs Yr 2'!$F159,'NEI Lookups'!I:I)</f>
        <v>0</v>
      </c>
      <c r="AX159" s="299">
        <f>SUMIF('NEI Lookups'!$L:$L,'Inputs Yr 2'!$F159,'NEI Lookups'!J:J)+SUMIF('NEI Lookups'!$M:$M,'Inputs Yr 2'!$F159,'NEI Lookups'!J:J)+SUMIF('NEI Lookups'!$N:$N,'Inputs Yr 2'!$F159,'NEI Lookups'!J:J)+SUMIF('NEI Lookups'!$O:$O,'Inputs Yr 2'!$F159,'NEI Lookups'!J:J)+SUMIF('NEI Lookups'!$P:$P,'Inputs Yr 2'!$F159,'NEI Lookups'!J:J)+SUMIF('NEI Lookups'!$Q:$Q,'Inputs Yr 2'!$F159,'NEI Lookups'!J:J)+SUMIF('NEI Lookups'!$R:$R,'Inputs Yr 2'!$F159,'NEI Lookups'!J:J)+SUMIF('NEI Lookups'!$S:$S,'Inputs Yr 2'!$F159,'NEI Lookups'!J:J)+SUMIF('NEI Lookups'!$T:$T,'Inputs Yr 2'!$F159,'NEI Lookups'!J:J)</f>
        <v>0</v>
      </c>
      <c r="AY159" s="930">
        <f>'Calculations Yr 2'!CP159/'Calculations Yr 2'!I159</f>
        <v>3.7610425526634605</v>
      </c>
    </row>
    <row r="160" spans="1:240" s="133" customFormat="1" ht="12.75" customHeight="1">
      <c r="A160" s="145" t="s">
        <v>83</v>
      </c>
      <c r="B160" s="132" t="s">
        <v>873</v>
      </c>
      <c r="C160" s="132" t="s">
        <v>661</v>
      </c>
      <c r="D160" s="936"/>
      <c r="E160" s="935" t="s">
        <v>1356</v>
      </c>
      <c r="F160" s="98" t="s">
        <v>1054</v>
      </c>
      <c r="G160" s="145" t="s">
        <v>1247</v>
      </c>
      <c r="H160" s="165">
        <v>1</v>
      </c>
      <c r="I160" s="232">
        <v>25</v>
      </c>
      <c r="J160" s="971">
        <v>98332</v>
      </c>
      <c r="K160" s="871">
        <v>73749</v>
      </c>
      <c r="L160" s="888">
        <f t="shared" si="25"/>
        <v>24583</v>
      </c>
      <c r="M160" s="978">
        <v>0.11</v>
      </c>
      <c r="N160" s="978">
        <v>2.5999999999999999E-2</v>
      </c>
      <c r="O160" s="978">
        <v>3.0000000000000001E-3</v>
      </c>
      <c r="P160" s="889">
        <f t="shared" si="45"/>
        <v>0.91900000000000004</v>
      </c>
      <c r="Q160" s="978">
        <v>1</v>
      </c>
      <c r="R160" s="178">
        <v>1</v>
      </c>
      <c r="S160" s="178">
        <v>1</v>
      </c>
      <c r="T160" s="178">
        <v>1</v>
      </c>
      <c r="U160" s="978">
        <v>0.77900000000000003</v>
      </c>
      <c r="V160" s="978">
        <v>1</v>
      </c>
      <c r="W160" s="179"/>
      <c r="X160" s="937" t="s">
        <v>653</v>
      </c>
      <c r="Y160" s="299">
        <f>IFERROR(VLOOKUP($X160,'Demand Lookups'!$A$5:$K$101,9,0), 0)</f>
        <v>0</v>
      </c>
      <c r="Z160" s="922" t="str">
        <f>IFERROR(VLOOKUP(X160,'Demand Lookups'!$A$5:$B$101,2,0),0)</f>
        <v>Non-Electric Measures</v>
      </c>
      <c r="AA160" s="722">
        <f>IF(ISNA(VLOOKUP($X160,'Demand Lookups'!$A$5:$K$81,3,0)),0,VLOOKUP($X160,'Demand Lookups'!$A$5:$K$81,3,0))</f>
        <v>0</v>
      </c>
      <c r="AB160" s="722">
        <f>IF(ISNA(VLOOKUP($X160,'Demand Lookups'!$A$5:$K$81,4,0)),0,VLOOKUP($X160,'Demand Lookups'!$A$5:$K$81,4,0))</f>
        <v>0</v>
      </c>
      <c r="AC160" s="722">
        <f>IF(ISNA(VLOOKUP($X160,'Demand Lookups'!$A$5:$K$81,5,0)),0,VLOOKUP($X160,'Demand Lookups'!$A$5:$K$81,5,0))</f>
        <v>0</v>
      </c>
      <c r="AD160" s="723">
        <f>IF(ISNA(VLOOKUP($X160,'Demand Lookups'!$A$5:$K$81,6,0)),0,VLOOKUP($X160,'Demand Lookups'!$A$5:$K$81,6,0))</f>
        <v>0</v>
      </c>
      <c r="AE160" s="724">
        <f t="shared" si="46"/>
        <v>0</v>
      </c>
      <c r="AF160" s="723">
        <f>ROUND(IF(ISNA(VLOOKUP($X160,'Demand Lookups'!$A$5:$K$82,10,0)),0,(VLOOKUP($X160,'Demand Lookups'!$A$5:$K$82,10,0))),2)</f>
        <v>0</v>
      </c>
      <c r="AG160" s="723">
        <f>ROUND(IF(ISNA(VLOOKUP($X160,'Demand Lookups'!$A$5:$K$82,11,0)),0,VLOOKUP($X160,'Demand Lookups'!$A$5:$K$82,11,0)),2)</f>
        <v>0</v>
      </c>
      <c r="AH160" s="648">
        <f t="shared" si="47"/>
        <v>0</v>
      </c>
      <c r="AI160" s="648">
        <f t="shared" si="48"/>
        <v>0</v>
      </c>
      <c r="AJ160" s="167" t="s">
        <v>87</v>
      </c>
      <c r="AK160" s="168">
        <v>3848.8</v>
      </c>
      <c r="AL160" s="167"/>
      <c r="AM160" s="168"/>
      <c r="AN160" s="167"/>
      <c r="AO160" s="168"/>
      <c r="AP160" s="167"/>
      <c r="AQ160" s="171"/>
      <c r="AR160" s="171"/>
      <c r="AS160" s="299">
        <f>SUMIF('NEI Lookups'!$L:$L,'Inputs Yr 2'!$F160,'NEI Lookups'!E:E)+SUMIF('NEI Lookups'!$M:$M,'Inputs Yr 2'!$F160,'NEI Lookups'!E:E)+SUMIF('NEI Lookups'!$N:$N,'Inputs Yr 2'!$F160,'NEI Lookups'!E:E)+SUMIF('NEI Lookups'!$O:$O,'Inputs Yr 2'!$F160,'NEI Lookups'!E:E)+SUMIF('NEI Lookups'!$P:$P,'Inputs Yr 2'!$F160,'NEI Lookups'!E:E)+SUMIF('NEI Lookups'!$Q:$Q,'Inputs Yr 2'!$F160,'NEI Lookups'!E:E)+SUMIF('NEI Lookups'!$R:$R,'Inputs Yr 2'!$F160,'NEI Lookups'!E:E)+SUMIF('NEI Lookups'!$S:$S,'Inputs Yr 2'!$F160,'NEI Lookups'!E:E)+SUMIF('NEI Lookups'!$T:$T,'Inputs Yr 2'!$F160,'NEI Lookups'!E:E)</f>
        <v>0</v>
      </c>
      <c r="AT160" s="299">
        <f>SUMIF('NEI Lookups'!$L:$L,'Inputs Yr 2'!$F160,'NEI Lookups'!F:F)+SUMIF('NEI Lookups'!$M:$M,'Inputs Yr 2'!$F160,'NEI Lookups'!F:F)+SUMIF('NEI Lookups'!$N:$N,'Inputs Yr 2'!$F160,'NEI Lookups'!F:F)+SUMIF('NEI Lookups'!$O:$O,'Inputs Yr 2'!$F160,'NEI Lookups'!F:F)+SUMIF('NEI Lookups'!$P:$P,'Inputs Yr 2'!$F160,'NEI Lookups'!F:F)+SUMIF('NEI Lookups'!$Q:$Q,'Inputs Yr 2'!$F160,'NEI Lookups'!F:F)+SUMIF('NEI Lookups'!$R:$R,'Inputs Yr 2'!$F160,'NEI Lookups'!F:F)+SUMIF('NEI Lookups'!$S:$S,'Inputs Yr 2'!$F160,'NEI Lookups'!F:F)+SUMIF('NEI Lookups'!$T:$T,'Inputs Yr 2'!$F160,'NEI Lookups'!F:F)</f>
        <v>0</v>
      </c>
      <c r="AU160" s="299">
        <f>SUMIF('NEI Lookups'!$L:$L,'Inputs Yr 2'!$F160,'NEI Lookups'!G:G)+SUMIF('NEI Lookups'!$M:$M,'Inputs Yr 2'!$F160,'NEI Lookups'!G:G)+SUMIF('NEI Lookups'!$N:$N,'Inputs Yr 2'!$F160,'NEI Lookups'!G:G)+SUMIF('NEI Lookups'!$O:$O,'Inputs Yr 2'!$F160,'NEI Lookups'!G:G)+SUMIF('NEI Lookups'!$P:$P,'Inputs Yr 2'!$F160,'NEI Lookups'!G:G)+SUMIF('NEI Lookups'!$Q:$Q,'Inputs Yr 2'!$F160,'NEI Lookups'!G:G)+SUMIF('NEI Lookups'!$R:$R,'Inputs Yr 2'!$F160,'NEI Lookups'!G:G)+SUMIF('NEI Lookups'!$S:$S,'Inputs Yr 2'!$F160,'NEI Lookups'!G:G)+SUMIF('NEI Lookups'!$T:$T,'Inputs Yr 2'!$F160,'NEI Lookups'!G:G)</f>
        <v>0</v>
      </c>
      <c r="AV160" s="299">
        <f>SUMIF('NEI Lookups'!$L:$L,'Inputs Yr 2'!$F160,'NEI Lookups'!H:H)+SUMIF('NEI Lookups'!$M:$M,'Inputs Yr 2'!$F160,'NEI Lookups'!H:H)+SUMIF('NEI Lookups'!$N:$N,'Inputs Yr 2'!$F160,'NEI Lookups'!H:H)+SUMIF('NEI Lookups'!$O:$O,'Inputs Yr 2'!$F160,'NEI Lookups'!H:H)+SUMIF('NEI Lookups'!$P:$P,'Inputs Yr 2'!$F160,'NEI Lookups'!H:H)+SUMIF('NEI Lookups'!$Q:$Q,'Inputs Yr 2'!$F160,'NEI Lookups'!H:H)+SUMIF('NEI Lookups'!$R:$R,'Inputs Yr 2'!$F160,'NEI Lookups'!H:H)+SUMIF('NEI Lookups'!$S:$S,'Inputs Yr 2'!$F160,'NEI Lookups'!H:H)+SUMIF('NEI Lookups'!$T:$T,'Inputs Yr 2'!$F160,'NEI Lookups'!H:H)</f>
        <v>0</v>
      </c>
      <c r="AW160" s="940">
        <f>SUMIF('NEI Lookups'!$L:$L,'Inputs Yr 2'!$F160,'NEI Lookups'!I:I)+SUMIF('NEI Lookups'!$M:$M,'Inputs Yr 2'!$F160,'NEI Lookups'!I:I)+SUMIF('NEI Lookups'!$N:$N,'Inputs Yr 2'!$F160,'NEI Lookups'!I:I)+SUMIF('NEI Lookups'!$O:$O,'Inputs Yr 2'!$F160,'NEI Lookups'!I:I)+SUMIF('NEI Lookups'!$P:$P,'Inputs Yr 2'!$F160,'NEI Lookups'!I:I)+SUMIF('NEI Lookups'!$Q:$Q,'Inputs Yr 2'!$F160,'NEI Lookups'!I:I)+SUMIF('NEI Lookups'!$R:$R,'Inputs Yr 2'!$F160,'NEI Lookups'!I:I)+SUMIF('NEI Lookups'!$S:$S,'Inputs Yr 2'!$F160,'NEI Lookups'!I:I)+SUMIF('NEI Lookups'!$T:$T,'Inputs Yr 2'!$F160,'NEI Lookups'!I:I)</f>
        <v>0</v>
      </c>
      <c r="AX160" s="299">
        <f>SUMIF('NEI Lookups'!$L:$L,'Inputs Yr 2'!$F160,'NEI Lookups'!J:J)+SUMIF('NEI Lookups'!$M:$M,'Inputs Yr 2'!$F160,'NEI Lookups'!J:J)+SUMIF('NEI Lookups'!$N:$N,'Inputs Yr 2'!$F160,'NEI Lookups'!J:J)+SUMIF('NEI Lookups'!$O:$O,'Inputs Yr 2'!$F160,'NEI Lookups'!J:J)+SUMIF('NEI Lookups'!$P:$P,'Inputs Yr 2'!$F160,'NEI Lookups'!J:J)+SUMIF('NEI Lookups'!$Q:$Q,'Inputs Yr 2'!$F160,'NEI Lookups'!J:J)+SUMIF('NEI Lookups'!$R:$R,'Inputs Yr 2'!$F160,'NEI Lookups'!J:J)+SUMIF('NEI Lookups'!$S:$S,'Inputs Yr 2'!$F160,'NEI Lookups'!J:J)+SUMIF('NEI Lookups'!$T:$T,'Inputs Yr 2'!$F160,'NEI Lookups'!J:J)</f>
        <v>0</v>
      </c>
      <c r="AY160" s="930">
        <f>'Calculations Yr 2'!CP160/'Calculations Yr 2'!I160</f>
        <v>6.7007711398320611</v>
      </c>
    </row>
    <row r="161" spans="1:51" s="133" customFormat="1" ht="12.75" customHeight="1">
      <c r="A161" s="145" t="s">
        <v>83</v>
      </c>
      <c r="B161" s="132" t="s">
        <v>873</v>
      </c>
      <c r="C161" s="132" t="s">
        <v>661</v>
      </c>
      <c r="D161" s="97"/>
      <c r="E161" s="4" t="s">
        <v>769</v>
      </c>
      <c r="F161" s="98" t="s">
        <v>1055</v>
      </c>
      <c r="G161" s="145" t="s">
        <v>1247</v>
      </c>
      <c r="H161" s="165"/>
      <c r="I161" s="232">
        <v>23</v>
      </c>
      <c r="J161" s="971"/>
      <c r="K161" s="871"/>
      <c r="L161" s="888">
        <f t="shared" si="25"/>
        <v>0</v>
      </c>
      <c r="M161" s="978">
        <v>0</v>
      </c>
      <c r="N161" s="978">
        <v>0</v>
      </c>
      <c r="O161" s="978">
        <v>0</v>
      </c>
      <c r="P161" s="889">
        <v>0.84600000000000009</v>
      </c>
      <c r="Q161" s="978">
        <v>1</v>
      </c>
      <c r="R161" s="178">
        <v>1</v>
      </c>
      <c r="S161" s="178">
        <v>1</v>
      </c>
      <c r="T161" s="178">
        <v>1</v>
      </c>
      <c r="U161" s="978">
        <v>0</v>
      </c>
      <c r="V161" s="978">
        <v>0</v>
      </c>
      <c r="W161" s="179"/>
      <c r="X161" s="937" t="s">
        <v>653</v>
      </c>
      <c r="Y161" s="299">
        <f>IFERROR(VLOOKUP($X161,'Demand Lookups'!$A$5:$K$101,9,0), 0)</f>
        <v>0</v>
      </c>
      <c r="Z161" s="922" t="str">
        <f>IFERROR(VLOOKUP(X161,'Demand Lookups'!$A$5:$B$101,2,0),0)</f>
        <v>Non-Electric Measures</v>
      </c>
      <c r="AA161" s="722">
        <v>0</v>
      </c>
      <c r="AB161" s="722">
        <v>0</v>
      </c>
      <c r="AC161" s="722">
        <v>0</v>
      </c>
      <c r="AD161" s="723">
        <v>0</v>
      </c>
      <c r="AE161" s="724">
        <f t="shared" si="46"/>
        <v>0</v>
      </c>
      <c r="AF161" s="723">
        <v>0</v>
      </c>
      <c r="AG161" s="723">
        <v>0</v>
      </c>
      <c r="AH161" s="648">
        <v>0</v>
      </c>
      <c r="AI161" s="648">
        <v>0</v>
      </c>
      <c r="AJ161" s="167" t="s">
        <v>87</v>
      </c>
      <c r="AK161" s="168">
        <v>17617.459836314036</v>
      </c>
      <c r="AL161" s="167"/>
      <c r="AM161" s="168"/>
      <c r="AN161" s="167"/>
      <c r="AO161" s="168"/>
      <c r="AP161" s="167"/>
      <c r="AQ161" s="171"/>
      <c r="AR161" s="171"/>
      <c r="AS161" s="299">
        <f>SUMIF('NEI Lookups'!$L:$L,'Inputs Yr 2'!$F161,'NEI Lookups'!E:E)+SUMIF('NEI Lookups'!$M:$M,'Inputs Yr 2'!$F161,'NEI Lookups'!E:E)+SUMIF('NEI Lookups'!$N:$N,'Inputs Yr 2'!$F161,'NEI Lookups'!E:E)+SUMIF('NEI Lookups'!$O:$O,'Inputs Yr 2'!$F161,'NEI Lookups'!E:E)+SUMIF('NEI Lookups'!$P:$P,'Inputs Yr 2'!$F161,'NEI Lookups'!E:E)+SUMIF('NEI Lookups'!$Q:$Q,'Inputs Yr 2'!$F161,'NEI Lookups'!E:E)+SUMIF('NEI Lookups'!$R:$R,'Inputs Yr 2'!$F161,'NEI Lookups'!E:E)+SUMIF('NEI Lookups'!$S:$S,'Inputs Yr 2'!$F161,'NEI Lookups'!E:E)+SUMIF('NEI Lookups'!$T:$T,'Inputs Yr 2'!$F161,'NEI Lookups'!E:E)</f>
        <v>0</v>
      </c>
      <c r="AT161" s="299">
        <f>SUMIF('NEI Lookups'!$L:$L,'Inputs Yr 2'!$F161,'NEI Lookups'!F:F)+SUMIF('NEI Lookups'!$M:$M,'Inputs Yr 2'!$F161,'NEI Lookups'!F:F)+SUMIF('NEI Lookups'!$N:$N,'Inputs Yr 2'!$F161,'NEI Lookups'!F:F)+SUMIF('NEI Lookups'!$O:$O,'Inputs Yr 2'!$F161,'NEI Lookups'!F:F)+SUMIF('NEI Lookups'!$P:$P,'Inputs Yr 2'!$F161,'NEI Lookups'!F:F)+SUMIF('NEI Lookups'!$Q:$Q,'Inputs Yr 2'!$F161,'NEI Lookups'!F:F)+SUMIF('NEI Lookups'!$R:$R,'Inputs Yr 2'!$F161,'NEI Lookups'!F:F)+SUMIF('NEI Lookups'!$S:$S,'Inputs Yr 2'!$F161,'NEI Lookups'!F:F)+SUMIF('NEI Lookups'!$T:$T,'Inputs Yr 2'!$F161,'NEI Lookups'!F:F)</f>
        <v>0</v>
      </c>
      <c r="AU161" s="299">
        <f>SUMIF('NEI Lookups'!$L:$L,'Inputs Yr 2'!$F161,'NEI Lookups'!G:G)+SUMIF('NEI Lookups'!$M:$M,'Inputs Yr 2'!$F161,'NEI Lookups'!G:G)+SUMIF('NEI Lookups'!$N:$N,'Inputs Yr 2'!$F161,'NEI Lookups'!G:G)+SUMIF('NEI Lookups'!$O:$O,'Inputs Yr 2'!$F161,'NEI Lookups'!G:G)+SUMIF('NEI Lookups'!$P:$P,'Inputs Yr 2'!$F161,'NEI Lookups'!G:G)+SUMIF('NEI Lookups'!$Q:$Q,'Inputs Yr 2'!$F161,'NEI Lookups'!G:G)+SUMIF('NEI Lookups'!$R:$R,'Inputs Yr 2'!$F161,'NEI Lookups'!G:G)+SUMIF('NEI Lookups'!$S:$S,'Inputs Yr 2'!$F161,'NEI Lookups'!G:G)+SUMIF('NEI Lookups'!$T:$T,'Inputs Yr 2'!$F161,'NEI Lookups'!G:G)</f>
        <v>0</v>
      </c>
      <c r="AV161" s="299">
        <f>SUMIF('NEI Lookups'!$L:$L,'Inputs Yr 2'!$F161,'NEI Lookups'!H:H)+SUMIF('NEI Lookups'!$M:$M,'Inputs Yr 2'!$F161,'NEI Lookups'!H:H)+SUMIF('NEI Lookups'!$N:$N,'Inputs Yr 2'!$F161,'NEI Lookups'!H:H)+SUMIF('NEI Lookups'!$O:$O,'Inputs Yr 2'!$F161,'NEI Lookups'!H:H)+SUMIF('NEI Lookups'!$P:$P,'Inputs Yr 2'!$F161,'NEI Lookups'!H:H)+SUMIF('NEI Lookups'!$Q:$Q,'Inputs Yr 2'!$F161,'NEI Lookups'!H:H)+SUMIF('NEI Lookups'!$R:$R,'Inputs Yr 2'!$F161,'NEI Lookups'!H:H)+SUMIF('NEI Lookups'!$S:$S,'Inputs Yr 2'!$F161,'NEI Lookups'!H:H)+SUMIF('NEI Lookups'!$T:$T,'Inputs Yr 2'!$F161,'NEI Lookups'!H:H)</f>
        <v>0</v>
      </c>
      <c r="AW161" s="299">
        <f>SUMIF('NEI Lookups'!$L:$L,'Inputs Yr 2'!$F161,'NEI Lookups'!I:I)+SUMIF('NEI Lookups'!$M:$M,'Inputs Yr 2'!$F161,'NEI Lookups'!I:I)+SUMIF('NEI Lookups'!$N:$N,'Inputs Yr 2'!$F161,'NEI Lookups'!I:I)+SUMIF('NEI Lookups'!$O:$O,'Inputs Yr 2'!$F161,'NEI Lookups'!I:I)+SUMIF('NEI Lookups'!$P:$P,'Inputs Yr 2'!$F161,'NEI Lookups'!I:I)+SUMIF('NEI Lookups'!$Q:$Q,'Inputs Yr 2'!$F161,'NEI Lookups'!I:I)+SUMIF('NEI Lookups'!$R:$R,'Inputs Yr 2'!$F161,'NEI Lookups'!I:I)+SUMIF('NEI Lookups'!$S:$S,'Inputs Yr 2'!$F161,'NEI Lookups'!I:I)+SUMIF('NEI Lookups'!$T:$T,'Inputs Yr 2'!$F161,'NEI Lookups'!I:I)</f>
        <v>0</v>
      </c>
      <c r="AX161" s="299">
        <f>SUMIF('NEI Lookups'!$L:$L,'Inputs Yr 2'!$F161,'NEI Lookups'!J:J)+SUMIF('NEI Lookups'!$M:$M,'Inputs Yr 2'!$F161,'NEI Lookups'!J:J)+SUMIF('NEI Lookups'!$N:$N,'Inputs Yr 2'!$F161,'NEI Lookups'!J:J)+SUMIF('NEI Lookups'!$O:$O,'Inputs Yr 2'!$F161,'NEI Lookups'!J:J)+SUMIF('NEI Lookups'!$P:$P,'Inputs Yr 2'!$F161,'NEI Lookups'!J:J)+SUMIF('NEI Lookups'!$Q:$Q,'Inputs Yr 2'!$F161,'NEI Lookups'!J:J)+SUMIF('NEI Lookups'!$R:$R,'Inputs Yr 2'!$F161,'NEI Lookups'!J:J)+SUMIF('NEI Lookups'!$S:$S,'Inputs Yr 2'!$F161,'NEI Lookups'!J:J)+SUMIF('NEI Lookups'!$T:$T,'Inputs Yr 2'!$F161,'NEI Lookups'!J:J)</f>
        <v>0</v>
      </c>
      <c r="AY161" s="930" t="e">
        <f>'Calculations Yr 2'!CP161/'Calculations Yr 2'!I161</f>
        <v>#VALUE!</v>
      </c>
    </row>
    <row r="162" spans="1:51" s="133" customFormat="1" ht="12.75" customHeight="1">
      <c r="A162" s="145" t="s">
        <v>83</v>
      </c>
      <c r="B162" s="132" t="s">
        <v>873</v>
      </c>
      <c r="C162" s="132" t="s">
        <v>661</v>
      </c>
      <c r="D162" s="97"/>
      <c r="E162" s="98" t="s">
        <v>1403</v>
      </c>
      <c r="F162" s="98" t="s">
        <v>1056</v>
      </c>
      <c r="G162" s="145" t="s">
        <v>89</v>
      </c>
      <c r="H162" s="165"/>
      <c r="I162" s="232">
        <v>15</v>
      </c>
      <c r="J162" s="971"/>
      <c r="K162" s="871"/>
      <c r="L162" s="888">
        <f t="shared" si="25"/>
        <v>0</v>
      </c>
      <c r="M162" s="978">
        <v>0</v>
      </c>
      <c r="N162" s="978">
        <v>0</v>
      </c>
      <c r="O162" s="978">
        <v>0</v>
      </c>
      <c r="P162" s="889">
        <f t="shared" si="26"/>
        <v>1</v>
      </c>
      <c r="Q162" s="978">
        <v>1</v>
      </c>
      <c r="R162" s="178">
        <v>1</v>
      </c>
      <c r="S162" s="178">
        <v>1</v>
      </c>
      <c r="T162" s="178">
        <v>1</v>
      </c>
      <c r="U162" s="978">
        <v>0</v>
      </c>
      <c r="V162" s="978">
        <v>0</v>
      </c>
      <c r="W162" s="179"/>
      <c r="X162" s="937" t="s">
        <v>653</v>
      </c>
      <c r="Y162" s="299">
        <f>IFERROR(VLOOKUP($X162,'Demand Lookups'!$A$5:$K$101,9,0), 0)</f>
        <v>0</v>
      </c>
      <c r="Z162" s="922" t="str">
        <f>IFERROR(VLOOKUP(X162,'Demand Lookups'!$A$5:$B$101,2,0),0)</f>
        <v>Non-Electric Measures</v>
      </c>
      <c r="AA162" s="722">
        <f>IF(ISNA(VLOOKUP($X162,'Demand Lookups'!$A$5:$K$81,3,0)),0,VLOOKUP($X162,'Demand Lookups'!$A$5:$K$81,3,0))</f>
        <v>0</v>
      </c>
      <c r="AB162" s="722">
        <f>IF(ISNA(VLOOKUP($X162,'Demand Lookups'!$A$5:$K$81,4,0)),0,VLOOKUP($X162,'Demand Lookups'!$A$5:$K$81,4,0))</f>
        <v>0</v>
      </c>
      <c r="AC162" s="722">
        <f>IF(ISNA(VLOOKUP($X162,'Demand Lookups'!$A$5:$K$81,5,0)),0,VLOOKUP($X162,'Demand Lookups'!$A$5:$K$81,5,0))</f>
        <v>0</v>
      </c>
      <c r="AD162" s="723">
        <f>IF(ISNA(VLOOKUP($X162,'Demand Lookups'!$A$5:$K$81,6,0)),0,VLOOKUP($X162,'Demand Lookups'!$A$5:$K$81,6,0))</f>
        <v>0</v>
      </c>
      <c r="AE162" s="724">
        <f t="shared" si="46"/>
        <v>0</v>
      </c>
      <c r="AF162" s="723">
        <f>ROUND(IF(ISNA(VLOOKUP($X162,'Demand Lookups'!$A$5:$K$82,10,0)),0,(VLOOKUP($X162,'Demand Lookups'!$A$5:$K$82,10,0))),2)</f>
        <v>0</v>
      </c>
      <c r="AG162" s="723">
        <f>ROUND(IF(ISNA(VLOOKUP($X162,'Demand Lookups'!$A$5:$K$82,11,0)),0,VLOOKUP($X162,'Demand Lookups'!$A$5:$K$82,11,0)),2)</f>
        <v>0</v>
      </c>
      <c r="AH162" s="648">
        <f t="shared" si="28"/>
        <v>0</v>
      </c>
      <c r="AI162" s="648">
        <f t="shared" si="29"/>
        <v>0</v>
      </c>
      <c r="AJ162" s="167" t="s">
        <v>406</v>
      </c>
      <c r="AK162" s="168">
        <v>5098.5</v>
      </c>
      <c r="AL162" s="167"/>
      <c r="AM162" s="168"/>
      <c r="AN162" s="167"/>
      <c r="AO162" s="168"/>
      <c r="AP162" s="167"/>
      <c r="AQ162" s="171">
        <v>0</v>
      </c>
      <c r="AR162" s="171">
        <v>0</v>
      </c>
      <c r="AS162" s="299">
        <f>SUMIF('NEI Lookups'!$L:$L,'Inputs Yr 2'!$F162,'NEI Lookups'!E:E)+SUMIF('NEI Lookups'!$M:$M,'Inputs Yr 2'!$F162,'NEI Lookups'!E:E)+SUMIF('NEI Lookups'!$N:$N,'Inputs Yr 2'!$F162,'NEI Lookups'!E:E)+SUMIF('NEI Lookups'!$O:$O,'Inputs Yr 2'!$F162,'NEI Lookups'!E:E)+SUMIF('NEI Lookups'!$P:$P,'Inputs Yr 2'!$F162,'NEI Lookups'!E:E)+SUMIF('NEI Lookups'!$Q:$Q,'Inputs Yr 2'!$F162,'NEI Lookups'!E:E)+SUMIF('NEI Lookups'!$R:$R,'Inputs Yr 2'!$F162,'NEI Lookups'!E:E)+SUMIF('NEI Lookups'!$S:$S,'Inputs Yr 2'!$F162,'NEI Lookups'!E:E)+SUMIF('NEI Lookups'!$T:$T,'Inputs Yr 2'!$F162,'NEI Lookups'!E:E)</f>
        <v>0</v>
      </c>
      <c r="AT162" s="299">
        <f>SUMIF('NEI Lookups'!$L:$L,'Inputs Yr 2'!$F162,'NEI Lookups'!F:F)+SUMIF('NEI Lookups'!$M:$M,'Inputs Yr 2'!$F162,'NEI Lookups'!F:F)+SUMIF('NEI Lookups'!$N:$N,'Inputs Yr 2'!$F162,'NEI Lookups'!F:F)+SUMIF('NEI Lookups'!$O:$O,'Inputs Yr 2'!$F162,'NEI Lookups'!F:F)+SUMIF('NEI Lookups'!$P:$P,'Inputs Yr 2'!$F162,'NEI Lookups'!F:F)+SUMIF('NEI Lookups'!$Q:$Q,'Inputs Yr 2'!$F162,'NEI Lookups'!F:F)+SUMIF('NEI Lookups'!$R:$R,'Inputs Yr 2'!$F162,'NEI Lookups'!F:F)+SUMIF('NEI Lookups'!$S:$S,'Inputs Yr 2'!$F162,'NEI Lookups'!F:F)+SUMIF('NEI Lookups'!$T:$T,'Inputs Yr 2'!$F162,'NEI Lookups'!F:F)</f>
        <v>0</v>
      </c>
      <c r="AU162" s="299">
        <f>SUMIF('NEI Lookups'!$L:$L,'Inputs Yr 2'!$F162,'NEI Lookups'!G:G)+SUMIF('NEI Lookups'!$M:$M,'Inputs Yr 2'!$F162,'NEI Lookups'!G:G)+SUMIF('NEI Lookups'!$N:$N,'Inputs Yr 2'!$F162,'NEI Lookups'!G:G)+SUMIF('NEI Lookups'!$O:$O,'Inputs Yr 2'!$F162,'NEI Lookups'!G:G)+SUMIF('NEI Lookups'!$P:$P,'Inputs Yr 2'!$F162,'NEI Lookups'!G:G)+SUMIF('NEI Lookups'!$Q:$Q,'Inputs Yr 2'!$F162,'NEI Lookups'!G:G)+SUMIF('NEI Lookups'!$R:$R,'Inputs Yr 2'!$F162,'NEI Lookups'!G:G)+SUMIF('NEI Lookups'!$S:$S,'Inputs Yr 2'!$F162,'NEI Lookups'!G:G)+SUMIF('NEI Lookups'!$T:$T,'Inputs Yr 2'!$F162,'NEI Lookups'!G:G)</f>
        <v>0</v>
      </c>
      <c r="AV162" s="299">
        <f>SUMIF('NEI Lookups'!$L:$L,'Inputs Yr 2'!$F162,'NEI Lookups'!H:H)+SUMIF('NEI Lookups'!$M:$M,'Inputs Yr 2'!$F162,'NEI Lookups'!H:H)+SUMIF('NEI Lookups'!$N:$N,'Inputs Yr 2'!$F162,'NEI Lookups'!H:H)+SUMIF('NEI Lookups'!$O:$O,'Inputs Yr 2'!$F162,'NEI Lookups'!H:H)+SUMIF('NEI Lookups'!$P:$P,'Inputs Yr 2'!$F162,'NEI Lookups'!H:H)+SUMIF('NEI Lookups'!$Q:$Q,'Inputs Yr 2'!$F162,'NEI Lookups'!H:H)+SUMIF('NEI Lookups'!$R:$R,'Inputs Yr 2'!$F162,'NEI Lookups'!H:H)+SUMIF('NEI Lookups'!$S:$S,'Inputs Yr 2'!$F162,'NEI Lookups'!H:H)+SUMIF('NEI Lookups'!$T:$T,'Inputs Yr 2'!$F162,'NEI Lookups'!H:H)</f>
        <v>0</v>
      </c>
      <c r="AW162" s="299">
        <f>SUMIF('NEI Lookups'!$L:$L,'Inputs Yr 2'!$F162,'NEI Lookups'!I:I)+SUMIF('NEI Lookups'!$M:$M,'Inputs Yr 2'!$F162,'NEI Lookups'!I:I)+SUMIF('NEI Lookups'!$N:$N,'Inputs Yr 2'!$F162,'NEI Lookups'!I:I)+SUMIF('NEI Lookups'!$O:$O,'Inputs Yr 2'!$F162,'NEI Lookups'!I:I)+SUMIF('NEI Lookups'!$P:$P,'Inputs Yr 2'!$F162,'NEI Lookups'!I:I)+SUMIF('NEI Lookups'!$Q:$Q,'Inputs Yr 2'!$F162,'NEI Lookups'!I:I)+SUMIF('NEI Lookups'!$R:$R,'Inputs Yr 2'!$F162,'NEI Lookups'!I:I)+SUMIF('NEI Lookups'!$S:$S,'Inputs Yr 2'!$F162,'NEI Lookups'!I:I)+SUMIF('NEI Lookups'!$T:$T,'Inputs Yr 2'!$F162,'NEI Lookups'!I:I)</f>
        <v>0</v>
      </c>
      <c r="AX162" s="299">
        <f>SUMIF('NEI Lookups'!$L:$L,'Inputs Yr 2'!$F162,'NEI Lookups'!J:J)+SUMIF('NEI Lookups'!$M:$M,'Inputs Yr 2'!$F162,'NEI Lookups'!J:J)+SUMIF('NEI Lookups'!$N:$N,'Inputs Yr 2'!$F162,'NEI Lookups'!J:J)+SUMIF('NEI Lookups'!$O:$O,'Inputs Yr 2'!$F162,'NEI Lookups'!J:J)+SUMIF('NEI Lookups'!$P:$P,'Inputs Yr 2'!$F162,'NEI Lookups'!J:J)+SUMIF('NEI Lookups'!$Q:$Q,'Inputs Yr 2'!$F162,'NEI Lookups'!J:J)+SUMIF('NEI Lookups'!$R:$R,'Inputs Yr 2'!$F162,'NEI Lookups'!J:J)+SUMIF('NEI Lookups'!$S:$S,'Inputs Yr 2'!$F162,'NEI Lookups'!J:J)+SUMIF('NEI Lookups'!$T:$T,'Inputs Yr 2'!$F162,'NEI Lookups'!J:J)</f>
        <v>0</v>
      </c>
      <c r="AY162" s="930" t="e">
        <f>'Calculations Yr 2'!CP162/'Calculations Yr 2'!I162</f>
        <v>#VALUE!</v>
      </c>
    </row>
    <row r="163" spans="1:51" s="133" customFormat="1" ht="12.75" customHeight="1">
      <c r="A163" s="145" t="s">
        <v>83</v>
      </c>
      <c r="B163" s="132" t="s">
        <v>873</v>
      </c>
      <c r="C163" s="132" t="s">
        <v>661</v>
      </c>
      <c r="D163" s="97"/>
      <c r="E163" s="98" t="s">
        <v>771</v>
      </c>
      <c r="F163" s="98" t="s">
        <v>1057</v>
      </c>
      <c r="G163" s="145" t="s">
        <v>89</v>
      </c>
      <c r="H163" s="165"/>
      <c r="I163" s="232"/>
      <c r="J163" s="971"/>
      <c r="K163" s="871">
        <v>0</v>
      </c>
      <c r="L163" s="888">
        <f t="shared" si="25"/>
        <v>0</v>
      </c>
      <c r="M163" s="978">
        <v>0</v>
      </c>
      <c r="N163" s="978">
        <v>0</v>
      </c>
      <c r="O163" s="978">
        <v>0</v>
      </c>
      <c r="P163" s="889">
        <v>0.84600000000000009</v>
      </c>
      <c r="Q163" s="978">
        <v>1</v>
      </c>
      <c r="R163" s="178">
        <v>1</v>
      </c>
      <c r="S163" s="178">
        <v>1</v>
      </c>
      <c r="T163" s="178">
        <v>1</v>
      </c>
      <c r="U163" s="978">
        <v>0</v>
      </c>
      <c r="V163" s="978">
        <v>0</v>
      </c>
      <c r="W163" s="179"/>
      <c r="X163" s="937" t="s">
        <v>653</v>
      </c>
      <c r="Y163" s="299">
        <f>IFERROR(VLOOKUP($X163,'Demand Lookups'!$A$5:$K$101,9,0), 0)</f>
        <v>0</v>
      </c>
      <c r="Z163" s="922" t="str">
        <f>IFERROR(VLOOKUP(X163,'Demand Lookups'!$A$5:$B$101,2,0),0)</f>
        <v>Non-Electric Measures</v>
      </c>
      <c r="AA163" s="722">
        <v>0</v>
      </c>
      <c r="AB163" s="722">
        <v>0</v>
      </c>
      <c r="AC163" s="722">
        <v>0</v>
      </c>
      <c r="AD163" s="723">
        <v>0</v>
      </c>
      <c r="AE163" s="724">
        <f t="shared" si="46"/>
        <v>0</v>
      </c>
      <c r="AF163" s="723">
        <v>0</v>
      </c>
      <c r="AG163" s="723">
        <v>0</v>
      </c>
      <c r="AH163" s="648">
        <v>0</v>
      </c>
      <c r="AI163" s="648">
        <v>0</v>
      </c>
      <c r="AJ163" s="167" t="s">
        <v>406</v>
      </c>
      <c r="AK163" s="168">
        <v>0</v>
      </c>
      <c r="AL163" s="167"/>
      <c r="AM163" s="168"/>
      <c r="AN163" s="167"/>
      <c r="AO163" s="168"/>
      <c r="AP163" s="167"/>
      <c r="AQ163" s="171"/>
      <c r="AR163" s="171"/>
      <c r="AS163" s="299">
        <f>SUMIF('NEI Lookups'!$L:$L,'Inputs Yr 2'!$F163,'NEI Lookups'!E:E)+SUMIF('NEI Lookups'!$M:$M,'Inputs Yr 2'!$F163,'NEI Lookups'!E:E)+SUMIF('NEI Lookups'!$N:$N,'Inputs Yr 2'!$F163,'NEI Lookups'!E:E)+SUMIF('NEI Lookups'!$O:$O,'Inputs Yr 2'!$F163,'NEI Lookups'!E:E)+SUMIF('NEI Lookups'!$P:$P,'Inputs Yr 2'!$F163,'NEI Lookups'!E:E)+SUMIF('NEI Lookups'!$Q:$Q,'Inputs Yr 2'!$F163,'NEI Lookups'!E:E)+SUMIF('NEI Lookups'!$R:$R,'Inputs Yr 2'!$F163,'NEI Lookups'!E:E)+SUMIF('NEI Lookups'!$S:$S,'Inputs Yr 2'!$F163,'NEI Lookups'!E:E)+SUMIF('NEI Lookups'!$T:$T,'Inputs Yr 2'!$F163,'NEI Lookups'!E:E)</f>
        <v>0</v>
      </c>
      <c r="AT163" s="299">
        <f>SUMIF('NEI Lookups'!$L:$L,'Inputs Yr 2'!$F163,'NEI Lookups'!F:F)+SUMIF('NEI Lookups'!$M:$M,'Inputs Yr 2'!$F163,'NEI Lookups'!F:F)+SUMIF('NEI Lookups'!$N:$N,'Inputs Yr 2'!$F163,'NEI Lookups'!F:F)+SUMIF('NEI Lookups'!$O:$O,'Inputs Yr 2'!$F163,'NEI Lookups'!F:F)+SUMIF('NEI Lookups'!$P:$P,'Inputs Yr 2'!$F163,'NEI Lookups'!F:F)+SUMIF('NEI Lookups'!$Q:$Q,'Inputs Yr 2'!$F163,'NEI Lookups'!F:F)+SUMIF('NEI Lookups'!$R:$R,'Inputs Yr 2'!$F163,'NEI Lookups'!F:F)+SUMIF('NEI Lookups'!$S:$S,'Inputs Yr 2'!$F163,'NEI Lookups'!F:F)+SUMIF('NEI Lookups'!$T:$T,'Inputs Yr 2'!$F163,'NEI Lookups'!F:F)</f>
        <v>0</v>
      </c>
      <c r="AU163" s="299">
        <f>SUMIF('NEI Lookups'!$L:$L,'Inputs Yr 2'!$F163,'NEI Lookups'!G:G)+SUMIF('NEI Lookups'!$M:$M,'Inputs Yr 2'!$F163,'NEI Lookups'!G:G)+SUMIF('NEI Lookups'!$N:$N,'Inputs Yr 2'!$F163,'NEI Lookups'!G:G)+SUMIF('NEI Lookups'!$O:$O,'Inputs Yr 2'!$F163,'NEI Lookups'!G:G)+SUMIF('NEI Lookups'!$P:$P,'Inputs Yr 2'!$F163,'NEI Lookups'!G:G)+SUMIF('NEI Lookups'!$Q:$Q,'Inputs Yr 2'!$F163,'NEI Lookups'!G:G)+SUMIF('NEI Lookups'!$R:$R,'Inputs Yr 2'!$F163,'NEI Lookups'!G:G)+SUMIF('NEI Lookups'!$S:$S,'Inputs Yr 2'!$F163,'NEI Lookups'!G:G)+SUMIF('NEI Lookups'!$T:$T,'Inputs Yr 2'!$F163,'NEI Lookups'!G:G)</f>
        <v>0</v>
      </c>
      <c r="AV163" s="299">
        <f>SUMIF('NEI Lookups'!$L:$L,'Inputs Yr 2'!$F163,'NEI Lookups'!H:H)+SUMIF('NEI Lookups'!$M:$M,'Inputs Yr 2'!$F163,'NEI Lookups'!H:H)+SUMIF('NEI Lookups'!$N:$N,'Inputs Yr 2'!$F163,'NEI Lookups'!H:H)+SUMIF('NEI Lookups'!$O:$O,'Inputs Yr 2'!$F163,'NEI Lookups'!H:H)+SUMIF('NEI Lookups'!$P:$P,'Inputs Yr 2'!$F163,'NEI Lookups'!H:H)+SUMIF('NEI Lookups'!$Q:$Q,'Inputs Yr 2'!$F163,'NEI Lookups'!H:H)+SUMIF('NEI Lookups'!$R:$R,'Inputs Yr 2'!$F163,'NEI Lookups'!H:H)+SUMIF('NEI Lookups'!$S:$S,'Inputs Yr 2'!$F163,'NEI Lookups'!H:H)+SUMIF('NEI Lookups'!$T:$T,'Inputs Yr 2'!$F163,'NEI Lookups'!H:H)</f>
        <v>0</v>
      </c>
      <c r="AW163" s="299">
        <f>SUMIF('NEI Lookups'!$L:$L,'Inputs Yr 2'!$F163,'NEI Lookups'!I:I)+SUMIF('NEI Lookups'!$M:$M,'Inputs Yr 2'!$F163,'NEI Lookups'!I:I)+SUMIF('NEI Lookups'!$N:$N,'Inputs Yr 2'!$F163,'NEI Lookups'!I:I)+SUMIF('NEI Lookups'!$O:$O,'Inputs Yr 2'!$F163,'NEI Lookups'!I:I)+SUMIF('NEI Lookups'!$P:$P,'Inputs Yr 2'!$F163,'NEI Lookups'!I:I)+SUMIF('NEI Lookups'!$Q:$Q,'Inputs Yr 2'!$F163,'NEI Lookups'!I:I)+SUMIF('NEI Lookups'!$R:$R,'Inputs Yr 2'!$F163,'NEI Lookups'!I:I)+SUMIF('NEI Lookups'!$S:$S,'Inputs Yr 2'!$F163,'NEI Lookups'!I:I)+SUMIF('NEI Lookups'!$T:$T,'Inputs Yr 2'!$F163,'NEI Lookups'!I:I)</f>
        <v>0</v>
      </c>
      <c r="AX163" s="299">
        <f>SUMIF('NEI Lookups'!$L:$L,'Inputs Yr 2'!$F163,'NEI Lookups'!J:J)+SUMIF('NEI Lookups'!$M:$M,'Inputs Yr 2'!$F163,'NEI Lookups'!J:J)+SUMIF('NEI Lookups'!$N:$N,'Inputs Yr 2'!$F163,'NEI Lookups'!J:J)+SUMIF('NEI Lookups'!$O:$O,'Inputs Yr 2'!$F163,'NEI Lookups'!J:J)+SUMIF('NEI Lookups'!$P:$P,'Inputs Yr 2'!$F163,'NEI Lookups'!J:J)+SUMIF('NEI Lookups'!$Q:$Q,'Inputs Yr 2'!$F163,'NEI Lookups'!J:J)+SUMIF('NEI Lookups'!$R:$R,'Inputs Yr 2'!$F163,'NEI Lookups'!J:J)+SUMIF('NEI Lookups'!$S:$S,'Inputs Yr 2'!$F163,'NEI Lookups'!J:J)+SUMIF('NEI Lookups'!$T:$T,'Inputs Yr 2'!$F163,'NEI Lookups'!J:J)</f>
        <v>0</v>
      </c>
      <c r="AY163" s="930" t="e">
        <f>'Calculations Yr 2'!CP163/'Calculations Yr 2'!I163</f>
        <v>#VALUE!</v>
      </c>
    </row>
    <row r="164" spans="1:51" s="133" customFormat="1" ht="12.75" customHeight="1">
      <c r="A164" s="145" t="s">
        <v>83</v>
      </c>
      <c r="B164" s="132" t="s">
        <v>873</v>
      </c>
      <c r="C164" s="132" t="s">
        <v>661</v>
      </c>
      <c r="D164" s="906" t="s">
        <v>1545</v>
      </c>
      <c r="E164" s="98" t="s">
        <v>772</v>
      </c>
      <c r="F164" s="98" t="s">
        <v>1058</v>
      </c>
      <c r="G164" s="145" t="s">
        <v>89</v>
      </c>
      <c r="H164" s="232">
        <v>15</v>
      </c>
      <c r="I164" s="232">
        <v>15</v>
      </c>
      <c r="J164" s="964">
        <v>16406.428571428569</v>
      </c>
      <c r="K164" s="166">
        <f>('Calculations Yr 2'!AB164/H164)*10*1.75</f>
        <v>6256.4940666666662</v>
      </c>
      <c r="L164" s="888">
        <f t="shared" si="25"/>
        <v>10149.934504761903</v>
      </c>
      <c r="M164" s="978">
        <v>0</v>
      </c>
      <c r="N164" s="978">
        <v>0</v>
      </c>
      <c r="O164" s="978">
        <v>0</v>
      </c>
      <c r="P164" s="889">
        <f t="shared" si="26"/>
        <v>1</v>
      </c>
      <c r="Q164" s="978">
        <v>1</v>
      </c>
      <c r="R164" s="178">
        <v>1</v>
      </c>
      <c r="S164" s="178">
        <v>1</v>
      </c>
      <c r="T164" s="178">
        <v>1</v>
      </c>
      <c r="U164" s="978">
        <v>1</v>
      </c>
      <c r="V164" s="978">
        <v>1</v>
      </c>
      <c r="W164" s="179"/>
      <c r="X164" s="937" t="s">
        <v>653</v>
      </c>
      <c r="Y164" s="299">
        <f>IFERROR(VLOOKUP($X164,'Demand Lookups'!$A$5:$K$101,9,0), 0)</f>
        <v>0</v>
      </c>
      <c r="Z164" s="922" t="str">
        <f>IFERROR(VLOOKUP(X164,'Demand Lookups'!$A$5:$B$101,2,0),0)</f>
        <v>Non-Electric Measures</v>
      </c>
      <c r="AA164" s="722">
        <f>IF(ISNA(VLOOKUP($X164,'Demand Lookups'!$A$5:$K$81,3,0)),0,VLOOKUP($X164,'Demand Lookups'!$A$5:$K$81,3,0))</f>
        <v>0</v>
      </c>
      <c r="AB164" s="722">
        <f>IF(ISNA(VLOOKUP($X164,'Demand Lookups'!$A$5:$K$81,4,0)),0,VLOOKUP($X164,'Demand Lookups'!$A$5:$K$81,4,0))</f>
        <v>0</v>
      </c>
      <c r="AC164" s="722">
        <f>IF(ISNA(VLOOKUP($X164,'Demand Lookups'!$A$5:$K$81,5,0)),0,VLOOKUP($X164,'Demand Lookups'!$A$5:$K$81,5,0))</f>
        <v>0</v>
      </c>
      <c r="AD164" s="723">
        <f>IF(ISNA(VLOOKUP($X164,'Demand Lookups'!$A$5:$K$81,6,0)),0,VLOOKUP($X164,'Demand Lookups'!$A$5:$K$81,6,0))</f>
        <v>0</v>
      </c>
      <c r="AE164" s="724">
        <f t="shared" si="46"/>
        <v>0</v>
      </c>
      <c r="AF164" s="723">
        <f>ROUND(IF(ISNA(VLOOKUP($X164,'Demand Lookups'!$A$5:$K$82,10,0)),0,(VLOOKUP($X164,'Demand Lookups'!$A$5:$K$82,10,0))),2)</f>
        <v>0</v>
      </c>
      <c r="AG164" s="723">
        <f>ROUND(IF(ISNA(VLOOKUP($X164,'Demand Lookups'!$A$5:$K$82,11,0)),0,VLOOKUP($X164,'Demand Lookups'!$A$5:$K$82,11,0)),2)</f>
        <v>0</v>
      </c>
      <c r="AH164" s="648">
        <f t="shared" si="28"/>
        <v>0</v>
      </c>
      <c r="AI164" s="648">
        <f t="shared" si="29"/>
        <v>0</v>
      </c>
      <c r="AJ164" s="167" t="s">
        <v>406</v>
      </c>
      <c r="AK164" s="168">
        <v>357.51394666666664</v>
      </c>
      <c r="AL164" s="167"/>
      <c r="AM164" s="168"/>
      <c r="AN164" s="167"/>
      <c r="AO164" s="168"/>
      <c r="AP164" s="167"/>
      <c r="AQ164" s="171">
        <v>0</v>
      </c>
      <c r="AR164" s="171">
        <v>0</v>
      </c>
      <c r="AS164" s="299">
        <f>SUMIF('NEI Lookups'!$L:$L,'Inputs Yr 2'!$F164,'NEI Lookups'!E:E)+SUMIF('NEI Lookups'!$M:$M,'Inputs Yr 2'!$F164,'NEI Lookups'!E:E)+SUMIF('NEI Lookups'!$N:$N,'Inputs Yr 2'!$F164,'NEI Lookups'!E:E)+SUMIF('NEI Lookups'!$O:$O,'Inputs Yr 2'!$F164,'NEI Lookups'!E:E)+SUMIF('NEI Lookups'!$P:$P,'Inputs Yr 2'!$F164,'NEI Lookups'!E:E)+SUMIF('NEI Lookups'!$Q:$Q,'Inputs Yr 2'!$F164,'NEI Lookups'!E:E)+SUMIF('NEI Lookups'!$R:$R,'Inputs Yr 2'!$F164,'NEI Lookups'!E:E)+SUMIF('NEI Lookups'!$S:$S,'Inputs Yr 2'!$F164,'NEI Lookups'!E:E)+SUMIF('NEI Lookups'!$T:$T,'Inputs Yr 2'!$F164,'NEI Lookups'!E:E)</f>
        <v>0</v>
      </c>
      <c r="AT164" s="299">
        <f>SUMIF('NEI Lookups'!$L:$L,'Inputs Yr 2'!$F164,'NEI Lookups'!F:F)+SUMIF('NEI Lookups'!$M:$M,'Inputs Yr 2'!$F164,'NEI Lookups'!F:F)+SUMIF('NEI Lookups'!$N:$N,'Inputs Yr 2'!$F164,'NEI Lookups'!F:F)+SUMIF('NEI Lookups'!$O:$O,'Inputs Yr 2'!$F164,'NEI Lookups'!F:F)+SUMIF('NEI Lookups'!$P:$P,'Inputs Yr 2'!$F164,'NEI Lookups'!F:F)+SUMIF('NEI Lookups'!$Q:$Q,'Inputs Yr 2'!$F164,'NEI Lookups'!F:F)+SUMIF('NEI Lookups'!$R:$R,'Inputs Yr 2'!$F164,'NEI Lookups'!F:F)+SUMIF('NEI Lookups'!$S:$S,'Inputs Yr 2'!$F164,'NEI Lookups'!F:F)+SUMIF('NEI Lookups'!$T:$T,'Inputs Yr 2'!$F164,'NEI Lookups'!F:F)</f>
        <v>0</v>
      </c>
      <c r="AU164" s="299">
        <f>SUMIF('NEI Lookups'!$L:$L,'Inputs Yr 2'!$F164,'NEI Lookups'!G:G)+SUMIF('NEI Lookups'!$M:$M,'Inputs Yr 2'!$F164,'NEI Lookups'!G:G)+SUMIF('NEI Lookups'!$N:$N,'Inputs Yr 2'!$F164,'NEI Lookups'!G:G)+SUMIF('NEI Lookups'!$O:$O,'Inputs Yr 2'!$F164,'NEI Lookups'!G:G)+SUMIF('NEI Lookups'!$P:$P,'Inputs Yr 2'!$F164,'NEI Lookups'!G:G)+SUMIF('NEI Lookups'!$Q:$Q,'Inputs Yr 2'!$F164,'NEI Lookups'!G:G)+SUMIF('NEI Lookups'!$R:$R,'Inputs Yr 2'!$F164,'NEI Lookups'!G:G)+SUMIF('NEI Lookups'!$S:$S,'Inputs Yr 2'!$F164,'NEI Lookups'!G:G)+SUMIF('NEI Lookups'!$T:$T,'Inputs Yr 2'!$F164,'NEI Lookups'!G:G)</f>
        <v>0</v>
      </c>
      <c r="AV164" s="299">
        <f>SUMIF('NEI Lookups'!$L:$L,'Inputs Yr 2'!$F164,'NEI Lookups'!H:H)+SUMIF('NEI Lookups'!$M:$M,'Inputs Yr 2'!$F164,'NEI Lookups'!H:H)+SUMIF('NEI Lookups'!$N:$N,'Inputs Yr 2'!$F164,'NEI Lookups'!H:H)+SUMIF('NEI Lookups'!$O:$O,'Inputs Yr 2'!$F164,'NEI Lookups'!H:H)+SUMIF('NEI Lookups'!$P:$P,'Inputs Yr 2'!$F164,'NEI Lookups'!H:H)+SUMIF('NEI Lookups'!$Q:$Q,'Inputs Yr 2'!$F164,'NEI Lookups'!H:H)+SUMIF('NEI Lookups'!$R:$R,'Inputs Yr 2'!$F164,'NEI Lookups'!H:H)+SUMIF('NEI Lookups'!$S:$S,'Inputs Yr 2'!$F164,'NEI Lookups'!H:H)+SUMIF('NEI Lookups'!$T:$T,'Inputs Yr 2'!$F164,'NEI Lookups'!H:H)</f>
        <v>0</v>
      </c>
      <c r="AW164" s="940">
        <f>SUMIF('NEI Lookups'!$L:$L,'Inputs Yr 2'!$F164,'NEI Lookups'!I:I)+SUMIF('NEI Lookups'!$M:$M,'Inputs Yr 2'!$F164,'NEI Lookups'!I:I)+SUMIF('NEI Lookups'!$N:$N,'Inputs Yr 2'!$F164,'NEI Lookups'!I:I)+SUMIF('NEI Lookups'!$O:$O,'Inputs Yr 2'!$F164,'NEI Lookups'!I:I)+SUMIF('NEI Lookups'!$P:$P,'Inputs Yr 2'!$F164,'NEI Lookups'!I:I)+SUMIF('NEI Lookups'!$Q:$Q,'Inputs Yr 2'!$F164,'NEI Lookups'!I:I)+SUMIF('NEI Lookups'!$R:$R,'Inputs Yr 2'!$F164,'NEI Lookups'!I:I)+SUMIF('NEI Lookups'!$S:$S,'Inputs Yr 2'!$F164,'NEI Lookups'!I:I)+SUMIF('NEI Lookups'!$T:$T,'Inputs Yr 2'!$F164,'NEI Lookups'!I:I)</f>
        <v>0</v>
      </c>
      <c r="AX164" s="299">
        <f>SUMIF('NEI Lookups'!$L:$L,'Inputs Yr 2'!$F164,'NEI Lookups'!J:J)+SUMIF('NEI Lookups'!$M:$M,'Inputs Yr 2'!$F164,'NEI Lookups'!J:J)+SUMIF('NEI Lookups'!$N:$N,'Inputs Yr 2'!$F164,'NEI Lookups'!J:J)+SUMIF('NEI Lookups'!$O:$O,'Inputs Yr 2'!$F164,'NEI Lookups'!J:J)+SUMIF('NEI Lookups'!$P:$P,'Inputs Yr 2'!$F164,'NEI Lookups'!J:J)+SUMIF('NEI Lookups'!$Q:$Q,'Inputs Yr 2'!$F164,'NEI Lookups'!J:J)+SUMIF('NEI Lookups'!$R:$R,'Inputs Yr 2'!$F164,'NEI Lookups'!J:J)+SUMIF('NEI Lookups'!$S:$S,'Inputs Yr 2'!$F164,'NEI Lookups'!J:J)+SUMIF('NEI Lookups'!$T:$T,'Inputs Yr 2'!$F164,'NEI Lookups'!J:J)</f>
        <v>0</v>
      </c>
      <c r="AY164" s="930">
        <f>'Calculations Yr 2'!CP164/'Calculations Yr 2'!I164</f>
        <v>2.5159523029486359</v>
      </c>
    </row>
    <row r="165" spans="1:51" s="133" customFormat="1" ht="12.75" customHeight="1">
      <c r="A165" s="145" t="s">
        <v>83</v>
      </c>
      <c r="B165" s="132" t="s">
        <v>873</v>
      </c>
      <c r="C165" s="132" t="s">
        <v>661</v>
      </c>
      <c r="D165" s="99"/>
      <c r="E165" s="98" t="s">
        <v>773</v>
      </c>
      <c r="F165" s="98" t="s">
        <v>1059</v>
      </c>
      <c r="G165" s="145" t="s">
        <v>89</v>
      </c>
      <c r="H165" s="232"/>
      <c r="I165" s="232"/>
      <c r="J165" s="964"/>
      <c r="K165" s="166">
        <v>0</v>
      </c>
      <c r="L165" s="888">
        <f t="shared" si="25"/>
        <v>0</v>
      </c>
      <c r="M165" s="978">
        <v>0</v>
      </c>
      <c r="N165" s="978">
        <v>0</v>
      </c>
      <c r="O165" s="978">
        <v>0</v>
      </c>
      <c r="P165" s="889">
        <v>1</v>
      </c>
      <c r="Q165" s="978">
        <v>1</v>
      </c>
      <c r="R165" s="178">
        <v>1</v>
      </c>
      <c r="S165" s="178">
        <v>1</v>
      </c>
      <c r="T165" s="178">
        <v>1</v>
      </c>
      <c r="U165" s="978">
        <v>0</v>
      </c>
      <c r="V165" s="978">
        <v>0</v>
      </c>
      <c r="W165" s="179"/>
      <c r="X165" s="937" t="s">
        <v>653</v>
      </c>
      <c r="Y165" s="299">
        <f>IFERROR(VLOOKUP($X165,'Demand Lookups'!$A$5:$K$101,9,0), 0)</f>
        <v>0</v>
      </c>
      <c r="Z165" s="922" t="str">
        <f>IFERROR(VLOOKUP(X165,'Demand Lookups'!$A$5:$B$101,2,0),0)</f>
        <v>Non-Electric Measures</v>
      </c>
      <c r="AA165" s="722">
        <v>0</v>
      </c>
      <c r="AB165" s="722">
        <v>0</v>
      </c>
      <c r="AC165" s="722">
        <v>0</v>
      </c>
      <c r="AD165" s="723">
        <v>0</v>
      </c>
      <c r="AE165" s="724">
        <f t="shared" si="46"/>
        <v>0</v>
      </c>
      <c r="AF165" s="723">
        <v>0</v>
      </c>
      <c r="AG165" s="723">
        <v>0</v>
      </c>
      <c r="AH165" s="648">
        <v>0</v>
      </c>
      <c r="AI165" s="648">
        <v>0</v>
      </c>
      <c r="AJ165" s="167"/>
      <c r="AK165" s="168">
        <v>227.56092666666669</v>
      </c>
      <c r="AL165" s="167"/>
      <c r="AM165" s="168"/>
      <c r="AN165" s="167"/>
      <c r="AO165" s="168"/>
      <c r="AP165" s="167"/>
      <c r="AQ165" s="171"/>
      <c r="AR165" s="171"/>
      <c r="AS165" s="299">
        <f>SUMIF('NEI Lookups'!$L:$L,'Inputs Yr 2'!$F165,'NEI Lookups'!E:E)+SUMIF('NEI Lookups'!$M:$M,'Inputs Yr 2'!$F165,'NEI Lookups'!E:E)+SUMIF('NEI Lookups'!$N:$N,'Inputs Yr 2'!$F165,'NEI Lookups'!E:E)+SUMIF('NEI Lookups'!$O:$O,'Inputs Yr 2'!$F165,'NEI Lookups'!E:E)+SUMIF('NEI Lookups'!$P:$P,'Inputs Yr 2'!$F165,'NEI Lookups'!E:E)+SUMIF('NEI Lookups'!$Q:$Q,'Inputs Yr 2'!$F165,'NEI Lookups'!E:E)+SUMIF('NEI Lookups'!$R:$R,'Inputs Yr 2'!$F165,'NEI Lookups'!E:E)+SUMIF('NEI Lookups'!$S:$S,'Inputs Yr 2'!$F165,'NEI Lookups'!E:E)+SUMIF('NEI Lookups'!$T:$T,'Inputs Yr 2'!$F165,'NEI Lookups'!E:E)</f>
        <v>0</v>
      </c>
      <c r="AT165" s="299">
        <f>SUMIF('NEI Lookups'!$L:$L,'Inputs Yr 2'!$F165,'NEI Lookups'!F:F)+SUMIF('NEI Lookups'!$M:$M,'Inputs Yr 2'!$F165,'NEI Lookups'!F:F)+SUMIF('NEI Lookups'!$N:$N,'Inputs Yr 2'!$F165,'NEI Lookups'!F:F)+SUMIF('NEI Lookups'!$O:$O,'Inputs Yr 2'!$F165,'NEI Lookups'!F:F)+SUMIF('NEI Lookups'!$P:$P,'Inputs Yr 2'!$F165,'NEI Lookups'!F:F)+SUMIF('NEI Lookups'!$Q:$Q,'Inputs Yr 2'!$F165,'NEI Lookups'!F:F)+SUMIF('NEI Lookups'!$R:$R,'Inputs Yr 2'!$F165,'NEI Lookups'!F:F)+SUMIF('NEI Lookups'!$S:$S,'Inputs Yr 2'!$F165,'NEI Lookups'!F:F)+SUMIF('NEI Lookups'!$T:$T,'Inputs Yr 2'!$F165,'NEI Lookups'!F:F)</f>
        <v>0</v>
      </c>
      <c r="AU165" s="299">
        <f>SUMIF('NEI Lookups'!$L:$L,'Inputs Yr 2'!$F165,'NEI Lookups'!G:G)+SUMIF('NEI Lookups'!$M:$M,'Inputs Yr 2'!$F165,'NEI Lookups'!G:G)+SUMIF('NEI Lookups'!$N:$N,'Inputs Yr 2'!$F165,'NEI Lookups'!G:G)+SUMIF('NEI Lookups'!$O:$O,'Inputs Yr 2'!$F165,'NEI Lookups'!G:G)+SUMIF('NEI Lookups'!$P:$P,'Inputs Yr 2'!$F165,'NEI Lookups'!G:G)+SUMIF('NEI Lookups'!$Q:$Q,'Inputs Yr 2'!$F165,'NEI Lookups'!G:G)+SUMIF('NEI Lookups'!$R:$R,'Inputs Yr 2'!$F165,'NEI Lookups'!G:G)+SUMIF('NEI Lookups'!$S:$S,'Inputs Yr 2'!$F165,'NEI Lookups'!G:G)+SUMIF('NEI Lookups'!$T:$T,'Inputs Yr 2'!$F165,'NEI Lookups'!G:G)</f>
        <v>0</v>
      </c>
      <c r="AV165" s="299">
        <f>SUMIF('NEI Lookups'!$L:$L,'Inputs Yr 2'!$F165,'NEI Lookups'!H:H)+SUMIF('NEI Lookups'!$M:$M,'Inputs Yr 2'!$F165,'NEI Lookups'!H:H)+SUMIF('NEI Lookups'!$N:$N,'Inputs Yr 2'!$F165,'NEI Lookups'!H:H)+SUMIF('NEI Lookups'!$O:$O,'Inputs Yr 2'!$F165,'NEI Lookups'!H:H)+SUMIF('NEI Lookups'!$P:$P,'Inputs Yr 2'!$F165,'NEI Lookups'!H:H)+SUMIF('NEI Lookups'!$Q:$Q,'Inputs Yr 2'!$F165,'NEI Lookups'!H:H)+SUMIF('NEI Lookups'!$R:$R,'Inputs Yr 2'!$F165,'NEI Lookups'!H:H)+SUMIF('NEI Lookups'!$S:$S,'Inputs Yr 2'!$F165,'NEI Lookups'!H:H)+SUMIF('NEI Lookups'!$T:$T,'Inputs Yr 2'!$F165,'NEI Lookups'!H:H)</f>
        <v>0</v>
      </c>
      <c r="AW165" s="299">
        <f>SUMIF('NEI Lookups'!$L:$L,'Inputs Yr 2'!$F165,'NEI Lookups'!I:I)+SUMIF('NEI Lookups'!$M:$M,'Inputs Yr 2'!$F165,'NEI Lookups'!I:I)+SUMIF('NEI Lookups'!$N:$N,'Inputs Yr 2'!$F165,'NEI Lookups'!I:I)+SUMIF('NEI Lookups'!$O:$O,'Inputs Yr 2'!$F165,'NEI Lookups'!I:I)+SUMIF('NEI Lookups'!$P:$P,'Inputs Yr 2'!$F165,'NEI Lookups'!I:I)+SUMIF('NEI Lookups'!$Q:$Q,'Inputs Yr 2'!$F165,'NEI Lookups'!I:I)+SUMIF('NEI Lookups'!$R:$R,'Inputs Yr 2'!$F165,'NEI Lookups'!I:I)+SUMIF('NEI Lookups'!$S:$S,'Inputs Yr 2'!$F165,'NEI Lookups'!I:I)+SUMIF('NEI Lookups'!$T:$T,'Inputs Yr 2'!$F165,'NEI Lookups'!I:I)</f>
        <v>0</v>
      </c>
      <c r="AX165" s="299">
        <f>SUMIF('NEI Lookups'!$L:$L,'Inputs Yr 2'!$F165,'NEI Lookups'!J:J)+SUMIF('NEI Lookups'!$M:$M,'Inputs Yr 2'!$F165,'NEI Lookups'!J:J)+SUMIF('NEI Lookups'!$N:$N,'Inputs Yr 2'!$F165,'NEI Lookups'!J:J)+SUMIF('NEI Lookups'!$O:$O,'Inputs Yr 2'!$F165,'NEI Lookups'!J:J)+SUMIF('NEI Lookups'!$P:$P,'Inputs Yr 2'!$F165,'NEI Lookups'!J:J)+SUMIF('NEI Lookups'!$Q:$Q,'Inputs Yr 2'!$F165,'NEI Lookups'!J:J)+SUMIF('NEI Lookups'!$R:$R,'Inputs Yr 2'!$F165,'NEI Lookups'!J:J)+SUMIF('NEI Lookups'!$S:$S,'Inputs Yr 2'!$F165,'NEI Lookups'!J:J)+SUMIF('NEI Lookups'!$T:$T,'Inputs Yr 2'!$F165,'NEI Lookups'!J:J)</f>
        <v>0</v>
      </c>
      <c r="AY165" s="930" t="e">
        <f>'Calculations Yr 2'!CP165/'Calculations Yr 2'!I165</f>
        <v>#VALUE!</v>
      </c>
    </row>
    <row r="166" spans="1:51" s="133" customFormat="1" ht="12.75" customHeight="1">
      <c r="A166" s="145" t="s">
        <v>83</v>
      </c>
      <c r="B166" s="132" t="s">
        <v>873</v>
      </c>
      <c r="C166" s="132" t="s">
        <v>661</v>
      </c>
      <c r="D166" s="99"/>
      <c r="E166" s="98" t="s">
        <v>84</v>
      </c>
      <c r="F166" s="98" t="s">
        <v>1060</v>
      </c>
      <c r="G166" s="145" t="s">
        <v>1247</v>
      </c>
      <c r="H166" s="165"/>
      <c r="I166" s="232"/>
      <c r="J166" s="964"/>
      <c r="K166" s="166">
        <v>0</v>
      </c>
      <c r="L166" s="888">
        <f t="shared" si="25"/>
        <v>0</v>
      </c>
      <c r="M166" s="978">
        <v>0</v>
      </c>
      <c r="N166" s="978">
        <v>0</v>
      </c>
      <c r="O166" s="978">
        <v>0</v>
      </c>
      <c r="P166" s="889">
        <v>0.91900000000000004</v>
      </c>
      <c r="Q166" s="978">
        <v>1</v>
      </c>
      <c r="R166" s="178">
        <v>1</v>
      </c>
      <c r="S166" s="178">
        <v>1</v>
      </c>
      <c r="T166" s="178">
        <v>1</v>
      </c>
      <c r="U166" s="978">
        <v>0</v>
      </c>
      <c r="V166" s="978">
        <v>0</v>
      </c>
      <c r="W166" s="179"/>
      <c r="X166" s="937" t="s">
        <v>653</v>
      </c>
      <c r="Y166" s="299">
        <f>IFERROR(VLOOKUP($X166,'Demand Lookups'!$A$5:$K$101,9,0), 0)</f>
        <v>0</v>
      </c>
      <c r="Z166" s="922" t="str">
        <f>IFERROR(VLOOKUP(X166,'Demand Lookups'!$A$5:$B$101,2,0),0)</f>
        <v>Non-Electric Measures</v>
      </c>
      <c r="AA166" s="722">
        <v>0</v>
      </c>
      <c r="AB166" s="722">
        <v>0</v>
      </c>
      <c r="AC166" s="722">
        <v>0</v>
      </c>
      <c r="AD166" s="723">
        <v>0</v>
      </c>
      <c r="AE166" s="724">
        <f t="shared" si="46"/>
        <v>0</v>
      </c>
      <c r="AF166" s="723">
        <v>0</v>
      </c>
      <c r="AG166" s="723">
        <v>0</v>
      </c>
      <c r="AH166" s="648">
        <v>0</v>
      </c>
      <c r="AI166" s="648">
        <v>0</v>
      </c>
      <c r="AJ166" s="167"/>
      <c r="AK166" s="168">
        <v>0</v>
      </c>
      <c r="AL166" s="167"/>
      <c r="AM166" s="168"/>
      <c r="AN166" s="167"/>
      <c r="AO166" s="168"/>
      <c r="AP166" s="167"/>
      <c r="AQ166" s="171"/>
      <c r="AR166" s="171"/>
      <c r="AS166" s="299">
        <f>SUMIF('NEI Lookups'!$L:$L,'Inputs Yr 2'!$F166,'NEI Lookups'!E:E)+SUMIF('NEI Lookups'!$M:$M,'Inputs Yr 2'!$F166,'NEI Lookups'!E:E)+SUMIF('NEI Lookups'!$N:$N,'Inputs Yr 2'!$F166,'NEI Lookups'!E:E)+SUMIF('NEI Lookups'!$O:$O,'Inputs Yr 2'!$F166,'NEI Lookups'!E:E)+SUMIF('NEI Lookups'!$P:$P,'Inputs Yr 2'!$F166,'NEI Lookups'!E:E)+SUMIF('NEI Lookups'!$Q:$Q,'Inputs Yr 2'!$F166,'NEI Lookups'!E:E)+SUMIF('NEI Lookups'!$R:$R,'Inputs Yr 2'!$F166,'NEI Lookups'!E:E)+SUMIF('NEI Lookups'!$S:$S,'Inputs Yr 2'!$F166,'NEI Lookups'!E:E)+SUMIF('NEI Lookups'!$T:$T,'Inputs Yr 2'!$F166,'NEI Lookups'!E:E)</f>
        <v>0</v>
      </c>
      <c r="AT166" s="299">
        <f>SUMIF('NEI Lookups'!$L:$L,'Inputs Yr 2'!$F166,'NEI Lookups'!F:F)+SUMIF('NEI Lookups'!$M:$M,'Inputs Yr 2'!$F166,'NEI Lookups'!F:F)+SUMIF('NEI Lookups'!$N:$N,'Inputs Yr 2'!$F166,'NEI Lookups'!F:F)+SUMIF('NEI Lookups'!$O:$O,'Inputs Yr 2'!$F166,'NEI Lookups'!F:F)+SUMIF('NEI Lookups'!$P:$P,'Inputs Yr 2'!$F166,'NEI Lookups'!F:F)+SUMIF('NEI Lookups'!$Q:$Q,'Inputs Yr 2'!$F166,'NEI Lookups'!F:F)+SUMIF('NEI Lookups'!$R:$R,'Inputs Yr 2'!$F166,'NEI Lookups'!F:F)+SUMIF('NEI Lookups'!$S:$S,'Inputs Yr 2'!$F166,'NEI Lookups'!F:F)+SUMIF('NEI Lookups'!$T:$T,'Inputs Yr 2'!$F166,'NEI Lookups'!F:F)</f>
        <v>0</v>
      </c>
      <c r="AU166" s="299">
        <f>SUMIF('NEI Lookups'!$L:$L,'Inputs Yr 2'!$F166,'NEI Lookups'!G:G)+SUMIF('NEI Lookups'!$M:$M,'Inputs Yr 2'!$F166,'NEI Lookups'!G:G)+SUMIF('NEI Lookups'!$N:$N,'Inputs Yr 2'!$F166,'NEI Lookups'!G:G)+SUMIF('NEI Lookups'!$O:$O,'Inputs Yr 2'!$F166,'NEI Lookups'!G:G)+SUMIF('NEI Lookups'!$P:$P,'Inputs Yr 2'!$F166,'NEI Lookups'!G:G)+SUMIF('NEI Lookups'!$Q:$Q,'Inputs Yr 2'!$F166,'NEI Lookups'!G:G)+SUMIF('NEI Lookups'!$R:$R,'Inputs Yr 2'!$F166,'NEI Lookups'!G:G)+SUMIF('NEI Lookups'!$S:$S,'Inputs Yr 2'!$F166,'NEI Lookups'!G:G)+SUMIF('NEI Lookups'!$T:$T,'Inputs Yr 2'!$F166,'NEI Lookups'!G:G)</f>
        <v>0</v>
      </c>
      <c r="AV166" s="299">
        <f>SUMIF('NEI Lookups'!$L:$L,'Inputs Yr 2'!$F166,'NEI Lookups'!H:H)+SUMIF('NEI Lookups'!$M:$M,'Inputs Yr 2'!$F166,'NEI Lookups'!H:H)+SUMIF('NEI Lookups'!$N:$N,'Inputs Yr 2'!$F166,'NEI Lookups'!H:H)+SUMIF('NEI Lookups'!$O:$O,'Inputs Yr 2'!$F166,'NEI Lookups'!H:H)+SUMIF('NEI Lookups'!$P:$P,'Inputs Yr 2'!$F166,'NEI Lookups'!H:H)+SUMIF('NEI Lookups'!$Q:$Q,'Inputs Yr 2'!$F166,'NEI Lookups'!H:H)+SUMIF('NEI Lookups'!$R:$R,'Inputs Yr 2'!$F166,'NEI Lookups'!H:H)+SUMIF('NEI Lookups'!$S:$S,'Inputs Yr 2'!$F166,'NEI Lookups'!H:H)+SUMIF('NEI Lookups'!$T:$T,'Inputs Yr 2'!$F166,'NEI Lookups'!H:H)</f>
        <v>0</v>
      </c>
      <c r="AW166" s="299">
        <f>SUMIF('NEI Lookups'!$L:$L,'Inputs Yr 2'!$F166,'NEI Lookups'!I:I)+SUMIF('NEI Lookups'!$M:$M,'Inputs Yr 2'!$F166,'NEI Lookups'!I:I)+SUMIF('NEI Lookups'!$N:$N,'Inputs Yr 2'!$F166,'NEI Lookups'!I:I)+SUMIF('NEI Lookups'!$O:$O,'Inputs Yr 2'!$F166,'NEI Lookups'!I:I)+SUMIF('NEI Lookups'!$P:$P,'Inputs Yr 2'!$F166,'NEI Lookups'!I:I)+SUMIF('NEI Lookups'!$Q:$Q,'Inputs Yr 2'!$F166,'NEI Lookups'!I:I)+SUMIF('NEI Lookups'!$R:$R,'Inputs Yr 2'!$F166,'NEI Lookups'!I:I)+SUMIF('NEI Lookups'!$S:$S,'Inputs Yr 2'!$F166,'NEI Lookups'!I:I)+SUMIF('NEI Lookups'!$T:$T,'Inputs Yr 2'!$F166,'NEI Lookups'!I:I)</f>
        <v>0</v>
      </c>
      <c r="AX166" s="299">
        <f>SUMIF('NEI Lookups'!$L:$L,'Inputs Yr 2'!$F166,'NEI Lookups'!J:J)+SUMIF('NEI Lookups'!$M:$M,'Inputs Yr 2'!$F166,'NEI Lookups'!J:J)+SUMIF('NEI Lookups'!$N:$N,'Inputs Yr 2'!$F166,'NEI Lookups'!J:J)+SUMIF('NEI Lookups'!$O:$O,'Inputs Yr 2'!$F166,'NEI Lookups'!J:J)+SUMIF('NEI Lookups'!$P:$P,'Inputs Yr 2'!$F166,'NEI Lookups'!J:J)+SUMIF('NEI Lookups'!$Q:$Q,'Inputs Yr 2'!$F166,'NEI Lookups'!J:J)+SUMIF('NEI Lookups'!$R:$R,'Inputs Yr 2'!$F166,'NEI Lookups'!J:J)+SUMIF('NEI Lookups'!$S:$S,'Inputs Yr 2'!$F166,'NEI Lookups'!J:J)+SUMIF('NEI Lookups'!$T:$T,'Inputs Yr 2'!$F166,'NEI Lookups'!J:J)</f>
        <v>0</v>
      </c>
      <c r="AY166" s="930" t="e">
        <f>'Calculations Yr 2'!CP166/'Calculations Yr 2'!I166</f>
        <v>#VALUE!</v>
      </c>
    </row>
    <row r="167" spans="1:51" s="133" customFormat="1" ht="12.75" customHeight="1">
      <c r="A167" s="145" t="s">
        <v>83</v>
      </c>
      <c r="B167" s="132" t="s">
        <v>873</v>
      </c>
      <c r="C167" s="132" t="s">
        <v>661</v>
      </c>
      <c r="D167" s="99"/>
      <c r="E167" s="98" t="s">
        <v>85</v>
      </c>
      <c r="F167" s="98" t="s">
        <v>1061</v>
      </c>
      <c r="G167" s="145" t="s">
        <v>1247</v>
      </c>
      <c r="H167" s="165"/>
      <c r="I167" s="232"/>
      <c r="J167" s="964"/>
      <c r="K167" s="166">
        <v>0</v>
      </c>
      <c r="L167" s="888">
        <f t="shared" si="25"/>
        <v>0</v>
      </c>
      <c r="M167" s="978">
        <v>0</v>
      </c>
      <c r="N167" s="978">
        <v>0</v>
      </c>
      <c r="O167" s="978">
        <v>0</v>
      </c>
      <c r="P167" s="889">
        <v>0.84600000000000009</v>
      </c>
      <c r="Q167" s="978">
        <v>1</v>
      </c>
      <c r="R167" s="178">
        <v>1</v>
      </c>
      <c r="S167" s="178">
        <v>1</v>
      </c>
      <c r="T167" s="178">
        <v>1</v>
      </c>
      <c r="U167" s="978">
        <v>0</v>
      </c>
      <c r="V167" s="978">
        <v>0</v>
      </c>
      <c r="W167" s="179"/>
      <c r="X167" s="937" t="s">
        <v>653</v>
      </c>
      <c r="Y167" s="299">
        <f>IFERROR(VLOOKUP($X167,'Demand Lookups'!$A$5:$K$101,9,0), 0)</f>
        <v>0</v>
      </c>
      <c r="Z167" s="922" t="str">
        <f>IFERROR(VLOOKUP(X167,'Demand Lookups'!$A$5:$B$101,2,0),0)</f>
        <v>Non-Electric Measures</v>
      </c>
      <c r="AA167" s="722">
        <v>0</v>
      </c>
      <c r="AB167" s="722">
        <v>0</v>
      </c>
      <c r="AC167" s="722">
        <v>0</v>
      </c>
      <c r="AD167" s="723">
        <v>0</v>
      </c>
      <c r="AE167" s="724">
        <f t="shared" si="46"/>
        <v>0</v>
      </c>
      <c r="AF167" s="723">
        <v>0</v>
      </c>
      <c r="AG167" s="723">
        <v>0</v>
      </c>
      <c r="AH167" s="648">
        <v>0</v>
      </c>
      <c r="AI167" s="648">
        <v>0</v>
      </c>
      <c r="AJ167" s="167"/>
      <c r="AK167" s="168">
        <v>0</v>
      </c>
      <c r="AL167" s="167"/>
      <c r="AM167" s="168"/>
      <c r="AN167" s="167"/>
      <c r="AO167" s="168"/>
      <c r="AP167" s="167"/>
      <c r="AQ167" s="171"/>
      <c r="AR167" s="171"/>
      <c r="AS167" s="299">
        <f>SUMIF('NEI Lookups'!$L:$L,'Inputs Yr 2'!$F167,'NEI Lookups'!E:E)+SUMIF('NEI Lookups'!$M:$M,'Inputs Yr 2'!$F167,'NEI Lookups'!E:E)+SUMIF('NEI Lookups'!$N:$N,'Inputs Yr 2'!$F167,'NEI Lookups'!E:E)+SUMIF('NEI Lookups'!$O:$O,'Inputs Yr 2'!$F167,'NEI Lookups'!E:E)+SUMIF('NEI Lookups'!$P:$P,'Inputs Yr 2'!$F167,'NEI Lookups'!E:E)+SUMIF('NEI Lookups'!$Q:$Q,'Inputs Yr 2'!$F167,'NEI Lookups'!E:E)+SUMIF('NEI Lookups'!$R:$R,'Inputs Yr 2'!$F167,'NEI Lookups'!E:E)+SUMIF('NEI Lookups'!$S:$S,'Inputs Yr 2'!$F167,'NEI Lookups'!E:E)+SUMIF('NEI Lookups'!$T:$T,'Inputs Yr 2'!$F167,'NEI Lookups'!E:E)</f>
        <v>0</v>
      </c>
      <c r="AT167" s="299">
        <f>SUMIF('NEI Lookups'!$L:$L,'Inputs Yr 2'!$F167,'NEI Lookups'!F:F)+SUMIF('NEI Lookups'!$M:$M,'Inputs Yr 2'!$F167,'NEI Lookups'!F:F)+SUMIF('NEI Lookups'!$N:$N,'Inputs Yr 2'!$F167,'NEI Lookups'!F:F)+SUMIF('NEI Lookups'!$O:$O,'Inputs Yr 2'!$F167,'NEI Lookups'!F:F)+SUMIF('NEI Lookups'!$P:$P,'Inputs Yr 2'!$F167,'NEI Lookups'!F:F)+SUMIF('NEI Lookups'!$Q:$Q,'Inputs Yr 2'!$F167,'NEI Lookups'!F:F)+SUMIF('NEI Lookups'!$R:$R,'Inputs Yr 2'!$F167,'NEI Lookups'!F:F)+SUMIF('NEI Lookups'!$S:$S,'Inputs Yr 2'!$F167,'NEI Lookups'!F:F)+SUMIF('NEI Lookups'!$T:$T,'Inputs Yr 2'!$F167,'NEI Lookups'!F:F)</f>
        <v>0</v>
      </c>
      <c r="AU167" s="299">
        <f>SUMIF('NEI Lookups'!$L:$L,'Inputs Yr 2'!$F167,'NEI Lookups'!G:G)+SUMIF('NEI Lookups'!$M:$M,'Inputs Yr 2'!$F167,'NEI Lookups'!G:G)+SUMIF('NEI Lookups'!$N:$N,'Inputs Yr 2'!$F167,'NEI Lookups'!G:G)+SUMIF('NEI Lookups'!$O:$O,'Inputs Yr 2'!$F167,'NEI Lookups'!G:G)+SUMIF('NEI Lookups'!$P:$P,'Inputs Yr 2'!$F167,'NEI Lookups'!G:G)+SUMIF('NEI Lookups'!$Q:$Q,'Inputs Yr 2'!$F167,'NEI Lookups'!G:G)+SUMIF('NEI Lookups'!$R:$R,'Inputs Yr 2'!$F167,'NEI Lookups'!G:G)+SUMIF('NEI Lookups'!$S:$S,'Inputs Yr 2'!$F167,'NEI Lookups'!G:G)+SUMIF('NEI Lookups'!$T:$T,'Inputs Yr 2'!$F167,'NEI Lookups'!G:G)</f>
        <v>0</v>
      </c>
      <c r="AV167" s="299">
        <f>SUMIF('NEI Lookups'!$L:$L,'Inputs Yr 2'!$F167,'NEI Lookups'!H:H)+SUMIF('NEI Lookups'!$M:$M,'Inputs Yr 2'!$F167,'NEI Lookups'!H:H)+SUMIF('NEI Lookups'!$N:$N,'Inputs Yr 2'!$F167,'NEI Lookups'!H:H)+SUMIF('NEI Lookups'!$O:$O,'Inputs Yr 2'!$F167,'NEI Lookups'!H:H)+SUMIF('NEI Lookups'!$P:$P,'Inputs Yr 2'!$F167,'NEI Lookups'!H:H)+SUMIF('NEI Lookups'!$Q:$Q,'Inputs Yr 2'!$F167,'NEI Lookups'!H:H)+SUMIF('NEI Lookups'!$R:$R,'Inputs Yr 2'!$F167,'NEI Lookups'!H:H)+SUMIF('NEI Lookups'!$S:$S,'Inputs Yr 2'!$F167,'NEI Lookups'!H:H)+SUMIF('NEI Lookups'!$T:$T,'Inputs Yr 2'!$F167,'NEI Lookups'!H:H)</f>
        <v>0</v>
      </c>
      <c r="AW167" s="299">
        <f>SUMIF('NEI Lookups'!$L:$L,'Inputs Yr 2'!$F167,'NEI Lookups'!I:I)+SUMIF('NEI Lookups'!$M:$M,'Inputs Yr 2'!$F167,'NEI Lookups'!I:I)+SUMIF('NEI Lookups'!$N:$N,'Inputs Yr 2'!$F167,'NEI Lookups'!I:I)+SUMIF('NEI Lookups'!$O:$O,'Inputs Yr 2'!$F167,'NEI Lookups'!I:I)+SUMIF('NEI Lookups'!$P:$P,'Inputs Yr 2'!$F167,'NEI Lookups'!I:I)+SUMIF('NEI Lookups'!$Q:$Q,'Inputs Yr 2'!$F167,'NEI Lookups'!I:I)+SUMIF('NEI Lookups'!$R:$R,'Inputs Yr 2'!$F167,'NEI Lookups'!I:I)+SUMIF('NEI Lookups'!$S:$S,'Inputs Yr 2'!$F167,'NEI Lookups'!I:I)+SUMIF('NEI Lookups'!$T:$T,'Inputs Yr 2'!$F167,'NEI Lookups'!I:I)</f>
        <v>0.24199999999999999</v>
      </c>
      <c r="AX167" s="299">
        <f>SUMIF('NEI Lookups'!$L:$L,'Inputs Yr 2'!$F167,'NEI Lookups'!J:J)+SUMIF('NEI Lookups'!$M:$M,'Inputs Yr 2'!$F167,'NEI Lookups'!J:J)+SUMIF('NEI Lookups'!$N:$N,'Inputs Yr 2'!$F167,'NEI Lookups'!J:J)+SUMIF('NEI Lookups'!$O:$O,'Inputs Yr 2'!$F167,'NEI Lookups'!J:J)+SUMIF('NEI Lookups'!$P:$P,'Inputs Yr 2'!$F167,'NEI Lookups'!J:J)+SUMIF('NEI Lookups'!$Q:$Q,'Inputs Yr 2'!$F167,'NEI Lookups'!J:J)+SUMIF('NEI Lookups'!$R:$R,'Inputs Yr 2'!$F167,'NEI Lookups'!J:J)+SUMIF('NEI Lookups'!$S:$S,'Inputs Yr 2'!$F167,'NEI Lookups'!J:J)+SUMIF('NEI Lookups'!$T:$T,'Inputs Yr 2'!$F167,'NEI Lookups'!J:J)</f>
        <v>0</v>
      </c>
      <c r="AY167" s="930" t="e">
        <f>'Calculations Yr 2'!CP167/'Calculations Yr 2'!I167</f>
        <v>#VALUE!</v>
      </c>
    </row>
    <row r="168" spans="1:51" s="133" customFormat="1" ht="12.75" customHeight="1">
      <c r="A168" s="145" t="s">
        <v>83</v>
      </c>
      <c r="B168" s="132" t="s">
        <v>873</v>
      </c>
      <c r="C168" s="132" t="s">
        <v>661</v>
      </c>
      <c r="D168" s="904" t="s">
        <v>1546</v>
      </c>
      <c r="E168" s="98" t="s">
        <v>720</v>
      </c>
      <c r="F168" s="98" t="s">
        <v>1062</v>
      </c>
      <c r="G168" s="145" t="s">
        <v>1247</v>
      </c>
      <c r="H168" s="232">
        <v>15</v>
      </c>
      <c r="I168" s="234">
        <v>25</v>
      </c>
      <c r="J168" s="964">
        <v>32812.857142857138</v>
      </c>
      <c r="K168" s="166">
        <f>('Calculations Yr 2'!AB168/H168)*10*1.75</f>
        <v>3982.3162166666671</v>
      </c>
      <c r="L168" s="888">
        <f t="shared" si="25"/>
        <v>28830.540926190472</v>
      </c>
      <c r="M168" s="978">
        <v>0</v>
      </c>
      <c r="N168" s="978">
        <v>0</v>
      </c>
      <c r="O168" s="978">
        <v>0</v>
      </c>
      <c r="P168" s="889">
        <f t="shared" si="26"/>
        <v>1</v>
      </c>
      <c r="Q168" s="978">
        <v>1</v>
      </c>
      <c r="R168" s="178">
        <v>1</v>
      </c>
      <c r="S168" s="178">
        <v>1</v>
      </c>
      <c r="T168" s="178">
        <v>1</v>
      </c>
      <c r="U168" s="978">
        <v>1</v>
      </c>
      <c r="V168" s="978">
        <v>1</v>
      </c>
      <c r="W168" s="179"/>
      <c r="X168" s="937" t="s">
        <v>653</v>
      </c>
      <c r="Y168" s="299">
        <f>IFERROR(VLOOKUP($X168,'Demand Lookups'!$A$5:$K$101,9,0), 0)</f>
        <v>0</v>
      </c>
      <c r="Z168" s="922" t="str">
        <f>IFERROR(VLOOKUP(X168,'Demand Lookups'!$A$5:$B$101,2,0),0)</f>
        <v>Non-Electric Measures</v>
      </c>
      <c r="AA168" s="722">
        <f>IF(ISNA(VLOOKUP($X168,'Demand Lookups'!$A$5:$K$81,3,0)),0,VLOOKUP($X168,'Demand Lookups'!$A$5:$K$81,3,0))</f>
        <v>0</v>
      </c>
      <c r="AB168" s="722">
        <f>IF(ISNA(VLOOKUP($X168,'Demand Lookups'!$A$5:$K$81,4,0)),0,VLOOKUP($X168,'Demand Lookups'!$A$5:$K$81,4,0))</f>
        <v>0</v>
      </c>
      <c r="AC168" s="722">
        <f>IF(ISNA(VLOOKUP($X168,'Demand Lookups'!$A$5:$K$81,5,0)),0,VLOOKUP($X168,'Demand Lookups'!$A$5:$K$81,5,0))</f>
        <v>0</v>
      </c>
      <c r="AD168" s="723">
        <f>IF(ISNA(VLOOKUP($X168,'Demand Lookups'!$A$5:$K$81,6,0)),0,VLOOKUP($X168,'Demand Lookups'!$A$5:$K$81,6,0))</f>
        <v>0</v>
      </c>
      <c r="AE168" s="724">
        <f t="shared" si="46"/>
        <v>0</v>
      </c>
      <c r="AF168" s="723">
        <f>ROUND(IF(ISNA(VLOOKUP($X168,'Demand Lookups'!$A$5:$K$82,10,0)),0,(VLOOKUP($X168,'Demand Lookups'!$A$5:$K$82,10,0))),2)</f>
        <v>0</v>
      </c>
      <c r="AG168" s="723">
        <f>ROUND(IF(ISNA(VLOOKUP($X168,'Demand Lookups'!$A$5:$K$82,11,0)),0,VLOOKUP($X168,'Demand Lookups'!$A$5:$K$82,11,0)),2)</f>
        <v>0</v>
      </c>
      <c r="AH168" s="648">
        <f t="shared" si="28"/>
        <v>0</v>
      </c>
      <c r="AI168" s="648">
        <f t="shared" si="29"/>
        <v>0</v>
      </c>
      <c r="AJ168" s="167" t="s">
        <v>87</v>
      </c>
      <c r="AK168" s="168">
        <v>227.56092666666669</v>
      </c>
      <c r="AL168" s="167"/>
      <c r="AM168" s="168"/>
      <c r="AN168" s="167"/>
      <c r="AO168" s="168"/>
      <c r="AP168" s="167"/>
      <c r="AQ168" s="171">
        <v>0</v>
      </c>
      <c r="AR168" s="171">
        <v>0</v>
      </c>
      <c r="AS168" s="299">
        <f>117/1.1536</f>
        <v>101.42163661581138</v>
      </c>
      <c r="AT168" s="299">
        <f>SUMIF('NEI Lookups'!$L:$L,'Inputs Yr 2'!$F168,'NEI Lookups'!F:F)+SUMIF('NEI Lookups'!$M:$M,'Inputs Yr 2'!$F168,'NEI Lookups'!F:F)+SUMIF('NEI Lookups'!$N:$N,'Inputs Yr 2'!$F168,'NEI Lookups'!F:F)+SUMIF('NEI Lookups'!$O:$O,'Inputs Yr 2'!$F168,'NEI Lookups'!F:F)+SUMIF('NEI Lookups'!$P:$P,'Inputs Yr 2'!$F168,'NEI Lookups'!F:F)+SUMIF('NEI Lookups'!$Q:$Q,'Inputs Yr 2'!$F168,'NEI Lookups'!F:F)+SUMIF('NEI Lookups'!$R:$R,'Inputs Yr 2'!$F168,'NEI Lookups'!F:F)+SUMIF('NEI Lookups'!$S:$S,'Inputs Yr 2'!$F168,'NEI Lookups'!F:F)+SUMIF('NEI Lookups'!$T:$T,'Inputs Yr 2'!$F168,'NEI Lookups'!F:F)</f>
        <v>0</v>
      </c>
      <c r="AU168" s="299">
        <f>SUMIF('NEI Lookups'!$L:$L,'Inputs Yr 2'!$F168,'NEI Lookups'!G:G)+SUMIF('NEI Lookups'!$M:$M,'Inputs Yr 2'!$F168,'NEI Lookups'!G:G)+SUMIF('NEI Lookups'!$N:$N,'Inputs Yr 2'!$F168,'NEI Lookups'!G:G)+SUMIF('NEI Lookups'!$O:$O,'Inputs Yr 2'!$F168,'NEI Lookups'!G:G)+SUMIF('NEI Lookups'!$P:$P,'Inputs Yr 2'!$F168,'NEI Lookups'!G:G)+SUMIF('NEI Lookups'!$Q:$Q,'Inputs Yr 2'!$F168,'NEI Lookups'!G:G)+SUMIF('NEI Lookups'!$R:$R,'Inputs Yr 2'!$F168,'NEI Lookups'!G:G)+SUMIF('NEI Lookups'!$S:$S,'Inputs Yr 2'!$F168,'NEI Lookups'!G:G)+SUMIF('NEI Lookups'!$T:$T,'Inputs Yr 2'!$F168,'NEI Lookups'!G:G)</f>
        <v>0</v>
      </c>
      <c r="AV168" s="299">
        <f>SUMIF('NEI Lookups'!$L:$L,'Inputs Yr 2'!$F168,'NEI Lookups'!H:H)+SUMIF('NEI Lookups'!$M:$M,'Inputs Yr 2'!$F168,'NEI Lookups'!H:H)+SUMIF('NEI Lookups'!$N:$N,'Inputs Yr 2'!$F168,'NEI Lookups'!H:H)+SUMIF('NEI Lookups'!$O:$O,'Inputs Yr 2'!$F168,'NEI Lookups'!H:H)+SUMIF('NEI Lookups'!$P:$P,'Inputs Yr 2'!$F168,'NEI Lookups'!H:H)+SUMIF('NEI Lookups'!$Q:$Q,'Inputs Yr 2'!$F168,'NEI Lookups'!H:H)+SUMIF('NEI Lookups'!$R:$R,'Inputs Yr 2'!$F168,'NEI Lookups'!H:H)+SUMIF('NEI Lookups'!$S:$S,'Inputs Yr 2'!$F168,'NEI Lookups'!H:H)+SUMIF('NEI Lookups'!$T:$T,'Inputs Yr 2'!$F168,'NEI Lookups'!H:H)</f>
        <v>0</v>
      </c>
      <c r="AW168" s="940">
        <f>SUMIF('NEI Lookups'!$L:$L,'Inputs Yr 2'!$F168,'NEI Lookups'!I:I)+SUMIF('NEI Lookups'!$M:$M,'Inputs Yr 2'!$F168,'NEI Lookups'!I:I)+SUMIF('NEI Lookups'!$N:$N,'Inputs Yr 2'!$F168,'NEI Lookups'!I:I)+SUMIF('NEI Lookups'!$O:$O,'Inputs Yr 2'!$F168,'NEI Lookups'!I:I)+SUMIF('NEI Lookups'!$P:$P,'Inputs Yr 2'!$F168,'NEI Lookups'!I:I)+SUMIF('NEI Lookups'!$Q:$Q,'Inputs Yr 2'!$F168,'NEI Lookups'!I:I)+SUMIF('NEI Lookups'!$R:$R,'Inputs Yr 2'!$F168,'NEI Lookups'!I:I)+SUMIF('NEI Lookups'!$S:$S,'Inputs Yr 2'!$F168,'NEI Lookups'!I:I)+SUMIF('NEI Lookups'!$T:$T,'Inputs Yr 2'!$F168,'NEI Lookups'!I:I)</f>
        <v>0</v>
      </c>
      <c r="AX168" s="299">
        <f>SUMIF('NEI Lookups'!$L:$L,'Inputs Yr 2'!$F168,'NEI Lookups'!J:J)+SUMIF('NEI Lookups'!$M:$M,'Inputs Yr 2'!$F168,'NEI Lookups'!J:J)+SUMIF('NEI Lookups'!$N:$N,'Inputs Yr 2'!$F168,'NEI Lookups'!J:J)+SUMIF('NEI Lookups'!$O:$O,'Inputs Yr 2'!$F168,'NEI Lookups'!J:J)+SUMIF('NEI Lookups'!$P:$P,'Inputs Yr 2'!$F168,'NEI Lookups'!J:J)+SUMIF('NEI Lookups'!$Q:$Q,'Inputs Yr 2'!$F168,'NEI Lookups'!J:J)+SUMIF('NEI Lookups'!$R:$R,'Inputs Yr 2'!$F168,'NEI Lookups'!J:J)+SUMIF('NEI Lookups'!$S:$S,'Inputs Yr 2'!$F168,'NEI Lookups'!J:J)+SUMIF('NEI Lookups'!$T:$T,'Inputs Yr 2'!$F168,'NEI Lookups'!J:J)</f>
        <v>0</v>
      </c>
      <c r="AY168" s="930">
        <f>'Calculations Yr 2'!CP168/'Calculations Yr 2'!I168</f>
        <v>1.5972726408392151</v>
      </c>
    </row>
    <row r="169" spans="1:51" s="133" customFormat="1" ht="12.75" customHeight="1">
      <c r="A169" s="145" t="s">
        <v>83</v>
      </c>
      <c r="B169" s="132" t="s">
        <v>873</v>
      </c>
      <c r="C169" s="132" t="s">
        <v>661</v>
      </c>
      <c r="D169" s="97"/>
      <c r="E169" s="97" t="s">
        <v>721</v>
      </c>
      <c r="F169" s="98" t="s">
        <v>1063</v>
      </c>
      <c r="G169" s="145" t="s">
        <v>1247</v>
      </c>
      <c r="H169" s="232"/>
      <c r="I169" s="234"/>
      <c r="J169" s="964"/>
      <c r="K169" s="166">
        <v>0</v>
      </c>
      <c r="L169" s="888">
        <f t="shared" si="25"/>
        <v>0</v>
      </c>
      <c r="M169" s="978">
        <v>0</v>
      </c>
      <c r="N169" s="978">
        <v>0</v>
      </c>
      <c r="O169" s="978">
        <v>0</v>
      </c>
      <c r="P169" s="889">
        <v>1</v>
      </c>
      <c r="Q169" s="978">
        <v>1</v>
      </c>
      <c r="R169" s="178">
        <v>1</v>
      </c>
      <c r="S169" s="178">
        <v>1</v>
      </c>
      <c r="T169" s="178">
        <v>1</v>
      </c>
      <c r="U169" s="978">
        <v>0</v>
      </c>
      <c r="V169" s="978">
        <v>0</v>
      </c>
      <c r="W169" s="179"/>
      <c r="X169" s="937" t="s">
        <v>653</v>
      </c>
      <c r="Y169" s="299">
        <f>IFERROR(VLOOKUP($X169,'Demand Lookups'!$A$5:$K$101,9,0), 0)</f>
        <v>0</v>
      </c>
      <c r="Z169" s="922" t="str">
        <f>IFERROR(VLOOKUP(X169,'Demand Lookups'!$A$5:$B$101,2,0),0)</f>
        <v>Non-Electric Measures</v>
      </c>
      <c r="AA169" s="722">
        <v>0</v>
      </c>
      <c r="AB169" s="722">
        <v>0</v>
      </c>
      <c r="AC169" s="722">
        <v>0</v>
      </c>
      <c r="AD169" s="723">
        <v>0</v>
      </c>
      <c r="AE169" s="724">
        <f t="shared" si="46"/>
        <v>0</v>
      </c>
      <c r="AF169" s="723">
        <v>0</v>
      </c>
      <c r="AG169" s="723">
        <v>0</v>
      </c>
      <c r="AH169" s="648">
        <v>0</v>
      </c>
      <c r="AI169" s="648">
        <v>0</v>
      </c>
      <c r="AJ169" s="167"/>
      <c r="AK169" s="168">
        <v>0</v>
      </c>
      <c r="AL169" s="167"/>
      <c r="AM169" s="168"/>
      <c r="AN169" s="167"/>
      <c r="AO169" s="168"/>
      <c r="AP169" s="167"/>
      <c r="AQ169" s="171"/>
      <c r="AR169" s="171"/>
      <c r="AS169" s="299">
        <f>SUMIF('NEI Lookups'!$L:$L,'Inputs Yr 2'!$F169,'NEI Lookups'!E:E)+SUMIF('NEI Lookups'!$M:$M,'Inputs Yr 2'!$F169,'NEI Lookups'!E:E)+SUMIF('NEI Lookups'!$N:$N,'Inputs Yr 2'!$F169,'NEI Lookups'!E:E)+SUMIF('NEI Lookups'!$O:$O,'Inputs Yr 2'!$F169,'NEI Lookups'!E:E)+SUMIF('NEI Lookups'!$P:$P,'Inputs Yr 2'!$F169,'NEI Lookups'!E:E)+SUMIF('NEI Lookups'!$Q:$Q,'Inputs Yr 2'!$F169,'NEI Lookups'!E:E)+SUMIF('NEI Lookups'!$R:$R,'Inputs Yr 2'!$F169,'NEI Lookups'!E:E)+SUMIF('NEI Lookups'!$S:$S,'Inputs Yr 2'!$F169,'NEI Lookups'!E:E)+SUMIF('NEI Lookups'!$T:$T,'Inputs Yr 2'!$F169,'NEI Lookups'!E:E)</f>
        <v>0</v>
      </c>
      <c r="AT169" s="299">
        <f>SUMIF('NEI Lookups'!$L:$L,'Inputs Yr 2'!$F169,'NEI Lookups'!F:F)+SUMIF('NEI Lookups'!$M:$M,'Inputs Yr 2'!$F169,'NEI Lookups'!F:F)+SUMIF('NEI Lookups'!$N:$N,'Inputs Yr 2'!$F169,'NEI Lookups'!F:F)+SUMIF('NEI Lookups'!$O:$O,'Inputs Yr 2'!$F169,'NEI Lookups'!F:F)+SUMIF('NEI Lookups'!$P:$P,'Inputs Yr 2'!$F169,'NEI Lookups'!F:F)+SUMIF('NEI Lookups'!$Q:$Q,'Inputs Yr 2'!$F169,'NEI Lookups'!F:F)+SUMIF('NEI Lookups'!$R:$R,'Inputs Yr 2'!$F169,'NEI Lookups'!F:F)+SUMIF('NEI Lookups'!$S:$S,'Inputs Yr 2'!$F169,'NEI Lookups'!F:F)+SUMIF('NEI Lookups'!$T:$T,'Inputs Yr 2'!$F169,'NEI Lookups'!F:F)</f>
        <v>0</v>
      </c>
      <c r="AU169" s="299">
        <f>SUMIF('NEI Lookups'!$L:$L,'Inputs Yr 2'!$F169,'NEI Lookups'!G:G)+SUMIF('NEI Lookups'!$M:$M,'Inputs Yr 2'!$F169,'NEI Lookups'!G:G)+SUMIF('NEI Lookups'!$N:$N,'Inputs Yr 2'!$F169,'NEI Lookups'!G:G)+SUMIF('NEI Lookups'!$O:$O,'Inputs Yr 2'!$F169,'NEI Lookups'!G:G)+SUMIF('NEI Lookups'!$P:$P,'Inputs Yr 2'!$F169,'NEI Lookups'!G:G)+SUMIF('NEI Lookups'!$Q:$Q,'Inputs Yr 2'!$F169,'NEI Lookups'!G:G)+SUMIF('NEI Lookups'!$R:$R,'Inputs Yr 2'!$F169,'NEI Lookups'!G:G)+SUMIF('NEI Lookups'!$S:$S,'Inputs Yr 2'!$F169,'NEI Lookups'!G:G)+SUMIF('NEI Lookups'!$T:$T,'Inputs Yr 2'!$F169,'NEI Lookups'!G:G)</f>
        <v>0</v>
      </c>
      <c r="AV169" s="299">
        <f>SUMIF('NEI Lookups'!$L:$L,'Inputs Yr 2'!$F169,'NEI Lookups'!H:H)+SUMIF('NEI Lookups'!$M:$M,'Inputs Yr 2'!$F169,'NEI Lookups'!H:H)+SUMIF('NEI Lookups'!$N:$N,'Inputs Yr 2'!$F169,'NEI Lookups'!H:H)+SUMIF('NEI Lookups'!$O:$O,'Inputs Yr 2'!$F169,'NEI Lookups'!H:H)+SUMIF('NEI Lookups'!$P:$P,'Inputs Yr 2'!$F169,'NEI Lookups'!H:H)+SUMIF('NEI Lookups'!$Q:$Q,'Inputs Yr 2'!$F169,'NEI Lookups'!H:H)+SUMIF('NEI Lookups'!$R:$R,'Inputs Yr 2'!$F169,'NEI Lookups'!H:H)+SUMIF('NEI Lookups'!$S:$S,'Inputs Yr 2'!$F169,'NEI Lookups'!H:H)+SUMIF('NEI Lookups'!$T:$T,'Inputs Yr 2'!$F169,'NEI Lookups'!H:H)</f>
        <v>0</v>
      </c>
      <c r="AW169" s="299">
        <f>SUMIF('NEI Lookups'!$L:$L,'Inputs Yr 2'!$F169,'NEI Lookups'!I:I)+SUMIF('NEI Lookups'!$M:$M,'Inputs Yr 2'!$F169,'NEI Lookups'!I:I)+SUMIF('NEI Lookups'!$N:$N,'Inputs Yr 2'!$F169,'NEI Lookups'!I:I)+SUMIF('NEI Lookups'!$O:$O,'Inputs Yr 2'!$F169,'NEI Lookups'!I:I)+SUMIF('NEI Lookups'!$P:$P,'Inputs Yr 2'!$F169,'NEI Lookups'!I:I)+SUMIF('NEI Lookups'!$Q:$Q,'Inputs Yr 2'!$F169,'NEI Lookups'!I:I)+SUMIF('NEI Lookups'!$R:$R,'Inputs Yr 2'!$F169,'NEI Lookups'!I:I)+SUMIF('NEI Lookups'!$S:$S,'Inputs Yr 2'!$F169,'NEI Lookups'!I:I)+SUMIF('NEI Lookups'!$T:$T,'Inputs Yr 2'!$F169,'NEI Lookups'!I:I)</f>
        <v>0</v>
      </c>
      <c r="AX169" s="299">
        <f>SUMIF('NEI Lookups'!$L:$L,'Inputs Yr 2'!$F169,'NEI Lookups'!J:J)+SUMIF('NEI Lookups'!$M:$M,'Inputs Yr 2'!$F169,'NEI Lookups'!J:J)+SUMIF('NEI Lookups'!$N:$N,'Inputs Yr 2'!$F169,'NEI Lookups'!J:J)+SUMIF('NEI Lookups'!$O:$O,'Inputs Yr 2'!$F169,'NEI Lookups'!J:J)+SUMIF('NEI Lookups'!$P:$P,'Inputs Yr 2'!$F169,'NEI Lookups'!J:J)+SUMIF('NEI Lookups'!$Q:$Q,'Inputs Yr 2'!$F169,'NEI Lookups'!J:J)+SUMIF('NEI Lookups'!$R:$R,'Inputs Yr 2'!$F169,'NEI Lookups'!J:J)+SUMIF('NEI Lookups'!$S:$S,'Inputs Yr 2'!$F169,'NEI Lookups'!J:J)+SUMIF('NEI Lookups'!$T:$T,'Inputs Yr 2'!$F169,'NEI Lookups'!J:J)</f>
        <v>0</v>
      </c>
      <c r="AY169" s="930" t="e">
        <f>'Calculations Yr 2'!CP169/'Calculations Yr 2'!I169</f>
        <v>#VALUE!</v>
      </c>
    </row>
    <row r="170" spans="1:51" s="133" customFormat="1" ht="12.75" customHeight="1">
      <c r="A170" s="145" t="s">
        <v>83</v>
      </c>
      <c r="B170" s="132" t="s">
        <v>873</v>
      </c>
      <c r="C170" s="132" t="s">
        <v>661</v>
      </c>
      <c r="D170" s="904" t="s">
        <v>1547</v>
      </c>
      <c r="E170" s="4" t="s">
        <v>1509</v>
      </c>
      <c r="F170" s="98" t="s">
        <v>1064</v>
      </c>
      <c r="G170" s="145" t="s">
        <v>1244</v>
      </c>
      <c r="H170" s="165">
        <v>1</v>
      </c>
      <c r="I170" s="237">
        <v>10</v>
      </c>
      <c r="J170" s="971">
        <v>179798.66666666666</v>
      </c>
      <c r="K170" s="871">
        <v>134849</v>
      </c>
      <c r="L170" s="888">
        <f t="shared" si="25"/>
        <v>44949.666666666657</v>
      </c>
      <c r="M170" s="978">
        <v>0.11</v>
      </c>
      <c r="N170" s="978">
        <v>2.5999999999999999E-2</v>
      </c>
      <c r="O170" s="978">
        <v>3.0000000000000001E-3</v>
      </c>
      <c r="P170" s="889">
        <f t="shared" ref="P170" si="49">1-M170+N170+O170</f>
        <v>0.91900000000000004</v>
      </c>
      <c r="Q170" s="978">
        <v>1</v>
      </c>
      <c r="R170" s="178">
        <v>1</v>
      </c>
      <c r="S170" s="178">
        <v>1</v>
      </c>
      <c r="T170" s="178">
        <v>1</v>
      </c>
      <c r="U170" s="978">
        <v>0.77900000000000003</v>
      </c>
      <c r="V170" s="978">
        <v>1</v>
      </c>
      <c r="W170" s="179"/>
      <c r="X170" s="937" t="s">
        <v>653</v>
      </c>
      <c r="Y170" s="299">
        <f>IFERROR(VLOOKUP($X170,'Demand Lookups'!$A$5:$K$101,9,0), 0)</f>
        <v>0</v>
      </c>
      <c r="Z170" s="922" t="str">
        <f>IFERROR(VLOOKUP(X170,'Demand Lookups'!$A$5:$B$101,2,0),0)</f>
        <v>Non-Electric Measures</v>
      </c>
      <c r="AA170" s="722">
        <f>IF(ISNA(VLOOKUP($X170,'Demand Lookups'!$A$5:$K$81,3,0)),0,VLOOKUP($X170,'Demand Lookups'!$A$5:$K$81,3,0))</f>
        <v>0</v>
      </c>
      <c r="AB170" s="722">
        <f>IF(ISNA(VLOOKUP($X170,'Demand Lookups'!$A$5:$K$81,4,0)),0,VLOOKUP($X170,'Demand Lookups'!$A$5:$K$81,4,0))</f>
        <v>0</v>
      </c>
      <c r="AC170" s="722">
        <f>IF(ISNA(VLOOKUP($X170,'Demand Lookups'!$A$5:$K$81,5,0)),0,VLOOKUP($X170,'Demand Lookups'!$A$5:$K$81,5,0))</f>
        <v>0</v>
      </c>
      <c r="AD170" s="723">
        <f>IF(ISNA(VLOOKUP($X170,'Demand Lookups'!$A$5:$K$81,6,0)),0,VLOOKUP($X170,'Demand Lookups'!$A$5:$K$81,6,0))</f>
        <v>0</v>
      </c>
      <c r="AE170" s="724">
        <f t="shared" si="46"/>
        <v>0</v>
      </c>
      <c r="AF170" s="723">
        <f>ROUND(IF(ISNA(VLOOKUP($X170,'Demand Lookups'!$A$5:$K$82,10,0)),0,(VLOOKUP($X170,'Demand Lookups'!$A$5:$K$82,10,0))),2)</f>
        <v>0</v>
      </c>
      <c r="AG170" s="723">
        <f>ROUND(IF(ISNA(VLOOKUP($X170,'Demand Lookups'!$A$5:$K$82,11,0)),0,VLOOKUP($X170,'Demand Lookups'!$A$5:$K$82,11,0)),2)</f>
        <v>0</v>
      </c>
      <c r="AH170" s="648">
        <f t="shared" ref="AH170" si="50">AF170</f>
        <v>0</v>
      </c>
      <c r="AI170" s="648">
        <f t="shared" ref="AI170" si="51">AF170</f>
        <v>0</v>
      </c>
      <c r="AJ170" s="167" t="s">
        <v>200</v>
      </c>
      <c r="AK170" s="168">
        <v>12778.7</v>
      </c>
      <c r="AL170" s="167"/>
      <c r="AM170" s="168"/>
      <c r="AN170" s="167"/>
      <c r="AO170" s="168"/>
      <c r="AP170" s="167"/>
      <c r="AQ170" s="171">
        <v>0</v>
      </c>
      <c r="AR170" s="171">
        <v>0</v>
      </c>
      <c r="AS170" s="299">
        <f>SUMIF('NEI Lookups'!$L:$L,'Inputs Yr 2'!$F170,'NEI Lookups'!E:E)+SUMIF('NEI Lookups'!$M:$M,'Inputs Yr 2'!$F170,'NEI Lookups'!E:E)+SUMIF('NEI Lookups'!$N:$N,'Inputs Yr 2'!$F170,'NEI Lookups'!E:E)+SUMIF('NEI Lookups'!$O:$O,'Inputs Yr 2'!$F170,'NEI Lookups'!E:E)+SUMIF('NEI Lookups'!$P:$P,'Inputs Yr 2'!$F170,'NEI Lookups'!E:E)+SUMIF('NEI Lookups'!$Q:$Q,'Inputs Yr 2'!$F170,'NEI Lookups'!E:E)+SUMIF('NEI Lookups'!$R:$R,'Inputs Yr 2'!$F170,'NEI Lookups'!E:E)+SUMIF('NEI Lookups'!$S:$S,'Inputs Yr 2'!$F170,'NEI Lookups'!E:E)+SUMIF('NEI Lookups'!$T:$T,'Inputs Yr 2'!$F170,'NEI Lookups'!E:E)</f>
        <v>0</v>
      </c>
      <c r="AT170" s="299">
        <f>SUMIF('NEI Lookups'!$L:$L,'Inputs Yr 2'!$F170,'NEI Lookups'!F:F)+SUMIF('NEI Lookups'!$M:$M,'Inputs Yr 2'!$F170,'NEI Lookups'!F:F)+SUMIF('NEI Lookups'!$N:$N,'Inputs Yr 2'!$F170,'NEI Lookups'!F:F)+SUMIF('NEI Lookups'!$O:$O,'Inputs Yr 2'!$F170,'NEI Lookups'!F:F)+SUMIF('NEI Lookups'!$P:$P,'Inputs Yr 2'!$F170,'NEI Lookups'!F:F)+SUMIF('NEI Lookups'!$Q:$Q,'Inputs Yr 2'!$F170,'NEI Lookups'!F:F)+SUMIF('NEI Lookups'!$R:$R,'Inputs Yr 2'!$F170,'NEI Lookups'!F:F)+SUMIF('NEI Lookups'!$S:$S,'Inputs Yr 2'!$F170,'NEI Lookups'!F:F)+SUMIF('NEI Lookups'!$T:$T,'Inputs Yr 2'!$F170,'NEI Lookups'!F:F)</f>
        <v>0</v>
      </c>
      <c r="AU170" s="299">
        <f>SUMIF('NEI Lookups'!$L:$L,'Inputs Yr 2'!$F170,'NEI Lookups'!G:G)+SUMIF('NEI Lookups'!$M:$M,'Inputs Yr 2'!$F170,'NEI Lookups'!G:G)+SUMIF('NEI Lookups'!$N:$N,'Inputs Yr 2'!$F170,'NEI Lookups'!G:G)+SUMIF('NEI Lookups'!$O:$O,'Inputs Yr 2'!$F170,'NEI Lookups'!G:G)+SUMIF('NEI Lookups'!$P:$P,'Inputs Yr 2'!$F170,'NEI Lookups'!G:G)+SUMIF('NEI Lookups'!$Q:$Q,'Inputs Yr 2'!$F170,'NEI Lookups'!G:G)+SUMIF('NEI Lookups'!$R:$R,'Inputs Yr 2'!$F170,'NEI Lookups'!G:G)+SUMIF('NEI Lookups'!$S:$S,'Inputs Yr 2'!$F170,'NEI Lookups'!G:G)+SUMIF('NEI Lookups'!$T:$T,'Inputs Yr 2'!$F170,'NEI Lookups'!G:G)</f>
        <v>0</v>
      </c>
      <c r="AV170" s="299">
        <f>SUMIF('NEI Lookups'!$L:$L,'Inputs Yr 2'!$F170,'NEI Lookups'!H:H)+SUMIF('NEI Lookups'!$M:$M,'Inputs Yr 2'!$F170,'NEI Lookups'!H:H)+SUMIF('NEI Lookups'!$N:$N,'Inputs Yr 2'!$F170,'NEI Lookups'!H:H)+SUMIF('NEI Lookups'!$O:$O,'Inputs Yr 2'!$F170,'NEI Lookups'!H:H)+SUMIF('NEI Lookups'!$P:$P,'Inputs Yr 2'!$F170,'NEI Lookups'!H:H)+SUMIF('NEI Lookups'!$Q:$Q,'Inputs Yr 2'!$F170,'NEI Lookups'!H:H)+SUMIF('NEI Lookups'!$R:$R,'Inputs Yr 2'!$F170,'NEI Lookups'!H:H)+SUMIF('NEI Lookups'!$S:$S,'Inputs Yr 2'!$F170,'NEI Lookups'!H:H)+SUMIF('NEI Lookups'!$T:$T,'Inputs Yr 2'!$F170,'NEI Lookups'!H:H)</f>
        <v>0</v>
      </c>
      <c r="AW170" s="940">
        <f>SUMIF('NEI Lookups'!$L:$L,'Inputs Yr 2'!$F170,'NEI Lookups'!I:I)+SUMIF('NEI Lookups'!$M:$M,'Inputs Yr 2'!$F170,'NEI Lookups'!I:I)+SUMIF('NEI Lookups'!$N:$N,'Inputs Yr 2'!$F170,'NEI Lookups'!I:I)+SUMIF('NEI Lookups'!$O:$O,'Inputs Yr 2'!$F170,'NEI Lookups'!I:I)+SUMIF('NEI Lookups'!$P:$P,'Inputs Yr 2'!$F170,'NEI Lookups'!I:I)+SUMIF('NEI Lookups'!$Q:$Q,'Inputs Yr 2'!$F170,'NEI Lookups'!I:I)+SUMIF('NEI Lookups'!$R:$R,'Inputs Yr 2'!$F170,'NEI Lookups'!I:I)+SUMIF('NEI Lookups'!$S:$S,'Inputs Yr 2'!$F170,'NEI Lookups'!I:I)+SUMIF('NEI Lookups'!$T:$T,'Inputs Yr 2'!$F170,'NEI Lookups'!I:I)</f>
        <v>-0.03</v>
      </c>
      <c r="AX170" s="299">
        <f>SUMIF('NEI Lookups'!$L:$L,'Inputs Yr 2'!$F170,'NEI Lookups'!J:J)+SUMIF('NEI Lookups'!$M:$M,'Inputs Yr 2'!$F170,'NEI Lookups'!J:J)+SUMIF('NEI Lookups'!$N:$N,'Inputs Yr 2'!$F170,'NEI Lookups'!J:J)+SUMIF('NEI Lookups'!$O:$O,'Inputs Yr 2'!$F170,'NEI Lookups'!J:J)+SUMIF('NEI Lookups'!$P:$P,'Inputs Yr 2'!$F170,'NEI Lookups'!J:J)+SUMIF('NEI Lookups'!$Q:$Q,'Inputs Yr 2'!$F170,'NEI Lookups'!J:J)+SUMIF('NEI Lookups'!$R:$R,'Inputs Yr 2'!$F170,'NEI Lookups'!J:J)+SUMIF('NEI Lookups'!$S:$S,'Inputs Yr 2'!$F170,'NEI Lookups'!J:J)+SUMIF('NEI Lookups'!$T:$T,'Inputs Yr 2'!$F170,'NEI Lookups'!J:J)</f>
        <v>0</v>
      </c>
      <c r="AY170" s="930">
        <f>'Calculations Yr 2'!CP170/'Calculations Yr 2'!I170</f>
        <v>4.3901610419006198</v>
      </c>
    </row>
    <row r="171" spans="1:51" s="133" customFormat="1" ht="12.75" customHeight="1">
      <c r="A171" s="145" t="s">
        <v>83</v>
      </c>
      <c r="B171" s="132" t="s">
        <v>873</v>
      </c>
      <c r="C171" s="132" t="s">
        <v>661</v>
      </c>
      <c r="D171" s="904"/>
      <c r="E171" s="935" t="s">
        <v>1362</v>
      </c>
      <c r="F171" s="98" t="s">
        <v>1064</v>
      </c>
      <c r="G171" s="145" t="s">
        <v>1244</v>
      </c>
      <c r="H171" s="165">
        <v>1</v>
      </c>
      <c r="I171" s="237">
        <v>15</v>
      </c>
      <c r="J171" s="971">
        <v>33135.333333333336</v>
      </c>
      <c r="K171" s="871">
        <v>24851.5</v>
      </c>
      <c r="L171" s="888">
        <f t="shared" si="25"/>
        <v>8283.8333333333358</v>
      </c>
      <c r="M171" s="978">
        <v>0.11</v>
      </c>
      <c r="N171" s="978">
        <v>2.5999999999999999E-2</v>
      </c>
      <c r="O171" s="978">
        <v>3.0000000000000001E-3</v>
      </c>
      <c r="P171" s="889">
        <f t="shared" ref="P171:P172" si="52">1-M171+N171+O171</f>
        <v>0.91900000000000004</v>
      </c>
      <c r="Q171" s="978">
        <v>1</v>
      </c>
      <c r="R171" s="178">
        <v>1</v>
      </c>
      <c r="S171" s="178">
        <v>1</v>
      </c>
      <c r="T171" s="178">
        <v>1</v>
      </c>
      <c r="U171" s="978">
        <v>0.77900000000000003</v>
      </c>
      <c r="V171" s="978">
        <v>0</v>
      </c>
      <c r="W171" s="179"/>
      <c r="X171" s="937" t="s">
        <v>653</v>
      </c>
      <c r="Y171" s="299">
        <f>IFERROR(VLOOKUP($X171,'Demand Lookups'!$A$5:$K$101,9,0), 0)</f>
        <v>0</v>
      </c>
      <c r="Z171" s="922" t="str">
        <f>IFERROR(VLOOKUP(X171,'Demand Lookups'!$A$5:$B$101,2,0),0)</f>
        <v>Non-Electric Measures</v>
      </c>
      <c r="AA171" s="722">
        <f>IF(ISNA(VLOOKUP($X171,'Demand Lookups'!$A$5:$K$81,3,0)),0,VLOOKUP($X171,'Demand Lookups'!$A$5:$K$81,3,0))</f>
        <v>0</v>
      </c>
      <c r="AB171" s="722">
        <f>IF(ISNA(VLOOKUP($X171,'Demand Lookups'!$A$5:$K$81,4,0)),0,VLOOKUP($X171,'Demand Lookups'!$A$5:$K$81,4,0))</f>
        <v>0</v>
      </c>
      <c r="AC171" s="722">
        <f>IF(ISNA(VLOOKUP($X171,'Demand Lookups'!$A$5:$K$81,5,0)),0,VLOOKUP($X171,'Demand Lookups'!$A$5:$K$81,5,0))</f>
        <v>0</v>
      </c>
      <c r="AD171" s="723">
        <f>IF(ISNA(VLOOKUP($X171,'Demand Lookups'!$A$5:$K$81,6,0)),0,VLOOKUP($X171,'Demand Lookups'!$A$5:$K$81,6,0))</f>
        <v>0</v>
      </c>
      <c r="AE171" s="724">
        <f t="shared" si="46"/>
        <v>0</v>
      </c>
      <c r="AF171" s="723">
        <f>ROUND(IF(ISNA(VLOOKUP($X171,'Demand Lookups'!$A$5:$K$82,10,0)),0,(VLOOKUP($X171,'Demand Lookups'!$A$5:$K$82,10,0))),2)</f>
        <v>0</v>
      </c>
      <c r="AG171" s="723">
        <f>ROUND(IF(ISNA(VLOOKUP($X171,'Demand Lookups'!$A$5:$K$82,11,0)),0,VLOOKUP($X171,'Demand Lookups'!$A$5:$K$82,11,0)),2)</f>
        <v>0</v>
      </c>
      <c r="AH171" s="648">
        <f t="shared" ref="AH171:AH172" si="53">AF171</f>
        <v>0</v>
      </c>
      <c r="AI171" s="648">
        <f t="shared" ref="AI171:AI172" si="54">AF171</f>
        <v>0</v>
      </c>
      <c r="AJ171" s="167" t="s">
        <v>200</v>
      </c>
      <c r="AK171" s="168">
        <v>1181.8</v>
      </c>
      <c r="AL171" s="167"/>
      <c r="AM171" s="168"/>
      <c r="AN171" s="167"/>
      <c r="AO171" s="168"/>
      <c r="AP171" s="167"/>
      <c r="AQ171" s="171"/>
      <c r="AR171" s="171"/>
      <c r="AS171" s="299">
        <f>SUMIF('NEI Lookups'!$L:$L,'Inputs Yr 2'!$F171,'NEI Lookups'!E:E)+SUMIF('NEI Lookups'!$M:$M,'Inputs Yr 2'!$F171,'NEI Lookups'!E:E)+SUMIF('NEI Lookups'!$N:$N,'Inputs Yr 2'!$F171,'NEI Lookups'!E:E)+SUMIF('NEI Lookups'!$O:$O,'Inputs Yr 2'!$F171,'NEI Lookups'!E:E)+SUMIF('NEI Lookups'!$P:$P,'Inputs Yr 2'!$F171,'NEI Lookups'!E:E)+SUMIF('NEI Lookups'!$Q:$Q,'Inputs Yr 2'!$F171,'NEI Lookups'!E:E)+SUMIF('NEI Lookups'!$R:$R,'Inputs Yr 2'!$F171,'NEI Lookups'!E:E)+SUMIF('NEI Lookups'!$S:$S,'Inputs Yr 2'!$F171,'NEI Lookups'!E:E)+SUMIF('NEI Lookups'!$T:$T,'Inputs Yr 2'!$F171,'NEI Lookups'!E:E)</f>
        <v>0</v>
      </c>
      <c r="AT171" s="299">
        <f>SUMIF('NEI Lookups'!$L:$L,'Inputs Yr 2'!$F171,'NEI Lookups'!F:F)+SUMIF('NEI Lookups'!$M:$M,'Inputs Yr 2'!$F171,'NEI Lookups'!F:F)+SUMIF('NEI Lookups'!$N:$N,'Inputs Yr 2'!$F171,'NEI Lookups'!F:F)+SUMIF('NEI Lookups'!$O:$O,'Inputs Yr 2'!$F171,'NEI Lookups'!F:F)+SUMIF('NEI Lookups'!$P:$P,'Inputs Yr 2'!$F171,'NEI Lookups'!F:F)+SUMIF('NEI Lookups'!$Q:$Q,'Inputs Yr 2'!$F171,'NEI Lookups'!F:F)+SUMIF('NEI Lookups'!$R:$R,'Inputs Yr 2'!$F171,'NEI Lookups'!F:F)+SUMIF('NEI Lookups'!$S:$S,'Inputs Yr 2'!$F171,'NEI Lookups'!F:F)+SUMIF('NEI Lookups'!$T:$T,'Inputs Yr 2'!$F171,'NEI Lookups'!F:F)</f>
        <v>0</v>
      </c>
      <c r="AU171" s="299">
        <f>SUMIF('NEI Lookups'!$L:$L,'Inputs Yr 2'!$F171,'NEI Lookups'!G:G)+SUMIF('NEI Lookups'!$M:$M,'Inputs Yr 2'!$F171,'NEI Lookups'!G:G)+SUMIF('NEI Lookups'!$N:$N,'Inputs Yr 2'!$F171,'NEI Lookups'!G:G)+SUMIF('NEI Lookups'!$O:$O,'Inputs Yr 2'!$F171,'NEI Lookups'!G:G)+SUMIF('NEI Lookups'!$P:$P,'Inputs Yr 2'!$F171,'NEI Lookups'!G:G)+SUMIF('NEI Lookups'!$Q:$Q,'Inputs Yr 2'!$F171,'NEI Lookups'!G:G)+SUMIF('NEI Lookups'!$R:$R,'Inputs Yr 2'!$F171,'NEI Lookups'!G:G)+SUMIF('NEI Lookups'!$S:$S,'Inputs Yr 2'!$F171,'NEI Lookups'!G:G)+SUMIF('NEI Lookups'!$T:$T,'Inputs Yr 2'!$F171,'NEI Lookups'!G:G)</f>
        <v>0</v>
      </c>
      <c r="AV171" s="299">
        <f>SUMIF('NEI Lookups'!$L:$L,'Inputs Yr 2'!$F171,'NEI Lookups'!H:H)+SUMIF('NEI Lookups'!$M:$M,'Inputs Yr 2'!$F171,'NEI Lookups'!H:H)+SUMIF('NEI Lookups'!$N:$N,'Inputs Yr 2'!$F171,'NEI Lookups'!H:H)+SUMIF('NEI Lookups'!$O:$O,'Inputs Yr 2'!$F171,'NEI Lookups'!H:H)+SUMIF('NEI Lookups'!$P:$P,'Inputs Yr 2'!$F171,'NEI Lookups'!H:H)+SUMIF('NEI Lookups'!$Q:$Q,'Inputs Yr 2'!$F171,'NEI Lookups'!H:H)+SUMIF('NEI Lookups'!$R:$R,'Inputs Yr 2'!$F171,'NEI Lookups'!H:H)+SUMIF('NEI Lookups'!$S:$S,'Inputs Yr 2'!$F171,'NEI Lookups'!H:H)+SUMIF('NEI Lookups'!$T:$T,'Inputs Yr 2'!$F171,'NEI Lookups'!H:H)</f>
        <v>0</v>
      </c>
      <c r="AW171" s="940">
        <f>SUMIF('NEI Lookups'!$L:$L,'Inputs Yr 2'!$F171,'NEI Lookups'!I:I)+SUMIF('NEI Lookups'!$M:$M,'Inputs Yr 2'!$F171,'NEI Lookups'!I:I)+SUMIF('NEI Lookups'!$N:$N,'Inputs Yr 2'!$F171,'NEI Lookups'!I:I)+SUMIF('NEI Lookups'!$O:$O,'Inputs Yr 2'!$F171,'NEI Lookups'!I:I)+SUMIF('NEI Lookups'!$P:$P,'Inputs Yr 2'!$F171,'NEI Lookups'!I:I)+SUMIF('NEI Lookups'!$Q:$Q,'Inputs Yr 2'!$F171,'NEI Lookups'!I:I)+SUMIF('NEI Lookups'!$R:$R,'Inputs Yr 2'!$F171,'NEI Lookups'!I:I)+SUMIF('NEI Lookups'!$S:$S,'Inputs Yr 2'!$F171,'NEI Lookups'!I:I)+SUMIF('NEI Lookups'!$T:$T,'Inputs Yr 2'!$F171,'NEI Lookups'!I:I)</f>
        <v>-0.03</v>
      </c>
      <c r="AX171" s="299">
        <f>SUMIF('NEI Lookups'!$L:$L,'Inputs Yr 2'!$F171,'NEI Lookups'!J:J)+SUMIF('NEI Lookups'!$M:$M,'Inputs Yr 2'!$F171,'NEI Lookups'!J:J)+SUMIF('NEI Lookups'!$N:$N,'Inputs Yr 2'!$F171,'NEI Lookups'!J:J)+SUMIF('NEI Lookups'!$O:$O,'Inputs Yr 2'!$F171,'NEI Lookups'!J:J)+SUMIF('NEI Lookups'!$P:$P,'Inputs Yr 2'!$F171,'NEI Lookups'!J:J)+SUMIF('NEI Lookups'!$Q:$Q,'Inputs Yr 2'!$F171,'NEI Lookups'!J:J)+SUMIF('NEI Lookups'!$R:$R,'Inputs Yr 2'!$F171,'NEI Lookups'!J:J)+SUMIF('NEI Lookups'!$S:$S,'Inputs Yr 2'!$F171,'NEI Lookups'!J:J)+SUMIF('NEI Lookups'!$T:$T,'Inputs Yr 2'!$F171,'NEI Lookups'!J:J)</f>
        <v>0</v>
      </c>
      <c r="AY171" s="930">
        <f>'Calculations Yr 2'!CP171/'Calculations Yr 2'!I171</f>
        <v>3.2996706080932445</v>
      </c>
    </row>
    <row r="172" spans="1:51" s="133" customFormat="1" ht="12.75" customHeight="1">
      <c r="A172" s="145" t="s">
        <v>83</v>
      </c>
      <c r="B172" s="132" t="s">
        <v>873</v>
      </c>
      <c r="C172" s="132" t="s">
        <v>661</v>
      </c>
      <c r="D172" s="904"/>
      <c r="E172" s="935" t="s">
        <v>1510</v>
      </c>
      <c r="F172" s="98" t="s">
        <v>1064</v>
      </c>
      <c r="G172" s="145" t="s">
        <v>1244</v>
      </c>
      <c r="H172" s="165">
        <v>1</v>
      </c>
      <c r="I172" s="237">
        <v>20</v>
      </c>
      <c r="J172" s="971">
        <v>212032</v>
      </c>
      <c r="K172" s="871">
        <v>159024</v>
      </c>
      <c r="L172" s="888">
        <f t="shared" si="25"/>
        <v>53008</v>
      </c>
      <c r="M172" s="978">
        <v>0.11</v>
      </c>
      <c r="N172" s="978">
        <v>2.5999999999999999E-2</v>
      </c>
      <c r="O172" s="978">
        <v>3.0000000000000001E-3</v>
      </c>
      <c r="P172" s="889">
        <f t="shared" si="52"/>
        <v>0.91900000000000004</v>
      </c>
      <c r="Q172" s="978">
        <v>1</v>
      </c>
      <c r="R172" s="178">
        <v>1</v>
      </c>
      <c r="S172" s="178">
        <v>1</v>
      </c>
      <c r="T172" s="178">
        <v>1</v>
      </c>
      <c r="U172" s="978">
        <v>0.77900000000000003</v>
      </c>
      <c r="V172" s="978">
        <v>0</v>
      </c>
      <c r="W172" s="179"/>
      <c r="X172" s="937" t="s">
        <v>653</v>
      </c>
      <c r="Y172" s="299">
        <f>IFERROR(VLOOKUP($X172,'Demand Lookups'!$A$5:$K$101,9,0), 0)</f>
        <v>0</v>
      </c>
      <c r="Z172" s="922" t="str">
        <f>IFERROR(VLOOKUP(X172,'Demand Lookups'!$A$5:$B$101,2,0),0)</f>
        <v>Non-Electric Measures</v>
      </c>
      <c r="AA172" s="722">
        <f>IF(ISNA(VLOOKUP($X172,'Demand Lookups'!$A$5:$K$81,3,0)),0,VLOOKUP($X172,'Demand Lookups'!$A$5:$K$81,3,0))</f>
        <v>0</v>
      </c>
      <c r="AB172" s="722">
        <f>IF(ISNA(VLOOKUP($X172,'Demand Lookups'!$A$5:$K$81,4,0)),0,VLOOKUP($X172,'Demand Lookups'!$A$5:$K$81,4,0))</f>
        <v>0</v>
      </c>
      <c r="AC172" s="722">
        <f>IF(ISNA(VLOOKUP($X172,'Demand Lookups'!$A$5:$K$81,5,0)),0,VLOOKUP($X172,'Demand Lookups'!$A$5:$K$81,5,0))</f>
        <v>0</v>
      </c>
      <c r="AD172" s="723">
        <f>IF(ISNA(VLOOKUP($X172,'Demand Lookups'!$A$5:$K$81,6,0)),0,VLOOKUP($X172,'Demand Lookups'!$A$5:$K$81,6,0))</f>
        <v>0</v>
      </c>
      <c r="AE172" s="724">
        <f t="shared" si="46"/>
        <v>0</v>
      </c>
      <c r="AF172" s="723">
        <f>ROUND(IF(ISNA(VLOOKUP($X172,'Demand Lookups'!$A$5:$K$82,10,0)),0,(VLOOKUP($X172,'Demand Lookups'!$A$5:$K$82,10,0))),2)</f>
        <v>0</v>
      </c>
      <c r="AG172" s="723">
        <f>ROUND(IF(ISNA(VLOOKUP($X172,'Demand Lookups'!$A$5:$K$82,11,0)),0,VLOOKUP($X172,'Demand Lookups'!$A$5:$K$82,11,0)),2)</f>
        <v>0</v>
      </c>
      <c r="AH172" s="648">
        <f t="shared" si="53"/>
        <v>0</v>
      </c>
      <c r="AI172" s="648">
        <f t="shared" si="54"/>
        <v>0</v>
      </c>
      <c r="AJ172" s="167" t="s">
        <v>200</v>
      </c>
      <c r="AK172" s="168">
        <v>1534</v>
      </c>
      <c r="AL172" s="167"/>
      <c r="AM172" s="168"/>
      <c r="AN172" s="167"/>
      <c r="AO172" s="168"/>
      <c r="AP172" s="167"/>
      <c r="AQ172" s="171"/>
      <c r="AR172" s="171"/>
      <c r="AS172" s="299">
        <f>SUMIF('NEI Lookups'!$L:$L,'Inputs Yr 2'!$F172,'NEI Lookups'!E:E)+SUMIF('NEI Lookups'!$M:$M,'Inputs Yr 2'!$F172,'NEI Lookups'!E:E)+SUMIF('NEI Lookups'!$N:$N,'Inputs Yr 2'!$F172,'NEI Lookups'!E:E)+SUMIF('NEI Lookups'!$O:$O,'Inputs Yr 2'!$F172,'NEI Lookups'!E:E)+SUMIF('NEI Lookups'!$P:$P,'Inputs Yr 2'!$F172,'NEI Lookups'!E:E)+SUMIF('NEI Lookups'!$Q:$Q,'Inputs Yr 2'!$F172,'NEI Lookups'!E:E)+SUMIF('NEI Lookups'!$R:$R,'Inputs Yr 2'!$F172,'NEI Lookups'!E:E)+SUMIF('NEI Lookups'!$S:$S,'Inputs Yr 2'!$F172,'NEI Lookups'!E:E)+SUMIF('NEI Lookups'!$T:$T,'Inputs Yr 2'!$F172,'NEI Lookups'!E:E)</f>
        <v>0</v>
      </c>
      <c r="AT172" s="299">
        <f>SUMIF('NEI Lookups'!$L:$L,'Inputs Yr 2'!$F172,'NEI Lookups'!F:F)+SUMIF('NEI Lookups'!$M:$M,'Inputs Yr 2'!$F172,'NEI Lookups'!F:F)+SUMIF('NEI Lookups'!$N:$N,'Inputs Yr 2'!$F172,'NEI Lookups'!F:F)+SUMIF('NEI Lookups'!$O:$O,'Inputs Yr 2'!$F172,'NEI Lookups'!F:F)+SUMIF('NEI Lookups'!$P:$P,'Inputs Yr 2'!$F172,'NEI Lookups'!F:F)+SUMIF('NEI Lookups'!$Q:$Q,'Inputs Yr 2'!$F172,'NEI Lookups'!F:F)+SUMIF('NEI Lookups'!$R:$R,'Inputs Yr 2'!$F172,'NEI Lookups'!F:F)+SUMIF('NEI Lookups'!$S:$S,'Inputs Yr 2'!$F172,'NEI Lookups'!F:F)+SUMIF('NEI Lookups'!$T:$T,'Inputs Yr 2'!$F172,'NEI Lookups'!F:F)</f>
        <v>0</v>
      </c>
      <c r="AU172" s="299">
        <f>SUMIF('NEI Lookups'!$L:$L,'Inputs Yr 2'!$F172,'NEI Lookups'!G:G)+SUMIF('NEI Lookups'!$M:$M,'Inputs Yr 2'!$F172,'NEI Lookups'!G:G)+SUMIF('NEI Lookups'!$N:$N,'Inputs Yr 2'!$F172,'NEI Lookups'!G:G)+SUMIF('NEI Lookups'!$O:$O,'Inputs Yr 2'!$F172,'NEI Lookups'!G:G)+SUMIF('NEI Lookups'!$P:$P,'Inputs Yr 2'!$F172,'NEI Lookups'!G:G)+SUMIF('NEI Lookups'!$Q:$Q,'Inputs Yr 2'!$F172,'NEI Lookups'!G:G)+SUMIF('NEI Lookups'!$R:$R,'Inputs Yr 2'!$F172,'NEI Lookups'!G:G)+SUMIF('NEI Lookups'!$S:$S,'Inputs Yr 2'!$F172,'NEI Lookups'!G:G)+SUMIF('NEI Lookups'!$T:$T,'Inputs Yr 2'!$F172,'NEI Lookups'!G:G)</f>
        <v>0</v>
      </c>
      <c r="AV172" s="299">
        <f>SUMIF('NEI Lookups'!$L:$L,'Inputs Yr 2'!$F172,'NEI Lookups'!H:H)+SUMIF('NEI Lookups'!$M:$M,'Inputs Yr 2'!$F172,'NEI Lookups'!H:H)+SUMIF('NEI Lookups'!$N:$N,'Inputs Yr 2'!$F172,'NEI Lookups'!H:H)+SUMIF('NEI Lookups'!$O:$O,'Inputs Yr 2'!$F172,'NEI Lookups'!H:H)+SUMIF('NEI Lookups'!$P:$P,'Inputs Yr 2'!$F172,'NEI Lookups'!H:H)+SUMIF('NEI Lookups'!$Q:$Q,'Inputs Yr 2'!$F172,'NEI Lookups'!H:H)+SUMIF('NEI Lookups'!$R:$R,'Inputs Yr 2'!$F172,'NEI Lookups'!H:H)+SUMIF('NEI Lookups'!$S:$S,'Inputs Yr 2'!$F172,'NEI Lookups'!H:H)+SUMIF('NEI Lookups'!$T:$T,'Inputs Yr 2'!$F172,'NEI Lookups'!H:H)</f>
        <v>0</v>
      </c>
      <c r="AW172" s="940">
        <f>SUMIF('NEI Lookups'!$L:$L,'Inputs Yr 2'!$F172,'NEI Lookups'!I:I)+SUMIF('NEI Lookups'!$M:$M,'Inputs Yr 2'!$F172,'NEI Lookups'!I:I)+SUMIF('NEI Lookups'!$N:$N,'Inputs Yr 2'!$F172,'NEI Lookups'!I:I)+SUMIF('NEI Lookups'!$O:$O,'Inputs Yr 2'!$F172,'NEI Lookups'!I:I)+SUMIF('NEI Lookups'!$P:$P,'Inputs Yr 2'!$F172,'NEI Lookups'!I:I)+SUMIF('NEI Lookups'!$Q:$Q,'Inputs Yr 2'!$F172,'NEI Lookups'!I:I)+SUMIF('NEI Lookups'!$R:$R,'Inputs Yr 2'!$F172,'NEI Lookups'!I:I)+SUMIF('NEI Lookups'!$S:$S,'Inputs Yr 2'!$F172,'NEI Lookups'!I:I)+SUMIF('NEI Lookups'!$T:$T,'Inputs Yr 2'!$F172,'NEI Lookups'!I:I)</f>
        <v>-0.03</v>
      </c>
      <c r="AX172" s="299">
        <f>SUMIF('NEI Lookups'!$L:$L,'Inputs Yr 2'!$F172,'NEI Lookups'!J:J)+SUMIF('NEI Lookups'!$M:$M,'Inputs Yr 2'!$F172,'NEI Lookups'!J:J)+SUMIF('NEI Lookups'!$N:$N,'Inputs Yr 2'!$F172,'NEI Lookups'!J:J)+SUMIF('NEI Lookups'!$O:$O,'Inputs Yr 2'!$F172,'NEI Lookups'!J:J)+SUMIF('NEI Lookups'!$P:$P,'Inputs Yr 2'!$F172,'NEI Lookups'!J:J)+SUMIF('NEI Lookups'!$Q:$Q,'Inputs Yr 2'!$F172,'NEI Lookups'!J:J)+SUMIF('NEI Lookups'!$R:$R,'Inputs Yr 2'!$F172,'NEI Lookups'!J:J)+SUMIF('NEI Lookups'!$S:$S,'Inputs Yr 2'!$F172,'NEI Lookups'!J:J)+SUMIF('NEI Lookups'!$T:$T,'Inputs Yr 2'!$F172,'NEI Lookups'!J:J)</f>
        <v>0</v>
      </c>
      <c r="AY172" s="930">
        <f>'Calculations Yr 2'!CP172/'Calculations Yr 2'!I172</f>
        <v>0.9082406224437779</v>
      </c>
    </row>
    <row r="173" spans="1:51" s="133" customFormat="1" ht="12.75" customHeight="1">
      <c r="A173" s="145" t="s">
        <v>83</v>
      </c>
      <c r="B173" s="132" t="s">
        <v>873</v>
      </c>
      <c r="C173" s="132" t="s">
        <v>661</v>
      </c>
      <c r="D173" s="906" t="s">
        <v>1548</v>
      </c>
      <c r="E173" s="98" t="s">
        <v>719</v>
      </c>
      <c r="F173" s="98" t="s">
        <v>1065</v>
      </c>
      <c r="G173" s="145" t="s">
        <v>1244</v>
      </c>
      <c r="H173" s="232">
        <v>1</v>
      </c>
      <c r="I173" s="234">
        <v>20</v>
      </c>
      <c r="J173" s="964">
        <v>0</v>
      </c>
      <c r="K173" s="871">
        <v>0</v>
      </c>
      <c r="L173" s="888">
        <f t="shared" si="25"/>
        <v>0</v>
      </c>
      <c r="M173" s="978">
        <v>0</v>
      </c>
      <c r="N173" s="978">
        <v>0</v>
      </c>
      <c r="O173" s="978">
        <v>0</v>
      </c>
      <c r="P173" s="889">
        <f t="shared" si="26"/>
        <v>1</v>
      </c>
      <c r="Q173" s="978">
        <v>1</v>
      </c>
      <c r="R173" s="178">
        <v>1</v>
      </c>
      <c r="S173" s="178">
        <v>1</v>
      </c>
      <c r="T173" s="178">
        <v>1</v>
      </c>
      <c r="U173" s="978">
        <v>1</v>
      </c>
      <c r="V173" s="978">
        <v>1</v>
      </c>
      <c r="W173" s="179"/>
      <c r="X173" s="937" t="s">
        <v>653</v>
      </c>
      <c r="Y173" s="299">
        <f>IFERROR(VLOOKUP($X173,'Demand Lookups'!$A$5:$K$101,9,0), 0)</f>
        <v>0</v>
      </c>
      <c r="Z173" s="922" t="str">
        <f>IFERROR(VLOOKUP(X173,'Demand Lookups'!$A$5:$B$101,2,0),0)</f>
        <v>Non-Electric Measures</v>
      </c>
      <c r="AA173" s="722">
        <f>IF(ISNA(VLOOKUP($X173,'Demand Lookups'!$A$5:$K$81,3,0)),0,VLOOKUP($X173,'Demand Lookups'!$A$5:$K$81,3,0))</f>
        <v>0</v>
      </c>
      <c r="AB173" s="722">
        <f>IF(ISNA(VLOOKUP($X173,'Demand Lookups'!$A$5:$K$81,4,0)),0,VLOOKUP($X173,'Demand Lookups'!$A$5:$K$81,4,0))</f>
        <v>0</v>
      </c>
      <c r="AC173" s="722">
        <f>IF(ISNA(VLOOKUP($X173,'Demand Lookups'!$A$5:$K$81,5,0)),0,VLOOKUP($X173,'Demand Lookups'!$A$5:$K$81,5,0))</f>
        <v>0</v>
      </c>
      <c r="AD173" s="723">
        <f>IF(ISNA(VLOOKUP($X173,'Demand Lookups'!$A$5:$K$81,6,0)),0,VLOOKUP($X173,'Demand Lookups'!$A$5:$K$81,6,0))</f>
        <v>0</v>
      </c>
      <c r="AE173" s="724">
        <f t="shared" si="46"/>
        <v>0</v>
      </c>
      <c r="AF173" s="723">
        <f>ROUND(IF(ISNA(VLOOKUP($X173,'Demand Lookups'!$A$5:$K$82,10,0)),0,(VLOOKUP($X173,'Demand Lookups'!$A$5:$K$82,10,0))),2)</f>
        <v>0</v>
      </c>
      <c r="AG173" s="723">
        <f>ROUND(IF(ISNA(VLOOKUP($X173,'Demand Lookups'!$A$5:$K$82,11,0)),0,VLOOKUP($X173,'Demand Lookups'!$A$5:$K$82,11,0)),2)</f>
        <v>0</v>
      </c>
      <c r="AH173" s="648">
        <f t="shared" si="28"/>
        <v>0</v>
      </c>
      <c r="AI173" s="648">
        <f t="shared" si="29"/>
        <v>0</v>
      </c>
      <c r="AJ173" s="167" t="s">
        <v>87</v>
      </c>
      <c r="AK173" s="168">
        <v>3123.3</v>
      </c>
      <c r="AL173" s="167"/>
      <c r="AM173" s="168"/>
      <c r="AN173" s="167"/>
      <c r="AO173" s="168"/>
      <c r="AP173" s="167"/>
      <c r="AQ173" s="171">
        <v>0</v>
      </c>
      <c r="AR173" s="171">
        <v>0</v>
      </c>
      <c r="AS173" s="299">
        <f>SUMIF('NEI Lookups'!$L:$L,'Inputs Yr 2'!$F173,'NEI Lookups'!E:E)+SUMIF('NEI Lookups'!$M:$M,'Inputs Yr 2'!$F173,'NEI Lookups'!E:E)+SUMIF('NEI Lookups'!$N:$N,'Inputs Yr 2'!$F173,'NEI Lookups'!E:E)+SUMIF('NEI Lookups'!$O:$O,'Inputs Yr 2'!$F173,'NEI Lookups'!E:E)+SUMIF('NEI Lookups'!$P:$P,'Inputs Yr 2'!$F173,'NEI Lookups'!E:E)+SUMIF('NEI Lookups'!$Q:$Q,'Inputs Yr 2'!$F173,'NEI Lookups'!E:E)+SUMIF('NEI Lookups'!$R:$R,'Inputs Yr 2'!$F173,'NEI Lookups'!E:E)+SUMIF('NEI Lookups'!$S:$S,'Inputs Yr 2'!$F173,'NEI Lookups'!E:E)+SUMIF('NEI Lookups'!$T:$T,'Inputs Yr 2'!$F173,'NEI Lookups'!E:E)</f>
        <v>0</v>
      </c>
      <c r="AT173" s="299">
        <f>SUMIF('NEI Lookups'!$L:$L,'Inputs Yr 2'!$F173,'NEI Lookups'!F:F)+SUMIF('NEI Lookups'!$M:$M,'Inputs Yr 2'!$F173,'NEI Lookups'!F:F)+SUMIF('NEI Lookups'!$N:$N,'Inputs Yr 2'!$F173,'NEI Lookups'!F:F)+SUMIF('NEI Lookups'!$O:$O,'Inputs Yr 2'!$F173,'NEI Lookups'!F:F)+SUMIF('NEI Lookups'!$P:$P,'Inputs Yr 2'!$F173,'NEI Lookups'!F:F)+SUMIF('NEI Lookups'!$Q:$Q,'Inputs Yr 2'!$F173,'NEI Lookups'!F:F)+SUMIF('NEI Lookups'!$R:$R,'Inputs Yr 2'!$F173,'NEI Lookups'!F:F)+SUMIF('NEI Lookups'!$S:$S,'Inputs Yr 2'!$F173,'NEI Lookups'!F:F)+SUMIF('NEI Lookups'!$T:$T,'Inputs Yr 2'!$F173,'NEI Lookups'!F:F)</f>
        <v>0</v>
      </c>
      <c r="AU173" s="299">
        <f>SUMIF('NEI Lookups'!$L:$L,'Inputs Yr 2'!$F173,'NEI Lookups'!G:G)+SUMIF('NEI Lookups'!$M:$M,'Inputs Yr 2'!$F173,'NEI Lookups'!G:G)+SUMIF('NEI Lookups'!$N:$N,'Inputs Yr 2'!$F173,'NEI Lookups'!G:G)+SUMIF('NEI Lookups'!$O:$O,'Inputs Yr 2'!$F173,'NEI Lookups'!G:G)+SUMIF('NEI Lookups'!$P:$P,'Inputs Yr 2'!$F173,'NEI Lookups'!G:G)+SUMIF('NEI Lookups'!$Q:$Q,'Inputs Yr 2'!$F173,'NEI Lookups'!G:G)+SUMIF('NEI Lookups'!$R:$R,'Inputs Yr 2'!$F173,'NEI Lookups'!G:G)+SUMIF('NEI Lookups'!$S:$S,'Inputs Yr 2'!$F173,'NEI Lookups'!G:G)+SUMIF('NEI Lookups'!$T:$T,'Inputs Yr 2'!$F173,'NEI Lookups'!G:G)</f>
        <v>0</v>
      </c>
      <c r="AV173" s="299">
        <f>SUMIF('NEI Lookups'!$L:$L,'Inputs Yr 2'!$F173,'NEI Lookups'!H:H)+SUMIF('NEI Lookups'!$M:$M,'Inputs Yr 2'!$F173,'NEI Lookups'!H:H)+SUMIF('NEI Lookups'!$N:$N,'Inputs Yr 2'!$F173,'NEI Lookups'!H:H)+SUMIF('NEI Lookups'!$O:$O,'Inputs Yr 2'!$F173,'NEI Lookups'!H:H)+SUMIF('NEI Lookups'!$P:$P,'Inputs Yr 2'!$F173,'NEI Lookups'!H:H)+SUMIF('NEI Lookups'!$Q:$Q,'Inputs Yr 2'!$F173,'NEI Lookups'!H:H)+SUMIF('NEI Lookups'!$R:$R,'Inputs Yr 2'!$F173,'NEI Lookups'!H:H)+SUMIF('NEI Lookups'!$S:$S,'Inputs Yr 2'!$F173,'NEI Lookups'!H:H)+SUMIF('NEI Lookups'!$T:$T,'Inputs Yr 2'!$F173,'NEI Lookups'!H:H)</f>
        <v>0</v>
      </c>
      <c r="AW173" s="940">
        <f>SUMIF('NEI Lookups'!$L:$L,'Inputs Yr 2'!$F173,'NEI Lookups'!I:I)+SUMIF('NEI Lookups'!$M:$M,'Inputs Yr 2'!$F173,'NEI Lookups'!I:I)+SUMIF('NEI Lookups'!$N:$N,'Inputs Yr 2'!$F173,'NEI Lookups'!I:I)+SUMIF('NEI Lookups'!$O:$O,'Inputs Yr 2'!$F173,'NEI Lookups'!I:I)+SUMIF('NEI Lookups'!$P:$P,'Inputs Yr 2'!$F173,'NEI Lookups'!I:I)+SUMIF('NEI Lookups'!$Q:$Q,'Inputs Yr 2'!$F173,'NEI Lookups'!I:I)+SUMIF('NEI Lookups'!$R:$R,'Inputs Yr 2'!$F173,'NEI Lookups'!I:I)+SUMIF('NEI Lookups'!$S:$S,'Inputs Yr 2'!$F173,'NEI Lookups'!I:I)+SUMIF('NEI Lookups'!$T:$T,'Inputs Yr 2'!$F173,'NEI Lookups'!I:I)</f>
        <v>0</v>
      </c>
      <c r="AX173" s="299">
        <f>SUMIF('NEI Lookups'!$L:$L,'Inputs Yr 2'!$F173,'NEI Lookups'!J:J)+SUMIF('NEI Lookups'!$M:$M,'Inputs Yr 2'!$F173,'NEI Lookups'!J:J)+SUMIF('NEI Lookups'!$N:$N,'Inputs Yr 2'!$F173,'NEI Lookups'!J:J)+SUMIF('NEI Lookups'!$O:$O,'Inputs Yr 2'!$F173,'NEI Lookups'!J:J)+SUMIF('NEI Lookups'!$P:$P,'Inputs Yr 2'!$F173,'NEI Lookups'!J:J)+SUMIF('NEI Lookups'!$Q:$Q,'Inputs Yr 2'!$F173,'NEI Lookups'!J:J)+SUMIF('NEI Lookups'!$R:$R,'Inputs Yr 2'!$F173,'NEI Lookups'!J:J)+SUMIF('NEI Lookups'!$S:$S,'Inputs Yr 2'!$F173,'NEI Lookups'!J:J)+SUMIF('NEI Lookups'!$T:$T,'Inputs Yr 2'!$F173,'NEI Lookups'!J:J)</f>
        <v>0</v>
      </c>
      <c r="AY173" s="930" t="e">
        <f>'Calculations Yr 2'!CP173/'Calculations Yr 2'!I173</f>
        <v>#DIV/0!</v>
      </c>
    </row>
    <row r="174" spans="1:51" s="133" customFormat="1" ht="12.75" customHeight="1">
      <c r="A174" s="145" t="s">
        <v>83</v>
      </c>
      <c r="B174" s="132" t="s">
        <v>873</v>
      </c>
      <c r="C174" s="132" t="s">
        <v>661</v>
      </c>
      <c r="D174" s="904" t="s">
        <v>1549</v>
      </c>
      <c r="E174" s="98" t="s">
        <v>1359</v>
      </c>
      <c r="F174" s="98" t="s">
        <v>1066</v>
      </c>
      <c r="G174" s="145" t="s">
        <v>86</v>
      </c>
      <c r="H174" s="165">
        <v>1</v>
      </c>
      <c r="I174" s="237">
        <v>10</v>
      </c>
      <c r="J174" s="971">
        <v>4090</v>
      </c>
      <c r="K174" s="871">
        <v>3067.5</v>
      </c>
      <c r="L174" s="888">
        <f t="shared" si="25"/>
        <v>1022.5</v>
      </c>
      <c r="M174" s="978">
        <v>0.11</v>
      </c>
      <c r="N174" s="978">
        <v>2.5999999999999999E-2</v>
      </c>
      <c r="O174" s="978">
        <v>3.0000000000000001E-3</v>
      </c>
      <c r="P174" s="889">
        <f t="shared" si="26"/>
        <v>0.91900000000000004</v>
      </c>
      <c r="Q174" s="978">
        <v>1</v>
      </c>
      <c r="R174" s="178">
        <v>1</v>
      </c>
      <c r="S174" s="178">
        <v>1</v>
      </c>
      <c r="T174" s="178">
        <v>1</v>
      </c>
      <c r="U174" s="978">
        <v>0.77900000000000003</v>
      </c>
      <c r="V174" s="978">
        <v>1</v>
      </c>
      <c r="W174" s="179"/>
      <c r="X174" s="937" t="s">
        <v>653</v>
      </c>
      <c r="Y174" s="299">
        <f>IFERROR(VLOOKUP($X174,'Demand Lookups'!$A$5:$K$101,9,0), 0)</f>
        <v>0</v>
      </c>
      <c r="Z174" s="922" t="str">
        <f>IFERROR(VLOOKUP(X174,'Demand Lookups'!$A$5:$B$101,2,0),0)</f>
        <v>Non-Electric Measures</v>
      </c>
      <c r="AA174" s="722">
        <f>IF(ISNA(VLOOKUP($X174,'Demand Lookups'!$A$5:$K$81,3,0)),0,VLOOKUP($X174,'Demand Lookups'!$A$5:$K$81,3,0))</f>
        <v>0</v>
      </c>
      <c r="AB174" s="722">
        <f>IF(ISNA(VLOOKUP($X174,'Demand Lookups'!$A$5:$K$81,4,0)),0,VLOOKUP($X174,'Demand Lookups'!$A$5:$K$81,4,0))</f>
        <v>0</v>
      </c>
      <c r="AC174" s="722">
        <f>IF(ISNA(VLOOKUP($X174,'Demand Lookups'!$A$5:$K$81,5,0)),0,VLOOKUP($X174,'Demand Lookups'!$A$5:$K$81,5,0))</f>
        <v>0</v>
      </c>
      <c r="AD174" s="723">
        <f>IF(ISNA(VLOOKUP($X174,'Demand Lookups'!$A$5:$K$81,6,0)),0,VLOOKUP($X174,'Demand Lookups'!$A$5:$K$81,6,0))</f>
        <v>0</v>
      </c>
      <c r="AE174" s="724">
        <f t="shared" si="46"/>
        <v>0</v>
      </c>
      <c r="AF174" s="723">
        <f>ROUND(IF(ISNA(VLOOKUP($X174,'Demand Lookups'!$A$5:$K$82,10,0)),0,(VLOOKUP($X174,'Demand Lookups'!$A$5:$K$82,10,0))),2)</f>
        <v>0</v>
      </c>
      <c r="AG174" s="723">
        <f>ROUND(IF(ISNA(VLOOKUP($X174,'Demand Lookups'!$A$5:$K$82,11,0)),0,VLOOKUP($X174,'Demand Lookups'!$A$5:$K$82,11,0)),2)</f>
        <v>0</v>
      </c>
      <c r="AH174" s="648">
        <f t="shared" si="28"/>
        <v>0</v>
      </c>
      <c r="AI174" s="648">
        <f t="shared" si="29"/>
        <v>0</v>
      </c>
      <c r="AJ174" s="167" t="s">
        <v>200</v>
      </c>
      <c r="AK174" s="168">
        <v>204.5</v>
      </c>
      <c r="AL174" s="167"/>
      <c r="AM174" s="168"/>
      <c r="AN174" s="167"/>
      <c r="AO174" s="168"/>
      <c r="AP174" s="167"/>
      <c r="AQ174" s="171">
        <v>0</v>
      </c>
      <c r="AR174" s="171">
        <v>0</v>
      </c>
      <c r="AS174" s="299">
        <f>SUMIF('NEI Lookups'!$L:$L,'Inputs Yr 2'!$F174,'NEI Lookups'!E:E)+SUMIF('NEI Lookups'!$M:$M,'Inputs Yr 2'!$F174,'NEI Lookups'!E:E)+SUMIF('NEI Lookups'!$N:$N,'Inputs Yr 2'!$F174,'NEI Lookups'!E:E)+SUMIF('NEI Lookups'!$O:$O,'Inputs Yr 2'!$F174,'NEI Lookups'!E:E)+SUMIF('NEI Lookups'!$P:$P,'Inputs Yr 2'!$F174,'NEI Lookups'!E:E)+SUMIF('NEI Lookups'!$Q:$Q,'Inputs Yr 2'!$F174,'NEI Lookups'!E:E)+SUMIF('NEI Lookups'!$R:$R,'Inputs Yr 2'!$F174,'NEI Lookups'!E:E)+SUMIF('NEI Lookups'!$S:$S,'Inputs Yr 2'!$F174,'NEI Lookups'!E:E)+SUMIF('NEI Lookups'!$T:$T,'Inputs Yr 2'!$F174,'NEI Lookups'!E:E)</f>
        <v>0</v>
      </c>
      <c r="AT174" s="299">
        <f>SUMIF('NEI Lookups'!$L:$L,'Inputs Yr 2'!$F174,'NEI Lookups'!F:F)+SUMIF('NEI Lookups'!$M:$M,'Inputs Yr 2'!$F174,'NEI Lookups'!F:F)+SUMIF('NEI Lookups'!$N:$N,'Inputs Yr 2'!$F174,'NEI Lookups'!F:F)+SUMIF('NEI Lookups'!$O:$O,'Inputs Yr 2'!$F174,'NEI Lookups'!F:F)+SUMIF('NEI Lookups'!$P:$P,'Inputs Yr 2'!$F174,'NEI Lookups'!F:F)+SUMIF('NEI Lookups'!$Q:$Q,'Inputs Yr 2'!$F174,'NEI Lookups'!F:F)+SUMIF('NEI Lookups'!$R:$R,'Inputs Yr 2'!$F174,'NEI Lookups'!F:F)+SUMIF('NEI Lookups'!$S:$S,'Inputs Yr 2'!$F174,'NEI Lookups'!F:F)+SUMIF('NEI Lookups'!$T:$T,'Inputs Yr 2'!$F174,'NEI Lookups'!F:F)</f>
        <v>0</v>
      </c>
      <c r="AU174" s="299">
        <f>SUMIF('NEI Lookups'!$L:$L,'Inputs Yr 2'!$F174,'NEI Lookups'!G:G)+SUMIF('NEI Lookups'!$M:$M,'Inputs Yr 2'!$F174,'NEI Lookups'!G:G)+SUMIF('NEI Lookups'!$N:$N,'Inputs Yr 2'!$F174,'NEI Lookups'!G:G)+SUMIF('NEI Lookups'!$O:$O,'Inputs Yr 2'!$F174,'NEI Lookups'!G:G)+SUMIF('NEI Lookups'!$P:$P,'Inputs Yr 2'!$F174,'NEI Lookups'!G:G)+SUMIF('NEI Lookups'!$Q:$Q,'Inputs Yr 2'!$F174,'NEI Lookups'!G:G)+SUMIF('NEI Lookups'!$R:$R,'Inputs Yr 2'!$F174,'NEI Lookups'!G:G)+SUMIF('NEI Lookups'!$S:$S,'Inputs Yr 2'!$F174,'NEI Lookups'!G:G)+SUMIF('NEI Lookups'!$T:$T,'Inputs Yr 2'!$F174,'NEI Lookups'!G:G)</f>
        <v>0</v>
      </c>
      <c r="AV174" s="299">
        <f>SUMIF('NEI Lookups'!$L:$L,'Inputs Yr 2'!$F174,'NEI Lookups'!H:H)+SUMIF('NEI Lookups'!$M:$M,'Inputs Yr 2'!$F174,'NEI Lookups'!H:H)+SUMIF('NEI Lookups'!$N:$N,'Inputs Yr 2'!$F174,'NEI Lookups'!H:H)+SUMIF('NEI Lookups'!$O:$O,'Inputs Yr 2'!$F174,'NEI Lookups'!H:H)+SUMIF('NEI Lookups'!$P:$P,'Inputs Yr 2'!$F174,'NEI Lookups'!H:H)+SUMIF('NEI Lookups'!$Q:$Q,'Inputs Yr 2'!$F174,'NEI Lookups'!H:H)+SUMIF('NEI Lookups'!$R:$R,'Inputs Yr 2'!$F174,'NEI Lookups'!H:H)+SUMIF('NEI Lookups'!$S:$S,'Inputs Yr 2'!$F174,'NEI Lookups'!H:H)+SUMIF('NEI Lookups'!$T:$T,'Inputs Yr 2'!$F174,'NEI Lookups'!H:H)</f>
        <v>0</v>
      </c>
      <c r="AW174" s="940">
        <f>SUMIF('NEI Lookups'!$L:$L,'Inputs Yr 2'!$F174,'NEI Lookups'!I:I)+SUMIF('NEI Lookups'!$M:$M,'Inputs Yr 2'!$F174,'NEI Lookups'!I:I)+SUMIF('NEI Lookups'!$N:$N,'Inputs Yr 2'!$F174,'NEI Lookups'!I:I)+SUMIF('NEI Lookups'!$O:$O,'Inputs Yr 2'!$F174,'NEI Lookups'!I:I)+SUMIF('NEI Lookups'!$P:$P,'Inputs Yr 2'!$F174,'NEI Lookups'!I:I)+SUMIF('NEI Lookups'!$Q:$Q,'Inputs Yr 2'!$F174,'NEI Lookups'!I:I)+SUMIF('NEI Lookups'!$R:$R,'Inputs Yr 2'!$F174,'NEI Lookups'!I:I)+SUMIF('NEI Lookups'!$S:$S,'Inputs Yr 2'!$F174,'NEI Lookups'!I:I)+SUMIF('NEI Lookups'!$T:$T,'Inputs Yr 2'!$F174,'NEI Lookups'!I:I)</f>
        <v>0</v>
      </c>
      <c r="AX174" s="299">
        <f>SUMIF('NEI Lookups'!$L:$L,'Inputs Yr 2'!$F174,'NEI Lookups'!J:J)+SUMIF('NEI Lookups'!$M:$M,'Inputs Yr 2'!$F174,'NEI Lookups'!J:J)+SUMIF('NEI Lookups'!$N:$N,'Inputs Yr 2'!$F174,'NEI Lookups'!J:J)+SUMIF('NEI Lookups'!$O:$O,'Inputs Yr 2'!$F174,'NEI Lookups'!J:J)+SUMIF('NEI Lookups'!$P:$P,'Inputs Yr 2'!$F174,'NEI Lookups'!J:J)+SUMIF('NEI Lookups'!$Q:$Q,'Inputs Yr 2'!$F174,'NEI Lookups'!J:J)+SUMIF('NEI Lookups'!$R:$R,'Inputs Yr 2'!$F174,'NEI Lookups'!J:J)+SUMIF('NEI Lookups'!$S:$S,'Inputs Yr 2'!$F174,'NEI Lookups'!J:J)+SUMIF('NEI Lookups'!$T:$T,'Inputs Yr 2'!$F174,'NEI Lookups'!J:J)</f>
        <v>0</v>
      </c>
      <c r="AY174" s="930">
        <f>'Calculations Yr 2'!CP174/'Calculations Yr 2'!I174</f>
        <v>3.2028407692880054</v>
      </c>
    </row>
    <row r="175" spans="1:51" s="133" customFormat="1" ht="12.75" customHeight="1">
      <c r="A175" s="145" t="s">
        <v>83</v>
      </c>
      <c r="B175" s="132" t="s">
        <v>873</v>
      </c>
      <c r="C175" s="132" t="s">
        <v>661</v>
      </c>
      <c r="D175" s="904"/>
      <c r="E175" s="98" t="s">
        <v>1361</v>
      </c>
      <c r="F175" s="98" t="s">
        <v>1066</v>
      </c>
      <c r="G175" s="145" t="s">
        <v>86</v>
      </c>
      <c r="H175" s="165">
        <v>1</v>
      </c>
      <c r="I175" s="237">
        <v>20</v>
      </c>
      <c r="J175" s="971">
        <v>397174.66666666669</v>
      </c>
      <c r="K175" s="871">
        <v>297881</v>
      </c>
      <c r="L175" s="888">
        <f t="shared" si="25"/>
        <v>99293.666666666686</v>
      </c>
      <c r="M175" s="978">
        <v>0.11</v>
      </c>
      <c r="N175" s="978">
        <v>2.5999999999999999E-2</v>
      </c>
      <c r="O175" s="978">
        <v>3.0000000000000001E-3</v>
      </c>
      <c r="P175" s="889">
        <f t="shared" ref="P175" si="55">1-M175+N175+O175</f>
        <v>0.91900000000000004</v>
      </c>
      <c r="Q175" s="978">
        <v>1</v>
      </c>
      <c r="R175" s="178">
        <v>1</v>
      </c>
      <c r="S175" s="178">
        <v>1</v>
      </c>
      <c r="T175" s="178">
        <v>1</v>
      </c>
      <c r="U175" s="978">
        <v>0.77900000000000003</v>
      </c>
      <c r="V175" s="978">
        <v>1</v>
      </c>
      <c r="W175" s="179"/>
      <c r="X175" s="937" t="s">
        <v>653</v>
      </c>
      <c r="Y175" s="299">
        <f>IFERROR(VLOOKUP($X175,'Demand Lookups'!$A$5:$K$101,9,0), 0)</f>
        <v>0</v>
      </c>
      <c r="Z175" s="922" t="str">
        <f>IFERROR(VLOOKUP(X175,'Demand Lookups'!$A$5:$B$101,2,0),0)</f>
        <v>Non-Electric Measures</v>
      </c>
      <c r="AA175" s="722">
        <f>IF(ISNA(VLOOKUP($X175,'Demand Lookups'!$A$5:$K$81,3,0)),0,VLOOKUP($X175,'Demand Lookups'!$A$5:$K$81,3,0))</f>
        <v>0</v>
      </c>
      <c r="AB175" s="722">
        <f>IF(ISNA(VLOOKUP($X175,'Demand Lookups'!$A$5:$K$81,4,0)),0,VLOOKUP($X175,'Demand Lookups'!$A$5:$K$81,4,0))</f>
        <v>0</v>
      </c>
      <c r="AC175" s="722">
        <f>IF(ISNA(VLOOKUP($X175,'Demand Lookups'!$A$5:$K$81,5,0)),0,VLOOKUP($X175,'Demand Lookups'!$A$5:$K$81,5,0))</f>
        <v>0</v>
      </c>
      <c r="AD175" s="723">
        <f>IF(ISNA(VLOOKUP($X175,'Demand Lookups'!$A$5:$K$81,6,0)),0,VLOOKUP($X175,'Demand Lookups'!$A$5:$K$81,6,0))</f>
        <v>0</v>
      </c>
      <c r="AE175" s="724">
        <f t="shared" si="46"/>
        <v>0</v>
      </c>
      <c r="AF175" s="723">
        <f>ROUND(IF(ISNA(VLOOKUP($X175,'Demand Lookups'!$A$5:$K$82,10,0)),0,(VLOOKUP($X175,'Demand Lookups'!$A$5:$K$82,10,0))),2)</f>
        <v>0</v>
      </c>
      <c r="AG175" s="723">
        <f>ROUND(IF(ISNA(VLOOKUP($X175,'Demand Lookups'!$A$5:$K$82,11,0)),0,VLOOKUP($X175,'Demand Lookups'!$A$5:$K$82,11,0)),2)</f>
        <v>0</v>
      </c>
      <c r="AH175" s="648">
        <f t="shared" ref="AH175" si="56">AF175</f>
        <v>0</v>
      </c>
      <c r="AI175" s="648">
        <f t="shared" ref="AI175" si="57">AF175</f>
        <v>0</v>
      </c>
      <c r="AJ175" s="167" t="s">
        <v>200</v>
      </c>
      <c r="AK175" s="168">
        <v>43940.18</v>
      </c>
      <c r="AL175" s="167"/>
      <c r="AM175" s="168"/>
      <c r="AN175" s="167"/>
      <c r="AO175" s="168"/>
      <c r="AP175" s="167"/>
      <c r="AQ175" s="171"/>
      <c r="AR175" s="171"/>
      <c r="AS175" s="299">
        <f>SUMIF('NEI Lookups'!$L:$L,'Inputs Yr 2'!$F175,'NEI Lookups'!E:E)+SUMIF('NEI Lookups'!$M:$M,'Inputs Yr 2'!$F175,'NEI Lookups'!E:E)+SUMIF('NEI Lookups'!$N:$N,'Inputs Yr 2'!$F175,'NEI Lookups'!E:E)+SUMIF('NEI Lookups'!$O:$O,'Inputs Yr 2'!$F175,'NEI Lookups'!E:E)+SUMIF('NEI Lookups'!$P:$P,'Inputs Yr 2'!$F175,'NEI Lookups'!E:E)+SUMIF('NEI Lookups'!$Q:$Q,'Inputs Yr 2'!$F175,'NEI Lookups'!E:E)+SUMIF('NEI Lookups'!$R:$R,'Inputs Yr 2'!$F175,'NEI Lookups'!E:E)+SUMIF('NEI Lookups'!$S:$S,'Inputs Yr 2'!$F175,'NEI Lookups'!E:E)+SUMIF('NEI Lookups'!$T:$T,'Inputs Yr 2'!$F175,'NEI Lookups'!E:E)</f>
        <v>0</v>
      </c>
      <c r="AT175" s="299">
        <f>SUMIF('NEI Lookups'!$L:$L,'Inputs Yr 2'!$F175,'NEI Lookups'!F:F)+SUMIF('NEI Lookups'!$M:$M,'Inputs Yr 2'!$F175,'NEI Lookups'!F:F)+SUMIF('NEI Lookups'!$N:$N,'Inputs Yr 2'!$F175,'NEI Lookups'!F:F)+SUMIF('NEI Lookups'!$O:$O,'Inputs Yr 2'!$F175,'NEI Lookups'!F:F)+SUMIF('NEI Lookups'!$P:$P,'Inputs Yr 2'!$F175,'NEI Lookups'!F:F)+SUMIF('NEI Lookups'!$Q:$Q,'Inputs Yr 2'!$F175,'NEI Lookups'!F:F)+SUMIF('NEI Lookups'!$R:$R,'Inputs Yr 2'!$F175,'NEI Lookups'!F:F)+SUMIF('NEI Lookups'!$S:$S,'Inputs Yr 2'!$F175,'NEI Lookups'!F:F)+SUMIF('NEI Lookups'!$T:$T,'Inputs Yr 2'!$F175,'NEI Lookups'!F:F)</f>
        <v>0</v>
      </c>
      <c r="AU175" s="299">
        <f>SUMIF('NEI Lookups'!$L:$L,'Inputs Yr 2'!$F175,'NEI Lookups'!G:G)+SUMIF('NEI Lookups'!$M:$M,'Inputs Yr 2'!$F175,'NEI Lookups'!G:G)+SUMIF('NEI Lookups'!$N:$N,'Inputs Yr 2'!$F175,'NEI Lookups'!G:G)+SUMIF('NEI Lookups'!$O:$O,'Inputs Yr 2'!$F175,'NEI Lookups'!G:G)+SUMIF('NEI Lookups'!$P:$P,'Inputs Yr 2'!$F175,'NEI Lookups'!G:G)+SUMIF('NEI Lookups'!$Q:$Q,'Inputs Yr 2'!$F175,'NEI Lookups'!G:G)+SUMIF('NEI Lookups'!$R:$R,'Inputs Yr 2'!$F175,'NEI Lookups'!G:G)+SUMIF('NEI Lookups'!$S:$S,'Inputs Yr 2'!$F175,'NEI Lookups'!G:G)+SUMIF('NEI Lookups'!$T:$T,'Inputs Yr 2'!$F175,'NEI Lookups'!G:G)</f>
        <v>0</v>
      </c>
      <c r="AV175" s="299">
        <f>SUMIF('NEI Lookups'!$L:$L,'Inputs Yr 2'!$F175,'NEI Lookups'!H:H)+SUMIF('NEI Lookups'!$M:$M,'Inputs Yr 2'!$F175,'NEI Lookups'!H:H)+SUMIF('NEI Lookups'!$N:$N,'Inputs Yr 2'!$F175,'NEI Lookups'!H:H)+SUMIF('NEI Lookups'!$O:$O,'Inputs Yr 2'!$F175,'NEI Lookups'!H:H)+SUMIF('NEI Lookups'!$P:$P,'Inputs Yr 2'!$F175,'NEI Lookups'!H:H)+SUMIF('NEI Lookups'!$Q:$Q,'Inputs Yr 2'!$F175,'NEI Lookups'!H:H)+SUMIF('NEI Lookups'!$R:$R,'Inputs Yr 2'!$F175,'NEI Lookups'!H:H)+SUMIF('NEI Lookups'!$S:$S,'Inputs Yr 2'!$F175,'NEI Lookups'!H:H)+SUMIF('NEI Lookups'!$T:$T,'Inputs Yr 2'!$F175,'NEI Lookups'!H:H)</f>
        <v>0</v>
      </c>
      <c r="AW175" s="940">
        <f>SUMIF('NEI Lookups'!$L:$L,'Inputs Yr 2'!$F175,'NEI Lookups'!I:I)+SUMIF('NEI Lookups'!$M:$M,'Inputs Yr 2'!$F175,'NEI Lookups'!I:I)+SUMIF('NEI Lookups'!$N:$N,'Inputs Yr 2'!$F175,'NEI Lookups'!I:I)+SUMIF('NEI Lookups'!$O:$O,'Inputs Yr 2'!$F175,'NEI Lookups'!I:I)+SUMIF('NEI Lookups'!$P:$P,'Inputs Yr 2'!$F175,'NEI Lookups'!I:I)+SUMIF('NEI Lookups'!$Q:$Q,'Inputs Yr 2'!$F175,'NEI Lookups'!I:I)+SUMIF('NEI Lookups'!$R:$R,'Inputs Yr 2'!$F175,'NEI Lookups'!I:I)+SUMIF('NEI Lookups'!$S:$S,'Inputs Yr 2'!$F175,'NEI Lookups'!I:I)+SUMIF('NEI Lookups'!$T:$T,'Inputs Yr 2'!$F175,'NEI Lookups'!I:I)</f>
        <v>0</v>
      </c>
      <c r="AX175" s="299">
        <f>SUMIF('NEI Lookups'!$L:$L,'Inputs Yr 2'!$F175,'NEI Lookups'!J:J)+SUMIF('NEI Lookups'!$M:$M,'Inputs Yr 2'!$F175,'NEI Lookups'!J:J)+SUMIF('NEI Lookups'!$N:$N,'Inputs Yr 2'!$F175,'NEI Lookups'!J:J)+SUMIF('NEI Lookups'!$O:$O,'Inputs Yr 2'!$F175,'NEI Lookups'!J:J)+SUMIF('NEI Lookups'!$P:$P,'Inputs Yr 2'!$F175,'NEI Lookups'!J:J)+SUMIF('NEI Lookups'!$Q:$Q,'Inputs Yr 2'!$F175,'NEI Lookups'!J:J)+SUMIF('NEI Lookups'!$R:$R,'Inputs Yr 2'!$F175,'NEI Lookups'!J:J)+SUMIF('NEI Lookups'!$S:$S,'Inputs Yr 2'!$F175,'NEI Lookups'!J:J)+SUMIF('NEI Lookups'!$T:$T,'Inputs Yr 2'!$F175,'NEI Lookups'!J:J)</f>
        <v>0</v>
      </c>
      <c r="AY175" s="930">
        <f>'Calculations Yr 2'!CP175/'Calculations Yr 2'!I175</f>
        <v>14.383602393125653</v>
      </c>
    </row>
    <row r="176" spans="1:51" s="133" customFormat="1" ht="12.75" customHeight="1">
      <c r="A176" s="145" t="s">
        <v>83</v>
      </c>
      <c r="B176" s="132" t="s">
        <v>873</v>
      </c>
      <c r="C176" s="132" t="s">
        <v>661</v>
      </c>
      <c r="D176" s="99"/>
      <c r="E176" s="150" t="s">
        <v>752</v>
      </c>
      <c r="F176" s="98" t="s">
        <v>1067</v>
      </c>
      <c r="G176" s="145" t="s">
        <v>1247</v>
      </c>
      <c r="H176" s="165"/>
      <c r="I176" s="232">
        <v>18</v>
      </c>
      <c r="J176" s="964">
        <v>1132</v>
      </c>
      <c r="K176" s="166">
        <v>300</v>
      </c>
      <c r="L176" s="888">
        <f t="shared" si="25"/>
        <v>832</v>
      </c>
      <c r="M176" s="980">
        <v>0</v>
      </c>
      <c r="N176" s="980">
        <v>0</v>
      </c>
      <c r="O176" s="980">
        <v>0</v>
      </c>
      <c r="P176" s="889">
        <v>0.84600000000000009</v>
      </c>
      <c r="Q176" s="980">
        <v>1</v>
      </c>
      <c r="R176" s="178">
        <v>1</v>
      </c>
      <c r="S176" s="178">
        <v>1</v>
      </c>
      <c r="T176" s="178">
        <v>1</v>
      </c>
      <c r="U176" s="978">
        <v>0</v>
      </c>
      <c r="V176" s="978">
        <v>0</v>
      </c>
      <c r="W176" s="179"/>
      <c r="X176" s="937" t="s">
        <v>653</v>
      </c>
      <c r="Y176" s="299">
        <f>IFERROR(VLOOKUP($X176,'Demand Lookups'!$A$5:$K$101,9,0), 0)</f>
        <v>0</v>
      </c>
      <c r="Z176" s="922" t="str">
        <f>IFERROR(VLOOKUP(X176,'Demand Lookups'!$A$5:$B$101,2,0),0)</f>
        <v>Non-Electric Measures</v>
      </c>
      <c r="AA176" s="722">
        <v>0</v>
      </c>
      <c r="AB176" s="722">
        <v>0</v>
      </c>
      <c r="AC176" s="722">
        <v>0</v>
      </c>
      <c r="AD176" s="723">
        <v>0</v>
      </c>
      <c r="AE176" s="724">
        <f t="shared" si="46"/>
        <v>0</v>
      </c>
      <c r="AF176" s="723">
        <v>0</v>
      </c>
      <c r="AG176" s="723">
        <v>0</v>
      </c>
      <c r="AH176" s="648">
        <v>0</v>
      </c>
      <c r="AI176" s="648">
        <v>0</v>
      </c>
      <c r="AJ176" s="167" t="s">
        <v>87</v>
      </c>
      <c r="AK176" s="168">
        <v>5.7</v>
      </c>
      <c r="AL176" s="167"/>
      <c r="AM176" s="168"/>
      <c r="AN176" s="167"/>
      <c r="AO176" s="168"/>
      <c r="AP176" s="167"/>
      <c r="AQ176" s="171"/>
      <c r="AR176" s="171"/>
      <c r="AS176" s="299">
        <f>SUMIF('NEI Lookups'!$L:$L,'Inputs Yr 2'!$F176,'NEI Lookups'!E:E)+SUMIF('NEI Lookups'!$M:$M,'Inputs Yr 2'!$F176,'NEI Lookups'!E:E)+SUMIF('NEI Lookups'!$N:$N,'Inputs Yr 2'!$F176,'NEI Lookups'!E:E)+SUMIF('NEI Lookups'!$O:$O,'Inputs Yr 2'!$F176,'NEI Lookups'!E:E)+SUMIF('NEI Lookups'!$P:$P,'Inputs Yr 2'!$F176,'NEI Lookups'!E:E)+SUMIF('NEI Lookups'!$Q:$Q,'Inputs Yr 2'!$F176,'NEI Lookups'!E:E)+SUMIF('NEI Lookups'!$R:$R,'Inputs Yr 2'!$F176,'NEI Lookups'!E:E)+SUMIF('NEI Lookups'!$S:$S,'Inputs Yr 2'!$F176,'NEI Lookups'!E:E)+SUMIF('NEI Lookups'!$T:$T,'Inputs Yr 2'!$F176,'NEI Lookups'!E:E)</f>
        <v>0</v>
      </c>
      <c r="AT176" s="299">
        <f>SUMIF('NEI Lookups'!$L:$L,'Inputs Yr 2'!$F176,'NEI Lookups'!F:F)+SUMIF('NEI Lookups'!$M:$M,'Inputs Yr 2'!$F176,'NEI Lookups'!F:F)+SUMIF('NEI Lookups'!$N:$N,'Inputs Yr 2'!$F176,'NEI Lookups'!F:F)+SUMIF('NEI Lookups'!$O:$O,'Inputs Yr 2'!$F176,'NEI Lookups'!F:F)+SUMIF('NEI Lookups'!$P:$P,'Inputs Yr 2'!$F176,'NEI Lookups'!F:F)+SUMIF('NEI Lookups'!$Q:$Q,'Inputs Yr 2'!$F176,'NEI Lookups'!F:F)+SUMIF('NEI Lookups'!$R:$R,'Inputs Yr 2'!$F176,'NEI Lookups'!F:F)+SUMIF('NEI Lookups'!$S:$S,'Inputs Yr 2'!$F176,'NEI Lookups'!F:F)+SUMIF('NEI Lookups'!$T:$T,'Inputs Yr 2'!$F176,'NEI Lookups'!F:F)</f>
        <v>0</v>
      </c>
      <c r="AU176" s="299">
        <f>SUMIF('NEI Lookups'!$L:$L,'Inputs Yr 2'!$F176,'NEI Lookups'!G:G)+SUMIF('NEI Lookups'!$M:$M,'Inputs Yr 2'!$F176,'NEI Lookups'!G:G)+SUMIF('NEI Lookups'!$N:$N,'Inputs Yr 2'!$F176,'NEI Lookups'!G:G)+SUMIF('NEI Lookups'!$O:$O,'Inputs Yr 2'!$F176,'NEI Lookups'!G:G)+SUMIF('NEI Lookups'!$P:$P,'Inputs Yr 2'!$F176,'NEI Lookups'!G:G)+SUMIF('NEI Lookups'!$Q:$Q,'Inputs Yr 2'!$F176,'NEI Lookups'!G:G)+SUMIF('NEI Lookups'!$R:$R,'Inputs Yr 2'!$F176,'NEI Lookups'!G:G)+SUMIF('NEI Lookups'!$S:$S,'Inputs Yr 2'!$F176,'NEI Lookups'!G:G)+SUMIF('NEI Lookups'!$T:$T,'Inputs Yr 2'!$F176,'NEI Lookups'!G:G)</f>
        <v>0</v>
      </c>
      <c r="AV176" s="299">
        <f>SUMIF('NEI Lookups'!$L:$L,'Inputs Yr 2'!$F176,'NEI Lookups'!H:H)+SUMIF('NEI Lookups'!$M:$M,'Inputs Yr 2'!$F176,'NEI Lookups'!H:H)+SUMIF('NEI Lookups'!$N:$N,'Inputs Yr 2'!$F176,'NEI Lookups'!H:H)+SUMIF('NEI Lookups'!$O:$O,'Inputs Yr 2'!$F176,'NEI Lookups'!H:H)+SUMIF('NEI Lookups'!$P:$P,'Inputs Yr 2'!$F176,'NEI Lookups'!H:H)+SUMIF('NEI Lookups'!$Q:$Q,'Inputs Yr 2'!$F176,'NEI Lookups'!H:H)+SUMIF('NEI Lookups'!$R:$R,'Inputs Yr 2'!$F176,'NEI Lookups'!H:H)+SUMIF('NEI Lookups'!$S:$S,'Inputs Yr 2'!$F176,'NEI Lookups'!H:H)+SUMIF('NEI Lookups'!$T:$T,'Inputs Yr 2'!$F176,'NEI Lookups'!H:H)</f>
        <v>0</v>
      </c>
      <c r="AW176" s="299">
        <f>SUMIF('NEI Lookups'!$L:$L,'Inputs Yr 2'!$F176,'NEI Lookups'!I:I)+SUMIF('NEI Lookups'!$M:$M,'Inputs Yr 2'!$F176,'NEI Lookups'!I:I)+SUMIF('NEI Lookups'!$N:$N,'Inputs Yr 2'!$F176,'NEI Lookups'!I:I)+SUMIF('NEI Lookups'!$O:$O,'Inputs Yr 2'!$F176,'NEI Lookups'!I:I)+SUMIF('NEI Lookups'!$P:$P,'Inputs Yr 2'!$F176,'NEI Lookups'!I:I)+SUMIF('NEI Lookups'!$Q:$Q,'Inputs Yr 2'!$F176,'NEI Lookups'!I:I)+SUMIF('NEI Lookups'!$R:$R,'Inputs Yr 2'!$F176,'NEI Lookups'!I:I)+SUMIF('NEI Lookups'!$S:$S,'Inputs Yr 2'!$F176,'NEI Lookups'!I:I)+SUMIF('NEI Lookups'!$T:$T,'Inputs Yr 2'!$F176,'NEI Lookups'!I:I)</f>
        <v>5.2999999999999999E-2</v>
      </c>
      <c r="AX176" s="299">
        <f>SUMIF('NEI Lookups'!$L:$L,'Inputs Yr 2'!$F176,'NEI Lookups'!J:J)+SUMIF('NEI Lookups'!$M:$M,'Inputs Yr 2'!$F176,'NEI Lookups'!J:J)+SUMIF('NEI Lookups'!$N:$N,'Inputs Yr 2'!$F176,'NEI Lookups'!J:J)+SUMIF('NEI Lookups'!$O:$O,'Inputs Yr 2'!$F176,'NEI Lookups'!J:J)+SUMIF('NEI Lookups'!$P:$P,'Inputs Yr 2'!$F176,'NEI Lookups'!J:J)+SUMIF('NEI Lookups'!$Q:$Q,'Inputs Yr 2'!$F176,'NEI Lookups'!J:J)+SUMIF('NEI Lookups'!$R:$R,'Inputs Yr 2'!$F176,'NEI Lookups'!J:J)+SUMIF('NEI Lookups'!$S:$S,'Inputs Yr 2'!$F176,'NEI Lookups'!J:J)+SUMIF('NEI Lookups'!$T:$T,'Inputs Yr 2'!$F176,'NEI Lookups'!J:J)</f>
        <v>0</v>
      </c>
      <c r="AY176" s="930" t="e">
        <f>'Calculations Yr 2'!CP176/'Calculations Yr 2'!I176</f>
        <v>#VALUE!</v>
      </c>
    </row>
    <row r="177" spans="1:51" s="133" customFormat="1" ht="12.75" customHeight="1">
      <c r="A177" s="145" t="s">
        <v>83</v>
      </c>
      <c r="B177" s="132" t="s">
        <v>873</v>
      </c>
      <c r="C177" s="132" t="s">
        <v>661</v>
      </c>
      <c r="D177" s="99"/>
      <c r="E177" s="150" t="s">
        <v>753</v>
      </c>
      <c r="F177" s="98" t="s">
        <v>1068</v>
      </c>
      <c r="G177" s="145" t="s">
        <v>1247</v>
      </c>
      <c r="H177" s="165"/>
      <c r="I177" s="232">
        <v>18</v>
      </c>
      <c r="J177" s="964">
        <v>1132</v>
      </c>
      <c r="K177" s="166">
        <v>300</v>
      </c>
      <c r="L177" s="888">
        <f t="shared" si="25"/>
        <v>832</v>
      </c>
      <c r="M177" s="980">
        <v>0</v>
      </c>
      <c r="N177" s="980">
        <v>0</v>
      </c>
      <c r="O177" s="980">
        <v>0</v>
      </c>
      <c r="P177" s="889">
        <v>0.84600000000000009</v>
      </c>
      <c r="Q177" s="980">
        <v>1</v>
      </c>
      <c r="R177" s="178">
        <v>1</v>
      </c>
      <c r="S177" s="178">
        <v>1</v>
      </c>
      <c r="T177" s="178">
        <v>1</v>
      </c>
      <c r="U177" s="978">
        <v>0</v>
      </c>
      <c r="V177" s="978">
        <v>0</v>
      </c>
      <c r="W177" s="179"/>
      <c r="X177" s="937" t="s">
        <v>653</v>
      </c>
      <c r="Y177" s="299">
        <f>IFERROR(VLOOKUP($X177,'Demand Lookups'!$A$5:$K$101,9,0), 0)</f>
        <v>0</v>
      </c>
      <c r="Z177" s="922" t="str">
        <f>IFERROR(VLOOKUP(X177,'Demand Lookups'!$A$5:$B$101,2,0),0)</f>
        <v>Non-Electric Measures</v>
      </c>
      <c r="AA177" s="722">
        <v>0</v>
      </c>
      <c r="AB177" s="722">
        <v>0</v>
      </c>
      <c r="AC177" s="722">
        <v>0</v>
      </c>
      <c r="AD177" s="723">
        <v>0</v>
      </c>
      <c r="AE177" s="724">
        <f t="shared" si="46"/>
        <v>0</v>
      </c>
      <c r="AF177" s="723">
        <v>0</v>
      </c>
      <c r="AG177" s="723">
        <v>0</v>
      </c>
      <c r="AH177" s="648">
        <v>0</v>
      </c>
      <c r="AI177" s="648">
        <v>0</v>
      </c>
      <c r="AJ177" s="167" t="s">
        <v>87</v>
      </c>
      <c r="AK177" s="168">
        <v>5.7</v>
      </c>
      <c r="AL177" s="167"/>
      <c r="AM177" s="168"/>
      <c r="AN177" s="167"/>
      <c r="AO177" s="168"/>
      <c r="AP177" s="167"/>
      <c r="AQ177" s="171"/>
      <c r="AR177" s="171"/>
      <c r="AS177" s="299">
        <f>SUMIF('NEI Lookups'!$L:$L,'Inputs Yr 2'!$F177,'NEI Lookups'!E:E)+SUMIF('NEI Lookups'!$M:$M,'Inputs Yr 2'!$F177,'NEI Lookups'!E:E)+SUMIF('NEI Lookups'!$N:$N,'Inputs Yr 2'!$F177,'NEI Lookups'!E:E)+SUMIF('NEI Lookups'!$O:$O,'Inputs Yr 2'!$F177,'NEI Lookups'!E:E)+SUMIF('NEI Lookups'!$P:$P,'Inputs Yr 2'!$F177,'NEI Lookups'!E:E)+SUMIF('NEI Lookups'!$Q:$Q,'Inputs Yr 2'!$F177,'NEI Lookups'!E:E)+SUMIF('NEI Lookups'!$R:$R,'Inputs Yr 2'!$F177,'NEI Lookups'!E:E)+SUMIF('NEI Lookups'!$S:$S,'Inputs Yr 2'!$F177,'NEI Lookups'!E:E)+SUMIF('NEI Lookups'!$T:$T,'Inputs Yr 2'!$F177,'NEI Lookups'!E:E)</f>
        <v>0</v>
      </c>
      <c r="AT177" s="299">
        <f>SUMIF('NEI Lookups'!$L:$L,'Inputs Yr 2'!$F177,'NEI Lookups'!F:F)+SUMIF('NEI Lookups'!$M:$M,'Inputs Yr 2'!$F177,'NEI Lookups'!F:F)+SUMIF('NEI Lookups'!$N:$N,'Inputs Yr 2'!$F177,'NEI Lookups'!F:F)+SUMIF('NEI Lookups'!$O:$O,'Inputs Yr 2'!$F177,'NEI Lookups'!F:F)+SUMIF('NEI Lookups'!$P:$P,'Inputs Yr 2'!$F177,'NEI Lookups'!F:F)+SUMIF('NEI Lookups'!$Q:$Q,'Inputs Yr 2'!$F177,'NEI Lookups'!F:F)+SUMIF('NEI Lookups'!$R:$R,'Inputs Yr 2'!$F177,'NEI Lookups'!F:F)+SUMIF('NEI Lookups'!$S:$S,'Inputs Yr 2'!$F177,'NEI Lookups'!F:F)+SUMIF('NEI Lookups'!$T:$T,'Inputs Yr 2'!$F177,'NEI Lookups'!F:F)</f>
        <v>0</v>
      </c>
      <c r="AU177" s="299">
        <f>SUMIF('NEI Lookups'!$L:$L,'Inputs Yr 2'!$F177,'NEI Lookups'!G:G)+SUMIF('NEI Lookups'!$M:$M,'Inputs Yr 2'!$F177,'NEI Lookups'!G:G)+SUMIF('NEI Lookups'!$N:$N,'Inputs Yr 2'!$F177,'NEI Lookups'!G:G)+SUMIF('NEI Lookups'!$O:$O,'Inputs Yr 2'!$F177,'NEI Lookups'!G:G)+SUMIF('NEI Lookups'!$P:$P,'Inputs Yr 2'!$F177,'NEI Lookups'!G:G)+SUMIF('NEI Lookups'!$Q:$Q,'Inputs Yr 2'!$F177,'NEI Lookups'!G:G)+SUMIF('NEI Lookups'!$R:$R,'Inputs Yr 2'!$F177,'NEI Lookups'!G:G)+SUMIF('NEI Lookups'!$S:$S,'Inputs Yr 2'!$F177,'NEI Lookups'!G:G)+SUMIF('NEI Lookups'!$T:$T,'Inputs Yr 2'!$F177,'NEI Lookups'!G:G)</f>
        <v>0</v>
      </c>
      <c r="AV177" s="299">
        <f>SUMIF('NEI Lookups'!$L:$L,'Inputs Yr 2'!$F177,'NEI Lookups'!H:H)+SUMIF('NEI Lookups'!$M:$M,'Inputs Yr 2'!$F177,'NEI Lookups'!H:H)+SUMIF('NEI Lookups'!$N:$N,'Inputs Yr 2'!$F177,'NEI Lookups'!H:H)+SUMIF('NEI Lookups'!$O:$O,'Inputs Yr 2'!$F177,'NEI Lookups'!H:H)+SUMIF('NEI Lookups'!$P:$P,'Inputs Yr 2'!$F177,'NEI Lookups'!H:H)+SUMIF('NEI Lookups'!$Q:$Q,'Inputs Yr 2'!$F177,'NEI Lookups'!H:H)+SUMIF('NEI Lookups'!$R:$R,'Inputs Yr 2'!$F177,'NEI Lookups'!H:H)+SUMIF('NEI Lookups'!$S:$S,'Inputs Yr 2'!$F177,'NEI Lookups'!H:H)+SUMIF('NEI Lookups'!$T:$T,'Inputs Yr 2'!$F177,'NEI Lookups'!H:H)</f>
        <v>0</v>
      </c>
      <c r="AW177" s="299">
        <f>SUMIF('NEI Lookups'!$L:$L,'Inputs Yr 2'!$F177,'NEI Lookups'!I:I)+SUMIF('NEI Lookups'!$M:$M,'Inputs Yr 2'!$F177,'NEI Lookups'!I:I)+SUMIF('NEI Lookups'!$N:$N,'Inputs Yr 2'!$F177,'NEI Lookups'!I:I)+SUMIF('NEI Lookups'!$O:$O,'Inputs Yr 2'!$F177,'NEI Lookups'!I:I)+SUMIF('NEI Lookups'!$P:$P,'Inputs Yr 2'!$F177,'NEI Lookups'!I:I)+SUMIF('NEI Lookups'!$Q:$Q,'Inputs Yr 2'!$F177,'NEI Lookups'!I:I)+SUMIF('NEI Lookups'!$R:$R,'Inputs Yr 2'!$F177,'NEI Lookups'!I:I)+SUMIF('NEI Lookups'!$S:$S,'Inputs Yr 2'!$F177,'NEI Lookups'!I:I)+SUMIF('NEI Lookups'!$T:$T,'Inputs Yr 2'!$F177,'NEI Lookups'!I:I)</f>
        <v>5.2999999999999999E-2</v>
      </c>
      <c r="AX177" s="299">
        <f>SUMIF('NEI Lookups'!$L:$L,'Inputs Yr 2'!$F177,'NEI Lookups'!J:J)+SUMIF('NEI Lookups'!$M:$M,'Inputs Yr 2'!$F177,'NEI Lookups'!J:J)+SUMIF('NEI Lookups'!$N:$N,'Inputs Yr 2'!$F177,'NEI Lookups'!J:J)+SUMIF('NEI Lookups'!$O:$O,'Inputs Yr 2'!$F177,'NEI Lookups'!J:J)+SUMIF('NEI Lookups'!$P:$P,'Inputs Yr 2'!$F177,'NEI Lookups'!J:J)+SUMIF('NEI Lookups'!$Q:$Q,'Inputs Yr 2'!$F177,'NEI Lookups'!J:J)+SUMIF('NEI Lookups'!$R:$R,'Inputs Yr 2'!$F177,'NEI Lookups'!J:J)+SUMIF('NEI Lookups'!$S:$S,'Inputs Yr 2'!$F177,'NEI Lookups'!J:J)+SUMIF('NEI Lookups'!$T:$T,'Inputs Yr 2'!$F177,'NEI Lookups'!J:J)</f>
        <v>0</v>
      </c>
      <c r="AY177" s="930" t="e">
        <f>'Calculations Yr 2'!CP177/'Calculations Yr 2'!I177</f>
        <v>#VALUE!</v>
      </c>
    </row>
    <row r="178" spans="1:51" s="133" customFormat="1" ht="12.75" customHeight="1">
      <c r="A178" s="145" t="s">
        <v>83</v>
      </c>
      <c r="B178" s="132" t="s">
        <v>873</v>
      </c>
      <c r="C178" s="132" t="s">
        <v>661</v>
      </c>
      <c r="D178" s="99"/>
      <c r="E178" s="150" t="s">
        <v>754</v>
      </c>
      <c r="F178" s="98" t="s">
        <v>1069</v>
      </c>
      <c r="G178" s="145" t="s">
        <v>1247</v>
      </c>
      <c r="H178" s="165"/>
      <c r="I178" s="232">
        <v>18</v>
      </c>
      <c r="J178" s="964">
        <v>1294</v>
      </c>
      <c r="K178" s="166">
        <v>600</v>
      </c>
      <c r="L178" s="888">
        <f t="shared" si="25"/>
        <v>694</v>
      </c>
      <c r="M178" s="980">
        <v>0</v>
      </c>
      <c r="N178" s="980">
        <v>0</v>
      </c>
      <c r="O178" s="980">
        <v>0</v>
      </c>
      <c r="P178" s="889">
        <v>0.84600000000000009</v>
      </c>
      <c r="Q178" s="980">
        <v>1</v>
      </c>
      <c r="R178" s="178">
        <v>1</v>
      </c>
      <c r="S178" s="178">
        <v>1</v>
      </c>
      <c r="T178" s="178">
        <v>1</v>
      </c>
      <c r="U178" s="978">
        <v>0</v>
      </c>
      <c r="V178" s="978">
        <v>0</v>
      </c>
      <c r="W178" s="179"/>
      <c r="X178" s="937" t="s">
        <v>653</v>
      </c>
      <c r="Y178" s="299">
        <f>IFERROR(VLOOKUP($X178,'Demand Lookups'!$A$5:$K$101,9,0), 0)</f>
        <v>0</v>
      </c>
      <c r="Z178" s="922" t="str">
        <f>IFERROR(VLOOKUP(X178,'Demand Lookups'!$A$5:$B$101,2,0),0)</f>
        <v>Non-Electric Measures</v>
      </c>
      <c r="AA178" s="722">
        <v>0</v>
      </c>
      <c r="AB178" s="722">
        <v>0</v>
      </c>
      <c r="AC178" s="722">
        <v>0</v>
      </c>
      <c r="AD178" s="723">
        <v>0</v>
      </c>
      <c r="AE178" s="724">
        <f t="shared" si="46"/>
        <v>0</v>
      </c>
      <c r="AF178" s="723">
        <v>0</v>
      </c>
      <c r="AG178" s="723">
        <v>0</v>
      </c>
      <c r="AH178" s="648">
        <v>0</v>
      </c>
      <c r="AI178" s="648">
        <v>0</v>
      </c>
      <c r="AJ178" s="167" t="s">
        <v>87</v>
      </c>
      <c r="AK178" s="168">
        <v>6.7</v>
      </c>
      <c r="AL178" s="167"/>
      <c r="AM178" s="168"/>
      <c r="AN178" s="167"/>
      <c r="AO178" s="168"/>
      <c r="AP178" s="167"/>
      <c r="AQ178" s="171"/>
      <c r="AR178" s="171"/>
      <c r="AS178" s="299">
        <f>SUMIF('NEI Lookups'!$L:$L,'Inputs Yr 2'!$F178,'NEI Lookups'!E:E)+SUMIF('NEI Lookups'!$M:$M,'Inputs Yr 2'!$F178,'NEI Lookups'!E:E)+SUMIF('NEI Lookups'!$N:$N,'Inputs Yr 2'!$F178,'NEI Lookups'!E:E)+SUMIF('NEI Lookups'!$O:$O,'Inputs Yr 2'!$F178,'NEI Lookups'!E:E)+SUMIF('NEI Lookups'!$P:$P,'Inputs Yr 2'!$F178,'NEI Lookups'!E:E)+SUMIF('NEI Lookups'!$Q:$Q,'Inputs Yr 2'!$F178,'NEI Lookups'!E:E)+SUMIF('NEI Lookups'!$R:$R,'Inputs Yr 2'!$F178,'NEI Lookups'!E:E)+SUMIF('NEI Lookups'!$S:$S,'Inputs Yr 2'!$F178,'NEI Lookups'!E:E)+SUMIF('NEI Lookups'!$T:$T,'Inputs Yr 2'!$F178,'NEI Lookups'!E:E)</f>
        <v>0</v>
      </c>
      <c r="AT178" s="299">
        <f>SUMIF('NEI Lookups'!$L:$L,'Inputs Yr 2'!$F178,'NEI Lookups'!F:F)+SUMIF('NEI Lookups'!$M:$M,'Inputs Yr 2'!$F178,'NEI Lookups'!F:F)+SUMIF('NEI Lookups'!$N:$N,'Inputs Yr 2'!$F178,'NEI Lookups'!F:F)+SUMIF('NEI Lookups'!$O:$O,'Inputs Yr 2'!$F178,'NEI Lookups'!F:F)+SUMIF('NEI Lookups'!$P:$P,'Inputs Yr 2'!$F178,'NEI Lookups'!F:F)+SUMIF('NEI Lookups'!$Q:$Q,'Inputs Yr 2'!$F178,'NEI Lookups'!F:F)+SUMIF('NEI Lookups'!$R:$R,'Inputs Yr 2'!$F178,'NEI Lookups'!F:F)+SUMIF('NEI Lookups'!$S:$S,'Inputs Yr 2'!$F178,'NEI Lookups'!F:F)+SUMIF('NEI Lookups'!$T:$T,'Inputs Yr 2'!$F178,'NEI Lookups'!F:F)</f>
        <v>0</v>
      </c>
      <c r="AU178" s="299">
        <f>SUMIF('NEI Lookups'!$L:$L,'Inputs Yr 2'!$F178,'NEI Lookups'!G:G)+SUMIF('NEI Lookups'!$M:$M,'Inputs Yr 2'!$F178,'NEI Lookups'!G:G)+SUMIF('NEI Lookups'!$N:$N,'Inputs Yr 2'!$F178,'NEI Lookups'!G:G)+SUMIF('NEI Lookups'!$O:$O,'Inputs Yr 2'!$F178,'NEI Lookups'!G:G)+SUMIF('NEI Lookups'!$P:$P,'Inputs Yr 2'!$F178,'NEI Lookups'!G:G)+SUMIF('NEI Lookups'!$Q:$Q,'Inputs Yr 2'!$F178,'NEI Lookups'!G:G)+SUMIF('NEI Lookups'!$R:$R,'Inputs Yr 2'!$F178,'NEI Lookups'!G:G)+SUMIF('NEI Lookups'!$S:$S,'Inputs Yr 2'!$F178,'NEI Lookups'!G:G)+SUMIF('NEI Lookups'!$T:$T,'Inputs Yr 2'!$F178,'NEI Lookups'!G:G)</f>
        <v>0</v>
      </c>
      <c r="AV178" s="299">
        <f>SUMIF('NEI Lookups'!$L:$L,'Inputs Yr 2'!$F178,'NEI Lookups'!H:H)+SUMIF('NEI Lookups'!$M:$M,'Inputs Yr 2'!$F178,'NEI Lookups'!H:H)+SUMIF('NEI Lookups'!$N:$N,'Inputs Yr 2'!$F178,'NEI Lookups'!H:H)+SUMIF('NEI Lookups'!$O:$O,'Inputs Yr 2'!$F178,'NEI Lookups'!H:H)+SUMIF('NEI Lookups'!$P:$P,'Inputs Yr 2'!$F178,'NEI Lookups'!H:H)+SUMIF('NEI Lookups'!$Q:$Q,'Inputs Yr 2'!$F178,'NEI Lookups'!H:H)+SUMIF('NEI Lookups'!$R:$R,'Inputs Yr 2'!$F178,'NEI Lookups'!H:H)+SUMIF('NEI Lookups'!$S:$S,'Inputs Yr 2'!$F178,'NEI Lookups'!H:H)+SUMIF('NEI Lookups'!$T:$T,'Inputs Yr 2'!$F178,'NEI Lookups'!H:H)</f>
        <v>0</v>
      </c>
      <c r="AW178" s="299">
        <f>SUMIF('NEI Lookups'!$L:$L,'Inputs Yr 2'!$F178,'NEI Lookups'!I:I)+SUMIF('NEI Lookups'!$M:$M,'Inputs Yr 2'!$F178,'NEI Lookups'!I:I)+SUMIF('NEI Lookups'!$N:$N,'Inputs Yr 2'!$F178,'NEI Lookups'!I:I)+SUMIF('NEI Lookups'!$O:$O,'Inputs Yr 2'!$F178,'NEI Lookups'!I:I)+SUMIF('NEI Lookups'!$P:$P,'Inputs Yr 2'!$F178,'NEI Lookups'!I:I)+SUMIF('NEI Lookups'!$Q:$Q,'Inputs Yr 2'!$F178,'NEI Lookups'!I:I)+SUMIF('NEI Lookups'!$R:$R,'Inputs Yr 2'!$F178,'NEI Lookups'!I:I)+SUMIF('NEI Lookups'!$S:$S,'Inputs Yr 2'!$F178,'NEI Lookups'!I:I)+SUMIF('NEI Lookups'!$T:$T,'Inputs Yr 2'!$F178,'NEI Lookups'!I:I)</f>
        <v>5.2999999999999999E-2</v>
      </c>
      <c r="AX178" s="299">
        <f>SUMIF('NEI Lookups'!$L:$L,'Inputs Yr 2'!$F178,'NEI Lookups'!J:J)+SUMIF('NEI Lookups'!$M:$M,'Inputs Yr 2'!$F178,'NEI Lookups'!J:J)+SUMIF('NEI Lookups'!$N:$N,'Inputs Yr 2'!$F178,'NEI Lookups'!J:J)+SUMIF('NEI Lookups'!$O:$O,'Inputs Yr 2'!$F178,'NEI Lookups'!J:J)+SUMIF('NEI Lookups'!$P:$P,'Inputs Yr 2'!$F178,'NEI Lookups'!J:J)+SUMIF('NEI Lookups'!$Q:$Q,'Inputs Yr 2'!$F178,'NEI Lookups'!J:J)+SUMIF('NEI Lookups'!$R:$R,'Inputs Yr 2'!$F178,'NEI Lookups'!J:J)+SUMIF('NEI Lookups'!$S:$S,'Inputs Yr 2'!$F178,'NEI Lookups'!J:J)+SUMIF('NEI Lookups'!$T:$T,'Inputs Yr 2'!$F178,'NEI Lookups'!J:J)</f>
        <v>0</v>
      </c>
      <c r="AY178" s="930" t="e">
        <f>'Calculations Yr 2'!CP178/'Calculations Yr 2'!I178</f>
        <v>#VALUE!</v>
      </c>
    </row>
    <row r="179" spans="1:51" s="133" customFormat="1" ht="12.75" customHeight="1">
      <c r="A179" s="145" t="s">
        <v>83</v>
      </c>
      <c r="B179" s="132" t="s">
        <v>873</v>
      </c>
      <c r="C179" s="132" t="s">
        <v>661</v>
      </c>
      <c r="D179" s="99"/>
      <c r="E179" s="150" t="s">
        <v>755</v>
      </c>
      <c r="F179" s="98" t="s">
        <v>1070</v>
      </c>
      <c r="G179" s="145" t="s">
        <v>1247</v>
      </c>
      <c r="H179" s="165"/>
      <c r="I179" s="232">
        <v>18</v>
      </c>
      <c r="J179" s="964">
        <v>1132</v>
      </c>
      <c r="K179" s="166">
        <v>300</v>
      </c>
      <c r="L179" s="888">
        <f t="shared" si="25"/>
        <v>832</v>
      </c>
      <c r="M179" s="980">
        <v>0</v>
      </c>
      <c r="N179" s="980">
        <v>0</v>
      </c>
      <c r="O179" s="980">
        <v>0</v>
      </c>
      <c r="P179" s="889">
        <v>0.84600000000000009</v>
      </c>
      <c r="Q179" s="980">
        <v>1</v>
      </c>
      <c r="R179" s="178">
        <v>1</v>
      </c>
      <c r="S179" s="178">
        <v>1</v>
      </c>
      <c r="T179" s="178">
        <v>1</v>
      </c>
      <c r="U179" s="978">
        <v>0</v>
      </c>
      <c r="V179" s="978">
        <v>0</v>
      </c>
      <c r="W179" s="179"/>
      <c r="X179" s="937" t="s">
        <v>653</v>
      </c>
      <c r="Y179" s="299">
        <f>IFERROR(VLOOKUP($X179,'Demand Lookups'!$A$5:$K$101,9,0), 0)</f>
        <v>0</v>
      </c>
      <c r="Z179" s="922" t="str">
        <f>IFERROR(VLOOKUP(X179,'Demand Lookups'!$A$5:$B$101,2,0),0)</f>
        <v>Non-Electric Measures</v>
      </c>
      <c r="AA179" s="722">
        <v>0</v>
      </c>
      <c r="AB179" s="722">
        <v>0</v>
      </c>
      <c r="AC179" s="722">
        <v>0</v>
      </c>
      <c r="AD179" s="723">
        <v>0</v>
      </c>
      <c r="AE179" s="724">
        <f t="shared" si="46"/>
        <v>0</v>
      </c>
      <c r="AF179" s="723">
        <v>0</v>
      </c>
      <c r="AG179" s="723">
        <v>0</v>
      </c>
      <c r="AH179" s="648">
        <v>0</v>
      </c>
      <c r="AI179" s="648">
        <v>0</v>
      </c>
      <c r="AJ179" s="167" t="s">
        <v>87</v>
      </c>
      <c r="AK179" s="168">
        <v>6.7</v>
      </c>
      <c r="AL179" s="167"/>
      <c r="AM179" s="168"/>
      <c r="AN179" s="167"/>
      <c r="AO179" s="168"/>
      <c r="AP179" s="167"/>
      <c r="AQ179" s="171"/>
      <c r="AR179" s="171"/>
      <c r="AS179" s="299">
        <f>SUMIF('NEI Lookups'!$L:$L,'Inputs Yr 2'!$F179,'NEI Lookups'!E:E)+SUMIF('NEI Lookups'!$M:$M,'Inputs Yr 2'!$F179,'NEI Lookups'!E:E)+SUMIF('NEI Lookups'!$N:$N,'Inputs Yr 2'!$F179,'NEI Lookups'!E:E)+SUMIF('NEI Lookups'!$O:$O,'Inputs Yr 2'!$F179,'NEI Lookups'!E:E)+SUMIF('NEI Lookups'!$P:$P,'Inputs Yr 2'!$F179,'NEI Lookups'!E:E)+SUMIF('NEI Lookups'!$Q:$Q,'Inputs Yr 2'!$F179,'NEI Lookups'!E:E)+SUMIF('NEI Lookups'!$R:$R,'Inputs Yr 2'!$F179,'NEI Lookups'!E:E)+SUMIF('NEI Lookups'!$S:$S,'Inputs Yr 2'!$F179,'NEI Lookups'!E:E)+SUMIF('NEI Lookups'!$T:$T,'Inputs Yr 2'!$F179,'NEI Lookups'!E:E)</f>
        <v>0</v>
      </c>
      <c r="AT179" s="299">
        <f>SUMIF('NEI Lookups'!$L:$L,'Inputs Yr 2'!$F179,'NEI Lookups'!F:F)+SUMIF('NEI Lookups'!$M:$M,'Inputs Yr 2'!$F179,'NEI Lookups'!F:F)+SUMIF('NEI Lookups'!$N:$N,'Inputs Yr 2'!$F179,'NEI Lookups'!F:F)+SUMIF('NEI Lookups'!$O:$O,'Inputs Yr 2'!$F179,'NEI Lookups'!F:F)+SUMIF('NEI Lookups'!$P:$P,'Inputs Yr 2'!$F179,'NEI Lookups'!F:F)+SUMIF('NEI Lookups'!$Q:$Q,'Inputs Yr 2'!$F179,'NEI Lookups'!F:F)+SUMIF('NEI Lookups'!$R:$R,'Inputs Yr 2'!$F179,'NEI Lookups'!F:F)+SUMIF('NEI Lookups'!$S:$S,'Inputs Yr 2'!$F179,'NEI Lookups'!F:F)+SUMIF('NEI Lookups'!$T:$T,'Inputs Yr 2'!$F179,'NEI Lookups'!F:F)</f>
        <v>0</v>
      </c>
      <c r="AU179" s="299">
        <f>SUMIF('NEI Lookups'!$L:$L,'Inputs Yr 2'!$F179,'NEI Lookups'!G:G)+SUMIF('NEI Lookups'!$M:$M,'Inputs Yr 2'!$F179,'NEI Lookups'!G:G)+SUMIF('NEI Lookups'!$N:$N,'Inputs Yr 2'!$F179,'NEI Lookups'!G:G)+SUMIF('NEI Lookups'!$O:$O,'Inputs Yr 2'!$F179,'NEI Lookups'!G:G)+SUMIF('NEI Lookups'!$P:$P,'Inputs Yr 2'!$F179,'NEI Lookups'!G:G)+SUMIF('NEI Lookups'!$Q:$Q,'Inputs Yr 2'!$F179,'NEI Lookups'!G:G)+SUMIF('NEI Lookups'!$R:$R,'Inputs Yr 2'!$F179,'NEI Lookups'!G:G)+SUMIF('NEI Lookups'!$S:$S,'Inputs Yr 2'!$F179,'NEI Lookups'!G:G)+SUMIF('NEI Lookups'!$T:$T,'Inputs Yr 2'!$F179,'NEI Lookups'!G:G)</f>
        <v>0</v>
      </c>
      <c r="AV179" s="299">
        <f>SUMIF('NEI Lookups'!$L:$L,'Inputs Yr 2'!$F179,'NEI Lookups'!H:H)+SUMIF('NEI Lookups'!$M:$M,'Inputs Yr 2'!$F179,'NEI Lookups'!H:H)+SUMIF('NEI Lookups'!$N:$N,'Inputs Yr 2'!$F179,'NEI Lookups'!H:H)+SUMIF('NEI Lookups'!$O:$O,'Inputs Yr 2'!$F179,'NEI Lookups'!H:H)+SUMIF('NEI Lookups'!$P:$P,'Inputs Yr 2'!$F179,'NEI Lookups'!H:H)+SUMIF('NEI Lookups'!$Q:$Q,'Inputs Yr 2'!$F179,'NEI Lookups'!H:H)+SUMIF('NEI Lookups'!$R:$R,'Inputs Yr 2'!$F179,'NEI Lookups'!H:H)+SUMIF('NEI Lookups'!$S:$S,'Inputs Yr 2'!$F179,'NEI Lookups'!H:H)+SUMIF('NEI Lookups'!$T:$T,'Inputs Yr 2'!$F179,'NEI Lookups'!H:H)</f>
        <v>0</v>
      </c>
      <c r="AW179" s="299">
        <f>SUMIF('NEI Lookups'!$L:$L,'Inputs Yr 2'!$F179,'NEI Lookups'!I:I)+SUMIF('NEI Lookups'!$M:$M,'Inputs Yr 2'!$F179,'NEI Lookups'!I:I)+SUMIF('NEI Lookups'!$N:$N,'Inputs Yr 2'!$F179,'NEI Lookups'!I:I)+SUMIF('NEI Lookups'!$O:$O,'Inputs Yr 2'!$F179,'NEI Lookups'!I:I)+SUMIF('NEI Lookups'!$P:$P,'Inputs Yr 2'!$F179,'NEI Lookups'!I:I)+SUMIF('NEI Lookups'!$Q:$Q,'Inputs Yr 2'!$F179,'NEI Lookups'!I:I)+SUMIF('NEI Lookups'!$R:$R,'Inputs Yr 2'!$F179,'NEI Lookups'!I:I)+SUMIF('NEI Lookups'!$S:$S,'Inputs Yr 2'!$F179,'NEI Lookups'!I:I)+SUMIF('NEI Lookups'!$T:$T,'Inputs Yr 2'!$F179,'NEI Lookups'!I:I)</f>
        <v>5.2999999999999999E-2</v>
      </c>
      <c r="AX179" s="299">
        <f>SUMIF('NEI Lookups'!$L:$L,'Inputs Yr 2'!$F179,'NEI Lookups'!J:J)+SUMIF('NEI Lookups'!$M:$M,'Inputs Yr 2'!$F179,'NEI Lookups'!J:J)+SUMIF('NEI Lookups'!$N:$N,'Inputs Yr 2'!$F179,'NEI Lookups'!J:J)+SUMIF('NEI Lookups'!$O:$O,'Inputs Yr 2'!$F179,'NEI Lookups'!J:J)+SUMIF('NEI Lookups'!$P:$P,'Inputs Yr 2'!$F179,'NEI Lookups'!J:J)+SUMIF('NEI Lookups'!$Q:$Q,'Inputs Yr 2'!$F179,'NEI Lookups'!J:J)+SUMIF('NEI Lookups'!$R:$R,'Inputs Yr 2'!$F179,'NEI Lookups'!J:J)+SUMIF('NEI Lookups'!$S:$S,'Inputs Yr 2'!$F179,'NEI Lookups'!J:J)+SUMIF('NEI Lookups'!$T:$T,'Inputs Yr 2'!$F179,'NEI Lookups'!J:J)</f>
        <v>0</v>
      </c>
      <c r="AY179" s="930" t="e">
        <f>'Calculations Yr 2'!CP179/'Calculations Yr 2'!I179</f>
        <v>#VALUE!</v>
      </c>
    </row>
    <row r="180" spans="1:51" s="133" customFormat="1" ht="12.75" customHeight="1">
      <c r="A180" s="145" t="s">
        <v>83</v>
      </c>
      <c r="B180" s="132" t="s">
        <v>873</v>
      </c>
      <c r="C180" s="132" t="s">
        <v>661</v>
      </c>
      <c r="D180" s="99"/>
      <c r="E180" s="150" t="s">
        <v>775</v>
      </c>
      <c r="F180" s="98" t="s">
        <v>1071</v>
      </c>
      <c r="G180" s="145" t="s">
        <v>1247</v>
      </c>
      <c r="I180" s="232">
        <v>25</v>
      </c>
      <c r="J180" s="964">
        <v>3848</v>
      </c>
      <c r="K180" s="166">
        <v>1500</v>
      </c>
      <c r="L180" s="888">
        <f t="shared" si="25"/>
        <v>2348</v>
      </c>
      <c r="M180" s="980">
        <v>0</v>
      </c>
      <c r="N180" s="980">
        <v>0</v>
      </c>
      <c r="O180" s="980">
        <v>0</v>
      </c>
      <c r="P180" s="889">
        <v>0.84600000000000009</v>
      </c>
      <c r="Q180" s="980">
        <v>1</v>
      </c>
      <c r="R180" s="178">
        <v>1</v>
      </c>
      <c r="S180" s="178">
        <v>1</v>
      </c>
      <c r="T180" s="178">
        <v>1</v>
      </c>
      <c r="U180" s="978">
        <v>0</v>
      </c>
      <c r="V180" s="978">
        <v>0</v>
      </c>
      <c r="W180" s="179"/>
      <c r="X180" s="937" t="s">
        <v>653</v>
      </c>
      <c r="Y180" s="299">
        <f>IFERROR(VLOOKUP($X180,'Demand Lookups'!$A$5:$K$101,9,0), 0)</f>
        <v>0</v>
      </c>
      <c r="Z180" s="922" t="str">
        <f>IFERROR(VLOOKUP(X180,'Demand Lookups'!$A$5:$B$101,2,0),0)</f>
        <v>Non-Electric Measures</v>
      </c>
      <c r="AA180" s="722">
        <v>0</v>
      </c>
      <c r="AB180" s="722">
        <v>0</v>
      </c>
      <c r="AC180" s="722">
        <v>0</v>
      </c>
      <c r="AD180" s="723">
        <v>0</v>
      </c>
      <c r="AE180" s="724">
        <f t="shared" si="46"/>
        <v>0</v>
      </c>
      <c r="AF180" s="723">
        <v>0</v>
      </c>
      <c r="AG180" s="723">
        <v>0</v>
      </c>
      <c r="AH180" s="648">
        <v>0</v>
      </c>
      <c r="AI180" s="648">
        <v>0</v>
      </c>
      <c r="AJ180" s="167" t="s">
        <v>87</v>
      </c>
      <c r="AK180" s="168">
        <v>17.7</v>
      </c>
      <c r="AL180" s="167"/>
      <c r="AM180" s="168"/>
      <c r="AN180" s="167"/>
      <c r="AO180" s="168"/>
      <c r="AP180" s="167"/>
      <c r="AQ180" s="171"/>
      <c r="AR180" s="171"/>
      <c r="AS180" s="299">
        <f>SUMIF('NEI Lookups'!$L:$L,'Inputs Yr 2'!$F180,'NEI Lookups'!E:E)+SUMIF('NEI Lookups'!$M:$M,'Inputs Yr 2'!$F180,'NEI Lookups'!E:E)+SUMIF('NEI Lookups'!$N:$N,'Inputs Yr 2'!$F180,'NEI Lookups'!E:E)+SUMIF('NEI Lookups'!$O:$O,'Inputs Yr 2'!$F180,'NEI Lookups'!E:E)+SUMIF('NEI Lookups'!$P:$P,'Inputs Yr 2'!$F180,'NEI Lookups'!E:E)+SUMIF('NEI Lookups'!$Q:$Q,'Inputs Yr 2'!$F180,'NEI Lookups'!E:E)+SUMIF('NEI Lookups'!$R:$R,'Inputs Yr 2'!$F180,'NEI Lookups'!E:E)+SUMIF('NEI Lookups'!$S:$S,'Inputs Yr 2'!$F180,'NEI Lookups'!E:E)+SUMIF('NEI Lookups'!$T:$T,'Inputs Yr 2'!$F180,'NEI Lookups'!E:E)</f>
        <v>0</v>
      </c>
      <c r="AT180" s="299">
        <f>SUMIF('NEI Lookups'!$L:$L,'Inputs Yr 2'!$F180,'NEI Lookups'!F:F)+SUMIF('NEI Lookups'!$M:$M,'Inputs Yr 2'!$F180,'NEI Lookups'!F:F)+SUMIF('NEI Lookups'!$N:$N,'Inputs Yr 2'!$F180,'NEI Lookups'!F:F)+SUMIF('NEI Lookups'!$O:$O,'Inputs Yr 2'!$F180,'NEI Lookups'!F:F)+SUMIF('NEI Lookups'!$P:$P,'Inputs Yr 2'!$F180,'NEI Lookups'!F:F)+SUMIF('NEI Lookups'!$Q:$Q,'Inputs Yr 2'!$F180,'NEI Lookups'!F:F)+SUMIF('NEI Lookups'!$R:$R,'Inputs Yr 2'!$F180,'NEI Lookups'!F:F)+SUMIF('NEI Lookups'!$S:$S,'Inputs Yr 2'!$F180,'NEI Lookups'!F:F)+SUMIF('NEI Lookups'!$T:$T,'Inputs Yr 2'!$F180,'NEI Lookups'!F:F)</f>
        <v>0</v>
      </c>
      <c r="AU180" s="299">
        <f>SUMIF('NEI Lookups'!$L:$L,'Inputs Yr 2'!$F180,'NEI Lookups'!G:G)+SUMIF('NEI Lookups'!$M:$M,'Inputs Yr 2'!$F180,'NEI Lookups'!G:G)+SUMIF('NEI Lookups'!$N:$N,'Inputs Yr 2'!$F180,'NEI Lookups'!G:G)+SUMIF('NEI Lookups'!$O:$O,'Inputs Yr 2'!$F180,'NEI Lookups'!G:G)+SUMIF('NEI Lookups'!$P:$P,'Inputs Yr 2'!$F180,'NEI Lookups'!G:G)+SUMIF('NEI Lookups'!$Q:$Q,'Inputs Yr 2'!$F180,'NEI Lookups'!G:G)+SUMIF('NEI Lookups'!$R:$R,'Inputs Yr 2'!$F180,'NEI Lookups'!G:G)+SUMIF('NEI Lookups'!$S:$S,'Inputs Yr 2'!$F180,'NEI Lookups'!G:G)+SUMIF('NEI Lookups'!$T:$T,'Inputs Yr 2'!$F180,'NEI Lookups'!G:G)</f>
        <v>0</v>
      </c>
      <c r="AV180" s="299">
        <f>SUMIF('NEI Lookups'!$L:$L,'Inputs Yr 2'!$F180,'NEI Lookups'!H:H)+SUMIF('NEI Lookups'!$M:$M,'Inputs Yr 2'!$F180,'NEI Lookups'!H:H)+SUMIF('NEI Lookups'!$N:$N,'Inputs Yr 2'!$F180,'NEI Lookups'!H:H)+SUMIF('NEI Lookups'!$O:$O,'Inputs Yr 2'!$F180,'NEI Lookups'!H:H)+SUMIF('NEI Lookups'!$P:$P,'Inputs Yr 2'!$F180,'NEI Lookups'!H:H)+SUMIF('NEI Lookups'!$Q:$Q,'Inputs Yr 2'!$F180,'NEI Lookups'!H:H)+SUMIF('NEI Lookups'!$R:$R,'Inputs Yr 2'!$F180,'NEI Lookups'!H:H)+SUMIF('NEI Lookups'!$S:$S,'Inputs Yr 2'!$F180,'NEI Lookups'!H:H)+SUMIF('NEI Lookups'!$T:$T,'Inputs Yr 2'!$F180,'NEI Lookups'!H:H)</f>
        <v>0</v>
      </c>
      <c r="AW180" s="299">
        <f>SUMIF('NEI Lookups'!$L:$L,'Inputs Yr 2'!$F180,'NEI Lookups'!I:I)+SUMIF('NEI Lookups'!$M:$M,'Inputs Yr 2'!$F180,'NEI Lookups'!I:I)+SUMIF('NEI Lookups'!$N:$N,'Inputs Yr 2'!$F180,'NEI Lookups'!I:I)+SUMIF('NEI Lookups'!$O:$O,'Inputs Yr 2'!$F180,'NEI Lookups'!I:I)+SUMIF('NEI Lookups'!$P:$P,'Inputs Yr 2'!$F180,'NEI Lookups'!I:I)+SUMIF('NEI Lookups'!$Q:$Q,'Inputs Yr 2'!$F180,'NEI Lookups'!I:I)+SUMIF('NEI Lookups'!$R:$R,'Inputs Yr 2'!$F180,'NEI Lookups'!I:I)+SUMIF('NEI Lookups'!$S:$S,'Inputs Yr 2'!$F180,'NEI Lookups'!I:I)+SUMIF('NEI Lookups'!$T:$T,'Inputs Yr 2'!$F180,'NEI Lookups'!I:I)</f>
        <v>-8.4000000000000005E-2</v>
      </c>
      <c r="AX180" s="299">
        <f>SUMIF('NEI Lookups'!$L:$L,'Inputs Yr 2'!$F180,'NEI Lookups'!J:J)+SUMIF('NEI Lookups'!$M:$M,'Inputs Yr 2'!$F180,'NEI Lookups'!J:J)+SUMIF('NEI Lookups'!$N:$N,'Inputs Yr 2'!$F180,'NEI Lookups'!J:J)+SUMIF('NEI Lookups'!$O:$O,'Inputs Yr 2'!$F180,'NEI Lookups'!J:J)+SUMIF('NEI Lookups'!$P:$P,'Inputs Yr 2'!$F180,'NEI Lookups'!J:J)+SUMIF('NEI Lookups'!$Q:$Q,'Inputs Yr 2'!$F180,'NEI Lookups'!J:J)+SUMIF('NEI Lookups'!$R:$R,'Inputs Yr 2'!$F180,'NEI Lookups'!J:J)+SUMIF('NEI Lookups'!$S:$S,'Inputs Yr 2'!$F180,'NEI Lookups'!J:J)+SUMIF('NEI Lookups'!$T:$T,'Inputs Yr 2'!$F180,'NEI Lookups'!J:J)</f>
        <v>0</v>
      </c>
      <c r="AY180" s="930" t="e">
        <f>'Calculations Yr 2'!CP180/'Calculations Yr 2'!I180</f>
        <v>#VALUE!</v>
      </c>
    </row>
    <row r="181" spans="1:51" s="133" customFormat="1" ht="12.75" customHeight="1">
      <c r="A181" s="145" t="s">
        <v>83</v>
      </c>
      <c r="B181" s="132" t="s">
        <v>873</v>
      </c>
      <c r="C181" s="132" t="s">
        <v>661</v>
      </c>
      <c r="D181" s="99"/>
      <c r="E181" s="150" t="s">
        <v>776</v>
      </c>
      <c r="F181" s="98" t="s">
        <v>1072</v>
      </c>
      <c r="G181" s="145" t="s">
        <v>1247</v>
      </c>
      <c r="H181" s="165">
        <v>2</v>
      </c>
      <c r="I181" s="232">
        <v>25</v>
      </c>
      <c r="J181" s="964">
        <v>3479</v>
      </c>
      <c r="K181" s="166">
        <v>1500</v>
      </c>
      <c r="L181" s="888">
        <f t="shared" si="25"/>
        <v>1979</v>
      </c>
      <c r="M181" s="980">
        <v>0.30099999999999999</v>
      </c>
      <c r="N181" s="980">
        <v>0.14699999999999999</v>
      </c>
      <c r="O181" s="980">
        <v>0</v>
      </c>
      <c r="P181" s="889">
        <v>0.84600000000000009</v>
      </c>
      <c r="Q181" s="980">
        <v>1</v>
      </c>
      <c r="R181" s="178">
        <v>1</v>
      </c>
      <c r="S181" s="178">
        <v>1</v>
      </c>
      <c r="T181" s="178">
        <v>1</v>
      </c>
      <c r="U181" s="978">
        <v>1</v>
      </c>
      <c r="V181" s="978">
        <v>1</v>
      </c>
      <c r="W181" s="179"/>
      <c r="X181" s="937" t="s">
        <v>653</v>
      </c>
      <c r="Y181" s="299">
        <f>IFERROR(VLOOKUP($X181,'Demand Lookups'!$A$5:$K$101,9,0), 0)</f>
        <v>0</v>
      </c>
      <c r="Z181" s="922" t="str">
        <f>IFERROR(VLOOKUP(X181,'Demand Lookups'!$A$5:$B$101,2,0),0)</f>
        <v>Non-Electric Measures</v>
      </c>
      <c r="AA181" s="722">
        <v>0</v>
      </c>
      <c r="AB181" s="722">
        <v>0</v>
      </c>
      <c r="AC181" s="722">
        <v>0</v>
      </c>
      <c r="AD181" s="723">
        <v>0</v>
      </c>
      <c r="AE181" s="724">
        <f t="shared" si="46"/>
        <v>0</v>
      </c>
      <c r="AF181" s="723">
        <v>0</v>
      </c>
      <c r="AG181" s="723">
        <v>0</v>
      </c>
      <c r="AH181" s="648">
        <v>0</v>
      </c>
      <c r="AI181" s="648">
        <v>0</v>
      </c>
      <c r="AJ181" s="167" t="s">
        <v>87</v>
      </c>
      <c r="AK181" s="168">
        <v>14.7</v>
      </c>
      <c r="AL181" s="167"/>
      <c r="AM181" s="168"/>
      <c r="AN181" s="167"/>
      <c r="AO181" s="168"/>
      <c r="AP181" s="167"/>
      <c r="AQ181" s="171"/>
      <c r="AR181" s="171"/>
      <c r="AS181" s="299">
        <f>SUMIF('NEI Lookups'!$L:$L,'Inputs Yr 2'!$F181,'NEI Lookups'!E:E)+SUMIF('NEI Lookups'!$M:$M,'Inputs Yr 2'!$F181,'NEI Lookups'!E:E)+SUMIF('NEI Lookups'!$N:$N,'Inputs Yr 2'!$F181,'NEI Lookups'!E:E)+SUMIF('NEI Lookups'!$O:$O,'Inputs Yr 2'!$F181,'NEI Lookups'!E:E)+SUMIF('NEI Lookups'!$P:$P,'Inputs Yr 2'!$F181,'NEI Lookups'!E:E)+SUMIF('NEI Lookups'!$Q:$Q,'Inputs Yr 2'!$F181,'NEI Lookups'!E:E)+SUMIF('NEI Lookups'!$R:$R,'Inputs Yr 2'!$F181,'NEI Lookups'!E:E)+SUMIF('NEI Lookups'!$S:$S,'Inputs Yr 2'!$F181,'NEI Lookups'!E:E)+SUMIF('NEI Lookups'!$T:$T,'Inputs Yr 2'!$F181,'NEI Lookups'!E:E)</f>
        <v>0</v>
      </c>
      <c r="AT181" s="299">
        <f>SUMIF('NEI Lookups'!$L:$L,'Inputs Yr 2'!$F181,'NEI Lookups'!F:F)+SUMIF('NEI Lookups'!$M:$M,'Inputs Yr 2'!$F181,'NEI Lookups'!F:F)+SUMIF('NEI Lookups'!$N:$N,'Inputs Yr 2'!$F181,'NEI Lookups'!F:F)+SUMIF('NEI Lookups'!$O:$O,'Inputs Yr 2'!$F181,'NEI Lookups'!F:F)+SUMIF('NEI Lookups'!$P:$P,'Inputs Yr 2'!$F181,'NEI Lookups'!F:F)+SUMIF('NEI Lookups'!$Q:$Q,'Inputs Yr 2'!$F181,'NEI Lookups'!F:F)+SUMIF('NEI Lookups'!$R:$R,'Inputs Yr 2'!$F181,'NEI Lookups'!F:F)+SUMIF('NEI Lookups'!$S:$S,'Inputs Yr 2'!$F181,'NEI Lookups'!F:F)+SUMIF('NEI Lookups'!$T:$T,'Inputs Yr 2'!$F181,'NEI Lookups'!F:F)</f>
        <v>0</v>
      </c>
      <c r="AU181" s="299">
        <f>SUMIF('NEI Lookups'!$L:$L,'Inputs Yr 2'!$F181,'NEI Lookups'!G:G)+SUMIF('NEI Lookups'!$M:$M,'Inputs Yr 2'!$F181,'NEI Lookups'!G:G)+SUMIF('NEI Lookups'!$N:$N,'Inputs Yr 2'!$F181,'NEI Lookups'!G:G)+SUMIF('NEI Lookups'!$O:$O,'Inputs Yr 2'!$F181,'NEI Lookups'!G:G)+SUMIF('NEI Lookups'!$P:$P,'Inputs Yr 2'!$F181,'NEI Lookups'!G:G)+SUMIF('NEI Lookups'!$Q:$Q,'Inputs Yr 2'!$F181,'NEI Lookups'!G:G)+SUMIF('NEI Lookups'!$R:$R,'Inputs Yr 2'!$F181,'NEI Lookups'!G:G)+SUMIF('NEI Lookups'!$S:$S,'Inputs Yr 2'!$F181,'NEI Lookups'!G:G)+SUMIF('NEI Lookups'!$T:$T,'Inputs Yr 2'!$F181,'NEI Lookups'!G:G)</f>
        <v>0</v>
      </c>
      <c r="AV181" s="299">
        <f>SUMIF('NEI Lookups'!$L:$L,'Inputs Yr 2'!$F181,'NEI Lookups'!H:H)+SUMIF('NEI Lookups'!$M:$M,'Inputs Yr 2'!$F181,'NEI Lookups'!H:H)+SUMIF('NEI Lookups'!$N:$N,'Inputs Yr 2'!$F181,'NEI Lookups'!H:H)+SUMIF('NEI Lookups'!$O:$O,'Inputs Yr 2'!$F181,'NEI Lookups'!H:H)+SUMIF('NEI Lookups'!$P:$P,'Inputs Yr 2'!$F181,'NEI Lookups'!H:H)+SUMIF('NEI Lookups'!$Q:$Q,'Inputs Yr 2'!$F181,'NEI Lookups'!H:H)+SUMIF('NEI Lookups'!$R:$R,'Inputs Yr 2'!$F181,'NEI Lookups'!H:H)+SUMIF('NEI Lookups'!$S:$S,'Inputs Yr 2'!$F181,'NEI Lookups'!H:H)+SUMIF('NEI Lookups'!$T:$T,'Inputs Yr 2'!$F181,'NEI Lookups'!H:H)</f>
        <v>0</v>
      </c>
      <c r="AW181" s="940">
        <f>ROUND(SUMIF('NEI Lookups'!$L:$L,'Inputs Yr 2'!$F181,'NEI Lookups'!I:I)+SUMIF('NEI Lookups'!$M:$M,'Inputs Yr 2'!$F181,'NEI Lookups'!I:I)+SUMIF('NEI Lookups'!$N:$N,'Inputs Yr 2'!$F181,'NEI Lookups'!I:I)+SUMIF('NEI Lookups'!$O:$O,'Inputs Yr 2'!$F181,'NEI Lookups'!I:I)+SUMIF('NEI Lookups'!$P:$P,'Inputs Yr 2'!$F181,'NEI Lookups'!I:I)+SUMIF('NEI Lookups'!$Q:$Q,'Inputs Yr 2'!$F181,'NEI Lookups'!I:I)+SUMIF('NEI Lookups'!$R:$R,'Inputs Yr 2'!$F181,'NEI Lookups'!I:I)+SUMIF('NEI Lookups'!$S:$S,'Inputs Yr 2'!$F181,'NEI Lookups'!I:I)+SUMIF('NEI Lookups'!$T:$T,'Inputs Yr 2'!$F181,'NEI Lookups'!I:I), 2)</f>
        <v>-0.08</v>
      </c>
      <c r="AX181" s="299">
        <f>SUMIF('NEI Lookups'!$L:$L,'Inputs Yr 2'!$F181,'NEI Lookups'!J:J)+SUMIF('NEI Lookups'!$M:$M,'Inputs Yr 2'!$F181,'NEI Lookups'!J:J)+SUMIF('NEI Lookups'!$N:$N,'Inputs Yr 2'!$F181,'NEI Lookups'!J:J)+SUMIF('NEI Lookups'!$O:$O,'Inputs Yr 2'!$F181,'NEI Lookups'!J:J)+SUMIF('NEI Lookups'!$P:$P,'Inputs Yr 2'!$F181,'NEI Lookups'!J:J)+SUMIF('NEI Lookups'!$Q:$Q,'Inputs Yr 2'!$F181,'NEI Lookups'!J:J)+SUMIF('NEI Lookups'!$R:$R,'Inputs Yr 2'!$F181,'NEI Lookups'!J:J)+SUMIF('NEI Lookups'!$S:$S,'Inputs Yr 2'!$F181,'NEI Lookups'!J:J)+SUMIF('NEI Lookups'!$T:$T,'Inputs Yr 2'!$F181,'NEI Lookups'!J:J)</f>
        <v>0</v>
      </c>
      <c r="AY181" s="930">
        <f>'Calculations Yr 2'!CP181/'Calculations Yr 2'!I181</f>
        <v>0.84854652718590962</v>
      </c>
    </row>
    <row r="182" spans="1:51" s="133" customFormat="1" ht="12.75" customHeight="1">
      <c r="A182" s="145" t="s">
        <v>83</v>
      </c>
      <c r="B182" s="132" t="s">
        <v>873</v>
      </c>
      <c r="C182" s="132" t="s">
        <v>661</v>
      </c>
      <c r="D182" s="97"/>
      <c r="E182" s="150" t="s">
        <v>777</v>
      </c>
      <c r="F182" s="98" t="s">
        <v>1073</v>
      </c>
      <c r="G182" s="145" t="s">
        <v>1247</v>
      </c>
      <c r="H182" s="165"/>
      <c r="I182" s="232">
        <v>25</v>
      </c>
      <c r="J182" s="964">
        <v>3879</v>
      </c>
      <c r="K182" s="166">
        <v>2000</v>
      </c>
      <c r="L182" s="888">
        <f t="shared" si="25"/>
        <v>1879</v>
      </c>
      <c r="M182" s="980">
        <v>0.30099999999999999</v>
      </c>
      <c r="N182" s="980">
        <v>0.14699999999999999</v>
      </c>
      <c r="O182" s="980">
        <v>0</v>
      </c>
      <c r="P182" s="889">
        <v>0.84600000000000009</v>
      </c>
      <c r="Q182" s="980">
        <v>1</v>
      </c>
      <c r="R182" s="178">
        <v>1</v>
      </c>
      <c r="S182" s="178">
        <v>1</v>
      </c>
      <c r="T182" s="178">
        <v>1</v>
      </c>
      <c r="U182" s="978">
        <v>1</v>
      </c>
      <c r="V182" s="978">
        <v>0</v>
      </c>
      <c r="W182" s="179"/>
      <c r="X182" s="937" t="s">
        <v>653</v>
      </c>
      <c r="Y182" s="299">
        <f>IFERROR(VLOOKUP($X182,'Demand Lookups'!$A$5:$K$101,9,0), 0)</f>
        <v>0</v>
      </c>
      <c r="Z182" s="922" t="str">
        <f>IFERROR(VLOOKUP(X182,'Demand Lookups'!$A$5:$B$101,2,0),0)</f>
        <v>Non-Electric Measures</v>
      </c>
      <c r="AA182" s="722">
        <v>0</v>
      </c>
      <c r="AB182" s="722">
        <v>0</v>
      </c>
      <c r="AC182" s="722">
        <v>0</v>
      </c>
      <c r="AD182" s="723">
        <v>0</v>
      </c>
      <c r="AE182" s="724">
        <f t="shared" si="46"/>
        <v>0</v>
      </c>
      <c r="AF182" s="723">
        <v>0</v>
      </c>
      <c r="AG182" s="723">
        <v>0</v>
      </c>
      <c r="AH182" s="648">
        <v>0</v>
      </c>
      <c r="AI182" s="648">
        <v>0</v>
      </c>
      <c r="AJ182" s="167" t="s">
        <v>87</v>
      </c>
      <c r="AK182" s="168">
        <v>28</v>
      </c>
      <c r="AL182" s="167"/>
      <c r="AM182" s="168"/>
      <c r="AN182" s="167"/>
      <c r="AO182" s="168"/>
      <c r="AP182" s="167"/>
      <c r="AQ182" s="171"/>
      <c r="AR182" s="171"/>
      <c r="AS182" s="299">
        <f>SUMIF('NEI Lookups'!$L:$L,'Inputs Yr 2'!$F182,'NEI Lookups'!E:E)+SUMIF('NEI Lookups'!$M:$M,'Inputs Yr 2'!$F182,'NEI Lookups'!E:E)+SUMIF('NEI Lookups'!$N:$N,'Inputs Yr 2'!$F182,'NEI Lookups'!E:E)+SUMIF('NEI Lookups'!$O:$O,'Inputs Yr 2'!$F182,'NEI Lookups'!E:E)+SUMIF('NEI Lookups'!$P:$P,'Inputs Yr 2'!$F182,'NEI Lookups'!E:E)+SUMIF('NEI Lookups'!$Q:$Q,'Inputs Yr 2'!$F182,'NEI Lookups'!E:E)+SUMIF('NEI Lookups'!$R:$R,'Inputs Yr 2'!$F182,'NEI Lookups'!E:E)+SUMIF('NEI Lookups'!$S:$S,'Inputs Yr 2'!$F182,'NEI Lookups'!E:E)+SUMIF('NEI Lookups'!$T:$T,'Inputs Yr 2'!$F182,'NEI Lookups'!E:E)</f>
        <v>0</v>
      </c>
      <c r="AT182" s="299">
        <f>SUMIF('NEI Lookups'!$L:$L,'Inputs Yr 2'!$F182,'NEI Lookups'!F:F)+SUMIF('NEI Lookups'!$M:$M,'Inputs Yr 2'!$F182,'NEI Lookups'!F:F)+SUMIF('NEI Lookups'!$N:$N,'Inputs Yr 2'!$F182,'NEI Lookups'!F:F)+SUMIF('NEI Lookups'!$O:$O,'Inputs Yr 2'!$F182,'NEI Lookups'!F:F)+SUMIF('NEI Lookups'!$P:$P,'Inputs Yr 2'!$F182,'NEI Lookups'!F:F)+SUMIF('NEI Lookups'!$Q:$Q,'Inputs Yr 2'!$F182,'NEI Lookups'!F:F)+SUMIF('NEI Lookups'!$R:$R,'Inputs Yr 2'!$F182,'NEI Lookups'!F:F)+SUMIF('NEI Lookups'!$S:$S,'Inputs Yr 2'!$F182,'NEI Lookups'!F:F)+SUMIF('NEI Lookups'!$T:$T,'Inputs Yr 2'!$F182,'NEI Lookups'!F:F)</f>
        <v>0</v>
      </c>
      <c r="AU182" s="299">
        <f>SUMIF('NEI Lookups'!$L:$L,'Inputs Yr 2'!$F182,'NEI Lookups'!G:G)+SUMIF('NEI Lookups'!$M:$M,'Inputs Yr 2'!$F182,'NEI Lookups'!G:G)+SUMIF('NEI Lookups'!$N:$N,'Inputs Yr 2'!$F182,'NEI Lookups'!G:G)+SUMIF('NEI Lookups'!$O:$O,'Inputs Yr 2'!$F182,'NEI Lookups'!G:G)+SUMIF('NEI Lookups'!$P:$P,'Inputs Yr 2'!$F182,'NEI Lookups'!G:G)+SUMIF('NEI Lookups'!$Q:$Q,'Inputs Yr 2'!$F182,'NEI Lookups'!G:G)+SUMIF('NEI Lookups'!$R:$R,'Inputs Yr 2'!$F182,'NEI Lookups'!G:G)+SUMIF('NEI Lookups'!$S:$S,'Inputs Yr 2'!$F182,'NEI Lookups'!G:G)+SUMIF('NEI Lookups'!$T:$T,'Inputs Yr 2'!$F182,'NEI Lookups'!G:G)</f>
        <v>0</v>
      </c>
      <c r="AV182" s="299">
        <f>SUMIF('NEI Lookups'!$L:$L,'Inputs Yr 2'!$F182,'NEI Lookups'!H:H)+SUMIF('NEI Lookups'!$M:$M,'Inputs Yr 2'!$F182,'NEI Lookups'!H:H)+SUMIF('NEI Lookups'!$N:$N,'Inputs Yr 2'!$F182,'NEI Lookups'!H:H)+SUMIF('NEI Lookups'!$O:$O,'Inputs Yr 2'!$F182,'NEI Lookups'!H:H)+SUMIF('NEI Lookups'!$P:$P,'Inputs Yr 2'!$F182,'NEI Lookups'!H:H)+SUMIF('NEI Lookups'!$Q:$Q,'Inputs Yr 2'!$F182,'NEI Lookups'!H:H)+SUMIF('NEI Lookups'!$R:$R,'Inputs Yr 2'!$F182,'NEI Lookups'!H:H)+SUMIF('NEI Lookups'!$S:$S,'Inputs Yr 2'!$F182,'NEI Lookups'!H:H)+SUMIF('NEI Lookups'!$T:$T,'Inputs Yr 2'!$F182,'NEI Lookups'!H:H)</f>
        <v>0</v>
      </c>
      <c r="AW182" s="299">
        <f>SUMIF('NEI Lookups'!$L:$L,'Inputs Yr 2'!$F182,'NEI Lookups'!I:I)+SUMIF('NEI Lookups'!$M:$M,'Inputs Yr 2'!$F182,'NEI Lookups'!I:I)+SUMIF('NEI Lookups'!$N:$N,'Inputs Yr 2'!$F182,'NEI Lookups'!I:I)+SUMIF('NEI Lookups'!$O:$O,'Inputs Yr 2'!$F182,'NEI Lookups'!I:I)+SUMIF('NEI Lookups'!$P:$P,'Inputs Yr 2'!$F182,'NEI Lookups'!I:I)+SUMIF('NEI Lookups'!$Q:$Q,'Inputs Yr 2'!$F182,'NEI Lookups'!I:I)+SUMIF('NEI Lookups'!$R:$R,'Inputs Yr 2'!$F182,'NEI Lookups'!I:I)+SUMIF('NEI Lookups'!$S:$S,'Inputs Yr 2'!$F182,'NEI Lookups'!I:I)+SUMIF('NEI Lookups'!$T:$T,'Inputs Yr 2'!$F182,'NEI Lookups'!I:I)</f>
        <v>-8.4000000000000005E-2</v>
      </c>
      <c r="AX182" s="299">
        <f>SUMIF('NEI Lookups'!$L:$L,'Inputs Yr 2'!$F182,'NEI Lookups'!J:J)+SUMIF('NEI Lookups'!$M:$M,'Inputs Yr 2'!$F182,'NEI Lookups'!J:J)+SUMIF('NEI Lookups'!$N:$N,'Inputs Yr 2'!$F182,'NEI Lookups'!J:J)+SUMIF('NEI Lookups'!$O:$O,'Inputs Yr 2'!$F182,'NEI Lookups'!J:J)+SUMIF('NEI Lookups'!$P:$P,'Inputs Yr 2'!$F182,'NEI Lookups'!J:J)+SUMIF('NEI Lookups'!$Q:$Q,'Inputs Yr 2'!$F182,'NEI Lookups'!J:J)+SUMIF('NEI Lookups'!$R:$R,'Inputs Yr 2'!$F182,'NEI Lookups'!J:J)+SUMIF('NEI Lookups'!$S:$S,'Inputs Yr 2'!$F182,'NEI Lookups'!J:J)+SUMIF('NEI Lookups'!$T:$T,'Inputs Yr 2'!$F182,'NEI Lookups'!J:J)</f>
        <v>0</v>
      </c>
      <c r="AY182" s="930" t="e">
        <f>'Calculations Yr 2'!CP182/'Calculations Yr 2'!I182</f>
        <v>#VALUE!</v>
      </c>
    </row>
    <row r="183" spans="1:51" s="133" customFormat="1" ht="12.75" customHeight="1">
      <c r="A183" s="145" t="s">
        <v>83</v>
      </c>
      <c r="B183" s="132" t="s">
        <v>873</v>
      </c>
      <c r="C183" s="132" t="s">
        <v>661</v>
      </c>
      <c r="D183" s="99"/>
      <c r="E183" s="98" t="s">
        <v>778</v>
      </c>
      <c r="F183" s="98" t="s">
        <v>1074</v>
      </c>
      <c r="G183" s="145" t="s">
        <v>1247</v>
      </c>
      <c r="H183" s="165">
        <v>4</v>
      </c>
      <c r="I183" s="232">
        <v>25</v>
      </c>
      <c r="J183" s="964">
        <v>5077</v>
      </c>
      <c r="K183" s="166">
        <v>4000</v>
      </c>
      <c r="L183" s="888">
        <f t="shared" si="25"/>
        <v>1077</v>
      </c>
      <c r="M183" s="980">
        <v>0.30099999999999999</v>
      </c>
      <c r="N183" s="980">
        <v>0.14699999999999999</v>
      </c>
      <c r="O183" s="980">
        <v>0</v>
      </c>
      <c r="P183" s="889">
        <v>0.84600000000000009</v>
      </c>
      <c r="Q183" s="980">
        <v>1</v>
      </c>
      <c r="R183" s="178">
        <v>1</v>
      </c>
      <c r="S183" s="178">
        <v>1</v>
      </c>
      <c r="T183" s="178">
        <v>1</v>
      </c>
      <c r="U183" s="978">
        <v>1</v>
      </c>
      <c r="V183" s="978">
        <v>1</v>
      </c>
      <c r="W183" s="179"/>
      <c r="X183" s="937" t="s">
        <v>653</v>
      </c>
      <c r="Y183" s="299">
        <f>IFERROR(VLOOKUP($X183,'Demand Lookups'!$A$5:$K$101,9,0), 0)</f>
        <v>0</v>
      </c>
      <c r="Z183" s="922" t="str">
        <f>IFERROR(VLOOKUP(X183,'Demand Lookups'!$A$5:$B$101,2,0),0)</f>
        <v>Non-Electric Measures</v>
      </c>
      <c r="AA183" s="722">
        <v>0</v>
      </c>
      <c r="AB183" s="722">
        <v>0</v>
      </c>
      <c r="AC183" s="722">
        <v>0</v>
      </c>
      <c r="AD183" s="723">
        <v>0</v>
      </c>
      <c r="AE183" s="724">
        <f t="shared" si="46"/>
        <v>0</v>
      </c>
      <c r="AF183" s="723">
        <v>0</v>
      </c>
      <c r="AG183" s="723">
        <v>0</v>
      </c>
      <c r="AH183" s="648">
        <v>0</v>
      </c>
      <c r="AI183" s="648">
        <v>0</v>
      </c>
      <c r="AJ183" s="167" t="s">
        <v>87</v>
      </c>
      <c r="AK183" s="168">
        <v>51.4</v>
      </c>
      <c r="AL183" s="167"/>
      <c r="AM183" s="168"/>
      <c r="AN183" s="167"/>
      <c r="AO183" s="168"/>
      <c r="AP183" s="167"/>
      <c r="AQ183" s="171"/>
      <c r="AR183" s="171"/>
      <c r="AS183" s="299">
        <f>SUMIF('NEI Lookups'!$L:$L,'Inputs Yr 2'!$F183,'NEI Lookups'!E:E)+SUMIF('NEI Lookups'!$M:$M,'Inputs Yr 2'!$F183,'NEI Lookups'!E:E)+SUMIF('NEI Lookups'!$N:$N,'Inputs Yr 2'!$F183,'NEI Lookups'!E:E)+SUMIF('NEI Lookups'!$O:$O,'Inputs Yr 2'!$F183,'NEI Lookups'!E:E)+SUMIF('NEI Lookups'!$P:$P,'Inputs Yr 2'!$F183,'NEI Lookups'!E:E)+SUMIF('NEI Lookups'!$Q:$Q,'Inputs Yr 2'!$F183,'NEI Lookups'!E:E)+SUMIF('NEI Lookups'!$R:$R,'Inputs Yr 2'!$F183,'NEI Lookups'!E:E)+SUMIF('NEI Lookups'!$S:$S,'Inputs Yr 2'!$F183,'NEI Lookups'!E:E)+SUMIF('NEI Lookups'!$T:$T,'Inputs Yr 2'!$F183,'NEI Lookups'!E:E)</f>
        <v>0</v>
      </c>
      <c r="AT183" s="299">
        <f>SUMIF('NEI Lookups'!$L:$L,'Inputs Yr 2'!$F183,'NEI Lookups'!F:F)+SUMIF('NEI Lookups'!$M:$M,'Inputs Yr 2'!$F183,'NEI Lookups'!F:F)+SUMIF('NEI Lookups'!$N:$N,'Inputs Yr 2'!$F183,'NEI Lookups'!F:F)+SUMIF('NEI Lookups'!$O:$O,'Inputs Yr 2'!$F183,'NEI Lookups'!F:F)+SUMIF('NEI Lookups'!$P:$P,'Inputs Yr 2'!$F183,'NEI Lookups'!F:F)+SUMIF('NEI Lookups'!$Q:$Q,'Inputs Yr 2'!$F183,'NEI Lookups'!F:F)+SUMIF('NEI Lookups'!$R:$R,'Inputs Yr 2'!$F183,'NEI Lookups'!F:F)+SUMIF('NEI Lookups'!$S:$S,'Inputs Yr 2'!$F183,'NEI Lookups'!F:F)+SUMIF('NEI Lookups'!$T:$T,'Inputs Yr 2'!$F183,'NEI Lookups'!F:F)</f>
        <v>0</v>
      </c>
      <c r="AU183" s="299">
        <f>SUMIF('NEI Lookups'!$L:$L,'Inputs Yr 2'!$F183,'NEI Lookups'!G:G)+SUMIF('NEI Lookups'!$M:$M,'Inputs Yr 2'!$F183,'NEI Lookups'!G:G)+SUMIF('NEI Lookups'!$N:$N,'Inputs Yr 2'!$F183,'NEI Lookups'!G:G)+SUMIF('NEI Lookups'!$O:$O,'Inputs Yr 2'!$F183,'NEI Lookups'!G:G)+SUMIF('NEI Lookups'!$P:$P,'Inputs Yr 2'!$F183,'NEI Lookups'!G:G)+SUMIF('NEI Lookups'!$Q:$Q,'Inputs Yr 2'!$F183,'NEI Lookups'!G:G)+SUMIF('NEI Lookups'!$R:$R,'Inputs Yr 2'!$F183,'NEI Lookups'!G:G)+SUMIF('NEI Lookups'!$S:$S,'Inputs Yr 2'!$F183,'NEI Lookups'!G:G)+SUMIF('NEI Lookups'!$T:$T,'Inputs Yr 2'!$F183,'NEI Lookups'!G:G)</f>
        <v>0</v>
      </c>
      <c r="AV183" s="299">
        <f>SUMIF('NEI Lookups'!$L:$L,'Inputs Yr 2'!$F183,'NEI Lookups'!H:H)+SUMIF('NEI Lookups'!$M:$M,'Inputs Yr 2'!$F183,'NEI Lookups'!H:H)+SUMIF('NEI Lookups'!$N:$N,'Inputs Yr 2'!$F183,'NEI Lookups'!H:H)+SUMIF('NEI Lookups'!$O:$O,'Inputs Yr 2'!$F183,'NEI Lookups'!H:H)+SUMIF('NEI Lookups'!$P:$P,'Inputs Yr 2'!$F183,'NEI Lookups'!H:H)+SUMIF('NEI Lookups'!$Q:$Q,'Inputs Yr 2'!$F183,'NEI Lookups'!H:H)+SUMIF('NEI Lookups'!$R:$R,'Inputs Yr 2'!$F183,'NEI Lookups'!H:H)+SUMIF('NEI Lookups'!$S:$S,'Inputs Yr 2'!$F183,'NEI Lookups'!H:H)+SUMIF('NEI Lookups'!$T:$T,'Inputs Yr 2'!$F183,'NEI Lookups'!H:H)</f>
        <v>0</v>
      </c>
      <c r="AW183" s="940">
        <f>ROUND(SUMIF('NEI Lookups'!$L:$L,'Inputs Yr 2'!$F183,'NEI Lookups'!I:I)+SUMIF('NEI Lookups'!$M:$M,'Inputs Yr 2'!$F183,'NEI Lookups'!I:I)+SUMIF('NEI Lookups'!$N:$N,'Inputs Yr 2'!$F183,'NEI Lookups'!I:I)+SUMIF('NEI Lookups'!$O:$O,'Inputs Yr 2'!$F183,'NEI Lookups'!I:I)+SUMIF('NEI Lookups'!$P:$P,'Inputs Yr 2'!$F183,'NEI Lookups'!I:I)+SUMIF('NEI Lookups'!$Q:$Q,'Inputs Yr 2'!$F183,'NEI Lookups'!I:I)+SUMIF('NEI Lookups'!$R:$R,'Inputs Yr 2'!$F183,'NEI Lookups'!I:I)+SUMIF('NEI Lookups'!$S:$S,'Inputs Yr 2'!$F183,'NEI Lookups'!I:I)+SUMIF('NEI Lookups'!$T:$T,'Inputs Yr 2'!$F183,'NEI Lookups'!I:I), 2)</f>
        <v>-0.08</v>
      </c>
      <c r="AX183" s="299">
        <f>SUMIF('NEI Lookups'!$L:$L,'Inputs Yr 2'!$F183,'NEI Lookups'!J:J)+SUMIF('NEI Lookups'!$M:$M,'Inputs Yr 2'!$F183,'NEI Lookups'!J:J)+SUMIF('NEI Lookups'!$N:$N,'Inputs Yr 2'!$F183,'NEI Lookups'!J:J)+SUMIF('NEI Lookups'!$O:$O,'Inputs Yr 2'!$F183,'NEI Lookups'!J:J)+SUMIF('NEI Lookups'!$P:$P,'Inputs Yr 2'!$F183,'NEI Lookups'!J:J)+SUMIF('NEI Lookups'!$Q:$Q,'Inputs Yr 2'!$F183,'NEI Lookups'!J:J)+SUMIF('NEI Lookups'!$R:$R,'Inputs Yr 2'!$F183,'NEI Lookups'!J:J)+SUMIF('NEI Lookups'!$S:$S,'Inputs Yr 2'!$F183,'NEI Lookups'!J:J)+SUMIF('NEI Lookups'!$T:$T,'Inputs Yr 2'!$F183,'NEI Lookups'!J:J)</f>
        <v>0</v>
      </c>
      <c r="AY183" s="930">
        <f>'Calculations Yr 2'!CP183/'Calculations Yr 2'!I183</f>
        <v>2.0331466721241278</v>
      </c>
    </row>
    <row r="184" spans="1:51" s="133" customFormat="1" ht="12.75" customHeight="1">
      <c r="A184" s="145" t="s">
        <v>83</v>
      </c>
      <c r="B184" s="132" t="s">
        <v>873</v>
      </c>
      <c r="C184" s="132" t="s">
        <v>661</v>
      </c>
      <c r="D184" s="99"/>
      <c r="E184" s="98" t="s">
        <v>779</v>
      </c>
      <c r="F184" s="98" t="s">
        <v>1075</v>
      </c>
      <c r="G184" s="145" t="s">
        <v>1247</v>
      </c>
      <c r="H184" s="165"/>
      <c r="I184" s="232">
        <v>25</v>
      </c>
      <c r="J184" s="964">
        <v>7874</v>
      </c>
      <c r="K184" s="166">
        <v>7500</v>
      </c>
      <c r="L184" s="888">
        <f t="shared" si="25"/>
        <v>374</v>
      </c>
      <c r="M184" s="980">
        <v>0</v>
      </c>
      <c r="N184" s="980">
        <v>0</v>
      </c>
      <c r="O184" s="980">
        <v>0</v>
      </c>
      <c r="P184" s="889">
        <v>0.84600000000000009</v>
      </c>
      <c r="Q184" s="980">
        <v>1</v>
      </c>
      <c r="R184" s="178">
        <v>1</v>
      </c>
      <c r="S184" s="178">
        <v>1</v>
      </c>
      <c r="T184" s="178">
        <v>1</v>
      </c>
      <c r="U184" s="978">
        <v>0</v>
      </c>
      <c r="V184" s="978">
        <v>0</v>
      </c>
      <c r="W184" s="179"/>
      <c r="X184" s="937" t="s">
        <v>653</v>
      </c>
      <c r="Y184" s="299">
        <f>IFERROR(VLOOKUP($X184,'Demand Lookups'!$A$5:$K$101,9,0), 0)</f>
        <v>0</v>
      </c>
      <c r="Z184" s="922" t="str">
        <f>IFERROR(VLOOKUP(X184,'Demand Lookups'!$A$5:$B$101,2,0),0)</f>
        <v>Non-Electric Measures</v>
      </c>
      <c r="AA184" s="722">
        <v>0</v>
      </c>
      <c r="AB184" s="722">
        <v>0</v>
      </c>
      <c r="AC184" s="722">
        <v>0</v>
      </c>
      <c r="AD184" s="723">
        <v>0</v>
      </c>
      <c r="AE184" s="724">
        <f t="shared" si="46"/>
        <v>0</v>
      </c>
      <c r="AF184" s="723">
        <v>0</v>
      </c>
      <c r="AG184" s="723">
        <v>0</v>
      </c>
      <c r="AH184" s="648">
        <v>0</v>
      </c>
      <c r="AI184" s="648">
        <v>0</v>
      </c>
      <c r="AJ184" s="167" t="s">
        <v>87</v>
      </c>
      <c r="AK184" s="168">
        <v>94.5</v>
      </c>
      <c r="AL184" s="167"/>
      <c r="AM184" s="168"/>
      <c r="AN184" s="167"/>
      <c r="AO184" s="168"/>
      <c r="AP184" s="167"/>
      <c r="AQ184" s="171"/>
      <c r="AR184" s="171"/>
      <c r="AS184" s="299">
        <f>SUMIF('NEI Lookups'!$L:$L,'Inputs Yr 2'!$F184,'NEI Lookups'!E:E)+SUMIF('NEI Lookups'!$M:$M,'Inputs Yr 2'!$F184,'NEI Lookups'!E:E)+SUMIF('NEI Lookups'!$N:$N,'Inputs Yr 2'!$F184,'NEI Lookups'!E:E)+SUMIF('NEI Lookups'!$O:$O,'Inputs Yr 2'!$F184,'NEI Lookups'!E:E)+SUMIF('NEI Lookups'!$P:$P,'Inputs Yr 2'!$F184,'NEI Lookups'!E:E)+SUMIF('NEI Lookups'!$Q:$Q,'Inputs Yr 2'!$F184,'NEI Lookups'!E:E)+SUMIF('NEI Lookups'!$R:$R,'Inputs Yr 2'!$F184,'NEI Lookups'!E:E)+SUMIF('NEI Lookups'!$S:$S,'Inputs Yr 2'!$F184,'NEI Lookups'!E:E)+SUMIF('NEI Lookups'!$T:$T,'Inputs Yr 2'!$F184,'NEI Lookups'!E:E)</f>
        <v>0</v>
      </c>
      <c r="AT184" s="299">
        <f>SUMIF('NEI Lookups'!$L:$L,'Inputs Yr 2'!$F184,'NEI Lookups'!F:F)+SUMIF('NEI Lookups'!$M:$M,'Inputs Yr 2'!$F184,'NEI Lookups'!F:F)+SUMIF('NEI Lookups'!$N:$N,'Inputs Yr 2'!$F184,'NEI Lookups'!F:F)+SUMIF('NEI Lookups'!$O:$O,'Inputs Yr 2'!$F184,'NEI Lookups'!F:F)+SUMIF('NEI Lookups'!$P:$P,'Inputs Yr 2'!$F184,'NEI Lookups'!F:F)+SUMIF('NEI Lookups'!$Q:$Q,'Inputs Yr 2'!$F184,'NEI Lookups'!F:F)+SUMIF('NEI Lookups'!$R:$R,'Inputs Yr 2'!$F184,'NEI Lookups'!F:F)+SUMIF('NEI Lookups'!$S:$S,'Inputs Yr 2'!$F184,'NEI Lookups'!F:F)+SUMIF('NEI Lookups'!$T:$T,'Inputs Yr 2'!$F184,'NEI Lookups'!F:F)</f>
        <v>0</v>
      </c>
      <c r="AU184" s="299">
        <f>SUMIF('NEI Lookups'!$L:$L,'Inputs Yr 2'!$F184,'NEI Lookups'!G:G)+SUMIF('NEI Lookups'!$M:$M,'Inputs Yr 2'!$F184,'NEI Lookups'!G:G)+SUMIF('NEI Lookups'!$N:$N,'Inputs Yr 2'!$F184,'NEI Lookups'!G:G)+SUMIF('NEI Lookups'!$O:$O,'Inputs Yr 2'!$F184,'NEI Lookups'!G:G)+SUMIF('NEI Lookups'!$P:$P,'Inputs Yr 2'!$F184,'NEI Lookups'!G:G)+SUMIF('NEI Lookups'!$Q:$Q,'Inputs Yr 2'!$F184,'NEI Lookups'!G:G)+SUMIF('NEI Lookups'!$R:$R,'Inputs Yr 2'!$F184,'NEI Lookups'!G:G)+SUMIF('NEI Lookups'!$S:$S,'Inputs Yr 2'!$F184,'NEI Lookups'!G:G)+SUMIF('NEI Lookups'!$T:$T,'Inputs Yr 2'!$F184,'NEI Lookups'!G:G)</f>
        <v>0</v>
      </c>
      <c r="AV184" s="299">
        <f>SUMIF('NEI Lookups'!$L:$L,'Inputs Yr 2'!$F184,'NEI Lookups'!H:H)+SUMIF('NEI Lookups'!$M:$M,'Inputs Yr 2'!$F184,'NEI Lookups'!H:H)+SUMIF('NEI Lookups'!$N:$N,'Inputs Yr 2'!$F184,'NEI Lookups'!H:H)+SUMIF('NEI Lookups'!$O:$O,'Inputs Yr 2'!$F184,'NEI Lookups'!H:H)+SUMIF('NEI Lookups'!$P:$P,'Inputs Yr 2'!$F184,'NEI Lookups'!H:H)+SUMIF('NEI Lookups'!$Q:$Q,'Inputs Yr 2'!$F184,'NEI Lookups'!H:H)+SUMIF('NEI Lookups'!$R:$R,'Inputs Yr 2'!$F184,'NEI Lookups'!H:H)+SUMIF('NEI Lookups'!$S:$S,'Inputs Yr 2'!$F184,'NEI Lookups'!H:H)+SUMIF('NEI Lookups'!$T:$T,'Inputs Yr 2'!$F184,'NEI Lookups'!H:H)</f>
        <v>0</v>
      </c>
      <c r="AW184" s="299">
        <f>SUMIF('NEI Lookups'!$L:$L,'Inputs Yr 2'!$F184,'NEI Lookups'!I:I)+SUMIF('NEI Lookups'!$M:$M,'Inputs Yr 2'!$F184,'NEI Lookups'!I:I)+SUMIF('NEI Lookups'!$N:$N,'Inputs Yr 2'!$F184,'NEI Lookups'!I:I)+SUMIF('NEI Lookups'!$O:$O,'Inputs Yr 2'!$F184,'NEI Lookups'!I:I)+SUMIF('NEI Lookups'!$P:$P,'Inputs Yr 2'!$F184,'NEI Lookups'!I:I)+SUMIF('NEI Lookups'!$Q:$Q,'Inputs Yr 2'!$F184,'NEI Lookups'!I:I)+SUMIF('NEI Lookups'!$R:$R,'Inputs Yr 2'!$F184,'NEI Lookups'!I:I)+SUMIF('NEI Lookups'!$S:$S,'Inputs Yr 2'!$F184,'NEI Lookups'!I:I)+SUMIF('NEI Lookups'!$T:$T,'Inputs Yr 2'!$F184,'NEI Lookups'!I:I)</f>
        <v>-8.4000000000000005E-2</v>
      </c>
      <c r="AX184" s="299">
        <f>SUMIF('NEI Lookups'!$L:$L,'Inputs Yr 2'!$F184,'NEI Lookups'!J:J)+SUMIF('NEI Lookups'!$M:$M,'Inputs Yr 2'!$F184,'NEI Lookups'!J:J)+SUMIF('NEI Lookups'!$N:$N,'Inputs Yr 2'!$F184,'NEI Lookups'!J:J)+SUMIF('NEI Lookups'!$O:$O,'Inputs Yr 2'!$F184,'NEI Lookups'!J:J)+SUMIF('NEI Lookups'!$P:$P,'Inputs Yr 2'!$F184,'NEI Lookups'!J:J)+SUMIF('NEI Lookups'!$Q:$Q,'Inputs Yr 2'!$F184,'NEI Lookups'!J:J)+SUMIF('NEI Lookups'!$R:$R,'Inputs Yr 2'!$F184,'NEI Lookups'!J:J)+SUMIF('NEI Lookups'!$S:$S,'Inputs Yr 2'!$F184,'NEI Lookups'!J:J)+SUMIF('NEI Lookups'!$T:$T,'Inputs Yr 2'!$F184,'NEI Lookups'!J:J)</f>
        <v>0</v>
      </c>
      <c r="AY184" s="930" t="e">
        <f>'Calculations Yr 2'!CP184/'Calculations Yr 2'!I184</f>
        <v>#VALUE!</v>
      </c>
    </row>
    <row r="185" spans="1:51" s="133" customFormat="1" ht="12.75" customHeight="1">
      <c r="A185" s="145" t="s">
        <v>83</v>
      </c>
      <c r="B185" s="132" t="s">
        <v>873</v>
      </c>
      <c r="C185" s="132" t="s">
        <v>661</v>
      </c>
      <c r="D185" s="99"/>
      <c r="E185" s="150" t="s">
        <v>780</v>
      </c>
      <c r="F185" s="98" t="s">
        <v>1076</v>
      </c>
      <c r="G185" s="145" t="s">
        <v>1247</v>
      </c>
      <c r="H185" s="165"/>
      <c r="I185" s="232">
        <v>25</v>
      </c>
      <c r="J185" s="964">
        <v>10601</v>
      </c>
      <c r="K185" s="166">
        <v>10000</v>
      </c>
      <c r="L185" s="888">
        <f t="shared" si="25"/>
        <v>601</v>
      </c>
      <c r="M185" s="980">
        <v>0</v>
      </c>
      <c r="N185" s="980">
        <v>0</v>
      </c>
      <c r="O185" s="980">
        <v>0</v>
      </c>
      <c r="P185" s="889">
        <v>0.84600000000000009</v>
      </c>
      <c r="Q185" s="980">
        <v>1</v>
      </c>
      <c r="R185" s="178">
        <v>1</v>
      </c>
      <c r="S185" s="178">
        <v>1</v>
      </c>
      <c r="T185" s="178">
        <v>1</v>
      </c>
      <c r="U185" s="978">
        <v>0</v>
      </c>
      <c r="V185" s="978">
        <v>0</v>
      </c>
      <c r="W185" s="179"/>
      <c r="X185" s="937" t="s">
        <v>653</v>
      </c>
      <c r="Y185" s="299">
        <f>IFERROR(VLOOKUP($X185,'Demand Lookups'!$A$5:$K$101,9,0), 0)</f>
        <v>0</v>
      </c>
      <c r="Z185" s="922" t="str">
        <f>IFERROR(VLOOKUP(X185,'Demand Lookups'!$A$5:$B$101,2,0),0)</f>
        <v>Non-Electric Measures</v>
      </c>
      <c r="AA185" s="722">
        <v>0</v>
      </c>
      <c r="AB185" s="722">
        <v>0</v>
      </c>
      <c r="AC185" s="722">
        <v>0</v>
      </c>
      <c r="AD185" s="723">
        <v>0</v>
      </c>
      <c r="AE185" s="724">
        <f t="shared" si="46"/>
        <v>0</v>
      </c>
      <c r="AF185" s="723">
        <v>0</v>
      </c>
      <c r="AG185" s="723">
        <v>0</v>
      </c>
      <c r="AH185" s="648">
        <v>0</v>
      </c>
      <c r="AI185" s="648">
        <v>0</v>
      </c>
      <c r="AJ185" s="167" t="s">
        <v>87</v>
      </c>
      <c r="AK185" s="168">
        <v>165.3</v>
      </c>
      <c r="AL185" s="167"/>
      <c r="AM185" s="168"/>
      <c r="AN185" s="167"/>
      <c r="AO185" s="168"/>
      <c r="AP185" s="167"/>
      <c r="AQ185" s="171"/>
      <c r="AR185" s="171"/>
      <c r="AS185" s="299">
        <f>SUMIF('NEI Lookups'!$L:$L,'Inputs Yr 2'!$F185,'NEI Lookups'!E:E)+SUMIF('NEI Lookups'!$M:$M,'Inputs Yr 2'!$F185,'NEI Lookups'!E:E)+SUMIF('NEI Lookups'!$N:$N,'Inputs Yr 2'!$F185,'NEI Lookups'!E:E)+SUMIF('NEI Lookups'!$O:$O,'Inputs Yr 2'!$F185,'NEI Lookups'!E:E)+SUMIF('NEI Lookups'!$P:$P,'Inputs Yr 2'!$F185,'NEI Lookups'!E:E)+SUMIF('NEI Lookups'!$Q:$Q,'Inputs Yr 2'!$F185,'NEI Lookups'!E:E)+SUMIF('NEI Lookups'!$R:$R,'Inputs Yr 2'!$F185,'NEI Lookups'!E:E)+SUMIF('NEI Lookups'!$S:$S,'Inputs Yr 2'!$F185,'NEI Lookups'!E:E)+SUMIF('NEI Lookups'!$T:$T,'Inputs Yr 2'!$F185,'NEI Lookups'!E:E)</f>
        <v>0</v>
      </c>
      <c r="AT185" s="299">
        <f>SUMIF('NEI Lookups'!$L:$L,'Inputs Yr 2'!$F185,'NEI Lookups'!F:F)+SUMIF('NEI Lookups'!$M:$M,'Inputs Yr 2'!$F185,'NEI Lookups'!F:F)+SUMIF('NEI Lookups'!$N:$N,'Inputs Yr 2'!$F185,'NEI Lookups'!F:F)+SUMIF('NEI Lookups'!$O:$O,'Inputs Yr 2'!$F185,'NEI Lookups'!F:F)+SUMIF('NEI Lookups'!$P:$P,'Inputs Yr 2'!$F185,'NEI Lookups'!F:F)+SUMIF('NEI Lookups'!$Q:$Q,'Inputs Yr 2'!$F185,'NEI Lookups'!F:F)+SUMIF('NEI Lookups'!$R:$R,'Inputs Yr 2'!$F185,'NEI Lookups'!F:F)+SUMIF('NEI Lookups'!$S:$S,'Inputs Yr 2'!$F185,'NEI Lookups'!F:F)+SUMIF('NEI Lookups'!$T:$T,'Inputs Yr 2'!$F185,'NEI Lookups'!F:F)</f>
        <v>0</v>
      </c>
      <c r="AU185" s="299">
        <f>SUMIF('NEI Lookups'!$L:$L,'Inputs Yr 2'!$F185,'NEI Lookups'!G:G)+SUMIF('NEI Lookups'!$M:$M,'Inputs Yr 2'!$F185,'NEI Lookups'!G:G)+SUMIF('NEI Lookups'!$N:$N,'Inputs Yr 2'!$F185,'NEI Lookups'!G:G)+SUMIF('NEI Lookups'!$O:$O,'Inputs Yr 2'!$F185,'NEI Lookups'!G:G)+SUMIF('NEI Lookups'!$P:$P,'Inputs Yr 2'!$F185,'NEI Lookups'!G:G)+SUMIF('NEI Lookups'!$Q:$Q,'Inputs Yr 2'!$F185,'NEI Lookups'!G:G)+SUMIF('NEI Lookups'!$R:$R,'Inputs Yr 2'!$F185,'NEI Lookups'!G:G)+SUMIF('NEI Lookups'!$S:$S,'Inputs Yr 2'!$F185,'NEI Lookups'!G:G)+SUMIF('NEI Lookups'!$T:$T,'Inputs Yr 2'!$F185,'NEI Lookups'!G:G)</f>
        <v>0</v>
      </c>
      <c r="AV185" s="299">
        <f>SUMIF('NEI Lookups'!$L:$L,'Inputs Yr 2'!$F185,'NEI Lookups'!H:H)+SUMIF('NEI Lookups'!$M:$M,'Inputs Yr 2'!$F185,'NEI Lookups'!H:H)+SUMIF('NEI Lookups'!$N:$N,'Inputs Yr 2'!$F185,'NEI Lookups'!H:H)+SUMIF('NEI Lookups'!$O:$O,'Inputs Yr 2'!$F185,'NEI Lookups'!H:H)+SUMIF('NEI Lookups'!$P:$P,'Inputs Yr 2'!$F185,'NEI Lookups'!H:H)+SUMIF('NEI Lookups'!$Q:$Q,'Inputs Yr 2'!$F185,'NEI Lookups'!H:H)+SUMIF('NEI Lookups'!$R:$R,'Inputs Yr 2'!$F185,'NEI Lookups'!H:H)+SUMIF('NEI Lookups'!$S:$S,'Inputs Yr 2'!$F185,'NEI Lookups'!H:H)+SUMIF('NEI Lookups'!$T:$T,'Inputs Yr 2'!$F185,'NEI Lookups'!H:H)</f>
        <v>0</v>
      </c>
      <c r="AW185" s="299">
        <f>SUMIF('NEI Lookups'!$L:$L,'Inputs Yr 2'!$F185,'NEI Lookups'!I:I)+SUMIF('NEI Lookups'!$M:$M,'Inputs Yr 2'!$F185,'NEI Lookups'!I:I)+SUMIF('NEI Lookups'!$N:$N,'Inputs Yr 2'!$F185,'NEI Lookups'!I:I)+SUMIF('NEI Lookups'!$O:$O,'Inputs Yr 2'!$F185,'NEI Lookups'!I:I)+SUMIF('NEI Lookups'!$P:$P,'Inputs Yr 2'!$F185,'NEI Lookups'!I:I)+SUMIF('NEI Lookups'!$Q:$Q,'Inputs Yr 2'!$F185,'NEI Lookups'!I:I)+SUMIF('NEI Lookups'!$R:$R,'Inputs Yr 2'!$F185,'NEI Lookups'!I:I)+SUMIF('NEI Lookups'!$S:$S,'Inputs Yr 2'!$F185,'NEI Lookups'!I:I)+SUMIF('NEI Lookups'!$T:$T,'Inputs Yr 2'!$F185,'NEI Lookups'!I:I)</f>
        <v>-8.4000000000000005E-2</v>
      </c>
      <c r="AX185" s="299">
        <f>SUMIF('NEI Lookups'!$L:$L,'Inputs Yr 2'!$F185,'NEI Lookups'!J:J)+SUMIF('NEI Lookups'!$M:$M,'Inputs Yr 2'!$F185,'NEI Lookups'!J:J)+SUMIF('NEI Lookups'!$N:$N,'Inputs Yr 2'!$F185,'NEI Lookups'!J:J)+SUMIF('NEI Lookups'!$O:$O,'Inputs Yr 2'!$F185,'NEI Lookups'!J:J)+SUMIF('NEI Lookups'!$P:$P,'Inputs Yr 2'!$F185,'NEI Lookups'!J:J)+SUMIF('NEI Lookups'!$Q:$Q,'Inputs Yr 2'!$F185,'NEI Lookups'!J:J)+SUMIF('NEI Lookups'!$R:$R,'Inputs Yr 2'!$F185,'NEI Lookups'!J:J)+SUMIF('NEI Lookups'!$S:$S,'Inputs Yr 2'!$F185,'NEI Lookups'!J:J)+SUMIF('NEI Lookups'!$T:$T,'Inputs Yr 2'!$F185,'NEI Lookups'!J:J)</f>
        <v>0</v>
      </c>
      <c r="AY185" s="930" t="e">
        <f>'Calculations Yr 2'!CP185/'Calculations Yr 2'!I185</f>
        <v>#VALUE!</v>
      </c>
    </row>
    <row r="186" spans="1:51" s="133" customFormat="1" ht="12.75" customHeight="1">
      <c r="A186" s="145" t="s">
        <v>83</v>
      </c>
      <c r="B186" s="132" t="s">
        <v>873</v>
      </c>
      <c r="C186" s="132" t="s">
        <v>661</v>
      </c>
      <c r="D186" s="99"/>
      <c r="E186" s="150" t="s">
        <v>781</v>
      </c>
      <c r="F186" s="98" t="s">
        <v>1077</v>
      </c>
      <c r="G186" s="145" t="s">
        <v>1247</v>
      </c>
      <c r="H186" s="165"/>
      <c r="I186" s="232">
        <v>18</v>
      </c>
      <c r="J186" s="964">
        <v>2400</v>
      </c>
      <c r="K186" s="166">
        <v>750</v>
      </c>
      <c r="L186" s="888">
        <f t="shared" si="25"/>
        <v>1650</v>
      </c>
      <c r="M186" s="980">
        <v>0</v>
      </c>
      <c r="N186" s="980">
        <v>0</v>
      </c>
      <c r="O186" s="980">
        <v>0</v>
      </c>
      <c r="P186" s="889">
        <v>0.84600000000000009</v>
      </c>
      <c r="Q186" s="980">
        <v>1</v>
      </c>
      <c r="R186" s="178">
        <v>1</v>
      </c>
      <c r="S186" s="178">
        <v>1</v>
      </c>
      <c r="T186" s="178">
        <v>1</v>
      </c>
      <c r="U186" s="978">
        <v>0</v>
      </c>
      <c r="V186" s="978">
        <v>0</v>
      </c>
      <c r="W186" s="179"/>
      <c r="X186" s="937" t="s">
        <v>653</v>
      </c>
      <c r="Y186" s="299">
        <f>IFERROR(VLOOKUP($X186,'Demand Lookups'!$A$5:$K$101,9,0), 0)</f>
        <v>0</v>
      </c>
      <c r="Z186" s="922" t="str">
        <f>IFERROR(VLOOKUP(X186,'Demand Lookups'!$A$5:$B$101,2,0),0)</f>
        <v>Non-Electric Measures</v>
      </c>
      <c r="AA186" s="722">
        <v>0</v>
      </c>
      <c r="AB186" s="722">
        <v>0</v>
      </c>
      <c r="AC186" s="722">
        <v>0</v>
      </c>
      <c r="AD186" s="723">
        <v>0</v>
      </c>
      <c r="AE186" s="724">
        <f t="shared" si="46"/>
        <v>0</v>
      </c>
      <c r="AF186" s="723">
        <v>0</v>
      </c>
      <c r="AG186" s="723">
        <v>0</v>
      </c>
      <c r="AH186" s="648">
        <v>0</v>
      </c>
      <c r="AI186" s="648">
        <v>0</v>
      </c>
      <c r="AJ186" s="167" t="s">
        <v>87</v>
      </c>
      <c r="AK186" s="168">
        <v>40.9</v>
      </c>
      <c r="AL186" s="167"/>
      <c r="AM186" s="168"/>
      <c r="AN186" s="167"/>
      <c r="AO186" s="168"/>
      <c r="AP186" s="167"/>
      <c r="AQ186" s="171"/>
      <c r="AR186" s="171"/>
      <c r="AS186" s="299">
        <f>SUMIF('NEI Lookups'!$L:$L,'Inputs Yr 2'!$F186,'NEI Lookups'!E:E)+SUMIF('NEI Lookups'!$M:$M,'Inputs Yr 2'!$F186,'NEI Lookups'!E:E)+SUMIF('NEI Lookups'!$N:$N,'Inputs Yr 2'!$F186,'NEI Lookups'!E:E)+SUMIF('NEI Lookups'!$O:$O,'Inputs Yr 2'!$F186,'NEI Lookups'!E:E)+SUMIF('NEI Lookups'!$P:$P,'Inputs Yr 2'!$F186,'NEI Lookups'!E:E)+SUMIF('NEI Lookups'!$Q:$Q,'Inputs Yr 2'!$F186,'NEI Lookups'!E:E)+SUMIF('NEI Lookups'!$R:$R,'Inputs Yr 2'!$F186,'NEI Lookups'!E:E)+SUMIF('NEI Lookups'!$S:$S,'Inputs Yr 2'!$F186,'NEI Lookups'!E:E)+SUMIF('NEI Lookups'!$T:$T,'Inputs Yr 2'!$F186,'NEI Lookups'!E:E)</f>
        <v>0</v>
      </c>
      <c r="AT186" s="299">
        <f>SUMIF('NEI Lookups'!$L:$L,'Inputs Yr 2'!$F186,'NEI Lookups'!F:F)+SUMIF('NEI Lookups'!$M:$M,'Inputs Yr 2'!$F186,'NEI Lookups'!F:F)+SUMIF('NEI Lookups'!$N:$N,'Inputs Yr 2'!$F186,'NEI Lookups'!F:F)+SUMIF('NEI Lookups'!$O:$O,'Inputs Yr 2'!$F186,'NEI Lookups'!F:F)+SUMIF('NEI Lookups'!$P:$P,'Inputs Yr 2'!$F186,'NEI Lookups'!F:F)+SUMIF('NEI Lookups'!$Q:$Q,'Inputs Yr 2'!$F186,'NEI Lookups'!F:F)+SUMIF('NEI Lookups'!$R:$R,'Inputs Yr 2'!$F186,'NEI Lookups'!F:F)+SUMIF('NEI Lookups'!$S:$S,'Inputs Yr 2'!$F186,'NEI Lookups'!F:F)+SUMIF('NEI Lookups'!$T:$T,'Inputs Yr 2'!$F186,'NEI Lookups'!F:F)</f>
        <v>0</v>
      </c>
      <c r="AU186" s="299">
        <f>SUMIF('NEI Lookups'!$L:$L,'Inputs Yr 2'!$F186,'NEI Lookups'!G:G)+SUMIF('NEI Lookups'!$M:$M,'Inputs Yr 2'!$F186,'NEI Lookups'!G:G)+SUMIF('NEI Lookups'!$N:$N,'Inputs Yr 2'!$F186,'NEI Lookups'!G:G)+SUMIF('NEI Lookups'!$O:$O,'Inputs Yr 2'!$F186,'NEI Lookups'!G:G)+SUMIF('NEI Lookups'!$P:$P,'Inputs Yr 2'!$F186,'NEI Lookups'!G:G)+SUMIF('NEI Lookups'!$Q:$Q,'Inputs Yr 2'!$F186,'NEI Lookups'!G:G)+SUMIF('NEI Lookups'!$R:$R,'Inputs Yr 2'!$F186,'NEI Lookups'!G:G)+SUMIF('NEI Lookups'!$S:$S,'Inputs Yr 2'!$F186,'NEI Lookups'!G:G)+SUMIF('NEI Lookups'!$T:$T,'Inputs Yr 2'!$F186,'NEI Lookups'!G:G)</f>
        <v>0</v>
      </c>
      <c r="AV186" s="299">
        <f>SUMIF('NEI Lookups'!$L:$L,'Inputs Yr 2'!$F186,'NEI Lookups'!H:H)+SUMIF('NEI Lookups'!$M:$M,'Inputs Yr 2'!$F186,'NEI Lookups'!H:H)+SUMIF('NEI Lookups'!$N:$N,'Inputs Yr 2'!$F186,'NEI Lookups'!H:H)+SUMIF('NEI Lookups'!$O:$O,'Inputs Yr 2'!$F186,'NEI Lookups'!H:H)+SUMIF('NEI Lookups'!$P:$P,'Inputs Yr 2'!$F186,'NEI Lookups'!H:H)+SUMIF('NEI Lookups'!$Q:$Q,'Inputs Yr 2'!$F186,'NEI Lookups'!H:H)+SUMIF('NEI Lookups'!$R:$R,'Inputs Yr 2'!$F186,'NEI Lookups'!H:H)+SUMIF('NEI Lookups'!$S:$S,'Inputs Yr 2'!$F186,'NEI Lookups'!H:H)+SUMIF('NEI Lookups'!$T:$T,'Inputs Yr 2'!$F186,'NEI Lookups'!H:H)</f>
        <v>0</v>
      </c>
      <c r="AW186" s="299">
        <f>SUMIF('NEI Lookups'!$L:$L,'Inputs Yr 2'!$F186,'NEI Lookups'!I:I)+SUMIF('NEI Lookups'!$M:$M,'Inputs Yr 2'!$F186,'NEI Lookups'!I:I)+SUMIF('NEI Lookups'!$N:$N,'Inputs Yr 2'!$F186,'NEI Lookups'!I:I)+SUMIF('NEI Lookups'!$O:$O,'Inputs Yr 2'!$F186,'NEI Lookups'!I:I)+SUMIF('NEI Lookups'!$P:$P,'Inputs Yr 2'!$F186,'NEI Lookups'!I:I)+SUMIF('NEI Lookups'!$Q:$Q,'Inputs Yr 2'!$F186,'NEI Lookups'!I:I)+SUMIF('NEI Lookups'!$R:$R,'Inputs Yr 2'!$F186,'NEI Lookups'!I:I)+SUMIF('NEI Lookups'!$S:$S,'Inputs Yr 2'!$F186,'NEI Lookups'!I:I)+SUMIF('NEI Lookups'!$T:$T,'Inputs Yr 2'!$F186,'NEI Lookups'!I:I)</f>
        <v>-8.4000000000000005E-2</v>
      </c>
      <c r="AX186" s="299">
        <f>SUMIF('NEI Lookups'!$L:$L,'Inputs Yr 2'!$F186,'NEI Lookups'!J:J)+SUMIF('NEI Lookups'!$M:$M,'Inputs Yr 2'!$F186,'NEI Lookups'!J:J)+SUMIF('NEI Lookups'!$N:$N,'Inputs Yr 2'!$F186,'NEI Lookups'!J:J)+SUMIF('NEI Lookups'!$O:$O,'Inputs Yr 2'!$F186,'NEI Lookups'!J:J)+SUMIF('NEI Lookups'!$P:$P,'Inputs Yr 2'!$F186,'NEI Lookups'!J:J)+SUMIF('NEI Lookups'!$Q:$Q,'Inputs Yr 2'!$F186,'NEI Lookups'!J:J)+SUMIF('NEI Lookups'!$R:$R,'Inputs Yr 2'!$F186,'NEI Lookups'!J:J)+SUMIF('NEI Lookups'!$S:$S,'Inputs Yr 2'!$F186,'NEI Lookups'!J:J)+SUMIF('NEI Lookups'!$T:$T,'Inputs Yr 2'!$F186,'NEI Lookups'!J:J)</f>
        <v>0</v>
      </c>
      <c r="AY186" s="930" t="e">
        <f>'Calculations Yr 2'!CP186/'Calculations Yr 2'!I186</f>
        <v>#VALUE!</v>
      </c>
    </row>
    <row r="187" spans="1:51" s="133" customFormat="1" ht="12.75" customHeight="1">
      <c r="A187" s="145" t="s">
        <v>83</v>
      </c>
      <c r="B187" s="132" t="s">
        <v>873</v>
      </c>
      <c r="C187" s="132" t="s">
        <v>661</v>
      </c>
      <c r="D187" s="99"/>
      <c r="E187" s="150" t="s">
        <v>782</v>
      </c>
      <c r="F187" s="98" t="s">
        <v>1078</v>
      </c>
      <c r="G187" s="145" t="s">
        <v>1247</v>
      </c>
      <c r="H187" s="165"/>
      <c r="I187" s="232">
        <v>17</v>
      </c>
      <c r="J187" s="964">
        <v>2982</v>
      </c>
      <c r="K187" s="166">
        <v>750</v>
      </c>
      <c r="L187" s="888">
        <f t="shared" si="25"/>
        <v>2232</v>
      </c>
      <c r="M187" s="980">
        <v>0</v>
      </c>
      <c r="N187" s="980">
        <v>0</v>
      </c>
      <c r="O187" s="980">
        <v>0</v>
      </c>
      <c r="P187" s="889">
        <v>0.84600000000000009</v>
      </c>
      <c r="Q187" s="980">
        <v>1</v>
      </c>
      <c r="R187" s="178">
        <v>1</v>
      </c>
      <c r="S187" s="178">
        <v>1</v>
      </c>
      <c r="T187" s="178">
        <v>1</v>
      </c>
      <c r="U187" s="978">
        <v>0</v>
      </c>
      <c r="V187" s="978">
        <v>0</v>
      </c>
      <c r="W187" s="179"/>
      <c r="X187" s="937" t="s">
        <v>653</v>
      </c>
      <c r="Y187" s="299">
        <f>IFERROR(VLOOKUP($X187,'Demand Lookups'!$A$5:$K$101,9,0), 0)</f>
        <v>0</v>
      </c>
      <c r="Z187" s="922" t="str">
        <f>IFERROR(VLOOKUP(X187,'Demand Lookups'!$A$5:$B$101,2,0),0)</f>
        <v>Non-Electric Measures</v>
      </c>
      <c r="AA187" s="722">
        <v>0</v>
      </c>
      <c r="AB187" s="722">
        <v>0</v>
      </c>
      <c r="AC187" s="722">
        <v>0</v>
      </c>
      <c r="AD187" s="723">
        <v>0</v>
      </c>
      <c r="AE187" s="724">
        <f t="shared" si="46"/>
        <v>0</v>
      </c>
      <c r="AF187" s="723">
        <v>0</v>
      </c>
      <c r="AG187" s="723">
        <v>0</v>
      </c>
      <c r="AH187" s="648">
        <v>0</v>
      </c>
      <c r="AI187" s="648">
        <v>0</v>
      </c>
      <c r="AJ187" s="167" t="s">
        <v>87</v>
      </c>
      <c r="AK187" s="168">
        <v>12</v>
      </c>
      <c r="AL187" s="167"/>
      <c r="AM187" s="168"/>
      <c r="AN187" s="167"/>
      <c r="AO187" s="168"/>
      <c r="AP187" s="167"/>
      <c r="AQ187" s="171"/>
      <c r="AR187" s="171"/>
      <c r="AS187" s="299">
        <f>SUMIF('NEI Lookups'!$L:$L,'Inputs Yr 2'!$F187,'NEI Lookups'!E:E)+SUMIF('NEI Lookups'!$M:$M,'Inputs Yr 2'!$F187,'NEI Lookups'!E:E)+SUMIF('NEI Lookups'!$N:$N,'Inputs Yr 2'!$F187,'NEI Lookups'!E:E)+SUMIF('NEI Lookups'!$O:$O,'Inputs Yr 2'!$F187,'NEI Lookups'!E:E)+SUMIF('NEI Lookups'!$P:$P,'Inputs Yr 2'!$F187,'NEI Lookups'!E:E)+SUMIF('NEI Lookups'!$Q:$Q,'Inputs Yr 2'!$F187,'NEI Lookups'!E:E)+SUMIF('NEI Lookups'!$R:$R,'Inputs Yr 2'!$F187,'NEI Lookups'!E:E)+SUMIF('NEI Lookups'!$S:$S,'Inputs Yr 2'!$F187,'NEI Lookups'!E:E)+SUMIF('NEI Lookups'!$T:$T,'Inputs Yr 2'!$F187,'NEI Lookups'!E:E)</f>
        <v>0</v>
      </c>
      <c r="AT187" s="299">
        <f>SUMIF('NEI Lookups'!$L:$L,'Inputs Yr 2'!$F187,'NEI Lookups'!F:F)+SUMIF('NEI Lookups'!$M:$M,'Inputs Yr 2'!$F187,'NEI Lookups'!F:F)+SUMIF('NEI Lookups'!$N:$N,'Inputs Yr 2'!$F187,'NEI Lookups'!F:F)+SUMIF('NEI Lookups'!$O:$O,'Inputs Yr 2'!$F187,'NEI Lookups'!F:F)+SUMIF('NEI Lookups'!$P:$P,'Inputs Yr 2'!$F187,'NEI Lookups'!F:F)+SUMIF('NEI Lookups'!$Q:$Q,'Inputs Yr 2'!$F187,'NEI Lookups'!F:F)+SUMIF('NEI Lookups'!$R:$R,'Inputs Yr 2'!$F187,'NEI Lookups'!F:F)+SUMIF('NEI Lookups'!$S:$S,'Inputs Yr 2'!$F187,'NEI Lookups'!F:F)+SUMIF('NEI Lookups'!$T:$T,'Inputs Yr 2'!$F187,'NEI Lookups'!F:F)</f>
        <v>0</v>
      </c>
      <c r="AU187" s="299">
        <f>SUMIF('NEI Lookups'!$L:$L,'Inputs Yr 2'!$F187,'NEI Lookups'!G:G)+SUMIF('NEI Lookups'!$M:$M,'Inputs Yr 2'!$F187,'NEI Lookups'!G:G)+SUMIF('NEI Lookups'!$N:$N,'Inputs Yr 2'!$F187,'NEI Lookups'!G:G)+SUMIF('NEI Lookups'!$O:$O,'Inputs Yr 2'!$F187,'NEI Lookups'!G:G)+SUMIF('NEI Lookups'!$P:$P,'Inputs Yr 2'!$F187,'NEI Lookups'!G:G)+SUMIF('NEI Lookups'!$Q:$Q,'Inputs Yr 2'!$F187,'NEI Lookups'!G:G)+SUMIF('NEI Lookups'!$R:$R,'Inputs Yr 2'!$F187,'NEI Lookups'!G:G)+SUMIF('NEI Lookups'!$S:$S,'Inputs Yr 2'!$F187,'NEI Lookups'!G:G)+SUMIF('NEI Lookups'!$T:$T,'Inputs Yr 2'!$F187,'NEI Lookups'!G:G)</f>
        <v>0</v>
      </c>
      <c r="AV187" s="299">
        <f>SUMIF('NEI Lookups'!$L:$L,'Inputs Yr 2'!$F187,'NEI Lookups'!H:H)+SUMIF('NEI Lookups'!$M:$M,'Inputs Yr 2'!$F187,'NEI Lookups'!H:H)+SUMIF('NEI Lookups'!$N:$N,'Inputs Yr 2'!$F187,'NEI Lookups'!H:H)+SUMIF('NEI Lookups'!$O:$O,'Inputs Yr 2'!$F187,'NEI Lookups'!H:H)+SUMIF('NEI Lookups'!$P:$P,'Inputs Yr 2'!$F187,'NEI Lookups'!H:H)+SUMIF('NEI Lookups'!$Q:$Q,'Inputs Yr 2'!$F187,'NEI Lookups'!H:H)+SUMIF('NEI Lookups'!$R:$R,'Inputs Yr 2'!$F187,'NEI Lookups'!H:H)+SUMIF('NEI Lookups'!$S:$S,'Inputs Yr 2'!$F187,'NEI Lookups'!H:H)+SUMIF('NEI Lookups'!$T:$T,'Inputs Yr 2'!$F187,'NEI Lookups'!H:H)</f>
        <v>0</v>
      </c>
      <c r="AW187" s="299">
        <f>SUMIF('NEI Lookups'!$L:$L,'Inputs Yr 2'!$F187,'NEI Lookups'!I:I)+SUMIF('NEI Lookups'!$M:$M,'Inputs Yr 2'!$F187,'NEI Lookups'!I:I)+SUMIF('NEI Lookups'!$N:$N,'Inputs Yr 2'!$F187,'NEI Lookups'!I:I)+SUMIF('NEI Lookups'!$O:$O,'Inputs Yr 2'!$F187,'NEI Lookups'!I:I)+SUMIF('NEI Lookups'!$P:$P,'Inputs Yr 2'!$F187,'NEI Lookups'!I:I)+SUMIF('NEI Lookups'!$Q:$Q,'Inputs Yr 2'!$F187,'NEI Lookups'!I:I)+SUMIF('NEI Lookups'!$R:$R,'Inputs Yr 2'!$F187,'NEI Lookups'!I:I)+SUMIF('NEI Lookups'!$S:$S,'Inputs Yr 2'!$F187,'NEI Lookups'!I:I)+SUMIF('NEI Lookups'!$T:$T,'Inputs Yr 2'!$F187,'NEI Lookups'!I:I)</f>
        <v>5.2999999999999999E-2</v>
      </c>
      <c r="AX187" s="299">
        <f>SUMIF('NEI Lookups'!$L:$L,'Inputs Yr 2'!$F187,'NEI Lookups'!J:J)+SUMIF('NEI Lookups'!$M:$M,'Inputs Yr 2'!$F187,'NEI Lookups'!J:J)+SUMIF('NEI Lookups'!$N:$N,'Inputs Yr 2'!$F187,'NEI Lookups'!J:J)+SUMIF('NEI Lookups'!$O:$O,'Inputs Yr 2'!$F187,'NEI Lookups'!J:J)+SUMIF('NEI Lookups'!$P:$P,'Inputs Yr 2'!$F187,'NEI Lookups'!J:J)+SUMIF('NEI Lookups'!$Q:$Q,'Inputs Yr 2'!$F187,'NEI Lookups'!J:J)+SUMIF('NEI Lookups'!$R:$R,'Inputs Yr 2'!$F187,'NEI Lookups'!J:J)+SUMIF('NEI Lookups'!$S:$S,'Inputs Yr 2'!$F187,'NEI Lookups'!J:J)+SUMIF('NEI Lookups'!$T:$T,'Inputs Yr 2'!$F187,'NEI Lookups'!J:J)</f>
        <v>0</v>
      </c>
      <c r="AY187" s="930" t="e">
        <f>'Calculations Yr 2'!CP187/'Calculations Yr 2'!I187</f>
        <v>#VALUE!</v>
      </c>
    </row>
    <row r="188" spans="1:51" s="133" customFormat="1" ht="12.75" customHeight="1">
      <c r="A188" s="145" t="s">
        <v>83</v>
      </c>
      <c r="B188" s="132" t="s">
        <v>873</v>
      </c>
      <c r="C188" s="132" t="s">
        <v>661</v>
      </c>
      <c r="D188" s="99"/>
      <c r="E188" s="98" t="s">
        <v>756</v>
      </c>
      <c r="F188" s="98" t="s">
        <v>1079</v>
      </c>
      <c r="G188" s="145" t="s">
        <v>1247</v>
      </c>
      <c r="H188" s="165"/>
      <c r="I188" s="232">
        <v>20</v>
      </c>
      <c r="J188" s="964">
        <v>1272</v>
      </c>
      <c r="K188" s="166">
        <v>1200</v>
      </c>
      <c r="L188" s="888">
        <f t="shared" si="25"/>
        <v>72</v>
      </c>
      <c r="M188" s="980">
        <v>0</v>
      </c>
      <c r="N188" s="980">
        <v>0</v>
      </c>
      <c r="O188" s="980">
        <v>0</v>
      </c>
      <c r="P188" s="889">
        <v>0.84600000000000009</v>
      </c>
      <c r="Q188" s="980">
        <v>1</v>
      </c>
      <c r="R188" s="178">
        <v>1</v>
      </c>
      <c r="S188" s="178">
        <v>1</v>
      </c>
      <c r="T188" s="178">
        <v>1</v>
      </c>
      <c r="U188" s="978">
        <v>0</v>
      </c>
      <c r="V188" s="978">
        <v>0</v>
      </c>
      <c r="W188" s="179"/>
      <c r="X188" s="937" t="s">
        <v>653</v>
      </c>
      <c r="Y188" s="299">
        <f>IFERROR(VLOOKUP($X188,'Demand Lookups'!$A$5:$K$101,9,0), 0)</f>
        <v>0</v>
      </c>
      <c r="Z188" s="922" t="str">
        <f>IFERROR(VLOOKUP(X188,'Demand Lookups'!$A$5:$B$101,2,0),0)</f>
        <v>Non-Electric Measures</v>
      </c>
      <c r="AA188" s="722">
        <v>0</v>
      </c>
      <c r="AB188" s="722">
        <v>0</v>
      </c>
      <c r="AC188" s="722">
        <v>0</v>
      </c>
      <c r="AD188" s="723">
        <v>0</v>
      </c>
      <c r="AE188" s="724">
        <f t="shared" si="46"/>
        <v>0</v>
      </c>
      <c r="AF188" s="723">
        <v>0</v>
      </c>
      <c r="AG188" s="723">
        <v>0</v>
      </c>
      <c r="AH188" s="648">
        <v>0</v>
      </c>
      <c r="AI188" s="648">
        <v>0</v>
      </c>
      <c r="AJ188" s="167" t="s">
        <v>87</v>
      </c>
      <c r="AK188" s="168">
        <v>24.6</v>
      </c>
      <c r="AL188" s="167"/>
      <c r="AM188" s="168"/>
      <c r="AN188" s="167"/>
      <c r="AO188" s="168"/>
      <c r="AP188" s="167"/>
      <c r="AQ188" s="171"/>
      <c r="AR188" s="171"/>
      <c r="AS188" s="299">
        <f>SUMIF('NEI Lookups'!$L:$L,'Inputs Yr 2'!$F188,'NEI Lookups'!E:E)+SUMIF('NEI Lookups'!$M:$M,'Inputs Yr 2'!$F188,'NEI Lookups'!E:E)+SUMIF('NEI Lookups'!$N:$N,'Inputs Yr 2'!$F188,'NEI Lookups'!E:E)+SUMIF('NEI Lookups'!$O:$O,'Inputs Yr 2'!$F188,'NEI Lookups'!E:E)+SUMIF('NEI Lookups'!$P:$P,'Inputs Yr 2'!$F188,'NEI Lookups'!E:E)+SUMIF('NEI Lookups'!$Q:$Q,'Inputs Yr 2'!$F188,'NEI Lookups'!E:E)+SUMIF('NEI Lookups'!$R:$R,'Inputs Yr 2'!$F188,'NEI Lookups'!E:E)+SUMIF('NEI Lookups'!$S:$S,'Inputs Yr 2'!$F188,'NEI Lookups'!E:E)+SUMIF('NEI Lookups'!$T:$T,'Inputs Yr 2'!$F188,'NEI Lookups'!E:E)</f>
        <v>0</v>
      </c>
      <c r="AT188" s="299">
        <f>SUMIF('NEI Lookups'!$L:$L,'Inputs Yr 2'!$F188,'NEI Lookups'!F:F)+SUMIF('NEI Lookups'!$M:$M,'Inputs Yr 2'!$F188,'NEI Lookups'!F:F)+SUMIF('NEI Lookups'!$N:$N,'Inputs Yr 2'!$F188,'NEI Lookups'!F:F)+SUMIF('NEI Lookups'!$O:$O,'Inputs Yr 2'!$F188,'NEI Lookups'!F:F)+SUMIF('NEI Lookups'!$P:$P,'Inputs Yr 2'!$F188,'NEI Lookups'!F:F)+SUMIF('NEI Lookups'!$Q:$Q,'Inputs Yr 2'!$F188,'NEI Lookups'!F:F)+SUMIF('NEI Lookups'!$R:$R,'Inputs Yr 2'!$F188,'NEI Lookups'!F:F)+SUMIF('NEI Lookups'!$S:$S,'Inputs Yr 2'!$F188,'NEI Lookups'!F:F)+SUMIF('NEI Lookups'!$T:$T,'Inputs Yr 2'!$F188,'NEI Lookups'!F:F)</f>
        <v>0</v>
      </c>
      <c r="AU188" s="299">
        <f>SUMIF('NEI Lookups'!$L:$L,'Inputs Yr 2'!$F188,'NEI Lookups'!G:G)+SUMIF('NEI Lookups'!$M:$M,'Inputs Yr 2'!$F188,'NEI Lookups'!G:G)+SUMIF('NEI Lookups'!$N:$N,'Inputs Yr 2'!$F188,'NEI Lookups'!G:G)+SUMIF('NEI Lookups'!$O:$O,'Inputs Yr 2'!$F188,'NEI Lookups'!G:G)+SUMIF('NEI Lookups'!$P:$P,'Inputs Yr 2'!$F188,'NEI Lookups'!G:G)+SUMIF('NEI Lookups'!$Q:$Q,'Inputs Yr 2'!$F188,'NEI Lookups'!G:G)+SUMIF('NEI Lookups'!$R:$R,'Inputs Yr 2'!$F188,'NEI Lookups'!G:G)+SUMIF('NEI Lookups'!$S:$S,'Inputs Yr 2'!$F188,'NEI Lookups'!G:G)+SUMIF('NEI Lookups'!$T:$T,'Inputs Yr 2'!$F188,'NEI Lookups'!G:G)</f>
        <v>0</v>
      </c>
      <c r="AV188" s="299">
        <f>SUMIF('NEI Lookups'!$L:$L,'Inputs Yr 2'!$F188,'NEI Lookups'!H:H)+SUMIF('NEI Lookups'!$M:$M,'Inputs Yr 2'!$F188,'NEI Lookups'!H:H)+SUMIF('NEI Lookups'!$N:$N,'Inputs Yr 2'!$F188,'NEI Lookups'!H:H)+SUMIF('NEI Lookups'!$O:$O,'Inputs Yr 2'!$F188,'NEI Lookups'!H:H)+SUMIF('NEI Lookups'!$P:$P,'Inputs Yr 2'!$F188,'NEI Lookups'!H:H)+SUMIF('NEI Lookups'!$Q:$Q,'Inputs Yr 2'!$F188,'NEI Lookups'!H:H)+SUMIF('NEI Lookups'!$R:$R,'Inputs Yr 2'!$F188,'NEI Lookups'!H:H)+SUMIF('NEI Lookups'!$S:$S,'Inputs Yr 2'!$F188,'NEI Lookups'!H:H)+SUMIF('NEI Lookups'!$T:$T,'Inputs Yr 2'!$F188,'NEI Lookups'!H:H)</f>
        <v>0</v>
      </c>
      <c r="AW188" s="299">
        <f>SUMIF('NEI Lookups'!$L:$L,'Inputs Yr 2'!$F188,'NEI Lookups'!I:I)+SUMIF('NEI Lookups'!$M:$M,'Inputs Yr 2'!$F188,'NEI Lookups'!I:I)+SUMIF('NEI Lookups'!$N:$N,'Inputs Yr 2'!$F188,'NEI Lookups'!I:I)+SUMIF('NEI Lookups'!$O:$O,'Inputs Yr 2'!$F188,'NEI Lookups'!I:I)+SUMIF('NEI Lookups'!$P:$P,'Inputs Yr 2'!$F188,'NEI Lookups'!I:I)+SUMIF('NEI Lookups'!$Q:$Q,'Inputs Yr 2'!$F188,'NEI Lookups'!I:I)+SUMIF('NEI Lookups'!$R:$R,'Inputs Yr 2'!$F188,'NEI Lookups'!I:I)+SUMIF('NEI Lookups'!$S:$S,'Inputs Yr 2'!$F188,'NEI Lookups'!I:I)+SUMIF('NEI Lookups'!$T:$T,'Inputs Yr 2'!$F188,'NEI Lookups'!I:I)</f>
        <v>-8.4000000000000005E-2</v>
      </c>
      <c r="AX188" s="299">
        <f>SUMIF('NEI Lookups'!$L:$L,'Inputs Yr 2'!$F188,'NEI Lookups'!J:J)+SUMIF('NEI Lookups'!$M:$M,'Inputs Yr 2'!$F188,'NEI Lookups'!J:J)+SUMIF('NEI Lookups'!$N:$N,'Inputs Yr 2'!$F188,'NEI Lookups'!J:J)+SUMIF('NEI Lookups'!$O:$O,'Inputs Yr 2'!$F188,'NEI Lookups'!J:J)+SUMIF('NEI Lookups'!$P:$P,'Inputs Yr 2'!$F188,'NEI Lookups'!J:J)+SUMIF('NEI Lookups'!$Q:$Q,'Inputs Yr 2'!$F188,'NEI Lookups'!J:J)+SUMIF('NEI Lookups'!$R:$R,'Inputs Yr 2'!$F188,'NEI Lookups'!J:J)+SUMIF('NEI Lookups'!$S:$S,'Inputs Yr 2'!$F188,'NEI Lookups'!J:J)+SUMIF('NEI Lookups'!$T:$T,'Inputs Yr 2'!$F188,'NEI Lookups'!J:J)</f>
        <v>0</v>
      </c>
      <c r="AY188" s="930" t="e">
        <f>'Calculations Yr 2'!CP188/'Calculations Yr 2'!I188</f>
        <v>#VALUE!</v>
      </c>
    </row>
    <row r="189" spans="1:51" s="133" customFormat="1" ht="12.75" customHeight="1">
      <c r="A189" s="145" t="s">
        <v>83</v>
      </c>
      <c r="B189" s="132" t="s">
        <v>873</v>
      </c>
      <c r="C189" s="132" t="s">
        <v>661</v>
      </c>
      <c r="D189" s="99"/>
      <c r="E189" s="98" t="s">
        <v>757</v>
      </c>
      <c r="F189" s="98" t="s">
        <v>1080</v>
      </c>
      <c r="G189" s="145" t="s">
        <v>1247</v>
      </c>
      <c r="H189" s="165"/>
      <c r="I189" s="232">
        <v>20</v>
      </c>
      <c r="J189" s="964">
        <v>2910</v>
      </c>
      <c r="K189" s="166">
        <v>1600</v>
      </c>
      <c r="L189" s="888">
        <f t="shared" si="25"/>
        <v>1310</v>
      </c>
      <c r="M189" s="980">
        <v>0</v>
      </c>
      <c r="N189" s="980">
        <v>0</v>
      </c>
      <c r="O189" s="980">
        <v>0</v>
      </c>
      <c r="P189" s="889">
        <v>0.84600000000000009</v>
      </c>
      <c r="Q189" s="980">
        <v>1</v>
      </c>
      <c r="R189" s="178">
        <v>1</v>
      </c>
      <c r="S189" s="178">
        <v>1</v>
      </c>
      <c r="T189" s="178">
        <v>1</v>
      </c>
      <c r="U189" s="978">
        <v>0</v>
      </c>
      <c r="V189" s="978">
        <v>0</v>
      </c>
      <c r="W189" s="179"/>
      <c r="X189" s="937" t="s">
        <v>653</v>
      </c>
      <c r="Y189" s="299">
        <f>IFERROR(VLOOKUP($X189,'Demand Lookups'!$A$5:$K$101,9,0), 0)</f>
        <v>0</v>
      </c>
      <c r="Z189" s="922" t="str">
        <f>IFERROR(VLOOKUP(X189,'Demand Lookups'!$A$5:$B$101,2,0),0)</f>
        <v>Non-Electric Measures</v>
      </c>
      <c r="AA189" s="722">
        <v>0</v>
      </c>
      <c r="AB189" s="722">
        <v>0</v>
      </c>
      <c r="AC189" s="722">
        <v>0</v>
      </c>
      <c r="AD189" s="723">
        <v>0</v>
      </c>
      <c r="AE189" s="724">
        <f t="shared" si="46"/>
        <v>0</v>
      </c>
      <c r="AF189" s="723">
        <v>0</v>
      </c>
      <c r="AG189" s="723">
        <v>0</v>
      </c>
      <c r="AH189" s="648">
        <v>0</v>
      </c>
      <c r="AI189" s="648">
        <v>0</v>
      </c>
      <c r="AJ189" s="167" t="s">
        <v>87</v>
      </c>
      <c r="AK189" s="168">
        <v>30.5</v>
      </c>
      <c r="AL189" s="167"/>
      <c r="AM189" s="168"/>
      <c r="AN189" s="167"/>
      <c r="AO189" s="168"/>
      <c r="AP189" s="167"/>
      <c r="AQ189" s="171"/>
      <c r="AR189" s="171"/>
      <c r="AS189" s="299">
        <f>SUMIF('NEI Lookups'!$L:$L,'Inputs Yr 2'!$F189,'NEI Lookups'!E:E)+SUMIF('NEI Lookups'!$M:$M,'Inputs Yr 2'!$F189,'NEI Lookups'!E:E)+SUMIF('NEI Lookups'!$N:$N,'Inputs Yr 2'!$F189,'NEI Lookups'!E:E)+SUMIF('NEI Lookups'!$O:$O,'Inputs Yr 2'!$F189,'NEI Lookups'!E:E)+SUMIF('NEI Lookups'!$P:$P,'Inputs Yr 2'!$F189,'NEI Lookups'!E:E)+SUMIF('NEI Lookups'!$Q:$Q,'Inputs Yr 2'!$F189,'NEI Lookups'!E:E)+SUMIF('NEI Lookups'!$R:$R,'Inputs Yr 2'!$F189,'NEI Lookups'!E:E)+SUMIF('NEI Lookups'!$S:$S,'Inputs Yr 2'!$F189,'NEI Lookups'!E:E)+SUMIF('NEI Lookups'!$T:$T,'Inputs Yr 2'!$F189,'NEI Lookups'!E:E)</f>
        <v>0</v>
      </c>
      <c r="AT189" s="299">
        <f>SUMIF('NEI Lookups'!$L:$L,'Inputs Yr 2'!$F189,'NEI Lookups'!F:F)+SUMIF('NEI Lookups'!$M:$M,'Inputs Yr 2'!$F189,'NEI Lookups'!F:F)+SUMIF('NEI Lookups'!$N:$N,'Inputs Yr 2'!$F189,'NEI Lookups'!F:F)+SUMIF('NEI Lookups'!$O:$O,'Inputs Yr 2'!$F189,'NEI Lookups'!F:F)+SUMIF('NEI Lookups'!$P:$P,'Inputs Yr 2'!$F189,'NEI Lookups'!F:F)+SUMIF('NEI Lookups'!$Q:$Q,'Inputs Yr 2'!$F189,'NEI Lookups'!F:F)+SUMIF('NEI Lookups'!$R:$R,'Inputs Yr 2'!$F189,'NEI Lookups'!F:F)+SUMIF('NEI Lookups'!$S:$S,'Inputs Yr 2'!$F189,'NEI Lookups'!F:F)+SUMIF('NEI Lookups'!$T:$T,'Inputs Yr 2'!$F189,'NEI Lookups'!F:F)</f>
        <v>0</v>
      </c>
      <c r="AU189" s="299">
        <f>SUMIF('NEI Lookups'!$L:$L,'Inputs Yr 2'!$F189,'NEI Lookups'!G:G)+SUMIF('NEI Lookups'!$M:$M,'Inputs Yr 2'!$F189,'NEI Lookups'!G:G)+SUMIF('NEI Lookups'!$N:$N,'Inputs Yr 2'!$F189,'NEI Lookups'!G:G)+SUMIF('NEI Lookups'!$O:$O,'Inputs Yr 2'!$F189,'NEI Lookups'!G:G)+SUMIF('NEI Lookups'!$P:$P,'Inputs Yr 2'!$F189,'NEI Lookups'!G:G)+SUMIF('NEI Lookups'!$Q:$Q,'Inputs Yr 2'!$F189,'NEI Lookups'!G:G)+SUMIF('NEI Lookups'!$R:$R,'Inputs Yr 2'!$F189,'NEI Lookups'!G:G)+SUMIF('NEI Lookups'!$S:$S,'Inputs Yr 2'!$F189,'NEI Lookups'!G:G)+SUMIF('NEI Lookups'!$T:$T,'Inputs Yr 2'!$F189,'NEI Lookups'!G:G)</f>
        <v>0</v>
      </c>
      <c r="AV189" s="299">
        <f>SUMIF('NEI Lookups'!$L:$L,'Inputs Yr 2'!$F189,'NEI Lookups'!H:H)+SUMIF('NEI Lookups'!$M:$M,'Inputs Yr 2'!$F189,'NEI Lookups'!H:H)+SUMIF('NEI Lookups'!$N:$N,'Inputs Yr 2'!$F189,'NEI Lookups'!H:H)+SUMIF('NEI Lookups'!$O:$O,'Inputs Yr 2'!$F189,'NEI Lookups'!H:H)+SUMIF('NEI Lookups'!$P:$P,'Inputs Yr 2'!$F189,'NEI Lookups'!H:H)+SUMIF('NEI Lookups'!$Q:$Q,'Inputs Yr 2'!$F189,'NEI Lookups'!H:H)+SUMIF('NEI Lookups'!$R:$R,'Inputs Yr 2'!$F189,'NEI Lookups'!H:H)+SUMIF('NEI Lookups'!$S:$S,'Inputs Yr 2'!$F189,'NEI Lookups'!H:H)+SUMIF('NEI Lookups'!$T:$T,'Inputs Yr 2'!$F189,'NEI Lookups'!H:H)</f>
        <v>0</v>
      </c>
      <c r="AW189" s="299">
        <f>SUMIF('NEI Lookups'!$L:$L,'Inputs Yr 2'!$F189,'NEI Lookups'!I:I)+SUMIF('NEI Lookups'!$M:$M,'Inputs Yr 2'!$F189,'NEI Lookups'!I:I)+SUMIF('NEI Lookups'!$N:$N,'Inputs Yr 2'!$F189,'NEI Lookups'!I:I)+SUMIF('NEI Lookups'!$O:$O,'Inputs Yr 2'!$F189,'NEI Lookups'!I:I)+SUMIF('NEI Lookups'!$P:$P,'Inputs Yr 2'!$F189,'NEI Lookups'!I:I)+SUMIF('NEI Lookups'!$Q:$Q,'Inputs Yr 2'!$F189,'NEI Lookups'!I:I)+SUMIF('NEI Lookups'!$R:$R,'Inputs Yr 2'!$F189,'NEI Lookups'!I:I)+SUMIF('NEI Lookups'!$S:$S,'Inputs Yr 2'!$F189,'NEI Lookups'!I:I)+SUMIF('NEI Lookups'!$T:$T,'Inputs Yr 2'!$F189,'NEI Lookups'!I:I)</f>
        <v>-8.4000000000000005E-2</v>
      </c>
      <c r="AX189" s="299">
        <f>SUMIF('NEI Lookups'!$L:$L,'Inputs Yr 2'!$F189,'NEI Lookups'!J:J)+SUMIF('NEI Lookups'!$M:$M,'Inputs Yr 2'!$F189,'NEI Lookups'!J:J)+SUMIF('NEI Lookups'!$N:$N,'Inputs Yr 2'!$F189,'NEI Lookups'!J:J)+SUMIF('NEI Lookups'!$O:$O,'Inputs Yr 2'!$F189,'NEI Lookups'!J:J)+SUMIF('NEI Lookups'!$P:$P,'Inputs Yr 2'!$F189,'NEI Lookups'!J:J)+SUMIF('NEI Lookups'!$Q:$Q,'Inputs Yr 2'!$F189,'NEI Lookups'!J:J)+SUMIF('NEI Lookups'!$R:$R,'Inputs Yr 2'!$F189,'NEI Lookups'!J:J)+SUMIF('NEI Lookups'!$S:$S,'Inputs Yr 2'!$F189,'NEI Lookups'!J:J)+SUMIF('NEI Lookups'!$T:$T,'Inputs Yr 2'!$F189,'NEI Lookups'!J:J)</f>
        <v>0</v>
      </c>
      <c r="AY189" s="930" t="e">
        <f>'Calculations Yr 2'!CP189/'Calculations Yr 2'!I189</f>
        <v>#VALUE!</v>
      </c>
    </row>
    <row r="190" spans="1:51" s="133" customFormat="1" ht="12.75" customHeight="1">
      <c r="A190" s="145" t="s">
        <v>83</v>
      </c>
      <c r="B190" s="132" t="s">
        <v>873</v>
      </c>
      <c r="C190" s="132" t="s">
        <v>661</v>
      </c>
      <c r="D190" s="99"/>
      <c r="E190" s="656" t="s">
        <v>783</v>
      </c>
      <c r="F190" s="98" t="s">
        <v>1081</v>
      </c>
      <c r="G190" s="145" t="s">
        <v>545</v>
      </c>
      <c r="H190" s="165"/>
      <c r="I190" s="232">
        <v>12</v>
      </c>
      <c r="J190" s="964">
        <v>1300</v>
      </c>
      <c r="K190" s="166">
        <v>1000</v>
      </c>
      <c r="L190" s="888">
        <f t="shared" si="25"/>
        <v>300</v>
      </c>
      <c r="M190" s="980">
        <v>0</v>
      </c>
      <c r="N190" s="980">
        <v>0</v>
      </c>
      <c r="O190" s="980">
        <v>0</v>
      </c>
      <c r="P190" s="889">
        <v>0.84600000000000009</v>
      </c>
      <c r="Q190" s="980">
        <v>1</v>
      </c>
      <c r="R190" s="178">
        <v>1</v>
      </c>
      <c r="S190" s="178">
        <v>1</v>
      </c>
      <c r="T190" s="178">
        <v>1</v>
      </c>
      <c r="U190" s="978">
        <v>0</v>
      </c>
      <c r="V190" s="978">
        <v>0</v>
      </c>
      <c r="W190" s="179"/>
      <c r="X190" s="937" t="s">
        <v>653</v>
      </c>
      <c r="Y190" s="299">
        <f>IFERROR(VLOOKUP($X190,'Demand Lookups'!$A$5:$K$101,9,0), 0)</f>
        <v>0</v>
      </c>
      <c r="Z190" s="922" t="str">
        <f>IFERROR(VLOOKUP(X190,'Demand Lookups'!$A$5:$B$101,2,0),0)</f>
        <v>Non-Electric Measures</v>
      </c>
      <c r="AA190" s="722">
        <v>0</v>
      </c>
      <c r="AB190" s="722">
        <v>0</v>
      </c>
      <c r="AC190" s="722">
        <v>0</v>
      </c>
      <c r="AD190" s="723">
        <v>0</v>
      </c>
      <c r="AE190" s="724">
        <f t="shared" si="46"/>
        <v>0</v>
      </c>
      <c r="AF190" s="723">
        <v>0</v>
      </c>
      <c r="AG190" s="723">
        <v>0</v>
      </c>
      <c r="AH190" s="648">
        <v>0</v>
      </c>
      <c r="AI190" s="648">
        <v>0</v>
      </c>
      <c r="AJ190" s="167" t="s">
        <v>200</v>
      </c>
      <c r="AK190" s="168">
        <v>110.3</v>
      </c>
      <c r="AL190" s="167"/>
      <c r="AM190" s="168"/>
      <c r="AN190" s="167"/>
      <c r="AO190" s="168"/>
      <c r="AP190" s="167"/>
      <c r="AQ190" s="171">
        <v>65700</v>
      </c>
      <c r="AR190" s="171">
        <v>65700</v>
      </c>
      <c r="AS190" s="299">
        <f>SUMIF('NEI Lookups'!$L:$L,'Inputs Yr 2'!$F190,'NEI Lookups'!E:E)+SUMIF('NEI Lookups'!$M:$M,'Inputs Yr 2'!$F190,'NEI Lookups'!E:E)+SUMIF('NEI Lookups'!$N:$N,'Inputs Yr 2'!$F190,'NEI Lookups'!E:E)+SUMIF('NEI Lookups'!$O:$O,'Inputs Yr 2'!$F190,'NEI Lookups'!E:E)+SUMIF('NEI Lookups'!$P:$P,'Inputs Yr 2'!$F190,'NEI Lookups'!E:E)+SUMIF('NEI Lookups'!$Q:$Q,'Inputs Yr 2'!$F190,'NEI Lookups'!E:E)+SUMIF('NEI Lookups'!$R:$R,'Inputs Yr 2'!$F190,'NEI Lookups'!E:E)+SUMIF('NEI Lookups'!$S:$S,'Inputs Yr 2'!$F190,'NEI Lookups'!E:E)+SUMIF('NEI Lookups'!$T:$T,'Inputs Yr 2'!$F190,'NEI Lookups'!E:E)</f>
        <v>0</v>
      </c>
      <c r="AT190" s="299">
        <f>SUMIF('NEI Lookups'!$L:$L,'Inputs Yr 2'!$F190,'NEI Lookups'!F:F)+SUMIF('NEI Lookups'!$M:$M,'Inputs Yr 2'!$F190,'NEI Lookups'!F:F)+SUMIF('NEI Lookups'!$N:$N,'Inputs Yr 2'!$F190,'NEI Lookups'!F:F)+SUMIF('NEI Lookups'!$O:$O,'Inputs Yr 2'!$F190,'NEI Lookups'!F:F)+SUMIF('NEI Lookups'!$P:$P,'Inputs Yr 2'!$F190,'NEI Lookups'!F:F)+SUMIF('NEI Lookups'!$Q:$Q,'Inputs Yr 2'!$F190,'NEI Lookups'!F:F)+SUMIF('NEI Lookups'!$R:$R,'Inputs Yr 2'!$F190,'NEI Lookups'!F:F)+SUMIF('NEI Lookups'!$S:$S,'Inputs Yr 2'!$F190,'NEI Lookups'!F:F)+SUMIF('NEI Lookups'!$T:$T,'Inputs Yr 2'!$F190,'NEI Lookups'!F:F)</f>
        <v>0</v>
      </c>
      <c r="AU190" s="299">
        <f>SUMIF('NEI Lookups'!$L:$L,'Inputs Yr 2'!$F190,'NEI Lookups'!G:G)+SUMIF('NEI Lookups'!$M:$M,'Inputs Yr 2'!$F190,'NEI Lookups'!G:G)+SUMIF('NEI Lookups'!$N:$N,'Inputs Yr 2'!$F190,'NEI Lookups'!G:G)+SUMIF('NEI Lookups'!$O:$O,'Inputs Yr 2'!$F190,'NEI Lookups'!G:G)+SUMIF('NEI Lookups'!$P:$P,'Inputs Yr 2'!$F190,'NEI Lookups'!G:G)+SUMIF('NEI Lookups'!$Q:$Q,'Inputs Yr 2'!$F190,'NEI Lookups'!G:G)+SUMIF('NEI Lookups'!$R:$R,'Inputs Yr 2'!$F190,'NEI Lookups'!G:G)+SUMIF('NEI Lookups'!$S:$S,'Inputs Yr 2'!$F190,'NEI Lookups'!G:G)+SUMIF('NEI Lookups'!$T:$T,'Inputs Yr 2'!$F190,'NEI Lookups'!G:G)</f>
        <v>0</v>
      </c>
      <c r="AV190" s="299">
        <f>SUMIF('NEI Lookups'!$L:$L,'Inputs Yr 2'!$F190,'NEI Lookups'!H:H)+SUMIF('NEI Lookups'!$M:$M,'Inputs Yr 2'!$F190,'NEI Lookups'!H:H)+SUMIF('NEI Lookups'!$N:$N,'Inputs Yr 2'!$F190,'NEI Lookups'!H:H)+SUMIF('NEI Lookups'!$O:$O,'Inputs Yr 2'!$F190,'NEI Lookups'!H:H)+SUMIF('NEI Lookups'!$P:$P,'Inputs Yr 2'!$F190,'NEI Lookups'!H:H)+SUMIF('NEI Lookups'!$Q:$Q,'Inputs Yr 2'!$F190,'NEI Lookups'!H:H)+SUMIF('NEI Lookups'!$R:$R,'Inputs Yr 2'!$F190,'NEI Lookups'!H:H)+SUMIF('NEI Lookups'!$S:$S,'Inputs Yr 2'!$F190,'NEI Lookups'!H:H)+SUMIF('NEI Lookups'!$T:$T,'Inputs Yr 2'!$F190,'NEI Lookups'!H:H)</f>
        <v>0</v>
      </c>
      <c r="AW190" s="299">
        <f>SUMIF('NEI Lookups'!$L:$L,'Inputs Yr 2'!$F190,'NEI Lookups'!I:I)+SUMIF('NEI Lookups'!$M:$M,'Inputs Yr 2'!$F190,'NEI Lookups'!I:I)+SUMIF('NEI Lookups'!$N:$N,'Inputs Yr 2'!$F190,'NEI Lookups'!I:I)+SUMIF('NEI Lookups'!$O:$O,'Inputs Yr 2'!$F190,'NEI Lookups'!I:I)+SUMIF('NEI Lookups'!$P:$P,'Inputs Yr 2'!$F190,'NEI Lookups'!I:I)+SUMIF('NEI Lookups'!$Q:$Q,'Inputs Yr 2'!$F190,'NEI Lookups'!I:I)+SUMIF('NEI Lookups'!$R:$R,'Inputs Yr 2'!$F190,'NEI Lookups'!I:I)+SUMIF('NEI Lookups'!$S:$S,'Inputs Yr 2'!$F190,'NEI Lookups'!I:I)+SUMIF('NEI Lookups'!$T:$T,'Inputs Yr 2'!$F190,'NEI Lookups'!I:I)</f>
        <v>3.4</v>
      </c>
      <c r="AX190" s="299">
        <f>SUMIF('NEI Lookups'!$L:$L,'Inputs Yr 2'!$F190,'NEI Lookups'!J:J)+SUMIF('NEI Lookups'!$M:$M,'Inputs Yr 2'!$F190,'NEI Lookups'!J:J)+SUMIF('NEI Lookups'!$N:$N,'Inputs Yr 2'!$F190,'NEI Lookups'!J:J)+SUMIF('NEI Lookups'!$O:$O,'Inputs Yr 2'!$F190,'NEI Lookups'!J:J)+SUMIF('NEI Lookups'!$P:$P,'Inputs Yr 2'!$F190,'NEI Lookups'!J:J)+SUMIF('NEI Lookups'!$Q:$Q,'Inputs Yr 2'!$F190,'NEI Lookups'!J:J)+SUMIF('NEI Lookups'!$R:$R,'Inputs Yr 2'!$F190,'NEI Lookups'!J:J)+SUMIF('NEI Lookups'!$S:$S,'Inputs Yr 2'!$F190,'NEI Lookups'!J:J)+SUMIF('NEI Lookups'!$T:$T,'Inputs Yr 2'!$F190,'NEI Lookups'!J:J)</f>
        <v>0</v>
      </c>
      <c r="AY190" s="930" t="e">
        <f>'Calculations Yr 2'!CP190/'Calculations Yr 2'!I190</f>
        <v>#VALUE!</v>
      </c>
    </row>
    <row r="191" spans="1:51" s="133" customFormat="1" ht="12.75" customHeight="1">
      <c r="A191" s="145" t="s">
        <v>83</v>
      </c>
      <c r="B191" s="132" t="s">
        <v>873</v>
      </c>
      <c r="C191" s="132" t="s">
        <v>661</v>
      </c>
      <c r="D191" s="99"/>
      <c r="E191" s="656" t="s">
        <v>784</v>
      </c>
      <c r="F191" s="98" t="s">
        <v>1082</v>
      </c>
      <c r="G191" s="145" t="s">
        <v>545</v>
      </c>
      <c r="H191" s="165"/>
      <c r="I191" s="237">
        <v>12</v>
      </c>
      <c r="J191" s="964">
        <v>1886</v>
      </c>
      <c r="K191" s="166">
        <v>1000</v>
      </c>
      <c r="L191" s="888">
        <f t="shared" si="25"/>
        <v>886</v>
      </c>
      <c r="M191" s="980">
        <v>0</v>
      </c>
      <c r="N191" s="980">
        <v>0</v>
      </c>
      <c r="O191" s="980">
        <v>0</v>
      </c>
      <c r="P191" s="889">
        <v>0.84600000000000009</v>
      </c>
      <c r="Q191" s="980">
        <v>1</v>
      </c>
      <c r="R191" s="178">
        <v>1</v>
      </c>
      <c r="S191" s="178">
        <v>1</v>
      </c>
      <c r="T191" s="178">
        <v>1</v>
      </c>
      <c r="U191" s="978">
        <v>0</v>
      </c>
      <c r="V191" s="978">
        <v>0</v>
      </c>
      <c r="W191" s="179"/>
      <c r="X191" s="937" t="s">
        <v>653</v>
      </c>
      <c r="Y191" s="299">
        <f>IFERROR(VLOOKUP($X191,'Demand Lookups'!$A$5:$K$101,9,0), 0)</f>
        <v>0</v>
      </c>
      <c r="Z191" s="922" t="str">
        <f>IFERROR(VLOOKUP(X191,'Demand Lookups'!$A$5:$B$101,2,0),0)</f>
        <v>Non-Electric Measures</v>
      </c>
      <c r="AA191" s="722">
        <v>0</v>
      </c>
      <c r="AB191" s="722">
        <v>0</v>
      </c>
      <c r="AC191" s="722">
        <v>0</v>
      </c>
      <c r="AD191" s="723">
        <v>0</v>
      </c>
      <c r="AE191" s="724">
        <f t="shared" si="46"/>
        <v>0</v>
      </c>
      <c r="AF191" s="723">
        <v>0</v>
      </c>
      <c r="AG191" s="723">
        <v>0</v>
      </c>
      <c r="AH191" s="648">
        <v>0</v>
      </c>
      <c r="AI191" s="648">
        <v>0</v>
      </c>
      <c r="AJ191" s="167" t="s">
        <v>200</v>
      </c>
      <c r="AK191" s="168">
        <v>12.9</v>
      </c>
      <c r="AL191" s="167"/>
      <c r="AM191" s="168"/>
      <c r="AN191" s="167"/>
      <c r="AO191" s="168"/>
      <c r="AP191" s="167"/>
      <c r="AQ191" s="171"/>
      <c r="AR191" s="171"/>
      <c r="AS191" s="299">
        <f>SUMIF('NEI Lookups'!$L:$L,'Inputs Yr 2'!$F191,'NEI Lookups'!E:E)+SUMIF('NEI Lookups'!$M:$M,'Inputs Yr 2'!$F191,'NEI Lookups'!E:E)+SUMIF('NEI Lookups'!$N:$N,'Inputs Yr 2'!$F191,'NEI Lookups'!E:E)+SUMIF('NEI Lookups'!$O:$O,'Inputs Yr 2'!$F191,'NEI Lookups'!E:E)+SUMIF('NEI Lookups'!$P:$P,'Inputs Yr 2'!$F191,'NEI Lookups'!E:E)+SUMIF('NEI Lookups'!$Q:$Q,'Inputs Yr 2'!$F191,'NEI Lookups'!E:E)+SUMIF('NEI Lookups'!$R:$R,'Inputs Yr 2'!$F191,'NEI Lookups'!E:E)+SUMIF('NEI Lookups'!$S:$S,'Inputs Yr 2'!$F191,'NEI Lookups'!E:E)+SUMIF('NEI Lookups'!$T:$T,'Inputs Yr 2'!$F191,'NEI Lookups'!E:E)</f>
        <v>0</v>
      </c>
      <c r="AT191" s="299">
        <f>SUMIF('NEI Lookups'!$L:$L,'Inputs Yr 2'!$F191,'NEI Lookups'!F:F)+SUMIF('NEI Lookups'!$M:$M,'Inputs Yr 2'!$F191,'NEI Lookups'!F:F)+SUMIF('NEI Lookups'!$N:$N,'Inputs Yr 2'!$F191,'NEI Lookups'!F:F)+SUMIF('NEI Lookups'!$O:$O,'Inputs Yr 2'!$F191,'NEI Lookups'!F:F)+SUMIF('NEI Lookups'!$P:$P,'Inputs Yr 2'!$F191,'NEI Lookups'!F:F)+SUMIF('NEI Lookups'!$Q:$Q,'Inputs Yr 2'!$F191,'NEI Lookups'!F:F)+SUMIF('NEI Lookups'!$R:$R,'Inputs Yr 2'!$F191,'NEI Lookups'!F:F)+SUMIF('NEI Lookups'!$S:$S,'Inputs Yr 2'!$F191,'NEI Lookups'!F:F)+SUMIF('NEI Lookups'!$T:$T,'Inputs Yr 2'!$F191,'NEI Lookups'!F:F)</f>
        <v>0</v>
      </c>
      <c r="AU191" s="299">
        <f>SUMIF('NEI Lookups'!$L:$L,'Inputs Yr 2'!$F191,'NEI Lookups'!G:G)+SUMIF('NEI Lookups'!$M:$M,'Inputs Yr 2'!$F191,'NEI Lookups'!G:G)+SUMIF('NEI Lookups'!$N:$N,'Inputs Yr 2'!$F191,'NEI Lookups'!G:G)+SUMIF('NEI Lookups'!$O:$O,'Inputs Yr 2'!$F191,'NEI Lookups'!G:G)+SUMIF('NEI Lookups'!$P:$P,'Inputs Yr 2'!$F191,'NEI Lookups'!G:G)+SUMIF('NEI Lookups'!$Q:$Q,'Inputs Yr 2'!$F191,'NEI Lookups'!G:G)+SUMIF('NEI Lookups'!$R:$R,'Inputs Yr 2'!$F191,'NEI Lookups'!G:G)+SUMIF('NEI Lookups'!$S:$S,'Inputs Yr 2'!$F191,'NEI Lookups'!G:G)+SUMIF('NEI Lookups'!$T:$T,'Inputs Yr 2'!$F191,'NEI Lookups'!G:G)</f>
        <v>0</v>
      </c>
      <c r="AV191" s="299">
        <f>SUMIF('NEI Lookups'!$L:$L,'Inputs Yr 2'!$F191,'NEI Lookups'!H:H)+SUMIF('NEI Lookups'!$M:$M,'Inputs Yr 2'!$F191,'NEI Lookups'!H:H)+SUMIF('NEI Lookups'!$N:$N,'Inputs Yr 2'!$F191,'NEI Lookups'!H:H)+SUMIF('NEI Lookups'!$O:$O,'Inputs Yr 2'!$F191,'NEI Lookups'!H:H)+SUMIF('NEI Lookups'!$P:$P,'Inputs Yr 2'!$F191,'NEI Lookups'!H:H)+SUMIF('NEI Lookups'!$Q:$Q,'Inputs Yr 2'!$F191,'NEI Lookups'!H:H)+SUMIF('NEI Lookups'!$R:$R,'Inputs Yr 2'!$F191,'NEI Lookups'!H:H)+SUMIF('NEI Lookups'!$S:$S,'Inputs Yr 2'!$F191,'NEI Lookups'!H:H)+SUMIF('NEI Lookups'!$T:$T,'Inputs Yr 2'!$F191,'NEI Lookups'!H:H)</f>
        <v>0</v>
      </c>
      <c r="AW191" s="299">
        <f>SUMIF('NEI Lookups'!$L:$L,'Inputs Yr 2'!$F191,'NEI Lookups'!I:I)+SUMIF('NEI Lookups'!$M:$M,'Inputs Yr 2'!$F191,'NEI Lookups'!I:I)+SUMIF('NEI Lookups'!$N:$N,'Inputs Yr 2'!$F191,'NEI Lookups'!I:I)+SUMIF('NEI Lookups'!$O:$O,'Inputs Yr 2'!$F191,'NEI Lookups'!I:I)+SUMIF('NEI Lookups'!$P:$P,'Inputs Yr 2'!$F191,'NEI Lookups'!I:I)+SUMIF('NEI Lookups'!$Q:$Q,'Inputs Yr 2'!$F191,'NEI Lookups'!I:I)+SUMIF('NEI Lookups'!$R:$R,'Inputs Yr 2'!$F191,'NEI Lookups'!I:I)+SUMIF('NEI Lookups'!$S:$S,'Inputs Yr 2'!$F191,'NEI Lookups'!I:I)+SUMIF('NEI Lookups'!$T:$T,'Inputs Yr 2'!$F191,'NEI Lookups'!I:I)</f>
        <v>3.4</v>
      </c>
      <c r="AX191" s="299">
        <f>SUMIF('NEI Lookups'!$L:$L,'Inputs Yr 2'!$F191,'NEI Lookups'!J:J)+SUMIF('NEI Lookups'!$M:$M,'Inputs Yr 2'!$F191,'NEI Lookups'!J:J)+SUMIF('NEI Lookups'!$N:$N,'Inputs Yr 2'!$F191,'NEI Lookups'!J:J)+SUMIF('NEI Lookups'!$O:$O,'Inputs Yr 2'!$F191,'NEI Lookups'!J:J)+SUMIF('NEI Lookups'!$P:$P,'Inputs Yr 2'!$F191,'NEI Lookups'!J:J)+SUMIF('NEI Lookups'!$Q:$Q,'Inputs Yr 2'!$F191,'NEI Lookups'!J:J)+SUMIF('NEI Lookups'!$R:$R,'Inputs Yr 2'!$F191,'NEI Lookups'!J:J)+SUMIF('NEI Lookups'!$S:$S,'Inputs Yr 2'!$F191,'NEI Lookups'!J:J)+SUMIF('NEI Lookups'!$T:$T,'Inputs Yr 2'!$F191,'NEI Lookups'!J:J)</f>
        <v>0</v>
      </c>
      <c r="AY191" s="930" t="e">
        <f>'Calculations Yr 2'!CP191/'Calculations Yr 2'!I191</f>
        <v>#VALUE!</v>
      </c>
    </row>
    <row r="192" spans="1:51" s="133" customFormat="1" ht="12.75" customHeight="1">
      <c r="A192" s="145" t="s">
        <v>83</v>
      </c>
      <c r="B192" s="132" t="s">
        <v>873</v>
      </c>
      <c r="C192" s="132" t="s">
        <v>661</v>
      </c>
      <c r="D192" s="99"/>
      <c r="E192" s="656" t="s">
        <v>785</v>
      </c>
      <c r="F192" s="98" t="s">
        <v>1083</v>
      </c>
      <c r="G192" s="145" t="s">
        <v>545</v>
      </c>
      <c r="H192" s="165"/>
      <c r="I192" s="237">
        <v>12</v>
      </c>
      <c r="J192" s="964">
        <v>2100</v>
      </c>
      <c r="K192" s="166">
        <v>1000</v>
      </c>
      <c r="L192" s="888">
        <f t="shared" si="25"/>
        <v>1100</v>
      </c>
      <c r="M192" s="980">
        <v>0</v>
      </c>
      <c r="N192" s="980">
        <v>0</v>
      </c>
      <c r="O192" s="980">
        <v>0</v>
      </c>
      <c r="P192" s="889">
        <v>0.84600000000000009</v>
      </c>
      <c r="Q192" s="980">
        <v>1</v>
      </c>
      <c r="R192" s="178">
        <v>1</v>
      </c>
      <c r="S192" s="178">
        <v>1</v>
      </c>
      <c r="T192" s="178">
        <v>1</v>
      </c>
      <c r="U192" s="978">
        <v>0</v>
      </c>
      <c r="V192" s="978">
        <v>0</v>
      </c>
      <c r="W192" s="179"/>
      <c r="X192" s="937" t="s">
        <v>653</v>
      </c>
      <c r="Y192" s="299">
        <f>IFERROR(VLOOKUP($X192,'Demand Lookups'!$A$5:$K$101,9,0), 0)</f>
        <v>0</v>
      </c>
      <c r="Z192" s="922" t="str">
        <f>IFERROR(VLOOKUP(X192,'Demand Lookups'!$A$5:$B$101,2,0),0)</f>
        <v>Non-Electric Measures</v>
      </c>
      <c r="AA192" s="722">
        <v>0</v>
      </c>
      <c r="AB192" s="722">
        <v>0</v>
      </c>
      <c r="AC192" s="722">
        <v>0</v>
      </c>
      <c r="AD192" s="723">
        <v>0</v>
      </c>
      <c r="AE192" s="724">
        <f t="shared" si="46"/>
        <v>0</v>
      </c>
      <c r="AF192" s="723">
        <v>0</v>
      </c>
      <c r="AG192" s="723">
        <v>0</v>
      </c>
      <c r="AH192" s="648">
        <v>0</v>
      </c>
      <c r="AI192" s="648">
        <v>0</v>
      </c>
      <c r="AJ192" s="167" t="s">
        <v>200</v>
      </c>
      <c r="AK192" s="168">
        <v>88.4</v>
      </c>
      <c r="AL192" s="167"/>
      <c r="AM192" s="168"/>
      <c r="AN192" s="167"/>
      <c r="AO192" s="168"/>
      <c r="AP192" s="167"/>
      <c r="AQ192" s="171"/>
      <c r="AR192" s="171"/>
      <c r="AS192" s="299">
        <f>SUMIF('NEI Lookups'!$L:$L,'Inputs Yr 2'!$F192,'NEI Lookups'!E:E)+SUMIF('NEI Lookups'!$M:$M,'Inputs Yr 2'!$F192,'NEI Lookups'!E:E)+SUMIF('NEI Lookups'!$N:$N,'Inputs Yr 2'!$F192,'NEI Lookups'!E:E)+SUMIF('NEI Lookups'!$O:$O,'Inputs Yr 2'!$F192,'NEI Lookups'!E:E)+SUMIF('NEI Lookups'!$P:$P,'Inputs Yr 2'!$F192,'NEI Lookups'!E:E)+SUMIF('NEI Lookups'!$Q:$Q,'Inputs Yr 2'!$F192,'NEI Lookups'!E:E)+SUMIF('NEI Lookups'!$R:$R,'Inputs Yr 2'!$F192,'NEI Lookups'!E:E)+SUMIF('NEI Lookups'!$S:$S,'Inputs Yr 2'!$F192,'NEI Lookups'!E:E)+SUMIF('NEI Lookups'!$T:$T,'Inputs Yr 2'!$F192,'NEI Lookups'!E:E)</f>
        <v>0</v>
      </c>
      <c r="AT192" s="299">
        <f>SUMIF('NEI Lookups'!$L:$L,'Inputs Yr 2'!$F192,'NEI Lookups'!F:F)+SUMIF('NEI Lookups'!$M:$M,'Inputs Yr 2'!$F192,'NEI Lookups'!F:F)+SUMIF('NEI Lookups'!$N:$N,'Inputs Yr 2'!$F192,'NEI Lookups'!F:F)+SUMIF('NEI Lookups'!$O:$O,'Inputs Yr 2'!$F192,'NEI Lookups'!F:F)+SUMIF('NEI Lookups'!$P:$P,'Inputs Yr 2'!$F192,'NEI Lookups'!F:F)+SUMIF('NEI Lookups'!$Q:$Q,'Inputs Yr 2'!$F192,'NEI Lookups'!F:F)+SUMIF('NEI Lookups'!$R:$R,'Inputs Yr 2'!$F192,'NEI Lookups'!F:F)+SUMIF('NEI Lookups'!$S:$S,'Inputs Yr 2'!$F192,'NEI Lookups'!F:F)+SUMIF('NEI Lookups'!$T:$T,'Inputs Yr 2'!$F192,'NEI Lookups'!F:F)</f>
        <v>0</v>
      </c>
      <c r="AU192" s="299">
        <f>SUMIF('NEI Lookups'!$L:$L,'Inputs Yr 2'!$F192,'NEI Lookups'!G:G)+SUMIF('NEI Lookups'!$M:$M,'Inputs Yr 2'!$F192,'NEI Lookups'!G:G)+SUMIF('NEI Lookups'!$N:$N,'Inputs Yr 2'!$F192,'NEI Lookups'!G:G)+SUMIF('NEI Lookups'!$O:$O,'Inputs Yr 2'!$F192,'NEI Lookups'!G:G)+SUMIF('NEI Lookups'!$P:$P,'Inputs Yr 2'!$F192,'NEI Lookups'!G:G)+SUMIF('NEI Lookups'!$Q:$Q,'Inputs Yr 2'!$F192,'NEI Lookups'!G:G)+SUMIF('NEI Lookups'!$R:$R,'Inputs Yr 2'!$F192,'NEI Lookups'!G:G)+SUMIF('NEI Lookups'!$S:$S,'Inputs Yr 2'!$F192,'NEI Lookups'!G:G)+SUMIF('NEI Lookups'!$T:$T,'Inputs Yr 2'!$F192,'NEI Lookups'!G:G)</f>
        <v>0</v>
      </c>
      <c r="AV192" s="299">
        <f>SUMIF('NEI Lookups'!$L:$L,'Inputs Yr 2'!$F192,'NEI Lookups'!H:H)+SUMIF('NEI Lookups'!$M:$M,'Inputs Yr 2'!$F192,'NEI Lookups'!H:H)+SUMIF('NEI Lookups'!$N:$N,'Inputs Yr 2'!$F192,'NEI Lookups'!H:H)+SUMIF('NEI Lookups'!$O:$O,'Inputs Yr 2'!$F192,'NEI Lookups'!H:H)+SUMIF('NEI Lookups'!$P:$P,'Inputs Yr 2'!$F192,'NEI Lookups'!H:H)+SUMIF('NEI Lookups'!$Q:$Q,'Inputs Yr 2'!$F192,'NEI Lookups'!H:H)+SUMIF('NEI Lookups'!$R:$R,'Inputs Yr 2'!$F192,'NEI Lookups'!H:H)+SUMIF('NEI Lookups'!$S:$S,'Inputs Yr 2'!$F192,'NEI Lookups'!H:H)+SUMIF('NEI Lookups'!$T:$T,'Inputs Yr 2'!$F192,'NEI Lookups'!H:H)</f>
        <v>0</v>
      </c>
      <c r="AW192" s="299">
        <f>SUMIF('NEI Lookups'!$L:$L,'Inputs Yr 2'!$F192,'NEI Lookups'!I:I)+SUMIF('NEI Lookups'!$M:$M,'Inputs Yr 2'!$F192,'NEI Lookups'!I:I)+SUMIF('NEI Lookups'!$N:$N,'Inputs Yr 2'!$F192,'NEI Lookups'!I:I)+SUMIF('NEI Lookups'!$O:$O,'Inputs Yr 2'!$F192,'NEI Lookups'!I:I)+SUMIF('NEI Lookups'!$P:$P,'Inputs Yr 2'!$F192,'NEI Lookups'!I:I)+SUMIF('NEI Lookups'!$Q:$Q,'Inputs Yr 2'!$F192,'NEI Lookups'!I:I)+SUMIF('NEI Lookups'!$R:$R,'Inputs Yr 2'!$F192,'NEI Lookups'!I:I)+SUMIF('NEI Lookups'!$S:$S,'Inputs Yr 2'!$F192,'NEI Lookups'!I:I)+SUMIF('NEI Lookups'!$T:$T,'Inputs Yr 2'!$F192,'NEI Lookups'!I:I)</f>
        <v>3.4</v>
      </c>
      <c r="AX192" s="299">
        <f>SUMIF('NEI Lookups'!$L:$L,'Inputs Yr 2'!$F192,'NEI Lookups'!J:J)+SUMIF('NEI Lookups'!$M:$M,'Inputs Yr 2'!$F192,'NEI Lookups'!J:J)+SUMIF('NEI Lookups'!$N:$N,'Inputs Yr 2'!$F192,'NEI Lookups'!J:J)+SUMIF('NEI Lookups'!$O:$O,'Inputs Yr 2'!$F192,'NEI Lookups'!J:J)+SUMIF('NEI Lookups'!$P:$P,'Inputs Yr 2'!$F192,'NEI Lookups'!J:J)+SUMIF('NEI Lookups'!$Q:$Q,'Inputs Yr 2'!$F192,'NEI Lookups'!J:J)+SUMIF('NEI Lookups'!$R:$R,'Inputs Yr 2'!$F192,'NEI Lookups'!J:J)+SUMIF('NEI Lookups'!$S:$S,'Inputs Yr 2'!$F192,'NEI Lookups'!J:J)+SUMIF('NEI Lookups'!$T:$T,'Inputs Yr 2'!$F192,'NEI Lookups'!J:J)</f>
        <v>0</v>
      </c>
      <c r="AY192" s="930" t="e">
        <f>'Calculations Yr 2'!CP192/'Calculations Yr 2'!I192</f>
        <v>#VALUE!</v>
      </c>
    </row>
    <row r="193" spans="1:51" s="133" customFormat="1" ht="12.75" customHeight="1">
      <c r="A193" s="145" t="s">
        <v>83</v>
      </c>
      <c r="B193" s="132" t="s">
        <v>873</v>
      </c>
      <c r="C193" s="132" t="s">
        <v>661</v>
      </c>
      <c r="D193" s="97"/>
      <c r="E193" s="656" t="s">
        <v>786</v>
      </c>
      <c r="F193" s="98" t="s">
        <v>1084</v>
      </c>
      <c r="G193" s="145" t="s">
        <v>545</v>
      </c>
      <c r="H193" s="165"/>
      <c r="I193" s="237">
        <v>12</v>
      </c>
      <c r="J193" s="964">
        <v>4000</v>
      </c>
      <c r="K193" s="166">
        <v>1000</v>
      </c>
      <c r="L193" s="888">
        <f t="shared" si="25"/>
        <v>3000</v>
      </c>
      <c r="M193" s="980">
        <v>0</v>
      </c>
      <c r="N193" s="980">
        <v>0</v>
      </c>
      <c r="O193" s="980">
        <v>0</v>
      </c>
      <c r="P193" s="889">
        <v>0.84600000000000009</v>
      </c>
      <c r="Q193" s="980">
        <v>1</v>
      </c>
      <c r="R193" s="178">
        <v>1</v>
      </c>
      <c r="S193" s="178">
        <v>1</v>
      </c>
      <c r="T193" s="178">
        <v>1</v>
      </c>
      <c r="U193" s="978">
        <v>0</v>
      </c>
      <c r="V193" s="978">
        <v>0</v>
      </c>
      <c r="W193" s="179"/>
      <c r="X193" s="937" t="s">
        <v>653</v>
      </c>
      <c r="Y193" s="299">
        <f>IFERROR(VLOOKUP($X193,'Demand Lookups'!$A$5:$K$101,9,0), 0)</f>
        <v>0</v>
      </c>
      <c r="Z193" s="922" t="str">
        <f>IFERROR(VLOOKUP(X193,'Demand Lookups'!$A$5:$B$101,2,0),0)</f>
        <v>Non-Electric Measures</v>
      </c>
      <c r="AA193" s="722">
        <v>0</v>
      </c>
      <c r="AB193" s="722">
        <v>0</v>
      </c>
      <c r="AC193" s="722">
        <v>0</v>
      </c>
      <c r="AD193" s="723">
        <v>0</v>
      </c>
      <c r="AE193" s="724">
        <f t="shared" si="46"/>
        <v>0</v>
      </c>
      <c r="AF193" s="723">
        <v>0</v>
      </c>
      <c r="AG193" s="723">
        <v>0</v>
      </c>
      <c r="AH193" s="648">
        <v>0</v>
      </c>
      <c r="AI193" s="648">
        <v>0</v>
      </c>
      <c r="AJ193" s="167" t="s">
        <v>200</v>
      </c>
      <c r="AK193" s="168">
        <v>211.3</v>
      </c>
      <c r="AL193" s="167"/>
      <c r="AM193" s="168"/>
      <c r="AN193" s="167"/>
      <c r="AO193" s="168"/>
      <c r="AP193" s="167"/>
      <c r="AQ193" s="171"/>
      <c r="AR193" s="171"/>
      <c r="AS193" s="299">
        <f>SUMIF('NEI Lookups'!$L:$L,'Inputs Yr 2'!$F193,'NEI Lookups'!E:E)+SUMIF('NEI Lookups'!$M:$M,'Inputs Yr 2'!$F193,'NEI Lookups'!E:E)+SUMIF('NEI Lookups'!$N:$N,'Inputs Yr 2'!$F193,'NEI Lookups'!E:E)+SUMIF('NEI Lookups'!$O:$O,'Inputs Yr 2'!$F193,'NEI Lookups'!E:E)+SUMIF('NEI Lookups'!$P:$P,'Inputs Yr 2'!$F193,'NEI Lookups'!E:E)+SUMIF('NEI Lookups'!$Q:$Q,'Inputs Yr 2'!$F193,'NEI Lookups'!E:E)+SUMIF('NEI Lookups'!$R:$R,'Inputs Yr 2'!$F193,'NEI Lookups'!E:E)+SUMIF('NEI Lookups'!$S:$S,'Inputs Yr 2'!$F193,'NEI Lookups'!E:E)+SUMIF('NEI Lookups'!$T:$T,'Inputs Yr 2'!$F193,'NEI Lookups'!E:E)</f>
        <v>0</v>
      </c>
      <c r="AT193" s="299">
        <f>SUMIF('NEI Lookups'!$L:$L,'Inputs Yr 2'!$F193,'NEI Lookups'!F:F)+SUMIF('NEI Lookups'!$M:$M,'Inputs Yr 2'!$F193,'NEI Lookups'!F:F)+SUMIF('NEI Lookups'!$N:$N,'Inputs Yr 2'!$F193,'NEI Lookups'!F:F)+SUMIF('NEI Lookups'!$O:$O,'Inputs Yr 2'!$F193,'NEI Lookups'!F:F)+SUMIF('NEI Lookups'!$P:$P,'Inputs Yr 2'!$F193,'NEI Lookups'!F:F)+SUMIF('NEI Lookups'!$Q:$Q,'Inputs Yr 2'!$F193,'NEI Lookups'!F:F)+SUMIF('NEI Lookups'!$R:$R,'Inputs Yr 2'!$F193,'NEI Lookups'!F:F)+SUMIF('NEI Lookups'!$S:$S,'Inputs Yr 2'!$F193,'NEI Lookups'!F:F)+SUMIF('NEI Lookups'!$T:$T,'Inputs Yr 2'!$F193,'NEI Lookups'!F:F)</f>
        <v>0</v>
      </c>
      <c r="AU193" s="299">
        <f>SUMIF('NEI Lookups'!$L:$L,'Inputs Yr 2'!$F193,'NEI Lookups'!G:G)+SUMIF('NEI Lookups'!$M:$M,'Inputs Yr 2'!$F193,'NEI Lookups'!G:G)+SUMIF('NEI Lookups'!$N:$N,'Inputs Yr 2'!$F193,'NEI Lookups'!G:G)+SUMIF('NEI Lookups'!$O:$O,'Inputs Yr 2'!$F193,'NEI Lookups'!G:G)+SUMIF('NEI Lookups'!$P:$P,'Inputs Yr 2'!$F193,'NEI Lookups'!G:G)+SUMIF('NEI Lookups'!$Q:$Q,'Inputs Yr 2'!$F193,'NEI Lookups'!G:G)+SUMIF('NEI Lookups'!$R:$R,'Inputs Yr 2'!$F193,'NEI Lookups'!G:G)+SUMIF('NEI Lookups'!$S:$S,'Inputs Yr 2'!$F193,'NEI Lookups'!G:G)+SUMIF('NEI Lookups'!$T:$T,'Inputs Yr 2'!$F193,'NEI Lookups'!G:G)</f>
        <v>0</v>
      </c>
      <c r="AV193" s="299">
        <f>SUMIF('NEI Lookups'!$L:$L,'Inputs Yr 2'!$F193,'NEI Lookups'!H:H)+SUMIF('NEI Lookups'!$M:$M,'Inputs Yr 2'!$F193,'NEI Lookups'!H:H)+SUMIF('NEI Lookups'!$N:$N,'Inputs Yr 2'!$F193,'NEI Lookups'!H:H)+SUMIF('NEI Lookups'!$O:$O,'Inputs Yr 2'!$F193,'NEI Lookups'!H:H)+SUMIF('NEI Lookups'!$P:$P,'Inputs Yr 2'!$F193,'NEI Lookups'!H:H)+SUMIF('NEI Lookups'!$Q:$Q,'Inputs Yr 2'!$F193,'NEI Lookups'!H:H)+SUMIF('NEI Lookups'!$R:$R,'Inputs Yr 2'!$F193,'NEI Lookups'!H:H)+SUMIF('NEI Lookups'!$S:$S,'Inputs Yr 2'!$F193,'NEI Lookups'!H:H)+SUMIF('NEI Lookups'!$T:$T,'Inputs Yr 2'!$F193,'NEI Lookups'!H:H)</f>
        <v>0</v>
      </c>
      <c r="AW193" s="299">
        <f>SUMIF('NEI Lookups'!$L:$L,'Inputs Yr 2'!$F193,'NEI Lookups'!I:I)+SUMIF('NEI Lookups'!$M:$M,'Inputs Yr 2'!$F193,'NEI Lookups'!I:I)+SUMIF('NEI Lookups'!$N:$N,'Inputs Yr 2'!$F193,'NEI Lookups'!I:I)+SUMIF('NEI Lookups'!$O:$O,'Inputs Yr 2'!$F193,'NEI Lookups'!I:I)+SUMIF('NEI Lookups'!$P:$P,'Inputs Yr 2'!$F193,'NEI Lookups'!I:I)+SUMIF('NEI Lookups'!$Q:$Q,'Inputs Yr 2'!$F193,'NEI Lookups'!I:I)+SUMIF('NEI Lookups'!$R:$R,'Inputs Yr 2'!$F193,'NEI Lookups'!I:I)+SUMIF('NEI Lookups'!$S:$S,'Inputs Yr 2'!$F193,'NEI Lookups'!I:I)+SUMIF('NEI Lookups'!$T:$T,'Inputs Yr 2'!$F193,'NEI Lookups'!I:I)</f>
        <v>3.4</v>
      </c>
      <c r="AX193" s="299">
        <f>SUMIF('NEI Lookups'!$L:$L,'Inputs Yr 2'!$F193,'NEI Lookups'!J:J)+SUMIF('NEI Lookups'!$M:$M,'Inputs Yr 2'!$F193,'NEI Lookups'!J:J)+SUMIF('NEI Lookups'!$N:$N,'Inputs Yr 2'!$F193,'NEI Lookups'!J:J)+SUMIF('NEI Lookups'!$O:$O,'Inputs Yr 2'!$F193,'NEI Lookups'!J:J)+SUMIF('NEI Lookups'!$P:$P,'Inputs Yr 2'!$F193,'NEI Lookups'!J:J)+SUMIF('NEI Lookups'!$Q:$Q,'Inputs Yr 2'!$F193,'NEI Lookups'!J:J)+SUMIF('NEI Lookups'!$R:$R,'Inputs Yr 2'!$F193,'NEI Lookups'!J:J)+SUMIF('NEI Lookups'!$S:$S,'Inputs Yr 2'!$F193,'NEI Lookups'!J:J)+SUMIF('NEI Lookups'!$T:$T,'Inputs Yr 2'!$F193,'NEI Lookups'!J:J)</f>
        <v>0</v>
      </c>
      <c r="AY193" s="930" t="e">
        <f>'Calculations Yr 2'!CP193/'Calculations Yr 2'!I193</f>
        <v>#VALUE!</v>
      </c>
    </row>
    <row r="194" spans="1:51" s="133" customFormat="1" ht="12.75" customHeight="1">
      <c r="A194" s="145" t="s">
        <v>83</v>
      </c>
      <c r="B194" s="132" t="s">
        <v>873</v>
      </c>
      <c r="C194" s="132" t="s">
        <v>661</v>
      </c>
      <c r="D194" s="99"/>
      <c r="E194" s="655" t="s">
        <v>787</v>
      </c>
      <c r="F194" s="98" t="s">
        <v>1085</v>
      </c>
      <c r="G194" s="145" t="s">
        <v>545</v>
      </c>
      <c r="H194" s="165"/>
      <c r="I194" s="237">
        <v>12</v>
      </c>
      <c r="J194" s="964">
        <v>1165</v>
      </c>
      <c r="K194" s="166">
        <v>500</v>
      </c>
      <c r="L194" s="888">
        <f t="shared" si="25"/>
        <v>665</v>
      </c>
      <c r="M194" s="980">
        <v>0</v>
      </c>
      <c r="N194" s="980">
        <v>0</v>
      </c>
      <c r="O194" s="980">
        <v>0</v>
      </c>
      <c r="P194" s="889">
        <v>0.84600000000000009</v>
      </c>
      <c r="Q194" s="980">
        <v>1</v>
      </c>
      <c r="R194" s="178">
        <v>1</v>
      </c>
      <c r="S194" s="178">
        <v>1</v>
      </c>
      <c r="T194" s="178">
        <v>1</v>
      </c>
      <c r="U194" s="978">
        <v>0</v>
      </c>
      <c r="V194" s="978">
        <v>0</v>
      </c>
      <c r="W194" s="179"/>
      <c r="X194" s="937" t="s">
        <v>653</v>
      </c>
      <c r="Y194" s="299">
        <f>IFERROR(VLOOKUP($X194,'Demand Lookups'!$A$5:$K$101,9,0), 0)</f>
        <v>0</v>
      </c>
      <c r="Z194" s="922" t="str">
        <f>IFERROR(VLOOKUP(X194,'Demand Lookups'!$A$5:$B$101,2,0),0)</f>
        <v>Non-Electric Measures</v>
      </c>
      <c r="AA194" s="722">
        <v>0</v>
      </c>
      <c r="AB194" s="722">
        <v>0</v>
      </c>
      <c r="AC194" s="722">
        <v>0</v>
      </c>
      <c r="AD194" s="723">
        <v>0</v>
      </c>
      <c r="AE194" s="724">
        <f t="shared" si="46"/>
        <v>0</v>
      </c>
      <c r="AF194" s="723">
        <v>0</v>
      </c>
      <c r="AG194" s="723">
        <v>0</v>
      </c>
      <c r="AH194" s="648">
        <v>0</v>
      </c>
      <c r="AI194" s="648">
        <v>0</v>
      </c>
      <c r="AJ194" s="167" t="s">
        <v>200</v>
      </c>
      <c r="AK194" s="168">
        <v>13.1</v>
      </c>
      <c r="AL194" s="167"/>
      <c r="AM194" s="168"/>
      <c r="AN194" s="167"/>
      <c r="AO194" s="168"/>
      <c r="AP194" s="167"/>
      <c r="AQ194" s="171"/>
      <c r="AR194" s="171"/>
      <c r="AS194" s="299">
        <f>SUMIF('NEI Lookups'!$L:$L,'Inputs Yr 2'!$F194,'NEI Lookups'!E:E)+SUMIF('NEI Lookups'!$M:$M,'Inputs Yr 2'!$F194,'NEI Lookups'!E:E)+SUMIF('NEI Lookups'!$N:$N,'Inputs Yr 2'!$F194,'NEI Lookups'!E:E)+SUMIF('NEI Lookups'!$O:$O,'Inputs Yr 2'!$F194,'NEI Lookups'!E:E)+SUMIF('NEI Lookups'!$P:$P,'Inputs Yr 2'!$F194,'NEI Lookups'!E:E)+SUMIF('NEI Lookups'!$Q:$Q,'Inputs Yr 2'!$F194,'NEI Lookups'!E:E)+SUMIF('NEI Lookups'!$R:$R,'Inputs Yr 2'!$F194,'NEI Lookups'!E:E)+SUMIF('NEI Lookups'!$S:$S,'Inputs Yr 2'!$F194,'NEI Lookups'!E:E)+SUMIF('NEI Lookups'!$T:$T,'Inputs Yr 2'!$F194,'NEI Lookups'!E:E)</f>
        <v>0</v>
      </c>
      <c r="AT194" s="299">
        <f>SUMIF('NEI Lookups'!$L:$L,'Inputs Yr 2'!$F194,'NEI Lookups'!F:F)+SUMIF('NEI Lookups'!$M:$M,'Inputs Yr 2'!$F194,'NEI Lookups'!F:F)+SUMIF('NEI Lookups'!$N:$N,'Inputs Yr 2'!$F194,'NEI Lookups'!F:F)+SUMIF('NEI Lookups'!$O:$O,'Inputs Yr 2'!$F194,'NEI Lookups'!F:F)+SUMIF('NEI Lookups'!$P:$P,'Inputs Yr 2'!$F194,'NEI Lookups'!F:F)+SUMIF('NEI Lookups'!$Q:$Q,'Inputs Yr 2'!$F194,'NEI Lookups'!F:F)+SUMIF('NEI Lookups'!$R:$R,'Inputs Yr 2'!$F194,'NEI Lookups'!F:F)+SUMIF('NEI Lookups'!$S:$S,'Inputs Yr 2'!$F194,'NEI Lookups'!F:F)+SUMIF('NEI Lookups'!$T:$T,'Inputs Yr 2'!$F194,'NEI Lookups'!F:F)</f>
        <v>0</v>
      </c>
      <c r="AU194" s="299">
        <f>SUMIF('NEI Lookups'!$L:$L,'Inputs Yr 2'!$F194,'NEI Lookups'!G:G)+SUMIF('NEI Lookups'!$M:$M,'Inputs Yr 2'!$F194,'NEI Lookups'!G:G)+SUMIF('NEI Lookups'!$N:$N,'Inputs Yr 2'!$F194,'NEI Lookups'!G:G)+SUMIF('NEI Lookups'!$O:$O,'Inputs Yr 2'!$F194,'NEI Lookups'!G:G)+SUMIF('NEI Lookups'!$P:$P,'Inputs Yr 2'!$F194,'NEI Lookups'!G:G)+SUMIF('NEI Lookups'!$Q:$Q,'Inputs Yr 2'!$F194,'NEI Lookups'!G:G)+SUMIF('NEI Lookups'!$R:$R,'Inputs Yr 2'!$F194,'NEI Lookups'!G:G)+SUMIF('NEI Lookups'!$S:$S,'Inputs Yr 2'!$F194,'NEI Lookups'!G:G)+SUMIF('NEI Lookups'!$T:$T,'Inputs Yr 2'!$F194,'NEI Lookups'!G:G)</f>
        <v>0</v>
      </c>
      <c r="AV194" s="299">
        <f>SUMIF('NEI Lookups'!$L:$L,'Inputs Yr 2'!$F194,'NEI Lookups'!H:H)+SUMIF('NEI Lookups'!$M:$M,'Inputs Yr 2'!$F194,'NEI Lookups'!H:H)+SUMIF('NEI Lookups'!$N:$N,'Inputs Yr 2'!$F194,'NEI Lookups'!H:H)+SUMIF('NEI Lookups'!$O:$O,'Inputs Yr 2'!$F194,'NEI Lookups'!H:H)+SUMIF('NEI Lookups'!$P:$P,'Inputs Yr 2'!$F194,'NEI Lookups'!H:H)+SUMIF('NEI Lookups'!$Q:$Q,'Inputs Yr 2'!$F194,'NEI Lookups'!H:H)+SUMIF('NEI Lookups'!$R:$R,'Inputs Yr 2'!$F194,'NEI Lookups'!H:H)+SUMIF('NEI Lookups'!$S:$S,'Inputs Yr 2'!$F194,'NEI Lookups'!H:H)+SUMIF('NEI Lookups'!$T:$T,'Inputs Yr 2'!$F194,'NEI Lookups'!H:H)</f>
        <v>0</v>
      </c>
      <c r="AW194" s="299">
        <f>SUMIF('NEI Lookups'!$L:$L,'Inputs Yr 2'!$F194,'NEI Lookups'!I:I)+SUMIF('NEI Lookups'!$M:$M,'Inputs Yr 2'!$F194,'NEI Lookups'!I:I)+SUMIF('NEI Lookups'!$N:$N,'Inputs Yr 2'!$F194,'NEI Lookups'!I:I)+SUMIF('NEI Lookups'!$O:$O,'Inputs Yr 2'!$F194,'NEI Lookups'!I:I)+SUMIF('NEI Lookups'!$P:$P,'Inputs Yr 2'!$F194,'NEI Lookups'!I:I)+SUMIF('NEI Lookups'!$Q:$Q,'Inputs Yr 2'!$F194,'NEI Lookups'!I:I)+SUMIF('NEI Lookups'!$R:$R,'Inputs Yr 2'!$F194,'NEI Lookups'!I:I)+SUMIF('NEI Lookups'!$S:$S,'Inputs Yr 2'!$F194,'NEI Lookups'!I:I)+SUMIF('NEI Lookups'!$T:$T,'Inputs Yr 2'!$F194,'NEI Lookups'!I:I)</f>
        <v>3.4</v>
      </c>
      <c r="AX194" s="299">
        <f>SUMIF('NEI Lookups'!$L:$L,'Inputs Yr 2'!$F194,'NEI Lookups'!J:J)+SUMIF('NEI Lookups'!$M:$M,'Inputs Yr 2'!$F194,'NEI Lookups'!J:J)+SUMIF('NEI Lookups'!$N:$N,'Inputs Yr 2'!$F194,'NEI Lookups'!J:J)+SUMIF('NEI Lookups'!$O:$O,'Inputs Yr 2'!$F194,'NEI Lookups'!J:J)+SUMIF('NEI Lookups'!$P:$P,'Inputs Yr 2'!$F194,'NEI Lookups'!J:J)+SUMIF('NEI Lookups'!$Q:$Q,'Inputs Yr 2'!$F194,'NEI Lookups'!J:J)+SUMIF('NEI Lookups'!$R:$R,'Inputs Yr 2'!$F194,'NEI Lookups'!J:J)+SUMIF('NEI Lookups'!$S:$S,'Inputs Yr 2'!$F194,'NEI Lookups'!J:J)+SUMIF('NEI Lookups'!$T:$T,'Inputs Yr 2'!$F194,'NEI Lookups'!J:J)</f>
        <v>0</v>
      </c>
      <c r="AY194" s="930" t="e">
        <f>'Calculations Yr 2'!CP194/'Calculations Yr 2'!I194</f>
        <v>#VALUE!</v>
      </c>
    </row>
    <row r="195" spans="1:51" s="133" customFormat="1" ht="12.75" customHeight="1">
      <c r="A195" s="145" t="s">
        <v>83</v>
      </c>
      <c r="B195" s="132" t="s">
        <v>873</v>
      </c>
      <c r="C195" s="132" t="s">
        <v>661</v>
      </c>
      <c r="D195" s="99"/>
      <c r="E195" s="655" t="s">
        <v>788</v>
      </c>
      <c r="F195" s="98" t="s">
        <v>1086</v>
      </c>
      <c r="G195" s="145" t="s">
        <v>545</v>
      </c>
      <c r="H195" s="165"/>
      <c r="I195" s="237">
        <v>12</v>
      </c>
      <c r="J195" s="964">
        <v>3400</v>
      </c>
      <c r="K195" s="166">
        <v>1000</v>
      </c>
      <c r="L195" s="888">
        <f t="shared" si="25"/>
        <v>2400</v>
      </c>
      <c r="M195" s="980">
        <v>0</v>
      </c>
      <c r="N195" s="980">
        <v>0</v>
      </c>
      <c r="O195" s="980">
        <v>0</v>
      </c>
      <c r="P195" s="889">
        <v>0.84600000000000009</v>
      </c>
      <c r="Q195" s="980">
        <v>1</v>
      </c>
      <c r="R195" s="178">
        <v>1</v>
      </c>
      <c r="S195" s="178">
        <v>1</v>
      </c>
      <c r="T195" s="178">
        <v>1</v>
      </c>
      <c r="U195" s="978">
        <v>0</v>
      </c>
      <c r="V195" s="978">
        <v>0</v>
      </c>
      <c r="W195" s="179"/>
      <c r="X195" s="937" t="s">
        <v>653</v>
      </c>
      <c r="Y195" s="299">
        <f>IFERROR(VLOOKUP($X195,'Demand Lookups'!$A$5:$K$101,9,0), 0)</f>
        <v>0</v>
      </c>
      <c r="Z195" s="922" t="str">
        <f>IFERROR(VLOOKUP(X195,'Demand Lookups'!$A$5:$B$101,2,0),0)</f>
        <v>Non-Electric Measures</v>
      </c>
      <c r="AA195" s="722">
        <v>0</v>
      </c>
      <c r="AB195" s="722">
        <v>0</v>
      </c>
      <c r="AC195" s="722">
        <v>0</v>
      </c>
      <c r="AD195" s="723">
        <v>0</v>
      </c>
      <c r="AE195" s="724">
        <f t="shared" si="46"/>
        <v>0</v>
      </c>
      <c r="AF195" s="723">
        <v>0</v>
      </c>
      <c r="AG195" s="723">
        <v>0</v>
      </c>
      <c r="AH195" s="648">
        <v>0</v>
      </c>
      <c r="AI195" s="648">
        <v>0</v>
      </c>
      <c r="AJ195" s="167" t="s">
        <v>200</v>
      </c>
      <c r="AK195" s="168">
        <v>50.8</v>
      </c>
      <c r="AL195" s="167"/>
      <c r="AM195" s="168"/>
      <c r="AN195" s="167"/>
      <c r="AO195" s="168"/>
      <c r="AP195" s="167"/>
      <c r="AQ195" s="171"/>
      <c r="AR195" s="171"/>
      <c r="AS195" s="299">
        <f>SUMIF('NEI Lookups'!$L:$L,'Inputs Yr 2'!$F195,'NEI Lookups'!E:E)+SUMIF('NEI Lookups'!$M:$M,'Inputs Yr 2'!$F195,'NEI Lookups'!E:E)+SUMIF('NEI Lookups'!$N:$N,'Inputs Yr 2'!$F195,'NEI Lookups'!E:E)+SUMIF('NEI Lookups'!$O:$O,'Inputs Yr 2'!$F195,'NEI Lookups'!E:E)+SUMIF('NEI Lookups'!$P:$P,'Inputs Yr 2'!$F195,'NEI Lookups'!E:E)+SUMIF('NEI Lookups'!$Q:$Q,'Inputs Yr 2'!$F195,'NEI Lookups'!E:E)+SUMIF('NEI Lookups'!$R:$R,'Inputs Yr 2'!$F195,'NEI Lookups'!E:E)+SUMIF('NEI Lookups'!$S:$S,'Inputs Yr 2'!$F195,'NEI Lookups'!E:E)+SUMIF('NEI Lookups'!$T:$T,'Inputs Yr 2'!$F195,'NEI Lookups'!E:E)</f>
        <v>0</v>
      </c>
      <c r="AT195" s="299">
        <f>SUMIF('NEI Lookups'!$L:$L,'Inputs Yr 2'!$F195,'NEI Lookups'!F:F)+SUMIF('NEI Lookups'!$M:$M,'Inputs Yr 2'!$F195,'NEI Lookups'!F:F)+SUMIF('NEI Lookups'!$N:$N,'Inputs Yr 2'!$F195,'NEI Lookups'!F:F)+SUMIF('NEI Lookups'!$O:$O,'Inputs Yr 2'!$F195,'NEI Lookups'!F:F)+SUMIF('NEI Lookups'!$P:$P,'Inputs Yr 2'!$F195,'NEI Lookups'!F:F)+SUMIF('NEI Lookups'!$Q:$Q,'Inputs Yr 2'!$F195,'NEI Lookups'!F:F)+SUMIF('NEI Lookups'!$R:$R,'Inputs Yr 2'!$F195,'NEI Lookups'!F:F)+SUMIF('NEI Lookups'!$S:$S,'Inputs Yr 2'!$F195,'NEI Lookups'!F:F)+SUMIF('NEI Lookups'!$T:$T,'Inputs Yr 2'!$F195,'NEI Lookups'!F:F)</f>
        <v>0</v>
      </c>
      <c r="AU195" s="299">
        <f>SUMIF('NEI Lookups'!$L:$L,'Inputs Yr 2'!$F195,'NEI Lookups'!G:G)+SUMIF('NEI Lookups'!$M:$M,'Inputs Yr 2'!$F195,'NEI Lookups'!G:G)+SUMIF('NEI Lookups'!$N:$N,'Inputs Yr 2'!$F195,'NEI Lookups'!G:G)+SUMIF('NEI Lookups'!$O:$O,'Inputs Yr 2'!$F195,'NEI Lookups'!G:G)+SUMIF('NEI Lookups'!$P:$P,'Inputs Yr 2'!$F195,'NEI Lookups'!G:G)+SUMIF('NEI Lookups'!$Q:$Q,'Inputs Yr 2'!$F195,'NEI Lookups'!G:G)+SUMIF('NEI Lookups'!$R:$R,'Inputs Yr 2'!$F195,'NEI Lookups'!G:G)+SUMIF('NEI Lookups'!$S:$S,'Inputs Yr 2'!$F195,'NEI Lookups'!G:G)+SUMIF('NEI Lookups'!$T:$T,'Inputs Yr 2'!$F195,'NEI Lookups'!G:G)</f>
        <v>0</v>
      </c>
      <c r="AV195" s="299">
        <f>SUMIF('NEI Lookups'!$L:$L,'Inputs Yr 2'!$F195,'NEI Lookups'!H:H)+SUMIF('NEI Lookups'!$M:$M,'Inputs Yr 2'!$F195,'NEI Lookups'!H:H)+SUMIF('NEI Lookups'!$N:$N,'Inputs Yr 2'!$F195,'NEI Lookups'!H:H)+SUMIF('NEI Lookups'!$O:$O,'Inputs Yr 2'!$F195,'NEI Lookups'!H:H)+SUMIF('NEI Lookups'!$P:$P,'Inputs Yr 2'!$F195,'NEI Lookups'!H:H)+SUMIF('NEI Lookups'!$Q:$Q,'Inputs Yr 2'!$F195,'NEI Lookups'!H:H)+SUMIF('NEI Lookups'!$R:$R,'Inputs Yr 2'!$F195,'NEI Lookups'!H:H)+SUMIF('NEI Lookups'!$S:$S,'Inputs Yr 2'!$F195,'NEI Lookups'!H:H)+SUMIF('NEI Lookups'!$T:$T,'Inputs Yr 2'!$F195,'NEI Lookups'!H:H)</f>
        <v>0</v>
      </c>
      <c r="AW195" s="299">
        <f>SUMIF('NEI Lookups'!$L:$L,'Inputs Yr 2'!$F195,'NEI Lookups'!I:I)+SUMIF('NEI Lookups'!$M:$M,'Inputs Yr 2'!$F195,'NEI Lookups'!I:I)+SUMIF('NEI Lookups'!$N:$N,'Inputs Yr 2'!$F195,'NEI Lookups'!I:I)+SUMIF('NEI Lookups'!$O:$O,'Inputs Yr 2'!$F195,'NEI Lookups'!I:I)+SUMIF('NEI Lookups'!$P:$P,'Inputs Yr 2'!$F195,'NEI Lookups'!I:I)+SUMIF('NEI Lookups'!$Q:$Q,'Inputs Yr 2'!$F195,'NEI Lookups'!I:I)+SUMIF('NEI Lookups'!$R:$R,'Inputs Yr 2'!$F195,'NEI Lookups'!I:I)+SUMIF('NEI Lookups'!$S:$S,'Inputs Yr 2'!$F195,'NEI Lookups'!I:I)+SUMIF('NEI Lookups'!$T:$T,'Inputs Yr 2'!$F195,'NEI Lookups'!I:I)</f>
        <v>3.4</v>
      </c>
      <c r="AX195" s="299">
        <f>SUMIF('NEI Lookups'!$L:$L,'Inputs Yr 2'!$F195,'NEI Lookups'!J:J)+SUMIF('NEI Lookups'!$M:$M,'Inputs Yr 2'!$F195,'NEI Lookups'!J:J)+SUMIF('NEI Lookups'!$N:$N,'Inputs Yr 2'!$F195,'NEI Lookups'!J:J)+SUMIF('NEI Lookups'!$O:$O,'Inputs Yr 2'!$F195,'NEI Lookups'!J:J)+SUMIF('NEI Lookups'!$P:$P,'Inputs Yr 2'!$F195,'NEI Lookups'!J:J)+SUMIF('NEI Lookups'!$Q:$Q,'Inputs Yr 2'!$F195,'NEI Lookups'!J:J)+SUMIF('NEI Lookups'!$R:$R,'Inputs Yr 2'!$F195,'NEI Lookups'!J:J)+SUMIF('NEI Lookups'!$S:$S,'Inputs Yr 2'!$F195,'NEI Lookups'!J:J)+SUMIF('NEI Lookups'!$T:$T,'Inputs Yr 2'!$F195,'NEI Lookups'!J:J)</f>
        <v>0</v>
      </c>
      <c r="AY195" s="930" t="e">
        <f>'Calculations Yr 2'!CP195/'Calculations Yr 2'!I195</f>
        <v>#VALUE!</v>
      </c>
    </row>
    <row r="196" spans="1:51" s="133" customFormat="1" ht="12.75" customHeight="1">
      <c r="A196" s="145" t="s">
        <v>83</v>
      </c>
      <c r="B196" s="132" t="s">
        <v>873</v>
      </c>
      <c r="C196" s="132" t="s">
        <v>661</v>
      </c>
      <c r="D196" s="99"/>
      <c r="E196" s="655" t="s">
        <v>789</v>
      </c>
      <c r="F196" s="98" t="s">
        <v>1087</v>
      </c>
      <c r="G196" s="145" t="s">
        <v>545</v>
      </c>
      <c r="H196" s="165"/>
      <c r="I196" s="237">
        <v>12</v>
      </c>
      <c r="J196" s="964">
        <v>2000</v>
      </c>
      <c r="K196" s="166">
        <v>1000</v>
      </c>
      <c r="L196" s="888">
        <f t="shared" si="25"/>
        <v>1000</v>
      </c>
      <c r="M196" s="980">
        <v>0</v>
      </c>
      <c r="N196" s="980">
        <v>0</v>
      </c>
      <c r="O196" s="980">
        <v>0</v>
      </c>
      <c r="P196" s="889">
        <v>0.84600000000000009</v>
      </c>
      <c r="Q196" s="980">
        <v>1</v>
      </c>
      <c r="R196" s="178">
        <v>1</v>
      </c>
      <c r="S196" s="178">
        <v>1</v>
      </c>
      <c r="T196" s="178">
        <v>1</v>
      </c>
      <c r="U196" s="978">
        <v>0</v>
      </c>
      <c r="V196" s="978">
        <v>0</v>
      </c>
      <c r="W196" s="179"/>
      <c r="X196" s="937" t="s">
        <v>653</v>
      </c>
      <c r="Y196" s="299">
        <f>IFERROR(VLOOKUP($X196,'Demand Lookups'!$A$5:$K$101,9,0), 0)</f>
        <v>0</v>
      </c>
      <c r="Z196" s="922" t="str">
        <f>IFERROR(VLOOKUP(X196,'Demand Lookups'!$A$5:$B$101,2,0),0)</f>
        <v>Non-Electric Measures</v>
      </c>
      <c r="AA196" s="722">
        <v>0</v>
      </c>
      <c r="AB196" s="722">
        <v>0</v>
      </c>
      <c r="AC196" s="722">
        <v>0</v>
      </c>
      <c r="AD196" s="723">
        <v>0</v>
      </c>
      <c r="AE196" s="724">
        <f t="shared" si="46"/>
        <v>0</v>
      </c>
      <c r="AF196" s="723">
        <v>0</v>
      </c>
      <c r="AG196" s="723">
        <v>0</v>
      </c>
      <c r="AH196" s="648">
        <v>0</v>
      </c>
      <c r="AI196" s="648">
        <v>0</v>
      </c>
      <c r="AJ196" s="167" t="s">
        <v>200</v>
      </c>
      <c r="AK196" s="168">
        <v>105.4</v>
      </c>
      <c r="AL196" s="167"/>
      <c r="AM196" s="168"/>
      <c r="AN196" s="167"/>
      <c r="AO196" s="168"/>
      <c r="AP196" s="167"/>
      <c r="AQ196" s="171">
        <v>162060</v>
      </c>
      <c r="AR196" s="171">
        <v>162060</v>
      </c>
      <c r="AS196" s="299">
        <f>SUMIF('NEI Lookups'!$L:$L,'Inputs Yr 2'!$F196,'NEI Lookups'!E:E)+SUMIF('NEI Lookups'!$M:$M,'Inputs Yr 2'!$F196,'NEI Lookups'!E:E)+SUMIF('NEI Lookups'!$N:$N,'Inputs Yr 2'!$F196,'NEI Lookups'!E:E)+SUMIF('NEI Lookups'!$O:$O,'Inputs Yr 2'!$F196,'NEI Lookups'!E:E)+SUMIF('NEI Lookups'!$P:$P,'Inputs Yr 2'!$F196,'NEI Lookups'!E:E)+SUMIF('NEI Lookups'!$Q:$Q,'Inputs Yr 2'!$F196,'NEI Lookups'!E:E)+SUMIF('NEI Lookups'!$R:$R,'Inputs Yr 2'!$F196,'NEI Lookups'!E:E)+SUMIF('NEI Lookups'!$S:$S,'Inputs Yr 2'!$F196,'NEI Lookups'!E:E)+SUMIF('NEI Lookups'!$T:$T,'Inputs Yr 2'!$F196,'NEI Lookups'!E:E)</f>
        <v>0</v>
      </c>
      <c r="AT196" s="299">
        <f>SUMIF('NEI Lookups'!$L:$L,'Inputs Yr 2'!$F196,'NEI Lookups'!F:F)+SUMIF('NEI Lookups'!$M:$M,'Inputs Yr 2'!$F196,'NEI Lookups'!F:F)+SUMIF('NEI Lookups'!$N:$N,'Inputs Yr 2'!$F196,'NEI Lookups'!F:F)+SUMIF('NEI Lookups'!$O:$O,'Inputs Yr 2'!$F196,'NEI Lookups'!F:F)+SUMIF('NEI Lookups'!$P:$P,'Inputs Yr 2'!$F196,'NEI Lookups'!F:F)+SUMIF('NEI Lookups'!$Q:$Q,'Inputs Yr 2'!$F196,'NEI Lookups'!F:F)+SUMIF('NEI Lookups'!$R:$R,'Inputs Yr 2'!$F196,'NEI Lookups'!F:F)+SUMIF('NEI Lookups'!$S:$S,'Inputs Yr 2'!$F196,'NEI Lookups'!F:F)+SUMIF('NEI Lookups'!$T:$T,'Inputs Yr 2'!$F196,'NEI Lookups'!F:F)</f>
        <v>0</v>
      </c>
      <c r="AU196" s="299">
        <f>SUMIF('NEI Lookups'!$L:$L,'Inputs Yr 2'!$F196,'NEI Lookups'!G:G)+SUMIF('NEI Lookups'!$M:$M,'Inputs Yr 2'!$F196,'NEI Lookups'!G:G)+SUMIF('NEI Lookups'!$N:$N,'Inputs Yr 2'!$F196,'NEI Lookups'!G:G)+SUMIF('NEI Lookups'!$O:$O,'Inputs Yr 2'!$F196,'NEI Lookups'!G:G)+SUMIF('NEI Lookups'!$P:$P,'Inputs Yr 2'!$F196,'NEI Lookups'!G:G)+SUMIF('NEI Lookups'!$Q:$Q,'Inputs Yr 2'!$F196,'NEI Lookups'!G:G)+SUMIF('NEI Lookups'!$R:$R,'Inputs Yr 2'!$F196,'NEI Lookups'!G:G)+SUMIF('NEI Lookups'!$S:$S,'Inputs Yr 2'!$F196,'NEI Lookups'!G:G)+SUMIF('NEI Lookups'!$T:$T,'Inputs Yr 2'!$F196,'NEI Lookups'!G:G)</f>
        <v>0</v>
      </c>
      <c r="AV196" s="299">
        <f>SUMIF('NEI Lookups'!$L:$L,'Inputs Yr 2'!$F196,'NEI Lookups'!H:H)+SUMIF('NEI Lookups'!$M:$M,'Inputs Yr 2'!$F196,'NEI Lookups'!H:H)+SUMIF('NEI Lookups'!$N:$N,'Inputs Yr 2'!$F196,'NEI Lookups'!H:H)+SUMIF('NEI Lookups'!$O:$O,'Inputs Yr 2'!$F196,'NEI Lookups'!H:H)+SUMIF('NEI Lookups'!$P:$P,'Inputs Yr 2'!$F196,'NEI Lookups'!H:H)+SUMIF('NEI Lookups'!$Q:$Q,'Inputs Yr 2'!$F196,'NEI Lookups'!H:H)+SUMIF('NEI Lookups'!$R:$R,'Inputs Yr 2'!$F196,'NEI Lookups'!H:H)+SUMIF('NEI Lookups'!$S:$S,'Inputs Yr 2'!$F196,'NEI Lookups'!H:H)+SUMIF('NEI Lookups'!$T:$T,'Inputs Yr 2'!$F196,'NEI Lookups'!H:H)</f>
        <v>0</v>
      </c>
      <c r="AW196" s="299">
        <f>SUMIF('NEI Lookups'!$L:$L,'Inputs Yr 2'!$F196,'NEI Lookups'!I:I)+SUMIF('NEI Lookups'!$M:$M,'Inputs Yr 2'!$F196,'NEI Lookups'!I:I)+SUMIF('NEI Lookups'!$N:$N,'Inputs Yr 2'!$F196,'NEI Lookups'!I:I)+SUMIF('NEI Lookups'!$O:$O,'Inputs Yr 2'!$F196,'NEI Lookups'!I:I)+SUMIF('NEI Lookups'!$P:$P,'Inputs Yr 2'!$F196,'NEI Lookups'!I:I)+SUMIF('NEI Lookups'!$Q:$Q,'Inputs Yr 2'!$F196,'NEI Lookups'!I:I)+SUMIF('NEI Lookups'!$R:$R,'Inputs Yr 2'!$F196,'NEI Lookups'!I:I)+SUMIF('NEI Lookups'!$S:$S,'Inputs Yr 2'!$F196,'NEI Lookups'!I:I)+SUMIF('NEI Lookups'!$T:$T,'Inputs Yr 2'!$F196,'NEI Lookups'!I:I)</f>
        <v>3.4</v>
      </c>
      <c r="AX196" s="299">
        <f>SUMIF('NEI Lookups'!$L:$L,'Inputs Yr 2'!$F196,'NEI Lookups'!J:J)+SUMIF('NEI Lookups'!$M:$M,'Inputs Yr 2'!$F196,'NEI Lookups'!J:J)+SUMIF('NEI Lookups'!$N:$N,'Inputs Yr 2'!$F196,'NEI Lookups'!J:J)+SUMIF('NEI Lookups'!$O:$O,'Inputs Yr 2'!$F196,'NEI Lookups'!J:J)+SUMIF('NEI Lookups'!$P:$P,'Inputs Yr 2'!$F196,'NEI Lookups'!J:J)+SUMIF('NEI Lookups'!$Q:$Q,'Inputs Yr 2'!$F196,'NEI Lookups'!J:J)+SUMIF('NEI Lookups'!$R:$R,'Inputs Yr 2'!$F196,'NEI Lookups'!J:J)+SUMIF('NEI Lookups'!$S:$S,'Inputs Yr 2'!$F196,'NEI Lookups'!J:J)+SUMIF('NEI Lookups'!$T:$T,'Inputs Yr 2'!$F196,'NEI Lookups'!J:J)</f>
        <v>0</v>
      </c>
      <c r="AY196" s="930" t="e">
        <f>'Calculations Yr 2'!CP196/'Calculations Yr 2'!I196</f>
        <v>#VALUE!</v>
      </c>
    </row>
    <row r="197" spans="1:51" s="133" customFormat="1" ht="12.75" customHeight="1">
      <c r="A197" s="145" t="s">
        <v>83</v>
      </c>
      <c r="B197" s="132" t="s">
        <v>873</v>
      </c>
      <c r="C197" s="132" t="s">
        <v>661</v>
      </c>
      <c r="D197" s="937"/>
      <c r="E197" s="655" t="s">
        <v>1507</v>
      </c>
      <c r="F197" s="98" t="s">
        <v>1268</v>
      </c>
      <c r="G197" s="145" t="s">
        <v>1247</v>
      </c>
      <c r="H197" s="165">
        <v>1</v>
      </c>
      <c r="I197" s="237">
        <v>10</v>
      </c>
      <c r="J197" s="964">
        <v>21305</v>
      </c>
      <c r="K197" s="166">
        <v>15978.75</v>
      </c>
      <c r="L197" s="888">
        <f t="shared" ref="L197:L260" si="58">J197-K197</f>
        <v>5326.25</v>
      </c>
      <c r="M197" s="980">
        <v>0.11</v>
      </c>
      <c r="N197" s="980">
        <v>2.5999999999999999E-2</v>
      </c>
      <c r="O197" s="980">
        <v>3.0000000000000001E-3</v>
      </c>
      <c r="P197" s="889">
        <f t="shared" ref="P197" si="59">1-M197+N197+O197</f>
        <v>0.91900000000000004</v>
      </c>
      <c r="Q197" s="980">
        <v>1</v>
      </c>
      <c r="R197" s="178">
        <v>1</v>
      </c>
      <c r="S197" s="178">
        <v>1</v>
      </c>
      <c r="T197" s="178">
        <v>1</v>
      </c>
      <c r="U197" s="978">
        <v>0.77900000000000003</v>
      </c>
      <c r="V197" s="978">
        <v>1</v>
      </c>
      <c r="W197" s="179"/>
      <c r="X197" s="937" t="s">
        <v>653</v>
      </c>
      <c r="Y197" s="299">
        <f>IFERROR(VLOOKUP($X197,'Demand Lookups'!$A$5:$K$101,9,0), 0)</f>
        <v>0</v>
      </c>
      <c r="Z197" s="922" t="str">
        <f>IFERROR(VLOOKUP(X197,'Demand Lookups'!$A$5:$B$101,2,0),0)</f>
        <v>Non-Electric Measures</v>
      </c>
      <c r="AA197" s="722">
        <f>IF(ISNA(VLOOKUP($X197,'Demand Lookups'!$A$5:$K$81,3,0)),0,VLOOKUP($X197,'Demand Lookups'!$A$5:$K$81,3,0))</f>
        <v>0</v>
      </c>
      <c r="AB197" s="722">
        <f>IF(ISNA(VLOOKUP($X197,'Demand Lookups'!$A$5:$K$81,4,0)),0,VLOOKUP($X197,'Demand Lookups'!$A$5:$K$81,4,0))</f>
        <v>0</v>
      </c>
      <c r="AC197" s="722">
        <f>IF(ISNA(VLOOKUP($X197,'Demand Lookups'!$A$5:$K$81,5,0)),0,VLOOKUP($X197,'Demand Lookups'!$A$5:$K$81,5,0))</f>
        <v>0</v>
      </c>
      <c r="AD197" s="723">
        <f>IF(ISNA(VLOOKUP($X197,'Demand Lookups'!$A$5:$K$81,6,0)),0,VLOOKUP($X197,'Demand Lookups'!$A$5:$K$81,6,0))</f>
        <v>0</v>
      </c>
      <c r="AE197" s="724">
        <f t="shared" ref="AE197" si="60">IF(ISERROR(W197*Y197),"",W197*Y197)</f>
        <v>0</v>
      </c>
      <c r="AF197" s="723">
        <f>ROUND(IF(ISNA(VLOOKUP($X197,'Demand Lookups'!$A$5:$K$82,10,0)),0,(VLOOKUP($X197,'Demand Lookups'!$A$5:$K$82,10,0))),2)</f>
        <v>0</v>
      </c>
      <c r="AG197" s="723">
        <f>ROUND(IF(ISNA(VLOOKUP($X197,'Demand Lookups'!$A$5:$K$82,11,0)),0,VLOOKUP($X197,'Demand Lookups'!$A$5:$K$82,11,0)),2)</f>
        <v>0</v>
      </c>
      <c r="AH197" s="648">
        <f t="shared" ref="AH197" si="61">AF197</f>
        <v>0</v>
      </c>
      <c r="AI197" s="648">
        <f t="shared" ref="AI197" si="62">AF197</f>
        <v>0</v>
      </c>
      <c r="AJ197" s="167" t="s">
        <v>87</v>
      </c>
      <c r="AK197" s="168">
        <v>1004</v>
      </c>
      <c r="AL197" s="167"/>
      <c r="AM197" s="168"/>
      <c r="AN197" s="167"/>
      <c r="AO197" s="168"/>
      <c r="AP197" s="167"/>
      <c r="AQ197" s="171"/>
      <c r="AR197" s="171"/>
      <c r="AS197" s="299">
        <f>SUMIF('NEI Lookups'!$L:$L,'Inputs Yr 2'!$F197,'NEI Lookups'!E:E)+SUMIF('NEI Lookups'!$M:$M,'Inputs Yr 2'!$F197,'NEI Lookups'!E:E)+SUMIF('NEI Lookups'!$N:$N,'Inputs Yr 2'!$F197,'NEI Lookups'!E:E)+SUMIF('NEI Lookups'!$O:$O,'Inputs Yr 2'!$F197,'NEI Lookups'!E:E)+SUMIF('NEI Lookups'!$P:$P,'Inputs Yr 2'!$F197,'NEI Lookups'!E:E)+SUMIF('NEI Lookups'!$Q:$Q,'Inputs Yr 2'!$F197,'NEI Lookups'!E:E)+SUMIF('NEI Lookups'!$R:$R,'Inputs Yr 2'!$F197,'NEI Lookups'!E:E)+SUMIF('NEI Lookups'!$S:$S,'Inputs Yr 2'!$F197,'NEI Lookups'!E:E)+SUMIF('NEI Lookups'!$T:$T,'Inputs Yr 2'!$F197,'NEI Lookups'!E:E)</f>
        <v>0</v>
      </c>
      <c r="AT197" s="299">
        <f>SUMIF('NEI Lookups'!$L:$L,'Inputs Yr 2'!$F197,'NEI Lookups'!F:F)+SUMIF('NEI Lookups'!$M:$M,'Inputs Yr 2'!$F197,'NEI Lookups'!F:F)+SUMIF('NEI Lookups'!$N:$N,'Inputs Yr 2'!$F197,'NEI Lookups'!F:F)+SUMIF('NEI Lookups'!$O:$O,'Inputs Yr 2'!$F197,'NEI Lookups'!F:F)+SUMIF('NEI Lookups'!$P:$P,'Inputs Yr 2'!$F197,'NEI Lookups'!F:F)+SUMIF('NEI Lookups'!$Q:$Q,'Inputs Yr 2'!$F197,'NEI Lookups'!F:F)+SUMIF('NEI Lookups'!$R:$R,'Inputs Yr 2'!$F197,'NEI Lookups'!F:F)+SUMIF('NEI Lookups'!$S:$S,'Inputs Yr 2'!$F197,'NEI Lookups'!F:F)+SUMIF('NEI Lookups'!$T:$T,'Inputs Yr 2'!$F197,'NEI Lookups'!F:F)</f>
        <v>0</v>
      </c>
      <c r="AU197" s="299">
        <f>SUMIF('NEI Lookups'!$L:$L,'Inputs Yr 2'!$F197,'NEI Lookups'!G:G)+SUMIF('NEI Lookups'!$M:$M,'Inputs Yr 2'!$F197,'NEI Lookups'!G:G)+SUMIF('NEI Lookups'!$N:$N,'Inputs Yr 2'!$F197,'NEI Lookups'!G:G)+SUMIF('NEI Lookups'!$O:$O,'Inputs Yr 2'!$F197,'NEI Lookups'!G:G)+SUMIF('NEI Lookups'!$P:$P,'Inputs Yr 2'!$F197,'NEI Lookups'!G:G)+SUMIF('NEI Lookups'!$Q:$Q,'Inputs Yr 2'!$F197,'NEI Lookups'!G:G)+SUMIF('NEI Lookups'!$R:$R,'Inputs Yr 2'!$F197,'NEI Lookups'!G:G)+SUMIF('NEI Lookups'!$S:$S,'Inputs Yr 2'!$F197,'NEI Lookups'!G:G)+SUMIF('NEI Lookups'!$T:$T,'Inputs Yr 2'!$F197,'NEI Lookups'!G:G)</f>
        <v>0</v>
      </c>
      <c r="AV197" s="299">
        <f>SUMIF('NEI Lookups'!$L:$L,'Inputs Yr 2'!$F197,'NEI Lookups'!H:H)+SUMIF('NEI Lookups'!$M:$M,'Inputs Yr 2'!$F197,'NEI Lookups'!H:H)+SUMIF('NEI Lookups'!$N:$N,'Inputs Yr 2'!$F197,'NEI Lookups'!H:H)+SUMIF('NEI Lookups'!$O:$O,'Inputs Yr 2'!$F197,'NEI Lookups'!H:H)+SUMIF('NEI Lookups'!$P:$P,'Inputs Yr 2'!$F197,'NEI Lookups'!H:H)+SUMIF('NEI Lookups'!$Q:$Q,'Inputs Yr 2'!$F197,'NEI Lookups'!H:H)+SUMIF('NEI Lookups'!$R:$R,'Inputs Yr 2'!$F197,'NEI Lookups'!H:H)+SUMIF('NEI Lookups'!$S:$S,'Inputs Yr 2'!$F197,'NEI Lookups'!H:H)+SUMIF('NEI Lookups'!$T:$T,'Inputs Yr 2'!$F197,'NEI Lookups'!H:H)</f>
        <v>0</v>
      </c>
      <c r="AW197" s="940">
        <f>SUMIF('NEI Lookups'!$L:$L,'Inputs Yr 2'!$F197,'NEI Lookups'!I:I)+SUMIF('NEI Lookups'!$M:$M,'Inputs Yr 2'!$F197,'NEI Lookups'!I:I)+SUMIF('NEI Lookups'!$N:$N,'Inputs Yr 2'!$F197,'NEI Lookups'!I:I)+SUMIF('NEI Lookups'!$O:$O,'Inputs Yr 2'!$F197,'NEI Lookups'!I:I)+SUMIF('NEI Lookups'!$P:$P,'Inputs Yr 2'!$F197,'NEI Lookups'!I:I)+SUMIF('NEI Lookups'!$Q:$Q,'Inputs Yr 2'!$F197,'NEI Lookups'!I:I)+SUMIF('NEI Lookups'!$R:$R,'Inputs Yr 2'!$F197,'NEI Lookups'!I:I)+SUMIF('NEI Lookups'!$S:$S,'Inputs Yr 2'!$F197,'NEI Lookups'!I:I)+SUMIF('NEI Lookups'!$T:$T,'Inputs Yr 2'!$F197,'NEI Lookups'!I:I)</f>
        <v>0</v>
      </c>
      <c r="AX197" s="299">
        <f>SUMIF('NEI Lookups'!$L:$L,'Inputs Yr 2'!$F197,'NEI Lookups'!J:J)+SUMIF('NEI Lookups'!$M:$M,'Inputs Yr 2'!$F197,'NEI Lookups'!J:J)+SUMIF('NEI Lookups'!$N:$N,'Inputs Yr 2'!$F197,'NEI Lookups'!J:J)+SUMIF('NEI Lookups'!$O:$O,'Inputs Yr 2'!$F197,'NEI Lookups'!J:J)+SUMIF('NEI Lookups'!$P:$P,'Inputs Yr 2'!$F197,'NEI Lookups'!J:J)+SUMIF('NEI Lookups'!$Q:$Q,'Inputs Yr 2'!$F197,'NEI Lookups'!J:J)+SUMIF('NEI Lookups'!$R:$R,'Inputs Yr 2'!$F197,'NEI Lookups'!J:J)+SUMIF('NEI Lookups'!$S:$S,'Inputs Yr 2'!$F197,'NEI Lookups'!J:J)+SUMIF('NEI Lookups'!$T:$T,'Inputs Yr 2'!$F197,'NEI Lookups'!J:J)</f>
        <v>0</v>
      </c>
      <c r="AY197" s="930">
        <f>'Calculations Yr 2'!CP197/'Calculations Yr 2'!I197</f>
        <v>3.1219798069722233</v>
      </c>
    </row>
    <row r="198" spans="1:51" s="133" customFormat="1" ht="13.5" customHeight="1" thickBot="1">
      <c r="A198" s="147" t="s">
        <v>83</v>
      </c>
      <c r="B198" s="146" t="s">
        <v>873</v>
      </c>
      <c r="C198" s="146" t="s">
        <v>661</v>
      </c>
      <c r="D198" s="149"/>
      <c r="E198" s="869" t="s">
        <v>1508</v>
      </c>
      <c r="F198" s="177" t="s">
        <v>1268</v>
      </c>
      <c r="G198" s="147" t="s">
        <v>1247</v>
      </c>
      <c r="H198" s="172">
        <v>1</v>
      </c>
      <c r="I198" s="238">
        <v>15</v>
      </c>
      <c r="J198" s="976">
        <v>5898</v>
      </c>
      <c r="K198" s="876">
        <v>4423.5</v>
      </c>
      <c r="L198" s="898">
        <f t="shared" si="58"/>
        <v>1474.5</v>
      </c>
      <c r="M198" s="979">
        <v>0.11</v>
      </c>
      <c r="N198" s="979">
        <v>2.5999999999999999E-2</v>
      </c>
      <c r="O198" s="979">
        <v>3.0000000000000001E-3</v>
      </c>
      <c r="P198" s="895">
        <f t="shared" si="26"/>
        <v>0.91900000000000004</v>
      </c>
      <c r="Q198" s="979">
        <v>1</v>
      </c>
      <c r="R198" s="221">
        <v>1</v>
      </c>
      <c r="S198" s="221">
        <v>1</v>
      </c>
      <c r="T198" s="221">
        <v>1</v>
      </c>
      <c r="U198" s="979">
        <v>0.77900000000000003</v>
      </c>
      <c r="V198" s="990">
        <v>1</v>
      </c>
      <c r="W198" s="222"/>
      <c r="X198" s="146" t="s">
        <v>653</v>
      </c>
      <c r="Y198" s="302">
        <f>IFERROR(VLOOKUP($X198,'Demand Lookups'!$A$5:$K$101,9,0), 0)</f>
        <v>0</v>
      </c>
      <c r="Z198" s="923" t="str">
        <f>IFERROR(VLOOKUP(X198,'Demand Lookups'!$A$5:$B$101,2,0),0)</f>
        <v>Non-Electric Measures</v>
      </c>
      <c r="AA198" s="650">
        <f>IF(ISNA(VLOOKUP($X198,'Demand Lookups'!$A$5:$K$81,3,0)),0,VLOOKUP($X198,'Demand Lookups'!$A$5:$K$81,3,0))</f>
        <v>0</v>
      </c>
      <c r="AB198" s="650">
        <f>IF(ISNA(VLOOKUP($X198,'Demand Lookups'!$A$5:$K$81,4,0)),0,VLOOKUP($X198,'Demand Lookups'!$A$5:$K$81,4,0))</f>
        <v>0</v>
      </c>
      <c r="AC198" s="650">
        <f>IF(ISNA(VLOOKUP($X198,'Demand Lookups'!$A$5:$K$81,5,0)),0,VLOOKUP($X198,'Demand Lookups'!$A$5:$K$81,5,0))</f>
        <v>0</v>
      </c>
      <c r="AD198" s="651">
        <f>IF(ISNA(VLOOKUP($X198,'Demand Lookups'!$A$5:$K$81,6,0)),0,VLOOKUP($X198,'Demand Lookups'!$A$5:$K$81,6,0))</f>
        <v>0</v>
      </c>
      <c r="AE198" s="652">
        <f t="shared" si="27"/>
        <v>0</v>
      </c>
      <c r="AF198" s="651">
        <f>ROUND(IF(ISNA(VLOOKUP($X198,'Demand Lookups'!$A$5:$K$82,10,0)),0,(VLOOKUP($X198,'Demand Lookups'!$A$5:$K$82,10,0))),2)</f>
        <v>0</v>
      </c>
      <c r="AG198" s="651">
        <f>ROUND(IF(ISNA(VLOOKUP($X198,'Demand Lookups'!$A$5:$K$82,11,0)),0,VLOOKUP($X198,'Demand Lookups'!$A$5:$K$82,11,0)),2)</f>
        <v>0</v>
      </c>
      <c r="AH198" s="653">
        <f t="shared" si="28"/>
        <v>0</v>
      </c>
      <c r="AI198" s="653">
        <f t="shared" si="29"/>
        <v>0</v>
      </c>
      <c r="AJ198" s="174" t="s">
        <v>87</v>
      </c>
      <c r="AK198" s="303">
        <v>294.89999999999998</v>
      </c>
      <c r="AL198" s="174"/>
      <c r="AM198" s="303"/>
      <c r="AN198" s="174"/>
      <c r="AO198" s="303"/>
      <c r="AP198" s="174"/>
      <c r="AQ198" s="175">
        <v>0</v>
      </c>
      <c r="AR198" s="175">
        <v>0</v>
      </c>
      <c r="AS198" s="302">
        <f>SUMIF('NEI Lookups'!$L:$L,'Inputs Yr 2'!$F198,'NEI Lookups'!E:E)+SUMIF('NEI Lookups'!$M:$M,'Inputs Yr 2'!$F198,'NEI Lookups'!E:E)+SUMIF('NEI Lookups'!$N:$N,'Inputs Yr 2'!$F198,'NEI Lookups'!E:E)+SUMIF('NEI Lookups'!$O:$O,'Inputs Yr 2'!$F198,'NEI Lookups'!E:E)+SUMIF('NEI Lookups'!$P:$P,'Inputs Yr 2'!$F198,'NEI Lookups'!E:E)+SUMIF('NEI Lookups'!$Q:$Q,'Inputs Yr 2'!$F198,'NEI Lookups'!E:E)+SUMIF('NEI Lookups'!$R:$R,'Inputs Yr 2'!$F198,'NEI Lookups'!E:E)+SUMIF('NEI Lookups'!$S:$S,'Inputs Yr 2'!$F198,'NEI Lookups'!E:E)+SUMIF('NEI Lookups'!$T:$T,'Inputs Yr 2'!$F198,'NEI Lookups'!E:E)</f>
        <v>0</v>
      </c>
      <c r="AT198" s="302">
        <f>SUMIF('NEI Lookups'!$L:$L,'Inputs Yr 2'!$F198,'NEI Lookups'!F:F)+SUMIF('NEI Lookups'!$M:$M,'Inputs Yr 2'!$F198,'NEI Lookups'!F:F)+SUMIF('NEI Lookups'!$N:$N,'Inputs Yr 2'!$F198,'NEI Lookups'!F:F)+SUMIF('NEI Lookups'!$O:$O,'Inputs Yr 2'!$F198,'NEI Lookups'!F:F)+SUMIF('NEI Lookups'!$P:$P,'Inputs Yr 2'!$F198,'NEI Lookups'!F:F)+SUMIF('NEI Lookups'!$Q:$Q,'Inputs Yr 2'!$F198,'NEI Lookups'!F:F)+SUMIF('NEI Lookups'!$R:$R,'Inputs Yr 2'!$F198,'NEI Lookups'!F:F)+SUMIF('NEI Lookups'!$S:$S,'Inputs Yr 2'!$F198,'NEI Lookups'!F:F)+SUMIF('NEI Lookups'!$T:$T,'Inputs Yr 2'!$F198,'NEI Lookups'!F:F)</f>
        <v>0</v>
      </c>
      <c r="AU198" s="302">
        <f>SUMIF('NEI Lookups'!$L:$L,'Inputs Yr 2'!$F198,'NEI Lookups'!G:G)+SUMIF('NEI Lookups'!$M:$M,'Inputs Yr 2'!$F198,'NEI Lookups'!G:G)+SUMIF('NEI Lookups'!$N:$N,'Inputs Yr 2'!$F198,'NEI Lookups'!G:G)+SUMIF('NEI Lookups'!$O:$O,'Inputs Yr 2'!$F198,'NEI Lookups'!G:G)+SUMIF('NEI Lookups'!$P:$P,'Inputs Yr 2'!$F198,'NEI Lookups'!G:G)+SUMIF('NEI Lookups'!$Q:$Q,'Inputs Yr 2'!$F198,'NEI Lookups'!G:G)+SUMIF('NEI Lookups'!$R:$R,'Inputs Yr 2'!$F198,'NEI Lookups'!G:G)+SUMIF('NEI Lookups'!$S:$S,'Inputs Yr 2'!$F198,'NEI Lookups'!G:G)+SUMIF('NEI Lookups'!$T:$T,'Inputs Yr 2'!$F198,'NEI Lookups'!G:G)</f>
        <v>0</v>
      </c>
      <c r="AV198" s="302">
        <f>SUMIF('NEI Lookups'!$L:$L,'Inputs Yr 2'!$F198,'NEI Lookups'!H:H)+SUMIF('NEI Lookups'!$M:$M,'Inputs Yr 2'!$F198,'NEI Lookups'!H:H)+SUMIF('NEI Lookups'!$N:$N,'Inputs Yr 2'!$F198,'NEI Lookups'!H:H)+SUMIF('NEI Lookups'!$O:$O,'Inputs Yr 2'!$F198,'NEI Lookups'!H:H)+SUMIF('NEI Lookups'!$P:$P,'Inputs Yr 2'!$F198,'NEI Lookups'!H:H)+SUMIF('NEI Lookups'!$Q:$Q,'Inputs Yr 2'!$F198,'NEI Lookups'!H:H)+SUMIF('NEI Lookups'!$R:$R,'Inputs Yr 2'!$F198,'NEI Lookups'!H:H)+SUMIF('NEI Lookups'!$S:$S,'Inputs Yr 2'!$F198,'NEI Lookups'!H:H)+SUMIF('NEI Lookups'!$T:$T,'Inputs Yr 2'!$F198,'NEI Lookups'!H:H)</f>
        <v>0</v>
      </c>
      <c r="AW198" s="302">
        <f>SUMIF('NEI Lookups'!$L:$L,'Inputs Yr 2'!$F198,'NEI Lookups'!I:I)+SUMIF('NEI Lookups'!$M:$M,'Inputs Yr 2'!$F198,'NEI Lookups'!I:I)+SUMIF('NEI Lookups'!$N:$N,'Inputs Yr 2'!$F198,'NEI Lookups'!I:I)+SUMIF('NEI Lookups'!$O:$O,'Inputs Yr 2'!$F198,'NEI Lookups'!I:I)+SUMIF('NEI Lookups'!$P:$P,'Inputs Yr 2'!$F198,'NEI Lookups'!I:I)+SUMIF('NEI Lookups'!$Q:$Q,'Inputs Yr 2'!$F198,'NEI Lookups'!I:I)+SUMIF('NEI Lookups'!$R:$R,'Inputs Yr 2'!$F198,'NEI Lookups'!I:I)+SUMIF('NEI Lookups'!$S:$S,'Inputs Yr 2'!$F198,'NEI Lookups'!I:I)+SUMIF('NEI Lookups'!$T:$T,'Inputs Yr 2'!$F198,'NEI Lookups'!I:I)</f>
        <v>0</v>
      </c>
      <c r="AX198" s="302">
        <f>SUMIF('NEI Lookups'!$L:$L,'Inputs Yr 2'!$F198,'NEI Lookups'!J:J)+SUMIF('NEI Lookups'!$M:$M,'Inputs Yr 2'!$F198,'NEI Lookups'!J:J)+SUMIF('NEI Lookups'!$N:$N,'Inputs Yr 2'!$F198,'NEI Lookups'!J:J)+SUMIF('NEI Lookups'!$O:$O,'Inputs Yr 2'!$F198,'NEI Lookups'!J:J)+SUMIF('NEI Lookups'!$P:$P,'Inputs Yr 2'!$F198,'NEI Lookups'!J:J)+SUMIF('NEI Lookups'!$Q:$Q,'Inputs Yr 2'!$F198,'NEI Lookups'!J:J)+SUMIF('NEI Lookups'!$R:$R,'Inputs Yr 2'!$F198,'NEI Lookups'!J:J)+SUMIF('NEI Lookups'!$S:$S,'Inputs Yr 2'!$F198,'NEI Lookups'!J:J)+SUMIF('NEI Lookups'!$T:$T,'Inputs Yr 2'!$F198,'NEI Lookups'!J:J)</f>
        <v>0</v>
      </c>
      <c r="AY198" s="932">
        <f>'Calculations Yr 2'!CP198/'Calculations Yr 2'!I198</f>
        <v>4.9569277752996097</v>
      </c>
    </row>
    <row r="199" spans="1:51" s="133" customFormat="1" ht="12.75" customHeight="1">
      <c r="A199" s="145" t="s">
        <v>83</v>
      </c>
      <c r="B199" s="132" t="s">
        <v>873</v>
      </c>
      <c r="C199" s="909" t="s">
        <v>908</v>
      </c>
      <c r="D199" s="97"/>
      <c r="E199" s="4" t="s">
        <v>1402</v>
      </c>
      <c r="F199" s="150" t="s">
        <v>1088</v>
      </c>
      <c r="G199" s="145" t="s">
        <v>545</v>
      </c>
      <c r="H199" s="165"/>
      <c r="I199" s="237">
        <v>12</v>
      </c>
      <c r="J199" s="971">
        <v>1768</v>
      </c>
      <c r="K199" s="871">
        <v>1326</v>
      </c>
      <c r="L199" s="888">
        <f t="shared" si="58"/>
        <v>442</v>
      </c>
      <c r="M199" s="978">
        <v>0</v>
      </c>
      <c r="N199" s="978">
        <v>0</v>
      </c>
      <c r="O199" s="978">
        <v>0</v>
      </c>
      <c r="P199" s="889">
        <f t="shared" si="26"/>
        <v>1</v>
      </c>
      <c r="Q199" s="978">
        <v>1</v>
      </c>
      <c r="R199" s="178">
        <v>1</v>
      </c>
      <c r="S199" s="178">
        <v>1</v>
      </c>
      <c r="T199" s="178">
        <v>1</v>
      </c>
      <c r="U199" s="978">
        <v>0</v>
      </c>
      <c r="V199" s="978">
        <v>0</v>
      </c>
      <c r="W199" s="179"/>
      <c r="X199" s="937" t="s">
        <v>653</v>
      </c>
      <c r="Y199" s="299">
        <f>IFERROR(VLOOKUP($X199,'Demand Lookups'!$A$5:$K$101,9,0), 0)</f>
        <v>0</v>
      </c>
      <c r="Z199" s="922" t="str">
        <f>IFERROR(VLOOKUP(X199,'Demand Lookups'!$A$5:$B$101,2,0),0)</f>
        <v>Non-Electric Measures</v>
      </c>
      <c r="AA199" s="835">
        <f>IF(ISNA(VLOOKUP($X199,'Demand Lookups'!$A$5:$K$81,3,0)),0,VLOOKUP($X199,'Demand Lookups'!$A$5:$K$81,3,0))</f>
        <v>0</v>
      </c>
      <c r="AB199" s="835">
        <f>IF(ISNA(VLOOKUP($X199,'Demand Lookups'!$A$5:$K$81,4,0)),0,VLOOKUP($X199,'Demand Lookups'!$A$5:$K$81,4,0))</f>
        <v>0</v>
      </c>
      <c r="AC199" s="835">
        <f>IF(ISNA(VLOOKUP($X199,'Demand Lookups'!$A$5:$K$81,5,0)),0,VLOOKUP($X199,'Demand Lookups'!$A$5:$K$81,5,0))</f>
        <v>0</v>
      </c>
      <c r="AD199" s="836">
        <f>IF(ISNA(VLOOKUP($X199,'Demand Lookups'!$A$5:$K$81,6,0)),0,VLOOKUP($X199,'Demand Lookups'!$A$5:$K$81,6,0))</f>
        <v>0</v>
      </c>
      <c r="AE199" s="837">
        <f t="shared" si="27"/>
        <v>0</v>
      </c>
      <c r="AF199" s="836">
        <f>ROUND(IF(ISNA(VLOOKUP($X199,'Demand Lookups'!$A$5:$K$82,10,0)),0,(VLOOKUP($X199,'Demand Lookups'!$A$5:$K$82,10,0))),2)</f>
        <v>0</v>
      </c>
      <c r="AG199" s="836">
        <f>ROUND(IF(ISNA(VLOOKUP($X199,'Demand Lookups'!$A$5:$K$82,11,0)),0,VLOOKUP($X199,'Demand Lookups'!$A$5:$K$82,11,0)),2)</f>
        <v>0</v>
      </c>
      <c r="AH199" s="648">
        <f t="shared" si="28"/>
        <v>0</v>
      </c>
      <c r="AI199" s="648">
        <f t="shared" si="29"/>
        <v>0</v>
      </c>
      <c r="AJ199" s="167" t="s">
        <v>200</v>
      </c>
      <c r="AK199" s="168">
        <v>88.4</v>
      </c>
      <c r="AL199" s="167"/>
      <c r="AM199" s="168"/>
      <c r="AN199" s="167"/>
      <c r="AO199" s="168"/>
      <c r="AP199" s="167"/>
      <c r="AQ199" s="171">
        <v>0</v>
      </c>
      <c r="AR199" s="171">
        <v>0</v>
      </c>
      <c r="AS199" s="299">
        <f>SUMIF('NEI Lookups'!$L:$L,'Inputs Yr 2'!$F199,'NEI Lookups'!E:E)+SUMIF('NEI Lookups'!$M:$M,'Inputs Yr 2'!$F199,'NEI Lookups'!E:E)+SUMIF('NEI Lookups'!$N:$N,'Inputs Yr 2'!$F199,'NEI Lookups'!E:E)+SUMIF('NEI Lookups'!$O:$O,'Inputs Yr 2'!$F199,'NEI Lookups'!E:E)+SUMIF('NEI Lookups'!$P:$P,'Inputs Yr 2'!$F199,'NEI Lookups'!E:E)+SUMIF('NEI Lookups'!$Q:$Q,'Inputs Yr 2'!$F199,'NEI Lookups'!E:E)+SUMIF('NEI Lookups'!$R:$R,'Inputs Yr 2'!$F199,'NEI Lookups'!E:E)+SUMIF('NEI Lookups'!$S:$S,'Inputs Yr 2'!$F199,'NEI Lookups'!E:E)+SUMIF('NEI Lookups'!$T:$T,'Inputs Yr 2'!$F199,'NEI Lookups'!E:E)</f>
        <v>0</v>
      </c>
      <c r="AT199" s="299">
        <f>SUMIF('NEI Lookups'!$L:$L,'Inputs Yr 2'!$F199,'NEI Lookups'!F:F)+SUMIF('NEI Lookups'!$M:$M,'Inputs Yr 2'!$F199,'NEI Lookups'!F:F)+SUMIF('NEI Lookups'!$N:$N,'Inputs Yr 2'!$F199,'NEI Lookups'!F:F)+SUMIF('NEI Lookups'!$O:$O,'Inputs Yr 2'!$F199,'NEI Lookups'!F:F)+SUMIF('NEI Lookups'!$P:$P,'Inputs Yr 2'!$F199,'NEI Lookups'!F:F)+SUMIF('NEI Lookups'!$Q:$Q,'Inputs Yr 2'!$F199,'NEI Lookups'!F:F)+SUMIF('NEI Lookups'!$R:$R,'Inputs Yr 2'!$F199,'NEI Lookups'!F:F)+SUMIF('NEI Lookups'!$S:$S,'Inputs Yr 2'!$F199,'NEI Lookups'!F:F)+SUMIF('NEI Lookups'!$T:$T,'Inputs Yr 2'!$F199,'NEI Lookups'!F:F)</f>
        <v>0</v>
      </c>
      <c r="AU199" s="299">
        <f>SUMIF('NEI Lookups'!$L:$L,'Inputs Yr 2'!$F199,'NEI Lookups'!G:G)+SUMIF('NEI Lookups'!$M:$M,'Inputs Yr 2'!$F199,'NEI Lookups'!G:G)+SUMIF('NEI Lookups'!$N:$N,'Inputs Yr 2'!$F199,'NEI Lookups'!G:G)+SUMIF('NEI Lookups'!$O:$O,'Inputs Yr 2'!$F199,'NEI Lookups'!G:G)+SUMIF('NEI Lookups'!$P:$P,'Inputs Yr 2'!$F199,'NEI Lookups'!G:G)+SUMIF('NEI Lookups'!$Q:$Q,'Inputs Yr 2'!$F199,'NEI Lookups'!G:G)+SUMIF('NEI Lookups'!$R:$R,'Inputs Yr 2'!$F199,'NEI Lookups'!G:G)+SUMIF('NEI Lookups'!$S:$S,'Inputs Yr 2'!$F199,'NEI Lookups'!G:G)+SUMIF('NEI Lookups'!$T:$T,'Inputs Yr 2'!$F199,'NEI Lookups'!G:G)</f>
        <v>0</v>
      </c>
      <c r="AV199" s="299">
        <f>SUMIF('NEI Lookups'!$L:$L,'Inputs Yr 2'!$F199,'NEI Lookups'!H:H)+SUMIF('NEI Lookups'!$M:$M,'Inputs Yr 2'!$F199,'NEI Lookups'!H:H)+SUMIF('NEI Lookups'!$N:$N,'Inputs Yr 2'!$F199,'NEI Lookups'!H:H)+SUMIF('NEI Lookups'!$O:$O,'Inputs Yr 2'!$F199,'NEI Lookups'!H:H)+SUMIF('NEI Lookups'!$P:$P,'Inputs Yr 2'!$F199,'NEI Lookups'!H:H)+SUMIF('NEI Lookups'!$Q:$Q,'Inputs Yr 2'!$F199,'NEI Lookups'!H:H)+SUMIF('NEI Lookups'!$R:$R,'Inputs Yr 2'!$F199,'NEI Lookups'!H:H)+SUMIF('NEI Lookups'!$S:$S,'Inputs Yr 2'!$F199,'NEI Lookups'!H:H)+SUMIF('NEI Lookups'!$T:$T,'Inputs Yr 2'!$F199,'NEI Lookups'!H:H)</f>
        <v>0</v>
      </c>
      <c r="AW199" s="299">
        <f>SUMIF('NEI Lookups'!$L:$L,'Inputs Yr 2'!$F199,'NEI Lookups'!I:I)+SUMIF('NEI Lookups'!$M:$M,'Inputs Yr 2'!$F199,'NEI Lookups'!I:I)+SUMIF('NEI Lookups'!$N:$N,'Inputs Yr 2'!$F199,'NEI Lookups'!I:I)+SUMIF('NEI Lookups'!$O:$O,'Inputs Yr 2'!$F199,'NEI Lookups'!I:I)+SUMIF('NEI Lookups'!$P:$P,'Inputs Yr 2'!$F199,'NEI Lookups'!I:I)+SUMIF('NEI Lookups'!$Q:$Q,'Inputs Yr 2'!$F199,'NEI Lookups'!I:I)+SUMIF('NEI Lookups'!$R:$R,'Inputs Yr 2'!$F199,'NEI Lookups'!I:I)+SUMIF('NEI Lookups'!$S:$S,'Inputs Yr 2'!$F199,'NEI Lookups'!I:I)+SUMIF('NEI Lookups'!$T:$T,'Inputs Yr 2'!$F199,'NEI Lookups'!I:I)</f>
        <v>0</v>
      </c>
      <c r="AX199" s="299">
        <f>SUMIF('NEI Lookups'!$L:$L,'Inputs Yr 2'!$F199,'NEI Lookups'!J:J)+SUMIF('NEI Lookups'!$M:$M,'Inputs Yr 2'!$F199,'NEI Lookups'!J:J)+SUMIF('NEI Lookups'!$N:$N,'Inputs Yr 2'!$F199,'NEI Lookups'!J:J)+SUMIF('NEI Lookups'!$O:$O,'Inputs Yr 2'!$F199,'NEI Lookups'!J:J)+SUMIF('NEI Lookups'!$P:$P,'Inputs Yr 2'!$F199,'NEI Lookups'!J:J)+SUMIF('NEI Lookups'!$Q:$Q,'Inputs Yr 2'!$F199,'NEI Lookups'!J:J)+SUMIF('NEI Lookups'!$R:$R,'Inputs Yr 2'!$F199,'NEI Lookups'!J:J)+SUMIF('NEI Lookups'!$S:$S,'Inputs Yr 2'!$F199,'NEI Lookups'!J:J)+SUMIF('NEI Lookups'!$T:$T,'Inputs Yr 2'!$F199,'NEI Lookups'!J:J)</f>
        <v>0</v>
      </c>
      <c r="AY199" s="930" t="e">
        <f>'Calculations Yr 2'!CP199/'Calculations Yr 2'!I199</f>
        <v>#VALUE!</v>
      </c>
    </row>
    <row r="200" spans="1:51" s="133" customFormat="1" ht="12.75" customHeight="1">
      <c r="A200" s="145" t="s">
        <v>83</v>
      </c>
      <c r="B200" s="132" t="s">
        <v>873</v>
      </c>
      <c r="C200" s="132" t="s">
        <v>908</v>
      </c>
      <c r="D200" s="97"/>
      <c r="E200" s="98" t="s">
        <v>605</v>
      </c>
      <c r="F200" s="150" t="s">
        <v>1089</v>
      </c>
      <c r="G200" s="145" t="s">
        <v>545</v>
      </c>
      <c r="H200" s="165"/>
      <c r="I200" s="968">
        <v>12</v>
      </c>
      <c r="J200" s="964">
        <v>305567.41973096842</v>
      </c>
      <c r="K200" s="166">
        <v>229175.56479822632</v>
      </c>
      <c r="L200" s="888">
        <f t="shared" si="58"/>
        <v>76391.854932742106</v>
      </c>
      <c r="M200" s="980">
        <v>0</v>
      </c>
      <c r="N200" s="980">
        <v>0</v>
      </c>
      <c r="O200" s="980">
        <v>0</v>
      </c>
      <c r="P200" s="889">
        <f t="shared" si="26"/>
        <v>1</v>
      </c>
      <c r="Q200" s="980">
        <v>1</v>
      </c>
      <c r="R200" s="178">
        <v>1</v>
      </c>
      <c r="S200" s="178">
        <v>1</v>
      </c>
      <c r="T200" s="178">
        <v>1</v>
      </c>
      <c r="U200" s="978">
        <v>0</v>
      </c>
      <c r="V200" s="978">
        <v>0</v>
      </c>
      <c r="W200" s="890"/>
      <c r="X200" s="937" t="s">
        <v>653</v>
      </c>
      <c r="Y200" s="299">
        <f>IFERROR(VLOOKUP($X200,'Demand Lookups'!$A$5:$K$101,9,0), 0)</f>
        <v>0</v>
      </c>
      <c r="Z200" s="922" t="str">
        <f>IFERROR(VLOOKUP(X200,'Demand Lookups'!$A$5:$B$101,2,0),0)</f>
        <v>Non-Electric Measures</v>
      </c>
      <c r="AA200" s="722">
        <v>0</v>
      </c>
      <c r="AB200" s="722">
        <v>0</v>
      </c>
      <c r="AC200" s="722">
        <v>0</v>
      </c>
      <c r="AD200" s="723">
        <v>0</v>
      </c>
      <c r="AE200" s="724">
        <f t="shared" si="27"/>
        <v>0</v>
      </c>
      <c r="AF200" s="723">
        <v>0</v>
      </c>
      <c r="AG200" s="723">
        <v>0</v>
      </c>
      <c r="AH200" s="648">
        <f t="shared" si="28"/>
        <v>0</v>
      </c>
      <c r="AI200" s="648">
        <f t="shared" si="29"/>
        <v>0</v>
      </c>
      <c r="AJ200" s="167" t="s">
        <v>200</v>
      </c>
      <c r="AK200" s="168">
        <v>10417.071127192105</v>
      </c>
      <c r="AL200" s="167"/>
      <c r="AM200" s="168"/>
      <c r="AN200" s="167"/>
      <c r="AO200" s="168"/>
      <c r="AP200" s="167"/>
      <c r="AQ200" s="171"/>
      <c r="AR200" s="171"/>
      <c r="AS200" s="299">
        <f>SUMIF('NEI Lookups'!$L:$L,'Inputs Yr 2'!$F200,'NEI Lookups'!E:E)+SUMIF('NEI Lookups'!$M:$M,'Inputs Yr 2'!$F200,'NEI Lookups'!E:E)+SUMIF('NEI Lookups'!$N:$N,'Inputs Yr 2'!$F200,'NEI Lookups'!E:E)+SUMIF('NEI Lookups'!$O:$O,'Inputs Yr 2'!$F200,'NEI Lookups'!E:E)+SUMIF('NEI Lookups'!$P:$P,'Inputs Yr 2'!$F200,'NEI Lookups'!E:E)+SUMIF('NEI Lookups'!$Q:$Q,'Inputs Yr 2'!$F200,'NEI Lookups'!E:E)+SUMIF('NEI Lookups'!$R:$R,'Inputs Yr 2'!$F200,'NEI Lookups'!E:E)+SUMIF('NEI Lookups'!$S:$S,'Inputs Yr 2'!$F200,'NEI Lookups'!E:E)+SUMIF('NEI Lookups'!$T:$T,'Inputs Yr 2'!$F200,'NEI Lookups'!E:E)</f>
        <v>0</v>
      </c>
      <c r="AT200" s="299">
        <f>SUMIF('NEI Lookups'!$L:$L,'Inputs Yr 2'!$F200,'NEI Lookups'!F:F)+SUMIF('NEI Lookups'!$M:$M,'Inputs Yr 2'!$F200,'NEI Lookups'!F:F)+SUMIF('NEI Lookups'!$N:$N,'Inputs Yr 2'!$F200,'NEI Lookups'!F:F)+SUMIF('NEI Lookups'!$O:$O,'Inputs Yr 2'!$F200,'NEI Lookups'!F:F)+SUMIF('NEI Lookups'!$P:$P,'Inputs Yr 2'!$F200,'NEI Lookups'!F:F)+SUMIF('NEI Lookups'!$Q:$Q,'Inputs Yr 2'!$F200,'NEI Lookups'!F:F)+SUMIF('NEI Lookups'!$R:$R,'Inputs Yr 2'!$F200,'NEI Lookups'!F:F)+SUMIF('NEI Lookups'!$S:$S,'Inputs Yr 2'!$F200,'NEI Lookups'!F:F)+SUMIF('NEI Lookups'!$T:$T,'Inputs Yr 2'!$F200,'NEI Lookups'!F:F)</f>
        <v>0</v>
      </c>
      <c r="AU200" s="299">
        <f>SUMIF('NEI Lookups'!$L:$L,'Inputs Yr 2'!$F200,'NEI Lookups'!G:G)+SUMIF('NEI Lookups'!$M:$M,'Inputs Yr 2'!$F200,'NEI Lookups'!G:G)+SUMIF('NEI Lookups'!$N:$N,'Inputs Yr 2'!$F200,'NEI Lookups'!G:G)+SUMIF('NEI Lookups'!$O:$O,'Inputs Yr 2'!$F200,'NEI Lookups'!G:G)+SUMIF('NEI Lookups'!$P:$P,'Inputs Yr 2'!$F200,'NEI Lookups'!G:G)+SUMIF('NEI Lookups'!$Q:$Q,'Inputs Yr 2'!$F200,'NEI Lookups'!G:G)+SUMIF('NEI Lookups'!$R:$R,'Inputs Yr 2'!$F200,'NEI Lookups'!G:G)+SUMIF('NEI Lookups'!$S:$S,'Inputs Yr 2'!$F200,'NEI Lookups'!G:G)+SUMIF('NEI Lookups'!$T:$T,'Inputs Yr 2'!$F200,'NEI Lookups'!G:G)</f>
        <v>0</v>
      </c>
      <c r="AV200" s="299">
        <f>SUMIF('NEI Lookups'!$L:$L,'Inputs Yr 2'!$F200,'NEI Lookups'!H:H)+SUMIF('NEI Lookups'!$M:$M,'Inputs Yr 2'!$F200,'NEI Lookups'!H:H)+SUMIF('NEI Lookups'!$N:$N,'Inputs Yr 2'!$F200,'NEI Lookups'!H:H)+SUMIF('NEI Lookups'!$O:$O,'Inputs Yr 2'!$F200,'NEI Lookups'!H:H)+SUMIF('NEI Lookups'!$P:$P,'Inputs Yr 2'!$F200,'NEI Lookups'!H:H)+SUMIF('NEI Lookups'!$Q:$Q,'Inputs Yr 2'!$F200,'NEI Lookups'!H:H)+SUMIF('NEI Lookups'!$R:$R,'Inputs Yr 2'!$F200,'NEI Lookups'!H:H)+SUMIF('NEI Lookups'!$S:$S,'Inputs Yr 2'!$F200,'NEI Lookups'!H:H)+SUMIF('NEI Lookups'!$T:$T,'Inputs Yr 2'!$F200,'NEI Lookups'!H:H)</f>
        <v>0</v>
      </c>
      <c r="AW200" s="299">
        <f>SUMIF('NEI Lookups'!$L:$L,'Inputs Yr 2'!$F200,'NEI Lookups'!I:I)+SUMIF('NEI Lookups'!$M:$M,'Inputs Yr 2'!$F200,'NEI Lookups'!I:I)+SUMIF('NEI Lookups'!$N:$N,'Inputs Yr 2'!$F200,'NEI Lookups'!I:I)+SUMIF('NEI Lookups'!$O:$O,'Inputs Yr 2'!$F200,'NEI Lookups'!I:I)+SUMIF('NEI Lookups'!$P:$P,'Inputs Yr 2'!$F200,'NEI Lookups'!I:I)+SUMIF('NEI Lookups'!$Q:$Q,'Inputs Yr 2'!$F200,'NEI Lookups'!I:I)+SUMIF('NEI Lookups'!$R:$R,'Inputs Yr 2'!$F200,'NEI Lookups'!I:I)+SUMIF('NEI Lookups'!$S:$S,'Inputs Yr 2'!$F200,'NEI Lookups'!I:I)+SUMIF('NEI Lookups'!$T:$T,'Inputs Yr 2'!$F200,'NEI Lookups'!I:I)</f>
        <v>0</v>
      </c>
      <c r="AX200" s="299">
        <f>SUMIF('NEI Lookups'!$L:$L,'Inputs Yr 2'!$F200,'NEI Lookups'!J:J)+SUMIF('NEI Lookups'!$M:$M,'Inputs Yr 2'!$F200,'NEI Lookups'!J:J)+SUMIF('NEI Lookups'!$N:$N,'Inputs Yr 2'!$F200,'NEI Lookups'!J:J)+SUMIF('NEI Lookups'!$O:$O,'Inputs Yr 2'!$F200,'NEI Lookups'!J:J)+SUMIF('NEI Lookups'!$P:$P,'Inputs Yr 2'!$F200,'NEI Lookups'!J:J)+SUMIF('NEI Lookups'!$Q:$Q,'Inputs Yr 2'!$F200,'NEI Lookups'!J:J)+SUMIF('NEI Lookups'!$R:$R,'Inputs Yr 2'!$F200,'NEI Lookups'!J:J)+SUMIF('NEI Lookups'!$S:$S,'Inputs Yr 2'!$F200,'NEI Lookups'!J:J)+SUMIF('NEI Lookups'!$T:$T,'Inputs Yr 2'!$F200,'NEI Lookups'!J:J)</f>
        <v>0</v>
      </c>
      <c r="AY200" s="930" t="e">
        <f>'Calculations Yr 2'!CP200/'Calculations Yr 2'!I200</f>
        <v>#VALUE!</v>
      </c>
    </row>
    <row r="201" spans="1:51" s="133" customFormat="1" ht="12.75" customHeight="1">
      <c r="A201" s="145" t="s">
        <v>83</v>
      </c>
      <c r="B201" s="132" t="s">
        <v>873</v>
      </c>
      <c r="C201" s="132" t="s">
        <v>908</v>
      </c>
      <c r="D201" s="906" t="s">
        <v>1550</v>
      </c>
      <c r="E201" s="98" t="s">
        <v>1350</v>
      </c>
      <c r="F201" s="150" t="s">
        <v>1090</v>
      </c>
      <c r="G201" s="145" t="s">
        <v>1247</v>
      </c>
      <c r="H201" s="165">
        <v>1</v>
      </c>
      <c r="I201" s="237">
        <v>15</v>
      </c>
      <c r="J201" s="971">
        <v>66666.666666666672</v>
      </c>
      <c r="K201" s="871">
        <v>50000</v>
      </c>
      <c r="L201" s="888">
        <f t="shared" si="58"/>
        <v>16666.666666666672</v>
      </c>
      <c r="M201" s="978">
        <v>0.11</v>
      </c>
      <c r="N201" s="978">
        <v>2.5999999999999999E-2</v>
      </c>
      <c r="O201" s="978">
        <v>3.0000000000000001E-3</v>
      </c>
      <c r="P201" s="889">
        <f t="shared" si="26"/>
        <v>0.91900000000000004</v>
      </c>
      <c r="Q201" s="978">
        <v>1</v>
      </c>
      <c r="R201" s="178">
        <v>1</v>
      </c>
      <c r="S201" s="178">
        <v>1</v>
      </c>
      <c r="T201" s="178">
        <v>1</v>
      </c>
      <c r="U201" s="978">
        <v>0.77900000000000003</v>
      </c>
      <c r="V201" s="978">
        <v>1</v>
      </c>
      <c r="W201" s="179"/>
      <c r="X201" s="937" t="s">
        <v>653</v>
      </c>
      <c r="Y201" s="299">
        <f>IFERROR(VLOOKUP($X201,'Demand Lookups'!$A$5:$K$101,9,0), 0)</f>
        <v>0</v>
      </c>
      <c r="Z201" s="922" t="str">
        <f>IFERROR(VLOOKUP(X201,'Demand Lookups'!$A$5:$B$101,2,0),0)</f>
        <v>Non-Electric Measures</v>
      </c>
      <c r="AA201" s="722">
        <f>IF(ISNA(VLOOKUP($X201,'Demand Lookups'!$A$5:$K$81,3,0)),0,VLOOKUP($X201,'Demand Lookups'!$A$5:$K$81,3,0))</f>
        <v>0</v>
      </c>
      <c r="AB201" s="722">
        <f>IF(ISNA(VLOOKUP($X201,'Demand Lookups'!$A$5:$K$81,4,0)),0,VLOOKUP($X201,'Demand Lookups'!$A$5:$K$81,4,0))</f>
        <v>0</v>
      </c>
      <c r="AC201" s="722">
        <f>IF(ISNA(VLOOKUP($X201,'Demand Lookups'!$A$5:$K$81,5,0)),0,VLOOKUP($X201,'Demand Lookups'!$A$5:$K$81,5,0))</f>
        <v>0</v>
      </c>
      <c r="AD201" s="723">
        <f>IF(ISNA(VLOOKUP($X201,'Demand Lookups'!$A$5:$K$81,6,0)),0,VLOOKUP($X201,'Demand Lookups'!$A$5:$K$81,6,0))</f>
        <v>0</v>
      </c>
      <c r="AE201" s="724">
        <f t="shared" si="27"/>
        <v>0</v>
      </c>
      <c r="AF201" s="723">
        <f>ROUND(IF(ISNA(VLOOKUP($X201,'Demand Lookups'!$A$5:$K$82,10,0)),0,(VLOOKUP($X201,'Demand Lookups'!$A$5:$K$82,10,0))),2)</f>
        <v>0</v>
      </c>
      <c r="AG201" s="723">
        <f>ROUND(IF(ISNA(VLOOKUP($X201,'Demand Lookups'!$A$5:$K$82,11,0)),0,VLOOKUP($X201,'Demand Lookups'!$A$5:$K$82,11,0)),2)</f>
        <v>0</v>
      </c>
      <c r="AH201" s="648">
        <f t="shared" si="28"/>
        <v>0</v>
      </c>
      <c r="AI201" s="648">
        <f t="shared" si="29"/>
        <v>0</v>
      </c>
      <c r="AJ201" s="167" t="s">
        <v>87</v>
      </c>
      <c r="AK201" s="168">
        <v>4730.6000000000004</v>
      </c>
      <c r="AL201" s="167"/>
      <c r="AM201" s="168"/>
      <c r="AN201" s="167"/>
      <c r="AO201" s="168"/>
      <c r="AP201" s="167"/>
      <c r="AQ201" s="171">
        <v>0</v>
      </c>
      <c r="AR201" s="171">
        <v>0</v>
      </c>
      <c r="AS201" s="299">
        <f>SUMIF('NEI Lookups'!$L:$L,'Inputs Yr 2'!$F201,'NEI Lookups'!E:E)+SUMIF('NEI Lookups'!$M:$M,'Inputs Yr 2'!$F201,'NEI Lookups'!E:E)+SUMIF('NEI Lookups'!$N:$N,'Inputs Yr 2'!$F201,'NEI Lookups'!E:E)+SUMIF('NEI Lookups'!$O:$O,'Inputs Yr 2'!$F201,'NEI Lookups'!E:E)+SUMIF('NEI Lookups'!$P:$P,'Inputs Yr 2'!$F201,'NEI Lookups'!E:E)+SUMIF('NEI Lookups'!$Q:$Q,'Inputs Yr 2'!$F201,'NEI Lookups'!E:E)+SUMIF('NEI Lookups'!$R:$R,'Inputs Yr 2'!$F201,'NEI Lookups'!E:E)+SUMIF('NEI Lookups'!$S:$S,'Inputs Yr 2'!$F201,'NEI Lookups'!E:E)+SUMIF('NEI Lookups'!$T:$T,'Inputs Yr 2'!$F201,'NEI Lookups'!E:E)</f>
        <v>0</v>
      </c>
      <c r="AT201" s="299">
        <f>SUMIF('NEI Lookups'!$L:$L,'Inputs Yr 2'!$F201,'NEI Lookups'!F:F)+SUMIF('NEI Lookups'!$M:$M,'Inputs Yr 2'!$F201,'NEI Lookups'!F:F)+SUMIF('NEI Lookups'!$N:$N,'Inputs Yr 2'!$F201,'NEI Lookups'!F:F)+SUMIF('NEI Lookups'!$O:$O,'Inputs Yr 2'!$F201,'NEI Lookups'!F:F)+SUMIF('NEI Lookups'!$P:$P,'Inputs Yr 2'!$F201,'NEI Lookups'!F:F)+SUMIF('NEI Lookups'!$Q:$Q,'Inputs Yr 2'!$F201,'NEI Lookups'!F:F)+SUMIF('NEI Lookups'!$R:$R,'Inputs Yr 2'!$F201,'NEI Lookups'!F:F)+SUMIF('NEI Lookups'!$S:$S,'Inputs Yr 2'!$F201,'NEI Lookups'!F:F)+SUMIF('NEI Lookups'!$T:$T,'Inputs Yr 2'!$F201,'NEI Lookups'!F:F)</f>
        <v>0</v>
      </c>
      <c r="AU201" s="299">
        <f>SUMIF('NEI Lookups'!$L:$L,'Inputs Yr 2'!$F201,'NEI Lookups'!G:G)+SUMIF('NEI Lookups'!$M:$M,'Inputs Yr 2'!$F201,'NEI Lookups'!G:G)+SUMIF('NEI Lookups'!$N:$N,'Inputs Yr 2'!$F201,'NEI Lookups'!G:G)+SUMIF('NEI Lookups'!$O:$O,'Inputs Yr 2'!$F201,'NEI Lookups'!G:G)+SUMIF('NEI Lookups'!$P:$P,'Inputs Yr 2'!$F201,'NEI Lookups'!G:G)+SUMIF('NEI Lookups'!$Q:$Q,'Inputs Yr 2'!$F201,'NEI Lookups'!G:G)+SUMIF('NEI Lookups'!$R:$R,'Inputs Yr 2'!$F201,'NEI Lookups'!G:G)+SUMIF('NEI Lookups'!$S:$S,'Inputs Yr 2'!$F201,'NEI Lookups'!G:G)+SUMIF('NEI Lookups'!$T:$T,'Inputs Yr 2'!$F201,'NEI Lookups'!G:G)</f>
        <v>0</v>
      </c>
      <c r="AV201" s="299">
        <f>SUMIF('NEI Lookups'!$L:$L,'Inputs Yr 2'!$F201,'NEI Lookups'!H:H)+SUMIF('NEI Lookups'!$M:$M,'Inputs Yr 2'!$F201,'NEI Lookups'!H:H)+SUMIF('NEI Lookups'!$N:$N,'Inputs Yr 2'!$F201,'NEI Lookups'!H:H)+SUMIF('NEI Lookups'!$O:$O,'Inputs Yr 2'!$F201,'NEI Lookups'!H:H)+SUMIF('NEI Lookups'!$P:$P,'Inputs Yr 2'!$F201,'NEI Lookups'!H:H)+SUMIF('NEI Lookups'!$Q:$Q,'Inputs Yr 2'!$F201,'NEI Lookups'!H:H)+SUMIF('NEI Lookups'!$R:$R,'Inputs Yr 2'!$F201,'NEI Lookups'!H:H)+SUMIF('NEI Lookups'!$S:$S,'Inputs Yr 2'!$F201,'NEI Lookups'!H:H)+SUMIF('NEI Lookups'!$T:$T,'Inputs Yr 2'!$F201,'NEI Lookups'!H:H)</f>
        <v>0</v>
      </c>
      <c r="AW201" s="299">
        <f>SUMIF('NEI Lookups'!$L:$L,'Inputs Yr 2'!$F201,'NEI Lookups'!I:I)+SUMIF('NEI Lookups'!$M:$M,'Inputs Yr 2'!$F201,'NEI Lookups'!I:I)+SUMIF('NEI Lookups'!$N:$N,'Inputs Yr 2'!$F201,'NEI Lookups'!I:I)+SUMIF('NEI Lookups'!$O:$O,'Inputs Yr 2'!$F201,'NEI Lookups'!I:I)+SUMIF('NEI Lookups'!$P:$P,'Inputs Yr 2'!$F201,'NEI Lookups'!I:I)+SUMIF('NEI Lookups'!$Q:$Q,'Inputs Yr 2'!$F201,'NEI Lookups'!I:I)+SUMIF('NEI Lookups'!$R:$R,'Inputs Yr 2'!$F201,'NEI Lookups'!I:I)+SUMIF('NEI Lookups'!$S:$S,'Inputs Yr 2'!$F201,'NEI Lookups'!I:I)+SUMIF('NEI Lookups'!$T:$T,'Inputs Yr 2'!$F201,'NEI Lookups'!I:I)</f>
        <v>0</v>
      </c>
      <c r="AX201" s="299">
        <f>SUMIF('NEI Lookups'!$L:$L,'Inputs Yr 2'!$F201,'NEI Lookups'!J:J)+SUMIF('NEI Lookups'!$M:$M,'Inputs Yr 2'!$F201,'NEI Lookups'!J:J)+SUMIF('NEI Lookups'!$N:$N,'Inputs Yr 2'!$F201,'NEI Lookups'!J:J)+SUMIF('NEI Lookups'!$O:$O,'Inputs Yr 2'!$F201,'NEI Lookups'!J:J)+SUMIF('NEI Lookups'!$P:$P,'Inputs Yr 2'!$F201,'NEI Lookups'!J:J)+SUMIF('NEI Lookups'!$Q:$Q,'Inputs Yr 2'!$F201,'NEI Lookups'!J:J)+SUMIF('NEI Lookups'!$R:$R,'Inputs Yr 2'!$F201,'NEI Lookups'!J:J)+SUMIF('NEI Lookups'!$S:$S,'Inputs Yr 2'!$F201,'NEI Lookups'!J:J)+SUMIF('NEI Lookups'!$T:$T,'Inputs Yr 2'!$F201,'NEI Lookups'!J:J)</f>
        <v>0</v>
      </c>
      <c r="AY201" s="930">
        <f>'Calculations Yr 2'!CP201/'Calculations Yr 2'!I201</f>
        <v>7.0347727601497008</v>
      </c>
    </row>
    <row r="202" spans="1:51" s="133" customFormat="1" ht="12.75" customHeight="1">
      <c r="A202" s="145" t="s">
        <v>83</v>
      </c>
      <c r="B202" s="132" t="s">
        <v>873</v>
      </c>
      <c r="C202" s="132" t="s">
        <v>908</v>
      </c>
      <c r="D202" s="906"/>
      <c r="E202" s="98" t="s">
        <v>1351</v>
      </c>
      <c r="F202" s="150" t="s">
        <v>1090</v>
      </c>
      <c r="G202" s="145" t="s">
        <v>1247</v>
      </c>
      <c r="H202" s="165">
        <v>1</v>
      </c>
      <c r="I202" s="237">
        <v>20</v>
      </c>
      <c r="J202" s="971">
        <v>72619.466666666674</v>
      </c>
      <c r="K202" s="871">
        <v>54464.600000000006</v>
      </c>
      <c r="L202" s="888">
        <f t="shared" si="58"/>
        <v>18154.866666666669</v>
      </c>
      <c r="M202" s="978">
        <v>0.11</v>
      </c>
      <c r="N202" s="978">
        <v>2.5999999999999999E-2</v>
      </c>
      <c r="O202" s="978">
        <v>3.0000000000000001E-3</v>
      </c>
      <c r="P202" s="889">
        <f t="shared" ref="P202" si="63">1-M202+N202+O202</f>
        <v>0.91900000000000004</v>
      </c>
      <c r="Q202" s="978">
        <v>1</v>
      </c>
      <c r="R202" s="178">
        <v>1</v>
      </c>
      <c r="S202" s="178">
        <v>1</v>
      </c>
      <c r="T202" s="178">
        <v>1</v>
      </c>
      <c r="U202" s="978">
        <v>0.77900000000000003</v>
      </c>
      <c r="V202" s="978">
        <v>1</v>
      </c>
      <c r="W202" s="179"/>
      <c r="X202" s="937" t="s">
        <v>653</v>
      </c>
      <c r="Y202" s="299">
        <f>IFERROR(VLOOKUP($X202,'Demand Lookups'!$A$5:$K$101,9,0), 0)</f>
        <v>0</v>
      </c>
      <c r="Z202" s="922" t="str">
        <f>IFERROR(VLOOKUP(X202,'Demand Lookups'!$A$5:$B$101,2,0),0)</f>
        <v>Non-Electric Measures</v>
      </c>
      <c r="AA202" s="722">
        <f>IF(ISNA(VLOOKUP($X202,'Demand Lookups'!$A$5:$K$81,3,0)),0,VLOOKUP($X202,'Demand Lookups'!$A$5:$K$81,3,0))</f>
        <v>0</v>
      </c>
      <c r="AB202" s="722">
        <f>IF(ISNA(VLOOKUP($X202,'Demand Lookups'!$A$5:$K$81,4,0)),0,VLOOKUP($X202,'Demand Lookups'!$A$5:$K$81,4,0))</f>
        <v>0</v>
      </c>
      <c r="AC202" s="722">
        <f>IF(ISNA(VLOOKUP($X202,'Demand Lookups'!$A$5:$K$81,5,0)),0,VLOOKUP($X202,'Demand Lookups'!$A$5:$K$81,5,0))</f>
        <v>0</v>
      </c>
      <c r="AD202" s="723">
        <f>IF(ISNA(VLOOKUP($X202,'Demand Lookups'!$A$5:$K$81,6,0)),0,VLOOKUP($X202,'Demand Lookups'!$A$5:$K$81,6,0))</f>
        <v>0</v>
      </c>
      <c r="AE202" s="724">
        <f t="shared" ref="AE202" si="64">IF(ISERROR(W202*Y202),"",W202*Y202)</f>
        <v>0</v>
      </c>
      <c r="AF202" s="723">
        <f>ROUND(IF(ISNA(VLOOKUP($X202,'Demand Lookups'!$A$5:$K$82,10,0)),0,(VLOOKUP($X202,'Demand Lookups'!$A$5:$K$82,10,0))),2)</f>
        <v>0</v>
      </c>
      <c r="AG202" s="723">
        <f>ROUND(IF(ISNA(VLOOKUP($X202,'Demand Lookups'!$A$5:$K$82,11,0)),0,VLOOKUP($X202,'Demand Lookups'!$A$5:$K$82,11,0)),2)</f>
        <v>0</v>
      </c>
      <c r="AH202" s="648">
        <f t="shared" ref="AH202" si="65">AF202</f>
        <v>0</v>
      </c>
      <c r="AI202" s="648">
        <f t="shared" ref="AI202" si="66">AF202</f>
        <v>0</v>
      </c>
      <c r="AJ202" s="167" t="s">
        <v>87</v>
      </c>
      <c r="AK202" s="168">
        <v>3203.8</v>
      </c>
      <c r="AL202" s="167"/>
      <c r="AM202" s="168"/>
      <c r="AN202" s="167"/>
      <c r="AO202" s="168"/>
      <c r="AP202" s="167"/>
      <c r="AQ202" s="171"/>
      <c r="AR202" s="171"/>
      <c r="AS202" s="299">
        <f>SUMIF('NEI Lookups'!$L:$L,'Inputs Yr 2'!$F202,'NEI Lookups'!E:E)+SUMIF('NEI Lookups'!$M:$M,'Inputs Yr 2'!$F202,'NEI Lookups'!E:E)+SUMIF('NEI Lookups'!$N:$N,'Inputs Yr 2'!$F202,'NEI Lookups'!E:E)+SUMIF('NEI Lookups'!$O:$O,'Inputs Yr 2'!$F202,'NEI Lookups'!E:E)+SUMIF('NEI Lookups'!$P:$P,'Inputs Yr 2'!$F202,'NEI Lookups'!E:E)+SUMIF('NEI Lookups'!$Q:$Q,'Inputs Yr 2'!$F202,'NEI Lookups'!E:E)+SUMIF('NEI Lookups'!$R:$R,'Inputs Yr 2'!$F202,'NEI Lookups'!E:E)+SUMIF('NEI Lookups'!$S:$S,'Inputs Yr 2'!$F202,'NEI Lookups'!E:E)+SUMIF('NEI Lookups'!$T:$T,'Inputs Yr 2'!$F202,'NEI Lookups'!E:E)</f>
        <v>0</v>
      </c>
      <c r="AT202" s="299">
        <f>SUMIF('NEI Lookups'!$L:$L,'Inputs Yr 2'!$F202,'NEI Lookups'!F:F)+SUMIF('NEI Lookups'!$M:$M,'Inputs Yr 2'!$F202,'NEI Lookups'!F:F)+SUMIF('NEI Lookups'!$N:$N,'Inputs Yr 2'!$F202,'NEI Lookups'!F:F)+SUMIF('NEI Lookups'!$O:$O,'Inputs Yr 2'!$F202,'NEI Lookups'!F:F)+SUMIF('NEI Lookups'!$P:$P,'Inputs Yr 2'!$F202,'NEI Lookups'!F:F)+SUMIF('NEI Lookups'!$Q:$Q,'Inputs Yr 2'!$F202,'NEI Lookups'!F:F)+SUMIF('NEI Lookups'!$R:$R,'Inputs Yr 2'!$F202,'NEI Lookups'!F:F)+SUMIF('NEI Lookups'!$S:$S,'Inputs Yr 2'!$F202,'NEI Lookups'!F:F)+SUMIF('NEI Lookups'!$T:$T,'Inputs Yr 2'!$F202,'NEI Lookups'!F:F)</f>
        <v>0</v>
      </c>
      <c r="AU202" s="299">
        <f>SUMIF('NEI Lookups'!$L:$L,'Inputs Yr 2'!$F202,'NEI Lookups'!G:G)+SUMIF('NEI Lookups'!$M:$M,'Inputs Yr 2'!$F202,'NEI Lookups'!G:G)+SUMIF('NEI Lookups'!$N:$N,'Inputs Yr 2'!$F202,'NEI Lookups'!G:G)+SUMIF('NEI Lookups'!$O:$O,'Inputs Yr 2'!$F202,'NEI Lookups'!G:G)+SUMIF('NEI Lookups'!$P:$P,'Inputs Yr 2'!$F202,'NEI Lookups'!G:G)+SUMIF('NEI Lookups'!$Q:$Q,'Inputs Yr 2'!$F202,'NEI Lookups'!G:G)+SUMIF('NEI Lookups'!$R:$R,'Inputs Yr 2'!$F202,'NEI Lookups'!G:G)+SUMIF('NEI Lookups'!$S:$S,'Inputs Yr 2'!$F202,'NEI Lookups'!G:G)+SUMIF('NEI Lookups'!$T:$T,'Inputs Yr 2'!$F202,'NEI Lookups'!G:G)</f>
        <v>0</v>
      </c>
      <c r="AV202" s="299">
        <f>SUMIF('NEI Lookups'!$L:$L,'Inputs Yr 2'!$F202,'NEI Lookups'!H:H)+SUMIF('NEI Lookups'!$M:$M,'Inputs Yr 2'!$F202,'NEI Lookups'!H:H)+SUMIF('NEI Lookups'!$N:$N,'Inputs Yr 2'!$F202,'NEI Lookups'!H:H)+SUMIF('NEI Lookups'!$O:$O,'Inputs Yr 2'!$F202,'NEI Lookups'!H:H)+SUMIF('NEI Lookups'!$P:$P,'Inputs Yr 2'!$F202,'NEI Lookups'!H:H)+SUMIF('NEI Lookups'!$Q:$Q,'Inputs Yr 2'!$F202,'NEI Lookups'!H:H)+SUMIF('NEI Lookups'!$R:$R,'Inputs Yr 2'!$F202,'NEI Lookups'!H:H)+SUMIF('NEI Lookups'!$S:$S,'Inputs Yr 2'!$F202,'NEI Lookups'!H:H)+SUMIF('NEI Lookups'!$T:$T,'Inputs Yr 2'!$F202,'NEI Lookups'!H:H)</f>
        <v>0</v>
      </c>
      <c r="AW202" s="299">
        <f>SUMIF('NEI Lookups'!$L:$L,'Inputs Yr 2'!$F202,'NEI Lookups'!I:I)+SUMIF('NEI Lookups'!$M:$M,'Inputs Yr 2'!$F202,'NEI Lookups'!I:I)+SUMIF('NEI Lookups'!$N:$N,'Inputs Yr 2'!$F202,'NEI Lookups'!I:I)+SUMIF('NEI Lookups'!$O:$O,'Inputs Yr 2'!$F202,'NEI Lookups'!I:I)+SUMIF('NEI Lookups'!$P:$P,'Inputs Yr 2'!$F202,'NEI Lookups'!I:I)+SUMIF('NEI Lookups'!$Q:$Q,'Inputs Yr 2'!$F202,'NEI Lookups'!I:I)+SUMIF('NEI Lookups'!$R:$R,'Inputs Yr 2'!$F202,'NEI Lookups'!I:I)+SUMIF('NEI Lookups'!$S:$S,'Inputs Yr 2'!$F202,'NEI Lookups'!I:I)+SUMIF('NEI Lookups'!$T:$T,'Inputs Yr 2'!$F202,'NEI Lookups'!I:I)</f>
        <v>0</v>
      </c>
      <c r="AX202" s="299">
        <f>SUMIF('NEI Lookups'!$L:$L,'Inputs Yr 2'!$F202,'NEI Lookups'!J:J)+SUMIF('NEI Lookups'!$M:$M,'Inputs Yr 2'!$F202,'NEI Lookups'!J:J)+SUMIF('NEI Lookups'!$N:$N,'Inputs Yr 2'!$F202,'NEI Lookups'!J:J)+SUMIF('NEI Lookups'!$O:$O,'Inputs Yr 2'!$F202,'NEI Lookups'!J:J)+SUMIF('NEI Lookups'!$P:$P,'Inputs Yr 2'!$F202,'NEI Lookups'!J:J)+SUMIF('NEI Lookups'!$Q:$Q,'Inputs Yr 2'!$F202,'NEI Lookups'!J:J)+SUMIF('NEI Lookups'!$R:$R,'Inputs Yr 2'!$F202,'NEI Lookups'!J:J)+SUMIF('NEI Lookups'!$S:$S,'Inputs Yr 2'!$F202,'NEI Lookups'!J:J)+SUMIF('NEI Lookups'!$T:$T,'Inputs Yr 2'!$F202,'NEI Lookups'!J:J)</f>
        <v>0</v>
      </c>
      <c r="AY202" s="930">
        <f>'Calculations Yr 2'!CP202/'Calculations Yr 2'!I202</f>
        <v>5.9216325060940997</v>
      </c>
    </row>
    <row r="203" spans="1:51" s="133" customFormat="1" ht="12.75" customHeight="1">
      <c r="A203" s="145" t="s">
        <v>83</v>
      </c>
      <c r="B203" s="132" t="s">
        <v>873</v>
      </c>
      <c r="C203" s="132" t="s">
        <v>908</v>
      </c>
      <c r="D203" s="99"/>
      <c r="E203" s="98" t="s">
        <v>1355</v>
      </c>
      <c r="F203" s="150" t="s">
        <v>1091</v>
      </c>
      <c r="G203" s="145" t="s">
        <v>1247</v>
      </c>
      <c r="H203" s="165">
        <v>1</v>
      </c>
      <c r="I203" s="237">
        <v>20</v>
      </c>
      <c r="J203" s="971">
        <v>159415.53333333333</v>
      </c>
      <c r="K203" s="871">
        <v>119561.65</v>
      </c>
      <c r="L203" s="888">
        <f t="shared" si="58"/>
        <v>39853.883333333331</v>
      </c>
      <c r="M203" s="978">
        <v>0.11</v>
      </c>
      <c r="N203" s="978">
        <v>2.5999999999999999E-2</v>
      </c>
      <c r="O203" s="978">
        <v>3.0000000000000001E-3</v>
      </c>
      <c r="P203" s="889">
        <f t="shared" si="26"/>
        <v>0.91900000000000004</v>
      </c>
      <c r="Q203" s="978">
        <v>1</v>
      </c>
      <c r="R203" s="178">
        <v>1</v>
      </c>
      <c r="S203" s="178">
        <v>1</v>
      </c>
      <c r="T203" s="178">
        <v>1</v>
      </c>
      <c r="U203" s="978">
        <v>0.77900000000000003</v>
      </c>
      <c r="V203" s="978">
        <v>1</v>
      </c>
      <c r="W203" s="179"/>
      <c r="X203" s="937" t="s">
        <v>653</v>
      </c>
      <c r="Y203" s="299">
        <f>IFERROR(VLOOKUP($X203,'Demand Lookups'!$A$5:$K$101,9,0), 0)</f>
        <v>0</v>
      </c>
      <c r="Z203" s="922" t="str">
        <f>IFERROR(VLOOKUP(X203,'Demand Lookups'!$A$5:$B$101,2,0),0)</f>
        <v>Non-Electric Measures</v>
      </c>
      <c r="AA203" s="722">
        <f>IF(ISNA(VLOOKUP($X203,'Demand Lookups'!$A$5:$K$81,3,0)),0,VLOOKUP($X203,'Demand Lookups'!$A$5:$K$81,3,0))</f>
        <v>0</v>
      </c>
      <c r="AB203" s="722">
        <f>IF(ISNA(VLOOKUP($X203,'Demand Lookups'!$A$5:$K$81,4,0)),0,VLOOKUP($X203,'Demand Lookups'!$A$5:$K$81,4,0))</f>
        <v>0</v>
      </c>
      <c r="AC203" s="722">
        <f>IF(ISNA(VLOOKUP($X203,'Demand Lookups'!$A$5:$K$81,5,0)),0,VLOOKUP($X203,'Demand Lookups'!$A$5:$K$81,5,0))</f>
        <v>0</v>
      </c>
      <c r="AD203" s="723">
        <f>IF(ISNA(VLOOKUP($X203,'Demand Lookups'!$A$5:$K$81,6,0)),0,VLOOKUP($X203,'Demand Lookups'!$A$5:$K$81,6,0))</f>
        <v>0</v>
      </c>
      <c r="AE203" s="724">
        <f t="shared" si="27"/>
        <v>0</v>
      </c>
      <c r="AF203" s="723">
        <f>ROUND(IF(ISNA(VLOOKUP($X203,'Demand Lookups'!$A$5:$K$82,10,0)),0,(VLOOKUP($X203,'Demand Lookups'!$A$5:$K$82,10,0))),2)</f>
        <v>0</v>
      </c>
      <c r="AG203" s="723">
        <f>ROUND(IF(ISNA(VLOOKUP($X203,'Demand Lookups'!$A$5:$K$82,11,0)),0,VLOOKUP($X203,'Demand Lookups'!$A$5:$K$82,11,0)),2)</f>
        <v>0</v>
      </c>
      <c r="AH203" s="648">
        <f t="shared" si="28"/>
        <v>0</v>
      </c>
      <c r="AI203" s="648">
        <f t="shared" si="29"/>
        <v>0</v>
      </c>
      <c r="AJ203" s="167" t="s">
        <v>87</v>
      </c>
      <c r="AK203" s="168">
        <v>6347.6</v>
      </c>
      <c r="AL203" s="167"/>
      <c r="AM203" s="168"/>
      <c r="AN203" s="167"/>
      <c r="AO203" s="168"/>
      <c r="AP203" s="167"/>
      <c r="AQ203" s="171">
        <v>0</v>
      </c>
      <c r="AR203" s="171">
        <v>0</v>
      </c>
      <c r="AS203" s="299">
        <f>SUMIF('NEI Lookups'!$L:$L,'Inputs Yr 2'!$F203,'NEI Lookups'!E:E)+SUMIF('NEI Lookups'!$M:$M,'Inputs Yr 2'!$F203,'NEI Lookups'!E:E)+SUMIF('NEI Lookups'!$N:$N,'Inputs Yr 2'!$F203,'NEI Lookups'!E:E)+SUMIF('NEI Lookups'!$O:$O,'Inputs Yr 2'!$F203,'NEI Lookups'!E:E)+SUMIF('NEI Lookups'!$P:$P,'Inputs Yr 2'!$F203,'NEI Lookups'!E:E)+SUMIF('NEI Lookups'!$Q:$Q,'Inputs Yr 2'!$F203,'NEI Lookups'!E:E)+SUMIF('NEI Lookups'!$R:$R,'Inputs Yr 2'!$F203,'NEI Lookups'!E:E)+SUMIF('NEI Lookups'!$S:$S,'Inputs Yr 2'!$F203,'NEI Lookups'!E:E)+SUMIF('NEI Lookups'!$T:$T,'Inputs Yr 2'!$F203,'NEI Lookups'!E:E)</f>
        <v>0</v>
      </c>
      <c r="AT203" s="299">
        <f>SUMIF('NEI Lookups'!$L:$L,'Inputs Yr 2'!$F203,'NEI Lookups'!F:F)+SUMIF('NEI Lookups'!$M:$M,'Inputs Yr 2'!$F203,'NEI Lookups'!F:F)+SUMIF('NEI Lookups'!$N:$N,'Inputs Yr 2'!$F203,'NEI Lookups'!F:F)+SUMIF('NEI Lookups'!$O:$O,'Inputs Yr 2'!$F203,'NEI Lookups'!F:F)+SUMIF('NEI Lookups'!$P:$P,'Inputs Yr 2'!$F203,'NEI Lookups'!F:F)+SUMIF('NEI Lookups'!$Q:$Q,'Inputs Yr 2'!$F203,'NEI Lookups'!F:F)+SUMIF('NEI Lookups'!$R:$R,'Inputs Yr 2'!$F203,'NEI Lookups'!F:F)+SUMIF('NEI Lookups'!$S:$S,'Inputs Yr 2'!$F203,'NEI Lookups'!F:F)+SUMIF('NEI Lookups'!$T:$T,'Inputs Yr 2'!$F203,'NEI Lookups'!F:F)</f>
        <v>0</v>
      </c>
      <c r="AU203" s="299">
        <f>SUMIF('NEI Lookups'!$L:$L,'Inputs Yr 2'!$F203,'NEI Lookups'!G:G)+SUMIF('NEI Lookups'!$M:$M,'Inputs Yr 2'!$F203,'NEI Lookups'!G:G)+SUMIF('NEI Lookups'!$N:$N,'Inputs Yr 2'!$F203,'NEI Lookups'!G:G)+SUMIF('NEI Lookups'!$O:$O,'Inputs Yr 2'!$F203,'NEI Lookups'!G:G)+SUMIF('NEI Lookups'!$P:$P,'Inputs Yr 2'!$F203,'NEI Lookups'!G:G)+SUMIF('NEI Lookups'!$Q:$Q,'Inputs Yr 2'!$F203,'NEI Lookups'!G:G)+SUMIF('NEI Lookups'!$R:$R,'Inputs Yr 2'!$F203,'NEI Lookups'!G:G)+SUMIF('NEI Lookups'!$S:$S,'Inputs Yr 2'!$F203,'NEI Lookups'!G:G)+SUMIF('NEI Lookups'!$T:$T,'Inputs Yr 2'!$F203,'NEI Lookups'!G:G)</f>
        <v>0</v>
      </c>
      <c r="AV203" s="299">
        <f>SUMIF('NEI Lookups'!$L:$L,'Inputs Yr 2'!$F203,'NEI Lookups'!H:H)+SUMIF('NEI Lookups'!$M:$M,'Inputs Yr 2'!$F203,'NEI Lookups'!H:H)+SUMIF('NEI Lookups'!$N:$N,'Inputs Yr 2'!$F203,'NEI Lookups'!H:H)+SUMIF('NEI Lookups'!$O:$O,'Inputs Yr 2'!$F203,'NEI Lookups'!H:H)+SUMIF('NEI Lookups'!$P:$P,'Inputs Yr 2'!$F203,'NEI Lookups'!H:H)+SUMIF('NEI Lookups'!$Q:$Q,'Inputs Yr 2'!$F203,'NEI Lookups'!H:H)+SUMIF('NEI Lookups'!$R:$R,'Inputs Yr 2'!$F203,'NEI Lookups'!H:H)+SUMIF('NEI Lookups'!$S:$S,'Inputs Yr 2'!$F203,'NEI Lookups'!H:H)+SUMIF('NEI Lookups'!$T:$T,'Inputs Yr 2'!$F203,'NEI Lookups'!H:H)</f>
        <v>0</v>
      </c>
      <c r="AW203" s="299">
        <f>SUMIF('NEI Lookups'!$L:$L,'Inputs Yr 2'!$F203,'NEI Lookups'!I:I)+SUMIF('NEI Lookups'!$M:$M,'Inputs Yr 2'!$F203,'NEI Lookups'!I:I)+SUMIF('NEI Lookups'!$N:$N,'Inputs Yr 2'!$F203,'NEI Lookups'!I:I)+SUMIF('NEI Lookups'!$O:$O,'Inputs Yr 2'!$F203,'NEI Lookups'!I:I)+SUMIF('NEI Lookups'!$P:$P,'Inputs Yr 2'!$F203,'NEI Lookups'!I:I)+SUMIF('NEI Lookups'!$Q:$Q,'Inputs Yr 2'!$F203,'NEI Lookups'!I:I)+SUMIF('NEI Lookups'!$R:$R,'Inputs Yr 2'!$F203,'NEI Lookups'!I:I)+SUMIF('NEI Lookups'!$S:$S,'Inputs Yr 2'!$F203,'NEI Lookups'!I:I)+SUMIF('NEI Lookups'!$T:$T,'Inputs Yr 2'!$F203,'NEI Lookups'!I:I)</f>
        <v>0</v>
      </c>
      <c r="AX203" s="299">
        <f>SUMIF('NEI Lookups'!$L:$L,'Inputs Yr 2'!$F203,'NEI Lookups'!J:J)+SUMIF('NEI Lookups'!$M:$M,'Inputs Yr 2'!$F203,'NEI Lookups'!J:J)+SUMIF('NEI Lookups'!$N:$N,'Inputs Yr 2'!$F203,'NEI Lookups'!J:J)+SUMIF('NEI Lookups'!$O:$O,'Inputs Yr 2'!$F203,'NEI Lookups'!J:J)+SUMIF('NEI Lookups'!$P:$P,'Inputs Yr 2'!$F203,'NEI Lookups'!J:J)+SUMIF('NEI Lookups'!$Q:$Q,'Inputs Yr 2'!$F203,'NEI Lookups'!J:J)+SUMIF('NEI Lookups'!$R:$R,'Inputs Yr 2'!$F203,'NEI Lookups'!J:J)+SUMIF('NEI Lookups'!$S:$S,'Inputs Yr 2'!$F203,'NEI Lookups'!J:J)+SUMIF('NEI Lookups'!$T:$T,'Inputs Yr 2'!$F203,'NEI Lookups'!J:J)</f>
        <v>0</v>
      </c>
      <c r="AY203" s="930">
        <f>'Calculations Yr 2'!CP203/'Calculations Yr 2'!I203</f>
        <v>5.3445116090871085</v>
      </c>
    </row>
    <row r="204" spans="1:51" s="133" customFormat="1" ht="12.75" customHeight="1">
      <c r="A204" s="145" t="s">
        <v>83</v>
      </c>
      <c r="B204" s="132" t="s">
        <v>873</v>
      </c>
      <c r="C204" s="132" t="s">
        <v>908</v>
      </c>
      <c r="D204" s="937"/>
      <c r="E204" s="98" t="s">
        <v>1356</v>
      </c>
      <c r="F204" s="150" t="s">
        <v>1091</v>
      </c>
      <c r="G204" s="145" t="s">
        <v>1247</v>
      </c>
      <c r="H204" s="165">
        <v>1</v>
      </c>
      <c r="I204" s="237">
        <v>25</v>
      </c>
      <c r="J204" s="971">
        <v>95333.733333333337</v>
      </c>
      <c r="K204" s="871">
        <v>71500.3</v>
      </c>
      <c r="L204" s="888">
        <f t="shared" si="58"/>
        <v>23833.433333333334</v>
      </c>
      <c r="M204" s="978">
        <v>0.11</v>
      </c>
      <c r="N204" s="978">
        <v>2.5999999999999999E-2</v>
      </c>
      <c r="O204" s="978">
        <v>3.0000000000000001E-3</v>
      </c>
      <c r="P204" s="889">
        <f t="shared" ref="P204" si="67">1-M204+N204+O204</f>
        <v>0.91900000000000004</v>
      </c>
      <c r="Q204" s="978">
        <v>1</v>
      </c>
      <c r="R204" s="178">
        <v>1</v>
      </c>
      <c r="S204" s="178">
        <v>1</v>
      </c>
      <c r="T204" s="178">
        <v>1</v>
      </c>
      <c r="U204" s="978">
        <v>0.77900000000000003</v>
      </c>
      <c r="V204" s="978">
        <v>1</v>
      </c>
      <c r="W204" s="179"/>
      <c r="X204" s="937" t="s">
        <v>653</v>
      </c>
      <c r="Y204" s="299">
        <f>IFERROR(VLOOKUP($X204,'Demand Lookups'!$A$5:$K$101,9,0), 0)</f>
        <v>0</v>
      </c>
      <c r="Z204" s="922" t="str">
        <f>IFERROR(VLOOKUP(X204,'Demand Lookups'!$A$5:$B$101,2,0),0)</f>
        <v>Non-Electric Measures</v>
      </c>
      <c r="AA204" s="722">
        <f>IF(ISNA(VLOOKUP($X204,'Demand Lookups'!$A$5:$K$81,3,0)),0,VLOOKUP($X204,'Demand Lookups'!$A$5:$K$81,3,0))</f>
        <v>0</v>
      </c>
      <c r="AB204" s="722">
        <f>IF(ISNA(VLOOKUP($X204,'Demand Lookups'!$A$5:$K$81,4,0)),0,VLOOKUP($X204,'Demand Lookups'!$A$5:$K$81,4,0))</f>
        <v>0</v>
      </c>
      <c r="AC204" s="722">
        <f>IF(ISNA(VLOOKUP($X204,'Demand Lookups'!$A$5:$K$81,5,0)),0,VLOOKUP($X204,'Demand Lookups'!$A$5:$K$81,5,0))</f>
        <v>0</v>
      </c>
      <c r="AD204" s="723">
        <f>IF(ISNA(VLOOKUP($X204,'Demand Lookups'!$A$5:$K$81,6,0)),0,VLOOKUP($X204,'Demand Lookups'!$A$5:$K$81,6,0))</f>
        <v>0</v>
      </c>
      <c r="AE204" s="724">
        <f t="shared" ref="AE204" si="68">IF(ISERROR(W204*Y204),"",W204*Y204)</f>
        <v>0</v>
      </c>
      <c r="AF204" s="723">
        <f>ROUND(IF(ISNA(VLOOKUP($X204,'Demand Lookups'!$A$5:$K$82,10,0)),0,(VLOOKUP($X204,'Demand Lookups'!$A$5:$K$82,10,0))),2)</f>
        <v>0</v>
      </c>
      <c r="AG204" s="723">
        <f>ROUND(IF(ISNA(VLOOKUP($X204,'Demand Lookups'!$A$5:$K$82,11,0)),0,VLOOKUP($X204,'Demand Lookups'!$A$5:$K$82,11,0)),2)</f>
        <v>0</v>
      </c>
      <c r="AH204" s="648">
        <f t="shared" ref="AH204" si="69">AF204</f>
        <v>0</v>
      </c>
      <c r="AI204" s="648">
        <f t="shared" ref="AI204" si="70">AF204</f>
        <v>0</v>
      </c>
      <c r="AJ204" s="167" t="s">
        <v>87</v>
      </c>
      <c r="AK204" s="168">
        <v>4117.6000000000004</v>
      </c>
      <c r="AL204" s="167"/>
      <c r="AM204" s="168"/>
      <c r="AN204" s="167"/>
      <c r="AO204" s="168"/>
      <c r="AP204" s="167"/>
      <c r="AQ204" s="171"/>
      <c r="AR204" s="171"/>
      <c r="AS204" s="299">
        <f>SUMIF('NEI Lookups'!$L:$L,'Inputs Yr 2'!$F204,'NEI Lookups'!E:E)+SUMIF('NEI Lookups'!$M:$M,'Inputs Yr 2'!$F204,'NEI Lookups'!E:E)+SUMIF('NEI Lookups'!$N:$N,'Inputs Yr 2'!$F204,'NEI Lookups'!E:E)+SUMIF('NEI Lookups'!$O:$O,'Inputs Yr 2'!$F204,'NEI Lookups'!E:E)+SUMIF('NEI Lookups'!$P:$P,'Inputs Yr 2'!$F204,'NEI Lookups'!E:E)+SUMIF('NEI Lookups'!$Q:$Q,'Inputs Yr 2'!$F204,'NEI Lookups'!E:E)+SUMIF('NEI Lookups'!$R:$R,'Inputs Yr 2'!$F204,'NEI Lookups'!E:E)+SUMIF('NEI Lookups'!$S:$S,'Inputs Yr 2'!$F204,'NEI Lookups'!E:E)+SUMIF('NEI Lookups'!$T:$T,'Inputs Yr 2'!$F204,'NEI Lookups'!E:E)</f>
        <v>0</v>
      </c>
      <c r="AT204" s="299">
        <f>SUMIF('NEI Lookups'!$L:$L,'Inputs Yr 2'!$F204,'NEI Lookups'!F:F)+SUMIF('NEI Lookups'!$M:$M,'Inputs Yr 2'!$F204,'NEI Lookups'!F:F)+SUMIF('NEI Lookups'!$N:$N,'Inputs Yr 2'!$F204,'NEI Lookups'!F:F)+SUMIF('NEI Lookups'!$O:$O,'Inputs Yr 2'!$F204,'NEI Lookups'!F:F)+SUMIF('NEI Lookups'!$P:$P,'Inputs Yr 2'!$F204,'NEI Lookups'!F:F)+SUMIF('NEI Lookups'!$Q:$Q,'Inputs Yr 2'!$F204,'NEI Lookups'!F:F)+SUMIF('NEI Lookups'!$R:$R,'Inputs Yr 2'!$F204,'NEI Lookups'!F:F)+SUMIF('NEI Lookups'!$S:$S,'Inputs Yr 2'!$F204,'NEI Lookups'!F:F)+SUMIF('NEI Lookups'!$T:$T,'Inputs Yr 2'!$F204,'NEI Lookups'!F:F)</f>
        <v>0</v>
      </c>
      <c r="AU204" s="299">
        <f>SUMIF('NEI Lookups'!$L:$L,'Inputs Yr 2'!$F204,'NEI Lookups'!G:G)+SUMIF('NEI Lookups'!$M:$M,'Inputs Yr 2'!$F204,'NEI Lookups'!G:G)+SUMIF('NEI Lookups'!$N:$N,'Inputs Yr 2'!$F204,'NEI Lookups'!G:G)+SUMIF('NEI Lookups'!$O:$O,'Inputs Yr 2'!$F204,'NEI Lookups'!G:G)+SUMIF('NEI Lookups'!$P:$P,'Inputs Yr 2'!$F204,'NEI Lookups'!G:G)+SUMIF('NEI Lookups'!$Q:$Q,'Inputs Yr 2'!$F204,'NEI Lookups'!G:G)+SUMIF('NEI Lookups'!$R:$R,'Inputs Yr 2'!$F204,'NEI Lookups'!G:G)+SUMIF('NEI Lookups'!$S:$S,'Inputs Yr 2'!$F204,'NEI Lookups'!G:G)+SUMIF('NEI Lookups'!$T:$T,'Inputs Yr 2'!$F204,'NEI Lookups'!G:G)</f>
        <v>0</v>
      </c>
      <c r="AV204" s="299">
        <f>SUMIF('NEI Lookups'!$L:$L,'Inputs Yr 2'!$F204,'NEI Lookups'!H:H)+SUMIF('NEI Lookups'!$M:$M,'Inputs Yr 2'!$F204,'NEI Lookups'!H:H)+SUMIF('NEI Lookups'!$N:$N,'Inputs Yr 2'!$F204,'NEI Lookups'!H:H)+SUMIF('NEI Lookups'!$O:$O,'Inputs Yr 2'!$F204,'NEI Lookups'!H:H)+SUMIF('NEI Lookups'!$P:$P,'Inputs Yr 2'!$F204,'NEI Lookups'!H:H)+SUMIF('NEI Lookups'!$Q:$Q,'Inputs Yr 2'!$F204,'NEI Lookups'!H:H)+SUMIF('NEI Lookups'!$R:$R,'Inputs Yr 2'!$F204,'NEI Lookups'!H:H)+SUMIF('NEI Lookups'!$S:$S,'Inputs Yr 2'!$F204,'NEI Lookups'!H:H)+SUMIF('NEI Lookups'!$T:$T,'Inputs Yr 2'!$F204,'NEI Lookups'!H:H)</f>
        <v>0</v>
      </c>
      <c r="AW204" s="299">
        <f>SUMIF('NEI Lookups'!$L:$L,'Inputs Yr 2'!$F204,'NEI Lookups'!I:I)+SUMIF('NEI Lookups'!$M:$M,'Inputs Yr 2'!$F204,'NEI Lookups'!I:I)+SUMIF('NEI Lookups'!$N:$N,'Inputs Yr 2'!$F204,'NEI Lookups'!I:I)+SUMIF('NEI Lookups'!$O:$O,'Inputs Yr 2'!$F204,'NEI Lookups'!I:I)+SUMIF('NEI Lookups'!$P:$P,'Inputs Yr 2'!$F204,'NEI Lookups'!I:I)+SUMIF('NEI Lookups'!$Q:$Q,'Inputs Yr 2'!$F204,'NEI Lookups'!I:I)+SUMIF('NEI Lookups'!$R:$R,'Inputs Yr 2'!$F204,'NEI Lookups'!I:I)+SUMIF('NEI Lookups'!$S:$S,'Inputs Yr 2'!$F204,'NEI Lookups'!I:I)+SUMIF('NEI Lookups'!$T:$T,'Inputs Yr 2'!$F204,'NEI Lookups'!I:I)</f>
        <v>0</v>
      </c>
      <c r="AX204" s="299">
        <f>SUMIF('NEI Lookups'!$L:$L,'Inputs Yr 2'!$F204,'NEI Lookups'!J:J)+SUMIF('NEI Lookups'!$M:$M,'Inputs Yr 2'!$F204,'NEI Lookups'!J:J)+SUMIF('NEI Lookups'!$N:$N,'Inputs Yr 2'!$F204,'NEI Lookups'!J:J)+SUMIF('NEI Lookups'!$O:$O,'Inputs Yr 2'!$F204,'NEI Lookups'!J:J)+SUMIF('NEI Lookups'!$P:$P,'Inputs Yr 2'!$F204,'NEI Lookups'!J:J)+SUMIF('NEI Lookups'!$Q:$Q,'Inputs Yr 2'!$F204,'NEI Lookups'!J:J)+SUMIF('NEI Lookups'!$R:$R,'Inputs Yr 2'!$F204,'NEI Lookups'!J:J)+SUMIF('NEI Lookups'!$S:$S,'Inputs Yr 2'!$F204,'NEI Lookups'!J:J)+SUMIF('NEI Lookups'!$T:$T,'Inputs Yr 2'!$F204,'NEI Lookups'!J:J)</f>
        <v>0</v>
      </c>
      <c r="AY204" s="930">
        <f>'Calculations Yr 2'!CP204/'Calculations Yr 2'!I204</f>
        <v>7.3942114937599905</v>
      </c>
    </row>
    <row r="205" spans="1:51" s="133" customFormat="1" ht="12.75" customHeight="1">
      <c r="A205" s="145" t="s">
        <v>83</v>
      </c>
      <c r="B205" s="132" t="s">
        <v>873</v>
      </c>
      <c r="C205" s="132" t="s">
        <v>908</v>
      </c>
      <c r="D205" s="99"/>
      <c r="E205" s="98" t="s">
        <v>769</v>
      </c>
      <c r="F205" s="150" t="s">
        <v>1092</v>
      </c>
      <c r="G205" s="145" t="s">
        <v>1247</v>
      </c>
      <c r="H205" s="165"/>
      <c r="I205" s="968">
        <v>23</v>
      </c>
      <c r="J205" s="964">
        <v>1357874.1032636152</v>
      </c>
      <c r="K205" s="166">
        <v>1018405.5774477114</v>
      </c>
      <c r="L205" s="888">
        <f t="shared" si="58"/>
        <v>339468.52581590379</v>
      </c>
      <c r="M205" s="980">
        <v>0.11</v>
      </c>
      <c r="N205" s="980">
        <v>2.5999999999999999E-2</v>
      </c>
      <c r="O205" s="980">
        <v>3.0000000000000001E-3</v>
      </c>
      <c r="P205" s="889">
        <f t="shared" si="26"/>
        <v>0.91900000000000004</v>
      </c>
      <c r="Q205" s="980">
        <v>1</v>
      </c>
      <c r="R205" s="178">
        <v>1</v>
      </c>
      <c r="S205" s="178">
        <v>1</v>
      </c>
      <c r="T205" s="178">
        <v>1</v>
      </c>
      <c r="U205" s="978">
        <v>0</v>
      </c>
      <c r="V205" s="978">
        <v>0</v>
      </c>
      <c r="W205" s="890"/>
      <c r="X205" s="937" t="s">
        <v>653</v>
      </c>
      <c r="Y205" s="299">
        <f>IFERROR(VLOOKUP($X205,'Demand Lookups'!$A$5:$K$101,9,0), 0)</f>
        <v>0</v>
      </c>
      <c r="Z205" s="922" t="str">
        <f>IFERROR(VLOOKUP(X205,'Demand Lookups'!$A$5:$B$101,2,0),0)</f>
        <v>Non-Electric Measures</v>
      </c>
      <c r="AA205" s="722">
        <v>0</v>
      </c>
      <c r="AB205" s="722">
        <v>0</v>
      </c>
      <c r="AC205" s="722">
        <v>0</v>
      </c>
      <c r="AD205" s="723">
        <v>0</v>
      </c>
      <c r="AE205" s="724">
        <f t="shared" si="27"/>
        <v>0</v>
      </c>
      <c r="AF205" s="723">
        <v>0</v>
      </c>
      <c r="AG205" s="723">
        <v>0</v>
      </c>
      <c r="AH205" s="648">
        <f t="shared" si="28"/>
        <v>0</v>
      </c>
      <c r="AI205" s="648">
        <f t="shared" si="29"/>
        <v>0</v>
      </c>
      <c r="AJ205" s="167" t="s">
        <v>87</v>
      </c>
      <c r="AK205" s="168">
        <v>22382.540163685968</v>
      </c>
      <c r="AL205" s="167"/>
      <c r="AM205" s="168"/>
      <c r="AN205" s="167"/>
      <c r="AO205" s="168"/>
      <c r="AP205" s="167"/>
      <c r="AQ205" s="171"/>
      <c r="AR205" s="171"/>
      <c r="AS205" s="299">
        <f>SUMIF('NEI Lookups'!$L:$L,'Inputs Yr 2'!$F205,'NEI Lookups'!E:E)+SUMIF('NEI Lookups'!$M:$M,'Inputs Yr 2'!$F205,'NEI Lookups'!E:E)+SUMIF('NEI Lookups'!$N:$N,'Inputs Yr 2'!$F205,'NEI Lookups'!E:E)+SUMIF('NEI Lookups'!$O:$O,'Inputs Yr 2'!$F205,'NEI Lookups'!E:E)+SUMIF('NEI Lookups'!$P:$P,'Inputs Yr 2'!$F205,'NEI Lookups'!E:E)+SUMIF('NEI Lookups'!$Q:$Q,'Inputs Yr 2'!$F205,'NEI Lookups'!E:E)+SUMIF('NEI Lookups'!$R:$R,'Inputs Yr 2'!$F205,'NEI Lookups'!E:E)+SUMIF('NEI Lookups'!$S:$S,'Inputs Yr 2'!$F205,'NEI Lookups'!E:E)+SUMIF('NEI Lookups'!$T:$T,'Inputs Yr 2'!$F205,'NEI Lookups'!E:E)</f>
        <v>0</v>
      </c>
      <c r="AT205" s="299">
        <f>SUMIF('NEI Lookups'!$L:$L,'Inputs Yr 2'!$F205,'NEI Lookups'!F:F)+SUMIF('NEI Lookups'!$M:$M,'Inputs Yr 2'!$F205,'NEI Lookups'!F:F)+SUMIF('NEI Lookups'!$N:$N,'Inputs Yr 2'!$F205,'NEI Lookups'!F:F)+SUMIF('NEI Lookups'!$O:$O,'Inputs Yr 2'!$F205,'NEI Lookups'!F:F)+SUMIF('NEI Lookups'!$P:$P,'Inputs Yr 2'!$F205,'NEI Lookups'!F:F)+SUMIF('NEI Lookups'!$Q:$Q,'Inputs Yr 2'!$F205,'NEI Lookups'!F:F)+SUMIF('NEI Lookups'!$R:$R,'Inputs Yr 2'!$F205,'NEI Lookups'!F:F)+SUMIF('NEI Lookups'!$S:$S,'Inputs Yr 2'!$F205,'NEI Lookups'!F:F)+SUMIF('NEI Lookups'!$T:$T,'Inputs Yr 2'!$F205,'NEI Lookups'!F:F)</f>
        <v>0</v>
      </c>
      <c r="AU205" s="299">
        <f>SUMIF('NEI Lookups'!$L:$L,'Inputs Yr 2'!$F205,'NEI Lookups'!G:G)+SUMIF('NEI Lookups'!$M:$M,'Inputs Yr 2'!$F205,'NEI Lookups'!G:G)+SUMIF('NEI Lookups'!$N:$N,'Inputs Yr 2'!$F205,'NEI Lookups'!G:G)+SUMIF('NEI Lookups'!$O:$O,'Inputs Yr 2'!$F205,'NEI Lookups'!G:G)+SUMIF('NEI Lookups'!$P:$P,'Inputs Yr 2'!$F205,'NEI Lookups'!G:G)+SUMIF('NEI Lookups'!$Q:$Q,'Inputs Yr 2'!$F205,'NEI Lookups'!G:G)+SUMIF('NEI Lookups'!$R:$R,'Inputs Yr 2'!$F205,'NEI Lookups'!G:G)+SUMIF('NEI Lookups'!$S:$S,'Inputs Yr 2'!$F205,'NEI Lookups'!G:G)+SUMIF('NEI Lookups'!$T:$T,'Inputs Yr 2'!$F205,'NEI Lookups'!G:G)</f>
        <v>0</v>
      </c>
      <c r="AV205" s="299">
        <f>SUMIF('NEI Lookups'!$L:$L,'Inputs Yr 2'!$F205,'NEI Lookups'!H:H)+SUMIF('NEI Lookups'!$M:$M,'Inputs Yr 2'!$F205,'NEI Lookups'!H:H)+SUMIF('NEI Lookups'!$N:$N,'Inputs Yr 2'!$F205,'NEI Lookups'!H:H)+SUMIF('NEI Lookups'!$O:$O,'Inputs Yr 2'!$F205,'NEI Lookups'!H:H)+SUMIF('NEI Lookups'!$P:$P,'Inputs Yr 2'!$F205,'NEI Lookups'!H:H)+SUMIF('NEI Lookups'!$Q:$Q,'Inputs Yr 2'!$F205,'NEI Lookups'!H:H)+SUMIF('NEI Lookups'!$R:$R,'Inputs Yr 2'!$F205,'NEI Lookups'!H:H)+SUMIF('NEI Lookups'!$S:$S,'Inputs Yr 2'!$F205,'NEI Lookups'!H:H)+SUMIF('NEI Lookups'!$T:$T,'Inputs Yr 2'!$F205,'NEI Lookups'!H:H)</f>
        <v>0</v>
      </c>
      <c r="AW205" s="299">
        <f>SUMIF('NEI Lookups'!$L:$L,'Inputs Yr 2'!$F205,'NEI Lookups'!I:I)+SUMIF('NEI Lookups'!$M:$M,'Inputs Yr 2'!$F205,'NEI Lookups'!I:I)+SUMIF('NEI Lookups'!$N:$N,'Inputs Yr 2'!$F205,'NEI Lookups'!I:I)+SUMIF('NEI Lookups'!$O:$O,'Inputs Yr 2'!$F205,'NEI Lookups'!I:I)+SUMIF('NEI Lookups'!$P:$P,'Inputs Yr 2'!$F205,'NEI Lookups'!I:I)+SUMIF('NEI Lookups'!$Q:$Q,'Inputs Yr 2'!$F205,'NEI Lookups'!I:I)+SUMIF('NEI Lookups'!$R:$R,'Inputs Yr 2'!$F205,'NEI Lookups'!I:I)+SUMIF('NEI Lookups'!$S:$S,'Inputs Yr 2'!$F205,'NEI Lookups'!I:I)+SUMIF('NEI Lookups'!$T:$T,'Inputs Yr 2'!$F205,'NEI Lookups'!I:I)</f>
        <v>0</v>
      </c>
      <c r="AX205" s="299">
        <f>SUMIF('NEI Lookups'!$L:$L,'Inputs Yr 2'!$F205,'NEI Lookups'!J:J)+SUMIF('NEI Lookups'!$M:$M,'Inputs Yr 2'!$F205,'NEI Lookups'!J:J)+SUMIF('NEI Lookups'!$N:$N,'Inputs Yr 2'!$F205,'NEI Lookups'!J:J)+SUMIF('NEI Lookups'!$O:$O,'Inputs Yr 2'!$F205,'NEI Lookups'!J:J)+SUMIF('NEI Lookups'!$P:$P,'Inputs Yr 2'!$F205,'NEI Lookups'!J:J)+SUMIF('NEI Lookups'!$Q:$Q,'Inputs Yr 2'!$F205,'NEI Lookups'!J:J)+SUMIF('NEI Lookups'!$R:$R,'Inputs Yr 2'!$F205,'NEI Lookups'!J:J)+SUMIF('NEI Lookups'!$S:$S,'Inputs Yr 2'!$F205,'NEI Lookups'!J:J)+SUMIF('NEI Lookups'!$T:$T,'Inputs Yr 2'!$F205,'NEI Lookups'!J:J)</f>
        <v>0</v>
      </c>
      <c r="AY205" s="930" t="e">
        <f>'Calculations Yr 2'!CP205/'Calculations Yr 2'!I205</f>
        <v>#VALUE!</v>
      </c>
    </row>
    <row r="206" spans="1:51" s="133" customFormat="1" ht="12.75" customHeight="1">
      <c r="A206" s="145" t="s">
        <v>83</v>
      </c>
      <c r="B206" s="132" t="s">
        <v>873</v>
      </c>
      <c r="C206" s="132" t="s">
        <v>908</v>
      </c>
      <c r="D206" s="99"/>
      <c r="E206" s="98" t="s">
        <v>1403</v>
      </c>
      <c r="F206" s="150" t="s">
        <v>1093</v>
      </c>
      <c r="G206" s="145" t="s">
        <v>89</v>
      </c>
      <c r="H206" s="165"/>
      <c r="I206" s="237">
        <v>13</v>
      </c>
      <c r="J206" s="971">
        <v>4222.666666666667</v>
      </c>
      <c r="K206" s="871">
        <v>3167</v>
      </c>
      <c r="L206" s="888">
        <f t="shared" si="58"/>
        <v>1055.666666666667</v>
      </c>
      <c r="M206" s="978">
        <v>0.11</v>
      </c>
      <c r="N206" s="978">
        <v>2.5999999999999999E-2</v>
      </c>
      <c r="O206" s="978">
        <v>3.0000000000000001E-3</v>
      </c>
      <c r="P206" s="889">
        <f t="shared" si="26"/>
        <v>0.91900000000000004</v>
      </c>
      <c r="Q206" s="978">
        <v>1</v>
      </c>
      <c r="R206" s="178">
        <v>1</v>
      </c>
      <c r="S206" s="178">
        <v>1</v>
      </c>
      <c r="T206" s="178">
        <v>1</v>
      </c>
      <c r="U206" s="978">
        <v>0</v>
      </c>
      <c r="V206" s="978">
        <v>0</v>
      </c>
      <c r="W206" s="179"/>
      <c r="X206" s="937" t="s">
        <v>653</v>
      </c>
      <c r="Y206" s="299">
        <f>IFERROR(VLOOKUP($X206,'Demand Lookups'!$A$5:$K$101,9,0), 0)</f>
        <v>0</v>
      </c>
      <c r="Z206" s="922" t="str">
        <f>IFERROR(VLOOKUP(X206,'Demand Lookups'!$A$5:$B$101,2,0),0)</f>
        <v>Non-Electric Measures</v>
      </c>
      <c r="AA206" s="722">
        <f>IF(ISNA(VLOOKUP($X206,'Demand Lookups'!$A$5:$K$81,3,0)),0,VLOOKUP($X206,'Demand Lookups'!$A$5:$K$81,3,0))</f>
        <v>0</v>
      </c>
      <c r="AB206" s="722">
        <f>IF(ISNA(VLOOKUP($X206,'Demand Lookups'!$A$5:$K$81,4,0)),0,VLOOKUP($X206,'Demand Lookups'!$A$5:$K$81,4,0))</f>
        <v>0</v>
      </c>
      <c r="AC206" s="722">
        <f>IF(ISNA(VLOOKUP($X206,'Demand Lookups'!$A$5:$K$81,5,0)),0,VLOOKUP($X206,'Demand Lookups'!$A$5:$K$81,5,0))</f>
        <v>0</v>
      </c>
      <c r="AD206" s="723">
        <f>IF(ISNA(VLOOKUP($X206,'Demand Lookups'!$A$5:$K$81,6,0)),0,VLOOKUP($X206,'Demand Lookups'!$A$5:$K$81,6,0))</f>
        <v>0</v>
      </c>
      <c r="AE206" s="724">
        <f t="shared" si="27"/>
        <v>0</v>
      </c>
      <c r="AF206" s="723">
        <f>ROUND(IF(ISNA(VLOOKUP($X206,'Demand Lookups'!$A$5:$K$82,10,0)),0,(VLOOKUP($X206,'Demand Lookups'!$A$5:$K$82,10,0))),2)</f>
        <v>0</v>
      </c>
      <c r="AG206" s="723">
        <f>ROUND(IF(ISNA(VLOOKUP($X206,'Demand Lookups'!$A$5:$K$82,11,0)),0,VLOOKUP($X206,'Demand Lookups'!$A$5:$K$82,11,0)),2)</f>
        <v>0</v>
      </c>
      <c r="AH206" s="648">
        <f t="shared" si="28"/>
        <v>0</v>
      </c>
      <c r="AI206" s="648">
        <f t="shared" si="29"/>
        <v>0</v>
      </c>
      <c r="AJ206" s="167" t="s">
        <v>406</v>
      </c>
      <c r="AK206" s="168">
        <v>211.1</v>
      </c>
      <c r="AL206" s="167"/>
      <c r="AM206" s="168"/>
      <c r="AN206" s="167"/>
      <c r="AO206" s="168"/>
      <c r="AP206" s="167"/>
      <c r="AQ206" s="171">
        <v>0</v>
      </c>
      <c r="AR206" s="171">
        <v>0</v>
      </c>
      <c r="AS206" s="299">
        <f>SUMIF('NEI Lookups'!$L:$L,'Inputs Yr 2'!$F206,'NEI Lookups'!E:E)+SUMIF('NEI Lookups'!$M:$M,'Inputs Yr 2'!$F206,'NEI Lookups'!E:E)+SUMIF('NEI Lookups'!$N:$N,'Inputs Yr 2'!$F206,'NEI Lookups'!E:E)+SUMIF('NEI Lookups'!$O:$O,'Inputs Yr 2'!$F206,'NEI Lookups'!E:E)+SUMIF('NEI Lookups'!$P:$P,'Inputs Yr 2'!$F206,'NEI Lookups'!E:E)+SUMIF('NEI Lookups'!$Q:$Q,'Inputs Yr 2'!$F206,'NEI Lookups'!E:E)+SUMIF('NEI Lookups'!$R:$R,'Inputs Yr 2'!$F206,'NEI Lookups'!E:E)+SUMIF('NEI Lookups'!$S:$S,'Inputs Yr 2'!$F206,'NEI Lookups'!E:E)+SUMIF('NEI Lookups'!$T:$T,'Inputs Yr 2'!$F206,'NEI Lookups'!E:E)</f>
        <v>0</v>
      </c>
      <c r="AT206" s="299">
        <f>SUMIF('NEI Lookups'!$L:$L,'Inputs Yr 2'!$F206,'NEI Lookups'!F:F)+SUMIF('NEI Lookups'!$M:$M,'Inputs Yr 2'!$F206,'NEI Lookups'!F:F)+SUMIF('NEI Lookups'!$N:$N,'Inputs Yr 2'!$F206,'NEI Lookups'!F:F)+SUMIF('NEI Lookups'!$O:$O,'Inputs Yr 2'!$F206,'NEI Lookups'!F:F)+SUMIF('NEI Lookups'!$P:$P,'Inputs Yr 2'!$F206,'NEI Lookups'!F:F)+SUMIF('NEI Lookups'!$Q:$Q,'Inputs Yr 2'!$F206,'NEI Lookups'!F:F)+SUMIF('NEI Lookups'!$R:$R,'Inputs Yr 2'!$F206,'NEI Lookups'!F:F)+SUMIF('NEI Lookups'!$S:$S,'Inputs Yr 2'!$F206,'NEI Lookups'!F:F)+SUMIF('NEI Lookups'!$T:$T,'Inputs Yr 2'!$F206,'NEI Lookups'!F:F)</f>
        <v>0</v>
      </c>
      <c r="AU206" s="299">
        <f>SUMIF('NEI Lookups'!$L:$L,'Inputs Yr 2'!$F206,'NEI Lookups'!G:G)+SUMIF('NEI Lookups'!$M:$M,'Inputs Yr 2'!$F206,'NEI Lookups'!G:G)+SUMIF('NEI Lookups'!$N:$N,'Inputs Yr 2'!$F206,'NEI Lookups'!G:G)+SUMIF('NEI Lookups'!$O:$O,'Inputs Yr 2'!$F206,'NEI Lookups'!G:G)+SUMIF('NEI Lookups'!$P:$P,'Inputs Yr 2'!$F206,'NEI Lookups'!G:G)+SUMIF('NEI Lookups'!$Q:$Q,'Inputs Yr 2'!$F206,'NEI Lookups'!G:G)+SUMIF('NEI Lookups'!$R:$R,'Inputs Yr 2'!$F206,'NEI Lookups'!G:G)+SUMIF('NEI Lookups'!$S:$S,'Inputs Yr 2'!$F206,'NEI Lookups'!G:G)+SUMIF('NEI Lookups'!$T:$T,'Inputs Yr 2'!$F206,'NEI Lookups'!G:G)</f>
        <v>0</v>
      </c>
      <c r="AV206" s="299">
        <f>SUMIF('NEI Lookups'!$L:$L,'Inputs Yr 2'!$F206,'NEI Lookups'!H:H)+SUMIF('NEI Lookups'!$M:$M,'Inputs Yr 2'!$F206,'NEI Lookups'!H:H)+SUMIF('NEI Lookups'!$N:$N,'Inputs Yr 2'!$F206,'NEI Lookups'!H:H)+SUMIF('NEI Lookups'!$O:$O,'Inputs Yr 2'!$F206,'NEI Lookups'!H:H)+SUMIF('NEI Lookups'!$P:$P,'Inputs Yr 2'!$F206,'NEI Lookups'!H:H)+SUMIF('NEI Lookups'!$Q:$Q,'Inputs Yr 2'!$F206,'NEI Lookups'!H:H)+SUMIF('NEI Lookups'!$R:$R,'Inputs Yr 2'!$F206,'NEI Lookups'!H:H)+SUMIF('NEI Lookups'!$S:$S,'Inputs Yr 2'!$F206,'NEI Lookups'!H:H)+SUMIF('NEI Lookups'!$T:$T,'Inputs Yr 2'!$F206,'NEI Lookups'!H:H)</f>
        <v>0</v>
      </c>
      <c r="AW206" s="299">
        <f>SUMIF('NEI Lookups'!$L:$L,'Inputs Yr 2'!$F206,'NEI Lookups'!I:I)+SUMIF('NEI Lookups'!$M:$M,'Inputs Yr 2'!$F206,'NEI Lookups'!I:I)+SUMIF('NEI Lookups'!$N:$N,'Inputs Yr 2'!$F206,'NEI Lookups'!I:I)+SUMIF('NEI Lookups'!$O:$O,'Inputs Yr 2'!$F206,'NEI Lookups'!I:I)+SUMIF('NEI Lookups'!$P:$P,'Inputs Yr 2'!$F206,'NEI Lookups'!I:I)+SUMIF('NEI Lookups'!$Q:$Q,'Inputs Yr 2'!$F206,'NEI Lookups'!I:I)+SUMIF('NEI Lookups'!$R:$R,'Inputs Yr 2'!$F206,'NEI Lookups'!I:I)+SUMIF('NEI Lookups'!$S:$S,'Inputs Yr 2'!$F206,'NEI Lookups'!I:I)+SUMIF('NEI Lookups'!$T:$T,'Inputs Yr 2'!$F206,'NEI Lookups'!I:I)</f>
        <v>0</v>
      </c>
      <c r="AX206" s="299">
        <f>SUMIF('NEI Lookups'!$L:$L,'Inputs Yr 2'!$F206,'NEI Lookups'!J:J)+SUMIF('NEI Lookups'!$M:$M,'Inputs Yr 2'!$F206,'NEI Lookups'!J:J)+SUMIF('NEI Lookups'!$N:$N,'Inputs Yr 2'!$F206,'NEI Lookups'!J:J)+SUMIF('NEI Lookups'!$O:$O,'Inputs Yr 2'!$F206,'NEI Lookups'!J:J)+SUMIF('NEI Lookups'!$P:$P,'Inputs Yr 2'!$F206,'NEI Lookups'!J:J)+SUMIF('NEI Lookups'!$Q:$Q,'Inputs Yr 2'!$F206,'NEI Lookups'!J:J)+SUMIF('NEI Lookups'!$R:$R,'Inputs Yr 2'!$F206,'NEI Lookups'!J:J)+SUMIF('NEI Lookups'!$S:$S,'Inputs Yr 2'!$F206,'NEI Lookups'!J:J)+SUMIF('NEI Lookups'!$T:$T,'Inputs Yr 2'!$F206,'NEI Lookups'!J:J)</f>
        <v>0</v>
      </c>
      <c r="AY206" s="930" t="e">
        <f>'Calculations Yr 2'!CP206/'Calculations Yr 2'!I206</f>
        <v>#VALUE!</v>
      </c>
    </row>
    <row r="207" spans="1:51" s="133" customFormat="1" ht="12.75" customHeight="1">
      <c r="A207" s="145" t="s">
        <v>83</v>
      </c>
      <c r="B207" s="132" t="s">
        <v>873</v>
      </c>
      <c r="C207" s="132" t="s">
        <v>908</v>
      </c>
      <c r="D207" s="99"/>
      <c r="E207" s="98" t="s">
        <v>771</v>
      </c>
      <c r="F207" s="150" t="s">
        <v>1094</v>
      </c>
      <c r="G207" s="145" t="s">
        <v>89</v>
      </c>
      <c r="H207" s="165"/>
      <c r="I207" s="968">
        <v>15</v>
      </c>
      <c r="J207" s="964">
        <v>319416.7141475589</v>
      </c>
      <c r="K207" s="166">
        <v>239562.53561066918</v>
      </c>
      <c r="L207" s="888">
        <f t="shared" si="58"/>
        <v>79854.178536889725</v>
      </c>
      <c r="M207" s="980">
        <v>0.11</v>
      </c>
      <c r="N207" s="980">
        <v>2.5999999999999999E-2</v>
      </c>
      <c r="O207" s="980">
        <v>3.0000000000000001E-3</v>
      </c>
      <c r="P207" s="889">
        <f t="shared" si="26"/>
        <v>0.91900000000000004</v>
      </c>
      <c r="Q207" s="980">
        <v>1</v>
      </c>
      <c r="R207" s="178">
        <v>1</v>
      </c>
      <c r="S207" s="178">
        <v>1</v>
      </c>
      <c r="T207" s="178">
        <v>1</v>
      </c>
      <c r="U207" s="978">
        <v>0</v>
      </c>
      <c r="V207" s="978">
        <v>0</v>
      </c>
      <c r="W207" s="890"/>
      <c r="X207" s="937" t="s">
        <v>653</v>
      </c>
      <c r="Y207" s="299">
        <f>IFERROR(VLOOKUP($X207,'Demand Lookups'!$A$5:$K$101,9,0), 0)</f>
        <v>0</v>
      </c>
      <c r="Z207" s="922" t="str">
        <f>IFERROR(VLOOKUP(X207,'Demand Lookups'!$A$5:$B$101,2,0),0)</f>
        <v>Non-Electric Measures</v>
      </c>
      <c r="AA207" s="722">
        <v>0</v>
      </c>
      <c r="AB207" s="722">
        <v>0</v>
      </c>
      <c r="AC207" s="722">
        <v>0</v>
      </c>
      <c r="AD207" s="723">
        <v>0</v>
      </c>
      <c r="AE207" s="724">
        <f t="shared" si="27"/>
        <v>0</v>
      </c>
      <c r="AF207" s="723">
        <v>0</v>
      </c>
      <c r="AG207" s="723">
        <v>0</v>
      </c>
      <c r="AH207" s="648">
        <f t="shared" si="28"/>
        <v>0</v>
      </c>
      <c r="AI207" s="648">
        <f t="shared" si="29"/>
        <v>0</v>
      </c>
      <c r="AJ207" s="167" t="s">
        <v>406</v>
      </c>
      <c r="AK207" s="168">
        <v>11978.126780533459</v>
      </c>
      <c r="AL207" s="167"/>
      <c r="AM207" s="168"/>
      <c r="AN207" s="167"/>
      <c r="AO207" s="168"/>
      <c r="AP207" s="167"/>
      <c r="AQ207" s="171"/>
      <c r="AR207" s="171"/>
      <c r="AS207" s="299">
        <f>SUMIF('NEI Lookups'!$L:$L,'Inputs Yr 2'!$F207,'NEI Lookups'!E:E)+SUMIF('NEI Lookups'!$M:$M,'Inputs Yr 2'!$F207,'NEI Lookups'!E:E)+SUMIF('NEI Lookups'!$N:$N,'Inputs Yr 2'!$F207,'NEI Lookups'!E:E)+SUMIF('NEI Lookups'!$O:$O,'Inputs Yr 2'!$F207,'NEI Lookups'!E:E)+SUMIF('NEI Lookups'!$P:$P,'Inputs Yr 2'!$F207,'NEI Lookups'!E:E)+SUMIF('NEI Lookups'!$Q:$Q,'Inputs Yr 2'!$F207,'NEI Lookups'!E:E)+SUMIF('NEI Lookups'!$R:$R,'Inputs Yr 2'!$F207,'NEI Lookups'!E:E)+SUMIF('NEI Lookups'!$S:$S,'Inputs Yr 2'!$F207,'NEI Lookups'!E:E)+SUMIF('NEI Lookups'!$T:$T,'Inputs Yr 2'!$F207,'NEI Lookups'!E:E)</f>
        <v>0</v>
      </c>
      <c r="AT207" s="299">
        <f>SUMIF('NEI Lookups'!$L:$L,'Inputs Yr 2'!$F207,'NEI Lookups'!F:F)+SUMIF('NEI Lookups'!$M:$M,'Inputs Yr 2'!$F207,'NEI Lookups'!F:F)+SUMIF('NEI Lookups'!$N:$N,'Inputs Yr 2'!$F207,'NEI Lookups'!F:F)+SUMIF('NEI Lookups'!$O:$O,'Inputs Yr 2'!$F207,'NEI Lookups'!F:F)+SUMIF('NEI Lookups'!$P:$P,'Inputs Yr 2'!$F207,'NEI Lookups'!F:F)+SUMIF('NEI Lookups'!$Q:$Q,'Inputs Yr 2'!$F207,'NEI Lookups'!F:F)+SUMIF('NEI Lookups'!$R:$R,'Inputs Yr 2'!$F207,'NEI Lookups'!F:F)+SUMIF('NEI Lookups'!$S:$S,'Inputs Yr 2'!$F207,'NEI Lookups'!F:F)+SUMIF('NEI Lookups'!$T:$T,'Inputs Yr 2'!$F207,'NEI Lookups'!F:F)</f>
        <v>0</v>
      </c>
      <c r="AU207" s="299">
        <f>SUMIF('NEI Lookups'!$L:$L,'Inputs Yr 2'!$F207,'NEI Lookups'!G:G)+SUMIF('NEI Lookups'!$M:$M,'Inputs Yr 2'!$F207,'NEI Lookups'!G:G)+SUMIF('NEI Lookups'!$N:$N,'Inputs Yr 2'!$F207,'NEI Lookups'!G:G)+SUMIF('NEI Lookups'!$O:$O,'Inputs Yr 2'!$F207,'NEI Lookups'!G:G)+SUMIF('NEI Lookups'!$P:$P,'Inputs Yr 2'!$F207,'NEI Lookups'!G:G)+SUMIF('NEI Lookups'!$Q:$Q,'Inputs Yr 2'!$F207,'NEI Lookups'!G:G)+SUMIF('NEI Lookups'!$R:$R,'Inputs Yr 2'!$F207,'NEI Lookups'!G:G)+SUMIF('NEI Lookups'!$S:$S,'Inputs Yr 2'!$F207,'NEI Lookups'!G:G)+SUMIF('NEI Lookups'!$T:$T,'Inputs Yr 2'!$F207,'NEI Lookups'!G:G)</f>
        <v>0</v>
      </c>
      <c r="AV207" s="299">
        <f>SUMIF('NEI Lookups'!$L:$L,'Inputs Yr 2'!$F207,'NEI Lookups'!H:H)+SUMIF('NEI Lookups'!$M:$M,'Inputs Yr 2'!$F207,'NEI Lookups'!H:H)+SUMIF('NEI Lookups'!$N:$N,'Inputs Yr 2'!$F207,'NEI Lookups'!H:H)+SUMIF('NEI Lookups'!$O:$O,'Inputs Yr 2'!$F207,'NEI Lookups'!H:H)+SUMIF('NEI Lookups'!$P:$P,'Inputs Yr 2'!$F207,'NEI Lookups'!H:H)+SUMIF('NEI Lookups'!$Q:$Q,'Inputs Yr 2'!$F207,'NEI Lookups'!H:H)+SUMIF('NEI Lookups'!$R:$R,'Inputs Yr 2'!$F207,'NEI Lookups'!H:H)+SUMIF('NEI Lookups'!$S:$S,'Inputs Yr 2'!$F207,'NEI Lookups'!H:H)+SUMIF('NEI Lookups'!$T:$T,'Inputs Yr 2'!$F207,'NEI Lookups'!H:H)</f>
        <v>0</v>
      </c>
      <c r="AW207" s="299">
        <f>SUMIF('NEI Lookups'!$L:$L,'Inputs Yr 2'!$F207,'NEI Lookups'!I:I)+SUMIF('NEI Lookups'!$M:$M,'Inputs Yr 2'!$F207,'NEI Lookups'!I:I)+SUMIF('NEI Lookups'!$N:$N,'Inputs Yr 2'!$F207,'NEI Lookups'!I:I)+SUMIF('NEI Lookups'!$O:$O,'Inputs Yr 2'!$F207,'NEI Lookups'!I:I)+SUMIF('NEI Lookups'!$P:$P,'Inputs Yr 2'!$F207,'NEI Lookups'!I:I)+SUMIF('NEI Lookups'!$Q:$Q,'Inputs Yr 2'!$F207,'NEI Lookups'!I:I)+SUMIF('NEI Lookups'!$R:$R,'Inputs Yr 2'!$F207,'NEI Lookups'!I:I)+SUMIF('NEI Lookups'!$S:$S,'Inputs Yr 2'!$F207,'NEI Lookups'!I:I)+SUMIF('NEI Lookups'!$T:$T,'Inputs Yr 2'!$F207,'NEI Lookups'!I:I)</f>
        <v>0</v>
      </c>
      <c r="AX207" s="299">
        <f>SUMIF('NEI Lookups'!$L:$L,'Inputs Yr 2'!$F207,'NEI Lookups'!J:J)+SUMIF('NEI Lookups'!$M:$M,'Inputs Yr 2'!$F207,'NEI Lookups'!J:J)+SUMIF('NEI Lookups'!$N:$N,'Inputs Yr 2'!$F207,'NEI Lookups'!J:J)+SUMIF('NEI Lookups'!$O:$O,'Inputs Yr 2'!$F207,'NEI Lookups'!J:J)+SUMIF('NEI Lookups'!$P:$P,'Inputs Yr 2'!$F207,'NEI Lookups'!J:J)+SUMIF('NEI Lookups'!$Q:$Q,'Inputs Yr 2'!$F207,'NEI Lookups'!J:J)+SUMIF('NEI Lookups'!$R:$R,'Inputs Yr 2'!$F207,'NEI Lookups'!J:J)+SUMIF('NEI Lookups'!$S:$S,'Inputs Yr 2'!$F207,'NEI Lookups'!J:J)+SUMIF('NEI Lookups'!$T:$T,'Inputs Yr 2'!$F207,'NEI Lookups'!J:J)</f>
        <v>0</v>
      </c>
      <c r="AY207" s="930" t="e">
        <f>'Calculations Yr 2'!CP207/'Calculations Yr 2'!I207</f>
        <v>#VALUE!</v>
      </c>
    </row>
    <row r="208" spans="1:51" s="133" customFormat="1" ht="12.75" customHeight="1">
      <c r="A208" s="145" t="s">
        <v>83</v>
      </c>
      <c r="B208" s="132" t="s">
        <v>873</v>
      </c>
      <c r="C208" s="132" t="s">
        <v>908</v>
      </c>
      <c r="D208" s="906" t="s">
        <v>1551</v>
      </c>
      <c r="E208" s="98" t="s">
        <v>84</v>
      </c>
      <c r="F208" s="150" t="s">
        <v>1095</v>
      </c>
      <c r="G208" s="145" t="s">
        <v>1247</v>
      </c>
      <c r="H208" s="165"/>
      <c r="I208" s="237"/>
      <c r="J208" s="971"/>
      <c r="K208" s="871">
        <v>0</v>
      </c>
      <c r="L208" s="888">
        <f t="shared" si="58"/>
        <v>0</v>
      </c>
      <c r="M208" s="978">
        <v>0.11</v>
      </c>
      <c r="N208" s="978">
        <v>2.5999999999999999E-2</v>
      </c>
      <c r="O208" s="978">
        <v>3.0000000000000001E-3</v>
      </c>
      <c r="P208" s="889">
        <v>0.91900000000000004</v>
      </c>
      <c r="Q208" s="978">
        <v>1</v>
      </c>
      <c r="R208" s="178">
        <v>1</v>
      </c>
      <c r="S208" s="178">
        <v>1</v>
      </c>
      <c r="T208" s="178">
        <v>1</v>
      </c>
      <c r="U208" s="978">
        <v>0.77900000000000003</v>
      </c>
      <c r="V208" s="978">
        <v>1</v>
      </c>
      <c r="W208" s="179"/>
      <c r="X208" s="937" t="s">
        <v>653</v>
      </c>
      <c r="Y208" s="299">
        <f>IFERROR(VLOOKUP($X208,'Demand Lookups'!$A$5:$K$101,9,0), 0)</f>
        <v>0</v>
      </c>
      <c r="Z208" s="922" t="str">
        <f>IFERROR(VLOOKUP(X208,'Demand Lookups'!$A$5:$B$101,2,0),0)</f>
        <v>Non-Electric Measures</v>
      </c>
      <c r="AA208" s="722">
        <v>0</v>
      </c>
      <c r="AB208" s="722">
        <v>0</v>
      </c>
      <c r="AC208" s="722">
        <v>0</v>
      </c>
      <c r="AD208" s="723">
        <v>0</v>
      </c>
      <c r="AE208" s="724">
        <f t="shared" si="27"/>
        <v>0</v>
      </c>
      <c r="AF208" s="723">
        <v>0</v>
      </c>
      <c r="AG208" s="723">
        <v>0</v>
      </c>
      <c r="AH208" s="648">
        <v>0</v>
      </c>
      <c r="AI208" s="648">
        <v>0</v>
      </c>
      <c r="AJ208" s="167" t="s">
        <v>87</v>
      </c>
      <c r="AK208" s="168">
        <v>0</v>
      </c>
      <c r="AL208" s="167"/>
      <c r="AM208" s="168"/>
      <c r="AN208" s="167"/>
      <c r="AO208" s="168"/>
      <c r="AP208" s="167"/>
      <c r="AQ208" s="171"/>
      <c r="AR208" s="171"/>
      <c r="AS208" s="299">
        <f>SUMIF('NEI Lookups'!$L:$L,'Inputs Yr 2'!$F208,'NEI Lookups'!E:E)+SUMIF('NEI Lookups'!$M:$M,'Inputs Yr 2'!$F208,'NEI Lookups'!E:E)+SUMIF('NEI Lookups'!$N:$N,'Inputs Yr 2'!$F208,'NEI Lookups'!E:E)+SUMIF('NEI Lookups'!$O:$O,'Inputs Yr 2'!$F208,'NEI Lookups'!E:E)+SUMIF('NEI Lookups'!$P:$P,'Inputs Yr 2'!$F208,'NEI Lookups'!E:E)+SUMIF('NEI Lookups'!$Q:$Q,'Inputs Yr 2'!$F208,'NEI Lookups'!E:E)+SUMIF('NEI Lookups'!$R:$R,'Inputs Yr 2'!$F208,'NEI Lookups'!E:E)+SUMIF('NEI Lookups'!$S:$S,'Inputs Yr 2'!$F208,'NEI Lookups'!E:E)+SUMIF('NEI Lookups'!$T:$T,'Inputs Yr 2'!$F208,'NEI Lookups'!E:E)</f>
        <v>0</v>
      </c>
      <c r="AT208" s="299">
        <f>SUMIF('NEI Lookups'!$L:$L,'Inputs Yr 2'!$F208,'NEI Lookups'!F:F)+SUMIF('NEI Lookups'!$M:$M,'Inputs Yr 2'!$F208,'NEI Lookups'!F:F)+SUMIF('NEI Lookups'!$N:$N,'Inputs Yr 2'!$F208,'NEI Lookups'!F:F)+SUMIF('NEI Lookups'!$O:$O,'Inputs Yr 2'!$F208,'NEI Lookups'!F:F)+SUMIF('NEI Lookups'!$P:$P,'Inputs Yr 2'!$F208,'NEI Lookups'!F:F)+SUMIF('NEI Lookups'!$Q:$Q,'Inputs Yr 2'!$F208,'NEI Lookups'!F:F)+SUMIF('NEI Lookups'!$R:$R,'Inputs Yr 2'!$F208,'NEI Lookups'!F:F)+SUMIF('NEI Lookups'!$S:$S,'Inputs Yr 2'!$F208,'NEI Lookups'!F:F)+SUMIF('NEI Lookups'!$T:$T,'Inputs Yr 2'!$F208,'NEI Lookups'!F:F)</f>
        <v>0</v>
      </c>
      <c r="AU208" s="299">
        <f>SUMIF('NEI Lookups'!$L:$L,'Inputs Yr 2'!$F208,'NEI Lookups'!G:G)+SUMIF('NEI Lookups'!$M:$M,'Inputs Yr 2'!$F208,'NEI Lookups'!G:G)+SUMIF('NEI Lookups'!$N:$N,'Inputs Yr 2'!$F208,'NEI Lookups'!G:G)+SUMIF('NEI Lookups'!$O:$O,'Inputs Yr 2'!$F208,'NEI Lookups'!G:G)+SUMIF('NEI Lookups'!$P:$P,'Inputs Yr 2'!$F208,'NEI Lookups'!G:G)+SUMIF('NEI Lookups'!$Q:$Q,'Inputs Yr 2'!$F208,'NEI Lookups'!G:G)+SUMIF('NEI Lookups'!$R:$R,'Inputs Yr 2'!$F208,'NEI Lookups'!G:G)+SUMIF('NEI Lookups'!$S:$S,'Inputs Yr 2'!$F208,'NEI Lookups'!G:G)+SUMIF('NEI Lookups'!$T:$T,'Inputs Yr 2'!$F208,'NEI Lookups'!G:G)</f>
        <v>0</v>
      </c>
      <c r="AV208" s="299">
        <f>SUMIF('NEI Lookups'!$L:$L,'Inputs Yr 2'!$F208,'NEI Lookups'!H:H)+SUMIF('NEI Lookups'!$M:$M,'Inputs Yr 2'!$F208,'NEI Lookups'!H:H)+SUMIF('NEI Lookups'!$N:$N,'Inputs Yr 2'!$F208,'NEI Lookups'!H:H)+SUMIF('NEI Lookups'!$O:$O,'Inputs Yr 2'!$F208,'NEI Lookups'!H:H)+SUMIF('NEI Lookups'!$P:$P,'Inputs Yr 2'!$F208,'NEI Lookups'!H:H)+SUMIF('NEI Lookups'!$Q:$Q,'Inputs Yr 2'!$F208,'NEI Lookups'!H:H)+SUMIF('NEI Lookups'!$R:$R,'Inputs Yr 2'!$F208,'NEI Lookups'!H:H)+SUMIF('NEI Lookups'!$S:$S,'Inputs Yr 2'!$F208,'NEI Lookups'!H:H)+SUMIF('NEI Lookups'!$T:$T,'Inputs Yr 2'!$F208,'NEI Lookups'!H:H)</f>
        <v>0</v>
      </c>
      <c r="AW208" s="299">
        <f>SUMIF('NEI Lookups'!$L:$L,'Inputs Yr 2'!$F208,'NEI Lookups'!I:I)+SUMIF('NEI Lookups'!$M:$M,'Inputs Yr 2'!$F208,'NEI Lookups'!I:I)+SUMIF('NEI Lookups'!$N:$N,'Inputs Yr 2'!$F208,'NEI Lookups'!I:I)+SUMIF('NEI Lookups'!$O:$O,'Inputs Yr 2'!$F208,'NEI Lookups'!I:I)+SUMIF('NEI Lookups'!$P:$P,'Inputs Yr 2'!$F208,'NEI Lookups'!I:I)+SUMIF('NEI Lookups'!$Q:$Q,'Inputs Yr 2'!$F208,'NEI Lookups'!I:I)+SUMIF('NEI Lookups'!$R:$R,'Inputs Yr 2'!$F208,'NEI Lookups'!I:I)+SUMIF('NEI Lookups'!$S:$S,'Inputs Yr 2'!$F208,'NEI Lookups'!I:I)+SUMIF('NEI Lookups'!$T:$T,'Inputs Yr 2'!$F208,'NEI Lookups'!I:I)</f>
        <v>0</v>
      </c>
      <c r="AX208" s="299">
        <f>SUMIF('NEI Lookups'!$L:$L,'Inputs Yr 2'!$F208,'NEI Lookups'!J:J)+SUMIF('NEI Lookups'!$M:$M,'Inputs Yr 2'!$F208,'NEI Lookups'!J:J)+SUMIF('NEI Lookups'!$N:$N,'Inputs Yr 2'!$F208,'NEI Lookups'!J:J)+SUMIF('NEI Lookups'!$O:$O,'Inputs Yr 2'!$F208,'NEI Lookups'!J:J)+SUMIF('NEI Lookups'!$P:$P,'Inputs Yr 2'!$F208,'NEI Lookups'!J:J)+SUMIF('NEI Lookups'!$Q:$Q,'Inputs Yr 2'!$F208,'NEI Lookups'!J:J)+SUMIF('NEI Lookups'!$R:$R,'Inputs Yr 2'!$F208,'NEI Lookups'!J:J)+SUMIF('NEI Lookups'!$S:$S,'Inputs Yr 2'!$F208,'NEI Lookups'!J:J)+SUMIF('NEI Lookups'!$T:$T,'Inputs Yr 2'!$F208,'NEI Lookups'!J:J)</f>
        <v>0</v>
      </c>
      <c r="AY208" s="930" t="e">
        <f>'Calculations Yr 2'!CP208/'Calculations Yr 2'!I208</f>
        <v>#VALUE!</v>
      </c>
    </row>
    <row r="209" spans="1:51" s="133" customFormat="1" ht="12.75" customHeight="1">
      <c r="A209" s="145" t="s">
        <v>83</v>
      </c>
      <c r="B209" s="132" t="s">
        <v>873</v>
      </c>
      <c r="C209" s="132" t="s">
        <v>908</v>
      </c>
      <c r="D209" s="99"/>
      <c r="E209" s="98" t="s">
        <v>85</v>
      </c>
      <c r="F209" s="150" t="s">
        <v>1096</v>
      </c>
      <c r="G209" s="145" t="s">
        <v>1247</v>
      </c>
      <c r="H209" s="165"/>
      <c r="I209" s="968"/>
      <c r="J209" s="964"/>
      <c r="K209" s="166">
        <v>0</v>
      </c>
      <c r="L209" s="888">
        <f t="shared" si="58"/>
        <v>0</v>
      </c>
      <c r="M209" s="980">
        <v>0.11</v>
      </c>
      <c r="N209" s="980">
        <v>2.5999999999999999E-2</v>
      </c>
      <c r="O209" s="980">
        <v>3.0000000000000001E-3</v>
      </c>
      <c r="P209" s="889">
        <f t="shared" ref="P209" si="71">1-M209+N209+O209</f>
        <v>0.91900000000000004</v>
      </c>
      <c r="Q209" s="980">
        <v>1</v>
      </c>
      <c r="R209" s="178">
        <v>1</v>
      </c>
      <c r="S209" s="178">
        <v>1</v>
      </c>
      <c r="T209" s="178">
        <v>1</v>
      </c>
      <c r="U209" s="978">
        <v>0</v>
      </c>
      <c r="V209" s="978">
        <v>0</v>
      </c>
      <c r="W209" s="890"/>
      <c r="X209" s="937" t="s">
        <v>653</v>
      </c>
      <c r="Y209" s="299">
        <f>IFERROR(VLOOKUP($X209,'Demand Lookups'!$A$5:$K$101,9,0), 0)</f>
        <v>0</v>
      </c>
      <c r="Z209" s="922" t="str">
        <f>IFERROR(VLOOKUP(X209,'Demand Lookups'!$A$5:$B$101,2,0),0)</f>
        <v>Non-Electric Measures</v>
      </c>
      <c r="AA209" s="722">
        <v>0</v>
      </c>
      <c r="AB209" s="722">
        <v>0</v>
      </c>
      <c r="AC209" s="722">
        <v>0</v>
      </c>
      <c r="AD209" s="723">
        <v>0</v>
      </c>
      <c r="AE209" s="724">
        <f t="shared" ref="AE209" si="72">IF(ISERROR(W209*Y209),"",W209*Y209)</f>
        <v>0</v>
      </c>
      <c r="AF209" s="723">
        <v>0</v>
      </c>
      <c r="AG209" s="723">
        <v>0</v>
      </c>
      <c r="AH209" s="648">
        <f t="shared" ref="AH209" si="73">AF209</f>
        <v>0</v>
      </c>
      <c r="AI209" s="648">
        <f t="shared" ref="AI209" si="74">AF209</f>
        <v>0</v>
      </c>
      <c r="AJ209" s="167" t="s">
        <v>87</v>
      </c>
      <c r="AK209" s="168">
        <v>0</v>
      </c>
      <c r="AL209" s="167"/>
      <c r="AM209" s="168"/>
      <c r="AN209" s="167"/>
      <c r="AO209" s="168"/>
      <c r="AP209" s="167"/>
      <c r="AQ209" s="171"/>
      <c r="AR209" s="171"/>
      <c r="AS209" s="299">
        <f>SUMIF('NEI Lookups'!$L:$L,'Inputs Yr 2'!$F209,'NEI Lookups'!E:E)+SUMIF('NEI Lookups'!$M:$M,'Inputs Yr 2'!$F209,'NEI Lookups'!E:E)+SUMIF('NEI Lookups'!$N:$N,'Inputs Yr 2'!$F209,'NEI Lookups'!E:E)+SUMIF('NEI Lookups'!$O:$O,'Inputs Yr 2'!$F209,'NEI Lookups'!E:E)+SUMIF('NEI Lookups'!$P:$P,'Inputs Yr 2'!$F209,'NEI Lookups'!E:E)+SUMIF('NEI Lookups'!$Q:$Q,'Inputs Yr 2'!$F209,'NEI Lookups'!E:E)+SUMIF('NEI Lookups'!$R:$R,'Inputs Yr 2'!$F209,'NEI Lookups'!E:E)+SUMIF('NEI Lookups'!$S:$S,'Inputs Yr 2'!$F209,'NEI Lookups'!E:E)+SUMIF('NEI Lookups'!$T:$T,'Inputs Yr 2'!$F209,'NEI Lookups'!E:E)</f>
        <v>0</v>
      </c>
      <c r="AT209" s="299">
        <f>SUMIF('NEI Lookups'!$L:$L,'Inputs Yr 2'!$F209,'NEI Lookups'!F:F)+SUMIF('NEI Lookups'!$M:$M,'Inputs Yr 2'!$F209,'NEI Lookups'!F:F)+SUMIF('NEI Lookups'!$N:$N,'Inputs Yr 2'!$F209,'NEI Lookups'!F:F)+SUMIF('NEI Lookups'!$O:$O,'Inputs Yr 2'!$F209,'NEI Lookups'!F:F)+SUMIF('NEI Lookups'!$P:$P,'Inputs Yr 2'!$F209,'NEI Lookups'!F:F)+SUMIF('NEI Lookups'!$Q:$Q,'Inputs Yr 2'!$F209,'NEI Lookups'!F:F)+SUMIF('NEI Lookups'!$R:$R,'Inputs Yr 2'!$F209,'NEI Lookups'!F:F)+SUMIF('NEI Lookups'!$S:$S,'Inputs Yr 2'!$F209,'NEI Lookups'!F:F)+SUMIF('NEI Lookups'!$T:$T,'Inputs Yr 2'!$F209,'NEI Lookups'!F:F)</f>
        <v>0</v>
      </c>
      <c r="AU209" s="299">
        <f>SUMIF('NEI Lookups'!$L:$L,'Inputs Yr 2'!$F209,'NEI Lookups'!G:G)+SUMIF('NEI Lookups'!$M:$M,'Inputs Yr 2'!$F209,'NEI Lookups'!G:G)+SUMIF('NEI Lookups'!$N:$N,'Inputs Yr 2'!$F209,'NEI Lookups'!G:G)+SUMIF('NEI Lookups'!$O:$O,'Inputs Yr 2'!$F209,'NEI Lookups'!G:G)+SUMIF('NEI Lookups'!$P:$P,'Inputs Yr 2'!$F209,'NEI Lookups'!G:G)+SUMIF('NEI Lookups'!$Q:$Q,'Inputs Yr 2'!$F209,'NEI Lookups'!G:G)+SUMIF('NEI Lookups'!$R:$R,'Inputs Yr 2'!$F209,'NEI Lookups'!G:G)+SUMIF('NEI Lookups'!$S:$S,'Inputs Yr 2'!$F209,'NEI Lookups'!G:G)+SUMIF('NEI Lookups'!$T:$T,'Inputs Yr 2'!$F209,'NEI Lookups'!G:G)</f>
        <v>0</v>
      </c>
      <c r="AV209" s="299">
        <f>SUMIF('NEI Lookups'!$L:$L,'Inputs Yr 2'!$F209,'NEI Lookups'!H:H)+SUMIF('NEI Lookups'!$M:$M,'Inputs Yr 2'!$F209,'NEI Lookups'!H:H)+SUMIF('NEI Lookups'!$N:$N,'Inputs Yr 2'!$F209,'NEI Lookups'!H:H)+SUMIF('NEI Lookups'!$O:$O,'Inputs Yr 2'!$F209,'NEI Lookups'!H:H)+SUMIF('NEI Lookups'!$P:$P,'Inputs Yr 2'!$F209,'NEI Lookups'!H:H)+SUMIF('NEI Lookups'!$Q:$Q,'Inputs Yr 2'!$F209,'NEI Lookups'!H:H)+SUMIF('NEI Lookups'!$R:$R,'Inputs Yr 2'!$F209,'NEI Lookups'!H:H)+SUMIF('NEI Lookups'!$S:$S,'Inputs Yr 2'!$F209,'NEI Lookups'!H:H)+SUMIF('NEI Lookups'!$T:$T,'Inputs Yr 2'!$F209,'NEI Lookups'!H:H)</f>
        <v>0</v>
      </c>
      <c r="AW209" s="299">
        <f>SUMIF('NEI Lookups'!$L:$L,'Inputs Yr 2'!$F209,'NEI Lookups'!I:I)+SUMIF('NEI Lookups'!$M:$M,'Inputs Yr 2'!$F209,'NEI Lookups'!I:I)+SUMIF('NEI Lookups'!$N:$N,'Inputs Yr 2'!$F209,'NEI Lookups'!I:I)+SUMIF('NEI Lookups'!$O:$O,'Inputs Yr 2'!$F209,'NEI Lookups'!I:I)+SUMIF('NEI Lookups'!$P:$P,'Inputs Yr 2'!$F209,'NEI Lookups'!I:I)+SUMIF('NEI Lookups'!$Q:$Q,'Inputs Yr 2'!$F209,'NEI Lookups'!I:I)+SUMIF('NEI Lookups'!$R:$R,'Inputs Yr 2'!$F209,'NEI Lookups'!I:I)+SUMIF('NEI Lookups'!$S:$S,'Inputs Yr 2'!$F209,'NEI Lookups'!I:I)+SUMIF('NEI Lookups'!$T:$T,'Inputs Yr 2'!$F209,'NEI Lookups'!I:I)</f>
        <v>0</v>
      </c>
      <c r="AX209" s="299">
        <f>SUMIF('NEI Lookups'!$L:$L,'Inputs Yr 2'!$F209,'NEI Lookups'!J:J)+SUMIF('NEI Lookups'!$M:$M,'Inputs Yr 2'!$F209,'NEI Lookups'!J:J)+SUMIF('NEI Lookups'!$N:$N,'Inputs Yr 2'!$F209,'NEI Lookups'!J:J)+SUMIF('NEI Lookups'!$O:$O,'Inputs Yr 2'!$F209,'NEI Lookups'!J:J)+SUMIF('NEI Lookups'!$P:$P,'Inputs Yr 2'!$F209,'NEI Lookups'!J:J)+SUMIF('NEI Lookups'!$Q:$Q,'Inputs Yr 2'!$F209,'NEI Lookups'!J:J)+SUMIF('NEI Lookups'!$R:$R,'Inputs Yr 2'!$F209,'NEI Lookups'!J:J)+SUMIF('NEI Lookups'!$S:$S,'Inputs Yr 2'!$F209,'NEI Lookups'!J:J)+SUMIF('NEI Lookups'!$T:$T,'Inputs Yr 2'!$F209,'NEI Lookups'!J:J)</f>
        <v>0</v>
      </c>
      <c r="AY209" s="930" t="e">
        <f>'Calculations Yr 2'!CP209/'Calculations Yr 2'!I209</f>
        <v>#VALUE!</v>
      </c>
    </row>
    <row r="210" spans="1:51" s="133" customFormat="1" ht="12.75" customHeight="1">
      <c r="A210" s="145" t="s">
        <v>83</v>
      </c>
      <c r="B210" s="132" t="s">
        <v>873</v>
      </c>
      <c r="C210" s="132" t="s">
        <v>908</v>
      </c>
      <c r="D210" s="906" t="s">
        <v>1552</v>
      </c>
      <c r="E210" s="98" t="s">
        <v>1510</v>
      </c>
      <c r="F210" s="150" t="s">
        <v>1097</v>
      </c>
      <c r="G210" s="145" t="s">
        <v>1244</v>
      </c>
      <c r="H210" s="165">
        <v>1</v>
      </c>
      <c r="I210" s="237">
        <v>20</v>
      </c>
      <c r="J210" s="971">
        <v>116064.13333333335</v>
      </c>
      <c r="K210" s="871">
        <v>87048.1</v>
      </c>
      <c r="L210" s="888">
        <f t="shared" si="58"/>
        <v>29016.03333333334</v>
      </c>
      <c r="M210" s="978">
        <v>0.11</v>
      </c>
      <c r="N210" s="978">
        <v>2.5999999999999999E-2</v>
      </c>
      <c r="O210" s="978">
        <v>3.0000000000000001E-3</v>
      </c>
      <c r="P210" s="889">
        <f t="shared" si="26"/>
        <v>0.91900000000000004</v>
      </c>
      <c r="Q210" s="978">
        <v>1</v>
      </c>
      <c r="R210" s="178">
        <v>1</v>
      </c>
      <c r="S210" s="178">
        <v>1</v>
      </c>
      <c r="T210" s="178">
        <v>1</v>
      </c>
      <c r="U210" s="978">
        <v>0.77900000000000003</v>
      </c>
      <c r="V210" s="978">
        <v>1</v>
      </c>
      <c r="W210" s="179"/>
      <c r="X210" s="937" t="s">
        <v>653</v>
      </c>
      <c r="Y210" s="299">
        <f>IFERROR(VLOOKUP($X210,'Demand Lookups'!$A$5:$K$101,9,0), 0)</f>
        <v>0</v>
      </c>
      <c r="Z210" s="922" t="str">
        <f>IFERROR(VLOOKUP(X210,'Demand Lookups'!$A$5:$B$101,2,0),0)</f>
        <v>Non-Electric Measures</v>
      </c>
      <c r="AA210" s="722">
        <f>IF(ISNA(VLOOKUP($X210,'Demand Lookups'!$A$5:$K$81,3,0)),0,VLOOKUP($X210,'Demand Lookups'!$A$5:$K$81,3,0))</f>
        <v>0</v>
      </c>
      <c r="AB210" s="722">
        <f>IF(ISNA(VLOOKUP($X210,'Demand Lookups'!$A$5:$K$81,4,0)),0,VLOOKUP($X210,'Demand Lookups'!$A$5:$K$81,4,0))</f>
        <v>0</v>
      </c>
      <c r="AC210" s="722">
        <f>IF(ISNA(VLOOKUP($X210,'Demand Lookups'!$A$5:$K$81,5,0)),0,VLOOKUP($X210,'Demand Lookups'!$A$5:$K$81,5,0))</f>
        <v>0</v>
      </c>
      <c r="AD210" s="723">
        <f>IF(ISNA(VLOOKUP($X210,'Demand Lookups'!$A$5:$K$81,6,0)),0,VLOOKUP($X210,'Demand Lookups'!$A$5:$K$81,6,0))</f>
        <v>0</v>
      </c>
      <c r="AE210" s="724">
        <f t="shared" si="27"/>
        <v>0</v>
      </c>
      <c r="AF210" s="723">
        <f>ROUND(IF(ISNA(VLOOKUP($X210,'Demand Lookups'!$A$5:$K$82,10,0)),0,(VLOOKUP($X210,'Demand Lookups'!$A$5:$K$82,10,0))),2)</f>
        <v>0</v>
      </c>
      <c r="AG210" s="723">
        <f>ROUND(IF(ISNA(VLOOKUP($X210,'Demand Lookups'!$A$5:$K$82,11,0)),0,VLOOKUP($X210,'Demand Lookups'!$A$5:$K$82,11,0)),2)</f>
        <v>0</v>
      </c>
      <c r="AH210" s="648">
        <f t="shared" si="28"/>
        <v>0</v>
      </c>
      <c r="AI210" s="648">
        <f t="shared" si="29"/>
        <v>0</v>
      </c>
      <c r="AJ210" s="167" t="s">
        <v>200</v>
      </c>
      <c r="AK210" s="168">
        <v>4352.6000000000004</v>
      </c>
      <c r="AL210" s="167"/>
      <c r="AM210" s="168"/>
      <c r="AN210" s="167"/>
      <c r="AO210" s="168"/>
      <c r="AP210" s="167"/>
      <c r="AQ210" s="171">
        <v>0</v>
      </c>
      <c r="AR210" s="171">
        <v>0</v>
      </c>
      <c r="AS210" s="299">
        <f>SUMIF('NEI Lookups'!$L:$L,'Inputs Yr 2'!$F210,'NEI Lookups'!E:E)+SUMIF('NEI Lookups'!$M:$M,'Inputs Yr 2'!$F210,'NEI Lookups'!E:E)+SUMIF('NEI Lookups'!$N:$N,'Inputs Yr 2'!$F210,'NEI Lookups'!E:E)+SUMIF('NEI Lookups'!$O:$O,'Inputs Yr 2'!$F210,'NEI Lookups'!E:E)+SUMIF('NEI Lookups'!$P:$P,'Inputs Yr 2'!$F210,'NEI Lookups'!E:E)+SUMIF('NEI Lookups'!$Q:$Q,'Inputs Yr 2'!$F210,'NEI Lookups'!E:E)+SUMIF('NEI Lookups'!$R:$R,'Inputs Yr 2'!$F210,'NEI Lookups'!E:E)+SUMIF('NEI Lookups'!$S:$S,'Inputs Yr 2'!$F210,'NEI Lookups'!E:E)+SUMIF('NEI Lookups'!$T:$T,'Inputs Yr 2'!$F210,'NEI Lookups'!E:E)</f>
        <v>0</v>
      </c>
      <c r="AT210" s="299">
        <f>SUMIF('NEI Lookups'!$L:$L,'Inputs Yr 2'!$F210,'NEI Lookups'!F:F)+SUMIF('NEI Lookups'!$M:$M,'Inputs Yr 2'!$F210,'NEI Lookups'!F:F)+SUMIF('NEI Lookups'!$N:$N,'Inputs Yr 2'!$F210,'NEI Lookups'!F:F)+SUMIF('NEI Lookups'!$O:$O,'Inputs Yr 2'!$F210,'NEI Lookups'!F:F)+SUMIF('NEI Lookups'!$P:$P,'Inputs Yr 2'!$F210,'NEI Lookups'!F:F)+SUMIF('NEI Lookups'!$Q:$Q,'Inputs Yr 2'!$F210,'NEI Lookups'!F:F)+SUMIF('NEI Lookups'!$R:$R,'Inputs Yr 2'!$F210,'NEI Lookups'!F:F)+SUMIF('NEI Lookups'!$S:$S,'Inputs Yr 2'!$F210,'NEI Lookups'!F:F)+SUMIF('NEI Lookups'!$T:$T,'Inputs Yr 2'!$F210,'NEI Lookups'!F:F)</f>
        <v>0</v>
      </c>
      <c r="AU210" s="299">
        <f>SUMIF('NEI Lookups'!$L:$L,'Inputs Yr 2'!$F210,'NEI Lookups'!G:G)+SUMIF('NEI Lookups'!$M:$M,'Inputs Yr 2'!$F210,'NEI Lookups'!G:G)+SUMIF('NEI Lookups'!$N:$N,'Inputs Yr 2'!$F210,'NEI Lookups'!G:G)+SUMIF('NEI Lookups'!$O:$O,'Inputs Yr 2'!$F210,'NEI Lookups'!G:G)+SUMIF('NEI Lookups'!$P:$P,'Inputs Yr 2'!$F210,'NEI Lookups'!G:G)+SUMIF('NEI Lookups'!$Q:$Q,'Inputs Yr 2'!$F210,'NEI Lookups'!G:G)+SUMIF('NEI Lookups'!$R:$R,'Inputs Yr 2'!$F210,'NEI Lookups'!G:G)+SUMIF('NEI Lookups'!$S:$S,'Inputs Yr 2'!$F210,'NEI Lookups'!G:G)+SUMIF('NEI Lookups'!$T:$T,'Inputs Yr 2'!$F210,'NEI Lookups'!G:G)</f>
        <v>0</v>
      </c>
      <c r="AV210" s="299">
        <f>SUMIF('NEI Lookups'!$L:$L,'Inputs Yr 2'!$F210,'NEI Lookups'!H:H)+SUMIF('NEI Lookups'!$M:$M,'Inputs Yr 2'!$F210,'NEI Lookups'!H:H)+SUMIF('NEI Lookups'!$N:$N,'Inputs Yr 2'!$F210,'NEI Lookups'!H:H)+SUMIF('NEI Lookups'!$O:$O,'Inputs Yr 2'!$F210,'NEI Lookups'!H:H)+SUMIF('NEI Lookups'!$P:$P,'Inputs Yr 2'!$F210,'NEI Lookups'!H:H)+SUMIF('NEI Lookups'!$Q:$Q,'Inputs Yr 2'!$F210,'NEI Lookups'!H:H)+SUMIF('NEI Lookups'!$R:$R,'Inputs Yr 2'!$F210,'NEI Lookups'!H:H)+SUMIF('NEI Lookups'!$S:$S,'Inputs Yr 2'!$F210,'NEI Lookups'!H:H)+SUMIF('NEI Lookups'!$T:$T,'Inputs Yr 2'!$F210,'NEI Lookups'!H:H)</f>
        <v>0</v>
      </c>
      <c r="AW210" s="299">
        <f>SUMIF('NEI Lookups'!$L:$L,'Inputs Yr 2'!$F210,'NEI Lookups'!I:I)+SUMIF('NEI Lookups'!$M:$M,'Inputs Yr 2'!$F210,'NEI Lookups'!I:I)+SUMIF('NEI Lookups'!$N:$N,'Inputs Yr 2'!$F210,'NEI Lookups'!I:I)+SUMIF('NEI Lookups'!$O:$O,'Inputs Yr 2'!$F210,'NEI Lookups'!I:I)+SUMIF('NEI Lookups'!$P:$P,'Inputs Yr 2'!$F210,'NEI Lookups'!I:I)+SUMIF('NEI Lookups'!$Q:$Q,'Inputs Yr 2'!$F210,'NEI Lookups'!I:I)+SUMIF('NEI Lookups'!$R:$R,'Inputs Yr 2'!$F210,'NEI Lookups'!I:I)+SUMIF('NEI Lookups'!$S:$S,'Inputs Yr 2'!$F210,'NEI Lookups'!I:I)+SUMIF('NEI Lookups'!$T:$T,'Inputs Yr 2'!$F210,'NEI Lookups'!I:I)</f>
        <v>0</v>
      </c>
      <c r="AX210" s="299">
        <f>SUMIF('NEI Lookups'!$L:$L,'Inputs Yr 2'!$F210,'NEI Lookups'!J:J)+SUMIF('NEI Lookups'!$M:$M,'Inputs Yr 2'!$F210,'NEI Lookups'!J:J)+SUMIF('NEI Lookups'!$N:$N,'Inputs Yr 2'!$F210,'NEI Lookups'!J:J)+SUMIF('NEI Lookups'!$O:$O,'Inputs Yr 2'!$F210,'NEI Lookups'!J:J)+SUMIF('NEI Lookups'!$P:$P,'Inputs Yr 2'!$F210,'NEI Lookups'!J:J)+SUMIF('NEI Lookups'!$Q:$Q,'Inputs Yr 2'!$F210,'NEI Lookups'!J:J)+SUMIF('NEI Lookups'!$R:$R,'Inputs Yr 2'!$F210,'NEI Lookups'!J:J)+SUMIF('NEI Lookups'!$S:$S,'Inputs Yr 2'!$F210,'NEI Lookups'!J:J)+SUMIF('NEI Lookups'!$T:$T,'Inputs Yr 2'!$F210,'NEI Lookups'!J:J)</f>
        <v>0</v>
      </c>
      <c r="AY210" s="930">
        <f>'Calculations Yr 2'!CP210/'Calculations Yr 2'!I210</f>
        <v>4.8757126469387053</v>
      </c>
    </row>
    <row r="211" spans="1:51" s="133" customFormat="1" ht="13.5" customHeight="1">
      <c r="A211" s="145" t="s">
        <v>83</v>
      </c>
      <c r="B211" s="132" t="s">
        <v>873</v>
      </c>
      <c r="C211" s="132" t="s">
        <v>908</v>
      </c>
      <c r="D211" s="906" t="s">
        <v>1553</v>
      </c>
      <c r="E211" s="98" t="s">
        <v>1511</v>
      </c>
      <c r="F211" s="150" t="s">
        <v>1098</v>
      </c>
      <c r="G211" s="145" t="s">
        <v>86</v>
      </c>
      <c r="H211" s="165">
        <v>1</v>
      </c>
      <c r="I211" s="237">
        <v>10</v>
      </c>
      <c r="J211" s="971">
        <v>2652</v>
      </c>
      <c r="K211" s="871">
        <v>1989</v>
      </c>
      <c r="L211" s="888">
        <f t="shared" si="58"/>
        <v>663</v>
      </c>
      <c r="M211" s="978">
        <v>0.11</v>
      </c>
      <c r="N211" s="978">
        <v>2.5999999999999999E-2</v>
      </c>
      <c r="O211" s="978">
        <v>3.0000000000000001E-3</v>
      </c>
      <c r="P211" s="889">
        <f t="shared" ref="P211" si="75">1-M211+N211+O211</f>
        <v>0.91900000000000004</v>
      </c>
      <c r="Q211" s="978">
        <v>1</v>
      </c>
      <c r="R211" s="178">
        <v>1</v>
      </c>
      <c r="S211" s="178">
        <v>1</v>
      </c>
      <c r="T211" s="178">
        <v>1</v>
      </c>
      <c r="U211" s="978">
        <v>0.77900000000000003</v>
      </c>
      <c r="V211" s="978">
        <v>1</v>
      </c>
      <c r="W211" s="179"/>
      <c r="X211" s="937" t="s">
        <v>653</v>
      </c>
      <c r="Y211" s="299">
        <f>IFERROR(VLOOKUP($X211,'Demand Lookups'!$A$5:$K$101,9,0), 0)</f>
        <v>0</v>
      </c>
      <c r="Z211" s="922" t="str">
        <f>IFERROR(VLOOKUP(X211,'Demand Lookups'!$A$5:$B$101,2,0),0)</f>
        <v>Non-Electric Measures</v>
      </c>
      <c r="AA211" s="722">
        <f>IF(ISNA(VLOOKUP($X211,'Demand Lookups'!$A$5:$K$81,3,0)),0,VLOOKUP($X211,'Demand Lookups'!$A$5:$K$81,3,0))</f>
        <v>0</v>
      </c>
      <c r="AB211" s="722">
        <f>IF(ISNA(VLOOKUP($X211,'Demand Lookups'!$A$5:$K$81,4,0)),0,VLOOKUP($X211,'Demand Lookups'!$A$5:$K$81,4,0))</f>
        <v>0</v>
      </c>
      <c r="AC211" s="722">
        <f>IF(ISNA(VLOOKUP($X211,'Demand Lookups'!$A$5:$K$81,5,0)),0,VLOOKUP($X211,'Demand Lookups'!$A$5:$K$81,5,0))</f>
        <v>0</v>
      </c>
      <c r="AD211" s="723">
        <f>IF(ISNA(VLOOKUP($X211,'Demand Lookups'!$A$5:$K$81,6,0)),0,VLOOKUP($X211,'Demand Lookups'!$A$5:$K$81,6,0))</f>
        <v>0</v>
      </c>
      <c r="AE211" s="724">
        <f t="shared" ref="AE211" si="76">IF(ISERROR(W211*Y211),"",W211*Y211)</f>
        <v>0</v>
      </c>
      <c r="AF211" s="723">
        <f>ROUND(IF(ISNA(VLOOKUP($X211,'Demand Lookups'!$A$5:$K$82,10,0)),0,(VLOOKUP($X211,'Demand Lookups'!$A$5:$K$82,10,0))),2)</f>
        <v>0</v>
      </c>
      <c r="AG211" s="723">
        <f>ROUND(IF(ISNA(VLOOKUP($X211,'Demand Lookups'!$A$5:$K$82,11,0)),0,VLOOKUP($X211,'Demand Lookups'!$A$5:$K$82,11,0)),2)</f>
        <v>0</v>
      </c>
      <c r="AH211" s="648">
        <f t="shared" ref="AH211" si="77">AF211</f>
        <v>0</v>
      </c>
      <c r="AI211" s="648">
        <f t="shared" ref="AI211" si="78">AF211</f>
        <v>0</v>
      </c>
      <c r="AJ211" s="167" t="s">
        <v>200</v>
      </c>
      <c r="AK211" s="168">
        <v>132.6</v>
      </c>
      <c r="AL211" s="167"/>
      <c r="AM211" s="168"/>
      <c r="AN211" s="167"/>
      <c r="AO211" s="168"/>
      <c r="AP211" s="167"/>
      <c r="AQ211" s="171">
        <v>0</v>
      </c>
      <c r="AR211" s="171">
        <v>0</v>
      </c>
      <c r="AS211" s="299">
        <f>SUMIF('NEI Lookups'!$L:$L,'Inputs Yr 2'!$F211,'NEI Lookups'!E:E)+SUMIF('NEI Lookups'!$M:$M,'Inputs Yr 2'!$F211,'NEI Lookups'!E:E)+SUMIF('NEI Lookups'!$N:$N,'Inputs Yr 2'!$F211,'NEI Lookups'!E:E)+SUMIF('NEI Lookups'!$O:$O,'Inputs Yr 2'!$F211,'NEI Lookups'!E:E)+SUMIF('NEI Lookups'!$P:$P,'Inputs Yr 2'!$F211,'NEI Lookups'!E:E)+SUMIF('NEI Lookups'!$Q:$Q,'Inputs Yr 2'!$F211,'NEI Lookups'!E:E)+SUMIF('NEI Lookups'!$R:$R,'Inputs Yr 2'!$F211,'NEI Lookups'!E:E)+SUMIF('NEI Lookups'!$S:$S,'Inputs Yr 2'!$F211,'NEI Lookups'!E:E)+SUMIF('NEI Lookups'!$T:$T,'Inputs Yr 2'!$F211,'NEI Lookups'!E:E)</f>
        <v>0</v>
      </c>
      <c r="AT211" s="299">
        <f>SUMIF('NEI Lookups'!$L:$L,'Inputs Yr 2'!$F211,'NEI Lookups'!F:F)+SUMIF('NEI Lookups'!$M:$M,'Inputs Yr 2'!$F211,'NEI Lookups'!F:F)+SUMIF('NEI Lookups'!$N:$N,'Inputs Yr 2'!$F211,'NEI Lookups'!F:F)+SUMIF('NEI Lookups'!$O:$O,'Inputs Yr 2'!$F211,'NEI Lookups'!F:F)+SUMIF('NEI Lookups'!$P:$P,'Inputs Yr 2'!$F211,'NEI Lookups'!F:F)+SUMIF('NEI Lookups'!$Q:$Q,'Inputs Yr 2'!$F211,'NEI Lookups'!F:F)+SUMIF('NEI Lookups'!$R:$R,'Inputs Yr 2'!$F211,'NEI Lookups'!F:F)+SUMIF('NEI Lookups'!$S:$S,'Inputs Yr 2'!$F211,'NEI Lookups'!F:F)+SUMIF('NEI Lookups'!$T:$T,'Inputs Yr 2'!$F211,'NEI Lookups'!F:F)</f>
        <v>0</v>
      </c>
      <c r="AU211" s="299">
        <f>SUMIF('NEI Lookups'!$L:$L,'Inputs Yr 2'!$F211,'NEI Lookups'!G:G)+SUMIF('NEI Lookups'!$M:$M,'Inputs Yr 2'!$F211,'NEI Lookups'!G:G)+SUMIF('NEI Lookups'!$N:$N,'Inputs Yr 2'!$F211,'NEI Lookups'!G:G)+SUMIF('NEI Lookups'!$O:$O,'Inputs Yr 2'!$F211,'NEI Lookups'!G:G)+SUMIF('NEI Lookups'!$P:$P,'Inputs Yr 2'!$F211,'NEI Lookups'!G:G)+SUMIF('NEI Lookups'!$Q:$Q,'Inputs Yr 2'!$F211,'NEI Lookups'!G:G)+SUMIF('NEI Lookups'!$R:$R,'Inputs Yr 2'!$F211,'NEI Lookups'!G:G)+SUMIF('NEI Lookups'!$S:$S,'Inputs Yr 2'!$F211,'NEI Lookups'!G:G)+SUMIF('NEI Lookups'!$T:$T,'Inputs Yr 2'!$F211,'NEI Lookups'!G:G)</f>
        <v>0</v>
      </c>
      <c r="AV211" s="299">
        <f>SUMIF('NEI Lookups'!$L:$L,'Inputs Yr 2'!$F211,'NEI Lookups'!H:H)+SUMIF('NEI Lookups'!$M:$M,'Inputs Yr 2'!$F211,'NEI Lookups'!H:H)+SUMIF('NEI Lookups'!$N:$N,'Inputs Yr 2'!$F211,'NEI Lookups'!H:H)+SUMIF('NEI Lookups'!$O:$O,'Inputs Yr 2'!$F211,'NEI Lookups'!H:H)+SUMIF('NEI Lookups'!$P:$P,'Inputs Yr 2'!$F211,'NEI Lookups'!H:H)+SUMIF('NEI Lookups'!$Q:$Q,'Inputs Yr 2'!$F211,'NEI Lookups'!H:H)+SUMIF('NEI Lookups'!$R:$R,'Inputs Yr 2'!$F211,'NEI Lookups'!H:H)+SUMIF('NEI Lookups'!$S:$S,'Inputs Yr 2'!$F211,'NEI Lookups'!H:H)+SUMIF('NEI Lookups'!$T:$T,'Inputs Yr 2'!$F211,'NEI Lookups'!H:H)</f>
        <v>0</v>
      </c>
      <c r="AW211" s="299">
        <f>SUMIF('NEI Lookups'!$L:$L,'Inputs Yr 2'!$F211,'NEI Lookups'!I:I)+SUMIF('NEI Lookups'!$M:$M,'Inputs Yr 2'!$F211,'NEI Lookups'!I:I)+SUMIF('NEI Lookups'!$N:$N,'Inputs Yr 2'!$F211,'NEI Lookups'!I:I)+SUMIF('NEI Lookups'!$O:$O,'Inputs Yr 2'!$F211,'NEI Lookups'!I:I)+SUMIF('NEI Lookups'!$P:$P,'Inputs Yr 2'!$F211,'NEI Lookups'!I:I)+SUMIF('NEI Lookups'!$Q:$Q,'Inputs Yr 2'!$F211,'NEI Lookups'!I:I)+SUMIF('NEI Lookups'!$R:$R,'Inputs Yr 2'!$F211,'NEI Lookups'!I:I)+SUMIF('NEI Lookups'!$S:$S,'Inputs Yr 2'!$F211,'NEI Lookups'!I:I)+SUMIF('NEI Lookups'!$T:$T,'Inputs Yr 2'!$F211,'NEI Lookups'!I:I)</f>
        <v>0</v>
      </c>
      <c r="AX211" s="299">
        <f>SUMIF('NEI Lookups'!$L:$L,'Inputs Yr 2'!$F211,'NEI Lookups'!J:J)+SUMIF('NEI Lookups'!$M:$M,'Inputs Yr 2'!$F211,'NEI Lookups'!J:J)+SUMIF('NEI Lookups'!$N:$N,'Inputs Yr 2'!$F211,'NEI Lookups'!J:J)+SUMIF('NEI Lookups'!$O:$O,'Inputs Yr 2'!$F211,'NEI Lookups'!J:J)+SUMIF('NEI Lookups'!$P:$P,'Inputs Yr 2'!$F211,'NEI Lookups'!J:J)+SUMIF('NEI Lookups'!$Q:$Q,'Inputs Yr 2'!$F211,'NEI Lookups'!J:J)+SUMIF('NEI Lookups'!$R:$R,'Inputs Yr 2'!$F211,'NEI Lookups'!J:J)+SUMIF('NEI Lookups'!$S:$S,'Inputs Yr 2'!$F211,'NEI Lookups'!J:J)+SUMIF('NEI Lookups'!$T:$T,'Inputs Yr 2'!$F211,'NEI Lookups'!J:J)</f>
        <v>0</v>
      </c>
      <c r="AY211" s="930">
        <f>'Calculations Yr 2'!CP211/'Calculations Yr 2'!I211</f>
        <v>3.202840769288005</v>
      </c>
    </row>
    <row r="212" spans="1:51" s="133" customFormat="1" ht="12.75" customHeight="1">
      <c r="A212" s="145" t="s">
        <v>83</v>
      </c>
      <c r="B212" s="132" t="s">
        <v>873</v>
      </c>
      <c r="C212" s="132" t="s">
        <v>908</v>
      </c>
      <c r="D212" s="906" t="s">
        <v>1554</v>
      </c>
      <c r="E212" s="98" t="s">
        <v>752</v>
      </c>
      <c r="F212" s="150" t="s">
        <v>1099</v>
      </c>
      <c r="G212" s="145" t="s">
        <v>1247</v>
      </c>
      <c r="H212" s="232">
        <v>21</v>
      </c>
      <c r="I212" s="234">
        <v>18</v>
      </c>
      <c r="J212" s="964">
        <v>1132</v>
      </c>
      <c r="K212" s="871">
        <v>204.76</v>
      </c>
      <c r="L212" s="888">
        <f t="shared" si="58"/>
        <v>927.24</v>
      </c>
      <c r="M212" s="978">
        <v>0.30099999999999999</v>
      </c>
      <c r="N212" s="978">
        <v>0.14699999999999999</v>
      </c>
      <c r="O212" s="978">
        <v>0</v>
      </c>
      <c r="P212" s="889">
        <f t="shared" si="26"/>
        <v>0.84600000000000009</v>
      </c>
      <c r="Q212" s="978">
        <v>1</v>
      </c>
      <c r="R212" s="178">
        <v>1</v>
      </c>
      <c r="S212" s="178">
        <v>1</v>
      </c>
      <c r="T212" s="178">
        <v>1</v>
      </c>
      <c r="U212" s="978">
        <v>1</v>
      </c>
      <c r="V212" s="978">
        <v>1</v>
      </c>
      <c r="W212" s="179">
        <v>0</v>
      </c>
      <c r="X212" s="99" t="s">
        <v>35</v>
      </c>
      <c r="Y212" s="299">
        <f>IFERROR(VLOOKUP($X212,'Demand Lookups'!$A$5:$K$101,9,0), 0)</f>
        <v>5.3381390534849307E-4</v>
      </c>
      <c r="Z212" s="922" t="str">
        <f>IFERROR(VLOOKUP(X212,'Demand Lookups'!$A$5:$B$101,2,0),0)</f>
        <v>Res Single Family Electric Heating</v>
      </c>
      <c r="AA212" s="722">
        <f>IF(ISNA(VLOOKUP($X212,'Demand Lookups'!$A$5:$K$81,3,0)),0,VLOOKUP($X212,'Demand Lookups'!$A$5:$K$81,3,0))</f>
        <v>0.37811107066668143</v>
      </c>
      <c r="AB212" s="722">
        <f>IF(ISNA(VLOOKUP($X212,'Demand Lookups'!$A$5:$K$81,4,0)),0,VLOOKUP($X212,'Demand Lookups'!$A$5:$K$81,4,0))</f>
        <v>0.61526683076153199</v>
      </c>
      <c r="AC212" s="722">
        <f>IF(ISNA(VLOOKUP($X212,'Demand Lookups'!$A$5:$K$81,5,0)),0,VLOOKUP($X212,'Demand Lookups'!$A$5:$K$81,5,0))</f>
        <v>1.7402036484173826E-3</v>
      </c>
      <c r="AD212" s="723">
        <f>IF(ISNA(VLOOKUP($X212,'Demand Lookups'!$A$5:$K$81,6,0)),0,VLOOKUP($X212,'Demand Lookups'!$A$5:$K$81,6,0))</f>
        <v>4.8818949233697577E-3</v>
      </c>
      <c r="AE212" s="724">
        <f t="shared" si="27"/>
        <v>0</v>
      </c>
      <c r="AF212" s="723">
        <f>ROUND(IF(ISNA(VLOOKUP($X212,'Demand Lookups'!$A$5:$K$82,10,0)),0,(VLOOKUP($X212,'Demand Lookups'!$A$5:$K$82,10,0))),2)</f>
        <v>0</v>
      </c>
      <c r="AG212" s="723">
        <f>ROUND(IF(ISNA(VLOOKUP($X212,'Demand Lookups'!$A$5:$K$82,11,0)),0,VLOOKUP($X212,'Demand Lookups'!$A$5:$K$82,11,0)),2)</f>
        <v>1</v>
      </c>
      <c r="AH212" s="648">
        <f t="shared" si="28"/>
        <v>0</v>
      </c>
      <c r="AI212" s="648">
        <f t="shared" si="29"/>
        <v>0</v>
      </c>
      <c r="AJ212" s="167" t="s">
        <v>87</v>
      </c>
      <c r="AK212" s="866">
        <v>5.7</v>
      </c>
      <c r="AL212" s="167"/>
      <c r="AM212" s="168"/>
      <c r="AN212" s="167"/>
      <c r="AO212" s="168"/>
      <c r="AP212" s="167"/>
      <c r="AQ212" s="171">
        <v>0</v>
      </c>
      <c r="AR212" s="171">
        <v>0</v>
      </c>
      <c r="AS212" s="299">
        <f>SUMIF('NEI Lookups'!$L:$L,'Inputs Yr 2'!$F212,'NEI Lookups'!E:E)+SUMIF('NEI Lookups'!$M:$M,'Inputs Yr 2'!$F212,'NEI Lookups'!E:E)+SUMIF('NEI Lookups'!$N:$N,'Inputs Yr 2'!$F212,'NEI Lookups'!E:E)+SUMIF('NEI Lookups'!$O:$O,'Inputs Yr 2'!$F212,'NEI Lookups'!E:E)+SUMIF('NEI Lookups'!$P:$P,'Inputs Yr 2'!$F212,'NEI Lookups'!E:E)+SUMIF('NEI Lookups'!$Q:$Q,'Inputs Yr 2'!$F212,'NEI Lookups'!E:E)+SUMIF('NEI Lookups'!$R:$R,'Inputs Yr 2'!$F212,'NEI Lookups'!E:E)+SUMIF('NEI Lookups'!$S:$S,'Inputs Yr 2'!$F212,'NEI Lookups'!E:E)+SUMIF('NEI Lookups'!$T:$T,'Inputs Yr 2'!$F212,'NEI Lookups'!E:E)</f>
        <v>0</v>
      </c>
      <c r="AT212" s="299">
        <f>SUMIF('NEI Lookups'!$L:$L,'Inputs Yr 2'!$F212,'NEI Lookups'!F:F)+SUMIF('NEI Lookups'!$M:$M,'Inputs Yr 2'!$F212,'NEI Lookups'!F:F)+SUMIF('NEI Lookups'!$N:$N,'Inputs Yr 2'!$F212,'NEI Lookups'!F:F)+SUMIF('NEI Lookups'!$O:$O,'Inputs Yr 2'!$F212,'NEI Lookups'!F:F)+SUMIF('NEI Lookups'!$P:$P,'Inputs Yr 2'!$F212,'NEI Lookups'!F:F)+SUMIF('NEI Lookups'!$Q:$Q,'Inputs Yr 2'!$F212,'NEI Lookups'!F:F)+SUMIF('NEI Lookups'!$R:$R,'Inputs Yr 2'!$F212,'NEI Lookups'!F:F)+SUMIF('NEI Lookups'!$S:$S,'Inputs Yr 2'!$F212,'NEI Lookups'!F:F)+SUMIF('NEI Lookups'!$T:$T,'Inputs Yr 2'!$F212,'NEI Lookups'!F:F)</f>
        <v>0</v>
      </c>
      <c r="AU212" s="299">
        <f>SUMIF('NEI Lookups'!$L:$L,'Inputs Yr 2'!$F212,'NEI Lookups'!G:G)+SUMIF('NEI Lookups'!$M:$M,'Inputs Yr 2'!$F212,'NEI Lookups'!G:G)+SUMIF('NEI Lookups'!$N:$N,'Inputs Yr 2'!$F212,'NEI Lookups'!G:G)+SUMIF('NEI Lookups'!$O:$O,'Inputs Yr 2'!$F212,'NEI Lookups'!G:G)+SUMIF('NEI Lookups'!$P:$P,'Inputs Yr 2'!$F212,'NEI Lookups'!G:G)+SUMIF('NEI Lookups'!$Q:$Q,'Inputs Yr 2'!$F212,'NEI Lookups'!G:G)+SUMIF('NEI Lookups'!$R:$R,'Inputs Yr 2'!$F212,'NEI Lookups'!G:G)+SUMIF('NEI Lookups'!$S:$S,'Inputs Yr 2'!$F212,'NEI Lookups'!G:G)+SUMIF('NEI Lookups'!$T:$T,'Inputs Yr 2'!$F212,'NEI Lookups'!G:G)</f>
        <v>0</v>
      </c>
      <c r="AV212" s="299">
        <f>SUMIF('NEI Lookups'!$L:$L,'Inputs Yr 2'!$F212,'NEI Lookups'!H:H)+SUMIF('NEI Lookups'!$M:$M,'Inputs Yr 2'!$F212,'NEI Lookups'!H:H)+SUMIF('NEI Lookups'!$N:$N,'Inputs Yr 2'!$F212,'NEI Lookups'!H:H)+SUMIF('NEI Lookups'!$O:$O,'Inputs Yr 2'!$F212,'NEI Lookups'!H:H)+SUMIF('NEI Lookups'!$P:$P,'Inputs Yr 2'!$F212,'NEI Lookups'!H:H)+SUMIF('NEI Lookups'!$Q:$Q,'Inputs Yr 2'!$F212,'NEI Lookups'!H:H)+SUMIF('NEI Lookups'!$R:$R,'Inputs Yr 2'!$F212,'NEI Lookups'!H:H)+SUMIF('NEI Lookups'!$S:$S,'Inputs Yr 2'!$F212,'NEI Lookups'!H:H)+SUMIF('NEI Lookups'!$T:$T,'Inputs Yr 2'!$F212,'NEI Lookups'!H:H)</f>
        <v>0</v>
      </c>
      <c r="AW212" s="299">
        <f>SUMIF('NEI Lookups'!$L:$L,'Inputs Yr 2'!$F212,'NEI Lookups'!I:I)+SUMIF('NEI Lookups'!$M:$M,'Inputs Yr 2'!$F212,'NEI Lookups'!I:I)+SUMIF('NEI Lookups'!$N:$N,'Inputs Yr 2'!$F212,'NEI Lookups'!I:I)+SUMIF('NEI Lookups'!$O:$O,'Inputs Yr 2'!$F212,'NEI Lookups'!I:I)+SUMIF('NEI Lookups'!$P:$P,'Inputs Yr 2'!$F212,'NEI Lookups'!I:I)+SUMIF('NEI Lookups'!$Q:$Q,'Inputs Yr 2'!$F212,'NEI Lookups'!I:I)+SUMIF('NEI Lookups'!$R:$R,'Inputs Yr 2'!$F212,'NEI Lookups'!I:I)+SUMIF('NEI Lookups'!$S:$S,'Inputs Yr 2'!$F212,'NEI Lookups'!I:I)+SUMIF('NEI Lookups'!$T:$T,'Inputs Yr 2'!$F212,'NEI Lookups'!I:I)</f>
        <v>0</v>
      </c>
      <c r="AX212" s="299">
        <f>SUMIF('NEI Lookups'!$L:$L,'Inputs Yr 2'!$F212,'NEI Lookups'!J:J)+SUMIF('NEI Lookups'!$M:$M,'Inputs Yr 2'!$F212,'NEI Lookups'!J:J)+SUMIF('NEI Lookups'!$N:$N,'Inputs Yr 2'!$F212,'NEI Lookups'!J:J)+SUMIF('NEI Lookups'!$O:$O,'Inputs Yr 2'!$F212,'NEI Lookups'!J:J)+SUMIF('NEI Lookups'!$P:$P,'Inputs Yr 2'!$F212,'NEI Lookups'!J:J)+SUMIF('NEI Lookups'!$Q:$Q,'Inputs Yr 2'!$F212,'NEI Lookups'!J:J)+SUMIF('NEI Lookups'!$R:$R,'Inputs Yr 2'!$F212,'NEI Lookups'!J:J)+SUMIF('NEI Lookups'!$S:$S,'Inputs Yr 2'!$F212,'NEI Lookups'!J:J)+SUMIF('NEI Lookups'!$T:$T,'Inputs Yr 2'!$F212,'NEI Lookups'!J:J)</f>
        <v>0</v>
      </c>
      <c r="AY212" s="930">
        <f>'Calculations Yr 2'!CP212/'Calculations Yr 2'!I212</f>
        <v>0.77546059009607249</v>
      </c>
    </row>
    <row r="213" spans="1:51" s="133" customFormat="1" ht="12.75" customHeight="1">
      <c r="A213" s="145" t="s">
        <v>83</v>
      </c>
      <c r="B213" s="132" t="s">
        <v>873</v>
      </c>
      <c r="C213" s="132" t="s">
        <v>911</v>
      </c>
      <c r="D213" s="99"/>
      <c r="E213" s="98" t="s">
        <v>753</v>
      </c>
      <c r="F213" s="150" t="s">
        <v>1100</v>
      </c>
      <c r="G213" s="145" t="s">
        <v>1247</v>
      </c>
      <c r="H213" s="232"/>
      <c r="I213" s="234">
        <v>18</v>
      </c>
      <c r="J213" s="964">
        <v>1132</v>
      </c>
      <c r="K213" s="871">
        <v>300</v>
      </c>
      <c r="L213" s="888">
        <f t="shared" si="58"/>
        <v>832</v>
      </c>
      <c r="M213" s="978">
        <v>0</v>
      </c>
      <c r="N213" s="978">
        <v>0</v>
      </c>
      <c r="O213" s="978">
        <v>0</v>
      </c>
      <c r="P213" s="889">
        <v>0.84600000000000009</v>
      </c>
      <c r="Q213" s="978">
        <v>1</v>
      </c>
      <c r="R213" s="178">
        <v>1</v>
      </c>
      <c r="S213" s="178">
        <v>1</v>
      </c>
      <c r="T213" s="178">
        <v>1</v>
      </c>
      <c r="U213" s="978">
        <v>0</v>
      </c>
      <c r="V213" s="978">
        <v>0</v>
      </c>
      <c r="W213" s="179">
        <v>168</v>
      </c>
      <c r="X213" s="99" t="s">
        <v>35</v>
      </c>
      <c r="Y213" s="299">
        <f>IFERROR(VLOOKUP($X213,'Demand Lookups'!$A$5:$K$101,9,0), 0)</f>
        <v>5.3381390534849307E-4</v>
      </c>
      <c r="Z213" s="922" t="str">
        <f>IFERROR(VLOOKUP(X213,'Demand Lookups'!$A$5:$B$101,2,0),0)</f>
        <v>Res Single Family Electric Heating</v>
      </c>
      <c r="AA213" s="722">
        <v>0.37811107066668143</v>
      </c>
      <c r="AB213" s="722">
        <v>0.61526683076153199</v>
      </c>
      <c r="AC213" s="722">
        <v>1.7402036484173826E-3</v>
      </c>
      <c r="AD213" s="723">
        <v>4.8818949233697577E-3</v>
      </c>
      <c r="AE213" s="724">
        <v>8.9680736098546834E-2</v>
      </c>
      <c r="AF213" s="723">
        <v>0</v>
      </c>
      <c r="AG213" s="723">
        <v>1</v>
      </c>
      <c r="AH213" s="648">
        <v>0</v>
      </c>
      <c r="AI213" s="648">
        <v>0</v>
      </c>
      <c r="AJ213" s="167" t="s">
        <v>87</v>
      </c>
      <c r="AK213" s="866">
        <v>5.7</v>
      </c>
      <c r="AL213" s="167"/>
      <c r="AM213" s="168"/>
      <c r="AN213" s="167"/>
      <c r="AO213" s="168"/>
      <c r="AP213" s="167"/>
      <c r="AQ213" s="171"/>
      <c r="AR213" s="171"/>
      <c r="AS213" s="299">
        <f>SUMIF('NEI Lookups'!$L:$L,'Inputs Yr 2'!$F213,'NEI Lookups'!E:E)+SUMIF('NEI Lookups'!$M:$M,'Inputs Yr 2'!$F213,'NEI Lookups'!E:E)+SUMIF('NEI Lookups'!$N:$N,'Inputs Yr 2'!$F213,'NEI Lookups'!E:E)+SUMIF('NEI Lookups'!$O:$O,'Inputs Yr 2'!$F213,'NEI Lookups'!E:E)+SUMIF('NEI Lookups'!$P:$P,'Inputs Yr 2'!$F213,'NEI Lookups'!E:E)+SUMIF('NEI Lookups'!$Q:$Q,'Inputs Yr 2'!$F213,'NEI Lookups'!E:E)+SUMIF('NEI Lookups'!$R:$R,'Inputs Yr 2'!$F213,'NEI Lookups'!E:E)+SUMIF('NEI Lookups'!$S:$S,'Inputs Yr 2'!$F213,'NEI Lookups'!E:E)+SUMIF('NEI Lookups'!$T:$T,'Inputs Yr 2'!$F213,'NEI Lookups'!E:E)</f>
        <v>0</v>
      </c>
      <c r="AT213" s="299">
        <f>SUMIF('NEI Lookups'!$L:$L,'Inputs Yr 2'!$F213,'NEI Lookups'!F:F)+SUMIF('NEI Lookups'!$M:$M,'Inputs Yr 2'!$F213,'NEI Lookups'!F:F)+SUMIF('NEI Lookups'!$N:$N,'Inputs Yr 2'!$F213,'NEI Lookups'!F:F)+SUMIF('NEI Lookups'!$O:$O,'Inputs Yr 2'!$F213,'NEI Lookups'!F:F)+SUMIF('NEI Lookups'!$P:$P,'Inputs Yr 2'!$F213,'NEI Lookups'!F:F)+SUMIF('NEI Lookups'!$Q:$Q,'Inputs Yr 2'!$F213,'NEI Lookups'!F:F)+SUMIF('NEI Lookups'!$R:$R,'Inputs Yr 2'!$F213,'NEI Lookups'!F:F)+SUMIF('NEI Lookups'!$S:$S,'Inputs Yr 2'!$F213,'NEI Lookups'!F:F)+SUMIF('NEI Lookups'!$T:$T,'Inputs Yr 2'!$F213,'NEI Lookups'!F:F)</f>
        <v>0</v>
      </c>
      <c r="AU213" s="299">
        <f>SUMIF('NEI Lookups'!$L:$L,'Inputs Yr 2'!$F213,'NEI Lookups'!G:G)+SUMIF('NEI Lookups'!$M:$M,'Inputs Yr 2'!$F213,'NEI Lookups'!G:G)+SUMIF('NEI Lookups'!$N:$N,'Inputs Yr 2'!$F213,'NEI Lookups'!G:G)+SUMIF('NEI Lookups'!$O:$O,'Inputs Yr 2'!$F213,'NEI Lookups'!G:G)+SUMIF('NEI Lookups'!$P:$P,'Inputs Yr 2'!$F213,'NEI Lookups'!G:G)+SUMIF('NEI Lookups'!$Q:$Q,'Inputs Yr 2'!$F213,'NEI Lookups'!G:G)+SUMIF('NEI Lookups'!$R:$R,'Inputs Yr 2'!$F213,'NEI Lookups'!G:G)+SUMIF('NEI Lookups'!$S:$S,'Inputs Yr 2'!$F213,'NEI Lookups'!G:G)+SUMIF('NEI Lookups'!$T:$T,'Inputs Yr 2'!$F213,'NEI Lookups'!G:G)</f>
        <v>0</v>
      </c>
      <c r="AV213" s="299">
        <f>SUMIF('NEI Lookups'!$L:$L,'Inputs Yr 2'!$F213,'NEI Lookups'!H:H)+SUMIF('NEI Lookups'!$M:$M,'Inputs Yr 2'!$F213,'NEI Lookups'!H:H)+SUMIF('NEI Lookups'!$N:$N,'Inputs Yr 2'!$F213,'NEI Lookups'!H:H)+SUMIF('NEI Lookups'!$O:$O,'Inputs Yr 2'!$F213,'NEI Lookups'!H:H)+SUMIF('NEI Lookups'!$P:$P,'Inputs Yr 2'!$F213,'NEI Lookups'!H:H)+SUMIF('NEI Lookups'!$Q:$Q,'Inputs Yr 2'!$F213,'NEI Lookups'!H:H)+SUMIF('NEI Lookups'!$R:$R,'Inputs Yr 2'!$F213,'NEI Lookups'!H:H)+SUMIF('NEI Lookups'!$S:$S,'Inputs Yr 2'!$F213,'NEI Lookups'!H:H)+SUMIF('NEI Lookups'!$T:$T,'Inputs Yr 2'!$F213,'NEI Lookups'!H:H)</f>
        <v>0</v>
      </c>
      <c r="AW213" s="299">
        <f>SUMIF('NEI Lookups'!$L:$L,'Inputs Yr 2'!$F213,'NEI Lookups'!I:I)+SUMIF('NEI Lookups'!$M:$M,'Inputs Yr 2'!$F213,'NEI Lookups'!I:I)+SUMIF('NEI Lookups'!$N:$N,'Inputs Yr 2'!$F213,'NEI Lookups'!I:I)+SUMIF('NEI Lookups'!$O:$O,'Inputs Yr 2'!$F213,'NEI Lookups'!I:I)+SUMIF('NEI Lookups'!$P:$P,'Inputs Yr 2'!$F213,'NEI Lookups'!I:I)+SUMIF('NEI Lookups'!$Q:$Q,'Inputs Yr 2'!$F213,'NEI Lookups'!I:I)+SUMIF('NEI Lookups'!$R:$R,'Inputs Yr 2'!$F213,'NEI Lookups'!I:I)+SUMIF('NEI Lookups'!$S:$S,'Inputs Yr 2'!$F213,'NEI Lookups'!I:I)+SUMIF('NEI Lookups'!$T:$T,'Inputs Yr 2'!$F213,'NEI Lookups'!I:I)</f>
        <v>0</v>
      </c>
      <c r="AX213" s="299">
        <f>SUMIF('NEI Lookups'!$L:$L,'Inputs Yr 2'!$F213,'NEI Lookups'!J:J)+SUMIF('NEI Lookups'!$M:$M,'Inputs Yr 2'!$F213,'NEI Lookups'!J:J)+SUMIF('NEI Lookups'!$N:$N,'Inputs Yr 2'!$F213,'NEI Lookups'!J:J)+SUMIF('NEI Lookups'!$O:$O,'Inputs Yr 2'!$F213,'NEI Lookups'!J:J)+SUMIF('NEI Lookups'!$P:$P,'Inputs Yr 2'!$F213,'NEI Lookups'!J:J)+SUMIF('NEI Lookups'!$Q:$Q,'Inputs Yr 2'!$F213,'NEI Lookups'!J:J)+SUMIF('NEI Lookups'!$R:$R,'Inputs Yr 2'!$F213,'NEI Lookups'!J:J)+SUMIF('NEI Lookups'!$S:$S,'Inputs Yr 2'!$F213,'NEI Lookups'!J:J)+SUMIF('NEI Lookups'!$T:$T,'Inputs Yr 2'!$F213,'NEI Lookups'!J:J)</f>
        <v>0</v>
      </c>
      <c r="AY213" s="930" t="e">
        <f>'Calculations Yr 2'!CP213/'Calculations Yr 2'!I213</f>
        <v>#VALUE!</v>
      </c>
    </row>
    <row r="214" spans="1:51" s="133" customFormat="1" ht="12.75" customHeight="1">
      <c r="A214" s="145" t="s">
        <v>83</v>
      </c>
      <c r="B214" s="132" t="s">
        <v>873</v>
      </c>
      <c r="C214" s="132" t="s">
        <v>908</v>
      </c>
      <c r="D214" s="906" t="s">
        <v>1555</v>
      </c>
      <c r="E214" s="98" t="s">
        <v>754</v>
      </c>
      <c r="F214" s="150" t="s">
        <v>1101</v>
      </c>
      <c r="G214" s="145" t="s">
        <v>1247</v>
      </c>
      <c r="H214" s="232">
        <v>15</v>
      </c>
      <c r="I214" s="234">
        <v>18</v>
      </c>
      <c r="J214" s="964">
        <v>1294</v>
      </c>
      <c r="K214" s="871">
        <v>513.33000000000004</v>
      </c>
      <c r="L214" s="888">
        <f t="shared" si="58"/>
        <v>780.67</v>
      </c>
      <c r="M214" s="978">
        <v>0.30099999999999999</v>
      </c>
      <c r="N214" s="978">
        <v>0.14699999999999999</v>
      </c>
      <c r="O214" s="978">
        <v>0</v>
      </c>
      <c r="P214" s="889">
        <f t="shared" ref="P214:P284" si="79">1-M214+N214+O214</f>
        <v>0.84600000000000009</v>
      </c>
      <c r="Q214" s="978">
        <v>1</v>
      </c>
      <c r="R214" s="178">
        <v>1</v>
      </c>
      <c r="S214" s="178">
        <v>1</v>
      </c>
      <c r="T214" s="178">
        <v>1</v>
      </c>
      <c r="U214" s="978">
        <v>1</v>
      </c>
      <c r="V214" s="978">
        <v>1</v>
      </c>
      <c r="W214" s="179">
        <v>0</v>
      </c>
      <c r="X214" s="99" t="s">
        <v>35</v>
      </c>
      <c r="Y214" s="299">
        <f>IFERROR(VLOOKUP($X214,'Demand Lookups'!$A$5:$K$101,9,0), 0)</f>
        <v>5.3381390534849307E-4</v>
      </c>
      <c r="Z214" s="922" t="str">
        <f>IFERROR(VLOOKUP(X214,'Demand Lookups'!$A$5:$B$101,2,0),0)</f>
        <v>Res Single Family Electric Heating</v>
      </c>
      <c r="AA214" s="722">
        <f>IF(ISNA(VLOOKUP($X214,'Demand Lookups'!$A$5:$K$81,3,0)),0,VLOOKUP($X214,'Demand Lookups'!$A$5:$K$81,3,0))</f>
        <v>0.37811107066668143</v>
      </c>
      <c r="AB214" s="722">
        <f>IF(ISNA(VLOOKUP($X214,'Demand Lookups'!$A$5:$K$81,4,0)),0,VLOOKUP($X214,'Demand Lookups'!$A$5:$K$81,4,0))</f>
        <v>0.61526683076153199</v>
      </c>
      <c r="AC214" s="722">
        <f>IF(ISNA(VLOOKUP($X214,'Demand Lookups'!$A$5:$K$81,5,0)),0,VLOOKUP($X214,'Demand Lookups'!$A$5:$K$81,5,0))</f>
        <v>1.7402036484173826E-3</v>
      </c>
      <c r="AD214" s="723">
        <f>IF(ISNA(VLOOKUP($X214,'Demand Lookups'!$A$5:$K$81,6,0)),0,VLOOKUP($X214,'Demand Lookups'!$A$5:$K$81,6,0))</f>
        <v>4.8818949233697577E-3</v>
      </c>
      <c r="AE214" s="724">
        <f t="shared" ref="AE214:AE272" si="80">IF(ISERROR(W214*Y214),"",W214*Y214)</f>
        <v>0</v>
      </c>
      <c r="AF214" s="723">
        <f>ROUND(IF(ISNA(VLOOKUP($X214,'Demand Lookups'!$A$5:$K$82,10,0)),0,(VLOOKUP($X214,'Demand Lookups'!$A$5:$K$82,10,0))),2)</f>
        <v>0</v>
      </c>
      <c r="AG214" s="723">
        <f>ROUND(IF(ISNA(VLOOKUP($X214,'Demand Lookups'!$A$5:$K$82,11,0)),0,VLOOKUP($X214,'Demand Lookups'!$A$5:$K$82,11,0)),2)</f>
        <v>1</v>
      </c>
      <c r="AH214" s="648">
        <f t="shared" ref="AH214:AH284" si="81">AF214</f>
        <v>0</v>
      </c>
      <c r="AI214" s="648">
        <f t="shared" ref="AI214:AI284" si="82">AF214</f>
        <v>0</v>
      </c>
      <c r="AJ214" s="167" t="s">
        <v>87</v>
      </c>
      <c r="AK214" s="866">
        <v>6.6999999999999993</v>
      </c>
      <c r="AL214" s="167"/>
      <c r="AM214" s="168"/>
      <c r="AN214" s="167"/>
      <c r="AO214" s="168"/>
      <c r="AP214" s="167"/>
      <c r="AQ214" s="171">
        <v>0</v>
      </c>
      <c r="AR214" s="171">
        <v>0</v>
      </c>
      <c r="AS214" s="299">
        <f>SUMIF('NEI Lookups'!$L:$L,'Inputs Yr 2'!$F214,'NEI Lookups'!E:E)+SUMIF('NEI Lookups'!$M:$M,'Inputs Yr 2'!$F214,'NEI Lookups'!E:E)+SUMIF('NEI Lookups'!$N:$N,'Inputs Yr 2'!$F214,'NEI Lookups'!E:E)+SUMIF('NEI Lookups'!$O:$O,'Inputs Yr 2'!$F214,'NEI Lookups'!E:E)+SUMIF('NEI Lookups'!$P:$P,'Inputs Yr 2'!$F214,'NEI Lookups'!E:E)+SUMIF('NEI Lookups'!$Q:$Q,'Inputs Yr 2'!$F214,'NEI Lookups'!E:E)+SUMIF('NEI Lookups'!$R:$R,'Inputs Yr 2'!$F214,'NEI Lookups'!E:E)+SUMIF('NEI Lookups'!$S:$S,'Inputs Yr 2'!$F214,'NEI Lookups'!E:E)+SUMIF('NEI Lookups'!$T:$T,'Inputs Yr 2'!$F214,'NEI Lookups'!E:E)</f>
        <v>0</v>
      </c>
      <c r="AT214" s="299">
        <f>SUMIF('NEI Lookups'!$L:$L,'Inputs Yr 2'!$F214,'NEI Lookups'!F:F)+SUMIF('NEI Lookups'!$M:$M,'Inputs Yr 2'!$F214,'NEI Lookups'!F:F)+SUMIF('NEI Lookups'!$N:$N,'Inputs Yr 2'!$F214,'NEI Lookups'!F:F)+SUMIF('NEI Lookups'!$O:$O,'Inputs Yr 2'!$F214,'NEI Lookups'!F:F)+SUMIF('NEI Lookups'!$P:$P,'Inputs Yr 2'!$F214,'NEI Lookups'!F:F)+SUMIF('NEI Lookups'!$Q:$Q,'Inputs Yr 2'!$F214,'NEI Lookups'!F:F)+SUMIF('NEI Lookups'!$R:$R,'Inputs Yr 2'!$F214,'NEI Lookups'!F:F)+SUMIF('NEI Lookups'!$S:$S,'Inputs Yr 2'!$F214,'NEI Lookups'!F:F)+SUMIF('NEI Lookups'!$T:$T,'Inputs Yr 2'!$F214,'NEI Lookups'!F:F)</f>
        <v>0</v>
      </c>
      <c r="AU214" s="299">
        <f>SUMIF('NEI Lookups'!$L:$L,'Inputs Yr 2'!$F214,'NEI Lookups'!G:G)+SUMIF('NEI Lookups'!$M:$M,'Inputs Yr 2'!$F214,'NEI Lookups'!G:G)+SUMIF('NEI Lookups'!$N:$N,'Inputs Yr 2'!$F214,'NEI Lookups'!G:G)+SUMIF('NEI Lookups'!$O:$O,'Inputs Yr 2'!$F214,'NEI Lookups'!G:G)+SUMIF('NEI Lookups'!$P:$P,'Inputs Yr 2'!$F214,'NEI Lookups'!G:G)+SUMIF('NEI Lookups'!$Q:$Q,'Inputs Yr 2'!$F214,'NEI Lookups'!G:G)+SUMIF('NEI Lookups'!$R:$R,'Inputs Yr 2'!$F214,'NEI Lookups'!G:G)+SUMIF('NEI Lookups'!$S:$S,'Inputs Yr 2'!$F214,'NEI Lookups'!G:G)+SUMIF('NEI Lookups'!$T:$T,'Inputs Yr 2'!$F214,'NEI Lookups'!G:G)</f>
        <v>0</v>
      </c>
      <c r="AV214" s="299">
        <f>SUMIF('NEI Lookups'!$L:$L,'Inputs Yr 2'!$F214,'NEI Lookups'!H:H)+SUMIF('NEI Lookups'!$M:$M,'Inputs Yr 2'!$F214,'NEI Lookups'!H:H)+SUMIF('NEI Lookups'!$N:$N,'Inputs Yr 2'!$F214,'NEI Lookups'!H:H)+SUMIF('NEI Lookups'!$O:$O,'Inputs Yr 2'!$F214,'NEI Lookups'!H:H)+SUMIF('NEI Lookups'!$P:$P,'Inputs Yr 2'!$F214,'NEI Lookups'!H:H)+SUMIF('NEI Lookups'!$Q:$Q,'Inputs Yr 2'!$F214,'NEI Lookups'!H:H)+SUMIF('NEI Lookups'!$R:$R,'Inputs Yr 2'!$F214,'NEI Lookups'!H:H)+SUMIF('NEI Lookups'!$S:$S,'Inputs Yr 2'!$F214,'NEI Lookups'!H:H)+SUMIF('NEI Lookups'!$T:$T,'Inputs Yr 2'!$F214,'NEI Lookups'!H:H)</f>
        <v>0</v>
      </c>
      <c r="AW214" s="299">
        <f>SUMIF('NEI Lookups'!$L:$L,'Inputs Yr 2'!$F214,'NEI Lookups'!I:I)+SUMIF('NEI Lookups'!$M:$M,'Inputs Yr 2'!$F214,'NEI Lookups'!I:I)+SUMIF('NEI Lookups'!$N:$N,'Inputs Yr 2'!$F214,'NEI Lookups'!I:I)+SUMIF('NEI Lookups'!$O:$O,'Inputs Yr 2'!$F214,'NEI Lookups'!I:I)+SUMIF('NEI Lookups'!$P:$P,'Inputs Yr 2'!$F214,'NEI Lookups'!I:I)+SUMIF('NEI Lookups'!$Q:$Q,'Inputs Yr 2'!$F214,'NEI Lookups'!I:I)+SUMIF('NEI Lookups'!$R:$R,'Inputs Yr 2'!$F214,'NEI Lookups'!I:I)+SUMIF('NEI Lookups'!$S:$S,'Inputs Yr 2'!$F214,'NEI Lookups'!I:I)+SUMIF('NEI Lookups'!$T:$T,'Inputs Yr 2'!$F214,'NEI Lookups'!I:I)</f>
        <v>0</v>
      </c>
      <c r="AX214" s="299">
        <f>SUMIF('NEI Lookups'!$L:$L,'Inputs Yr 2'!$F214,'NEI Lookups'!J:J)+SUMIF('NEI Lookups'!$M:$M,'Inputs Yr 2'!$F214,'NEI Lookups'!J:J)+SUMIF('NEI Lookups'!$N:$N,'Inputs Yr 2'!$F214,'NEI Lookups'!J:J)+SUMIF('NEI Lookups'!$O:$O,'Inputs Yr 2'!$F214,'NEI Lookups'!J:J)+SUMIF('NEI Lookups'!$P:$P,'Inputs Yr 2'!$F214,'NEI Lookups'!J:J)+SUMIF('NEI Lookups'!$Q:$Q,'Inputs Yr 2'!$F214,'NEI Lookups'!J:J)+SUMIF('NEI Lookups'!$R:$R,'Inputs Yr 2'!$F214,'NEI Lookups'!J:J)+SUMIF('NEI Lookups'!$S:$S,'Inputs Yr 2'!$F214,'NEI Lookups'!J:J)+SUMIF('NEI Lookups'!$T:$T,'Inputs Yr 2'!$F214,'NEI Lookups'!J:J)</f>
        <v>0</v>
      </c>
      <c r="AY214" s="930">
        <f>'Calculations Yr 2'!CP214/'Calculations Yr 2'!I214</f>
        <v>0.79739191674457721</v>
      </c>
    </row>
    <row r="215" spans="1:51" s="133" customFormat="1" ht="12.75" customHeight="1">
      <c r="A215" s="145" t="s">
        <v>83</v>
      </c>
      <c r="B215" s="132" t="s">
        <v>873</v>
      </c>
      <c r="C215" s="132" t="s">
        <v>911</v>
      </c>
      <c r="D215" s="99"/>
      <c r="E215" s="150" t="s">
        <v>755</v>
      </c>
      <c r="F215" s="150" t="s">
        <v>1102</v>
      </c>
      <c r="G215" s="145" t="s">
        <v>1247</v>
      </c>
      <c r="H215" s="232"/>
      <c r="I215" s="234">
        <v>18</v>
      </c>
      <c r="J215" s="964">
        <v>1294</v>
      </c>
      <c r="K215" s="871">
        <v>600</v>
      </c>
      <c r="L215" s="888">
        <f t="shared" si="58"/>
        <v>694</v>
      </c>
      <c r="M215" s="978">
        <v>0</v>
      </c>
      <c r="N215" s="978">
        <v>0</v>
      </c>
      <c r="O215" s="978">
        <v>0</v>
      </c>
      <c r="P215" s="889">
        <v>0.84600000000000009</v>
      </c>
      <c r="Q215" s="978">
        <v>1</v>
      </c>
      <c r="R215" s="178">
        <v>1</v>
      </c>
      <c r="S215" s="178">
        <v>1</v>
      </c>
      <c r="T215" s="178">
        <v>1</v>
      </c>
      <c r="U215" s="978">
        <v>0</v>
      </c>
      <c r="V215" s="978">
        <v>0</v>
      </c>
      <c r="W215" s="179">
        <v>168</v>
      </c>
      <c r="X215" s="99" t="s">
        <v>35</v>
      </c>
      <c r="Y215" s="299">
        <f>IFERROR(VLOOKUP($X215,'Demand Lookups'!$A$5:$K$101,9,0), 0)</f>
        <v>5.3381390534849307E-4</v>
      </c>
      <c r="Z215" s="922" t="str">
        <f>IFERROR(VLOOKUP(X215,'Demand Lookups'!$A$5:$B$101,2,0),0)</f>
        <v>Res Single Family Electric Heating</v>
      </c>
      <c r="AA215" s="722">
        <v>0.37811107066668143</v>
      </c>
      <c r="AB215" s="722">
        <v>0.61526683076153199</v>
      </c>
      <c r="AC215" s="722">
        <v>1.7402036484173826E-3</v>
      </c>
      <c r="AD215" s="723">
        <v>4.8818949233697577E-3</v>
      </c>
      <c r="AE215" s="724">
        <v>8.9680736098546834E-2</v>
      </c>
      <c r="AF215" s="723">
        <v>0</v>
      </c>
      <c r="AG215" s="723">
        <v>1</v>
      </c>
      <c r="AH215" s="648">
        <v>0</v>
      </c>
      <c r="AI215" s="648">
        <v>0</v>
      </c>
      <c r="AJ215" s="167" t="s">
        <v>87</v>
      </c>
      <c r="AK215" s="866">
        <v>6.7</v>
      </c>
      <c r="AL215" s="167"/>
      <c r="AM215" s="168"/>
      <c r="AN215" s="167"/>
      <c r="AO215" s="168"/>
      <c r="AP215" s="167"/>
      <c r="AQ215" s="171"/>
      <c r="AR215" s="171"/>
      <c r="AS215" s="299">
        <f>SUMIF('NEI Lookups'!$L:$L,'Inputs Yr 2'!$F215,'NEI Lookups'!E:E)+SUMIF('NEI Lookups'!$M:$M,'Inputs Yr 2'!$F215,'NEI Lookups'!E:E)+SUMIF('NEI Lookups'!$N:$N,'Inputs Yr 2'!$F215,'NEI Lookups'!E:E)+SUMIF('NEI Lookups'!$O:$O,'Inputs Yr 2'!$F215,'NEI Lookups'!E:E)+SUMIF('NEI Lookups'!$P:$P,'Inputs Yr 2'!$F215,'NEI Lookups'!E:E)+SUMIF('NEI Lookups'!$Q:$Q,'Inputs Yr 2'!$F215,'NEI Lookups'!E:E)+SUMIF('NEI Lookups'!$R:$R,'Inputs Yr 2'!$F215,'NEI Lookups'!E:E)+SUMIF('NEI Lookups'!$S:$S,'Inputs Yr 2'!$F215,'NEI Lookups'!E:E)+SUMIF('NEI Lookups'!$T:$T,'Inputs Yr 2'!$F215,'NEI Lookups'!E:E)</f>
        <v>0</v>
      </c>
      <c r="AT215" s="299">
        <f>SUMIF('NEI Lookups'!$L:$L,'Inputs Yr 2'!$F215,'NEI Lookups'!F:F)+SUMIF('NEI Lookups'!$M:$M,'Inputs Yr 2'!$F215,'NEI Lookups'!F:F)+SUMIF('NEI Lookups'!$N:$N,'Inputs Yr 2'!$F215,'NEI Lookups'!F:F)+SUMIF('NEI Lookups'!$O:$O,'Inputs Yr 2'!$F215,'NEI Lookups'!F:F)+SUMIF('NEI Lookups'!$P:$P,'Inputs Yr 2'!$F215,'NEI Lookups'!F:F)+SUMIF('NEI Lookups'!$Q:$Q,'Inputs Yr 2'!$F215,'NEI Lookups'!F:F)+SUMIF('NEI Lookups'!$R:$R,'Inputs Yr 2'!$F215,'NEI Lookups'!F:F)+SUMIF('NEI Lookups'!$S:$S,'Inputs Yr 2'!$F215,'NEI Lookups'!F:F)+SUMIF('NEI Lookups'!$T:$T,'Inputs Yr 2'!$F215,'NEI Lookups'!F:F)</f>
        <v>0</v>
      </c>
      <c r="AU215" s="299">
        <f>SUMIF('NEI Lookups'!$L:$L,'Inputs Yr 2'!$F215,'NEI Lookups'!G:G)+SUMIF('NEI Lookups'!$M:$M,'Inputs Yr 2'!$F215,'NEI Lookups'!G:G)+SUMIF('NEI Lookups'!$N:$N,'Inputs Yr 2'!$F215,'NEI Lookups'!G:G)+SUMIF('NEI Lookups'!$O:$O,'Inputs Yr 2'!$F215,'NEI Lookups'!G:G)+SUMIF('NEI Lookups'!$P:$P,'Inputs Yr 2'!$F215,'NEI Lookups'!G:G)+SUMIF('NEI Lookups'!$Q:$Q,'Inputs Yr 2'!$F215,'NEI Lookups'!G:G)+SUMIF('NEI Lookups'!$R:$R,'Inputs Yr 2'!$F215,'NEI Lookups'!G:G)+SUMIF('NEI Lookups'!$S:$S,'Inputs Yr 2'!$F215,'NEI Lookups'!G:G)+SUMIF('NEI Lookups'!$T:$T,'Inputs Yr 2'!$F215,'NEI Lookups'!G:G)</f>
        <v>0</v>
      </c>
      <c r="AV215" s="299">
        <f>SUMIF('NEI Lookups'!$L:$L,'Inputs Yr 2'!$F215,'NEI Lookups'!H:H)+SUMIF('NEI Lookups'!$M:$M,'Inputs Yr 2'!$F215,'NEI Lookups'!H:H)+SUMIF('NEI Lookups'!$N:$N,'Inputs Yr 2'!$F215,'NEI Lookups'!H:H)+SUMIF('NEI Lookups'!$O:$O,'Inputs Yr 2'!$F215,'NEI Lookups'!H:H)+SUMIF('NEI Lookups'!$P:$P,'Inputs Yr 2'!$F215,'NEI Lookups'!H:H)+SUMIF('NEI Lookups'!$Q:$Q,'Inputs Yr 2'!$F215,'NEI Lookups'!H:H)+SUMIF('NEI Lookups'!$R:$R,'Inputs Yr 2'!$F215,'NEI Lookups'!H:H)+SUMIF('NEI Lookups'!$S:$S,'Inputs Yr 2'!$F215,'NEI Lookups'!H:H)+SUMIF('NEI Lookups'!$T:$T,'Inputs Yr 2'!$F215,'NEI Lookups'!H:H)</f>
        <v>0</v>
      </c>
      <c r="AW215" s="299">
        <f>SUMIF('NEI Lookups'!$L:$L,'Inputs Yr 2'!$F215,'NEI Lookups'!I:I)+SUMIF('NEI Lookups'!$M:$M,'Inputs Yr 2'!$F215,'NEI Lookups'!I:I)+SUMIF('NEI Lookups'!$N:$N,'Inputs Yr 2'!$F215,'NEI Lookups'!I:I)+SUMIF('NEI Lookups'!$O:$O,'Inputs Yr 2'!$F215,'NEI Lookups'!I:I)+SUMIF('NEI Lookups'!$P:$P,'Inputs Yr 2'!$F215,'NEI Lookups'!I:I)+SUMIF('NEI Lookups'!$Q:$Q,'Inputs Yr 2'!$F215,'NEI Lookups'!I:I)+SUMIF('NEI Lookups'!$R:$R,'Inputs Yr 2'!$F215,'NEI Lookups'!I:I)+SUMIF('NEI Lookups'!$S:$S,'Inputs Yr 2'!$F215,'NEI Lookups'!I:I)+SUMIF('NEI Lookups'!$T:$T,'Inputs Yr 2'!$F215,'NEI Lookups'!I:I)</f>
        <v>0</v>
      </c>
      <c r="AX215" s="299">
        <f>SUMIF('NEI Lookups'!$L:$L,'Inputs Yr 2'!$F215,'NEI Lookups'!J:J)+SUMIF('NEI Lookups'!$M:$M,'Inputs Yr 2'!$F215,'NEI Lookups'!J:J)+SUMIF('NEI Lookups'!$N:$N,'Inputs Yr 2'!$F215,'NEI Lookups'!J:J)+SUMIF('NEI Lookups'!$O:$O,'Inputs Yr 2'!$F215,'NEI Lookups'!J:J)+SUMIF('NEI Lookups'!$P:$P,'Inputs Yr 2'!$F215,'NEI Lookups'!J:J)+SUMIF('NEI Lookups'!$Q:$Q,'Inputs Yr 2'!$F215,'NEI Lookups'!J:J)+SUMIF('NEI Lookups'!$R:$R,'Inputs Yr 2'!$F215,'NEI Lookups'!J:J)+SUMIF('NEI Lookups'!$S:$S,'Inputs Yr 2'!$F215,'NEI Lookups'!J:J)+SUMIF('NEI Lookups'!$T:$T,'Inputs Yr 2'!$F215,'NEI Lookups'!J:J)</f>
        <v>0</v>
      </c>
      <c r="AY215" s="930" t="e">
        <f>'Calculations Yr 2'!CP215/'Calculations Yr 2'!I215</f>
        <v>#VALUE!</v>
      </c>
    </row>
    <row r="216" spans="1:51" s="133" customFormat="1" ht="12.75" customHeight="1">
      <c r="A216" s="145" t="s">
        <v>83</v>
      </c>
      <c r="B216" s="132" t="s">
        <v>873</v>
      </c>
      <c r="C216" s="132" t="s">
        <v>908</v>
      </c>
      <c r="D216" s="906" t="s">
        <v>1538</v>
      </c>
      <c r="E216" s="150" t="s">
        <v>775</v>
      </c>
      <c r="F216" s="150" t="s">
        <v>1103</v>
      </c>
      <c r="G216" s="145" t="s">
        <v>1247</v>
      </c>
      <c r="H216" s="232">
        <v>75</v>
      </c>
      <c r="I216" s="234">
        <v>25</v>
      </c>
      <c r="J216" s="964">
        <v>3848</v>
      </c>
      <c r="K216" s="871">
        <v>1420</v>
      </c>
      <c r="L216" s="888">
        <f t="shared" si="58"/>
        <v>2428</v>
      </c>
      <c r="M216" s="978">
        <v>0.30099999999999999</v>
      </c>
      <c r="N216" s="978">
        <v>0.14699999999999999</v>
      </c>
      <c r="O216" s="978">
        <v>0</v>
      </c>
      <c r="P216" s="889">
        <f t="shared" si="79"/>
        <v>0.84600000000000009</v>
      </c>
      <c r="Q216" s="978">
        <v>1</v>
      </c>
      <c r="R216" s="178">
        <v>1</v>
      </c>
      <c r="S216" s="178">
        <v>1</v>
      </c>
      <c r="T216" s="178">
        <v>1</v>
      </c>
      <c r="U216" s="978">
        <v>1</v>
      </c>
      <c r="V216" s="978">
        <v>1</v>
      </c>
      <c r="W216" s="179"/>
      <c r="X216" s="937" t="s">
        <v>653</v>
      </c>
      <c r="Y216" s="299">
        <f>IFERROR(VLOOKUP($X216,'Demand Lookups'!$A$5:$K$101,9,0), 0)</f>
        <v>0</v>
      </c>
      <c r="Z216" s="922" t="str">
        <f>IFERROR(VLOOKUP(X216,'Demand Lookups'!$A$5:$B$101,2,0),0)</f>
        <v>Non-Electric Measures</v>
      </c>
      <c r="AA216" s="722">
        <f>IF(ISNA(VLOOKUP($X216,'Demand Lookups'!$A$5:$K$81,3,0)),0,VLOOKUP($X216,'Demand Lookups'!$A$5:$K$81,3,0))</f>
        <v>0</v>
      </c>
      <c r="AB216" s="722">
        <f>IF(ISNA(VLOOKUP($X216,'Demand Lookups'!$A$5:$K$81,4,0)),0,VLOOKUP($X216,'Demand Lookups'!$A$5:$K$81,4,0))</f>
        <v>0</v>
      </c>
      <c r="AC216" s="722">
        <f>IF(ISNA(VLOOKUP($X216,'Demand Lookups'!$A$5:$K$81,5,0)),0,VLOOKUP($X216,'Demand Lookups'!$A$5:$K$81,5,0))</f>
        <v>0</v>
      </c>
      <c r="AD216" s="723">
        <f>IF(ISNA(VLOOKUP($X216,'Demand Lookups'!$A$5:$K$81,6,0)),0,VLOOKUP($X216,'Demand Lookups'!$A$5:$K$81,6,0))</f>
        <v>0</v>
      </c>
      <c r="AE216" s="724">
        <f t="shared" si="80"/>
        <v>0</v>
      </c>
      <c r="AF216" s="723">
        <f>ROUND(IF(ISNA(VLOOKUP($X216,'Demand Lookups'!$A$5:$K$82,10,0)),0,(VLOOKUP($X216,'Demand Lookups'!$A$5:$K$82,10,0))),2)</f>
        <v>0</v>
      </c>
      <c r="AG216" s="723">
        <f>ROUND(IF(ISNA(VLOOKUP($X216,'Demand Lookups'!$A$5:$K$82,11,0)),0,VLOOKUP($X216,'Demand Lookups'!$A$5:$K$82,11,0)),2)</f>
        <v>0</v>
      </c>
      <c r="AH216" s="648">
        <f t="shared" si="81"/>
        <v>0</v>
      </c>
      <c r="AI216" s="648">
        <f t="shared" si="82"/>
        <v>0</v>
      </c>
      <c r="AJ216" s="167" t="s">
        <v>87</v>
      </c>
      <c r="AK216" s="866">
        <v>17.7</v>
      </c>
      <c r="AL216" s="167"/>
      <c r="AM216" s="168"/>
      <c r="AN216" s="167"/>
      <c r="AO216" s="168"/>
      <c r="AP216" s="167"/>
      <c r="AQ216" s="171">
        <v>0</v>
      </c>
      <c r="AR216" s="171">
        <v>0</v>
      </c>
      <c r="AS216" s="299">
        <f>SUMIF('NEI Lookups'!$L:$L,'Inputs Yr 2'!$F216,'NEI Lookups'!E:E)+SUMIF('NEI Lookups'!$M:$M,'Inputs Yr 2'!$F216,'NEI Lookups'!E:E)+SUMIF('NEI Lookups'!$N:$N,'Inputs Yr 2'!$F216,'NEI Lookups'!E:E)+SUMIF('NEI Lookups'!$O:$O,'Inputs Yr 2'!$F216,'NEI Lookups'!E:E)+SUMIF('NEI Lookups'!$P:$P,'Inputs Yr 2'!$F216,'NEI Lookups'!E:E)+SUMIF('NEI Lookups'!$Q:$Q,'Inputs Yr 2'!$F216,'NEI Lookups'!E:E)+SUMIF('NEI Lookups'!$R:$R,'Inputs Yr 2'!$F216,'NEI Lookups'!E:E)+SUMIF('NEI Lookups'!$S:$S,'Inputs Yr 2'!$F216,'NEI Lookups'!E:E)+SUMIF('NEI Lookups'!$T:$T,'Inputs Yr 2'!$F216,'NEI Lookups'!E:E)</f>
        <v>0</v>
      </c>
      <c r="AT216" s="299">
        <f>SUMIF('NEI Lookups'!$L:$L,'Inputs Yr 2'!$F216,'NEI Lookups'!F:F)+SUMIF('NEI Lookups'!$M:$M,'Inputs Yr 2'!$F216,'NEI Lookups'!F:F)+SUMIF('NEI Lookups'!$N:$N,'Inputs Yr 2'!$F216,'NEI Lookups'!F:F)+SUMIF('NEI Lookups'!$O:$O,'Inputs Yr 2'!$F216,'NEI Lookups'!F:F)+SUMIF('NEI Lookups'!$P:$P,'Inputs Yr 2'!$F216,'NEI Lookups'!F:F)+SUMIF('NEI Lookups'!$Q:$Q,'Inputs Yr 2'!$F216,'NEI Lookups'!F:F)+SUMIF('NEI Lookups'!$R:$R,'Inputs Yr 2'!$F216,'NEI Lookups'!F:F)+SUMIF('NEI Lookups'!$S:$S,'Inputs Yr 2'!$F216,'NEI Lookups'!F:F)+SUMIF('NEI Lookups'!$T:$T,'Inputs Yr 2'!$F216,'NEI Lookups'!F:F)</f>
        <v>0</v>
      </c>
      <c r="AU216" s="299">
        <f>SUMIF('NEI Lookups'!$L:$L,'Inputs Yr 2'!$F216,'NEI Lookups'!G:G)+SUMIF('NEI Lookups'!$M:$M,'Inputs Yr 2'!$F216,'NEI Lookups'!G:G)+SUMIF('NEI Lookups'!$N:$N,'Inputs Yr 2'!$F216,'NEI Lookups'!G:G)+SUMIF('NEI Lookups'!$O:$O,'Inputs Yr 2'!$F216,'NEI Lookups'!G:G)+SUMIF('NEI Lookups'!$P:$P,'Inputs Yr 2'!$F216,'NEI Lookups'!G:G)+SUMIF('NEI Lookups'!$Q:$Q,'Inputs Yr 2'!$F216,'NEI Lookups'!G:G)+SUMIF('NEI Lookups'!$R:$R,'Inputs Yr 2'!$F216,'NEI Lookups'!G:G)+SUMIF('NEI Lookups'!$S:$S,'Inputs Yr 2'!$F216,'NEI Lookups'!G:G)+SUMIF('NEI Lookups'!$T:$T,'Inputs Yr 2'!$F216,'NEI Lookups'!G:G)</f>
        <v>0</v>
      </c>
      <c r="AV216" s="299">
        <f>SUMIF('NEI Lookups'!$L:$L,'Inputs Yr 2'!$F216,'NEI Lookups'!H:H)+SUMIF('NEI Lookups'!$M:$M,'Inputs Yr 2'!$F216,'NEI Lookups'!H:H)+SUMIF('NEI Lookups'!$N:$N,'Inputs Yr 2'!$F216,'NEI Lookups'!H:H)+SUMIF('NEI Lookups'!$O:$O,'Inputs Yr 2'!$F216,'NEI Lookups'!H:H)+SUMIF('NEI Lookups'!$P:$P,'Inputs Yr 2'!$F216,'NEI Lookups'!H:H)+SUMIF('NEI Lookups'!$Q:$Q,'Inputs Yr 2'!$F216,'NEI Lookups'!H:H)+SUMIF('NEI Lookups'!$R:$R,'Inputs Yr 2'!$F216,'NEI Lookups'!H:H)+SUMIF('NEI Lookups'!$S:$S,'Inputs Yr 2'!$F216,'NEI Lookups'!H:H)+SUMIF('NEI Lookups'!$T:$T,'Inputs Yr 2'!$F216,'NEI Lookups'!H:H)</f>
        <v>0</v>
      </c>
      <c r="AW216" s="299">
        <f>SUMIF('NEI Lookups'!$L:$L,'Inputs Yr 2'!$F216,'NEI Lookups'!I:I)+SUMIF('NEI Lookups'!$M:$M,'Inputs Yr 2'!$F216,'NEI Lookups'!I:I)+SUMIF('NEI Lookups'!$N:$N,'Inputs Yr 2'!$F216,'NEI Lookups'!I:I)+SUMIF('NEI Lookups'!$O:$O,'Inputs Yr 2'!$F216,'NEI Lookups'!I:I)+SUMIF('NEI Lookups'!$P:$P,'Inputs Yr 2'!$F216,'NEI Lookups'!I:I)+SUMIF('NEI Lookups'!$Q:$Q,'Inputs Yr 2'!$F216,'NEI Lookups'!I:I)+SUMIF('NEI Lookups'!$R:$R,'Inputs Yr 2'!$F216,'NEI Lookups'!I:I)+SUMIF('NEI Lookups'!$S:$S,'Inputs Yr 2'!$F216,'NEI Lookups'!I:I)+SUMIF('NEI Lookups'!$T:$T,'Inputs Yr 2'!$F216,'NEI Lookups'!I:I)</f>
        <v>0</v>
      </c>
      <c r="AX216" s="299">
        <f>SUMIF('NEI Lookups'!$L:$L,'Inputs Yr 2'!$F216,'NEI Lookups'!J:J)+SUMIF('NEI Lookups'!$M:$M,'Inputs Yr 2'!$F216,'NEI Lookups'!J:J)+SUMIF('NEI Lookups'!$N:$N,'Inputs Yr 2'!$F216,'NEI Lookups'!J:J)+SUMIF('NEI Lookups'!$O:$O,'Inputs Yr 2'!$F216,'NEI Lookups'!J:J)+SUMIF('NEI Lookups'!$P:$P,'Inputs Yr 2'!$F216,'NEI Lookups'!J:J)+SUMIF('NEI Lookups'!$Q:$Q,'Inputs Yr 2'!$F216,'NEI Lookups'!J:J)+SUMIF('NEI Lookups'!$R:$R,'Inputs Yr 2'!$F216,'NEI Lookups'!J:J)+SUMIF('NEI Lookups'!$S:$S,'Inputs Yr 2'!$F216,'NEI Lookups'!J:J)+SUMIF('NEI Lookups'!$T:$T,'Inputs Yr 2'!$F216,'NEI Lookups'!J:J)</f>
        <v>0</v>
      </c>
      <c r="AY216" s="930">
        <f>'Calculations Yr 2'!CP216/'Calculations Yr 2'!I216</f>
        <v>1.0108694205895277</v>
      </c>
    </row>
    <row r="217" spans="1:51" s="133" customFormat="1" ht="12.75" customHeight="1">
      <c r="A217" s="145" t="s">
        <v>83</v>
      </c>
      <c r="B217" s="132" t="s">
        <v>873</v>
      </c>
      <c r="C217" s="132" t="s">
        <v>908</v>
      </c>
      <c r="D217" s="906" t="s">
        <v>1539</v>
      </c>
      <c r="E217" s="150" t="s">
        <v>776</v>
      </c>
      <c r="F217" s="150" t="s">
        <v>1104</v>
      </c>
      <c r="G217" s="145" t="s">
        <v>1247</v>
      </c>
      <c r="H217" s="232">
        <v>11</v>
      </c>
      <c r="I217" s="234">
        <v>25</v>
      </c>
      <c r="J217" s="964">
        <v>3479</v>
      </c>
      <c r="K217" s="871">
        <v>1272.73</v>
      </c>
      <c r="L217" s="888">
        <f t="shared" si="58"/>
        <v>2206.27</v>
      </c>
      <c r="M217" s="978">
        <v>0.30099999999999999</v>
      </c>
      <c r="N217" s="978">
        <v>0.14699999999999999</v>
      </c>
      <c r="O217" s="978">
        <v>0</v>
      </c>
      <c r="P217" s="889">
        <f t="shared" si="79"/>
        <v>0.84600000000000009</v>
      </c>
      <c r="Q217" s="978">
        <v>1</v>
      </c>
      <c r="R217" s="178">
        <v>1</v>
      </c>
      <c r="S217" s="178">
        <v>1</v>
      </c>
      <c r="T217" s="178">
        <v>1</v>
      </c>
      <c r="U217" s="978">
        <v>1</v>
      </c>
      <c r="V217" s="978">
        <v>1</v>
      </c>
      <c r="W217" s="179"/>
      <c r="X217" s="937" t="s">
        <v>653</v>
      </c>
      <c r="Y217" s="299">
        <f>IFERROR(VLOOKUP($X217,'Demand Lookups'!$A$5:$K$101,9,0), 0)</f>
        <v>0</v>
      </c>
      <c r="Z217" s="922" t="str">
        <f>IFERROR(VLOOKUP(X217,'Demand Lookups'!$A$5:$B$101,2,0),0)</f>
        <v>Non-Electric Measures</v>
      </c>
      <c r="AA217" s="722">
        <f>IF(ISNA(VLOOKUP($X217,'Demand Lookups'!$A$5:$K$81,3,0)),0,VLOOKUP($X217,'Demand Lookups'!$A$5:$K$81,3,0))</f>
        <v>0</v>
      </c>
      <c r="AB217" s="722">
        <f>IF(ISNA(VLOOKUP($X217,'Demand Lookups'!$A$5:$K$81,4,0)),0,VLOOKUP($X217,'Demand Lookups'!$A$5:$K$81,4,0))</f>
        <v>0</v>
      </c>
      <c r="AC217" s="722">
        <f>IF(ISNA(VLOOKUP($X217,'Demand Lookups'!$A$5:$K$81,5,0)),0,VLOOKUP($X217,'Demand Lookups'!$A$5:$K$81,5,0))</f>
        <v>0</v>
      </c>
      <c r="AD217" s="723">
        <f>IF(ISNA(VLOOKUP($X217,'Demand Lookups'!$A$5:$K$81,6,0)),0,VLOOKUP($X217,'Demand Lookups'!$A$5:$K$81,6,0))</f>
        <v>0</v>
      </c>
      <c r="AE217" s="724">
        <f t="shared" si="80"/>
        <v>0</v>
      </c>
      <c r="AF217" s="723">
        <f>ROUND(IF(ISNA(VLOOKUP($X217,'Demand Lookups'!$A$5:$K$82,10,0)),0,(VLOOKUP($X217,'Demand Lookups'!$A$5:$K$82,10,0))),2)</f>
        <v>0</v>
      </c>
      <c r="AG217" s="723">
        <f>ROUND(IF(ISNA(VLOOKUP($X217,'Demand Lookups'!$A$5:$K$82,11,0)),0,VLOOKUP($X217,'Demand Lookups'!$A$5:$K$82,11,0)),2)</f>
        <v>0</v>
      </c>
      <c r="AH217" s="648">
        <f t="shared" si="81"/>
        <v>0</v>
      </c>
      <c r="AI217" s="648">
        <f t="shared" si="82"/>
        <v>0</v>
      </c>
      <c r="AJ217" s="167" t="s">
        <v>87</v>
      </c>
      <c r="AK217" s="866">
        <v>14.699999999999998</v>
      </c>
      <c r="AL217" s="167"/>
      <c r="AM217" s="168"/>
      <c r="AN217" s="167"/>
      <c r="AO217" s="168"/>
      <c r="AP217" s="167"/>
      <c r="AQ217" s="171">
        <v>0</v>
      </c>
      <c r="AR217" s="171">
        <v>0</v>
      </c>
      <c r="AS217" s="299">
        <f>SUMIF('NEI Lookups'!$L:$L,'Inputs Yr 2'!$F217,'NEI Lookups'!E:E)+SUMIF('NEI Lookups'!$M:$M,'Inputs Yr 2'!$F217,'NEI Lookups'!E:E)+SUMIF('NEI Lookups'!$N:$N,'Inputs Yr 2'!$F217,'NEI Lookups'!E:E)+SUMIF('NEI Lookups'!$O:$O,'Inputs Yr 2'!$F217,'NEI Lookups'!E:E)+SUMIF('NEI Lookups'!$P:$P,'Inputs Yr 2'!$F217,'NEI Lookups'!E:E)+SUMIF('NEI Lookups'!$Q:$Q,'Inputs Yr 2'!$F217,'NEI Lookups'!E:E)+SUMIF('NEI Lookups'!$R:$R,'Inputs Yr 2'!$F217,'NEI Lookups'!E:E)+SUMIF('NEI Lookups'!$S:$S,'Inputs Yr 2'!$F217,'NEI Lookups'!E:E)+SUMIF('NEI Lookups'!$T:$T,'Inputs Yr 2'!$F217,'NEI Lookups'!E:E)</f>
        <v>0</v>
      </c>
      <c r="AT217" s="299">
        <f>SUMIF('NEI Lookups'!$L:$L,'Inputs Yr 2'!$F217,'NEI Lookups'!F:F)+SUMIF('NEI Lookups'!$M:$M,'Inputs Yr 2'!$F217,'NEI Lookups'!F:F)+SUMIF('NEI Lookups'!$N:$N,'Inputs Yr 2'!$F217,'NEI Lookups'!F:F)+SUMIF('NEI Lookups'!$O:$O,'Inputs Yr 2'!$F217,'NEI Lookups'!F:F)+SUMIF('NEI Lookups'!$P:$P,'Inputs Yr 2'!$F217,'NEI Lookups'!F:F)+SUMIF('NEI Lookups'!$Q:$Q,'Inputs Yr 2'!$F217,'NEI Lookups'!F:F)+SUMIF('NEI Lookups'!$R:$R,'Inputs Yr 2'!$F217,'NEI Lookups'!F:F)+SUMIF('NEI Lookups'!$S:$S,'Inputs Yr 2'!$F217,'NEI Lookups'!F:F)+SUMIF('NEI Lookups'!$T:$T,'Inputs Yr 2'!$F217,'NEI Lookups'!F:F)</f>
        <v>0</v>
      </c>
      <c r="AU217" s="299">
        <f>SUMIF('NEI Lookups'!$L:$L,'Inputs Yr 2'!$F217,'NEI Lookups'!G:G)+SUMIF('NEI Lookups'!$M:$M,'Inputs Yr 2'!$F217,'NEI Lookups'!G:G)+SUMIF('NEI Lookups'!$N:$N,'Inputs Yr 2'!$F217,'NEI Lookups'!G:G)+SUMIF('NEI Lookups'!$O:$O,'Inputs Yr 2'!$F217,'NEI Lookups'!G:G)+SUMIF('NEI Lookups'!$P:$P,'Inputs Yr 2'!$F217,'NEI Lookups'!G:G)+SUMIF('NEI Lookups'!$Q:$Q,'Inputs Yr 2'!$F217,'NEI Lookups'!G:G)+SUMIF('NEI Lookups'!$R:$R,'Inputs Yr 2'!$F217,'NEI Lookups'!G:G)+SUMIF('NEI Lookups'!$S:$S,'Inputs Yr 2'!$F217,'NEI Lookups'!G:G)+SUMIF('NEI Lookups'!$T:$T,'Inputs Yr 2'!$F217,'NEI Lookups'!G:G)</f>
        <v>0</v>
      </c>
      <c r="AV217" s="299">
        <f>SUMIF('NEI Lookups'!$L:$L,'Inputs Yr 2'!$F217,'NEI Lookups'!H:H)+SUMIF('NEI Lookups'!$M:$M,'Inputs Yr 2'!$F217,'NEI Lookups'!H:H)+SUMIF('NEI Lookups'!$N:$N,'Inputs Yr 2'!$F217,'NEI Lookups'!H:H)+SUMIF('NEI Lookups'!$O:$O,'Inputs Yr 2'!$F217,'NEI Lookups'!H:H)+SUMIF('NEI Lookups'!$P:$P,'Inputs Yr 2'!$F217,'NEI Lookups'!H:H)+SUMIF('NEI Lookups'!$Q:$Q,'Inputs Yr 2'!$F217,'NEI Lookups'!H:H)+SUMIF('NEI Lookups'!$R:$R,'Inputs Yr 2'!$F217,'NEI Lookups'!H:H)+SUMIF('NEI Lookups'!$S:$S,'Inputs Yr 2'!$F217,'NEI Lookups'!H:H)+SUMIF('NEI Lookups'!$T:$T,'Inputs Yr 2'!$F217,'NEI Lookups'!H:H)</f>
        <v>0</v>
      </c>
      <c r="AW217" s="299">
        <f>SUMIF('NEI Lookups'!$L:$L,'Inputs Yr 2'!$F217,'NEI Lookups'!I:I)+SUMIF('NEI Lookups'!$M:$M,'Inputs Yr 2'!$F217,'NEI Lookups'!I:I)+SUMIF('NEI Lookups'!$N:$N,'Inputs Yr 2'!$F217,'NEI Lookups'!I:I)+SUMIF('NEI Lookups'!$O:$O,'Inputs Yr 2'!$F217,'NEI Lookups'!I:I)+SUMIF('NEI Lookups'!$P:$P,'Inputs Yr 2'!$F217,'NEI Lookups'!I:I)+SUMIF('NEI Lookups'!$Q:$Q,'Inputs Yr 2'!$F217,'NEI Lookups'!I:I)+SUMIF('NEI Lookups'!$R:$R,'Inputs Yr 2'!$F217,'NEI Lookups'!I:I)+SUMIF('NEI Lookups'!$S:$S,'Inputs Yr 2'!$F217,'NEI Lookups'!I:I)+SUMIF('NEI Lookups'!$T:$T,'Inputs Yr 2'!$F217,'NEI Lookups'!I:I)</f>
        <v>0</v>
      </c>
      <c r="AX217" s="299">
        <f>SUMIF('NEI Lookups'!$L:$L,'Inputs Yr 2'!$F217,'NEI Lookups'!J:J)+SUMIF('NEI Lookups'!$M:$M,'Inputs Yr 2'!$F217,'NEI Lookups'!J:J)+SUMIF('NEI Lookups'!$N:$N,'Inputs Yr 2'!$F217,'NEI Lookups'!J:J)+SUMIF('NEI Lookups'!$O:$O,'Inputs Yr 2'!$F217,'NEI Lookups'!J:J)+SUMIF('NEI Lookups'!$P:$P,'Inputs Yr 2'!$F217,'NEI Lookups'!J:J)+SUMIF('NEI Lookups'!$Q:$Q,'Inputs Yr 2'!$F217,'NEI Lookups'!J:J)+SUMIF('NEI Lookups'!$R:$R,'Inputs Yr 2'!$F217,'NEI Lookups'!J:J)+SUMIF('NEI Lookups'!$S:$S,'Inputs Yr 2'!$F217,'NEI Lookups'!J:J)+SUMIF('NEI Lookups'!$T:$T,'Inputs Yr 2'!$F217,'NEI Lookups'!J:J)</f>
        <v>0</v>
      </c>
      <c r="AY217" s="930">
        <f>'Calculations Yr 2'!CP217/'Calculations Yr 2'!I217</f>
        <v>0.92858093349928428</v>
      </c>
    </row>
    <row r="218" spans="1:51" s="133" customFormat="1" ht="12.75" customHeight="1">
      <c r="A218" s="145" t="s">
        <v>83</v>
      </c>
      <c r="B218" s="132" t="s">
        <v>873</v>
      </c>
      <c r="C218" s="132" t="s">
        <v>908</v>
      </c>
      <c r="D218" s="906" t="s">
        <v>1537</v>
      </c>
      <c r="E218" s="150" t="s">
        <v>777</v>
      </c>
      <c r="F218" s="150" t="s">
        <v>1105</v>
      </c>
      <c r="G218" s="145" t="s">
        <v>1247</v>
      </c>
      <c r="H218" s="232">
        <v>48</v>
      </c>
      <c r="I218" s="234">
        <v>25</v>
      </c>
      <c r="J218" s="964">
        <v>3879</v>
      </c>
      <c r="K218" s="871">
        <v>2000</v>
      </c>
      <c r="L218" s="888">
        <f t="shared" si="58"/>
        <v>1879</v>
      </c>
      <c r="M218" s="978">
        <v>0.30099999999999999</v>
      </c>
      <c r="N218" s="978">
        <v>0.14699999999999999</v>
      </c>
      <c r="O218" s="978">
        <v>0</v>
      </c>
      <c r="P218" s="889">
        <f t="shared" si="79"/>
        <v>0.84600000000000009</v>
      </c>
      <c r="Q218" s="978">
        <v>1</v>
      </c>
      <c r="R218" s="178">
        <v>1</v>
      </c>
      <c r="S218" s="178">
        <v>1</v>
      </c>
      <c r="T218" s="178">
        <v>1</v>
      </c>
      <c r="U218" s="978">
        <v>1</v>
      </c>
      <c r="V218" s="978">
        <v>1</v>
      </c>
      <c r="W218" s="179"/>
      <c r="X218" s="937" t="s">
        <v>653</v>
      </c>
      <c r="Y218" s="299">
        <f>IFERROR(VLOOKUP($X218,'Demand Lookups'!$A$5:$K$101,9,0), 0)</f>
        <v>0</v>
      </c>
      <c r="Z218" s="922" t="str">
        <f>IFERROR(VLOOKUP(X218,'Demand Lookups'!$A$5:$B$101,2,0),0)</f>
        <v>Non-Electric Measures</v>
      </c>
      <c r="AA218" s="722">
        <f>IF(ISNA(VLOOKUP($X218,'Demand Lookups'!$A$5:$K$81,3,0)),0,VLOOKUP($X218,'Demand Lookups'!$A$5:$K$81,3,0))</f>
        <v>0</v>
      </c>
      <c r="AB218" s="722">
        <f>IF(ISNA(VLOOKUP($X218,'Demand Lookups'!$A$5:$K$81,4,0)),0,VLOOKUP($X218,'Demand Lookups'!$A$5:$K$81,4,0))</f>
        <v>0</v>
      </c>
      <c r="AC218" s="722">
        <f>IF(ISNA(VLOOKUP($X218,'Demand Lookups'!$A$5:$K$81,5,0)),0,VLOOKUP($X218,'Demand Lookups'!$A$5:$K$81,5,0))</f>
        <v>0</v>
      </c>
      <c r="AD218" s="723">
        <f>IF(ISNA(VLOOKUP($X218,'Demand Lookups'!$A$5:$K$81,6,0)),0,VLOOKUP($X218,'Demand Lookups'!$A$5:$K$81,6,0))</f>
        <v>0</v>
      </c>
      <c r="AE218" s="724">
        <f t="shared" si="80"/>
        <v>0</v>
      </c>
      <c r="AF218" s="723">
        <f>ROUND(IF(ISNA(VLOOKUP($X218,'Demand Lookups'!$A$5:$K$82,10,0)),0,(VLOOKUP($X218,'Demand Lookups'!$A$5:$K$82,10,0))),2)</f>
        <v>0</v>
      </c>
      <c r="AG218" s="723">
        <f>ROUND(IF(ISNA(VLOOKUP($X218,'Demand Lookups'!$A$5:$K$82,11,0)),0,VLOOKUP($X218,'Demand Lookups'!$A$5:$K$82,11,0)),2)</f>
        <v>0</v>
      </c>
      <c r="AH218" s="648">
        <f t="shared" si="81"/>
        <v>0</v>
      </c>
      <c r="AI218" s="648">
        <f t="shared" si="82"/>
        <v>0</v>
      </c>
      <c r="AJ218" s="167" t="s">
        <v>87</v>
      </c>
      <c r="AK218" s="866">
        <v>28</v>
      </c>
      <c r="AL218" s="167"/>
      <c r="AM218" s="168"/>
      <c r="AN218" s="167"/>
      <c r="AO218" s="168"/>
      <c r="AP218" s="167"/>
      <c r="AQ218" s="171">
        <v>0</v>
      </c>
      <c r="AR218" s="171">
        <v>0</v>
      </c>
      <c r="AS218" s="299">
        <f>SUMIF('NEI Lookups'!$L:$L,'Inputs Yr 2'!$F218,'NEI Lookups'!E:E)+SUMIF('NEI Lookups'!$M:$M,'Inputs Yr 2'!$F218,'NEI Lookups'!E:E)+SUMIF('NEI Lookups'!$N:$N,'Inputs Yr 2'!$F218,'NEI Lookups'!E:E)+SUMIF('NEI Lookups'!$O:$O,'Inputs Yr 2'!$F218,'NEI Lookups'!E:E)+SUMIF('NEI Lookups'!$P:$P,'Inputs Yr 2'!$F218,'NEI Lookups'!E:E)+SUMIF('NEI Lookups'!$Q:$Q,'Inputs Yr 2'!$F218,'NEI Lookups'!E:E)+SUMIF('NEI Lookups'!$R:$R,'Inputs Yr 2'!$F218,'NEI Lookups'!E:E)+SUMIF('NEI Lookups'!$S:$S,'Inputs Yr 2'!$F218,'NEI Lookups'!E:E)+SUMIF('NEI Lookups'!$T:$T,'Inputs Yr 2'!$F218,'NEI Lookups'!E:E)</f>
        <v>0</v>
      </c>
      <c r="AT218" s="299">
        <f>SUMIF('NEI Lookups'!$L:$L,'Inputs Yr 2'!$F218,'NEI Lookups'!F:F)+SUMIF('NEI Lookups'!$M:$M,'Inputs Yr 2'!$F218,'NEI Lookups'!F:F)+SUMIF('NEI Lookups'!$N:$N,'Inputs Yr 2'!$F218,'NEI Lookups'!F:F)+SUMIF('NEI Lookups'!$O:$O,'Inputs Yr 2'!$F218,'NEI Lookups'!F:F)+SUMIF('NEI Lookups'!$P:$P,'Inputs Yr 2'!$F218,'NEI Lookups'!F:F)+SUMIF('NEI Lookups'!$Q:$Q,'Inputs Yr 2'!$F218,'NEI Lookups'!F:F)+SUMIF('NEI Lookups'!$R:$R,'Inputs Yr 2'!$F218,'NEI Lookups'!F:F)+SUMIF('NEI Lookups'!$S:$S,'Inputs Yr 2'!$F218,'NEI Lookups'!F:F)+SUMIF('NEI Lookups'!$T:$T,'Inputs Yr 2'!$F218,'NEI Lookups'!F:F)</f>
        <v>0</v>
      </c>
      <c r="AU218" s="299">
        <f>SUMIF('NEI Lookups'!$L:$L,'Inputs Yr 2'!$F218,'NEI Lookups'!G:G)+SUMIF('NEI Lookups'!$M:$M,'Inputs Yr 2'!$F218,'NEI Lookups'!G:G)+SUMIF('NEI Lookups'!$N:$N,'Inputs Yr 2'!$F218,'NEI Lookups'!G:G)+SUMIF('NEI Lookups'!$O:$O,'Inputs Yr 2'!$F218,'NEI Lookups'!G:G)+SUMIF('NEI Lookups'!$P:$P,'Inputs Yr 2'!$F218,'NEI Lookups'!G:G)+SUMIF('NEI Lookups'!$Q:$Q,'Inputs Yr 2'!$F218,'NEI Lookups'!G:G)+SUMIF('NEI Lookups'!$R:$R,'Inputs Yr 2'!$F218,'NEI Lookups'!G:G)+SUMIF('NEI Lookups'!$S:$S,'Inputs Yr 2'!$F218,'NEI Lookups'!G:G)+SUMIF('NEI Lookups'!$T:$T,'Inputs Yr 2'!$F218,'NEI Lookups'!G:G)</f>
        <v>0</v>
      </c>
      <c r="AV218" s="299">
        <f>SUMIF('NEI Lookups'!$L:$L,'Inputs Yr 2'!$F218,'NEI Lookups'!H:H)+SUMIF('NEI Lookups'!$M:$M,'Inputs Yr 2'!$F218,'NEI Lookups'!H:H)+SUMIF('NEI Lookups'!$N:$N,'Inputs Yr 2'!$F218,'NEI Lookups'!H:H)+SUMIF('NEI Lookups'!$O:$O,'Inputs Yr 2'!$F218,'NEI Lookups'!H:H)+SUMIF('NEI Lookups'!$P:$P,'Inputs Yr 2'!$F218,'NEI Lookups'!H:H)+SUMIF('NEI Lookups'!$Q:$Q,'Inputs Yr 2'!$F218,'NEI Lookups'!H:H)+SUMIF('NEI Lookups'!$R:$R,'Inputs Yr 2'!$F218,'NEI Lookups'!H:H)+SUMIF('NEI Lookups'!$S:$S,'Inputs Yr 2'!$F218,'NEI Lookups'!H:H)+SUMIF('NEI Lookups'!$T:$T,'Inputs Yr 2'!$F218,'NEI Lookups'!H:H)</f>
        <v>0</v>
      </c>
      <c r="AW218" s="299">
        <f>SUMIF('NEI Lookups'!$L:$L,'Inputs Yr 2'!$F218,'NEI Lookups'!I:I)+SUMIF('NEI Lookups'!$M:$M,'Inputs Yr 2'!$F218,'NEI Lookups'!I:I)+SUMIF('NEI Lookups'!$N:$N,'Inputs Yr 2'!$F218,'NEI Lookups'!I:I)+SUMIF('NEI Lookups'!$O:$O,'Inputs Yr 2'!$F218,'NEI Lookups'!I:I)+SUMIF('NEI Lookups'!$P:$P,'Inputs Yr 2'!$F218,'NEI Lookups'!I:I)+SUMIF('NEI Lookups'!$Q:$Q,'Inputs Yr 2'!$F218,'NEI Lookups'!I:I)+SUMIF('NEI Lookups'!$R:$R,'Inputs Yr 2'!$F218,'NEI Lookups'!I:I)+SUMIF('NEI Lookups'!$S:$S,'Inputs Yr 2'!$F218,'NEI Lookups'!I:I)+SUMIF('NEI Lookups'!$T:$T,'Inputs Yr 2'!$F218,'NEI Lookups'!I:I)</f>
        <v>0</v>
      </c>
      <c r="AX218" s="299">
        <f>SUMIF('NEI Lookups'!$L:$L,'Inputs Yr 2'!$F218,'NEI Lookups'!J:J)+SUMIF('NEI Lookups'!$M:$M,'Inputs Yr 2'!$F218,'NEI Lookups'!J:J)+SUMIF('NEI Lookups'!$N:$N,'Inputs Yr 2'!$F218,'NEI Lookups'!J:J)+SUMIF('NEI Lookups'!$O:$O,'Inputs Yr 2'!$F218,'NEI Lookups'!J:J)+SUMIF('NEI Lookups'!$P:$P,'Inputs Yr 2'!$F218,'NEI Lookups'!J:J)+SUMIF('NEI Lookups'!$Q:$Q,'Inputs Yr 2'!$F218,'NEI Lookups'!J:J)+SUMIF('NEI Lookups'!$R:$R,'Inputs Yr 2'!$F218,'NEI Lookups'!J:J)+SUMIF('NEI Lookups'!$S:$S,'Inputs Yr 2'!$F218,'NEI Lookups'!J:J)+SUMIF('NEI Lookups'!$T:$T,'Inputs Yr 2'!$F218,'NEI Lookups'!J:J)</f>
        <v>0</v>
      </c>
      <c r="AY218" s="930">
        <f>'Calculations Yr 2'!CP218/'Calculations Yr 2'!I218</f>
        <v>1.5863357358396299</v>
      </c>
    </row>
    <row r="219" spans="1:51" s="133" customFormat="1" ht="12.75" customHeight="1">
      <c r="A219" s="145" t="s">
        <v>83</v>
      </c>
      <c r="B219" s="132" t="s">
        <v>873</v>
      </c>
      <c r="C219" s="132" t="s">
        <v>908</v>
      </c>
      <c r="D219" s="906" t="s">
        <v>1536</v>
      </c>
      <c r="E219" s="98" t="s">
        <v>778</v>
      </c>
      <c r="F219" s="150" t="s">
        <v>1106</v>
      </c>
      <c r="G219" s="145" t="s">
        <v>1247</v>
      </c>
      <c r="H219" s="232">
        <v>99</v>
      </c>
      <c r="I219" s="234">
        <v>25</v>
      </c>
      <c r="J219" s="964">
        <v>5077</v>
      </c>
      <c r="K219" s="871">
        <v>3838.38</v>
      </c>
      <c r="L219" s="888">
        <f t="shared" si="58"/>
        <v>1238.6199999999999</v>
      </c>
      <c r="M219" s="978">
        <v>0.30099999999999999</v>
      </c>
      <c r="N219" s="978">
        <v>0.14699999999999999</v>
      </c>
      <c r="O219" s="978">
        <v>0</v>
      </c>
      <c r="P219" s="889">
        <f t="shared" si="79"/>
        <v>0.84600000000000009</v>
      </c>
      <c r="Q219" s="978">
        <v>1</v>
      </c>
      <c r="R219" s="178">
        <v>1</v>
      </c>
      <c r="S219" s="178">
        <v>1</v>
      </c>
      <c r="T219" s="178">
        <v>1</v>
      </c>
      <c r="U219" s="978">
        <v>1</v>
      </c>
      <c r="V219" s="978">
        <v>1</v>
      </c>
      <c r="W219" s="179"/>
      <c r="X219" s="937" t="s">
        <v>653</v>
      </c>
      <c r="Y219" s="299">
        <f>IFERROR(VLOOKUP($X219,'Demand Lookups'!$A$5:$K$101,9,0), 0)</f>
        <v>0</v>
      </c>
      <c r="Z219" s="922" t="str">
        <f>IFERROR(VLOOKUP(X219,'Demand Lookups'!$A$5:$B$101,2,0),0)</f>
        <v>Non-Electric Measures</v>
      </c>
      <c r="AA219" s="722">
        <f>IF(ISNA(VLOOKUP($X219,'Demand Lookups'!$A$5:$K$81,3,0)),0,VLOOKUP($X219,'Demand Lookups'!$A$5:$K$81,3,0))</f>
        <v>0</v>
      </c>
      <c r="AB219" s="722">
        <f>IF(ISNA(VLOOKUP($X219,'Demand Lookups'!$A$5:$K$81,4,0)),0,VLOOKUP($X219,'Demand Lookups'!$A$5:$K$81,4,0))</f>
        <v>0</v>
      </c>
      <c r="AC219" s="722">
        <f>IF(ISNA(VLOOKUP($X219,'Demand Lookups'!$A$5:$K$81,5,0)),0,VLOOKUP($X219,'Demand Lookups'!$A$5:$K$81,5,0))</f>
        <v>0</v>
      </c>
      <c r="AD219" s="723">
        <f>IF(ISNA(VLOOKUP($X219,'Demand Lookups'!$A$5:$K$81,6,0)),0,VLOOKUP($X219,'Demand Lookups'!$A$5:$K$81,6,0))</f>
        <v>0</v>
      </c>
      <c r="AE219" s="724">
        <f t="shared" si="80"/>
        <v>0</v>
      </c>
      <c r="AF219" s="723">
        <f>ROUND(IF(ISNA(VLOOKUP($X219,'Demand Lookups'!$A$5:$K$82,10,0)),0,(VLOOKUP($X219,'Demand Lookups'!$A$5:$K$82,10,0))),2)</f>
        <v>0</v>
      </c>
      <c r="AG219" s="723">
        <f>ROUND(IF(ISNA(VLOOKUP($X219,'Demand Lookups'!$A$5:$K$82,11,0)),0,VLOOKUP($X219,'Demand Lookups'!$A$5:$K$82,11,0)),2)</f>
        <v>0</v>
      </c>
      <c r="AH219" s="648">
        <f t="shared" si="81"/>
        <v>0</v>
      </c>
      <c r="AI219" s="648">
        <f t="shared" si="82"/>
        <v>0</v>
      </c>
      <c r="AJ219" s="167" t="s">
        <v>87</v>
      </c>
      <c r="AK219" s="866">
        <v>51.399999999999984</v>
      </c>
      <c r="AL219" s="167"/>
      <c r="AM219" s="168"/>
      <c r="AN219" s="167"/>
      <c r="AO219" s="168"/>
      <c r="AP219" s="167"/>
      <c r="AQ219" s="171">
        <v>0</v>
      </c>
      <c r="AR219" s="171">
        <v>0</v>
      </c>
      <c r="AS219" s="299">
        <f>SUMIF('NEI Lookups'!$L:$L,'Inputs Yr 2'!$F219,'NEI Lookups'!E:E)+SUMIF('NEI Lookups'!$M:$M,'Inputs Yr 2'!$F219,'NEI Lookups'!E:E)+SUMIF('NEI Lookups'!$N:$N,'Inputs Yr 2'!$F219,'NEI Lookups'!E:E)+SUMIF('NEI Lookups'!$O:$O,'Inputs Yr 2'!$F219,'NEI Lookups'!E:E)+SUMIF('NEI Lookups'!$P:$P,'Inputs Yr 2'!$F219,'NEI Lookups'!E:E)+SUMIF('NEI Lookups'!$Q:$Q,'Inputs Yr 2'!$F219,'NEI Lookups'!E:E)+SUMIF('NEI Lookups'!$R:$R,'Inputs Yr 2'!$F219,'NEI Lookups'!E:E)+SUMIF('NEI Lookups'!$S:$S,'Inputs Yr 2'!$F219,'NEI Lookups'!E:E)+SUMIF('NEI Lookups'!$T:$T,'Inputs Yr 2'!$F219,'NEI Lookups'!E:E)</f>
        <v>0</v>
      </c>
      <c r="AT219" s="299">
        <f>SUMIF('NEI Lookups'!$L:$L,'Inputs Yr 2'!$F219,'NEI Lookups'!F:F)+SUMIF('NEI Lookups'!$M:$M,'Inputs Yr 2'!$F219,'NEI Lookups'!F:F)+SUMIF('NEI Lookups'!$N:$N,'Inputs Yr 2'!$F219,'NEI Lookups'!F:F)+SUMIF('NEI Lookups'!$O:$O,'Inputs Yr 2'!$F219,'NEI Lookups'!F:F)+SUMIF('NEI Lookups'!$P:$P,'Inputs Yr 2'!$F219,'NEI Lookups'!F:F)+SUMIF('NEI Lookups'!$Q:$Q,'Inputs Yr 2'!$F219,'NEI Lookups'!F:F)+SUMIF('NEI Lookups'!$R:$R,'Inputs Yr 2'!$F219,'NEI Lookups'!F:F)+SUMIF('NEI Lookups'!$S:$S,'Inputs Yr 2'!$F219,'NEI Lookups'!F:F)+SUMIF('NEI Lookups'!$T:$T,'Inputs Yr 2'!$F219,'NEI Lookups'!F:F)</f>
        <v>0</v>
      </c>
      <c r="AU219" s="299">
        <f>SUMIF('NEI Lookups'!$L:$L,'Inputs Yr 2'!$F219,'NEI Lookups'!G:G)+SUMIF('NEI Lookups'!$M:$M,'Inputs Yr 2'!$F219,'NEI Lookups'!G:G)+SUMIF('NEI Lookups'!$N:$N,'Inputs Yr 2'!$F219,'NEI Lookups'!G:G)+SUMIF('NEI Lookups'!$O:$O,'Inputs Yr 2'!$F219,'NEI Lookups'!G:G)+SUMIF('NEI Lookups'!$P:$P,'Inputs Yr 2'!$F219,'NEI Lookups'!G:G)+SUMIF('NEI Lookups'!$Q:$Q,'Inputs Yr 2'!$F219,'NEI Lookups'!G:G)+SUMIF('NEI Lookups'!$R:$R,'Inputs Yr 2'!$F219,'NEI Lookups'!G:G)+SUMIF('NEI Lookups'!$S:$S,'Inputs Yr 2'!$F219,'NEI Lookups'!G:G)+SUMIF('NEI Lookups'!$T:$T,'Inputs Yr 2'!$F219,'NEI Lookups'!G:G)</f>
        <v>0</v>
      </c>
      <c r="AV219" s="299">
        <f>SUMIF('NEI Lookups'!$L:$L,'Inputs Yr 2'!$F219,'NEI Lookups'!H:H)+SUMIF('NEI Lookups'!$M:$M,'Inputs Yr 2'!$F219,'NEI Lookups'!H:H)+SUMIF('NEI Lookups'!$N:$N,'Inputs Yr 2'!$F219,'NEI Lookups'!H:H)+SUMIF('NEI Lookups'!$O:$O,'Inputs Yr 2'!$F219,'NEI Lookups'!H:H)+SUMIF('NEI Lookups'!$P:$P,'Inputs Yr 2'!$F219,'NEI Lookups'!H:H)+SUMIF('NEI Lookups'!$Q:$Q,'Inputs Yr 2'!$F219,'NEI Lookups'!H:H)+SUMIF('NEI Lookups'!$R:$R,'Inputs Yr 2'!$F219,'NEI Lookups'!H:H)+SUMIF('NEI Lookups'!$S:$S,'Inputs Yr 2'!$F219,'NEI Lookups'!H:H)+SUMIF('NEI Lookups'!$T:$T,'Inputs Yr 2'!$F219,'NEI Lookups'!H:H)</f>
        <v>0</v>
      </c>
      <c r="AW219" s="299">
        <f>SUMIF('NEI Lookups'!$L:$L,'Inputs Yr 2'!$F219,'NEI Lookups'!I:I)+SUMIF('NEI Lookups'!$M:$M,'Inputs Yr 2'!$F219,'NEI Lookups'!I:I)+SUMIF('NEI Lookups'!$N:$N,'Inputs Yr 2'!$F219,'NEI Lookups'!I:I)+SUMIF('NEI Lookups'!$O:$O,'Inputs Yr 2'!$F219,'NEI Lookups'!I:I)+SUMIF('NEI Lookups'!$P:$P,'Inputs Yr 2'!$F219,'NEI Lookups'!I:I)+SUMIF('NEI Lookups'!$Q:$Q,'Inputs Yr 2'!$F219,'NEI Lookups'!I:I)+SUMIF('NEI Lookups'!$R:$R,'Inputs Yr 2'!$F219,'NEI Lookups'!I:I)+SUMIF('NEI Lookups'!$S:$S,'Inputs Yr 2'!$F219,'NEI Lookups'!I:I)+SUMIF('NEI Lookups'!$T:$T,'Inputs Yr 2'!$F219,'NEI Lookups'!I:I)</f>
        <v>0</v>
      </c>
      <c r="AX219" s="299">
        <f>SUMIF('NEI Lookups'!$L:$L,'Inputs Yr 2'!$F219,'NEI Lookups'!J:J)+SUMIF('NEI Lookups'!$M:$M,'Inputs Yr 2'!$F219,'NEI Lookups'!J:J)+SUMIF('NEI Lookups'!$N:$N,'Inputs Yr 2'!$F219,'NEI Lookups'!J:J)+SUMIF('NEI Lookups'!$O:$O,'Inputs Yr 2'!$F219,'NEI Lookups'!J:J)+SUMIF('NEI Lookups'!$P:$P,'Inputs Yr 2'!$F219,'NEI Lookups'!J:J)+SUMIF('NEI Lookups'!$Q:$Q,'Inputs Yr 2'!$F219,'NEI Lookups'!J:J)+SUMIF('NEI Lookups'!$R:$R,'Inputs Yr 2'!$F219,'NEI Lookups'!J:J)+SUMIF('NEI Lookups'!$S:$S,'Inputs Yr 2'!$F219,'NEI Lookups'!J:J)+SUMIF('NEI Lookups'!$T:$T,'Inputs Yr 2'!$F219,'NEI Lookups'!J:J)</f>
        <v>0</v>
      </c>
      <c r="AY219" s="930">
        <f>'Calculations Yr 2'!CP219/'Calculations Yr 2'!I219</f>
        <v>2.2249118631162021</v>
      </c>
    </row>
    <row r="220" spans="1:51" s="133" customFormat="1" ht="12.75" customHeight="1">
      <c r="A220" s="145" t="s">
        <v>83</v>
      </c>
      <c r="B220" s="132" t="s">
        <v>873</v>
      </c>
      <c r="C220" s="132" t="s">
        <v>908</v>
      </c>
      <c r="D220" s="906" t="s">
        <v>1534</v>
      </c>
      <c r="E220" s="98" t="s">
        <v>779</v>
      </c>
      <c r="F220" s="150" t="s">
        <v>1107</v>
      </c>
      <c r="G220" s="145" t="s">
        <v>1247</v>
      </c>
      <c r="H220" s="232">
        <v>26</v>
      </c>
      <c r="I220" s="234">
        <v>25</v>
      </c>
      <c r="J220" s="964">
        <v>7874</v>
      </c>
      <c r="K220" s="871">
        <v>7500</v>
      </c>
      <c r="L220" s="888">
        <f t="shared" si="58"/>
        <v>374</v>
      </c>
      <c r="M220" s="978">
        <v>0.30099999999999999</v>
      </c>
      <c r="N220" s="978">
        <v>0.14699999999999999</v>
      </c>
      <c r="O220" s="978">
        <v>0</v>
      </c>
      <c r="P220" s="889">
        <f t="shared" si="79"/>
        <v>0.84600000000000009</v>
      </c>
      <c r="Q220" s="978">
        <v>1</v>
      </c>
      <c r="R220" s="178">
        <v>1</v>
      </c>
      <c r="S220" s="178">
        <v>1</v>
      </c>
      <c r="T220" s="178">
        <v>1</v>
      </c>
      <c r="U220" s="978">
        <v>1</v>
      </c>
      <c r="V220" s="978">
        <v>1</v>
      </c>
      <c r="W220" s="179"/>
      <c r="X220" s="937" t="s">
        <v>653</v>
      </c>
      <c r="Y220" s="299">
        <f>IFERROR(VLOOKUP($X220,'Demand Lookups'!$A$5:$K$101,9,0), 0)</f>
        <v>0</v>
      </c>
      <c r="Z220" s="922" t="str">
        <f>IFERROR(VLOOKUP(X220,'Demand Lookups'!$A$5:$B$101,2,0),0)</f>
        <v>Non-Electric Measures</v>
      </c>
      <c r="AA220" s="722">
        <f>IF(ISNA(VLOOKUP($X220,'Demand Lookups'!$A$5:$K$81,3,0)),0,VLOOKUP($X220,'Demand Lookups'!$A$5:$K$81,3,0))</f>
        <v>0</v>
      </c>
      <c r="AB220" s="722">
        <f>IF(ISNA(VLOOKUP($X220,'Demand Lookups'!$A$5:$K$81,4,0)),0,VLOOKUP($X220,'Demand Lookups'!$A$5:$K$81,4,0))</f>
        <v>0</v>
      </c>
      <c r="AC220" s="722">
        <f>IF(ISNA(VLOOKUP($X220,'Demand Lookups'!$A$5:$K$81,5,0)),0,VLOOKUP($X220,'Demand Lookups'!$A$5:$K$81,5,0))</f>
        <v>0</v>
      </c>
      <c r="AD220" s="723">
        <f>IF(ISNA(VLOOKUP($X220,'Demand Lookups'!$A$5:$K$81,6,0)),0,VLOOKUP($X220,'Demand Lookups'!$A$5:$K$81,6,0))</f>
        <v>0</v>
      </c>
      <c r="AE220" s="724">
        <f t="shared" si="80"/>
        <v>0</v>
      </c>
      <c r="AF220" s="723">
        <f>ROUND(IF(ISNA(VLOOKUP($X220,'Demand Lookups'!$A$5:$K$82,10,0)),0,(VLOOKUP($X220,'Demand Lookups'!$A$5:$K$82,10,0))),2)</f>
        <v>0</v>
      </c>
      <c r="AG220" s="723">
        <f>ROUND(IF(ISNA(VLOOKUP($X220,'Demand Lookups'!$A$5:$K$82,11,0)),0,VLOOKUP($X220,'Demand Lookups'!$A$5:$K$82,11,0)),2)</f>
        <v>0</v>
      </c>
      <c r="AH220" s="648">
        <f t="shared" si="81"/>
        <v>0</v>
      </c>
      <c r="AI220" s="648">
        <f t="shared" si="82"/>
        <v>0</v>
      </c>
      <c r="AJ220" s="167" t="s">
        <v>87</v>
      </c>
      <c r="AK220" s="866">
        <v>94.5</v>
      </c>
      <c r="AL220" s="167"/>
      <c r="AM220" s="168"/>
      <c r="AN220" s="167"/>
      <c r="AO220" s="168"/>
      <c r="AP220" s="167"/>
      <c r="AQ220" s="171">
        <v>0</v>
      </c>
      <c r="AR220" s="171">
        <v>0</v>
      </c>
      <c r="AS220" s="299">
        <f>SUMIF('NEI Lookups'!$L:$L,'Inputs Yr 2'!$F220,'NEI Lookups'!E:E)+SUMIF('NEI Lookups'!$M:$M,'Inputs Yr 2'!$F220,'NEI Lookups'!E:E)+SUMIF('NEI Lookups'!$N:$N,'Inputs Yr 2'!$F220,'NEI Lookups'!E:E)+SUMIF('NEI Lookups'!$O:$O,'Inputs Yr 2'!$F220,'NEI Lookups'!E:E)+SUMIF('NEI Lookups'!$P:$P,'Inputs Yr 2'!$F220,'NEI Lookups'!E:E)+SUMIF('NEI Lookups'!$Q:$Q,'Inputs Yr 2'!$F220,'NEI Lookups'!E:E)+SUMIF('NEI Lookups'!$R:$R,'Inputs Yr 2'!$F220,'NEI Lookups'!E:E)+SUMIF('NEI Lookups'!$S:$S,'Inputs Yr 2'!$F220,'NEI Lookups'!E:E)+SUMIF('NEI Lookups'!$T:$T,'Inputs Yr 2'!$F220,'NEI Lookups'!E:E)</f>
        <v>0</v>
      </c>
      <c r="AT220" s="299">
        <f>SUMIF('NEI Lookups'!$L:$L,'Inputs Yr 2'!$F220,'NEI Lookups'!F:F)+SUMIF('NEI Lookups'!$M:$M,'Inputs Yr 2'!$F220,'NEI Lookups'!F:F)+SUMIF('NEI Lookups'!$N:$N,'Inputs Yr 2'!$F220,'NEI Lookups'!F:F)+SUMIF('NEI Lookups'!$O:$O,'Inputs Yr 2'!$F220,'NEI Lookups'!F:F)+SUMIF('NEI Lookups'!$P:$P,'Inputs Yr 2'!$F220,'NEI Lookups'!F:F)+SUMIF('NEI Lookups'!$Q:$Q,'Inputs Yr 2'!$F220,'NEI Lookups'!F:F)+SUMIF('NEI Lookups'!$R:$R,'Inputs Yr 2'!$F220,'NEI Lookups'!F:F)+SUMIF('NEI Lookups'!$S:$S,'Inputs Yr 2'!$F220,'NEI Lookups'!F:F)+SUMIF('NEI Lookups'!$T:$T,'Inputs Yr 2'!$F220,'NEI Lookups'!F:F)</f>
        <v>0</v>
      </c>
      <c r="AU220" s="299">
        <f>SUMIF('NEI Lookups'!$L:$L,'Inputs Yr 2'!$F220,'NEI Lookups'!G:G)+SUMIF('NEI Lookups'!$M:$M,'Inputs Yr 2'!$F220,'NEI Lookups'!G:G)+SUMIF('NEI Lookups'!$N:$N,'Inputs Yr 2'!$F220,'NEI Lookups'!G:G)+SUMIF('NEI Lookups'!$O:$O,'Inputs Yr 2'!$F220,'NEI Lookups'!G:G)+SUMIF('NEI Lookups'!$P:$P,'Inputs Yr 2'!$F220,'NEI Lookups'!G:G)+SUMIF('NEI Lookups'!$Q:$Q,'Inputs Yr 2'!$F220,'NEI Lookups'!G:G)+SUMIF('NEI Lookups'!$R:$R,'Inputs Yr 2'!$F220,'NEI Lookups'!G:G)+SUMIF('NEI Lookups'!$S:$S,'Inputs Yr 2'!$F220,'NEI Lookups'!G:G)+SUMIF('NEI Lookups'!$T:$T,'Inputs Yr 2'!$F220,'NEI Lookups'!G:G)</f>
        <v>0</v>
      </c>
      <c r="AV220" s="299">
        <f>SUMIF('NEI Lookups'!$L:$L,'Inputs Yr 2'!$F220,'NEI Lookups'!H:H)+SUMIF('NEI Lookups'!$M:$M,'Inputs Yr 2'!$F220,'NEI Lookups'!H:H)+SUMIF('NEI Lookups'!$N:$N,'Inputs Yr 2'!$F220,'NEI Lookups'!H:H)+SUMIF('NEI Lookups'!$O:$O,'Inputs Yr 2'!$F220,'NEI Lookups'!H:H)+SUMIF('NEI Lookups'!$P:$P,'Inputs Yr 2'!$F220,'NEI Lookups'!H:H)+SUMIF('NEI Lookups'!$Q:$Q,'Inputs Yr 2'!$F220,'NEI Lookups'!H:H)+SUMIF('NEI Lookups'!$R:$R,'Inputs Yr 2'!$F220,'NEI Lookups'!H:H)+SUMIF('NEI Lookups'!$S:$S,'Inputs Yr 2'!$F220,'NEI Lookups'!H:H)+SUMIF('NEI Lookups'!$T:$T,'Inputs Yr 2'!$F220,'NEI Lookups'!H:H)</f>
        <v>0</v>
      </c>
      <c r="AW220" s="299">
        <f>SUMIF('NEI Lookups'!$L:$L,'Inputs Yr 2'!$F220,'NEI Lookups'!I:I)+SUMIF('NEI Lookups'!$M:$M,'Inputs Yr 2'!$F220,'NEI Lookups'!I:I)+SUMIF('NEI Lookups'!$N:$N,'Inputs Yr 2'!$F220,'NEI Lookups'!I:I)+SUMIF('NEI Lookups'!$O:$O,'Inputs Yr 2'!$F220,'NEI Lookups'!I:I)+SUMIF('NEI Lookups'!$P:$P,'Inputs Yr 2'!$F220,'NEI Lookups'!I:I)+SUMIF('NEI Lookups'!$Q:$Q,'Inputs Yr 2'!$F220,'NEI Lookups'!I:I)+SUMIF('NEI Lookups'!$R:$R,'Inputs Yr 2'!$F220,'NEI Lookups'!I:I)+SUMIF('NEI Lookups'!$S:$S,'Inputs Yr 2'!$F220,'NEI Lookups'!I:I)+SUMIF('NEI Lookups'!$T:$T,'Inputs Yr 2'!$F220,'NEI Lookups'!I:I)</f>
        <v>0</v>
      </c>
      <c r="AX220" s="299">
        <f>SUMIF('NEI Lookups'!$L:$L,'Inputs Yr 2'!$F220,'NEI Lookups'!J:J)+SUMIF('NEI Lookups'!$M:$M,'Inputs Yr 2'!$F220,'NEI Lookups'!J:J)+SUMIF('NEI Lookups'!$N:$N,'Inputs Yr 2'!$F220,'NEI Lookups'!J:J)+SUMIF('NEI Lookups'!$O:$O,'Inputs Yr 2'!$F220,'NEI Lookups'!J:J)+SUMIF('NEI Lookups'!$P:$P,'Inputs Yr 2'!$F220,'NEI Lookups'!J:J)+SUMIF('NEI Lookups'!$Q:$Q,'Inputs Yr 2'!$F220,'NEI Lookups'!J:J)+SUMIF('NEI Lookups'!$R:$R,'Inputs Yr 2'!$F220,'NEI Lookups'!J:J)+SUMIF('NEI Lookups'!$S:$S,'Inputs Yr 2'!$F220,'NEI Lookups'!J:J)+SUMIF('NEI Lookups'!$T:$T,'Inputs Yr 2'!$F220,'NEI Lookups'!J:J)</f>
        <v>0</v>
      </c>
      <c r="AY220" s="930">
        <f>'Calculations Yr 2'!CP220/'Calculations Yr 2'!I220</f>
        <v>2.6375047723789051</v>
      </c>
    </row>
    <row r="221" spans="1:51" s="133" customFormat="1" ht="12.75" customHeight="1">
      <c r="A221" s="145" t="s">
        <v>83</v>
      </c>
      <c r="B221" s="132" t="s">
        <v>873</v>
      </c>
      <c r="C221" s="132" t="s">
        <v>908</v>
      </c>
      <c r="D221" s="906" t="s">
        <v>1535</v>
      </c>
      <c r="E221" s="150" t="s">
        <v>780</v>
      </c>
      <c r="F221" s="150" t="s">
        <v>1108</v>
      </c>
      <c r="G221" s="145" t="s">
        <v>1247</v>
      </c>
      <c r="H221" s="232">
        <v>25</v>
      </c>
      <c r="I221" s="234">
        <v>25</v>
      </c>
      <c r="J221" s="964">
        <v>10601</v>
      </c>
      <c r="K221" s="871">
        <v>10000</v>
      </c>
      <c r="L221" s="888">
        <f t="shared" si="58"/>
        <v>601</v>
      </c>
      <c r="M221" s="978">
        <v>0.30099999999999999</v>
      </c>
      <c r="N221" s="978">
        <v>0.14699999999999999</v>
      </c>
      <c r="O221" s="978">
        <v>0</v>
      </c>
      <c r="P221" s="889">
        <f t="shared" si="79"/>
        <v>0.84600000000000009</v>
      </c>
      <c r="Q221" s="978">
        <v>1</v>
      </c>
      <c r="R221" s="178">
        <v>1</v>
      </c>
      <c r="S221" s="178">
        <v>1</v>
      </c>
      <c r="T221" s="178">
        <v>1</v>
      </c>
      <c r="U221" s="978">
        <v>1</v>
      </c>
      <c r="V221" s="978">
        <v>1</v>
      </c>
      <c r="W221" s="179"/>
      <c r="X221" s="937" t="s">
        <v>653</v>
      </c>
      <c r="Y221" s="299">
        <f>IFERROR(VLOOKUP($X221,'Demand Lookups'!$A$5:$K$101,9,0), 0)</f>
        <v>0</v>
      </c>
      <c r="Z221" s="922" t="str">
        <f>IFERROR(VLOOKUP(X221,'Demand Lookups'!$A$5:$B$101,2,0),0)</f>
        <v>Non-Electric Measures</v>
      </c>
      <c r="AA221" s="722">
        <f>IF(ISNA(VLOOKUP($X221,'Demand Lookups'!$A$5:$K$81,3,0)),0,VLOOKUP($X221,'Demand Lookups'!$A$5:$K$81,3,0))</f>
        <v>0</v>
      </c>
      <c r="AB221" s="722">
        <f>IF(ISNA(VLOOKUP($X221,'Demand Lookups'!$A$5:$K$81,4,0)),0,VLOOKUP($X221,'Demand Lookups'!$A$5:$K$81,4,0))</f>
        <v>0</v>
      </c>
      <c r="AC221" s="722">
        <f>IF(ISNA(VLOOKUP($X221,'Demand Lookups'!$A$5:$K$81,5,0)),0,VLOOKUP($X221,'Demand Lookups'!$A$5:$K$81,5,0))</f>
        <v>0</v>
      </c>
      <c r="AD221" s="723">
        <f>IF(ISNA(VLOOKUP($X221,'Demand Lookups'!$A$5:$K$81,6,0)),0,VLOOKUP($X221,'Demand Lookups'!$A$5:$K$81,6,0))</f>
        <v>0</v>
      </c>
      <c r="AE221" s="724">
        <f t="shared" si="80"/>
        <v>0</v>
      </c>
      <c r="AF221" s="723">
        <f>ROUND(IF(ISNA(VLOOKUP($X221,'Demand Lookups'!$A$5:$K$82,10,0)),0,(VLOOKUP($X221,'Demand Lookups'!$A$5:$K$82,10,0))),2)</f>
        <v>0</v>
      </c>
      <c r="AG221" s="723">
        <f>ROUND(IF(ISNA(VLOOKUP($X221,'Demand Lookups'!$A$5:$K$82,11,0)),0,VLOOKUP($X221,'Demand Lookups'!$A$5:$K$82,11,0)),2)</f>
        <v>0</v>
      </c>
      <c r="AH221" s="648">
        <f t="shared" si="81"/>
        <v>0</v>
      </c>
      <c r="AI221" s="648">
        <f t="shared" si="82"/>
        <v>0</v>
      </c>
      <c r="AJ221" s="167" t="s">
        <v>87</v>
      </c>
      <c r="AK221" s="866">
        <v>165.29999999999998</v>
      </c>
      <c r="AL221" s="167"/>
      <c r="AM221" s="168"/>
      <c r="AN221" s="167"/>
      <c r="AO221" s="168"/>
      <c r="AP221" s="167"/>
      <c r="AQ221" s="171">
        <v>0</v>
      </c>
      <c r="AR221" s="171">
        <v>0</v>
      </c>
      <c r="AS221" s="299">
        <f>SUMIF('NEI Lookups'!$L:$L,'Inputs Yr 2'!$F221,'NEI Lookups'!E:E)+SUMIF('NEI Lookups'!$M:$M,'Inputs Yr 2'!$F221,'NEI Lookups'!E:E)+SUMIF('NEI Lookups'!$N:$N,'Inputs Yr 2'!$F221,'NEI Lookups'!E:E)+SUMIF('NEI Lookups'!$O:$O,'Inputs Yr 2'!$F221,'NEI Lookups'!E:E)+SUMIF('NEI Lookups'!$P:$P,'Inputs Yr 2'!$F221,'NEI Lookups'!E:E)+SUMIF('NEI Lookups'!$Q:$Q,'Inputs Yr 2'!$F221,'NEI Lookups'!E:E)+SUMIF('NEI Lookups'!$R:$R,'Inputs Yr 2'!$F221,'NEI Lookups'!E:E)+SUMIF('NEI Lookups'!$S:$S,'Inputs Yr 2'!$F221,'NEI Lookups'!E:E)+SUMIF('NEI Lookups'!$T:$T,'Inputs Yr 2'!$F221,'NEI Lookups'!E:E)</f>
        <v>0</v>
      </c>
      <c r="AT221" s="299">
        <f>SUMIF('NEI Lookups'!$L:$L,'Inputs Yr 2'!$F221,'NEI Lookups'!F:F)+SUMIF('NEI Lookups'!$M:$M,'Inputs Yr 2'!$F221,'NEI Lookups'!F:F)+SUMIF('NEI Lookups'!$N:$N,'Inputs Yr 2'!$F221,'NEI Lookups'!F:F)+SUMIF('NEI Lookups'!$O:$O,'Inputs Yr 2'!$F221,'NEI Lookups'!F:F)+SUMIF('NEI Lookups'!$P:$P,'Inputs Yr 2'!$F221,'NEI Lookups'!F:F)+SUMIF('NEI Lookups'!$Q:$Q,'Inputs Yr 2'!$F221,'NEI Lookups'!F:F)+SUMIF('NEI Lookups'!$R:$R,'Inputs Yr 2'!$F221,'NEI Lookups'!F:F)+SUMIF('NEI Lookups'!$S:$S,'Inputs Yr 2'!$F221,'NEI Lookups'!F:F)+SUMIF('NEI Lookups'!$T:$T,'Inputs Yr 2'!$F221,'NEI Lookups'!F:F)</f>
        <v>0</v>
      </c>
      <c r="AU221" s="299">
        <f>SUMIF('NEI Lookups'!$L:$L,'Inputs Yr 2'!$F221,'NEI Lookups'!G:G)+SUMIF('NEI Lookups'!$M:$M,'Inputs Yr 2'!$F221,'NEI Lookups'!G:G)+SUMIF('NEI Lookups'!$N:$N,'Inputs Yr 2'!$F221,'NEI Lookups'!G:G)+SUMIF('NEI Lookups'!$O:$O,'Inputs Yr 2'!$F221,'NEI Lookups'!G:G)+SUMIF('NEI Lookups'!$P:$P,'Inputs Yr 2'!$F221,'NEI Lookups'!G:G)+SUMIF('NEI Lookups'!$Q:$Q,'Inputs Yr 2'!$F221,'NEI Lookups'!G:G)+SUMIF('NEI Lookups'!$R:$R,'Inputs Yr 2'!$F221,'NEI Lookups'!G:G)+SUMIF('NEI Lookups'!$S:$S,'Inputs Yr 2'!$F221,'NEI Lookups'!G:G)+SUMIF('NEI Lookups'!$T:$T,'Inputs Yr 2'!$F221,'NEI Lookups'!G:G)</f>
        <v>0</v>
      </c>
      <c r="AV221" s="299">
        <f>SUMIF('NEI Lookups'!$L:$L,'Inputs Yr 2'!$F221,'NEI Lookups'!H:H)+SUMIF('NEI Lookups'!$M:$M,'Inputs Yr 2'!$F221,'NEI Lookups'!H:H)+SUMIF('NEI Lookups'!$N:$N,'Inputs Yr 2'!$F221,'NEI Lookups'!H:H)+SUMIF('NEI Lookups'!$O:$O,'Inputs Yr 2'!$F221,'NEI Lookups'!H:H)+SUMIF('NEI Lookups'!$P:$P,'Inputs Yr 2'!$F221,'NEI Lookups'!H:H)+SUMIF('NEI Lookups'!$Q:$Q,'Inputs Yr 2'!$F221,'NEI Lookups'!H:H)+SUMIF('NEI Lookups'!$R:$R,'Inputs Yr 2'!$F221,'NEI Lookups'!H:H)+SUMIF('NEI Lookups'!$S:$S,'Inputs Yr 2'!$F221,'NEI Lookups'!H:H)+SUMIF('NEI Lookups'!$T:$T,'Inputs Yr 2'!$F221,'NEI Lookups'!H:H)</f>
        <v>0</v>
      </c>
      <c r="AW221" s="299">
        <f>SUMIF('NEI Lookups'!$L:$L,'Inputs Yr 2'!$F221,'NEI Lookups'!I:I)+SUMIF('NEI Lookups'!$M:$M,'Inputs Yr 2'!$F221,'NEI Lookups'!I:I)+SUMIF('NEI Lookups'!$N:$N,'Inputs Yr 2'!$F221,'NEI Lookups'!I:I)+SUMIF('NEI Lookups'!$O:$O,'Inputs Yr 2'!$F221,'NEI Lookups'!I:I)+SUMIF('NEI Lookups'!$P:$P,'Inputs Yr 2'!$F221,'NEI Lookups'!I:I)+SUMIF('NEI Lookups'!$Q:$Q,'Inputs Yr 2'!$F221,'NEI Lookups'!I:I)+SUMIF('NEI Lookups'!$R:$R,'Inputs Yr 2'!$F221,'NEI Lookups'!I:I)+SUMIF('NEI Lookups'!$S:$S,'Inputs Yr 2'!$F221,'NEI Lookups'!I:I)+SUMIF('NEI Lookups'!$T:$T,'Inputs Yr 2'!$F221,'NEI Lookups'!I:I)</f>
        <v>0</v>
      </c>
      <c r="AX221" s="299">
        <f>SUMIF('NEI Lookups'!$L:$L,'Inputs Yr 2'!$F221,'NEI Lookups'!J:J)+SUMIF('NEI Lookups'!$M:$M,'Inputs Yr 2'!$F221,'NEI Lookups'!J:J)+SUMIF('NEI Lookups'!$N:$N,'Inputs Yr 2'!$F221,'NEI Lookups'!J:J)+SUMIF('NEI Lookups'!$O:$O,'Inputs Yr 2'!$F221,'NEI Lookups'!J:J)+SUMIF('NEI Lookups'!$P:$P,'Inputs Yr 2'!$F221,'NEI Lookups'!J:J)+SUMIF('NEI Lookups'!$Q:$Q,'Inputs Yr 2'!$F221,'NEI Lookups'!J:J)+SUMIF('NEI Lookups'!$R:$R,'Inputs Yr 2'!$F221,'NEI Lookups'!J:J)+SUMIF('NEI Lookups'!$S:$S,'Inputs Yr 2'!$F221,'NEI Lookups'!J:J)+SUMIF('NEI Lookups'!$T:$T,'Inputs Yr 2'!$F221,'NEI Lookups'!J:J)</f>
        <v>0</v>
      </c>
      <c r="AY221" s="930">
        <f>'Calculations Yr 2'!CP221/'Calculations Yr 2'!I221</f>
        <v>3.426753579796765</v>
      </c>
    </row>
    <row r="222" spans="1:51" s="133" customFormat="1" ht="12.75" customHeight="1">
      <c r="A222" s="145" t="s">
        <v>83</v>
      </c>
      <c r="B222" s="132" t="s">
        <v>873</v>
      </c>
      <c r="C222" s="132" t="s">
        <v>908</v>
      </c>
      <c r="D222" s="906" t="s">
        <v>1556</v>
      </c>
      <c r="E222" s="150" t="s">
        <v>781</v>
      </c>
      <c r="F222" s="150" t="s">
        <v>1109</v>
      </c>
      <c r="G222" s="145" t="s">
        <v>1247</v>
      </c>
      <c r="H222" s="232">
        <v>7</v>
      </c>
      <c r="I222" s="234">
        <v>18</v>
      </c>
      <c r="J222" s="964">
        <v>2400</v>
      </c>
      <c r="K222" s="871">
        <v>750</v>
      </c>
      <c r="L222" s="888">
        <f t="shared" si="58"/>
        <v>1650</v>
      </c>
      <c r="M222" s="978">
        <v>0.30099999999999999</v>
      </c>
      <c r="N222" s="978">
        <v>0.14699999999999999</v>
      </c>
      <c r="O222" s="978">
        <v>0</v>
      </c>
      <c r="P222" s="889">
        <f t="shared" si="79"/>
        <v>0.84600000000000009</v>
      </c>
      <c r="Q222" s="978">
        <v>1</v>
      </c>
      <c r="R222" s="178">
        <v>1</v>
      </c>
      <c r="S222" s="178">
        <v>1</v>
      </c>
      <c r="T222" s="178">
        <v>1</v>
      </c>
      <c r="U222" s="978">
        <v>1</v>
      </c>
      <c r="V222" s="978">
        <v>1</v>
      </c>
      <c r="W222" s="179"/>
      <c r="X222" s="937" t="s">
        <v>653</v>
      </c>
      <c r="Y222" s="299">
        <f>IFERROR(VLOOKUP($X222,'Demand Lookups'!$A$5:$K$101,9,0), 0)</f>
        <v>0</v>
      </c>
      <c r="Z222" s="922" t="str">
        <f>IFERROR(VLOOKUP(X222,'Demand Lookups'!$A$5:$B$101,2,0),0)</f>
        <v>Non-Electric Measures</v>
      </c>
      <c r="AA222" s="722">
        <f>IF(ISNA(VLOOKUP($X222,'Demand Lookups'!$A$5:$K$81,3,0)),0,VLOOKUP($X222,'Demand Lookups'!$A$5:$K$81,3,0))</f>
        <v>0</v>
      </c>
      <c r="AB222" s="722">
        <f>IF(ISNA(VLOOKUP($X222,'Demand Lookups'!$A$5:$K$81,4,0)),0,VLOOKUP($X222,'Demand Lookups'!$A$5:$K$81,4,0))</f>
        <v>0</v>
      </c>
      <c r="AC222" s="722">
        <f>IF(ISNA(VLOOKUP($X222,'Demand Lookups'!$A$5:$K$81,5,0)),0,VLOOKUP($X222,'Demand Lookups'!$A$5:$K$81,5,0))</f>
        <v>0</v>
      </c>
      <c r="AD222" s="723">
        <f>IF(ISNA(VLOOKUP($X222,'Demand Lookups'!$A$5:$K$81,6,0)),0,VLOOKUP($X222,'Demand Lookups'!$A$5:$K$81,6,0))</f>
        <v>0</v>
      </c>
      <c r="AE222" s="724">
        <f t="shared" si="80"/>
        <v>0</v>
      </c>
      <c r="AF222" s="723">
        <f>ROUND(IF(ISNA(VLOOKUP($X222,'Demand Lookups'!$A$5:$K$82,10,0)),0,(VLOOKUP($X222,'Demand Lookups'!$A$5:$K$82,10,0))),2)</f>
        <v>0</v>
      </c>
      <c r="AG222" s="723">
        <f>ROUND(IF(ISNA(VLOOKUP($X222,'Demand Lookups'!$A$5:$K$82,11,0)),0,VLOOKUP($X222,'Demand Lookups'!$A$5:$K$82,11,0)),2)</f>
        <v>0</v>
      </c>
      <c r="AH222" s="648">
        <f t="shared" si="81"/>
        <v>0</v>
      </c>
      <c r="AI222" s="648">
        <f t="shared" si="82"/>
        <v>0</v>
      </c>
      <c r="AJ222" s="167" t="s">
        <v>87</v>
      </c>
      <c r="AK222" s="866">
        <v>40.899999999999991</v>
      </c>
      <c r="AL222" s="167"/>
      <c r="AM222" s="168"/>
      <c r="AN222" s="167"/>
      <c r="AO222" s="168"/>
      <c r="AP222" s="167"/>
      <c r="AQ222" s="171">
        <v>0</v>
      </c>
      <c r="AR222" s="171">
        <v>0</v>
      </c>
      <c r="AS222" s="299">
        <f>SUMIF('NEI Lookups'!$L:$L,'Inputs Yr 2'!$F222,'NEI Lookups'!E:E)+SUMIF('NEI Lookups'!$M:$M,'Inputs Yr 2'!$F222,'NEI Lookups'!E:E)+SUMIF('NEI Lookups'!$N:$N,'Inputs Yr 2'!$F222,'NEI Lookups'!E:E)+SUMIF('NEI Lookups'!$O:$O,'Inputs Yr 2'!$F222,'NEI Lookups'!E:E)+SUMIF('NEI Lookups'!$P:$P,'Inputs Yr 2'!$F222,'NEI Lookups'!E:E)+SUMIF('NEI Lookups'!$Q:$Q,'Inputs Yr 2'!$F222,'NEI Lookups'!E:E)+SUMIF('NEI Lookups'!$R:$R,'Inputs Yr 2'!$F222,'NEI Lookups'!E:E)+SUMIF('NEI Lookups'!$S:$S,'Inputs Yr 2'!$F222,'NEI Lookups'!E:E)+SUMIF('NEI Lookups'!$T:$T,'Inputs Yr 2'!$F222,'NEI Lookups'!E:E)</f>
        <v>0</v>
      </c>
      <c r="AT222" s="299">
        <f>SUMIF('NEI Lookups'!$L:$L,'Inputs Yr 2'!$F222,'NEI Lookups'!F:F)+SUMIF('NEI Lookups'!$M:$M,'Inputs Yr 2'!$F222,'NEI Lookups'!F:F)+SUMIF('NEI Lookups'!$N:$N,'Inputs Yr 2'!$F222,'NEI Lookups'!F:F)+SUMIF('NEI Lookups'!$O:$O,'Inputs Yr 2'!$F222,'NEI Lookups'!F:F)+SUMIF('NEI Lookups'!$P:$P,'Inputs Yr 2'!$F222,'NEI Lookups'!F:F)+SUMIF('NEI Lookups'!$Q:$Q,'Inputs Yr 2'!$F222,'NEI Lookups'!F:F)+SUMIF('NEI Lookups'!$R:$R,'Inputs Yr 2'!$F222,'NEI Lookups'!F:F)+SUMIF('NEI Lookups'!$S:$S,'Inputs Yr 2'!$F222,'NEI Lookups'!F:F)+SUMIF('NEI Lookups'!$T:$T,'Inputs Yr 2'!$F222,'NEI Lookups'!F:F)</f>
        <v>0</v>
      </c>
      <c r="AU222" s="299">
        <f>SUMIF('NEI Lookups'!$L:$L,'Inputs Yr 2'!$F222,'NEI Lookups'!G:G)+SUMIF('NEI Lookups'!$M:$M,'Inputs Yr 2'!$F222,'NEI Lookups'!G:G)+SUMIF('NEI Lookups'!$N:$N,'Inputs Yr 2'!$F222,'NEI Lookups'!G:G)+SUMIF('NEI Lookups'!$O:$O,'Inputs Yr 2'!$F222,'NEI Lookups'!G:G)+SUMIF('NEI Lookups'!$P:$P,'Inputs Yr 2'!$F222,'NEI Lookups'!G:G)+SUMIF('NEI Lookups'!$Q:$Q,'Inputs Yr 2'!$F222,'NEI Lookups'!G:G)+SUMIF('NEI Lookups'!$R:$R,'Inputs Yr 2'!$F222,'NEI Lookups'!G:G)+SUMIF('NEI Lookups'!$S:$S,'Inputs Yr 2'!$F222,'NEI Lookups'!G:G)+SUMIF('NEI Lookups'!$T:$T,'Inputs Yr 2'!$F222,'NEI Lookups'!G:G)</f>
        <v>0</v>
      </c>
      <c r="AV222" s="299">
        <f>SUMIF('NEI Lookups'!$L:$L,'Inputs Yr 2'!$F222,'NEI Lookups'!H:H)+SUMIF('NEI Lookups'!$M:$M,'Inputs Yr 2'!$F222,'NEI Lookups'!H:H)+SUMIF('NEI Lookups'!$N:$N,'Inputs Yr 2'!$F222,'NEI Lookups'!H:H)+SUMIF('NEI Lookups'!$O:$O,'Inputs Yr 2'!$F222,'NEI Lookups'!H:H)+SUMIF('NEI Lookups'!$P:$P,'Inputs Yr 2'!$F222,'NEI Lookups'!H:H)+SUMIF('NEI Lookups'!$Q:$Q,'Inputs Yr 2'!$F222,'NEI Lookups'!H:H)+SUMIF('NEI Lookups'!$R:$R,'Inputs Yr 2'!$F222,'NEI Lookups'!H:H)+SUMIF('NEI Lookups'!$S:$S,'Inputs Yr 2'!$F222,'NEI Lookups'!H:H)+SUMIF('NEI Lookups'!$T:$T,'Inputs Yr 2'!$F222,'NEI Lookups'!H:H)</f>
        <v>0</v>
      </c>
      <c r="AW222" s="299">
        <f>SUMIF('NEI Lookups'!$L:$L,'Inputs Yr 2'!$F222,'NEI Lookups'!I:I)+SUMIF('NEI Lookups'!$M:$M,'Inputs Yr 2'!$F222,'NEI Lookups'!I:I)+SUMIF('NEI Lookups'!$N:$N,'Inputs Yr 2'!$F222,'NEI Lookups'!I:I)+SUMIF('NEI Lookups'!$O:$O,'Inputs Yr 2'!$F222,'NEI Lookups'!I:I)+SUMIF('NEI Lookups'!$P:$P,'Inputs Yr 2'!$F222,'NEI Lookups'!I:I)+SUMIF('NEI Lookups'!$Q:$Q,'Inputs Yr 2'!$F222,'NEI Lookups'!I:I)+SUMIF('NEI Lookups'!$R:$R,'Inputs Yr 2'!$F222,'NEI Lookups'!I:I)+SUMIF('NEI Lookups'!$S:$S,'Inputs Yr 2'!$F222,'NEI Lookups'!I:I)+SUMIF('NEI Lookups'!$T:$T,'Inputs Yr 2'!$F222,'NEI Lookups'!I:I)</f>
        <v>0</v>
      </c>
      <c r="AX222" s="299">
        <f>SUMIF('NEI Lookups'!$L:$L,'Inputs Yr 2'!$F222,'NEI Lookups'!J:J)+SUMIF('NEI Lookups'!$M:$M,'Inputs Yr 2'!$F222,'NEI Lookups'!J:J)+SUMIF('NEI Lookups'!$N:$N,'Inputs Yr 2'!$F222,'NEI Lookups'!J:J)+SUMIF('NEI Lookups'!$O:$O,'Inputs Yr 2'!$F222,'NEI Lookups'!J:J)+SUMIF('NEI Lookups'!$P:$P,'Inputs Yr 2'!$F222,'NEI Lookups'!J:J)+SUMIF('NEI Lookups'!$Q:$Q,'Inputs Yr 2'!$F222,'NEI Lookups'!J:J)+SUMIF('NEI Lookups'!$R:$R,'Inputs Yr 2'!$F222,'NEI Lookups'!J:J)+SUMIF('NEI Lookups'!$S:$S,'Inputs Yr 2'!$F222,'NEI Lookups'!J:J)+SUMIF('NEI Lookups'!$T:$T,'Inputs Yr 2'!$F222,'NEI Lookups'!J:J)</f>
        <v>0</v>
      </c>
      <c r="AY222" s="930">
        <f>'Calculations Yr 2'!CP222/'Calculations Yr 2'!I222</f>
        <v>2.6244806117500032</v>
      </c>
    </row>
    <row r="223" spans="1:51" s="133" customFormat="1" ht="12.75" customHeight="1">
      <c r="A223" s="145" t="s">
        <v>83</v>
      </c>
      <c r="B223" s="132" t="s">
        <v>873</v>
      </c>
      <c r="C223" s="132" t="s">
        <v>908</v>
      </c>
      <c r="D223" s="906" t="s">
        <v>1557</v>
      </c>
      <c r="E223" s="150" t="s">
        <v>782</v>
      </c>
      <c r="F223" s="150" t="s">
        <v>1110</v>
      </c>
      <c r="G223" s="145" t="s">
        <v>1247</v>
      </c>
      <c r="H223" s="232">
        <v>195</v>
      </c>
      <c r="I223" s="234">
        <v>17</v>
      </c>
      <c r="J223" s="964">
        <v>2982</v>
      </c>
      <c r="K223" s="871">
        <v>750</v>
      </c>
      <c r="L223" s="888">
        <f t="shared" si="58"/>
        <v>2232</v>
      </c>
      <c r="M223" s="978">
        <v>0.30099999999999999</v>
      </c>
      <c r="N223" s="978">
        <v>0.14699999999999999</v>
      </c>
      <c r="O223" s="978">
        <v>0</v>
      </c>
      <c r="P223" s="889">
        <f t="shared" si="79"/>
        <v>0.84600000000000009</v>
      </c>
      <c r="Q223" s="978">
        <v>1</v>
      </c>
      <c r="R223" s="178">
        <v>1</v>
      </c>
      <c r="S223" s="178">
        <v>1</v>
      </c>
      <c r="T223" s="178">
        <v>1</v>
      </c>
      <c r="U223" s="978">
        <v>1</v>
      </c>
      <c r="V223" s="978">
        <v>1</v>
      </c>
      <c r="W223" s="179"/>
      <c r="X223" s="937" t="s">
        <v>653</v>
      </c>
      <c r="Y223" s="299">
        <f>IFERROR(VLOOKUP($X223,'Demand Lookups'!$A$5:$K$101,9,0), 0)</f>
        <v>0</v>
      </c>
      <c r="Z223" s="922" t="str">
        <f>IFERROR(VLOOKUP(X223,'Demand Lookups'!$A$5:$B$101,2,0),0)</f>
        <v>Non-Electric Measures</v>
      </c>
      <c r="AA223" s="722">
        <f>IF(ISNA(VLOOKUP($X223,'Demand Lookups'!$A$5:$K$81,3,0)),0,VLOOKUP($X223,'Demand Lookups'!$A$5:$K$81,3,0))</f>
        <v>0</v>
      </c>
      <c r="AB223" s="722">
        <f>IF(ISNA(VLOOKUP($X223,'Demand Lookups'!$A$5:$K$81,4,0)),0,VLOOKUP($X223,'Demand Lookups'!$A$5:$K$81,4,0))</f>
        <v>0</v>
      </c>
      <c r="AC223" s="722">
        <f>IF(ISNA(VLOOKUP($X223,'Demand Lookups'!$A$5:$K$81,5,0)),0,VLOOKUP($X223,'Demand Lookups'!$A$5:$K$81,5,0))</f>
        <v>0</v>
      </c>
      <c r="AD223" s="723">
        <f>IF(ISNA(VLOOKUP($X223,'Demand Lookups'!$A$5:$K$81,6,0)),0,VLOOKUP($X223,'Demand Lookups'!$A$5:$K$81,6,0))</f>
        <v>0</v>
      </c>
      <c r="AE223" s="724">
        <f t="shared" si="80"/>
        <v>0</v>
      </c>
      <c r="AF223" s="723">
        <f>ROUND(IF(ISNA(VLOOKUP($X223,'Demand Lookups'!$A$5:$K$82,10,0)),0,(VLOOKUP($X223,'Demand Lookups'!$A$5:$K$82,10,0))),2)</f>
        <v>0</v>
      </c>
      <c r="AG223" s="723">
        <f>ROUND(IF(ISNA(VLOOKUP($X223,'Demand Lookups'!$A$5:$K$82,11,0)),0,VLOOKUP($X223,'Demand Lookups'!$A$5:$K$82,11,0)),2)</f>
        <v>0</v>
      </c>
      <c r="AH223" s="648">
        <f t="shared" si="81"/>
        <v>0</v>
      </c>
      <c r="AI223" s="648">
        <f t="shared" si="82"/>
        <v>0</v>
      </c>
      <c r="AJ223" s="167" t="s">
        <v>87</v>
      </c>
      <c r="AK223" s="866">
        <v>12</v>
      </c>
      <c r="AL223" s="167"/>
      <c r="AM223" s="168"/>
      <c r="AN223" s="167"/>
      <c r="AO223" s="168"/>
      <c r="AP223" s="167"/>
      <c r="AQ223" s="171">
        <v>0</v>
      </c>
      <c r="AR223" s="171">
        <v>0</v>
      </c>
      <c r="AS223" s="299">
        <f>SUMIF('NEI Lookups'!$L:$L,'Inputs Yr 2'!$F223,'NEI Lookups'!E:E)+SUMIF('NEI Lookups'!$M:$M,'Inputs Yr 2'!$F223,'NEI Lookups'!E:E)+SUMIF('NEI Lookups'!$N:$N,'Inputs Yr 2'!$F223,'NEI Lookups'!E:E)+SUMIF('NEI Lookups'!$O:$O,'Inputs Yr 2'!$F223,'NEI Lookups'!E:E)+SUMIF('NEI Lookups'!$P:$P,'Inputs Yr 2'!$F223,'NEI Lookups'!E:E)+SUMIF('NEI Lookups'!$Q:$Q,'Inputs Yr 2'!$F223,'NEI Lookups'!E:E)+SUMIF('NEI Lookups'!$R:$R,'Inputs Yr 2'!$F223,'NEI Lookups'!E:E)+SUMIF('NEI Lookups'!$S:$S,'Inputs Yr 2'!$F223,'NEI Lookups'!E:E)+SUMIF('NEI Lookups'!$T:$T,'Inputs Yr 2'!$F223,'NEI Lookups'!E:E)</f>
        <v>0</v>
      </c>
      <c r="AT223" s="299">
        <f>SUMIF('NEI Lookups'!$L:$L,'Inputs Yr 2'!$F223,'NEI Lookups'!F:F)+SUMIF('NEI Lookups'!$M:$M,'Inputs Yr 2'!$F223,'NEI Lookups'!F:F)+SUMIF('NEI Lookups'!$N:$N,'Inputs Yr 2'!$F223,'NEI Lookups'!F:F)+SUMIF('NEI Lookups'!$O:$O,'Inputs Yr 2'!$F223,'NEI Lookups'!F:F)+SUMIF('NEI Lookups'!$P:$P,'Inputs Yr 2'!$F223,'NEI Lookups'!F:F)+SUMIF('NEI Lookups'!$Q:$Q,'Inputs Yr 2'!$F223,'NEI Lookups'!F:F)+SUMIF('NEI Lookups'!$R:$R,'Inputs Yr 2'!$F223,'NEI Lookups'!F:F)+SUMIF('NEI Lookups'!$S:$S,'Inputs Yr 2'!$F223,'NEI Lookups'!F:F)+SUMIF('NEI Lookups'!$T:$T,'Inputs Yr 2'!$F223,'NEI Lookups'!F:F)</f>
        <v>0</v>
      </c>
      <c r="AU223" s="299">
        <f>SUMIF('NEI Lookups'!$L:$L,'Inputs Yr 2'!$F223,'NEI Lookups'!G:G)+SUMIF('NEI Lookups'!$M:$M,'Inputs Yr 2'!$F223,'NEI Lookups'!G:G)+SUMIF('NEI Lookups'!$N:$N,'Inputs Yr 2'!$F223,'NEI Lookups'!G:G)+SUMIF('NEI Lookups'!$O:$O,'Inputs Yr 2'!$F223,'NEI Lookups'!G:G)+SUMIF('NEI Lookups'!$P:$P,'Inputs Yr 2'!$F223,'NEI Lookups'!G:G)+SUMIF('NEI Lookups'!$Q:$Q,'Inputs Yr 2'!$F223,'NEI Lookups'!G:G)+SUMIF('NEI Lookups'!$R:$R,'Inputs Yr 2'!$F223,'NEI Lookups'!G:G)+SUMIF('NEI Lookups'!$S:$S,'Inputs Yr 2'!$F223,'NEI Lookups'!G:G)+SUMIF('NEI Lookups'!$T:$T,'Inputs Yr 2'!$F223,'NEI Lookups'!G:G)</f>
        <v>0</v>
      </c>
      <c r="AV223" s="299">
        <f>SUMIF('NEI Lookups'!$L:$L,'Inputs Yr 2'!$F223,'NEI Lookups'!H:H)+SUMIF('NEI Lookups'!$M:$M,'Inputs Yr 2'!$F223,'NEI Lookups'!H:H)+SUMIF('NEI Lookups'!$N:$N,'Inputs Yr 2'!$F223,'NEI Lookups'!H:H)+SUMIF('NEI Lookups'!$O:$O,'Inputs Yr 2'!$F223,'NEI Lookups'!H:H)+SUMIF('NEI Lookups'!$P:$P,'Inputs Yr 2'!$F223,'NEI Lookups'!H:H)+SUMIF('NEI Lookups'!$Q:$Q,'Inputs Yr 2'!$F223,'NEI Lookups'!H:H)+SUMIF('NEI Lookups'!$R:$R,'Inputs Yr 2'!$F223,'NEI Lookups'!H:H)+SUMIF('NEI Lookups'!$S:$S,'Inputs Yr 2'!$F223,'NEI Lookups'!H:H)+SUMIF('NEI Lookups'!$T:$T,'Inputs Yr 2'!$F223,'NEI Lookups'!H:H)</f>
        <v>0</v>
      </c>
      <c r="AW223" s="299">
        <f>SUMIF('NEI Lookups'!$L:$L,'Inputs Yr 2'!$F223,'NEI Lookups'!I:I)+SUMIF('NEI Lookups'!$M:$M,'Inputs Yr 2'!$F223,'NEI Lookups'!I:I)+SUMIF('NEI Lookups'!$N:$N,'Inputs Yr 2'!$F223,'NEI Lookups'!I:I)+SUMIF('NEI Lookups'!$O:$O,'Inputs Yr 2'!$F223,'NEI Lookups'!I:I)+SUMIF('NEI Lookups'!$P:$P,'Inputs Yr 2'!$F223,'NEI Lookups'!I:I)+SUMIF('NEI Lookups'!$Q:$Q,'Inputs Yr 2'!$F223,'NEI Lookups'!I:I)+SUMIF('NEI Lookups'!$R:$R,'Inputs Yr 2'!$F223,'NEI Lookups'!I:I)+SUMIF('NEI Lookups'!$S:$S,'Inputs Yr 2'!$F223,'NEI Lookups'!I:I)+SUMIF('NEI Lookups'!$T:$T,'Inputs Yr 2'!$F223,'NEI Lookups'!I:I)</f>
        <v>0</v>
      </c>
      <c r="AX223" s="299">
        <f>SUMIF('NEI Lookups'!$L:$L,'Inputs Yr 2'!$F223,'NEI Lookups'!J:J)+SUMIF('NEI Lookups'!$M:$M,'Inputs Yr 2'!$F223,'NEI Lookups'!J:J)+SUMIF('NEI Lookups'!$N:$N,'Inputs Yr 2'!$F223,'NEI Lookups'!J:J)+SUMIF('NEI Lookups'!$O:$O,'Inputs Yr 2'!$F223,'NEI Lookups'!J:J)+SUMIF('NEI Lookups'!$P:$P,'Inputs Yr 2'!$F223,'NEI Lookups'!J:J)+SUMIF('NEI Lookups'!$Q:$Q,'Inputs Yr 2'!$F223,'NEI Lookups'!J:J)+SUMIF('NEI Lookups'!$R:$R,'Inputs Yr 2'!$F223,'NEI Lookups'!J:J)+SUMIF('NEI Lookups'!$S:$S,'Inputs Yr 2'!$F223,'NEI Lookups'!J:J)+SUMIF('NEI Lookups'!$T:$T,'Inputs Yr 2'!$F223,'NEI Lookups'!J:J)</f>
        <v>0</v>
      </c>
      <c r="AY223" s="930">
        <f>'Calculations Yr 2'!CP223/'Calculations Yr 2'!I223</f>
        <v>0.58348917921270371</v>
      </c>
    </row>
    <row r="224" spans="1:51" s="133" customFormat="1" ht="12.75" customHeight="1">
      <c r="A224" s="145" t="s">
        <v>83</v>
      </c>
      <c r="B224" s="132" t="s">
        <v>873</v>
      </c>
      <c r="C224" s="132" t="s">
        <v>908</v>
      </c>
      <c r="D224" s="906" t="s">
        <v>1558</v>
      </c>
      <c r="E224" s="150" t="s">
        <v>790</v>
      </c>
      <c r="F224" s="150" t="s">
        <v>1111</v>
      </c>
      <c r="G224" s="145" t="s">
        <v>89</v>
      </c>
      <c r="H224" s="232">
        <v>16</v>
      </c>
      <c r="I224" s="234">
        <v>20</v>
      </c>
      <c r="J224" s="964">
        <v>440.23</v>
      </c>
      <c r="K224" s="964">
        <v>99.6</v>
      </c>
      <c r="L224" s="888">
        <f t="shared" si="58"/>
        <v>340.63</v>
      </c>
      <c r="M224" s="978">
        <v>0.30099999999999999</v>
      </c>
      <c r="N224" s="978">
        <v>0.14699999999999999</v>
      </c>
      <c r="O224" s="978">
        <v>0</v>
      </c>
      <c r="P224" s="889">
        <f t="shared" si="79"/>
        <v>0.84600000000000009</v>
      </c>
      <c r="Q224" s="978">
        <v>1</v>
      </c>
      <c r="R224" s="178">
        <v>1</v>
      </c>
      <c r="S224" s="178">
        <v>1</v>
      </c>
      <c r="T224" s="178">
        <v>1</v>
      </c>
      <c r="U224" s="978">
        <v>1</v>
      </c>
      <c r="V224" s="978">
        <v>1</v>
      </c>
      <c r="W224" s="179"/>
      <c r="X224" s="937" t="s">
        <v>653</v>
      </c>
      <c r="Y224" s="299">
        <f>IFERROR(VLOOKUP($X224,'Demand Lookups'!$A$5:$K$101,9,0), 0)</f>
        <v>0</v>
      </c>
      <c r="Z224" s="922" t="str">
        <f>IFERROR(VLOOKUP(X224,'Demand Lookups'!$A$5:$B$101,2,0),0)</f>
        <v>Non-Electric Measures</v>
      </c>
      <c r="AA224" s="722">
        <f>IF(ISNA(VLOOKUP($X224,'Demand Lookups'!$A$5:$K$81,3,0)),0,VLOOKUP($X224,'Demand Lookups'!$A$5:$K$81,3,0))</f>
        <v>0</v>
      </c>
      <c r="AB224" s="722">
        <f>IF(ISNA(VLOOKUP($X224,'Demand Lookups'!$A$5:$K$81,4,0)),0,VLOOKUP($X224,'Demand Lookups'!$A$5:$K$81,4,0))</f>
        <v>0</v>
      </c>
      <c r="AC224" s="722">
        <f>IF(ISNA(VLOOKUP($X224,'Demand Lookups'!$A$5:$K$81,5,0)),0,VLOOKUP($X224,'Demand Lookups'!$A$5:$K$81,5,0))</f>
        <v>0</v>
      </c>
      <c r="AD224" s="723">
        <f>IF(ISNA(VLOOKUP($X224,'Demand Lookups'!$A$5:$K$81,6,0)),0,VLOOKUP($X224,'Demand Lookups'!$A$5:$K$81,6,0))</f>
        <v>0</v>
      </c>
      <c r="AE224" s="724">
        <f t="shared" si="80"/>
        <v>0</v>
      </c>
      <c r="AF224" s="723">
        <f>ROUND(IF(ISNA(VLOOKUP($X224,'Demand Lookups'!$A$5:$K$82,10,0)),0,(VLOOKUP($X224,'Demand Lookups'!$A$5:$K$82,10,0))),2)</f>
        <v>0</v>
      </c>
      <c r="AG224" s="723">
        <f>ROUND(IF(ISNA(VLOOKUP($X224,'Demand Lookups'!$A$5:$K$82,11,0)),0,VLOOKUP($X224,'Demand Lookups'!$A$5:$K$82,11,0)),2)</f>
        <v>0</v>
      </c>
      <c r="AH224" s="648">
        <f t="shared" si="81"/>
        <v>0</v>
      </c>
      <c r="AI224" s="648">
        <f t="shared" si="82"/>
        <v>0</v>
      </c>
      <c r="AJ224" s="167" t="s">
        <v>406</v>
      </c>
      <c r="AK224" s="866">
        <v>6.299999999999998</v>
      </c>
      <c r="AL224" s="167"/>
      <c r="AM224" s="168"/>
      <c r="AN224" s="167"/>
      <c r="AO224" s="168"/>
      <c r="AP224" s="167"/>
      <c r="AQ224" s="171">
        <v>0</v>
      </c>
      <c r="AR224" s="171">
        <v>0</v>
      </c>
      <c r="AS224" s="299">
        <f>SUMIF('NEI Lookups'!$L:$L,'Inputs Yr 2'!$F224,'NEI Lookups'!E:E)+SUMIF('NEI Lookups'!$M:$M,'Inputs Yr 2'!$F224,'NEI Lookups'!E:E)+SUMIF('NEI Lookups'!$N:$N,'Inputs Yr 2'!$F224,'NEI Lookups'!E:E)+SUMIF('NEI Lookups'!$O:$O,'Inputs Yr 2'!$F224,'NEI Lookups'!E:E)+SUMIF('NEI Lookups'!$P:$P,'Inputs Yr 2'!$F224,'NEI Lookups'!E:E)+SUMIF('NEI Lookups'!$Q:$Q,'Inputs Yr 2'!$F224,'NEI Lookups'!E:E)+SUMIF('NEI Lookups'!$R:$R,'Inputs Yr 2'!$F224,'NEI Lookups'!E:E)+SUMIF('NEI Lookups'!$S:$S,'Inputs Yr 2'!$F224,'NEI Lookups'!E:E)+SUMIF('NEI Lookups'!$T:$T,'Inputs Yr 2'!$F224,'NEI Lookups'!E:E)</f>
        <v>0</v>
      </c>
      <c r="AT224" s="299">
        <f>SUMIF('NEI Lookups'!$L:$L,'Inputs Yr 2'!$F224,'NEI Lookups'!F:F)+SUMIF('NEI Lookups'!$M:$M,'Inputs Yr 2'!$F224,'NEI Lookups'!F:F)+SUMIF('NEI Lookups'!$N:$N,'Inputs Yr 2'!$F224,'NEI Lookups'!F:F)+SUMIF('NEI Lookups'!$O:$O,'Inputs Yr 2'!$F224,'NEI Lookups'!F:F)+SUMIF('NEI Lookups'!$P:$P,'Inputs Yr 2'!$F224,'NEI Lookups'!F:F)+SUMIF('NEI Lookups'!$Q:$Q,'Inputs Yr 2'!$F224,'NEI Lookups'!F:F)+SUMIF('NEI Lookups'!$R:$R,'Inputs Yr 2'!$F224,'NEI Lookups'!F:F)+SUMIF('NEI Lookups'!$S:$S,'Inputs Yr 2'!$F224,'NEI Lookups'!F:F)+SUMIF('NEI Lookups'!$T:$T,'Inputs Yr 2'!$F224,'NEI Lookups'!F:F)</f>
        <v>0</v>
      </c>
      <c r="AU224" s="299">
        <f>SUMIF('NEI Lookups'!$L:$L,'Inputs Yr 2'!$F224,'NEI Lookups'!G:G)+SUMIF('NEI Lookups'!$M:$M,'Inputs Yr 2'!$F224,'NEI Lookups'!G:G)+SUMIF('NEI Lookups'!$N:$N,'Inputs Yr 2'!$F224,'NEI Lookups'!G:G)+SUMIF('NEI Lookups'!$O:$O,'Inputs Yr 2'!$F224,'NEI Lookups'!G:G)+SUMIF('NEI Lookups'!$P:$P,'Inputs Yr 2'!$F224,'NEI Lookups'!G:G)+SUMIF('NEI Lookups'!$Q:$Q,'Inputs Yr 2'!$F224,'NEI Lookups'!G:G)+SUMIF('NEI Lookups'!$R:$R,'Inputs Yr 2'!$F224,'NEI Lookups'!G:G)+SUMIF('NEI Lookups'!$S:$S,'Inputs Yr 2'!$F224,'NEI Lookups'!G:G)+SUMIF('NEI Lookups'!$T:$T,'Inputs Yr 2'!$F224,'NEI Lookups'!G:G)</f>
        <v>0</v>
      </c>
      <c r="AV224" s="299">
        <f>SUMIF('NEI Lookups'!$L:$L,'Inputs Yr 2'!$F224,'NEI Lookups'!H:H)+SUMIF('NEI Lookups'!$M:$M,'Inputs Yr 2'!$F224,'NEI Lookups'!H:H)+SUMIF('NEI Lookups'!$N:$N,'Inputs Yr 2'!$F224,'NEI Lookups'!H:H)+SUMIF('NEI Lookups'!$O:$O,'Inputs Yr 2'!$F224,'NEI Lookups'!H:H)+SUMIF('NEI Lookups'!$P:$P,'Inputs Yr 2'!$F224,'NEI Lookups'!H:H)+SUMIF('NEI Lookups'!$Q:$Q,'Inputs Yr 2'!$F224,'NEI Lookups'!H:H)+SUMIF('NEI Lookups'!$R:$R,'Inputs Yr 2'!$F224,'NEI Lookups'!H:H)+SUMIF('NEI Lookups'!$S:$S,'Inputs Yr 2'!$F224,'NEI Lookups'!H:H)+SUMIF('NEI Lookups'!$T:$T,'Inputs Yr 2'!$F224,'NEI Lookups'!H:H)</f>
        <v>0</v>
      </c>
      <c r="AW224" s="299">
        <f>SUMIF('NEI Lookups'!$L:$L,'Inputs Yr 2'!$F224,'NEI Lookups'!I:I)+SUMIF('NEI Lookups'!$M:$M,'Inputs Yr 2'!$F224,'NEI Lookups'!I:I)+SUMIF('NEI Lookups'!$N:$N,'Inputs Yr 2'!$F224,'NEI Lookups'!I:I)+SUMIF('NEI Lookups'!$O:$O,'Inputs Yr 2'!$F224,'NEI Lookups'!I:I)+SUMIF('NEI Lookups'!$P:$P,'Inputs Yr 2'!$F224,'NEI Lookups'!I:I)+SUMIF('NEI Lookups'!$Q:$Q,'Inputs Yr 2'!$F224,'NEI Lookups'!I:I)+SUMIF('NEI Lookups'!$R:$R,'Inputs Yr 2'!$F224,'NEI Lookups'!I:I)+SUMIF('NEI Lookups'!$S:$S,'Inputs Yr 2'!$F224,'NEI Lookups'!I:I)+SUMIF('NEI Lookups'!$T:$T,'Inputs Yr 2'!$F224,'NEI Lookups'!I:I)</f>
        <v>0</v>
      </c>
      <c r="AX224" s="299">
        <f>SUMIF('NEI Lookups'!$L:$L,'Inputs Yr 2'!$F224,'NEI Lookups'!J:J)+SUMIF('NEI Lookups'!$M:$M,'Inputs Yr 2'!$F224,'NEI Lookups'!J:J)+SUMIF('NEI Lookups'!$N:$N,'Inputs Yr 2'!$F224,'NEI Lookups'!J:J)+SUMIF('NEI Lookups'!$O:$O,'Inputs Yr 2'!$F224,'NEI Lookups'!J:J)+SUMIF('NEI Lookups'!$P:$P,'Inputs Yr 2'!$F224,'NEI Lookups'!J:J)+SUMIF('NEI Lookups'!$Q:$Q,'Inputs Yr 2'!$F224,'NEI Lookups'!J:J)+SUMIF('NEI Lookups'!$R:$R,'Inputs Yr 2'!$F224,'NEI Lookups'!J:J)+SUMIF('NEI Lookups'!$S:$S,'Inputs Yr 2'!$F224,'NEI Lookups'!J:J)+SUMIF('NEI Lookups'!$T:$T,'Inputs Yr 2'!$F224,'NEI Lookups'!J:J)</f>
        <v>0</v>
      </c>
      <c r="AY224" s="930">
        <f>'Calculations Yr 2'!CP224/'Calculations Yr 2'!I224</f>
        <v>2.2444499703198266</v>
      </c>
    </row>
    <row r="225" spans="1:51" s="133" customFormat="1" ht="12.75" customHeight="1">
      <c r="A225" s="145" t="s">
        <v>83</v>
      </c>
      <c r="B225" s="132" t="s">
        <v>873</v>
      </c>
      <c r="C225" s="132" t="s">
        <v>908</v>
      </c>
      <c r="D225" s="904" t="s">
        <v>1559</v>
      </c>
      <c r="E225" s="150" t="s">
        <v>1274</v>
      </c>
      <c r="F225" s="150" t="s">
        <v>1112</v>
      </c>
      <c r="G225" s="145" t="s">
        <v>89</v>
      </c>
      <c r="H225" s="232">
        <v>1891</v>
      </c>
      <c r="I225" s="234">
        <v>20</v>
      </c>
      <c r="J225" s="964">
        <v>625.54999999999995</v>
      </c>
      <c r="K225" s="964">
        <v>393.43</v>
      </c>
      <c r="L225" s="888">
        <f t="shared" si="58"/>
        <v>232.11999999999995</v>
      </c>
      <c r="M225" s="978">
        <v>0.30099999999999999</v>
      </c>
      <c r="N225" s="978">
        <v>0.14699999999999999</v>
      </c>
      <c r="O225" s="978">
        <v>0</v>
      </c>
      <c r="P225" s="889">
        <f t="shared" si="79"/>
        <v>0.84600000000000009</v>
      </c>
      <c r="Q225" s="978">
        <v>1</v>
      </c>
      <c r="R225" s="178">
        <v>1</v>
      </c>
      <c r="S225" s="178">
        <v>1</v>
      </c>
      <c r="T225" s="178">
        <v>1</v>
      </c>
      <c r="U225" s="978">
        <v>1</v>
      </c>
      <c r="V225" s="978">
        <v>1</v>
      </c>
      <c r="W225" s="179"/>
      <c r="X225" s="937" t="s">
        <v>653</v>
      </c>
      <c r="Y225" s="299">
        <f>IFERROR(VLOOKUP($X225,'Demand Lookups'!$A$5:$K$101,9,0), 0)</f>
        <v>0</v>
      </c>
      <c r="Z225" s="922" t="str">
        <f>IFERROR(VLOOKUP(X225,'Demand Lookups'!$A$5:$B$101,2,0),0)</f>
        <v>Non-Electric Measures</v>
      </c>
      <c r="AA225" s="722">
        <f>IF(ISNA(VLOOKUP($X225,'Demand Lookups'!$A$5:$K$81,3,0)),0,VLOOKUP($X225,'Demand Lookups'!$A$5:$K$81,3,0))</f>
        <v>0</v>
      </c>
      <c r="AB225" s="722">
        <f>IF(ISNA(VLOOKUP($X225,'Demand Lookups'!$A$5:$K$81,4,0)),0,VLOOKUP($X225,'Demand Lookups'!$A$5:$K$81,4,0))</f>
        <v>0</v>
      </c>
      <c r="AC225" s="722">
        <f>IF(ISNA(VLOOKUP($X225,'Demand Lookups'!$A$5:$K$81,5,0)),0,VLOOKUP($X225,'Demand Lookups'!$A$5:$K$81,5,0))</f>
        <v>0</v>
      </c>
      <c r="AD225" s="723">
        <f>IF(ISNA(VLOOKUP($X225,'Demand Lookups'!$A$5:$K$81,6,0)),0,VLOOKUP($X225,'Demand Lookups'!$A$5:$K$81,6,0))</f>
        <v>0</v>
      </c>
      <c r="AE225" s="724">
        <f t="shared" si="80"/>
        <v>0</v>
      </c>
      <c r="AF225" s="723">
        <f>ROUND(IF(ISNA(VLOOKUP($X225,'Demand Lookups'!$A$5:$K$82,10,0)),0,(VLOOKUP($X225,'Demand Lookups'!$A$5:$K$82,10,0))),2)</f>
        <v>0</v>
      </c>
      <c r="AG225" s="723">
        <f>ROUND(IF(ISNA(VLOOKUP($X225,'Demand Lookups'!$A$5:$K$82,11,0)),0,VLOOKUP($X225,'Demand Lookups'!$A$5:$K$82,11,0)),2)</f>
        <v>0</v>
      </c>
      <c r="AH225" s="648">
        <f t="shared" si="81"/>
        <v>0</v>
      </c>
      <c r="AI225" s="648">
        <f t="shared" si="82"/>
        <v>0</v>
      </c>
      <c r="AJ225" s="167" t="s">
        <v>406</v>
      </c>
      <c r="AK225" s="866">
        <v>8.9</v>
      </c>
      <c r="AL225" s="167"/>
      <c r="AM225" s="168"/>
      <c r="AN225" s="167"/>
      <c r="AO225" s="168"/>
      <c r="AP225" s="167"/>
      <c r="AQ225" s="171">
        <v>0</v>
      </c>
      <c r="AR225" s="171">
        <v>0</v>
      </c>
      <c r="AS225" s="299">
        <f>SUMIF('NEI Lookups'!$L:$L,'Inputs Yr 2'!$F225,'NEI Lookups'!E:E)+SUMIF('NEI Lookups'!$M:$M,'Inputs Yr 2'!$F225,'NEI Lookups'!E:E)+SUMIF('NEI Lookups'!$N:$N,'Inputs Yr 2'!$F225,'NEI Lookups'!E:E)+SUMIF('NEI Lookups'!$O:$O,'Inputs Yr 2'!$F225,'NEI Lookups'!E:E)+SUMIF('NEI Lookups'!$P:$P,'Inputs Yr 2'!$F225,'NEI Lookups'!E:E)+SUMIF('NEI Lookups'!$Q:$Q,'Inputs Yr 2'!$F225,'NEI Lookups'!E:E)+SUMIF('NEI Lookups'!$R:$R,'Inputs Yr 2'!$F225,'NEI Lookups'!E:E)+SUMIF('NEI Lookups'!$S:$S,'Inputs Yr 2'!$F225,'NEI Lookups'!E:E)+SUMIF('NEI Lookups'!$T:$T,'Inputs Yr 2'!$F225,'NEI Lookups'!E:E)</f>
        <v>0</v>
      </c>
      <c r="AT225" s="299">
        <f>SUMIF('NEI Lookups'!$L:$L,'Inputs Yr 2'!$F225,'NEI Lookups'!F:F)+SUMIF('NEI Lookups'!$M:$M,'Inputs Yr 2'!$F225,'NEI Lookups'!F:F)+SUMIF('NEI Lookups'!$N:$N,'Inputs Yr 2'!$F225,'NEI Lookups'!F:F)+SUMIF('NEI Lookups'!$O:$O,'Inputs Yr 2'!$F225,'NEI Lookups'!F:F)+SUMIF('NEI Lookups'!$P:$P,'Inputs Yr 2'!$F225,'NEI Lookups'!F:F)+SUMIF('NEI Lookups'!$Q:$Q,'Inputs Yr 2'!$F225,'NEI Lookups'!F:F)+SUMIF('NEI Lookups'!$R:$R,'Inputs Yr 2'!$F225,'NEI Lookups'!F:F)+SUMIF('NEI Lookups'!$S:$S,'Inputs Yr 2'!$F225,'NEI Lookups'!F:F)+SUMIF('NEI Lookups'!$T:$T,'Inputs Yr 2'!$F225,'NEI Lookups'!F:F)</f>
        <v>0</v>
      </c>
      <c r="AU225" s="299">
        <f>SUMIF('NEI Lookups'!$L:$L,'Inputs Yr 2'!$F225,'NEI Lookups'!G:G)+SUMIF('NEI Lookups'!$M:$M,'Inputs Yr 2'!$F225,'NEI Lookups'!G:G)+SUMIF('NEI Lookups'!$N:$N,'Inputs Yr 2'!$F225,'NEI Lookups'!G:G)+SUMIF('NEI Lookups'!$O:$O,'Inputs Yr 2'!$F225,'NEI Lookups'!G:G)+SUMIF('NEI Lookups'!$P:$P,'Inputs Yr 2'!$F225,'NEI Lookups'!G:G)+SUMIF('NEI Lookups'!$Q:$Q,'Inputs Yr 2'!$F225,'NEI Lookups'!G:G)+SUMIF('NEI Lookups'!$R:$R,'Inputs Yr 2'!$F225,'NEI Lookups'!G:G)+SUMIF('NEI Lookups'!$S:$S,'Inputs Yr 2'!$F225,'NEI Lookups'!G:G)+SUMIF('NEI Lookups'!$T:$T,'Inputs Yr 2'!$F225,'NEI Lookups'!G:G)</f>
        <v>0</v>
      </c>
      <c r="AV225" s="299">
        <f>SUMIF('NEI Lookups'!$L:$L,'Inputs Yr 2'!$F225,'NEI Lookups'!H:H)+SUMIF('NEI Lookups'!$M:$M,'Inputs Yr 2'!$F225,'NEI Lookups'!H:H)+SUMIF('NEI Lookups'!$N:$N,'Inputs Yr 2'!$F225,'NEI Lookups'!H:H)+SUMIF('NEI Lookups'!$O:$O,'Inputs Yr 2'!$F225,'NEI Lookups'!H:H)+SUMIF('NEI Lookups'!$P:$P,'Inputs Yr 2'!$F225,'NEI Lookups'!H:H)+SUMIF('NEI Lookups'!$Q:$Q,'Inputs Yr 2'!$F225,'NEI Lookups'!H:H)+SUMIF('NEI Lookups'!$R:$R,'Inputs Yr 2'!$F225,'NEI Lookups'!H:H)+SUMIF('NEI Lookups'!$S:$S,'Inputs Yr 2'!$F225,'NEI Lookups'!H:H)+SUMIF('NEI Lookups'!$T:$T,'Inputs Yr 2'!$F225,'NEI Lookups'!H:H)</f>
        <v>0</v>
      </c>
      <c r="AW225" s="299">
        <f>SUMIF('NEI Lookups'!$L:$L,'Inputs Yr 2'!$F225,'NEI Lookups'!I:I)+SUMIF('NEI Lookups'!$M:$M,'Inputs Yr 2'!$F225,'NEI Lookups'!I:I)+SUMIF('NEI Lookups'!$N:$N,'Inputs Yr 2'!$F225,'NEI Lookups'!I:I)+SUMIF('NEI Lookups'!$O:$O,'Inputs Yr 2'!$F225,'NEI Lookups'!I:I)+SUMIF('NEI Lookups'!$P:$P,'Inputs Yr 2'!$F225,'NEI Lookups'!I:I)+SUMIF('NEI Lookups'!$Q:$Q,'Inputs Yr 2'!$F225,'NEI Lookups'!I:I)+SUMIF('NEI Lookups'!$R:$R,'Inputs Yr 2'!$F225,'NEI Lookups'!I:I)+SUMIF('NEI Lookups'!$S:$S,'Inputs Yr 2'!$F225,'NEI Lookups'!I:I)+SUMIF('NEI Lookups'!$T:$T,'Inputs Yr 2'!$F225,'NEI Lookups'!I:I)</f>
        <v>0</v>
      </c>
      <c r="AX225" s="299">
        <f>SUMIF('NEI Lookups'!$L:$L,'Inputs Yr 2'!$F225,'NEI Lookups'!J:J)+SUMIF('NEI Lookups'!$M:$M,'Inputs Yr 2'!$F225,'NEI Lookups'!J:J)+SUMIF('NEI Lookups'!$N:$N,'Inputs Yr 2'!$F225,'NEI Lookups'!J:J)+SUMIF('NEI Lookups'!$O:$O,'Inputs Yr 2'!$F225,'NEI Lookups'!J:J)+SUMIF('NEI Lookups'!$P:$P,'Inputs Yr 2'!$F225,'NEI Lookups'!J:J)+SUMIF('NEI Lookups'!$Q:$Q,'Inputs Yr 2'!$F225,'NEI Lookups'!J:J)+SUMIF('NEI Lookups'!$R:$R,'Inputs Yr 2'!$F225,'NEI Lookups'!J:J)+SUMIF('NEI Lookups'!$S:$S,'Inputs Yr 2'!$F225,'NEI Lookups'!J:J)+SUMIF('NEI Lookups'!$T:$T,'Inputs Yr 2'!$F225,'NEI Lookups'!J:J)</f>
        <v>0</v>
      </c>
      <c r="AY225" s="930">
        <f>'Calculations Yr 2'!CP225/'Calculations Yr 2'!I225</f>
        <v>2.2313977599044117</v>
      </c>
    </row>
    <row r="226" spans="1:51" s="133" customFormat="1" ht="12.75" customHeight="1">
      <c r="A226" s="145" t="s">
        <v>83</v>
      </c>
      <c r="B226" s="132" t="s">
        <v>873</v>
      </c>
      <c r="C226" s="132" t="s">
        <v>908</v>
      </c>
      <c r="D226" s="906" t="s">
        <v>1560</v>
      </c>
      <c r="E226" s="150" t="s">
        <v>791</v>
      </c>
      <c r="F226" s="150" t="s">
        <v>1113</v>
      </c>
      <c r="G226" s="145" t="s">
        <v>89</v>
      </c>
      <c r="H226" s="232">
        <v>328</v>
      </c>
      <c r="I226" s="234">
        <v>15</v>
      </c>
      <c r="J226" s="964">
        <v>1084</v>
      </c>
      <c r="K226" s="964">
        <v>405.76350609756139</v>
      </c>
      <c r="L226" s="888">
        <f t="shared" si="58"/>
        <v>678.23649390243861</v>
      </c>
      <c r="M226" s="978">
        <v>0.30099999999999999</v>
      </c>
      <c r="N226" s="978">
        <v>0.14699999999999999</v>
      </c>
      <c r="O226" s="978">
        <v>0</v>
      </c>
      <c r="P226" s="889">
        <f t="shared" si="79"/>
        <v>0.84600000000000009</v>
      </c>
      <c r="Q226" s="978">
        <v>1</v>
      </c>
      <c r="R226" s="178">
        <v>1</v>
      </c>
      <c r="S226" s="178">
        <v>1</v>
      </c>
      <c r="T226" s="178">
        <v>1</v>
      </c>
      <c r="U226" s="978">
        <v>1</v>
      </c>
      <c r="V226" s="978">
        <v>1</v>
      </c>
      <c r="W226" s="179"/>
      <c r="X226" s="937" t="s">
        <v>653</v>
      </c>
      <c r="Y226" s="299">
        <f>IFERROR(VLOOKUP($X226,'Demand Lookups'!$A$5:$K$101,9,0), 0)</f>
        <v>0</v>
      </c>
      <c r="Z226" s="922" t="str">
        <f>IFERROR(VLOOKUP(X226,'Demand Lookups'!$A$5:$B$101,2,0),0)</f>
        <v>Non-Electric Measures</v>
      </c>
      <c r="AA226" s="722">
        <f>IF(ISNA(VLOOKUP($X226,'Demand Lookups'!$A$5:$K$81,3,0)),0,VLOOKUP($X226,'Demand Lookups'!$A$5:$K$81,3,0))</f>
        <v>0</v>
      </c>
      <c r="AB226" s="722">
        <f>IF(ISNA(VLOOKUP($X226,'Demand Lookups'!$A$5:$K$81,4,0)),0,VLOOKUP($X226,'Demand Lookups'!$A$5:$K$81,4,0))</f>
        <v>0</v>
      </c>
      <c r="AC226" s="722">
        <f>IF(ISNA(VLOOKUP($X226,'Demand Lookups'!$A$5:$K$81,5,0)),0,VLOOKUP($X226,'Demand Lookups'!$A$5:$K$81,5,0))</f>
        <v>0</v>
      </c>
      <c r="AD226" s="723">
        <f>IF(ISNA(VLOOKUP($X226,'Demand Lookups'!$A$5:$K$81,6,0)),0,VLOOKUP($X226,'Demand Lookups'!$A$5:$K$81,6,0))</f>
        <v>0</v>
      </c>
      <c r="AE226" s="724">
        <f t="shared" si="80"/>
        <v>0</v>
      </c>
      <c r="AF226" s="723">
        <f>ROUND(IF(ISNA(VLOOKUP($X226,'Demand Lookups'!$A$5:$K$82,10,0)),0,(VLOOKUP($X226,'Demand Lookups'!$A$5:$K$82,10,0))),2)</f>
        <v>0</v>
      </c>
      <c r="AG226" s="723">
        <f>ROUND(IF(ISNA(VLOOKUP($X226,'Demand Lookups'!$A$5:$K$82,11,0)),0,VLOOKUP($X226,'Demand Lookups'!$A$5:$K$82,11,0)),2)</f>
        <v>0</v>
      </c>
      <c r="AH226" s="648">
        <f t="shared" si="81"/>
        <v>0</v>
      </c>
      <c r="AI226" s="648">
        <f t="shared" si="82"/>
        <v>0</v>
      </c>
      <c r="AJ226" s="167" t="s">
        <v>406</v>
      </c>
      <c r="AK226" s="866">
        <v>18.999999999999996</v>
      </c>
      <c r="AL226" s="167"/>
      <c r="AM226" s="168"/>
      <c r="AN226" s="167"/>
      <c r="AO226" s="168"/>
      <c r="AP226" s="167"/>
      <c r="AQ226" s="171">
        <v>0</v>
      </c>
      <c r="AR226" s="171">
        <v>0</v>
      </c>
      <c r="AS226" s="299">
        <f>SUMIF('NEI Lookups'!$L:$L,'Inputs Yr 2'!$F226,'NEI Lookups'!E:E)+SUMIF('NEI Lookups'!$M:$M,'Inputs Yr 2'!$F226,'NEI Lookups'!E:E)+SUMIF('NEI Lookups'!$N:$N,'Inputs Yr 2'!$F226,'NEI Lookups'!E:E)+SUMIF('NEI Lookups'!$O:$O,'Inputs Yr 2'!$F226,'NEI Lookups'!E:E)+SUMIF('NEI Lookups'!$P:$P,'Inputs Yr 2'!$F226,'NEI Lookups'!E:E)+SUMIF('NEI Lookups'!$Q:$Q,'Inputs Yr 2'!$F226,'NEI Lookups'!E:E)+SUMIF('NEI Lookups'!$R:$R,'Inputs Yr 2'!$F226,'NEI Lookups'!E:E)+SUMIF('NEI Lookups'!$S:$S,'Inputs Yr 2'!$F226,'NEI Lookups'!E:E)+SUMIF('NEI Lookups'!$T:$T,'Inputs Yr 2'!$F226,'NEI Lookups'!E:E)</f>
        <v>0</v>
      </c>
      <c r="AT226" s="299">
        <f>SUMIF('NEI Lookups'!$L:$L,'Inputs Yr 2'!$F226,'NEI Lookups'!F:F)+SUMIF('NEI Lookups'!$M:$M,'Inputs Yr 2'!$F226,'NEI Lookups'!F:F)+SUMIF('NEI Lookups'!$N:$N,'Inputs Yr 2'!$F226,'NEI Lookups'!F:F)+SUMIF('NEI Lookups'!$O:$O,'Inputs Yr 2'!$F226,'NEI Lookups'!F:F)+SUMIF('NEI Lookups'!$P:$P,'Inputs Yr 2'!$F226,'NEI Lookups'!F:F)+SUMIF('NEI Lookups'!$Q:$Q,'Inputs Yr 2'!$F226,'NEI Lookups'!F:F)+SUMIF('NEI Lookups'!$R:$R,'Inputs Yr 2'!$F226,'NEI Lookups'!F:F)+SUMIF('NEI Lookups'!$S:$S,'Inputs Yr 2'!$F226,'NEI Lookups'!F:F)+SUMIF('NEI Lookups'!$T:$T,'Inputs Yr 2'!$F226,'NEI Lookups'!F:F)</f>
        <v>0</v>
      </c>
      <c r="AU226" s="299">
        <f>SUMIF('NEI Lookups'!$L:$L,'Inputs Yr 2'!$F226,'NEI Lookups'!G:G)+SUMIF('NEI Lookups'!$M:$M,'Inputs Yr 2'!$F226,'NEI Lookups'!G:G)+SUMIF('NEI Lookups'!$N:$N,'Inputs Yr 2'!$F226,'NEI Lookups'!G:G)+SUMIF('NEI Lookups'!$O:$O,'Inputs Yr 2'!$F226,'NEI Lookups'!G:G)+SUMIF('NEI Lookups'!$P:$P,'Inputs Yr 2'!$F226,'NEI Lookups'!G:G)+SUMIF('NEI Lookups'!$Q:$Q,'Inputs Yr 2'!$F226,'NEI Lookups'!G:G)+SUMIF('NEI Lookups'!$R:$R,'Inputs Yr 2'!$F226,'NEI Lookups'!G:G)+SUMIF('NEI Lookups'!$S:$S,'Inputs Yr 2'!$F226,'NEI Lookups'!G:G)+SUMIF('NEI Lookups'!$T:$T,'Inputs Yr 2'!$F226,'NEI Lookups'!G:G)</f>
        <v>0</v>
      </c>
      <c r="AV226" s="299">
        <f>SUMIF('NEI Lookups'!$L:$L,'Inputs Yr 2'!$F226,'NEI Lookups'!H:H)+SUMIF('NEI Lookups'!$M:$M,'Inputs Yr 2'!$F226,'NEI Lookups'!H:H)+SUMIF('NEI Lookups'!$N:$N,'Inputs Yr 2'!$F226,'NEI Lookups'!H:H)+SUMIF('NEI Lookups'!$O:$O,'Inputs Yr 2'!$F226,'NEI Lookups'!H:H)+SUMIF('NEI Lookups'!$P:$P,'Inputs Yr 2'!$F226,'NEI Lookups'!H:H)+SUMIF('NEI Lookups'!$Q:$Q,'Inputs Yr 2'!$F226,'NEI Lookups'!H:H)+SUMIF('NEI Lookups'!$R:$R,'Inputs Yr 2'!$F226,'NEI Lookups'!H:H)+SUMIF('NEI Lookups'!$S:$S,'Inputs Yr 2'!$F226,'NEI Lookups'!H:H)+SUMIF('NEI Lookups'!$T:$T,'Inputs Yr 2'!$F226,'NEI Lookups'!H:H)</f>
        <v>0</v>
      </c>
      <c r="AW226" s="299">
        <f>SUMIF('NEI Lookups'!$L:$L,'Inputs Yr 2'!$F226,'NEI Lookups'!I:I)+SUMIF('NEI Lookups'!$M:$M,'Inputs Yr 2'!$F226,'NEI Lookups'!I:I)+SUMIF('NEI Lookups'!$N:$N,'Inputs Yr 2'!$F226,'NEI Lookups'!I:I)+SUMIF('NEI Lookups'!$O:$O,'Inputs Yr 2'!$F226,'NEI Lookups'!I:I)+SUMIF('NEI Lookups'!$P:$P,'Inputs Yr 2'!$F226,'NEI Lookups'!I:I)+SUMIF('NEI Lookups'!$Q:$Q,'Inputs Yr 2'!$F226,'NEI Lookups'!I:I)+SUMIF('NEI Lookups'!$R:$R,'Inputs Yr 2'!$F226,'NEI Lookups'!I:I)+SUMIF('NEI Lookups'!$S:$S,'Inputs Yr 2'!$F226,'NEI Lookups'!I:I)+SUMIF('NEI Lookups'!$T:$T,'Inputs Yr 2'!$F226,'NEI Lookups'!I:I)</f>
        <v>0</v>
      </c>
      <c r="AX226" s="299">
        <f>SUMIF('NEI Lookups'!$L:$L,'Inputs Yr 2'!$F226,'NEI Lookups'!J:J)+SUMIF('NEI Lookups'!$M:$M,'Inputs Yr 2'!$F226,'NEI Lookups'!J:J)+SUMIF('NEI Lookups'!$N:$N,'Inputs Yr 2'!$F226,'NEI Lookups'!J:J)+SUMIF('NEI Lookups'!$O:$O,'Inputs Yr 2'!$F226,'NEI Lookups'!J:J)+SUMIF('NEI Lookups'!$P:$P,'Inputs Yr 2'!$F226,'NEI Lookups'!J:J)+SUMIF('NEI Lookups'!$Q:$Q,'Inputs Yr 2'!$F226,'NEI Lookups'!J:J)+SUMIF('NEI Lookups'!$R:$R,'Inputs Yr 2'!$F226,'NEI Lookups'!J:J)+SUMIF('NEI Lookups'!$S:$S,'Inputs Yr 2'!$F226,'NEI Lookups'!J:J)+SUMIF('NEI Lookups'!$T:$T,'Inputs Yr 2'!$F226,'NEI Lookups'!J:J)</f>
        <v>0</v>
      </c>
      <c r="AY226" s="930">
        <f>'Calculations Yr 2'!CP226/'Calculations Yr 2'!I226</f>
        <v>2.023707708849924</v>
      </c>
    </row>
    <row r="227" spans="1:51" s="133" customFormat="1" ht="12.75" customHeight="1">
      <c r="A227" s="145" t="s">
        <v>83</v>
      </c>
      <c r="B227" s="132" t="s">
        <v>873</v>
      </c>
      <c r="C227" s="132" t="s">
        <v>911</v>
      </c>
      <c r="D227" s="99"/>
      <c r="E227" s="98" t="s">
        <v>792</v>
      </c>
      <c r="F227" s="150" t="s">
        <v>1114</v>
      </c>
      <c r="G227" s="145" t="s">
        <v>89</v>
      </c>
      <c r="H227" s="232"/>
      <c r="I227" s="234">
        <v>13</v>
      </c>
      <c r="J227" s="964">
        <v>100</v>
      </c>
      <c r="K227" s="964"/>
      <c r="L227" s="888">
        <f t="shared" si="58"/>
        <v>100</v>
      </c>
      <c r="M227" s="978">
        <v>0</v>
      </c>
      <c r="N227" s="978">
        <v>0</v>
      </c>
      <c r="O227" s="978">
        <v>0</v>
      </c>
      <c r="P227" s="889">
        <v>0.84600000000000009</v>
      </c>
      <c r="Q227" s="978">
        <v>1</v>
      </c>
      <c r="R227" s="178">
        <v>1</v>
      </c>
      <c r="S227" s="178">
        <v>1</v>
      </c>
      <c r="T227" s="178">
        <v>1</v>
      </c>
      <c r="U227" s="978">
        <v>0</v>
      </c>
      <c r="V227" s="978">
        <v>0</v>
      </c>
      <c r="W227" s="179"/>
      <c r="X227" s="937" t="s">
        <v>653</v>
      </c>
      <c r="Y227" s="299">
        <f>IFERROR(VLOOKUP($X227,'Demand Lookups'!$A$5:$K$101,9,0), 0)</f>
        <v>0</v>
      </c>
      <c r="Z227" s="922" t="str">
        <f>IFERROR(VLOOKUP(X227,'Demand Lookups'!$A$5:$B$101,2,0),0)</f>
        <v>Non-Electric Measures</v>
      </c>
      <c r="AA227" s="722">
        <v>0</v>
      </c>
      <c r="AB227" s="722">
        <v>0</v>
      </c>
      <c r="AC227" s="722">
        <v>0</v>
      </c>
      <c r="AD227" s="723">
        <v>0</v>
      </c>
      <c r="AE227" s="724">
        <f t="shared" si="80"/>
        <v>0</v>
      </c>
      <c r="AF227" s="723">
        <v>0</v>
      </c>
      <c r="AG227" s="723">
        <v>0</v>
      </c>
      <c r="AH227" s="648">
        <v>0</v>
      </c>
      <c r="AI227" s="648">
        <v>0</v>
      </c>
      <c r="AJ227" s="167" t="s">
        <v>406</v>
      </c>
      <c r="AK227" s="866">
        <v>2.4</v>
      </c>
      <c r="AL227" s="167"/>
      <c r="AM227" s="168"/>
      <c r="AN227" s="167"/>
      <c r="AO227" s="168"/>
      <c r="AP227" s="167"/>
      <c r="AQ227" s="171"/>
      <c r="AR227" s="171"/>
      <c r="AS227" s="299">
        <f>SUMIF('NEI Lookups'!$L:$L,'Inputs Yr 2'!$F227,'NEI Lookups'!E:E)+SUMIF('NEI Lookups'!$M:$M,'Inputs Yr 2'!$F227,'NEI Lookups'!E:E)+SUMIF('NEI Lookups'!$N:$N,'Inputs Yr 2'!$F227,'NEI Lookups'!E:E)+SUMIF('NEI Lookups'!$O:$O,'Inputs Yr 2'!$F227,'NEI Lookups'!E:E)+SUMIF('NEI Lookups'!$P:$P,'Inputs Yr 2'!$F227,'NEI Lookups'!E:E)+SUMIF('NEI Lookups'!$Q:$Q,'Inputs Yr 2'!$F227,'NEI Lookups'!E:E)+SUMIF('NEI Lookups'!$R:$R,'Inputs Yr 2'!$F227,'NEI Lookups'!E:E)+SUMIF('NEI Lookups'!$S:$S,'Inputs Yr 2'!$F227,'NEI Lookups'!E:E)+SUMIF('NEI Lookups'!$T:$T,'Inputs Yr 2'!$F227,'NEI Lookups'!E:E)</f>
        <v>0</v>
      </c>
      <c r="AT227" s="299">
        <f>SUMIF('NEI Lookups'!$L:$L,'Inputs Yr 2'!$F227,'NEI Lookups'!F:F)+SUMIF('NEI Lookups'!$M:$M,'Inputs Yr 2'!$F227,'NEI Lookups'!F:F)+SUMIF('NEI Lookups'!$N:$N,'Inputs Yr 2'!$F227,'NEI Lookups'!F:F)+SUMIF('NEI Lookups'!$O:$O,'Inputs Yr 2'!$F227,'NEI Lookups'!F:F)+SUMIF('NEI Lookups'!$P:$P,'Inputs Yr 2'!$F227,'NEI Lookups'!F:F)+SUMIF('NEI Lookups'!$Q:$Q,'Inputs Yr 2'!$F227,'NEI Lookups'!F:F)+SUMIF('NEI Lookups'!$R:$R,'Inputs Yr 2'!$F227,'NEI Lookups'!F:F)+SUMIF('NEI Lookups'!$S:$S,'Inputs Yr 2'!$F227,'NEI Lookups'!F:F)+SUMIF('NEI Lookups'!$T:$T,'Inputs Yr 2'!$F227,'NEI Lookups'!F:F)</f>
        <v>0</v>
      </c>
      <c r="AU227" s="299">
        <f>SUMIF('NEI Lookups'!$L:$L,'Inputs Yr 2'!$F227,'NEI Lookups'!G:G)+SUMIF('NEI Lookups'!$M:$M,'Inputs Yr 2'!$F227,'NEI Lookups'!G:G)+SUMIF('NEI Lookups'!$N:$N,'Inputs Yr 2'!$F227,'NEI Lookups'!G:G)+SUMIF('NEI Lookups'!$O:$O,'Inputs Yr 2'!$F227,'NEI Lookups'!G:G)+SUMIF('NEI Lookups'!$P:$P,'Inputs Yr 2'!$F227,'NEI Lookups'!G:G)+SUMIF('NEI Lookups'!$Q:$Q,'Inputs Yr 2'!$F227,'NEI Lookups'!G:G)+SUMIF('NEI Lookups'!$R:$R,'Inputs Yr 2'!$F227,'NEI Lookups'!G:G)+SUMIF('NEI Lookups'!$S:$S,'Inputs Yr 2'!$F227,'NEI Lookups'!G:G)+SUMIF('NEI Lookups'!$T:$T,'Inputs Yr 2'!$F227,'NEI Lookups'!G:G)</f>
        <v>0</v>
      </c>
      <c r="AV227" s="299">
        <f>SUMIF('NEI Lookups'!$L:$L,'Inputs Yr 2'!$F227,'NEI Lookups'!H:H)+SUMIF('NEI Lookups'!$M:$M,'Inputs Yr 2'!$F227,'NEI Lookups'!H:H)+SUMIF('NEI Lookups'!$N:$N,'Inputs Yr 2'!$F227,'NEI Lookups'!H:H)+SUMIF('NEI Lookups'!$O:$O,'Inputs Yr 2'!$F227,'NEI Lookups'!H:H)+SUMIF('NEI Lookups'!$P:$P,'Inputs Yr 2'!$F227,'NEI Lookups'!H:H)+SUMIF('NEI Lookups'!$Q:$Q,'Inputs Yr 2'!$F227,'NEI Lookups'!H:H)+SUMIF('NEI Lookups'!$R:$R,'Inputs Yr 2'!$F227,'NEI Lookups'!H:H)+SUMIF('NEI Lookups'!$S:$S,'Inputs Yr 2'!$F227,'NEI Lookups'!H:H)+SUMIF('NEI Lookups'!$T:$T,'Inputs Yr 2'!$F227,'NEI Lookups'!H:H)</f>
        <v>0</v>
      </c>
      <c r="AW227" s="299">
        <f>SUMIF('NEI Lookups'!$L:$L,'Inputs Yr 2'!$F227,'NEI Lookups'!I:I)+SUMIF('NEI Lookups'!$M:$M,'Inputs Yr 2'!$F227,'NEI Lookups'!I:I)+SUMIF('NEI Lookups'!$N:$N,'Inputs Yr 2'!$F227,'NEI Lookups'!I:I)+SUMIF('NEI Lookups'!$O:$O,'Inputs Yr 2'!$F227,'NEI Lookups'!I:I)+SUMIF('NEI Lookups'!$P:$P,'Inputs Yr 2'!$F227,'NEI Lookups'!I:I)+SUMIF('NEI Lookups'!$Q:$Q,'Inputs Yr 2'!$F227,'NEI Lookups'!I:I)+SUMIF('NEI Lookups'!$R:$R,'Inputs Yr 2'!$F227,'NEI Lookups'!I:I)+SUMIF('NEI Lookups'!$S:$S,'Inputs Yr 2'!$F227,'NEI Lookups'!I:I)+SUMIF('NEI Lookups'!$T:$T,'Inputs Yr 2'!$F227,'NEI Lookups'!I:I)</f>
        <v>0</v>
      </c>
      <c r="AX227" s="299">
        <f>SUMIF('NEI Lookups'!$L:$L,'Inputs Yr 2'!$F227,'NEI Lookups'!J:J)+SUMIF('NEI Lookups'!$M:$M,'Inputs Yr 2'!$F227,'NEI Lookups'!J:J)+SUMIF('NEI Lookups'!$N:$N,'Inputs Yr 2'!$F227,'NEI Lookups'!J:J)+SUMIF('NEI Lookups'!$O:$O,'Inputs Yr 2'!$F227,'NEI Lookups'!J:J)+SUMIF('NEI Lookups'!$P:$P,'Inputs Yr 2'!$F227,'NEI Lookups'!J:J)+SUMIF('NEI Lookups'!$Q:$Q,'Inputs Yr 2'!$F227,'NEI Lookups'!J:J)+SUMIF('NEI Lookups'!$R:$R,'Inputs Yr 2'!$F227,'NEI Lookups'!J:J)+SUMIF('NEI Lookups'!$S:$S,'Inputs Yr 2'!$F227,'NEI Lookups'!J:J)+SUMIF('NEI Lookups'!$T:$T,'Inputs Yr 2'!$F227,'NEI Lookups'!J:J)</f>
        <v>0</v>
      </c>
      <c r="AY227" s="930" t="e">
        <f>'Calculations Yr 2'!CP227/'Calculations Yr 2'!I227</f>
        <v>#VALUE!</v>
      </c>
    </row>
    <row r="228" spans="1:51" s="133" customFormat="1" ht="12.75" customHeight="1">
      <c r="A228" s="145" t="s">
        <v>83</v>
      </c>
      <c r="B228" s="132" t="s">
        <v>873</v>
      </c>
      <c r="C228" s="132" t="s">
        <v>908</v>
      </c>
      <c r="D228" s="906" t="s">
        <v>1561</v>
      </c>
      <c r="E228" s="150" t="s">
        <v>1273</v>
      </c>
      <c r="F228" s="150" t="s">
        <v>1115</v>
      </c>
      <c r="G228" s="145" t="s">
        <v>89</v>
      </c>
      <c r="H228" s="232">
        <v>864</v>
      </c>
      <c r="I228" s="234">
        <v>15</v>
      </c>
      <c r="J228" s="964">
        <v>805.28</v>
      </c>
      <c r="K228" s="964">
        <v>567.1</v>
      </c>
      <c r="L228" s="888">
        <f t="shared" si="58"/>
        <v>238.17999999999995</v>
      </c>
      <c r="M228" s="978">
        <v>0.30099999999999999</v>
      </c>
      <c r="N228" s="978">
        <v>0.14699999999999999</v>
      </c>
      <c r="O228" s="978">
        <v>0</v>
      </c>
      <c r="P228" s="889">
        <f t="shared" si="79"/>
        <v>0.84600000000000009</v>
      </c>
      <c r="Q228" s="978">
        <v>1</v>
      </c>
      <c r="R228" s="178">
        <v>1</v>
      </c>
      <c r="S228" s="178">
        <v>1</v>
      </c>
      <c r="T228" s="178">
        <v>1</v>
      </c>
      <c r="U228" s="978">
        <v>1</v>
      </c>
      <c r="V228" s="978">
        <v>1</v>
      </c>
      <c r="W228" s="179"/>
      <c r="X228" s="937" t="s">
        <v>653</v>
      </c>
      <c r="Y228" s="299">
        <f>IFERROR(VLOOKUP($X228,'Demand Lookups'!$A$5:$K$101,9,0), 0)</f>
        <v>0</v>
      </c>
      <c r="Z228" s="922" t="str">
        <f>IFERROR(VLOOKUP(X228,'Demand Lookups'!$A$5:$B$101,2,0),0)</f>
        <v>Non-Electric Measures</v>
      </c>
      <c r="AA228" s="722">
        <f>IF(ISNA(VLOOKUP($X228,'Demand Lookups'!$A$5:$K$81,3,0)),0,VLOOKUP($X228,'Demand Lookups'!$A$5:$K$81,3,0))</f>
        <v>0</v>
      </c>
      <c r="AB228" s="722">
        <f>IF(ISNA(VLOOKUP($X228,'Demand Lookups'!$A$5:$K$81,4,0)),0,VLOOKUP($X228,'Demand Lookups'!$A$5:$K$81,4,0))</f>
        <v>0</v>
      </c>
      <c r="AC228" s="722">
        <f>IF(ISNA(VLOOKUP($X228,'Demand Lookups'!$A$5:$K$81,5,0)),0,VLOOKUP($X228,'Demand Lookups'!$A$5:$K$81,5,0))</f>
        <v>0</v>
      </c>
      <c r="AD228" s="723">
        <f>IF(ISNA(VLOOKUP($X228,'Demand Lookups'!$A$5:$K$81,6,0)),0,VLOOKUP($X228,'Demand Lookups'!$A$5:$K$81,6,0))</f>
        <v>0</v>
      </c>
      <c r="AE228" s="724">
        <f t="shared" si="80"/>
        <v>0</v>
      </c>
      <c r="AF228" s="723">
        <f>ROUND(IF(ISNA(VLOOKUP($X228,'Demand Lookups'!$A$5:$K$82,10,0)),0,(VLOOKUP($X228,'Demand Lookups'!$A$5:$K$82,10,0))),2)</f>
        <v>0</v>
      </c>
      <c r="AG228" s="723">
        <f>ROUND(IF(ISNA(VLOOKUP($X228,'Demand Lookups'!$A$5:$K$82,11,0)),0,VLOOKUP($X228,'Demand Lookups'!$A$5:$K$82,11,0)),2)</f>
        <v>0</v>
      </c>
      <c r="AH228" s="648">
        <f t="shared" si="81"/>
        <v>0</v>
      </c>
      <c r="AI228" s="648">
        <f t="shared" si="82"/>
        <v>0</v>
      </c>
      <c r="AJ228" s="167" t="s">
        <v>406</v>
      </c>
      <c r="AK228" s="866">
        <v>23.1</v>
      </c>
      <c r="AL228" s="167"/>
      <c r="AM228" s="168"/>
      <c r="AN228" s="167"/>
      <c r="AO228" s="168"/>
      <c r="AP228" s="167"/>
      <c r="AQ228" s="171">
        <v>0</v>
      </c>
      <c r="AR228" s="171">
        <v>0</v>
      </c>
      <c r="AS228" s="299">
        <f>SUMIF('NEI Lookups'!$L:$L,'Inputs Yr 2'!$F228,'NEI Lookups'!E:E)+SUMIF('NEI Lookups'!$M:$M,'Inputs Yr 2'!$F228,'NEI Lookups'!E:E)+SUMIF('NEI Lookups'!$N:$N,'Inputs Yr 2'!$F228,'NEI Lookups'!E:E)+SUMIF('NEI Lookups'!$O:$O,'Inputs Yr 2'!$F228,'NEI Lookups'!E:E)+SUMIF('NEI Lookups'!$P:$P,'Inputs Yr 2'!$F228,'NEI Lookups'!E:E)+SUMIF('NEI Lookups'!$Q:$Q,'Inputs Yr 2'!$F228,'NEI Lookups'!E:E)+SUMIF('NEI Lookups'!$R:$R,'Inputs Yr 2'!$F228,'NEI Lookups'!E:E)+SUMIF('NEI Lookups'!$S:$S,'Inputs Yr 2'!$F228,'NEI Lookups'!E:E)+SUMIF('NEI Lookups'!$T:$T,'Inputs Yr 2'!$F228,'NEI Lookups'!E:E)</f>
        <v>0</v>
      </c>
      <c r="AT228" s="299">
        <f>SUMIF('NEI Lookups'!$L:$L,'Inputs Yr 2'!$F228,'NEI Lookups'!F:F)+SUMIF('NEI Lookups'!$M:$M,'Inputs Yr 2'!$F228,'NEI Lookups'!F:F)+SUMIF('NEI Lookups'!$N:$N,'Inputs Yr 2'!$F228,'NEI Lookups'!F:F)+SUMIF('NEI Lookups'!$O:$O,'Inputs Yr 2'!$F228,'NEI Lookups'!F:F)+SUMIF('NEI Lookups'!$P:$P,'Inputs Yr 2'!$F228,'NEI Lookups'!F:F)+SUMIF('NEI Lookups'!$Q:$Q,'Inputs Yr 2'!$F228,'NEI Lookups'!F:F)+SUMIF('NEI Lookups'!$R:$R,'Inputs Yr 2'!$F228,'NEI Lookups'!F:F)+SUMIF('NEI Lookups'!$S:$S,'Inputs Yr 2'!$F228,'NEI Lookups'!F:F)+SUMIF('NEI Lookups'!$T:$T,'Inputs Yr 2'!$F228,'NEI Lookups'!F:F)</f>
        <v>0</v>
      </c>
      <c r="AU228" s="299">
        <f>SUMIF('NEI Lookups'!$L:$L,'Inputs Yr 2'!$F228,'NEI Lookups'!G:G)+SUMIF('NEI Lookups'!$M:$M,'Inputs Yr 2'!$F228,'NEI Lookups'!G:G)+SUMIF('NEI Lookups'!$N:$N,'Inputs Yr 2'!$F228,'NEI Lookups'!G:G)+SUMIF('NEI Lookups'!$O:$O,'Inputs Yr 2'!$F228,'NEI Lookups'!G:G)+SUMIF('NEI Lookups'!$P:$P,'Inputs Yr 2'!$F228,'NEI Lookups'!G:G)+SUMIF('NEI Lookups'!$Q:$Q,'Inputs Yr 2'!$F228,'NEI Lookups'!G:G)+SUMIF('NEI Lookups'!$R:$R,'Inputs Yr 2'!$F228,'NEI Lookups'!G:G)+SUMIF('NEI Lookups'!$S:$S,'Inputs Yr 2'!$F228,'NEI Lookups'!G:G)+SUMIF('NEI Lookups'!$T:$T,'Inputs Yr 2'!$F228,'NEI Lookups'!G:G)</f>
        <v>0</v>
      </c>
      <c r="AV228" s="299">
        <f>SUMIF('NEI Lookups'!$L:$L,'Inputs Yr 2'!$F228,'NEI Lookups'!H:H)+SUMIF('NEI Lookups'!$M:$M,'Inputs Yr 2'!$F228,'NEI Lookups'!H:H)+SUMIF('NEI Lookups'!$N:$N,'Inputs Yr 2'!$F228,'NEI Lookups'!H:H)+SUMIF('NEI Lookups'!$O:$O,'Inputs Yr 2'!$F228,'NEI Lookups'!H:H)+SUMIF('NEI Lookups'!$P:$P,'Inputs Yr 2'!$F228,'NEI Lookups'!H:H)+SUMIF('NEI Lookups'!$Q:$Q,'Inputs Yr 2'!$F228,'NEI Lookups'!H:H)+SUMIF('NEI Lookups'!$R:$R,'Inputs Yr 2'!$F228,'NEI Lookups'!H:H)+SUMIF('NEI Lookups'!$S:$S,'Inputs Yr 2'!$F228,'NEI Lookups'!H:H)+SUMIF('NEI Lookups'!$T:$T,'Inputs Yr 2'!$F228,'NEI Lookups'!H:H)</f>
        <v>0</v>
      </c>
      <c r="AW228" s="299">
        <f>SUMIF('NEI Lookups'!$L:$L,'Inputs Yr 2'!$F228,'NEI Lookups'!I:I)+SUMIF('NEI Lookups'!$M:$M,'Inputs Yr 2'!$F228,'NEI Lookups'!I:I)+SUMIF('NEI Lookups'!$N:$N,'Inputs Yr 2'!$F228,'NEI Lookups'!I:I)+SUMIF('NEI Lookups'!$O:$O,'Inputs Yr 2'!$F228,'NEI Lookups'!I:I)+SUMIF('NEI Lookups'!$P:$P,'Inputs Yr 2'!$F228,'NEI Lookups'!I:I)+SUMIF('NEI Lookups'!$Q:$Q,'Inputs Yr 2'!$F228,'NEI Lookups'!I:I)+SUMIF('NEI Lookups'!$R:$R,'Inputs Yr 2'!$F228,'NEI Lookups'!I:I)+SUMIF('NEI Lookups'!$S:$S,'Inputs Yr 2'!$F228,'NEI Lookups'!I:I)+SUMIF('NEI Lookups'!$T:$T,'Inputs Yr 2'!$F228,'NEI Lookups'!I:I)</f>
        <v>0</v>
      </c>
      <c r="AX228" s="299">
        <f>SUMIF('NEI Lookups'!$L:$L,'Inputs Yr 2'!$F228,'NEI Lookups'!J:J)+SUMIF('NEI Lookups'!$M:$M,'Inputs Yr 2'!$F228,'NEI Lookups'!J:J)+SUMIF('NEI Lookups'!$N:$N,'Inputs Yr 2'!$F228,'NEI Lookups'!J:J)+SUMIF('NEI Lookups'!$O:$O,'Inputs Yr 2'!$F228,'NEI Lookups'!J:J)+SUMIF('NEI Lookups'!$P:$P,'Inputs Yr 2'!$F228,'NEI Lookups'!J:J)+SUMIF('NEI Lookups'!$Q:$Q,'Inputs Yr 2'!$F228,'NEI Lookups'!J:J)+SUMIF('NEI Lookups'!$R:$R,'Inputs Yr 2'!$F228,'NEI Lookups'!J:J)+SUMIF('NEI Lookups'!$S:$S,'Inputs Yr 2'!$F228,'NEI Lookups'!J:J)+SUMIF('NEI Lookups'!$T:$T,'Inputs Yr 2'!$F228,'NEI Lookups'!J:J)</f>
        <v>0</v>
      </c>
      <c r="AY228" s="930">
        <f>'Calculations Yr 2'!CP228/'Calculations Yr 2'!I228</f>
        <v>3.3119863187623291</v>
      </c>
    </row>
    <row r="229" spans="1:51" s="133" customFormat="1" ht="12.75" customHeight="1">
      <c r="A229" s="145" t="s">
        <v>83</v>
      </c>
      <c r="B229" s="132" t="s">
        <v>873</v>
      </c>
      <c r="C229" s="132" t="s">
        <v>908</v>
      </c>
      <c r="D229" s="906" t="s">
        <v>1562</v>
      </c>
      <c r="E229" s="98" t="s">
        <v>756</v>
      </c>
      <c r="F229" s="150" t="s">
        <v>1116</v>
      </c>
      <c r="G229" s="145" t="s">
        <v>1247</v>
      </c>
      <c r="H229" s="232">
        <v>1</v>
      </c>
      <c r="I229" s="234">
        <v>20</v>
      </c>
      <c r="J229" s="964">
        <v>1273</v>
      </c>
      <c r="K229" s="964">
        <v>1200</v>
      </c>
      <c r="L229" s="888">
        <f t="shared" si="58"/>
        <v>73</v>
      </c>
      <c r="M229" s="978">
        <v>0.30099999999999999</v>
      </c>
      <c r="N229" s="978">
        <v>0.14699999999999999</v>
      </c>
      <c r="O229" s="978">
        <v>0</v>
      </c>
      <c r="P229" s="889">
        <f t="shared" si="79"/>
        <v>0.84600000000000009</v>
      </c>
      <c r="Q229" s="978">
        <v>1</v>
      </c>
      <c r="R229" s="178">
        <v>1</v>
      </c>
      <c r="S229" s="178">
        <v>1</v>
      </c>
      <c r="T229" s="178">
        <v>1</v>
      </c>
      <c r="U229" s="978">
        <v>1</v>
      </c>
      <c r="V229" s="978">
        <v>1</v>
      </c>
      <c r="W229" s="179"/>
      <c r="X229" s="937" t="s">
        <v>653</v>
      </c>
      <c r="Y229" s="299">
        <f>IFERROR(VLOOKUP($X229,'Demand Lookups'!$A$5:$K$101,9,0), 0)</f>
        <v>0</v>
      </c>
      <c r="Z229" s="922" t="str">
        <f>IFERROR(VLOOKUP(X229,'Demand Lookups'!$A$5:$B$101,2,0),0)</f>
        <v>Non-Electric Measures</v>
      </c>
      <c r="AA229" s="722">
        <f>IF(ISNA(VLOOKUP($X229,'Demand Lookups'!$A$5:$K$81,3,0)),0,VLOOKUP($X229,'Demand Lookups'!$A$5:$K$81,3,0))</f>
        <v>0</v>
      </c>
      <c r="AB229" s="722">
        <f>IF(ISNA(VLOOKUP($X229,'Demand Lookups'!$A$5:$K$81,4,0)),0,VLOOKUP($X229,'Demand Lookups'!$A$5:$K$81,4,0))</f>
        <v>0</v>
      </c>
      <c r="AC229" s="722">
        <f>IF(ISNA(VLOOKUP($X229,'Demand Lookups'!$A$5:$K$81,5,0)),0,VLOOKUP($X229,'Demand Lookups'!$A$5:$K$81,5,0))</f>
        <v>0</v>
      </c>
      <c r="AD229" s="723">
        <f>IF(ISNA(VLOOKUP($X229,'Demand Lookups'!$A$5:$K$81,6,0)),0,VLOOKUP($X229,'Demand Lookups'!$A$5:$K$81,6,0))</f>
        <v>0</v>
      </c>
      <c r="AE229" s="724">
        <f t="shared" si="80"/>
        <v>0</v>
      </c>
      <c r="AF229" s="723">
        <f>ROUND(IF(ISNA(VLOOKUP($X229,'Demand Lookups'!$A$5:$K$82,10,0)),0,(VLOOKUP($X229,'Demand Lookups'!$A$5:$K$82,10,0))),2)</f>
        <v>0</v>
      </c>
      <c r="AG229" s="723">
        <f>ROUND(IF(ISNA(VLOOKUP($X229,'Demand Lookups'!$A$5:$K$82,11,0)),0,VLOOKUP($X229,'Demand Lookups'!$A$5:$K$82,11,0)),2)</f>
        <v>0</v>
      </c>
      <c r="AH229" s="648">
        <f t="shared" si="81"/>
        <v>0</v>
      </c>
      <c r="AI229" s="648">
        <f t="shared" si="82"/>
        <v>0</v>
      </c>
      <c r="AJ229" s="167" t="s">
        <v>87</v>
      </c>
      <c r="AK229" s="866">
        <v>24.6</v>
      </c>
      <c r="AL229" s="167"/>
      <c r="AM229" s="168"/>
      <c r="AN229" s="167"/>
      <c r="AO229" s="168"/>
      <c r="AP229" s="167"/>
      <c r="AQ229" s="171">
        <v>0</v>
      </c>
      <c r="AR229" s="171">
        <v>0</v>
      </c>
      <c r="AS229" s="299">
        <f>SUMIF('NEI Lookups'!$L:$L,'Inputs Yr 2'!$F229,'NEI Lookups'!E:E)+SUMIF('NEI Lookups'!$M:$M,'Inputs Yr 2'!$F229,'NEI Lookups'!E:E)+SUMIF('NEI Lookups'!$N:$N,'Inputs Yr 2'!$F229,'NEI Lookups'!E:E)+SUMIF('NEI Lookups'!$O:$O,'Inputs Yr 2'!$F229,'NEI Lookups'!E:E)+SUMIF('NEI Lookups'!$P:$P,'Inputs Yr 2'!$F229,'NEI Lookups'!E:E)+SUMIF('NEI Lookups'!$Q:$Q,'Inputs Yr 2'!$F229,'NEI Lookups'!E:E)+SUMIF('NEI Lookups'!$R:$R,'Inputs Yr 2'!$F229,'NEI Lookups'!E:E)+SUMIF('NEI Lookups'!$S:$S,'Inputs Yr 2'!$F229,'NEI Lookups'!E:E)+SUMIF('NEI Lookups'!$T:$T,'Inputs Yr 2'!$F229,'NEI Lookups'!E:E)</f>
        <v>0</v>
      </c>
      <c r="AT229" s="299">
        <f>SUMIF('NEI Lookups'!$L:$L,'Inputs Yr 2'!$F229,'NEI Lookups'!F:F)+SUMIF('NEI Lookups'!$M:$M,'Inputs Yr 2'!$F229,'NEI Lookups'!F:F)+SUMIF('NEI Lookups'!$N:$N,'Inputs Yr 2'!$F229,'NEI Lookups'!F:F)+SUMIF('NEI Lookups'!$O:$O,'Inputs Yr 2'!$F229,'NEI Lookups'!F:F)+SUMIF('NEI Lookups'!$P:$P,'Inputs Yr 2'!$F229,'NEI Lookups'!F:F)+SUMIF('NEI Lookups'!$Q:$Q,'Inputs Yr 2'!$F229,'NEI Lookups'!F:F)+SUMIF('NEI Lookups'!$R:$R,'Inputs Yr 2'!$F229,'NEI Lookups'!F:F)+SUMIF('NEI Lookups'!$S:$S,'Inputs Yr 2'!$F229,'NEI Lookups'!F:F)+SUMIF('NEI Lookups'!$T:$T,'Inputs Yr 2'!$F229,'NEI Lookups'!F:F)</f>
        <v>0</v>
      </c>
      <c r="AU229" s="299">
        <f>SUMIF('NEI Lookups'!$L:$L,'Inputs Yr 2'!$F229,'NEI Lookups'!G:G)+SUMIF('NEI Lookups'!$M:$M,'Inputs Yr 2'!$F229,'NEI Lookups'!G:G)+SUMIF('NEI Lookups'!$N:$N,'Inputs Yr 2'!$F229,'NEI Lookups'!G:G)+SUMIF('NEI Lookups'!$O:$O,'Inputs Yr 2'!$F229,'NEI Lookups'!G:G)+SUMIF('NEI Lookups'!$P:$P,'Inputs Yr 2'!$F229,'NEI Lookups'!G:G)+SUMIF('NEI Lookups'!$Q:$Q,'Inputs Yr 2'!$F229,'NEI Lookups'!G:G)+SUMIF('NEI Lookups'!$R:$R,'Inputs Yr 2'!$F229,'NEI Lookups'!G:G)+SUMIF('NEI Lookups'!$S:$S,'Inputs Yr 2'!$F229,'NEI Lookups'!G:G)+SUMIF('NEI Lookups'!$T:$T,'Inputs Yr 2'!$F229,'NEI Lookups'!G:G)</f>
        <v>0</v>
      </c>
      <c r="AV229" s="299">
        <f>SUMIF('NEI Lookups'!$L:$L,'Inputs Yr 2'!$F229,'NEI Lookups'!H:H)+SUMIF('NEI Lookups'!$M:$M,'Inputs Yr 2'!$F229,'NEI Lookups'!H:H)+SUMIF('NEI Lookups'!$N:$N,'Inputs Yr 2'!$F229,'NEI Lookups'!H:H)+SUMIF('NEI Lookups'!$O:$O,'Inputs Yr 2'!$F229,'NEI Lookups'!H:H)+SUMIF('NEI Lookups'!$P:$P,'Inputs Yr 2'!$F229,'NEI Lookups'!H:H)+SUMIF('NEI Lookups'!$Q:$Q,'Inputs Yr 2'!$F229,'NEI Lookups'!H:H)+SUMIF('NEI Lookups'!$R:$R,'Inputs Yr 2'!$F229,'NEI Lookups'!H:H)+SUMIF('NEI Lookups'!$S:$S,'Inputs Yr 2'!$F229,'NEI Lookups'!H:H)+SUMIF('NEI Lookups'!$T:$T,'Inputs Yr 2'!$F229,'NEI Lookups'!H:H)</f>
        <v>0</v>
      </c>
      <c r="AW229" s="299">
        <f>SUMIF('NEI Lookups'!$L:$L,'Inputs Yr 2'!$F229,'NEI Lookups'!I:I)+SUMIF('NEI Lookups'!$M:$M,'Inputs Yr 2'!$F229,'NEI Lookups'!I:I)+SUMIF('NEI Lookups'!$N:$N,'Inputs Yr 2'!$F229,'NEI Lookups'!I:I)+SUMIF('NEI Lookups'!$O:$O,'Inputs Yr 2'!$F229,'NEI Lookups'!I:I)+SUMIF('NEI Lookups'!$P:$P,'Inputs Yr 2'!$F229,'NEI Lookups'!I:I)+SUMIF('NEI Lookups'!$Q:$Q,'Inputs Yr 2'!$F229,'NEI Lookups'!I:I)+SUMIF('NEI Lookups'!$R:$R,'Inputs Yr 2'!$F229,'NEI Lookups'!I:I)+SUMIF('NEI Lookups'!$S:$S,'Inputs Yr 2'!$F229,'NEI Lookups'!I:I)+SUMIF('NEI Lookups'!$T:$T,'Inputs Yr 2'!$F229,'NEI Lookups'!I:I)</f>
        <v>0</v>
      </c>
      <c r="AX229" s="299">
        <f>SUMIF('NEI Lookups'!$L:$L,'Inputs Yr 2'!$F229,'NEI Lookups'!J:J)+SUMIF('NEI Lookups'!$M:$M,'Inputs Yr 2'!$F229,'NEI Lookups'!J:J)+SUMIF('NEI Lookups'!$N:$N,'Inputs Yr 2'!$F229,'NEI Lookups'!J:J)+SUMIF('NEI Lookups'!$O:$O,'Inputs Yr 2'!$F229,'NEI Lookups'!J:J)+SUMIF('NEI Lookups'!$P:$P,'Inputs Yr 2'!$F229,'NEI Lookups'!J:J)+SUMIF('NEI Lookups'!$Q:$Q,'Inputs Yr 2'!$F229,'NEI Lookups'!J:J)+SUMIF('NEI Lookups'!$R:$R,'Inputs Yr 2'!$F229,'NEI Lookups'!J:J)+SUMIF('NEI Lookups'!$S:$S,'Inputs Yr 2'!$F229,'NEI Lookups'!J:J)+SUMIF('NEI Lookups'!$T:$T,'Inputs Yr 2'!$F229,'NEI Lookups'!J:J)</f>
        <v>0</v>
      </c>
      <c r="AY229" s="930">
        <f>'Calculations Yr 2'!CP229/'Calculations Yr 2'!I229</f>
        <v>3.329648244217132</v>
      </c>
    </row>
    <row r="230" spans="1:51" s="133" customFormat="1" ht="15" customHeight="1">
      <c r="A230" s="145" t="s">
        <v>83</v>
      </c>
      <c r="B230" s="132" t="s">
        <v>873</v>
      </c>
      <c r="C230" s="132" t="s">
        <v>908</v>
      </c>
      <c r="D230" s="906" t="s">
        <v>1563</v>
      </c>
      <c r="E230" s="98" t="s">
        <v>757</v>
      </c>
      <c r="F230" s="150" t="s">
        <v>1117</v>
      </c>
      <c r="G230" s="145" t="s">
        <v>1247</v>
      </c>
      <c r="H230" s="232">
        <v>17</v>
      </c>
      <c r="I230" s="234">
        <v>20</v>
      </c>
      <c r="J230" s="964">
        <v>2910</v>
      </c>
      <c r="K230" s="964">
        <v>1600</v>
      </c>
      <c r="L230" s="888">
        <f t="shared" si="58"/>
        <v>1310</v>
      </c>
      <c r="M230" s="978">
        <v>0.30099999999999999</v>
      </c>
      <c r="N230" s="978">
        <v>0.14699999999999999</v>
      </c>
      <c r="O230" s="978">
        <v>0</v>
      </c>
      <c r="P230" s="889">
        <f t="shared" si="79"/>
        <v>0.84600000000000009</v>
      </c>
      <c r="Q230" s="978">
        <v>1</v>
      </c>
      <c r="R230" s="178">
        <v>1</v>
      </c>
      <c r="S230" s="178">
        <v>1</v>
      </c>
      <c r="T230" s="178">
        <v>1</v>
      </c>
      <c r="U230" s="978">
        <v>1</v>
      </c>
      <c r="V230" s="978">
        <v>1</v>
      </c>
      <c r="W230" s="179"/>
      <c r="X230" s="937" t="s">
        <v>653</v>
      </c>
      <c r="Y230" s="299">
        <f>IFERROR(VLOOKUP($X230,'Demand Lookups'!$A$5:$K$101,9,0), 0)</f>
        <v>0</v>
      </c>
      <c r="Z230" s="922" t="str">
        <f>IFERROR(VLOOKUP(X230,'Demand Lookups'!$A$5:$B$101,2,0),0)</f>
        <v>Non-Electric Measures</v>
      </c>
      <c r="AA230" s="722">
        <f>IF(ISNA(VLOOKUP($X230,'Demand Lookups'!$A$5:$K$81,3,0)),0,VLOOKUP($X230,'Demand Lookups'!$A$5:$K$81,3,0))</f>
        <v>0</v>
      </c>
      <c r="AB230" s="722">
        <f>IF(ISNA(VLOOKUP($X230,'Demand Lookups'!$A$5:$K$81,4,0)),0,VLOOKUP($X230,'Demand Lookups'!$A$5:$K$81,4,0))</f>
        <v>0</v>
      </c>
      <c r="AC230" s="722">
        <f>IF(ISNA(VLOOKUP($X230,'Demand Lookups'!$A$5:$K$81,5,0)),0,VLOOKUP($X230,'Demand Lookups'!$A$5:$K$81,5,0))</f>
        <v>0</v>
      </c>
      <c r="AD230" s="723">
        <f>IF(ISNA(VLOOKUP($X230,'Demand Lookups'!$A$5:$K$81,6,0)),0,VLOOKUP($X230,'Demand Lookups'!$A$5:$K$81,6,0))</f>
        <v>0</v>
      </c>
      <c r="AE230" s="724">
        <f t="shared" si="80"/>
        <v>0</v>
      </c>
      <c r="AF230" s="723">
        <f>ROUND(IF(ISNA(VLOOKUP($X230,'Demand Lookups'!$A$5:$K$82,10,0)),0,(VLOOKUP($X230,'Demand Lookups'!$A$5:$K$82,10,0))),2)</f>
        <v>0</v>
      </c>
      <c r="AG230" s="723">
        <f>ROUND(IF(ISNA(VLOOKUP($X230,'Demand Lookups'!$A$5:$K$82,11,0)),0,VLOOKUP($X230,'Demand Lookups'!$A$5:$K$82,11,0)),2)</f>
        <v>0</v>
      </c>
      <c r="AH230" s="648">
        <f t="shared" si="81"/>
        <v>0</v>
      </c>
      <c r="AI230" s="648">
        <f t="shared" si="82"/>
        <v>0</v>
      </c>
      <c r="AJ230" s="167" t="s">
        <v>87</v>
      </c>
      <c r="AK230" s="866">
        <v>30.499999999999989</v>
      </c>
      <c r="AL230" s="167"/>
      <c r="AM230" s="168"/>
      <c r="AN230" s="167"/>
      <c r="AO230" s="168"/>
      <c r="AP230" s="167"/>
      <c r="AQ230" s="171">
        <v>0</v>
      </c>
      <c r="AR230" s="171">
        <v>0</v>
      </c>
      <c r="AS230" s="299">
        <f>SUMIF('NEI Lookups'!$L:$L,'Inputs Yr 2'!$F230,'NEI Lookups'!E:E)+SUMIF('NEI Lookups'!$M:$M,'Inputs Yr 2'!$F230,'NEI Lookups'!E:E)+SUMIF('NEI Lookups'!$N:$N,'Inputs Yr 2'!$F230,'NEI Lookups'!E:E)+SUMIF('NEI Lookups'!$O:$O,'Inputs Yr 2'!$F230,'NEI Lookups'!E:E)+SUMIF('NEI Lookups'!$P:$P,'Inputs Yr 2'!$F230,'NEI Lookups'!E:E)+SUMIF('NEI Lookups'!$Q:$Q,'Inputs Yr 2'!$F230,'NEI Lookups'!E:E)+SUMIF('NEI Lookups'!$R:$R,'Inputs Yr 2'!$F230,'NEI Lookups'!E:E)+SUMIF('NEI Lookups'!$S:$S,'Inputs Yr 2'!$F230,'NEI Lookups'!E:E)+SUMIF('NEI Lookups'!$T:$T,'Inputs Yr 2'!$F230,'NEI Lookups'!E:E)</f>
        <v>0</v>
      </c>
      <c r="AT230" s="299">
        <f>SUMIF('NEI Lookups'!$L:$L,'Inputs Yr 2'!$F230,'NEI Lookups'!F:F)+SUMIF('NEI Lookups'!$M:$M,'Inputs Yr 2'!$F230,'NEI Lookups'!F:F)+SUMIF('NEI Lookups'!$N:$N,'Inputs Yr 2'!$F230,'NEI Lookups'!F:F)+SUMIF('NEI Lookups'!$O:$O,'Inputs Yr 2'!$F230,'NEI Lookups'!F:F)+SUMIF('NEI Lookups'!$P:$P,'Inputs Yr 2'!$F230,'NEI Lookups'!F:F)+SUMIF('NEI Lookups'!$Q:$Q,'Inputs Yr 2'!$F230,'NEI Lookups'!F:F)+SUMIF('NEI Lookups'!$R:$R,'Inputs Yr 2'!$F230,'NEI Lookups'!F:F)+SUMIF('NEI Lookups'!$S:$S,'Inputs Yr 2'!$F230,'NEI Lookups'!F:F)+SUMIF('NEI Lookups'!$T:$T,'Inputs Yr 2'!$F230,'NEI Lookups'!F:F)</f>
        <v>0</v>
      </c>
      <c r="AU230" s="299">
        <f>SUMIF('NEI Lookups'!$L:$L,'Inputs Yr 2'!$F230,'NEI Lookups'!G:G)+SUMIF('NEI Lookups'!$M:$M,'Inputs Yr 2'!$F230,'NEI Lookups'!G:G)+SUMIF('NEI Lookups'!$N:$N,'Inputs Yr 2'!$F230,'NEI Lookups'!G:G)+SUMIF('NEI Lookups'!$O:$O,'Inputs Yr 2'!$F230,'NEI Lookups'!G:G)+SUMIF('NEI Lookups'!$P:$P,'Inputs Yr 2'!$F230,'NEI Lookups'!G:G)+SUMIF('NEI Lookups'!$Q:$Q,'Inputs Yr 2'!$F230,'NEI Lookups'!G:G)+SUMIF('NEI Lookups'!$R:$R,'Inputs Yr 2'!$F230,'NEI Lookups'!G:G)+SUMIF('NEI Lookups'!$S:$S,'Inputs Yr 2'!$F230,'NEI Lookups'!G:G)+SUMIF('NEI Lookups'!$T:$T,'Inputs Yr 2'!$F230,'NEI Lookups'!G:G)</f>
        <v>0</v>
      </c>
      <c r="AV230" s="299">
        <f>SUMIF('NEI Lookups'!$L:$L,'Inputs Yr 2'!$F230,'NEI Lookups'!H:H)+SUMIF('NEI Lookups'!$M:$M,'Inputs Yr 2'!$F230,'NEI Lookups'!H:H)+SUMIF('NEI Lookups'!$N:$N,'Inputs Yr 2'!$F230,'NEI Lookups'!H:H)+SUMIF('NEI Lookups'!$O:$O,'Inputs Yr 2'!$F230,'NEI Lookups'!H:H)+SUMIF('NEI Lookups'!$P:$P,'Inputs Yr 2'!$F230,'NEI Lookups'!H:H)+SUMIF('NEI Lookups'!$Q:$Q,'Inputs Yr 2'!$F230,'NEI Lookups'!H:H)+SUMIF('NEI Lookups'!$R:$R,'Inputs Yr 2'!$F230,'NEI Lookups'!H:H)+SUMIF('NEI Lookups'!$S:$S,'Inputs Yr 2'!$F230,'NEI Lookups'!H:H)+SUMIF('NEI Lookups'!$T:$T,'Inputs Yr 2'!$F230,'NEI Lookups'!H:H)</f>
        <v>0</v>
      </c>
      <c r="AW230" s="299">
        <f>SUMIF('NEI Lookups'!$L:$L,'Inputs Yr 2'!$F230,'NEI Lookups'!I:I)+SUMIF('NEI Lookups'!$M:$M,'Inputs Yr 2'!$F230,'NEI Lookups'!I:I)+SUMIF('NEI Lookups'!$N:$N,'Inputs Yr 2'!$F230,'NEI Lookups'!I:I)+SUMIF('NEI Lookups'!$O:$O,'Inputs Yr 2'!$F230,'NEI Lookups'!I:I)+SUMIF('NEI Lookups'!$P:$P,'Inputs Yr 2'!$F230,'NEI Lookups'!I:I)+SUMIF('NEI Lookups'!$Q:$Q,'Inputs Yr 2'!$F230,'NEI Lookups'!I:I)+SUMIF('NEI Lookups'!$R:$R,'Inputs Yr 2'!$F230,'NEI Lookups'!I:I)+SUMIF('NEI Lookups'!$S:$S,'Inputs Yr 2'!$F230,'NEI Lookups'!I:I)+SUMIF('NEI Lookups'!$T:$T,'Inputs Yr 2'!$F230,'NEI Lookups'!I:I)</f>
        <v>0</v>
      </c>
      <c r="AX230" s="299">
        <f>SUMIF('NEI Lookups'!$L:$L,'Inputs Yr 2'!$F230,'NEI Lookups'!J:J)+SUMIF('NEI Lookups'!$M:$M,'Inputs Yr 2'!$F230,'NEI Lookups'!J:J)+SUMIF('NEI Lookups'!$N:$N,'Inputs Yr 2'!$F230,'NEI Lookups'!J:J)+SUMIF('NEI Lookups'!$O:$O,'Inputs Yr 2'!$F230,'NEI Lookups'!J:J)+SUMIF('NEI Lookups'!$P:$P,'Inputs Yr 2'!$F230,'NEI Lookups'!J:J)+SUMIF('NEI Lookups'!$Q:$Q,'Inputs Yr 2'!$F230,'NEI Lookups'!J:J)+SUMIF('NEI Lookups'!$R:$R,'Inputs Yr 2'!$F230,'NEI Lookups'!J:J)+SUMIF('NEI Lookups'!$S:$S,'Inputs Yr 2'!$F230,'NEI Lookups'!J:J)+SUMIF('NEI Lookups'!$T:$T,'Inputs Yr 2'!$F230,'NEI Lookups'!J:J)</f>
        <v>0</v>
      </c>
      <c r="AY230" s="930">
        <f>'Calculations Yr 2'!CP230/'Calculations Yr 2'!I230</f>
        <v>1.8059199781255608</v>
      </c>
    </row>
    <row r="231" spans="1:51" s="133" customFormat="1" ht="13.5" customHeight="1">
      <c r="A231" s="145" t="s">
        <v>83</v>
      </c>
      <c r="B231" s="132" t="s">
        <v>873</v>
      </c>
      <c r="C231" s="132" t="s">
        <v>908</v>
      </c>
      <c r="D231" s="906" t="s">
        <v>1564</v>
      </c>
      <c r="E231" s="98" t="s">
        <v>1269</v>
      </c>
      <c r="F231" s="150" t="s">
        <v>1271</v>
      </c>
      <c r="G231" s="145" t="s">
        <v>89</v>
      </c>
      <c r="H231" s="232">
        <v>2698</v>
      </c>
      <c r="I231" s="234">
        <v>15</v>
      </c>
      <c r="J231" s="965">
        <v>1.5</v>
      </c>
      <c r="K231" s="965">
        <v>1.01</v>
      </c>
      <c r="L231" s="888">
        <f t="shared" si="58"/>
        <v>0.49</v>
      </c>
      <c r="M231" s="978">
        <v>0.30099999999999999</v>
      </c>
      <c r="N231" s="978">
        <v>0.14699999999999999</v>
      </c>
      <c r="O231" s="978">
        <v>0</v>
      </c>
      <c r="P231" s="889">
        <f t="shared" ref="P231:P232" si="83">1-M231+N231+O231</f>
        <v>0.84600000000000009</v>
      </c>
      <c r="Q231" s="978">
        <v>1</v>
      </c>
      <c r="R231" s="178">
        <v>1</v>
      </c>
      <c r="S231" s="178">
        <v>1</v>
      </c>
      <c r="T231" s="178">
        <v>1</v>
      </c>
      <c r="U231" s="978">
        <v>1</v>
      </c>
      <c r="V231" s="978">
        <v>1</v>
      </c>
      <c r="W231" s="179"/>
      <c r="X231" s="937" t="s">
        <v>653</v>
      </c>
      <c r="Y231" s="299">
        <f>IFERROR(VLOOKUP($X231,'Demand Lookups'!$A$5:$K$101,9,0), 0)</f>
        <v>0</v>
      </c>
      <c r="Z231" s="922" t="str">
        <f>IFERROR(VLOOKUP(X231,'Demand Lookups'!$A$5:$B$101,2,0),0)</f>
        <v>Non-Electric Measures</v>
      </c>
      <c r="AA231" s="722">
        <f>IF(ISNA(VLOOKUP($X231,'Demand Lookups'!$A$5:$K$81,3,0)),0,VLOOKUP($X231,'Demand Lookups'!$A$5:$K$81,3,0))</f>
        <v>0</v>
      </c>
      <c r="AB231" s="722">
        <f>IF(ISNA(VLOOKUP($X231,'Demand Lookups'!$A$5:$K$81,4,0)),0,VLOOKUP($X231,'Demand Lookups'!$A$5:$K$81,4,0))</f>
        <v>0</v>
      </c>
      <c r="AC231" s="722">
        <f>IF(ISNA(VLOOKUP($X231,'Demand Lookups'!$A$5:$K$81,5,0)),0,VLOOKUP($X231,'Demand Lookups'!$A$5:$K$81,5,0))</f>
        <v>0</v>
      </c>
      <c r="AD231" s="723">
        <f>IF(ISNA(VLOOKUP($X231,'Demand Lookups'!$A$5:$K$81,6,0)),0,VLOOKUP($X231,'Demand Lookups'!$A$5:$K$81,6,0))</f>
        <v>0</v>
      </c>
      <c r="AE231" s="724">
        <f t="shared" ref="AE231:AE232" si="84">IF(ISERROR(W231*Y231),"",W231*Y231)</f>
        <v>0</v>
      </c>
      <c r="AF231" s="723">
        <f>ROUND(IF(ISNA(VLOOKUP($X231,'Demand Lookups'!$A$5:$K$82,10,0)),0,(VLOOKUP($X231,'Demand Lookups'!$A$5:$K$82,10,0))),2)</f>
        <v>0</v>
      </c>
      <c r="AG231" s="723">
        <f>ROUND(IF(ISNA(VLOOKUP($X231,'Demand Lookups'!$A$5:$K$82,11,0)),0,VLOOKUP($X231,'Demand Lookups'!$A$5:$K$82,11,0)),2)</f>
        <v>0</v>
      </c>
      <c r="AH231" s="648">
        <f t="shared" ref="AH231:AH232" si="85">AF231</f>
        <v>0</v>
      </c>
      <c r="AI231" s="648">
        <f t="shared" ref="AI231:AI232" si="86">AF231</f>
        <v>0</v>
      </c>
      <c r="AJ231" s="167" t="s">
        <v>406</v>
      </c>
      <c r="AK231" s="866">
        <v>0.19449999111253305</v>
      </c>
      <c r="AL231" s="167"/>
      <c r="AM231" s="168"/>
      <c r="AN231" s="167"/>
      <c r="AO231" s="168"/>
      <c r="AP231" s="167"/>
      <c r="AQ231" s="171">
        <v>0</v>
      </c>
      <c r="AR231" s="171">
        <v>0</v>
      </c>
      <c r="AS231" s="299">
        <f>SUMIF('NEI Lookups'!$L:$L,'Inputs Yr 2'!$F231,'NEI Lookups'!E:E)+SUMIF('NEI Lookups'!$M:$M,'Inputs Yr 2'!$F231,'NEI Lookups'!E:E)+SUMIF('NEI Lookups'!$N:$N,'Inputs Yr 2'!$F231,'NEI Lookups'!E:E)+SUMIF('NEI Lookups'!$O:$O,'Inputs Yr 2'!$F231,'NEI Lookups'!E:E)+SUMIF('NEI Lookups'!$P:$P,'Inputs Yr 2'!$F231,'NEI Lookups'!E:E)+SUMIF('NEI Lookups'!$Q:$Q,'Inputs Yr 2'!$F231,'NEI Lookups'!E:E)+SUMIF('NEI Lookups'!$R:$R,'Inputs Yr 2'!$F231,'NEI Lookups'!E:E)+SUMIF('NEI Lookups'!$S:$S,'Inputs Yr 2'!$F231,'NEI Lookups'!E:E)+SUMIF('NEI Lookups'!$T:$T,'Inputs Yr 2'!$F231,'NEI Lookups'!E:E)</f>
        <v>0</v>
      </c>
      <c r="AT231" s="299">
        <f>SUMIF('NEI Lookups'!$L:$L,'Inputs Yr 2'!$F231,'NEI Lookups'!F:F)+SUMIF('NEI Lookups'!$M:$M,'Inputs Yr 2'!$F231,'NEI Lookups'!F:F)+SUMIF('NEI Lookups'!$N:$N,'Inputs Yr 2'!$F231,'NEI Lookups'!F:F)+SUMIF('NEI Lookups'!$O:$O,'Inputs Yr 2'!$F231,'NEI Lookups'!F:F)+SUMIF('NEI Lookups'!$P:$P,'Inputs Yr 2'!$F231,'NEI Lookups'!F:F)+SUMIF('NEI Lookups'!$Q:$Q,'Inputs Yr 2'!$F231,'NEI Lookups'!F:F)+SUMIF('NEI Lookups'!$R:$R,'Inputs Yr 2'!$F231,'NEI Lookups'!F:F)+SUMIF('NEI Lookups'!$S:$S,'Inputs Yr 2'!$F231,'NEI Lookups'!F:F)+SUMIF('NEI Lookups'!$T:$T,'Inputs Yr 2'!$F231,'NEI Lookups'!F:F)</f>
        <v>0</v>
      </c>
      <c r="AU231" s="299">
        <f>SUMIF('NEI Lookups'!$L:$L,'Inputs Yr 2'!$F231,'NEI Lookups'!G:G)+SUMIF('NEI Lookups'!$M:$M,'Inputs Yr 2'!$F231,'NEI Lookups'!G:G)+SUMIF('NEI Lookups'!$N:$N,'Inputs Yr 2'!$F231,'NEI Lookups'!G:G)+SUMIF('NEI Lookups'!$O:$O,'Inputs Yr 2'!$F231,'NEI Lookups'!G:G)+SUMIF('NEI Lookups'!$P:$P,'Inputs Yr 2'!$F231,'NEI Lookups'!G:G)+SUMIF('NEI Lookups'!$Q:$Q,'Inputs Yr 2'!$F231,'NEI Lookups'!G:G)+SUMIF('NEI Lookups'!$R:$R,'Inputs Yr 2'!$F231,'NEI Lookups'!G:G)+SUMIF('NEI Lookups'!$S:$S,'Inputs Yr 2'!$F231,'NEI Lookups'!G:G)+SUMIF('NEI Lookups'!$T:$T,'Inputs Yr 2'!$F231,'NEI Lookups'!G:G)</f>
        <v>0</v>
      </c>
      <c r="AV231" s="299">
        <f>SUMIF('NEI Lookups'!$L:$L,'Inputs Yr 2'!$F231,'NEI Lookups'!H:H)+SUMIF('NEI Lookups'!$M:$M,'Inputs Yr 2'!$F231,'NEI Lookups'!H:H)+SUMIF('NEI Lookups'!$N:$N,'Inputs Yr 2'!$F231,'NEI Lookups'!H:H)+SUMIF('NEI Lookups'!$O:$O,'Inputs Yr 2'!$F231,'NEI Lookups'!H:H)+SUMIF('NEI Lookups'!$P:$P,'Inputs Yr 2'!$F231,'NEI Lookups'!H:H)+SUMIF('NEI Lookups'!$Q:$Q,'Inputs Yr 2'!$F231,'NEI Lookups'!H:H)+SUMIF('NEI Lookups'!$R:$R,'Inputs Yr 2'!$F231,'NEI Lookups'!H:H)+SUMIF('NEI Lookups'!$S:$S,'Inputs Yr 2'!$F231,'NEI Lookups'!H:H)+SUMIF('NEI Lookups'!$T:$T,'Inputs Yr 2'!$F231,'NEI Lookups'!H:H)</f>
        <v>0</v>
      </c>
      <c r="AW231" s="299">
        <f>SUMIF('NEI Lookups'!$L:$L,'Inputs Yr 2'!$F231,'NEI Lookups'!I:I)+SUMIF('NEI Lookups'!$M:$M,'Inputs Yr 2'!$F231,'NEI Lookups'!I:I)+SUMIF('NEI Lookups'!$N:$N,'Inputs Yr 2'!$F231,'NEI Lookups'!I:I)+SUMIF('NEI Lookups'!$O:$O,'Inputs Yr 2'!$F231,'NEI Lookups'!I:I)+SUMIF('NEI Lookups'!$P:$P,'Inputs Yr 2'!$F231,'NEI Lookups'!I:I)+SUMIF('NEI Lookups'!$Q:$Q,'Inputs Yr 2'!$F231,'NEI Lookups'!I:I)+SUMIF('NEI Lookups'!$R:$R,'Inputs Yr 2'!$F231,'NEI Lookups'!I:I)+SUMIF('NEI Lookups'!$S:$S,'Inputs Yr 2'!$F231,'NEI Lookups'!I:I)+SUMIF('NEI Lookups'!$T:$T,'Inputs Yr 2'!$F231,'NEI Lookups'!I:I)</f>
        <v>0</v>
      </c>
      <c r="AX231" s="299">
        <f>SUMIF('NEI Lookups'!$L:$L,'Inputs Yr 2'!$F231,'NEI Lookups'!J:J)+SUMIF('NEI Lookups'!$M:$M,'Inputs Yr 2'!$F231,'NEI Lookups'!J:J)+SUMIF('NEI Lookups'!$N:$N,'Inputs Yr 2'!$F231,'NEI Lookups'!J:J)+SUMIF('NEI Lookups'!$O:$O,'Inputs Yr 2'!$F231,'NEI Lookups'!J:J)+SUMIF('NEI Lookups'!$P:$P,'Inputs Yr 2'!$F231,'NEI Lookups'!J:J)+SUMIF('NEI Lookups'!$Q:$Q,'Inputs Yr 2'!$F231,'NEI Lookups'!J:J)+SUMIF('NEI Lookups'!$R:$R,'Inputs Yr 2'!$F231,'NEI Lookups'!J:J)+SUMIF('NEI Lookups'!$S:$S,'Inputs Yr 2'!$F231,'NEI Lookups'!J:J)+SUMIF('NEI Lookups'!$T:$T,'Inputs Yr 2'!$F231,'NEI Lookups'!J:J)</f>
        <v>0</v>
      </c>
      <c r="AY231" s="930">
        <f>'Calculations Yr 2'!CP231/'Calculations Yr 2'!I231</f>
        <v>14.971033909546369</v>
      </c>
    </row>
    <row r="232" spans="1:51" s="133" customFormat="1" ht="13.5" customHeight="1">
      <c r="A232" s="145" t="s">
        <v>83</v>
      </c>
      <c r="B232" s="132" t="s">
        <v>873</v>
      </c>
      <c r="C232" s="132" t="s">
        <v>908</v>
      </c>
      <c r="D232" s="906" t="s">
        <v>1564</v>
      </c>
      <c r="E232" s="98" t="s">
        <v>1270</v>
      </c>
      <c r="F232" s="150" t="s">
        <v>1272</v>
      </c>
      <c r="G232" s="145" t="s">
        <v>89</v>
      </c>
      <c r="H232" s="232">
        <v>87316</v>
      </c>
      <c r="I232" s="234">
        <v>15</v>
      </c>
      <c r="J232" s="964">
        <v>8</v>
      </c>
      <c r="K232" s="964">
        <v>6.66</v>
      </c>
      <c r="L232" s="888">
        <f t="shared" si="58"/>
        <v>1.3399999999999999</v>
      </c>
      <c r="M232" s="978">
        <v>0.30099999999999999</v>
      </c>
      <c r="N232" s="978">
        <v>0.14699999999999999</v>
      </c>
      <c r="O232" s="978">
        <v>0</v>
      </c>
      <c r="P232" s="889">
        <f t="shared" si="83"/>
        <v>0.84600000000000009</v>
      </c>
      <c r="Q232" s="978">
        <v>1</v>
      </c>
      <c r="R232" s="178">
        <v>1</v>
      </c>
      <c r="S232" s="178">
        <v>1</v>
      </c>
      <c r="T232" s="178">
        <v>1</v>
      </c>
      <c r="U232" s="978">
        <v>1</v>
      </c>
      <c r="V232" s="978">
        <v>1</v>
      </c>
      <c r="W232" s="179"/>
      <c r="X232" s="937" t="s">
        <v>653</v>
      </c>
      <c r="Y232" s="299">
        <f>IFERROR(VLOOKUP($X232,'Demand Lookups'!$A$5:$K$101,9,0), 0)</f>
        <v>0</v>
      </c>
      <c r="Z232" s="922" t="str">
        <f>IFERROR(VLOOKUP(X232,'Demand Lookups'!$A$5:$B$101,2,0),0)</f>
        <v>Non-Electric Measures</v>
      </c>
      <c r="AA232" s="722">
        <f>IF(ISNA(VLOOKUP($X232,'Demand Lookups'!$A$5:$K$81,3,0)),0,VLOOKUP($X232,'Demand Lookups'!$A$5:$K$81,3,0))</f>
        <v>0</v>
      </c>
      <c r="AB232" s="722">
        <f>IF(ISNA(VLOOKUP($X232,'Demand Lookups'!$A$5:$K$81,4,0)),0,VLOOKUP($X232,'Demand Lookups'!$A$5:$K$81,4,0))</f>
        <v>0</v>
      </c>
      <c r="AC232" s="722">
        <f>IF(ISNA(VLOOKUP($X232,'Demand Lookups'!$A$5:$K$81,5,0)),0,VLOOKUP($X232,'Demand Lookups'!$A$5:$K$81,5,0))</f>
        <v>0</v>
      </c>
      <c r="AD232" s="723">
        <f>IF(ISNA(VLOOKUP($X232,'Demand Lookups'!$A$5:$K$81,6,0)),0,VLOOKUP($X232,'Demand Lookups'!$A$5:$K$81,6,0))</f>
        <v>0</v>
      </c>
      <c r="AE232" s="724">
        <f t="shared" si="84"/>
        <v>0</v>
      </c>
      <c r="AF232" s="723">
        <f>ROUND(IF(ISNA(VLOOKUP($X232,'Demand Lookups'!$A$5:$K$82,10,0)),0,(VLOOKUP($X232,'Demand Lookups'!$A$5:$K$82,10,0))),2)</f>
        <v>0</v>
      </c>
      <c r="AG232" s="723">
        <f>ROUND(IF(ISNA(VLOOKUP($X232,'Demand Lookups'!$A$5:$K$82,11,0)),0,VLOOKUP($X232,'Demand Lookups'!$A$5:$K$82,11,0)),2)</f>
        <v>0</v>
      </c>
      <c r="AH232" s="648">
        <f t="shared" si="85"/>
        <v>0</v>
      </c>
      <c r="AI232" s="648">
        <f t="shared" si="86"/>
        <v>0</v>
      </c>
      <c r="AJ232" s="167" t="s">
        <v>406</v>
      </c>
      <c r="AK232" s="866">
        <v>0.46680000130904381</v>
      </c>
      <c r="AL232" s="167"/>
      <c r="AM232" s="168"/>
      <c r="AN232" s="167"/>
      <c r="AO232" s="168"/>
      <c r="AP232" s="167"/>
      <c r="AQ232" s="171">
        <v>0</v>
      </c>
      <c r="AR232" s="171">
        <v>0</v>
      </c>
      <c r="AS232" s="299">
        <f>SUMIF('NEI Lookups'!$L:$L,'Inputs Yr 2'!$F232,'NEI Lookups'!E:E)+SUMIF('NEI Lookups'!$M:$M,'Inputs Yr 2'!$F232,'NEI Lookups'!E:E)+SUMIF('NEI Lookups'!$N:$N,'Inputs Yr 2'!$F232,'NEI Lookups'!E:E)+SUMIF('NEI Lookups'!$O:$O,'Inputs Yr 2'!$F232,'NEI Lookups'!E:E)+SUMIF('NEI Lookups'!$P:$P,'Inputs Yr 2'!$F232,'NEI Lookups'!E:E)+SUMIF('NEI Lookups'!$Q:$Q,'Inputs Yr 2'!$F232,'NEI Lookups'!E:E)+SUMIF('NEI Lookups'!$R:$R,'Inputs Yr 2'!$F232,'NEI Lookups'!E:E)+SUMIF('NEI Lookups'!$S:$S,'Inputs Yr 2'!$F232,'NEI Lookups'!E:E)+SUMIF('NEI Lookups'!$T:$T,'Inputs Yr 2'!$F232,'NEI Lookups'!E:E)</f>
        <v>0</v>
      </c>
      <c r="AT232" s="299">
        <f>SUMIF('NEI Lookups'!$L:$L,'Inputs Yr 2'!$F232,'NEI Lookups'!F:F)+SUMIF('NEI Lookups'!$M:$M,'Inputs Yr 2'!$F232,'NEI Lookups'!F:F)+SUMIF('NEI Lookups'!$N:$N,'Inputs Yr 2'!$F232,'NEI Lookups'!F:F)+SUMIF('NEI Lookups'!$O:$O,'Inputs Yr 2'!$F232,'NEI Lookups'!F:F)+SUMIF('NEI Lookups'!$P:$P,'Inputs Yr 2'!$F232,'NEI Lookups'!F:F)+SUMIF('NEI Lookups'!$Q:$Q,'Inputs Yr 2'!$F232,'NEI Lookups'!F:F)+SUMIF('NEI Lookups'!$R:$R,'Inputs Yr 2'!$F232,'NEI Lookups'!F:F)+SUMIF('NEI Lookups'!$S:$S,'Inputs Yr 2'!$F232,'NEI Lookups'!F:F)+SUMIF('NEI Lookups'!$T:$T,'Inputs Yr 2'!$F232,'NEI Lookups'!F:F)</f>
        <v>0</v>
      </c>
      <c r="AU232" s="299">
        <f>SUMIF('NEI Lookups'!$L:$L,'Inputs Yr 2'!$F232,'NEI Lookups'!G:G)+SUMIF('NEI Lookups'!$M:$M,'Inputs Yr 2'!$F232,'NEI Lookups'!G:G)+SUMIF('NEI Lookups'!$N:$N,'Inputs Yr 2'!$F232,'NEI Lookups'!G:G)+SUMIF('NEI Lookups'!$O:$O,'Inputs Yr 2'!$F232,'NEI Lookups'!G:G)+SUMIF('NEI Lookups'!$P:$P,'Inputs Yr 2'!$F232,'NEI Lookups'!G:G)+SUMIF('NEI Lookups'!$Q:$Q,'Inputs Yr 2'!$F232,'NEI Lookups'!G:G)+SUMIF('NEI Lookups'!$R:$R,'Inputs Yr 2'!$F232,'NEI Lookups'!G:G)+SUMIF('NEI Lookups'!$S:$S,'Inputs Yr 2'!$F232,'NEI Lookups'!G:G)+SUMIF('NEI Lookups'!$T:$T,'Inputs Yr 2'!$F232,'NEI Lookups'!G:G)</f>
        <v>0</v>
      </c>
      <c r="AV232" s="299">
        <f>SUMIF('NEI Lookups'!$L:$L,'Inputs Yr 2'!$F232,'NEI Lookups'!H:H)+SUMIF('NEI Lookups'!$M:$M,'Inputs Yr 2'!$F232,'NEI Lookups'!H:H)+SUMIF('NEI Lookups'!$N:$N,'Inputs Yr 2'!$F232,'NEI Lookups'!H:H)+SUMIF('NEI Lookups'!$O:$O,'Inputs Yr 2'!$F232,'NEI Lookups'!H:H)+SUMIF('NEI Lookups'!$P:$P,'Inputs Yr 2'!$F232,'NEI Lookups'!H:H)+SUMIF('NEI Lookups'!$Q:$Q,'Inputs Yr 2'!$F232,'NEI Lookups'!H:H)+SUMIF('NEI Lookups'!$R:$R,'Inputs Yr 2'!$F232,'NEI Lookups'!H:H)+SUMIF('NEI Lookups'!$S:$S,'Inputs Yr 2'!$F232,'NEI Lookups'!H:H)+SUMIF('NEI Lookups'!$T:$T,'Inputs Yr 2'!$F232,'NEI Lookups'!H:H)</f>
        <v>0</v>
      </c>
      <c r="AW232" s="299">
        <f>SUMIF('NEI Lookups'!$L:$L,'Inputs Yr 2'!$F232,'NEI Lookups'!I:I)+SUMIF('NEI Lookups'!$M:$M,'Inputs Yr 2'!$F232,'NEI Lookups'!I:I)+SUMIF('NEI Lookups'!$N:$N,'Inputs Yr 2'!$F232,'NEI Lookups'!I:I)+SUMIF('NEI Lookups'!$O:$O,'Inputs Yr 2'!$F232,'NEI Lookups'!I:I)+SUMIF('NEI Lookups'!$P:$P,'Inputs Yr 2'!$F232,'NEI Lookups'!I:I)+SUMIF('NEI Lookups'!$Q:$Q,'Inputs Yr 2'!$F232,'NEI Lookups'!I:I)+SUMIF('NEI Lookups'!$R:$R,'Inputs Yr 2'!$F232,'NEI Lookups'!I:I)+SUMIF('NEI Lookups'!$S:$S,'Inputs Yr 2'!$F232,'NEI Lookups'!I:I)+SUMIF('NEI Lookups'!$T:$T,'Inputs Yr 2'!$F232,'NEI Lookups'!I:I)</f>
        <v>0</v>
      </c>
      <c r="AX232" s="299">
        <f>SUMIF('NEI Lookups'!$L:$L,'Inputs Yr 2'!$F232,'NEI Lookups'!J:J)+SUMIF('NEI Lookups'!$M:$M,'Inputs Yr 2'!$F232,'NEI Lookups'!J:J)+SUMIF('NEI Lookups'!$N:$N,'Inputs Yr 2'!$F232,'NEI Lookups'!J:J)+SUMIF('NEI Lookups'!$O:$O,'Inputs Yr 2'!$F232,'NEI Lookups'!J:J)+SUMIF('NEI Lookups'!$P:$P,'Inputs Yr 2'!$F232,'NEI Lookups'!J:J)+SUMIF('NEI Lookups'!$Q:$Q,'Inputs Yr 2'!$F232,'NEI Lookups'!J:J)+SUMIF('NEI Lookups'!$R:$R,'Inputs Yr 2'!$F232,'NEI Lookups'!J:J)+SUMIF('NEI Lookups'!$S:$S,'Inputs Yr 2'!$F232,'NEI Lookups'!J:J)+SUMIF('NEI Lookups'!$T:$T,'Inputs Yr 2'!$F232,'NEI Lookups'!J:J)</f>
        <v>0</v>
      </c>
      <c r="AY232" s="930">
        <f>'Calculations Yr 2'!CP232/'Calculations Yr 2'!I232</f>
        <v>6.7369655860266375</v>
      </c>
    </row>
    <row r="233" spans="1:51" s="133" customFormat="1" ht="12.75" customHeight="1">
      <c r="A233" s="145" t="s">
        <v>83</v>
      </c>
      <c r="B233" s="132" t="s">
        <v>873</v>
      </c>
      <c r="C233" s="132" t="s">
        <v>908</v>
      </c>
      <c r="D233" s="906" t="s">
        <v>1565</v>
      </c>
      <c r="E233" s="656" t="s">
        <v>783</v>
      </c>
      <c r="F233" s="150" t="s">
        <v>1118</v>
      </c>
      <c r="G233" s="145" t="s">
        <v>545</v>
      </c>
      <c r="H233" s="232">
        <v>4</v>
      </c>
      <c r="I233" s="234">
        <v>12</v>
      </c>
      <c r="J233" s="964">
        <v>1300</v>
      </c>
      <c r="K233" s="871">
        <v>1000</v>
      </c>
      <c r="L233" s="888">
        <f t="shared" si="58"/>
        <v>300</v>
      </c>
      <c r="M233" s="978">
        <v>0.30099999999999999</v>
      </c>
      <c r="N233" s="978">
        <v>0.14699999999999999</v>
      </c>
      <c r="O233" s="978">
        <v>0</v>
      </c>
      <c r="P233" s="889">
        <f t="shared" si="79"/>
        <v>0.84600000000000009</v>
      </c>
      <c r="Q233" s="978">
        <v>1</v>
      </c>
      <c r="R233" s="178">
        <v>1</v>
      </c>
      <c r="S233" s="178">
        <v>1</v>
      </c>
      <c r="T233" s="178">
        <v>1</v>
      </c>
      <c r="U233" s="978">
        <v>1</v>
      </c>
      <c r="V233" s="978">
        <v>1</v>
      </c>
      <c r="W233" s="179"/>
      <c r="X233" s="937" t="s">
        <v>653</v>
      </c>
      <c r="Y233" s="299">
        <f>IFERROR(VLOOKUP($X233,'Demand Lookups'!$A$5:$K$101,9,0), 0)</f>
        <v>0</v>
      </c>
      <c r="Z233" s="922" t="str">
        <f>IFERROR(VLOOKUP(X233,'Demand Lookups'!$A$5:$B$101,2,0),0)</f>
        <v>Non-Electric Measures</v>
      </c>
      <c r="AA233" s="722">
        <f>IF(ISNA(VLOOKUP($X233,'Demand Lookups'!$A$5:$K$81,3,0)),0,VLOOKUP($X233,'Demand Lookups'!$A$5:$K$81,3,0))</f>
        <v>0</v>
      </c>
      <c r="AB233" s="722">
        <f>IF(ISNA(VLOOKUP($X233,'Demand Lookups'!$A$5:$K$81,4,0)),0,VLOOKUP($X233,'Demand Lookups'!$A$5:$K$81,4,0))</f>
        <v>0</v>
      </c>
      <c r="AC233" s="722">
        <f>IF(ISNA(VLOOKUP($X233,'Demand Lookups'!$A$5:$K$81,5,0)),0,VLOOKUP($X233,'Demand Lookups'!$A$5:$K$81,5,0))</f>
        <v>0</v>
      </c>
      <c r="AD233" s="723">
        <f>IF(ISNA(VLOOKUP($X233,'Demand Lookups'!$A$5:$K$81,6,0)),0,VLOOKUP($X233,'Demand Lookups'!$A$5:$K$81,6,0))</f>
        <v>0</v>
      </c>
      <c r="AE233" s="724">
        <f t="shared" si="80"/>
        <v>0</v>
      </c>
      <c r="AF233" s="723">
        <f>ROUND(IF(ISNA(VLOOKUP($X233,'Demand Lookups'!$A$5:$K$82,10,0)),0,(VLOOKUP($X233,'Demand Lookups'!$A$5:$K$82,10,0))),2)</f>
        <v>0</v>
      </c>
      <c r="AG233" s="723">
        <f>ROUND(IF(ISNA(VLOOKUP($X233,'Demand Lookups'!$A$5:$K$82,11,0)),0,VLOOKUP($X233,'Demand Lookups'!$A$5:$K$82,11,0)),2)</f>
        <v>0</v>
      </c>
      <c r="AH233" s="648">
        <f t="shared" si="81"/>
        <v>0</v>
      </c>
      <c r="AI233" s="648">
        <f t="shared" si="82"/>
        <v>0</v>
      </c>
      <c r="AJ233" s="167" t="s">
        <v>200</v>
      </c>
      <c r="AK233" s="866">
        <v>112</v>
      </c>
      <c r="AL233" s="167"/>
      <c r="AM233" s="168"/>
      <c r="AN233" s="167"/>
      <c r="AO233" s="168"/>
      <c r="AP233" s="167"/>
      <c r="AQ233" s="171">
        <v>65700</v>
      </c>
      <c r="AR233" s="171">
        <v>65700</v>
      </c>
      <c r="AS233" s="299">
        <f>SUMIF('NEI Lookups'!$L:$L,'Inputs Yr 2'!$F233,'NEI Lookups'!E:E)+SUMIF('NEI Lookups'!$M:$M,'Inputs Yr 2'!$F233,'NEI Lookups'!E:E)+SUMIF('NEI Lookups'!$N:$N,'Inputs Yr 2'!$F233,'NEI Lookups'!E:E)+SUMIF('NEI Lookups'!$O:$O,'Inputs Yr 2'!$F233,'NEI Lookups'!E:E)+SUMIF('NEI Lookups'!$P:$P,'Inputs Yr 2'!$F233,'NEI Lookups'!E:E)+SUMIF('NEI Lookups'!$Q:$Q,'Inputs Yr 2'!$F233,'NEI Lookups'!E:E)+SUMIF('NEI Lookups'!$R:$R,'Inputs Yr 2'!$F233,'NEI Lookups'!E:E)+SUMIF('NEI Lookups'!$S:$S,'Inputs Yr 2'!$F233,'NEI Lookups'!E:E)+SUMIF('NEI Lookups'!$T:$T,'Inputs Yr 2'!$F233,'NEI Lookups'!E:E)</f>
        <v>0</v>
      </c>
      <c r="AT233" s="299">
        <f>SUMIF('NEI Lookups'!$L:$L,'Inputs Yr 2'!$F233,'NEI Lookups'!F:F)+SUMIF('NEI Lookups'!$M:$M,'Inputs Yr 2'!$F233,'NEI Lookups'!F:F)+SUMIF('NEI Lookups'!$N:$N,'Inputs Yr 2'!$F233,'NEI Lookups'!F:F)+SUMIF('NEI Lookups'!$O:$O,'Inputs Yr 2'!$F233,'NEI Lookups'!F:F)+SUMIF('NEI Lookups'!$P:$P,'Inputs Yr 2'!$F233,'NEI Lookups'!F:F)+SUMIF('NEI Lookups'!$Q:$Q,'Inputs Yr 2'!$F233,'NEI Lookups'!F:F)+SUMIF('NEI Lookups'!$R:$R,'Inputs Yr 2'!$F233,'NEI Lookups'!F:F)+SUMIF('NEI Lookups'!$S:$S,'Inputs Yr 2'!$F233,'NEI Lookups'!F:F)+SUMIF('NEI Lookups'!$T:$T,'Inputs Yr 2'!$F233,'NEI Lookups'!F:F)</f>
        <v>0</v>
      </c>
      <c r="AU233" s="299">
        <f>SUMIF('NEI Lookups'!$L:$L,'Inputs Yr 2'!$F233,'NEI Lookups'!G:G)+SUMIF('NEI Lookups'!$M:$M,'Inputs Yr 2'!$F233,'NEI Lookups'!G:G)+SUMIF('NEI Lookups'!$N:$N,'Inputs Yr 2'!$F233,'NEI Lookups'!G:G)+SUMIF('NEI Lookups'!$O:$O,'Inputs Yr 2'!$F233,'NEI Lookups'!G:G)+SUMIF('NEI Lookups'!$P:$P,'Inputs Yr 2'!$F233,'NEI Lookups'!G:G)+SUMIF('NEI Lookups'!$Q:$Q,'Inputs Yr 2'!$F233,'NEI Lookups'!G:G)+SUMIF('NEI Lookups'!$R:$R,'Inputs Yr 2'!$F233,'NEI Lookups'!G:G)+SUMIF('NEI Lookups'!$S:$S,'Inputs Yr 2'!$F233,'NEI Lookups'!G:G)+SUMIF('NEI Lookups'!$T:$T,'Inputs Yr 2'!$F233,'NEI Lookups'!G:G)</f>
        <v>0</v>
      </c>
      <c r="AV233" s="299">
        <f>SUMIF('NEI Lookups'!$L:$L,'Inputs Yr 2'!$F233,'NEI Lookups'!H:H)+SUMIF('NEI Lookups'!$M:$M,'Inputs Yr 2'!$F233,'NEI Lookups'!H:H)+SUMIF('NEI Lookups'!$N:$N,'Inputs Yr 2'!$F233,'NEI Lookups'!H:H)+SUMIF('NEI Lookups'!$O:$O,'Inputs Yr 2'!$F233,'NEI Lookups'!H:H)+SUMIF('NEI Lookups'!$P:$P,'Inputs Yr 2'!$F233,'NEI Lookups'!H:H)+SUMIF('NEI Lookups'!$Q:$Q,'Inputs Yr 2'!$F233,'NEI Lookups'!H:H)+SUMIF('NEI Lookups'!$R:$R,'Inputs Yr 2'!$F233,'NEI Lookups'!H:H)+SUMIF('NEI Lookups'!$S:$S,'Inputs Yr 2'!$F233,'NEI Lookups'!H:H)+SUMIF('NEI Lookups'!$T:$T,'Inputs Yr 2'!$F233,'NEI Lookups'!H:H)</f>
        <v>0</v>
      </c>
      <c r="AW233" s="299">
        <f>SUMIF('NEI Lookups'!$L:$L,'Inputs Yr 2'!$F233,'NEI Lookups'!I:I)+SUMIF('NEI Lookups'!$M:$M,'Inputs Yr 2'!$F233,'NEI Lookups'!I:I)+SUMIF('NEI Lookups'!$N:$N,'Inputs Yr 2'!$F233,'NEI Lookups'!I:I)+SUMIF('NEI Lookups'!$O:$O,'Inputs Yr 2'!$F233,'NEI Lookups'!I:I)+SUMIF('NEI Lookups'!$P:$P,'Inputs Yr 2'!$F233,'NEI Lookups'!I:I)+SUMIF('NEI Lookups'!$Q:$Q,'Inputs Yr 2'!$F233,'NEI Lookups'!I:I)+SUMIF('NEI Lookups'!$R:$R,'Inputs Yr 2'!$F233,'NEI Lookups'!I:I)+SUMIF('NEI Lookups'!$S:$S,'Inputs Yr 2'!$F233,'NEI Lookups'!I:I)+SUMIF('NEI Lookups'!$T:$T,'Inputs Yr 2'!$F233,'NEI Lookups'!I:I)</f>
        <v>0</v>
      </c>
      <c r="AX233" s="299">
        <f>SUMIF('NEI Lookups'!$L:$L,'Inputs Yr 2'!$F233,'NEI Lookups'!J:J)+SUMIF('NEI Lookups'!$M:$M,'Inputs Yr 2'!$F233,'NEI Lookups'!J:J)+SUMIF('NEI Lookups'!$N:$N,'Inputs Yr 2'!$F233,'NEI Lookups'!J:J)+SUMIF('NEI Lookups'!$O:$O,'Inputs Yr 2'!$F233,'NEI Lookups'!J:J)+SUMIF('NEI Lookups'!$P:$P,'Inputs Yr 2'!$F233,'NEI Lookups'!J:J)+SUMIF('NEI Lookups'!$Q:$Q,'Inputs Yr 2'!$F233,'NEI Lookups'!J:J)+SUMIF('NEI Lookups'!$R:$R,'Inputs Yr 2'!$F233,'NEI Lookups'!J:J)+SUMIF('NEI Lookups'!$S:$S,'Inputs Yr 2'!$F233,'NEI Lookups'!J:J)+SUMIF('NEI Lookups'!$T:$T,'Inputs Yr 2'!$F233,'NEI Lookups'!J:J)</f>
        <v>0</v>
      </c>
      <c r="AY233" s="930">
        <f>'Calculations Yr 2'!CP233/'Calculations Yr 2'!I233</f>
        <v>14.854423973240468</v>
      </c>
    </row>
    <row r="234" spans="1:51" s="133" customFormat="1" ht="12.75" customHeight="1">
      <c r="A234" s="145" t="s">
        <v>83</v>
      </c>
      <c r="B234" s="132" t="s">
        <v>873</v>
      </c>
      <c r="C234" s="132" t="s">
        <v>908</v>
      </c>
      <c r="D234" s="906" t="s">
        <v>1566</v>
      </c>
      <c r="E234" s="656" t="s">
        <v>784</v>
      </c>
      <c r="F234" s="150" t="s">
        <v>1119</v>
      </c>
      <c r="G234" s="145" t="s">
        <v>545</v>
      </c>
      <c r="H234" s="232">
        <v>183</v>
      </c>
      <c r="I234" s="234">
        <v>12</v>
      </c>
      <c r="J234" s="964">
        <v>1886</v>
      </c>
      <c r="K234" s="871">
        <v>1079.21</v>
      </c>
      <c r="L234" s="888">
        <f t="shared" si="58"/>
        <v>806.79</v>
      </c>
      <c r="M234" s="978">
        <v>0.30099999999999999</v>
      </c>
      <c r="N234" s="978">
        <v>0.14699999999999999</v>
      </c>
      <c r="O234" s="978">
        <v>0</v>
      </c>
      <c r="P234" s="889">
        <f t="shared" si="79"/>
        <v>0.84600000000000009</v>
      </c>
      <c r="Q234" s="978">
        <v>1</v>
      </c>
      <c r="R234" s="178">
        <v>1</v>
      </c>
      <c r="S234" s="178">
        <v>1</v>
      </c>
      <c r="T234" s="178">
        <v>1</v>
      </c>
      <c r="U234" s="978">
        <v>1</v>
      </c>
      <c r="V234" s="978">
        <v>1</v>
      </c>
      <c r="W234" s="179"/>
      <c r="X234" s="937" t="s">
        <v>653</v>
      </c>
      <c r="Y234" s="299">
        <f>IFERROR(VLOOKUP($X234,'Demand Lookups'!$A$5:$K$101,9,0), 0)</f>
        <v>0</v>
      </c>
      <c r="Z234" s="922" t="str">
        <f>IFERROR(VLOOKUP(X234,'Demand Lookups'!$A$5:$B$101,2,0),0)</f>
        <v>Non-Electric Measures</v>
      </c>
      <c r="AA234" s="722">
        <f>IF(ISNA(VLOOKUP($X234,'Demand Lookups'!$A$5:$K$81,3,0)),0,VLOOKUP($X234,'Demand Lookups'!$A$5:$K$81,3,0))</f>
        <v>0</v>
      </c>
      <c r="AB234" s="722">
        <f>IF(ISNA(VLOOKUP($X234,'Demand Lookups'!$A$5:$K$81,4,0)),0,VLOOKUP($X234,'Demand Lookups'!$A$5:$K$81,4,0))</f>
        <v>0</v>
      </c>
      <c r="AC234" s="722">
        <f>IF(ISNA(VLOOKUP($X234,'Demand Lookups'!$A$5:$K$81,5,0)),0,VLOOKUP($X234,'Demand Lookups'!$A$5:$K$81,5,0))</f>
        <v>0</v>
      </c>
      <c r="AD234" s="723">
        <f>IF(ISNA(VLOOKUP($X234,'Demand Lookups'!$A$5:$K$81,6,0)),0,VLOOKUP($X234,'Demand Lookups'!$A$5:$K$81,6,0))</f>
        <v>0</v>
      </c>
      <c r="AE234" s="724">
        <f t="shared" si="80"/>
        <v>0</v>
      </c>
      <c r="AF234" s="723">
        <f>ROUND(IF(ISNA(VLOOKUP($X234,'Demand Lookups'!$A$5:$K$82,10,0)),0,(VLOOKUP($X234,'Demand Lookups'!$A$5:$K$82,10,0))),2)</f>
        <v>0</v>
      </c>
      <c r="AG234" s="723">
        <f>ROUND(IF(ISNA(VLOOKUP($X234,'Demand Lookups'!$A$5:$K$82,11,0)),0,VLOOKUP($X234,'Demand Lookups'!$A$5:$K$82,11,0)),2)</f>
        <v>0</v>
      </c>
      <c r="AH234" s="648">
        <f t="shared" si="81"/>
        <v>0</v>
      </c>
      <c r="AI234" s="648">
        <f t="shared" si="82"/>
        <v>0</v>
      </c>
      <c r="AJ234" s="167" t="s">
        <v>200</v>
      </c>
      <c r="AK234" s="866">
        <v>12.9</v>
      </c>
      <c r="AL234" s="167"/>
      <c r="AM234" s="168"/>
      <c r="AN234" s="167"/>
      <c r="AO234" s="168"/>
      <c r="AP234" s="167"/>
      <c r="AQ234" s="171">
        <v>0</v>
      </c>
      <c r="AR234" s="171">
        <v>0</v>
      </c>
      <c r="AS234" s="299">
        <f>SUMIF('NEI Lookups'!$L:$L,'Inputs Yr 2'!$F234,'NEI Lookups'!E:E)+SUMIF('NEI Lookups'!$M:$M,'Inputs Yr 2'!$F234,'NEI Lookups'!E:E)+SUMIF('NEI Lookups'!$N:$N,'Inputs Yr 2'!$F234,'NEI Lookups'!E:E)+SUMIF('NEI Lookups'!$O:$O,'Inputs Yr 2'!$F234,'NEI Lookups'!E:E)+SUMIF('NEI Lookups'!$P:$P,'Inputs Yr 2'!$F234,'NEI Lookups'!E:E)+SUMIF('NEI Lookups'!$Q:$Q,'Inputs Yr 2'!$F234,'NEI Lookups'!E:E)+SUMIF('NEI Lookups'!$R:$R,'Inputs Yr 2'!$F234,'NEI Lookups'!E:E)+SUMIF('NEI Lookups'!$S:$S,'Inputs Yr 2'!$F234,'NEI Lookups'!E:E)+SUMIF('NEI Lookups'!$T:$T,'Inputs Yr 2'!$F234,'NEI Lookups'!E:E)</f>
        <v>0</v>
      </c>
      <c r="AT234" s="299">
        <f>SUMIF('NEI Lookups'!$L:$L,'Inputs Yr 2'!$F234,'NEI Lookups'!F:F)+SUMIF('NEI Lookups'!$M:$M,'Inputs Yr 2'!$F234,'NEI Lookups'!F:F)+SUMIF('NEI Lookups'!$N:$N,'Inputs Yr 2'!$F234,'NEI Lookups'!F:F)+SUMIF('NEI Lookups'!$O:$O,'Inputs Yr 2'!$F234,'NEI Lookups'!F:F)+SUMIF('NEI Lookups'!$P:$P,'Inputs Yr 2'!$F234,'NEI Lookups'!F:F)+SUMIF('NEI Lookups'!$Q:$Q,'Inputs Yr 2'!$F234,'NEI Lookups'!F:F)+SUMIF('NEI Lookups'!$R:$R,'Inputs Yr 2'!$F234,'NEI Lookups'!F:F)+SUMIF('NEI Lookups'!$S:$S,'Inputs Yr 2'!$F234,'NEI Lookups'!F:F)+SUMIF('NEI Lookups'!$T:$T,'Inputs Yr 2'!$F234,'NEI Lookups'!F:F)</f>
        <v>0</v>
      </c>
      <c r="AU234" s="299">
        <f>SUMIF('NEI Lookups'!$L:$L,'Inputs Yr 2'!$F234,'NEI Lookups'!G:G)+SUMIF('NEI Lookups'!$M:$M,'Inputs Yr 2'!$F234,'NEI Lookups'!G:G)+SUMIF('NEI Lookups'!$N:$N,'Inputs Yr 2'!$F234,'NEI Lookups'!G:G)+SUMIF('NEI Lookups'!$O:$O,'Inputs Yr 2'!$F234,'NEI Lookups'!G:G)+SUMIF('NEI Lookups'!$P:$P,'Inputs Yr 2'!$F234,'NEI Lookups'!G:G)+SUMIF('NEI Lookups'!$Q:$Q,'Inputs Yr 2'!$F234,'NEI Lookups'!G:G)+SUMIF('NEI Lookups'!$R:$R,'Inputs Yr 2'!$F234,'NEI Lookups'!G:G)+SUMIF('NEI Lookups'!$S:$S,'Inputs Yr 2'!$F234,'NEI Lookups'!G:G)+SUMIF('NEI Lookups'!$T:$T,'Inputs Yr 2'!$F234,'NEI Lookups'!G:G)</f>
        <v>0</v>
      </c>
      <c r="AV234" s="299">
        <f>SUMIF('NEI Lookups'!$L:$L,'Inputs Yr 2'!$F234,'NEI Lookups'!H:H)+SUMIF('NEI Lookups'!$M:$M,'Inputs Yr 2'!$F234,'NEI Lookups'!H:H)+SUMIF('NEI Lookups'!$N:$N,'Inputs Yr 2'!$F234,'NEI Lookups'!H:H)+SUMIF('NEI Lookups'!$O:$O,'Inputs Yr 2'!$F234,'NEI Lookups'!H:H)+SUMIF('NEI Lookups'!$P:$P,'Inputs Yr 2'!$F234,'NEI Lookups'!H:H)+SUMIF('NEI Lookups'!$Q:$Q,'Inputs Yr 2'!$F234,'NEI Lookups'!H:H)+SUMIF('NEI Lookups'!$R:$R,'Inputs Yr 2'!$F234,'NEI Lookups'!H:H)+SUMIF('NEI Lookups'!$S:$S,'Inputs Yr 2'!$F234,'NEI Lookups'!H:H)+SUMIF('NEI Lookups'!$T:$T,'Inputs Yr 2'!$F234,'NEI Lookups'!H:H)</f>
        <v>0</v>
      </c>
      <c r="AW234" s="299">
        <f>SUMIF('NEI Lookups'!$L:$L,'Inputs Yr 2'!$F234,'NEI Lookups'!I:I)+SUMIF('NEI Lookups'!$M:$M,'Inputs Yr 2'!$F234,'NEI Lookups'!I:I)+SUMIF('NEI Lookups'!$N:$N,'Inputs Yr 2'!$F234,'NEI Lookups'!I:I)+SUMIF('NEI Lookups'!$O:$O,'Inputs Yr 2'!$F234,'NEI Lookups'!I:I)+SUMIF('NEI Lookups'!$P:$P,'Inputs Yr 2'!$F234,'NEI Lookups'!I:I)+SUMIF('NEI Lookups'!$Q:$Q,'Inputs Yr 2'!$F234,'NEI Lookups'!I:I)+SUMIF('NEI Lookups'!$R:$R,'Inputs Yr 2'!$F234,'NEI Lookups'!I:I)+SUMIF('NEI Lookups'!$S:$S,'Inputs Yr 2'!$F234,'NEI Lookups'!I:I)+SUMIF('NEI Lookups'!$T:$T,'Inputs Yr 2'!$F234,'NEI Lookups'!I:I)</f>
        <v>0</v>
      </c>
      <c r="AX234" s="299">
        <f>SUMIF('NEI Lookups'!$L:$L,'Inputs Yr 2'!$F234,'NEI Lookups'!J:J)+SUMIF('NEI Lookups'!$M:$M,'Inputs Yr 2'!$F234,'NEI Lookups'!J:J)+SUMIF('NEI Lookups'!$N:$N,'Inputs Yr 2'!$F234,'NEI Lookups'!J:J)+SUMIF('NEI Lookups'!$O:$O,'Inputs Yr 2'!$F234,'NEI Lookups'!J:J)+SUMIF('NEI Lookups'!$P:$P,'Inputs Yr 2'!$F234,'NEI Lookups'!J:J)+SUMIF('NEI Lookups'!$Q:$Q,'Inputs Yr 2'!$F234,'NEI Lookups'!J:J)+SUMIF('NEI Lookups'!$R:$R,'Inputs Yr 2'!$F234,'NEI Lookups'!J:J)+SUMIF('NEI Lookups'!$S:$S,'Inputs Yr 2'!$F234,'NEI Lookups'!J:J)+SUMIF('NEI Lookups'!$T:$T,'Inputs Yr 2'!$F234,'NEI Lookups'!J:J)</f>
        <v>0</v>
      </c>
      <c r="AY234" s="930">
        <f>'Calculations Yr 2'!CP234/'Calculations Yr 2'!I234</f>
        <v>0.67122140587537005</v>
      </c>
    </row>
    <row r="235" spans="1:51" s="133" customFormat="1" ht="12.75" customHeight="1">
      <c r="A235" s="145" t="s">
        <v>83</v>
      </c>
      <c r="B235" s="132" t="s">
        <v>873</v>
      </c>
      <c r="C235" s="132" t="s">
        <v>908</v>
      </c>
      <c r="D235" s="906" t="s">
        <v>1567</v>
      </c>
      <c r="E235" s="656" t="s">
        <v>785</v>
      </c>
      <c r="F235" s="150" t="s">
        <v>1120</v>
      </c>
      <c r="G235" s="145" t="s">
        <v>545</v>
      </c>
      <c r="H235" s="232">
        <v>2</v>
      </c>
      <c r="I235" s="234">
        <v>12</v>
      </c>
      <c r="J235" s="964">
        <v>2100</v>
      </c>
      <c r="K235" s="871">
        <v>1000</v>
      </c>
      <c r="L235" s="888">
        <f t="shared" si="58"/>
        <v>1100</v>
      </c>
      <c r="M235" s="978">
        <v>0.30099999999999999</v>
      </c>
      <c r="N235" s="978">
        <v>0.14699999999999999</v>
      </c>
      <c r="O235" s="978">
        <v>0</v>
      </c>
      <c r="P235" s="889">
        <f t="shared" si="79"/>
        <v>0.84600000000000009</v>
      </c>
      <c r="Q235" s="978">
        <v>1</v>
      </c>
      <c r="R235" s="178">
        <v>1</v>
      </c>
      <c r="S235" s="178">
        <v>1</v>
      </c>
      <c r="T235" s="178">
        <v>1</v>
      </c>
      <c r="U235" s="978">
        <v>1</v>
      </c>
      <c r="V235" s="978">
        <v>1</v>
      </c>
      <c r="W235" s="179"/>
      <c r="X235" s="937" t="s">
        <v>653</v>
      </c>
      <c r="Y235" s="299">
        <f>IFERROR(VLOOKUP($X235,'Demand Lookups'!$A$5:$K$101,9,0), 0)</f>
        <v>0</v>
      </c>
      <c r="Z235" s="922" t="str">
        <f>IFERROR(VLOOKUP(X235,'Demand Lookups'!$A$5:$B$101,2,0),0)</f>
        <v>Non-Electric Measures</v>
      </c>
      <c r="AA235" s="722">
        <f>IF(ISNA(VLOOKUP($X235,'Demand Lookups'!$A$5:$K$81,3,0)),0,VLOOKUP($X235,'Demand Lookups'!$A$5:$K$81,3,0))</f>
        <v>0</v>
      </c>
      <c r="AB235" s="722">
        <f>IF(ISNA(VLOOKUP($X235,'Demand Lookups'!$A$5:$K$81,4,0)),0,VLOOKUP($X235,'Demand Lookups'!$A$5:$K$81,4,0))</f>
        <v>0</v>
      </c>
      <c r="AC235" s="722">
        <f>IF(ISNA(VLOOKUP($X235,'Demand Lookups'!$A$5:$K$81,5,0)),0,VLOOKUP($X235,'Demand Lookups'!$A$5:$K$81,5,0))</f>
        <v>0</v>
      </c>
      <c r="AD235" s="723">
        <f>IF(ISNA(VLOOKUP($X235,'Demand Lookups'!$A$5:$K$81,6,0)),0,VLOOKUP($X235,'Demand Lookups'!$A$5:$K$81,6,0))</f>
        <v>0</v>
      </c>
      <c r="AE235" s="724">
        <f t="shared" si="80"/>
        <v>0</v>
      </c>
      <c r="AF235" s="723">
        <f>ROUND(IF(ISNA(VLOOKUP($X235,'Demand Lookups'!$A$5:$K$82,10,0)),0,(VLOOKUP($X235,'Demand Lookups'!$A$5:$K$82,10,0))),2)</f>
        <v>0</v>
      </c>
      <c r="AG235" s="723">
        <f>ROUND(IF(ISNA(VLOOKUP($X235,'Demand Lookups'!$A$5:$K$82,11,0)),0,VLOOKUP($X235,'Demand Lookups'!$A$5:$K$82,11,0)),2)</f>
        <v>0</v>
      </c>
      <c r="AH235" s="648">
        <f t="shared" si="81"/>
        <v>0</v>
      </c>
      <c r="AI235" s="648">
        <f t="shared" si="82"/>
        <v>0</v>
      </c>
      <c r="AJ235" s="167" t="s">
        <v>200</v>
      </c>
      <c r="AK235" s="866">
        <v>88.399999999999991</v>
      </c>
      <c r="AL235" s="167"/>
      <c r="AM235" s="168"/>
      <c r="AN235" s="167"/>
      <c r="AO235" s="168"/>
      <c r="AP235" s="167"/>
      <c r="AQ235" s="171">
        <v>0</v>
      </c>
      <c r="AR235" s="171">
        <v>0</v>
      </c>
      <c r="AS235" s="299">
        <f>SUMIF('NEI Lookups'!$L:$L,'Inputs Yr 2'!$F235,'NEI Lookups'!E:E)+SUMIF('NEI Lookups'!$M:$M,'Inputs Yr 2'!$F235,'NEI Lookups'!E:E)+SUMIF('NEI Lookups'!$N:$N,'Inputs Yr 2'!$F235,'NEI Lookups'!E:E)+SUMIF('NEI Lookups'!$O:$O,'Inputs Yr 2'!$F235,'NEI Lookups'!E:E)+SUMIF('NEI Lookups'!$P:$P,'Inputs Yr 2'!$F235,'NEI Lookups'!E:E)+SUMIF('NEI Lookups'!$Q:$Q,'Inputs Yr 2'!$F235,'NEI Lookups'!E:E)+SUMIF('NEI Lookups'!$R:$R,'Inputs Yr 2'!$F235,'NEI Lookups'!E:E)+SUMIF('NEI Lookups'!$S:$S,'Inputs Yr 2'!$F235,'NEI Lookups'!E:E)+SUMIF('NEI Lookups'!$T:$T,'Inputs Yr 2'!$F235,'NEI Lookups'!E:E)</f>
        <v>0</v>
      </c>
      <c r="AT235" s="299">
        <f>SUMIF('NEI Lookups'!$L:$L,'Inputs Yr 2'!$F235,'NEI Lookups'!F:F)+SUMIF('NEI Lookups'!$M:$M,'Inputs Yr 2'!$F235,'NEI Lookups'!F:F)+SUMIF('NEI Lookups'!$N:$N,'Inputs Yr 2'!$F235,'NEI Lookups'!F:F)+SUMIF('NEI Lookups'!$O:$O,'Inputs Yr 2'!$F235,'NEI Lookups'!F:F)+SUMIF('NEI Lookups'!$P:$P,'Inputs Yr 2'!$F235,'NEI Lookups'!F:F)+SUMIF('NEI Lookups'!$Q:$Q,'Inputs Yr 2'!$F235,'NEI Lookups'!F:F)+SUMIF('NEI Lookups'!$R:$R,'Inputs Yr 2'!$F235,'NEI Lookups'!F:F)+SUMIF('NEI Lookups'!$S:$S,'Inputs Yr 2'!$F235,'NEI Lookups'!F:F)+SUMIF('NEI Lookups'!$T:$T,'Inputs Yr 2'!$F235,'NEI Lookups'!F:F)</f>
        <v>0</v>
      </c>
      <c r="AU235" s="299">
        <f>SUMIF('NEI Lookups'!$L:$L,'Inputs Yr 2'!$F235,'NEI Lookups'!G:G)+SUMIF('NEI Lookups'!$M:$M,'Inputs Yr 2'!$F235,'NEI Lookups'!G:G)+SUMIF('NEI Lookups'!$N:$N,'Inputs Yr 2'!$F235,'NEI Lookups'!G:G)+SUMIF('NEI Lookups'!$O:$O,'Inputs Yr 2'!$F235,'NEI Lookups'!G:G)+SUMIF('NEI Lookups'!$P:$P,'Inputs Yr 2'!$F235,'NEI Lookups'!G:G)+SUMIF('NEI Lookups'!$Q:$Q,'Inputs Yr 2'!$F235,'NEI Lookups'!G:G)+SUMIF('NEI Lookups'!$R:$R,'Inputs Yr 2'!$F235,'NEI Lookups'!G:G)+SUMIF('NEI Lookups'!$S:$S,'Inputs Yr 2'!$F235,'NEI Lookups'!G:G)+SUMIF('NEI Lookups'!$T:$T,'Inputs Yr 2'!$F235,'NEI Lookups'!G:G)</f>
        <v>0</v>
      </c>
      <c r="AV235" s="299">
        <f>SUMIF('NEI Lookups'!$L:$L,'Inputs Yr 2'!$F235,'NEI Lookups'!H:H)+SUMIF('NEI Lookups'!$M:$M,'Inputs Yr 2'!$F235,'NEI Lookups'!H:H)+SUMIF('NEI Lookups'!$N:$N,'Inputs Yr 2'!$F235,'NEI Lookups'!H:H)+SUMIF('NEI Lookups'!$O:$O,'Inputs Yr 2'!$F235,'NEI Lookups'!H:H)+SUMIF('NEI Lookups'!$P:$P,'Inputs Yr 2'!$F235,'NEI Lookups'!H:H)+SUMIF('NEI Lookups'!$Q:$Q,'Inputs Yr 2'!$F235,'NEI Lookups'!H:H)+SUMIF('NEI Lookups'!$R:$R,'Inputs Yr 2'!$F235,'NEI Lookups'!H:H)+SUMIF('NEI Lookups'!$S:$S,'Inputs Yr 2'!$F235,'NEI Lookups'!H:H)+SUMIF('NEI Lookups'!$T:$T,'Inputs Yr 2'!$F235,'NEI Lookups'!H:H)</f>
        <v>0</v>
      </c>
      <c r="AW235" s="299">
        <f>SUMIF('NEI Lookups'!$L:$L,'Inputs Yr 2'!$F235,'NEI Lookups'!I:I)+SUMIF('NEI Lookups'!$M:$M,'Inputs Yr 2'!$F235,'NEI Lookups'!I:I)+SUMIF('NEI Lookups'!$N:$N,'Inputs Yr 2'!$F235,'NEI Lookups'!I:I)+SUMIF('NEI Lookups'!$O:$O,'Inputs Yr 2'!$F235,'NEI Lookups'!I:I)+SUMIF('NEI Lookups'!$P:$P,'Inputs Yr 2'!$F235,'NEI Lookups'!I:I)+SUMIF('NEI Lookups'!$Q:$Q,'Inputs Yr 2'!$F235,'NEI Lookups'!I:I)+SUMIF('NEI Lookups'!$R:$R,'Inputs Yr 2'!$F235,'NEI Lookups'!I:I)+SUMIF('NEI Lookups'!$S:$S,'Inputs Yr 2'!$F235,'NEI Lookups'!I:I)+SUMIF('NEI Lookups'!$T:$T,'Inputs Yr 2'!$F235,'NEI Lookups'!I:I)</f>
        <v>0</v>
      </c>
      <c r="AX235" s="299">
        <f>SUMIF('NEI Lookups'!$L:$L,'Inputs Yr 2'!$F235,'NEI Lookups'!J:J)+SUMIF('NEI Lookups'!$M:$M,'Inputs Yr 2'!$F235,'NEI Lookups'!J:J)+SUMIF('NEI Lookups'!$N:$N,'Inputs Yr 2'!$F235,'NEI Lookups'!J:J)+SUMIF('NEI Lookups'!$O:$O,'Inputs Yr 2'!$F235,'NEI Lookups'!J:J)+SUMIF('NEI Lookups'!$P:$P,'Inputs Yr 2'!$F235,'NEI Lookups'!J:J)+SUMIF('NEI Lookups'!$Q:$Q,'Inputs Yr 2'!$F235,'NEI Lookups'!J:J)+SUMIF('NEI Lookups'!$R:$R,'Inputs Yr 2'!$F235,'NEI Lookups'!J:J)+SUMIF('NEI Lookups'!$S:$S,'Inputs Yr 2'!$F235,'NEI Lookups'!J:J)+SUMIF('NEI Lookups'!$T:$T,'Inputs Yr 2'!$F235,'NEI Lookups'!J:J)</f>
        <v>0</v>
      </c>
      <c r="AY235" s="930">
        <f>'Calculations Yr 2'!CP235/'Calculations Yr 2'!I235</f>
        <v>4.1309576861910582</v>
      </c>
    </row>
    <row r="236" spans="1:51" s="133" customFormat="1" ht="12.75" customHeight="1">
      <c r="A236" s="145" t="s">
        <v>83</v>
      </c>
      <c r="B236" s="132" t="s">
        <v>873</v>
      </c>
      <c r="C236" s="132" t="s">
        <v>911</v>
      </c>
      <c r="D236" s="906" t="s">
        <v>1568</v>
      </c>
      <c r="E236" s="656" t="s">
        <v>786</v>
      </c>
      <c r="F236" s="150" t="s">
        <v>1121</v>
      </c>
      <c r="G236" s="145" t="s">
        <v>545</v>
      </c>
      <c r="H236" s="232">
        <v>3</v>
      </c>
      <c r="I236" s="234">
        <v>12</v>
      </c>
      <c r="J236" s="964">
        <v>4000</v>
      </c>
      <c r="K236" s="871">
        <v>1000</v>
      </c>
      <c r="L236" s="888">
        <f t="shared" si="58"/>
        <v>3000</v>
      </c>
      <c r="M236" s="978">
        <v>0.30099999999999999</v>
      </c>
      <c r="N236" s="978">
        <v>0.14699999999999999</v>
      </c>
      <c r="O236" s="978">
        <v>0</v>
      </c>
      <c r="P236" s="889">
        <v>0.84600000000000009</v>
      </c>
      <c r="Q236" s="978">
        <v>1</v>
      </c>
      <c r="R236" s="178">
        <v>1</v>
      </c>
      <c r="S236" s="178">
        <v>1</v>
      </c>
      <c r="T236" s="178">
        <v>1</v>
      </c>
      <c r="U236" s="978">
        <v>1</v>
      </c>
      <c r="V236" s="978">
        <v>1</v>
      </c>
      <c r="W236" s="179"/>
      <c r="X236" s="937" t="s">
        <v>653</v>
      </c>
      <c r="Y236" s="299">
        <f>IFERROR(VLOOKUP($X236,'Demand Lookups'!$A$5:$K$101,9,0), 0)</f>
        <v>0</v>
      </c>
      <c r="Z236" s="922" t="str">
        <f>IFERROR(VLOOKUP(X236,'Demand Lookups'!$A$5:$B$101,2,0),0)</f>
        <v>Non-Electric Measures</v>
      </c>
      <c r="AA236" s="722">
        <v>0</v>
      </c>
      <c r="AB236" s="722">
        <v>0</v>
      </c>
      <c r="AC236" s="722">
        <v>0</v>
      </c>
      <c r="AD236" s="723">
        <v>0</v>
      </c>
      <c r="AE236" s="724">
        <f t="shared" si="80"/>
        <v>0</v>
      </c>
      <c r="AF236" s="723">
        <v>0</v>
      </c>
      <c r="AG236" s="723">
        <v>0</v>
      </c>
      <c r="AH236" s="648">
        <v>0</v>
      </c>
      <c r="AI236" s="648">
        <v>0</v>
      </c>
      <c r="AJ236" s="167" t="s">
        <v>200</v>
      </c>
      <c r="AK236" s="866">
        <v>211.3</v>
      </c>
      <c r="AL236" s="167"/>
      <c r="AM236" s="168"/>
      <c r="AN236" s="167"/>
      <c r="AO236" s="168"/>
      <c r="AP236" s="167"/>
      <c r="AQ236" s="171"/>
      <c r="AR236" s="171"/>
      <c r="AS236" s="299">
        <f>SUMIF('NEI Lookups'!$L:$L,'Inputs Yr 2'!$F236,'NEI Lookups'!E:E)+SUMIF('NEI Lookups'!$M:$M,'Inputs Yr 2'!$F236,'NEI Lookups'!E:E)+SUMIF('NEI Lookups'!$N:$N,'Inputs Yr 2'!$F236,'NEI Lookups'!E:E)+SUMIF('NEI Lookups'!$O:$O,'Inputs Yr 2'!$F236,'NEI Lookups'!E:E)+SUMIF('NEI Lookups'!$P:$P,'Inputs Yr 2'!$F236,'NEI Lookups'!E:E)+SUMIF('NEI Lookups'!$Q:$Q,'Inputs Yr 2'!$F236,'NEI Lookups'!E:E)+SUMIF('NEI Lookups'!$R:$R,'Inputs Yr 2'!$F236,'NEI Lookups'!E:E)+SUMIF('NEI Lookups'!$S:$S,'Inputs Yr 2'!$F236,'NEI Lookups'!E:E)+SUMIF('NEI Lookups'!$T:$T,'Inputs Yr 2'!$F236,'NEI Lookups'!E:E)</f>
        <v>0</v>
      </c>
      <c r="AT236" s="299">
        <f>SUMIF('NEI Lookups'!$L:$L,'Inputs Yr 2'!$F236,'NEI Lookups'!F:F)+SUMIF('NEI Lookups'!$M:$M,'Inputs Yr 2'!$F236,'NEI Lookups'!F:F)+SUMIF('NEI Lookups'!$N:$N,'Inputs Yr 2'!$F236,'NEI Lookups'!F:F)+SUMIF('NEI Lookups'!$O:$O,'Inputs Yr 2'!$F236,'NEI Lookups'!F:F)+SUMIF('NEI Lookups'!$P:$P,'Inputs Yr 2'!$F236,'NEI Lookups'!F:F)+SUMIF('NEI Lookups'!$Q:$Q,'Inputs Yr 2'!$F236,'NEI Lookups'!F:F)+SUMIF('NEI Lookups'!$R:$R,'Inputs Yr 2'!$F236,'NEI Lookups'!F:F)+SUMIF('NEI Lookups'!$S:$S,'Inputs Yr 2'!$F236,'NEI Lookups'!F:F)+SUMIF('NEI Lookups'!$T:$T,'Inputs Yr 2'!$F236,'NEI Lookups'!F:F)</f>
        <v>0</v>
      </c>
      <c r="AU236" s="299">
        <f>SUMIF('NEI Lookups'!$L:$L,'Inputs Yr 2'!$F236,'NEI Lookups'!G:G)+SUMIF('NEI Lookups'!$M:$M,'Inputs Yr 2'!$F236,'NEI Lookups'!G:G)+SUMIF('NEI Lookups'!$N:$N,'Inputs Yr 2'!$F236,'NEI Lookups'!G:G)+SUMIF('NEI Lookups'!$O:$O,'Inputs Yr 2'!$F236,'NEI Lookups'!G:G)+SUMIF('NEI Lookups'!$P:$P,'Inputs Yr 2'!$F236,'NEI Lookups'!G:G)+SUMIF('NEI Lookups'!$Q:$Q,'Inputs Yr 2'!$F236,'NEI Lookups'!G:G)+SUMIF('NEI Lookups'!$R:$R,'Inputs Yr 2'!$F236,'NEI Lookups'!G:G)+SUMIF('NEI Lookups'!$S:$S,'Inputs Yr 2'!$F236,'NEI Lookups'!G:G)+SUMIF('NEI Lookups'!$T:$T,'Inputs Yr 2'!$F236,'NEI Lookups'!G:G)</f>
        <v>0</v>
      </c>
      <c r="AV236" s="299">
        <f>SUMIF('NEI Lookups'!$L:$L,'Inputs Yr 2'!$F236,'NEI Lookups'!H:H)+SUMIF('NEI Lookups'!$M:$M,'Inputs Yr 2'!$F236,'NEI Lookups'!H:H)+SUMIF('NEI Lookups'!$N:$N,'Inputs Yr 2'!$F236,'NEI Lookups'!H:H)+SUMIF('NEI Lookups'!$O:$O,'Inputs Yr 2'!$F236,'NEI Lookups'!H:H)+SUMIF('NEI Lookups'!$P:$P,'Inputs Yr 2'!$F236,'NEI Lookups'!H:H)+SUMIF('NEI Lookups'!$Q:$Q,'Inputs Yr 2'!$F236,'NEI Lookups'!H:H)+SUMIF('NEI Lookups'!$R:$R,'Inputs Yr 2'!$F236,'NEI Lookups'!H:H)+SUMIF('NEI Lookups'!$S:$S,'Inputs Yr 2'!$F236,'NEI Lookups'!H:H)+SUMIF('NEI Lookups'!$T:$T,'Inputs Yr 2'!$F236,'NEI Lookups'!H:H)</f>
        <v>0</v>
      </c>
      <c r="AW236" s="299">
        <f>SUMIF('NEI Lookups'!$L:$L,'Inputs Yr 2'!$F236,'NEI Lookups'!I:I)+SUMIF('NEI Lookups'!$M:$M,'Inputs Yr 2'!$F236,'NEI Lookups'!I:I)+SUMIF('NEI Lookups'!$N:$N,'Inputs Yr 2'!$F236,'NEI Lookups'!I:I)+SUMIF('NEI Lookups'!$O:$O,'Inputs Yr 2'!$F236,'NEI Lookups'!I:I)+SUMIF('NEI Lookups'!$P:$P,'Inputs Yr 2'!$F236,'NEI Lookups'!I:I)+SUMIF('NEI Lookups'!$Q:$Q,'Inputs Yr 2'!$F236,'NEI Lookups'!I:I)+SUMIF('NEI Lookups'!$R:$R,'Inputs Yr 2'!$F236,'NEI Lookups'!I:I)+SUMIF('NEI Lookups'!$S:$S,'Inputs Yr 2'!$F236,'NEI Lookups'!I:I)+SUMIF('NEI Lookups'!$T:$T,'Inputs Yr 2'!$F236,'NEI Lookups'!I:I)</f>
        <v>0</v>
      </c>
      <c r="AX236" s="299">
        <f>SUMIF('NEI Lookups'!$L:$L,'Inputs Yr 2'!$F236,'NEI Lookups'!J:J)+SUMIF('NEI Lookups'!$M:$M,'Inputs Yr 2'!$F236,'NEI Lookups'!J:J)+SUMIF('NEI Lookups'!$N:$N,'Inputs Yr 2'!$F236,'NEI Lookups'!J:J)+SUMIF('NEI Lookups'!$O:$O,'Inputs Yr 2'!$F236,'NEI Lookups'!J:J)+SUMIF('NEI Lookups'!$P:$P,'Inputs Yr 2'!$F236,'NEI Lookups'!J:J)+SUMIF('NEI Lookups'!$Q:$Q,'Inputs Yr 2'!$F236,'NEI Lookups'!J:J)+SUMIF('NEI Lookups'!$R:$R,'Inputs Yr 2'!$F236,'NEI Lookups'!J:J)+SUMIF('NEI Lookups'!$S:$S,'Inputs Yr 2'!$F236,'NEI Lookups'!J:J)+SUMIF('NEI Lookups'!$T:$T,'Inputs Yr 2'!$F236,'NEI Lookups'!J:J)</f>
        <v>0</v>
      </c>
      <c r="AY236" s="930">
        <f>'Calculations Yr 2'!CP236/'Calculations Yr 2'!I236</f>
        <v>5.1839079584093852</v>
      </c>
    </row>
    <row r="237" spans="1:51" s="133" customFormat="1" ht="12.75" customHeight="1">
      <c r="A237" s="145" t="s">
        <v>83</v>
      </c>
      <c r="B237" s="132" t="s">
        <v>873</v>
      </c>
      <c r="C237" s="132" t="s">
        <v>908</v>
      </c>
      <c r="D237" s="906" t="s">
        <v>1569</v>
      </c>
      <c r="E237" s="655" t="s">
        <v>787</v>
      </c>
      <c r="F237" s="150" t="s">
        <v>1122</v>
      </c>
      <c r="G237" s="145" t="s">
        <v>545</v>
      </c>
      <c r="H237" s="232">
        <v>1</v>
      </c>
      <c r="I237" s="234">
        <v>12</v>
      </c>
      <c r="J237" s="964">
        <v>1165</v>
      </c>
      <c r="K237" s="871">
        <v>500</v>
      </c>
      <c r="L237" s="888">
        <f t="shared" si="58"/>
        <v>665</v>
      </c>
      <c r="M237" s="978">
        <v>0.30099999999999999</v>
      </c>
      <c r="N237" s="978">
        <v>0.14699999999999999</v>
      </c>
      <c r="O237" s="978">
        <v>0</v>
      </c>
      <c r="P237" s="889">
        <f t="shared" si="79"/>
        <v>0.84600000000000009</v>
      </c>
      <c r="Q237" s="978">
        <v>1</v>
      </c>
      <c r="R237" s="178">
        <v>1</v>
      </c>
      <c r="S237" s="178">
        <v>1</v>
      </c>
      <c r="T237" s="178">
        <v>1</v>
      </c>
      <c r="U237" s="978">
        <v>1</v>
      </c>
      <c r="V237" s="978">
        <v>1</v>
      </c>
      <c r="W237" s="179"/>
      <c r="X237" s="937" t="s">
        <v>653</v>
      </c>
      <c r="Y237" s="299">
        <f>IFERROR(VLOOKUP($X237,'Demand Lookups'!$A$5:$K$101,9,0), 0)</f>
        <v>0</v>
      </c>
      <c r="Z237" s="922" t="str">
        <f>IFERROR(VLOOKUP(X237,'Demand Lookups'!$A$5:$B$101,2,0),0)</f>
        <v>Non-Electric Measures</v>
      </c>
      <c r="AA237" s="722">
        <f>IF(ISNA(VLOOKUP($X237,'Demand Lookups'!$A$5:$K$81,3,0)),0,VLOOKUP($X237,'Demand Lookups'!$A$5:$K$81,3,0))</f>
        <v>0</v>
      </c>
      <c r="AB237" s="722">
        <f>IF(ISNA(VLOOKUP($X237,'Demand Lookups'!$A$5:$K$81,4,0)),0,VLOOKUP($X237,'Demand Lookups'!$A$5:$K$81,4,0))</f>
        <v>0</v>
      </c>
      <c r="AC237" s="722">
        <f>IF(ISNA(VLOOKUP($X237,'Demand Lookups'!$A$5:$K$81,5,0)),0,VLOOKUP($X237,'Demand Lookups'!$A$5:$K$81,5,0))</f>
        <v>0</v>
      </c>
      <c r="AD237" s="723">
        <f>IF(ISNA(VLOOKUP($X237,'Demand Lookups'!$A$5:$K$81,6,0)),0,VLOOKUP($X237,'Demand Lookups'!$A$5:$K$81,6,0))</f>
        <v>0</v>
      </c>
      <c r="AE237" s="724">
        <f t="shared" si="80"/>
        <v>0</v>
      </c>
      <c r="AF237" s="723">
        <f>ROUND(IF(ISNA(VLOOKUP($X237,'Demand Lookups'!$A$5:$K$82,10,0)),0,(VLOOKUP($X237,'Demand Lookups'!$A$5:$K$82,10,0))),2)</f>
        <v>0</v>
      </c>
      <c r="AG237" s="723">
        <f>ROUND(IF(ISNA(VLOOKUP($X237,'Demand Lookups'!$A$5:$K$82,11,0)),0,VLOOKUP($X237,'Demand Lookups'!$A$5:$K$82,11,0)),2)</f>
        <v>0</v>
      </c>
      <c r="AH237" s="648">
        <f t="shared" si="81"/>
        <v>0</v>
      </c>
      <c r="AI237" s="648">
        <f t="shared" si="82"/>
        <v>0</v>
      </c>
      <c r="AJ237" s="167" t="s">
        <v>200</v>
      </c>
      <c r="AK237" s="866">
        <v>13.1</v>
      </c>
      <c r="AL237" s="167"/>
      <c r="AM237" s="168"/>
      <c r="AN237" s="167"/>
      <c r="AO237" s="168"/>
      <c r="AP237" s="167"/>
      <c r="AQ237" s="171">
        <v>0</v>
      </c>
      <c r="AR237" s="171">
        <v>0</v>
      </c>
      <c r="AS237" s="299">
        <f>SUMIF('NEI Lookups'!$L:$L,'Inputs Yr 2'!$F237,'NEI Lookups'!E:E)+SUMIF('NEI Lookups'!$M:$M,'Inputs Yr 2'!$F237,'NEI Lookups'!E:E)+SUMIF('NEI Lookups'!$N:$N,'Inputs Yr 2'!$F237,'NEI Lookups'!E:E)+SUMIF('NEI Lookups'!$O:$O,'Inputs Yr 2'!$F237,'NEI Lookups'!E:E)+SUMIF('NEI Lookups'!$P:$P,'Inputs Yr 2'!$F237,'NEI Lookups'!E:E)+SUMIF('NEI Lookups'!$Q:$Q,'Inputs Yr 2'!$F237,'NEI Lookups'!E:E)+SUMIF('NEI Lookups'!$R:$R,'Inputs Yr 2'!$F237,'NEI Lookups'!E:E)+SUMIF('NEI Lookups'!$S:$S,'Inputs Yr 2'!$F237,'NEI Lookups'!E:E)+SUMIF('NEI Lookups'!$T:$T,'Inputs Yr 2'!$F237,'NEI Lookups'!E:E)</f>
        <v>0</v>
      </c>
      <c r="AT237" s="299">
        <f>SUMIF('NEI Lookups'!$L:$L,'Inputs Yr 2'!$F237,'NEI Lookups'!F:F)+SUMIF('NEI Lookups'!$M:$M,'Inputs Yr 2'!$F237,'NEI Lookups'!F:F)+SUMIF('NEI Lookups'!$N:$N,'Inputs Yr 2'!$F237,'NEI Lookups'!F:F)+SUMIF('NEI Lookups'!$O:$O,'Inputs Yr 2'!$F237,'NEI Lookups'!F:F)+SUMIF('NEI Lookups'!$P:$P,'Inputs Yr 2'!$F237,'NEI Lookups'!F:F)+SUMIF('NEI Lookups'!$Q:$Q,'Inputs Yr 2'!$F237,'NEI Lookups'!F:F)+SUMIF('NEI Lookups'!$R:$R,'Inputs Yr 2'!$F237,'NEI Lookups'!F:F)+SUMIF('NEI Lookups'!$S:$S,'Inputs Yr 2'!$F237,'NEI Lookups'!F:F)+SUMIF('NEI Lookups'!$T:$T,'Inputs Yr 2'!$F237,'NEI Lookups'!F:F)</f>
        <v>0</v>
      </c>
      <c r="AU237" s="299">
        <f>SUMIF('NEI Lookups'!$L:$L,'Inputs Yr 2'!$F237,'NEI Lookups'!G:G)+SUMIF('NEI Lookups'!$M:$M,'Inputs Yr 2'!$F237,'NEI Lookups'!G:G)+SUMIF('NEI Lookups'!$N:$N,'Inputs Yr 2'!$F237,'NEI Lookups'!G:G)+SUMIF('NEI Lookups'!$O:$O,'Inputs Yr 2'!$F237,'NEI Lookups'!G:G)+SUMIF('NEI Lookups'!$P:$P,'Inputs Yr 2'!$F237,'NEI Lookups'!G:G)+SUMIF('NEI Lookups'!$Q:$Q,'Inputs Yr 2'!$F237,'NEI Lookups'!G:G)+SUMIF('NEI Lookups'!$R:$R,'Inputs Yr 2'!$F237,'NEI Lookups'!G:G)+SUMIF('NEI Lookups'!$S:$S,'Inputs Yr 2'!$F237,'NEI Lookups'!G:G)+SUMIF('NEI Lookups'!$T:$T,'Inputs Yr 2'!$F237,'NEI Lookups'!G:G)</f>
        <v>0</v>
      </c>
      <c r="AV237" s="299">
        <f>SUMIF('NEI Lookups'!$L:$L,'Inputs Yr 2'!$F237,'NEI Lookups'!H:H)+SUMIF('NEI Lookups'!$M:$M,'Inputs Yr 2'!$F237,'NEI Lookups'!H:H)+SUMIF('NEI Lookups'!$N:$N,'Inputs Yr 2'!$F237,'NEI Lookups'!H:H)+SUMIF('NEI Lookups'!$O:$O,'Inputs Yr 2'!$F237,'NEI Lookups'!H:H)+SUMIF('NEI Lookups'!$P:$P,'Inputs Yr 2'!$F237,'NEI Lookups'!H:H)+SUMIF('NEI Lookups'!$Q:$Q,'Inputs Yr 2'!$F237,'NEI Lookups'!H:H)+SUMIF('NEI Lookups'!$R:$R,'Inputs Yr 2'!$F237,'NEI Lookups'!H:H)+SUMIF('NEI Lookups'!$S:$S,'Inputs Yr 2'!$F237,'NEI Lookups'!H:H)+SUMIF('NEI Lookups'!$T:$T,'Inputs Yr 2'!$F237,'NEI Lookups'!H:H)</f>
        <v>0</v>
      </c>
      <c r="AW237" s="299">
        <f>SUMIF('NEI Lookups'!$L:$L,'Inputs Yr 2'!$F237,'NEI Lookups'!I:I)+SUMIF('NEI Lookups'!$M:$M,'Inputs Yr 2'!$F237,'NEI Lookups'!I:I)+SUMIF('NEI Lookups'!$N:$N,'Inputs Yr 2'!$F237,'NEI Lookups'!I:I)+SUMIF('NEI Lookups'!$O:$O,'Inputs Yr 2'!$F237,'NEI Lookups'!I:I)+SUMIF('NEI Lookups'!$P:$P,'Inputs Yr 2'!$F237,'NEI Lookups'!I:I)+SUMIF('NEI Lookups'!$Q:$Q,'Inputs Yr 2'!$F237,'NEI Lookups'!I:I)+SUMIF('NEI Lookups'!$R:$R,'Inputs Yr 2'!$F237,'NEI Lookups'!I:I)+SUMIF('NEI Lookups'!$S:$S,'Inputs Yr 2'!$F237,'NEI Lookups'!I:I)+SUMIF('NEI Lookups'!$T:$T,'Inputs Yr 2'!$F237,'NEI Lookups'!I:I)</f>
        <v>0</v>
      </c>
      <c r="AX237" s="299">
        <f>SUMIF('NEI Lookups'!$L:$L,'Inputs Yr 2'!$F237,'NEI Lookups'!J:J)+SUMIF('NEI Lookups'!$M:$M,'Inputs Yr 2'!$F237,'NEI Lookups'!J:J)+SUMIF('NEI Lookups'!$N:$N,'Inputs Yr 2'!$F237,'NEI Lookups'!J:J)+SUMIF('NEI Lookups'!$O:$O,'Inputs Yr 2'!$F237,'NEI Lookups'!J:J)+SUMIF('NEI Lookups'!$P:$P,'Inputs Yr 2'!$F237,'NEI Lookups'!J:J)+SUMIF('NEI Lookups'!$Q:$Q,'Inputs Yr 2'!$F237,'NEI Lookups'!J:J)+SUMIF('NEI Lookups'!$R:$R,'Inputs Yr 2'!$F237,'NEI Lookups'!J:J)+SUMIF('NEI Lookups'!$S:$S,'Inputs Yr 2'!$F237,'NEI Lookups'!J:J)+SUMIF('NEI Lookups'!$T:$T,'Inputs Yr 2'!$F237,'NEI Lookups'!J:J)</f>
        <v>0</v>
      </c>
      <c r="AY237" s="930">
        <f>'Calculations Yr 2'!CP237/'Calculations Yr 2'!I237</f>
        <v>1.1034766467977783</v>
      </c>
    </row>
    <row r="238" spans="1:51" s="133" customFormat="1" ht="12.75" customHeight="1">
      <c r="A238" s="145" t="s">
        <v>83</v>
      </c>
      <c r="B238" s="132" t="s">
        <v>873</v>
      </c>
      <c r="C238" s="132" t="s">
        <v>908</v>
      </c>
      <c r="D238" s="906" t="s">
        <v>1570</v>
      </c>
      <c r="E238" s="655" t="s">
        <v>788</v>
      </c>
      <c r="F238" s="150" t="s">
        <v>1123</v>
      </c>
      <c r="G238" s="145" t="s">
        <v>545</v>
      </c>
      <c r="H238" s="232">
        <v>178</v>
      </c>
      <c r="I238" s="234">
        <v>12</v>
      </c>
      <c r="J238" s="964">
        <v>3400</v>
      </c>
      <c r="K238" s="871">
        <v>1085.2</v>
      </c>
      <c r="L238" s="888">
        <f t="shared" si="58"/>
        <v>2314.8000000000002</v>
      </c>
      <c r="M238" s="978">
        <v>0.30099999999999999</v>
      </c>
      <c r="N238" s="978">
        <v>0.14699999999999999</v>
      </c>
      <c r="O238" s="978">
        <v>0</v>
      </c>
      <c r="P238" s="889">
        <f t="shared" si="79"/>
        <v>0.84600000000000009</v>
      </c>
      <c r="Q238" s="978">
        <v>1</v>
      </c>
      <c r="R238" s="178">
        <v>1</v>
      </c>
      <c r="S238" s="178">
        <v>1</v>
      </c>
      <c r="T238" s="178">
        <v>1</v>
      </c>
      <c r="U238" s="978">
        <v>1</v>
      </c>
      <c r="V238" s="978">
        <v>1</v>
      </c>
      <c r="W238" s="179"/>
      <c r="X238" s="937" t="s">
        <v>653</v>
      </c>
      <c r="Y238" s="299">
        <f>IFERROR(VLOOKUP($X238,'Demand Lookups'!$A$5:$K$101,9,0), 0)</f>
        <v>0</v>
      </c>
      <c r="Z238" s="922" t="str">
        <f>IFERROR(VLOOKUP(X238,'Demand Lookups'!$A$5:$B$101,2,0),0)</f>
        <v>Non-Electric Measures</v>
      </c>
      <c r="AA238" s="722">
        <f>IF(ISNA(VLOOKUP($X238,'Demand Lookups'!$A$5:$K$81,3,0)),0,VLOOKUP($X238,'Demand Lookups'!$A$5:$K$81,3,0))</f>
        <v>0</v>
      </c>
      <c r="AB238" s="722">
        <f>IF(ISNA(VLOOKUP($X238,'Demand Lookups'!$A$5:$K$81,4,0)),0,VLOOKUP($X238,'Demand Lookups'!$A$5:$K$81,4,0))</f>
        <v>0</v>
      </c>
      <c r="AC238" s="722">
        <f>IF(ISNA(VLOOKUP($X238,'Demand Lookups'!$A$5:$K$81,5,0)),0,VLOOKUP($X238,'Demand Lookups'!$A$5:$K$81,5,0))</f>
        <v>0</v>
      </c>
      <c r="AD238" s="723">
        <f>IF(ISNA(VLOOKUP($X238,'Demand Lookups'!$A$5:$K$81,6,0)),0,VLOOKUP($X238,'Demand Lookups'!$A$5:$K$81,6,0))</f>
        <v>0</v>
      </c>
      <c r="AE238" s="724">
        <f t="shared" si="80"/>
        <v>0</v>
      </c>
      <c r="AF238" s="723">
        <f>ROUND(IF(ISNA(VLOOKUP($X238,'Demand Lookups'!$A$5:$K$82,10,0)),0,(VLOOKUP($X238,'Demand Lookups'!$A$5:$K$82,10,0))),2)</f>
        <v>0</v>
      </c>
      <c r="AG238" s="723">
        <f>ROUND(IF(ISNA(VLOOKUP($X238,'Demand Lookups'!$A$5:$K$82,11,0)),0,VLOOKUP($X238,'Demand Lookups'!$A$5:$K$82,11,0)),2)</f>
        <v>0</v>
      </c>
      <c r="AH238" s="648">
        <f t="shared" si="81"/>
        <v>0</v>
      </c>
      <c r="AI238" s="648">
        <f t="shared" si="82"/>
        <v>0</v>
      </c>
      <c r="AJ238" s="167" t="s">
        <v>200</v>
      </c>
      <c r="AK238" s="866">
        <v>50.8</v>
      </c>
      <c r="AL238" s="167"/>
      <c r="AM238" s="168"/>
      <c r="AN238" s="167"/>
      <c r="AO238" s="168"/>
      <c r="AP238" s="167"/>
      <c r="AQ238" s="171">
        <v>0</v>
      </c>
      <c r="AR238" s="171">
        <v>0</v>
      </c>
      <c r="AS238" s="299">
        <f>SUMIF('NEI Lookups'!$L:$L,'Inputs Yr 2'!$F238,'NEI Lookups'!E:E)+SUMIF('NEI Lookups'!$M:$M,'Inputs Yr 2'!$F238,'NEI Lookups'!E:E)+SUMIF('NEI Lookups'!$N:$N,'Inputs Yr 2'!$F238,'NEI Lookups'!E:E)+SUMIF('NEI Lookups'!$O:$O,'Inputs Yr 2'!$F238,'NEI Lookups'!E:E)+SUMIF('NEI Lookups'!$P:$P,'Inputs Yr 2'!$F238,'NEI Lookups'!E:E)+SUMIF('NEI Lookups'!$Q:$Q,'Inputs Yr 2'!$F238,'NEI Lookups'!E:E)+SUMIF('NEI Lookups'!$R:$R,'Inputs Yr 2'!$F238,'NEI Lookups'!E:E)+SUMIF('NEI Lookups'!$S:$S,'Inputs Yr 2'!$F238,'NEI Lookups'!E:E)+SUMIF('NEI Lookups'!$T:$T,'Inputs Yr 2'!$F238,'NEI Lookups'!E:E)</f>
        <v>0</v>
      </c>
      <c r="AT238" s="299">
        <f>SUMIF('NEI Lookups'!$L:$L,'Inputs Yr 2'!$F238,'NEI Lookups'!F:F)+SUMIF('NEI Lookups'!$M:$M,'Inputs Yr 2'!$F238,'NEI Lookups'!F:F)+SUMIF('NEI Lookups'!$N:$N,'Inputs Yr 2'!$F238,'NEI Lookups'!F:F)+SUMIF('NEI Lookups'!$O:$O,'Inputs Yr 2'!$F238,'NEI Lookups'!F:F)+SUMIF('NEI Lookups'!$P:$P,'Inputs Yr 2'!$F238,'NEI Lookups'!F:F)+SUMIF('NEI Lookups'!$Q:$Q,'Inputs Yr 2'!$F238,'NEI Lookups'!F:F)+SUMIF('NEI Lookups'!$R:$R,'Inputs Yr 2'!$F238,'NEI Lookups'!F:F)+SUMIF('NEI Lookups'!$S:$S,'Inputs Yr 2'!$F238,'NEI Lookups'!F:F)+SUMIF('NEI Lookups'!$T:$T,'Inputs Yr 2'!$F238,'NEI Lookups'!F:F)</f>
        <v>0</v>
      </c>
      <c r="AU238" s="299">
        <f>SUMIF('NEI Lookups'!$L:$L,'Inputs Yr 2'!$F238,'NEI Lookups'!G:G)+SUMIF('NEI Lookups'!$M:$M,'Inputs Yr 2'!$F238,'NEI Lookups'!G:G)+SUMIF('NEI Lookups'!$N:$N,'Inputs Yr 2'!$F238,'NEI Lookups'!G:G)+SUMIF('NEI Lookups'!$O:$O,'Inputs Yr 2'!$F238,'NEI Lookups'!G:G)+SUMIF('NEI Lookups'!$P:$P,'Inputs Yr 2'!$F238,'NEI Lookups'!G:G)+SUMIF('NEI Lookups'!$Q:$Q,'Inputs Yr 2'!$F238,'NEI Lookups'!G:G)+SUMIF('NEI Lookups'!$R:$R,'Inputs Yr 2'!$F238,'NEI Lookups'!G:G)+SUMIF('NEI Lookups'!$S:$S,'Inputs Yr 2'!$F238,'NEI Lookups'!G:G)+SUMIF('NEI Lookups'!$T:$T,'Inputs Yr 2'!$F238,'NEI Lookups'!G:G)</f>
        <v>0</v>
      </c>
      <c r="AV238" s="299">
        <f>SUMIF('NEI Lookups'!$L:$L,'Inputs Yr 2'!$F238,'NEI Lookups'!H:H)+SUMIF('NEI Lookups'!$M:$M,'Inputs Yr 2'!$F238,'NEI Lookups'!H:H)+SUMIF('NEI Lookups'!$N:$N,'Inputs Yr 2'!$F238,'NEI Lookups'!H:H)+SUMIF('NEI Lookups'!$O:$O,'Inputs Yr 2'!$F238,'NEI Lookups'!H:H)+SUMIF('NEI Lookups'!$P:$P,'Inputs Yr 2'!$F238,'NEI Lookups'!H:H)+SUMIF('NEI Lookups'!$Q:$Q,'Inputs Yr 2'!$F238,'NEI Lookups'!H:H)+SUMIF('NEI Lookups'!$R:$R,'Inputs Yr 2'!$F238,'NEI Lookups'!H:H)+SUMIF('NEI Lookups'!$S:$S,'Inputs Yr 2'!$F238,'NEI Lookups'!H:H)+SUMIF('NEI Lookups'!$T:$T,'Inputs Yr 2'!$F238,'NEI Lookups'!H:H)</f>
        <v>0</v>
      </c>
      <c r="AW238" s="299">
        <f>SUMIF('NEI Lookups'!$L:$L,'Inputs Yr 2'!$F238,'NEI Lookups'!I:I)+SUMIF('NEI Lookups'!$M:$M,'Inputs Yr 2'!$F238,'NEI Lookups'!I:I)+SUMIF('NEI Lookups'!$N:$N,'Inputs Yr 2'!$F238,'NEI Lookups'!I:I)+SUMIF('NEI Lookups'!$O:$O,'Inputs Yr 2'!$F238,'NEI Lookups'!I:I)+SUMIF('NEI Lookups'!$P:$P,'Inputs Yr 2'!$F238,'NEI Lookups'!I:I)+SUMIF('NEI Lookups'!$Q:$Q,'Inputs Yr 2'!$F238,'NEI Lookups'!I:I)+SUMIF('NEI Lookups'!$R:$R,'Inputs Yr 2'!$F238,'NEI Lookups'!I:I)+SUMIF('NEI Lookups'!$S:$S,'Inputs Yr 2'!$F238,'NEI Lookups'!I:I)+SUMIF('NEI Lookups'!$T:$T,'Inputs Yr 2'!$F238,'NEI Lookups'!I:I)</f>
        <v>0</v>
      </c>
      <c r="AX238" s="299">
        <f>SUMIF('NEI Lookups'!$L:$L,'Inputs Yr 2'!$F238,'NEI Lookups'!J:J)+SUMIF('NEI Lookups'!$M:$M,'Inputs Yr 2'!$F238,'NEI Lookups'!J:J)+SUMIF('NEI Lookups'!$N:$N,'Inputs Yr 2'!$F238,'NEI Lookups'!J:J)+SUMIF('NEI Lookups'!$O:$O,'Inputs Yr 2'!$F238,'NEI Lookups'!J:J)+SUMIF('NEI Lookups'!$P:$P,'Inputs Yr 2'!$F238,'NEI Lookups'!J:J)+SUMIF('NEI Lookups'!$Q:$Q,'Inputs Yr 2'!$F238,'NEI Lookups'!J:J)+SUMIF('NEI Lookups'!$R:$R,'Inputs Yr 2'!$F238,'NEI Lookups'!J:J)+SUMIF('NEI Lookups'!$S:$S,'Inputs Yr 2'!$F238,'NEI Lookups'!J:J)+SUMIF('NEI Lookups'!$T:$T,'Inputs Yr 2'!$F238,'NEI Lookups'!J:J)</f>
        <v>0</v>
      </c>
      <c r="AY238" s="930">
        <f>'Calculations Yr 2'!CP238/'Calculations Yr 2'!I238</f>
        <v>1.4662315875793923</v>
      </c>
    </row>
    <row r="239" spans="1:51" s="133" customFormat="1" ht="13.5" customHeight="1">
      <c r="A239" s="145" t="s">
        <v>83</v>
      </c>
      <c r="B239" s="132" t="s">
        <v>873</v>
      </c>
      <c r="C239" s="132" t="s">
        <v>908</v>
      </c>
      <c r="D239" s="906" t="s">
        <v>1571</v>
      </c>
      <c r="E239" s="655" t="s">
        <v>789</v>
      </c>
      <c r="F239" s="150" t="s">
        <v>1124</v>
      </c>
      <c r="G239" s="145" t="s">
        <v>545</v>
      </c>
      <c r="H239" s="232">
        <v>1</v>
      </c>
      <c r="I239" s="234">
        <v>12</v>
      </c>
      <c r="J239" s="964">
        <v>2000</v>
      </c>
      <c r="K239" s="871">
        <v>1000</v>
      </c>
      <c r="L239" s="888">
        <f t="shared" si="58"/>
        <v>1000</v>
      </c>
      <c r="M239" s="978">
        <v>0.30099999999999999</v>
      </c>
      <c r="N239" s="978">
        <v>0.14699999999999999</v>
      </c>
      <c r="O239" s="978">
        <v>0</v>
      </c>
      <c r="P239" s="889">
        <f t="shared" si="79"/>
        <v>0.84600000000000009</v>
      </c>
      <c r="Q239" s="978">
        <v>1</v>
      </c>
      <c r="R239" s="178">
        <v>1</v>
      </c>
      <c r="S239" s="178">
        <v>1</v>
      </c>
      <c r="T239" s="178">
        <v>1</v>
      </c>
      <c r="U239" s="978">
        <v>1</v>
      </c>
      <c r="V239" s="978">
        <v>1</v>
      </c>
      <c r="W239" s="179"/>
      <c r="X239" s="937" t="s">
        <v>653</v>
      </c>
      <c r="Y239" s="299">
        <f>IFERROR(VLOOKUP($X239,'Demand Lookups'!$A$5:$K$101,9,0), 0)</f>
        <v>0</v>
      </c>
      <c r="Z239" s="922" t="str">
        <f>IFERROR(VLOOKUP(X239,'Demand Lookups'!$A$5:$B$101,2,0),0)</f>
        <v>Non-Electric Measures</v>
      </c>
      <c r="AA239" s="722">
        <f>IF(ISNA(VLOOKUP($X239,'Demand Lookups'!$A$5:$K$81,3,0)),0,VLOOKUP($X239,'Demand Lookups'!$A$5:$K$81,3,0))</f>
        <v>0</v>
      </c>
      <c r="AB239" s="722">
        <f>IF(ISNA(VLOOKUP($X239,'Demand Lookups'!$A$5:$K$81,4,0)),0,VLOOKUP($X239,'Demand Lookups'!$A$5:$K$81,4,0))</f>
        <v>0</v>
      </c>
      <c r="AC239" s="722">
        <f>IF(ISNA(VLOOKUP($X239,'Demand Lookups'!$A$5:$K$81,5,0)),0,VLOOKUP($X239,'Demand Lookups'!$A$5:$K$81,5,0))</f>
        <v>0</v>
      </c>
      <c r="AD239" s="723">
        <f>IF(ISNA(VLOOKUP($X239,'Demand Lookups'!$A$5:$K$81,6,0)),0,VLOOKUP($X239,'Demand Lookups'!$A$5:$K$81,6,0))</f>
        <v>0</v>
      </c>
      <c r="AE239" s="724">
        <f t="shared" si="80"/>
        <v>0</v>
      </c>
      <c r="AF239" s="723">
        <f>ROUND(IF(ISNA(VLOOKUP($X239,'Demand Lookups'!$A$5:$K$82,10,0)),0,(VLOOKUP($X239,'Demand Lookups'!$A$5:$K$82,10,0))),2)</f>
        <v>0</v>
      </c>
      <c r="AG239" s="723">
        <f>ROUND(IF(ISNA(VLOOKUP($X239,'Demand Lookups'!$A$5:$K$82,11,0)),0,VLOOKUP($X239,'Demand Lookups'!$A$5:$K$82,11,0)),2)</f>
        <v>0</v>
      </c>
      <c r="AH239" s="648">
        <f t="shared" si="81"/>
        <v>0</v>
      </c>
      <c r="AI239" s="648">
        <f t="shared" si="82"/>
        <v>0</v>
      </c>
      <c r="AJ239" s="167" t="s">
        <v>200</v>
      </c>
      <c r="AK239" s="866">
        <v>105.39999999999999</v>
      </c>
      <c r="AL239" s="167"/>
      <c r="AM239" s="168"/>
      <c r="AN239" s="167"/>
      <c r="AO239" s="168"/>
      <c r="AP239" s="167"/>
      <c r="AQ239" s="171">
        <v>162060</v>
      </c>
      <c r="AR239" s="171">
        <v>162060</v>
      </c>
      <c r="AS239" s="299">
        <f>SUMIF('NEI Lookups'!$L:$L,'Inputs Yr 2'!$F239,'NEI Lookups'!E:E)+SUMIF('NEI Lookups'!$M:$M,'Inputs Yr 2'!$F239,'NEI Lookups'!E:E)+SUMIF('NEI Lookups'!$N:$N,'Inputs Yr 2'!$F239,'NEI Lookups'!E:E)+SUMIF('NEI Lookups'!$O:$O,'Inputs Yr 2'!$F239,'NEI Lookups'!E:E)+SUMIF('NEI Lookups'!$P:$P,'Inputs Yr 2'!$F239,'NEI Lookups'!E:E)+SUMIF('NEI Lookups'!$Q:$Q,'Inputs Yr 2'!$F239,'NEI Lookups'!E:E)+SUMIF('NEI Lookups'!$R:$R,'Inputs Yr 2'!$F239,'NEI Lookups'!E:E)+SUMIF('NEI Lookups'!$S:$S,'Inputs Yr 2'!$F239,'NEI Lookups'!E:E)+SUMIF('NEI Lookups'!$T:$T,'Inputs Yr 2'!$F239,'NEI Lookups'!E:E)</f>
        <v>0</v>
      </c>
      <c r="AT239" s="299">
        <f>SUMIF('NEI Lookups'!$L:$L,'Inputs Yr 2'!$F239,'NEI Lookups'!F:F)+SUMIF('NEI Lookups'!$M:$M,'Inputs Yr 2'!$F239,'NEI Lookups'!F:F)+SUMIF('NEI Lookups'!$N:$N,'Inputs Yr 2'!$F239,'NEI Lookups'!F:F)+SUMIF('NEI Lookups'!$O:$O,'Inputs Yr 2'!$F239,'NEI Lookups'!F:F)+SUMIF('NEI Lookups'!$P:$P,'Inputs Yr 2'!$F239,'NEI Lookups'!F:F)+SUMIF('NEI Lookups'!$Q:$Q,'Inputs Yr 2'!$F239,'NEI Lookups'!F:F)+SUMIF('NEI Lookups'!$R:$R,'Inputs Yr 2'!$F239,'NEI Lookups'!F:F)+SUMIF('NEI Lookups'!$S:$S,'Inputs Yr 2'!$F239,'NEI Lookups'!F:F)+SUMIF('NEI Lookups'!$T:$T,'Inputs Yr 2'!$F239,'NEI Lookups'!F:F)</f>
        <v>0</v>
      </c>
      <c r="AU239" s="299">
        <f>SUMIF('NEI Lookups'!$L:$L,'Inputs Yr 2'!$F239,'NEI Lookups'!G:G)+SUMIF('NEI Lookups'!$M:$M,'Inputs Yr 2'!$F239,'NEI Lookups'!G:G)+SUMIF('NEI Lookups'!$N:$N,'Inputs Yr 2'!$F239,'NEI Lookups'!G:G)+SUMIF('NEI Lookups'!$O:$O,'Inputs Yr 2'!$F239,'NEI Lookups'!G:G)+SUMIF('NEI Lookups'!$P:$P,'Inputs Yr 2'!$F239,'NEI Lookups'!G:G)+SUMIF('NEI Lookups'!$Q:$Q,'Inputs Yr 2'!$F239,'NEI Lookups'!G:G)+SUMIF('NEI Lookups'!$R:$R,'Inputs Yr 2'!$F239,'NEI Lookups'!G:G)+SUMIF('NEI Lookups'!$S:$S,'Inputs Yr 2'!$F239,'NEI Lookups'!G:G)+SUMIF('NEI Lookups'!$T:$T,'Inputs Yr 2'!$F239,'NEI Lookups'!G:G)</f>
        <v>0</v>
      </c>
      <c r="AV239" s="299">
        <f>SUMIF('NEI Lookups'!$L:$L,'Inputs Yr 2'!$F239,'NEI Lookups'!H:H)+SUMIF('NEI Lookups'!$M:$M,'Inputs Yr 2'!$F239,'NEI Lookups'!H:H)+SUMIF('NEI Lookups'!$N:$N,'Inputs Yr 2'!$F239,'NEI Lookups'!H:H)+SUMIF('NEI Lookups'!$O:$O,'Inputs Yr 2'!$F239,'NEI Lookups'!H:H)+SUMIF('NEI Lookups'!$P:$P,'Inputs Yr 2'!$F239,'NEI Lookups'!H:H)+SUMIF('NEI Lookups'!$Q:$Q,'Inputs Yr 2'!$F239,'NEI Lookups'!H:H)+SUMIF('NEI Lookups'!$R:$R,'Inputs Yr 2'!$F239,'NEI Lookups'!H:H)+SUMIF('NEI Lookups'!$S:$S,'Inputs Yr 2'!$F239,'NEI Lookups'!H:H)+SUMIF('NEI Lookups'!$T:$T,'Inputs Yr 2'!$F239,'NEI Lookups'!H:H)</f>
        <v>0</v>
      </c>
      <c r="AW239" s="299">
        <f>SUMIF('NEI Lookups'!$L:$L,'Inputs Yr 2'!$F239,'NEI Lookups'!I:I)+SUMIF('NEI Lookups'!$M:$M,'Inputs Yr 2'!$F239,'NEI Lookups'!I:I)+SUMIF('NEI Lookups'!$N:$N,'Inputs Yr 2'!$F239,'NEI Lookups'!I:I)+SUMIF('NEI Lookups'!$O:$O,'Inputs Yr 2'!$F239,'NEI Lookups'!I:I)+SUMIF('NEI Lookups'!$P:$P,'Inputs Yr 2'!$F239,'NEI Lookups'!I:I)+SUMIF('NEI Lookups'!$Q:$Q,'Inputs Yr 2'!$F239,'NEI Lookups'!I:I)+SUMIF('NEI Lookups'!$R:$R,'Inputs Yr 2'!$F239,'NEI Lookups'!I:I)+SUMIF('NEI Lookups'!$S:$S,'Inputs Yr 2'!$F239,'NEI Lookups'!I:I)+SUMIF('NEI Lookups'!$T:$T,'Inputs Yr 2'!$F239,'NEI Lookups'!I:I)</f>
        <v>0</v>
      </c>
      <c r="AX239" s="299">
        <f>SUMIF('NEI Lookups'!$L:$L,'Inputs Yr 2'!$F239,'NEI Lookups'!J:J)+SUMIF('NEI Lookups'!$M:$M,'Inputs Yr 2'!$F239,'NEI Lookups'!J:J)+SUMIF('NEI Lookups'!$N:$N,'Inputs Yr 2'!$F239,'NEI Lookups'!J:J)+SUMIF('NEI Lookups'!$O:$O,'Inputs Yr 2'!$F239,'NEI Lookups'!J:J)+SUMIF('NEI Lookups'!$P:$P,'Inputs Yr 2'!$F239,'NEI Lookups'!J:J)+SUMIF('NEI Lookups'!$Q:$Q,'Inputs Yr 2'!$F239,'NEI Lookups'!J:J)+SUMIF('NEI Lookups'!$R:$R,'Inputs Yr 2'!$F239,'NEI Lookups'!J:J)+SUMIF('NEI Lookups'!$S:$S,'Inputs Yr 2'!$F239,'NEI Lookups'!J:J)+SUMIF('NEI Lookups'!$T:$T,'Inputs Yr 2'!$F239,'NEI Lookups'!J:J)</f>
        <v>0</v>
      </c>
      <c r="AY239" s="930">
        <f>'Calculations Yr 2'!CP239/'Calculations Yr 2'!I239</f>
        <v>15.432711672998215</v>
      </c>
    </row>
    <row r="240" spans="1:51" s="133" customFormat="1" ht="15.75" customHeight="1" thickBot="1">
      <c r="A240" s="147" t="s">
        <v>83</v>
      </c>
      <c r="B240" s="146" t="s">
        <v>873</v>
      </c>
      <c r="C240" s="146" t="s">
        <v>911</v>
      </c>
      <c r="D240" s="149"/>
      <c r="E240" s="177" t="s">
        <v>453</v>
      </c>
      <c r="F240" s="657"/>
      <c r="G240" s="147"/>
      <c r="H240" s="172"/>
      <c r="I240" s="238"/>
      <c r="J240" s="970"/>
      <c r="K240" s="173"/>
      <c r="L240" s="898">
        <f t="shared" si="58"/>
        <v>0</v>
      </c>
      <c r="M240" s="979"/>
      <c r="N240" s="979"/>
      <c r="O240" s="979"/>
      <c r="P240" s="895">
        <v>1</v>
      </c>
      <c r="Q240" s="979">
        <v>1</v>
      </c>
      <c r="R240" s="221">
        <v>1</v>
      </c>
      <c r="S240" s="221">
        <v>1</v>
      </c>
      <c r="T240" s="221">
        <v>1</v>
      </c>
      <c r="U240" s="978">
        <v>0</v>
      </c>
      <c r="V240" s="979">
        <v>0</v>
      </c>
      <c r="W240" s="222"/>
      <c r="X240" s="146" t="s">
        <v>653</v>
      </c>
      <c r="Y240" s="302">
        <f>IFERROR(VLOOKUP($X240,'Demand Lookups'!$A$5:$K$101,9,0), 0)</f>
        <v>0</v>
      </c>
      <c r="Z240" s="923" t="str">
        <f>IFERROR(VLOOKUP(X240,'Demand Lookups'!$A$5:$B$101,2,0),0)</f>
        <v>Non-Electric Measures</v>
      </c>
      <c r="AA240" s="650">
        <v>0</v>
      </c>
      <c r="AB240" s="650">
        <v>0</v>
      </c>
      <c r="AC240" s="650">
        <v>0</v>
      </c>
      <c r="AD240" s="651">
        <v>0</v>
      </c>
      <c r="AE240" s="724">
        <f t="shared" si="80"/>
        <v>0</v>
      </c>
      <c r="AF240" s="651">
        <v>0</v>
      </c>
      <c r="AG240" s="651">
        <v>0</v>
      </c>
      <c r="AH240" s="653">
        <v>0</v>
      </c>
      <c r="AI240" s="653">
        <v>0</v>
      </c>
      <c r="AJ240" s="174"/>
      <c r="AK240" s="303"/>
      <c r="AL240" s="174"/>
      <c r="AM240" s="303"/>
      <c r="AN240" s="174"/>
      <c r="AO240" s="303"/>
      <c r="AP240" s="174"/>
      <c r="AQ240" s="175"/>
      <c r="AR240" s="175"/>
      <c r="AS240" s="302">
        <f>SUMIF('NEI Lookups'!$L:$L,'Inputs Yr 2'!$F240,'NEI Lookups'!E:E)+SUMIF('NEI Lookups'!$M:$M,'Inputs Yr 2'!$F240,'NEI Lookups'!E:E)+SUMIF('NEI Lookups'!$N:$N,'Inputs Yr 2'!$F240,'NEI Lookups'!E:E)+SUMIF('NEI Lookups'!$O:$O,'Inputs Yr 2'!$F240,'NEI Lookups'!E:E)+SUMIF('NEI Lookups'!$P:$P,'Inputs Yr 2'!$F240,'NEI Lookups'!E:E)+SUMIF('NEI Lookups'!$Q:$Q,'Inputs Yr 2'!$F240,'NEI Lookups'!E:E)+SUMIF('NEI Lookups'!$R:$R,'Inputs Yr 2'!$F240,'NEI Lookups'!E:E)+SUMIF('NEI Lookups'!$S:$S,'Inputs Yr 2'!$F240,'NEI Lookups'!E:E)+SUMIF('NEI Lookups'!$T:$T,'Inputs Yr 2'!$F240,'NEI Lookups'!E:E)</f>
        <v>0</v>
      </c>
      <c r="AT240" s="302">
        <f>SUMIF('NEI Lookups'!$L:$L,'Inputs Yr 2'!$F240,'NEI Lookups'!F:F)+SUMIF('NEI Lookups'!$M:$M,'Inputs Yr 2'!$F240,'NEI Lookups'!F:F)+SUMIF('NEI Lookups'!$N:$N,'Inputs Yr 2'!$F240,'NEI Lookups'!F:F)+SUMIF('NEI Lookups'!$O:$O,'Inputs Yr 2'!$F240,'NEI Lookups'!F:F)+SUMIF('NEI Lookups'!$P:$P,'Inputs Yr 2'!$F240,'NEI Lookups'!F:F)+SUMIF('NEI Lookups'!$Q:$Q,'Inputs Yr 2'!$F240,'NEI Lookups'!F:F)+SUMIF('NEI Lookups'!$R:$R,'Inputs Yr 2'!$F240,'NEI Lookups'!F:F)+SUMIF('NEI Lookups'!$S:$S,'Inputs Yr 2'!$F240,'NEI Lookups'!F:F)+SUMIF('NEI Lookups'!$T:$T,'Inputs Yr 2'!$F240,'NEI Lookups'!F:F)</f>
        <v>0</v>
      </c>
      <c r="AU240" s="302">
        <f>SUMIF('NEI Lookups'!$L:$L,'Inputs Yr 2'!$F240,'NEI Lookups'!G:G)+SUMIF('NEI Lookups'!$M:$M,'Inputs Yr 2'!$F240,'NEI Lookups'!G:G)+SUMIF('NEI Lookups'!$N:$N,'Inputs Yr 2'!$F240,'NEI Lookups'!G:G)+SUMIF('NEI Lookups'!$O:$O,'Inputs Yr 2'!$F240,'NEI Lookups'!G:G)+SUMIF('NEI Lookups'!$P:$P,'Inputs Yr 2'!$F240,'NEI Lookups'!G:G)+SUMIF('NEI Lookups'!$Q:$Q,'Inputs Yr 2'!$F240,'NEI Lookups'!G:G)+SUMIF('NEI Lookups'!$R:$R,'Inputs Yr 2'!$F240,'NEI Lookups'!G:G)+SUMIF('NEI Lookups'!$S:$S,'Inputs Yr 2'!$F240,'NEI Lookups'!G:G)+SUMIF('NEI Lookups'!$T:$T,'Inputs Yr 2'!$F240,'NEI Lookups'!G:G)</f>
        <v>0</v>
      </c>
      <c r="AV240" s="302">
        <f>SUMIF('NEI Lookups'!$L:$L,'Inputs Yr 2'!$F240,'NEI Lookups'!H:H)+SUMIF('NEI Lookups'!$M:$M,'Inputs Yr 2'!$F240,'NEI Lookups'!H:H)+SUMIF('NEI Lookups'!$N:$N,'Inputs Yr 2'!$F240,'NEI Lookups'!H:H)+SUMIF('NEI Lookups'!$O:$O,'Inputs Yr 2'!$F240,'NEI Lookups'!H:H)+SUMIF('NEI Lookups'!$P:$P,'Inputs Yr 2'!$F240,'NEI Lookups'!H:H)+SUMIF('NEI Lookups'!$Q:$Q,'Inputs Yr 2'!$F240,'NEI Lookups'!H:H)+SUMIF('NEI Lookups'!$R:$R,'Inputs Yr 2'!$F240,'NEI Lookups'!H:H)+SUMIF('NEI Lookups'!$S:$S,'Inputs Yr 2'!$F240,'NEI Lookups'!H:H)+SUMIF('NEI Lookups'!$T:$T,'Inputs Yr 2'!$F240,'NEI Lookups'!H:H)</f>
        <v>0</v>
      </c>
      <c r="AW240" s="302">
        <f>SUMIF('NEI Lookups'!$L:$L,'Inputs Yr 2'!$F240,'NEI Lookups'!I:I)+SUMIF('NEI Lookups'!$M:$M,'Inputs Yr 2'!$F240,'NEI Lookups'!I:I)+SUMIF('NEI Lookups'!$N:$N,'Inputs Yr 2'!$F240,'NEI Lookups'!I:I)+SUMIF('NEI Lookups'!$O:$O,'Inputs Yr 2'!$F240,'NEI Lookups'!I:I)+SUMIF('NEI Lookups'!$P:$P,'Inputs Yr 2'!$F240,'NEI Lookups'!I:I)+SUMIF('NEI Lookups'!$Q:$Q,'Inputs Yr 2'!$F240,'NEI Lookups'!I:I)+SUMIF('NEI Lookups'!$R:$R,'Inputs Yr 2'!$F240,'NEI Lookups'!I:I)+SUMIF('NEI Lookups'!$S:$S,'Inputs Yr 2'!$F240,'NEI Lookups'!I:I)+SUMIF('NEI Lookups'!$T:$T,'Inputs Yr 2'!$F240,'NEI Lookups'!I:I)</f>
        <v>0</v>
      </c>
      <c r="AX240" s="302">
        <f>SUMIF('NEI Lookups'!$L:$L,'Inputs Yr 2'!$F240,'NEI Lookups'!J:J)+SUMIF('NEI Lookups'!$M:$M,'Inputs Yr 2'!$F240,'NEI Lookups'!J:J)+SUMIF('NEI Lookups'!$N:$N,'Inputs Yr 2'!$F240,'NEI Lookups'!J:J)+SUMIF('NEI Lookups'!$O:$O,'Inputs Yr 2'!$F240,'NEI Lookups'!J:J)+SUMIF('NEI Lookups'!$P:$P,'Inputs Yr 2'!$F240,'NEI Lookups'!J:J)+SUMIF('NEI Lookups'!$Q:$Q,'Inputs Yr 2'!$F240,'NEI Lookups'!J:J)+SUMIF('NEI Lookups'!$R:$R,'Inputs Yr 2'!$F240,'NEI Lookups'!J:J)+SUMIF('NEI Lookups'!$S:$S,'Inputs Yr 2'!$F240,'NEI Lookups'!J:J)+SUMIF('NEI Lookups'!$T:$T,'Inputs Yr 2'!$F240,'NEI Lookups'!J:J)</f>
        <v>0</v>
      </c>
      <c r="AY240" s="930" t="e">
        <f>'Calculations Yr 2'!CP240/'Calculations Yr 2'!I240</f>
        <v>#VALUE!</v>
      </c>
    </row>
    <row r="241" spans="1:51" s="133" customFormat="1" ht="12.75" customHeight="1">
      <c r="A241" s="145" t="s">
        <v>83</v>
      </c>
      <c r="B241" s="132" t="s">
        <v>870</v>
      </c>
      <c r="C241" s="132" t="s">
        <v>841</v>
      </c>
      <c r="D241" s="902"/>
      <c r="E241" s="150" t="s">
        <v>1338</v>
      </c>
      <c r="F241" s="150" t="s">
        <v>1125</v>
      </c>
      <c r="G241" s="145" t="s">
        <v>1244</v>
      </c>
      <c r="H241" s="165">
        <v>1</v>
      </c>
      <c r="I241" s="234">
        <v>10</v>
      </c>
      <c r="J241" s="971">
        <v>19605.5</v>
      </c>
      <c r="K241" s="871">
        <v>9802.75</v>
      </c>
      <c r="L241" s="888">
        <f t="shared" si="58"/>
        <v>9802.75</v>
      </c>
      <c r="M241" s="978">
        <v>0.11</v>
      </c>
      <c r="N241" s="978">
        <v>2.6000000000000002E-2</v>
      </c>
      <c r="O241" s="978">
        <v>3.0000000000000001E-3</v>
      </c>
      <c r="P241" s="889">
        <f t="shared" si="79"/>
        <v>0.91900000000000004</v>
      </c>
      <c r="Q241" s="978">
        <v>1</v>
      </c>
      <c r="R241" s="178">
        <v>1</v>
      </c>
      <c r="S241" s="178">
        <v>1</v>
      </c>
      <c r="T241" s="178">
        <v>1</v>
      </c>
      <c r="U241" s="991">
        <v>0.77900000000000003</v>
      </c>
      <c r="V241" s="978">
        <v>1</v>
      </c>
      <c r="W241" s="179"/>
      <c r="X241" s="937" t="s">
        <v>653</v>
      </c>
      <c r="Y241" s="299">
        <f>IFERROR(VLOOKUP($X241,'Demand Lookups'!$A$5:$K$101,9,0), 0)</f>
        <v>0</v>
      </c>
      <c r="Z241" s="922" t="str">
        <f>IFERROR(VLOOKUP(X241,'Demand Lookups'!$A$5:$B$101,2,0),0)</f>
        <v>Non-Electric Measures</v>
      </c>
      <c r="AA241" s="835">
        <f>IF(ISNA(VLOOKUP($X241,'Demand Lookups'!$A$5:$K$81,3,0)),0,VLOOKUP($X241,'Demand Lookups'!$A$5:$K$81,3,0))</f>
        <v>0</v>
      </c>
      <c r="AB241" s="835">
        <f>IF(ISNA(VLOOKUP($X241,'Demand Lookups'!$A$5:$K$81,4,0)),0,VLOOKUP($X241,'Demand Lookups'!$A$5:$K$81,4,0))</f>
        <v>0</v>
      </c>
      <c r="AC241" s="835">
        <f>IF(ISNA(VLOOKUP($X241,'Demand Lookups'!$A$5:$K$81,5,0)),0,VLOOKUP($X241,'Demand Lookups'!$A$5:$K$81,5,0))</f>
        <v>0</v>
      </c>
      <c r="AD241" s="836">
        <f>IF(ISNA(VLOOKUP($X241,'Demand Lookups'!$A$5:$K$81,6,0)),0,VLOOKUP($X241,'Demand Lookups'!$A$5:$K$81,6,0))</f>
        <v>0</v>
      </c>
      <c r="AE241" s="837">
        <f t="shared" si="80"/>
        <v>0</v>
      </c>
      <c r="AF241" s="836">
        <f>ROUND(IF(ISNA(VLOOKUP($X241,'Demand Lookups'!$A$5:$K$82,10,0)),0,(VLOOKUP($X241,'Demand Lookups'!$A$5:$K$82,10,0))),2)</f>
        <v>0</v>
      </c>
      <c r="AG241" s="836">
        <f>ROUND(IF(ISNA(VLOOKUP($X241,'Demand Lookups'!$A$5:$K$82,11,0)),0,VLOOKUP($X241,'Demand Lookups'!$A$5:$K$82,11,0)),2)</f>
        <v>0</v>
      </c>
      <c r="AH241" s="648">
        <f t="shared" si="81"/>
        <v>0</v>
      </c>
      <c r="AI241" s="648">
        <f t="shared" si="82"/>
        <v>0</v>
      </c>
      <c r="AJ241" s="167" t="s">
        <v>87</v>
      </c>
      <c r="AK241" s="168">
        <v>670.3</v>
      </c>
      <c r="AL241" s="167"/>
      <c r="AM241" s="168"/>
      <c r="AN241" s="167"/>
      <c r="AO241" s="168"/>
      <c r="AP241" s="167"/>
      <c r="AQ241" s="171">
        <v>0</v>
      </c>
      <c r="AR241" s="171">
        <v>0</v>
      </c>
      <c r="AS241" s="299">
        <f>SUMIF('NEI Lookups'!$L:$L,'Inputs Yr 2'!$F241,'NEI Lookups'!E:E)+SUMIF('NEI Lookups'!$M:$M,'Inputs Yr 2'!$F241,'NEI Lookups'!E:E)+SUMIF('NEI Lookups'!$N:$N,'Inputs Yr 2'!$F241,'NEI Lookups'!E:E)+SUMIF('NEI Lookups'!$O:$O,'Inputs Yr 2'!$F241,'NEI Lookups'!E:E)+SUMIF('NEI Lookups'!$P:$P,'Inputs Yr 2'!$F241,'NEI Lookups'!E:E)+SUMIF('NEI Lookups'!$Q:$Q,'Inputs Yr 2'!$F241,'NEI Lookups'!E:E)+SUMIF('NEI Lookups'!$R:$R,'Inputs Yr 2'!$F241,'NEI Lookups'!E:E)+SUMIF('NEI Lookups'!$S:$S,'Inputs Yr 2'!$F241,'NEI Lookups'!E:E)+SUMIF('NEI Lookups'!$T:$T,'Inputs Yr 2'!$F241,'NEI Lookups'!E:E)</f>
        <v>0</v>
      </c>
      <c r="AT241" s="299">
        <f>SUMIF('NEI Lookups'!$L:$L,'Inputs Yr 2'!$F241,'NEI Lookups'!F:F)+SUMIF('NEI Lookups'!$M:$M,'Inputs Yr 2'!$F241,'NEI Lookups'!F:F)+SUMIF('NEI Lookups'!$N:$N,'Inputs Yr 2'!$F241,'NEI Lookups'!F:F)+SUMIF('NEI Lookups'!$O:$O,'Inputs Yr 2'!$F241,'NEI Lookups'!F:F)+SUMIF('NEI Lookups'!$P:$P,'Inputs Yr 2'!$F241,'NEI Lookups'!F:F)+SUMIF('NEI Lookups'!$Q:$Q,'Inputs Yr 2'!$F241,'NEI Lookups'!F:F)+SUMIF('NEI Lookups'!$R:$R,'Inputs Yr 2'!$F241,'NEI Lookups'!F:F)+SUMIF('NEI Lookups'!$S:$S,'Inputs Yr 2'!$F241,'NEI Lookups'!F:F)+SUMIF('NEI Lookups'!$T:$T,'Inputs Yr 2'!$F241,'NEI Lookups'!F:F)</f>
        <v>0</v>
      </c>
      <c r="AU241" s="299">
        <f>SUMIF('NEI Lookups'!$L:$L,'Inputs Yr 2'!$F241,'NEI Lookups'!G:G)+SUMIF('NEI Lookups'!$M:$M,'Inputs Yr 2'!$F241,'NEI Lookups'!G:G)+SUMIF('NEI Lookups'!$N:$N,'Inputs Yr 2'!$F241,'NEI Lookups'!G:G)+SUMIF('NEI Lookups'!$O:$O,'Inputs Yr 2'!$F241,'NEI Lookups'!G:G)+SUMIF('NEI Lookups'!$P:$P,'Inputs Yr 2'!$F241,'NEI Lookups'!G:G)+SUMIF('NEI Lookups'!$Q:$Q,'Inputs Yr 2'!$F241,'NEI Lookups'!G:G)+SUMIF('NEI Lookups'!$R:$R,'Inputs Yr 2'!$F241,'NEI Lookups'!G:G)+SUMIF('NEI Lookups'!$S:$S,'Inputs Yr 2'!$F241,'NEI Lookups'!G:G)+SUMIF('NEI Lookups'!$T:$T,'Inputs Yr 2'!$F241,'NEI Lookups'!G:G)</f>
        <v>0</v>
      </c>
      <c r="AV241" s="299">
        <f>SUMIF('NEI Lookups'!$L:$L,'Inputs Yr 2'!$F241,'NEI Lookups'!H:H)+SUMIF('NEI Lookups'!$M:$M,'Inputs Yr 2'!$F241,'NEI Lookups'!H:H)+SUMIF('NEI Lookups'!$N:$N,'Inputs Yr 2'!$F241,'NEI Lookups'!H:H)+SUMIF('NEI Lookups'!$O:$O,'Inputs Yr 2'!$F241,'NEI Lookups'!H:H)+SUMIF('NEI Lookups'!$P:$P,'Inputs Yr 2'!$F241,'NEI Lookups'!H:H)+SUMIF('NEI Lookups'!$Q:$Q,'Inputs Yr 2'!$F241,'NEI Lookups'!H:H)+SUMIF('NEI Lookups'!$R:$R,'Inputs Yr 2'!$F241,'NEI Lookups'!H:H)+SUMIF('NEI Lookups'!$S:$S,'Inputs Yr 2'!$F241,'NEI Lookups'!H:H)+SUMIF('NEI Lookups'!$T:$T,'Inputs Yr 2'!$F241,'NEI Lookups'!H:H)</f>
        <v>0</v>
      </c>
      <c r="AW241" s="299">
        <f>SUMIF('NEI Lookups'!$L:$L,'Inputs Yr 2'!$F241,'NEI Lookups'!I:I)+SUMIF('NEI Lookups'!$M:$M,'Inputs Yr 2'!$F241,'NEI Lookups'!I:I)+SUMIF('NEI Lookups'!$N:$N,'Inputs Yr 2'!$F241,'NEI Lookups'!I:I)+SUMIF('NEI Lookups'!$O:$O,'Inputs Yr 2'!$F241,'NEI Lookups'!I:I)+SUMIF('NEI Lookups'!$P:$P,'Inputs Yr 2'!$F241,'NEI Lookups'!I:I)+SUMIF('NEI Lookups'!$Q:$Q,'Inputs Yr 2'!$F241,'NEI Lookups'!I:I)+SUMIF('NEI Lookups'!$R:$R,'Inputs Yr 2'!$F241,'NEI Lookups'!I:I)+SUMIF('NEI Lookups'!$S:$S,'Inputs Yr 2'!$F241,'NEI Lookups'!I:I)+SUMIF('NEI Lookups'!$T:$T,'Inputs Yr 2'!$F241,'NEI Lookups'!I:I)</f>
        <v>0.25</v>
      </c>
      <c r="AX241" s="299">
        <f>SUMIF('NEI Lookups'!$L:$L,'Inputs Yr 2'!$F241,'NEI Lookups'!J:J)+SUMIF('NEI Lookups'!$M:$M,'Inputs Yr 2'!$F241,'NEI Lookups'!J:J)+SUMIF('NEI Lookups'!$N:$N,'Inputs Yr 2'!$F241,'NEI Lookups'!J:J)+SUMIF('NEI Lookups'!$O:$O,'Inputs Yr 2'!$F241,'NEI Lookups'!J:J)+SUMIF('NEI Lookups'!$P:$P,'Inputs Yr 2'!$F241,'NEI Lookups'!J:J)+SUMIF('NEI Lookups'!$Q:$Q,'Inputs Yr 2'!$F241,'NEI Lookups'!J:J)+SUMIF('NEI Lookups'!$R:$R,'Inputs Yr 2'!$F241,'NEI Lookups'!J:J)+SUMIF('NEI Lookups'!$S:$S,'Inputs Yr 2'!$F241,'NEI Lookups'!J:J)+SUMIF('NEI Lookups'!$T:$T,'Inputs Yr 2'!$F241,'NEI Lookups'!J:J)</f>
        <v>0</v>
      </c>
      <c r="AY241" s="931">
        <f>'Calculations Yr 2'!CP241/'Calculations Yr 2'!I241</f>
        <v>2.916438273059625</v>
      </c>
    </row>
    <row r="242" spans="1:51" s="133" customFormat="1" ht="12.75" customHeight="1">
      <c r="A242" s="145" t="s">
        <v>83</v>
      </c>
      <c r="B242" s="132" t="s">
        <v>870</v>
      </c>
      <c r="C242" s="132" t="s">
        <v>841</v>
      </c>
      <c r="D242" s="902"/>
      <c r="E242" s="150" t="s">
        <v>1347</v>
      </c>
      <c r="F242" s="150" t="s">
        <v>1125</v>
      </c>
      <c r="G242" s="145" t="s">
        <v>1244</v>
      </c>
      <c r="H242" s="165">
        <v>1</v>
      </c>
      <c r="I242" s="234">
        <v>15</v>
      </c>
      <c r="J242" s="971">
        <v>112448.34</v>
      </c>
      <c r="K242" s="871">
        <v>56224.17</v>
      </c>
      <c r="L242" s="888">
        <f t="shared" si="58"/>
        <v>56224.17</v>
      </c>
      <c r="M242" s="978">
        <v>0.11</v>
      </c>
      <c r="N242" s="978">
        <v>2.6000000000000002E-2</v>
      </c>
      <c r="O242" s="978">
        <v>3.0000000000000001E-3</v>
      </c>
      <c r="P242" s="889">
        <f t="shared" ref="P242:P245" si="87">1-M242+N242+O242</f>
        <v>0.91900000000000004</v>
      </c>
      <c r="Q242" s="978">
        <v>1</v>
      </c>
      <c r="R242" s="178">
        <v>1</v>
      </c>
      <c r="S242" s="178">
        <v>1</v>
      </c>
      <c r="T242" s="178">
        <v>1</v>
      </c>
      <c r="U242" s="978">
        <v>0.77900000000000003</v>
      </c>
      <c r="V242" s="978">
        <v>1</v>
      </c>
      <c r="W242" s="179"/>
      <c r="X242" s="937" t="s">
        <v>653</v>
      </c>
      <c r="Y242" s="299">
        <f>IFERROR(VLOOKUP($X242,'Demand Lookups'!$A$5:$K$101,9,0), 0)</f>
        <v>0</v>
      </c>
      <c r="Z242" s="922" t="str">
        <f>IFERROR(VLOOKUP(X242,'Demand Lookups'!$A$5:$B$101,2,0),0)</f>
        <v>Non-Electric Measures</v>
      </c>
      <c r="AA242" s="835">
        <f>IF(ISNA(VLOOKUP($X242,'Demand Lookups'!$A$5:$K$81,3,0)),0,VLOOKUP($X242,'Demand Lookups'!$A$5:$K$81,3,0))</f>
        <v>0</v>
      </c>
      <c r="AB242" s="835">
        <f>IF(ISNA(VLOOKUP($X242,'Demand Lookups'!$A$5:$K$81,4,0)),0,VLOOKUP($X242,'Demand Lookups'!$A$5:$K$81,4,0))</f>
        <v>0</v>
      </c>
      <c r="AC242" s="835">
        <f>IF(ISNA(VLOOKUP($X242,'Demand Lookups'!$A$5:$K$81,5,0)),0,VLOOKUP($X242,'Demand Lookups'!$A$5:$K$81,5,0))</f>
        <v>0</v>
      </c>
      <c r="AD242" s="836">
        <f>IF(ISNA(VLOOKUP($X242,'Demand Lookups'!$A$5:$K$81,6,0)),0,VLOOKUP($X242,'Demand Lookups'!$A$5:$K$81,6,0))</f>
        <v>0</v>
      </c>
      <c r="AE242" s="837">
        <f t="shared" ref="AE242:AE246" si="88">IF(ISERROR(W242*Y242),"",W242*Y242)</f>
        <v>0</v>
      </c>
      <c r="AF242" s="836">
        <f>ROUND(IF(ISNA(VLOOKUP($X242,'Demand Lookups'!$A$5:$K$82,10,0)),0,(VLOOKUP($X242,'Demand Lookups'!$A$5:$K$82,10,0))),2)</f>
        <v>0</v>
      </c>
      <c r="AG242" s="836">
        <f>ROUND(IF(ISNA(VLOOKUP($X242,'Demand Lookups'!$A$5:$K$82,11,0)),0,VLOOKUP($X242,'Demand Lookups'!$A$5:$K$82,11,0)),2)</f>
        <v>0</v>
      </c>
      <c r="AH242" s="648">
        <f t="shared" ref="AH242:AH245" si="89">AF242</f>
        <v>0</v>
      </c>
      <c r="AI242" s="648">
        <f t="shared" ref="AI242:AI245" si="90">AF242</f>
        <v>0</v>
      </c>
      <c r="AJ242" s="167" t="s">
        <v>87</v>
      </c>
      <c r="AK242" s="168">
        <v>3233</v>
      </c>
      <c r="AL242" s="167"/>
      <c r="AM242" s="168"/>
      <c r="AN242" s="167"/>
      <c r="AO242" s="168"/>
      <c r="AP242" s="167"/>
      <c r="AQ242" s="171"/>
      <c r="AR242" s="171"/>
      <c r="AS242" s="299">
        <f>SUMIF('NEI Lookups'!$L:$L,'Inputs Yr 2'!$F242,'NEI Lookups'!E:E)+SUMIF('NEI Lookups'!$M:$M,'Inputs Yr 2'!$F242,'NEI Lookups'!E:E)+SUMIF('NEI Lookups'!$N:$N,'Inputs Yr 2'!$F242,'NEI Lookups'!E:E)+SUMIF('NEI Lookups'!$O:$O,'Inputs Yr 2'!$F242,'NEI Lookups'!E:E)+SUMIF('NEI Lookups'!$P:$P,'Inputs Yr 2'!$F242,'NEI Lookups'!E:E)+SUMIF('NEI Lookups'!$Q:$Q,'Inputs Yr 2'!$F242,'NEI Lookups'!E:E)+SUMIF('NEI Lookups'!$R:$R,'Inputs Yr 2'!$F242,'NEI Lookups'!E:E)+SUMIF('NEI Lookups'!$S:$S,'Inputs Yr 2'!$F242,'NEI Lookups'!E:E)+SUMIF('NEI Lookups'!$T:$T,'Inputs Yr 2'!$F242,'NEI Lookups'!E:E)</f>
        <v>0</v>
      </c>
      <c r="AT242" s="299">
        <f>SUMIF('NEI Lookups'!$L:$L,'Inputs Yr 2'!$F242,'NEI Lookups'!F:F)+SUMIF('NEI Lookups'!$M:$M,'Inputs Yr 2'!$F242,'NEI Lookups'!F:F)+SUMIF('NEI Lookups'!$N:$N,'Inputs Yr 2'!$F242,'NEI Lookups'!F:F)+SUMIF('NEI Lookups'!$O:$O,'Inputs Yr 2'!$F242,'NEI Lookups'!F:F)+SUMIF('NEI Lookups'!$P:$P,'Inputs Yr 2'!$F242,'NEI Lookups'!F:F)+SUMIF('NEI Lookups'!$Q:$Q,'Inputs Yr 2'!$F242,'NEI Lookups'!F:F)+SUMIF('NEI Lookups'!$R:$R,'Inputs Yr 2'!$F242,'NEI Lookups'!F:F)+SUMIF('NEI Lookups'!$S:$S,'Inputs Yr 2'!$F242,'NEI Lookups'!F:F)+SUMIF('NEI Lookups'!$T:$T,'Inputs Yr 2'!$F242,'NEI Lookups'!F:F)</f>
        <v>0</v>
      </c>
      <c r="AU242" s="299">
        <f>SUMIF('NEI Lookups'!$L:$L,'Inputs Yr 2'!$F242,'NEI Lookups'!G:G)+SUMIF('NEI Lookups'!$M:$M,'Inputs Yr 2'!$F242,'NEI Lookups'!G:G)+SUMIF('NEI Lookups'!$N:$N,'Inputs Yr 2'!$F242,'NEI Lookups'!G:G)+SUMIF('NEI Lookups'!$O:$O,'Inputs Yr 2'!$F242,'NEI Lookups'!G:G)+SUMIF('NEI Lookups'!$P:$P,'Inputs Yr 2'!$F242,'NEI Lookups'!G:G)+SUMIF('NEI Lookups'!$Q:$Q,'Inputs Yr 2'!$F242,'NEI Lookups'!G:G)+SUMIF('NEI Lookups'!$R:$R,'Inputs Yr 2'!$F242,'NEI Lookups'!G:G)+SUMIF('NEI Lookups'!$S:$S,'Inputs Yr 2'!$F242,'NEI Lookups'!G:G)+SUMIF('NEI Lookups'!$T:$T,'Inputs Yr 2'!$F242,'NEI Lookups'!G:G)</f>
        <v>0</v>
      </c>
      <c r="AV242" s="299">
        <f>SUMIF('NEI Lookups'!$L:$L,'Inputs Yr 2'!$F242,'NEI Lookups'!H:H)+SUMIF('NEI Lookups'!$M:$M,'Inputs Yr 2'!$F242,'NEI Lookups'!H:H)+SUMIF('NEI Lookups'!$N:$N,'Inputs Yr 2'!$F242,'NEI Lookups'!H:H)+SUMIF('NEI Lookups'!$O:$O,'Inputs Yr 2'!$F242,'NEI Lookups'!H:H)+SUMIF('NEI Lookups'!$P:$P,'Inputs Yr 2'!$F242,'NEI Lookups'!H:H)+SUMIF('NEI Lookups'!$Q:$Q,'Inputs Yr 2'!$F242,'NEI Lookups'!H:H)+SUMIF('NEI Lookups'!$R:$R,'Inputs Yr 2'!$F242,'NEI Lookups'!H:H)+SUMIF('NEI Lookups'!$S:$S,'Inputs Yr 2'!$F242,'NEI Lookups'!H:H)+SUMIF('NEI Lookups'!$T:$T,'Inputs Yr 2'!$F242,'NEI Lookups'!H:H)</f>
        <v>0</v>
      </c>
      <c r="AW242" s="299">
        <f>SUMIF('NEI Lookups'!$L:$L,'Inputs Yr 2'!$F242,'NEI Lookups'!I:I)+SUMIF('NEI Lookups'!$M:$M,'Inputs Yr 2'!$F242,'NEI Lookups'!I:I)+SUMIF('NEI Lookups'!$N:$N,'Inputs Yr 2'!$F242,'NEI Lookups'!I:I)+SUMIF('NEI Lookups'!$O:$O,'Inputs Yr 2'!$F242,'NEI Lookups'!I:I)+SUMIF('NEI Lookups'!$P:$P,'Inputs Yr 2'!$F242,'NEI Lookups'!I:I)+SUMIF('NEI Lookups'!$Q:$Q,'Inputs Yr 2'!$F242,'NEI Lookups'!I:I)+SUMIF('NEI Lookups'!$R:$R,'Inputs Yr 2'!$F242,'NEI Lookups'!I:I)+SUMIF('NEI Lookups'!$S:$S,'Inputs Yr 2'!$F242,'NEI Lookups'!I:I)+SUMIF('NEI Lookups'!$T:$T,'Inputs Yr 2'!$F242,'NEI Lookups'!I:I)</f>
        <v>0.25</v>
      </c>
      <c r="AX242" s="299">
        <f>SUMIF('NEI Lookups'!$L:$L,'Inputs Yr 2'!$F242,'NEI Lookups'!J:J)+SUMIF('NEI Lookups'!$M:$M,'Inputs Yr 2'!$F242,'NEI Lookups'!J:J)+SUMIF('NEI Lookups'!$N:$N,'Inputs Yr 2'!$F242,'NEI Lookups'!J:J)+SUMIF('NEI Lookups'!$O:$O,'Inputs Yr 2'!$F242,'NEI Lookups'!J:J)+SUMIF('NEI Lookups'!$P:$P,'Inputs Yr 2'!$F242,'NEI Lookups'!J:J)+SUMIF('NEI Lookups'!$Q:$Q,'Inputs Yr 2'!$F242,'NEI Lookups'!J:J)+SUMIF('NEI Lookups'!$R:$R,'Inputs Yr 2'!$F242,'NEI Lookups'!J:J)+SUMIF('NEI Lookups'!$S:$S,'Inputs Yr 2'!$F242,'NEI Lookups'!J:J)+SUMIF('NEI Lookups'!$T:$T,'Inputs Yr 2'!$F242,'NEI Lookups'!J:J)</f>
        <v>0</v>
      </c>
      <c r="AY242" s="930">
        <f>'Calculations Yr 2'!CP242/'Calculations Yr 2'!I242</f>
        <v>3.6631597213345768</v>
      </c>
    </row>
    <row r="243" spans="1:51" s="133" customFormat="1" ht="12.75" customHeight="1">
      <c r="A243" s="145" t="s">
        <v>83</v>
      </c>
      <c r="B243" s="132" t="s">
        <v>870</v>
      </c>
      <c r="C243" s="132" t="s">
        <v>841</v>
      </c>
      <c r="D243" s="902"/>
      <c r="E243" s="150" t="s">
        <v>1339</v>
      </c>
      <c r="F243" s="150" t="s">
        <v>1125</v>
      </c>
      <c r="G243" s="145" t="s">
        <v>1244</v>
      </c>
      <c r="H243" s="165">
        <v>1</v>
      </c>
      <c r="I243" s="234">
        <v>18</v>
      </c>
      <c r="J243" s="971">
        <v>956855.6</v>
      </c>
      <c r="K243" s="871">
        <v>478427.8</v>
      </c>
      <c r="L243" s="888">
        <f t="shared" si="58"/>
        <v>478427.8</v>
      </c>
      <c r="M243" s="978">
        <v>0.11</v>
      </c>
      <c r="N243" s="978">
        <v>2.6000000000000002E-2</v>
      </c>
      <c r="O243" s="978">
        <v>3.0000000000000001E-3</v>
      </c>
      <c r="P243" s="889">
        <f t="shared" si="87"/>
        <v>0.91900000000000004</v>
      </c>
      <c r="Q243" s="978">
        <v>1</v>
      </c>
      <c r="R243" s="178">
        <v>1</v>
      </c>
      <c r="S243" s="178">
        <v>1</v>
      </c>
      <c r="T243" s="178">
        <v>1</v>
      </c>
      <c r="U243" s="978">
        <v>0.77900000000000003</v>
      </c>
      <c r="V243" s="978">
        <v>1</v>
      </c>
      <c r="W243" s="179"/>
      <c r="X243" s="937" t="s">
        <v>653</v>
      </c>
      <c r="Y243" s="299">
        <f>IFERROR(VLOOKUP($X243,'Demand Lookups'!$A$5:$K$101,9,0), 0)</f>
        <v>0</v>
      </c>
      <c r="Z243" s="922" t="str">
        <f>IFERROR(VLOOKUP(X243,'Demand Lookups'!$A$5:$B$101,2,0),0)</f>
        <v>Non-Electric Measures</v>
      </c>
      <c r="AA243" s="835">
        <f>IF(ISNA(VLOOKUP($X243,'Demand Lookups'!$A$5:$K$81,3,0)),0,VLOOKUP($X243,'Demand Lookups'!$A$5:$K$81,3,0))</f>
        <v>0</v>
      </c>
      <c r="AB243" s="835">
        <f>IF(ISNA(VLOOKUP($X243,'Demand Lookups'!$A$5:$K$81,4,0)),0,VLOOKUP($X243,'Demand Lookups'!$A$5:$K$81,4,0))</f>
        <v>0</v>
      </c>
      <c r="AC243" s="835">
        <f>IF(ISNA(VLOOKUP($X243,'Demand Lookups'!$A$5:$K$81,5,0)),0,VLOOKUP($X243,'Demand Lookups'!$A$5:$K$81,5,0))</f>
        <v>0</v>
      </c>
      <c r="AD243" s="836">
        <f>IF(ISNA(VLOOKUP($X243,'Demand Lookups'!$A$5:$K$81,6,0)),0,VLOOKUP($X243,'Demand Lookups'!$A$5:$K$81,6,0))</f>
        <v>0</v>
      </c>
      <c r="AE243" s="837">
        <f t="shared" si="88"/>
        <v>0</v>
      </c>
      <c r="AF243" s="836">
        <f>ROUND(IF(ISNA(VLOOKUP($X243,'Demand Lookups'!$A$5:$K$82,10,0)),0,(VLOOKUP($X243,'Demand Lookups'!$A$5:$K$82,10,0))),2)</f>
        <v>0</v>
      </c>
      <c r="AG243" s="836">
        <f>ROUND(IF(ISNA(VLOOKUP($X243,'Demand Lookups'!$A$5:$K$82,11,0)),0,VLOOKUP($X243,'Demand Lookups'!$A$5:$K$82,11,0)),2)</f>
        <v>0</v>
      </c>
      <c r="AH243" s="648">
        <f t="shared" si="89"/>
        <v>0</v>
      </c>
      <c r="AI243" s="648">
        <f t="shared" si="90"/>
        <v>0</v>
      </c>
      <c r="AJ243" s="167" t="s">
        <v>87</v>
      </c>
      <c r="AK243" s="168">
        <v>28309.645</v>
      </c>
      <c r="AL243" s="167"/>
      <c r="AM243" s="168"/>
      <c r="AN243" s="167"/>
      <c r="AO243" s="168"/>
      <c r="AP243" s="167"/>
      <c r="AQ243" s="171"/>
      <c r="AR243" s="171"/>
      <c r="AS243" s="299">
        <f>SUMIF('NEI Lookups'!$L:$L,'Inputs Yr 2'!$F243,'NEI Lookups'!E:E)+SUMIF('NEI Lookups'!$M:$M,'Inputs Yr 2'!$F243,'NEI Lookups'!E:E)+SUMIF('NEI Lookups'!$N:$N,'Inputs Yr 2'!$F243,'NEI Lookups'!E:E)+SUMIF('NEI Lookups'!$O:$O,'Inputs Yr 2'!$F243,'NEI Lookups'!E:E)+SUMIF('NEI Lookups'!$P:$P,'Inputs Yr 2'!$F243,'NEI Lookups'!E:E)+SUMIF('NEI Lookups'!$Q:$Q,'Inputs Yr 2'!$F243,'NEI Lookups'!E:E)+SUMIF('NEI Lookups'!$R:$R,'Inputs Yr 2'!$F243,'NEI Lookups'!E:E)+SUMIF('NEI Lookups'!$S:$S,'Inputs Yr 2'!$F243,'NEI Lookups'!E:E)+SUMIF('NEI Lookups'!$T:$T,'Inputs Yr 2'!$F243,'NEI Lookups'!E:E)</f>
        <v>0</v>
      </c>
      <c r="AT243" s="299">
        <f>SUMIF('NEI Lookups'!$L:$L,'Inputs Yr 2'!$F243,'NEI Lookups'!F:F)+SUMIF('NEI Lookups'!$M:$M,'Inputs Yr 2'!$F243,'NEI Lookups'!F:F)+SUMIF('NEI Lookups'!$N:$N,'Inputs Yr 2'!$F243,'NEI Lookups'!F:F)+SUMIF('NEI Lookups'!$O:$O,'Inputs Yr 2'!$F243,'NEI Lookups'!F:F)+SUMIF('NEI Lookups'!$P:$P,'Inputs Yr 2'!$F243,'NEI Lookups'!F:F)+SUMIF('NEI Lookups'!$Q:$Q,'Inputs Yr 2'!$F243,'NEI Lookups'!F:F)+SUMIF('NEI Lookups'!$R:$R,'Inputs Yr 2'!$F243,'NEI Lookups'!F:F)+SUMIF('NEI Lookups'!$S:$S,'Inputs Yr 2'!$F243,'NEI Lookups'!F:F)+SUMIF('NEI Lookups'!$T:$T,'Inputs Yr 2'!$F243,'NEI Lookups'!F:F)</f>
        <v>0</v>
      </c>
      <c r="AU243" s="299">
        <f>SUMIF('NEI Lookups'!$L:$L,'Inputs Yr 2'!$F243,'NEI Lookups'!G:G)+SUMIF('NEI Lookups'!$M:$M,'Inputs Yr 2'!$F243,'NEI Lookups'!G:G)+SUMIF('NEI Lookups'!$N:$N,'Inputs Yr 2'!$F243,'NEI Lookups'!G:G)+SUMIF('NEI Lookups'!$O:$O,'Inputs Yr 2'!$F243,'NEI Lookups'!G:G)+SUMIF('NEI Lookups'!$P:$P,'Inputs Yr 2'!$F243,'NEI Lookups'!G:G)+SUMIF('NEI Lookups'!$Q:$Q,'Inputs Yr 2'!$F243,'NEI Lookups'!G:G)+SUMIF('NEI Lookups'!$R:$R,'Inputs Yr 2'!$F243,'NEI Lookups'!G:G)+SUMIF('NEI Lookups'!$S:$S,'Inputs Yr 2'!$F243,'NEI Lookups'!G:G)+SUMIF('NEI Lookups'!$T:$T,'Inputs Yr 2'!$F243,'NEI Lookups'!G:G)</f>
        <v>0</v>
      </c>
      <c r="AV243" s="299">
        <f>SUMIF('NEI Lookups'!$L:$L,'Inputs Yr 2'!$F243,'NEI Lookups'!H:H)+SUMIF('NEI Lookups'!$M:$M,'Inputs Yr 2'!$F243,'NEI Lookups'!H:H)+SUMIF('NEI Lookups'!$N:$N,'Inputs Yr 2'!$F243,'NEI Lookups'!H:H)+SUMIF('NEI Lookups'!$O:$O,'Inputs Yr 2'!$F243,'NEI Lookups'!H:H)+SUMIF('NEI Lookups'!$P:$P,'Inputs Yr 2'!$F243,'NEI Lookups'!H:H)+SUMIF('NEI Lookups'!$Q:$Q,'Inputs Yr 2'!$F243,'NEI Lookups'!H:H)+SUMIF('NEI Lookups'!$R:$R,'Inputs Yr 2'!$F243,'NEI Lookups'!H:H)+SUMIF('NEI Lookups'!$S:$S,'Inputs Yr 2'!$F243,'NEI Lookups'!H:H)+SUMIF('NEI Lookups'!$T:$T,'Inputs Yr 2'!$F243,'NEI Lookups'!H:H)</f>
        <v>0</v>
      </c>
      <c r="AW243" s="299">
        <f>SUMIF('NEI Lookups'!$L:$L,'Inputs Yr 2'!$F243,'NEI Lookups'!I:I)+SUMIF('NEI Lookups'!$M:$M,'Inputs Yr 2'!$F243,'NEI Lookups'!I:I)+SUMIF('NEI Lookups'!$N:$N,'Inputs Yr 2'!$F243,'NEI Lookups'!I:I)+SUMIF('NEI Lookups'!$O:$O,'Inputs Yr 2'!$F243,'NEI Lookups'!I:I)+SUMIF('NEI Lookups'!$P:$P,'Inputs Yr 2'!$F243,'NEI Lookups'!I:I)+SUMIF('NEI Lookups'!$Q:$Q,'Inputs Yr 2'!$F243,'NEI Lookups'!I:I)+SUMIF('NEI Lookups'!$R:$R,'Inputs Yr 2'!$F243,'NEI Lookups'!I:I)+SUMIF('NEI Lookups'!$S:$S,'Inputs Yr 2'!$F243,'NEI Lookups'!I:I)+SUMIF('NEI Lookups'!$T:$T,'Inputs Yr 2'!$F243,'NEI Lookups'!I:I)</f>
        <v>0.25</v>
      </c>
      <c r="AX243" s="299">
        <f>SUMIF('NEI Lookups'!$L:$L,'Inputs Yr 2'!$F243,'NEI Lookups'!J:J)+SUMIF('NEI Lookups'!$M:$M,'Inputs Yr 2'!$F243,'NEI Lookups'!J:J)+SUMIF('NEI Lookups'!$N:$N,'Inputs Yr 2'!$F243,'NEI Lookups'!J:J)+SUMIF('NEI Lookups'!$O:$O,'Inputs Yr 2'!$F243,'NEI Lookups'!J:J)+SUMIF('NEI Lookups'!$P:$P,'Inputs Yr 2'!$F243,'NEI Lookups'!J:J)+SUMIF('NEI Lookups'!$Q:$Q,'Inputs Yr 2'!$F243,'NEI Lookups'!J:J)+SUMIF('NEI Lookups'!$R:$R,'Inputs Yr 2'!$F243,'NEI Lookups'!J:J)+SUMIF('NEI Lookups'!$S:$S,'Inputs Yr 2'!$F243,'NEI Lookups'!J:J)+SUMIF('NEI Lookups'!$T:$T,'Inputs Yr 2'!$F243,'NEI Lookups'!J:J)</f>
        <v>0</v>
      </c>
      <c r="AY243" s="930">
        <f>'Calculations Yr 2'!CP243/'Calculations Yr 2'!I243</f>
        <v>4.5466334655118104</v>
      </c>
    </row>
    <row r="244" spans="1:51" s="133" customFormat="1" ht="12.75" customHeight="1">
      <c r="A244" s="145" t="s">
        <v>83</v>
      </c>
      <c r="B244" s="132" t="s">
        <v>870</v>
      </c>
      <c r="C244" s="132" t="s">
        <v>841</v>
      </c>
      <c r="D244" s="902"/>
      <c r="E244" s="150" t="s">
        <v>1340</v>
      </c>
      <c r="F244" s="150" t="s">
        <v>1125</v>
      </c>
      <c r="G244" s="145" t="s">
        <v>1244</v>
      </c>
      <c r="H244" s="165">
        <v>1</v>
      </c>
      <c r="I244" s="234">
        <v>20</v>
      </c>
      <c r="J244" s="971">
        <v>15121</v>
      </c>
      <c r="K244" s="871">
        <v>7560.5</v>
      </c>
      <c r="L244" s="888">
        <f t="shared" si="58"/>
        <v>7560.5</v>
      </c>
      <c r="M244" s="978">
        <v>0.11</v>
      </c>
      <c r="N244" s="978">
        <v>2.6000000000000002E-2</v>
      </c>
      <c r="O244" s="978">
        <v>3.0000000000000001E-3</v>
      </c>
      <c r="P244" s="889">
        <f t="shared" si="87"/>
        <v>0.91900000000000004</v>
      </c>
      <c r="Q244" s="978">
        <v>1</v>
      </c>
      <c r="R244" s="178">
        <v>1</v>
      </c>
      <c r="S244" s="178">
        <v>1</v>
      </c>
      <c r="T244" s="178">
        <v>1</v>
      </c>
      <c r="U244" s="978">
        <v>0.77900000000000003</v>
      </c>
      <c r="V244" s="978">
        <v>1</v>
      </c>
      <c r="W244" s="179"/>
      <c r="X244" s="937" t="s">
        <v>653</v>
      </c>
      <c r="Y244" s="299">
        <f>IFERROR(VLOOKUP($X244,'Demand Lookups'!$A$5:$K$101,9,0), 0)</f>
        <v>0</v>
      </c>
      <c r="Z244" s="922" t="str">
        <f>IFERROR(VLOOKUP(X244,'Demand Lookups'!$A$5:$B$101,2,0),0)</f>
        <v>Non-Electric Measures</v>
      </c>
      <c r="AA244" s="835">
        <f>IF(ISNA(VLOOKUP($X244,'Demand Lookups'!$A$5:$K$81,3,0)),0,VLOOKUP($X244,'Demand Lookups'!$A$5:$K$81,3,0))</f>
        <v>0</v>
      </c>
      <c r="AB244" s="835">
        <f>IF(ISNA(VLOOKUP($X244,'Demand Lookups'!$A$5:$K$81,4,0)),0,VLOOKUP($X244,'Demand Lookups'!$A$5:$K$81,4,0))</f>
        <v>0</v>
      </c>
      <c r="AC244" s="835">
        <f>IF(ISNA(VLOOKUP($X244,'Demand Lookups'!$A$5:$K$81,5,0)),0,VLOOKUP($X244,'Demand Lookups'!$A$5:$K$81,5,0))</f>
        <v>0</v>
      </c>
      <c r="AD244" s="836">
        <f>IF(ISNA(VLOOKUP($X244,'Demand Lookups'!$A$5:$K$81,6,0)),0,VLOOKUP($X244,'Demand Lookups'!$A$5:$K$81,6,0))</f>
        <v>0</v>
      </c>
      <c r="AE244" s="837">
        <f t="shared" si="88"/>
        <v>0</v>
      </c>
      <c r="AF244" s="836">
        <f>ROUND(IF(ISNA(VLOOKUP($X244,'Demand Lookups'!$A$5:$K$82,10,0)),0,(VLOOKUP($X244,'Demand Lookups'!$A$5:$K$82,10,0))),2)</f>
        <v>0</v>
      </c>
      <c r="AG244" s="836">
        <f>ROUND(IF(ISNA(VLOOKUP($X244,'Demand Lookups'!$A$5:$K$82,11,0)),0,VLOOKUP($X244,'Demand Lookups'!$A$5:$K$82,11,0)),2)</f>
        <v>0</v>
      </c>
      <c r="AH244" s="648">
        <f t="shared" si="89"/>
        <v>0</v>
      </c>
      <c r="AI244" s="648">
        <f t="shared" si="90"/>
        <v>0</v>
      </c>
      <c r="AJ244" s="167" t="s">
        <v>87</v>
      </c>
      <c r="AK244" s="168">
        <v>486.7</v>
      </c>
      <c r="AL244" s="167"/>
      <c r="AM244" s="168"/>
      <c r="AN244" s="167"/>
      <c r="AO244" s="168"/>
      <c r="AP244" s="167"/>
      <c r="AQ244" s="171"/>
      <c r="AR244" s="171"/>
      <c r="AS244" s="299">
        <f>SUMIF('NEI Lookups'!$L:$L,'Inputs Yr 2'!$F244,'NEI Lookups'!E:E)+SUMIF('NEI Lookups'!$M:$M,'Inputs Yr 2'!$F244,'NEI Lookups'!E:E)+SUMIF('NEI Lookups'!$N:$N,'Inputs Yr 2'!$F244,'NEI Lookups'!E:E)+SUMIF('NEI Lookups'!$O:$O,'Inputs Yr 2'!$F244,'NEI Lookups'!E:E)+SUMIF('NEI Lookups'!$P:$P,'Inputs Yr 2'!$F244,'NEI Lookups'!E:E)+SUMIF('NEI Lookups'!$Q:$Q,'Inputs Yr 2'!$F244,'NEI Lookups'!E:E)+SUMIF('NEI Lookups'!$R:$R,'Inputs Yr 2'!$F244,'NEI Lookups'!E:E)+SUMIF('NEI Lookups'!$S:$S,'Inputs Yr 2'!$F244,'NEI Lookups'!E:E)+SUMIF('NEI Lookups'!$T:$T,'Inputs Yr 2'!$F244,'NEI Lookups'!E:E)</f>
        <v>0</v>
      </c>
      <c r="AT244" s="299">
        <f>SUMIF('NEI Lookups'!$L:$L,'Inputs Yr 2'!$F244,'NEI Lookups'!F:F)+SUMIF('NEI Lookups'!$M:$M,'Inputs Yr 2'!$F244,'NEI Lookups'!F:F)+SUMIF('NEI Lookups'!$N:$N,'Inputs Yr 2'!$F244,'NEI Lookups'!F:F)+SUMIF('NEI Lookups'!$O:$O,'Inputs Yr 2'!$F244,'NEI Lookups'!F:F)+SUMIF('NEI Lookups'!$P:$P,'Inputs Yr 2'!$F244,'NEI Lookups'!F:F)+SUMIF('NEI Lookups'!$Q:$Q,'Inputs Yr 2'!$F244,'NEI Lookups'!F:F)+SUMIF('NEI Lookups'!$R:$R,'Inputs Yr 2'!$F244,'NEI Lookups'!F:F)+SUMIF('NEI Lookups'!$S:$S,'Inputs Yr 2'!$F244,'NEI Lookups'!F:F)+SUMIF('NEI Lookups'!$T:$T,'Inputs Yr 2'!$F244,'NEI Lookups'!F:F)</f>
        <v>0</v>
      </c>
      <c r="AU244" s="299">
        <f>SUMIF('NEI Lookups'!$L:$L,'Inputs Yr 2'!$F244,'NEI Lookups'!G:G)+SUMIF('NEI Lookups'!$M:$M,'Inputs Yr 2'!$F244,'NEI Lookups'!G:G)+SUMIF('NEI Lookups'!$N:$N,'Inputs Yr 2'!$F244,'NEI Lookups'!G:G)+SUMIF('NEI Lookups'!$O:$O,'Inputs Yr 2'!$F244,'NEI Lookups'!G:G)+SUMIF('NEI Lookups'!$P:$P,'Inputs Yr 2'!$F244,'NEI Lookups'!G:G)+SUMIF('NEI Lookups'!$Q:$Q,'Inputs Yr 2'!$F244,'NEI Lookups'!G:G)+SUMIF('NEI Lookups'!$R:$R,'Inputs Yr 2'!$F244,'NEI Lookups'!G:G)+SUMIF('NEI Lookups'!$S:$S,'Inputs Yr 2'!$F244,'NEI Lookups'!G:G)+SUMIF('NEI Lookups'!$T:$T,'Inputs Yr 2'!$F244,'NEI Lookups'!G:G)</f>
        <v>0</v>
      </c>
      <c r="AV244" s="299">
        <f>SUMIF('NEI Lookups'!$L:$L,'Inputs Yr 2'!$F244,'NEI Lookups'!H:H)+SUMIF('NEI Lookups'!$M:$M,'Inputs Yr 2'!$F244,'NEI Lookups'!H:H)+SUMIF('NEI Lookups'!$N:$N,'Inputs Yr 2'!$F244,'NEI Lookups'!H:H)+SUMIF('NEI Lookups'!$O:$O,'Inputs Yr 2'!$F244,'NEI Lookups'!H:H)+SUMIF('NEI Lookups'!$P:$P,'Inputs Yr 2'!$F244,'NEI Lookups'!H:H)+SUMIF('NEI Lookups'!$Q:$Q,'Inputs Yr 2'!$F244,'NEI Lookups'!H:H)+SUMIF('NEI Lookups'!$R:$R,'Inputs Yr 2'!$F244,'NEI Lookups'!H:H)+SUMIF('NEI Lookups'!$S:$S,'Inputs Yr 2'!$F244,'NEI Lookups'!H:H)+SUMIF('NEI Lookups'!$T:$T,'Inputs Yr 2'!$F244,'NEI Lookups'!H:H)</f>
        <v>0</v>
      </c>
      <c r="AW244" s="299">
        <f>SUMIF('NEI Lookups'!$L:$L,'Inputs Yr 2'!$F244,'NEI Lookups'!I:I)+SUMIF('NEI Lookups'!$M:$M,'Inputs Yr 2'!$F244,'NEI Lookups'!I:I)+SUMIF('NEI Lookups'!$N:$N,'Inputs Yr 2'!$F244,'NEI Lookups'!I:I)+SUMIF('NEI Lookups'!$O:$O,'Inputs Yr 2'!$F244,'NEI Lookups'!I:I)+SUMIF('NEI Lookups'!$P:$P,'Inputs Yr 2'!$F244,'NEI Lookups'!I:I)+SUMIF('NEI Lookups'!$Q:$Q,'Inputs Yr 2'!$F244,'NEI Lookups'!I:I)+SUMIF('NEI Lookups'!$R:$R,'Inputs Yr 2'!$F244,'NEI Lookups'!I:I)+SUMIF('NEI Lookups'!$S:$S,'Inputs Yr 2'!$F244,'NEI Lookups'!I:I)+SUMIF('NEI Lookups'!$T:$T,'Inputs Yr 2'!$F244,'NEI Lookups'!I:I)</f>
        <v>0.25</v>
      </c>
      <c r="AX244" s="299">
        <f>SUMIF('NEI Lookups'!$L:$L,'Inputs Yr 2'!$F244,'NEI Lookups'!J:J)+SUMIF('NEI Lookups'!$M:$M,'Inputs Yr 2'!$F244,'NEI Lookups'!J:J)+SUMIF('NEI Lookups'!$N:$N,'Inputs Yr 2'!$F244,'NEI Lookups'!J:J)+SUMIF('NEI Lookups'!$O:$O,'Inputs Yr 2'!$F244,'NEI Lookups'!J:J)+SUMIF('NEI Lookups'!$P:$P,'Inputs Yr 2'!$F244,'NEI Lookups'!J:J)+SUMIF('NEI Lookups'!$Q:$Q,'Inputs Yr 2'!$F244,'NEI Lookups'!J:J)+SUMIF('NEI Lookups'!$R:$R,'Inputs Yr 2'!$F244,'NEI Lookups'!J:J)+SUMIF('NEI Lookups'!$S:$S,'Inputs Yr 2'!$F244,'NEI Lookups'!J:J)+SUMIF('NEI Lookups'!$T:$T,'Inputs Yr 2'!$F244,'NEI Lookups'!J:J)</f>
        <v>0</v>
      </c>
      <c r="AY244" s="930">
        <f>'Calculations Yr 2'!CP244/'Calculations Yr 2'!I244</f>
        <v>5.5204793533869649</v>
      </c>
    </row>
    <row r="245" spans="1:51" s="133" customFormat="1" ht="12.75" customHeight="1">
      <c r="A245" s="145" t="s">
        <v>83</v>
      </c>
      <c r="B245" s="132" t="s">
        <v>870</v>
      </c>
      <c r="C245" s="132" t="s">
        <v>841</v>
      </c>
      <c r="D245" s="902"/>
      <c r="E245" s="150" t="s">
        <v>1348</v>
      </c>
      <c r="F245" s="150" t="s">
        <v>1125</v>
      </c>
      <c r="G245" s="145" t="s">
        <v>1244</v>
      </c>
      <c r="H245" s="165">
        <v>1</v>
      </c>
      <c r="I245" s="234">
        <v>25</v>
      </c>
      <c r="J245" s="971">
        <v>14447</v>
      </c>
      <c r="K245" s="871">
        <v>7223.5</v>
      </c>
      <c r="L245" s="888">
        <f t="shared" si="58"/>
        <v>7223.5</v>
      </c>
      <c r="M245" s="978">
        <v>0.11</v>
      </c>
      <c r="N245" s="978">
        <v>2.6000000000000002E-2</v>
      </c>
      <c r="O245" s="978">
        <v>3.0000000000000001E-3</v>
      </c>
      <c r="P245" s="889">
        <f t="shared" si="87"/>
        <v>0.91900000000000004</v>
      </c>
      <c r="Q245" s="978">
        <v>1</v>
      </c>
      <c r="R245" s="178">
        <v>1</v>
      </c>
      <c r="S245" s="178">
        <v>1</v>
      </c>
      <c r="T245" s="178">
        <v>1</v>
      </c>
      <c r="U245" s="978">
        <v>0.77900000000000003</v>
      </c>
      <c r="V245" s="978">
        <v>1</v>
      </c>
      <c r="W245" s="179"/>
      <c r="X245" s="937" t="s">
        <v>653</v>
      </c>
      <c r="Y245" s="299">
        <f>IFERROR(VLOOKUP($X245,'Demand Lookups'!$A$5:$K$101,9,0), 0)</f>
        <v>0</v>
      </c>
      <c r="Z245" s="922" t="str">
        <f>IFERROR(VLOOKUP(X245,'Demand Lookups'!$A$5:$B$101,2,0),0)</f>
        <v>Non-Electric Measures</v>
      </c>
      <c r="AA245" s="835">
        <f>IF(ISNA(VLOOKUP($X245,'Demand Lookups'!$A$5:$K$81,3,0)),0,VLOOKUP($X245,'Demand Lookups'!$A$5:$K$81,3,0))</f>
        <v>0</v>
      </c>
      <c r="AB245" s="835">
        <f>IF(ISNA(VLOOKUP($X245,'Demand Lookups'!$A$5:$K$81,4,0)),0,VLOOKUP($X245,'Demand Lookups'!$A$5:$K$81,4,0))</f>
        <v>0</v>
      </c>
      <c r="AC245" s="835">
        <f>IF(ISNA(VLOOKUP($X245,'Demand Lookups'!$A$5:$K$81,5,0)),0,VLOOKUP($X245,'Demand Lookups'!$A$5:$K$81,5,0))</f>
        <v>0</v>
      </c>
      <c r="AD245" s="836">
        <f>IF(ISNA(VLOOKUP($X245,'Demand Lookups'!$A$5:$K$81,6,0)),0,VLOOKUP($X245,'Demand Lookups'!$A$5:$K$81,6,0))</f>
        <v>0</v>
      </c>
      <c r="AE245" s="837">
        <f t="shared" si="88"/>
        <v>0</v>
      </c>
      <c r="AF245" s="836">
        <f>ROUND(IF(ISNA(VLOOKUP($X245,'Demand Lookups'!$A$5:$K$82,10,0)),0,(VLOOKUP($X245,'Demand Lookups'!$A$5:$K$82,10,0))),2)</f>
        <v>0</v>
      </c>
      <c r="AG245" s="836">
        <f>ROUND(IF(ISNA(VLOOKUP($X245,'Demand Lookups'!$A$5:$K$82,11,0)),0,VLOOKUP($X245,'Demand Lookups'!$A$5:$K$82,11,0)),2)</f>
        <v>0</v>
      </c>
      <c r="AH245" s="648">
        <f t="shared" si="89"/>
        <v>0</v>
      </c>
      <c r="AI245" s="648">
        <f t="shared" si="90"/>
        <v>0</v>
      </c>
      <c r="AJ245" s="167" t="s">
        <v>87</v>
      </c>
      <c r="AK245" s="168">
        <v>487.2</v>
      </c>
      <c r="AL245" s="167"/>
      <c r="AM245" s="168"/>
      <c r="AN245" s="167"/>
      <c r="AO245" s="168"/>
      <c r="AP245" s="167"/>
      <c r="AQ245" s="171"/>
      <c r="AR245" s="171"/>
      <c r="AS245" s="299">
        <f>SUMIF('NEI Lookups'!$L:$L,'Inputs Yr 2'!$F245,'NEI Lookups'!E:E)+SUMIF('NEI Lookups'!$M:$M,'Inputs Yr 2'!$F245,'NEI Lookups'!E:E)+SUMIF('NEI Lookups'!$N:$N,'Inputs Yr 2'!$F245,'NEI Lookups'!E:E)+SUMIF('NEI Lookups'!$O:$O,'Inputs Yr 2'!$F245,'NEI Lookups'!E:E)+SUMIF('NEI Lookups'!$P:$P,'Inputs Yr 2'!$F245,'NEI Lookups'!E:E)+SUMIF('NEI Lookups'!$Q:$Q,'Inputs Yr 2'!$F245,'NEI Lookups'!E:E)+SUMIF('NEI Lookups'!$R:$R,'Inputs Yr 2'!$F245,'NEI Lookups'!E:E)+SUMIF('NEI Lookups'!$S:$S,'Inputs Yr 2'!$F245,'NEI Lookups'!E:E)+SUMIF('NEI Lookups'!$T:$T,'Inputs Yr 2'!$F245,'NEI Lookups'!E:E)</f>
        <v>0</v>
      </c>
      <c r="AT245" s="299">
        <f>SUMIF('NEI Lookups'!$L:$L,'Inputs Yr 2'!$F245,'NEI Lookups'!F:F)+SUMIF('NEI Lookups'!$M:$M,'Inputs Yr 2'!$F245,'NEI Lookups'!F:F)+SUMIF('NEI Lookups'!$N:$N,'Inputs Yr 2'!$F245,'NEI Lookups'!F:F)+SUMIF('NEI Lookups'!$O:$O,'Inputs Yr 2'!$F245,'NEI Lookups'!F:F)+SUMIF('NEI Lookups'!$P:$P,'Inputs Yr 2'!$F245,'NEI Lookups'!F:F)+SUMIF('NEI Lookups'!$Q:$Q,'Inputs Yr 2'!$F245,'NEI Lookups'!F:F)+SUMIF('NEI Lookups'!$R:$R,'Inputs Yr 2'!$F245,'NEI Lookups'!F:F)+SUMIF('NEI Lookups'!$S:$S,'Inputs Yr 2'!$F245,'NEI Lookups'!F:F)+SUMIF('NEI Lookups'!$T:$T,'Inputs Yr 2'!$F245,'NEI Lookups'!F:F)</f>
        <v>0</v>
      </c>
      <c r="AU245" s="299">
        <f>SUMIF('NEI Lookups'!$L:$L,'Inputs Yr 2'!$F245,'NEI Lookups'!G:G)+SUMIF('NEI Lookups'!$M:$M,'Inputs Yr 2'!$F245,'NEI Lookups'!G:G)+SUMIF('NEI Lookups'!$N:$N,'Inputs Yr 2'!$F245,'NEI Lookups'!G:G)+SUMIF('NEI Lookups'!$O:$O,'Inputs Yr 2'!$F245,'NEI Lookups'!G:G)+SUMIF('NEI Lookups'!$P:$P,'Inputs Yr 2'!$F245,'NEI Lookups'!G:G)+SUMIF('NEI Lookups'!$Q:$Q,'Inputs Yr 2'!$F245,'NEI Lookups'!G:G)+SUMIF('NEI Lookups'!$R:$R,'Inputs Yr 2'!$F245,'NEI Lookups'!G:G)+SUMIF('NEI Lookups'!$S:$S,'Inputs Yr 2'!$F245,'NEI Lookups'!G:G)+SUMIF('NEI Lookups'!$T:$T,'Inputs Yr 2'!$F245,'NEI Lookups'!G:G)</f>
        <v>0</v>
      </c>
      <c r="AV245" s="299">
        <f>SUMIF('NEI Lookups'!$L:$L,'Inputs Yr 2'!$F245,'NEI Lookups'!H:H)+SUMIF('NEI Lookups'!$M:$M,'Inputs Yr 2'!$F245,'NEI Lookups'!H:H)+SUMIF('NEI Lookups'!$N:$N,'Inputs Yr 2'!$F245,'NEI Lookups'!H:H)+SUMIF('NEI Lookups'!$O:$O,'Inputs Yr 2'!$F245,'NEI Lookups'!H:H)+SUMIF('NEI Lookups'!$P:$P,'Inputs Yr 2'!$F245,'NEI Lookups'!H:H)+SUMIF('NEI Lookups'!$Q:$Q,'Inputs Yr 2'!$F245,'NEI Lookups'!H:H)+SUMIF('NEI Lookups'!$R:$R,'Inputs Yr 2'!$F245,'NEI Lookups'!H:H)+SUMIF('NEI Lookups'!$S:$S,'Inputs Yr 2'!$F245,'NEI Lookups'!H:H)+SUMIF('NEI Lookups'!$T:$T,'Inputs Yr 2'!$F245,'NEI Lookups'!H:H)</f>
        <v>0</v>
      </c>
      <c r="AW245" s="299">
        <f>SUMIF('NEI Lookups'!$L:$L,'Inputs Yr 2'!$F245,'NEI Lookups'!I:I)+SUMIF('NEI Lookups'!$M:$M,'Inputs Yr 2'!$F245,'NEI Lookups'!I:I)+SUMIF('NEI Lookups'!$N:$N,'Inputs Yr 2'!$F245,'NEI Lookups'!I:I)+SUMIF('NEI Lookups'!$O:$O,'Inputs Yr 2'!$F245,'NEI Lookups'!I:I)+SUMIF('NEI Lookups'!$P:$P,'Inputs Yr 2'!$F245,'NEI Lookups'!I:I)+SUMIF('NEI Lookups'!$Q:$Q,'Inputs Yr 2'!$F245,'NEI Lookups'!I:I)+SUMIF('NEI Lookups'!$R:$R,'Inputs Yr 2'!$F245,'NEI Lookups'!I:I)+SUMIF('NEI Lookups'!$S:$S,'Inputs Yr 2'!$F245,'NEI Lookups'!I:I)+SUMIF('NEI Lookups'!$T:$T,'Inputs Yr 2'!$F245,'NEI Lookups'!I:I)</f>
        <v>0.25</v>
      </c>
      <c r="AX245" s="299">
        <f>SUMIF('NEI Lookups'!$L:$L,'Inputs Yr 2'!$F245,'NEI Lookups'!J:J)+SUMIF('NEI Lookups'!$M:$M,'Inputs Yr 2'!$F245,'NEI Lookups'!J:J)+SUMIF('NEI Lookups'!$N:$N,'Inputs Yr 2'!$F245,'NEI Lookups'!J:J)+SUMIF('NEI Lookups'!$O:$O,'Inputs Yr 2'!$F245,'NEI Lookups'!J:J)+SUMIF('NEI Lookups'!$P:$P,'Inputs Yr 2'!$F245,'NEI Lookups'!J:J)+SUMIF('NEI Lookups'!$Q:$Q,'Inputs Yr 2'!$F245,'NEI Lookups'!J:J)+SUMIF('NEI Lookups'!$R:$R,'Inputs Yr 2'!$F245,'NEI Lookups'!J:J)+SUMIF('NEI Lookups'!$S:$S,'Inputs Yr 2'!$F245,'NEI Lookups'!J:J)+SUMIF('NEI Lookups'!$T:$T,'Inputs Yr 2'!$F245,'NEI Lookups'!J:J)</f>
        <v>0</v>
      </c>
      <c r="AY245" s="930">
        <f>'Calculations Yr 2'!CP245/'Calculations Yr 2'!I245</f>
        <v>7.3282991186559281</v>
      </c>
    </row>
    <row r="246" spans="1:51" s="133" customFormat="1" ht="12.75" customHeight="1">
      <c r="A246" s="145" t="s">
        <v>83</v>
      </c>
      <c r="B246" s="132" t="s">
        <v>870</v>
      </c>
      <c r="C246" s="132" t="s">
        <v>841</v>
      </c>
      <c r="D246" s="98"/>
      <c r="E246" s="656" t="s">
        <v>604</v>
      </c>
      <c r="F246" s="150" t="s">
        <v>1126</v>
      </c>
      <c r="G246" s="145" t="s">
        <v>545</v>
      </c>
      <c r="H246" s="165"/>
      <c r="I246" s="234"/>
      <c r="J246" s="971"/>
      <c r="K246" s="871">
        <v>0</v>
      </c>
      <c r="L246" s="888">
        <f t="shared" si="58"/>
        <v>0</v>
      </c>
      <c r="M246" s="978">
        <v>0.11</v>
      </c>
      <c r="N246" s="978">
        <v>2.5999999999999999E-2</v>
      </c>
      <c r="O246" s="978">
        <v>3.0000000000000001E-3</v>
      </c>
      <c r="P246" s="889">
        <v>0.91900000000000004</v>
      </c>
      <c r="Q246" s="978">
        <v>1</v>
      </c>
      <c r="R246" s="178">
        <v>1</v>
      </c>
      <c r="S246" s="178">
        <v>1</v>
      </c>
      <c r="T246" s="178">
        <v>1</v>
      </c>
      <c r="U246" s="978">
        <v>0.77900000000000003</v>
      </c>
      <c r="V246" s="978">
        <v>0</v>
      </c>
      <c r="W246" s="179"/>
      <c r="X246" s="937" t="s">
        <v>653</v>
      </c>
      <c r="Y246" s="299">
        <f>IFERROR(VLOOKUP($X246,'Demand Lookups'!$A$5:$K$101,9,0), 0)</f>
        <v>0</v>
      </c>
      <c r="Z246" s="922" t="str">
        <f>IFERROR(VLOOKUP(X246,'Demand Lookups'!$A$5:$B$101,2,0),0)</f>
        <v>Non-Electric Measures</v>
      </c>
      <c r="AA246" s="722">
        <v>0</v>
      </c>
      <c r="AB246" s="722">
        <v>0</v>
      </c>
      <c r="AC246" s="722">
        <v>0</v>
      </c>
      <c r="AD246" s="723">
        <v>0</v>
      </c>
      <c r="AE246" s="837">
        <f t="shared" si="88"/>
        <v>0</v>
      </c>
      <c r="AF246" s="723">
        <v>0</v>
      </c>
      <c r="AG246" s="723">
        <v>0</v>
      </c>
      <c r="AH246" s="648">
        <v>0</v>
      </c>
      <c r="AI246" s="648">
        <v>0</v>
      </c>
      <c r="AJ246" s="167" t="s">
        <v>200</v>
      </c>
      <c r="AK246" s="168">
        <v>0</v>
      </c>
      <c r="AL246" s="167"/>
      <c r="AM246" s="168"/>
      <c r="AN246" s="167"/>
      <c r="AO246" s="168"/>
      <c r="AP246" s="167"/>
      <c r="AQ246" s="171"/>
      <c r="AR246" s="171"/>
      <c r="AS246" s="299">
        <f>SUMIF('NEI Lookups'!$L:$L,'Inputs Yr 2'!$F246,'NEI Lookups'!E:E)+SUMIF('NEI Lookups'!$M:$M,'Inputs Yr 2'!$F246,'NEI Lookups'!E:E)+SUMIF('NEI Lookups'!$N:$N,'Inputs Yr 2'!$F246,'NEI Lookups'!E:E)+SUMIF('NEI Lookups'!$O:$O,'Inputs Yr 2'!$F246,'NEI Lookups'!E:E)+SUMIF('NEI Lookups'!$P:$P,'Inputs Yr 2'!$F246,'NEI Lookups'!E:E)+SUMIF('NEI Lookups'!$Q:$Q,'Inputs Yr 2'!$F246,'NEI Lookups'!E:E)+SUMIF('NEI Lookups'!$R:$R,'Inputs Yr 2'!$F246,'NEI Lookups'!E:E)+SUMIF('NEI Lookups'!$S:$S,'Inputs Yr 2'!$F246,'NEI Lookups'!E:E)+SUMIF('NEI Lookups'!$T:$T,'Inputs Yr 2'!$F246,'NEI Lookups'!E:E)</f>
        <v>0</v>
      </c>
      <c r="AT246" s="299">
        <f>SUMIF('NEI Lookups'!$L:$L,'Inputs Yr 2'!$F246,'NEI Lookups'!F:F)+SUMIF('NEI Lookups'!$M:$M,'Inputs Yr 2'!$F246,'NEI Lookups'!F:F)+SUMIF('NEI Lookups'!$N:$N,'Inputs Yr 2'!$F246,'NEI Lookups'!F:F)+SUMIF('NEI Lookups'!$O:$O,'Inputs Yr 2'!$F246,'NEI Lookups'!F:F)+SUMIF('NEI Lookups'!$P:$P,'Inputs Yr 2'!$F246,'NEI Lookups'!F:F)+SUMIF('NEI Lookups'!$Q:$Q,'Inputs Yr 2'!$F246,'NEI Lookups'!F:F)+SUMIF('NEI Lookups'!$R:$R,'Inputs Yr 2'!$F246,'NEI Lookups'!F:F)+SUMIF('NEI Lookups'!$S:$S,'Inputs Yr 2'!$F246,'NEI Lookups'!F:F)+SUMIF('NEI Lookups'!$T:$T,'Inputs Yr 2'!$F246,'NEI Lookups'!F:F)</f>
        <v>0</v>
      </c>
      <c r="AU246" s="299">
        <f>SUMIF('NEI Lookups'!$L:$L,'Inputs Yr 2'!$F246,'NEI Lookups'!G:G)+SUMIF('NEI Lookups'!$M:$M,'Inputs Yr 2'!$F246,'NEI Lookups'!G:G)+SUMIF('NEI Lookups'!$N:$N,'Inputs Yr 2'!$F246,'NEI Lookups'!G:G)+SUMIF('NEI Lookups'!$O:$O,'Inputs Yr 2'!$F246,'NEI Lookups'!G:G)+SUMIF('NEI Lookups'!$P:$P,'Inputs Yr 2'!$F246,'NEI Lookups'!G:G)+SUMIF('NEI Lookups'!$Q:$Q,'Inputs Yr 2'!$F246,'NEI Lookups'!G:G)+SUMIF('NEI Lookups'!$R:$R,'Inputs Yr 2'!$F246,'NEI Lookups'!G:G)+SUMIF('NEI Lookups'!$S:$S,'Inputs Yr 2'!$F246,'NEI Lookups'!G:G)+SUMIF('NEI Lookups'!$T:$T,'Inputs Yr 2'!$F246,'NEI Lookups'!G:G)</f>
        <v>0</v>
      </c>
      <c r="AV246" s="299">
        <f>SUMIF('NEI Lookups'!$L:$L,'Inputs Yr 2'!$F246,'NEI Lookups'!H:H)+SUMIF('NEI Lookups'!$M:$M,'Inputs Yr 2'!$F246,'NEI Lookups'!H:H)+SUMIF('NEI Lookups'!$N:$N,'Inputs Yr 2'!$F246,'NEI Lookups'!H:H)+SUMIF('NEI Lookups'!$O:$O,'Inputs Yr 2'!$F246,'NEI Lookups'!H:H)+SUMIF('NEI Lookups'!$P:$P,'Inputs Yr 2'!$F246,'NEI Lookups'!H:H)+SUMIF('NEI Lookups'!$Q:$Q,'Inputs Yr 2'!$F246,'NEI Lookups'!H:H)+SUMIF('NEI Lookups'!$R:$R,'Inputs Yr 2'!$F246,'NEI Lookups'!H:H)+SUMIF('NEI Lookups'!$S:$S,'Inputs Yr 2'!$F246,'NEI Lookups'!H:H)+SUMIF('NEI Lookups'!$T:$T,'Inputs Yr 2'!$F246,'NEI Lookups'!H:H)</f>
        <v>0</v>
      </c>
      <c r="AW246" s="299">
        <f>SUMIF('NEI Lookups'!$L:$L,'Inputs Yr 2'!$F246,'NEI Lookups'!I:I)+SUMIF('NEI Lookups'!$M:$M,'Inputs Yr 2'!$F246,'NEI Lookups'!I:I)+SUMIF('NEI Lookups'!$N:$N,'Inputs Yr 2'!$F246,'NEI Lookups'!I:I)+SUMIF('NEI Lookups'!$O:$O,'Inputs Yr 2'!$F246,'NEI Lookups'!I:I)+SUMIF('NEI Lookups'!$P:$P,'Inputs Yr 2'!$F246,'NEI Lookups'!I:I)+SUMIF('NEI Lookups'!$Q:$Q,'Inputs Yr 2'!$F246,'NEI Lookups'!I:I)+SUMIF('NEI Lookups'!$R:$R,'Inputs Yr 2'!$F246,'NEI Lookups'!I:I)+SUMIF('NEI Lookups'!$S:$S,'Inputs Yr 2'!$F246,'NEI Lookups'!I:I)+SUMIF('NEI Lookups'!$T:$T,'Inputs Yr 2'!$F246,'NEI Lookups'!I:I)</f>
        <v>0.25</v>
      </c>
      <c r="AX246" s="299">
        <f>SUMIF('NEI Lookups'!$L:$L,'Inputs Yr 2'!$F246,'NEI Lookups'!J:J)+SUMIF('NEI Lookups'!$M:$M,'Inputs Yr 2'!$F246,'NEI Lookups'!J:J)+SUMIF('NEI Lookups'!$N:$N,'Inputs Yr 2'!$F246,'NEI Lookups'!J:J)+SUMIF('NEI Lookups'!$O:$O,'Inputs Yr 2'!$F246,'NEI Lookups'!J:J)+SUMIF('NEI Lookups'!$P:$P,'Inputs Yr 2'!$F246,'NEI Lookups'!J:J)+SUMIF('NEI Lookups'!$Q:$Q,'Inputs Yr 2'!$F246,'NEI Lookups'!J:J)+SUMIF('NEI Lookups'!$R:$R,'Inputs Yr 2'!$F246,'NEI Lookups'!J:J)+SUMIF('NEI Lookups'!$S:$S,'Inputs Yr 2'!$F246,'NEI Lookups'!J:J)+SUMIF('NEI Lookups'!$T:$T,'Inputs Yr 2'!$F246,'NEI Lookups'!J:J)</f>
        <v>0</v>
      </c>
      <c r="AY246" s="930" t="e">
        <f>'Calculations Yr 2'!CP246/'Calculations Yr 2'!I246</f>
        <v>#VALUE!</v>
      </c>
    </row>
    <row r="247" spans="1:51" s="133" customFormat="1" ht="12.75" customHeight="1">
      <c r="A247" s="145" t="s">
        <v>83</v>
      </c>
      <c r="B247" s="132" t="s">
        <v>870</v>
      </c>
      <c r="C247" s="132" t="s">
        <v>841</v>
      </c>
      <c r="D247" s="98"/>
      <c r="E247" s="891" t="s">
        <v>605</v>
      </c>
      <c r="F247" s="150" t="s">
        <v>1127</v>
      </c>
      <c r="G247" s="145" t="s">
        <v>545</v>
      </c>
      <c r="H247" s="165"/>
      <c r="I247" s="234">
        <v>9</v>
      </c>
      <c r="J247" s="964">
        <v>286000</v>
      </c>
      <c r="K247" s="166">
        <v>143000</v>
      </c>
      <c r="L247" s="888">
        <f t="shared" si="58"/>
        <v>143000</v>
      </c>
      <c r="M247" s="980">
        <v>0.30099999999999999</v>
      </c>
      <c r="N247" s="980">
        <v>0.14699999999999999</v>
      </c>
      <c r="O247" s="980">
        <v>0</v>
      </c>
      <c r="P247" s="889">
        <f t="shared" ref="P247" si="91">1-M247+N247+O247</f>
        <v>0.84600000000000009</v>
      </c>
      <c r="Q247" s="980">
        <v>1</v>
      </c>
      <c r="R247" s="178">
        <v>1</v>
      </c>
      <c r="S247" s="178">
        <v>1</v>
      </c>
      <c r="T247" s="178">
        <v>1</v>
      </c>
      <c r="U247" s="978">
        <v>1</v>
      </c>
      <c r="V247" s="978">
        <v>0</v>
      </c>
      <c r="W247" s="890"/>
      <c r="X247" s="937" t="s">
        <v>653</v>
      </c>
      <c r="Y247" s="299">
        <f>IFERROR(VLOOKUP($X247,'Demand Lookups'!$A$5:$K$101,9,0), 0)</f>
        <v>0</v>
      </c>
      <c r="Z247" s="922" t="str">
        <f>IFERROR(VLOOKUP(X247,'Demand Lookups'!$A$5:$B$101,2,0),0)</f>
        <v>Non-Electric Measures</v>
      </c>
      <c r="AA247" s="722">
        <v>0</v>
      </c>
      <c r="AB247" s="722">
        <v>0</v>
      </c>
      <c r="AC247" s="722">
        <v>0</v>
      </c>
      <c r="AD247" s="723">
        <v>0</v>
      </c>
      <c r="AE247" s="724">
        <f t="shared" ref="AE247" si="92">IF(ISERROR(W247*Y247),"",W247*Y247)</f>
        <v>0</v>
      </c>
      <c r="AF247" s="723">
        <v>0</v>
      </c>
      <c r="AG247" s="723">
        <v>0</v>
      </c>
      <c r="AH247" s="648">
        <f t="shared" ref="AH247" si="93">AF247</f>
        <v>0</v>
      </c>
      <c r="AI247" s="648">
        <f t="shared" ref="AI247" si="94">AF247</f>
        <v>0</v>
      </c>
      <c r="AJ247" s="167" t="s">
        <v>200</v>
      </c>
      <c r="AK247" s="168">
        <v>13000</v>
      </c>
      <c r="AL247" s="167"/>
      <c r="AM247" s="168"/>
      <c r="AN247" s="167"/>
      <c r="AO247" s="168"/>
      <c r="AP247" s="167"/>
      <c r="AQ247" s="171"/>
      <c r="AR247" s="171"/>
      <c r="AS247" s="299">
        <f>SUMIF('NEI Lookups'!$L:$L,'Inputs Yr 2'!$F247,'NEI Lookups'!E:E)+SUMIF('NEI Lookups'!$M:$M,'Inputs Yr 2'!$F247,'NEI Lookups'!E:E)+SUMIF('NEI Lookups'!$N:$N,'Inputs Yr 2'!$F247,'NEI Lookups'!E:E)+SUMIF('NEI Lookups'!$O:$O,'Inputs Yr 2'!$F247,'NEI Lookups'!E:E)+SUMIF('NEI Lookups'!$P:$P,'Inputs Yr 2'!$F247,'NEI Lookups'!E:E)+SUMIF('NEI Lookups'!$Q:$Q,'Inputs Yr 2'!$F247,'NEI Lookups'!E:E)+SUMIF('NEI Lookups'!$R:$R,'Inputs Yr 2'!$F247,'NEI Lookups'!E:E)+SUMIF('NEI Lookups'!$S:$S,'Inputs Yr 2'!$F247,'NEI Lookups'!E:E)+SUMIF('NEI Lookups'!$T:$T,'Inputs Yr 2'!$F247,'NEI Lookups'!E:E)</f>
        <v>0</v>
      </c>
      <c r="AT247" s="299">
        <f>SUMIF('NEI Lookups'!$L:$L,'Inputs Yr 2'!$F247,'NEI Lookups'!F:F)+SUMIF('NEI Lookups'!$M:$M,'Inputs Yr 2'!$F247,'NEI Lookups'!F:F)+SUMIF('NEI Lookups'!$N:$N,'Inputs Yr 2'!$F247,'NEI Lookups'!F:F)+SUMIF('NEI Lookups'!$O:$O,'Inputs Yr 2'!$F247,'NEI Lookups'!F:F)+SUMIF('NEI Lookups'!$P:$P,'Inputs Yr 2'!$F247,'NEI Lookups'!F:F)+SUMIF('NEI Lookups'!$Q:$Q,'Inputs Yr 2'!$F247,'NEI Lookups'!F:F)+SUMIF('NEI Lookups'!$R:$R,'Inputs Yr 2'!$F247,'NEI Lookups'!F:F)+SUMIF('NEI Lookups'!$S:$S,'Inputs Yr 2'!$F247,'NEI Lookups'!F:F)+SUMIF('NEI Lookups'!$T:$T,'Inputs Yr 2'!$F247,'NEI Lookups'!F:F)</f>
        <v>0</v>
      </c>
      <c r="AU247" s="299">
        <f>SUMIF('NEI Lookups'!$L:$L,'Inputs Yr 2'!$F247,'NEI Lookups'!G:G)+SUMIF('NEI Lookups'!$M:$M,'Inputs Yr 2'!$F247,'NEI Lookups'!G:G)+SUMIF('NEI Lookups'!$N:$N,'Inputs Yr 2'!$F247,'NEI Lookups'!G:G)+SUMIF('NEI Lookups'!$O:$O,'Inputs Yr 2'!$F247,'NEI Lookups'!G:G)+SUMIF('NEI Lookups'!$P:$P,'Inputs Yr 2'!$F247,'NEI Lookups'!G:G)+SUMIF('NEI Lookups'!$Q:$Q,'Inputs Yr 2'!$F247,'NEI Lookups'!G:G)+SUMIF('NEI Lookups'!$R:$R,'Inputs Yr 2'!$F247,'NEI Lookups'!G:G)+SUMIF('NEI Lookups'!$S:$S,'Inputs Yr 2'!$F247,'NEI Lookups'!G:G)+SUMIF('NEI Lookups'!$T:$T,'Inputs Yr 2'!$F247,'NEI Lookups'!G:G)</f>
        <v>0</v>
      </c>
      <c r="AV247" s="299">
        <f>SUMIF('NEI Lookups'!$L:$L,'Inputs Yr 2'!$F247,'NEI Lookups'!H:H)+SUMIF('NEI Lookups'!$M:$M,'Inputs Yr 2'!$F247,'NEI Lookups'!H:H)+SUMIF('NEI Lookups'!$N:$N,'Inputs Yr 2'!$F247,'NEI Lookups'!H:H)+SUMIF('NEI Lookups'!$O:$O,'Inputs Yr 2'!$F247,'NEI Lookups'!H:H)+SUMIF('NEI Lookups'!$P:$P,'Inputs Yr 2'!$F247,'NEI Lookups'!H:H)+SUMIF('NEI Lookups'!$Q:$Q,'Inputs Yr 2'!$F247,'NEI Lookups'!H:H)+SUMIF('NEI Lookups'!$R:$R,'Inputs Yr 2'!$F247,'NEI Lookups'!H:H)+SUMIF('NEI Lookups'!$S:$S,'Inputs Yr 2'!$F247,'NEI Lookups'!H:H)+SUMIF('NEI Lookups'!$T:$T,'Inputs Yr 2'!$F247,'NEI Lookups'!H:H)</f>
        <v>0</v>
      </c>
      <c r="AW247" s="299">
        <f>SUMIF('NEI Lookups'!$L:$L,'Inputs Yr 2'!$F247,'NEI Lookups'!I:I)+SUMIF('NEI Lookups'!$M:$M,'Inputs Yr 2'!$F247,'NEI Lookups'!I:I)+SUMIF('NEI Lookups'!$N:$N,'Inputs Yr 2'!$F247,'NEI Lookups'!I:I)+SUMIF('NEI Lookups'!$O:$O,'Inputs Yr 2'!$F247,'NEI Lookups'!I:I)+SUMIF('NEI Lookups'!$P:$P,'Inputs Yr 2'!$F247,'NEI Lookups'!I:I)+SUMIF('NEI Lookups'!$Q:$Q,'Inputs Yr 2'!$F247,'NEI Lookups'!I:I)+SUMIF('NEI Lookups'!$R:$R,'Inputs Yr 2'!$F247,'NEI Lookups'!I:I)+SUMIF('NEI Lookups'!$S:$S,'Inputs Yr 2'!$F247,'NEI Lookups'!I:I)+SUMIF('NEI Lookups'!$T:$T,'Inputs Yr 2'!$F247,'NEI Lookups'!I:I)</f>
        <v>0</v>
      </c>
      <c r="AX247" s="299">
        <f>SUMIF('NEI Lookups'!$L:$L,'Inputs Yr 2'!$F247,'NEI Lookups'!J:J)+SUMIF('NEI Lookups'!$M:$M,'Inputs Yr 2'!$F247,'NEI Lookups'!J:J)+SUMIF('NEI Lookups'!$N:$N,'Inputs Yr 2'!$F247,'NEI Lookups'!J:J)+SUMIF('NEI Lookups'!$O:$O,'Inputs Yr 2'!$F247,'NEI Lookups'!J:J)+SUMIF('NEI Lookups'!$P:$P,'Inputs Yr 2'!$F247,'NEI Lookups'!J:J)+SUMIF('NEI Lookups'!$Q:$Q,'Inputs Yr 2'!$F247,'NEI Lookups'!J:J)+SUMIF('NEI Lookups'!$R:$R,'Inputs Yr 2'!$F247,'NEI Lookups'!J:J)+SUMIF('NEI Lookups'!$S:$S,'Inputs Yr 2'!$F247,'NEI Lookups'!J:J)+SUMIF('NEI Lookups'!$T:$T,'Inputs Yr 2'!$F247,'NEI Lookups'!J:J)</f>
        <v>0</v>
      </c>
      <c r="AY247" s="930" t="e">
        <f>'Calculations Yr 2'!CP247/'Calculations Yr 2'!I247</f>
        <v>#VALUE!</v>
      </c>
    </row>
    <row r="248" spans="1:51" s="133" customFormat="1" ht="12.75" customHeight="1">
      <c r="A248" s="145" t="s">
        <v>83</v>
      </c>
      <c r="B248" s="132" t="s">
        <v>870</v>
      </c>
      <c r="C248" s="132" t="s">
        <v>841</v>
      </c>
      <c r="D248" s="902"/>
      <c r="E248" s="655" t="s">
        <v>1512</v>
      </c>
      <c r="F248" s="150" t="s">
        <v>1128</v>
      </c>
      <c r="G248" s="145" t="s">
        <v>1247</v>
      </c>
      <c r="H248" s="165">
        <v>1</v>
      </c>
      <c r="I248" s="234">
        <v>15</v>
      </c>
      <c r="J248" s="971">
        <v>39494.800000000003</v>
      </c>
      <c r="K248" s="871">
        <v>19747.400000000001</v>
      </c>
      <c r="L248" s="888">
        <f t="shared" si="58"/>
        <v>19747.400000000001</v>
      </c>
      <c r="M248" s="978">
        <v>0.11</v>
      </c>
      <c r="N248" s="978">
        <v>2.6000000000000002E-2</v>
      </c>
      <c r="O248" s="978">
        <v>3.0000000000000001E-3</v>
      </c>
      <c r="P248" s="889">
        <f t="shared" si="79"/>
        <v>0.91900000000000004</v>
      </c>
      <c r="Q248" s="978">
        <v>1</v>
      </c>
      <c r="R248" s="178">
        <v>1</v>
      </c>
      <c r="S248" s="178">
        <v>1</v>
      </c>
      <c r="T248" s="178">
        <v>1</v>
      </c>
      <c r="U248" s="978">
        <v>0.77900000000000003</v>
      </c>
      <c r="V248" s="978">
        <v>1</v>
      </c>
      <c r="W248" s="179"/>
      <c r="X248" s="937" t="s">
        <v>653</v>
      </c>
      <c r="Y248" s="299">
        <f>IFERROR(VLOOKUP($X248,'Demand Lookups'!$A$5:$K$101,9,0), 0)</f>
        <v>0</v>
      </c>
      <c r="Z248" s="922" t="str">
        <f>IFERROR(VLOOKUP(X248,'Demand Lookups'!$A$5:$B$101,2,0),0)</f>
        <v>Non-Electric Measures</v>
      </c>
      <c r="AA248" s="722">
        <f>IF(ISNA(VLOOKUP($X248,'Demand Lookups'!$A$5:$K$81,3,0)),0,VLOOKUP($X248,'Demand Lookups'!$A$5:$K$81,3,0))</f>
        <v>0</v>
      </c>
      <c r="AB248" s="722">
        <f>IF(ISNA(VLOOKUP($X248,'Demand Lookups'!$A$5:$K$81,4,0)),0,VLOOKUP($X248,'Demand Lookups'!$A$5:$K$81,4,0))</f>
        <v>0</v>
      </c>
      <c r="AC248" s="722">
        <f>IF(ISNA(VLOOKUP($X248,'Demand Lookups'!$A$5:$K$81,5,0)),0,VLOOKUP($X248,'Demand Lookups'!$A$5:$K$81,5,0))</f>
        <v>0</v>
      </c>
      <c r="AD248" s="723">
        <f>IF(ISNA(VLOOKUP($X248,'Demand Lookups'!$A$5:$K$81,6,0)),0,VLOOKUP($X248,'Demand Lookups'!$A$5:$K$81,6,0))</f>
        <v>0</v>
      </c>
      <c r="AE248" s="724">
        <f t="shared" si="80"/>
        <v>0</v>
      </c>
      <c r="AF248" s="723">
        <f>ROUND(IF(ISNA(VLOOKUP($X248,'Demand Lookups'!$A$5:$K$82,10,0)),0,(VLOOKUP($X248,'Demand Lookups'!$A$5:$K$82,10,0))),2)</f>
        <v>0</v>
      </c>
      <c r="AG248" s="723">
        <f>ROUND(IF(ISNA(VLOOKUP($X248,'Demand Lookups'!$A$5:$K$82,11,0)),0,VLOOKUP($X248,'Demand Lookups'!$A$5:$K$82,11,0)),2)</f>
        <v>0</v>
      </c>
      <c r="AH248" s="648">
        <f t="shared" si="81"/>
        <v>0</v>
      </c>
      <c r="AI248" s="648">
        <f t="shared" si="82"/>
        <v>0</v>
      </c>
      <c r="AJ248" s="167" t="s">
        <v>87</v>
      </c>
      <c r="AK248" s="168">
        <v>799.7</v>
      </c>
      <c r="AL248" s="167"/>
      <c r="AM248" s="168"/>
      <c r="AN248" s="167"/>
      <c r="AO248" s="168"/>
      <c r="AP248" s="167"/>
      <c r="AQ248" s="171">
        <v>0</v>
      </c>
      <c r="AR248" s="171">
        <v>0</v>
      </c>
      <c r="AS248" s="299">
        <f>SUMIF('NEI Lookups'!$L:$L,'Inputs Yr 2'!$F248,'NEI Lookups'!E:E)+SUMIF('NEI Lookups'!$M:$M,'Inputs Yr 2'!$F248,'NEI Lookups'!E:E)+SUMIF('NEI Lookups'!$N:$N,'Inputs Yr 2'!$F248,'NEI Lookups'!E:E)+SUMIF('NEI Lookups'!$O:$O,'Inputs Yr 2'!$F248,'NEI Lookups'!E:E)+SUMIF('NEI Lookups'!$P:$P,'Inputs Yr 2'!$F248,'NEI Lookups'!E:E)+SUMIF('NEI Lookups'!$Q:$Q,'Inputs Yr 2'!$F248,'NEI Lookups'!E:E)+SUMIF('NEI Lookups'!$R:$R,'Inputs Yr 2'!$F248,'NEI Lookups'!E:E)+SUMIF('NEI Lookups'!$S:$S,'Inputs Yr 2'!$F248,'NEI Lookups'!E:E)+SUMIF('NEI Lookups'!$T:$T,'Inputs Yr 2'!$F248,'NEI Lookups'!E:E)</f>
        <v>0</v>
      </c>
      <c r="AT248" s="299">
        <f>SUMIF('NEI Lookups'!$L:$L,'Inputs Yr 2'!$F248,'NEI Lookups'!F:F)+SUMIF('NEI Lookups'!$M:$M,'Inputs Yr 2'!$F248,'NEI Lookups'!F:F)+SUMIF('NEI Lookups'!$N:$N,'Inputs Yr 2'!$F248,'NEI Lookups'!F:F)+SUMIF('NEI Lookups'!$O:$O,'Inputs Yr 2'!$F248,'NEI Lookups'!F:F)+SUMIF('NEI Lookups'!$P:$P,'Inputs Yr 2'!$F248,'NEI Lookups'!F:F)+SUMIF('NEI Lookups'!$Q:$Q,'Inputs Yr 2'!$F248,'NEI Lookups'!F:F)+SUMIF('NEI Lookups'!$R:$R,'Inputs Yr 2'!$F248,'NEI Lookups'!F:F)+SUMIF('NEI Lookups'!$S:$S,'Inputs Yr 2'!$F248,'NEI Lookups'!F:F)+SUMIF('NEI Lookups'!$T:$T,'Inputs Yr 2'!$F248,'NEI Lookups'!F:F)</f>
        <v>0</v>
      </c>
      <c r="AU248" s="299">
        <f>SUMIF('NEI Lookups'!$L:$L,'Inputs Yr 2'!$F248,'NEI Lookups'!G:G)+SUMIF('NEI Lookups'!$M:$M,'Inputs Yr 2'!$F248,'NEI Lookups'!G:G)+SUMIF('NEI Lookups'!$N:$N,'Inputs Yr 2'!$F248,'NEI Lookups'!G:G)+SUMIF('NEI Lookups'!$O:$O,'Inputs Yr 2'!$F248,'NEI Lookups'!G:G)+SUMIF('NEI Lookups'!$P:$P,'Inputs Yr 2'!$F248,'NEI Lookups'!G:G)+SUMIF('NEI Lookups'!$Q:$Q,'Inputs Yr 2'!$F248,'NEI Lookups'!G:G)+SUMIF('NEI Lookups'!$R:$R,'Inputs Yr 2'!$F248,'NEI Lookups'!G:G)+SUMIF('NEI Lookups'!$S:$S,'Inputs Yr 2'!$F248,'NEI Lookups'!G:G)+SUMIF('NEI Lookups'!$T:$T,'Inputs Yr 2'!$F248,'NEI Lookups'!G:G)</f>
        <v>0</v>
      </c>
      <c r="AV248" s="299">
        <f>SUMIF('NEI Lookups'!$L:$L,'Inputs Yr 2'!$F248,'NEI Lookups'!H:H)+SUMIF('NEI Lookups'!$M:$M,'Inputs Yr 2'!$F248,'NEI Lookups'!H:H)+SUMIF('NEI Lookups'!$N:$N,'Inputs Yr 2'!$F248,'NEI Lookups'!H:H)+SUMIF('NEI Lookups'!$O:$O,'Inputs Yr 2'!$F248,'NEI Lookups'!H:H)+SUMIF('NEI Lookups'!$P:$P,'Inputs Yr 2'!$F248,'NEI Lookups'!H:H)+SUMIF('NEI Lookups'!$Q:$Q,'Inputs Yr 2'!$F248,'NEI Lookups'!H:H)+SUMIF('NEI Lookups'!$R:$R,'Inputs Yr 2'!$F248,'NEI Lookups'!H:H)+SUMIF('NEI Lookups'!$S:$S,'Inputs Yr 2'!$F248,'NEI Lookups'!H:H)+SUMIF('NEI Lookups'!$T:$T,'Inputs Yr 2'!$F248,'NEI Lookups'!H:H)</f>
        <v>0</v>
      </c>
      <c r="AW248" s="299">
        <f>SUMIF('NEI Lookups'!$L:$L,'Inputs Yr 2'!$F248,'NEI Lookups'!I:I)+SUMIF('NEI Lookups'!$M:$M,'Inputs Yr 2'!$F248,'NEI Lookups'!I:I)+SUMIF('NEI Lookups'!$N:$N,'Inputs Yr 2'!$F248,'NEI Lookups'!I:I)+SUMIF('NEI Lookups'!$O:$O,'Inputs Yr 2'!$F248,'NEI Lookups'!I:I)+SUMIF('NEI Lookups'!$P:$P,'Inputs Yr 2'!$F248,'NEI Lookups'!I:I)+SUMIF('NEI Lookups'!$Q:$Q,'Inputs Yr 2'!$F248,'NEI Lookups'!I:I)+SUMIF('NEI Lookups'!$R:$R,'Inputs Yr 2'!$F248,'NEI Lookups'!I:I)+SUMIF('NEI Lookups'!$S:$S,'Inputs Yr 2'!$F248,'NEI Lookups'!I:I)+SUMIF('NEI Lookups'!$T:$T,'Inputs Yr 2'!$F248,'NEI Lookups'!I:I)</f>
        <v>0.25</v>
      </c>
      <c r="AX248" s="299">
        <f>SUMIF('NEI Lookups'!$L:$L,'Inputs Yr 2'!$F248,'NEI Lookups'!J:J)+SUMIF('NEI Lookups'!$M:$M,'Inputs Yr 2'!$F248,'NEI Lookups'!J:J)+SUMIF('NEI Lookups'!$N:$N,'Inputs Yr 2'!$F248,'NEI Lookups'!J:J)+SUMIF('NEI Lookups'!$O:$O,'Inputs Yr 2'!$F248,'NEI Lookups'!J:J)+SUMIF('NEI Lookups'!$P:$P,'Inputs Yr 2'!$F248,'NEI Lookups'!J:J)+SUMIF('NEI Lookups'!$Q:$Q,'Inputs Yr 2'!$F248,'NEI Lookups'!J:J)+SUMIF('NEI Lookups'!$R:$R,'Inputs Yr 2'!$F248,'NEI Lookups'!J:J)+SUMIF('NEI Lookups'!$S:$S,'Inputs Yr 2'!$F248,'NEI Lookups'!J:J)+SUMIF('NEI Lookups'!$T:$T,'Inputs Yr 2'!$F248,'NEI Lookups'!J:J)</f>
        <v>0</v>
      </c>
      <c r="AY248" s="930">
        <f>'Calculations Yr 2'!CP248/'Calculations Yr 2'!I248</f>
        <v>2.5798257681667849</v>
      </c>
    </row>
    <row r="249" spans="1:51" s="133" customFormat="1" ht="12.75" customHeight="1">
      <c r="A249" s="145" t="s">
        <v>83</v>
      </c>
      <c r="B249" s="132" t="s">
        <v>870</v>
      </c>
      <c r="C249" s="132" t="s">
        <v>841</v>
      </c>
      <c r="D249" s="902"/>
      <c r="E249" s="655" t="s">
        <v>1372</v>
      </c>
      <c r="F249" s="150" t="s">
        <v>1128</v>
      </c>
      <c r="G249" s="145" t="s">
        <v>1247</v>
      </c>
      <c r="H249" s="165">
        <v>1</v>
      </c>
      <c r="I249" s="234">
        <v>18</v>
      </c>
      <c r="J249" s="971">
        <v>1673106</v>
      </c>
      <c r="K249" s="871">
        <v>836553</v>
      </c>
      <c r="L249" s="888">
        <f t="shared" si="58"/>
        <v>836553</v>
      </c>
      <c r="M249" s="978">
        <v>0.11</v>
      </c>
      <c r="N249" s="978">
        <v>2.6000000000000002E-2</v>
      </c>
      <c r="O249" s="978">
        <v>3.0000000000000001E-3</v>
      </c>
      <c r="P249" s="889">
        <f t="shared" ref="P249" si="95">1-M249+N249+O249</f>
        <v>0.91900000000000004</v>
      </c>
      <c r="Q249" s="978">
        <v>1</v>
      </c>
      <c r="R249" s="178">
        <v>1</v>
      </c>
      <c r="S249" s="178">
        <v>1</v>
      </c>
      <c r="T249" s="178">
        <v>1</v>
      </c>
      <c r="U249" s="978">
        <v>0.77900000000000003</v>
      </c>
      <c r="V249" s="978">
        <v>1</v>
      </c>
      <c r="W249" s="179"/>
      <c r="X249" s="937" t="s">
        <v>653</v>
      </c>
      <c r="Y249" s="299">
        <f>IFERROR(VLOOKUP($X249,'Demand Lookups'!$A$5:$K$101,9,0), 0)</f>
        <v>0</v>
      </c>
      <c r="Z249" s="922" t="str">
        <f>IFERROR(VLOOKUP(X249,'Demand Lookups'!$A$5:$B$101,2,0),0)</f>
        <v>Non-Electric Measures</v>
      </c>
      <c r="AA249" s="722">
        <f>IF(ISNA(VLOOKUP($X249,'Demand Lookups'!$A$5:$K$81,3,0)),0,VLOOKUP($X249,'Demand Lookups'!$A$5:$K$81,3,0))</f>
        <v>0</v>
      </c>
      <c r="AB249" s="722">
        <f>IF(ISNA(VLOOKUP($X249,'Demand Lookups'!$A$5:$K$81,4,0)),0,VLOOKUP($X249,'Demand Lookups'!$A$5:$K$81,4,0))</f>
        <v>0</v>
      </c>
      <c r="AC249" s="722">
        <f>IF(ISNA(VLOOKUP($X249,'Demand Lookups'!$A$5:$K$81,5,0)),0,VLOOKUP($X249,'Demand Lookups'!$A$5:$K$81,5,0))</f>
        <v>0</v>
      </c>
      <c r="AD249" s="723">
        <f>IF(ISNA(VLOOKUP($X249,'Demand Lookups'!$A$5:$K$81,6,0)),0,VLOOKUP($X249,'Demand Lookups'!$A$5:$K$81,6,0))</f>
        <v>0</v>
      </c>
      <c r="AE249" s="724">
        <f t="shared" ref="AE249" si="96">IF(ISERROR(W249*Y249),"",W249*Y249)</f>
        <v>0</v>
      </c>
      <c r="AF249" s="723">
        <f>ROUND(IF(ISNA(VLOOKUP($X249,'Demand Lookups'!$A$5:$K$82,10,0)),0,(VLOOKUP($X249,'Demand Lookups'!$A$5:$K$82,10,0))),2)</f>
        <v>0</v>
      </c>
      <c r="AG249" s="723">
        <f>ROUND(IF(ISNA(VLOOKUP($X249,'Demand Lookups'!$A$5:$K$82,11,0)),0,VLOOKUP($X249,'Demand Lookups'!$A$5:$K$82,11,0)),2)</f>
        <v>0</v>
      </c>
      <c r="AH249" s="648">
        <f t="shared" ref="AH249" si="97">AF249</f>
        <v>0</v>
      </c>
      <c r="AI249" s="648">
        <f t="shared" ref="AI249" si="98">AF249</f>
        <v>0</v>
      </c>
      <c r="AJ249" s="167" t="s">
        <v>87</v>
      </c>
      <c r="AK249" s="168">
        <v>55770.2</v>
      </c>
      <c r="AL249" s="167"/>
      <c r="AM249" s="168"/>
      <c r="AN249" s="167"/>
      <c r="AO249" s="168"/>
      <c r="AP249" s="167"/>
      <c r="AQ249" s="171"/>
      <c r="AR249" s="171"/>
      <c r="AS249" s="299">
        <f>SUMIF('NEI Lookups'!$L:$L,'Inputs Yr 2'!$F249,'NEI Lookups'!E:E)+SUMIF('NEI Lookups'!$M:$M,'Inputs Yr 2'!$F249,'NEI Lookups'!E:E)+SUMIF('NEI Lookups'!$N:$N,'Inputs Yr 2'!$F249,'NEI Lookups'!E:E)+SUMIF('NEI Lookups'!$O:$O,'Inputs Yr 2'!$F249,'NEI Lookups'!E:E)+SUMIF('NEI Lookups'!$P:$P,'Inputs Yr 2'!$F249,'NEI Lookups'!E:E)+SUMIF('NEI Lookups'!$Q:$Q,'Inputs Yr 2'!$F249,'NEI Lookups'!E:E)+SUMIF('NEI Lookups'!$R:$R,'Inputs Yr 2'!$F249,'NEI Lookups'!E:E)+SUMIF('NEI Lookups'!$S:$S,'Inputs Yr 2'!$F249,'NEI Lookups'!E:E)+SUMIF('NEI Lookups'!$T:$T,'Inputs Yr 2'!$F249,'NEI Lookups'!E:E)</f>
        <v>0</v>
      </c>
      <c r="AT249" s="299">
        <f>SUMIF('NEI Lookups'!$L:$L,'Inputs Yr 2'!$F249,'NEI Lookups'!F:F)+SUMIF('NEI Lookups'!$M:$M,'Inputs Yr 2'!$F249,'NEI Lookups'!F:F)+SUMIF('NEI Lookups'!$N:$N,'Inputs Yr 2'!$F249,'NEI Lookups'!F:F)+SUMIF('NEI Lookups'!$O:$O,'Inputs Yr 2'!$F249,'NEI Lookups'!F:F)+SUMIF('NEI Lookups'!$P:$P,'Inputs Yr 2'!$F249,'NEI Lookups'!F:F)+SUMIF('NEI Lookups'!$Q:$Q,'Inputs Yr 2'!$F249,'NEI Lookups'!F:F)+SUMIF('NEI Lookups'!$R:$R,'Inputs Yr 2'!$F249,'NEI Lookups'!F:F)+SUMIF('NEI Lookups'!$S:$S,'Inputs Yr 2'!$F249,'NEI Lookups'!F:F)+SUMIF('NEI Lookups'!$T:$T,'Inputs Yr 2'!$F249,'NEI Lookups'!F:F)</f>
        <v>0</v>
      </c>
      <c r="AU249" s="299">
        <f>SUMIF('NEI Lookups'!$L:$L,'Inputs Yr 2'!$F249,'NEI Lookups'!G:G)+SUMIF('NEI Lookups'!$M:$M,'Inputs Yr 2'!$F249,'NEI Lookups'!G:G)+SUMIF('NEI Lookups'!$N:$N,'Inputs Yr 2'!$F249,'NEI Lookups'!G:G)+SUMIF('NEI Lookups'!$O:$O,'Inputs Yr 2'!$F249,'NEI Lookups'!G:G)+SUMIF('NEI Lookups'!$P:$P,'Inputs Yr 2'!$F249,'NEI Lookups'!G:G)+SUMIF('NEI Lookups'!$Q:$Q,'Inputs Yr 2'!$F249,'NEI Lookups'!G:G)+SUMIF('NEI Lookups'!$R:$R,'Inputs Yr 2'!$F249,'NEI Lookups'!G:G)+SUMIF('NEI Lookups'!$S:$S,'Inputs Yr 2'!$F249,'NEI Lookups'!G:G)+SUMIF('NEI Lookups'!$T:$T,'Inputs Yr 2'!$F249,'NEI Lookups'!G:G)</f>
        <v>0</v>
      </c>
      <c r="AV249" s="299">
        <f>SUMIF('NEI Lookups'!$L:$L,'Inputs Yr 2'!$F249,'NEI Lookups'!H:H)+SUMIF('NEI Lookups'!$M:$M,'Inputs Yr 2'!$F249,'NEI Lookups'!H:H)+SUMIF('NEI Lookups'!$N:$N,'Inputs Yr 2'!$F249,'NEI Lookups'!H:H)+SUMIF('NEI Lookups'!$O:$O,'Inputs Yr 2'!$F249,'NEI Lookups'!H:H)+SUMIF('NEI Lookups'!$P:$P,'Inputs Yr 2'!$F249,'NEI Lookups'!H:H)+SUMIF('NEI Lookups'!$Q:$Q,'Inputs Yr 2'!$F249,'NEI Lookups'!H:H)+SUMIF('NEI Lookups'!$R:$R,'Inputs Yr 2'!$F249,'NEI Lookups'!H:H)+SUMIF('NEI Lookups'!$S:$S,'Inputs Yr 2'!$F249,'NEI Lookups'!H:H)+SUMIF('NEI Lookups'!$T:$T,'Inputs Yr 2'!$F249,'NEI Lookups'!H:H)</f>
        <v>0</v>
      </c>
      <c r="AW249" s="299">
        <f>SUMIF('NEI Lookups'!$L:$L,'Inputs Yr 2'!$F249,'NEI Lookups'!I:I)+SUMIF('NEI Lookups'!$M:$M,'Inputs Yr 2'!$F249,'NEI Lookups'!I:I)+SUMIF('NEI Lookups'!$N:$N,'Inputs Yr 2'!$F249,'NEI Lookups'!I:I)+SUMIF('NEI Lookups'!$O:$O,'Inputs Yr 2'!$F249,'NEI Lookups'!I:I)+SUMIF('NEI Lookups'!$P:$P,'Inputs Yr 2'!$F249,'NEI Lookups'!I:I)+SUMIF('NEI Lookups'!$Q:$Q,'Inputs Yr 2'!$F249,'NEI Lookups'!I:I)+SUMIF('NEI Lookups'!$R:$R,'Inputs Yr 2'!$F249,'NEI Lookups'!I:I)+SUMIF('NEI Lookups'!$S:$S,'Inputs Yr 2'!$F249,'NEI Lookups'!I:I)+SUMIF('NEI Lookups'!$T:$T,'Inputs Yr 2'!$F249,'NEI Lookups'!I:I)</f>
        <v>0.25</v>
      </c>
      <c r="AX249" s="299">
        <f>SUMIF('NEI Lookups'!$L:$L,'Inputs Yr 2'!$F249,'NEI Lookups'!J:J)+SUMIF('NEI Lookups'!$M:$M,'Inputs Yr 2'!$F249,'NEI Lookups'!J:J)+SUMIF('NEI Lookups'!$N:$N,'Inputs Yr 2'!$F249,'NEI Lookups'!J:J)+SUMIF('NEI Lookups'!$O:$O,'Inputs Yr 2'!$F249,'NEI Lookups'!J:J)+SUMIF('NEI Lookups'!$P:$P,'Inputs Yr 2'!$F249,'NEI Lookups'!J:J)+SUMIF('NEI Lookups'!$Q:$Q,'Inputs Yr 2'!$F249,'NEI Lookups'!J:J)+SUMIF('NEI Lookups'!$R:$R,'Inputs Yr 2'!$F249,'NEI Lookups'!J:J)+SUMIF('NEI Lookups'!$S:$S,'Inputs Yr 2'!$F249,'NEI Lookups'!J:J)+SUMIF('NEI Lookups'!$T:$T,'Inputs Yr 2'!$F249,'NEI Lookups'!J:J)</f>
        <v>0</v>
      </c>
      <c r="AY249" s="930">
        <f>'Calculations Yr 2'!CP249/'Calculations Yr 2'!I249</f>
        <v>5.1224846898437875</v>
      </c>
    </row>
    <row r="250" spans="1:51" s="133" customFormat="1" ht="12.75" customHeight="1">
      <c r="A250" s="145" t="s">
        <v>83</v>
      </c>
      <c r="B250" s="132" t="s">
        <v>870</v>
      </c>
      <c r="C250" s="132" t="s">
        <v>841</v>
      </c>
      <c r="D250" s="656"/>
      <c r="E250" s="656" t="s">
        <v>1368</v>
      </c>
      <c r="F250" s="150" t="s">
        <v>1129</v>
      </c>
      <c r="G250" s="145" t="s">
        <v>1247</v>
      </c>
      <c r="H250" s="165">
        <v>1</v>
      </c>
      <c r="I250" s="234">
        <v>2</v>
      </c>
      <c r="J250" s="971">
        <v>28899.599999999999</v>
      </c>
      <c r="K250" s="871">
        <v>14449.8</v>
      </c>
      <c r="L250" s="888">
        <f t="shared" si="58"/>
        <v>14449.8</v>
      </c>
      <c r="M250" s="978">
        <v>0.11</v>
      </c>
      <c r="N250" s="978">
        <v>2.6000000000000002E-2</v>
      </c>
      <c r="O250" s="978">
        <v>3.0000000000000001E-3</v>
      </c>
      <c r="P250" s="889">
        <f t="shared" si="79"/>
        <v>0.91900000000000004</v>
      </c>
      <c r="Q250" s="978">
        <v>1</v>
      </c>
      <c r="R250" s="178">
        <v>1</v>
      </c>
      <c r="S250" s="178">
        <v>1</v>
      </c>
      <c r="T250" s="178">
        <v>1</v>
      </c>
      <c r="U250" s="978">
        <v>0.77900000000000003</v>
      </c>
      <c r="V250" s="978">
        <v>1</v>
      </c>
      <c r="W250" s="179"/>
      <c r="X250" s="937" t="s">
        <v>653</v>
      </c>
      <c r="Y250" s="299">
        <f>IFERROR(VLOOKUP($X250,'Demand Lookups'!$A$5:$K$101,9,0), 0)</f>
        <v>0</v>
      </c>
      <c r="Z250" s="922" t="str">
        <f>IFERROR(VLOOKUP(X250,'Demand Lookups'!$A$5:$B$101,2,0),0)</f>
        <v>Non-Electric Measures</v>
      </c>
      <c r="AA250" s="722">
        <f>IF(ISNA(VLOOKUP($X250,'Demand Lookups'!$A$5:$K$81,3,0)),0,VLOOKUP($X250,'Demand Lookups'!$A$5:$K$81,3,0))</f>
        <v>0</v>
      </c>
      <c r="AB250" s="722">
        <f>IF(ISNA(VLOOKUP($X250,'Demand Lookups'!$A$5:$K$81,4,0)),0,VLOOKUP($X250,'Demand Lookups'!$A$5:$K$81,4,0))</f>
        <v>0</v>
      </c>
      <c r="AC250" s="722">
        <f>IF(ISNA(VLOOKUP($X250,'Demand Lookups'!$A$5:$K$81,5,0)),0,VLOOKUP($X250,'Demand Lookups'!$A$5:$K$81,5,0))</f>
        <v>0</v>
      </c>
      <c r="AD250" s="723">
        <f>IF(ISNA(VLOOKUP($X250,'Demand Lookups'!$A$5:$K$81,6,0)),0,VLOOKUP($X250,'Demand Lookups'!$A$5:$K$81,6,0))</f>
        <v>0</v>
      </c>
      <c r="AE250" s="724">
        <f t="shared" si="80"/>
        <v>0</v>
      </c>
      <c r="AF250" s="723">
        <f>ROUND(IF(ISNA(VLOOKUP($X250,'Demand Lookups'!$A$5:$K$82,10,0)),0,(VLOOKUP($X250,'Demand Lookups'!$A$5:$K$82,10,0))),2)</f>
        <v>0</v>
      </c>
      <c r="AG250" s="723">
        <f>ROUND(IF(ISNA(VLOOKUP($X250,'Demand Lookups'!$A$5:$K$82,11,0)),0,VLOOKUP($X250,'Demand Lookups'!$A$5:$K$82,11,0)),2)</f>
        <v>0</v>
      </c>
      <c r="AH250" s="648">
        <f t="shared" si="81"/>
        <v>0</v>
      </c>
      <c r="AI250" s="648">
        <f t="shared" si="82"/>
        <v>0</v>
      </c>
      <c r="AJ250" s="167" t="s">
        <v>87</v>
      </c>
      <c r="AK250" s="168">
        <v>1219.8</v>
      </c>
      <c r="AL250" s="167"/>
      <c r="AM250" s="168"/>
      <c r="AN250" s="167"/>
      <c r="AO250" s="168"/>
      <c r="AP250" s="167"/>
      <c r="AQ250" s="171">
        <v>0</v>
      </c>
      <c r="AR250" s="171">
        <v>0</v>
      </c>
      <c r="AS250" s="299">
        <f>SUMIF('NEI Lookups'!$L:$L,'Inputs Yr 2'!$F250,'NEI Lookups'!E:E)+SUMIF('NEI Lookups'!$M:$M,'Inputs Yr 2'!$F250,'NEI Lookups'!E:E)+SUMIF('NEI Lookups'!$N:$N,'Inputs Yr 2'!$F250,'NEI Lookups'!E:E)+SUMIF('NEI Lookups'!$O:$O,'Inputs Yr 2'!$F250,'NEI Lookups'!E:E)+SUMIF('NEI Lookups'!$P:$P,'Inputs Yr 2'!$F250,'NEI Lookups'!E:E)+SUMIF('NEI Lookups'!$Q:$Q,'Inputs Yr 2'!$F250,'NEI Lookups'!E:E)+SUMIF('NEI Lookups'!$R:$R,'Inputs Yr 2'!$F250,'NEI Lookups'!E:E)+SUMIF('NEI Lookups'!$S:$S,'Inputs Yr 2'!$F250,'NEI Lookups'!E:E)+SUMIF('NEI Lookups'!$T:$T,'Inputs Yr 2'!$F250,'NEI Lookups'!E:E)</f>
        <v>0</v>
      </c>
      <c r="AT250" s="299">
        <f>SUMIF('NEI Lookups'!$L:$L,'Inputs Yr 2'!$F250,'NEI Lookups'!F:F)+SUMIF('NEI Lookups'!$M:$M,'Inputs Yr 2'!$F250,'NEI Lookups'!F:F)+SUMIF('NEI Lookups'!$N:$N,'Inputs Yr 2'!$F250,'NEI Lookups'!F:F)+SUMIF('NEI Lookups'!$O:$O,'Inputs Yr 2'!$F250,'NEI Lookups'!F:F)+SUMIF('NEI Lookups'!$P:$P,'Inputs Yr 2'!$F250,'NEI Lookups'!F:F)+SUMIF('NEI Lookups'!$Q:$Q,'Inputs Yr 2'!$F250,'NEI Lookups'!F:F)+SUMIF('NEI Lookups'!$R:$R,'Inputs Yr 2'!$F250,'NEI Lookups'!F:F)+SUMIF('NEI Lookups'!$S:$S,'Inputs Yr 2'!$F250,'NEI Lookups'!F:F)+SUMIF('NEI Lookups'!$T:$T,'Inputs Yr 2'!$F250,'NEI Lookups'!F:F)</f>
        <v>0</v>
      </c>
      <c r="AU250" s="299">
        <f>SUMIF('NEI Lookups'!$L:$L,'Inputs Yr 2'!$F250,'NEI Lookups'!G:G)+SUMIF('NEI Lookups'!$M:$M,'Inputs Yr 2'!$F250,'NEI Lookups'!G:G)+SUMIF('NEI Lookups'!$N:$N,'Inputs Yr 2'!$F250,'NEI Lookups'!G:G)+SUMIF('NEI Lookups'!$O:$O,'Inputs Yr 2'!$F250,'NEI Lookups'!G:G)+SUMIF('NEI Lookups'!$P:$P,'Inputs Yr 2'!$F250,'NEI Lookups'!G:G)+SUMIF('NEI Lookups'!$Q:$Q,'Inputs Yr 2'!$F250,'NEI Lookups'!G:G)+SUMIF('NEI Lookups'!$R:$R,'Inputs Yr 2'!$F250,'NEI Lookups'!G:G)+SUMIF('NEI Lookups'!$S:$S,'Inputs Yr 2'!$F250,'NEI Lookups'!G:G)+SUMIF('NEI Lookups'!$T:$T,'Inputs Yr 2'!$F250,'NEI Lookups'!G:G)</f>
        <v>0</v>
      </c>
      <c r="AV250" s="299">
        <f>SUMIF('NEI Lookups'!$L:$L,'Inputs Yr 2'!$F250,'NEI Lookups'!H:H)+SUMIF('NEI Lookups'!$M:$M,'Inputs Yr 2'!$F250,'NEI Lookups'!H:H)+SUMIF('NEI Lookups'!$N:$N,'Inputs Yr 2'!$F250,'NEI Lookups'!H:H)+SUMIF('NEI Lookups'!$O:$O,'Inputs Yr 2'!$F250,'NEI Lookups'!H:H)+SUMIF('NEI Lookups'!$P:$P,'Inputs Yr 2'!$F250,'NEI Lookups'!H:H)+SUMIF('NEI Lookups'!$Q:$Q,'Inputs Yr 2'!$F250,'NEI Lookups'!H:H)+SUMIF('NEI Lookups'!$R:$R,'Inputs Yr 2'!$F250,'NEI Lookups'!H:H)+SUMIF('NEI Lookups'!$S:$S,'Inputs Yr 2'!$F250,'NEI Lookups'!H:H)+SUMIF('NEI Lookups'!$T:$T,'Inputs Yr 2'!$F250,'NEI Lookups'!H:H)</f>
        <v>0</v>
      </c>
      <c r="AW250" s="299">
        <f>SUMIF('NEI Lookups'!$L:$L,'Inputs Yr 2'!$F250,'NEI Lookups'!I:I)+SUMIF('NEI Lookups'!$M:$M,'Inputs Yr 2'!$F250,'NEI Lookups'!I:I)+SUMIF('NEI Lookups'!$N:$N,'Inputs Yr 2'!$F250,'NEI Lookups'!I:I)+SUMIF('NEI Lookups'!$O:$O,'Inputs Yr 2'!$F250,'NEI Lookups'!I:I)+SUMIF('NEI Lookups'!$P:$P,'Inputs Yr 2'!$F250,'NEI Lookups'!I:I)+SUMIF('NEI Lookups'!$Q:$Q,'Inputs Yr 2'!$F250,'NEI Lookups'!I:I)+SUMIF('NEI Lookups'!$R:$R,'Inputs Yr 2'!$F250,'NEI Lookups'!I:I)+SUMIF('NEI Lookups'!$S:$S,'Inputs Yr 2'!$F250,'NEI Lookups'!I:I)+SUMIF('NEI Lookups'!$T:$T,'Inputs Yr 2'!$F250,'NEI Lookups'!I:I)</f>
        <v>0.25</v>
      </c>
      <c r="AX250" s="299">
        <f>SUMIF('NEI Lookups'!$L:$L,'Inputs Yr 2'!$F250,'NEI Lookups'!J:J)+SUMIF('NEI Lookups'!$M:$M,'Inputs Yr 2'!$F250,'NEI Lookups'!J:J)+SUMIF('NEI Lookups'!$N:$N,'Inputs Yr 2'!$F250,'NEI Lookups'!J:J)+SUMIF('NEI Lookups'!$O:$O,'Inputs Yr 2'!$F250,'NEI Lookups'!J:J)+SUMIF('NEI Lookups'!$P:$P,'Inputs Yr 2'!$F250,'NEI Lookups'!J:J)+SUMIF('NEI Lookups'!$Q:$Q,'Inputs Yr 2'!$F250,'NEI Lookups'!J:J)+SUMIF('NEI Lookups'!$R:$R,'Inputs Yr 2'!$F250,'NEI Lookups'!J:J)+SUMIF('NEI Lookups'!$S:$S,'Inputs Yr 2'!$F250,'NEI Lookups'!J:J)+SUMIF('NEI Lookups'!$T:$T,'Inputs Yr 2'!$F250,'NEI Lookups'!J:J)</f>
        <v>0</v>
      </c>
      <c r="AY250" s="930">
        <f>'Calculations Yr 2'!CP250/'Calculations Yr 2'!I250</f>
        <v>0.83345302321109849</v>
      </c>
    </row>
    <row r="251" spans="1:51" s="133" customFormat="1" ht="12.75" customHeight="1">
      <c r="A251" s="145" t="s">
        <v>83</v>
      </c>
      <c r="B251" s="132" t="s">
        <v>870</v>
      </c>
      <c r="C251" s="132" t="s">
        <v>841</v>
      </c>
      <c r="D251" s="656"/>
      <c r="E251" s="656" t="s">
        <v>1369</v>
      </c>
      <c r="F251" s="150" t="s">
        <v>1129</v>
      </c>
      <c r="G251" s="145" t="s">
        <v>1247</v>
      </c>
      <c r="H251" s="165">
        <v>1</v>
      </c>
      <c r="I251" s="234">
        <v>5</v>
      </c>
      <c r="J251" s="971">
        <v>36982.199999999997</v>
      </c>
      <c r="K251" s="871">
        <v>18491.099999999999</v>
      </c>
      <c r="L251" s="888">
        <f t="shared" si="58"/>
        <v>18491.099999999999</v>
      </c>
      <c r="M251" s="978">
        <v>0.11</v>
      </c>
      <c r="N251" s="978">
        <v>2.6000000000000002E-2</v>
      </c>
      <c r="O251" s="978">
        <v>3.0000000000000001E-3</v>
      </c>
      <c r="P251" s="889">
        <f t="shared" ref="P251:P255" si="99">1-M251+N251+O251</f>
        <v>0.91900000000000004</v>
      </c>
      <c r="Q251" s="978">
        <v>1</v>
      </c>
      <c r="R251" s="178">
        <v>1</v>
      </c>
      <c r="S251" s="178">
        <v>1</v>
      </c>
      <c r="T251" s="178">
        <v>1</v>
      </c>
      <c r="U251" s="978">
        <v>0.77900000000000003</v>
      </c>
      <c r="V251" s="978">
        <v>1</v>
      </c>
      <c r="W251" s="179"/>
      <c r="X251" s="937" t="s">
        <v>653</v>
      </c>
      <c r="Y251" s="299">
        <f>IFERROR(VLOOKUP($X251,'Demand Lookups'!$A$5:$K$101,9,0), 0)</f>
        <v>0</v>
      </c>
      <c r="Z251" s="922" t="str">
        <f>IFERROR(VLOOKUP(X251,'Demand Lookups'!$A$5:$B$101,2,0),0)</f>
        <v>Non-Electric Measures</v>
      </c>
      <c r="AA251" s="722">
        <f>IF(ISNA(VLOOKUP($X251,'Demand Lookups'!$A$5:$K$81,3,0)),0,VLOOKUP($X251,'Demand Lookups'!$A$5:$K$81,3,0))</f>
        <v>0</v>
      </c>
      <c r="AB251" s="722">
        <f>IF(ISNA(VLOOKUP($X251,'Demand Lookups'!$A$5:$K$81,4,0)),0,VLOOKUP($X251,'Demand Lookups'!$A$5:$K$81,4,0))</f>
        <v>0</v>
      </c>
      <c r="AC251" s="722">
        <f>IF(ISNA(VLOOKUP($X251,'Demand Lookups'!$A$5:$K$81,5,0)),0,VLOOKUP($X251,'Demand Lookups'!$A$5:$K$81,5,0))</f>
        <v>0</v>
      </c>
      <c r="AD251" s="723">
        <f>IF(ISNA(VLOOKUP($X251,'Demand Lookups'!$A$5:$K$81,6,0)),0,VLOOKUP($X251,'Demand Lookups'!$A$5:$K$81,6,0))</f>
        <v>0</v>
      </c>
      <c r="AE251" s="724">
        <f t="shared" ref="AE251:AE255" si="100">IF(ISERROR(W251*Y251),"",W251*Y251)</f>
        <v>0</v>
      </c>
      <c r="AF251" s="723">
        <f>ROUND(IF(ISNA(VLOOKUP($X251,'Demand Lookups'!$A$5:$K$82,10,0)),0,(VLOOKUP($X251,'Demand Lookups'!$A$5:$K$82,10,0))),2)</f>
        <v>0</v>
      </c>
      <c r="AG251" s="723">
        <f>ROUND(IF(ISNA(VLOOKUP($X251,'Demand Lookups'!$A$5:$K$82,11,0)),0,VLOOKUP($X251,'Demand Lookups'!$A$5:$K$82,11,0)),2)</f>
        <v>0</v>
      </c>
      <c r="AH251" s="648">
        <f t="shared" ref="AH251:AH255" si="101">AF251</f>
        <v>0</v>
      </c>
      <c r="AI251" s="648">
        <f t="shared" ref="AI251:AI255" si="102">AF251</f>
        <v>0</v>
      </c>
      <c r="AJ251" s="167" t="s">
        <v>87</v>
      </c>
      <c r="AK251" s="168">
        <v>964.7</v>
      </c>
      <c r="AL251" s="167"/>
      <c r="AM251" s="168"/>
      <c r="AN251" s="167"/>
      <c r="AO251" s="168"/>
      <c r="AP251" s="167"/>
      <c r="AQ251" s="171"/>
      <c r="AR251" s="171"/>
      <c r="AS251" s="299">
        <f>SUMIF('NEI Lookups'!$L:$L,'Inputs Yr 2'!$F251,'NEI Lookups'!E:E)+SUMIF('NEI Lookups'!$M:$M,'Inputs Yr 2'!$F251,'NEI Lookups'!E:E)+SUMIF('NEI Lookups'!$N:$N,'Inputs Yr 2'!$F251,'NEI Lookups'!E:E)+SUMIF('NEI Lookups'!$O:$O,'Inputs Yr 2'!$F251,'NEI Lookups'!E:E)+SUMIF('NEI Lookups'!$P:$P,'Inputs Yr 2'!$F251,'NEI Lookups'!E:E)+SUMIF('NEI Lookups'!$Q:$Q,'Inputs Yr 2'!$F251,'NEI Lookups'!E:E)+SUMIF('NEI Lookups'!$R:$R,'Inputs Yr 2'!$F251,'NEI Lookups'!E:E)+SUMIF('NEI Lookups'!$S:$S,'Inputs Yr 2'!$F251,'NEI Lookups'!E:E)+SUMIF('NEI Lookups'!$T:$T,'Inputs Yr 2'!$F251,'NEI Lookups'!E:E)</f>
        <v>0</v>
      </c>
      <c r="AT251" s="299">
        <f>SUMIF('NEI Lookups'!$L:$L,'Inputs Yr 2'!$F251,'NEI Lookups'!F:F)+SUMIF('NEI Lookups'!$M:$M,'Inputs Yr 2'!$F251,'NEI Lookups'!F:F)+SUMIF('NEI Lookups'!$N:$N,'Inputs Yr 2'!$F251,'NEI Lookups'!F:F)+SUMIF('NEI Lookups'!$O:$O,'Inputs Yr 2'!$F251,'NEI Lookups'!F:F)+SUMIF('NEI Lookups'!$P:$P,'Inputs Yr 2'!$F251,'NEI Lookups'!F:F)+SUMIF('NEI Lookups'!$Q:$Q,'Inputs Yr 2'!$F251,'NEI Lookups'!F:F)+SUMIF('NEI Lookups'!$R:$R,'Inputs Yr 2'!$F251,'NEI Lookups'!F:F)+SUMIF('NEI Lookups'!$S:$S,'Inputs Yr 2'!$F251,'NEI Lookups'!F:F)+SUMIF('NEI Lookups'!$T:$T,'Inputs Yr 2'!$F251,'NEI Lookups'!F:F)</f>
        <v>0</v>
      </c>
      <c r="AU251" s="299">
        <f>SUMIF('NEI Lookups'!$L:$L,'Inputs Yr 2'!$F251,'NEI Lookups'!G:G)+SUMIF('NEI Lookups'!$M:$M,'Inputs Yr 2'!$F251,'NEI Lookups'!G:G)+SUMIF('NEI Lookups'!$N:$N,'Inputs Yr 2'!$F251,'NEI Lookups'!G:G)+SUMIF('NEI Lookups'!$O:$O,'Inputs Yr 2'!$F251,'NEI Lookups'!G:G)+SUMIF('NEI Lookups'!$P:$P,'Inputs Yr 2'!$F251,'NEI Lookups'!G:G)+SUMIF('NEI Lookups'!$Q:$Q,'Inputs Yr 2'!$F251,'NEI Lookups'!G:G)+SUMIF('NEI Lookups'!$R:$R,'Inputs Yr 2'!$F251,'NEI Lookups'!G:G)+SUMIF('NEI Lookups'!$S:$S,'Inputs Yr 2'!$F251,'NEI Lookups'!G:G)+SUMIF('NEI Lookups'!$T:$T,'Inputs Yr 2'!$F251,'NEI Lookups'!G:G)</f>
        <v>0</v>
      </c>
      <c r="AV251" s="299">
        <f>SUMIF('NEI Lookups'!$L:$L,'Inputs Yr 2'!$F251,'NEI Lookups'!H:H)+SUMIF('NEI Lookups'!$M:$M,'Inputs Yr 2'!$F251,'NEI Lookups'!H:H)+SUMIF('NEI Lookups'!$N:$N,'Inputs Yr 2'!$F251,'NEI Lookups'!H:H)+SUMIF('NEI Lookups'!$O:$O,'Inputs Yr 2'!$F251,'NEI Lookups'!H:H)+SUMIF('NEI Lookups'!$P:$P,'Inputs Yr 2'!$F251,'NEI Lookups'!H:H)+SUMIF('NEI Lookups'!$Q:$Q,'Inputs Yr 2'!$F251,'NEI Lookups'!H:H)+SUMIF('NEI Lookups'!$R:$R,'Inputs Yr 2'!$F251,'NEI Lookups'!H:H)+SUMIF('NEI Lookups'!$S:$S,'Inputs Yr 2'!$F251,'NEI Lookups'!H:H)+SUMIF('NEI Lookups'!$T:$T,'Inputs Yr 2'!$F251,'NEI Lookups'!H:H)</f>
        <v>0</v>
      </c>
      <c r="AW251" s="299">
        <f>SUMIF('NEI Lookups'!$L:$L,'Inputs Yr 2'!$F251,'NEI Lookups'!I:I)+SUMIF('NEI Lookups'!$M:$M,'Inputs Yr 2'!$F251,'NEI Lookups'!I:I)+SUMIF('NEI Lookups'!$N:$N,'Inputs Yr 2'!$F251,'NEI Lookups'!I:I)+SUMIF('NEI Lookups'!$O:$O,'Inputs Yr 2'!$F251,'NEI Lookups'!I:I)+SUMIF('NEI Lookups'!$P:$P,'Inputs Yr 2'!$F251,'NEI Lookups'!I:I)+SUMIF('NEI Lookups'!$Q:$Q,'Inputs Yr 2'!$F251,'NEI Lookups'!I:I)+SUMIF('NEI Lookups'!$R:$R,'Inputs Yr 2'!$F251,'NEI Lookups'!I:I)+SUMIF('NEI Lookups'!$S:$S,'Inputs Yr 2'!$F251,'NEI Lookups'!I:I)+SUMIF('NEI Lookups'!$T:$T,'Inputs Yr 2'!$F251,'NEI Lookups'!I:I)</f>
        <v>0.25</v>
      </c>
      <c r="AX251" s="299">
        <f>SUMIF('NEI Lookups'!$L:$L,'Inputs Yr 2'!$F251,'NEI Lookups'!J:J)+SUMIF('NEI Lookups'!$M:$M,'Inputs Yr 2'!$F251,'NEI Lookups'!J:J)+SUMIF('NEI Lookups'!$N:$N,'Inputs Yr 2'!$F251,'NEI Lookups'!J:J)+SUMIF('NEI Lookups'!$O:$O,'Inputs Yr 2'!$F251,'NEI Lookups'!J:J)+SUMIF('NEI Lookups'!$P:$P,'Inputs Yr 2'!$F251,'NEI Lookups'!J:J)+SUMIF('NEI Lookups'!$Q:$Q,'Inputs Yr 2'!$F251,'NEI Lookups'!J:J)+SUMIF('NEI Lookups'!$R:$R,'Inputs Yr 2'!$F251,'NEI Lookups'!J:J)+SUMIF('NEI Lookups'!$S:$S,'Inputs Yr 2'!$F251,'NEI Lookups'!J:J)+SUMIF('NEI Lookups'!$T:$T,'Inputs Yr 2'!$F251,'NEI Lookups'!J:J)</f>
        <v>0</v>
      </c>
      <c r="AY251" s="930">
        <f>'Calculations Yr 2'!CP251/'Calculations Yr 2'!I251</f>
        <v>1.1695379589979853</v>
      </c>
    </row>
    <row r="252" spans="1:51" s="133" customFormat="1" ht="12.75" customHeight="1">
      <c r="A252" s="145" t="s">
        <v>83</v>
      </c>
      <c r="B252" s="132" t="s">
        <v>870</v>
      </c>
      <c r="C252" s="132" t="s">
        <v>841</v>
      </c>
      <c r="D252" s="656"/>
      <c r="E252" s="656" t="s">
        <v>1352</v>
      </c>
      <c r="F252" s="150" t="s">
        <v>1129</v>
      </c>
      <c r="G252" s="145" t="s">
        <v>1247</v>
      </c>
      <c r="H252" s="165">
        <v>1</v>
      </c>
      <c r="I252" s="234">
        <v>10</v>
      </c>
      <c r="J252" s="971">
        <v>570</v>
      </c>
      <c r="K252" s="871">
        <v>285</v>
      </c>
      <c r="L252" s="888">
        <f t="shared" si="58"/>
        <v>285</v>
      </c>
      <c r="M252" s="978">
        <v>0.11</v>
      </c>
      <c r="N252" s="978">
        <v>2.6000000000000002E-2</v>
      </c>
      <c r="O252" s="978">
        <v>3.0000000000000001E-3</v>
      </c>
      <c r="P252" s="889">
        <f t="shared" si="99"/>
        <v>0.91900000000000004</v>
      </c>
      <c r="Q252" s="978">
        <v>1</v>
      </c>
      <c r="R252" s="178">
        <v>1</v>
      </c>
      <c r="S252" s="178">
        <v>1</v>
      </c>
      <c r="T252" s="178">
        <v>1</v>
      </c>
      <c r="U252" s="978">
        <v>0.77900000000000003</v>
      </c>
      <c r="V252" s="978">
        <v>1</v>
      </c>
      <c r="W252" s="179"/>
      <c r="X252" s="937" t="s">
        <v>653</v>
      </c>
      <c r="Y252" s="299">
        <f>IFERROR(VLOOKUP($X252,'Demand Lookups'!$A$5:$K$101,9,0), 0)</f>
        <v>0</v>
      </c>
      <c r="Z252" s="922" t="str">
        <f>IFERROR(VLOOKUP(X252,'Demand Lookups'!$A$5:$B$101,2,0),0)</f>
        <v>Non-Electric Measures</v>
      </c>
      <c r="AA252" s="722">
        <f>IF(ISNA(VLOOKUP($X252,'Demand Lookups'!$A$5:$K$81,3,0)),0,VLOOKUP($X252,'Demand Lookups'!$A$5:$K$81,3,0))</f>
        <v>0</v>
      </c>
      <c r="AB252" s="722">
        <f>IF(ISNA(VLOOKUP($X252,'Demand Lookups'!$A$5:$K$81,4,0)),0,VLOOKUP($X252,'Demand Lookups'!$A$5:$K$81,4,0))</f>
        <v>0</v>
      </c>
      <c r="AC252" s="722">
        <f>IF(ISNA(VLOOKUP($X252,'Demand Lookups'!$A$5:$K$81,5,0)),0,VLOOKUP($X252,'Demand Lookups'!$A$5:$K$81,5,0))</f>
        <v>0</v>
      </c>
      <c r="AD252" s="723">
        <f>IF(ISNA(VLOOKUP($X252,'Demand Lookups'!$A$5:$K$81,6,0)),0,VLOOKUP($X252,'Demand Lookups'!$A$5:$K$81,6,0))</f>
        <v>0</v>
      </c>
      <c r="AE252" s="724">
        <f t="shared" si="100"/>
        <v>0</v>
      </c>
      <c r="AF252" s="723">
        <f>ROUND(IF(ISNA(VLOOKUP($X252,'Demand Lookups'!$A$5:$K$82,10,0)),0,(VLOOKUP($X252,'Demand Lookups'!$A$5:$K$82,10,0))),2)</f>
        <v>0</v>
      </c>
      <c r="AG252" s="723">
        <f>ROUND(IF(ISNA(VLOOKUP($X252,'Demand Lookups'!$A$5:$K$82,11,0)),0,VLOOKUP($X252,'Demand Lookups'!$A$5:$K$82,11,0)),2)</f>
        <v>0</v>
      </c>
      <c r="AH252" s="648">
        <f t="shared" si="101"/>
        <v>0</v>
      </c>
      <c r="AI252" s="648">
        <f t="shared" si="102"/>
        <v>0</v>
      </c>
      <c r="AJ252" s="167" t="s">
        <v>87</v>
      </c>
      <c r="AK252" s="168">
        <v>28.5</v>
      </c>
      <c r="AL252" s="167"/>
      <c r="AM252" s="168"/>
      <c r="AN252" s="167"/>
      <c r="AO252" s="168"/>
      <c r="AP252" s="167"/>
      <c r="AQ252" s="171"/>
      <c r="AR252" s="171"/>
      <c r="AS252" s="299">
        <f>SUMIF('NEI Lookups'!$L:$L,'Inputs Yr 2'!$F252,'NEI Lookups'!E:E)+SUMIF('NEI Lookups'!$M:$M,'Inputs Yr 2'!$F252,'NEI Lookups'!E:E)+SUMIF('NEI Lookups'!$N:$N,'Inputs Yr 2'!$F252,'NEI Lookups'!E:E)+SUMIF('NEI Lookups'!$O:$O,'Inputs Yr 2'!$F252,'NEI Lookups'!E:E)+SUMIF('NEI Lookups'!$P:$P,'Inputs Yr 2'!$F252,'NEI Lookups'!E:E)+SUMIF('NEI Lookups'!$Q:$Q,'Inputs Yr 2'!$F252,'NEI Lookups'!E:E)+SUMIF('NEI Lookups'!$R:$R,'Inputs Yr 2'!$F252,'NEI Lookups'!E:E)+SUMIF('NEI Lookups'!$S:$S,'Inputs Yr 2'!$F252,'NEI Lookups'!E:E)+SUMIF('NEI Lookups'!$T:$T,'Inputs Yr 2'!$F252,'NEI Lookups'!E:E)</f>
        <v>0</v>
      </c>
      <c r="AT252" s="299">
        <f>SUMIF('NEI Lookups'!$L:$L,'Inputs Yr 2'!$F252,'NEI Lookups'!F:F)+SUMIF('NEI Lookups'!$M:$M,'Inputs Yr 2'!$F252,'NEI Lookups'!F:F)+SUMIF('NEI Lookups'!$N:$N,'Inputs Yr 2'!$F252,'NEI Lookups'!F:F)+SUMIF('NEI Lookups'!$O:$O,'Inputs Yr 2'!$F252,'NEI Lookups'!F:F)+SUMIF('NEI Lookups'!$P:$P,'Inputs Yr 2'!$F252,'NEI Lookups'!F:F)+SUMIF('NEI Lookups'!$Q:$Q,'Inputs Yr 2'!$F252,'NEI Lookups'!F:F)+SUMIF('NEI Lookups'!$R:$R,'Inputs Yr 2'!$F252,'NEI Lookups'!F:F)+SUMIF('NEI Lookups'!$S:$S,'Inputs Yr 2'!$F252,'NEI Lookups'!F:F)+SUMIF('NEI Lookups'!$T:$T,'Inputs Yr 2'!$F252,'NEI Lookups'!F:F)</f>
        <v>0</v>
      </c>
      <c r="AU252" s="299">
        <f>SUMIF('NEI Lookups'!$L:$L,'Inputs Yr 2'!$F252,'NEI Lookups'!G:G)+SUMIF('NEI Lookups'!$M:$M,'Inputs Yr 2'!$F252,'NEI Lookups'!G:G)+SUMIF('NEI Lookups'!$N:$N,'Inputs Yr 2'!$F252,'NEI Lookups'!G:G)+SUMIF('NEI Lookups'!$O:$O,'Inputs Yr 2'!$F252,'NEI Lookups'!G:G)+SUMIF('NEI Lookups'!$P:$P,'Inputs Yr 2'!$F252,'NEI Lookups'!G:G)+SUMIF('NEI Lookups'!$Q:$Q,'Inputs Yr 2'!$F252,'NEI Lookups'!G:G)+SUMIF('NEI Lookups'!$R:$R,'Inputs Yr 2'!$F252,'NEI Lookups'!G:G)+SUMIF('NEI Lookups'!$S:$S,'Inputs Yr 2'!$F252,'NEI Lookups'!G:G)+SUMIF('NEI Lookups'!$T:$T,'Inputs Yr 2'!$F252,'NEI Lookups'!G:G)</f>
        <v>0</v>
      </c>
      <c r="AV252" s="299">
        <f>SUMIF('NEI Lookups'!$L:$L,'Inputs Yr 2'!$F252,'NEI Lookups'!H:H)+SUMIF('NEI Lookups'!$M:$M,'Inputs Yr 2'!$F252,'NEI Lookups'!H:H)+SUMIF('NEI Lookups'!$N:$N,'Inputs Yr 2'!$F252,'NEI Lookups'!H:H)+SUMIF('NEI Lookups'!$O:$O,'Inputs Yr 2'!$F252,'NEI Lookups'!H:H)+SUMIF('NEI Lookups'!$P:$P,'Inputs Yr 2'!$F252,'NEI Lookups'!H:H)+SUMIF('NEI Lookups'!$Q:$Q,'Inputs Yr 2'!$F252,'NEI Lookups'!H:H)+SUMIF('NEI Lookups'!$R:$R,'Inputs Yr 2'!$F252,'NEI Lookups'!H:H)+SUMIF('NEI Lookups'!$S:$S,'Inputs Yr 2'!$F252,'NEI Lookups'!H:H)+SUMIF('NEI Lookups'!$T:$T,'Inputs Yr 2'!$F252,'NEI Lookups'!H:H)</f>
        <v>0</v>
      </c>
      <c r="AW252" s="299">
        <f>SUMIF('NEI Lookups'!$L:$L,'Inputs Yr 2'!$F252,'NEI Lookups'!I:I)+SUMIF('NEI Lookups'!$M:$M,'Inputs Yr 2'!$F252,'NEI Lookups'!I:I)+SUMIF('NEI Lookups'!$N:$N,'Inputs Yr 2'!$F252,'NEI Lookups'!I:I)+SUMIF('NEI Lookups'!$O:$O,'Inputs Yr 2'!$F252,'NEI Lookups'!I:I)+SUMIF('NEI Lookups'!$P:$P,'Inputs Yr 2'!$F252,'NEI Lookups'!I:I)+SUMIF('NEI Lookups'!$Q:$Q,'Inputs Yr 2'!$F252,'NEI Lookups'!I:I)+SUMIF('NEI Lookups'!$R:$R,'Inputs Yr 2'!$F252,'NEI Lookups'!I:I)+SUMIF('NEI Lookups'!$S:$S,'Inputs Yr 2'!$F252,'NEI Lookups'!I:I)+SUMIF('NEI Lookups'!$T:$T,'Inputs Yr 2'!$F252,'NEI Lookups'!I:I)</f>
        <v>0.25</v>
      </c>
      <c r="AX252" s="299">
        <f>SUMIF('NEI Lookups'!$L:$L,'Inputs Yr 2'!$F252,'NEI Lookups'!J:J)+SUMIF('NEI Lookups'!$M:$M,'Inputs Yr 2'!$F252,'NEI Lookups'!J:J)+SUMIF('NEI Lookups'!$N:$N,'Inputs Yr 2'!$F252,'NEI Lookups'!J:J)+SUMIF('NEI Lookups'!$O:$O,'Inputs Yr 2'!$F252,'NEI Lookups'!J:J)+SUMIF('NEI Lookups'!$P:$P,'Inputs Yr 2'!$F252,'NEI Lookups'!J:J)+SUMIF('NEI Lookups'!$Q:$Q,'Inputs Yr 2'!$F252,'NEI Lookups'!J:J)+SUMIF('NEI Lookups'!$R:$R,'Inputs Yr 2'!$F252,'NEI Lookups'!J:J)+SUMIF('NEI Lookups'!$S:$S,'Inputs Yr 2'!$F252,'NEI Lookups'!J:J)+SUMIF('NEI Lookups'!$T:$T,'Inputs Yr 2'!$F252,'NEI Lookups'!J:J)</f>
        <v>0</v>
      </c>
      <c r="AY252" s="930">
        <f>'Calculations Yr 2'!CP252/'Calculations Yr 2'!I252</f>
        <v>4.2651223752402263</v>
      </c>
    </row>
    <row r="253" spans="1:51" s="133" customFormat="1" ht="12.75" customHeight="1">
      <c r="A253" s="145" t="s">
        <v>83</v>
      </c>
      <c r="B253" s="132" t="s">
        <v>870</v>
      </c>
      <c r="C253" s="132" t="s">
        <v>841</v>
      </c>
      <c r="D253" s="656"/>
      <c r="E253" s="656" t="s">
        <v>1370</v>
      </c>
      <c r="F253" s="150" t="s">
        <v>1129</v>
      </c>
      <c r="G253" s="145" t="s">
        <v>1247</v>
      </c>
      <c r="H253" s="165">
        <v>1</v>
      </c>
      <c r="I253" s="234">
        <v>13</v>
      </c>
      <c r="J253" s="971">
        <v>200440</v>
      </c>
      <c r="K253" s="871">
        <v>100220</v>
      </c>
      <c r="L253" s="888">
        <f t="shared" si="58"/>
        <v>100220</v>
      </c>
      <c r="M253" s="978">
        <v>0.11</v>
      </c>
      <c r="N253" s="978">
        <v>2.6000000000000002E-2</v>
      </c>
      <c r="O253" s="978">
        <v>3.0000000000000001E-3</v>
      </c>
      <c r="P253" s="889">
        <f t="shared" si="99"/>
        <v>0.91900000000000004</v>
      </c>
      <c r="Q253" s="978">
        <v>1</v>
      </c>
      <c r="R253" s="178">
        <v>1</v>
      </c>
      <c r="S253" s="178">
        <v>1</v>
      </c>
      <c r="T253" s="178">
        <v>1</v>
      </c>
      <c r="U253" s="978">
        <v>0.77900000000000003</v>
      </c>
      <c r="V253" s="978">
        <v>1</v>
      </c>
      <c r="W253" s="179"/>
      <c r="X253" s="937" t="s">
        <v>653</v>
      </c>
      <c r="Y253" s="299">
        <f>IFERROR(VLOOKUP($X253,'Demand Lookups'!$A$5:$K$101,9,0), 0)</f>
        <v>0</v>
      </c>
      <c r="Z253" s="922" t="str">
        <f>IFERROR(VLOOKUP(X253,'Demand Lookups'!$A$5:$B$101,2,0),0)</f>
        <v>Non-Electric Measures</v>
      </c>
      <c r="AA253" s="722">
        <f>IF(ISNA(VLOOKUP($X253,'Demand Lookups'!$A$5:$K$81,3,0)),0,VLOOKUP($X253,'Demand Lookups'!$A$5:$K$81,3,0))</f>
        <v>0</v>
      </c>
      <c r="AB253" s="722">
        <f>IF(ISNA(VLOOKUP($X253,'Demand Lookups'!$A$5:$K$81,4,0)),0,VLOOKUP($X253,'Demand Lookups'!$A$5:$K$81,4,0))</f>
        <v>0</v>
      </c>
      <c r="AC253" s="722">
        <f>IF(ISNA(VLOOKUP($X253,'Demand Lookups'!$A$5:$K$81,5,0)),0,VLOOKUP($X253,'Demand Lookups'!$A$5:$K$81,5,0))</f>
        <v>0</v>
      </c>
      <c r="AD253" s="723">
        <f>IF(ISNA(VLOOKUP($X253,'Demand Lookups'!$A$5:$K$81,6,0)),0,VLOOKUP($X253,'Demand Lookups'!$A$5:$K$81,6,0))</f>
        <v>0</v>
      </c>
      <c r="AE253" s="724">
        <f t="shared" si="100"/>
        <v>0</v>
      </c>
      <c r="AF253" s="723">
        <f>ROUND(IF(ISNA(VLOOKUP($X253,'Demand Lookups'!$A$5:$K$82,10,0)),0,(VLOOKUP($X253,'Demand Lookups'!$A$5:$K$82,10,0))),2)</f>
        <v>0</v>
      </c>
      <c r="AG253" s="723">
        <f>ROUND(IF(ISNA(VLOOKUP($X253,'Demand Lookups'!$A$5:$K$82,11,0)),0,VLOOKUP($X253,'Demand Lookups'!$A$5:$K$82,11,0)),2)</f>
        <v>0</v>
      </c>
      <c r="AH253" s="648">
        <f t="shared" si="101"/>
        <v>0</v>
      </c>
      <c r="AI253" s="648">
        <f t="shared" si="102"/>
        <v>0</v>
      </c>
      <c r="AJ253" s="167" t="s">
        <v>87</v>
      </c>
      <c r="AK253" s="168">
        <v>4630.3999999999996</v>
      </c>
      <c r="AL253" s="167"/>
      <c r="AM253" s="168"/>
      <c r="AN253" s="167"/>
      <c r="AO253" s="168"/>
      <c r="AP253" s="167"/>
      <c r="AQ253" s="171"/>
      <c r="AR253" s="171"/>
      <c r="AS253" s="299">
        <f>SUMIF('NEI Lookups'!$L:$L,'Inputs Yr 2'!$F253,'NEI Lookups'!E:E)+SUMIF('NEI Lookups'!$M:$M,'Inputs Yr 2'!$F253,'NEI Lookups'!E:E)+SUMIF('NEI Lookups'!$N:$N,'Inputs Yr 2'!$F253,'NEI Lookups'!E:E)+SUMIF('NEI Lookups'!$O:$O,'Inputs Yr 2'!$F253,'NEI Lookups'!E:E)+SUMIF('NEI Lookups'!$P:$P,'Inputs Yr 2'!$F253,'NEI Lookups'!E:E)+SUMIF('NEI Lookups'!$Q:$Q,'Inputs Yr 2'!$F253,'NEI Lookups'!E:E)+SUMIF('NEI Lookups'!$R:$R,'Inputs Yr 2'!$F253,'NEI Lookups'!E:E)+SUMIF('NEI Lookups'!$S:$S,'Inputs Yr 2'!$F253,'NEI Lookups'!E:E)+SUMIF('NEI Lookups'!$T:$T,'Inputs Yr 2'!$F253,'NEI Lookups'!E:E)</f>
        <v>0</v>
      </c>
      <c r="AT253" s="299">
        <f>SUMIF('NEI Lookups'!$L:$L,'Inputs Yr 2'!$F253,'NEI Lookups'!F:F)+SUMIF('NEI Lookups'!$M:$M,'Inputs Yr 2'!$F253,'NEI Lookups'!F:F)+SUMIF('NEI Lookups'!$N:$N,'Inputs Yr 2'!$F253,'NEI Lookups'!F:F)+SUMIF('NEI Lookups'!$O:$O,'Inputs Yr 2'!$F253,'NEI Lookups'!F:F)+SUMIF('NEI Lookups'!$P:$P,'Inputs Yr 2'!$F253,'NEI Lookups'!F:F)+SUMIF('NEI Lookups'!$Q:$Q,'Inputs Yr 2'!$F253,'NEI Lookups'!F:F)+SUMIF('NEI Lookups'!$R:$R,'Inputs Yr 2'!$F253,'NEI Lookups'!F:F)+SUMIF('NEI Lookups'!$S:$S,'Inputs Yr 2'!$F253,'NEI Lookups'!F:F)+SUMIF('NEI Lookups'!$T:$T,'Inputs Yr 2'!$F253,'NEI Lookups'!F:F)</f>
        <v>0</v>
      </c>
      <c r="AU253" s="299">
        <f>SUMIF('NEI Lookups'!$L:$L,'Inputs Yr 2'!$F253,'NEI Lookups'!G:G)+SUMIF('NEI Lookups'!$M:$M,'Inputs Yr 2'!$F253,'NEI Lookups'!G:G)+SUMIF('NEI Lookups'!$N:$N,'Inputs Yr 2'!$F253,'NEI Lookups'!G:G)+SUMIF('NEI Lookups'!$O:$O,'Inputs Yr 2'!$F253,'NEI Lookups'!G:G)+SUMIF('NEI Lookups'!$P:$P,'Inputs Yr 2'!$F253,'NEI Lookups'!G:G)+SUMIF('NEI Lookups'!$Q:$Q,'Inputs Yr 2'!$F253,'NEI Lookups'!G:G)+SUMIF('NEI Lookups'!$R:$R,'Inputs Yr 2'!$F253,'NEI Lookups'!G:G)+SUMIF('NEI Lookups'!$S:$S,'Inputs Yr 2'!$F253,'NEI Lookups'!G:G)+SUMIF('NEI Lookups'!$T:$T,'Inputs Yr 2'!$F253,'NEI Lookups'!G:G)</f>
        <v>0</v>
      </c>
      <c r="AV253" s="299">
        <f>SUMIF('NEI Lookups'!$L:$L,'Inputs Yr 2'!$F253,'NEI Lookups'!H:H)+SUMIF('NEI Lookups'!$M:$M,'Inputs Yr 2'!$F253,'NEI Lookups'!H:H)+SUMIF('NEI Lookups'!$N:$N,'Inputs Yr 2'!$F253,'NEI Lookups'!H:H)+SUMIF('NEI Lookups'!$O:$O,'Inputs Yr 2'!$F253,'NEI Lookups'!H:H)+SUMIF('NEI Lookups'!$P:$P,'Inputs Yr 2'!$F253,'NEI Lookups'!H:H)+SUMIF('NEI Lookups'!$Q:$Q,'Inputs Yr 2'!$F253,'NEI Lookups'!H:H)+SUMIF('NEI Lookups'!$R:$R,'Inputs Yr 2'!$F253,'NEI Lookups'!H:H)+SUMIF('NEI Lookups'!$S:$S,'Inputs Yr 2'!$F253,'NEI Lookups'!H:H)+SUMIF('NEI Lookups'!$T:$T,'Inputs Yr 2'!$F253,'NEI Lookups'!H:H)</f>
        <v>0</v>
      </c>
      <c r="AW253" s="299">
        <f>SUMIF('NEI Lookups'!$L:$L,'Inputs Yr 2'!$F253,'NEI Lookups'!I:I)+SUMIF('NEI Lookups'!$M:$M,'Inputs Yr 2'!$F253,'NEI Lookups'!I:I)+SUMIF('NEI Lookups'!$N:$N,'Inputs Yr 2'!$F253,'NEI Lookups'!I:I)+SUMIF('NEI Lookups'!$O:$O,'Inputs Yr 2'!$F253,'NEI Lookups'!I:I)+SUMIF('NEI Lookups'!$P:$P,'Inputs Yr 2'!$F253,'NEI Lookups'!I:I)+SUMIF('NEI Lookups'!$Q:$Q,'Inputs Yr 2'!$F253,'NEI Lookups'!I:I)+SUMIF('NEI Lookups'!$R:$R,'Inputs Yr 2'!$F253,'NEI Lookups'!I:I)+SUMIF('NEI Lookups'!$S:$S,'Inputs Yr 2'!$F253,'NEI Lookups'!I:I)+SUMIF('NEI Lookups'!$T:$T,'Inputs Yr 2'!$F253,'NEI Lookups'!I:I)</f>
        <v>0.25</v>
      </c>
      <c r="AX253" s="299">
        <f>SUMIF('NEI Lookups'!$L:$L,'Inputs Yr 2'!$F253,'NEI Lookups'!J:J)+SUMIF('NEI Lookups'!$M:$M,'Inputs Yr 2'!$F253,'NEI Lookups'!J:J)+SUMIF('NEI Lookups'!$N:$N,'Inputs Yr 2'!$F253,'NEI Lookups'!J:J)+SUMIF('NEI Lookups'!$O:$O,'Inputs Yr 2'!$F253,'NEI Lookups'!J:J)+SUMIF('NEI Lookups'!$P:$P,'Inputs Yr 2'!$F253,'NEI Lookups'!J:J)+SUMIF('NEI Lookups'!$Q:$Q,'Inputs Yr 2'!$F253,'NEI Lookups'!J:J)+SUMIF('NEI Lookups'!$R:$R,'Inputs Yr 2'!$F253,'NEI Lookups'!J:J)+SUMIF('NEI Lookups'!$S:$S,'Inputs Yr 2'!$F253,'NEI Lookups'!J:J)+SUMIF('NEI Lookups'!$T:$T,'Inputs Yr 2'!$F253,'NEI Lookups'!J:J)</f>
        <v>0</v>
      </c>
      <c r="AY253" s="930">
        <f>'Calculations Yr 2'!CP253/'Calculations Yr 2'!I253</f>
        <v>2.5461809252784922</v>
      </c>
    </row>
    <row r="254" spans="1:51" s="133" customFormat="1" ht="12.75" customHeight="1">
      <c r="A254" s="145" t="s">
        <v>83</v>
      </c>
      <c r="B254" s="132" t="s">
        <v>870</v>
      </c>
      <c r="C254" s="132" t="s">
        <v>841</v>
      </c>
      <c r="D254" s="656"/>
      <c r="E254" s="656" t="s">
        <v>1353</v>
      </c>
      <c r="F254" s="150" t="s">
        <v>1129</v>
      </c>
      <c r="G254" s="145" t="s">
        <v>1247</v>
      </c>
      <c r="H254" s="165">
        <v>1</v>
      </c>
      <c r="I254" s="234">
        <v>15</v>
      </c>
      <c r="J254" s="971">
        <v>299361.48</v>
      </c>
      <c r="K254" s="871">
        <v>149680.74</v>
      </c>
      <c r="L254" s="888">
        <f t="shared" si="58"/>
        <v>149680.74</v>
      </c>
      <c r="M254" s="978">
        <v>0.11</v>
      </c>
      <c r="N254" s="978">
        <v>2.6000000000000002E-2</v>
      </c>
      <c r="O254" s="978">
        <v>3.0000000000000001E-3</v>
      </c>
      <c r="P254" s="889">
        <f t="shared" si="99"/>
        <v>0.91900000000000004</v>
      </c>
      <c r="Q254" s="978">
        <v>1</v>
      </c>
      <c r="R254" s="178">
        <v>1</v>
      </c>
      <c r="S254" s="178">
        <v>1</v>
      </c>
      <c r="T254" s="178">
        <v>1</v>
      </c>
      <c r="U254" s="978">
        <v>0.77900000000000003</v>
      </c>
      <c r="V254" s="978">
        <v>1</v>
      </c>
      <c r="W254" s="179"/>
      <c r="X254" s="937" t="s">
        <v>653</v>
      </c>
      <c r="Y254" s="299">
        <f>IFERROR(VLOOKUP($X254,'Demand Lookups'!$A$5:$K$101,9,0), 0)</f>
        <v>0</v>
      </c>
      <c r="Z254" s="922" t="str">
        <f>IFERROR(VLOOKUP(X254,'Demand Lookups'!$A$5:$B$101,2,0),0)</f>
        <v>Non-Electric Measures</v>
      </c>
      <c r="AA254" s="722">
        <f>IF(ISNA(VLOOKUP($X254,'Demand Lookups'!$A$5:$K$81,3,0)),0,VLOOKUP($X254,'Demand Lookups'!$A$5:$K$81,3,0))</f>
        <v>0</v>
      </c>
      <c r="AB254" s="722">
        <f>IF(ISNA(VLOOKUP($X254,'Demand Lookups'!$A$5:$K$81,4,0)),0,VLOOKUP($X254,'Demand Lookups'!$A$5:$K$81,4,0))</f>
        <v>0</v>
      </c>
      <c r="AC254" s="722">
        <f>IF(ISNA(VLOOKUP($X254,'Demand Lookups'!$A$5:$K$81,5,0)),0,VLOOKUP($X254,'Demand Lookups'!$A$5:$K$81,5,0))</f>
        <v>0</v>
      </c>
      <c r="AD254" s="723">
        <f>IF(ISNA(VLOOKUP($X254,'Demand Lookups'!$A$5:$K$81,6,0)),0,VLOOKUP($X254,'Demand Lookups'!$A$5:$K$81,6,0))</f>
        <v>0</v>
      </c>
      <c r="AE254" s="724">
        <f t="shared" si="100"/>
        <v>0</v>
      </c>
      <c r="AF254" s="723">
        <f>ROUND(IF(ISNA(VLOOKUP($X254,'Demand Lookups'!$A$5:$K$82,10,0)),0,(VLOOKUP($X254,'Demand Lookups'!$A$5:$K$82,10,0))),2)</f>
        <v>0</v>
      </c>
      <c r="AG254" s="723">
        <f>ROUND(IF(ISNA(VLOOKUP($X254,'Demand Lookups'!$A$5:$K$82,11,0)),0,VLOOKUP($X254,'Demand Lookups'!$A$5:$K$82,11,0)),2)</f>
        <v>0</v>
      </c>
      <c r="AH254" s="648">
        <f t="shared" si="101"/>
        <v>0</v>
      </c>
      <c r="AI254" s="648">
        <f t="shared" si="102"/>
        <v>0</v>
      </c>
      <c r="AJ254" s="167" t="s">
        <v>87</v>
      </c>
      <c r="AK254" s="168">
        <v>19943.5</v>
      </c>
      <c r="AL254" s="167"/>
      <c r="AM254" s="168"/>
      <c r="AN254" s="167"/>
      <c r="AO254" s="168"/>
      <c r="AP254" s="167"/>
      <c r="AQ254" s="171"/>
      <c r="AR254" s="171"/>
      <c r="AS254" s="299">
        <f>SUMIF('NEI Lookups'!$L:$L,'Inputs Yr 2'!$F254,'NEI Lookups'!E:E)+SUMIF('NEI Lookups'!$M:$M,'Inputs Yr 2'!$F254,'NEI Lookups'!E:E)+SUMIF('NEI Lookups'!$N:$N,'Inputs Yr 2'!$F254,'NEI Lookups'!E:E)+SUMIF('NEI Lookups'!$O:$O,'Inputs Yr 2'!$F254,'NEI Lookups'!E:E)+SUMIF('NEI Lookups'!$P:$P,'Inputs Yr 2'!$F254,'NEI Lookups'!E:E)+SUMIF('NEI Lookups'!$Q:$Q,'Inputs Yr 2'!$F254,'NEI Lookups'!E:E)+SUMIF('NEI Lookups'!$R:$R,'Inputs Yr 2'!$F254,'NEI Lookups'!E:E)+SUMIF('NEI Lookups'!$S:$S,'Inputs Yr 2'!$F254,'NEI Lookups'!E:E)+SUMIF('NEI Lookups'!$T:$T,'Inputs Yr 2'!$F254,'NEI Lookups'!E:E)</f>
        <v>0</v>
      </c>
      <c r="AT254" s="299">
        <f>SUMIF('NEI Lookups'!$L:$L,'Inputs Yr 2'!$F254,'NEI Lookups'!F:F)+SUMIF('NEI Lookups'!$M:$M,'Inputs Yr 2'!$F254,'NEI Lookups'!F:F)+SUMIF('NEI Lookups'!$N:$N,'Inputs Yr 2'!$F254,'NEI Lookups'!F:F)+SUMIF('NEI Lookups'!$O:$O,'Inputs Yr 2'!$F254,'NEI Lookups'!F:F)+SUMIF('NEI Lookups'!$P:$P,'Inputs Yr 2'!$F254,'NEI Lookups'!F:F)+SUMIF('NEI Lookups'!$Q:$Q,'Inputs Yr 2'!$F254,'NEI Lookups'!F:F)+SUMIF('NEI Lookups'!$R:$R,'Inputs Yr 2'!$F254,'NEI Lookups'!F:F)+SUMIF('NEI Lookups'!$S:$S,'Inputs Yr 2'!$F254,'NEI Lookups'!F:F)+SUMIF('NEI Lookups'!$T:$T,'Inputs Yr 2'!$F254,'NEI Lookups'!F:F)</f>
        <v>0</v>
      </c>
      <c r="AU254" s="299">
        <f>SUMIF('NEI Lookups'!$L:$L,'Inputs Yr 2'!$F254,'NEI Lookups'!G:G)+SUMIF('NEI Lookups'!$M:$M,'Inputs Yr 2'!$F254,'NEI Lookups'!G:G)+SUMIF('NEI Lookups'!$N:$N,'Inputs Yr 2'!$F254,'NEI Lookups'!G:G)+SUMIF('NEI Lookups'!$O:$O,'Inputs Yr 2'!$F254,'NEI Lookups'!G:G)+SUMIF('NEI Lookups'!$P:$P,'Inputs Yr 2'!$F254,'NEI Lookups'!G:G)+SUMIF('NEI Lookups'!$Q:$Q,'Inputs Yr 2'!$F254,'NEI Lookups'!G:G)+SUMIF('NEI Lookups'!$R:$R,'Inputs Yr 2'!$F254,'NEI Lookups'!G:G)+SUMIF('NEI Lookups'!$S:$S,'Inputs Yr 2'!$F254,'NEI Lookups'!G:G)+SUMIF('NEI Lookups'!$T:$T,'Inputs Yr 2'!$F254,'NEI Lookups'!G:G)</f>
        <v>0</v>
      </c>
      <c r="AV254" s="299">
        <f>SUMIF('NEI Lookups'!$L:$L,'Inputs Yr 2'!$F254,'NEI Lookups'!H:H)+SUMIF('NEI Lookups'!$M:$M,'Inputs Yr 2'!$F254,'NEI Lookups'!H:H)+SUMIF('NEI Lookups'!$N:$N,'Inputs Yr 2'!$F254,'NEI Lookups'!H:H)+SUMIF('NEI Lookups'!$O:$O,'Inputs Yr 2'!$F254,'NEI Lookups'!H:H)+SUMIF('NEI Lookups'!$P:$P,'Inputs Yr 2'!$F254,'NEI Lookups'!H:H)+SUMIF('NEI Lookups'!$Q:$Q,'Inputs Yr 2'!$F254,'NEI Lookups'!H:H)+SUMIF('NEI Lookups'!$R:$R,'Inputs Yr 2'!$F254,'NEI Lookups'!H:H)+SUMIF('NEI Lookups'!$S:$S,'Inputs Yr 2'!$F254,'NEI Lookups'!H:H)+SUMIF('NEI Lookups'!$T:$T,'Inputs Yr 2'!$F254,'NEI Lookups'!H:H)</f>
        <v>0</v>
      </c>
      <c r="AW254" s="299">
        <f>SUMIF('NEI Lookups'!$L:$L,'Inputs Yr 2'!$F254,'NEI Lookups'!I:I)+SUMIF('NEI Lookups'!$M:$M,'Inputs Yr 2'!$F254,'NEI Lookups'!I:I)+SUMIF('NEI Lookups'!$N:$N,'Inputs Yr 2'!$F254,'NEI Lookups'!I:I)+SUMIF('NEI Lookups'!$O:$O,'Inputs Yr 2'!$F254,'NEI Lookups'!I:I)+SUMIF('NEI Lookups'!$P:$P,'Inputs Yr 2'!$F254,'NEI Lookups'!I:I)+SUMIF('NEI Lookups'!$Q:$Q,'Inputs Yr 2'!$F254,'NEI Lookups'!I:I)+SUMIF('NEI Lookups'!$R:$R,'Inputs Yr 2'!$F254,'NEI Lookups'!I:I)+SUMIF('NEI Lookups'!$S:$S,'Inputs Yr 2'!$F254,'NEI Lookups'!I:I)+SUMIF('NEI Lookups'!$T:$T,'Inputs Yr 2'!$F254,'NEI Lookups'!I:I)</f>
        <v>0.25</v>
      </c>
      <c r="AX254" s="299">
        <f>SUMIF('NEI Lookups'!$L:$L,'Inputs Yr 2'!$F254,'NEI Lookups'!J:J)+SUMIF('NEI Lookups'!$M:$M,'Inputs Yr 2'!$F254,'NEI Lookups'!J:J)+SUMIF('NEI Lookups'!$N:$N,'Inputs Yr 2'!$F254,'NEI Lookups'!J:J)+SUMIF('NEI Lookups'!$O:$O,'Inputs Yr 2'!$F254,'NEI Lookups'!J:J)+SUMIF('NEI Lookups'!$P:$P,'Inputs Yr 2'!$F254,'NEI Lookups'!J:J)+SUMIF('NEI Lookups'!$Q:$Q,'Inputs Yr 2'!$F254,'NEI Lookups'!J:J)+SUMIF('NEI Lookups'!$R:$R,'Inputs Yr 2'!$F254,'NEI Lookups'!J:J)+SUMIF('NEI Lookups'!$S:$S,'Inputs Yr 2'!$F254,'NEI Lookups'!J:J)+SUMIF('NEI Lookups'!$T:$T,'Inputs Yr 2'!$F254,'NEI Lookups'!J:J)</f>
        <v>0</v>
      </c>
      <c r="AY254" s="930">
        <f>'Calculations Yr 2'!CP254/'Calculations Yr 2'!I254</f>
        <v>8.4880642735479643</v>
      </c>
    </row>
    <row r="255" spans="1:51" s="133" customFormat="1" ht="12.75" customHeight="1">
      <c r="A255" s="145" t="s">
        <v>83</v>
      </c>
      <c r="B255" s="132" t="s">
        <v>870</v>
      </c>
      <c r="C255" s="132" t="s">
        <v>841</v>
      </c>
      <c r="D255" s="656"/>
      <c r="E255" s="656" t="s">
        <v>1354</v>
      </c>
      <c r="F255" s="150" t="s">
        <v>1129</v>
      </c>
      <c r="G255" s="145" t="s">
        <v>1247</v>
      </c>
      <c r="H255" s="165">
        <v>1</v>
      </c>
      <c r="I255" s="234">
        <v>18</v>
      </c>
      <c r="J255" s="971">
        <v>205631</v>
      </c>
      <c r="K255" s="871">
        <v>102815.5</v>
      </c>
      <c r="L255" s="888">
        <f t="shared" si="58"/>
        <v>102815.5</v>
      </c>
      <c r="M255" s="978">
        <v>0.11</v>
      </c>
      <c r="N255" s="978">
        <v>2.6000000000000002E-2</v>
      </c>
      <c r="O255" s="978">
        <v>3.0000000000000001E-3</v>
      </c>
      <c r="P255" s="889">
        <f t="shared" si="99"/>
        <v>0.91900000000000004</v>
      </c>
      <c r="Q255" s="978">
        <v>1</v>
      </c>
      <c r="R255" s="178">
        <v>1</v>
      </c>
      <c r="S255" s="178">
        <v>1</v>
      </c>
      <c r="T255" s="178">
        <v>1</v>
      </c>
      <c r="U255" s="978">
        <v>0.77900000000000003</v>
      </c>
      <c r="V255" s="978">
        <v>1</v>
      </c>
      <c r="W255" s="179"/>
      <c r="X255" s="937" t="s">
        <v>653</v>
      </c>
      <c r="Y255" s="299">
        <f>IFERROR(VLOOKUP($X255,'Demand Lookups'!$A$5:$K$101,9,0), 0)</f>
        <v>0</v>
      </c>
      <c r="Z255" s="922" t="str">
        <f>IFERROR(VLOOKUP(X255,'Demand Lookups'!$A$5:$B$101,2,0),0)</f>
        <v>Non-Electric Measures</v>
      </c>
      <c r="AA255" s="722">
        <f>IF(ISNA(VLOOKUP($X255,'Demand Lookups'!$A$5:$K$81,3,0)),0,VLOOKUP($X255,'Demand Lookups'!$A$5:$K$81,3,0))</f>
        <v>0</v>
      </c>
      <c r="AB255" s="722">
        <f>IF(ISNA(VLOOKUP($X255,'Demand Lookups'!$A$5:$K$81,4,0)),0,VLOOKUP($X255,'Demand Lookups'!$A$5:$K$81,4,0))</f>
        <v>0</v>
      </c>
      <c r="AC255" s="722">
        <f>IF(ISNA(VLOOKUP($X255,'Demand Lookups'!$A$5:$K$81,5,0)),0,VLOOKUP($X255,'Demand Lookups'!$A$5:$K$81,5,0))</f>
        <v>0</v>
      </c>
      <c r="AD255" s="723">
        <f>IF(ISNA(VLOOKUP($X255,'Demand Lookups'!$A$5:$K$81,6,0)),0,VLOOKUP($X255,'Demand Lookups'!$A$5:$K$81,6,0))</f>
        <v>0</v>
      </c>
      <c r="AE255" s="724">
        <f t="shared" si="100"/>
        <v>0</v>
      </c>
      <c r="AF255" s="723">
        <f>ROUND(IF(ISNA(VLOOKUP($X255,'Demand Lookups'!$A$5:$K$82,10,0)),0,(VLOOKUP($X255,'Demand Lookups'!$A$5:$K$82,10,0))),2)</f>
        <v>0</v>
      </c>
      <c r="AG255" s="723">
        <f>ROUND(IF(ISNA(VLOOKUP($X255,'Demand Lookups'!$A$5:$K$82,11,0)),0,VLOOKUP($X255,'Demand Lookups'!$A$5:$K$82,11,0)),2)</f>
        <v>0</v>
      </c>
      <c r="AH255" s="648">
        <f t="shared" si="101"/>
        <v>0</v>
      </c>
      <c r="AI255" s="648">
        <f t="shared" si="102"/>
        <v>0</v>
      </c>
      <c r="AJ255" s="167" t="s">
        <v>87</v>
      </c>
      <c r="AK255" s="168">
        <v>10994.7</v>
      </c>
      <c r="AL255" s="167"/>
      <c r="AM255" s="168"/>
      <c r="AN255" s="167"/>
      <c r="AO255" s="168"/>
      <c r="AP255" s="167"/>
      <c r="AQ255" s="171"/>
      <c r="AR255" s="171"/>
      <c r="AS255" s="299">
        <f>SUMIF('NEI Lookups'!$L:$L,'Inputs Yr 2'!$F255,'NEI Lookups'!E:E)+SUMIF('NEI Lookups'!$M:$M,'Inputs Yr 2'!$F255,'NEI Lookups'!E:E)+SUMIF('NEI Lookups'!$N:$N,'Inputs Yr 2'!$F255,'NEI Lookups'!E:E)+SUMIF('NEI Lookups'!$O:$O,'Inputs Yr 2'!$F255,'NEI Lookups'!E:E)+SUMIF('NEI Lookups'!$P:$P,'Inputs Yr 2'!$F255,'NEI Lookups'!E:E)+SUMIF('NEI Lookups'!$Q:$Q,'Inputs Yr 2'!$F255,'NEI Lookups'!E:E)+SUMIF('NEI Lookups'!$R:$R,'Inputs Yr 2'!$F255,'NEI Lookups'!E:E)+SUMIF('NEI Lookups'!$S:$S,'Inputs Yr 2'!$F255,'NEI Lookups'!E:E)+SUMIF('NEI Lookups'!$T:$T,'Inputs Yr 2'!$F255,'NEI Lookups'!E:E)</f>
        <v>0</v>
      </c>
      <c r="AT255" s="299">
        <f>SUMIF('NEI Lookups'!$L:$L,'Inputs Yr 2'!$F255,'NEI Lookups'!F:F)+SUMIF('NEI Lookups'!$M:$M,'Inputs Yr 2'!$F255,'NEI Lookups'!F:F)+SUMIF('NEI Lookups'!$N:$N,'Inputs Yr 2'!$F255,'NEI Lookups'!F:F)+SUMIF('NEI Lookups'!$O:$O,'Inputs Yr 2'!$F255,'NEI Lookups'!F:F)+SUMIF('NEI Lookups'!$P:$P,'Inputs Yr 2'!$F255,'NEI Lookups'!F:F)+SUMIF('NEI Lookups'!$Q:$Q,'Inputs Yr 2'!$F255,'NEI Lookups'!F:F)+SUMIF('NEI Lookups'!$R:$R,'Inputs Yr 2'!$F255,'NEI Lookups'!F:F)+SUMIF('NEI Lookups'!$S:$S,'Inputs Yr 2'!$F255,'NEI Lookups'!F:F)+SUMIF('NEI Lookups'!$T:$T,'Inputs Yr 2'!$F255,'NEI Lookups'!F:F)</f>
        <v>0</v>
      </c>
      <c r="AU255" s="299">
        <f>SUMIF('NEI Lookups'!$L:$L,'Inputs Yr 2'!$F255,'NEI Lookups'!G:G)+SUMIF('NEI Lookups'!$M:$M,'Inputs Yr 2'!$F255,'NEI Lookups'!G:G)+SUMIF('NEI Lookups'!$N:$N,'Inputs Yr 2'!$F255,'NEI Lookups'!G:G)+SUMIF('NEI Lookups'!$O:$O,'Inputs Yr 2'!$F255,'NEI Lookups'!G:G)+SUMIF('NEI Lookups'!$P:$P,'Inputs Yr 2'!$F255,'NEI Lookups'!G:G)+SUMIF('NEI Lookups'!$Q:$Q,'Inputs Yr 2'!$F255,'NEI Lookups'!G:G)+SUMIF('NEI Lookups'!$R:$R,'Inputs Yr 2'!$F255,'NEI Lookups'!G:G)+SUMIF('NEI Lookups'!$S:$S,'Inputs Yr 2'!$F255,'NEI Lookups'!G:G)+SUMIF('NEI Lookups'!$T:$T,'Inputs Yr 2'!$F255,'NEI Lookups'!G:G)</f>
        <v>0</v>
      </c>
      <c r="AV255" s="299">
        <f>SUMIF('NEI Lookups'!$L:$L,'Inputs Yr 2'!$F255,'NEI Lookups'!H:H)+SUMIF('NEI Lookups'!$M:$M,'Inputs Yr 2'!$F255,'NEI Lookups'!H:H)+SUMIF('NEI Lookups'!$N:$N,'Inputs Yr 2'!$F255,'NEI Lookups'!H:H)+SUMIF('NEI Lookups'!$O:$O,'Inputs Yr 2'!$F255,'NEI Lookups'!H:H)+SUMIF('NEI Lookups'!$P:$P,'Inputs Yr 2'!$F255,'NEI Lookups'!H:H)+SUMIF('NEI Lookups'!$Q:$Q,'Inputs Yr 2'!$F255,'NEI Lookups'!H:H)+SUMIF('NEI Lookups'!$R:$R,'Inputs Yr 2'!$F255,'NEI Lookups'!H:H)+SUMIF('NEI Lookups'!$S:$S,'Inputs Yr 2'!$F255,'NEI Lookups'!H:H)+SUMIF('NEI Lookups'!$T:$T,'Inputs Yr 2'!$F255,'NEI Lookups'!H:H)</f>
        <v>0</v>
      </c>
      <c r="AW255" s="299">
        <f>SUMIF('NEI Lookups'!$L:$L,'Inputs Yr 2'!$F255,'NEI Lookups'!I:I)+SUMIF('NEI Lookups'!$M:$M,'Inputs Yr 2'!$F255,'NEI Lookups'!I:I)+SUMIF('NEI Lookups'!$N:$N,'Inputs Yr 2'!$F255,'NEI Lookups'!I:I)+SUMIF('NEI Lookups'!$O:$O,'Inputs Yr 2'!$F255,'NEI Lookups'!I:I)+SUMIF('NEI Lookups'!$P:$P,'Inputs Yr 2'!$F255,'NEI Lookups'!I:I)+SUMIF('NEI Lookups'!$Q:$Q,'Inputs Yr 2'!$F255,'NEI Lookups'!I:I)+SUMIF('NEI Lookups'!$R:$R,'Inputs Yr 2'!$F255,'NEI Lookups'!I:I)+SUMIF('NEI Lookups'!$S:$S,'Inputs Yr 2'!$F255,'NEI Lookups'!I:I)+SUMIF('NEI Lookups'!$T:$T,'Inputs Yr 2'!$F255,'NEI Lookups'!I:I)</f>
        <v>0.25</v>
      </c>
      <c r="AX255" s="299">
        <f>SUMIF('NEI Lookups'!$L:$L,'Inputs Yr 2'!$F255,'NEI Lookups'!J:J)+SUMIF('NEI Lookups'!$M:$M,'Inputs Yr 2'!$F255,'NEI Lookups'!J:J)+SUMIF('NEI Lookups'!$N:$N,'Inputs Yr 2'!$F255,'NEI Lookups'!J:J)+SUMIF('NEI Lookups'!$O:$O,'Inputs Yr 2'!$F255,'NEI Lookups'!J:J)+SUMIF('NEI Lookups'!$P:$P,'Inputs Yr 2'!$F255,'NEI Lookups'!J:J)+SUMIF('NEI Lookups'!$Q:$Q,'Inputs Yr 2'!$F255,'NEI Lookups'!J:J)+SUMIF('NEI Lookups'!$R:$R,'Inputs Yr 2'!$F255,'NEI Lookups'!J:J)+SUMIF('NEI Lookups'!$S:$S,'Inputs Yr 2'!$F255,'NEI Lookups'!J:J)+SUMIF('NEI Lookups'!$T:$T,'Inputs Yr 2'!$F255,'NEI Lookups'!J:J)</f>
        <v>0</v>
      </c>
      <c r="AY255" s="930">
        <f>'Calculations Yr 2'!CP255/'Calculations Yr 2'!I255</f>
        <v>8.216686553013723</v>
      </c>
    </row>
    <row r="256" spans="1:51" s="133" customFormat="1" ht="12.75" customHeight="1">
      <c r="A256" s="145" t="s">
        <v>83</v>
      </c>
      <c r="B256" s="132" t="s">
        <v>870</v>
      </c>
      <c r="C256" s="132" t="s">
        <v>841</v>
      </c>
      <c r="D256" s="656"/>
      <c r="E256" s="870" t="s">
        <v>769</v>
      </c>
      <c r="F256" s="150" t="s">
        <v>1130</v>
      </c>
      <c r="G256" s="145" t="s">
        <v>1247</v>
      </c>
      <c r="H256" s="165"/>
      <c r="I256" s="968">
        <v>15</v>
      </c>
      <c r="J256" s="964">
        <v>9750</v>
      </c>
      <c r="K256" s="166">
        <v>4875</v>
      </c>
      <c r="L256" s="888">
        <f t="shared" si="58"/>
        <v>4875</v>
      </c>
      <c r="M256" s="980">
        <v>0.30099999999999999</v>
      </c>
      <c r="N256" s="980">
        <v>0.14699999999999999</v>
      </c>
      <c r="O256" s="980">
        <v>0</v>
      </c>
      <c r="P256" s="889">
        <f t="shared" si="79"/>
        <v>0.84600000000000009</v>
      </c>
      <c r="Q256" s="980">
        <v>1</v>
      </c>
      <c r="R256" s="178">
        <v>1</v>
      </c>
      <c r="S256" s="178">
        <v>1</v>
      </c>
      <c r="T256" s="178">
        <v>1</v>
      </c>
      <c r="U256" s="978">
        <v>1</v>
      </c>
      <c r="V256" s="978">
        <v>0</v>
      </c>
      <c r="W256" s="890"/>
      <c r="X256" s="937" t="s">
        <v>653</v>
      </c>
      <c r="Y256" s="299">
        <f>IFERROR(VLOOKUP($X256,'Demand Lookups'!$A$5:$K$101,9,0), 0)</f>
        <v>0</v>
      </c>
      <c r="Z256" s="922" t="str">
        <f>IFERROR(VLOOKUP(X256,'Demand Lookups'!$A$5:$B$101,2,0),0)</f>
        <v>Non-Electric Measures</v>
      </c>
      <c r="AA256" s="722">
        <v>0</v>
      </c>
      <c r="AB256" s="722">
        <v>0</v>
      </c>
      <c r="AC256" s="722">
        <v>0</v>
      </c>
      <c r="AD256" s="723">
        <v>0</v>
      </c>
      <c r="AE256" s="724">
        <f t="shared" si="80"/>
        <v>0</v>
      </c>
      <c r="AF256" s="723">
        <v>0</v>
      </c>
      <c r="AG256" s="723">
        <v>0</v>
      </c>
      <c r="AH256" s="648">
        <f t="shared" si="81"/>
        <v>0</v>
      </c>
      <c r="AI256" s="648">
        <f t="shared" si="82"/>
        <v>0</v>
      </c>
      <c r="AJ256" s="167" t="s">
        <v>87</v>
      </c>
      <c r="AK256" s="168">
        <v>750</v>
      </c>
      <c r="AL256" s="167"/>
      <c r="AM256" s="168"/>
      <c r="AN256" s="167"/>
      <c r="AO256" s="168"/>
      <c r="AP256" s="167"/>
      <c r="AQ256" s="171"/>
      <c r="AR256" s="171"/>
      <c r="AS256" s="299">
        <f>SUMIF('NEI Lookups'!$L:$L,'Inputs Yr 2'!$F256,'NEI Lookups'!E:E)+SUMIF('NEI Lookups'!$M:$M,'Inputs Yr 2'!$F256,'NEI Lookups'!E:E)+SUMIF('NEI Lookups'!$N:$N,'Inputs Yr 2'!$F256,'NEI Lookups'!E:E)+SUMIF('NEI Lookups'!$O:$O,'Inputs Yr 2'!$F256,'NEI Lookups'!E:E)+SUMIF('NEI Lookups'!$P:$P,'Inputs Yr 2'!$F256,'NEI Lookups'!E:E)+SUMIF('NEI Lookups'!$Q:$Q,'Inputs Yr 2'!$F256,'NEI Lookups'!E:E)+SUMIF('NEI Lookups'!$R:$R,'Inputs Yr 2'!$F256,'NEI Lookups'!E:E)+SUMIF('NEI Lookups'!$S:$S,'Inputs Yr 2'!$F256,'NEI Lookups'!E:E)+SUMIF('NEI Lookups'!$T:$T,'Inputs Yr 2'!$F256,'NEI Lookups'!E:E)</f>
        <v>0</v>
      </c>
      <c r="AT256" s="299">
        <f>SUMIF('NEI Lookups'!$L:$L,'Inputs Yr 2'!$F256,'NEI Lookups'!F:F)+SUMIF('NEI Lookups'!$M:$M,'Inputs Yr 2'!$F256,'NEI Lookups'!F:F)+SUMIF('NEI Lookups'!$N:$N,'Inputs Yr 2'!$F256,'NEI Lookups'!F:F)+SUMIF('NEI Lookups'!$O:$O,'Inputs Yr 2'!$F256,'NEI Lookups'!F:F)+SUMIF('NEI Lookups'!$P:$P,'Inputs Yr 2'!$F256,'NEI Lookups'!F:F)+SUMIF('NEI Lookups'!$Q:$Q,'Inputs Yr 2'!$F256,'NEI Lookups'!F:F)+SUMIF('NEI Lookups'!$R:$R,'Inputs Yr 2'!$F256,'NEI Lookups'!F:F)+SUMIF('NEI Lookups'!$S:$S,'Inputs Yr 2'!$F256,'NEI Lookups'!F:F)+SUMIF('NEI Lookups'!$T:$T,'Inputs Yr 2'!$F256,'NEI Lookups'!F:F)</f>
        <v>0</v>
      </c>
      <c r="AU256" s="299">
        <f>SUMIF('NEI Lookups'!$L:$L,'Inputs Yr 2'!$F256,'NEI Lookups'!G:G)+SUMIF('NEI Lookups'!$M:$M,'Inputs Yr 2'!$F256,'NEI Lookups'!G:G)+SUMIF('NEI Lookups'!$N:$N,'Inputs Yr 2'!$F256,'NEI Lookups'!G:G)+SUMIF('NEI Lookups'!$O:$O,'Inputs Yr 2'!$F256,'NEI Lookups'!G:G)+SUMIF('NEI Lookups'!$P:$P,'Inputs Yr 2'!$F256,'NEI Lookups'!G:G)+SUMIF('NEI Lookups'!$Q:$Q,'Inputs Yr 2'!$F256,'NEI Lookups'!G:G)+SUMIF('NEI Lookups'!$R:$R,'Inputs Yr 2'!$F256,'NEI Lookups'!G:G)+SUMIF('NEI Lookups'!$S:$S,'Inputs Yr 2'!$F256,'NEI Lookups'!G:G)+SUMIF('NEI Lookups'!$T:$T,'Inputs Yr 2'!$F256,'NEI Lookups'!G:G)</f>
        <v>0</v>
      </c>
      <c r="AV256" s="299">
        <f>SUMIF('NEI Lookups'!$L:$L,'Inputs Yr 2'!$F256,'NEI Lookups'!H:H)+SUMIF('NEI Lookups'!$M:$M,'Inputs Yr 2'!$F256,'NEI Lookups'!H:H)+SUMIF('NEI Lookups'!$N:$N,'Inputs Yr 2'!$F256,'NEI Lookups'!H:H)+SUMIF('NEI Lookups'!$O:$O,'Inputs Yr 2'!$F256,'NEI Lookups'!H:H)+SUMIF('NEI Lookups'!$P:$P,'Inputs Yr 2'!$F256,'NEI Lookups'!H:H)+SUMIF('NEI Lookups'!$Q:$Q,'Inputs Yr 2'!$F256,'NEI Lookups'!H:H)+SUMIF('NEI Lookups'!$R:$R,'Inputs Yr 2'!$F256,'NEI Lookups'!H:H)+SUMIF('NEI Lookups'!$S:$S,'Inputs Yr 2'!$F256,'NEI Lookups'!H:H)+SUMIF('NEI Lookups'!$T:$T,'Inputs Yr 2'!$F256,'NEI Lookups'!H:H)</f>
        <v>0</v>
      </c>
      <c r="AW256" s="299">
        <f>SUMIF('NEI Lookups'!$L:$L,'Inputs Yr 2'!$F256,'NEI Lookups'!I:I)+SUMIF('NEI Lookups'!$M:$M,'Inputs Yr 2'!$F256,'NEI Lookups'!I:I)+SUMIF('NEI Lookups'!$N:$N,'Inputs Yr 2'!$F256,'NEI Lookups'!I:I)+SUMIF('NEI Lookups'!$O:$O,'Inputs Yr 2'!$F256,'NEI Lookups'!I:I)+SUMIF('NEI Lookups'!$P:$P,'Inputs Yr 2'!$F256,'NEI Lookups'!I:I)+SUMIF('NEI Lookups'!$Q:$Q,'Inputs Yr 2'!$F256,'NEI Lookups'!I:I)+SUMIF('NEI Lookups'!$R:$R,'Inputs Yr 2'!$F256,'NEI Lookups'!I:I)+SUMIF('NEI Lookups'!$S:$S,'Inputs Yr 2'!$F256,'NEI Lookups'!I:I)+SUMIF('NEI Lookups'!$T:$T,'Inputs Yr 2'!$F256,'NEI Lookups'!I:I)</f>
        <v>0</v>
      </c>
      <c r="AX256" s="299">
        <f>SUMIF('NEI Lookups'!$L:$L,'Inputs Yr 2'!$F256,'NEI Lookups'!J:J)+SUMIF('NEI Lookups'!$M:$M,'Inputs Yr 2'!$F256,'NEI Lookups'!J:J)+SUMIF('NEI Lookups'!$N:$N,'Inputs Yr 2'!$F256,'NEI Lookups'!J:J)+SUMIF('NEI Lookups'!$O:$O,'Inputs Yr 2'!$F256,'NEI Lookups'!J:J)+SUMIF('NEI Lookups'!$P:$P,'Inputs Yr 2'!$F256,'NEI Lookups'!J:J)+SUMIF('NEI Lookups'!$Q:$Q,'Inputs Yr 2'!$F256,'NEI Lookups'!J:J)+SUMIF('NEI Lookups'!$R:$R,'Inputs Yr 2'!$F256,'NEI Lookups'!J:J)+SUMIF('NEI Lookups'!$S:$S,'Inputs Yr 2'!$F256,'NEI Lookups'!J:J)+SUMIF('NEI Lookups'!$T:$T,'Inputs Yr 2'!$F256,'NEI Lookups'!J:J)</f>
        <v>0</v>
      </c>
      <c r="AY256" s="930" t="e">
        <f>'Calculations Yr 2'!CP256/'Calculations Yr 2'!I256</f>
        <v>#VALUE!</v>
      </c>
    </row>
    <row r="257" spans="1:51" s="133" customFormat="1" ht="12.75" customHeight="1">
      <c r="A257" s="145" t="s">
        <v>83</v>
      </c>
      <c r="B257" s="132" t="s">
        <v>870</v>
      </c>
      <c r="C257" s="132" t="s">
        <v>841</v>
      </c>
      <c r="D257" s="919"/>
      <c r="E257" s="656" t="s">
        <v>1358</v>
      </c>
      <c r="F257" s="150" t="s">
        <v>1131</v>
      </c>
      <c r="G257" s="145" t="s">
        <v>89</v>
      </c>
      <c r="H257" s="165">
        <v>1</v>
      </c>
      <c r="I257" s="237">
        <v>20</v>
      </c>
      <c r="J257" s="971">
        <v>27135</v>
      </c>
      <c r="K257" s="871">
        <v>13567.5</v>
      </c>
      <c r="L257" s="888">
        <f t="shared" si="58"/>
        <v>13567.5</v>
      </c>
      <c r="M257" s="978">
        <v>0.11</v>
      </c>
      <c r="N257" s="978">
        <v>2.6000000000000002E-2</v>
      </c>
      <c r="O257" s="978">
        <v>3.0000000000000001E-3</v>
      </c>
      <c r="P257" s="889">
        <f t="shared" si="79"/>
        <v>0.91900000000000004</v>
      </c>
      <c r="Q257" s="978">
        <v>1</v>
      </c>
      <c r="R257" s="178">
        <v>1</v>
      </c>
      <c r="S257" s="178">
        <v>1</v>
      </c>
      <c r="T257" s="178">
        <v>1</v>
      </c>
      <c r="U257" s="978">
        <v>0.77900000000000003</v>
      </c>
      <c r="V257" s="978">
        <v>1</v>
      </c>
      <c r="W257" s="179"/>
      <c r="X257" s="937" t="s">
        <v>653</v>
      </c>
      <c r="Y257" s="299">
        <f>IFERROR(VLOOKUP($X257,'Demand Lookups'!$A$5:$K$101,9,0), 0)</f>
        <v>0</v>
      </c>
      <c r="Z257" s="922" t="str">
        <f>IFERROR(VLOOKUP(X257,'Demand Lookups'!$A$5:$B$101,2,0),0)</f>
        <v>Non-Electric Measures</v>
      </c>
      <c r="AA257" s="722">
        <f>IF(ISNA(VLOOKUP($X257,'Demand Lookups'!$A$5:$K$81,3,0)),0,VLOOKUP($X257,'Demand Lookups'!$A$5:$K$81,3,0))</f>
        <v>0</v>
      </c>
      <c r="AB257" s="722">
        <f>IF(ISNA(VLOOKUP($X257,'Demand Lookups'!$A$5:$K$81,4,0)),0,VLOOKUP($X257,'Demand Lookups'!$A$5:$K$81,4,0))</f>
        <v>0</v>
      </c>
      <c r="AC257" s="722">
        <f>IF(ISNA(VLOOKUP($X257,'Demand Lookups'!$A$5:$K$81,5,0)),0,VLOOKUP($X257,'Demand Lookups'!$A$5:$K$81,5,0))</f>
        <v>0</v>
      </c>
      <c r="AD257" s="723">
        <f>IF(ISNA(VLOOKUP($X257,'Demand Lookups'!$A$5:$K$81,6,0)),0,VLOOKUP($X257,'Demand Lookups'!$A$5:$K$81,6,0))</f>
        <v>0</v>
      </c>
      <c r="AE257" s="724">
        <f t="shared" si="80"/>
        <v>0</v>
      </c>
      <c r="AF257" s="723">
        <f>ROUND(IF(ISNA(VLOOKUP($X257,'Demand Lookups'!$A$5:$K$82,10,0)),0,(VLOOKUP($X257,'Demand Lookups'!$A$5:$K$82,10,0))),2)</f>
        <v>0</v>
      </c>
      <c r="AG257" s="723">
        <f>ROUND(IF(ISNA(VLOOKUP($X257,'Demand Lookups'!$A$5:$K$82,11,0)),0,VLOOKUP($X257,'Demand Lookups'!$A$5:$K$82,11,0)),2)</f>
        <v>0</v>
      </c>
      <c r="AH257" s="648">
        <f t="shared" si="81"/>
        <v>0</v>
      </c>
      <c r="AI257" s="648">
        <f t="shared" si="82"/>
        <v>0</v>
      </c>
      <c r="AJ257" s="167" t="s">
        <v>406</v>
      </c>
      <c r="AK257" s="168">
        <v>904.5</v>
      </c>
      <c r="AL257" s="167"/>
      <c r="AM257" s="168"/>
      <c r="AN257" s="167"/>
      <c r="AO257" s="168"/>
      <c r="AP257" s="167"/>
      <c r="AQ257" s="171">
        <v>0</v>
      </c>
      <c r="AR257" s="171">
        <v>0</v>
      </c>
      <c r="AS257" s="299">
        <f>SUMIF('NEI Lookups'!$L:$L,'Inputs Yr 2'!$F257,'NEI Lookups'!E:E)+SUMIF('NEI Lookups'!$M:$M,'Inputs Yr 2'!$F257,'NEI Lookups'!E:E)+SUMIF('NEI Lookups'!$N:$N,'Inputs Yr 2'!$F257,'NEI Lookups'!E:E)+SUMIF('NEI Lookups'!$O:$O,'Inputs Yr 2'!$F257,'NEI Lookups'!E:E)+SUMIF('NEI Lookups'!$P:$P,'Inputs Yr 2'!$F257,'NEI Lookups'!E:E)+SUMIF('NEI Lookups'!$Q:$Q,'Inputs Yr 2'!$F257,'NEI Lookups'!E:E)+SUMIF('NEI Lookups'!$R:$R,'Inputs Yr 2'!$F257,'NEI Lookups'!E:E)+SUMIF('NEI Lookups'!$S:$S,'Inputs Yr 2'!$F257,'NEI Lookups'!E:E)+SUMIF('NEI Lookups'!$T:$T,'Inputs Yr 2'!$F257,'NEI Lookups'!E:E)</f>
        <v>0</v>
      </c>
      <c r="AT257" s="299">
        <f>SUMIF('NEI Lookups'!$L:$L,'Inputs Yr 2'!$F257,'NEI Lookups'!F:F)+SUMIF('NEI Lookups'!$M:$M,'Inputs Yr 2'!$F257,'NEI Lookups'!F:F)+SUMIF('NEI Lookups'!$N:$N,'Inputs Yr 2'!$F257,'NEI Lookups'!F:F)+SUMIF('NEI Lookups'!$O:$O,'Inputs Yr 2'!$F257,'NEI Lookups'!F:F)+SUMIF('NEI Lookups'!$P:$P,'Inputs Yr 2'!$F257,'NEI Lookups'!F:F)+SUMIF('NEI Lookups'!$Q:$Q,'Inputs Yr 2'!$F257,'NEI Lookups'!F:F)+SUMIF('NEI Lookups'!$R:$R,'Inputs Yr 2'!$F257,'NEI Lookups'!F:F)+SUMIF('NEI Lookups'!$S:$S,'Inputs Yr 2'!$F257,'NEI Lookups'!F:F)+SUMIF('NEI Lookups'!$T:$T,'Inputs Yr 2'!$F257,'NEI Lookups'!F:F)</f>
        <v>0</v>
      </c>
      <c r="AU257" s="299">
        <f>SUMIF('NEI Lookups'!$L:$L,'Inputs Yr 2'!$F257,'NEI Lookups'!G:G)+SUMIF('NEI Lookups'!$M:$M,'Inputs Yr 2'!$F257,'NEI Lookups'!G:G)+SUMIF('NEI Lookups'!$N:$N,'Inputs Yr 2'!$F257,'NEI Lookups'!G:G)+SUMIF('NEI Lookups'!$O:$O,'Inputs Yr 2'!$F257,'NEI Lookups'!G:G)+SUMIF('NEI Lookups'!$P:$P,'Inputs Yr 2'!$F257,'NEI Lookups'!G:G)+SUMIF('NEI Lookups'!$Q:$Q,'Inputs Yr 2'!$F257,'NEI Lookups'!G:G)+SUMIF('NEI Lookups'!$R:$R,'Inputs Yr 2'!$F257,'NEI Lookups'!G:G)+SUMIF('NEI Lookups'!$S:$S,'Inputs Yr 2'!$F257,'NEI Lookups'!G:G)+SUMIF('NEI Lookups'!$T:$T,'Inputs Yr 2'!$F257,'NEI Lookups'!G:G)</f>
        <v>0</v>
      </c>
      <c r="AV257" s="299">
        <f>SUMIF('NEI Lookups'!$L:$L,'Inputs Yr 2'!$F257,'NEI Lookups'!H:H)+SUMIF('NEI Lookups'!$M:$M,'Inputs Yr 2'!$F257,'NEI Lookups'!H:H)+SUMIF('NEI Lookups'!$N:$N,'Inputs Yr 2'!$F257,'NEI Lookups'!H:H)+SUMIF('NEI Lookups'!$O:$O,'Inputs Yr 2'!$F257,'NEI Lookups'!H:H)+SUMIF('NEI Lookups'!$P:$P,'Inputs Yr 2'!$F257,'NEI Lookups'!H:H)+SUMIF('NEI Lookups'!$Q:$Q,'Inputs Yr 2'!$F257,'NEI Lookups'!H:H)+SUMIF('NEI Lookups'!$R:$R,'Inputs Yr 2'!$F257,'NEI Lookups'!H:H)+SUMIF('NEI Lookups'!$S:$S,'Inputs Yr 2'!$F257,'NEI Lookups'!H:H)+SUMIF('NEI Lookups'!$T:$T,'Inputs Yr 2'!$F257,'NEI Lookups'!H:H)</f>
        <v>0</v>
      </c>
      <c r="AW257" s="299">
        <f>SUMIF('NEI Lookups'!$L:$L,'Inputs Yr 2'!$F257,'NEI Lookups'!I:I)+SUMIF('NEI Lookups'!$M:$M,'Inputs Yr 2'!$F257,'NEI Lookups'!I:I)+SUMIF('NEI Lookups'!$N:$N,'Inputs Yr 2'!$F257,'NEI Lookups'!I:I)+SUMIF('NEI Lookups'!$O:$O,'Inputs Yr 2'!$F257,'NEI Lookups'!I:I)+SUMIF('NEI Lookups'!$P:$P,'Inputs Yr 2'!$F257,'NEI Lookups'!I:I)+SUMIF('NEI Lookups'!$Q:$Q,'Inputs Yr 2'!$F257,'NEI Lookups'!I:I)+SUMIF('NEI Lookups'!$R:$R,'Inputs Yr 2'!$F257,'NEI Lookups'!I:I)+SUMIF('NEI Lookups'!$S:$S,'Inputs Yr 2'!$F257,'NEI Lookups'!I:I)+SUMIF('NEI Lookups'!$T:$T,'Inputs Yr 2'!$F257,'NEI Lookups'!I:I)</f>
        <v>0.25</v>
      </c>
      <c r="AX257" s="299">
        <f>SUMIF('NEI Lookups'!$L:$L,'Inputs Yr 2'!$F257,'NEI Lookups'!J:J)+SUMIF('NEI Lookups'!$M:$M,'Inputs Yr 2'!$F257,'NEI Lookups'!J:J)+SUMIF('NEI Lookups'!$N:$N,'Inputs Yr 2'!$F257,'NEI Lookups'!J:J)+SUMIF('NEI Lookups'!$O:$O,'Inputs Yr 2'!$F257,'NEI Lookups'!J:J)+SUMIF('NEI Lookups'!$P:$P,'Inputs Yr 2'!$F257,'NEI Lookups'!J:J)+SUMIF('NEI Lookups'!$Q:$Q,'Inputs Yr 2'!$F257,'NEI Lookups'!J:J)+SUMIF('NEI Lookups'!$R:$R,'Inputs Yr 2'!$F257,'NEI Lookups'!J:J)+SUMIF('NEI Lookups'!$S:$S,'Inputs Yr 2'!$F257,'NEI Lookups'!J:J)+SUMIF('NEI Lookups'!$T:$T,'Inputs Yr 2'!$F257,'NEI Lookups'!J:J)</f>
        <v>0</v>
      </c>
      <c r="AY257" s="930">
        <f>'Calculations Yr 2'!CP257/'Calculations Yr 2'!I257</f>
        <v>5.3155020387152314</v>
      </c>
    </row>
    <row r="258" spans="1:51" s="133" customFormat="1" ht="12.75" customHeight="1">
      <c r="A258" s="145" t="s">
        <v>83</v>
      </c>
      <c r="B258" s="132" t="s">
        <v>870</v>
      </c>
      <c r="C258" s="132" t="s">
        <v>841</v>
      </c>
      <c r="D258" s="656"/>
      <c r="E258" s="870" t="s">
        <v>771</v>
      </c>
      <c r="F258" s="150" t="s">
        <v>1132</v>
      </c>
      <c r="G258" s="145" t="s">
        <v>89</v>
      </c>
      <c r="H258" s="165"/>
      <c r="I258" s="968">
        <v>10</v>
      </c>
      <c r="J258" s="964">
        <v>60000</v>
      </c>
      <c r="K258" s="166">
        <v>30000</v>
      </c>
      <c r="L258" s="888">
        <f t="shared" si="58"/>
        <v>30000</v>
      </c>
      <c r="M258" s="980">
        <v>0.30099999999999999</v>
      </c>
      <c r="N258" s="980">
        <v>0.14699999999999999</v>
      </c>
      <c r="O258" s="980">
        <v>0</v>
      </c>
      <c r="P258" s="889">
        <f t="shared" si="79"/>
        <v>0.84600000000000009</v>
      </c>
      <c r="Q258" s="980">
        <v>1</v>
      </c>
      <c r="R258" s="178">
        <v>1</v>
      </c>
      <c r="S258" s="178">
        <v>1</v>
      </c>
      <c r="T258" s="178">
        <v>1</v>
      </c>
      <c r="U258" s="978">
        <v>1</v>
      </c>
      <c r="V258" s="978">
        <v>0</v>
      </c>
      <c r="W258" s="890"/>
      <c r="X258" s="937" t="s">
        <v>653</v>
      </c>
      <c r="Y258" s="299">
        <f>IFERROR(VLOOKUP($X258,'Demand Lookups'!$A$5:$K$101,9,0), 0)</f>
        <v>0</v>
      </c>
      <c r="Z258" s="922" t="str">
        <f>IFERROR(VLOOKUP(X258,'Demand Lookups'!$A$5:$B$101,2,0),0)</f>
        <v>Non-Electric Measures</v>
      </c>
      <c r="AA258" s="722">
        <v>0</v>
      </c>
      <c r="AB258" s="722">
        <v>0</v>
      </c>
      <c r="AC258" s="722">
        <v>0</v>
      </c>
      <c r="AD258" s="723">
        <v>0</v>
      </c>
      <c r="AE258" s="724">
        <f t="shared" si="80"/>
        <v>0</v>
      </c>
      <c r="AF258" s="723">
        <v>0</v>
      </c>
      <c r="AG258" s="723">
        <v>0</v>
      </c>
      <c r="AH258" s="648">
        <f t="shared" si="81"/>
        <v>0</v>
      </c>
      <c r="AI258" s="648">
        <f t="shared" si="82"/>
        <v>0</v>
      </c>
      <c r="AJ258" s="167" t="s">
        <v>406</v>
      </c>
      <c r="AK258" s="168">
        <v>4000</v>
      </c>
      <c r="AL258" s="167"/>
      <c r="AM258" s="168"/>
      <c r="AN258" s="167"/>
      <c r="AO258" s="168"/>
      <c r="AP258" s="167"/>
      <c r="AQ258" s="171"/>
      <c r="AR258" s="171"/>
      <c r="AS258" s="299">
        <f>SUMIF('NEI Lookups'!$L:$L,'Inputs Yr 2'!$F258,'NEI Lookups'!E:E)+SUMIF('NEI Lookups'!$M:$M,'Inputs Yr 2'!$F258,'NEI Lookups'!E:E)+SUMIF('NEI Lookups'!$N:$N,'Inputs Yr 2'!$F258,'NEI Lookups'!E:E)+SUMIF('NEI Lookups'!$O:$O,'Inputs Yr 2'!$F258,'NEI Lookups'!E:E)+SUMIF('NEI Lookups'!$P:$P,'Inputs Yr 2'!$F258,'NEI Lookups'!E:E)+SUMIF('NEI Lookups'!$Q:$Q,'Inputs Yr 2'!$F258,'NEI Lookups'!E:E)+SUMIF('NEI Lookups'!$R:$R,'Inputs Yr 2'!$F258,'NEI Lookups'!E:E)+SUMIF('NEI Lookups'!$S:$S,'Inputs Yr 2'!$F258,'NEI Lookups'!E:E)+SUMIF('NEI Lookups'!$T:$T,'Inputs Yr 2'!$F258,'NEI Lookups'!E:E)</f>
        <v>0</v>
      </c>
      <c r="AT258" s="299">
        <f>SUMIF('NEI Lookups'!$L:$L,'Inputs Yr 2'!$F258,'NEI Lookups'!F:F)+SUMIF('NEI Lookups'!$M:$M,'Inputs Yr 2'!$F258,'NEI Lookups'!F:F)+SUMIF('NEI Lookups'!$N:$N,'Inputs Yr 2'!$F258,'NEI Lookups'!F:F)+SUMIF('NEI Lookups'!$O:$O,'Inputs Yr 2'!$F258,'NEI Lookups'!F:F)+SUMIF('NEI Lookups'!$P:$P,'Inputs Yr 2'!$F258,'NEI Lookups'!F:F)+SUMIF('NEI Lookups'!$Q:$Q,'Inputs Yr 2'!$F258,'NEI Lookups'!F:F)+SUMIF('NEI Lookups'!$R:$R,'Inputs Yr 2'!$F258,'NEI Lookups'!F:F)+SUMIF('NEI Lookups'!$S:$S,'Inputs Yr 2'!$F258,'NEI Lookups'!F:F)+SUMIF('NEI Lookups'!$T:$T,'Inputs Yr 2'!$F258,'NEI Lookups'!F:F)</f>
        <v>0</v>
      </c>
      <c r="AU258" s="299">
        <f>SUMIF('NEI Lookups'!$L:$L,'Inputs Yr 2'!$F258,'NEI Lookups'!G:G)+SUMIF('NEI Lookups'!$M:$M,'Inputs Yr 2'!$F258,'NEI Lookups'!G:G)+SUMIF('NEI Lookups'!$N:$N,'Inputs Yr 2'!$F258,'NEI Lookups'!G:G)+SUMIF('NEI Lookups'!$O:$O,'Inputs Yr 2'!$F258,'NEI Lookups'!G:G)+SUMIF('NEI Lookups'!$P:$P,'Inputs Yr 2'!$F258,'NEI Lookups'!G:G)+SUMIF('NEI Lookups'!$Q:$Q,'Inputs Yr 2'!$F258,'NEI Lookups'!G:G)+SUMIF('NEI Lookups'!$R:$R,'Inputs Yr 2'!$F258,'NEI Lookups'!G:G)+SUMIF('NEI Lookups'!$S:$S,'Inputs Yr 2'!$F258,'NEI Lookups'!G:G)+SUMIF('NEI Lookups'!$T:$T,'Inputs Yr 2'!$F258,'NEI Lookups'!G:G)</f>
        <v>0</v>
      </c>
      <c r="AV258" s="299">
        <f>SUMIF('NEI Lookups'!$L:$L,'Inputs Yr 2'!$F258,'NEI Lookups'!H:H)+SUMIF('NEI Lookups'!$M:$M,'Inputs Yr 2'!$F258,'NEI Lookups'!H:H)+SUMIF('NEI Lookups'!$N:$N,'Inputs Yr 2'!$F258,'NEI Lookups'!H:H)+SUMIF('NEI Lookups'!$O:$O,'Inputs Yr 2'!$F258,'NEI Lookups'!H:H)+SUMIF('NEI Lookups'!$P:$P,'Inputs Yr 2'!$F258,'NEI Lookups'!H:H)+SUMIF('NEI Lookups'!$Q:$Q,'Inputs Yr 2'!$F258,'NEI Lookups'!H:H)+SUMIF('NEI Lookups'!$R:$R,'Inputs Yr 2'!$F258,'NEI Lookups'!H:H)+SUMIF('NEI Lookups'!$S:$S,'Inputs Yr 2'!$F258,'NEI Lookups'!H:H)+SUMIF('NEI Lookups'!$T:$T,'Inputs Yr 2'!$F258,'NEI Lookups'!H:H)</f>
        <v>0</v>
      </c>
      <c r="AW258" s="299">
        <f>SUMIF('NEI Lookups'!$L:$L,'Inputs Yr 2'!$F258,'NEI Lookups'!I:I)+SUMIF('NEI Lookups'!$M:$M,'Inputs Yr 2'!$F258,'NEI Lookups'!I:I)+SUMIF('NEI Lookups'!$N:$N,'Inputs Yr 2'!$F258,'NEI Lookups'!I:I)+SUMIF('NEI Lookups'!$O:$O,'Inputs Yr 2'!$F258,'NEI Lookups'!I:I)+SUMIF('NEI Lookups'!$P:$P,'Inputs Yr 2'!$F258,'NEI Lookups'!I:I)+SUMIF('NEI Lookups'!$Q:$Q,'Inputs Yr 2'!$F258,'NEI Lookups'!I:I)+SUMIF('NEI Lookups'!$R:$R,'Inputs Yr 2'!$F258,'NEI Lookups'!I:I)+SUMIF('NEI Lookups'!$S:$S,'Inputs Yr 2'!$F258,'NEI Lookups'!I:I)+SUMIF('NEI Lookups'!$T:$T,'Inputs Yr 2'!$F258,'NEI Lookups'!I:I)</f>
        <v>0</v>
      </c>
      <c r="AX258" s="299">
        <f>SUMIF('NEI Lookups'!$L:$L,'Inputs Yr 2'!$F258,'NEI Lookups'!J:J)+SUMIF('NEI Lookups'!$M:$M,'Inputs Yr 2'!$F258,'NEI Lookups'!J:J)+SUMIF('NEI Lookups'!$N:$N,'Inputs Yr 2'!$F258,'NEI Lookups'!J:J)+SUMIF('NEI Lookups'!$O:$O,'Inputs Yr 2'!$F258,'NEI Lookups'!J:J)+SUMIF('NEI Lookups'!$P:$P,'Inputs Yr 2'!$F258,'NEI Lookups'!J:J)+SUMIF('NEI Lookups'!$Q:$Q,'Inputs Yr 2'!$F258,'NEI Lookups'!J:J)+SUMIF('NEI Lookups'!$R:$R,'Inputs Yr 2'!$F258,'NEI Lookups'!J:J)+SUMIF('NEI Lookups'!$S:$S,'Inputs Yr 2'!$F258,'NEI Lookups'!J:J)+SUMIF('NEI Lookups'!$T:$T,'Inputs Yr 2'!$F258,'NEI Lookups'!J:J)</f>
        <v>0</v>
      </c>
      <c r="AY258" s="930" t="e">
        <f>'Calculations Yr 2'!CP258/'Calculations Yr 2'!I258</f>
        <v>#VALUE!</v>
      </c>
    </row>
    <row r="259" spans="1:51" s="133" customFormat="1" ht="12.75" customHeight="1">
      <c r="A259" s="145" t="s">
        <v>83</v>
      </c>
      <c r="B259" s="132" t="s">
        <v>870</v>
      </c>
      <c r="C259" s="132" t="s">
        <v>841</v>
      </c>
      <c r="D259" s="902"/>
      <c r="E259" s="656" t="s">
        <v>84</v>
      </c>
      <c r="F259" s="150" t="s">
        <v>1133</v>
      </c>
      <c r="G259" s="145" t="s">
        <v>1247</v>
      </c>
      <c r="H259" s="165"/>
      <c r="I259" s="237"/>
      <c r="J259" s="971"/>
      <c r="K259" s="871">
        <v>0</v>
      </c>
      <c r="L259" s="888">
        <f t="shared" si="58"/>
        <v>0</v>
      </c>
      <c r="M259" s="978">
        <v>0.11</v>
      </c>
      <c r="N259" s="978">
        <v>2.5999999999999999E-2</v>
      </c>
      <c r="O259" s="978">
        <v>3.0000000000000001E-3</v>
      </c>
      <c r="P259" s="889">
        <v>0.91900000000000004</v>
      </c>
      <c r="Q259" s="978">
        <v>1</v>
      </c>
      <c r="R259" s="178">
        <v>1</v>
      </c>
      <c r="S259" s="178">
        <v>1</v>
      </c>
      <c r="T259" s="178">
        <v>1</v>
      </c>
      <c r="U259" s="978">
        <v>0.77900000000000003</v>
      </c>
      <c r="V259" s="978">
        <v>0</v>
      </c>
      <c r="W259" s="179"/>
      <c r="X259" s="937" t="s">
        <v>653</v>
      </c>
      <c r="Y259" s="299">
        <f>IFERROR(VLOOKUP($X259,'Demand Lookups'!$A$5:$K$101,9,0), 0)</f>
        <v>0</v>
      </c>
      <c r="Z259" s="922" t="str">
        <f>IFERROR(VLOOKUP(X259,'Demand Lookups'!$A$5:$B$101,2,0),0)</f>
        <v>Non-Electric Measures</v>
      </c>
      <c r="AA259" s="722">
        <v>0</v>
      </c>
      <c r="AB259" s="722">
        <v>0</v>
      </c>
      <c r="AC259" s="722">
        <v>0</v>
      </c>
      <c r="AD259" s="723">
        <v>0</v>
      </c>
      <c r="AE259" s="724">
        <f t="shared" si="80"/>
        <v>0</v>
      </c>
      <c r="AF259" s="723">
        <v>0</v>
      </c>
      <c r="AG259" s="723">
        <v>0</v>
      </c>
      <c r="AH259" s="648">
        <v>0</v>
      </c>
      <c r="AI259" s="648">
        <v>0</v>
      </c>
      <c r="AJ259" s="167" t="s">
        <v>87</v>
      </c>
      <c r="AK259" s="168">
        <v>0</v>
      </c>
      <c r="AL259" s="167"/>
      <c r="AM259" s="168"/>
      <c r="AN259" s="167"/>
      <c r="AO259" s="168"/>
      <c r="AP259" s="167"/>
      <c r="AQ259" s="171"/>
      <c r="AR259" s="171"/>
      <c r="AS259" s="299">
        <f>SUMIF('NEI Lookups'!$L:$L,'Inputs Yr 2'!$F259,'NEI Lookups'!E:E)+SUMIF('NEI Lookups'!$M:$M,'Inputs Yr 2'!$F259,'NEI Lookups'!E:E)+SUMIF('NEI Lookups'!$N:$N,'Inputs Yr 2'!$F259,'NEI Lookups'!E:E)+SUMIF('NEI Lookups'!$O:$O,'Inputs Yr 2'!$F259,'NEI Lookups'!E:E)+SUMIF('NEI Lookups'!$P:$P,'Inputs Yr 2'!$F259,'NEI Lookups'!E:E)+SUMIF('NEI Lookups'!$Q:$Q,'Inputs Yr 2'!$F259,'NEI Lookups'!E:E)+SUMIF('NEI Lookups'!$R:$R,'Inputs Yr 2'!$F259,'NEI Lookups'!E:E)+SUMIF('NEI Lookups'!$S:$S,'Inputs Yr 2'!$F259,'NEI Lookups'!E:E)+SUMIF('NEI Lookups'!$T:$T,'Inputs Yr 2'!$F259,'NEI Lookups'!E:E)</f>
        <v>0</v>
      </c>
      <c r="AT259" s="299">
        <f>SUMIF('NEI Lookups'!$L:$L,'Inputs Yr 2'!$F259,'NEI Lookups'!F:F)+SUMIF('NEI Lookups'!$M:$M,'Inputs Yr 2'!$F259,'NEI Lookups'!F:F)+SUMIF('NEI Lookups'!$N:$N,'Inputs Yr 2'!$F259,'NEI Lookups'!F:F)+SUMIF('NEI Lookups'!$O:$O,'Inputs Yr 2'!$F259,'NEI Lookups'!F:F)+SUMIF('NEI Lookups'!$P:$P,'Inputs Yr 2'!$F259,'NEI Lookups'!F:F)+SUMIF('NEI Lookups'!$Q:$Q,'Inputs Yr 2'!$F259,'NEI Lookups'!F:F)+SUMIF('NEI Lookups'!$R:$R,'Inputs Yr 2'!$F259,'NEI Lookups'!F:F)+SUMIF('NEI Lookups'!$S:$S,'Inputs Yr 2'!$F259,'NEI Lookups'!F:F)+SUMIF('NEI Lookups'!$T:$T,'Inputs Yr 2'!$F259,'NEI Lookups'!F:F)</f>
        <v>0</v>
      </c>
      <c r="AU259" s="299">
        <f>SUMIF('NEI Lookups'!$L:$L,'Inputs Yr 2'!$F259,'NEI Lookups'!G:G)+SUMIF('NEI Lookups'!$M:$M,'Inputs Yr 2'!$F259,'NEI Lookups'!G:G)+SUMIF('NEI Lookups'!$N:$N,'Inputs Yr 2'!$F259,'NEI Lookups'!G:G)+SUMIF('NEI Lookups'!$O:$O,'Inputs Yr 2'!$F259,'NEI Lookups'!G:G)+SUMIF('NEI Lookups'!$P:$P,'Inputs Yr 2'!$F259,'NEI Lookups'!G:G)+SUMIF('NEI Lookups'!$Q:$Q,'Inputs Yr 2'!$F259,'NEI Lookups'!G:G)+SUMIF('NEI Lookups'!$R:$R,'Inputs Yr 2'!$F259,'NEI Lookups'!G:G)+SUMIF('NEI Lookups'!$S:$S,'Inputs Yr 2'!$F259,'NEI Lookups'!G:G)+SUMIF('NEI Lookups'!$T:$T,'Inputs Yr 2'!$F259,'NEI Lookups'!G:G)</f>
        <v>0</v>
      </c>
      <c r="AV259" s="299">
        <f>SUMIF('NEI Lookups'!$L:$L,'Inputs Yr 2'!$F259,'NEI Lookups'!H:H)+SUMIF('NEI Lookups'!$M:$M,'Inputs Yr 2'!$F259,'NEI Lookups'!H:H)+SUMIF('NEI Lookups'!$N:$N,'Inputs Yr 2'!$F259,'NEI Lookups'!H:H)+SUMIF('NEI Lookups'!$O:$O,'Inputs Yr 2'!$F259,'NEI Lookups'!H:H)+SUMIF('NEI Lookups'!$P:$P,'Inputs Yr 2'!$F259,'NEI Lookups'!H:H)+SUMIF('NEI Lookups'!$Q:$Q,'Inputs Yr 2'!$F259,'NEI Lookups'!H:H)+SUMIF('NEI Lookups'!$R:$R,'Inputs Yr 2'!$F259,'NEI Lookups'!H:H)+SUMIF('NEI Lookups'!$S:$S,'Inputs Yr 2'!$F259,'NEI Lookups'!H:H)+SUMIF('NEI Lookups'!$T:$T,'Inputs Yr 2'!$F259,'NEI Lookups'!H:H)</f>
        <v>0</v>
      </c>
      <c r="AW259" s="299">
        <f>SUMIF('NEI Lookups'!$L:$L,'Inputs Yr 2'!$F259,'NEI Lookups'!I:I)+SUMIF('NEI Lookups'!$M:$M,'Inputs Yr 2'!$F259,'NEI Lookups'!I:I)+SUMIF('NEI Lookups'!$N:$N,'Inputs Yr 2'!$F259,'NEI Lookups'!I:I)+SUMIF('NEI Lookups'!$O:$O,'Inputs Yr 2'!$F259,'NEI Lookups'!I:I)+SUMIF('NEI Lookups'!$P:$P,'Inputs Yr 2'!$F259,'NEI Lookups'!I:I)+SUMIF('NEI Lookups'!$Q:$Q,'Inputs Yr 2'!$F259,'NEI Lookups'!I:I)+SUMIF('NEI Lookups'!$R:$R,'Inputs Yr 2'!$F259,'NEI Lookups'!I:I)+SUMIF('NEI Lookups'!$S:$S,'Inputs Yr 2'!$F259,'NEI Lookups'!I:I)+SUMIF('NEI Lookups'!$T:$T,'Inputs Yr 2'!$F259,'NEI Lookups'!I:I)</f>
        <v>0.25</v>
      </c>
      <c r="AX259" s="299">
        <f>SUMIF('NEI Lookups'!$L:$L,'Inputs Yr 2'!$F259,'NEI Lookups'!J:J)+SUMIF('NEI Lookups'!$M:$M,'Inputs Yr 2'!$F259,'NEI Lookups'!J:J)+SUMIF('NEI Lookups'!$N:$N,'Inputs Yr 2'!$F259,'NEI Lookups'!J:J)+SUMIF('NEI Lookups'!$O:$O,'Inputs Yr 2'!$F259,'NEI Lookups'!J:J)+SUMIF('NEI Lookups'!$P:$P,'Inputs Yr 2'!$F259,'NEI Lookups'!J:J)+SUMIF('NEI Lookups'!$Q:$Q,'Inputs Yr 2'!$F259,'NEI Lookups'!J:J)+SUMIF('NEI Lookups'!$R:$R,'Inputs Yr 2'!$F259,'NEI Lookups'!J:J)+SUMIF('NEI Lookups'!$S:$S,'Inputs Yr 2'!$F259,'NEI Lookups'!J:J)+SUMIF('NEI Lookups'!$T:$T,'Inputs Yr 2'!$F259,'NEI Lookups'!J:J)</f>
        <v>0</v>
      </c>
      <c r="AY259" s="930" t="e">
        <f>'Calculations Yr 2'!CP259/'Calculations Yr 2'!I259</f>
        <v>#VALUE!</v>
      </c>
    </row>
    <row r="260" spans="1:51" s="133" customFormat="1" ht="12.75" customHeight="1">
      <c r="A260" s="145" t="s">
        <v>83</v>
      </c>
      <c r="B260" s="132" t="s">
        <v>870</v>
      </c>
      <c r="C260" s="132" t="s">
        <v>841</v>
      </c>
      <c r="D260" s="98"/>
      <c r="E260" s="870" t="s">
        <v>85</v>
      </c>
      <c r="F260" s="150" t="s">
        <v>1134</v>
      </c>
      <c r="G260" s="145" t="s">
        <v>1247</v>
      </c>
      <c r="H260" s="165"/>
      <c r="I260" s="968">
        <v>15</v>
      </c>
      <c r="J260" s="964">
        <v>6400</v>
      </c>
      <c r="K260" s="166">
        <v>3200</v>
      </c>
      <c r="L260" s="888">
        <f t="shared" si="58"/>
        <v>3200</v>
      </c>
      <c r="M260" s="980">
        <v>0.30099999999999999</v>
      </c>
      <c r="N260" s="980">
        <v>0.14699999999999999</v>
      </c>
      <c r="O260" s="980">
        <v>0</v>
      </c>
      <c r="P260" s="889">
        <f t="shared" ref="P260" si="103">1-M260+N260+O260</f>
        <v>0.84600000000000009</v>
      </c>
      <c r="Q260" s="980">
        <v>1</v>
      </c>
      <c r="R260" s="178">
        <v>1</v>
      </c>
      <c r="S260" s="178">
        <v>1</v>
      </c>
      <c r="T260" s="178">
        <v>1</v>
      </c>
      <c r="U260" s="978">
        <v>1</v>
      </c>
      <c r="V260" s="978">
        <v>0</v>
      </c>
      <c r="W260" s="890"/>
      <c r="X260" s="937" t="s">
        <v>653</v>
      </c>
      <c r="Y260" s="299">
        <f>IFERROR(VLOOKUP($X260,'Demand Lookups'!$A$5:$K$101,9,0), 0)</f>
        <v>0</v>
      </c>
      <c r="Z260" s="922" t="str">
        <f>IFERROR(VLOOKUP(X260,'Demand Lookups'!$A$5:$B$101,2,0),0)</f>
        <v>Non-Electric Measures</v>
      </c>
      <c r="AA260" s="722">
        <v>0</v>
      </c>
      <c r="AB260" s="722">
        <v>0</v>
      </c>
      <c r="AC260" s="722">
        <v>0</v>
      </c>
      <c r="AD260" s="723">
        <v>0</v>
      </c>
      <c r="AE260" s="724">
        <f t="shared" ref="AE260" si="104">IF(ISERROR(W260*Y260),"",W260*Y260)</f>
        <v>0</v>
      </c>
      <c r="AF260" s="723">
        <v>0</v>
      </c>
      <c r="AG260" s="723">
        <v>0</v>
      </c>
      <c r="AH260" s="648">
        <f t="shared" ref="AH260" si="105">AF260</f>
        <v>0</v>
      </c>
      <c r="AI260" s="648">
        <f t="shared" ref="AI260" si="106">AF260</f>
        <v>0</v>
      </c>
      <c r="AJ260" s="167" t="s">
        <v>87</v>
      </c>
      <c r="AK260" s="168">
        <v>1000</v>
      </c>
      <c r="AL260" s="167"/>
      <c r="AM260" s="168"/>
      <c r="AN260" s="167"/>
      <c r="AO260" s="168"/>
      <c r="AP260" s="167"/>
      <c r="AQ260" s="171"/>
      <c r="AR260" s="171"/>
      <c r="AS260" s="299">
        <f>SUMIF('NEI Lookups'!$L:$L,'Inputs Yr 2'!$F260,'NEI Lookups'!E:E)+SUMIF('NEI Lookups'!$M:$M,'Inputs Yr 2'!$F260,'NEI Lookups'!E:E)+SUMIF('NEI Lookups'!$N:$N,'Inputs Yr 2'!$F260,'NEI Lookups'!E:E)+SUMIF('NEI Lookups'!$O:$O,'Inputs Yr 2'!$F260,'NEI Lookups'!E:E)+SUMIF('NEI Lookups'!$P:$P,'Inputs Yr 2'!$F260,'NEI Lookups'!E:E)+SUMIF('NEI Lookups'!$Q:$Q,'Inputs Yr 2'!$F260,'NEI Lookups'!E:E)+SUMIF('NEI Lookups'!$R:$R,'Inputs Yr 2'!$F260,'NEI Lookups'!E:E)+SUMIF('NEI Lookups'!$S:$S,'Inputs Yr 2'!$F260,'NEI Lookups'!E:E)+SUMIF('NEI Lookups'!$T:$T,'Inputs Yr 2'!$F260,'NEI Lookups'!E:E)</f>
        <v>0</v>
      </c>
      <c r="AT260" s="299">
        <f>SUMIF('NEI Lookups'!$L:$L,'Inputs Yr 2'!$F260,'NEI Lookups'!F:F)+SUMIF('NEI Lookups'!$M:$M,'Inputs Yr 2'!$F260,'NEI Lookups'!F:F)+SUMIF('NEI Lookups'!$N:$N,'Inputs Yr 2'!$F260,'NEI Lookups'!F:F)+SUMIF('NEI Lookups'!$O:$O,'Inputs Yr 2'!$F260,'NEI Lookups'!F:F)+SUMIF('NEI Lookups'!$P:$P,'Inputs Yr 2'!$F260,'NEI Lookups'!F:F)+SUMIF('NEI Lookups'!$Q:$Q,'Inputs Yr 2'!$F260,'NEI Lookups'!F:F)+SUMIF('NEI Lookups'!$R:$R,'Inputs Yr 2'!$F260,'NEI Lookups'!F:F)+SUMIF('NEI Lookups'!$S:$S,'Inputs Yr 2'!$F260,'NEI Lookups'!F:F)+SUMIF('NEI Lookups'!$T:$T,'Inputs Yr 2'!$F260,'NEI Lookups'!F:F)</f>
        <v>0</v>
      </c>
      <c r="AU260" s="299">
        <f>SUMIF('NEI Lookups'!$L:$L,'Inputs Yr 2'!$F260,'NEI Lookups'!G:G)+SUMIF('NEI Lookups'!$M:$M,'Inputs Yr 2'!$F260,'NEI Lookups'!G:G)+SUMIF('NEI Lookups'!$N:$N,'Inputs Yr 2'!$F260,'NEI Lookups'!G:G)+SUMIF('NEI Lookups'!$O:$O,'Inputs Yr 2'!$F260,'NEI Lookups'!G:G)+SUMIF('NEI Lookups'!$P:$P,'Inputs Yr 2'!$F260,'NEI Lookups'!G:G)+SUMIF('NEI Lookups'!$Q:$Q,'Inputs Yr 2'!$F260,'NEI Lookups'!G:G)+SUMIF('NEI Lookups'!$R:$R,'Inputs Yr 2'!$F260,'NEI Lookups'!G:G)+SUMIF('NEI Lookups'!$S:$S,'Inputs Yr 2'!$F260,'NEI Lookups'!G:G)+SUMIF('NEI Lookups'!$T:$T,'Inputs Yr 2'!$F260,'NEI Lookups'!G:G)</f>
        <v>0</v>
      </c>
      <c r="AV260" s="299">
        <f>SUMIF('NEI Lookups'!$L:$L,'Inputs Yr 2'!$F260,'NEI Lookups'!H:H)+SUMIF('NEI Lookups'!$M:$M,'Inputs Yr 2'!$F260,'NEI Lookups'!H:H)+SUMIF('NEI Lookups'!$N:$N,'Inputs Yr 2'!$F260,'NEI Lookups'!H:H)+SUMIF('NEI Lookups'!$O:$O,'Inputs Yr 2'!$F260,'NEI Lookups'!H:H)+SUMIF('NEI Lookups'!$P:$P,'Inputs Yr 2'!$F260,'NEI Lookups'!H:H)+SUMIF('NEI Lookups'!$Q:$Q,'Inputs Yr 2'!$F260,'NEI Lookups'!H:H)+SUMIF('NEI Lookups'!$R:$R,'Inputs Yr 2'!$F260,'NEI Lookups'!H:H)+SUMIF('NEI Lookups'!$S:$S,'Inputs Yr 2'!$F260,'NEI Lookups'!H:H)+SUMIF('NEI Lookups'!$T:$T,'Inputs Yr 2'!$F260,'NEI Lookups'!H:H)</f>
        <v>0</v>
      </c>
      <c r="AW260" s="299">
        <f>SUMIF('NEI Lookups'!$L:$L,'Inputs Yr 2'!$F260,'NEI Lookups'!I:I)+SUMIF('NEI Lookups'!$M:$M,'Inputs Yr 2'!$F260,'NEI Lookups'!I:I)+SUMIF('NEI Lookups'!$N:$N,'Inputs Yr 2'!$F260,'NEI Lookups'!I:I)+SUMIF('NEI Lookups'!$O:$O,'Inputs Yr 2'!$F260,'NEI Lookups'!I:I)+SUMIF('NEI Lookups'!$P:$P,'Inputs Yr 2'!$F260,'NEI Lookups'!I:I)+SUMIF('NEI Lookups'!$Q:$Q,'Inputs Yr 2'!$F260,'NEI Lookups'!I:I)+SUMIF('NEI Lookups'!$R:$R,'Inputs Yr 2'!$F260,'NEI Lookups'!I:I)+SUMIF('NEI Lookups'!$S:$S,'Inputs Yr 2'!$F260,'NEI Lookups'!I:I)+SUMIF('NEI Lookups'!$T:$T,'Inputs Yr 2'!$F260,'NEI Lookups'!I:I)</f>
        <v>0</v>
      </c>
      <c r="AX260" s="299">
        <f>SUMIF('NEI Lookups'!$L:$L,'Inputs Yr 2'!$F260,'NEI Lookups'!J:J)+SUMIF('NEI Lookups'!$M:$M,'Inputs Yr 2'!$F260,'NEI Lookups'!J:J)+SUMIF('NEI Lookups'!$N:$N,'Inputs Yr 2'!$F260,'NEI Lookups'!J:J)+SUMIF('NEI Lookups'!$O:$O,'Inputs Yr 2'!$F260,'NEI Lookups'!J:J)+SUMIF('NEI Lookups'!$P:$P,'Inputs Yr 2'!$F260,'NEI Lookups'!J:J)+SUMIF('NEI Lookups'!$Q:$Q,'Inputs Yr 2'!$F260,'NEI Lookups'!J:J)+SUMIF('NEI Lookups'!$R:$R,'Inputs Yr 2'!$F260,'NEI Lookups'!J:J)+SUMIF('NEI Lookups'!$S:$S,'Inputs Yr 2'!$F260,'NEI Lookups'!J:J)+SUMIF('NEI Lookups'!$T:$T,'Inputs Yr 2'!$F260,'NEI Lookups'!J:J)</f>
        <v>0</v>
      </c>
      <c r="AY260" s="930" t="e">
        <f>'Calculations Yr 2'!CP260/'Calculations Yr 2'!I260</f>
        <v>#VALUE!</v>
      </c>
    </row>
    <row r="261" spans="1:51" s="133" customFormat="1" ht="12.75" customHeight="1">
      <c r="A261" s="145" t="s">
        <v>83</v>
      </c>
      <c r="B261" s="132" t="s">
        <v>870</v>
      </c>
      <c r="C261" s="132" t="s">
        <v>841</v>
      </c>
      <c r="D261" s="902"/>
      <c r="E261" s="656" t="s">
        <v>1513</v>
      </c>
      <c r="F261" s="150" t="s">
        <v>1135</v>
      </c>
      <c r="G261" s="145" t="s">
        <v>1244</v>
      </c>
      <c r="H261" s="165">
        <v>1</v>
      </c>
      <c r="I261" s="237">
        <v>6</v>
      </c>
      <c r="J261" s="971">
        <v>48952</v>
      </c>
      <c r="K261" s="871">
        <v>24476</v>
      </c>
      <c r="L261" s="888">
        <f t="shared" ref="L261:L324" si="107">J261-K261</f>
        <v>24476</v>
      </c>
      <c r="M261" s="978">
        <v>0.11</v>
      </c>
      <c r="N261" s="978">
        <v>2.6000000000000002E-2</v>
      </c>
      <c r="O261" s="978">
        <v>3.0000000000000001E-3</v>
      </c>
      <c r="P261" s="889">
        <f t="shared" si="79"/>
        <v>0.91900000000000004</v>
      </c>
      <c r="Q261" s="978">
        <v>1</v>
      </c>
      <c r="R261" s="178">
        <v>1</v>
      </c>
      <c r="S261" s="178">
        <v>1</v>
      </c>
      <c r="T261" s="178">
        <v>1</v>
      </c>
      <c r="U261" s="978">
        <v>0.77900000000000003</v>
      </c>
      <c r="V261" s="978">
        <v>1</v>
      </c>
      <c r="W261" s="179"/>
      <c r="X261" s="937" t="s">
        <v>653</v>
      </c>
      <c r="Y261" s="299">
        <f>IFERROR(VLOOKUP($X261,'Demand Lookups'!$A$5:$K$101,9,0), 0)</f>
        <v>0</v>
      </c>
      <c r="Z261" s="922" t="str">
        <f>IFERROR(VLOOKUP(X261,'Demand Lookups'!$A$5:$B$101,2,0),0)</f>
        <v>Non-Electric Measures</v>
      </c>
      <c r="AA261" s="722">
        <f>IF(ISNA(VLOOKUP($X261,'Demand Lookups'!$A$5:$K$81,3,0)),0,VLOOKUP($X261,'Demand Lookups'!$A$5:$K$81,3,0))</f>
        <v>0</v>
      </c>
      <c r="AB261" s="722">
        <f>IF(ISNA(VLOOKUP($X261,'Demand Lookups'!$A$5:$K$81,4,0)),0,VLOOKUP($X261,'Demand Lookups'!$A$5:$K$81,4,0))</f>
        <v>0</v>
      </c>
      <c r="AC261" s="722">
        <f>IF(ISNA(VLOOKUP($X261,'Demand Lookups'!$A$5:$K$81,5,0)),0,VLOOKUP($X261,'Demand Lookups'!$A$5:$K$81,5,0))</f>
        <v>0</v>
      </c>
      <c r="AD261" s="723">
        <f>IF(ISNA(VLOOKUP($X261,'Demand Lookups'!$A$5:$K$81,6,0)),0,VLOOKUP($X261,'Demand Lookups'!$A$5:$K$81,6,0))</f>
        <v>0</v>
      </c>
      <c r="AE261" s="724">
        <f t="shared" si="80"/>
        <v>0</v>
      </c>
      <c r="AF261" s="723">
        <f>ROUND(IF(ISNA(VLOOKUP($X261,'Demand Lookups'!$A$5:$K$82,10,0)),0,(VLOOKUP($X261,'Demand Lookups'!$A$5:$K$82,10,0))),2)</f>
        <v>0</v>
      </c>
      <c r="AG261" s="723">
        <f>ROUND(IF(ISNA(VLOOKUP($X261,'Demand Lookups'!$A$5:$K$82,11,0)),0,VLOOKUP($X261,'Demand Lookups'!$A$5:$K$82,11,0)),2)</f>
        <v>0</v>
      </c>
      <c r="AH261" s="648">
        <f t="shared" si="81"/>
        <v>0</v>
      </c>
      <c r="AI261" s="648">
        <f t="shared" si="82"/>
        <v>0</v>
      </c>
      <c r="AJ261" s="167" t="s">
        <v>200</v>
      </c>
      <c r="AK261" s="168">
        <v>1002.5</v>
      </c>
      <c r="AL261" s="167"/>
      <c r="AM261" s="168"/>
      <c r="AN261" s="167"/>
      <c r="AO261" s="168"/>
      <c r="AP261" s="167"/>
      <c r="AQ261" s="171">
        <v>0</v>
      </c>
      <c r="AR261" s="171">
        <v>0</v>
      </c>
      <c r="AS261" s="299">
        <f>SUMIF('NEI Lookups'!$L:$L,'Inputs Yr 2'!$F261,'NEI Lookups'!E:E)+SUMIF('NEI Lookups'!$M:$M,'Inputs Yr 2'!$F261,'NEI Lookups'!E:E)+SUMIF('NEI Lookups'!$N:$N,'Inputs Yr 2'!$F261,'NEI Lookups'!E:E)+SUMIF('NEI Lookups'!$O:$O,'Inputs Yr 2'!$F261,'NEI Lookups'!E:E)+SUMIF('NEI Lookups'!$P:$P,'Inputs Yr 2'!$F261,'NEI Lookups'!E:E)+SUMIF('NEI Lookups'!$Q:$Q,'Inputs Yr 2'!$F261,'NEI Lookups'!E:E)+SUMIF('NEI Lookups'!$R:$R,'Inputs Yr 2'!$F261,'NEI Lookups'!E:E)+SUMIF('NEI Lookups'!$S:$S,'Inputs Yr 2'!$F261,'NEI Lookups'!E:E)+SUMIF('NEI Lookups'!$T:$T,'Inputs Yr 2'!$F261,'NEI Lookups'!E:E)</f>
        <v>0</v>
      </c>
      <c r="AT261" s="299">
        <f>SUMIF('NEI Lookups'!$L:$L,'Inputs Yr 2'!$F261,'NEI Lookups'!F:F)+SUMIF('NEI Lookups'!$M:$M,'Inputs Yr 2'!$F261,'NEI Lookups'!F:F)+SUMIF('NEI Lookups'!$N:$N,'Inputs Yr 2'!$F261,'NEI Lookups'!F:F)+SUMIF('NEI Lookups'!$O:$O,'Inputs Yr 2'!$F261,'NEI Lookups'!F:F)+SUMIF('NEI Lookups'!$P:$P,'Inputs Yr 2'!$F261,'NEI Lookups'!F:F)+SUMIF('NEI Lookups'!$Q:$Q,'Inputs Yr 2'!$F261,'NEI Lookups'!F:F)+SUMIF('NEI Lookups'!$R:$R,'Inputs Yr 2'!$F261,'NEI Lookups'!F:F)+SUMIF('NEI Lookups'!$S:$S,'Inputs Yr 2'!$F261,'NEI Lookups'!F:F)+SUMIF('NEI Lookups'!$T:$T,'Inputs Yr 2'!$F261,'NEI Lookups'!F:F)</f>
        <v>0</v>
      </c>
      <c r="AU261" s="299">
        <f>SUMIF('NEI Lookups'!$L:$L,'Inputs Yr 2'!$F261,'NEI Lookups'!G:G)+SUMIF('NEI Lookups'!$M:$M,'Inputs Yr 2'!$F261,'NEI Lookups'!G:G)+SUMIF('NEI Lookups'!$N:$N,'Inputs Yr 2'!$F261,'NEI Lookups'!G:G)+SUMIF('NEI Lookups'!$O:$O,'Inputs Yr 2'!$F261,'NEI Lookups'!G:G)+SUMIF('NEI Lookups'!$P:$P,'Inputs Yr 2'!$F261,'NEI Lookups'!G:G)+SUMIF('NEI Lookups'!$Q:$Q,'Inputs Yr 2'!$F261,'NEI Lookups'!G:G)+SUMIF('NEI Lookups'!$R:$R,'Inputs Yr 2'!$F261,'NEI Lookups'!G:G)+SUMIF('NEI Lookups'!$S:$S,'Inputs Yr 2'!$F261,'NEI Lookups'!G:G)+SUMIF('NEI Lookups'!$T:$T,'Inputs Yr 2'!$F261,'NEI Lookups'!G:G)</f>
        <v>0</v>
      </c>
      <c r="AV261" s="299">
        <f>SUMIF('NEI Lookups'!$L:$L,'Inputs Yr 2'!$F261,'NEI Lookups'!H:H)+SUMIF('NEI Lookups'!$M:$M,'Inputs Yr 2'!$F261,'NEI Lookups'!H:H)+SUMIF('NEI Lookups'!$N:$N,'Inputs Yr 2'!$F261,'NEI Lookups'!H:H)+SUMIF('NEI Lookups'!$O:$O,'Inputs Yr 2'!$F261,'NEI Lookups'!H:H)+SUMIF('NEI Lookups'!$P:$P,'Inputs Yr 2'!$F261,'NEI Lookups'!H:H)+SUMIF('NEI Lookups'!$Q:$Q,'Inputs Yr 2'!$F261,'NEI Lookups'!H:H)+SUMIF('NEI Lookups'!$R:$R,'Inputs Yr 2'!$F261,'NEI Lookups'!H:H)+SUMIF('NEI Lookups'!$S:$S,'Inputs Yr 2'!$F261,'NEI Lookups'!H:H)+SUMIF('NEI Lookups'!$T:$T,'Inputs Yr 2'!$F261,'NEI Lookups'!H:H)</f>
        <v>0</v>
      </c>
      <c r="AW261" s="299">
        <f>SUMIF('NEI Lookups'!$L:$L,'Inputs Yr 2'!$F261,'NEI Lookups'!I:I)+SUMIF('NEI Lookups'!$M:$M,'Inputs Yr 2'!$F261,'NEI Lookups'!I:I)+SUMIF('NEI Lookups'!$N:$N,'Inputs Yr 2'!$F261,'NEI Lookups'!I:I)+SUMIF('NEI Lookups'!$O:$O,'Inputs Yr 2'!$F261,'NEI Lookups'!I:I)+SUMIF('NEI Lookups'!$P:$P,'Inputs Yr 2'!$F261,'NEI Lookups'!I:I)+SUMIF('NEI Lookups'!$Q:$Q,'Inputs Yr 2'!$F261,'NEI Lookups'!I:I)+SUMIF('NEI Lookups'!$R:$R,'Inputs Yr 2'!$F261,'NEI Lookups'!I:I)+SUMIF('NEI Lookups'!$S:$S,'Inputs Yr 2'!$F261,'NEI Lookups'!I:I)+SUMIF('NEI Lookups'!$T:$T,'Inputs Yr 2'!$F261,'NEI Lookups'!I:I)</f>
        <v>0.25</v>
      </c>
      <c r="AX261" s="299">
        <f>SUMIF('NEI Lookups'!$L:$L,'Inputs Yr 2'!$F261,'NEI Lookups'!J:J)+SUMIF('NEI Lookups'!$M:$M,'Inputs Yr 2'!$F261,'NEI Lookups'!J:J)+SUMIF('NEI Lookups'!$N:$N,'Inputs Yr 2'!$F261,'NEI Lookups'!J:J)+SUMIF('NEI Lookups'!$O:$O,'Inputs Yr 2'!$F261,'NEI Lookups'!J:J)+SUMIF('NEI Lookups'!$P:$P,'Inputs Yr 2'!$F261,'NEI Lookups'!J:J)+SUMIF('NEI Lookups'!$Q:$Q,'Inputs Yr 2'!$F261,'NEI Lookups'!J:J)+SUMIF('NEI Lookups'!$R:$R,'Inputs Yr 2'!$F261,'NEI Lookups'!J:J)+SUMIF('NEI Lookups'!$S:$S,'Inputs Yr 2'!$F261,'NEI Lookups'!J:J)+SUMIF('NEI Lookups'!$T:$T,'Inputs Yr 2'!$F261,'NEI Lookups'!J:J)</f>
        <v>0</v>
      </c>
      <c r="AY261" s="930">
        <f>'Calculations Yr 2'!CP261/'Calculations Yr 2'!I261</f>
        <v>1.0540011331871237</v>
      </c>
    </row>
    <row r="262" spans="1:51" s="133" customFormat="1" ht="12.75" customHeight="1">
      <c r="A262" s="145" t="s">
        <v>83</v>
      </c>
      <c r="B262" s="132" t="s">
        <v>870</v>
      </c>
      <c r="C262" s="132" t="s">
        <v>841</v>
      </c>
      <c r="D262" s="902"/>
      <c r="E262" s="656" t="s">
        <v>1374</v>
      </c>
      <c r="F262" s="150" t="s">
        <v>1135</v>
      </c>
      <c r="G262" s="145" t="s">
        <v>1244</v>
      </c>
      <c r="H262" s="165">
        <v>1</v>
      </c>
      <c r="I262" s="237">
        <v>10</v>
      </c>
      <c r="J262" s="971">
        <v>401628.8</v>
      </c>
      <c r="K262" s="871">
        <v>200814.4</v>
      </c>
      <c r="L262" s="888">
        <f t="shared" si="107"/>
        <v>200814.4</v>
      </c>
      <c r="M262" s="978">
        <v>0.11</v>
      </c>
      <c r="N262" s="978">
        <v>2.6000000000000002E-2</v>
      </c>
      <c r="O262" s="978">
        <v>3.0000000000000001E-3</v>
      </c>
      <c r="P262" s="889">
        <f t="shared" ref="P262:P268" si="108">1-M262+N262+O262</f>
        <v>0.91900000000000004</v>
      </c>
      <c r="Q262" s="978">
        <v>1</v>
      </c>
      <c r="R262" s="178">
        <v>1</v>
      </c>
      <c r="S262" s="178">
        <v>1</v>
      </c>
      <c r="T262" s="178">
        <v>1</v>
      </c>
      <c r="U262" s="978">
        <v>0.77900000000000003</v>
      </c>
      <c r="V262" s="978">
        <v>1</v>
      </c>
      <c r="W262" s="179"/>
      <c r="X262" s="937" t="s">
        <v>653</v>
      </c>
      <c r="Y262" s="299">
        <f>IFERROR(VLOOKUP($X262,'Demand Lookups'!$A$5:$K$101,9,0), 0)</f>
        <v>0</v>
      </c>
      <c r="Z262" s="922" t="str">
        <f>IFERROR(VLOOKUP(X262,'Demand Lookups'!$A$5:$B$101,2,0),0)</f>
        <v>Non-Electric Measures</v>
      </c>
      <c r="AA262" s="722">
        <f>IF(ISNA(VLOOKUP($X262,'Demand Lookups'!$A$5:$K$81,3,0)),0,VLOOKUP($X262,'Demand Lookups'!$A$5:$K$81,3,0))</f>
        <v>0</v>
      </c>
      <c r="AB262" s="722">
        <f>IF(ISNA(VLOOKUP($X262,'Demand Lookups'!$A$5:$K$81,4,0)),0,VLOOKUP($X262,'Demand Lookups'!$A$5:$K$81,4,0))</f>
        <v>0</v>
      </c>
      <c r="AC262" s="722">
        <f>IF(ISNA(VLOOKUP($X262,'Demand Lookups'!$A$5:$K$81,5,0)),0,VLOOKUP($X262,'Demand Lookups'!$A$5:$K$81,5,0))</f>
        <v>0</v>
      </c>
      <c r="AD262" s="723">
        <f>IF(ISNA(VLOOKUP($X262,'Demand Lookups'!$A$5:$K$81,6,0)),0,VLOOKUP($X262,'Demand Lookups'!$A$5:$K$81,6,0))</f>
        <v>0</v>
      </c>
      <c r="AE262" s="724">
        <f t="shared" ref="AE262:AE268" si="109">IF(ISERROR(W262*Y262),"",W262*Y262)</f>
        <v>0</v>
      </c>
      <c r="AF262" s="723">
        <f>ROUND(IF(ISNA(VLOOKUP($X262,'Demand Lookups'!$A$5:$K$82,10,0)),0,(VLOOKUP($X262,'Demand Lookups'!$A$5:$K$82,10,0))),2)</f>
        <v>0</v>
      </c>
      <c r="AG262" s="723">
        <f>ROUND(IF(ISNA(VLOOKUP($X262,'Demand Lookups'!$A$5:$K$82,11,0)),0,VLOOKUP($X262,'Demand Lookups'!$A$5:$K$82,11,0)),2)</f>
        <v>0</v>
      </c>
      <c r="AH262" s="648">
        <f t="shared" ref="AH262:AH268" si="110">AF262</f>
        <v>0</v>
      </c>
      <c r="AI262" s="648">
        <f t="shared" ref="AI262:AI268" si="111">AF262</f>
        <v>0</v>
      </c>
      <c r="AJ262" s="167" t="s">
        <v>200</v>
      </c>
      <c r="AK262" s="168">
        <v>45212.46</v>
      </c>
      <c r="AL262" s="167"/>
      <c r="AM262" s="168"/>
      <c r="AN262" s="167"/>
      <c r="AO262" s="168"/>
      <c r="AP262" s="167"/>
      <c r="AQ262" s="171"/>
      <c r="AR262" s="171"/>
      <c r="AS262" s="299">
        <f>SUMIF('NEI Lookups'!$L:$L,'Inputs Yr 2'!$F262,'NEI Lookups'!E:E)+SUMIF('NEI Lookups'!$M:$M,'Inputs Yr 2'!$F262,'NEI Lookups'!E:E)+SUMIF('NEI Lookups'!$N:$N,'Inputs Yr 2'!$F262,'NEI Lookups'!E:E)+SUMIF('NEI Lookups'!$O:$O,'Inputs Yr 2'!$F262,'NEI Lookups'!E:E)+SUMIF('NEI Lookups'!$P:$P,'Inputs Yr 2'!$F262,'NEI Lookups'!E:E)+SUMIF('NEI Lookups'!$Q:$Q,'Inputs Yr 2'!$F262,'NEI Lookups'!E:E)+SUMIF('NEI Lookups'!$R:$R,'Inputs Yr 2'!$F262,'NEI Lookups'!E:E)+SUMIF('NEI Lookups'!$S:$S,'Inputs Yr 2'!$F262,'NEI Lookups'!E:E)+SUMIF('NEI Lookups'!$T:$T,'Inputs Yr 2'!$F262,'NEI Lookups'!E:E)</f>
        <v>0</v>
      </c>
      <c r="AT262" s="299">
        <f>SUMIF('NEI Lookups'!$L:$L,'Inputs Yr 2'!$F262,'NEI Lookups'!F:F)+SUMIF('NEI Lookups'!$M:$M,'Inputs Yr 2'!$F262,'NEI Lookups'!F:F)+SUMIF('NEI Lookups'!$N:$N,'Inputs Yr 2'!$F262,'NEI Lookups'!F:F)+SUMIF('NEI Lookups'!$O:$O,'Inputs Yr 2'!$F262,'NEI Lookups'!F:F)+SUMIF('NEI Lookups'!$P:$P,'Inputs Yr 2'!$F262,'NEI Lookups'!F:F)+SUMIF('NEI Lookups'!$Q:$Q,'Inputs Yr 2'!$F262,'NEI Lookups'!F:F)+SUMIF('NEI Lookups'!$R:$R,'Inputs Yr 2'!$F262,'NEI Lookups'!F:F)+SUMIF('NEI Lookups'!$S:$S,'Inputs Yr 2'!$F262,'NEI Lookups'!F:F)+SUMIF('NEI Lookups'!$T:$T,'Inputs Yr 2'!$F262,'NEI Lookups'!F:F)</f>
        <v>0</v>
      </c>
      <c r="AU262" s="299">
        <f>SUMIF('NEI Lookups'!$L:$L,'Inputs Yr 2'!$F262,'NEI Lookups'!G:G)+SUMIF('NEI Lookups'!$M:$M,'Inputs Yr 2'!$F262,'NEI Lookups'!G:G)+SUMIF('NEI Lookups'!$N:$N,'Inputs Yr 2'!$F262,'NEI Lookups'!G:G)+SUMIF('NEI Lookups'!$O:$O,'Inputs Yr 2'!$F262,'NEI Lookups'!G:G)+SUMIF('NEI Lookups'!$P:$P,'Inputs Yr 2'!$F262,'NEI Lookups'!G:G)+SUMIF('NEI Lookups'!$Q:$Q,'Inputs Yr 2'!$F262,'NEI Lookups'!G:G)+SUMIF('NEI Lookups'!$R:$R,'Inputs Yr 2'!$F262,'NEI Lookups'!G:G)+SUMIF('NEI Lookups'!$S:$S,'Inputs Yr 2'!$F262,'NEI Lookups'!G:G)+SUMIF('NEI Lookups'!$T:$T,'Inputs Yr 2'!$F262,'NEI Lookups'!G:G)</f>
        <v>0</v>
      </c>
      <c r="AV262" s="299">
        <f>SUMIF('NEI Lookups'!$L:$L,'Inputs Yr 2'!$F262,'NEI Lookups'!H:H)+SUMIF('NEI Lookups'!$M:$M,'Inputs Yr 2'!$F262,'NEI Lookups'!H:H)+SUMIF('NEI Lookups'!$N:$N,'Inputs Yr 2'!$F262,'NEI Lookups'!H:H)+SUMIF('NEI Lookups'!$O:$O,'Inputs Yr 2'!$F262,'NEI Lookups'!H:H)+SUMIF('NEI Lookups'!$P:$P,'Inputs Yr 2'!$F262,'NEI Lookups'!H:H)+SUMIF('NEI Lookups'!$Q:$Q,'Inputs Yr 2'!$F262,'NEI Lookups'!H:H)+SUMIF('NEI Lookups'!$R:$R,'Inputs Yr 2'!$F262,'NEI Lookups'!H:H)+SUMIF('NEI Lookups'!$S:$S,'Inputs Yr 2'!$F262,'NEI Lookups'!H:H)+SUMIF('NEI Lookups'!$T:$T,'Inputs Yr 2'!$F262,'NEI Lookups'!H:H)</f>
        <v>0</v>
      </c>
      <c r="AW262" s="299">
        <f>SUMIF('NEI Lookups'!$L:$L,'Inputs Yr 2'!$F262,'NEI Lookups'!I:I)+SUMIF('NEI Lookups'!$M:$M,'Inputs Yr 2'!$F262,'NEI Lookups'!I:I)+SUMIF('NEI Lookups'!$N:$N,'Inputs Yr 2'!$F262,'NEI Lookups'!I:I)+SUMIF('NEI Lookups'!$O:$O,'Inputs Yr 2'!$F262,'NEI Lookups'!I:I)+SUMIF('NEI Lookups'!$P:$P,'Inputs Yr 2'!$F262,'NEI Lookups'!I:I)+SUMIF('NEI Lookups'!$Q:$Q,'Inputs Yr 2'!$F262,'NEI Lookups'!I:I)+SUMIF('NEI Lookups'!$R:$R,'Inputs Yr 2'!$F262,'NEI Lookups'!I:I)+SUMIF('NEI Lookups'!$S:$S,'Inputs Yr 2'!$F262,'NEI Lookups'!I:I)+SUMIF('NEI Lookups'!$T:$T,'Inputs Yr 2'!$F262,'NEI Lookups'!I:I)</f>
        <v>0.25</v>
      </c>
      <c r="AX262" s="299">
        <f>SUMIF('NEI Lookups'!$L:$L,'Inputs Yr 2'!$F262,'NEI Lookups'!J:J)+SUMIF('NEI Lookups'!$M:$M,'Inputs Yr 2'!$F262,'NEI Lookups'!J:J)+SUMIF('NEI Lookups'!$N:$N,'Inputs Yr 2'!$F262,'NEI Lookups'!J:J)+SUMIF('NEI Lookups'!$O:$O,'Inputs Yr 2'!$F262,'NEI Lookups'!J:J)+SUMIF('NEI Lookups'!$P:$P,'Inputs Yr 2'!$F262,'NEI Lookups'!J:J)+SUMIF('NEI Lookups'!$Q:$Q,'Inputs Yr 2'!$F262,'NEI Lookups'!J:J)+SUMIF('NEI Lookups'!$R:$R,'Inputs Yr 2'!$F262,'NEI Lookups'!J:J)+SUMIF('NEI Lookups'!$S:$S,'Inputs Yr 2'!$F262,'NEI Lookups'!J:J)+SUMIF('NEI Lookups'!$T:$T,'Inputs Yr 2'!$F262,'NEI Lookups'!J:J)</f>
        <v>0</v>
      </c>
      <c r="AY262" s="930">
        <f>'Calculations Yr 2'!CP262/'Calculations Yr 2'!I262</f>
        <v>9.3559754008676368</v>
      </c>
    </row>
    <row r="263" spans="1:51" s="133" customFormat="1" ht="12.75" customHeight="1">
      <c r="A263" s="145" t="s">
        <v>83</v>
      </c>
      <c r="B263" s="132" t="s">
        <v>870</v>
      </c>
      <c r="C263" s="132" t="s">
        <v>841</v>
      </c>
      <c r="D263" s="902"/>
      <c r="E263" s="656" t="s">
        <v>1375</v>
      </c>
      <c r="F263" s="150" t="s">
        <v>1135</v>
      </c>
      <c r="G263" s="145" t="s">
        <v>1244</v>
      </c>
      <c r="H263" s="165">
        <v>1</v>
      </c>
      <c r="I263" s="237">
        <v>12</v>
      </c>
      <c r="J263" s="971">
        <v>10282.700000000001</v>
      </c>
      <c r="K263" s="871">
        <v>5141.3500000000004</v>
      </c>
      <c r="L263" s="888">
        <f t="shared" si="107"/>
        <v>5141.3500000000004</v>
      </c>
      <c r="M263" s="978">
        <v>0.11</v>
      </c>
      <c r="N263" s="978">
        <v>2.6000000000000002E-2</v>
      </c>
      <c r="O263" s="978">
        <v>3.0000000000000001E-3</v>
      </c>
      <c r="P263" s="889">
        <f t="shared" si="108"/>
        <v>0.91900000000000004</v>
      </c>
      <c r="Q263" s="978">
        <v>1</v>
      </c>
      <c r="R263" s="178">
        <v>1</v>
      </c>
      <c r="S263" s="178">
        <v>1</v>
      </c>
      <c r="T263" s="178">
        <v>1</v>
      </c>
      <c r="U263" s="978">
        <v>0.77900000000000003</v>
      </c>
      <c r="V263" s="978">
        <v>1</v>
      </c>
      <c r="W263" s="179"/>
      <c r="X263" s="937" t="s">
        <v>653</v>
      </c>
      <c r="Y263" s="299">
        <f>IFERROR(VLOOKUP($X263,'Demand Lookups'!$A$5:$K$101,9,0), 0)</f>
        <v>0</v>
      </c>
      <c r="Z263" s="922" t="str">
        <f>IFERROR(VLOOKUP(X263,'Demand Lookups'!$A$5:$B$101,2,0),0)</f>
        <v>Non-Electric Measures</v>
      </c>
      <c r="AA263" s="722">
        <f>IF(ISNA(VLOOKUP($X263,'Demand Lookups'!$A$5:$K$81,3,0)),0,VLOOKUP($X263,'Demand Lookups'!$A$5:$K$81,3,0))</f>
        <v>0</v>
      </c>
      <c r="AB263" s="722">
        <f>IF(ISNA(VLOOKUP($X263,'Demand Lookups'!$A$5:$K$81,4,0)),0,VLOOKUP($X263,'Demand Lookups'!$A$5:$K$81,4,0))</f>
        <v>0</v>
      </c>
      <c r="AC263" s="722">
        <f>IF(ISNA(VLOOKUP($X263,'Demand Lookups'!$A$5:$K$81,5,0)),0,VLOOKUP($X263,'Demand Lookups'!$A$5:$K$81,5,0))</f>
        <v>0</v>
      </c>
      <c r="AD263" s="723">
        <f>IF(ISNA(VLOOKUP($X263,'Demand Lookups'!$A$5:$K$81,6,0)),0,VLOOKUP($X263,'Demand Lookups'!$A$5:$K$81,6,0))</f>
        <v>0</v>
      </c>
      <c r="AE263" s="724">
        <f t="shared" si="109"/>
        <v>0</v>
      </c>
      <c r="AF263" s="723">
        <f>ROUND(IF(ISNA(VLOOKUP($X263,'Demand Lookups'!$A$5:$K$82,10,0)),0,(VLOOKUP($X263,'Demand Lookups'!$A$5:$K$82,10,0))),2)</f>
        <v>0</v>
      </c>
      <c r="AG263" s="723">
        <f>ROUND(IF(ISNA(VLOOKUP($X263,'Demand Lookups'!$A$5:$K$82,11,0)),0,VLOOKUP($X263,'Demand Lookups'!$A$5:$K$82,11,0)),2)</f>
        <v>0</v>
      </c>
      <c r="AH263" s="648">
        <f t="shared" si="110"/>
        <v>0</v>
      </c>
      <c r="AI263" s="648">
        <f t="shared" si="111"/>
        <v>0</v>
      </c>
      <c r="AJ263" s="167" t="s">
        <v>200</v>
      </c>
      <c r="AK263" s="168">
        <v>331.7</v>
      </c>
      <c r="AL263" s="167"/>
      <c r="AM263" s="168"/>
      <c r="AN263" s="167"/>
      <c r="AO263" s="168"/>
      <c r="AP263" s="167"/>
      <c r="AQ263" s="171"/>
      <c r="AR263" s="171"/>
      <c r="AS263" s="299">
        <f>SUMIF('NEI Lookups'!$L:$L,'Inputs Yr 2'!$F263,'NEI Lookups'!E:E)+SUMIF('NEI Lookups'!$M:$M,'Inputs Yr 2'!$F263,'NEI Lookups'!E:E)+SUMIF('NEI Lookups'!$N:$N,'Inputs Yr 2'!$F263,'NEI Lookups'!E:E)+SUMIF('NEI Lookups'!$O:$O,'Inputs Yr 2'!$F263,'NEI Lookups'!E:E)+SUMIF('NEI Lookups'!$P:$P,'Inputs Yr 2'!$F263,'NEI Lookups'!E:E)+SUMIF('NEI Lookups'!$Q:$Q,'Inputs Yr 2'!$F263,'NEI Lookups'!E:E)+SUMIF('NEI Lookups'!$R:$R,'Inputs Yr 2'!$F263,'NEI Lookups'!E:E)+SUMIF('NEI Lookups'!$S:$S,'Inputs Yr 2'!$F263,'NEI Lookups'!E:E)+SUMIF('NEI Lookups'!$T:$T,'Inputs Yr 2'!$F263,'NEI Lookups'!E:E)</f>
        <v>0</v>
      </c>
      <c r="AT263" s="299">
        <f>SUMIF('NEI Lookups'!$L:$L,'Inputs Yr 2'!$F263,'NEI Lookups'!F:F)+SUMIF('NEI Lookups'!$M:$M,'Inputs Yr 2'!$F263,'NEI Lookups'!F:F)+SUMIF('NEI Lookups'!$N:$N,'Inputs Yr 2'!$F263,'NEI Lookups'!F:F)+SUMIF('NEI Lookups'!$O:$O,'Inputs Yr 2'!$F263,'NEI Lookups'!F:F)+SUMIF('NEI Lookups'!$P:$P,'Inputs Yr 2'!$F263,'NEI Lookups'!F:F)+SUMIF('NEI Lookups'!$Q:$Q,'Inputs Yr 2'!$F263,'NEI Lookups'!F:F)+SUMIF('NEI Lookups'!$R:$R,'Inputs Yr 2'!$F263,'NEI Lookups'!F:F)+SUMIF('NEI Lookups'!$S:$S,'Inputs Yr 2'!$F263,'NEI Lookups'!F:F)+SUMIF('NEI Lookups'!$T:$T,'Inputs Yr 2'!$F263,'NEI Lookups'!F:F)</f>
        <v>0</v>
      </c>
      <c r="AU263" s="299">
        <f>SUMIF('NEI Lookups'!$L:$L,'Inputs Yr 2'!$F263,'NEI Lookups'!G:G)+SUMIF('NEI Lookups'!$M:$M,'Inputs Yr 2'!$F263,'NEI Lookups'!G:G)+SUMIF('NEI Lookups'!$N:$N,'Inputs Yr 2'!$F263,'NEI Lookups'!G:G)+SUMIF('NEI Lookups'!$O:$O,'Inputs Yr 2'!$F263,'NEI Lookups'!G:G)+SUMIF('NEI Lookups'!$P:$P,'Inputs Yr 2'!$F263,'NEI Lookups'!G:G)+SUMIF('NEI Lookups'!$Q:$Q,'Inputs Yr 2'!$F263,'NEI Lookups'!G:G)+SUMIF('NEI Lookups'!$R:$R,'Inputs Yr 2'!$F263,'NEI Lookups'!G:G)+SUMIF('NEI Lookups'!$S:$S,'Inputs Yr 2'!$F263,'NEI Lookups'!G:G)+SUMIF('NEI Lookups'!$T:$T,'Inputs Yr 2'!$F263,'NEI Lookups'!G:G)</f>
        <v>0</v>
      </c>
      <c r="AV263" s="299">
        <f>SUMIF('NEI Lookups'!$L:$L,'Inputs Yr 2'!$F263,'NEI Lookups'!H:H)+SUMIF('NEI Lookups'!$M:$M,'Inputs Yr 2'!$F263,'NEI Lookups'!H:H)+SUMIF('NEI Lookups'!$N:$N,'Inputs Yr 2'!$F263,'NEI Lookups'!H:H)+SUMIF('NEI Lookups'!$O:$O,'Inputs Yr 2'!$F263,'NEI Lookups'!H:H)+SUMIF('NEI Lookups'!$P:$P,'Inputs Yr 2'!$F263,'NEI Lookups'!H:H)+SUMIF('NEI Lookups'!$Q:$Q,'Inputs Yr 2'!$F263,'NEI Lookups'!H:H)+SUMIF('NEI Lookups'!$R:$R,'Inputs Yr 2'!$F263,'NEI Lookups'!H:H)+SUMIF('NEI Lookups'!$S:$S,'Inputs Yr 2'!$F263,'NEI Lookups'!H:H)+SUMIF('NEI Lookups'!$T:$T,'Inputs Yr 2'!$F263,'NEI Lookups'!H:H)</f>
        <v>0</v>
      </c>
      <c r="AW263" s="299">
        <f>SUMIF('NEI Lookups'!$L:$L,'Inputs Yr 2'!$F263,'NEI Lookups'!I:I)+SUMIF('NEI Lookups'!$M:$M,'Inputs Yr 2'!$F263,'NEI Lookups'!I:I)+SUMIF('NEI Lookups'!$N:$N,'Inputs Yr 2'!$F263,'NEI Lookups'!I:I)+SUMIF('NEI Lookups'!$O:$O,'Inputs Yr 2'!$F263,'NEI Lookups'!I:I)+SUMIF('NEI Lookups'!$P:$P,'Inputs Yr 2'!$F263,'NEI Lookups'!I:I)+SUMIF('NEI Lookups'!$Q:$Q,'Inputs Yr 2'!$F263,'NEI Lookups'!I:I)+SUMIF('NEI Lookups'!$R:$R,'Inputs Yr 2'!$F263,'NEI Lookups'!I:I)+SUMIF('NEI Lookups'!$S:$S,'Inputs Yr 2'!$F263,'NEI Lookups'!I:I)+SUMIF('NEI Lookups'!$T:$T,'Inputs Yr 2'!$F263,'NEI Lookups'!I:I)</f>
        <v>0.25</v>
      </c>
      <c r="AX263" s="299">
        <f>SUMIF('NEI Lookups'!$L:$L,'Inputs Yr 2'!$F263,'NEI Lookups'!J:J)+SUMIF('NEI Lookups'!$M:$M,'Inputs Yr 2'!$F263,'NEI Lookups'!J:J)+SUMIF('NEI Lookups'!$N:$N,'Inputs Yr 2'!$F263,'NEI Lookups'!J:J)+SUMIF('NEI Lookups'!$O:$O,'Inputs Yr 2'!$F263,'NEI Lookups'!J:J)+SUMIF('NEI Lookups'!$P:$P,'Inputs Yr 2'!$F263,'NEI Lookups'!J:J)+SUMIF('NEI Lookups'!$Q:$Q,'Inputs Yr 2'!$F263,'NEI Lookups'!J:J)+SUMIF('NEI Lookups'!$R:$R,'Inputs Yr 2'!$F263,'NEI Lookups'!J:J)+SUMIF('NEI Lookups'!$S:$S,'Inputs Yr 2'!$F263,'NEI Lookups'!J:J)+SUMIF('NEI Lookups'!$T:$T,'Inputs Yr 2'!$F263,'NEI Lookups'!J:J)</f>
        <v>0</v>
      </c>
      <c r="AY263" s="930">
        <f>'Calculations Yr 2'!CP263/'Calculations Yr 2'!I263</f>
        <v>3.2003586955767935</v>
      </c>
    </row>
    <row r="264" spans="1:51" s="133" customFormat="1" ht="12.75" customHeight="1">
      <c r="A264" s="145" t="s">
        <v>83</v>
      </c>
      <c r="B264" s="132" t="s">
        <v>870</v>
      </c>
      <c r="C264" s="132" t="s">
        <v>841</v>
      </c>
      <c r="D264" s="902"/>
      <c r="E264" s="656" t="s">
        <v>1376</v>
      </c>
      <c r="F264" s="150" t="s">
        <v>1135</v>
      </c>
      <c r="G264" s="145" t="s">
        <v>1244</v>
      </c>
      <c r="H264" s="165">
        <v>1</v>
      </c>
      <c r="I264" s="237">
        <v>13</v>
      </c>
      <c r="J264" s="971">
        <v>4906.5</v>
      </c>
      <c r="K264" s="871">
        <v>2453.25</v>
      </c>
      <c r="L264" s="888">
        <f t="shared" si="107"/>
        <v>2453.25</v>
      </c>
      <c r="M264" s="978">
        <v>0.11</v>
      </c>
      <c r="N264" s="978">
        <v>2.6000000000000002E-2</v>
      </c>
      <c r="O264" s="978">
        <v>3.0000000000000001E-3</v>
      </c>
      <c r="P264" s="889">
        <f t="shared" si="108"/>
        <v>0.91900000000000004</v>
      </c>
      <c r="Q264" s="978">
        <v>1</v>
      </c>
      <c r="R264" s="178">
        <v>1</v>
      </c>
      <c r="S264" s="178">
        <v>1</v>
      </c>
      <c r="T264" s="178">
        <v>1</v>
      </c>
      <c r="U264" s="978">
        <v>0.77900000000000003</v>
      </c>
      <c r="V264" s="978">
        <v>1</v>
      </c>
      <c r="W264" s="179"/>
      <c r="X264" s="937" t="s">
        <v>653</v>
      </c>
      <c r="Y264" s="299">
        <f>IFERROR(VLOOKUP($X264,'Demand Lookups'!$A$5:$K$101,9,0), 0)</f>
        <v>0</v>
      </c>
      <c r="Z264" s="922" t="str">
        <f>IFERROR(VLOOKUP(X264,'Demand Lookups'!$A$5:$B$101,2,0),0)</f>
        <v>Non-Electric Measures</v>
      </c>
      <c r="AA264" s="722">
        <f>IF(ISNA(VLOOKUP($X264,'Demand Lookups'!$A$5:$K$81,3,0)),0,VLOOKUP($X264,'Demand Lookups'!$A$5:$K$81,3,0))</f>
        <v>0</v>
      </c>
      <c r="AB264" s="722">
        <f>IF(ISNA(VLOOKUP($X264,'Demand Lookups'!$A$5:$K$81,4,0)),0,VLOOKUP($X264,'Demand Lookups'!$A$5:$K$81,4,0))</f>
        <v>0</v>
      </c>
      <c r="AC264" s="722">
        <f>IF(ISNA(VLOOKUP($X264,'Demand Lookups'!$A$5:$K$81,5,0)),0,VLOOKUP($X264,'Demand Lookups'!$A$5:$K$81,5,0))</f>
        <v>0</v>
      </c>
      <c r="AD264" s="723">
        <f>IF(ISNA(VLOOKUP($X264,'Demand Lookups'!$A$5:$K$81,6,0)),0,VLOOKUP($X264,'Demand Lookups'!$A$5:$K$81,6,0))</f>
        <v>0</v>
      </c>
      <c r="AE264" s="724">
        <f t="shared" si="109"/>
        <v>0</v>
      </c>
      <c r="AF264" s="723">
        <f>ROUND(IF(ISNA(VLOOKUP($X264,'Demand Lookups'!$A$5:$K$82,10,0)),0,(VLOOKUP($X264,'Demand Lookups'!$A$5:$K$82,10,0))),2)</f>
        <v>0</v>
      </c>
      <c r="AG264" s="723">
        <f>ROUND(IF(ISNA(VLOOKUP($X264,'Demand Lookups'!$A$5:$K$82,11,0)),0,VLOOKUP($X264,'Demand Lookups'!$A$5:$K$82,11,0)),2)</f>
        <v>0</v>
      </c>
      <c r="AH264" s="648">
        <f t="shared" si="110"/>
        <v>0</v>
      </c>
      <c r="AI264" s="648">
        <f t="shared" si="111"/>
        <v>0</v>
      </c>
      <c r="AJ264" s="167" t="s">
        <v>200</v>
      </c>
      <c r="AK264" s="168">
        <v>161</v>
      </c>
      <c r="AL264" s="167"/>
      <c r="AM264" s="168"/>
      <c r="AN264" s="167"/>
      <c r="AO264" s="168"/>
      <c r="AP264" s="167"/>
      <c r="AQ264" s="171"/>
      <c r="AR264" s="171"/>
      <c r="AS264" s="299">
        <f>SUMIF('NEI Lookups'!$L:$L,'Inputs Yr 2'!$F264,'NEI Lookups'!E:E)+SUMIF('NEI Lookups'!$M:$M,'Inputs Yr 2'!$F264,'NEI Lookups'!E:E)+SUMIF('NEI Lookups'!$N:$N,'Inputs Yr 2'!$F264,'NEI Lookups'!E:E)+SUMIF('NEI Lookups'!$O:$O,'Inputs Yr 2'!$F264,'NEI Lookups'!E:E)+SUMIF('NEI Lookups'!$P:$P,'Inputs Yr 2'!$F264,'NEI Lookups'!E:E)+SUMIF('NEI Lookups'!$Q:$Q,'Inputs Yr 2'!$F264,'NEI Lookups'!E:E)+SUMIF('NEI Lookups'!$R:$R,'Inputs Yr 2'!$F264,'NEI Lookups'!E:E)+SUMIF('NEI Lookups'!$S:$S,'Inputs Yr 2'!$F264,'NEI Lookups'!E:E)+SUMIF('NEI Lookups'!$T:$T,'Inputs Yr 2'!$F264,'NEI Lookups'!E:E)</f>
        <v>0</v>
      </c>
      <c r="AT264" s="299">
        <f>SUMIF('NEI Lookups'!$L:$L,'Inputs Yr 2'!$F264,'NEI Lookups'!F:F)+SUMIF('NEI Lookups'!$M:$M,'Inputs Yr 2'!$F264,'NEI Lookups'!F:F)+SUMIF('NEI Lookups'!$N:$N,'Inputs Yr 2'!$F264,'NEI Lookups'!F:F)+SUMIF('NEI Lookups'!$O:$O,'Inputs Yr 2'!$F264,'NEI Lookups'!F:F)+SUMIF('NEI Lookups'!$P:$P,'Inputs Yr 2'!$F264,'NEI Lookups'!F:F)+SUMIF('NEI Lookups'!$Q:$Q,'Inputs Yr 2'!$F264,'NEI Lookups'!F:F)+SUMIF('NEI Lookups'!$R:$R,'Inputs Yr 2'!$F264,'NEI Lookups'!F:F)+SUMIF('NEI Lookups'!$S:$S,'Inputs Yr 2'!$F264,'NEI Lookups'!F:F)+SUMIF('NEI Lookups'!$T:$T,'Inputs Yr 2'!$F264,'NEI Lookups'!F:F)</f>
        <v>0</v>
      </c>
      <c r="AU264" s="299">
        <f>SUMIF('NEI Lookups'!$L:$L,'Inputs Yr 2'!$F264,'NEI Lookups'!G:G)+SUMIF('NEI Lookups'!$M:$M,'Inputs Yr 2'!$F264,'NEI Lookups'!G:G)+SUMIF('NEI Lookups'!$N:$N,'Inputs Yr 2'!$F264,'NEI Lookups'!G:G)+SUMIF('NEI Lookups'!$O:$O,'Inputs Yr 2'!$F264,'NEI Lookups'!G:G)+SUMIF('NEI Lookups'!$P:$P,'Inputs Yr 2'!$F264,'NEI Lookups'!G:G)+SUMIF('NEI Lookups'!$Q:$Q,'Inputs Yr 2'!$F264,'NEI Lookups'!G:G)+SUMIF('NEI Lookups'!$R:$R,'Inputs Yr 2'!$F264,'NEI Lookups'!G:G)+SUMIF('NEI Lookups'!$S:$S,'Inputs Yr 2'!$F264,'NEI Lookups'!G:G)+SUMIF('NEI Lookups'!$T:$T,'Inputs Yr 2'!$F264,'NEI Lookups'!G:G)</f>
        <v>0</v>
      </c>
      <c r="AV264" s="299">
        <f>SUMIF('NEI Lookups'!$L:$L,'Inputs Yr 2'!$F264,'NEI Lookups'!H:H)+SUMIF('NEI Lookups'!$M:$M,'Inputs Yr 2'!$F264,'NEI Lookups'!H:H)+SUMIF('NEI Lookups'!$N:$N,'Inputs Yr 2'!$F264,'NEI Lookups'!H:H)+SUMIF('NEI Lookups'!$O:$O,'Inputs Yr 2'!$F264,'NEI Lookups'!H:H)+SUMIF('NEI Lookups'!$P:$P,'Inputs Yr 2'!$F264,'NEI Lookups'!H:H)+SUMIF('NEI Lookups'!$Q:$Q,'Inputs Yr 2'!$F264,'NEI Lookups'!H:H)+SUMIF('NEI Lookups'!$R:$R,'Inputs Yr 2'!$F264,'NEI Lookups'!H:H)+SUMIF('NEI Lookups'!$S:$S,'Inputs Yr 2'!$F264,'NEI Lookups'!H:H)+SUMIF('NEI Lookups'!$T:$T,'Inputs Yr 2'!$F264,'NEI Lookups'!H:H)</f>
        <v>0</v>
      </c>
      <c r="AW264" s="299">
        <f>SUMIF('NEI Lookups'!$L:$L,'Inputs Yr 2'!$F264,'NEI Lookups'!I:I)+SUMIF('NEI Lookups'!$M:$M,'Inputs Yr 2'!$F264,'NEI Lookups'!I:I)+SUMIF('NEI Lookups'!$N:$N,'Inputs Yr 2'!$F264,'NEI Lookups'!I:I)+SUMIF('NEI Lookups'!$O:$O,'Inputs Yr 2'!$F264,'NEI Lookups'!I:I)+SUMIF('NEI Lookups'!$P:$P,'Inputs Yr 2'!$F264,'NEI Lookups'!I:I)+SUMIF('NEI Lookups'!$Q:$Q,'Inputs Yr 2'!$F264,'NEI Lookups'!I:I)+SUMIF('NEI Lookups'!$R:$R,'Inputs Yr 2'!$F264,'NEI Lookups'!I:I)+SUMIF('NEI Lookups'!$S:$S,'Inputs Yr 2'!$F264,'NEI Lookups'!I:I)+SUMIF('NEI Lookups'!$T:$T,'Inputs Yr 2'!$F264,'NEI Lookups'!I:I)</f>
        <v>0.25</v>
      </c>
      <c r="AX264" s="299">
        <f>SUMIF('NEI Lookups'!$L:$L,'Inputs Yr 2'!$F264,'NEI Lookups'!J:J)+SUMIF('NEI Lookups'!$M:$M,'Inputs Yr 2'!$F264,'NEI Lookups'!J:J)+SUMIF('NEI Lookups'!$N:$N,'Inputs Yr 2'!$F264,'NEI Lookups'!J:J)+SUMIF('NEI Lookups'!$O:$O,'Inputs Yr 2'!$F264,'NEI Lookups'!J:J)+SUMIF('NEI Lookups'!$P:$P,'Inputs Yr 2'!$F264,'NEI Lookups'!J:J)+SUMIF('NEI Lookups'!$Q:$Q,'Inputs Yr 2'!$F264,'NEI Lookups'!J:J)+SUMIF('NEI Lookups'!$R:$R,'Inputs Yr 2'!$F264,'NEI Lookups'!J:J)+SUMIF('NEI Lookups'!$S:$S,'Inputs Yr 2'!$F264,'NEI Lookups'!J:J)+SUMIF('NEI Lookups'!$T:$T,'Inputs Yr 2'!$F264,'NEI Lookups'!J:J)</f>
        <v>0</v>
      </c>
      <c r="AY264" s="930">
        <f>'Calculations Yr 2'!CP264/'Calculations Yr 2'!I264</f>
        <v>3.5240977858468634</v>
      </c>
    </row>
    <row r="265" spans="1:51" s="133" customFormat="1" ht="12.75" customHeight="1">
      <c r="A265" s="145" t="s">
        <v>83</v>
      </c>
      <c r="B265" s="132" t="s">
        <v>870</v>
      </c>
      <c r="C265" s="132" t="s">
        <v>841</v>
      </c>
      <c r="D265" s="902"/>
      <c r="E265" s="656" t="s">
        <v>1377</v>
      </c>
      <c r="F265" s="150" t="s">
        <v>1135</v>
      </c>
      <c r="G265" s="145" t="s">
        <v>1244</v>
      </c>
      <c r="H265" s="165">
        <v>1</v>
      </c>
      <c r="I265" s="237">
        <v>15</v>
      </c>
      <c r="J265" s="971">
        <v>283917.56</v>
      </c>
      <c r="K265" s="871">
        <v>141958.78</v>
      </c>
      <c r="L265" s="888">
        <f t="shared" si="107"/>
        <v>141958.78</v>
      </c>
      <c r="M265" s="978">
        <v>0.11</v>
      </c>
      <c r="N265" s="978">
        <v>2.6000000000000002E-2</v>
      </c>
      <c r="O265" s="978">
        <v>3.0000000000000001E-3</v>
      </c>
      <c r="P265" s="889">
        <f t="shared" si="108"/>
        <v>0.91900000000000004</v>
      </c>
      <c r="Q265" s="978">
        <v>1</v>
      </c>
      <c r="R265" s="178">
        <v>1</v>
      </c>
      <c r="S265" s="178">
        <v>1</v>
      </c>
      <c r="T265" s="178">
        <v>1</v>
      </c>
      <c r="U265" s="978">
        <v>0.77900000000000003</v>
      </c>
      <c r="V265" s="978">
        <v>1</v>
      </c>
      <c r="W265" s="179"/>
      <c r="X265" s="937" t="s">
        <v>653</v>
      </c>
      <c r="Y265" s="299">
        <f>IFERROR(VLOOKUP($X265,'Demand Lookups'!$A$5:$K$101,9,0), 0)</f>
        <v>0</v>
      </c>
      <c r="Z265" s="922" t="str">
        <f>IFERROR(VLOOKUP(X265,'Demand Lookups'!$A$5:$B$101,2,0),0)</f>
        <v>Non-Electric Measures</v>
      </c>
      <c r="AA265" s="722">
        <f>IF(ISNA(VLOOKUP($X265,'Demand Lookups'!$A$5:$K$81,3,0)),0,VLOOKUP($X265,'Demand Lookups'!$A$5:$K$81,3,0))</f>
        <v>0</v>
      </c>
      <c r="AB265" s="722">
        <f>IF(ISNA(VLOOKUP($X265,'Demand Lookups'!$A$5:$K$81,4,0)),0,VLOOKUP($X265,'Demand Lookups'!$A$5:$K$81,4,0))</f>
        <v>0</v>
      </c>
      <c r="AC265" s="722">
        <f>IF(ISNA(VLOOKUP($X265,'Demand Lookups'!$A$5:$K$81,5,0)),0,VLOOKUP($X265,'Demand Lookups'!$A$5:$K$81,5,0))</f>
        <v>0</v>
      </c>
      <c r="AD265" s="723">
        <f>IF(ISNA(VLOOKUP($X265,'Demand Lookups'!$A$5:$K$81,6,0)),0,VLOOKUP($X265,'Demand Lookups'!$A$5:$K$81,6,0))</f>
        <v>0</v>
      </c>
      <c r="AE265" s="724">
        <f t="shared" si="109"/>
        <v>0</v>
      </c>
      <c r="AF265" s="723">
        <f>ROUND(IF(ISNA(VLOOKUP($X265,'Demand Lookups'!$A$5:$K$82,10,0)),0,(VLOOKUP($X265,'Demand Lookups'!$A$5:$K$82,10,0))),2)</f>
        <v>0</v>
      </c>
      <c r="AG265" s="723">
        <f>ROUND(IF(ISNA(VLOOKUP($X265,'Demand Lookups'!$A$5:$K$82,11,0)),0,VLOOKUP($X265,'Demand Lookups'!$A$5:$K$82,11,0)),2)</f>
        <v>0</v>
      </c>
      <c r="AH265" s="648">
        <f t="shared" si="110"/>
        <v>0</v>
      </c>
      <c r="AI265" s="648">
        <f t="shared" si="111"/>
        <v>0</v>
      </c>
      <c r="AJ265" s="167" t="s">
        <v>200</v>
      </c>
      <c r="AK265" s="168">
        <v>19727.400000000001</v>
      </c>
      <c r="AL265" s="167"/>
      <c r="AM265" s="168"/>
      <c r="AN265" s="167"/>
      <c r="AO265" s="168"/>
      <c r="AP265" s="167"/>
      <c r="AQ265" s="171"/>
      <c r="AR265" s="171"/>
      <c r="AS265" s="299">
        <f>SUMIF('NEI Lookups'!$L:$L,'Inputs Yr 2'!$F265,'NEI Lookups'!E:E)+SUMIF('NEI Lookups'!$M:$M,'Inputs Yr 2'!$F265,'NEI Lookups'!E:E)+SUMIF('NEI Lookups'!$N:$N,'Inputs Yr 2'!$F265,'NEI Lookups'!E:E)+SUMIF('NEI Lookups'!$O:$O,'Inputs Yr 2'!$F265,'NEI Lookups'!E:E)+SUMIF('NEI Lookups'!$P:$P,'Inputs Yr 2'!$F265,'NEI Lookups'!E:E)+SUMIF('NEI Lookups'!$Q:$Q,'Inputs Yr 2'!$F265,'NEI Lookups'!E:E)+SUMIF('NEI Lookups'!$R:$R,'Inputs Yr 2'!$F265,'NEI Lookups'!E:E)+SUMIF('NEI Lookups'!$S:$S,'Inputs Yr 2'!$F265,'NEI Lookups'!E:E)+SUMIF('NEI Lookups'!$T:$T,'Inputs Yr 2'!$F265,'NEI Lookups'!E:E)</f>
        <v>0</v>
      </c>
      <c r="AT265" s="299">
        <f>SUMIF('NEI Lookups'!$L:$L,'Inputs Yr 2'!$F265,'NEI Lookups'!F:F)+SUMIF('NEI Lookups'!$M:$M,'Inputs Yr 2'!$F265,'NEI Lookups'!F:F)+SUMIF('NEI Lookups'!$N:$N,'Inputs Yr 2'!$F265,'NEI Lookups'!F:F)+SUMIF('NEI Lookups'!$O:$O,'Inputs Yr 2'!$F265,'NEI Lookups'!F:F)+SUMIF('NEI Lookups'!$P:$P,'Inputs Yr 2'!$F265,'NEI Lookups'!F:F)+SUMIF('NEI Lookups'!$Q:$Q,'Inputs Yr 2'!$F265,'NEI Lookups'!F:F)+SUMIF('NEI Lookups'!$R:$R,'Inputs Yr 2'!$F265,'NEI Lookups'!F:F)+SUMIF('NEI Lookups'!$S:$S,'Inputs Yr 2'!$F265,'NEI Lookups'!F:F)+SUMIF('NEI Lookups'!$T:$T,'Inputs Yr 2'!$F265,'NEI Lookups'!F:F)</f>
        <v>0</v>
      </c>
      <c r="AU265" s="299">
        <f>SUMIF('NEI Lookups'!$L:$L,'Inputs Yr 2'!$F265,'NEI Lookups'!G:G)+SUMIF('NEI Lookups'!$M:$M,'Inputs Yr 2'!$F265,'NEI Lookups'!G:G)+SUMIF('NEI Lookups'!$N:$N,'Inputs Yr 2'!$F265,'NEI Lookups'!G:G)+SUMIF('NEI Lookups'!$O:$O,'Inputs Yr 2'!$F265,'NEI Lookups'!G:G)+SUMIF('NEI Lookups'!$P:$P,'Inputs Yr 2'!$F265,'NEI Lookups'!G:G)+SUMIF('NEI Lookups'!$Q:$Q,'Inputs Yr 2'!$F265,'NEI Lookups'!G:G)+SUMIF('NEI Lookups'!$R:$R,'Inputs Yr 2'!$F265,'NEI Lookups'!G:G)+SUMIF('NEI Lookups'!$S:$S,'Inputs Yr 2'!$F265,'NEI Lookups'!G:G)+SUMIF('NEI Lookups'!$T:$T,'Inputs Yr 2'!$F265,'NEI Lookups'!G:G)</f>
        <v>0</v>
      </c>
      <c r="AV265" s="299">
        <f>SUMIF('NEI Lookups'!$L:$L,'Inputs Yr 2'!$F265,'NEI Lookups'!H:H)+SUMIF('NEI Lookups'!$M:$M,'Inputs Yr 2'!$F265,'NEI Lookups'!H:H)+SUMIF('NEI Lookups'!$N:$N,'Inputs Yr 2'!$F265,'NEI Lookups'!H:H)+SUMIF('NEI Lookups'!$O:$O,'Inputs Yr 2'!$F265,'NEI Lookups'!H:H)+SUMIF('NEI Lookups'!$P:$P,'Inputs Yr 2'!$F265,'NEI Lookups'!H:H)+SUMIF('NEI Lookups'!$Q:$Q,'Inputs Yr 2'!$F265,'NEI Lookups'!H:H)+SUMIF('NEI Lookups'!$R:$R,'Inputs Yr 2'!$F265,'NEI Lookups'!H:H)+SUMIF('NEI Lookups'!$S:$S,'Inputs Yr 2'!$F265,'NEI Lookups'!H:H)+SUMIF('NEI Lookups'!$T:$T,'Inputs Yr 2'!$F265,'NEI Lookups'!H:H)</f>
        <v>0</v>
      </c>
      <c r="AW265" s="299">
        <f>SUMIF('NEI Lookups'!$L:$L,'Inputs Yr 2'!$F265,'NEI Lookups'!I:I)+SUMIF('NEI Lookups'!$M:$M,'Inputs Yr 2'!$F265,'NEI Lookups'!I:I)+SUMIF('NEI Lookups'!$N:$N,'Inputs Yr 2'!$F265,'NEI Lookups'!I:I)+SUMIF('NEI Lookups'!$O:$O,'Inputs Yr 2'!$F265,'NEI Lookups'!I:I)+SUMIF('NEI Lookups'!$P:$P,'Inputs Yr 2'!$F265,'NEI Lookups'!I:I)+SUMIF('NEI Lookups'!$Q:$Q,'Inputs Yr 2'!$F265,'NEI Lookups'!I:I)+SUMIF('NEI Lookups'!$R:$R,'Inputs Yr 2'!$F265,'NEI Lookups'!I:I)+SUMIF('NEI Lookups'!$S:$S,'Inputs Yr 2'!$F265,'NEI Lookups'!I:I)+SUMIF('NEI Lookups'!$T:$T,'Inputs Yr 2'!$F265,'NEI Lookups'!I:I)</f>
        <v>0.25</v>
      </c>
      <c r="AX265" s="299">
        <f>SUMIF('NEI Lookups'!$L:$L,'Inputs Yr 2'!$F265,'NEI Lookups'!J:J)+SUMIF('NEI Lookups'!$M:$M,'Inputs Yr 2'!$F265,'NEI Lookups'!J:J)+SUMIF('NEI Lookups'!$N:$N,'Inputs Yr 2'!$F265,'NEI Lookups'!J:J)+SUMIF('NEI Lookups'!$O:$O,'Inputs Yr 2'!$F265,'NEI Lookups'!J:J)+SUMIF('NEI Lookups'!$P:$P,'Inputs Yr 2'!$F265,'NEI Lookups'!J:J)+SUMIF('NEI Lookups'!$Q:$Q,'Inputs Yr 2'!$F265,'NEI Lookups'!J:J)+SUMIF('NEI Lookups'!$R:$R,'Inputs Yr 2'!$F265,'NEI Lookups'!J:J)+SUMIF('NEI Lookups'!$S:$S,'Inputs Yr 2'!$F265,'NEI Lookups'!J:J)+SUMIF('NEI Lookups'!$T:$T,'Inputs Yr 2'!$F265,'NEI Lookups'!J:J)</f>
        <v>0</v>
      </c>
      <c r="AY265" s="930">
        <f>'Calculations Yr 2'!CP265/'Calculations Yr 2'!I265</f>
        <v>8.6283900545568137</v>
      </c>
    </row>
    <row r="266" spans="1:51" s="133" customFormat="1" ht="12.75" customHeight="1">
      <c r="A266" s="145" t="s">
        <v>83</v>
      </c>
      <c r="B266" s="132" t="s">
        <v>870</v>
      </c>
      <c r="C266" s="132" t="s">
        <v>841</v>
      </c>
      <c r="D266" s="902"/>
      <c r="E266" s="656" t="s">
        <v>1514</v>
      </c>
      <c r="F266" s="150" t="s">
        <v>1135</v>
      </c>
      <c r="G266" s="145" t="s">
        <v>1244</v>
      </c>
      <c r="H266" s="165">
        <v>1</v>
      </c>
      <c r="I266" s="237">
        <v>16</v>
      </c>
      <c r="J266" s="971">
        <v>8349</v>
      </c>
      <c r="K266" s="871">
        <v>4174.5</v>
      </c>
      <c r="L266" s="888">
        <f t="shared" si="107"/>
        <v>4174.5</v>
      </c>
      <c r="M266" s="978">
        <v>0.11</v>
      </c>
      <c r="N266" s="978">
        <v>2.6000000000000002E-2</v>
      </c>
      <c r="O266" s="978">
        <v>3.0000000000000001E-3</v>
      </c>
      <c r="P266" s="889">
        <f t="shared" si="108"/>
        <v>0.91900000000000004</v>
      </c>
      <c r="Q266" s="978">
        <v>1</v>
      </c>
      <c r="R266" s="178">
        <v>1</v>
      </c>
      <c r="S266" s="178">
        <v>1</v>
      </c>
      <c r="T266" s="178">
        <v>1</v>
      </c>
      <c r="U266" s="978">
        <v>0.77900000000000003</v>
      </c>
      <c r="V266" s="978">
        <v>1</v>
      </c>
      <c r="W266" s="179"/>
      <c r="X266" s="937" t="s">
        <v>653</v>
      </c>
      <c r="Y266" s="299">
        <f>IFERROR(VLOOKUP($X266,'Demand Lookups'!$A$5:$K$101,9,0), 0)</f>
        <v>0</v>
      </c>
      <c r="Z266" s="922" t="str">
        <f>IFERROR(VLOOKUP(X266,'Demand Lookups'!$A$5:$B$101,2,0),0)</f>
        <v>Non-Electric Measures</v>
      </c>
      <c r="AA266" s="722">
        <f>IF(ISNA(VLOOKUP($X266,'Demand Lookups'!$A$5:$K$81,3,0)),0,VLOOKUP($X266,'Demand Lookups'!$A$5:$K$81,3,0))</f>
        <v>0</v>
      </c>
      <c r="AB266" s="722">
        <f>IF(ISNA(VLOOKUP($X266,'Demand Lookups'!$A$5:$K$81,4,0)),0,VLOOKUP($X266,'Demand Lookups'!$A$5:$K$81,4,0))</f>
        <v>0</v>
      </c>
      <c r="AC266" s="722">
        <f>IF(ISNA(VLOOKUP($X266,'Demand Lookups'!$A$5:$K$81,5,0)),0,VLOOKUP($X266,'Demand Lookups'!$A$5:$K$81,5,0))</f>
        <v>0</v>
      </c>
      <c r="AD266" s="723">
        <f>IF(ISNA(VLOOKUP($X266,'Demand Lookups'!$A$5:$K$81,6,0)),0,VLOOKUP($X266,'Demand Lookups'!$A$5:$K$81,6,0))</f>
        <v>0</v>
      </c>
      <c r="AE266" s="724">
        <f t="shared" si="109"/>
        <v>0</v>
      </c>
      <c r="AF266" s="723">
        <f>ROUND(IF(ISNA(VLOOKUP($X266,'Demand Lookups'!$A$5:$K$82,10,0)),0,(VLOOKUP($X266,'Demand Lookups'!$A$5:$K$82,10,0))),2)</f>
        <v>0</v>
      </c>
      <c r="AG266" s="723">
        <f>ROUND(IF(ISNA(VLOOKUP($X266,'Demand Lookups'!$A$5:$K$82,11,0)),0,VLOOKUP($X266,'Demand Lookups'!$A$5:$K$82,11,0)),2)</f>
        <v>0</v>
      </c>
      <c r="AH266" s="648">
        <f t="shared" si="110"/>
        <v>0</v>
      </c>
      <c r="AI266" s="648">
        <f t="shared" si="111"/>
        <v>0</v>
      </c>
      <c r="AJ266" s="167" t="s">
        <v>200</v>
      </c>
      <c r="AK266" s="168">
        <v>278.3</v>
      </c>
      <c r="AL266" s="167"/>
      <c r="AM266" s="168"/>
      <c r="AN266" s="167"/>
      <c r="AO266" s="168"/>
      <c r="AP266" s="167"/>
      <c r="AQ266" s="171"/>
      <c r="AR266" s="171"/>
      <c r="AS266" s="299">
        <f>SUMIF('NEI Lookups'!$L:$L,'Inputs Yr 2'!$F266,'NEI Lookups'!E:E)+SUMIF('NEI Lookups'!$M:$M,'Inputs Yr 2'!$F266,'NEI Lookups'!E:E)+SUMIF('NEI Lookups'!$N:$N,'Inputs Yr 2'!$F266,'NEI Lookups'!E:E)+SUMIF('NEI Lookups'!$O:$O,'Inputs Yr 2'!$F266,'NEI Lookups'!E:E)+SUMIF('NEI Lookups'!$P:$P,'Inputs Yr 2'!$F266,'NEI Lookups'!E:E)+SUMIF('NEI Lookups'!$Q:$Q,'Inputs Yr 2'!$F266,'NEI Lookups'!E:E)+SUMIF('NEI Lookups'!$R:$R,'Inputs Yr 2'!$F266,'NEI Lookups'!E:E)+SUMIF('NEI Lookups'!$S:$S,'Inputs Yr 2'!$F266,'NEI Lookups'!E:E)+SUMIF('NEI Lookups'!$T:$T,'Inputs Yr 2'!$F266,'NEI Lookups'!E:E)</f>
        <v>0</v>
      </c>
      <c r="AT266" s="299">
        <f>SUMIF('NEI Lookups'!$L:$L,'Inputs Yr 2'!$F266,'NEI Lookups'!F:F)+SUMIF('NEI Lookups'!$M:$M,'Inputs Yr 2'!$F266,'NEI Lookups'!F:F)+SUMIF('NEI Lookups'!$N:$N,'Inputs Yr 2'!$F266,'NEI Lookups'!F:F)+SUMIF('NEI Lookups'!$O:$O,'Inputs Yr 2'!$F266,'NEI Lookups'!F:F)+SUMIF('NEI Lookups'!$P:$P,'Inputs Yr 2'!$F266,'NEI Lookups'!F:F)+SUMIF('NEI Lookups'!$Q:$Q,'Inputs Yr 2'!$F266,'NEI Lookups'!F:F)+SUMIF('NEI Lookups'!$R:$R,'Inputs Yr 2'!$F266,'NEI Lookups'!F:F)+SUMIF('NEI Lookups'!$S:$S,'Inputs Yr 2'!$F266,'NEI Lookups'!F:F)+SUMIF('NEI Lookups'!$T:$T,'Inputs Yr 2'!$F266,'NEI Lookups'!F:F)</f>
        <v>0</v>
      </c>
      <c r="AU266" s="299">
        <f>SUMIF('NEI Lookups'!$L:$L,'Inputs Yr 2'!$F266,'NEI Lookups'!G:G)+SUMIF('NEI Lookups'!$M:$M,'Inputs Yr 2'!$F266,'NEI Lookups'!G:G)+SUMIF('NEI Lookups'!$N:$N,'Inputs Yr 2'!$F266,'NEI Lookups'!G:G)+SUMIF('NEI Lookups'!$O:$O,'Inputs Yr 2'!$F266,'NEI Lookups'!G:G)+SUMIF('NEI Lookups'!$P:$P,'Inputs Yr 2'!$F266,'NEI Lookups'!G:G)+SUMIF('NEI Lookups'!$Q:$Q,'Inputs Yr 2'!$F266,'NEI Lookups'!G:G)+SUMIF('NEI Lookups'!$R:$R,'Inputs Yr 2'!$F266,'NEI Lookups'!G:G)+SUMIF('NEI Lookups'!$S:$S,'Inputs Yr 2'!$F266,'NEI Lookups'!G:G)+SUMIF('NEI Lookups'!$T:$T,'Inputs Yr 2'!$F266,'NEI Lookups'!G:G)</f>
        <v>0</v>
      </c>
      <c r="AV266" s="299">
        <f>SUMIF('NEI Lookups'!$L:$L,'Inputs Yr 2'!$F266,'NEI Lookups'!H:H)+SUMIF('NEI Lookups'!$M:$M,'Inputs Yr 2'!$F266,'NEI Lookups'!H:H)+SUMIF('NEI Lookups'!$N:$N,'Inputs Yr 2'!$F266,'NEI Lookups'!H:H)+SUMIF('NEI Lookups'!$O:$O,'Inputs Yr 2'!$F266,'NEI Lookups'!H:H)+SUMIF('NEI Lookups'!$P:$P,'Inputs Yr 2'!$F266,'NEI Lookups'!H:H)+SUMIF('NEI Lookups'!$Q:$Q,'Inputs Yr 2'!$F266,'NEI Lookups'!H:H)+SUMIF('NEI Lookups'!$R:$R,'Inputs Yr 2'!$F266,'NEI Lookups'!H:H)+SUMIF('NEI Lookups'!$S:$S,'Inputs Yr 2'!$F266,'NEI Lookups'!H:H)+SUMIF('NEI Lookups'!$T:$T,'Inputs Yr 2'!$F266,'NEI Lookups'!H:H)</f>
        <v>0</v>
      </c>
      <c r="AW266" s="299">
        <f>SUMIF('NEI Lookups'!$L:$L,'Inputs Yr 2'!$F266,'NEI Lookups'!I:I)+SUMIF('NEI Lookups'!$M:$M,'Inputs Yr 2'!$F266,'NEI Lookups'!I:I)+SUMIF('NEI Lookups'!$N:$N,'Inputs Yr 2'!$F266,'NEI Lookups'!I:I)+SUMIF('NEI Lookups'!$O:$O,'Inputs Yr 2'!$F266,'NEI Lookups'!I:I)+SUMIF('NEI Lookups'!$P:$P,'Inputs Yr 2'!$F266,'NEI Lookups'!I:I)+SUMIF('NEI Lookups'!$Q:$Q,'Inputs Yr 2'!$F266,'NEI Lookups'!I:I)+SUMIF('NEI Lookups'!$R:$R,'Inputs Yr 2'!$F266,'NEI Lookups'!I:I)+SUMIF('NEI Lookups'!$S:$S,'Inputs Yr 2'!$F266,'NEI Lookups'!I:I)+SUMIF('NEI Lookups'!$T:$T,'Inputs Yr 2'!$F266,'NEI Lookups'!I:I)</f>
        <v>0.25</v>
      </c>
      <c r="AX266" s="299">
        <f>SUMIF('NEI Lookups'!$L:$L,'Inputs Yr 2'!$F266,'NEI Lookups'!J:J)+SUMIF('NEI Lookups'!$M:$M,'Inputs Yr 2'!$F266,'NEI Lookups'!J:J)+SUMIF('NEI Lookups'!$N:$N,'Inputs Yr 2'!$F266,'NEI Lookups'!J:J)+SUMIF('NEI Lookups'!$O:$O,'Inputs Yr 2'!$F266,'NEI Lookups'!J:J)+SUMIF('NEI Lookups'!$P:$P,'Inputs Yr 2'!$F266,'NEI Lookups'!J:J)+SUMIF('NEI Lookups'!$Q:$Q,'Inputs Yr 2'!$F266,'NEI Lookups'!J:J)+SUMIF('NEI Lookups'!$R:$R,'Inputs Yr 2'!$F266,'NEI Lookups'!J:J)+SUMIF('NEI Lookups'!$S:$S,'Inputs Yr 2'!$F266,'NEI Lookups'!J:J)+SUMIF('NEI Lookups'!$T:$T,'Inputs Yr 2'!$F266,'NEI Lookups'!J:J)</f>
        <v>0</v>
      </c>
      <c r="AY266" s="930">
        <f>'Calculations Yr 2'!CP266/'Calculations Yr 2'!I266</f>
        <v>4.4223182518350033</v>
      </c>
    </row>
    <row r="267" spans="1:51" s="133" customFormat="1" ht="12.75" customHeight="1">
      <c r="A267" s="145" t="s">
        <v>83</v>
      </c>
      <c r="B267" s="132" t="s">
        <v>870</v>
      </c>
      <c r="C267" s="132" t="s">
        <v>841</v>
      </c>
      <c r="D267" s="902"/>
      <c r="E267" s="656" t="s">
        <v>1378</v>
      </c>
      <c r="F267" s="150" t="s">
        <v>1135</v>
      </c>
      <c r="G267" s="145" t="s">
        <v>1244</v>
      </c>
      <c r="H267" s="165">
        <v>1</v>
      </c>
      <c r="I267" s="237">
        <v>18</v>
      </c>
      <c r="J267" s="971">
        <v>36548</v>
      </c>
      <c r="K267" s="871">
        <v>18274</v>
      </c>
      <c r="L267" s="888">
        <f t="shared" si="107"/>
        <v>18274</v>
      </c>
      <c r="M267" s="978">
        <v>0.11</v>
      </c>
      <c r="N267" s="978">
        <v>2.6000000000000002E-2</v>
      </c>
      <c r="O267" s="978">
        <v>3.0000000000000001E-3</v>
      </c>
      <c r="P267" s="889">
        <f t="shared" si="108"/>
        <v>0.91900000000000004</v>
      </c>
      <c r="Q267" s="978">
        <v>1</v>
      </c>
      <c r="R267" s="178">
        <v>1</v>
      </c>
      <c r="S267" s="178">
        <v>1</v>
      </c>
      <c r="T267" s="178">
        <v>1</v>
      </c>
      <c r="U267" s="978">
        <v>0.77900000000000003</v>
      </c>
      <c r="V267" s="978">
        <v>1</v>
      </c>
      <c r="W267" s="179"/>
      <c r="X267" s="937" t="s">
        <v>653</v>
      </c>
      <c r="Y267" s="299">
        <f>IFERROR(VLOOKUP($X267,'Demand Lookups'!$A$5:$K$101,9,0), 0)</f>
        <v>0</v>
      </c>
      <c r="Z267" s="922" t="str">
        <f>IFERROR(VLOOKUP(X267,'Demand Lookups'!$A$5:$B$101,2,0),0)</f>
        <v>Non-Electric Measures</v>
      </c>
      <c r="AA267" s="722">
        <f>IF(ISNA(VLOOKUP($X267,'Demand Lookups'!$A$5:$K$81,3,0)),0,VLOOKUP($X267,'Demand Lookups'!$A$5:$K$81,3,0))</f>
        <v>0</v>
      </c>
      <c r="AB267" s="722">
        <f>IF(ISNA(VLOOKUP($X267,'Demand Lookups'!$A$5:$K$81,4,0)),0,VLOOKUP($X267,'Demand Lookups'!$A$5:$K$81,4,0))</f>
        <v>0</v>
      </c>
      <c r="AC267" s="722">
        <f>IF(ISNA(VLOOKUP($X267,'Demand Lookups'!$A$5:$K$81,5,0)),0,VLOOKUP($X267,'Demand Lookups'!$A$5:$K$81,5,0))</f>
        <v>0</v>
      </c>
      <c r="AD267" s="723">
        <f>IF(ISNA(VLOOKUP($X267,'Demand Lookups'!$A$5:$K$81,6,0)),0,VLOOKUP($X267,'Demand Lookups'!$A$5:$K$81,6,0))</f>
        <v>0</v>
      </c>
      <c r="AE267" s="724">
        <f t="shared" si="109"/>
        <v>0</v>
      </c>
      <c r="AF267" s="723">
        <f>ROUND(IF(ISNA(VLOOKUP($X267,'Demand Lookups'!$A$5:$K$82,10,0)),0,(VLOOKUP($X267,'Demand Lookups'!$A$5:$K$82,10,0))),2)</f>
        <v>0</v>
      </c>
      <c r="AG267" s="723">
        <f>ROUND(IF(ISNA(VLOOKUP($X267,'Demand Lookups'!$A$5:$K$82,11,0)),0,VLOOKUP($X267,'Demand Lookups'!$A$5:$K$82,11,0)),2)</f>
        <v>0</v>
      </c>
      <c r="AH267" s="648">
        <f t="shared" si="110"/>
        <v>0</v>
      </c>
      <c r="AI267" s="648">
        <f t="shared" si="111"/>
        <v>0</v>
      </c>
      <c r="AJ267" s="167" t="s">
        <v>200</v>
      </c>
      <c r="AK267" s="168">
        <v>730.9</v>
      </c>
      <c r="AL267" s="167"/>
      <c r="AM267" s="168"/>
      <c r="AN267" s="167"/>
      <c r="AO267" s="168"/>
      <c r="AP267" s="167"/>
      <c r="AQ267" s="171"/>
      <c r="AR267" s="171"/>
      <c r="AS267" s="299">
        <f>SUMIF('NEI Lookups'!$L:$L,'Inputs Yr 2'!$F267,'NEI Lookups'!E:E)+SUMIF('NEI Lookups'!$M:$M,'Inputs Yr 2'!$F267,'NEI Lookups'!E:E)+SUMIF('NEI Lookups'!$N:$N,'Inputs Yr 2'!$F267,'NEI Lookups'!E:E)+SUMIF('NEI Lookups'!$O:$O,'Inputs Yr 2'!$F267,'NEI Lookups'!E:E)+SUMIF('NEI Lookups'!$P:$P,'Inputs Yr 2'!$F267,'NEI Lookups'!E:E)+SUMIF('NEI Lookups'!$Q:$Q,'Inputs Yr 2'!$F267,'NEI Lookups'!E:E)+SUMIF('NEI Lookups'!$R:$R,'Inputs Yr 2'!$F267,'NEI Lookups'!E:E)+SUMIF('NEI Lookups'!$S:$S,'Inputs Yr 2'!$F267,'NEI Lookups'!E:E)+SUMIF('NEI Lookups'!$T:$T,'Inputs Yr 2'!$F267,'NEI Lookups'!E:E)</f>
        <v>0</v>
      </c>
      <c r="AT267" s="299">
        <f>SUMIF('NEI Lookups'!$L:$L,'Inputs Yr 2'!$F267,'NEI Lookups'!F:F)+SUMIF('NEI Lookups'!$M:$M,'Inputs Yr 2'!$F267,'NEI Lookups'!F:F)+SUMIF('NEI Lookups'!$N:$N,'Inputs Yr 2'!$F267,'NEI Lookups'!F:F)+SUMIF('NEI Lookups'!$O:$O,'Inputs Yr 2'!$F267,'NEI Lookups'!F:F)+SUMIF('NEI Lookups'!$P:$P,'Inputs Yr 2'!$F267,'NEI Lookups'!F:F)+SUMIF('NEI Lookups'!$Q:$Q,'Inputs Yr 2'!$F267,'NEI Lookups'!F:F)+SUMIF('NEI Lookups'!$R:$R,'Inputs Yr 2'!$F267,'NEI Lookups'!F:F)+SUMIF('NEI Lookups'!$S:$S,'Inputs Yr 2'!$F267,'NEI Lookups'!F:F)+SUMIF('NEI Lookups'!$T:$T,'Inputs Yr 2'!$F267,'NEI Lookups'!F:F)</f>
        <v>0</v>
      </c>
      <c r="AU267" s="299">
        <f>SUMIF('NEI Lookups'!$L:$L,'Inputs Yr 2'!$F267,'NEI Lookups'!G:G)+SUMIF('NEI Lookups'!$M:$M,'Inputs Yr 2'!$F267,'NEI Lookups'!G:G)+SUMIF('NEI Lookups'!$N:$N,'Inputs Yr 2'!$F267,'NEI Lookups'!G:G)+SUMIF('NEI Lookups'!$O:$O,'Inputs Yr 2'!$F267,'NEI Lookups'!G:G)+SUMIF('NEI Lookups'!$P:$P,'Inputs Yr 2'!$F267,'NEI Lookups'!G:G)+SUMIF('NEI Lookups'!$Q:$Q,'Inputs Yr 2'!$F267,'NEI Lookups'!G:G)+SUMIF('NEI Lookups'!$R:$R,'Inputs Yr 2'!$F267,'NEI Lookups'!G:G)+SUMIF('NEI Lookups'!$S:$S,'Inputs Yr 2'!$F267,'NEI Lookups'!G:G)+SUMIF('NEI Lookups'!$T:$T,'Inputs Yr 2'!$F267,'NEI Lookups'!G:G)</f>
        <v>0</v>
      </c>
      <c r="AV267" s="299">
        <f>SUMIF('NEI Lookups'!$L:$L,'Inputs Yr 2'!$F267,'NEI Lookups'!H:H)+SUMIF('NEI Lookups'!$M:$M,'Inputs Yr 2'!$F267,'NEI Lookups'!H:H)+SUMIF('NEI Lookups'!$N:$N,'Inputs Yr 2'!$F267,'NEI Lookups'!H:H)+SUMIF('NEI Lookups'!$O:$O,'Inputs Yr 2'!$F267,'NEI Lookups'!H:H)+SUMIF('NEI Lookups'!$P:$P,'Inputs Yr 2'!$F267,'NEI Lookups'!H:H)+SUMIF('NEI Lookups'!$Q:$Q,'Inputs Yr 2'!$F267,'NEI Lookups'!H:H)+SUMIF('NEI Lookups'!$R:$R,'Inputs Yr 2'!$F267,'NEI Lookups'!H:H)+SUMIF('NEI Lookups'!$S:$S,'Inputs Yr 2'!$F267,'NEI Lookups'!H:H)+SUMIF('NEI Lookups'!$T:$T,'Inputs Yr 2'!$F267,'NEI Lookups'!H:H)</f>
        <v>0</v>
      </c>
      <c r="AW267" s="299">
        <f>SUMIF('NEI Lookups'!$L:$L,'Inputs Yr 2'!$F267,'NEI Lookups'!I:I)+SUMIF('NEI Lookups'!$M:$M,'Inputs Yr 2'!$F267,'NEI Lookups'!I:I)+SUMIF('NEI Lookups'!$N:$N,'Inputs Yr 2'!$F267,'NEI Lookups'!I:I)+SUMIF('NEI Lookups'!$O:$O,'Inputs Yr 2'!$F267,'NEI Lookups'!I:I)+SUMIF('NEI Lookups'!$P:$P,'Inputs Yr 2'!$F267,'NEI Lookups'!I:I)+SUMIF('NEI Lookups'!$Q:$Q,'Inputs Yr 2'!$F267,'NEI Lookups'!I:I)+SUMIF('NEI Lookups'!$R:$R,'Inputs Yr 2'!$F267,'NEI Lookups'!I:I)+SUMIF('NEI Lookups'!$S:$S,'Inputs Yr 2'!$F267,'NEI Lookups'!I:I)+SUMIF('NEI Lookups'!$T:$T,'Inputs Yr 2'!$F267,'NEI Lookups'!I:I)</f>
        <v>0.25</v>
      </c>
      <c r="AX267" s="299">
        <f>SUMIF('NEI Lookups'!$L:$L,'Inputs Yr 2'!$F267,'NEI Lookups'!J:J)+SUMIF('NEI Lookups'!$M:$M,'Inputs Yr 2'!$F267,'NEI Lookups'!J:J)+SUMIF('NEI Lookups'!$N:$N,'Inputs Yr 2'!$F267,'NEI Lookups'!J:J)+SUMIF('NEI Lookups'!$O:$O,'Inputs Yr 2'!$F267,'NEI Lookups'!J:J)+SUMIF('NEI Lookups'!$P:$P,'Inputs Yr 2'!$F267,'NEI Lookups'!J:J)+SUMIF('NEI Lookups'!$Q:$Q,'Inputs Yr 2'!$F267,'NEI Lookups'!J:J)+SUMIF('NEI Lookups'!$R:$R,'Inputs Yr 2'!$F267,'NEI Lookups'!J:J)+SUMIF('NEI Lookups'!$S:$S,'Inputs Yr 2'!$F267,'NEI Lookups'!J:J)+SUMIF('NEI Lookups'!$T:$T,'Inputs Yr 2'!$F267,'NEI Lookups'!J:J)</f>
        <v>0</v>
      </c>
      <c r="AY267" s="930">
        <f>'Calculations Yr 2'!CP267/'Calculations Yr 2'!I267</f>
        <v>2.9967334513824588</v>
      </c>
    </row>
    <row r="268" spans="1:51" s="133" customFormat="1" ht="12.75" customHeight="1">
      <c r="A268" s="145" t="s">
        <v>83</v>
      </c>
      <c r="B268" s="132" t="s">
        <v>870</v>
      </c>
      <c r="C268" s="132" t="s">
        <v>841</v>
      </c>
      <c r="D268" s="98"/>
      <c r="E268" s="870" t="s">
        <v>1379</v>
      </c>
      <c r="F268" s="150" t="s">
        <v>1135</v>
      </c>
      <c r="G268" s="145" t="s">
        <v>1244</v>
      </c>
      <c r="H268" s="165">
        <v>1</v>
      </c>
      <c r="I268" s="968">
        <v>25</v>
      </c>
      <c r="J268" s="964">
        <v>45620</v>
      </c>
      <c r="K268" s="166">
        <v>22810</v>
      </c>
      <c r="L268" s="888">
        <f t="shared" si="107"/>
        <v>22810</v>
      </c>
      <c r="M268" s="978">
        <v>0.11</v>
      </c>
      <c r="N268" s="978">
        <v>2.6000000000000002E-2</v>
      </c>
      <c r="O268" s="978">
        <v>3.0000000000000001E-3</v>
      </c>
      <c r="P268" s="889">
        <f t="shared" si="108"/>
        <v>0.91900000000000004</v>
      </c>
      <c r="Q268" s="978">
        <v>1</v>
      </c>
      <c r="R268" s="178">
        <v>1</v>
      </c>
      <c r="S268" s="178">
        <v>1</v>
      </c>
      <c r="T268" s="178">
        <v>1</v>
      </c>
      <c r="U268" s="978">
        <v>0.77900000000000003</v>
      </c>
      <c r="V268" s="978">
        <v>1</v>
      </c>
      <c r="W268" s="179"/>
      <c r="X268" s="937" t="s">
        <v>653</v>
      </c>
      <c r="Y268" s="299">
        <f>IFERROR(VLOOKUP($X268,'Demand Lookups'!$A$5:$K$101,9,0), 0)</f>
        <v>0</v>
      </c>
      <c r="Z268" s="922" t="str">
        <f>IFERROR(VLOOKUP(X268,'Demand Lookups'!$A$5:$B$101,2,0),0)</f>
        <v>Non-Electric Measures</v>
      </c>
      <c r="AA268" s="722">
        <f>IF(ISNA(VLOOKUP($X268,'Demand Lookups'!$A$5:$K$81,3,0)),0,VLOOKUP($X268,'Demand Lookups'!$A$5:$K$81,3,0))</f>
        <v>0</v>
      </c>
      <c r="AB268" s="722">
        <f>IF(ISNA(VLOOKUP($X268,'Demand Lookups'!$A$5:$K$81,4,0)),0,VLOOKUP($X268,'Demand Lookups'!$A$5:$K$81,4,0))</f>
        <v>0</v>
      </c>
      <c r="AC268" s="722">
        <f>IF(ISNA(VLOOKUP($X268,'Demand Lookups'!$A$5:$K$81,5,0)),0,VLOOKUP($X268,'Demand Lookups'!$A$5:$K$81,5,0))</f>
        <v>0</v>
      </c>
      <c r="AD268" s="723">
        <f>IF(ISNA(VLOOKUP($X268,'Demand Lookups'!$A$5:$K$81,6,0)),0,VLOOKUP($X268,'Demand Lookups'!$A$5:$K$81,6,0))</f>
        <v>0</v>
      </c>
      <c r="AE268" s="724">
        <f t="shared" si="109"/>
        <v>0</v>
      </c>
      <c r="AF268" s="723">
        <f>ROUND(IF(ISNA(VLOOKUP($X268,'Demand Lookups'!$A$5:$K$82,10,0)),0,(VLOOKUP($X268,'Demand Lookups'!$A$5:$K$82,10,0))),2)</f>
        <v>0</v>
      </c>
      <c r="AG268" s="723">
        <f>ROUND(IF(ISNA(VLOOKUP($X268,'Demand Lookups'!$A$5:$K$82,11,0)),0,VLOOKUP($X268,'Demand Lookups'!$A$5:$K$82,11,0)),2)</f>
        <v>0</v>
      </c>
      <c r="AH268" s="648">
        <f t="shared" si="110"/>
        <v>0</v>
      </c>
      <c r="AI268" s="648">
        <f t="shared" si="111"/>
        <v>0</v>
      </c>
      <c r="AJ268" s="167" t="s">
        <v>200</v>
      </c>
      <c r="AK268" s="168">
        <v>5568.3</v>
      </c>
      <c r="AL268" s="167"/>
      <c r="AM268" s="168"/>
      <c r="AN268" s="167"/>
      <c r="AO268" s="168"/>
      <c r="AP268" s="167"/>
      <c r="AQ268" s="171"/>
      <c r="AR268" s="171"/>
      <c r="AS268" s="299">
        <f>SUMIF('NEI Lookups'!$L:$L,'Inputs Yr 2'!$F268,'NEI Lookups'!E:E)+SUMIF('NEI Lookups'!$M:$M,'Inputs Yr 2'!$F268,'NEI Lookups'!E:E)+SUMIF('NEI Lookups'!$N:$N,'Inputs Yr 2'!$F268,'NEI Lookups'!E:E)+SUMIF('NEI Lookups'!$O:$O,'Inputs Yr 2'!$F268,'NEI Lookups'!E:E)+SUMIF('NEI Lookups'!$P:$P,'Inputs Yr 2'!$F268,'NEI Lookups'!E:E)+SUMIF('NEI Lookups'!$Q:$Q,'Inputs Yr 2'!$F268,'NEI Lookups'!E:E)+SUMIF('NEI Lookups'!$R:$R,'Inputs Yr 2'!$F268,'NEI Lookups'!E:E)+SUMIF('NEI Lookups'!$S:$S,'Inputs Yr 2'!$F268,'NEI Lookups'!E:E)+SUMIF('NEI Lookups'!$T:$T,'Inputs Yr 2'!$F268,'NEI Lookups'!E:E)</f>
        <v>0</v>
      </c>
      <c r="AT268" s="299">
        <f>SUMIF('NEI Lookups'!$L:$L,'Inputs Yr 2'!$F268,'NEI Lookups'!F:F)+SUMIF('NEI Lookups'!$M:$M,'Inputs Yr 2'!$F268,'NEI Lookups'!F:F)+SUMIF('NEI Lookups'!$N:$N,'Inputs Yr 2'!$F268,'NEI Lookups'!F:F)+SUMIF('NEI Lookups'!$O:$O,'Inputs Yr 2'!$F268,'NEI Lookups'!F:F)+SUMIF('NEI Lookups'!$P:$P,'Inputs Yr 2'!$F268,'NEI Lookups'!F:F)+SUMIF('NEI Lookups'!$Q:$Q,'Inputs Yr 2'!$F268,'NEI Lookups'!F:F)+SUMIF('NEI Lookups'!$R:$R,'Inputs Yr 2'!$F268,'NEI Lookups'!F:F)+SUMIF('NEI Lookups'!$S:$S,'Inputs Yr 2'!$F268,'NEI Lookups'!F:F)+SUMIF('NEI Lookups'!$T:$T,'Inputs Yr 2'!$F268,'NEI Lookups'!F:F)</f>
        <v>0</v>
      </c>
      <c r="AU268" s="299">
        <f>SUMIF('NEI Lookups'!$L:$L,'Inputs Yr 2'!$F268,'NEI Lookups'!G:G)+SUMIF('NEI Lookups'!$M:$M,'Inputs Yr 2'!$F268,'NEI Lookups'!G:G)+SUMIF('NEI Lookups'!$N:$N,'Inputs Yr 2'!$F268,'NEI Lookups'!G:G)+SUMIF('NEI Lookups'!$O:$O,'Inputs Yr 2'!$F268,'NEI Lookups'!G:G)+SUMIF('NEI Lookups'!$P:$P,'Inputs Yr 2'!$F268,'NEI Lookups'!G:G)+SUMIF('NEI Lookups'!$Q:$Q,'Inputs Yr 2'!$F268,'NEI Lookups'!G:G)+SUMIF('NEI Lookups'!$R:$R,'Inputs Yr 2'!$F268,'NEI Lookups'!G:G)+SUMIF('NEI Lookups'!$S:$S,'Inputs Yr 2'!$F268,'NEI Lookups'!G:G)+SUMIF('NEI Lookups'!$T:$T,'Inputs Yr 2'!$F268,'NEI Lookups'!G:G)</f>
        <v>0</v>
      </c>
      <c r="AV268" s="299">
        <f>SUMIF('NEI Lookups'!$L:$L,'Inputs Yr 2'!$F268,'NEI Lookups'!H:H)+SUMIF('NEI Lookups'!$M:$M,'Inputs Yr 2'!$F268,'NEI Lookups'!H:H)+SUMIF('NEI Lookups'!$N:$N,'Inputs Yr 2'!$F268,'NEI Lookups'!H:H)+SUMIF('NEI Lookups'!$O:$O,'Inputs Yr 2'!$F268,'NEI Lookups'!H:H)+SUMIF('NEI Lookups'!$P:$P,'Inputs Yr 2'!$F268,'NEI Lookups'!H:H)+SUMIF('NEI Lookups'!$Q:$Q,'Inputs Yr 2'!$F268,'NEI Lookups'!H:H)+SUMIF('NEI Lookups'!$R:$R,'Inputs Yr 2'!$F268,'NEI Lookups'!H:H)+SUMIF('NEI Lookups'!$S:$S,'Inputs Yr 2'!$F268,'NEI Lookups'!H:H)+SUMIF('NEI Lookups'!$T:$T,'Inputs Yr 2'!$F268,'NEI Lookups'!H:H)</f>
        <v>0</v>
      </c>
      <c r="AW268" s="299">
        <f>SUMIF('NEI Lookups'!$L:$L,'Inputs Yr 2'!$F268,'NEI Lookups'!I:I)+SUMIF('NEI Lookups'!$M:$M,'Inputs Yr 2'!$F268,'NEI Lookups'!I:I)+SUMIF('NEI Lookups'!$N:$N,'Inputs Yr 2'!$F268,'NEI Lookups'!I:I)+SUMIF('NEI Lookups'!$O:$O,'Inputs Yr 2'!$F268,'NEI Lookups'!I:I)+SUMIF('NEI Lookups'!$P:$P,'Inputs Yr 2'!$F268,'NEI Lookups'!I:I)+SUMIF('NEI Lookups'!$Q:$Q,'Inputs Yr 2'!$F268,'NEI Lookups'!I:I)+SUMIF('NEI Lookups'!$R:$R,'Inputs Yr 2'!$F268,'NEI Lookups'!I:I)+SUMIF('NEI Lookups'!$S:$S,'Inputs Yr 2'!$F268,'NEI Lookups'!I:I)+SUMIF('NEI Lookups'!$T:$T,'Inputs Yr 2'!$F268,'NEI Lookups'!I:I)</f>
        <v>0.25</v>
      </c>
      <c r="AX268" s="299">
        <f>SUMIF('NEI Lookups'!$L:$L,'Inputs Yr 2'!$F268,'NEI Lookups'!J:J)+SUMIF('NEI Lookups'!$M:$M,'Inputs Yr 2'!$F268,'NEI Lookups'!J:J)+SUMIF('NEI Lookups'!$N:$N,'Inputs Yr 2'!$F268,'NEI Lookups'!J:J)+SUMIF('NEI Lookups'!$O:$O,'Inputs Yr 2'!$F268,'NEI Lookups'!J:J)+SUMIF('NEI Lookups'!$P:$P,'Inputs Yr 2'!$F268,'NEI Lookups'!J:J)+SUMIF('NEI Lookups'!$Q:$Q,'Inputs Yr 2'!$F268,'NEI Lookups'!J:J)+SUMIF('NEI Lookups'!$R:$R,'Inputs Yr 2'!$F268,'NEI Lookups'!J:J)+SUMIF('NEI Lookups'!$S:$S,'Inputs Yr 2'!$F268,'NEI Lookups'!J:J)+SUMIF('NEI Lookups'!$T:$T,'Inputs Yr 2'!$F268,'NEI Lookups'!J:J)</f>
        <v>0</v>
      </c>
      <c r="AY268" s="930">
        <f>'Calculations Yr 2'!CP268/'Calculations Yr 2'!I268</f>
        <v>25.89860427621295</v>
      </c>
    </row>
    <row r="269" spans="1:51" s="133" customFormat="1" ht="12.75" customHeight="1">
      <c r="A269" s="145" t="s">
        <v>83</v>
      </c>
      <c r="B269" s="132" t="s">
        <v>870</v>
      </c>
      <c r="C269" s="132" t="s">
        <v>841</v>
      </c>
      <c r="D269" s="98"/>
      <c r="E269" s="656" t="s">
        <v>1359</v>
      </c>
      <c r="F269" s="150" t="s">
        <v>1136</v>
      </c>
      <c r="G269" s="145" t="s">
        <v>86</v>
      </c>
      <c r="H269" s="165">
        <v>1</v>
      </c>
      <c r="I269" s="237">
        <v>10</v>
      </c>
      <c r="J269" s="971">
        <v>24083</v>
      </c>
      <c r="K269" s="871">
        <v>12041.5</v>
      </c>
      <c r="L269" s="888">
        <f t="shared" si="107"/>
        <v>12041.5</v>
      </c>
      <c r="M269" s="978">
        <v>0.11</v>
      </c>
      <c r="N269" s="978">
        <v>2.6000000000000002E-2</v>
      </c>
      <c r="O269" s="978">
        <v>3.0000000000000001E-3</v>
      </c>
      <c r="P269" s="889">
        <f t="shared" si="79"/>
        <v>0.91900000000000004</v>
      </c>
      <c r="Q269" s="978">
        <v>1</v>
      </c>
      <c r="R269" s="178">
        <v>1</v>
      </c>
      <c r="S269" s="178">
        <v>1</v>
      </c>
      <c r="T269" s="178">
        <v>1</v>
      </c>
      <c r="U269" s="978">
        <v>0.77900000000000003</v>
      </c>
      <c r="V269" s="978">
        <v>1</v>
      </c>
      <c r="W269" s="179"/>
      <c r="X269" s="937" t="s">
        <v>653</v>
      </c>
      <c r="Y269" s="299">
        <f>IFERROR(VLOOKUP($X269,'Demand Lookups'!$A$5:$K$101,9,0), 0)</f>
        <v>0</v>
      </c>
      <c r="Z269" s="922" t="str">
        <f>IFERROR(VLOOKUP(X269,'Demand Lookups'!$A$5:$B$101,2,0),0)</f>
        <v>Non-Electric Measures</v>
      </c>
      <c r="AA269" s="722">
        <f>IF(ISNA(VLOOKUP($X269,'Demand Lookups'!$A$5:$K$81,3,0)),0,VLOOKUP($X269,'Demand Lookups'!$A$5:$K$81,3,0))</f>
        <v>0</v>
      </c>
      <c r="AB269" s="722">
        <f>IF(ISNA(VLOOKUP($X269,'Demand Lookups'!$A$5:$K$81,4,0)),0,VLOOKUP($X269,'Demand Lookups'!$A$5:$K$81,4,0))</f>
        <v>0</v>
      </c>
      <c r="AC269" s="722">
        <f>IF(ISNA(VLOOKUP($X269,'Demand Lookups'!$A$5:$K$81,5,0)),0,VLOOKUP($X269,'Demand Lookups'!$A$5:$K$81,5,0))</f>
        <v>0</v>
      </c>
      <c r="AD269" s="723">
        <f>IF(ISNA(VLOOKUP($X269,'Demand Lookups'!$A$5:$K$81,6,0)),0,VLOOKUP($X269,'Demand Lookups'!$A$5:$K$81,6,0))</f>
        <v>0</v>
      </c>
      <c r="AE269" s="724">
        <f t="shared" si="80"/>
        <v>0</v>
      </c>
      <c r="AF269" s="723">
        <f>ROUND(IF(ISNA(VLOOKUP($X269,'Demand Lookups'!$A$5:$K$82,10,0)),0,(VLOOKUP($X269,'Demand Lookups'!$A$5:$K$82,10,0))),2)</f>
        <v>0</v>
      </c>
      <c r="AG269" s="723">
        <f>ROUND(IF(ISNA(VLOOKUP($X269,'Demand Lookups'!$A$5:$K$82,11,0)),0,VLOOKUP($X269,'Demand Lookups'!$A$5:$K$82,11,0)),2)</f>
        <v>0</v>
      </c>
      <c r="AH269" s="648">
        <f t="shared" si="81"/>
        <v>0</v>
      </c>
      <c r="AI269" s="648">
        <f t="shared" si="82"/>
        <v>0</v>
      </c>
      <c r="AJ269" s="167" t="s">
        <v>200</v>
      </c>
      <c r="AK269" s="168">
        <v>649.29999999999995</v>
      </c>
      <c r="AL269" s="167"/>
      <c r="AM269" s="168"/>
      <c r="AN269" s="167"/>
      <c r="AO269" s="168"/>
      <c r="AP269" s="167"/>
      <c r="AQ269" s="171">
        <v>0</v>
      </c>
      <c r="AR269" s="171">
        <v>0</v>
      </c>
      <c r="AS269" s="299">
        <f>SUMIF('NEI Lookups'!$L:$L,'Inputs Yr 2'!$F269,'NEI Lookups'!E:E)+SUMIF('NEI Lookups'!$M:$M,'Inputs Yr 2'!$F269,'NEI Lookups'!E:E)+SUMIF('NEI Lookups'!$N:$N,'Inputs Yr 2'!$F269,'NEI Lookups'!E:E)+SUMIF('NEI Lookups'!$O:$O,'Inputs Yr 2'!$F269,'NEI Lookups'!E:E)+SUMIF('NEI Lookups'!$P:$P,'Inputs Yr 2'!$F269,'NEI Lookups'!E:E)+SUMIF('NEI Lookups'!$Q:$Q,'Inputs Yr 2'!$F269,'NEI Lookups'!E:E)+SUMIF('NEI Lookups'!$R:$R,'Inputs Yr 2'!$F269,'NEI Lookups'!E:E)+SUMIF('NEI Lookups'!$S:$S,'Inputs Yr 2'!$F269,'NEI Lookups'!E:E)+SUMIF('NEI Lookups'!$T:$T,'Inputs Yr 2'!$F269,'NEI Lookups'!E:E)</f>
        <v>0</v>
      </c>
      <c r="AT269" s="299">
        <f>SUMIF('NEI Lookups'!$L:$L,'Inputs Yr 2'!$F269,'NEI Lookups'!F:F)+SUMIF('NEI Lookups'!$M:$M,'Inputs Yr 2'!$F269,'NEI Lookups'!F:F)+SUMIF('NEI Lookups'!$N:$N,'Inputs Yr 2'!$F269,'NEI Lookups'!F:F)+SUMIF('NEI Lookups'!$O:$O,'Inputs Yr 2'!$F269,'NEI Lookups'!F:F)+SUMIF('NEI Lookups'!$P:$P,'Inputs Yr 2'!$F269,'NEI Lookups'!F:F)+SUMIF('NEI Lookups'!$Q:$Q,'Inputs Yr 2'!$F269,'NEI Lookups'!F:F)+SUMIF('NEI Lookups'!$R:$R,'Inputs Yr 2'!$F269,'NEI Lookups'!F:F)+SUMIF('NEI Lookups'!$S:$S,'Inputs Yr 2'!$F269,'NEI Lookups'!F:F)+SUMIF('NEI Lookups'!$T:$T,'Inputs Yr 2'!$F269,'NEI Lookups'!F:F)</f>
        <v>0</v>
      </c>
      <c r="AU269" s="299">
        <f>SUMIF('NEI Lookups'!$L:$L,'Inputs Yr 2'!$F269,'NEI Lookups'!G:G)+SUMIF('NEI Lookups'!$M:$M,'Inputs Yr 2'!$F269,'NEI Lookups'!G:G)+SUMIF('NEI Lookups'!$N:$N,'Inputs Yr 2'!$F269,'NEI Lookups'!G:G)+SUMIF('NEI Lookups'!$O:$O,'Inputs Yr 2'!$F269,'NEI Lookups'!G:G)+SUMIF('NEI Lookups'!$P:$P,'Inputs Yr 2'!$F269,'NEI Lookups'!G:G)+SUMIF('NEI Lookups'!$Q:$Q,'Inputs Yr 2'!$F269,'NEI Lookups'!G:G)+SUMIF('NEI Lookups'!$R:$R,'Inputs Yr 2'!$F269,'NEI Lookups'!G:G)+SUMIF('NEI Lookups'!$S:$S,'Inputs Yr 2'!$F269,'NEI Lookups'!G:G)+SUMIF('NEI Lookups'!$T:$T,'Inputs Yr 2'!$F269,'NEI Lookups'!G:G)</f>
        <v>0</v>
      </c>
      <c r="AV269" s="299">
        <f>SUMIF('NEI Lookups'!$L:$L,'Inputs Yr 2'!$F269,'NEI Lookups'!H:H)+SUMIF('NEI Lookups'!$M:$M,'Inputs Yr 2'!$F269,'NEI Lookups'!H:H)+SUMIF('NEI Lookups'!$N:$N,'Inputs Yr 2'!$F269,'NEI Lookups'!H:H)+SUMIF('NEI Lookups'!$O:$O,'Inputs Yr 2'!$F269,'NEI Lookups'!H:H)+SUMIF('NEI Lookups'!$P:$P,'Inputs Yr 2'!$F269,'NEI Lookups'!H:H)+SUMIF('NEI Lookups'!$Q:$Q,'Inputs Yr 2'!$F269,'NEI Lookups'!H:H)+SUMIF('NEI Lookups'!$R:$R,'Inputs Yr 2'!$F269,'NEI Lookups'!H:H)+SUMIF('NEI Lookups'!$S:$S,'Inputs Yr 2'!$F269,'NEI Lookups'!H:H)+SUMIF('NEI Lookups'!$T:$T,'Inputs Yr 2'!$F269,'NEI Lookups'!H:H)</f>
        <v>0</v>
      </c>
      <c r="AW269" s="299">
        <f>SUMIF('NEI Lookups'!$L:$L,'Inputs Yr 2'!$F269,'NEI Lookups'!I:I)+SUMIF('NEI Lookups'!$M:$M,'Inputs Yr 2'!$F269,'NEI Lookups'!I:I)+SUMIF('NEI Lookups'!$N:$N,'Inputs Yr 2'!$F269,'NEI Lookups'!I:I)+SUMIF('NEI Lookups'!$O:$O,'Inputs Yr 2'!$F269,'NEI Lookups'!I:I)+SUMIF('NEI Lookups'!$P:$P,'Inputs Yr 2'!$F269,'NEI Lookups'!I:I)+SUMIF('NEI Lookups'!$Q:$Q,'Inputs Yr 2'!$F269,'NEI Lookups'!I:I)+SUMIF('NEI Lookups'!$R:$R,'Inputs Yr 2'!$F269,'NEI Lookups'!I:I)+SUMIF('NEI Lookups'!$S:$S,'Inputs Yr 2'!$F269,'NEI Lookups'!I:I)+SUMIF('NEI Lookups'!$T:$T,'Inputs Yr 2'!$F269,'NEI Lookups'!I:I)</f>
        <v>0</v>
      </c>
      <c r="AX269" s="299">
        <f>SUMIF('NEI Lookups'!$L:$L,'Inputs Yr 2'!$F269,'NEI Lookups'!J:J)+SUMIF('NEI Lookups'!$M:$M,'Inputs Yr 2'!$F269,'NEI Lookups'!J:J)+SUMIF('NEI Lookups'!$N:$N,'Inputs Yr 2'!$F269,'NEI Lookups'!J:J)+SUMIF('NEI Lookups'!$O:$O,'Inputs Yr 2'!$F269,'NEI Lookups'!J:J)+SUMIF('NEI Lookups'!$P:$P,'Inputs Yr 2'!$F269,'NEI Lookups'!J:J)+SUMIF('NEI Lookups'!$Q:$Q,'Inputs Yr 2'!$F269,'NEI Lookups'!J:J)+SUMIF('NEI Lookups'!$R:$R,'Inputs Yr 2'!$F269,'NEI Lookups'!J:J)+SUMIF('NEI Lookups'!$S:$S,'Inputs Yr 2'!$F269,'NEI Lookups'!J:J)+SUMIF('NEI Lookups'!$T:$T,'Inputs Yr 2'!$F269,'NEI Lookups'!J:J)</f>
        <v>0</v>
      </c>
      <c r="AY269" s="930">
        <f>'Calculations Yr 2'!CP269/'Calculations Yr 2'!I269</f>
        <v>1.7270311103257081</v>
      </c>
    </row>
    <row r="270" spans="1:51" s="133" customFormat="1" ht="12.75" customHeight="1">
      <c r="A270" s="145" t="s">
        <v>83</v>
      </c>
      <c r="B270" s="132" t="s">
        <v>870</v>
      </c>
      <c r="C270" s="132" t="s">
        <v>841</v>
      </c>
      <c r="D270" s="98"/>
      <c r="E270" s="656" t="s">
        <v>1360</v>
      </c>
      <c r="F270" s="150" t="s">
        <v>1136</v>
      </c>
      <c r="G270" s="145" t="s">
        <v>86</v>
      </c>
      <c r="H270" s="165">
        <v>1</v>
      </c>
      <c r="I270" s="237">
        <v>15</v>
      </c>
      <c r="J270" s="971">
        <v>15936</v>
      </c>
      <c r="K270" s="871">
        <v>7968</v>
      </c>
      <c r="L270" s="888">
        <f t="shared" si="107"/>
        <v>7968</v>
      </c>
      <c r="M270" s="978">
        <v>0.11</v>
      </c>
      <c r="N270" s="978">
        <v>2.6000000000000002E-2</v>
      </c>
      <c r="O270" s="978">
        <v>3.0000000000000001E-3</v>
      </c>
      <c r="P270" s="889">
        <f t="shared" ref="P270:P271" si="112">1-M270+N270+O270</f>
        <v>0.91900000000000004</v>
      </c>
      <c r="Q270" s="978">
        <v>1</v>
      </c>
      <c r="R270" s="178">
        <v>1</v>
      </c>
      <c r="S270" s="178">
        <v>1</v>
      </c>
      <c r="T270" s="178">
        <v>1</v>
      </c>
      <c r="U270" s="978">
        <v>0.77900000000000003</v>
      </c>
      <c r="V270" s="978">
        <v>1</v>
      </c>
      <c r="W270" s="179"/>
      <c r="X270" s="937" t="s">
        <v>653</v>
      </c>
      <c r="Y270" s="299">
        <f>IFERROR(VLOOKUP($X270,'Demand Lookups'!$A$5:$K$101,9,0), 0)</f>
        <v>0</v>
      </c>
      <c r="Z270" s="922" t="str">
        <f>IFERROR(VLOOKUP(X270,'Demand Lookups'!$A$5:$B$101,2,0),0)</f>
        <v>Non-Electric Measures</v>
      </c>
      <c r="AA270" s="722">
        <f>IF(ISNA(VLOOKUP($X270,'Demand Lookups'!$A$5:$K$81,3,0)),0,VLOOKUP($X270,'Demand Lookups'!$A$5:$K$81,3,0))</f>
        <v>0</v>
      </c>
      <c r="AB270" s="722">
        <f>IF(ISNA(VLOOKUP($X270,'Demand Lookups'!$A$5:$K$81,4,0)),0,VLOOKUP($X270,'Demand Lookups'!$A$5:$K$81,4,0))</f>
        <v>0</v>
      </c>
      <c r="AC270" s="722">
        <f>IF(ISNA(VLOOKUP($X270,'Demand Lookups'!$A$5:$K$81,5,0)),0,VLOOKUP($X270,'Demand Lookups'!$A$5:$K$81,5,0))</f>
        <v>0</v>
      </c>
      <c r="AD270" s="723">
        <f>IF(ISNA(VLOOKUP($X270,'Demand Lookups'!$A$5:$K$81,6,0)),0,VLOOKUP($X270,'Demand Lookups'!$A$5:$K$81,6,0))</f>
        <v>0</v>
      </c>
      <c r="AE270" s="724">
        <f t="shared" ref="AE270:AE271" si="113">IF(ISERROR(W270*Y270),"",W270*Y270)</f>
        <v>0</v>
      </c>
      <c r="AF270" s="723">
        <f>ROUND(IF(ISNA(VLOOKUP($X270,'Demand Lookups'!$A$5:$K$82,10,0)),0,(VLOOKUP($X270,'Demand Lookups'!$A$5:$K$82,10,0))),2)</f>
        <v>0</v>
      </c>
      <c r="AG270" s="723">
        <f>ROUND(IF(ISNA(VLOOKUP($X270,'Demand Lookups'!$A$5:$K$82,11,0)),0,VLOOKUP($X270,'Demand Lookups'!$A$5:$K$82,11,0)),2)</f>
        <v>0</v>
      </c>
      <c r="AH270" s="648">
        <f t="shared" ref="AH270:AH271" si="114">AF270</f>
        <v>0</v>
      </c>
      <c r="AI270" s="648">
        <f t="shared" ref="AI270:AI271" si="115">AF270</f>
        <v>0</v>
      </c>
      <c r="AJ270" s="167" t="s">
        <v>200</v>
      </c>
      <c r="AK270" s="168">
        <v>531.20000000000005</v>
      </c>
      <c r="AL270" s="167"/>
      <c r="AM270" s="168"/>
      <c r="AN270" s="167"/>
      <c r="AO270" s="168"/>
      <c r="AP270" s="167"/>
      <c r="AQ270" s="171"/>
      <c r="AR270" s="171"/>
      <c r="AS270" s="299">
        <f>SUMIF('NEI Lookups'!$L:$L,'Inputs Yr 2'!$F270,'NEI Lookups'!E:E)+SUMIF('NEI Lookups'!$M:$M,'Inputs Yr 2'!$F270,'NEI Lookups'!E:E)+SUMIF('NEI Lookups'!$N:$N,'Inputs Yr 2'!$F270,'NEI Lookups'!E:E)+SUMIF('NEI Lookups'!$O:$O,'Inputs Yr 2'!$F270,'NEI Lookups'!E:E)+SUMIF('NEI Lookups'!$P:$P,'Inputs Yr 2'!$F270,'NEI Lookups'!E:E)+SUMIF('NEI Lookups'!$Q:$Q,'Inputs Yr 2'!$F270,'NEI Lookups'!E:E)+SUMIF('NEI Lookups'!$R:$R,'Inputs Yr 2'!$F270,'NEI Lookups'!E:E)+SUMIF('NEI Lookups'!$S:$S,'Inputs Yr 2'!$F270,'NEI Lookups'!E:E)+SUMIF('NEI Lookups'!$T:$T,'Inputs Yr 2'!$F270,'NEI Lookups'!E:E)</f>
        <v>0</v>
      </c>
      <c r="AT270" s="299">
        <f>SUMIF('NEI Lookups'!$L:$L,'Inputs Yr 2'!$F270,'NEI Lookups'!F:F)+SUMIF('NEI Lookups'!$M:$M,'Inputs Yr 2'!$F270,'NEI Lookups'!F:F)+SUMIF('NEI Lookups'!$N:$N,'Inputs Yr 2'!$F270,'NEI Lookups'!F:F)+SUMIF('NEI Lookups'!$O:$O,'Inputs Yr 2'!$F270,'NEI Lookups'!F:F)+SUMIF('NEI Lookups'!$P:$P,'Inputs Yr 2'!$F270,'NEI Lookups'!F:F)+SUMIF('NEI Lookups'!$Q:$Q,'Inputs Yr 2'!$F270,'NEI Lookups'!F:F)+SUMIF('NEI Lookups'!$R:$R,'Inputs Yr 2'!$F270,'NEI Lookups'!F:F)+SUMIF('NEI Lookups'!$S:$S,'Inputs Yr 2'!$F270,'NEI Lookups'!F:F)+SUMIF('NEI Lookups'!$T:$T,'Inputs Yr 2'!$F270,'NEI Lookups'!F:F)</f>
        <v>0</v>
      </c>
      <c r="AU270" s="299">
        <f>SUMIF('NEI Lookups'!$L:$L,'Inputs Yr 2'!$F270,'NEI Lookups'!G:G)+SUMIF('NEI Lookups'!$M:$M,'Inputs Yr 2'!$F270,'NEI Lookups'!G:G)+SUMIF('NEI Lookups'!$N:$N,'Inputs Yr 2'!$F270,'NEI Lookups'!G:G)+SUMIF('NEI Lookups'!$O:$O,'Inputs Yr 2'!$F270,'NEI Lookups'!G:G)+SUMIF('NEI Lookups'!$P:$P,'Inputs Yr 2'!$F270,'NEI Lookups'!G:G)+SUMIF('NEI Lookups'!$Q:$Q,'Inputs Yr 2'!$F270,'NEI Lookups'!G:G)+SUMIF('NEI Lookups'!$R:$R,'Inputs Yr 2'!$F270,'NEI Lookups'!G:G)+SUMIF('NEI Lookups'!$S:$S,'Inputs Yr 2'!$F270,'NEI Lookups'!G:G)+SUMIF('NEI Lookups'!$T:$T,'Inputs Yr 2'!$F270,'NEI Lookups'!G:G)</f>
        <v>0</v>
      </c>
      <c r="AV270" s="299">
        <f>SUMIF('NEI Lookups'!$L:$L,'Inputs Yr 2'!$F270,'NEI Lookups'!H:H)+SUMIF('NEI Lookups'!$M:$M,'Inputs Yr 2'!$F270,'NEI Lookups'!H:H)+SUMIF('NEI Lookups'!$N:$N,'Inputs Yr 2'!$F270,'NEI Lookups'!H:H)+SUMIF('NEI Lookups'!$O:$O,'Inputs Yr 2'!$F270,'NEI Lookups'!H:H)+SUMIF('NEI Lookups'!$P:$P,'Inputs Yr 2'!$F270,'NEI Lookups'!H:H)+SUMIF('NEI Lookups'!$Q:$Q,'Inputs Yr 2'!$F270,'NEI Lookups'!H:H)+SUMIF('NEI Lookups'!$R:$R,'Inputs Yr 2'!$F270,'NEI Lookups'!H:H)+SUMIF('NEI Lookups'!$S:$S,'Inputs Yr 2'!$F270,'NEI Lookups'!H:H)+SUMIF('NEI Lookups'!$T:$T,'Inputs Yr 2'!$F270,'NEI Lookups'!H:H)</f>
        <v>0</v>
      </c>
      <c r="AW270" s="299">
        <f>SUMIF('NEI Lookups'!$L:$L,'Inputs Yr 2'!$F270,'NEI Lookups'!I:I)+SUMIF('NEI Lookups'!$M:$M,'Inputs Yr 2'!$F270,'NEI Lookups'!I:I)+SUMIF('NEI Lookups'!$N:$N,'Inputs Yr 2'!$F270,'NEI Lookups'!I:I)+SUMIF('NEI Lookups'!$O:$O,'Inputs Yr 2'!$F270,'NEI Lookups'!I:I)+SUMIF('NEI Lookups'!$P:$P,'Inputs Yr 2'!$F270,'NEI Lookups'!I:I)+SUMIF('NEI Lookups'!$Q:$Q,'Inputs Yr 2'!$F270,'NEI Lookups'!I:I)+SUMIF('NEI Lookups'!$R:$R,'Inputs Yr 2'!$F270,'NEI Lookups'!I:I)+SUMIF('NEI Lookups'!$S:$S,'Inputs Yr 2'!$F270,'NEI Lookups'!I:I)+SUMIF('NEI Lookups'!$T:$T,'Inputs Yr 2'!$F270,'NEI Lookups'!I:I)</f>
        <v>0</v>
      </c>
      <c r="AX270" s="299">
        <f>SUMIF('NEI Lookups'!$L:$L,'Inputs Yr 2'!$F270,'NEI Lookups'!J:J)+SUMIF('NEI Lookups'!$M:$M,'Inputs Yr 2'!$F270,'NEI Lookups'!J:J)+SUMIF('NEI Lookups'!$N:$N,'Inputs Yr 2'!$F270,'NEI Lookups'!J:J)+SUMIF('NEI Lookups'!$O:$O,'Inputs Yr 2'!$F270,'NEI Lookups'!J:J)+SUMIF('NEI Lookups'!$P:$P,'Inputs Yr 2'!$F270,'NEI Lookups'!J:J)+SUMIF('NEI Lookups'!$Q:$Q,'Inputs Yr 2'!$F270,'NEI Lookups'!J:J)+SUMIF('NEI Lookups'!$R:$R,'Inputs Yr 2'!$F270,'NEI Lookups'!J:J)+SUMIF('NEI Lookups'!$S:$S,'Inputs Yr 2'!$F270,'NEI Lookups'!J:J)+SUMIF('NEI Lookups'!$T:$T,'Inputs Yr 2'!$F270,'NEI Lookups'!J:J)</f>
        <v>0</v>
      </c>
      <c r="AY270" s="930">
        <f>'Calculations Yr 2'!CP270/'Calculations Yr 2'!I270</f>
        <v>3.1969598774256771</v>
      </c>
    </row>
    <row r="271" spans="1:51" s="133" customFormat="1" ht="12.75" customHeight="1">
      <c r="A271" s="145" t="s">
        <v>83</v>
      </c>
      <c r="B271" s="132" t="s">
        <v>870</v>
      </c>
      <c r="C271" s="132" t="s">
        <v>841</v>
      </c>
      <c r="D271" s="98"/>
      <c r="E271" s="656" t="s">
        <v>1380</v>
      </c>
      <c r="F271" s="150" t="s">
        <v>1136</v>
      </c>
      <c r="G271" s="145" t="s">
        <v>86</v>
      </c>
      <c r="H271" s="165">
        <v>1</v>
      </c>
      <c r="I271" s="237">
        <v>18</v>
      </c>
      <c r="J271" s="971">
        <v>465911.6</v>
      </c>
      <c r="K271" s="871">
        <v>232955.8</v>
      </c>
      <c r="L271" s="888">
        <f t="shared" si="107"/>
        <v>232955.8</v>
      </c>
      <c r="M271" s="978">
        <v>0.11</v>
      </c>
      <c r="N271" s="978">
        <v>2.6000000000000002E-2</v>
      </c>
      <c r="O271" s="978">
        <v>3.0000000000000001E-3</v>
      </c>
      <c r="P271" s="889">
        <f t="shared" si="112"/>
        <v>0.91900000000000004</v>
      </c>
      <c r="Q271" s="978">
        <v>1</v>
      </c>
      <c r="R271" s="178">
        <v>1</v>
      </c>
      <c r="S271" s="178">
        <v>1</v>
      </c>
      <c r="T271" s="178">
        <v>1</v>
      </c>
      <c r="U271" s="978">
        <v>0.77900000000000003</v>
      </c>
      <c r="V271" s="978">
        <v>1</v>
      </c>
      <c r="W271" s="179"/>
      <c r="X271" s="937" t="s">
        <v>653</v>
      </c>
      <c r="Y271" s="299">
        <f>IFERROR(VLOOKUP($X271,'Demand Lookups'!$A$5:$K$101,9,0), 0)</f>
        <v>0</v>
      </c>
      <c r="Z271" s="922" t="str">
        <f>IFERROR(VLOOKUP(X271,'Demand Lookups'!$A$5:$B$101,2,0),0)</f>
        <v>Non-Electric Measures</v>
      </c>
      <c r="AA271" s="722">
        <f>IF(ISNA(VLOOKUP($X271,'Demand Lookups'!$A$5:$K$81,3,0)),0,VLOOKUP($X271,'Demand Lookups'!$A$5:$K$81,3,0))</f>
        <v>0</v>
      </c>
      <c r="AB271" s="722">
        <f>IF(ISNA(VLOOKUP($X271,'Demand Lookups'!$A$5:$K$81,4,0)),0,VLOOKUP($X271,'Demand Lookups'!$A$5:$K$81,4,0))</f>
        <v>0</v>
      </c>
      <c r="AC271" s="722">
        <f>IF(ISNA(VLOOKUP($X271,'Demand Lookups'!$A$5:$K$81,5,0)),0,VLOOKUP($X271,'Demand Lookups'!$A$5:$K$81,5,0))</f>
        <v>0</v>
      </c>
      <c r="AD271" s="723">
        <f>IF(ISNA(VLOOKUP($X271,'Demand Lookups'!$A$5:$K$81,6,0)),0,VLOOKUP($X271,'Demand Lookups'!$A$5:$K$81,6,0))</f>
        <v>0</v>
      </c>
      <c r="AE271" s="724">
        <f t="shared" si="113"/>
        <v>0</v>
      </c>
      <c r="AF271" s="723">
        <f>ROUND(IF(ISNA(VLOOKUP($X271,'Demand Lookups'!$A$5:$K$82,10,0)),0,(VLOOKUP($X271,'Demand Lookups'!$A$5:$K$82,10,0))),2)</f>
        <v>0</v>
      </c>
      <c r="AG271" s="723">
        <f>ROUND(IF(ISNA(VLOOKUP($X271,'Demand Lookups'!$A$5:$K$82,11,0)),0,VLOOKUP($X271,'Demand Lookups'!$A$5:$K$82,11,0)),2)</f>
        <v>0</v>
      </c>
      <c r="AH271" s="648">
        <f t="shared" si="114"/>
        <v>0</v>
      </c>
      <c r="AI271" s="648">
        <f t="shared" si="115"/>
        <v>0</v>
      </c>
      <c r="AJ271" s="167" t="s">
        <v>200</v>
      </c>
      <c r="AK271" s="168">
        <v>17345.379999999997</v>
      </c>
      <c r="AL271" s="167"/>
      <c r="AM271" s="168"/>
      <c r="AN271" s="167"/>
      <c r="AO271" s="168"/>
      <c r="AP271" s="167"/>
      <c r="AQ271" s="171"/>
      <c r="AR271" s="171"/>
      <c r="AS271" s="299">
        <f>SUMIF('NEI Lookups'!$L:$L,'Inputs Yr 2'!$F271,'NEI Lookups'!E:E)+SUMIF('NEI Lookups'!$M:$M,'Inputs Yr 2'!$F271,'NEI Lookups'!E:E)+SUMIF('NEI Lookups'!$N:$N,'Inputs Yr 2'!$F271,'NEI Lookups'!E:E)+SUMIF('NEI Lookups'!$O:$O,'Inputs Yr 2'!$F271,'NEI Lookups'!E:E)+SUMIF('NEI Lookups'!$P:$P,'Inputs Yr 2'!$F271,'NEI Lookups'!E:E)+SUMIF('NEI Lookups'!$Q:$Q,'Inputs Yr 2'!$F271,'NEI Lookups'!E:E)+SUMIF('NEI Lookups'!$R:$R,'Inputs Yr 2'!$F271,'NEI Lookups'!E:E)+SUMIF('NEI Lookups'!$S:$S,'Inputs Yr 2'!$F271,'NEI Lookups'!E:E)+SUMIF('NEI Lookups'!$T:$T,'Inputs Yr 2'!$F271,'NEI Lookups'!E:E)</f>
        <v>0</v>
      </c>
      <c r="AT271" s="299">
        <f>SUMIF('NEI Lookups'!$L:$L,'Inputs Yr 2'!$F271,'NEI Lookups'!F:F)+SUMIF('NEI Lookups'!$M:$M,'Inputs Yr 2'!$F271,'NEI Lookups'!F:F)+SUMIF('NEI Lookups'!$N:$N,'Inputs Yr 2'!$F271,'NEI Lookups'!F:F)+SUMIF('NEI Lookups'!$O:$O,'Inputs Yr 2'!$F271,'NEI Lookups'!F:F)+SUMIF('NEI Lookups'!$P:$P,'Inputs Yr 2'!$F271,'NEI Lookups'!F:F)+SUMIF('NEI Lookups'!$Q:$Q,'Inputs Yr 2'!$F271,'NEI Lookups'!F:F)+SUMIF('NEI Lookups'!$R:$R,'Inputs Yr 2'!$F271,'NEI Lookups'!F:F)+SUMIF('NEI Lookups'!$S:$S,'Inputs Yr 2'!$F271,'NEI Lookups'!F:F)+SUMIF('NEI Lookups'!$T:$T,'Inputs Yr 2'!$F271,'NEI Lookups'!F:F)</f>
        <v>0</v>
      </c>
      <c r="AU271" s="299">
        <f>SUMIF('NEI Lookups'!$L:$L,'Inputs Yr 2'!$F271,'NEI Lookups'!G:G)+SUMIF('NEI Lookups'!$M:$M,'Inputs Yr 2'!$F271,'NEI Lookups'!G:G)+SUMIF('NEI Lookups'!$N:$N,'Inputs Yr 2'!$F271,'NEI Lookups'!G:G)+SUMIF('NEI Lookups'!$O:$O,'Inputs Yr 2'!$F271,'NEI Lookups'!G:G)+SUMIF('NEI Lookups'!$P:$P,'Inputs Yr 2'!$F271,'NEI Lookups'!G:G)+SUMIF('NEI Lookups'!$Q:$Q,'Inputs Yr 2'!$F271,'NEI Lookups'!G:G)+SUMIF('NEI Lookups'!$R:$R,'Inputs Yr 2'!$F271,'NEI Lookups'!G:G)+SUMIF('NEI Lookups'!$S:$S,'Inputs Yr 2'!$F271,'NEI Lookups'!G:G)+SUMIF('NEI Lookups'!$T:$T,'Inputs Yr 2'!$F271,'NEI Lookups'!G:G)</f>
        <v>0</v>
      </c>
      <c r="AV271" s="299">
        <f>SUMIF('NEI Lookups'!$L:$L,'Inputs Yr 2'!$F271,'NEI Lookups'!H:H)+SUMIF('NEI Lookups'!$M:$M,'Inputs Yr 2'!$F271,'NEI Lookups'!H:H)+SUMIF('NEI Lookups'!$N:$N,'Inputs Yr 2'!$F271,'NEI Lookups'!H:H)+SUMIF('NEI Lookups'!$O:$O,'Inputs Yr 2'!$F271,'NEI Lookups'!H:H)+SUMIF('NEI Lookups'!$P:$P,'Inputs Yr 2'!$F271,'NEI Lookups'!H:H)+SUMIF('NEI Lookups'!$Q:$Q,'Inputs Yr 2'!$F271,'NEI Lookups'!H:H)+SUMIF('NEI Lookups'!$R:$R,'Inputs Yr 2'!$F271,'NEI Lookups'!H:H)+SUMIF('NEI Lookups'!$S:$S,'Inputs Yr 2'!$F271,'NEI Lookups'!H:H)+SUMIF('NEI Lookups'!$T:$T,'Inputs Yr 2'!$F271,'NEI Lookups'!H:H)</f>
        <v>0</v>
      </c>
      <c r="AW271" s="299">
        <f>SUMIF('NEI Lookups'!$L:$L,'Inputs Yr 2'!$F271,'NEI Lookups'!I:I)+SUMIF('NEI Lookups'!$M:$M,'Inputs Yr 2'!$F271,'NEI Lookups'!I:I)+SUMIF('NEI Lookups'!$N:$N,'Inputs Yr 2'!$F271,'NEI Lookups'!I:I)+SUMIF('NEI Lookups'!$O:$O,'Inputs Yr 2'!$F271,'NEI Lookups'!I:I)+SUMIF('NEI Lookups'!$P:$P,'Inputs Yr 2'!$F271,'NEI Lookups'!I:I)+SUMIF('NEI Lookups'!$Q:$Q,'Inputs Yr 2'!$F271,'NEI Lookups'!I:I)+SUMIF('NEI Lookups'!$R:$R,'Inputs Yr 2'!$F271,'NEI Lookups'!I:I)+SUMIF('NEI Lookups'!$S:$S,'Inputs Yr 2'!$F271,'NEI Lookups'!I:I)+SUMIF('NEI Lookups'!$T:$T,'Inputs Yr 2'!$F271,'NEI Lookups'!I:I)</f>
        <v>0</v>
      </c>
      <c r="AX271" s="299">
        <f>SUMIF('NEI Lookups'!$L:$L,'Inputs Yr 2'!$F271,'NEI Lookups'!J:J)+SUMIF('NEI Lookups'!$M:$M,'Inputs Yr 2'!$F271,'NEI Lookups'!J:J)+SUMIF('NEI Lookups'!$N:$N,'Inputs Yr 2'!$F271,'NEI Lookups'!J:J)+SUMIF('NEI Lookups'!$O:$O,'Inputs Yr 2'!$F271,'NEI Lookups'!J:J)+SUMIF('NEI Lookups'!$P:$P,'Inputs Yr 2'!$F271,'NEI Lookups'!J:J)+SUMIF('NEI Lookups'!$Q:$Q,'Inputs Yr 2'!$F271,'NEI Lookups'!J:J)+SUMIF('NEI Lookups'!$R:$R,'Inputs Yr 2'!$F271,'NEI Lookups'!J:J)+SUMIF('NEI Lookups'!$S:$S,'Inputs Yr 2'!$F271,'NEI Lookups'!J:J)+SUMIF('NEI Lookups'!$T:$T,'Inputs Yr 2'!$F271,'NEI Lookups'!J:J)</f>
        <v>0</v>
      </c>
      <c r="AY271" s="930">
        <f>'Calculations Yr 2'!CP271/'Calculations Yr 2'!I271</f>
        <v>4.3238902579168732</v>
      </c>
    </row>
    <row r="272" spans="1:51" s="133" customFormat="1" ht="12.75" customHeight="1">
      <c r="A272" s="145" t="s">
        <v>83</v>
      </c>
      <c r="B272" s="132" t="s">
        <v>870</v>
      </c>
      <c r="C272" s="132" t="s">
        <v>841</v>
      </c>
      <c r="D272" s="98"/>
      <c r="E272" s="656" t="s">
        <v>1404</v>
      </c>
      <c r="F272" s="150" t="s">
        <v>1137</v>
      </c>
      <c r="G272" s="145" t="s">
        <v>89</v>
      </c>
      <c r="H272" s="165">
        <v>1</v>
      </c>
      <c r="I272" s="234">
        <v>6</v>
      </c>
      <c r="J272" s="971">
        <v>729853.5</v>
      </c>
      <c r="K272" s="871">
        <v>364926.75</v>
      </c>
      <c r="L272" s="888">
        <f t="shared" si="107"/>
        <v>364926.75</v>
      </c>
      <c r="M272" s="978">
        <v>0.11</v>
      </c>
      <c r="N272" s="978">
        <v>2.6000000000000002E-2</v>
      </c>
      <c r="O272" s="978">
        <v>3.0000000000000001E-3</v>
      </c>
      <c r="P272" s="889">
        <f t="shared" si="79"/>
        <v>0.91900000000000004</v>
      </c>
      <c r="Q272" s="978">
        <v>1</v>
      </c>
      <c r="R272" s="178">
        <v>1</v>
      </c>
      <c r="S272" s="178">
        <v>1</v>
      </c>
      <c r="T272" s="178">
        <v>1</v>
      </c>
      <c r="U272" s="978">
        <v>0.77900000000000003</v>
      </c>
      <c r="V272" s="978">
        <v>1</v>
      </c>
      <c r="W272" s="179"/>
      <c r="X272" s="937" t="s">
        <v>653</v>
      </c>
      <c r="Y272" s="299">
        <f>IFERROR(VLOOKUP($X272,'Demand Lookups'!$A$5:$K$101,9,0), 0)</f>
        <v>0</v>
      </c>
      <c r="Z272" s="922" t="str">
        <f>IFERROR(VLOOKUP(X272,'Demand Lookups'!$A$5:$B$101,2,0),0)</f>
        <v>Non-Electric Measures</v>
      </c>
      <c r="AA272" s="722">
        <f>IF(ISNA(VLOOKUP($X272,'Demand Lookups'!$A$5:$K$81,3,0)),0,VLOOKUP($X272,'Demand Lookups'!$A$5:$K$81,3,0))</f>
        <v>0</v>
      </c>
      <c r="AB272" s="722">
        <f>IF(ISNA(VLOOKUP($X272,'Demand Lookups'!$A$5:$K$81,4,0)),0,VLOOKUP($X272,'Demand Lookups'!$A$5:$K$81,4,0))</f>
        <v>0</v>
      </c>
      <c r="AC272" s="722">
        <f>IF(ISNA(VLOOKUP($X272,'Demand Lookups'!$A$5:$K$81,5,0)),0,VLOOKUP($X272,'Demand Lookups'!$A$5:$K$81,5,0))</f>
        <v>0</v>
      </c>
      <c r="AD272" s="723">
        <f>IF(ISNA(VLOOKUP($X272,'Demand Lookups'!$A$5:$K$81,6,0)),0,VLOOKUP($X272,'Demand Lookups'!$A$5:$K$81,6,0))</f>
        <v>0</v>
      </c>
      <c r="AE272" s="724">
        <f t="shared" si="80"/>
        <v>0</v>
      </c>
      <c r="AF272" s="723">
        <f>ROUND(IF(ISNA(VLOOKUP($X272,'Demand Lookups'!$A$5:$K$82,10,0)),0,(VLOOKUP($X272,'Demand Lookups'!$A$5:$K$82,10,0))),2)</f>
        <v>0</v>
      </c>
      <c r="AG272" s="723">
        <f>ROUND(IF(ISNA(VLOOKUP($X272,'Demand Lookups'!$A$5:$K$82,11,0)),0,VLOOKUP($X272,'Demand Lookups'!$A$5:$K$82,11,0)),2)</f>
        <v>0</v>
      </c>
      <c r="AH272" s="648">
        <f t="shared" si="81"/>
        <v>0</v>
      </c>
      <c r="AI272" s="648">
        <f t="shared" si="82"/>
        <v>0</v>
      </c>
      <c r="AJ272" s="167" t="s">
        <v>87</v>
      </c>
      <c r="AK272" s="168">
        <v>44600.28</v>
      </c>
      <c r="AL272" s="167"/>
      <c r="AM272" s="168"/>
      <c r="AN272" s="167"/>
      <c r="AO272" s="168"/>
      <c r="AP272" s="167"/>
      <c r="AQ272" s="171">
        <v>0</v>
      </c>
      <c r="AR272" s="171">
        <v>0</v>
      </c>
      <c r="AS272" s="299">
        <f>SUMIF('NEI Lookups'!$L:$L,'Inputs Yr 2'!$F272,'NEI Lookups'!E:E)+SUMIF('NEI Lookups'!$M:$M,'Inputs Yr 2'!$F272,'NEI Lookups'!E:E)+SUMIF('NEI Lookups'!$N:$N,'Inputs Yr 2'!$F272,'NEI Lookups'!E:E)+SUMIF('NEI Lookups'!$O:$O,'Inputs Yr 2'!$F272,'NEI Lookups'!E:E)+SUMIF('NEI Lookups'!$P:$P,'Inputs Yr 2'!$F272,'NEI Lookups'!E:E)+SUMIF('NEI Lookups'!$Q:$Q,'Inputs Yr 2'!$F272,'NEI Lookups'!E:E)+SUMIF('NEI Lookups'!$R:$R,'Inputs Yr 2'!$F272,'NEI Lookups'!E:E)+SUMIF('NEI Lookups'!$S:$S,'Inputs Yr 2'!$F272,'NEI Lookups'!E:E)+SUMIF('NEI Lookups'!$T:$T,'Inputs Yr 2'!$F272,'NEI Lookups'!E:E)</f>
        <v>0</v>
      </c>
      <c r="AT272" s="299">
        <f>SUMIF('NEI Lookups'!$L:$L,'Inputs Yr 2'!$F272,'NEI Lookups'!F:F)+SUMIF('NEI Lookups'!$M:$M,'Inputs Yr 2'!$F272,'NEI Lookups'!F:F)+SUMIF('NEI Lookups'!$N:$N,'Inputs Yr 2'!$F272,'NEI Lookups'!F:F)+SUMIF('NEI Lookups'!$O:$O,'Inputs Yr 2'!$F272,'NEI Lookups'!F:F)+SUMIF('NEI Lookups'!$P:$P,'Inputs Yr 2'!$F272,'NEI Lookups'!F:F)+SUMIF('NEI Lookups'!$Q:$Q,'Inputs Yr 2'!$F272,'NEI Lookups'!F:F)+SUMIF('NEI Lookups'!$R:$R,'Inputs Yr 2'!$F272,'NEI Lookups'!F:F)+SUMIF('NEI Lookups'!$S:$S,'Inputs Yr 2'!$F272,'NEI Lookups'!F:F)+SUMIF('NEI Lookups'!$T:$T,'Inputs Yr 2'!$F272,'NEI Lookups'!F:F)</f>
        <v>0</v>
      </c>
      <c r="AU272" s="299">
        <f>SUMIF('NEI Lookups'!$L:$L,'Inputs Yr 2'!$F272,'NEI Lookups'!G:G)+SUMIF('NEI Lookups'!$M:$M,'Inputs Yr 2'!$F272,'NEI Lookups'!G:G)+SUMIF('NEI Lookups'!$N:$N,'Inputs Yr 2'!$F272,'NEI Lookups'!G:G)+SUMIF('NEI Lookups'!$O:$O,'Inputs Yr 2'!$F272,'NEI Lookups'!G:G)+SUMIF('NEI Lookups'!$P:$P,'Inputs Yr 2'!$F272,'NEI Lookups'!G:G)+SUMIF('NEI Lookups'!$Q:$Q,'Inputs Yr 2'!$F272,'NEI Lookups'!G:G)+SUMIF('NEI Lookups'!$R:$R,'Inputs Yr 2'!$F272,'NEI Lookups'!G:G)+SUMIF('NEI Lookups'!$S:$S,'Inputs Yr 2'!$F272,'NEI Lookups'!G:G)+SUMIF('NEI Lookups'!$T:$T,'Inputs Yr 2'!$F272,'NEI Lookups'!G:G)</f>
        <v>0</v>
      </c>
      <c r="AV272" s="299">
        <f>SUMIF('NEI Lookups'!$L:$L,'Inputs Yr 2'!$F272,'NEI Lookups'!H:H)+SUMIF('NEI Lookups'!$M:$M,'Inputs Yr 2'!$F272,'NEI Lookups'!H:H)+SUMIF('NEI Lookups'!$N:$N,'Inputs Yr 2'!$F272,'NEI Lookups'!H:H)+SUMIF('NEI Lookups'!$O:$O,'Inputs Yr 2'!$F272,'NEI Lookups'!H:H)+SUMIF('NEI Lookups'!$P:$P,'Inputs Yr 2'!$F272,'NEI Lookups'!H:H)+SUMIF('NEI Lookups'!$Q:$Q,'Inputs Yr 2'!$F272,'NEI Lookups'!H:H)+SUMIF('NEI Lookups'!$R:$R,'Inputs Yr 2'!$F272,'NEI Lookups'!H:H)+SUMIF('NEI Lookups'!$S:$S,'Inputs Yr 2'!$F272,'NEI Lookups'!H:H)+SUMIF('NEI Lookups'!$T:$T,'Inputs Yr 2'!$F272,'NEI Lookups'!H:H)</f>
        <v>0</v>
      </c>
      <c r="AW272" s="299">
        <f>SUMIF('NEI Lookups'!$L:$L,'Inputs Yr 2'!$F272,'NEI Lookups'!I:I)+SUMIF('NEI Lookups'!$M:$M,'Inputs Yr 2'!$F272,'NEI Lookups'!I:I)+SUMIF('NEI Lookups'!$N:$N,'Inputs Yr 2'!$F272,'NEI Lookups'!I:I)+SUMIF('NEI Lookups'!$O:$O,'Inputs Yr 2'!$F272,'NEI Lookups'!I:I)+SUMIF('NEI Lookups'!$P:$P,'Inputs Yr 2'!$F272,'NEI Lookups'!I:I)+SUMIF('NEI Lookups'!$Q:$Q,'Inputs Yr 2'!$F272,'NEI Lookups'!I:I)+SUMIF('NEI Lookups'!$R:$R,'Inputs Yr 2'!$F272,'NEI Lookups'!I:I)+SUMIF('NEI Lookups'!$S:$S,'Inputs Yr 2'!$F272,'NEI Lookups'!I:I)+SUMIF('NEI Lookups'!$T:$T,'Inputs Yr 2'!$F272,'NEI Lookups'!I:I)</f>
        <v>1.35</v>
      </c>
      <c r="AX272" s="299">
        <f>SUMIF('NEI Lookups'!$L:$L,'Inputs Yr 2'!$F272,'NEI Lookups'!J:J)+SUMIF('NEI Lookups'!$M:$M,'Inputs Yr 2'!$F272,'NEI Lookups'!J:J)+SUMIF('NEI Lookups'!$N:$N,'Inputs Yr 2'!$F272,'NEI Lookups'!J:J)+SUMIF('NEI Lookups'!$O:$O,'Inputs Yr 2'!$F272,'NEI Lookups'!J:J)+SUMIF('NEI Lookups'!$P:$P,'Inputs Yr 2'!$F272,'NEI Lookups'!J:J)+SUMIF('NEI Lookups'!$Q:$Q,'Inputs Yr 2'!$F272,'NEI Lookups'!J:J)+SUMIF('NEI Lookups'!$R:$R,'Inputs Yr 2'!$F272,'NEI Lookups'!J:J)+SUMIF('NEI Lookups'!$S:$S,'Inputs Yr 2'!$F272,'NEI Lookups'!J:J)+SUMIF('NEI Lookups'!$T:$T,'Inputs Yr 2'!$F272,'NEI Lookups'!J:J)</f>
        <v>0</v>
      </c>
      <c r="AY272" s="930">
        <f>'Calculations Yr 2'!CP272/'Calculations Yr 2'!I272</f>
        <v>6.3274590318132544</v>
      </c>
    </row>
    <row r="273" spans="1:51" s="133" customFormat="1" ht="12.75" customHeight="1">
      <c r="A273" s="145" t="s">
        <v>83</v>
      </c>
      <c r="B273" s="132" t="s">
        <v>870</v>
      </c>
      <c r="C273" s="132" t="s">
        <v>841</v>
      </c>
      <c r="D273" s="98"/>
      <c r="E273" s="870" t="s">
        <v>795</v>
      </c>
      <c r="F273" s="150" t="s">
        <v>1138</v>
      </c>
      <c r="G273" s="145" t="s">
        <v>89</v>
      </c>
      <c r="H273" s="232">
        <v>1226</v>
      </c>
      <c r="I273" s="234">
        <v>6</v>
      </c>
      <c r="J273" s="964">
        <v>716</v>
      </c>
      <c r="K273" s="871">
        <v>137.71</v>
      </c>
      <c r="L273" s="888">
        <f t="shared" si="107"/>
        <v>578.29</v>
      </c>
      <c r="M273" s="978">
        <v>0.30099999999999999</v>
      </c>
      <c r="N273" s="978">
        <v>0.14700000000000002</v>
      </c>
      <c r="O273" s="978">
        <v>0</v>
      </c>
      <c r="P273" s="889">
        <f t="shared" si="79"/>
        <v>0.84600000000000009</v>
      </c>
      <c r="Q273" s="978">
        <v>1</v>
      </c>
      <c r="R273" s="178">
        <v>1</v>
      </c>
      <c r="S273" s="178">
        <v>1</v>
      </c>
      <c r="T273" s="178">
        <v>1</v>
      </c>
      <c r="U273" s="978">
        <v>1</v>
      </c>
      <c r="V273" s="978">
        <v>1</v>
      </c>
      <c r="W273" s="179"/>
      <c r="X273" s="937" t="s">
        <v>653</v>
      </c>
      <c r="Y273" s="299">
        <f>IFERROR(VLOOKUP($X273,'Demand Lookups'!$A$5:$K$101,9,0), 0)</f>
        <v>0</v>
      </c>
      <c r="Z273" s="922" t="str">
        <f>IFERROR(VLOOKUP(X273,'Demand Lookups'!$A$5:$B$101,2,0),0)</f>
        <v>Non-Electric Measures</v>
      </c>
      <c r="AA273" s="722">
        <f>IF(ISNA(VLOOKUP($X273,'Demand Lookups'!$A$5:$K$81,3,0)),0,VLOOKUP($X273,'Demand Lookups'!$A$5:$K$81,3,0))</f>
        <v>0</v>
      </c>
      <c r="AB273" s="722">
        <f>IF(ISNA(VLOOKUP($X273,'Demand Lookups'!$A$5:$K$81,4,0)),0,VLOOKUP($X273,'Demand Lookups'!$A$5:$K$81,4,0))</f>
        <v>0</v>
      </c>
      <c r="AC273" s="722">
        <f>IF(ISNA(VLOOKUP($X273,'Demand Lookups'!$A$5:$K$81,5,0)),0,VLOOKUP($X273,'Demand Lookups'!$A$5:$K$81,5,0))</f>
        <v>0</v>
      </c>
      <c r="AD273" s="723">
        <f>IF(ISNA(VLOOKUP($X273,'Demand Lookups'!$A$5:$K$81,6,0)),0,VLOOKUP($X273,'Demand Lookups'!$A$5:$K$81,6,0))</f>
        <v>0</v>
      </c>
      <c r="AE273" s="724">
        <f t="shared" ref="AE273:AE289" si="116">IF(ISERROR(W273*Y273),"",W273*Y273)</f>
        <v>0</v>
      </c>
      <c r="AF273" s="723">
        <f>ROUND(IF(ISNA(VLOOKUP($X273,'Demand Lookups'!$A$5:$K$82,10,0)),0,(VLOOKUP($X273,'Demand Lookups'!$A$5:$K$82,10,0))),2)</f>
        <v>0</v>
      </c>
      <c r="AG273" s="723">
        <f>ROUND(IF(ISNA(VLOOKUP($X273,'Demand Lookups'!$A$5:$K$82,11,0)),0,VLOOKUP($X273,'Demand Lookups'!$A$5:$K$82,11,0)),2)</f>
        <v>0</v>
      </c>
      <c r="AH273" s="648">
        <f t="shared" ref="AH273" si="117">AF273</f>
        <v>0</v>
      </c>
      <c r="AI273" s="648">
        <f t="shared" ref="AI273" si="118">AF273</f>
        <v>0</v>
      </c>
      <c r="AJ273" s="167" t="s">
        <v>87</v>
      </c>
      <c r="AK273" s="866">
        <v>12.200000000000001</v>
      </c>
      <c r="AL273" s="167"/>
      <c r="AM273" s="168"/>
      <c r="AN273" s="167"/>
      <c r="AO273" s="168"/>
      <c r="AP273" s="167"/>
      <c r="AQ273" s="171">
        <v>0</v>
      </c>
      <c r="AR273" s="171">
        <v>0</v>
      </c>
      <c r="AS273" s="299">
        <f>SUMIF('NEI Lookups'!$L:$L,'Inputs Yr 2'!$F273,'NEI Lookups'!E:E)+SUMIF('NEI Lookups'!$M:$M,'Inputs Yr 2'!$F273,'NEI Lookups'!E:E)+SUMIF('NEI Lookups'!$N:$N,'Inputs Yr 2'!$F273,'NEI Lookups'!E:E)+SUMIF('NEI Lookups'!$O:$O,'Inputs Yr 2'!$F273,'NEI Lookups'!E:E)+SUMIF('NEI Lookups'!$P:$P,'Inputs Yr 2'!$F273,'NEI Lookups'!E:E)+SUMIF('NEI Lookups'!$Q:$Q,'Inputs Yr 2'!$F273,'NEI Lookups'!E:E)+SUMIF('NEI Lookups'!$R:$R,'Inputs Yr 2'!$F273,'NEI Lookups'!E:E)+SUMIF('NEI Lookups'!$S:$S,'Inputs Yr 2'!$F273,'NEI Lookups'!E:E)+SUMIF('NEI Lookups'!$T:$T,'Inputs Yr 2'!$F273,'NEI Lookups'!E:E)</f>
        <v>0</v>
      </c>
      <c r="AT273" s="299">
        <f>SUMIF('NEI Lookups'!$L:$L,'Inputs Yr 2'!$F273,'NEI Lookups'!F:F)+SUMIF('NEI Lookups'!$M:$M,'Inputs Yr 2'!$F273,'NEI Lookups'!F:F)+SUMIF('NEI Lookups'!$N:$N,'Inputs Yr 2'!$F273,'NEI Lookups'!F:F)+SUMIF('NEI Lookups'!$O:$O,'Inputs Yr 2'!$F273,'NEI Lookups'!F:F)+SUMIF('NEI Lookups'!$P:$P,'Inputs Yr 2'!$F273,'NEI Lookups'!F:F)+SUMIF('NEI Lookups'!$Q:$Q,'Inputs Yr 2'!$F273,'NEI Lookups'!F:F)+SUMIF('NEI Lookups'!$R:$R,'Inputs Yr 2'!$F273,'NEI Lookups'!F:F)+SUMIF('NEI Lookups'!$S:$S,'Inputs Yr 2'!$F273,'NEI Lookups'!F:F)+SUMIF('NEI Lookups'!$T:$T,'Inputs Yr 2'!$F273,'NEI Lookups'!F:F)</f>
        <v>0</v>
      </c>
      <c r="AU273" s="299">
        <f>SUMIF('NEI Lookups'!$L:$L,'Inputs Yr 2'!$F273,'NEI Lookups'!G:G)+SUMIF('NEI Lookups'!$M:$M,'Inputs Yr 2'!$F273,'NEI Lookups'!G:G)+SUMIF('NEI Lookups'!$N:$N,'Inputs Yr 2'!$F273,'NEI Lookups'!G:G)+SUMIF('NEI Lookups'!$O:$O,'Inputs Yr 2'!$F273,'NEI Lookups'!G:G)+SUMIF('NEI Lookups'!$P:$P,'Inputs Yr 2'!$F273,'NEI Lookups'!G:G)+SUMIF('NEI Lookups'!$Q:$Q,'Inputs Yr 2'!$F273,'NEI Lookups'!G:G)+SUMIF('NEI Lookups'!$R:$R,'Inputs Yr 2'!$F273,'NEI Lookups'!G:G)+SUMIF('NEI Lookups'!$S:$S,'Inputs Yr 2'!$F273,'NEI Lookups'!G:G)+SUMIF('NEI Lookups'!$T:$T,'Inputs Yr 2'!$F273,'NEI Lookups'!G:G)</f>
        <v>0</v>
      </c>
      <c r="AV273" s="299">
        <f>SUMIF('NEI Lookups'!$L:$L,'Inputs Yr 2'!$F273,'NEI Lookups'!H:H)+SUMIF('NEI Lookups'!$M:$M,'Inputs Yr 2'!$F273,'NEI Lookups'!H:H)+SUMIF('NEI Lookups'!$N:$N,'Inputs Yr 2'!$F273,'NEI Lookups'!H:H)+SUMIF('NEI Lookups'!$O:$O,'Inputs Yr 2'!$F273,'NEI Lookups'!H:H)+SUMIF('NEI Lookups'!$P:$P,'Inputs Yr 2'!$F273,'NEI Lookups'!H:H)+SUMIF('NEI Lookups'!$Q:$Q,'Inputs Yr 2'!$F273,'NEI Lookups'!H:H)+SUMIF('NEI Lookups'!$R:$R,'Inputs Yr 2'!$F273,'NEI Lookups'!H:H)+SUMIF('NEI Lookups'!$S:$S,'Inputs Yr 2'!$F273,'NEI Lookups'!H:H)+SUMIF('NEI Lookups'!$T:$T,'Inputs Yr 2'!$F273,'NEI Lookups'!H:H)</f>
        <v>0</v>
      </c>
      <c r="AW273" s="299">
        <f>SUMIF('NEI Lookups'!$L:$L,'Inputs Yr 2'!$F273,'NEI Lookups'!I:I)+SUMIF('NEI Lookups'!$M:$M,'Inputs Yr 2'!$F273,'NEI Lookups'!I:I)+SUMIF('NEI Lookups'!$N:$N,'Inputs Yr 2'!$F273,'NEI Lookups'!I:I)+SUMIF('NEI Lookups'!$O:$O,'Inputs Yr 2'!$F273,'NEI Lookups'!I:I)+SUMIF('NEI Lookups'!$P:$P,'Inputs Yr 2'!$F273,'NEI Lookups'!I:I)+SUMIF('NEI Lookups'!$Q:$Q,'Inputs Yr 2'!$F273,'NEI Lookups'!I:I)+SUMIF('NEI Lookups'!$R:$R,'Inputs Yr 2'!$F273,'NEI Lookups'!I:I)+SUMIF('NEI Lookups'!$S:$S,'Inputs Yr 2'!$F273,'NEI Lookups'!I:I)+SUMIF('NEI Lookups'!$T:$T,'Inputs Yr 2'!$F273,'NEI Lookups'!I:I)</f>
        <v>1.35</v>
      </c>
      <c r="AX273" s="299">
        <f>SUMIF('NEI Lookups'!$L:$L,'Inputs Yr 2'!$F273,'NEI Lookups'!J:J)+SUMIF('NEI Lookups'!$M:$M,'Inputs Yr 2'!$F273,'NEI Lookups'!J:J)+SUMIF('NEI Lookups'!$N:$N,'Inputs Yr 2'!$F273,'NEI Lookups'!J:J)+SUMIF('NEI Lookups'!$O:$O,'Inputs Yr 2'!$F273,'NEI Lookups'!J:J)+SUMIF('NEI Lookups'!$P:$P,'Inputs Yr 2'!$F273,'NEI Lookups'!J:J)+SUMIF('NEI Lookups'!$Q:$Q,'Inputs Yr 2'!$F273,'NEI Lookups'!J:J)+SUMIF('NEI Lookups'!$R:$R,'Inputs Yr 2'!$F273,'NEI Lookups'!J:J)+SUMIF('NEI Lookups'!$S:$S,'Inputs Yr 2'!$F273,'NEI Lookups'!J:J)+SUMIF('NEI Lookups'!$T:$T,'Inputs Yr 2'!$F273,'NEI Lookups'!J:J)</f>
        <v>0</v>
      </c>
      <c r="AY273" s="930">
        <f>'Calculations Yr 2'!CP273/'Calculations Yr 2'!I273</f>
        <v>2.264836223283103</v>
      </c>
    </row>
    <row r="274" spans="1:51" s="133" customFormat="1" ht="12.75" customHeight="1">
      <c r="A274" s="145" t="s">
        <v>83</v>
      </c>
      <c r="B274" s="132" t="s">
        <v>870</v>
      </c>
      <c r="C274" s="132" t="s">
        <v>841</v>
      </c>
      <c r="D274" s="98"/>
      <c r="E274" s="656" t="s">
        <v>796</v>
      </c>
      <c r="F274" s="150" t="s">
        <v>1139</v>
      </c>
      <c r="G274" s="145" t="s">
        <v>1247</v>
      </c>
      <c r="H274" s="232"/>
      <c r="I274" s="234"/>
      <c r="J274" s="964"/>
      <c r="K274" s="871">
        <v>0</v>
      </c>
      <c r="L274" s="888">
        <f t="shared" si="107"/>
        <v>0</v>
      </c>
      <c r="M274" s="978">
        <v>0.11</v>
      </c>
      <c r="N274" s="978">
        <v>2.5999999999999999E-2</v>
      </c>
      <c r="O274" s="978">
        <v>3.0000000000000001E-3</v>
      </c>
      <c r="P274" s="889">
        <v>0.91900000000000004</v>
      </c>
      <c r="Q274" s="978">
        <v>1</v>
      </c>
      <c r="R274" s="178">
        <v>1</v>
      </c>
      <c r="S274" s="178">
        <v>1</v>
      </c>
      <c r="T274" s="178">
        <v>1</v>
      </c>
      <c r="U274" s="978">
        <v>1</v>
      </c>
      <c r="V274" s="978">
        <v>0</v>
      </c>
      <c r="W274" s="179"/>
      <c r="X274" s="937" t="s">
        <v>653</v>
      </c>
      <c r="Y274" s="299">
        <f>IFERROR(VLOOKUP($X274,'Demand Lookups'!$A$5:$K$101,9,0), 0)</f>
        <v>0</v>
      </c>
      <c r="Z274" s="922" t="str">
        <f>IFERROR(VLOOKUP(X274,'Demand Lookups'!$A$5:$B$101,2,0),0)</f>
        <v>Non-Electric Measures</v>
      </c>
      <c r="AA274" s="722">
        <v>0</v>
      </c>
      <c r="AB274" s="722">
        <v>0</v>
      </c>
      <c r="AC274" s="722">
        <v>0</v>
      </c>
      <c r="AD274" s="723">
        <v>0</v>
      </c>
      <c r="AE274" s="724">
        <f t="shared" si="116"/>
        <v>0</v>
      </c>
      <c r="AF274" s="723">
        <v>0</v>
      </c>
      <c r="AG274" s="723">
        <v>0</v>
      </c>
      <c r="AH274" s="648">
        <v>0</v>
      </c>
      <c r="AI274" s="648">
        <v>0</v>
      </c>
      <c r="AJ274" s="167"/>
      <c r="AK274" s="169">
        <v>0</v>
      </c>
      <c r="AL274" s="167"/>
      <c r="AM274" s="168"/>
      <c r="AN274" s="167"/>
      <c r="AO274" s="168"/>
      <c r="AP274" s="167"/>
      <c r="AQ274" s="171"/>
      <c r="AR274" s="171"/>
      <c r="AS274" s="299">
        <f>SUMIF('NEI Lookups'!$L:$L,'Inputs Yr 2'!$F274,'NEI Lookups'!E:E)+SUMIF('NEI Lookups'!$M:$M,'Inputs Yr 2'!$F274,'NEI Lookups'!E:E)+SUMIF('NEI Lookups'!$N:$N,'Inputs Yr 2'!$F274,'NEI Lookups'!E:E)+SUMIF('NEI Lookups'!$O:$O,'Inputs Yr 2'!$F274,'NEI Lookups'!E:E)+SUMIF('NEI Lookups'!$P:$P,'Inputs Yr 2'!$F274,'NEI Lookups'!E:E)+SUMIF('NEI Lookups'!$Q:$Q,'Inputs Yr 2'!$F274,'NEI Lookups'!E:E)+SUMIF('NEI Lookups'!$R:$R,'Inputs Yr 2'!$F274,'NEI Lookups'!E:E)+SUMIF('NEI Lookups'!$S:$S,'Inputs Yr 2'!$F274,'NEI Lookups'!E:E)+SUMIF('NEI Lookups'!$T:$T,'Inputs Yr 2'!$F274,'NEI Lookups'!E:E)</f>
        <v>0</v>
      </c>
      <c r="AT274" s="299">
        <f>SUMIF('NEI Lookups'!$L:$L,'Inputs Yr 2'!$F274,'NEI Lookups'!F:F)+SUMIF('NEI Lookups'!$M:$M,'Inputs Yr 2'!$F274,'NEI Lookups'!F:F)+SUMIF('NEI Lookups'!$N:$N,'Inputs Yr 2'!$F274,'NEI Lookups'!F:F)+SUMIF('NEI Lookups'!$O:$O,'Inputs Yr 2'!$F274,'NEI Lookups'!F:F)+SUMIF('NEI Lookups'!$P:$P,'Inputs Yr 2'!$F274,'NEI Lookups'!F:F)+SUMIF('NEI Lookups'!$Q:$Q,'Inputs Yr 2'!$F274,'NEI Lookups'!F:F)+SUMIF('NEI Lookups'!$R:$R,'Inputs Yr 2'!$F274,'NEI Lookups'!F:F)+SUMIF('NEI Lookups'!$S:$S,'Inputs Yr 2'!$F274,'NEI Lookups'!F:F)+SUMIF('NEI Lookups'!$T:$T,'Inputs Yr 2'!$F274,'NEI Lookups'!F:F)</f>
        <v>0</v>
      </c>
      <c r="AU274" s="299">
        <f>SUMIF('NEI Lookups'!$L:$L,'Inputs Yr 2'!$F274,'NEI Lookups'!G:G)+SUMIF('NEI Lookups'!$M:$M,'Inputs Yr 2'!$F274,'NEI Lookups'!G:G)+SUMIF('NEI Lookups'!$N:$N,'Inputs Yr 2'!$F274,'NEI Lookups'!G:G)+SUMIF('NEI Lookups'!$O:$O,'Inputs Yr 2'!$F274,'NEI Lookups'!G:G)+SUMIF('NEI Lookups'!$P:$P,'Inputs Yr 2'!$F274,'NEI Lookups'!G:G)+SUMIF('NEI Lookups'!$Q:$Q,'Inputs Yr 2'!$F274,'NEI Lookups'!G:G)+SUMIF('NEI Lookups'!$R:$R,'Inputs Yr 2'!$F274,'NEI Lookups'!G:G)+SUMIF('NEI Lookups'!$S:$S,'Inputs Yr 2'!$F274,'NEI Lookups'!G:G)+SUMIF('NEI Lookups'!$T:$T,'Inputs Yr 2'!$F274,'NEI Lookups'!G:G)</f>
        <v>0</v>
      </c>
      <c r="AV274" s="299">
        <f>SUMIF('NEI Lookups'!$L:$L,'Inputs Yr 2'!$F274,'NEI Lookups'!H:H)+SUMIF('NEI Lookups'!$M:$M,'Inputs Yr 2'!$F274,'NEI Lookups'!H:H)+SUMIF('NEI Lookups'!$N:$N,'Inputs Yr 2'!$F274,'NEI Lookups'!H:H)+SUMIF('NEI Lookups'!$O:$O,'Inputs Yr 2'!$F274,'NEI Lookups'!H:H)+SUMIF('NEI Lookups'!$P:$P,'Inputs Yr 2'!$F274,'NEI Lookups'!H:H)+SUMIF('NEI Lookups'!$Q:$Q,'Inputs Yr 2'!$F274,'NEI Lookups'!H:H)+SUMIF('NEI Lookups'!$R:$R,'Inputs Yr 2'!$F274,'NEI Lookups'!H:H)+SUMIF('NEI Lookups'!$S:$S,'Inputs Yr 2'!$F274,'NEI Lookups'!H:H)+SUMIF('NEI Lookups'!$T:$T,'Inputs Yr 2'!$F274,'NEI Lookups'!H:H)</f>
        <v>0</v>
      </c>
      <c r="AW274" s="299">
        <f>SUMIF('NEI Lookups'!$L:$L,'Inputs Yr 2'!$F274,'NEI Lookups'!I:I)+SUMIF('NEI Lookups'!$M:$M,'Inputs Yr 2'!$F274,'NEI Lookups'!I:I)+SUMIF('NEI Lookups'!$N:$N,'Inputs Yr 2'!$F274,'NEI Lookups'!I:I)+SUMIF('NEI Lookups'!$O:$O,'Inputs Yr 2'!$F274,'NEI Lookups'!I:I)+SUMIF('NEI Lookups'!$P:$P,'Inputs Yr 2'!$F274,'NEI Lookups'!I:I)+SUMIF('NEI Lookups'!$Q:$Q,'Inputs Yr 2'!$F274,'NEI Lookups'!I:I)+SUMIF('NEI Lookups'!$R:$R,'Inputs Yr 2'!$F274,'NEI Lookups'!I:I)+SUMIF('NEI Lookups'!$S:$S,'Inputs Yr 2'!$F274,'NEI Lookups'!I:I)+SUMIF('NEI Lookups'!$T:$T,'Inputs Yr 2'!$F274,'NEI Lookups'!I:I)</f>
        <v>0</v>
      </c>
      <c r="AX274" s="299">
        <f>SUMIF('NEI Lookups'!$L:$L,'Inputs Yr 2'!$F274,'NEI Lookups'!J:J)+SUMIF('NEI Lookups'!$M:$M,'Inputs Yr 2'!$F274,'NEI Lookups'!J:J)+SUMIF('NEI Lookups'!$N:$N,'Inputs Yr 2'!$F274,'NEI Lookups'!J:J)+SUMIF('NEI Lookups'!$O:$O,'Inputs Yr 2'!$F274,'NEI Lookups'!J:J)+SUMIF('NEI Lookups'!$P:$P,'Inputs Yr 2'!$F274,'NEI Lookups'!J:J)+SUMIF('NEI Lookups'!$Q:$Q,'Inputs Yr 2'!$F274,'NEI Lookups'!J:J)+SUMIF('NEI Lookups'!$R:$R,'Inputs Yr 2'!$F274,'NEI Lookups'!J:J)+SUMIF('NEI Lookups'!$S:$S,'Inputs Yr 2'!$F274,'NEI Lookups'!J:J)+SUMIF('NEI Lookups'!$T:$T,'Inputs Yr 2'!$F274,'NEI Lookups'!J:J)</f>
        <v>0</v>
      </c>
      <c r="AY274" s="930" t="e">
        <f>'Calculations Yr 2'!CP274/'Calculations Yr 2'!I274</f>
        <v>#VALUE!</v>
      </c>
    </row>
    <row r="275" spans="1:51" s="133" customFormat="1" ht="12.75" customHeight="1">
      <c r="A275" s="145" t="s">
        <v>83</v>
      </c>
      <c r="B275" s="132" t="s">
        <v>870</v>
      </c>
      <c r="C275" s="132" t="s">
        <v>841</v>
      </c>
      <c r="D275" s="98"/>
      <c r="E275" s="98" t="s">
        <v>1319</v>
      </c>
      <c r="F275" s="150" t="s">
        <v>1140</v>
      </c>
      <c r="G275" s="145" t="s">
        <v>1247</v>
      </c>
      <c r="H275" s="232"/>
      <c r="I275" s="234">
        <v>15</v>
      </c>
      <c r="J275" s="964">
        <v>993</v>
      </c>
      <c r="K275" s="871">
        <v>225</v>
      </c>
      <c r="L275" s="888">
        <f t="shared" si="107"/>
        <v>768</v>
      </c>
      <c r="M275" s="978">
        <v>0.30099999999999999</v>
      </c>
      <c r="N275" s="978">
        <v>0.14700000000000002</v>
      </c>
      <c r="O275" s="978">
        <v>0</v>
      </c>
      <c r="P275" s="889">
        <f t="shared" si="79"/>
        <v>0.84600000000000009</v>
      </c>
      <c r="Q275" s="978">
        <v>1</v>
      </c>
      <c r="R275" s="178">
        <v>1</v>
      </c>
      <c r="S275" s="178">
        <v>1</v>
      </c>
      <c r="T275" s="178">
        <v>1</v>
      </c>
      <c r="U275" s="978">
        <v>1</v>
      </c>
      <c r="V275" s="978">
        <v>0</v>
      </c>
      <c r="W275" s="179"/>
      <c r="X275" s="937" t="s">
        <v>653</v>
      </c>
      <c r="Y275" s="299">
        <f>IFERROR(VLOOKUP($X275,'Demand Lookups'!$A$5:$K$101,9,0), 0)</f>
        <v>0</v>
      </c>
      <c r="Z275" s="922" t="str">
        <f>IFERROR(VLOOKUP(X275,'Demand Lookups'!$A$5:$B$101,2,0),0)</f>
        <v>Non-Electric Measures</v>
      </c>
      <c r="AA275" s="722">
        <f>IF(ISNA(VLOOKUP($X275,'Demand Lookups'!$A$5:$K$81,3,0)),0,VLOOKUP($X275,'Demand Lookups'!$A$5:$K$81,3,0))</f>
        <v>0</v>
      </c>
      <c r="AB275" s="722">
        <f>IF(ISNA(VLOOKUP($X275,'Demand Lookups'!$A$5:$K$81,4,0)),0,VLOOKUP($X275,'Demand Lookups'!$A$5:$K$81,4,0))</f>
        <v>0</v>
      </c>
      <c r="AC275" s="722">
        <f>IF(ISNA(VLOOKUP($X275,'Demand Lookups'!$A$5:$K$81,5,0)),0,VLOOKUP($X275,'Demand Lookups'!$A$5:$K$81,5,0))</f>
        <v>0</v>
      </c>
      <c r="AD275" s="723">
        <f>IF(ISNA(VLOOKUP($X275,'Demand Lookups'!$A$5:$K$81,6,0)),0,VLOOKUP($X275,'Demand Lookups'!$A$5:$K$81,6,0))</f>
        <v>0</v>
      </c>
      <c r="AE275" s="724">
        <f t="shared" si="116"/>
        <v>0</v>
      </c>
      <c r="AF275" s="723">
        <f>ROUND(IF(ISNA(VLOOKUP($X275,'Demand Lookups'!$A$5:$K$82,10,0)),0,(VLOOKUP($X275,'Demand Lookups'!$A$5:$K$82,10,0))),2)</f>
        <v>0</v>
      </c>
      <c r="AG275" s="723">
        <f>ROUND(IF(ISNA(VLOOKUP($X275,'Demand Lookups'!$A$5:$K$82,11,0)),0,VLOOKUP($X275,'Demand Lookups'!$A$5:$K$82,11,0)),2)</f>
        <v>0</v>
      </c>
      <c r="AH275" s="648">
        <f t="shared" si="81"/>
        <v>0</v>
      </c>
      <c r="AI275" s="648">
        <f t="shared" si="82"/>
        <v>0</v>
      </c>
      <c r="AJ275" s="167" t="s">
        <v>87</v>
      </c>
      <c r="AK275" s="866">
        <v>35.5</v>
      </c>
      <c r="AL275" s="167"/>
      <c r="AM275" s="168"/>
      <c r="AN275" s="167"/>
      <c r="AO275" s="168"/>
      <c r="AP275" s="167"/>
      <c r="AQ275" s="171">
        <v>0</v>
      </c>
      <c r="AR275" s="171">
        <v>0</v>
      </c>
      <c r="AS275" s="299">
        <f>SUMIF('NEI Lookups'!$L:$L,'Inputs Yr 2'!$F275,'NEI Lookups'!E:E)+SUMIF('NEI Lookups'!$M:$M,'Inputs Yr 2'!$F275,'NEI Lookups'!E:E)+SUMIF('NEI Lookups'!$N:$N,'Inputs Yr 2'!$F275,'NEI Lookups'!E:E)+SUMIF('NEI Lookups'!$O:$O,'Inputs Yr 2'!$F275,'NEI Lookups'!E:E)+SUMIF('NEI Lookups'!$P:$P,'Inputs Yr 2'!$F275,'NEI Lookups'!E:E)+SUMIF('NEI Lookups'!$Q:$Q,'Inputs Yr 2'!$F275,'NEI Lookups'!E:E)+SUMIF('NEI Lookups'!$R:$R,'Inputs Yr 2'!$F275,'NEI Lookups'!E:E)+SUMIF('NEI Lookups'!$S:$S,'Inputs Yr 2'!$F275,'NEI Lookups'!E:E)+SUMIF('NEI Lookups'!$T:$T,'Inputs Yr 2'!$F275,'NEI Lookups'!E:E)</f>
        <v>0</v>
      </c>
      <c r="AT275" s="299">
        <f>SUMIF('NEI Lookups'!$L:$L,'Inputs Yr 2'!$F275,'NEI Lookups'!F:F)+SUMIF('NEI Lookups'!$M:$M,'Inputs Yr 2'!$F275,'NEI Lookups'!F:F)+SUMIF('NEI Lookups'!$N:$N,'Inputs Yr 2'!$F275,'NEI Lookups'!F:F)+SUMIF('NEI Lookups'!$O:$O,'Inputs Yr 2'!$F275,'NEI Lookups'!F:F)+SUMIF('NEI Lookups'!$P:$P,'Inputs Yr 2'!$F275,'NEI Lookups'!F:F)+SUMIF('NEI Lookups'!$Q:$Q,'Inputs Yr 2'!$F275,'NEI Lookups'!F:F)+SUMIF('NEI Lookups'!$R:$R,'Inputs Yr 2'!$F275,'NEI Lookups'!F:F)+SUMIF('NEI Lookups'!$S:$S,'Inputs Yr 2'!$F275,'NEI Lookups'!F:F)+SUMIF('NEI Lookups'!$T:$T,'Inputs Yr 2'!$F275,'NEI Lookups'!F:F)</f>
        <v>0</v>
      </c>
      <c r="AU275" s="299">
        <f>SUMIF('NEI Lookups'!$L:$L,'Inputs Yr 2'!$F275,'NEI Lookups'!G:G)+SUMIF('NEI Lookups'!$M:$M,'Inputs Yr 2'!$F275,'NEI Lookups'!G:G)+SUMIF('NEI Lookups'!$N:$N,'Inputs Yr 2'!$F275,'NEI Lookups'!G:G)+SUMIF('NEI Lookups'!$O:$O,'Inputs Yr 2'!$F275,'NEI Lookups'!G:G)+SUMIF('NEI Lookups'!$P:$P,'Inputs Yr 2'!$F275,'NEI Lookups'!G:G)+SUMIF('NEI Lookups'!$Q:$Q,'Inputs Yr 2'!$F275,'NEI Lookups'!G:G)+SUMIF('NEI Lookups'!$R:$R,'Inputs Yr 2'!$F275,'NEI Lookups'!G:G)+SUMIF('NEI Lookups'!$S:$S,'Inputs Yr 2'!$F275,'NEI Lookups'!G:G)+SUMIF('NEI Lookups'!$T:$T,'Inputs Yr 2'!$F275,'NEI Lookups'!G:G)</f>
        <v>0</v>
      </c>
      <c r="AV275" s="299">
        <f>SUMIF('NEI Lookups'!$L:$L,'Inputs Yr 2'!$F275,'NEI Lookups'!H:H)+SUMIF('NEI Lookups'!$M:$M,'Inputs Yr 2'!$F275,'NEI Lookups'!H:H)+SUMIF('NEI Lookups'!$N:$N,'Inputs Yr 2'!$F275,'NEI Lookups'!H:H)+SUMIF('NEI Lookups'!$O:$O,'Inputs Yr 2'!$F275,'NEI Lookups'!H:H)+SUMIF('NEI Lookups'!$P:$P,'Inputs Yr 2'!$F275,'NEI Lookups'!H:H)+SUMIF('NEI Lookups'!$Q:$Q,'Inputs Yr 2'!$F275,'NEI Lookups'!H:H)+SUMIF('NEI Lookups'!$R:$R,'Inputs Yr 2'!$F275,'NEI Lookups'!H:H)+SUMIF('NEI Lookups'!$S:$S,'Inputs Yr 2'!$F275,'NEI Lookups'!H:H)+SUMIF('NEI Lookups'!$T:$T,'Inputs Yr 2'!$F275,'NEI Lookups'!H:H)</f>
        <v>0</v>
      </c>
      <c r="AW275" s="299">
        <f>SUMIF('NEI Lookups'!$L:$L,'Inputs Yr 2'!$F275,'NEI Lookups'!I:I)+SUMIF('NEI Lookups'!$M:$M,'Inputs Yr 2'!$F275,'NEI Lookups'!I:I)+SUMIF('NEI Lookups'!$N:$N,'Inputs Yr 2'!$F275,'NEI Lookups'!I:I)+SUMIF('NEI Lookups'!$O:$O,'Inputs Yr 2'!$F275,'NEI Lookups'!I:I)+SUMIF('NEI Lookups'!$P:$P,'Inputs Yr 2'!$F275,'NEI Lookups'!I:I)+SUMIF('NEI Lookups'!$Q:$Q,'Inputs Yr 2'!$F275,'NEI Lookups'!I:I)+SUMIF('NEI Lookups'!$R:$R,'Inputs Yr 2'!$F275,'NEI Lookups'!I:I)+SUMIF('NEI Lookups'!$S:$S,'Inputs Yr 2'!$F275,'NEI Lookups'!I:I)+SUMIF('NEI Lookups'!$T:$T,'Inputs Yr 2'!$F275,'NEI Lookups'!I:I)</f>
        <v>1.35</v>
      </c>
      <c r="AX275" s="299">
        <f>SUMIF('NEI Lookups'!$L:$L,'Inputs Yr 2'!$F275,'NEI Lookups'!J:J)+SUMIF('NEI Lookups'!$M:$M,'Inputs Yr 2'!$F275,'NEI Lookups'!J:J)+SUMIF('NEI Lookups'!$N:$N,'Inputs Yr 2'!$F275,'NEI Lookups'!J:J)+SUMIF('NEI Lookups'!$O:$O,'Inputs Yr 2'!$F275,'NEI Lookups'!J:J)+SUMIF('NEI Lookups'!$P:$P,'Inputs Yr 2'!$F275,'NEI Lookups'!J:J)+SUMIF('NEI Lookups'!$Q:$Q,'Inputs Yr 2'!$F275,'NEI Lookups'!J:J)+SUMIF('NEI Lookups'!$R:$R,'Inputs Yr 2'!$F275,'NEI Lookups'!J:J)+SUMIF('NEI Lookups'!$S:$S,'Inputs Yr 2'!$F275,'NEI Lookups'!J:J)+SUMIF('NEI Lookups'!$T:$T,'Inputs Yr 2'!$F275,'NEI Lookups'!J:J)</f>
        <v>0</v>
      </c>
      <c r="AY275" s="930" t="e">
        <f>'Calculations Yr 2'!CP275/'Calculations Yr 2'!I275</f>
        <v>#VALUE!</v>
      </c>
    </row>
    <row r="276" spans="1:51" s="133" customFormat="1" ht="12.75" customHeight="1">
      <c r="A276" s="145" t="s">
        <v>83</v>
      </c>
      <c r="B276" s="132" t="s">
        <v>870</v>
      </c>
      <c r="C276" s="132" t="s">
        <v>841</v>
      </c>
      <c r="D276" s="98"/>
      <c r="E276" s="150" t="s">
        <v>1309</v>
      </c>
      <c r="F276" s="150" t="s">
        <v>1141</v>
      </c>
      <c r="G276" s="145" t="s">
        <v>1247</v>
      </c>
      <c r="H276" s="232">
        <v>39</v>
      </c>
      <c r="I276" s="234">
        <v>15</v>
      </c>
      <c r="J276" s="964">
        <v>92</v>
      </c>
      <c r="K276" s="871">
        <v>24.964285714285715</v>
      </c>
      <c r="L276" s="888">
        <f t="shared" si="107"/>
        <v>67.035714285714278</v>
      </c>
      <c r="M276" s="978">
        <v>0.30099999999999999</v>
      </c>
      <c r="N276" s="978">
        <v>0.14700000000000002</v>
      </c>
      <c r="O276" s="978">
        <v>0</v>
      </c>
      <c r="P276" s="889">
        <f t="shared" si="79"/>
        <v>0.84600000000000009</v>
      </c>
      <c r="Q276" s="978">
        <v>1</v>
      </c>
      <c r="R276" s="178">
        <v>1</v>
      </c>
      <c r="S276" s="178">
        <v>1</v>
      </c>
      <c r="T276" s="178">
        <v>1</v>
      </c>
      <c r="U276" s="978">
        <v>1</v>
      </c>
      <c r="V276" s="978">
        <v>1</v>
      </c>
      <c r="W276" s="179"/>
      <c r="X276" s="937" t="s">
        <v>653</v>
      </c>
      <c r="Y276" s="299">
        <f>IFERROR(VLOOKUP($X276,'Demand Lookups'!$A$5:$K$101,9,0), 0)</f>
        <v>0</v>
      </c>
      <c r="Z276" s="922" t="str">
        <f>IFERROR(VLOOKUP(X276,'Demand Lookups'!$A$5:$B$101,2,0),0)</f>
        <v>Non-Electric Measures</v>
      </c>
      <c r="AA276" s="722">
        <f>IF(ISNA(VLOOKUP($X276,'Demand Lookups'!$A$5:$K$81,3,0)),0,VLOOKUP($X276,'Demand Lookups'!$A$5:$K$81,3,0))</f>
        <v>0</v>
      </c>
      <c r="AB276" s="722">
        <f>IF(ISNA(VLOOKUP($X276,'Demand Lookups'!$A$5:$K$81,4,0)),0,VLOOKUP($X276,'Demand Lookups'!$A$5:$K$81,4,0))</f>
        <v>0</v>
      </c>
      <c r="AC276" s="722">
        <f>IF(ISNA(VLOOKUP($X276,'Demand Lookups'!$A$5:$K$81,5,0)),0,VLOOKUP($X276,'Demand Lookups'!$A$5:$K$81,5,0))</f>
        <v>0</v>
      </c>
      <c r="AD276" s="723">
        <f>IF(ISNA(VLOOKUP($X276,'Demand Lookups'!$A$5:$K$81,6,0)),0,VLOOKUP($X276,'Demand Lookups'!$A$5:$K$81,6,0))</f>
        <v>0</v>
      </c>
      <c r="AE276" s="724">
        <f t="shared" si="116"/>
        <v>0</v>
      </c>
      <c r="AF276" s="723">
        <f>ROUND(IF(ISNA(VLOOKUP($X276,'Demand Lookups'!$A$5:$K$82,10,0)),0,(VLOOKUP($X276,'Demand Lookups'!$A$5:$K$82,10,0))),2)</f>
        <v>0</v>
      </c>
      <c r="AG276" s="723">
        <f>ROUND(IF(ISNA(VLOOKUP($X276,'Demand Lookups'!$A$5:$K$82,11,0)),0,VLOOKUP($X276,'Demand Lookups'!$A$5:$K$82,11,0)),2)</f>
        <v>0</v>
      </c>
      <c r="AH276" s="648">
        <f t="shared" si="81"/>
        <v>0</v>
      </c>
      <c r="AI276" s="648">
        <f t="shared" si="82"/>
        <v>0</v>
      </c>
      <c r="AJ276" s="167" t="s">
        <v>87</v>
      </c>
      <c r="AK276" s="866">
        <v>3.2</v>
      </c>
      <c r="AL276" s="167"/>
      <c r="AM276" s="168"/>
      <c r="AN276" s="167"/>
      <c r="AO276" s="168"/>
      <c r="AP276" s="167"/>
      <c r="AQ276" s="171">
        <v>0</v>
      </c>
      <c r="AR276" s="171">
        <v>0</v>
      </c>
      <c r="AS276" s="299">
        <f>SUMIF('NEI Lookups'!$L:$L,'Inputs Yr 2'!$F276,'NEI Lookups'!E:E)+SUMIF('NEI Lookups'!$M:$M,'Inputs Yr 2'!$F276,'NEI Lookups'!E:E)+SUMIF('NEI Lookups'!$N:$N,'Inputs Yr 2'!$F276,'NEI Lookups'!E:E)+SUMIF('NEI Lookups'!$O:$O,'Inputs Yr 2'!$F276,'NEI Lookups'!E:E)+SUMIF('NEI Lookups'!$P:$P,'Inputs Yr 2'!$F276,'NEI Lookups'!E:E)+SUMIF('NEI Lookups'!$Q:$Q,'Inputs Yr 2'!$F276,'NEI Lookups'!E:E)+SUMIF('NEI Lookups'!$R:$R,'Inputs Yr 2'!$F276,'NEI Lookups'!E:E)+SUMIF('NEI Lookups'!$S:$S,'Inputs Yr 2'!$F276,'NEI Lookups'!E:E)+SUMIF('NEI Lookups'!$T:$T,'Inputs Yr 2'!$F276,'NEI Lookups'!E:E)</f>
        <v>0</v>
      </c>
      <c r="AT276" s="299">
        <f>SUMIF('NEI Lookups'!$L:$L,'Inputs Yr 2'!$F276,'NEI Lookups'!F:F)+SUMIF('NEI Lookups'!$M:$M,'Inputs Yr 2'!$F276,'NEI Lookups'!F:F)+SUMIF('NEI Lookups'!$N:$N,'Inputs Yr 2'!$F276,'NEI Lookups'!F:F)+SUMIF('NEI Lookups'!$O:$O,'Inputs Yr 2'!$F276,'NEI Lookups'!F:F)+SUMIF('NEI Lookups'!$P:$P,'Inputs Yr 2'!$F276,'NEI Lookups'!F:F)+SUMIF('NEI Lookups'!$Q:$Q,'Inputs Yr 2'!$F276,'NEI Lookups'!F:F)+SUMIF('NEI Lookups'!$R:$R,'Inputs Yr 2'!$F276,'NEI Lookups'!F:F)+SUMIF('NEI Lookups'!$S:$S,'Inputs Yr 2'!$F276,'NEI Lookups'!F:F)+SUMIF('NEI Lookups'!$T:$T,'Inputs Yr 2'!$F276,'NEI Lookups'!F:F)</f>
        <v>0</v>
      </c>
      <c r="AU276" s="299">
        <f>SUMIF('NEI Lookups'!$L:$L,'Inputs Yr 2'!$F276,'NEI Lookups'!G:G)+SUMIF('NEI Lookups'!$M:$M,'Inputs Yr 2'!$F276,'NEI Lookups'!G:G)+SUMIF('NEI Lookups'!$N:$N,'Inputs Yr 2'!$F276,'NEI Lookups'!G:G)+SUMIF('NEI Lookups'!$O:$O,'Inputs Yr 2'!$F276,'NEI Lookups'!G:G)+SUMIF('NEI Lookups'!$P:$P,'Inputs Yr 2'!$F276,'NEI Lookups'!G:G)+SUMIF('NEI Lookups'!$Q:$Q,'Inputs Yr 2'!$F276,'NEI Lookups'!G:G)+SUMIF('NEI Lookups'!$R:$R,'Inputs Yr 2'!$F276,'NEI Lookups'!G:G)+SUMIF('NEI Lookups'!$S:$S,'Inputs Yr 2'!$F276,'NEI Lookups'!G:G)+SUMIF('NEI Lookups'!$T:$T,'Inputs Yr 2'!$F276,'NEI Lookups'!G:G)</f>
        <v>0</v>
      </c>
      <c r="AV276" s="299">
        <f>SUMIF('NEI Lookups'!$L:$L,'Inputs Yr 2'!$F276,'NEI Lookups'!H:H)+SUMIF('NEI Lookups'!$M:$M,'Inputs Yr 2'!$F276,'NEI Lookups'!H:H)+SUMIF('NEI Lookups'!$N:$N,'Inputs Yr 2'!$F276,'NEI Lookups'!H:H)+SUMIF('NEI Lookups'!$O:$O,'Inputs Yr 2'!$F276,'NEI Lookups'!H:H)+SUMIF('NEI Lookups'!$P:$P,'Inputs Yr 2'!$F276,'NEI Lookups'!H:H)+SUMIF('NEI Lookups'!$Q:$Q,'Inputs Yr 2'!$F276,'NEI Lookups'!H:H)+SUMIF('NEI Lookups'!$R:$R,'Inputs Yr 2'!$F276,'NEI Lookups'!H:H)+SUMIF('NEI Lookups'!$S:$S,'Inputs Yr 2'!$F276,'NEI Lookups'!H:H)+SUMIF('NEI Lookups'!$T:$T,'Inputs Yr 2'!$F276,'NEI Lookups'!H:H)</f>
        <v>0</v>
      </c>
      <c r="AW276" s="299">
        <f>SUMIF('NEI Lookups'!$L:$L,'Inputs Yr 2'!$F276,'NEI Lookups'!I:I)+SUMIF('NEI Lookups'!$M:$M,'Inputs Yr 2'!$F276,'NEI Lookups'!I:I)+SUMIF('NEI Lookups'!$N:$N,'Inputs Yr 2'!$F276,'NEI Lookups'!I:I)+SUMIF('NEI Lookups'!$O:$O,'Inputs Yr 2'!$F276,'NEI Lookups'!I:I)+SUMIF('NEI Lookups'!$P:$P,'Inputs Yr 2'!$F276,'NEI Lookups'!I:I)+SUMIF('NEI Lookups'!$Q:$Q,'Inputs Yr 2'!$F276,'NEI Lookups'!I:I)+SUMIF('NEI Lookups'!$R:$R,'Inputs Yr 2'!$F276,'NEI Lookups'!I:I)+SUMIF('NEI Lookups'!$S:$S,'Inputs Yr 2'!$F276,'NEI Lookups'!I:I)+SUMIF('NEI Lookups'!$T:$T,'Inputs Yr 2'!$F276,'NEI Lookups'!I:I)</f>
        <v>1.35</v>
      </c>
      <c r="AX276" s="299">
        <f>SUMIF('NEI Lookups'!$L:$L,'Inputs Yr 2'!$F276,'NEI Lookups'!J:J)+SUMIF('NEI Lookups'!$M:$M,'Inputs Yr 2'!$F276,'NEI Lookups'!J:J)+SUMIF('NEI Lookups'!$N:$N,'Inputs Yr 2'!$F276,'NEI Lookups'!J:J)+SUMIF('NEI Lookups'!$O:$O,'Inputs Yr 2'!$F276,'NEI Lookups'!J:J)+SUMIF('NEI Lookups'!$P:$P,'Inputs Yr 2'!$F276,'NEI Lookups'!J:J)+SUMIF('NEI Lookups'!$Q:$Q,'Inputs Yr 2'!$F276,'NEI Lookups'!J:J)+SUMIF('NEI Lookups'!$R:$R,'Inputs Yr 2'!$F276,'NEI Lookups'!J:J)+SUMIF('NEI Lookups'!$S:$S,'Inputs Yr 2'!$F276,'NEI Lookups'!J:J)+SUMIF('NEI Lookups'!$T:$T,'Inputs Yr 2'!$F276,'NEI Lookups'!J:J)</f>
        <v>0</v>
      </c>
      <c r="AY276" s="930">
        <f>'Calculations Yr 2'!CP276/'Calculations Yr 2'!I276</f>
        <v>11.243125719199478</v>
      </c>
    </row>
    <row r="277" spans="1:51" s="133" customFormat="1" ht="12.75" customHeight="1">
      <c r="A277" s="145" t="s">
        <v>83</v>
      </c>
      <c r="B277" s="132" t="s">
        <v>870</v>
      </c>
      <c r="C277" s="132" t="s">
        <v>841</v>
      </c>
      <c r="D277" s="98"/>
      <c r="E277" s="131" t="s">
        <v>736</v>
      </c>
      <c r="F277" s="150" t="s">
        <v>1516</v>
      </c>
      <c r="G277" s="145" t="s">
        <v>1247</v>
      </c>
      <c r="H277" s="232"/>
      <c r="I277" s="234">
        <v>15</v>
      </c>
      <c r="J277" s="964"/>
      <c r="K277" s="871"/>
      <c r="L277" s="888">
        <f t="shared" si="107"/>
        <v>0</v>
      </c>
      <c r="M277" s="978">
        <v>0.30099999999999999</v>
      </c>
      <c r="N277" s="978">
        <v>0.14700000000000002</v>
      </c>
      <c r="O277" s="978">
        <v>0</v>
      </c>
      <c r="P277" s="889">
        <f t="shared" ref="P277" si="119">1-M277+N277+O277</f>
        <v>0.84600000000000009</v>
      </c>
      <c r="Q277" s="978">
        <v>1</v>
      </c>
      <c r="R277" s="178">
        <v>1</v>
      </c>
      <c r="S277" s="178">
        <v>1</v>
      </c>
      <c r="T277" s="178">
        <v>1</v>
      </c>
      <c r="U277" s="978">
        <v>1</v>
      </c>
      <c r="V277" s="978">
        <v>1</v>
      </c>
      <c r="W277" s="179"/>
      <c r="X277" s="937" t="s">
        <v>653</v>
      </c>
      <c r="Y277" s="299"/>
      <c r="Z277" s="922" t="str">
        <f>IFERROR(VLOOKUP(X277,'Demand Lookups'!$A$5:$B$101,2,0),0)</f>
        <v>Non-Electric Measures</v>
      </c>
      <c r="AA277" s="722">
        <f>IF(ISNA(VLOOKUP($X277,'Demand Lookups'!$A$5:$K$81,3,0)),0,VLOOKUP($X277,'Demand Lookups'!$A$5:$K$81,3,0))</f>
        <v>0</v>
      </c>
      <c r="AB277" s="722">
        <f>IF(ISNA(VLOOKUP($X277,'Demand Lookups'!$A$5:$K$81,4,0)),0,VLOOKUP($X277,'Demand Lookups'!$A$5:$K$81,4,0))</f>
        <v>0</v>
      </c>
      <c r="AC277" s="722">
        <f>IF(ISNA(VLOOKUP($X277,'Demand Lookups'!$A$5:$K$81,5,0)),0,VLOOKUP($X277,'Demand Lookups'!$A$5:$K$81,5,0))</f>
        <v>0</v>
      </c>
      <c r="AD277" s="723">
        <f>IF(ISNA(VLOOKUP($X277,'Demand Lookups'!$A$5:$K$81,6,0)),0,VLOOKUP($X277,'Demand Lookups'!$A$5:$K$81,6,0))</f>
        <v>0</v>
      </c>
      <c r="AE277" s="724">
        <f t="shared" si="116"/>
        <v>0</v>
      </c>
      <c r="AF277" s="723">
        <f>ROUND(IF(ISNA(VLOOKUP($X277,'Demand Lookups'!$A$5:$K$82,10,0)),0,(VLOOKUP($X277,'Demand Lookups'!$A$5:$K$82,10,0))),2)</f>
        <v>0</v>
      </c>
      <c r="AG277" s="723">
        <f>ROUND(IF(ISNA(VLOOKUP($X277,'Demand Lookups'!$A$5:$K$82,11,0)),0,VLOOKUP($X277,'Demand Lookups'!$A$5:$K$82,11,0)),2)</f>
        <v>0</v>
      </c>
      <c r="AH277" s="648">
        <f t="shared" ref="AH277" si="120">AF277</f>
        <v>0</v>
      </c>
      <c r="AI277" s="648">
        <f t="shared" ref="AI277" si="121">AF277</f>
        <v>0</v>
      </c>
      <c r="AJ277" s="167"/>
      <c r="AK277" s="866"/>
      <c r="AL277" s="167"/>
      <c r="AM277" s="168"/>
      <c r="AN277" s="167"/>
      <c r="AO277" s="168"/>
      <c r="AP277" s="167"/>
      <c r="AQ277" s="171"/>
      <c r="AR277" s="171"/>
      <c r="AS277" s="299">
        <f>SUMIF('NEI Lookups'!$L:$L,'Inputs Yr 2'!$F277,'NEI Lookups'!E:E)+SUMIF('NEI Lookups'!$M:$M,'Inputs Yr 2'!$F277,'NEI Lookups'!E:E)+SUMIF('NEI Lookups'!$N:$N,'Inputs Yr 2'!$F277,'NEI Lookups'!E:E)+SUMIF('NEI Lookups'!$O:$O,'Inputs Yr 2'!$F277,'NEI Lookups'!E:E)+SUMIF('NEI Lookups'!$P:$P,'Inputs Yr 2'!$F277,'NEI Lookups'!E:E)+SUMIF('NEI Lookups'!$Q:$Q,'Inputs Yr 2'!$F277,'NEI Lookups'!E:E)+SUMIF('NEI Lookups'!$R:$R,'Inputs Yr 2'!$F277,'NEI Lookups'!E:E)+SUMIF('NEI Lookups'!$S:$S,'Inputs Yr 2'!$F277,'NEI Lookups'!E:E)+SUMIF('NEI Lookups'!$T:$T,'Inputs Yr 2'!$F277,'NEI Lookups'!E:E)</f>
        <v>0</v>
      </c>
      <c r="AT277" s="299">
        <f>SUMIF('NEI Lookups'!$L:$L,'Inputs Yr 2'!$F277,'NEI Lookups'!F:F)+SUMIF('NEI Lookups'!$M:$M,'Inputs Yr 2'!$F277,'NEI Lookups'!F:F)+SUMIF('NEI Lookups'!$N:$N,'Inputs Yr 2'!$F277,'NEI Lookups'!F:F)+SUMIF('NEI Lookups'!$O:$O,'Inputs Yr 2'!$F277,'NEI Lookups'!F:F)+SUMIF('NEI Lookups'!$P:$P,'Inputs Yr 2'!$F277,'NEI Lookups'!F:F)+SUMIF('NEI Lookups'!$Q:$Q,'Inputs Yr 2'!$F277,'NEI Lookups'!F:F)+SUMIF('NEI Lookups'!$R:$R,'Inputs Yr 2'!$F277,'NEI Lookups'!F:F)+SUMIF('NEI Lookups'!$S:$S,'Inputs Yr 2'!$F277,'NEI Lookups'!F:F)+SUMIF('NEI Lookups'!$T:$T,'Inputs Yr 2'!$F277,'NEI Lookups'!F:F)</f>
        <v>0</v>
      </c>
      <c r="AU277" s="299">
        <f>SUMIF('NEI Lookups'!$L:$L,'Inputs Yr 2'!$F277,'NEI Lookups'!G:G)+SUMIF('NEI Lookups'!$M:$M,'Inputs Yr 2'!$F277,'NEI Lookups'!G:G)+SUMIF('NEI Lookups'!$N:$N,'Inputs Yr 2'!$F277,'NEI Lookups'!G:G)+SUMIF('NEI Lookups'!$O:$O,'Inputs Yr 2'!$F277,'NEI Lookups'!G:G)+SUMIF('NEI Lookups'!$P:$P,'Inputs Yr 2'!$F277,'NEI Lookups'!G:G)+SUMIF('NEI Lookups'!$Q:$Q,'Inputs Yr 2'!$F277,'NEI Lookups'!G:G)+SUMIF('NEI Lookups'!$R:$R,'Inputs Yr 2'!$F277,'NEI Lookups'!G:G)+SUMIF('NEI Lookups'!$S:$S,'Inputs Yr 2'!$F277,'NEI Lookups'!G:G)+SUMIF('NEI Lookups'!$T:$T,'Inputs Yr 2'!$F277,'NEI Lookups'!G:G)</f>
        <v>0</v>
      </c>
      <c r="AV277" s="299">
        <f>SUMIF('NEI Lookups'!$L:$L,'Inputs Yr 2'!$F277,'NEI Lookups'!H:H)+SUMIF('NEI Lookups'!$M:$M,'Inputs Yr 2'!$F277,'NEI Lookups'!H:H)+SUMIF('NEI Lookups'!$N:$N,'Inputs Yr 2'!$F277,'NEI Lookups'!H:H)+SUMIF('NEI Lookups'!$O:$O,'Inputs Yr 2'!$F277,'NEI Lookups'!H:H)+SUMIF('NEI Lookups'!$P:$P,'Inputs Yr 2'!$F277,'NEI Lookups'!H:H)+SUMIF('NEI Lookups'!$Q:$Q,'Inputs Yr 2'!$F277,'NEI Lookups'!H:H)+SUMIF('NEI Lookups'!$R:$R,'Inputs Yr 2'!$F277,'NEI Lookups'!H:H)+SUMIF('NEI Lookups'!$S:$S,'Inputs Yr 2'!$F277,'NEI Lookups'!H:H)+SUMIF('NEI Lookups'!$T:$T,'Inputs Yr 2'!$F277,'NEI Lookups'!H:H)</f>
        <v>0</v>
      </c>
      <c r="AW277" s="299">
        <f>SUMIF('NEI Lookups'!$L:$L,'Inputs Yr 2'!$F277,'NEI Lookups'!I:I)+SUMIF('NEI Lookups'!$M:$M,'Inputs Yr 2'!$F277,'NEI Lookups'!I:I)+SUMIF('NEI Lookups'!$N:$N,'Inputs Yr 2'!$F277,'NEI Lookups'!I:I)+SUMIF('NEI Lookups'!$O:$O,'Inputs Yr 2'!$F277,'NEI Lookups'!I:I)+SUMIF('NEI Lookups'!$P:$P,'Inputs Yr 2'!$F277,'NEI Lookups'!I:I)+SUMIF('NEI Lookups'!$Q:$Q,'Inputs Yr 2'!$F277,'NEI Lookups'!I:I)+SUMIF('NEI Lookups'!$R:$R,'Inputs Yr 2'!$F277,'NEI Lookups'!I:I)+SUMIF('NEI Lookups'!$S:$S,'Inputs Yr 2'!$F277,'NEI Lookups'!I:I)+SUMIF('NEI Lookups'!$T:$T,'Inputs Yr 2'!$F277,'NEI Lookups'!I:I)</f>
        <v>0</v>
      </c>
      <c r="AX277" s="299">
        <f>SUMIF('NEI Lookups'!$L:$L,'Inputs Yr 2'!$F277,'NEI Lookups'!J:J)+SUMIF('NEI Lookups'!$M:$M,'Inputs Yr 2'!$F277,'NEI Lookups'!J:J)+SUMIF('NEI Lookups'!$N:$N,'Inputs Yr 2'!$F277,'NEI Lookups'!J:J)+SUMIF('NEI Lookups'!$O:$O,'Inputs Yr 2'!$F277,'NEI Lookups'!J:J)+SUMIF('NEI Lookups'!$P:$P,'Inputs Yr 2'!$F277,'NEI Lookups'!J:J)+SUMIF('NEI Lookups'!$Q:$Q,'Inputs Yr 2'!$F277,'NEI Lookups'!J:J)+SUMIF('NEI Lookups'!$R:$R,'Inputs Yr 2'!$F277,'NEI Lookups'!J:J)+SUMIF('NEI Lookups'!$S:$S,'Inputs Yr 2'!$F277,'NEI Lookups'!J:J)+SUMIF('NEI Lookups'!$T:$T,'Inputs Yr 2'!$F277,'NEI Lookups'!J:J)</f>
        <v>0</v>
      </c>
      <c r="AY277" s="930" t="e">
        <f>'Calculations Yr 2'!CP277/'Calculations Yr 2'!I277</f>
        <v>#VALUE!</v>
      </c>
    </row>
    <row r="278" spans="1:51" s="133" customFormat="1" ht="12.75" customHeight="1">
      <c r="A278" s="145" t="s">
        <v>83</v>
      </c>
      <c r="B278" s="132" t="s">
        <v>870</v>
      </c>
      <c r="C278" s="132" t="s">
        <v>841</v>
      </c>
      <c r="D278" s="902"/>
      <c r="E278" s="150" t="s">
        <v>1385</v>
      </c>
      <c r="F278" s="150" t="s">
        <v>1142</v>
      </c>
      <c r="G278" s="145" t="s">
        <v>1247</v>
      </c>
      <c r="H278" s="232">
        <v>115</v>
      </c>
      <c r="I278" s="234">
        <v>15</v>
      </c>
      <c r="J278" s="964">
        <v>268</v>
      </c>
      <c r="K278" s="871">
        <v>99.97</v>
      </c>
      <c r="L278" s="888">
        <f t="shared" si="107"/>
        <v>168.03</v>
      </c>
      <c r="M278" s="978">
        <v>0.30099999999999999</v>
      </c>
      <c r="N278" s="978">
        <v>0.14700000000000002</v>
      </c>
      <c r="O278" s="978">
        <v>0</v>
      </c>
      <c r="P278" s="889">
        <f t="shared" si="79"/>
        <v>0.84600000000000009</v>
      </c>
      <c r="Q278" s="978">
        <v>1</v>
      </c>
      <c r="R278" s="178">
        <v>1</v>
      </c>
      <c r="S278" s="178">
        <v>1</v>
      </c>
      <c r="T278" s="178">
        <v>1</v>
      </c>
      <c r="U278" s="978">
        <v>1</v>
      </c>
      <c r="V278" s="978">
        <v>1</v>
      </c>
      <c r="W278" s="179"/>
      <c r="X278" s="937" t="s">
        <v>653</v>
      </c>
      <c r="Y278" s="299">
        <f>IFERROR(VLOOKUP($X278,'Demand Lookups'!$A$5:$K$101,9,0), 0)</f>
        <v>0</v>
      </c>
      <c r="Z278" s="922" t="str">
        <f>IFERROR(VLOOKUP(X278,'Demand Lookups'!$A$5:$B$101,2,0),0)</f>
        <v>Non-Electric Measures</v>
      </c>
      <c r="AA278" s="722">
        <f>IF(ISNA(VLOOKUP($X278,'Demand Lookups'!$A$5:$K$81,3,0)),0,VLOOKUP($X278,'Demand Lookups'!$A$5:$K$81,3,0))</f>
        <v>0</v>
      </c>
      <c r="AB278" s="722">
        <f>IF(ISNA(VLOOKUP($X278,'Demand Lookups'!$A$5:$K$81,4,0)),0,VLOOKUP($X278,'Demand Lookups'!$A$5:$K$81,4,0))</f>
        <v>0</v>
      </c>
      <c r="AC278" s="722">
        <f>IF(ISNA(VLOOKUP($X278,'Demand Lookups'!$A$5:$K$81,5,0)),0,VLOOKUP($X278,'Demand Lookups'!$A$5:$K$81,5,0))</f>
        <v>0</v>
      </c>
      <c r="AD278" s="723">
        <f>IF(ISNA(VLOOKUP($X278,'Demand Lookups'!$A$5:$K$81,6,0)),0,VLOOKUP($X278,'Demand Lookups'!$A$5:$K$81,6,0))</f>
        <v>0</v>
      </c>
      <c r="AE278" s="724">
        <f t="shared" si="116"/>
        <v>0</v>
      </c>
      <c r="AF278" s="723">
        <f>ROUND(IF(ISNA(VLOOKUP($X278,'Demand Lookups'!$A$5:$K$82,10,0)),0,(VLOOKUP($X278,'Demand Lookups'!$A$5:$K$82,10,0))),2)</f>
        <v>0</v>
      </c>
      <c r="AG278" s="723">
        <f>ROUND(IF(ISNA(VLOOKUP($X278,'Demand Lookups'!$A$5:$K$82,11,0)),0,VLOOKUP($X278,'Demand Lookups'!$A$5:$K$82,11,0)),2)</f>
        <v>0</v>
      </c>
      <c r="AH278" s="648">
        <f t="shared" si="81"/>
        <v>0</v>
      </c>
      <c r="AI278" s="648">
        <f t="shared" si="82"/>
        <v>0</v>
      </c>
      <c r="AJ278" s="167" t="s">
        <v>87</v>
      </c>
      <c r="AK278" s="866">
        <v>6.6000000000000005</v>
      </c>
      <c r="AL278" s="167"/>
      <c r="AM278" s="168"/>
      <c r="AN278" s="167"/>
      <c r="AO278" s="168"/>
      <c r="AP278" s="167"/>
      <c r="AQ278" s="171">
        <v>0</v>
      </c>
      <c r="AR278" s="171">
        <v>0</v>
      </c>
      <c r="AS278" s="299">
        <f>SUMIF('NEI Lookups'!$L:$L,'Inputs Yr 2'!$F278,'NEI Lookups'!E:E)+SUMIF('NEI Lookups'!$M:$M,'Inputs Yr 2'!$F278,'NEI Lookups'!E:E)+SUMIF('NEI Lookups'!$N:$N,'Inputs Yr 2'!$F278,'NEI Lookups'!E:E)+SUMIF('NEI Lookups'!$O:$O,'Inputs Yr 2'!$F278,'NEI Lookups'!E:E)+SUMIF('NEI Lookups'!$P:$P,'Inputs Yr 2'!$F278,'NEI Lookups'!E:E)+SUMIF('NEI Lookups'!$Q:$Q,'Inputs Yr 2'!$F278,'NEI Lookups'!E:E)+SUMIF('NEI Lookups'!$R:$R,'Inputs Yr 2'!$F278,'NEI Lookups'!E:E)+SUMIF('NEI Lookups'!$S:$S,'Inputs Yr 2'!$F278,'NEI Lookups'!E:E)+SUMIF('NEI Lookups'!$T:$T,'Inputs Yr 2'!$F278,'NEI Lookups'!E:E)</f>
        <v>0</v>
      </c>
      <c r="AT278" s="299">
        <f>SUMIF('NEI Lookups'!$L:$L,'Inputs Yr 2'!$F278,'NEI Lookups'!F:F)+SUMIF('NEI Lookups'!$M:$M,'Inputs Yr 2'!$F278,'NEI Lookups'!F:F)+SUMIF('NEI Lookups'!$N:$N,'Inputs Yr 2'!$F278,'NEI Lookups'!F:F)+SUMIF('NEI Lookups'!$O:$O,'Inputs Yr 2'!$F278,'NEI Lookups'!F:F)+SUMIF('NEI Lookups'!$P:$P,'Inputs Yr 2'!$F278,'NEI Lookups'!F:F)+SUMIF('NEI Lookups'!$Q:$Q,'Inputs Yr 2'!$F278,'NEI Lookups'!F:F)+SUMIF('NEI Lookups'!$R:$R,'Inputs Yr 2'!$F278,'NEI Lookups'!F:F)+SUMIF('NEI Lookups'!$S:$S,'Inputs Yr 2'!$F278,'NEI Lookups'!F:F)+SUMIF('NEI Lookups'!$T:$T,'Inputs Yr 2'!$F278,'NEI Lookups'!F:F)</f>
        <v>0</v>
      </c>
      <c r="AU278" s="299">
        <f>SUMIF('NEI Lookups'!$L:$L,'Inputs Yr 2'!$F278,'NEI Lookups'!G:G)+SUMIF('NEI Lookups'!$M:$M,'Inputs Yr 2'!$F278,'NEI Lookups'!G:G)+SUMIF('NEI Lookups'!$N:$N,'Inputs Yr 2'!$F278,'NEI Lookups'!G:G)+SUMIF('NEI Lookups'!$O:$O,'Inputs Yr 2'!$F278,'NEI Lookups'!G:G)+SUMIF('NEI Lookups'!$P:$P,'Inputs Yr 2'!$F278,'NEI Lookups'!G:G)+SUMIF('NEI Lookups'!$Q:$Q,'Inputs Yr 2'!$F278,'NEI Lookups'!G:G)+SUMIF('NEI Lookups'!$R:$R,'Inputs Yr 2'!$F278,'NEI Lookups'!G:G)+SUMIF('NEI Lookups'!$S:$S,'Inputs Yr 2'!$F278,'NEI Lookups'!G:G)+SUMIF('NEI Lookups'!$T:$T,'Inputs Yr 2'!$F278,'NEI Lookups'!G:G)</f>
        <v>0</v>
      </c>
      <c r="AV278" s="299">
        <f>SUMIF('NEI Lookups'!$L:$L,'Inputs Yr 2'!$F278,'NEI Lookups'!H:H)+SUMIF('NEI Lookups'!$M:$M,'Inputs Yr 2'!$F278,'NEI Lookups'!H:H)+SUMIF('NEI Lookups'!$N:$N,'Inputs Yr 2'!$F278,'NEI Lookups'!H:H)+SUMIF('NEI Lookups'!$O:$O,'Inputs Yr 2'!$F278,'NEI Lookups'!H:H)+SUMIF('NEI Lookups'!$P:$P,'Inputs Yr 2'!$F278,'NEI Lookups'!H:H)+SUMIF('NEI Lookups'!$Q:$Q,'Inputs Yr 2'!$F278,'NEI Lookups'!H:H)+SUMIF('NEI Lookups'!$R:$R,'Inputs Yr 2'!$F278,'NEI Lookups'!H:H)+SUMIF('NEI Lookups'!$S:$S,'Inputs Yr 2'!$F278,'NEI Lookups'!H:H)+SUMIF('NEI Lookups'!$T:$T,'Inputs Yr 2'!$F278,'NEI Lookups'!H:H)</f>
        <v>0</v>
      </c>
      <c r="AW278" s="299">
        <f>SUMIF('NEI Lookups'!$L:$L,'Inputs Yr 2'!$F278,'NEI Lookups'!I:I)+SUMIF('NEI Lookups'!$M:$M,'Inputs Yr 2'!$F278,'NEI Lookups'!I:I)+SUMIF('NEI Lookups'!$N:$N,'Inputs Yr 2'!$F278,'NEI Lookups'!I:I)+SUMIF('NEI Lookups'!$O:$O,'Inputs Yr 2'!$F278,'NEI Lookups'!I:I)+SUMIF('NEI Lookups'!$P:$P,'Inputs Yr 2'!$F278,'NEI Lookups'!I:I)+SUMIF('NEI Lookups'!$Q:$Q,'Inputs Yr 2'!$F278,'NEI Lookups'!I:I)+SUMIF('NEI Lookups'!$R:$R,'Inputs Yr 2'!$F278,'NEI Lookups'!I:I)+SUMIF('NEI Lookups'!$S:$S,'Inputs Yr 2'!$F278,'NEI Lookups'!I:I)+SUMIF('NEI Lookups'!$T:$T,'Inputs Yr 2'!$F278,'NEI Lookups'!I:I)</f>
        <v>1.35</v>
      </c>
      <c r="AX278" s="299">
        <f>SUMIF('NEI Lookups'!$L:$L,'Inputs Yr 2'!$F278,'NEI Lookups'!J:J)+SUMIF('NEI Lookups'!$M:$M,'Inputs Yr 2'!$F278,'NEI Lookups'!J:J)+SUMIF('NEI Lookups'!$N:$N,'Inputs Yr 2'!$F278,'NEI Lookups'!J:J)+SUMIF('NEI Lookups'!$O:$O,'Inputs Yr 2'!$F278,'NEI Lookups'!J:J)+SUMIF('NEI Lookups'!$P:$P,'Inputs Yr 2'!$F278,'NEI Lookups'!J:J)+SUMIF('NEI Lookups'!$Q:$Q,'Inputs Yr 2'!$F278,'NEI Lookups'!J:J)+SUMIF('NEI Lookups'!$R:$R,'Inputs Yr 2'!$F278,'NEI Lookups'!J:J)+SUMIF('NEI Lookups'!$S:$S,'Inputs Yr 2'!$F278,'NEI Lookups'!J:J)+SUMIF('NEI Lookups'!$T:$T,'Inputs Yr 2'!$F278,'NEI Lookups'!J:J)</f>
        <v>0</v>
      </c>
      <c r="AY278" s="930">
        <f>'Calculations Yr 2'!CP278/'Calculations Yr 2'!I278</f>
        <v>7.9603847209630656</v>
      </c>
    </row>
    <row r="279" spans="1:51" s="133" customFormat="1" ht="12.75" customHeight="1">
      <c r="A279" s="145" t="s">
        <v>83</v>
      </c>
      <c r="B279" s="132" t="s">
        <v>870</v>
      </c>
      <c r="C279" s="132" t="s">
        <v>841</v>
      </c>
      <c r="D279" s="902"/>
      <c r="E279" s="150" t="s">
        <v>1386</v>
      </c>
      <c r="F279" s="150" t="s">
        <v>1143</v>
      </c>
      <c r="G279" s="145" t="s">
        <v>1247</v>
      </c>
      <c r="H279" s="232">
        <v>35</v>
      </c>
      <c r="I279" s="234">
        <v>15</v>
      </c>
      <c r="J279" s="964">
        <v>268</v>
      </c>
      <c r="K279" s="871">
        <v>98.805714285714274</v>
      </c>
      <c r="L279" s="888">
        <f t="shared" si="107"/>
        <v>169.19428571428574</v>
      </c>
      <c r="M279" s="978">
        <v>0.30099999999999999</v>
      </c>
      <c r="N279" s="978">
        <v>0.14700000000000002</v>
      </c>
      <c r="O279" s="978">
        <v>0</v>
      </c>
      <c r="P279" s="889">
        <f t="shared" si="79"/>
        <v>0.84600000000000009</v>
      </c>
      <c r="Q279" s="978">
        <v>1</v>
      </c>
      <c r="R279" s="178">
        <v>1</v>
      </c>
      <c r="S279" s="178">
        <v>1</v>
      </c>
      <c r="T279" s="178">
        <v>1</v>
      </c>
      <c r="U279" s="978">
        <v>1</v>
      </c>
      <c r="V279" s="978">
        <v>1</v>
      </c>
      <c r="W279" s="179"/>
      <c r="X279" s="937" t="s">
        <v>653</v>
      </c>
      <c r="Y279" s="299">
        <f>IFERROR(VLOOKUP($X279,'Demand Lookups'!$A$5:$K$101,9,0), 0)</f>
        <v>0</v>
      </c>
      <c r="Z279" s="922" t="str">
        <f>IFERROR(VLOOKUP(X279,'Demand Lookups'!$A$5:$B$101,2,0),0)</f>
        <v>Non-Electric Measures</v>
      </c>
      <c r="AA279" s="722">
        <f>IF(ISNA(VLOOKUP($X279,'Demand Lookups'!$A$5:$K$81,3,0)),0,VLOOKUP($X279,'Demand Lookups'!$A$5:$K$81,3,0))</f>
        <v>0</v>
      </c>
      <c r="AB279" s="722">
        <f>IF(ISNA(VLOOKUP($X279,'Demand Lookups'!$A$5:$K$81,4,0)),0,VLOOKUP($X279,'Demand Lookups'!$A$5:$K$81,4,0))</f>
        <v>0</v>
      </c>
      <c r="AC279" s="722">
        <f>IF(ISNA(VLOOKUP($X279,'Demand Lookups'!$A$5:$K$81,5,0)),0,VLOOKUP($X279,'Demand Lookups'!$A$5:$K$81,5,0))</f>
        <v>0</v>
      </c>
      <c r="AD279" s="723">
        <f>IF(ISNA(VLOOKUP($X279,'Demand Lookups'!$A$5:$K$81,6,0)),0,VLOOKUP($X279,'Demand Lookups'!$A$5:$K$81,6,0))</f>
        <v>0</v>
      </c>
      <c r="AE279" s="724">
        <f t="shared" si="116"/>
        <v>0</v>
      </c>
      <c r="AF279" s="723">
        <f>ROUND(IF(ISNA(VLOOKUP($X279,'Demand Lookups'!$A$5:$K$82,10,0)),0,(VLOOKUP($X279,'Demand Lookups'!$A$5:$K$82,10,0))),2)</f>
        <v>0</v>
      </c>
      <c r="AG279" s="723">
        <f>ROUND(IF(ISNA(VLOOKUP($X279,'Demand Lookups'!$A$5:$K$82,11,0)),0,VLOOKUP($X279,'Demand Lookups'!$A$5:$K$82,11,0)),2)</f>
        <v>0</v>
      </c>
      <c r="AH279" s="648">
        <f t="shared" si="81"/>
        <v>0</v>
      </c>
      <c r="AI279" s="648">
        <f t="shared" si="82"/>
        <v>0</v>
      </c>
      <c r="AJ279" s="167" t="s">
        <v>87</v>
      </c>
      <c r="AK279" s="866">
        <v>6.6000000000000005</v>
      </c>
      <c r="AL279" s="167"/>
      <c r="AM279" s="168"/>
      <c r="AN279" s="167"/>
      <c r="AO279" s="168"/>
      <c r="AP279" s="167"/>
      <c r="AQ279" s="171">
        <v>0</v>
      </c>
      <c r="AR279" s="171">
        <v>0</v>
      </c>
      <c r="AS279" s="299">
        <f>SUMIF('NEI Lookups'!$L:$L,'Inputs Yr 2'!$F279,'NEI Lookups'!E:E)+SUMIF('NEI Lookups'!$M:$M,'Inputs Yr 2'!$F279,'NEI Lookups'!E:E)+SUMIF('NEI Lookups'!$N:$N,'Inputs Yr 2'!$F279,'NEI Lookups'!E:E)+SUMIF('NEI Lookups'!$O:$O,'Inputs Yr 2'!$F279,'NEI Lookups'!E:E)+SUMIF('NEI Lookups'!$P:$P,'Inputs Yr 2'!$F279,'NEI Lookups'!E:E)+SUMIF('NEI Lookups'!$Q:$Q,'Inputs Yr 2'!$F279,'NEI Lookups'!E:E)+SUMIF('NEI Lookups'!$R:$R,'Inputs Yr 2'!$F279,'NEI Lookups'!E:E)+SUMIF('NEI Lookups'!$S:$S,'Inputs Yr 2'!$F279,'NEI Lookups'!E:E)+SUMIF('NEI Lookups'!$T:$T,'Inputs Yr 2'!$F279,'NEI Lookups'!E:E)</f>
        <v>0</v>
      </c>
      <c r="AT279" s="299">
        <f>SUMIF('NEI Lookups'!$L:$L,'Inputs Yr 2'!$F279,'NEI Lookups'!F:F)+SUMIF('NEI Lookups'!$M:$M,'Inputs Yr 2'!$F279,'NEI Lookups'!F:F)+SUMIF('NEI Lookups'!$N:$N,'Inputs Yr 2'!$F279,'NEI Lookups'!F:F)+SUMIF('NEI Lookups'!$O:$O,'Inputs Yr 2'!$F279,'NEI Lookups'!F:F)+SUMIF('NEI Lookups'!$P:$P,'Inputs Yr 2'!$F279,'NEI Lookups'!F:F)+SUMIF('NEI Lookups'!$Q:$Q,'Inputs Yr 2'!$F279,'NEI Lookups'!F:F)+SUMIF('NEI Lookups'!$R:$R,'Inputs Yr 2'!$F279,'NEI Lookups'!F:F)+SUMIF('NEI Lookups'!$S:$S,'Inputs Yr 2'!$F279,'NEI Lookups'!F:F)+SUMIF('NEI Lookups'!$T:$T,'Inputs Yr 2'!$F279,'NEI Lookups'!F:F)</f>
        <v>0</v>
      </c>
      <c r="AU279" s="299">
        <f>SUMIF('NEI Lookups'!$L:$L,'Inputs Yr 2'!$F279,'NEI Lookups'!G:G)+SUMIF('NEI Lookups'!$M:$M,'Inputs Yr 2'!$F279,'NEI Lookups'!G:G)+SUMIF('NEI Lookups'!$N:$N,'Inputs Yr 2'!$F279,'NEI Lookups'!G:G)+SUMIF('NEI Lookups'!$O:$O,'Inputs Yr 2'!$F279,'NEI Lookups'!G:G)+SUMIF('NEI Lookups'!$P:$P,'Inputs Yr 2'!$F279,'NEI Lookups'!G:G)+SUMIF('NEI Lookups'!$Q:$Q,'Inputs Yr 2'!$F279,'NEI Lookups'!G:G)+SUMIF('NEI Lookups'!$R:$R,'Inputs Yr 2'!$F279,'NEI Lookups'!G:G)+SUMIF('NEI Lookups'!$S:$S,'Inputs Yr 2'!$F279,'NEI Lookups'!G:G)+SUMIF('NEI Lookups'!$T:$T,'Inputs Yr 2'!$F279,'NEI Lookups'!G:G)</f>
        <v>0</v>
      </c>
      <c r="AV279" s="299">
        <f>SUMIF('NEI Lookups'!$L:$L,'Inputs Yr 2'!$F279,'NEI Lookups'!H:H)+SUMIF('NEI Lookups'!$M:$M,'Inputs Yr 2'!$F279,'NEI Lookups'!H:H)+SUMIF('NEI Lookups'!$N:$N,'Inputs Yr 2'!$F279,'NEI Lookups'!H:H)+SUMIF('NEI Lookups'!$O:$O,'Inputs Yr 2'!$F279,'NEI Lookups'!H:H)+SUMIF('NEI Lookups'!$P:$P,'Inputs Yr 2'!$F279,'NEI Lookups'!H:H)+SUMIF('NEI Lookups'!$Q:$Q,'Inputs Yr 2'!$F279,'NEI Lookups'!H:H)+SUMIF('NEI Lookups'!$R:$R,'Inputs Yr 2'!$F279,'NEI Lookups'!H:H)+SUMIF('NEI Lookups'!$S:$S,'Inputs Yr 2'!$F279,'NEI Lookups'!H:H)+SUMIF('NEI Lookups'!$T:$T,'Inputs Yr 2'!$F279,'NEI Lookups'!H:H)</f>
        <v>0</v>
      </c>
      <c r="AW279" s="299">
        <f>SUMIF('NEI Lookups'!$L:$L,'Inputs Yr 2'!$F279,'NEI Lookups'!I:I)+SUMIF('NEI Lookups'!$M:$M,'Inputs Yr 2'!$F279,'NEI Lookups'!I:I)+SUMIF('NEI Lookups'!$N:$N,'Inputs Yr 2'!$F279,'NEI Lookups'!I:I)+SUMIF('NEI Lookups'!$O:$O,'Inputs Yr 2'!$F279,'NEI Lookups'!I:I)+SUMIF('NEI Lookups'!$P:$P,'Inputs Yr 2'!$F279,'NEI Lookups'!I:I)+SUMIF('NEI Lookups'!$Q:$Q,'Inputs Yr 2'!$F279,'NEI Lookups'!I:I)+SUMIF('NEI Lookups'!$R:$R,'Inputs Yr 2'!$F279,'NEI Lookups'!I:I)+SUMIF('NEI Lookups'!$S:$S,'Inputs Yr 2'!$F279,'NEI Lookups'!I:I)+SUMIF('NEI Lookups'!$T:$T,'Inputs Yr 2'!$F279,'NEI Lookups'!I:I)</f>
        <v>1.35</v>
      </c>
      <c r="AX279" s="299">
        <f>SUMIF('NEI Lookups'!$L:$L,'Inputs Yr 2'!$F279,'NEI Lookups'!J:J)+SUMIF('NEI Lookups'!$M:$M,'Inputs Yr 2'!$F279,'NEI Lookups'!J:J)+SUMIF('NEI Lookups'!$N:$N,'Inputs Yr 2'!$F279,'NEI Lookups'!J:J)+SUMIF('NEI Lookups'!$O:$O,'Inputs Yr 2'!$F279,'NEI Lookups'!J:J)+SUMIF('NEI Lookups'!$P:$P,'Inputs Yr 2'!$F279,'NEI Lookups'!J:J)+SUMIF('NEI Lookups'!$Q:$Q,'Inputs Yr 2'!$F279,'NEI Lookups'!J:J)+SUMIF('NEI Lookups'!$R:$R,'Inputs Yr 2'!$F279,'NEI Lookups'!J:J)+SUMIF('NEI Lookups'!$S:$S,'Inputs Yr 2'!$F279,'NEI Lookups'!J:J)+SUMIF('NEI Lookups'!$T:$T,'Inputs Yr 2'!$F279,'NEI Lookups'!J:J)</f>
        <v>0</v>
      </c>
      <c r="AY279" s="930">
        <f>'Calculations Yr 2'!CP279/'Calculations Yr 2'!I279</f>
        <v>7.9603847209630656</v>
      </c>
    </row>
    <row r="280" spans="1:51" s="133" customFormat="1" ht="12.75" customHeight="1">
      <c r="A280" s="145" t="s">
        <v>83</v>
      </c>
      <c r="B280" s="132" t="s">
        <v>870</v>
      </c>
      <c r="C280" s="132" t="s">
        <v>841</v>
      </c>
      <c r="D280" s="98"/>
      <c r="E280" s="150" t="s">
        <v>1312</v>
      </c>
      <c r="F280" s="150" t="s">
        <v>1144</v>
      </c>
      <c r="G280" s="145" t="s">
        <v>1247</v>
      </c>
      <c r="H280" s="165"/>
      <c r="I280" s="234">
        <v>20</v>
      </c>
      <c r="J280" s="964"/>
      <c r="K280" s="871"/>
      <c r="L280" s="888">
        <f t="shared" si="107"/>
        <v>0</v>
      </c>
      <c r="M280" s="978">
        <v>0.30099999999999999</v>
      </c>
      <c r="N280" s="978">
        <v>0.14699999999999999</v>
      </c>
      <c r="O280" s="978">
        <v>0</v>
      </c>
      <c r="P280" s="889">
        <v>0.84600000000000009</v>
      </c>
      <c r="Q280" s="978">
        <v>1</v>
      </c>
      <c r="R280" s="178">
        <v>1</v>
      </c>
      <c r="S280" s="178">
        <v>1</v>
      </c>
      <c r="T280" s="178">
        <v>1</v>
      </c>
      <c r="U280" s="978">
        <v>0</v>
      </c>
      <c r="V280" s="978">
        <v>0</v>
      </c>
      <c r="W280" s="179"/>
      <c r="X280" s="937" t="s">
        <v>653</v>
      </c>
      <c r="Y280" s="299">
        <f>IFERROR(VLOOKUP($X280,'Demand Lookups'!$A$5:$K$101,9,0), 0)</f>
        <v>0</v>
      </c>
      <c r="Z280" s="922" t="str">
        <f>IFERROR(VLOOKUP(X280,'Demand Lookups'!$A$5:$B$101,2,0),0)</f>
        <v>Non-Electric Measures</v>
      </c>
      <c r="AA280" s="722">
        <v>0</v>
      </c>
      <c r="AB280" s="722">
        <v>0</v>
      </c>
      <c r="AC280" s="722">
        <v>0</v>
      </c>
      <c r="AD280" s="723">
        <v>0</v>
      </c>
      <c r="AE280" s="724">
        <f t="shared" si="116"/>
        <v>0</v>
      </c>
      <c r="AF280" s="723">
        <v>0</v>
      </c>
      <c r="AG280" s="723">
        <v>0</v>
      </c>
      <c r="AH280" s="648">
        <v>0</v>
      </c>
      <c r="AI280" s="648">
        <v>0</v>
      </c>
      <c r="AJ280" s="167"/>
      <c r="AK280" s="866"/>
      <c r="AL280" s="167"/>
      <c r="AM280" s="168"/>
      <c r="AN280" s="167"/>
      <c r="AO280" s="168"/>
      <c r="AP280" s="167"/>
      <c r="AQ280" s="171"/>
      <c r="AR280" s="171"/>
      <c r="AS280" s="299">
        <f>SUMIF('NEI Lookups'!$L:$L,'Inputs Yr 2'!$F280,'NEI Lookups'!E:E)+SUMIF('NEI Lookups'!$M:$M,'Inputs Yr 2'!$F280,'NEI Lookups'!E:E)+SUMIF('NEI Lookups'!$N:$N,'Inputs Yr 2'!$F280,'NEI Lookups'!E:E)+SUMIF('NEI Lookups'!$O:$O,'Inputs Yr 2'!$F280,'NEI Lookups'!E:E)+SUMIF('NEI Lookups'!$P:$P,'Inputs Yr 2'!$F280,'NEI Lookups'!E:E)+SUMIF('NEI Lookups'!$Q:$Q,'Inputs Yr 2'!$F280,'NEI Lookups'!E:E)+SUMIF('NEI Lookups'!$R:$R,'Inputs Yr 2'!$F280,'NEI Lookups'!E:E)+SUMIF('NEI Lookups'!$S:$S,'Inputs Yr 2'!$F280,'NEI Lookups'!E:E)+SUMIF('NEI Lookups'!$T:$T,'Inputs Yr 2'!$F280,'NEI Lookups'!E:E)</f>
        <v>0</v>
      </c>
      <c r="AT280" s="299">
        <f>SUMIF('NEI Lookups'!$L:$L,'Inputs Yr 2'!$F280,'NEI Lookups'!F:F)+SUMIF('NEI Lookups'!$M:$M,'Inputs Yr 2'!$F280,'NEI Lookups'!F:F)+SUMIF('NEI Lookups'!$N:$N,'Inputs Yr 2'!$F280,'NEI Lookups'!F:F)+SUMIF('NEI Lookups'!$O:$O,'Inputs Yr 2'!$F280,'NEI Lookups'!F:F)+SUMIF('NEI Lookups'!$P:$P,'Inputs Yr 2'!$F280,'NEI Lookups'!F:F)+SUMIF('NEI Lookups'!$Q:$Q,'Inputs Yr 2'!$F280,'NEI Lookups'!F:F)+SUMIF('NEI Lookups'!$R:$R,'Inputs Yr 2'!$F280,'NEI Lookups'!F:F)+SUMIF('NEI Lookups'!$S:$S,'Inputs Yr 2'!$F280,'NEI Lookups'!F:F)+SUMIF('NEI Lookups'!$T:$T,'Inputs Yr 2'!$F280,'NEI Lookups'!F:F)</f>
        <v>0</v>
      </c>
      <c r="AU280" s="299">
        <f>SUMIF('NEI Lookups'!$L:$L,'Inputs Yr 2'!$F280,'NEI Lookups'!G:G)+SUMIF('NEI Lookups'!$M:$M,'Inputs Yr 2'!$F280,'NEI Lookups'!G:G)+SUMIF('NEI Lookups'!$N:$N,'Inputs Yr 2'!$F280,'NEI Lookups'!G:G)+SUMIF('NEI Lookups'!$O:$O,'Inputs Yr 2'!$F280,'NEI Lookups'!G:G)+SUMIF('NEI Lookups'!$P:$P,'Inputs Yr 2'!$F280,'NEI Lookups'!G:G)+SUMIF('NEI Lookups'!$Q:$Q,'Inputs Yr 2'!$F280,'NEI Lookups'!G:G)+SUMIF('NEI Lookups'!$R:$R,'Inputs Yr 2'!$F280,'NEI Lookups'!G:G)+SUMIF('NEI Lookups'!$S:$S,'Inputs Yr 2'!$F280,'NEI Lookups'!G:G)+SUMIF('NEI Lookups'!$T:$T,'Inputs Yr 2'!$F280,'NEI Lookups'!G:G)</f>
        <v>0</v>
      </c>
      <c r="AV280" s="299">
        <f>SUMIF('NEI Lookups'!$L:$L,'Inputs Yr 2'!$F280,'NEI Lookups'!H:H)+SUMIF('NEI Lookups'!$M:$M,'Inputs Yr 2'!$F280,'NEI Lookups'!H:H)+SUMIF('NEI Lookups'!$N:$N,'Inputs Yr 2'!$F280,'NEI Lookups'!H:H)+SUMIF('NEI Lookups'!$O:$O,'Inputs Yr 2'!$F280,'NEI Lookups'!H:H)+SUMIF('NEI Lookups'!$P:$P,'Inputs Yr 2'!$F280,'NEI Lookups'!H:H)+SUMIF('NEI Lookups'!$Q:$Q,'Inputs Yr 2'!$F280,'NEI Lookups'!H:H)+SUMIF('NEI Lookups'!$R:$R,'Inputs Yr 2'!$F280,'NEI Lookups'!H:H)+SUMIF('NEI Lookups'!$S:$S,'Inputs Yr 2'!$F280,'NEI Lookups'!H:H)+SUMIF('NEI Lookups'!$T:$T,'Inputs Yr 2'!$F280,'NEI Lookups'!H:H)</f>
        <v>0</v>
      </c>
      <c r="AW280" s="299">
        <f>SUMIF('NEI Lookups'!$L:$L,'Inputs Yr 2'!$F280,'NEI Lookups'!I:I)+SUMIF('NEI Lookups'!$M:$M,'Inputs Yr 2'!$F280,'NEI Lookups'!I:I)+SUMIF('NEI Lookups'!$N:$N,'Inputs Yr 2'!$F280,'NEI Lookups'!I:I)+SUMIF('NEI Lookups'!$O:$O,'Inputs Yr 2'!$F280,'NEI Lookups'!I:I)+SUMIF('NEI Lookups'!$P:$P,'Inputs Yr 2'!$F280,'NEI Lookups'!I:I)+SUMIF('NEI Lookups'!$Q:$Q,'Inputs Yr 2'!$F280,'NEI Lookups'!I:I)+SUMIF('NEI Lookups'!$R:$R,'Inputs Yr 2'!$F280,'NEI Lookups'!I:I)+SUMIF('NEI Lookups'!$S:$S,'Inputs Yr 2'!$F280,'NEI Lookups'!I:I)+SUMIF('NEI Lookups'!$T:$T,'Inputs Yr 2'!$F280,'NEI Lookups'!I:I)</f>
        <v>0</v>
      </c>
      <c r="AX280" s="299">
        <f>SUMIF('NEI Lookups'!$L:$L,'Inputs Yr 2'!$F280,'NEI Lookups'!J:J)+SUMIF('NEI Lookups'!$M:$M,'Inputs Yr 2'!$F280,'NEI Lookups'!J:J)+SUMIF('NEI Lookups'!$N:$N,'Inputs Yr 2'!$F280,'NEI Lookups'!J:J)+SUMIF('NEI Lookups'!$O:$O,'Inputs Yr 2'!$F280,'NEI Lookups'!J:J)+SUMIF('NEI Lookups'!$P:$P,'Inputs Yr 2'!$F280,'NEI Lookups'!J:J)+SUMIF('NEI Lookups'!$Q:$Q,'Inputs Yr 2'!$F280,'NEI Lookups'!J:J)+SUMIF('NEI Lookups'!$R:$R,'Inputs Yr 2'!$F280,'NEI Lookups'!J:J)+SUMIF('NEI Lookups'!$S:$S,'Inputs Yr 2'!$F280,'NEI Lookups'!J:J)+SUMIF('NEI Lookups'!$T:$T,'Inputs Yr 2'!$F280,'NEI Lookups'!J:J)</f>
        <v>0</v>
      </c>
      <c r="AY280" s="930" t="e">
        <f>'Calculations Yr 2'!CP280/'Calculations Yr 2'!I280</f>
        <v>#VALUE!</v>
      </c>
    </row>
    <row r="281" spans="1:51" s="133" customFormat="1" ht="12.75" customHeight="1">
      <c r="A281" s="145" t="s">
        <v>83</v>
      </c>
      <c r="B281" s="132" t="s">
        <v>870</v>
      </c>
      <c r="C281" s="132" t="s">
        <v>841</v>
      </c>
      <c r="D281" s="98"/>
      <c r="E281" s="150" t="s">
        <v>1301</v>
      </c>
      <c r="F281" s="150" t="s">
        <v>1145</v>
      </c>
      <c r="G281" s="145" t="s">
        <v>1247</v>
      </c>
      <c r="H281" s="165"/>
      <c r="I281" s="234">
        <v>20</v>
      </c>
      <c r="J281" s="964"/>
      <c r="K281" s="871"/>
      <c r="L281" s="888">
        <f t="shared" si="107"/>
        <v>0</v>
      </c>
      <c r="M281" s="978">
        <v>0.30099999999999999</v>
      </c>
      <c r="N281" s="978">
        <v>0.14699999999999999</v>
      </c>
      <c r="O281" s="978">
        <v>0</v>
      </c>
      <c r="P281" s="889">
        <v>0.84600000000000009</v>
      </c>
      <c r="Q281" s="978">
        <v>1</v>
      </c>
      <c r="R281" s="178">
        <v>1</v>
      </c>
      <c r="S281" s="178">
        <v>1</v>
      </c>
      <c r="T281" s="178">
        <v>1</v>
      </c>
      <c r="U281" s="978">
        <v>0</v>
      </c>
      <c r="V281" s="978">
        <v>0</v>
      </c>
      <c r="W281" s="179"/>
      <c r="X281" s="937" t="s">
        <v>653</v>
      </c>
      <c r="Y281" s="299">
        <f>IFERROR(VLOOKUP($X281,'Demand Lookups'!$A$5:$K$101,9,0), 0)</f>
        <v>0</v>
      </c>
      <c r="Z281" s="922" t="str">
        <f>IFERROR(VLOOKUP(X281,'Demand Lookups'!$A$5:$B$101,2,0),0)</f>
        <v>Non-Electric Measures</v>
      </c>
      <c r="AA281" s="722">
        <v>0</v>
      </c>
      <c r="AB281" s="722">
        <v>0</v>
      </c>
      <c r="AC281" s="722">
        <v>0</v>
      </c>
      <c r="AD281" s="723">
        <v>0</v>
      </c>
      <c r="AE281" s="724">
        <f t="shared" si="116"/>
        <v>0</v>
      </c>
      <c r="AF281" s="723">
        <v>0</v>
      </c>
      <c r="AG281" s="723">
        <v>0</v>
      </c>
      <c r="AH281" s="648">
        <v>0</v>
      </c>
      <c r="AI281" s="648">
        <v>0</v>
      </c>
      <c r="AJ281" s="167"/>
      <c r="AK281" s="866"/>
      <c r="AL281" s="167"/>
      <c r="AM281" s="168"/>
      <c r="AN281" s="167"/>
      <c r="AO281" s="168"/>
      <c r="AP281" s="167"/>
      <c r="AQ281" s="171"/>
      <c r="AR281" s="171"/>
      <c r="AS281" s="299">
        <f>SUMIF('NEI Lookups'!$L:$L,'Inputs Yr 2'!$F281,'NEI Lookups'!E:E)+SUMIF('NEI Lookups'!$M:$M,'Inputs Yr 2'!$F281,'NEI Lookups'!E:E)+SUMIF('NEI Lookups'!$N:$N,'Inputs Yr 2'!$F281,'NEI Lookups'!E:E)+SUMIF('NEI Lookups'!$O:$O,'Inputs Yr 2'!$F281,'NEI Lookups'!E:E)+SUMIF('NEI Lookups'!$P:$P,'Inputs Yr 2'!$F281,'NEI Lookups'!E:E)+SUMIF('NEI Lookups'!$Q:$Q,'Inputs Yr 2'!$F281,'NEI Lookups'!E:E)+SUMIF('NEI Lookups'!$R:$R,'Inputs Yr 2'!$F281,'NEI Lookups'!E:E)+SUMIF('NEI Lookups'!$S:$S,'Inputs Yr 2'!$F281,'NEI Lookups'!E:E)+SUMIF('NEI Lookups'!$T:$T,'Inputs Yr 2'!$F281,'NEI Lookups'!E:E)</f>
        <v>0</v>
      </c>
      <c r="AT281" s="299">
        <f>SUMIF('NEI Lookups'!$L:$L,'Inputs Yr 2'!$F281,'NEI Lookups'!F:F)+SUMIF('NEI Lookups'!$M:$M,'Inputs Yr 2'!$F281,'NEI Lookups'!F:F)+SUMIF('NEI Lookups'!$N:$N,'Inputs Yr 2'!$F281,'NEI Lookups'!F:F)+SUMIF('NEI Lookups'!$O:$O,'Inputs Yr 2'!$F281,'NEI Lookups'!F:F)+SUMIF('NEI Lookups'!$P:$P,'Inputs Yr 2'!$F281,'NEI Lookups'!F:F)+SUMIF('NEI Lookups'!$Q:$Q,'Inputs Yr 2'!$F281,'NEI Lookups'!F:F)+SUMIF('NEI Lookups'!$R:$R,'Inputs Yr 2'!$F281,'NEI Lookups'!F:F)+SUMIF('NEI Lookups'!$S:$S,'Inputs Yr 2'!$F281,'NEI Lookups'!F:F)+SUMIF('NEI Lookups'!$T:$T,'Inputs Yr 2'!$F281,'NEI Lookups'!F:F)</f>
        <v>0</v>
      </c>
      <c r="AU281" s="299">
        <f>SUMIF('NEI Lookups'!$L:$L,'Inputs Yr 2'!$F281,'NEI Lookups'!G:G)+SUMIF('NEI Lookups'!$M:$M,'Inputs Yr 2'!$F281,'NEI Lookups'!G:G)+SUMIF('NEI Lookups'!$N:$N,'Inputs Yr 2'!$F281,'NEI Lookups'!G:G)+SUMIF('NEI Lookups'!$O:$O,'Inputs Yr 2'!$F281,'NEI Lookups'!G:G)+SUMIF('NEI Lookups'!$P:$P,'Inputs Yr 2'!$F281,'NEI Lookups'!G:G)+SUMIF('NEI Lookups'!$Q:$Q,'Inputs Yr 2'!$F281,'NEI Lookups'!G:G)+SUMIF('NEI Lookups'!$R:$R,'Inputs Yr 2'!$F281,'NEI Lookups'!G:G)+SUMIF('NEI Lookups'!$S:$S,'Inputs Yr 2'!$F281,'NEI Lookups'!G:G)+SUMIF('NEI Lookups'!$T:$T,'Inputs Yr 2'!$F281,'NEI Lookups'!G:G)</f>
        <v>0</v>
      </c>
      <c r="AV281" s="299">
        <f>SUMIF('NEI Lookups'!$L:$L,'Inputs Yr 2'!$F281,'NEI Lookups'!H:H)+SUMIF('NEI Lookups'!$M:$M,'Inputs Yr 2'!$F281,'NEI Lookups'!H:H)+SUMIF('NEI Lookups'!$N:$N,'Inputs Yr 2'!$F281,'NEI Lookups'!H:H)+SUMIF('NEI Lookups'!$O:$O,'Inputs Yr 2'!$F281,'NEI Lookups'!H:H)+SUMIF('NEI Lookups'!$P:$P,'Inputs Yr 2'!$F281,'NEI Lookups'!H:H)+SUMIF('NEI Lookups'!$Q:$Q,'Inputs Yr 2'!$F281,'NEI Lookups'!H:H)+SUMIF('NEI Lookups'!$R:$R,'Inputs Yr 2'!$F281,'NEI Lookups'!H:H)+SUMIF('NEI Lookups'!$S:$S,'Inputs Yr 2'!$F281,'NEI Lookups'!H:H)+SUMIF('NEI Lookups'!$T:$T,'Inputs Yr 2'!$F281,'NEI Lookups'!H:H)</f>
        <v>0</v>
      </c>
      <c r="AW281" s="299">
        <f>SUMIF('NEI Lookups'!$L:$L,'Inputs Yr 2'!$F281,'NEI Lookups'!I:I)+SUMIF('NEI Lookups'!$M:$M,'Inputs Yr 2'!$F281,'NEI Lookups'!I:I)+SUMIF('NEI Lookups'!$N:$N,'Inputs Yr 2'!$F281,'NEI Lookups'!I:I)+SUMIF('NEI Lookups'!$O:$O,'Inputs Yr 2'!$F281,'NEI Lookups'!I:I)+SUMIF('NEI Lookups'!$P:$P,'Inputs Yr 2'!$F281,'NEI Lookups'!I:I)+SUMIF('NEI Lookups'!$Q:$Q,'Inputs Yr 2'!$F281,'NEI Lookups'!I:I)+SUMIF('NEI Lookups'!$R:$R,'Inputs Yr 2'!$F281,'NEI Lookups'!I:I)+SUMIF('NEI Lookups'!$S:$S,'Inputs Yr 2'!$F281,'NEI Lookups'!I:I)+SUMIF('NEI Lookups'!$T:$T,'Inputs Yr 2'!$F281,'NEI Lookups'!I:I)</f>
        <v>0</v>
      </c>
      <c r="AX281" s="299">
        <f>SUMIF('NEI Lookups'!$L:$L,'Inputs Yr 2'!$F281,'NEI Lookups'!J:J)+SUMIF('NEI Lookups'!$M:$M,'Inputs Yr 2'!$F281,'NEI Lookups'!J:J)+SUMIF('NEI Lookups'!$N:$N,'Inputs Yr 2'!$F281,'NEI Lookups'!J:J)+SUMIF('NEI Lookups'!$O:$O,'Inputs Yr 2'!$F281,'NEI Lookups'!J:J)+SUMIF('NEI Lookups'!$P:$P,'Inputs Yr 2'!$F281,'NEI Lookups'!J:J)+SUMIF('NEI Lookups'!$Q:$Q,'Inputs Yr 2'!$F281,'NEI Lookups'!J:J)+SUMIF('NEI Lookups'!$R:$R,'Inputs Yr 2'!$F281,'NEI Lookups'!J:J)+SUMIF('NEI Lookups'!$S:$S,'Inputs Yr 2'!$F281,'NEI Lookups'!J:J)+SUMIF('NEI Lookups'!$T:$T,'Inputs Yr 2'!$F281,'NEI Lookups'!J:J)</f>
        <v>0</v>
      </c>
      <c r="AY281" s="930" t="e">
        <f>'Calculations Yr 2'!CP281/'Calculations Yr 2'!I281</f>
        <v>#VALUE!</v>
      </c>
    </row>
    <row r="282" spans="1:51" s="133" customFormat="1" ht="12.75" customHeight="1">
      <c r="A282" s="145" t="s">
        <v>83</v>
      </c>
      <c r="B282" s="132" t="s">
        <v>870</v>
      </c>
      <c r="C282" s="132" t="s">
        <v>841</v>
      </c>
      <c r="D282" s="902"/>
      <c r="E282" s="655" t="s">
        <v>1304</v>
      </c>
      <c r="F282" s="150" t="s">
        <v>1146</v>
      </c>
      <c r="G282" s="145" t="s">
        <v>89</v>
      </c>
      <c r="H282" s="232">
        <v>4619</v>
      </c>
      <c r="I282" s="234">
        <v>10</v>
      </c>
      <c r="J282" s="964">
        <v>10.02</v>
      </c>
      <c r="K282" s="871">
        <v>12.6</v>
      </c>
      <c r="L282" s="888">
        <f t="shared" si="107"/>
        <v>-2.58</v>
      </c>
      <c r="M282" s="978">
        <v>0.30099999999999999</v>
      </c>
      <c r="N282" s="978">
        <v>0.14700000000000002</v>
      </c>
      <c r="O282" s="978">
        <v>0</v>
      </c>
      <c r="P282" s="889">
        <f t="shared" si="79"/>
        <v>0.84600000000000009</v>
      </c>
      <c r="Q282" s="978">
        <v>1</v>
      </c>
      <c r="R282" s="178">
        <v>1</v>
      </c>
      <c r="S282" s="178">
        <v>1</v>
      </c>
      <c r="T282" s="178">
        <v>1</v>
      </c>
      <c r="U282" s="978">
        <v>1</v>
      </c>
      <c r="V282" s="978">
        <v>1</v>
      </c>
      <c r="W282" s="179"/>
      <c r="X282" s="937" t="s">
        <v>653</v>
      </c>
      <c r="Y282" s="299">
        <f>IFERROR(VLOOKUP($X282,'Demand Lookups'!$A$5:$K$101,9,0), 0)</f>
        <v>0</v>
      </c>
      <c r="Z282" s="922" t="str">
        <f>IFERROR(VLOOKUP(X282,'Demand Lookups'!$A$5:$B$101,2,0),0)</f>
        <v>Non-Electric Measures</v>
      </c>
      <c r="AA282" s="722">
        <f>IF(ISNA(VLOOKUP($X282,'Demand Lookups'!$A$5:$K$81,3,0)),0,VLOOKUP($X282,'Demand Lookups'!$A$5:$K$81,3,0))</f>
        <v>0</v>
      </c>
      <c r="AB282" s="722">
        <f>IF(ISNA(VLOOKUP($X282,'Demand Lookups'!$A$5:$K$81,4,0)),0,VLOOKUP($X282,'Demand Lookups'!$A$5:$K$81,4,0))</f>
        <v>0</v>
      </c>
      <c r="AC282" s="722">
        <f>IF(ISNA(VLOOKUP($X282,'Demand Lookups'!$A$5:$K$81,5,0)),0,VLOOKUP($X282,'Demand Lookups'!$A$5:$K$81,5,0))</f>
        <v>0</v>
      </c>
      <c r="AD282" s="723">
        <f>IF(ISNA(VLOOKUP($X282,'Demand Lookups'!$A$5:$K$81,6,0)),0,VLOOKUP($X282,'Demand Lookups'!$A$5:$K$81,6,0))</f>
        <v>0</v>
      </c>
      <c r="AE282" s="724">
        <f t="shared" si="116"/>
        <v>0</v>
      </c>
      <c r="AF282" s="723">
        <f>ROUND(IF(ISNA(VLOOKUP($X282,'Demand Lookups'!$A$5:$K$82,10,0)),0,(VLOOKUP($X282,'Demand Lookups'!$A$5:$K$82,10,0))),2)</f>
        <v>0</v>
      </c>
      <c r="AG282" s="723">
        <f>ROUND(IF(ISNA(VLOOKUP($X282,'Demand Lookups'!$A$5:$K$82,11,0)),0,VLOOKUP($X282,'Demand Lookups'!$A$5:$K$82,11,0)),2)</f>
        <v>0</v>
      </c>
      <c r="AH282" s="648">
        <f t="shared" si="81"/>
        <v>0</v>
      </c>
      <c r="AI282" s="648">
        <f t="shared" si="82"/>
        <v>0</v>
      </c>
      <c r="AJ282" s="167" t="s">
        <v>406</v>
      </c>
      <c r="AK282" s="866">
        <v>1.6999999999999997</v>
      </c>
      <c r="AL282" s="167"/>
      <c r="AM282" s="168"/>
      <c r="AN282" s="167"/>
      <c r="AO282" s="168"/>
      <c r="AP282" s="167"/>
      <c r="AQ282" s="171">
        <v>5460</v>
      </c>
      <c r="AR282" s="171">
        <v>5460</v>
      </c>
      <c r="AS282" s="299">
        <f>SUMIF('NEI Lookups'!$L:$L,'Inputs Yr 2'!$F282,'NEI Lookups'!E:E)+SUMIF('NEI Lookups'!$M:$M,'Inputs Yr 2'!$F282,'NEI Lookups'!E:E)+SUMIF('NEI Lookups'!$N:$N,'Inputs Yr 2'!$F282,'NEI Lookups'!E:E)+SUMIF('NEI Lookups'!$O:$O,'Inputs Yr 2'!$F282,'NEI Lookups'!E:E)+SUMIF('NEI Lookups'!$P:$P,'Inputs Yr 2'!$F282,'NEI Lookups'!E:E)+SUMIF('NEI Lookups'!$Q:$Q,'Inputs Yr 2'!$F282,'NEI Lookups'!E:E)+SUMIF('NEI Lookups'!$R:$R,'Inputs Yr 2'!$F282,'NEI Lookups'!E:E)+SUMIF('NEI Lookups'!$S:$S,'Inputs Yr 2'!$F282,'NEI Lookups'!E:E)+SUMIF('NEI Lookups'!$T:$T,'Inputs Yr 2'!$F282,'NEI Lookups'!E:E)</f>
        <v>0</v>
      </c>
      <c r="AT282" s="299">
        <f>SUMIF('NEI Lookups'!$L:$L,'Inputs Yr 2'!$F282,'NEI Lookups'!F:F)+SUMIF('NEI Lookups'!$M:$M,'Inputs Yr 2'!$F282,'NEI Lookups'!F:F)+SUMIF('NEI Lookups'!$N:$N,'Inputs Yr 2'!$F282,'NEI Lookups'!F:F)+SUMIF('NEI Lookups'!$O:$O,'Inputs Yr 2'!$F282,'NEI Lookups'!F:F)+SUMIF('NEI Lookups'!$P:$P,'Inputs Yr 2'!$F282,'NEI Lookups'!F:F)+SUMIF('NEI Lookups'!$Q:$Q,'Inputs Yr 2'!$F282,'NEI Lookups'!F:F)+SUMIF('NEI Lookups'!$R:$R,'Inputs Yr 2'!$F282,'NEI Lookups'!F:F)+SUMIF('NEI Lookups'!$S:$S,'Inputs Yr 2'!$F282,'NEI Lookups'!F:F)+SUMIF('NEI Lookups'!$T:$T,'Inputs Yr 2'!$F282,'NEI Lookups'!F:F)</f>
        <v>0</v>
      </c>
      <c r="AU282" s="299">
        <f>SUMIF('NEI Lookups'!$L:$L,'Inputs Yr 2'!$F282,'NEI Lookups'!G:G)+SUMIF('NEI Lookups'!$M:$M,'Inputs Yr 2'!$F282,'NEI Lookups'!G:G)+SUMIF('NEI Lookups'!$N:$N,'Inputs Yr 2'!$F282,'NEI Lookups'!G:G)+SUMIF('NEI Lookups'!$O:$O,'Inputs Yr 2'!$F282,'NEI Lookups'!G:G)+SUMIF('NEI Lookups'!$P:$P,'Inputs Yr 2'!$F282,'NEI Lookups'!G:G)+SUMIF('NEI Lookups'!$Q:$Q,'Inputs Yr 2'!$F282,'NEI Lookups'!G:G)+SUMIF('NEI Lookups'!$R:$R,'Inputs Yr 2'!$F282,'NEI Lookups'!G:G)+SUMIF('NEI Lookups'!$S:$S,'Inputs Yr 2'!$F282,'NEI Lookups'!G:G)+SUMIF('NEI Lookups'!$T:$T,'Inputs Yr 2'!$F282,'NEI Lookups'!G:G)</f>
        <v>0</v>
      </c>
      <c r="AV282" s="299">
        <f>SUMIF('NEI Lookups'!$L:$L,'Inputs Yr 2'!$F282,'NEI Lookups'!H:H)+SUMIF('NEI Lookups'!$M:$M,'Inputs Yr 2'!$F282,'NEI Lookups'!H:H)+SUMIF('NEI Lookups'!$N:$N,'Inputs Yr 2'!$F282,'NEI Lookups'!H:H)+SUMIF('NEI Lookups'!$O:$O,'Inputs Yr 2'!$F282,'NEI Lookups'!H:H)+SUMIF('NEI Lookups'!$P:$P,'Inputs Yr 2'!$F282,'NEI Lookups'!H:H)+SUMIF('NEI Lookups'!$Q:$Q,'Inputs Yr 2'!$F282,'NEI Lookups'!H:H)+SUMIF('NEI Lookups'!$R:$R,'Inputs Yr 2'!$F282,'NEI Lookups'!H:H)+SUMIF('NEI Lookups'!$S:$S,'Inputs Yr 2'!$F282,'NEI Lookups'!H:H)+SUMIF('NEI Lookups'!$T:$T,'Inputs Yr 2'!$F282,'NEI Lookups'!H:H)</f>
        <v>0</v>
      </c>
      <c r="AW282" s="299">
        <f>SUMIF('NEI Lookups'!$L:$L,'Inputs Yr 2'!$F282,'NEI Lookups'!I:I)+SUMIF('NEI Lookups'!$M:$M,'Inputs Yr 2'!$F282,'NEI Lookups'!I:I)+SUMIF('NEI Lookups'!$N:$N,'Inputs Yr 2'!$F282,'NEI Lookups'!I:I)+SUMIF('NEI Lookups'!$O:$O,'Inputs Yr 2'!$F282,'NEI Lookups'!I:I)+SUMIF('NEI Lookups'!$P:$P,'Inputs Yr 2'!$F282,'NEI Lookups'!I:I)+SUMIF('NEI Lookups'!$Q:$Q,'Inputs Yr 2'!$F282,'NEI Lookups'!I:I)+SUMIF('NEI Lookups'!$R:$R,'Inputs Yr 2'!$F282,'NEI Lookups'!I:I)+SUMIF('NEI Lookups'!$S:$S,'Inputs Yr 2'!$F282,'NEI Lookups'!I:I)+SUMIF('NEI Lookups'!$T:$T,'Inputs Yr 2'!$F282,'NEI Lookups'!I:I)</f>
        <v>0</v>
      </c>
      <c r="AX282" s="299">
        <f>SUMIF('NEI Lookups'!$L:$L,'Inputs Yr 2'!$F282,'NEI Lookups'!J:J)+SUMIF('NEI Lookups'!$M:$M,'Inputs Yr 2'!$F282,'NEI Lookups'!J:J)+SUMIF('NEI Lookups'!$N:$N,'Inputs Yr 2'!$F282,'NEI Lookups'!J:J)+SUMIF('NEI Lookups'!$O:$O,'Inputs Yr 2'!$F282,'NEI Lookups'!J:J)+SUMIF('NEI Lookups'!$P:$P,'Inputs Yr 2'!$F282,'NEI Lookups'!J:J)+SUMIF('NEI Lookups'!$Q:$Q,'Inputs Yr 2'!$F282,'NEI Lookups'!J:J)+SUMIF('NEI Lookups'!$R:$R,'Inputs Yr 2'!$F282,'NEI Lookups'!J:J)+SUMIF('NEI Lookups'!$S:$S,'Inputs Yr 2'!$F282,'NEI Lookups'!J:J)+SUMIF('NEI Lookups'!$T:$T,'Inputs Yr 2'!$F282,'NEI Lookups'!J:J)</f>
        <v>0</v>
      </c>
      <c r="AY282" s="930">
        <f>'Calculations Yr 2'!CP282/'Calculations Yr 2'!I282</f>
        <v>70.825554775786088</v>
      </c>
    </row>
    <row r="283" spans="1:51" s="133" customFormat="1" ht="12.75" customHeight="1">
      <c r="A283" s="145" t="s">
        <v>83</v>
      </c>
      <c r="B283" s="132" t="s">
        <v>870</v>
      </c>
      <c r="C283" s="132" t="s">
        <v>841</v>
      </c>
      <c r="D283" s="902"/>
      <c r="E283" s="656" t="s">
        <v>1305</v>
      </c>
      <c r="F283" s="150" t="s">
        <v>1147</v>
      </c>
      <c r="G283" s="145" t="s">
        <v>89</v>
      </c>
      <c r="H283" s="232">
        <v>2088</v>
      </c>
      <c r="I283" s="234">
        <v>10</v>
      </c>
      <c r="J283" s="964">
        <v>36.76</v>
      </c>
      <c r="K283" s="871">
        <v>38.89</v>
      </c>
      <c r="L283" s="888">
        <f t="shared" si="107"/>
        <v>-2.1300000000000026</v>
      </c>
      <c r="M283" s="978">
        <v>0.30099999999999999</v>
      </c>
      <c r="N283" s="978">
        <v>0.14700000000000002</v>
      </c>
      <c r="O283" s="978">
        <v>0</v>
      </c>
      <c r="P283" s="889">
        <f t="shared" si="79"/>
        <v>0.84600000000000009</v>
      </c>
      <c r="Q283" s="978">
        <v>1</v>
      </c>
      <c r="R283" s="178">
        <v>1</v>
      </c>
      <c r="S283" s="178">
        <v>1</v>
      </c>
      <c r="T283" s="178">
        <v>1</v>
      </c>
      <c r="U283" s="978">
        <v>1</v>
      </c>
      <c r="V283" s="978">
        <v>1</v>
      </c>
      <c r="W283" s="179"/>
      <c r="X283" s="937" t="s">
        <v>653</v>
      </c>
      <c r="Y283" s="299">
        <f>IFERROR(VLOOKUP($X283,'Demand Lookups'!$A$5:$K$101,9,0), 0)</f>
        <v>0</v>
      </c>
      <c r="Z283" s="922" t="str">
        <f>IFERROR(VLOOKUP(X283,'Demand Lookups'!$A$5:$B$101,2,0),0)</f>
        <v>Non-Electric Measures</v>
      </c>
      <c r="AA283" s="722">
        <f>IF(ISNA(VLOOKUP($X283,'Demand Lookups'!$A$5:$K$81,3,0)),0,VLOOKUP($X283,'Demand Lookups'!$A$5:$K$81,3,0))</f>
        <v>0</v>
      </c>
      <c r="AB283" s="722">
        <f>IF(ISNA(VLOOKUP($X283,'Demand Lookups'!$A$5:$K$81,4,0)),0,VLOOKUP($X283,'Demand Lookups'!$A$5:$K$81,4,0))</f>
        <v>0</v>
      </c>
      <c r="AC283" s="722">
        <f>IF(ISNA(VLOOKUP($X283,'Demand Lookups'!$A$5:$K$81,5,0)),0,VLOOKUP($X283,'Demand Lookups'!$A$5:$K$81,5,0))</f>
        <v>0</v>
      </c>
      <c r="AD283" s="723">
        <f>IF(ISNA(VLOOKUP($X283,'Demand Lookups'!$A$5:$K$81,6,0)),0,VLOOKUP($X283,'Demand Lookups'!$A$5:$K$81,6,0))</f>
        <v>0</v>
      </c>
      <c r="AE283" s="724">
        <f t="shared" si="116"/>
        <v>0</v>
      </c>
      <c r="AF283" s="723">
        <f>ROUND(IF(ISNA(VLOOKUP($X283,'Demand Lookups'!$A$5:$K$82,10,0)),0,(VLOOKUP($X283,'Demand Lookups'!$A$5:$K$82,10,0))),2)</f>
        <v>0</v>
      </c>
      <c r="AG283" s="723">
        <f>ROUND(IF(ISNA(VLOOKUP($X283,'Demand Lookups'!$A$5:$K$82,11,0)),0,VLOOKUP($X283,'Demand Lookups'!$A$5:$K$82,11,0)),2)</f>
        <v>0</v>
      </c>
      <c r="AH283" s="648">
        <f t="shared" si="81"/>
        <v>0</v>
      </c>
      <c r="AI283" s="648">
        <f t="shared" si="82"/>
        <v>0</v>
      </c>
      <c r="AJ283" s="167" t="s">
        <v>406</v>
      </c>
      <c r="AK283" s="866">
        <v>1.95</v>
      </c>
      <c r="AL283" s="167"/>
      <c r="AM283" s="168"/>
      <c r="AN283" s="167"/>
      <c r="AO283" s="168"/>
      <c r="AP283" s="167"/>
      <c r="AQ283" s="171">
        <v>7300</v>
      </c>
      <c r="AR283" s="171">
        <v>7300</v>
      </c>
      <c r="AS283" s="299">
        <f>SUMIF('NEI Lookups'!$L:$L,'Inputs Yr 2'!$F283,'NEI Lookups'!E:E)+SUMIF('NEI Lookups'!$M:$M,'Inputs Yr 2'!$F283,'NEI Lookups'!E:E)+SUMIF('NEI Lookups'!$N:$N,'Inputs Yr 2'!$F283,'NEI Lookups'!E:E)+SUMIF('NEI Lookups'!$O:$O,'Inputs Yr 2'!$F283,'NEI Lookups'!E:E)+SUMIF('NEI Lookups'!$P:$P,'Inputs Yr 2'!$F283,'NEI Lookups'!E:E)+SUMIF('NEI Lookups'!$Q:$Q,'Inputs Yr 2'!$F283,'NEI Lookups'!E:E)+SUMIF('NEI Lookups'!$R:$R,'Inputs Yr 2'!$F283,'NEI Lookups'!E:E)+SUMIF('NEI Lookups'!$S:$S,'Inputs Yr 2'!$F283,'NEI Lookups'!E:E)+SUMIF('NEI Lookups'!$T:$T,'Inputs Yr 2'!$F283,'NEI Lookups'!E:E)</f>
        <v>0</v>
      </c>
      <c r="AT283" s="299">
        <f>SUMIF('NEI Lookups'!$L:$L,'Inputs Yr 2'!$F283,'NEI Lookups'!F:F)+SUMIF('NEI Lookups'!$M:$M,'Inputs Yr 2'!$F283,'NEI Lookups'!F:F)+SUMIF('NEI Lookups'!$N:$N,'Inputs Yr 2'!$F283,'NEI Lookups'!F:F)+SUMIF('NEI Lookups'!$O:$O,'Inputs Yr 2'!$F283,'NEI Lookups'!F:F)+SUMIF('NEI Lookups'!$P:$P,'Inputs Yr 2'!$F283,'NEI Lookups'!F:F)+SUMIF('NEI Lookups'!$Q:$Q,'Inputs Yr 2'!$F283,'NEI Lookups'!F:F)+SUMIF('NEI Lookups'!$R:$R,'Inputs Yr 2'!$F283,'NEI Lookups'!F:F)+SUMIF('NEI Lookups'!$S:$S,'Inputs Yr 2'!$F283,'NEI Lookups'!F:F)+SUMIF('NEI Lookups'!$T:$T,'Inputs Yr 2'!$F283,'NEI Lookups'!F:F)</f>
        <v>0</v>
      </c>
      <c r="AU283" s="299">
        <f>SUMIF('NEI Lookups'!$L:$L,'Inputs Yr 2'!$F283,'NEI Lookups'!G:G)+SUMIF('NEI Lookups'!$M:$M,'Inputs Yr 2'!$F283,'NEI Lookups'!G:G)+SUMIF('NEI Lookups'!$N:$N,'Inputs Yr 2'!$F283,'NEI Lookups'!G:G)+SUMIF('NEI Lookups'!$O:$O,'Inputs Yr 2'!$F283,'NEI Lookups'!G:G)+SUMIF('NEI Lookups'!$P:$P,'Inputs Yr 2'!$F283,'NEI Lookups'!G:G)+SUMIF('NEI Lookups'!$Q:$Q,'Inputs Yr 2'!$F283,'NEI Lookups'!G:G)+SUMIF('NEI Lookups'!$R:$R,'Inputs Yr 2'!$F283,'NEI Lookups'!G:G)+SUMIF('NEI Lookups'!$S:$S,'Inputs Yr 2'!$F283,'NEI Lookups'!G:G)+SUMIF('NEI Lookups'!$T:$T,'Inputs Yr 2'!$F283,'NEI Lookups'!G:G)</f>
        <v>0</v>
      </c>
      <c r="AV283" s="299">
        <f>SUMIF('NEI Lookups'!$L:$L,'Inputs Yr 2'!$F283,'NEI Lookups'!H:H)+SUMIF('NEI Lookups'!$M:$M,'Inputs Yr 2'!$F283,'NEI Lookups'!H:H)+SUMIF('NEI Lookups'!$N:$N,'Inputs Yr 2'!$F283,'NEI Lookups'!H:H)+SUMIF('NEI Lookups'!$O:$O,'Inputs Yr 2'!$F283,'NEI Lookups'!H:H)+SUMIF('NEI Lookups'!$P:$P,'Inputs Yr 2'!$F283,'NEI Lookups'!H:H)+SUMIF('NEI Lookups'!$Q:$Q,'Inputs Yr 2'!$F283,'NEI Lookups'!H:H)+SUMIF('NEI Lookups'!$R:$R,'Inputs Yr 2'!$F283,'NEI Lookups'!H:H)+SUMIF('NEI Lookups'!$S:$S,'Inputs Yr 2'!$F283,'NEI Lookups'!H:H)+SUMIF('NEI Lookups'!$T:$T,'Inputs Yr 2'!$F283,'NEI Lookups'!H:H)</f>
        <v>0</v>
      </c>
      <c r="AW283" s="299">
        <f>SUMIF('NEI Lookups'!$L:$L,'Inputs Yr 2'!$F283,'NEI Lookups'!I:I)+SUMIF('NEI Lookups'!$M:$M,'Inputs Yr 2'!$F283,'NEI Lookups'!I:I)+SUMIF('NEI Lookups'!$N:$N,'Inputs Yr 2'!$F283,'NEI Lookups'!I:I)+SUMIF('NEI Lookups'!$O:$O,'Inputs Yr 2'!$F283,'NEI Lookups'!I:I)+SUMIF('NEI Lookups'!$P:$P,'Inputs Yr 2'!$F283,'NEI Lookups'!I:I)+SUMIF('NEI Lookups'!$Q:$Q,'Inputs Yr 2'!$F283,'NEI Lookups'!I:I)+SUMIF('NEI Lookups'!$R:$R,'Inputs Yr 2'!$F283,'NEI Lookups'!I:I)+SUMIF('NEI Lookups'!$S:$S,'Inputs Yr 2'!$F283,'NEI Lookups'!I:I)+SUMIF('NEI Lookups'!$T:$T,'Inputs Yr 2'!$F283,'NEI Lookups'!I:I)</f>
        <v>0</v>
      </c>
      <c r="AX283" s="299">
        <f>SUMIF('NEI Lookups'!$L:$L,'Inputs Yr 2'!$F283,'NEI Lookups'!J:J)+SUMIF('NEI Lookups'!$M:$M,'Inputs Yr 2'!$F283,'NEI Lookups'!J:J)+SUMIF('NEI Lookups'!$N:$N,'Inputs Yr 2'!$F283,'NEI Lookups'!J:J)+SUMIF('NEI Lookups'!$O:$O,'Inputs Yr 2'!$F283,'NEI Lookups'!J:J)+SUMIF('NEI Lookups'!$P:$P,'Inputs Yr 2'!$F283,'NEI Lookups'!J:J)+SUMIF('NEI Lookups'!$Q:$Q,'Inputs Yr 2'!$F283,'NEI Lookups'!J:J)+SUMIF('NEI Lookups'!$R:$R,'Inputs Yr 2'!$F283,'NEI Lookups'!J:J)+SUMIF('NEI Lookups'!$S:$S,'Inputs Yr 2'!$F283,'NEI Lookups'!J:J)+SUMIF('NEI Lookups'!$T:$T,'Inputs Yr 2'!$F283,'NEI Lookups'!J:J)</f>
        <v>0</v>
      </c>
      <c r="AY283" s="930">
        <f>'Calculations Yr 2'!CP283/'Calculations Yr 2'!I283</f>
        <v>25.13469665798965</v>
      </c>
    </row>
    <row r="284" spans="1:51" s="133" customFormat="1" ht="12.75" customHeight="1">
      <c r="A284" s="145" t="s">
        <v>83</v>
      </c>
      <c r="B284" s="132" t="s">
        <v>870</v>
      </c>
      <c r="C284" s="132" t="s">
        <v>841</v>
      </c>
      <c r="D284" s="98"/>
      <c r="E284" s="656" t="s">
        <v>797</v>
      </c>
      <c r="F284" s="150" t="s">
        <v>1148</v>
      </c>
      <c r="G284" s="145" t="s">
        <v>89</v>
      </c>
      <c r="H284" s="232">
        <v>273</v>
      </c>
      <c r="I284" s="234">
        <v>8</v>
      </c>
      <c r="J284" s="964">
        <v>141.91999999999999</v>
      </c>
      <c r="K284" s="871">
        <v>64.25</v>
      </c>
      <c r="L284" s="888">
        <f t="shared" si="107"/>
        <v>77.669999999999987</v>
      </c>
      <c r="M284" s="978">
        <v>0.30099999999999999</v>
      </c>
      <c r="N284" s="978">
        <v>0.14700000000000002</v>
      </c>
      <c r="O284" s="978">
        <v>0</v>
      </c>
      <c r="P284" s="889">
        <f t="shared" si="79"/>
        <v>0.84600000000000009</v>
      </c>
      <c r="Q284" s="978">
        <v>1</v>
      </c>
      <c r="R284" s="178">
        <v>1</v>
      </c>
      <c r="S284" s="178">
        <v>1</v>
      </c>
      <c r="T284" s="178">
        <v>1</v>
      </c>
      <c r="U284" s="978">
        <v>1</v>
      </c>
      <c r="V284" s="978">
        <v>1</v>
      </c>
      <c r="W284" s="179"/>
      <c r="X284" s="937" t="s">
        <v>653</v>
      </c>
      <c r="Y284" s="299">
        <f>IFERROR(VLOOKUP($X284,'Demand Lookups'!$A$5:$K$101,9,0), 0)</f>
        <v>0</v>
      </c>
      <c r="Z284" s="922" t="str">
        <f>IFERROR(VLOOKUP(X284,'Demand Lookups'!$A$5:$B$101,2,0),0)</f>
        <v>Non-Electric Measures</v>
      </c>
      <c r="AA284" s="722">
        <f>IF(ISNA(VLOOKUP($X284,'Demand Lookups'!$A$5:$K$81,3,0)),0,VLOOKUP($X284,'Demand Lookups'!$A$5:$K$81,3,0))</f>
        <v>0</v>
      </c>
      <c r="AB284" s="722">
        <f>IF(ISNA(VLOOKUP($X284,'Demand Lookups'!$A$5:$K$81,4,0)),0,VLOOKUP($X284,'Demand Lookups'!$A$5:$K$81,4,0))</f>
        <v>0</v>
      </c>
      <c r="AC284" s="722">
        <f>IF(ISNA(VLOOKUP($X284,'Demand Lookups'!$A$5:$K$81,5,0)),0,VLOOKUP($X284,'Demand Lookups'!$A$5:$K$81,5,0))</f>
        <v>0</v>
      </c>
      <c r="AD284" s="723">
        <f>IF(ISNA(VLOOKUP($X284,'Demand Lookups'!$A$5:$K$81,6,0)),0,VLOOKUP($X284,'Demand Lookups'!$A$5:$K$81,6,0))</f>
        <v>0</v>
      </c>
      <c r="AE284" s="724">
        <f t="shared" si="116"/>
        <v>0</v>
      </c>
      <c r="AF284" s="723">
        <f>ROUND(IF(ISNA(VLOOKUP($X284,'Demand Lookups'!$A$5:$K$82,10,0)),0,(VLOOKUP($X284,'Demand Lookups'!$A$5:$K$82,10,0))),2)</f>
        <v>0</v>
      </c>
      <c r="AG284" s="723">
        <f>ROUND(IF(ISNA(VLOOKUP($X284,'Demand Lookups'!$A$5:$K$82,11,0)),0,VLOOKUP($X284,'Demand Lookups'!$A$5:$K$82,11,0)),2)</f>
        <v>0</v>
      </c>
      <c r="AH284" s="648">
        <f t="shared" si="81"/>
        <v>0</v>
      </c>
      <c r="AI284" s="648">
        <f t="shared" si="82"/>
        <v>0</v>
      </c>
      <c r="AJ284" s="167" t="s">
        <v>406</v>
      </c>
      <c r="AK284" s="866">
        <v>11.400000000000002</v>
      </c>
      <c r="AL284" s="167"/>
      <c r="AM284" s="168"/>
      <c r="AN284" s="167"/>
      <c r="AO284" s="168"/>
      <c r="AP284" s="167"/>
      <c r="AQ284" s="171">
        <v>6410</v>
      </c>
      <c r="AR284" s="171">
        <v>6410</v>
      </c>
      <c r="AS284" s="299">
        <f>SUMIF('NEI Lookups'!$L:$L,'Inputs Yr 2'!$F284,'NEI Lookups'!E:E)+SUMIF('NEI Lookups'!$M:$M,'Inputs Yr 2'!$F284,'NEI Lookups'!E:E)+SUMIF('NEI Lookups'!$N:$N,'Inputs Yr 2'!$F284,'NEI Lookups'!E:E)+SUMIF('NEI Lookups'!$O:$O,'Inputs Yr 2'!$F284,'NEI Lookups'!E:E)+SUMIF('NEI Lookups'!$P:$P,'Inputs Yr 2'!$F284,'NEI Lookups'!E:E)+SUMIF('NEI Lookups'!$Q:$Q,'Inputs Yr 2'!$F284,'NEI Lookups'!E:E)+SUMIF('NEI Lookups'!$R:$R,'Inputs Yr 2'!$F284,'NEI Lookups'!E:E)+SUMIF('NEI Lookups'!$S:$S,'Inputs Yr 2'!$F284,'NEI Lookups'!E:E)+SUMIF('NEI Lookups'!$T:$T,'Inputs Yr 2'!$F284,'NEI Lookups'!E:E)</f>
        <v>0</v>
      </c>
      <c r="AT284" s="299">
        <f>SUMIF('NEI Lookups'!$L:$L,'Inputs Yr 2'!$F284,'NEI Lookups'!F:F)+SUMIF('NEI Lookups'!$M:$M,'Inputs Yr 2'!$F284,'NEI Lookups'!F:F)+SUMIF('NEI Lookups'!$N:$N,'Inputs Yr 2'!$F284,'NEI Lookups'!F:F)+SUMIF('NEI Lookups'!$O:$O,'Inputs Yr 2'!$F284,'NEI Lookups'!F:F)+SUMIF('NEI Lookups'!$P:$P,'Inputs Yr 2'!$F284,'NEI Lookups'!F:F)+SUMIF('NEI Lookups'!$Q:$Q,'Inputs Yr 2'!$F284,'NEI Lookups'!F:F)+SUMIF('NEI Lookups'!$R:$R,'Inputs Yr 2'!$F284,'NEI Lookups'!F:F)+SUMIF('NEI Lookups'!$S:$S,'Inputs Yr 2'!$F284,'NEI Lookups'!F:F)+SUMIF('NEI Lookups'!$T:$T,'Inputs Yr 2'!$F284,'NEI Lookups'!F:F)</f>
        <v>0</v>
      </c>
      <c r="AU284" s="299">
        <f>SUMIF('NEI Lookups'!$L:$L,'Inputs Yr 2'!$F284,'NEI Lookups'!G:G)+SUMIF('NEI Lookups'!$M:$M,'Inputs Yr 2'!$F284,'NEI Lookups'!G:G)+SUMIF('NEI Lookups'!$N:$N,'Inputs Yr 2'!$F284,'NEI Lookups'!G:G)+SUMIF('NEI Lookups'!$O:$O,'Inputs Yr 2'!$F284,'NEI Lookups'!G:G)+SUMIF('NEI Lookups'!$P:$P,'Inputs Yr 2'!$F284,'NEI Lookups'!G:G)+SUMIF('NEI Lookups'!$Q:$Q,'Inputs Yr 2'!$F284,'NEI Lookups'!G:G)+SUMIF('NEI Lookups'!$R:$R,'Inputs Yr 2'!$F284,'NEI Lookups'!G:G)+SUMIF('NEI Lookups'!$S:$S,'Inputs Yr 2'!$F284,'NEI Lookups'!G:G)+SUMIF('NEI Lookups'!$T:$T,'Inputs Yr 2'!$F284,'NEI Lookups'!G:G)</f>
        <v>0</v>
      </c>
      <c r="AV284" s="299">
        <f>SUMIF('NEI Lookups'!$L:$L,'Inputs Yr 2'!$F284,'NEI Lookups'!H:H)+SUMIF('NEI Lookups'!$M:$M,'Inputs Yr 2'!$F284,'NEI Lookups'!H:H)+SUMIF('NEI Lookups'!$N:$N,'Inputs Yr 2'!$F284,'NEI Lookups'!H:H)+SUMIF('NEI Lookups'!$O:$O,'Inputs Yr 2'!$F284,'NEI Lookups'!H:H)+SUMIF('NEI Lookups'!$P:$P,'Inputs Yr 2'!$F284,'NEI Lookups'!H:H)+SUMIF('NEI Lookups'!$Q:$Q,'Inputs Yr 2'!$F284,'NEI Lookups'!H:H)+SUMIF('NEI Lookups'!$R:$R,'Inputs Yr 2'!$F284,'NEI Lookups'!H:H)+SUMIF('NEI Lookups'!$S:$S,'Inputs Yr 2'!$F284,'NEI Lookups'!H:H)+SUMIF('NEI Lookups'!$T:$T,'Inputs Yr 2'!$F284,'NEI Lookups'!H:H)</f>
        <v>0</v>
      </c>
      <c r="AW284" s="299">
        <f>SUMIF('NEI Lookups'!$L:$L,'Inputs Yr 2'!$F284,'NEI Lookups'!I:I)+SUMIF('NEI Lookups'!$M:$M,'Inputs Yr 2'!$F284,'NEI Lookups'!I:I)+SUMIF('NEI Lookups'!$N:$N,'Inputs Yr 2'!$F284,'NEI Lookups'!I:I)+SUMIF('NEI Lookups'!$O:$O,'Inputs Yr 2'!$F284,'NEI Lookups'!I:I)+SUMIF('NEI Lookups'!$P:$P,'Inputs Yr 2'!$F284,'NEI Lookups'!I:I)+SUMIF('NEI Lookups'!$Q:$Q,'Inputs Yr 2'!$F284,'NEI Lookups'!I:I)+SUMIF('NEI Lookups'!$R:$R,'Inputs Yr 2'!$F284,'NEI Lookups'!I:I)+SUMIF('NEI Lookups'!$S:$S,'Inputs Yr 2'!$F284,'NEI Lookups'!I:I)+SUMIF('NEI Lookups'!$T:$T,'Inputs Yr 2'!$F284,'NEI Lookups'!I:I)</f>
        <v>0</v>
      </c>
      <c r="AX284" s="299">
        <f>SUMIF('NEI Lookups'!$L:$L,'Inputs Yr 2'!$F284,'NEI Lookups'!J:J)+SUMIF('NEI Lookups'!$M:$M,'Inputs Yr 2'!$F284,'NEI Lookups'!J:J)+SUMIF('NEI Lookups'!$N:$N,'Inputs Yr 2'!$F284,'NEI Lookups'!J:J)+SUMIF('NEI Lookups'!$O:$O,'Inputs Yr 2'!$F284,'NEI Lookups'!J:J)+SUMIF('NEI Lookups'!$P:$P,'Inputs Yr 2'!$F284,'NEI Lookups'!J:J)+SUMIF('NEI Lookups'!$Q:$Q,'Inputs Yr 2'!$F284,'NEI Lookups'!J:J)+SUMIF('NEI Lookups'!$R:$R,'Inputs Yr 2'!$F284,'NEI Lookups'!J:J)+SUMIF('NEI Lookups'!$S:$S,'Inputs Yr 2'!$F284,'NEI Lookups'!J:J)+SUMIF('NEI Lookups'!$T:$T,'Inputs Yr 2'!$F284,'NEI Lookups'!J:J)</f>
        <v>0</v>
      </c>
      <c r="AY284" s="930">
        <f>'Calculations Yr 2'!CP284/'Calculations Yr 2'!I284</f>
        <v>8.8569518013371074</v>
      </c>
    </row>
    <row r="285" spans="1:51" s="133" customFormat="1" ht="12.75" customHeight="1">
      <c r="A285" s="145" t="s">
        <v>83</v>
      </c>
      <c r="B285" s="132" t="s">
        <v>870</v>
      </c>
      <c r="C285" s="132" t="s">
        <v>841</v>
      </c>
      <c r="D285" s="98"/>
      <c r="E285" s="656" t="s">
        <v>798</v>
      </c>
      <c r="F285" s="150" t="s">
        <v>1149</v>
      </c>
      <c r="G285" s="145" t="s">
        <v>89</v>
      </c>
      <c r="H285" s="165"/>
      <c r="I285" s="237">
        <v>15</v>
      </c>
      <c r="J285" s="964"/>
      <c r="K285" s="166"/>
      <c r="L285" s="888">
        <f t="shared" si="107"/>
        <v>0</v>
      </c>
      <c r="M285" s="978">
        <v>0.30099999999999999</v>
      </c>
      <c r="N285" s="978">
        <v>0.14699999999999999</v>
      </c>
      <c r="O285" s="978">
        <v>0</v>
      </c>
      <c r="P285" s="889">
        <v>0.84600000000000009</v>
      </c>
      <c r="Q285" s="978">
        <v>1</v>
      </c>
      <c r="R285" s="178">
        <v>1</v>
      </c>
      <c r="S285" s="178">
        <v>1</v>
      </c>
      <c r="T285" s="178">
        <v>1</v>
      </c>
      <c r="U285" s="978">
        <v>0</v>
      </c>
      <c r="V285" s="978">
        <v>0</v>
      </c>
      <c r="W285" s="179"/>
      <c r="X285" s="937" t="s">
        <v>653</v>
      </c>
      <c r="Y285" s="299">
        <f>IFERROR(VLOOKUP($X285,'Demand Lookups'!$A$5:$K$101,9,0), 0)</f>
        <v>0</v>
      </c>
      <c r="Z285" s="922" t="str">
        <f>IFERROR(VLOOKUP(X285,'Demand Lookups'!$A$5:$B$101,2,0),0)</f>
        <v>Non-Electric Measures</v>
      </c>
      <c r="AA285" s="722">
        <v>0</v>
      </c>
      <c r="AB285" s="722">
        <v>0</v>
      </c>
      <c r="AC285" s="722">
        <v>0</v>
      </c>
      <c r="AD285" s="723">
        <v>0</v>
      </c>
      <c r="AE285" s="724">
        <f t="shared" si="116"/>
        <v>0</v>
      </c>
      <c r="AF285" s="723">
        <v>0</v>
      </c>
      <c r="AG285" s="723">
        <v>0</v>
      </c>
      <c r="AH285" s="648">
        <v>0</v>
      </c>
      <c r="AI285" s="648">
        <v>0</v>
      </c>
      <c r="AJ285" s="167" t="s">
        <v>406</v>
      </c>
      <c r="AK285" s="866">
        <v>0.21</v>
      </c>
      <c r="AL285" s="167"/>
      <c r="AM285" s="168"/>
      <c r="AN285" s="167"/>
      <c r="AO285" s="168"/>
      <c r="AP285" s="167"/>
      <c r="AQ285" s="171"/>
      <c r="AR285" s="171"/>
      <c r="AS285" s="299">
        <f>SUMIF('NEI Lookups'!$L:$L,'Inputs Yr 2'!$F285,'NEI Lookups'!E:E)+SUMIF('NEI Lookups'!$M:$M,'Inputs Yr 2'!$F285,'NEI Lookups'!E:E)+SUMIF('NEI Lookups'!$N:$N,'Inputs Yr 2'!$F285,'NEI Lookups'!E:E)+SUMIF('NEI Lookups'!$O:$O,'Inputs Yr 2'!$F285,'NEI Lookups'!E:E)+SUMIF('NEI Lookups'!$P:$P,'Inputs Yr 2'!$F285,'NEI Lookups'!E:E)+SUMIF('NEI Lookups'!$Q:$Q,'Inputs Yr 2'!$F285,'NEI Lookups'!E:E)+SUMIF('NEI Lookups'!$R:$R,'Inputs Yr 2'!$F285,'NEI Lookups'!E:E)+SUMIF('NEI Lookups'!$S:$S,'Inputs Yr 2'!$F285,'NEI Lookups'!E:E)+SUMIF('NEI Lookups'!$T:$T,'Inputs Yr 2'!$F285,'NEI Lookups'!E:E)</f>
        <v>0</v>
      </c>
      <c r="AT285" s="299">
        <f>SUMIF('NEI Lookups'!$L:$L,'Inputs Yr 2'!$F285,'NEI Lookups'!F:F)+SUMIF('NEI Lookups'!$M:$M,'Inputs Yr 2'!$F285,'NEI Lookups'!F:F)+SUMIF('NEI Lookups'!$N:$N,'Inputs Yr 2'!$F285,'NEI Lookups'!F:F)+SUMIF('NEI Lookups'!$O:$O,'Inputs Yr 2'!$F285,'NEI Lookups'!F:F)+SUMIF('NEI Lookups'!$P:$P,'Inputs Yr 2'!$F285,'NEI Lookups'!F:F)+SUMIF('NEI Lookups'!$Q:$Q,'Inputs Yr 2'!$F285,'NEI Lookups'!F:F)+SUMIF('NEI Lookups'!$R:$R,'Inputs Yr 2'!$F285,'NEI Lookups'!F:F)+SUMIF('NEI Lookups'!$S:$S,'Inputs Yr 2'!$F285,'NEI Lookups'!F:F)+SUMIF('NEI Lookups'!$T:$T,'Inputs Yr 2'!$F285,'NEI Lookups'!F:F)</f>
        <v>0</v>
      </c>
      <c r="AU285" s="299">
        <f>SUMIF('NEI Lookups'!$L:$L,'Inputs Yr 2'!$F285,'NEI Lookups'!G:G)+SUMIF('NEI Lookups'!$M:$M,'Inputs Yr 2'!$F285,'NEI Lookups'!G:G)+SUMIF('NEI Lookups'!$N:$N,'Inputs Yr 2'!$F285,'NEI Lookups'!G:G)+SUMIF('NEI Lookups'!$O:$O,'Inputs Yr 2'!$F285,'NEI Lookups'!G:G)+SUMIF('NEI Lookups'!$P:$P,'Inputs Yr 2'!$F285,'NEI Lookups'!G:G)+SUMIF('NEI Lookups'!$Q:$Q,'Inputs Yr 2'!$F285,'NEI Lookups'!G:G)+SUMIF('NEI Lookups'!$R:$R,'Inputs Yr 2'!$F285,'NEI Lookups'!G:G)+SUMIF('NEI Lookups'!$S:$S,'Inputs Yr 2'!$F285,'NEI Lookups'!G:G)+SUMIF('NEI Lookups'!$T:$T,'Inputs Yr 2'!$F285,'NEI Lookups'!G:G)</f>
        <v>0</v>
      </c>
      <c r="AV285" s="299">
        <f>SUMIF('NEI Lookups'!$L:$L,'Inputs Yr 2'!$F285,'NEI Lookups'!H:H)+SUMIF('NEI Lookups'!$M:$M,'Inputs Yr 2'!$F285,'NEI Lookups'!H:H)+SUMIF('NEI Lookups'!$N:$N,'Inputs Yr 2'!$F285,'NEI Lookups'!H:H)+SUMIF('NEI Lookups'!$O:$O,'Inputs Yr 2'!$F285,'NEI Lookups'!H:H)+SUMIF('NEI Lookups'!$P:$P,'Inputs Yr 2'!$F285,'NEI Lookups'!H:H)+SUMIF('NEI Lookups'!$Q:$Q,'Inputs Yr 2'!$F285,'NEI Lookups'!H:H)+SUMIF('NEI Lookups'!$R:$R,'Inputs Yr 2'!$F285,'NEI Lookups'!H:H)+SUMIF('NEI Lookups'!$S:$S,'Inputs Yr 2'!$F285,'NEI Lookups'!H:H)+SUMIF('NEI Lookups'!$T:$T,'Inputs Yr 2'!$F285,'NEI Lookups'!H:H)</f>
        <v>0</v>
      </c>
      <c r="AW285" s="299">
        <f>SUMIF('NEI Lookups'!$L:$L,'Inputs Yr 2'!$F285,'NEI Lookups'!I:I)+SUMIF('NEI Lookups'!$M:$M,'Inputs Yr 2'!$F285,'NEI Lookups'!I:I)+SUMIF('NEI Lookups'!$N:$N,'Inputs Yr 2'!$F285,'NEI Lookups'!I:I)+SUMIF('NEI Lookups'!$O:$O,'Inputs Yr 2'!$F285,'NEI Lookups'!I:I)+SUMIF('NEI Lookups'!$P:$P,'Inputs Yr 2'!$F285,'NEI Lookups'!I:I)+SUMIF('NEI Lookups'!$Q:$Q,'Inputs Yr 2'!$F285,'NEI Lookups'!I:I)+SUMIF('NEI Lookups'!$R:$R,'Inputs Yr 2'!$F285,'NEI Lookups'!I:I)+SUMIF('NEI Lookups'!$S:$S,'Inputs Yr 2'!$F285,'NEI Lookups'!I:I)+SUMIF('NEI Lookups'!$T:$T,'Inputs Yr 2'!$F285,'NEI Lookups'!I:I)</f>
        <v>0</v>
      </c>
      <c r="AX285" s="299">
        <f>SUMIF('NEI Lookups'!$L:$L,'Inputs Yr 2'!$F285,'NEI Lookups'!J:J)+SUMIF('NEI Lookups'!$M:$M,'Inputs Yr 2'!$F285,'NEI Lookups'!J:J)+SUMIF('NEI Lookups'!$N:$N,'Inputs Yr 2'!$F285,'NEI Lookups'!J:J)+SUMIF('NEI Lookups'!$O:$O,'Inputs Yr 2'!$F285,'NEI Lookups'!J:J)+SUMIF('NEI Lookups'!$P:$P,'Inputs Yr 2'!$F285,'NEI Lookups'!J:J)+SUMIF('NEI Lookups'!$Q:$Q,'Inputs Yr 2'!$F285,'NEI Lookups'!J:J)+SUMIF('NEI Lookups'!$R:$R,'Inputs Yr 2'!$F285,'NEI Lookups'!J:J)+SUMIF('NEI Lookups'!$S:$S,'Inputs Yr 2'!$F285,'NEI Lookups'!J:J)+SUMIF('NEI Lookups'!$T:$T,'Inputs Yr 2'!$F285,'NEI Lookups'!J:J)</f>
        <v>0</v>
      </c>
      <c r="AY285" s="930" t="e">
        <f>'Calculations Yr 2'!CP285/'Calculations Yr 2'!I285</f>
        <v>#VALUE!</v>
      </c>
    </row>
    <row r="286" spans="1:51" s="133" customFormat="1" ht="12.75" customHeight="1">
      <c r="A286" s="145" t="s">
        <v>83</v>
      </c>
      <c r="B286" s="132" t="s">
        <v>870</v>
      </c>
      <c r="C286" s="132" t="s">
        <v>841</v>
      </c>
      <c r="D286" s="98"/>
      <c r="E286" s="656" t="s">
        <v>799</v>
      </c>
      <c r="F286" s="150" t="s">
        <v>1150</v>
      </c>
      <c r="G286" s="145" t="s">
        <v>89</v>
      </c>
      <c r="H286" s="165"/>
      <c r="I286" s="237">
        <v>15</v>
      </c>
      <c r="J286" s="964"/>
      <c r="K286" s="166"/>
      <c r="L286" s="888">
        <f t="shared" si="107"/>
        <v>0</v>
      </c>
      <c r="M286" s="978">
        <v>0.30099999999999999</v>
      </c>
      <c r="N286" s="978">
        <v>0.14699999999999999</v>
      </c>
      <c r="O286" s="978">
        <v>0</v>
      </c>
      <c r="P286" s="889">
        <v>0.84600000000000009</v>
      </c>
      <c r="Q286" s="978">
        <v>1</v>
      </c>
      <c r="R286" s="178">
        <v>1</v>
      </c>
      <c r="S286" s="178">
        <v>1</v>
      </c>
      <c r="T286" s="178">
        <v>1</v>
      </c>
      <c r="U286" s="978">
        <v>0</v>
      </c>
      <c r="V286" s="978">
        <v>0</v>
      </c>
      <c r="W286" s="179"/>
      <c r="X286" s="937" t="s">
        <v>653</v>
      </c>
      <c r="Y286" s="299">
        <f>IFERROR(VLOOKUP($X286,'Demand Lookups'!$A$5:$K$101,9,0), 0)</f>
        <v>0</v>
      </c>
      <c r="Z286" s="922" t="str">
        <f>IFERROR(VLOOKUP(X286,'Demand Lookups'!$A$5:$B$101,2,0),0)</f>
        <v>Non-Electric Measures</v>
      </c>
      <c r="AA286" s="722">
        <v>0</v>
      </c>
      <c r="AB286" s="722">
        <v>0</v>
      </c>
      <c r="AC286" s="722">
        <v>0</v>
      </c>
      <c r="AD286" s="723">
        <v>0</v>
      </c>
      <c r="AE286" s="724">
        <f t="shared" si="116"/>
        <v>0</v>
      </c>
      <c r="AF286" s="723">
        <v>0</v>
      </c>
      <c r="AG286" s="723">
        <v>0</v>
      </c>
      <c r="AH286" s="648">
        <v>0</v>
      </c>
      <c r="AI286" s="648">
        <v>0</v>
      </c>
      <c r="AJ286" s="167" t="s">
        <v>406</v>
      </c>
      <c r="AK286" s="866">
        <v>0.36</v>
      </c>
      <c r="AL286" s="167"/>
      <c r="AM286" s="168"/>
      <c r="AN286" s="167"/>
      <c r="AO286" s="168"/>
      <c r="AP286" s="167"/>
      <c r="AQ286" s="171"/>
      <c r="AR286" s="171"/>
      <c r="AS286" s="299">
        <f>SUMIF('NEI Lookups'!$L:$L,'Inputs Yr 2'!$F286,'NEI Lookups'!E:E)+SUMIF('NEI Lookups'!$M:$M,'Inputs Yr 2'!$F286,'NEI Lookups'!E:E)+SUMIF('NEI Lookups'!$N:$N,'Inputs Yr 2'!$F286,'NEI Lookups'!E:E)+SUMIF('NEI Lookups'!$O:$O,'Inputs Yr 2'!$F286,'NEI Lookups'!E:E)+SUMIF('NEI Lookups'!$P:$P,'Inputs Yr 2'!$F286,'NEI Lookups'!E:E)+SUMIF('NEI Lookups'!$Q:$Q,'Inputs Yr 2'!$F286,'NEI Lookups'!E:E)+SUMIF('NEI Lookups'!$R:$R,'Inputs Yr 2'!$F286,'NEI Lookups'!E:E)+SUMIF('NEI Lookups'!$S:$S,'Inputs Yr 2'!$F286,'NEI Lookups'!E:E)+SUMIF('NEI Lookups'!$T:$T,'Inputs Yr 2'!$F286,'NEI Lookups'!E:E)</f>
        <v>0</v>
      </c>
      <c r="AT286" s="299">
        <f>SUMIF('NEI Lookups'!$L:$L,'Inputs Yr 2'!$F286,'NEI Lookups'!F:F)+SUMIF('NEI Lookups'!$M:$M,'Inputs Yr 2'!$F286,'NEI Lookups'!F:F)+SUMIF('NEI Lookups'!$N:$N,'Inputs Yr 2'!$F286,'NEI Lookups'!F:F)+SUMIF('NEI Lookups'!$O:$O,'Inputs Yr 2'!$F286,'NEI Lookups'!F:F)+SUMIF('NEI Lookups'!$P:$P,'Inputs Yr 2'!$F286,'NEI Lookups'!F:F)+SUMIF('NEI Lookups'!$Q:$Q,'Inputs Yr 2'!$F286,'NEI Lookups'!F:F)+SUMIF('NEI Lookups'!$R:$R,'Inputs Yr 2'!$F286,'NEI Lookups'!F:F)+SUMIF('NEI Lookups'!$S:$S,'Inputs Yr 2'!$F286,'NEI Lookups'!F:F)+SUMIF('NEI Lookups'!$T:$T,'Inputs Yr 2'!$F286,'NEI Lookups'!F:F)</f>
        <v>0</v>
      </c>
      <c r="AU286" s="299">
        <f>SUMIF('NEI Lookups'!$L:$L,'Inputs Yr 2'!$F286,'NEI Lookups'!G:G)+SUMIF('NEI Lookups'!$M:$M,'Inputs Yr 2'!$F286,'NEI Lookups'!G:G)+SUMIF('NEI Lookups'!$N:$N,'Inputs Yr 2'!$F286,'NEI Lookups'!G:G)+SUMIF('NEI Lookups'!$O:$O,'Inputs Yr 2'!$F286,'NEI Lookups'!G:G)+SUMIF('NEI Lookups'!$P:$P,'Inputs Yr 2'!$F286,'NEI Lookups'!G:G)+SUMIF('NEI Lookups'!$Q:$Q,'Inputs Yr 2'!$F286,'NEI Lookups'!G:G)+SUMIF('NEI Lookups'!$R:$R,'Inputs Yr 2'!$F286,'NEI Lookups'!G:G)+SUMIF('NEI Lookups'!$S:$S,'Inputs Yr 2'!$F286,'NEI Lookups'!G:G)+SUMIF('NEI Lookups'!$T:$T,'Inputs Yr 2'!$F286,'NEI Lookups'!G:G)</f>
        <v>0</v>
      </c>
      <c r="AV286" s="299">
        <f>SUMIF('NEI Lookups'!$L:$L,'Inputs Yr 2'!$F286,'NEI Lookups'!H:H)+SUMIF('NEI Lookups'!$M:$M,'Inputs Yr 2'!$F286,'NEI Lookups'!H:H)+SUMIF('NEI Lookups'!$N:$N,'Inputs Yr 2'!$F286,'NEI Lookups'!H:H)+SUMIF('NEI Lookups'!$O:$O,'Inputs Yr 2'!$F286,'NEI Lookups'!H:H)+SUMIF('NEI Lookups'!$P:$P,'Inputs Yr 2'!$F286,'NEI Lookups'!H:H)+SUMIF('NEI Lookups'!$Q:$Q,'Inputs Yr 2'!$F286,'NEI Lookups'!H:H)+SUMIF('NEI Lookups'!$R:$R,'Inputs Yr 2'!$F286,'NEI Lookups'!H:H)+SUMIF('NEI Lookups'!$S:$S,'Inputs Yr 2'!$F286,'NEI Lookups'!H:H)+SUMIF('NEI Lookups'!$T:$T,'Inputs Yr 2'!$F286,'NEI Lookups'!H:H)</f>
        <v>0</v>
      </c>
      <c r="AW286" s="299">
        <f>SUMIF('NEI Lookups'!$L:$L,'Inputs Yr 2'!$F286,'NEI Lookups'!I:I)+SUMIF('NEI Lookups'!$M:$M,'Inputs Yr 2'!$F286,'NEI Lookups'!I:I)+SUMIF('NEI Lookups'!$N:$N,'Inputs Yr 2'!$F286,'NEI Lookups'!I:I)+SUMIF('NEI Lookups'!$O:$O,'Inputs Yr 2'!$F286,'NEI Lookups'!I:I)+SUMIF('NEI Lookups'!$P:$P,'Inputs Yr 2'!$F286,'NEI Lookups'!I:I)+SUMIF('NEI Lookups'!$Q:$Q,'Inputs Yr 2'!$F286,'NEI Lookups'!I:I)+SUMIF('NEI Lookups'!$R:$R,'Inputs Yr 2'!$F286,'NEI Lookups'!I:I)+SUMIF('NEI Lookups'!$S:$S,'Inputs Yr 2'!$F286,'NEI Lookups'!I:I)+SUMIF('NEI Lookups'!$T:$T,'Inputs Yr 2'!$F286,'NEI Lookups'!I:I)</f>
        <v>0</v>
      </c>
      <c r="AX286" s="299">
        <f>SUMIF('NEI Lookups'!$L:$L,'Inputs Yr 2'!$F286,'NEI Lookups'!J:J)+SUMIF('NEI Lookups'!$M:$M,'Inputs Yr 2'!$F286,'NEI Lookups'!J:J)+SUMIF('NEI Lookups'!$N:$N,'Inputs Yr 2'!$F286,'NEI Lookups'!J:J)+SUMIF('NEI Lookups'!$O:$O,'Inputs Yr 2'!$F286,'NEI Lookups'!J:J)+SUMIF('NEI Lookups'!$P:$P,'Inputs Yr 2'!$F286,'NEI Lookups'!J:J)+SUMIF('NEI Lookups'!$Q:$Q,'Inputs Yr 2'!$F286,'NEI Lookups'!J:J)+SUMIF('NEI Lookups'!$R:$R,'Inputs Yr 2'!$F286,'NEI Lookups'!J:J)+SUMIF('NEI Lookups'!$S:$S,'Inputs Yr 2'!$F286,'NEI Lookups'!J:J)+SUMIF('NEI Lookups'!$T:$T,'Inputs Yr 2'!$F286,'NEI Lookups'!J:J)</f>
        <v>0</v>
      </c>
      <c r="AY286" s="930" t="e">
        <f>'Calculations Yr 2'!CP286/'Calculations Yr 2'!I286</f>
        <v>#VALUE!</v>
      </c>
    </row>
    <row r="287" spans="1:51" s="133" customFormat="1" ht="12.75" customHeight="1">
      <c r="A287" s="145" t="s">
        <v>83</v>
      </c>
      <c r="B287" s="132" t="s">
        <v>870</v>
      </c>
      <c r="C287" s="132" t="s">
        <v>841</v>
      </c>
      <c r="D287" s="98"/>
      <c r="E287" s="656" t="s">
        <v>800</v>
      </c>
      <c r="F287" s="150" t="s">
        <v>1151</v>
      </c>
      <c r="G287" s="145" t="s">
        <v>1247</v>
      </c>
      <c r="H287" s="165"/>
      <c r="I287" s="237">
        <v>15</v>
      </c>
      <c r="J287" s="964"/>
      <c r="K287" s="166"/>
      <c r="L287" s="888">
        <f t="shared" si="107"/>
        <v>0</v>
      </c>
      <c r="M287" s="978">
        <v>0.30099999999999999</v>
      </c>
      <c r="N287" s="978">
        <v>0.14699999999999999</v>
      </c>
      <c r="O287" s="978">
        <v>0</v>
      </c>
      <c r="P287" s="889">
        <v>0.84600000000000009</v>
      </c>
      <c r="Q287" s="978">
        <v>1</v>
      </c>
      <c r="R287" s="178">
        <v>1</v>
      </c>
      <c r="S287" s="178">
        <v>1</v>
      </c>
      <c r="T287" s="178">
        <v>1</v>
      </c>
      <c r="U287" s="978">
        <v>0</v>
      </c>
      <c r="V287" s="978">
        <v>0</v>
      </c>
      <c r="W287" s="179"/>
      <c r="X287" s="937" t="s">
        <v>653</v>
      </c>
      <c r="Y287" s="299">
        <f>IFERROR(VLOOKUP($X287,'Demand Lookups'!$A$5:$K$101,9,0), 0)</f>
        <v>0</v>
      </c>
      <c r="Z287" s="922" t="str">
        <f>IFERROR(VLOOKUP(X287,'Demand Lookups'!$A$5:$B$101,2,0),0)</f>
        <v>Non-Electric Measures</v>
      </c>
      <c r="AA287" s="722">
        <v>0</v>
      </c>
      <c r="AB287" s="722">
        <v>0</v>
      </c>
      <c r="AC287" s="722">
        <v>0</v>
      </c>
      <c r="AD287" s="723">
        <v>0</v>
      </c>
      <c r="AE287" s="724">
        <f t="shared" si="116"/>
        <v>0</v>
      </c>
      <c r="AF287" s="723">
        <v>0</v>
      </c>
      <c r="AG287" s="723">
        <v>0</v>
      </c>
      <c r="AH287" s="648">
        <v>0</v>
      </c>
      <c r="AI287" s="648">
        <v>0</v>
      </c>
      <c r="AJ287" s="167" t="s">
        <v>87</v>
      </c>
      <c r="AK287" s="866">
        <v>0.21</v>
      </c>
      <c r="AL287" s="167"/>
      <c r="AM287" s="168"/>
      <c r="AN287" s="167"/>
      <c r="AO287" s="168"/>
      <c r="AP287" s="167"/>
      <c r="AQ287" s="171"/>
      <c r="AR287" s="171"/>
      <c r="AS287" s="299">
        <f>SUMIF('NEI Lookups'!$L:$L,'Inputs Yr 2'!$F287,'NEI Lookups'!E:E)+SUMIF('NEI Lookups'!$M:$M,'Inputs Yr 2'!$F287,'NEI Lookups'!E:E)+SUMIF('NEI Lookups'!$N:$N,'Inputs Yr 2'!$F287,'NEI Lookups'!E:E)+SUMIF('NEI Lookups'!$O:$O,'Inputs Yr 2'!$F287,'NEI Lookups'!E:E)+SUMIF('NEI Lookups'!$P:$P,'Inputs Yr 2'!$F287,'NEI Lookups'!E:E)+SUMIF('NEI Lookups'!$Q:$Q,'Inputs Yr 2'!$F287,'NEI Lookups'!E:E)+SUMIF('NEI Lookups'!$R:$R,'Inputs Yr 2'!$F287,'NEI Lookups'!E:E)+SUMIF('NEI Lookups'!$S:$S,'Inputs Yr 2'!$F287,'NEI Lookups'!E:E)+SUMIF('NEI Lookups'!$T:$T,'Inputs Yr 2'!$F287,'NEI Lookups'!E:E)</f>
        <v>0</v>
      </c>
      <c r="AT287" s="299">
        <f>SUMIF('NEI Lookups'!$L:$L,'Inputs Yr 2'!$F287,'NEI Lookups'!F:F)+SUMIF('NEI Lookups'!$M:$M,'Inputs Yr 2'!$F287,'NEI Lookups'!F:F)+SUMIF('NEI Lookups'!$N:$N,'Inputs Yr 2'!$F287,'NEI Lookups'!F:F)+SUMIF('NEI Lookups'!$O:$O,'Inputs Yr 2'!$F287,'NEI Lookups'!F:F)+SUMIF('NEI Lookups'!$P:$P,'Inputs Yr 2'!$F287,'NEI Lookups'!F:F)+SUMIF('NEI Lookups'!$Q:$Q,'Inputs Yr 2'!$F287,'NEI Lookups'!F:F)+SUMIF('NEI Lookups'!$R:$R,'Inputs Yr 2'!$F287,'NEI Lookups'!F:F)+SUMIF('NEI Lookups'!$S:$S,'Inputs Yr 2'!$F287,'NEI Lookups'!F:F)+SUMIF('NEI Lookups'!$T:$T,'Inputs Yr 2'!$F287,'NEI Lookups'!F:F)</f>
        <v>0</v>
      </c>
      <c r="AU287" s="299">
        <f>SUMIF('NEI Lookups'!$L:$L,'Inputs Yr 2'!$F287,'NEI Lookups'!G:G)+SUMIF('NEI Lookups'!$M:$M,'Inputs Yr 2'!$F287,'NEI Lookups'!G:G)+SUMIF('NEI Lookups'!$N:$N,'Inputs Yr 2'!$F287,'NEI Lookups'!G:G)+SUMIF('NEI Lookups'!$O:$O,'Inputs Yr 2'!$F287,'NEI Lookups'!G:G)+SUMIF('NEI Lookups'!$P:$P,'Inputs Yr 2'!$F287,'NEI Lookups'!G:G)+SUMIF('NEI Lookups'!$Q:$Q,'Inputs Yr 2'!$F287,'NEI Lookups'!G:G)+SUMIF('NEI Lookups'!$R:$R,'Inputs Yr 2'!$F287,'NEI Lookups'!G:G)+SUMIF('NEI Lookups'!$S:$S,'Inputs Yr 2'!$F287,'NEI Lookups'!G:G)+SUMIF('NEI Lookups'!$T:$T,'Inputs Yr 2'!$F287,'NEI Lookups'!G:G)</f>
        <v>0</v>
      </c>
      <c r="AV287" s="299">
        <f>SUMIF('NEI Lookups'!$L:$L,'Inputs Yr 2'!$F287,'NEI Lookups'!H:H)+SUMIF('NEI Lookups'!$M:$M,'Inputs Yr 2'!$F287,'NEI Lookups'!H:H)+SUMIF('NEI Lookups'!$N:$N,'Inputs Yr 2'!$F287,'NEI Lookups'!H:H)+SUMIF('NEI Lookups'!$O:$O,'Inputs Yr 2'!$F287,'NEI Lookups'!H:H)+SUMIF('NEI Lookups'!$P:$P,'Inputs Yr 2'!$F287,'NEI Lookups'!H:H)+SUMIF('NEI Lookups'!$Q:$Q,'Inputs Yr 2'!$F287,'NEI Lookups'!H:H)+SUMIF('NEI Lookups'!$R:$R,'Inputs Yr 2'!$F287,'NEI Lookups'!H:H)+SUMIF('NEI Lookups'!$S:$S,'Inputs Yr 2'!$F287,'NEI Lookups'!H:H)+SUMIF('NEI Lookups'!$T:$T,'Inputs Yr 2'!$F287,'NEI Lookups'!H:H)</f>
        <v>0</v>
      </c>
      <c r="AW287" s="299">
        <f>SUMIF('NEI Lookups'!$L:$L,'Inputs Yr 2'!$F287,'NEI Lookups'!I:I)+SUMIF('NEI Lookups'!$M:$M,'Inputs Yr 2'!$F287,'NEI Lookups'!I:I)+SUMIF('NEI Lookups'!$N:$N,'Inputs Yr 2'!$F287,'NEI Lookups'!I:I)+SUMIF('NEI Lookups'!$O:$O,'Inputs Yr 2'!$F287,'NEI Lookups'!I:I)+SUMIF('NEI Lookups'!$P:$P,'Inputs Yr 2'!$F287,'NEI Lookups'!I:I)+SUMIF('NEI Lookups'!$Q:$Q,'Inputs Yr 2'!$F287,'NEI Lookups'!I:I)+SUMIF('NEI Lookups'!$R:$R,'Inputs Yr 2'!$F287,'NEI Lookups'!I:I)+SUMIF('NEI Lookups'!$S:$S,'Inputs Yr 2'!$F287,'NEI Lookups'!I:I)+SUMIF('NEI Lookups'!$T:$T,'Inputs Yr 2'!$F287,'NEI Lookups'!I:I)</f>
        <v>0</v>
      </c>
      <c r="AX287" s="299">
        <f>SUMIF('NEI Lookups'!$L:$L,'Inputs Yr 2'!$F287,'NEI Lookups'!J:J)+SUMIF('NEI Lookups'!$M:$M,'Inputs Yr 2'!$F287,'NEI Lookups'!J:J)+SUMIF('NEI Lookups'!$N:$N,'Inputs Yr 2'!$F287,'NEI Lookups'!J:J)+SUMIF('NEI Lookups'!$O:$O,'Inputs Yr 2'!$F287,'NEI Lookups'!J:J)+SUMIF('NEI Lookups'!$P:$P,'Inputs Yr 2'!$F287,'NEI Lookups'!J:J)+SUMIF('NEI Lookups'!$Q:$Q,'Inputs Yr 2'!$F287,'NEI Lookups'!J:J)+SUMIF('NEI Lookups'!$R:$R,'Inputs Yr 2'!$F287,'NEI Lookups'!J:J)+SUMIF('NEI Lookups'!$S:$S,'Inputs Yr 2'!$F287,'NEI Lookups'!J:J)+SUMIF('NEI Lookups'!$T:$T,'Inputs Yr 2'!$F287,'NEI Lookups'!J:J)</f>
        <v>0</v>
      </c>
      <c r="AY287" s="930" t="e">
        <f>'Calculations Yr 2'!CP287/'Calculations Yr 2'!I287</f>
        <v>#VALUE!</v>
      </c>
    </row>
    <row r="288" spans="1:51" s="133" customFormat="1" ht="12.75" customHeight="1">
      <c r="A288" s="145" t="s">
        <v>83</v>
      </c>
      <c r="B288" s="132" t="s">
        <v>870</v>
      </c>
      <c r="C288" s="132" t="s">
        <v>841</v>
      </c>
      <c r="D288" s="98"/>
      <c r="E288" s="656" t="s">
        <v>801</v>
      </c>
      <c r="F288" s="150" t="s">
        <v>1152</v>
      </c>
      <c r="G288" s="145" t="s">
        <v>1247</v>
      </c>
      <c r="H288" s="165"/>
      <c r="I288" s="237">
        <v>15</v>
      </c>
      <c r="J288" s="964"/>
      <c r="K288" s="166"/>
      <c r="L288" s="888">
        <f t="shared" si="107"/>
        <v>0</v>
      </c>
      <c r="M288" s="978">
        <v>0.30099999999999999</v>
      </c>
      <c r="N288" s="978">
        <v>0.14699999999999999</v>
      </c>
      <c r="O288" s="978">
        <v>0</v>
      </c>
      <c r="P288" s="889">
        <v>0.84600000000000009</v>
      </c>
      <c r="Q288" s="978">
        <v>1</v>
      </c>
      <c r="R288" s="178">
        <v>1</v>
      </c>
      <c r="S288" s="178">
        <v>1</v>
      </c>
      <c r="T288" s="178">
        <v>1</v>
      </c>
      <c r="U288" s="978">
        <v>0</v>
      </c>
      <c r="V288" s="978">
        <v>0</v>
      </c>
      <c r="W288" s="179"/>
      <c r="X288" s="937" t="s">
        <v>653</v>
      </c>
      <c r="Y288" s="299">
        <f>IFERROR(VLOOKUP($X288,'Demand Lookups'!$A$5:$K$101,9,0), 0)</f>
        <v>0</v>
      </c>
      <c r="Z288" s="922" t="str">
        <f>IFERROR(VLOOKUP(X288,'Demand Lookups'!$A$5:$B$101,2,0),0)</f>
        <v>Non-Electric Measures</v>
      </c>
      <c r="AA288" s="722">
        <v>0</v>
      </c>
      <c r="AB288" s="722">
        <v>0</v>
      </c>
      <c r="AC288" s="722">
        <v>0</v>
      </c>
      <c r="AD288" s="723">
        <v>0</v>
      </c>
      <c r="AE288" s="724">
        <f t="shared" si="116"/>
        <v>0</v>
      </c>
      <c r="AF288" s="723">
        <v>0</v>
      </c>
      <c r="AG288" s="723">
        <v>0</v>
      </c>
      <c r="AH288" s="648">
        <v>0</v>
      </c>
      <c r="AI288" s="648">
        <v>0</v>
      </c>
      <c r="AJ288" s="167" t="s">
        <v>87</v>
      </c>
      <c r="AK288" s="866">
        <v>0.37</v>
      </c>
      <c r="AL288" s="167"/>
      <c r="AM288" s="168"/>
      <c r="AN288" s="167"/>
      <c r="AO288" s="168"/>
      <c r="AP288" s="167"/>
      <c r="AQ288" s="171"/>
      <c r="AR288" s="171"/>
      <c r="AS288" s="299">
        <f>SUMIF('NEI Lookups'!$L:$L,'Inputs Yr 2'!$F288,'NEI Lookups'!E:E)+SUMIF('NEI Lookups'!$M:$M,'Inputs Yr 2'!$F288,'NEI Lookups'!E:E)+SUMIF('NEI Lookups'!$N:$N,'Inputs Yr 2'!$F288,'NEI Lookups'!E:E)+SUMIF('NEI Lookups'!$O:$O,'Inputs Yr 2'!$F288,'NEI Lookups'!E:E)+SUMIF('NEI Lookups'!$P:$P,'Inputs Yr 2'!$F288,'NEI Lookups'!E:E)+SUMIF('NEI Lookups'!$Q:$Q,'Inputs Yr 2'!$F288,'NEI Lookups'!E:E)+SUMIF('NEI Lookups'!$R:$R,'Inputs Yr 2'!$F288,'NEI Lookups'!E:E)+SUMIF('NEI Lookups'!$S:$S,'Inputs Yr 2'!$F288,'NEI Lookups'!E:E)+SUMIF('NEI Lookups'!$T:$T,'Inputs Yr 2'!$F288,'NEI Lookups'!E:E)</f>
        <v>0</v>
      </c>
      <c r="AT288" s="299">
        <f>SUMIF('NEI Lookups'!$L:$L,'Inputs Yr 2'!$F288,'NEI Lookups'!F:F)+SUMIF('NEI Lookups'!$M:$M,'Inputs Yr 2'!$F288,'NEI Lookups'!F:F)+SUMIF('NEI Lookups'!$N:$N,'Inputs Yr 2'!$F288,'NEI Lookups'!F:F)+SUMIF('NEI Lookups'!$O:$O,'Inputs Yr 2'!$F288,'NEI Lookups'!F:F)+SUMIF('NEI Lookups'!$P:$P,'Inputs Yr 2'!$F288,'NEI Lookups'!F:F)+SUMIF('NEI Lookups'!$Q:$Q,'Inputs Yr 2'!$F288,'NEI Lookups'!F:F)+SUMIF('NEI Lookups'!$R:$R,'Inputs Yr 2'!$F288,'NEI Lookups'!F:F)+SUMIF('NEI Lookups'!$S:$S,'Inputs Yr 2'!$F288,'NEI Lookups'!F:F)+SUMIF('NEI Lookups'!$T:$T,'Inputs Yr 2'!$F288,'NEI Lookups'!F:F)</f>
        <v>0</v>
      </c>
      <c r="AU288" s="299">
        <f>SUMIF('NEI Lookups'!$L:$L,'Inputs Yr 2'!$F288,'NEI Lookups'!G:G)+SUMIF('NEI Lookups'!$M:$M,'Inputs Yr 2'!$F288,'NEI Lookups'!G:G)+SUMIF('NEI Lookups'!$N:$N,'Inputs Yr 2'!$F288,'NEI Lookups'!G:G)+SUMIF('NEI Lookups'!$O:$O,'Inputs Yr 2'!$F288,'NEI Lookups'!G:G)+SUMIF('NEI Lookups'!$P:$P,'Inputs Yr 2'!$F288,'NEI Lookups'!G:G)+SUMIF('NEI Lookups'!$Q:$Q,'Inputs Yr 2'!$F288,'NEI Lookups'!G:G)+SUMIF('NEI Lookups'!$R:$R,'Inputs Yr 2'!$F288,'NEI Lookups'!G:G)+SUMIF('NEI Lookups'!$S:$S,'Inputs Yr 2'!$F288,'NEI Lookups'!G:G)+SUMIF('NEI Lookups'!$T:$T,'Inputs Yr 2'!$F288,'NEI Lookups'!G:G)</f>
        <v>0</v>
      </c>
      <c r="AV288" s="299">
        <f>SUMIF('NEI Lookups'!$L:$L,'Inputs Yr 2'!$F288,'NEI Lookups'!H:H)+SUMIF('NEI Lookups'!$M:$M,'Inputs Yr 2'!$F288,'NEI Lookups'!H:H)+SUMIF('NEI Lookups'!$N:$N,'Inputs Yr 2'!$F288,'NEI Lookups'!H:H)+SUMIF('NEI Lookups'!$O:$O,'Inputs Yr 2'!$F288,'NEI Lookups'!H:H)+SUMIF('NEI Lookups'!$P:$P,'Inputs Yr 2'!$F288,'NEI Lookups'!H:H)+SUMIF('NEI Lookups'!$Q:$Q,'Inputs Yr 2'!$F288,'NEI Lookups'!H:H)+SUMIF('NEI Lookups'!$R:$R,'Inputs Yr 2'!$F288,'NEI Lookups'!H:H)+SUMIF('NEI Lookups'!$S:$S,'Inputs Yr 2'!$F288,'NEI Lookups'!H:H)+SUMIF('NEI Lookups'!$T:$T,'Inputs Yr 2'!$F288,'NEI Lookups'!H:H)</f>
        <v>0</v>
      </c>
      <c r="AW288" s="299">
        <f>SUMIF('NEI Lookups'!$L:$L,'Inputs Yr 2'!$F288,'NEI Lookups'!I:I)+SUMIF('NEI Lookups'!$M:$M,'Inputs Yr 2'!$F288,'NEI Lookups'!I:I)+SUMIF('NEI Lookups'!$N:$N,'Inputs Yr 2'!$F288,'NEI Lookups'!I:I)+SUMIF('NEI Lookups'!$O:$O,'Inputs Yr 2'!$F288,'NEI Lookups'!I:I)+SUMIF('NEI Lookups'!$P:$P,'Inputs Yr 2'!$F288,'NEI Lookups'!I:I)+SUMIF('NEI Lookups'!$Q:$Q,'Inputs Yr 2'!$F288,'NEI Lookups'!I:I)+SUMIF('NEI Lookups'!$R:$R,'Inputs Yr 2'!$F288,'NEI Lookups'!I:I)+SUMIF('NEI Lookups'!$S:$S,'Inputs Yr 2'!$F288,'NEI Lookups'!I:I)+SUMIF('NEI Lookups'!$T:$T,'Inputs Yr 2'!$F288,'NEI Lookups'!I:I)</f>
        <v>0</v>
      </c>
      <c r="AX288" s="299">
        <f>SUMIF('NEI Lookups'!$L:$L,'Inputs Yr 2'!$F288,'NEI Lookups'!J:J)+SUMIF('NEI Lookups'!$M:$M,'Inputs Yr 2'!$F288,'NEI Lookups'!J:J)+SUMIF('NEI Lookups'!$N:$N,'Inputs Yr 2'!$F288,'NEI Lookups'!J:J)+SUMIF('NEI Lookups'!$O:$O,'Inputs Yr 2'!$F288,'NEI Lookups'!J:J)+SUMIF('NEI Lookups'!$P:$P,'Inputs Yr 2'!$F288,'NEI Lookups'!J:J)+SUMIF('NEI Lookups'!$Q:$Q,'Inputs Yr 2'!$F288,'NEI Lookups'!J:J)+SUMIF('NEI Lookups'!$R:$R,'Inputs Yr 2'!$F288,'NEI Lookups'!J:J)+SUMIF('NEI Lookups'!$S:$S,'Inputs Yr 2'!$F288,'NEI Lookups'!J:J)+SUMIF('NEI Lookups'!$T:$T,'Inputs Yr 2'!$F288,'NEI Lookups'!J:J)</f>
        <v>0</v>
      </c>
      <c r="AY288" s="930" t="e">
        <f>'Calculations Yr 2'!CP288/'Calculations Yr 2'!I288</f>
        <v>#VALUE!</v>
      </c>
    </row>
    <row r="289" spans="1:51" s="133" customFormat="1" ht="12.75" customHeight="1">
      <c r="A289" s="145" t="s">
        <v>83</v>
      </c>
      <c r="B289" s="132" t="s">
        <v>870</v>
      </c>
      <c r="C289" s="132" t="s">
        <v>841</v>
      </c>
      <c r="D289" s="97"/>
      <c r="E289" s="892" t="s">
        <v>1405</v>
      </c>
      <c r="F289" s="150" t="s">
        <v>1153</v>
      </c>
      <c r="G289" s="145" t="s">
        <v>89</v>
      </c>
      <c r="H289" s="165"/>
      <c r="I289" s="237">
        <v>10</v>
      </c>
      <c r="J289" s="964">
        <v>16000</v>
      </c>
      <c r="K289" s="166">
        <v>8000</v>
      </c>
      <c r="L289" s="888">
        <f t="shared" si="107"/>
        <v>8000</v>
      </c>
      <c r="M289" s="978">
        <v>0.20599999999999999</v>
      </c>
      <c r="N289" s="978">
        <v>2.4E-2</v>
      </c>
      <c r="O289" s="978">
        <v>0.01</v>
      </c>
      <c r="P289" s="889">
        <v>0.82800000000000007</v>
      </c>
      <c r="Q289" s="978">
        <v>1</v>
      </c>
      <c r="R289" s="178">
        <v>1</v>
      </c>
      <c r="S289" s="178">
        <v>1</v>
      </c>
      <c r="T289" s="178">
        <v>1</v>
      </c>
      <c r="U289" s="978">
        <v>0</v>
      </c>
      <c r="V289" s="978">
        <v>0</v>
      </c>
      <c r="W289" s="179"/>
      <c r="X289" s="99" t="s">
        <v>653</v>
      </c>
      <c r="Y289" s="299">
        <f>IFERROR(VLOOKUP($X289,'Demand Lookups'!$A$5:$K$101,9,0), 0)</f>
        <v>0</v>
      </c>
      <c r="Z289" s="922" t="str">
        <f>IFERROR(VLOOKUP(X289,'Demand Lookups'!$A$5:$B$101,2,0),0)</f>
        <v>Non-Electric Measures</v>
      </c>
      <c r="AA289" s="722">
        <v>0</v>
      </c>
      <c r="AB289" s="722">
        <v>0</v>
      </c>
      <c r="AC289" s="722">
        <v>0</v>
      </c>
      <c r="AD289" s="723">
        <v>0</v>
      </c>
      <c r="AE289" s="724">
        <f t="shared" si="116"/>
        <v>0</v>
      </c>
      <c r="AF289" s="723">
        <v>0</v>
      </c>
      <c r="AG289" s="723">
        <v>0</v>
      </c>
      <c r="AH289" s="648">
        <v>0</v>
      </c>
      <c r="AI289" s="648">
        <v>0</v>
      </c>
      <c r="AJ289" s="167" t="s">
        <v>406</v>
      </c>
      <c r="AK289" s="866">
        <v>500</v>
      </c>
      <c r="AL289" s="167"/>
      <c r="AM289" s="168"/>
      <c r="AN289" s="167"/>
      <c r="AO289" s="168"/>
      <c r="AP289" s="167"/>
      <c r="AQ289" s="171"/>
      <c r="AR289" s="171"/>
      <c r="AS289" s="299">
        <f>SUMIF('NEI Lookups'!$L:$L,'Inputs Yr 2'!$F289,'NEI Lookups'!E:E)+SUMIF('NEI Lookups'!$M:$M,'Inputs Yr 2'!$F289,'NEI Lookups'!E:E)+SUMIF('NEI Lookups'!$N:$N,'Inputs Yr 2'!$F289,'NEI Lookups'!E:E)+SUMIF('NEI Lookups'!$O:$O,'Inputs Yr 2'!$F289,'NEI Lookups'!E:E)+SUMIF('NEI Lookups'!$P:$P,'Inputs Yr 2'!$F289,'NEI Lookups'!E:E)+SUMIF('NEI Lookups'!$Q:$Q,'Inputs Yr 2'!$F289,'NEI Lookups'!E:E)+SUMIF('NEI Lookups'!$R:$R,'Inputs Yr 2'!$F289,'NEI Lookups'!E:E)+SUMIF('NEI Lookups'!$S:$S,'Inputs Yr 2'!$F289,'NEI Lookups'!E:E)+SUMIF('NEI Lookups'!$T:$T,'Inputs Yr 2'!$F289,'NEI Lookups'!E:E)</f>
        <v>0</v>
      </c>
      <c r="AT289" s="299">
        <f>SUMIF('NEI Lookups'!$L:$L,'Inputs Yr 2'!$F289,'NEI Lookups'!F:F)+SUMIF('NEI Lookups'!$M:$M,'Inputs Yr 2'!$F289,'NEI Lookups'!F:F)+SUMIF('NEI Lookups'!$N:$N,'Inputs Yr 2'!$F289,'NEI Lookups'!F:F)+SUMIF('NEI Lookups'!$O:$O,'Inputs Yr 2'!$F289,'NEI Lookups'!F:F)+SUMIF('NEI Lookups'!$P:$P,'Inputs Yr 2'!$F289,'NEI Lookups'!F:F)+SUMIF('NEI Lookups'!$Q:$Q,'Inputs Yr 2'!$F289,'NEI Lookups'!F:F)+SUMIF('NEI Lookups'!$R:$R,'Inputs Yr 2'!$F289,'NEI Lookups'!F:F)+SUMIF('NEI Lookups'!$S:$S,'Inputs Yr 2'!$F289,'NEI Lookups'!F:F)+SUMIF('NEI Lookups'!$T:$T,'Inputs Yr 2'!$F289,'NEI Lookups'!F:F)</f>
        <v>0</v>
      </c>
      <c r="AU289" s="299">
        <f>SUMIF('NEI Lookups'!$L:$L,'Inputs Yr 2'!$F289,'NEI Lookups'!G:G)+SUMIF('NEI Lookups'!$M:$M,'Inputs Yr 2'!$F289,'NEI Lookups'!G:G)+SUMIF('NEI Lookups'!$N:$N,'Inputs Yr 2'!$F289,'NEI Lookups'!G:G)+SUMIF('NEI Lookups'!$O:$O,'Inputs Yr 2'!$F289,'NEI Lookups'!G:G)+SUMIF('NEI Lookups'!$P:$P,'Inputs Yr 2'!$F289,'NEI Lookups'!G:G)+SUMIF('NEI Lookups'!$Q:$Q,'Inputs Yr 2'!$F289,'NEI Lookups'!G:G)+SUMIF('NEI Lookups'!$R:$R,'Inputs Yr 2'!$F289,'NEI Lookups'!G:G)+SUMIF('NEI Lookups'!$S:$S,'Inputs Yr 2'!$F289,'NEI Lookups'!G:G)+SUMIF('NEI Lookups'!$T:$T,'Inputs Yr 2'!$F289,'NEI Lookups'!G:G)</f>
        <v>0</v>
      </c>
      <c r="AV289" s="299">
        <f>SUMIF('NEI Lookups'!$L:$L,'Inputs Yr 2'!$F289,'NEI Lookups'!H:H)+SUMIF('NEI Lookups'!$M:$M,'Inputs Yr 2'!$F289,'NEI Lookups'!H:H)+SUMIF('NEI Lookups'!$N:$N,'Inputs Yr 2'!$F289,'NEI Lookups'!H:H)+SUMIF('NEI Lookups'!$O:$O,'Inputs Yr 2'!$F289,'NEI Lookups'!H:H)+SUMIF('NEI Lookups'!$P:$P,'Inputs Yr 2'!$F289,'NEI Lookups'!H:H)+SUMIF('NEI Lookups'!$Q:$Q,'Inputs Yr 2'!$F289,'NEI Lookups'!H:H)+SUMIF('NEI Lookups'!$R:$R,'Inputs Yr 2'!$F289,'NEI Lookups'!H:H)+SUMIF('NEI Lookups'!$S:$S,'Inputs Yr 2'!$F289,'NEI Lookups'!H:H)+SUMIF('NEI Lookups'!$T:$T,'Inputs Yr 2'!$F289,'NEI Lookups'!H:H)</f>
        <v>0</v>
      </c>
      <c r="AW289" s="299">
        <f>SUMIF('NEI Lookups'!$L:$L,'Inputs Yr 2'!$F289,'NEI Lookups'!I:I)+SUMIF('NEI Lookups'!$M:$M,'Inputs Yr 2'!$F289,'NEI Lookups'!I:I)+SUMIF('NEI Lookups'!$N:$N,'Inputs Yr 2'!$F289,'NEI Lookups'!I:I)+SUMIF('NEI Lookups'!$O:$O,'Inputs Yr 2'!$F289,'NEI Lookups'!I:I)+SUMIF('NEI Lookups'!$P:$P,'Inputs Yr 2'!$F289,'NEI Lookups'!I:I)+SUMIF('NEI Lookups'!$Q:$Q,'Inputs Yr 2'!$F289,'NEI Lookups'!I:I)+SUMIF('NEI Lookups'!$R:$R,'Inputs Yr 2'!$F289,'NEI Lookups'!I:I)+SUMIF('NEI Lookups'!$S:$S,'Inputs Yr 2'!$F289,'NEI Lookups'!I:I)+SUMIF('NEI Lookups'!$T:$T,'Inputs Yr 2'!$F289,'NEI Lookups'!I:I)</f>
        <v>0</v>
      </c>
      <c r="AX289" s="299">
        <f>SUMIF('NEI Lookups'!$L:$L,'Inputs Yr 2'!$F289,'NEI Lookups'!J:J)+SUMIF('NEI Lookups'!$M:$M,'Inputs Yr 2'!$F289,'NEI Lookups'!J:J)+SUMIF('NEI Lookups'!$N:$N,'Inputs Yr 2'!$F289,'NEI Lookups'!J:J)+SUMIF('NEI Lookups'!$O:$O,'Inputs Yr 2'!$F289,'NEI Lookups'!J:J)+SUMIF('NEI Lookups'!$P:$P,'Inputs Yr 2'!$F289,'NEI Lookups'!J:J)+SUMIF('NEI Lookups'!$Q:$Q,'Inputs Yr 2'!$F289,'NEI Lookups'!J:J)+SUMIF('NEI Lookups'!$R:$R,'Inputs Yr 2'!$F289,'NEI Lookups'!J:J)+SUMIF('NEI Lookups'!$S:$S,'Inputs Yr 2'!$F289,'NEI Lookups'!J:J)+SUMIF('NEI Lookups'!$T:$T,'Inputs Yr 2'!$F289,'NEI Lookups'!J:J)</f>
        <v>0</v>
      </c>
      <c r="AY289" s="930" t="e">
        <f>'Calculations Yr 2'!CP289/'Calculations Yr 2'!I289</f>
        <v>#VALUE!</v>
      </c>
    </row>
    <row r="290" spans="1:51" s="133" customFormat="1" ht="12.75" customHeight="1">
      <c r="A290" s="145" t="s">
        <v>83</v>
      </c>
      <c r="B290" s="132" t="s">
        <v>870</v>
      </c>
      <c r="C290" s="132" t="s">
        <v>841</v>
      </c>
      <c r="D290" s="97"/>
      <c r="E290" s="892" t="s">
        <v>1507</v>
      </c>
      <c r="F290" s="150" t="s">
        <v>1406</v>
      </c>
      <c r="G290" s="145" t="s">
        <v>1407</v>
      </c>
      <c r="H290" s="165">
        <v>1</v>
      </c>
      <c r="I290" s="237">
        <v>10</v>
      </c>
      <c r="J290" s="964">
        <v>811159.2</v>
      </c>
      <c r="K290" s="166">
        <v>405579.6</v>
      </c>
      <c r="L290" s="888">
        <f t="shared" si="107"/>
        <v>405579.6</v>
      </c>
      <c r="M290" s="978">
        <v>0.11</v>
      </c>
      <c r="N290" s="978">
        <v>2.6000000000000002E-2</v>
      </c>
      <c r="O290" s="978">
        <v>3.0000000000000001E-3</v>
      </c>
      <c r="P290" s="889">
        <f t="shared" ref="P290:P291" si="122">1-M290+N290+O290</f>
        <v>0.91900000000000004</v>
      </c>
      <c r="Q290" s="978">
        <v>1</v>
      </c>
      <c r="R290" s="178">
        <v>1</v>
      </c>
      <c r="S290" s="178">
        <v>1</v>
      </c>
      <c r="T290" s="178">
        <v>1</v>
      </c>
      <c r="U290" s="978">
        <v>0.77900000000000003</v>
      </c>
      <c r="V290" s="978">
        <v>1</v>
      </c>
      <c r="W290" s="179"/>
      <c r="X290" s="99" t="s">
        <v>653</v>
      </c>
      <c r="Y290" s="299">
        <f>IFERROR(VLOOKUP($X290,'Demand Lookups'!$A$5:$K$101,9,0), 0)</f>
        <v>0</v>
      </c>
      <c r="Z290" s="922" t="str">
        <f>IFERROR(VLOOKUP(X290,'Demand Lookups'!$A$5:$B$101,2,0),0)</f>
        <v>Non-Electric Measures</v>
      </c>
      <c r="AA290" s="722">
        <v>0</v>
      </c>
      <c r="AB290" s="722">
        <v>0</v>
      </c>
      <c r="AC290" s="722">
        <v>0</v>
      </c>
      <c r="AD290" s="723">
        <v>0</v>
      </c>
      <c r="AE290" s="724">
        <v>0</v>
      </c>
      <c r="AF290" s="723">
        <v>0</v>
      </c>
      <c r="AG290" s="723">
        <v>0</v>
      </c>
      <c r="AH290" s="648">
        <v>0</v>
      </c>
      <c r="AI290" s="648">
        <v>0</v>
      </c>
      <c r="AJ290" s="167" t="s">
        <v>87</v>
      </c>
      <c r="AK290" s="866">
        <v>28408.6</v>
      </c>
      <c r="AL290" s="167"/>
      <c r="AM290" s="168"/>
      <c r="AN290" s="167"/>
      <c r="AO290" s="168"/>
      <c r="AP290" s="167"/>
      <c r="AQ290" s="171"/>
      <c r="AR290" s="171"/>
      <c r="AS290" s="299">
        <f>SUMIF('NEI Lookups'!$L:$L,'Inputs Yr 2'!$F290,'NEI Lookups'!E:E)+SUMIF('NEI Lookups'!$M:$M,'Inputs Yr 2'!$F290,'NEI Lookups'!E:E)+SUMIF('NEI Lookups'!$N:$N,'Inputs Yr 2'!$F290,'NEI Lookups'!E:E)+SUMIF('NEI Lookups'!$O:$O,'Inputs Yr 2'!$F290,'NEI Lookups'!E:E)+SUMIF('NEI Lookups'!$P:$P,'Inputs Yr 2'!$F290,'NEI Lookups'!E:E)+SUMIF('NEI Lookups'!$Q:$Q,'Inputs Yr 2'!$F290,'NEI Lookups'!E:E)+SUMIF('NEI Lookups'!$R:$R,'Inputs Yr 2'!$F290,'NEI Lookups'!E:E)+SUMIF('NEI Lookups'!$S:$S,'Inputs Yr 2'!$F290,'NEI Lookups'!E:E)+SUMIF('NEI Lookups'!$T:$T,'Inputs Yr 2'!$F290,'NEI Lookups'!E:E)</f>
        <v>0</v>
      </c>
      <c r="AT290" s="299">
        <f>SUMIF('NEI Lookups'!$L:$L,'Inputs Yr 2'!$F290,'NEI Lookups'!F:F)+SUMIF('NEI Lookups'!$M:$M,'Inputs Yr 2'!$F290,'NEI Lookups'!F:F)+SUMIF('NEI Lookups'!$N:$N,'Inputs Yr 2'!$F290,'NEI Lookups'!F:F)+SUMIF('NEI Lookups'!$O:$O,'Inputs Yr 2'!$F290,'NEI Lookups'!F:F)+SUMIF('NEI Lookups'!$P:$P,'Inputs Yr 2'!$F290,'NEI Lookups'!F:F)+SUMIF('NEI Lookups'!$Q:$Q,'Inputs Yr 2'!$F290,'NEI Lookups'!F:F)+SUMIF('NEI Lookups'!$R:$R,'Inputs Yr 2'!$F290,'NEI Lookups'!F:F)+SUMIF('NEI Lookups'!$S:$S,'Inputs Yr 2'!$F290,'NEI Lookups'!F:F)+SUMIF('NEI Lookups'!$T:$T,'Inputs Yr 2'!$F290,'NEI Lookups'!F:F)</f>
        <v>0</v>
      </c>
      <c r="AU290" s="299">
        <f>SUMIF('NEI Lookups'!$L:$L,'Inputs Yr 2'!$F290,'NEI Lookups'!G:G)+SUMIF('NEI Lookups'!$M:$M,'Inputs Yr 2'!$F290,'NEI Lookups'!G:G)+SUMIF('NEI Lookups'!$N:$N,'Inputs Yr 2'!$F290,'NEI Lookups'!G:G)+SUMIF('NEI Lookups'!$O:$O,'Inputs Yr 2'!$F290,'NEI Lookups'!G:G)+SUMIF('NEI Lookups'!$P:$P,'Inputs Yr 2'!$F290,'NEI Lookups'!G:G)+SUMIF('NEI Lookups'!$Q:$Q,'Inputs Yr 2'!$F290,'NEI Lookups'!G:G)+SUMIF('NEI Lookups'!$R:$R,'Inputs Yr 2'!$F290,'NEI Lookups'!G:G)+SUMIF('NEI Lookups'!$S:$S,'Inputs Yr 2'!$F290,'NEI Lookups'!G:G)+SUMIF('NEI Lookups'!$T:$T,'Inputs Yr 2'!$F290,'NEI Lookups'!G:G)</f>
        <v>0</v>
      </c>
      <c r="AV290" s="299">
        <f>SUMIF('NEI Lookups'!$L:$L,'Inputs Yr 2'!$F290,'NEI Lookups'!H:H)+SUMIF('NEI Lookups'!$M:$M,'Inputs Yr 2'!$F290,'NEI Lookups'!H:H)+SUMIF('NEI Lookups'!$N:$N,'Inputs Yr 2'!$F290,'NEI Lookups'!H:H)+SUMIF('NEI Lookups'!$O:$O,'Inputs Yr 2'!$F290,'NEI Lookups'!H:H)+SUMIF('NEI Lookups'!$P:$P,'Inputs Yr 2'!$F290,'NEI Lookups'!H:H)+SUMIF('NEI Lookups'!$Q:$Q,'Inputs Yr 2'!$F290,'NEI Lookups'!H:H)+SUMIF('NEI Lookups'!$R:$R,'Inputs Yr 2'!$F290,'NEI Lookups'!H:H)+SUMIF('NEI Lookups'!$S:$S,'Inputs Yr 2'!$F290,'NEI Lookups'!H:H)+SUMIF('NEI Lookups'!$T:$T,'Inputs Yr 2'!$F290,'NEI Lookups'!H:H)</f>
        <v>0</v>
      </c>
      <c r="AW290" s="299">
        <f>SUMIF('NEI Lookups'!$L:$L,'Inputs Yr 2'!$F290,'NEI Lookups'!I:I)+SUMIF('NEI Lookups'!$M:$M,'Inputs Yr 2'!$F290,'NEI Lookups'!I:I)+SUMIF('NEI Lookups'!$N:$N,'Inputs Yr 2'!$F290,'NEI Lookups'!I:I)+SUMIF('NEI Lookups'!$O:$O,'Inputs Yr 2'!$F290,'NEI Lookups'!I:I)+SUMIF('NEI Lookups'!$P:$P,'Inputs Yr 2'!$F290,'NEI Lookups'!I:I)+SUMIF('NEI Lookups'!$Q:$Q,'Inputs Yr 2'!$F290,'NEI Lookups'!I:I)+SUMIF('NEI Lookups'!$R:$R,'Inputs Yr 2'!$F290,'NEI Lookups'!I:I)+SUMIF('NEI Lookups'!$S:$S,'Inputs Yr 2'!$F290,'NEI Lookups'!I:I)+SUMIF('NEI Lookups'!$T:$T,'Inputs Yr 2'!$F290,'NEI Lookups'!I:I)</f>
        <v>0.25</v>
      </c>
      <c r="AX290" s="299">
        <f>SUMIF('NEI Lookups'!$L:$L,'Inputs Yr 2'!$F290,'NEI Lookups'!J:J)+SUMIF('NEI Lookups'!$M:$M,'Inputs Yr 2'!$F290,'NEI Lookups'!J:J)+SUMIF('NEI Lookups'!$N:$N,'Inputs Yr 2'!$F290,'NEI Lookups'!J:J)+SUMIF('NEI Lookups'!$O:$O,'Inputs Yr 2'!$F290,'NEI Lookups'!J:J)+SUMIF('NEI Lookups'!$P:$P,'Inputs Yr 2'!$F290,'NEI Lookups'!J:J)+SUMIF('NEI Lookups'!$Q:$Q,'Inputs Yr 2'!$F290,'NEI Lookups'!J:J)+SUMIF('NEI Lookups'!$R:$R,'Inputs Yr 2'!$F290,'NEI Lookups'!J:J)+SUMIF('NEI Lookups'!$S:$S,'Inputs Yr 2'!$F290,'NEI Lookups'!J:J)+SUMIF('NEI Lookups'!$T:$T,'Inputs Yr 2'!$F290,'NEI Lookups'!J:J)</f>
        <v>0</v>
      </c>
      <c r="AY290" s="930">
        <f>'Calculations Yr 2'!CP290/'Calculations Yr 2'!I290</f>
        <v>2.987481508173722</v>
      </c>
    </row>
    <row r="291" spans="1:51" s="133" customFormat="1" ht="12.75" customHeight="1">
      <c r="A291" s="145" t="s">
        <v>83</v>
      </c>
      <c r="B291" s="132" t="s">
        <v>870</v>
      </c>
      <c r="C291" s="132" t="s">
        <v>841</v>
      </c>
      <c r="D291" s="936"/>
      <c r="E291" s="892" t="s">
        <v>1508</v>
      </c>
      <c r="F291" s="150" t="s">
        <v>1406</v>
      </c>
      <c r="G291" s="145" t="s">
        <v>1407</v>
      </c>
      <c r="H291" s="165">
        <v>1</v>
      </c>
      <c r="I291" s="237">
        <v>15</v>
      </c>
      <c r="J291" s="964">
        <v>115403</v>
      </c>
      <c r="K291" s="166">
        <v>57701.5</v>
      </c>
      <c r="L291" s="888">
        <f t="shared" si="107"/>
        <v>57701.5</v>
      </c>
      <c r="M291" s="978">
        <v>0.11</v>
      </c>
      <c r="N291" s="978">
        <v>2.6000000000000002E-2</v>
      </c>
      <c r="O291" s="978">
        <v>3.0000000000000001E-3</v>
      </c>
      <c r="P291" s="889">
        <f t="shared" si="122"/>
        <v>0.91900000000000004</v>
      </c>
      <c r="Q291" s="978">
        <v>1</v>
      </c>
      <c r="R291" s="178">
        <v>1</v>
      </c>
      <c r="S291" s="178">
        <v>1</v>
      </c>
      <c r="T291" s="178">
        <v>1</v>
      </c>
      <c r="U291" s="978">
        <v>0.77900000000000003</v>
      </c>
      <c r="V291" s="978">
        <v>1</v>
      </c>
      <c r="W291" s="179"/>
      <c r="X291" s="937" t="s">
        <v>653</v>
      </c>
      <c r="Y291" s="299">
        <f>IFERROR(VLOOKUP($X291,'Demand Lookups'!$A$5:$K$101,9,0), 0)</f>
        <v>0</v>
      </c>
      <c r="Z291" s="922" t="str">
        <f>IFERROR(VLOOKUP(X291,'Demand Lookups'!$A$5:$B$101,2,0),0)</f>
        <v>Non-Electric Measures</v>
      </c>
      <c r="AA291" s="722">
        <v>0</v>
      </c>
      <c r="AB291" s="722">
        <v>0</v>
      </c>
      <c r="AC291" s="722">
        <v>0</v>
      </c>
      <c r="AD291" s="723">
        <v>0</v>
      </c>
      <c r="AE291" s="724">
        <v>0</v>
      </c>
      <c r="AF291" s="723">
        <v>0</v>
      </c>
      <c r="AG291" s="723">
        <v>0</v>
      </c>
      <c r="AH291" s="648">
        <v>0</v>
      </c>
      <c r="AI291" s="648">
        <v>0</v>
      </c>
      <c r="AJ291" s="167" t="s">
        <v>87</v>
      </c>
      <c r="AK291" s="866">
        <v>3821.2</v>
      </c>
      <c r="AL291" s="167"/>
      <c r="AM291" s="168"/>
      <c r="AN291" s="167"/>
      <c r="AO291" s="168"/>
      <c r="AP291" s="167"/>
      <c r="AQ291" s="171"/>
      <c r="AR291" s="171"/>
      <c r="AS291" s="299">
        <f>SUMIF('NEI Lookups'!$L:$L,'Inputs Yr 2'!$F291,'NEI Lookups'!E:E)+SUMIF('NEI Lookups'!$M:$M,'Inputs Yr 2'!$F291,'NEI Lookups'!E:E)+SUMIF('NEI Lookups'!$N:$N,'Inputs Yr 2'!$F291,'NEI Lookups'!E:E)+SUMIF('NEI Lookups'!$O:$O,'Inputs Yr 2'!$F291,'NEI Lookups'!E:E)+SUMIF('NEI Lookups'!$P:$P,'Inputs Yr 2'!$F291,'NEI Lookups'!E:E)+SUMIF('NEI Lookups'!$Q:$Q,'Inputs Yr 2'!$F291,'NEI Lookups'!E:E)+SUMIF('NEI Lookups'!$R:$R,'Inputs Yr 2'!$F291,'NEI Lookups'!E:E)+SUMIF('NEI Lookups'!$S:$S,'Inputs Yr 2'!$F291,'NEI Lookups'!E:E)+SUMIF('NEI Lookups'!$T:$T,'Inputs Yr 2'!$F291,'NEI Lookups'!E:E)</f>
        <v>0</v>
      </c>
      <c r="AT291" s="299">
        <f>SUMIF('NEI Lookups'!$L:$L,'Inputs Yr 2'!$F291,'NEI Lookups'!F:F)+SUMIF('NEI Lookups'!$M:$M,'Inputs Yr 2'!$F291,'NEI Lookups'!F:F)+SUMIF('NEI Lookups'!$N:$N,'Inputs Yr 2'!$F291,'NEI Lookups'!F:F)+SUMIF('NEI Lookups'!$O:$O,'Inputs Yr 2'!$F291,'NEI Lookups'!F:F)+SUMIF('NEI Lookups'!$P:$P,'Inputs Yr 2'!$F291,'NEI Lookups'!F:F)+SUMIF('NEI Lookups'!$Q:$Q,'Inputs Yr 2'!$F291,'NEI Lookups'!F:F)+SUMIF('NEI Lookups'!$R:$R,'Inputs Yr 2'!$F291,'NEI Lookups'!F:F)+SUMIF('NEI Lookups'!$S:$S,'Inputs Yr 2'!$F291,'NEI Lookups'!F:F)+SUMIF('NEI Lookups'!$T:$T,'Inputs Yr 2'!$F291,'NEI Lookups'!F:F)</f>
        <v>0</v>
      </c>
      <c r="AU291" s="299">
        <f>SUMIF('NEI Lookups'!$L:$L,'Inputs Yr 2'!$F291,'NEI Lookups'!G:G)+SUMIF('NEI Lookups'!$M:$M,'Inputs Yr 2'!$F291,'NEI Lookups'!G:G)+SUMIF('NEI Lookups'!$N:$N,'Inputs Yr 2'!$F291,'NEI Lookups'!G:G)+SUMIF('NEI Lookups'!$O:$O,'Inputs Yr 2'!$F291,'NEI Lookups'!G:G)+SUMIF('NEI Lookups'!$P:$P,'Inputs Yr 2'!$F291,'NEI Lookups'!G:G)+SUMIF('NEI Lookups'!$Q:$Q,'Inputs Yr 2'!$F291,'NEI Lookups'!G:G)+SUMIF('NEI Lookups'!$R:$R,'Inputs Yr 2'!$F291,'NEI Lookups'!G:G)+SUMIF('NEI Lookups'!$S:$S,'Inputs Yr 2'!$F291,'NEI Lookups'!G:G)+SUMIF('NEI Lookups'!$T:$T,'Inputs Yr 2'!$F291,'NEI Lookups'!G:G)</f>
        <v>0</v>
      </c>
      <c r="AV291" s="299">
        <f>SUMIF('NEI Lookups'!$L:$L,'Inputs Yr 2'!$F291,'NEI Lookups'!H:H)+SUMIF('NEI Lookups'!$M:$M,'Inputs Yr 2'!$F291,'NEI Lookups'!H:H)+SUMIF('NEI Lookups'!$N:$N,'Inputs Yr 2'!$F291,'NEI Lookups'!H:H)+SUMIF('NEI Lookups'!$O:$O,'Inputs Yr 2'!$F291,'NEI Lookups'!H:H)+SUMIF('NEI Lookups'!$P:$P,'Inputs Yr 2'!$F291,'NEI Lookups'!H:H)+SUMIF('NEI Lookups'!$Q:$Q,'Inputs Yr 2'!$F291,'NEI Lookups'!H:H)+SUMIF('NEI Lookups'!$R:$R,'Inputs Yr 2'!$F291,'NEI Lookups'!H:H)+SUMIF('NEI Lookups'!$S:$S,'Inputs Yr 2'!$F291,'NEI Lookups'!H:H)+SUMIF('NEI Lookups'!$T:$T,'Inputs Yr 2'!$F291,'NEI Lookups'!H:H)</f>
        <v>0</v>
      </c>
      <c r="AW291" s="299">
        <f>SUMIF('NEI Lookups'!$L:$L,'Inputs Yr 2'!$F291,'NEI Lookups'!I:I)+SUMIF('NEI Lookups'!$M:$M,'Inputs Yr 2'!$F291,'NEI Lookups'!I:I)+SUMIF('NEI Lookups'!$N:$N,'Inputs Yr 2'!$F291,'NEI Lookups'!I:I)+SUMIF('NEI Lookups'!$O:$O,'Inputs Yr 2'!$F291,'NEI Lookups'!I:I)+SUMIF('NEI Lookups'!$P:$P,'Inputs Yr 2'!$F291,'NEI Lookups'!I:I)+SUMIF('NEI Lookups'!$Q:$Q,'Inputs Yr 2'!$F291,'NEI Lookups'!I:I)+SUMIF('NEI Lookups'!$R:$R,'Inputs Yr 2'!$F291,'NEI Lookups'!I:I)+SUMIF('NEI Lookups'!$S:$S,'Inputs Yr 2'!$F291,'NEI Lookups'!I:I)+SUMIF('NEI Lookups'!$T:$T,'Inputs Yr 2'!$F291,'NEI Lookups'!I:I)</f>
        <v>0.25</v>
      </c>
      <c r="AX291" s="299">
        <f>SUMIF('NEI Lookups'!$L:$L,'Inputs Yr 2'!$F291,'NEI Lookups'!J:J)+SUMIF('NEI Lookups'!$M:$M,'Inputs Yr 2'!$F291,'NEI Lookups'!J:J)+SUMIF('NEI Lookups'!$N:$N,'Inputs Yr 2'!$F291,'NEI Lookups'!J:J)+SUMIF('NEI Lookups'!$O:$O,'Inputs Yr 2'!$F291,'NEI Lookups'!J:J)+SUMIF('NEI Lookups'!$P:$P,'Inputs Yr 2'!$F291,'NEI Lookups'!J:J)+SUMIF('NEI Lookups'!$Q:$Q,'Inputs Yr 2'!$F291,'NEI Lookups'!J:J)+SUMIF('NEI Lookups'!$R:$R,'Inputs Yr 2'!$F291,'NEI Lookups'!J:J)+SUMIF('NEI Lookups'!$S:$S,'Inputs Yr 2'!$F291,'NEI Lookups'!J:J)+SUMIF('NEI Lookups'!$T:$T,'Inputs Yr 2'!$F291,'NEI Lookups'!J:J)</f>
        <v>0</v>
      </c>
      <c r="AY291" s="930">
        <f>'Calculations Yr 2'!CP291/'Calculations Yr 2'!I291</f>
        <v>4.218770198392666</v>
      </c>
    </row>
    <row r="292" spans="1:51" s="133" customFormat="1" ht="12.75" customHeight="1">
      <c r="A292" s="145" t="s">
        <v>83</v>
      </c>
      <c r="B292" s="132" t="s">
        <v>870</v>
      </c>
      <c r="C292" s="132" t="s">
        <v>841</v>
      </c>
      <c r="D292" s="97"/>
      <c r="E292" s="892" t="s">
        <v>1408</v>
      </c>
      <c r="F292" s="150" t="s">
        <v>1275</v>
      </c>
      <c r="G292" s="145" t="s">
        <v>1409</v>
      </c>
      <c r="H292" s="165">
        <v>2</v>
      </c>
      <c r="I292" s="237">
        <v>5</v>
      </c>
      <c r="J292" s="964"/>
      <c r="K292" s="166"/>
      <c r="L292" s="888">
        <f t="shared" si="107"/>
        <v>0</v>
      </c>
      <c r="M292" s="978">
        <v>0</v>
      </c>
      <c r="N292" s="978">
        <v>0</v>
      </c>
      <c r="O292" s="978">
        <v>0</v>
      </c>
      <c r="P292" s="889">
        <v>1</v>
      </c>
      <c r="Q292" s="978">
        <v>1</v>
      </c>
      <c r="R292" s="178">
        <v>1</v>
      </c>
      <c r="S292" s="178">
        <v>1</v>
      </c>
      <c r="T292" s="178">
        <v>1</v>
      </c>
      <c r="U292" s="978">
        <v>1</v>
      </c>
      <c r="V292" s="978">
        <v>1</v>
      </c>
      <c r="W292" s="179"/>
      <c r="X292" s="99" t="s">
        <v>653</v>
      </c>
      <c r="Y292" s="299">
        <f>IFERROR(VLOOKUP($X292,'Demand Lookups'!$A$5:$K$101,9,0), 0)</f>
        <v>0</v>
      </c>
      <c r="Z292" s="922" t="str">
        <f>IFERROR(VLOOKUP(X292,'Demand Lookups'!$A$5:$B$101,2,0),0)</f>
        <v>Non-Electric Measures</v>
      </c>
      <c r="AA292" s="722">
        <v>0</v>
      </c>
      <c r="AB292" s="722">
        <v>0</v>
      </c>
      <c r="AC292" s="722">
        <v>0</v>
      </c>
      <c r="AD292" s="723">
        <v>0</v>
      </c>
      <c r="AE292" s="724">
        <v>0</v>
      </c>
      <c r="AF292" s="723">
        <v>0</v>
      </c>
      <c r="AG292" s="723">
        <v>0</v>
      </c>
      <c r="AH292" s="648">
        <v>0</v>
      </c>
      <c r="AI292" s="648">
        <v>0</v>
      </c>
      <c r="AJ292" s="167" t="s">
        <v>87</v>
      </c>
      <c r="AK292" s="866">
        <f>3341/10</f>
        <v>334.1</v>
      </c>
      <c r="AL292" s="167"/>
      <c r="AM292" s="168"/>
      <c r="AN292" s="167"/>
      <c r="AO292" s="168"/>
      <c r="AP292" s="167"/>
      <c r="AQ292" s="171"/>
      <c r="AR292" s="171"/>
      <c r="AS292" s="299">
        <f>SUMIF('NEI Lookups'!$L:$L,'Inputs Yr 2'!$F292,'NEI Lookups'!E:E)+SUMIF('NEI Lookups'!$M:$M,'Inputs Yr 2'!$F292,'NEI Lookups'!E:E)+SUMIF('NEI Lookups'!$N:$N,'Inputs Yr 2'!$F292,'NEI Lookups'!E:E)+SUMIF('NEI Lookups'!$O:$O,'Inputs Yr 2'!$F292,'NEI Lookups'!E:E)+SUMIF('NEI Lookups'!$P:$P,'Inputs Yr 2'!$F292,'NEI Lookups'!E:E)+SUMIF('NEI Lookups'!$Q:$Q,'Inputs Yr 2'!$F292,'NEI Lookups'!E:E)+SUMIF('NEI Lookups'!$R:$R,'Inputs Yr 2'!$F292,'NEI Lookups'!E:E)+SUMIF('NEI Lookups'!$S:$S,'Inputs Yr 2'!$F292,'NEI Lookups'!E:E)+SUMIF('NEI Lookups'!$T:$T,'Inputs Yr 2'!$F292,'NEI Lookups'!E:E)</f>
        <v>0</v>
      </c>
      <c r="AT292" s="299">
        <f>SUMIF('NEI Lookups'!$L:$L,'Inputs Yr 2'!$F292,'NEI Lookups'!F:F)+SUMIF('NEI Lookups'!$M:$M,'Inputs Yr 2'!$F292,'NEI Lookups'!F:F)+SUMIF('NEI Lookups'!$N:$N,'Inputs Yr 2'!$F292,'NEI Lookups'!F:F)+SUMIF('NEI Lookups'!$O:$O,'Inputs Yr 2'!$F292,'NEI Lookups'!F:F)+SUMIF('NEI Lookups'!$P:$P,'Inputs Yr 2'!$F292,'NEI Lookups'!F:F)+SUMIF('NEI Lookups'!$Q:$Q,'Inputs Yr 2'!$F292,'NEI Lookups'!F:F)+SUMIF('NEI Lookups'!$R:$R,'Inputs Yr 2'!$F292,'NEI Lookups'!F:F)+SUMIF('NEI Lookups'!$S:$S,'Inputs Yr 2'!$F292,'NEI Lookups'!F:F)+SUMIF('NEI Lookups'!$T:$T,'Inputs Yr 2'!$F292,'NEI Lookups'!F:F)</f>
        <v>0</v>
      </c>
      <c r="AU292" s="299">
        <f>SUMIF('NEI Lookups'!$L:$L,'Inputs Yr 2'!$F292,'NEI Lookups'!G:G)+SUMIF('NEI Lookups'!$M:$M,'Inputs Yr 2'!$F292,'NEI Lookups'!G:G)+SUMIF('NEI Lookups'!$N:$N,'Inputs Yr 2'!$F292,'NEI Lookups'!G:G)+SUMIF('NEI Lookups'!$O:$O,'Inputs Yr 2'!$F292,'NEI Lookups'!G:G)+SUMIF('NEI Lookups'!$P:$P,'Inputs Yr 2'!$F292,'NEI Lookups'!G:G)+SUMIF('NEI Lookups'!$Q:$Q,'Inputs Yr 2'!$F292,'NEI Lookups'!G:G)+SUMIF('NEI Lookups'!$R:$R,'Inputs Yr 2'!$F292,'NEI Lookups'!G:G)+SUMIF('NEI Lookups'!$S:$S,'Inputs Yr 2'!$F292,'NEI Lookups'!G:G)+SUMIF('NEI Lookups'!$T:$T,'Inputs Yr 2'!$F292,'NEI Lookups'!G:G)</f>
        <v>0</v>
      </c>
      <c r="AV292" s="299">
        <f>SUMIF('NEI Lookups'!$L:$L,'Inputs Yr 2'!$F292,'NEI Lookups'!H:H)+SUMIF('NEI Lookups'!$M:$M,'Inputs Yr 2'!$F292,'NEI Lookups'!H:H)+SUMIF('NEI Lookups'!$N:$N,'Inputs Yr 2'!$F292,'NEI Lookups'!H:H)+SUMIF('NEI Lookups'!$O:$O,'Inputs Yr 2'!$F292,'NEI Lookups'!H:H)+SUMIF('NEI Lookups'!$P:$P,'Inputs Yr 2'!$F292,'NEI Lookups'!H:H)+SUMIF('NEI Lookups'!$Q:$Q,'Inputs Yr 2'!$F292,'NEI Lookups'!H:H)+SUMIF('NEI Lookups'!$R:$R,'Inputs Yr 2'!$F292,'NEI Lookups'!H:H)+SUMIF('NEI Lookups'!$S:$S,'Inputs Yr 2'!$F292,'NEI Lookups'!H:H)+SUMIF('NEI Lookups'!$T:$T,'Inputs Yr 2'!$F292,'NEI Lookups'!H:H)</f>
        <v>0</v>
      </c>
      <c r="AW292" s="299">
        <f>SUMIF('NEI Lookups'!$L:$L,'Inputs Yr 2'!$F292,'NEI Lookups'!I:I)+SUMIF('NEI Lookups'!$M:$M,'Inputs Yr 2'!$F292,'NEI Lookups'!I:I)+SUMIF('NEI Lookups'!$N:$N,'Inputs Yr 2'!$F292,'NEI Lookups'!I:I)+SUMIF('NEI Lookups'!$O:$O,'Inputs Yr 2'!$F292,'NEI Lookups'!I:I)+SUMIF('NEI Lookups'!$P:$P,'Inputs Yr 2'!$F292,'NEI Lookups'!I:I)+SUMIF('NEI Lookups'!$Q:$Q,'Inputs Yr 2'!$F292,'NEI Lookups'!I:I)+SUMIF('NEI Lookups'!$R:$R,'Inputs Yr 2'!$F292,'NEI Lookups'!I:I)+SUMIF('NEI Lookups'!$S:$S,'Inputs Yr 2'!$F292,'NEI Lookups'!I:I)+SUMIF('NEI Lookups'!$T:$T,'Inputs Yr 2'!$F292,'NEI Lookups'!I:I)</f>
        <v>0</v>
      </c>
      <c r="AX292" s="299">
        <f>SUMIF('NEI Lookups'!$L:$L,'Inputs Yr 2'!$F292,'NEI Lookups'!J:J)+SUMIF('NEI Lookups'!$M:$M,'Inputs Yr 2'!$F292,'NEI Lookups'!J:J)+SUMIF('NEI Lookups'!$N:$N,'Inputs Yr 2'!$F292,'NEI Lookups'!J:J)+SUMIF('NEI Lookups'!$O:$O,'Inputs Yr 2'!$F292,'NEI Lookups'!J:J)+SUMIF('NEI Lookups'!$P:$P,'Inputs Yr 2'!$F292,'NEI Lookups'!J:J)+SUMIF('NEI Lookups'!$Q:$Q,'Inputs Yr 2'!$F292,'NEI Lookups'!J:J)+SUMIF('NEI Lookups'!$R:$R,'Inputs Yr 2'!$F292,'NEI Lookups'!J:J)+SUMIF('NEI Lookups'!$S:$S,'Inputs Yr 2'!$F292,'NEI Lookups'!J:J)+SUMIF('NEI Lookups'!$T:$T,'Inputs Yr 2'!$F292,'NEI Lookups'!J:J)</f>
        <v>0</v>
      </c>
      <c r="AY292" s="930" t="e">
        <f>'Calculations Yr 2'!CP292/'Calculations Yr 2'!I292</f>
        <v>#DIV/0!</v>
      </c>
    </row>
    <row r="293" spans="1:51" s="133" customFormat="1" ht="12.75" customHeight="1" thickBot="1">
      <c r="A293" s="147" t="s">
        <v>83</v>
      </c>
      <c r="B293" s="146" t="s">
        <v>870</v>
      </c>
      <c r="C293" s="146" t="s">
        <v>841</v>
      </c>
      <c r="D293" s="149"/>
      <c r="E293" s="149" t="s">
        <v>1410</v>
      </c>
      <c r="F293" s="657" t="s">
        <v>1280</v>
      </c>
      <c r="G293" s="147" t="s">
        <v>1409</v>
      </c>
      <c r="H293" s="172"/>
      <c r="I293" s="235"/>
      <c r="J293" s="970"/>
      <c r="K293" s="173"/>
      <c r="L293" s="898">
        <f t="shared" si="107"/>
        <v>0</v>
      </c>
      <c r="M293" s="979">
        <v>0</v>
      </c>
      <c r="N293" s="979">
        <v>0</v>
      </c>
      <c r="O293" s="979">
        <v>0</v>
      </c>
      <c r="P293" s="895">
        <v>1</v>
      </c>
      <c r="Q293" s="979">
        <v>1</v>
      </c>
      <c r="R293" s="221">
        <v>1</v>
      </c>
      <c r="S293" s="221">
        <v>1</v>
      </c>
      <c r="T293" s="221">
        <v>1</v>
      </c>
      <c r="U293" s="979">
        <v>0</v>
      </c>
      <c r="V293" s="979">
        <v>0</v>
      </c>
      <c r="W293" s="222"/>
      <c r="X293" s="915" t="s">
        <v>653</v>
      </c>
      <c r="Y293" s="302">
        <f>IFERROR(VLOOKUP($X293,'Demand Lookups'!$A$5:$K$101,9,0), 0)</f>
        <v>0</v>
      </c>
      <c r="Z293" s="923" t="str">
        <f>IFERROR(VLOOKUP(X293,'Demand Lookups'!$A$5:$B$101,2,0),0)</f>
        <v>Non-Electric Measures</v>
      </c>
      <c r="AA293" s="650">
        <v>0</v>
      </c>
      <c r="AB293" s="650">
        <v>0</v>
      </c>
      <c r="AC293" s="650">
        <v>0</v>
      </c>
      <c r="AD293" s="651">
        <v>0</v>
      </c>
      <c r="AE293" s="652">
        <v>0</v>
      </c>
      <c r="AF293" s="651">
        <v>0</v>
      </c>
      <c r="AG293" s="651">
        <v>0</v>
      </c>
      <c r="AH293" s="653">
        <v>0</v>
      </c>
      <c r="AI293" s="653">
        <v>0</v>
      </c>
      <c r="AJ293" s="174"/>
      <c r="AK293" s="303"/>
      <c r="AL293" s="174"/>
      <c r="AM293" s="303"/>
      <c r="AN293" s="174"/>
      <c r="AO293" s="303"/>
      <c r="AP293" s="174"/>
      <c r="AQ293" s="175"/>
      <c r="AR293" s="175"/>
      <c r="AS293" s="302">
        <f>SUMIF('NEI Lookups'!$L:$L,'Inputs Yr 2'!$F293,'NEI Lookups'!E:E)+SUMIF('NEI Lookups'!$M:$M,'Inputs Yr 2'!$F293,'NEI Lookups'!E:E)+SUMIF('NEI Lookups'!$N:$N,'Inputs Yr 2'!$F293,'NEI Lookups'!E:E)+SUMIF('NEI Lookups'!$O:$O,'Inputs Yr 2'!$F293,'NEI Lookups'!E:E)+SUMIF('NEI Lookups'!$P:$P,'Inputs Yr 2'!$F293,'NEI Lookups'!E:E)+SUMIF('NEI Lookups'!$Q:$Q,'Inputs Yr 2'!$F293,'NEI Lookups'!E:E)+SUMIF('NEI Lookups'!$R:$R,'Inputs Yr 2'!$F293,'NEI Lookups'!E:E)+SUMIF('NEI Lookups'!$S:$S,'Inputs Yr 2'!$F293,'NEI Lookups'!E:E)+SUMIF('NEI Lookups'!$T:$T,'Inputs Yr 2'!$F293,'NEI Lookups'!E:E)</f>
        <v>0</v>
      </c>
      <c r="AT293" s="302">
        <f>SUMIF('NEI Lookups'!$L:$L,'Inputs Yr 2'!$F293,'NEI Lookups'!F:F)+SUMIF('NEI Lookups'!$M:$M,'Inputs Yr 2'!$F293,'NEI Lookups'!F:F)+SUMIF('NEI Lookups'!$N:$N,'Inputs Yr 2'!$F293,'NEI Lookups'!F:F)+SUMIF('NEI Lookups'!$O:$O,'Inputs Yr 2'!$F293,'NEI Lookups'!F:F)+SUMIF('NEI Lookups'!$P:$P,'Inputs Yr 2'!$F293,'NEI Lookups'!F:F)+SUMIF('NEI Lookups'!$Q:$Q,'Inputs Yr 2'!$F293,'NEI Lookups'!F:F)+SUMIF('NEI Lookups'!$R:$R,'Inputs Yr 2'!$F293,'NEI Lookups'!F:F)+SUMIF('NEI Lookups'!$S:$S,'Inputs Yr 2'!$F293,'NEI Lookups'!F:F)+SUMIF('NEI Lookups'!$T:$T,'Inputs Yr 2'!$F293,'NEI Lookups'!F:F)</f>
        <v>0</v>
      </c>
      <c r="AU293" s="302">
        <f>SUMIF('NEI Lookups'!$L:$L,'Inputs Yr 2'!$F293,'NEI Lookups'!G:G)+SUMIF('NEI Lookups'!$M:$M,'Inputs Yr 2'!$F293,'NEI Lookups'!G:G)+SUMIF('NEI Lookups'!$N:$N,'Inputs Yr 2'!$F293,'NEI Lookups'!G:G)+SUMIF('NEI Lookups'!$O:$O,'Inputs Yr 2'!$F293,'NEI Lookups'!G:G)+SUMIF('NEI Lookups'!$P:$P,'Inputs Yr 2'!$F293,'NEI Lookups'!G:G)+SUMIF('NEI Lookups'!$Q:$Q,'Inputs Yr 2'!$F293,'NEI Lookups'!G:G)+SUMIF('NEI Lookups'!$R:$R,'Inputs Yr 2'!$F293,'NEI Lookups'!G:G)+SUMIF('NEI Lookups'!$S:$S,'Inputs Yr 2'!$F293,'NEI Lookups'!G:G)+SUMIF('NEI Lookups'!$T:$T,'Inputs Yr 2'!$F293,'NEI Lookups'!G:G)</f>
        <v>0</v>
      </c>
      <c r="AV293" s="302">
        <f>SUMIF('NEI Lookups'!$L:$L,'Inputs Yr 2'!$F293,'NEI Lookups'!H:H)+SUMIF('NEI Lookups'!$M:$M,'Inputs Yr 2'!$F293,'NEI Lookups'!H:H)+SUMIF('NEI Lookups'!$N:$N,'Inputs Yr 2'!$F293,'NEI Lookups'!H:H)+SUMIF('NEI Lookups'!$O:$O,'Inputs Yr 2'!$F293,'NEI Lookups'!H:H)+SUMIF('NEI Lookups'!$P:$P,'Inputs Yr 2'!$F293,'NEI Lookups'!H:H)+SUMIF('NEI Lookups'!$Q:$Q,'Inputs Yr 2'!$F293,'NEI Lookups'!H:H)+SUMIF('NEI Lookups'!$R:$R,'Inputs Yr 2'!$F293,'NEI Lookups'!H:H)+SUMIF('NEI Lookups'!$S:$S,'Inputs Yr 2'!$F293,'NEI Lookups'!H:H)+SUMIF('NEI Lookups'!$T:$T,'Inputs Yr 2'!$F293,'NEI Lookups'!H:H)</f>
        <v>0</v>
      </c>
      <c r="AW293" s="302">
        <f>SUMIF('NEI Lookups'!$L:$L,'Inputs Yr 2'!$F293,'NEI Lookups'!I:I)+SUMIF('NEI Lookups'!$M:$M,'Inputs Yr 2'!$F293,'NEI Lookups'!I:I)+SUMIF('NEI Lookups'!$N:$N,'Inputs Yr 2'!$F293,'NEI Lookups'!I:I)+SUMIF('NEI Lookups'!$O:$O,'Inputs Yr 2'!$F293,'NEI Lookups'!I:I)+SUMIF('NEI Lookups'!$P:$P,'Inputs Yr 2'!$F293,'NEI Lookups'!I:I)+SUMIF('NEI Lookups'!$Q:$Q,'Inputs Yr 2'!$F293,'NEI Lookups'!I:I)+SUMIF('NEI Lookups'!$R:$R,'Inputs Yr 2'!$F293,'NEI Lookups'!I:I)+SUMIF('NEI Lookups'!$S:$S,'Inputs Yr 2'!$F293,'NEI Lookups'!I:I)+SUMIF('NEI Lookups'!$T:$T,'Inputs Yr 2'!$F293,'NEI Lookups'!I:I)</f>
        <v>0</v>
      </c>
      <c r="AX293" s="302">
        <f>SUMIF('NEI Lookups'!$L:$L,'Inputs Yr 2'!$F293,'NEI Lookups'!J:J)+SUMIF('NEI Lookups'!$M:$M,'Inputs Yr 2'!$F293,'NEI Lookups'!J:J)+SUMIF('NEI Lookups'!$N:$N,'Inputs Yr 2'!$F293,'NEI Lookups'!J:J)+SUMIF('NEI Lookups'!$O:$O,'Inputs Yr 2'!$F293,'NEI Lookups'!J:J)+SUMIF('NEI Lookups'!$P:$P,'Inputs Yr 2'!$F293,'NEI Lookups'!J:J)+SUMIF('NEI Lookups'!$Q:$Q,'Inputs Yr 2'!$F293,'NEI Lookups'!J:J)+SUMIF('NEI Lookups'!$R:$R,'Inputs Yr 2'!$F293,'NEI Lookups'!J:J)+SUMIF('NEI Lookups'!$S:$S,'Inputs Yr 2'!$F293,'NEI Lookups'!J:J)+SUMIF('NEI Lookups'!$T:$T,'Inputs Yr 2'!$F293,'NEI Lookups'!J:J)</f>
        <v>0</v>
      </c>
      <c r="AY293" s="930" t="e">
        <f>'Calculations Yr 2'!CP293/'Calculations Yr 2'!I293</f>
        <v>#VALUE!</v>
      </c>
    </row>
    <row r="294" spans="1:51" s="133" customFormat="1" ht="12.75" customHeight="1">
      <c r="A294" s="145" t="s">
        <v>83</v>
      </c>
      <c r="B294" s="132" t="s">
        <v>870</v>
      </c>
      <c r="C294" s="132" t="s">
        <v>659</v>
      </c>
      <c r="D294" s="902" t="s">
        <v>1572</v>
      </c>
      <c r="E294" s="887" t="s">
        <v>1347</v>
      </c>
      <c r="F294" s="150" t="s">
        <v>1154</v>
      </c>
      <c r="G294" s="145" t="s">
        <v>460</v>
      </c>
      <c r="H294" s="165">
        <v>1</v>
      </c>
      <c r="I294" s="234">
        <v>15</v>
      </c>
      <c r="J294" s="971">
        <v>2832.6666666666665</v>
      </c>
      <c r="K294" s="871">
        <v>2124.5</v>
      </c>
      <c r="L294" s="888">
        <f t="shared" si="107"/>
        <v>708.16666666666652</v>
      </c>
      <c r="M294" s="980">
        <v>0.11</v>
      </c>
      <c r="N294" s="980">
        <v>2.6000000000000002E-2</v>
      </c>
      <c r="O294" s="980">
        <v>3.0000000000000001E-3</v>
      </c>
      <c r="P294" s="889">
        <f t="shared" ref="P294:P327" si="123">1-M294+N294+O294</f>
        <v>0.91900000000000004</v>
      </c>
      <c r="Q294" s="978">
        <v>1</v>
      </c>
      <c r="R294" s="178">
        <v>1</v>
      </c>
      <c r="S294" s="178">
        <v>1</v>
      </c>
      <c r="T294" s="178">
        <v>1</v>
      </c>
      <c r="U294" s="978">
        <v>0.77900000000000003</v>
      </c>
      <c r="V294" s="978">
        <v>1</v>
      </c>
      <c r="W294" s="179"/>
      <c r="X294" s="937" t="s">
        <v>653</v>
      </c>
      <c r="Y294" s="299">
        <f>IFERROR(VLOOKUP($X294,'Demand Lookups'!$A$5:$K$101,9,0), 0)</f>
        <v>0</v>
      </c>
      <c r="Z294" s="922" t="str">
        <f>IFERROR(VLOOKUP(X294,'Demand Lookups'!$A$5:$B$101,2,0),0)</f>
        <v>Non-Electric Measures</v>
      </c>
      <c r="AA294" s="835">
        <f>IF(ISNA(VLOOKUP($X294,'Demand Lookups'!$A$5:$K$81,3,0)),0,VLOOKUP($X294,'Demand Lookups'!$A$5:$K$81,3,0))</f>
        <v>0</v>
      </c>
      <c r="AB294" s="835">
        <f>IF(ISNA(VLOOKUP($X294,'Demand Lookups'!$A$5:$K$81,4,0)),0,VLOOKUP($X294,'Demand Lookups'!$A$5:$K$81,4,0))</f>
        <v>0</v>
      </c>
      <c r="AC294" s="835">
        <f>IF(ISNA(VLOOKUP($X294,'Demand Lookups'!$A$5:$K$81,5,0)),0,VLOOKUP($X294,'Demand Lookups'!$A$5:$K$81,5,0))</f>
        <v>0</v>
      </c>
      <c r="AD294" s="836">
        <f>IF(ISNA(VLOOKUP($X294,'Demand Lookups'!$A$5:$K$81,6,0)),0,VLOOKUP($X294,'Demand Lookups'!$A$5:$K$81,6,0))</f>
        <v>0</v>
      </c>
      <c r="AE294" s="837">
        <f t="shared" ref="AE294" si="124">IF(ISERROR(W294*Y294),"",W294*Y294)</f>
        <v>0</v>
      </c>
      <c r="AF294" s="836">
        <f>ROUND(IF(ISNA(VLOOKUP($X294,'Demand Lookups'!$A$5:$K$82,10,0)),0,(VLOOKUP($X294,'Demand Lookups'!$A$5:$K$82,10,0))),2)</f>
        <v>0</v>
      </c>
      <c r="AG294" s="836">
        <f>ROUND(IF(ISNA(VLOOKUP($X294,'Demand Lookups'!$A$5:$K$82,11,0)),0,VLOOKUP($X294,'Demand Lookups'!$A$5:$K$82,11,0)),2)</f>
        <v>0</v>
      </c>
      <c r="AH294" s="648">
        <f t="shared" ref="AH294:AH319" si="125">AF294</f>
        <v>0</v>
      </c>
      <c r="AI294" s="648">
        <f t="shared" ref="AI294:AI319" si="126">AF294</f>
        <v>0</v>
      </c>
      <c r="AJ294" s="167" t="s">
        <v>87</v>
      </c>
      <c r="AK294" s="168">
        <v>156.30000000000001</v>
      </c>
      <c r="AL294" s="167"/>
      <c r="AM294" s="168"/>
      <c r="AN294" s="167"/>
      <c r="AO294" s="168"/>
      <c r="AP294" s="167"/>
      <c r="AQ294" s="171">
        <v>0</v>
      </c>
      <c r="AR294" s="171">
        <v>0</v>
      </c>
      <c r="AS294" s="299">
        <f>SUMIF('NEI Lookups'!$L:$L,'Inputs Yr 2'!$F294,'NEI Lookups'!E:E)+SUMIF('NEI Lookups'!$M:$M,'Inputs Yr 2'!$F294,'NEI Lookups'!E:E)+SUMIF('NEI Lookups'!$N:$N,'Inputs Yr 2'!$F294,'NEI Lookups'!E:E)+SUMIF('NEI Lookups'!$O:$O,'Inputs Yr 2'!$F294,'NEI Lookups'!E:E)+SUMIF('NEI Lookups'!$P:$P,'Inputs Yr 2'!$F294,'NEI Lookups'!E:E)+SUMIF('NEI Lookups'!$Q:$Q,'Inputs Yr 2'!$F294,'NEI Lookups'!E:E)+SUMIF('NEI Lookups'!$R:$R,'Inputs Yr 2'!$F294,'NEI Lookups'!E:E)+SUMIF('NEI Lookups'!$S:$S,'Inputs Yr 2'!$F294,'NEI Lookups'!E:E)+SUMIF('NEI Lookups'!$T:$T,'Inputs Yr 2'!$F294,'NEI Lookups'!E:E)</f>
        <v>0</v>
      </c>
      <c r="AT294" s="299">
        <f>SUMIF('NEI Lookups'!$L:$L,'Inputs Yr 2'!$F294,'NEI Lookups'!F:F)+SUMIF('NEI Lookups'!$M:$M,'Inputs Yr 2'!$F294,'NEI Lookups'!F:F)+SUMIF('NEI Lookups'!$N:$N,'Inputs Yr 2'!$F294,'NEI Lookups'!F:F)+SUMIF('NEI Lookups'!$O:$O,'Inputs Yr 2'!$F294,'NEI Lookups'!F:F)+SUMIF('NEI Lookups'!$P:$P,'Inputs Yr 2'!$F294,'NEI Lookups'!F:F)+SUMIF('NEI Lookups'!$Q:$Q,'Inputs Yr 2'!$F294,'NEI Lookups'!F:F)+SUMIF('NEI Lookups'!$R:$R,'Inputs Yr 2'!$F294,'NEI Lookups'!F:F)+SUMIF('NEI Lookups'!$S:$S,'Inputs Yr 2'!$F294,'NEI Lookups'!F:F)+SUMIF('NEI Lookups'!$T:$T,'Inputs Yr 2'!$F294,'NEI Lookups'!F:F)</f>
        <v>0</v>
      </c>
      <c r="AU294" s="299">
        <f>SUMIF('NEI Lookups'!$L:$L,'Inputs Yr 2'!$F294,'NEI Lookups'!G:G)+SUMIF('NEI Lookups'!$M:$M,'Inputs Yr 2'!$F294,'NEI Lookups'!G:G)+SUMIF('NEI Lookups'!$N:$N,'Inputs Yr 2'!$F294,'NEI Lookups'!G:G)+SUMIF('NEI Lookups'!$O:$O,'Inputs Yr 2'!$F294,'NEI Lookups'!G:G)+SUMIF('NEI Lookups'!$P:$P,'Inputs Yr 2'!$F294,'NEI Lookups'!G:G)+SUMIF('NEI Lookups'!$Q:$Q,'Inputs Yr 2'!$F294,'NEI Lookups'!G:G)+SUMIF('NEI Lookups'!$R:$R,'Inputs Yr 2'!$F294,'NEI Lookups'!G:G)+SUMIF('NEI Lookups'!$S:$S,'Inputs Yr 2'!$F294,'NEI Lookups'!G:G)+SUMIF('NEI Lookups'!$T:$T,'Inputs Yr 2'!$F294,'NEI Lookups'!G:G)</f>
        <v>0</v>
      </c>
      <c r="AV294" s="299">
        <f>SUMIF('NEI Lookups'!$L:$L,'Inputs Yr 2'!$F294,'NEI Lookups'!H:H)+SUMIF('NEI Lookups'!$M:$M,'Inputs Yr 2'!$F294,'NEI Lookups'!H:H)+SUMIF('NEI Lookups'!$N:$N,'Inputs Yr 2'!$F294,'NEI Lookups'!H:H)+SUMIF('NEI Lookups'!$O:$O,'Inputs Yr 2'!$F294,'NEI Lookups'!H:H)+SUMIF('NEI Lookups'!$P:$P,'Inputs Yr 2'!$F294,'NEI Lookups'!H:H)+SUMIF('NEI Lookups'!$Q:$Q,'Inputs Yr 2'!$F294,'NEI Lookups'!H:H)+SUMIF('NEI Lookups'!$R:$R,'Inputs Yr 2'!$F294,'NEI Lookups'!H:H)+SUMIF('NEI Lookups'!$S:$S,'Inputs Yr 2'!$F294,'NEI Lookups'!H:H)+SUMIF('NEI Lookups'!$T:$T,'Inputs Yr 2'!$F294,'NEI Lookups'!H:H)</f>
        <v>0</v>
      </c>
      <c r="AW294" s="299">
        <f>SUMIF('NEI Lookups'!$L:$L,'Inputs Yr 2'!$F294,'NEI Lookups'!I:I)+SUMIF('NEI Lookups'!$M:$M,'Inputs Yr 2'!$F294,'NEI Lookups'!I:I)+SUMIF('NEI Lookups'!$N:$N,'Inputs Yr 2'!$F294,'NEI Lookups'!I:I)+SUMIF('NEI Lookups'!$O:$O,'Inputs Yr 2'!$F294,'NEI Lookups'!I:I)+SUMIF('NEI Lookups'!$P:$P,'Inputs Yr 2'!$F294,'NEI Lookups'!I:I)+SUMIF('NEI Lookups'!$Q:$Q,'Inputs Yr 2'!$F294,'NEI Lookups'!I:I)+SUMIF('NEI Lookups'!$R:$R,'Inputs Yr 2'!$F294,'NEI Lookups'!I:I)+SUMIF('NEI Lookups'!$S:$S,'Inputs Yr 2'!$F294,'NEI Lookups'!I:I)+SUMIF('NEI Lookups'!$T:$T,'Inputs Yr 2'!$F294,'NEI Lookups'!I:I)</f>
        <v>0</v>
      </c>
      <c r="AX294" s="299">
        <f>SUMIF('NEI Lookups'!$L:$L,'Inputs Yr 2'!$F294,'NEI Lookups'!J:J)+SUMIF('NEI Lookups'!$M:$M,'Inputs Yr 2'!$F294,'NEI Lookups'!J:J)+SUMIF('NEI Lookups'!$N:$N,'Inputs Yr 2'!$F294,'NEI Lookups'!J:J)+SUMIF('NEI Lookups'!$O:$O,'Inputs Yr 2'!$F294,'NEI Lookups'!J:J)+SUMIF('NEI Lookups'!$P:$P,'Inputs Yr 2'!$F294,'NEI Lookups'!J:J)+SUMIF('NEI Lookups'!$Q:$Q,'Inputs Yr 2'!$F294,'NEI Lookups'!J:J)+SUMIF('NEI Lookups'!$R:$R,'Inputs Yr 2'!$F294,'NEI Lookups'!J:J)+SUMIF('NEI Lookups'!$S:$S,'Inputs Yr 2'!$F294,'NEI Lookups'!J:J)+SUMIF('NEI Lookups'!$T:$T,'Inputs Yr 2'!$F294,'NEI Lookups'!J:J)</f>
        <v>0</v>
      </c>
      <c r="AY294" s="931">
        <f>'Calculations Yr 2'!CP294/'Calculations Yr 2'!I294</f>
        <v>5.4702363705295083</v>
      </c>
    </row>
    <row r="295" spans="1:51" s="133" customFormat="1" ht="12.75" customHeight="1">
      <c r="A295" s="145" t="s">
        <v>83</v>
      </c>
      <c r="B295" s="132" t="s">
        <v>870</v>
      </c>
      <c r="C295" s="132" t="s">
        <v>659</v>
      </c>
      <c r="D295" s="902"/>
      <c r="E295" s="887" t="s">
        <v>1339</v>
      </c>
      <c r="F295" s="150" t="s">
        <v>1154</v>
      </c>
      <c r="G295" s="145" t="s">
        <v>460</v>
      </c>
      <c r="H295" s="165">
        <v>1</v>
      </c>
      <c r="I295" s="234">
        <v>18</v>
      </c>
      <c r="J295" s="971">
        <v>45718.186666666668</v>
      </c>
      <c r="K295" s="871">
        <v>34288.639999999999</v>
      </c>
      <c r="L295" s="888">
        <f t="shared" si="107"/>
        <v>11429.546666666669</v>
      </c>
      <c r="M295" s="980">
        <v>0.11</v>
      </c>
      <c r="N295" s="980">
        <v>2.6000000000000002E-2</v>
      </c>
      <c r="O295" s="980">
        <v>3.0000000000000001E-3</v>
      </c>
      <c r="P295" s="889">
        <f t="shared" ref="P295:P296" si="127">1-M295+N295+O295</f>
        <v>0.91900000000000004</v>
      </c>
      <c r="Q295" s="978">
        <v>1</v>
      </c>
      <c r="R295" s="178">
        <v>1</v>
      </c>
      <c r="S295" s="178">
        <v>1</v>
      </c>
      <c r="T295" s="178">
        <v>1</v>
      </c>
      <c r="U295" s="978">
        <v>0.77900000000000003</v>
      </c>
      <c r="V295" s="978">
        <v>1</v>
      </c>
      <c r="W295" s="179"/>
      <c r="X295" s="937" t="s">
        <v>653</v>
      </c>
      <c r="Y295" s="299">
        <f>IFERROR(VLOOKUP($X295,'Demand Lookups'!$A$5:$K$101,9,0), 0)</f>
        <v>0</v>
      </c>
      <c r="Z295" s="922" t="str">
        <f>IFERROR(VLOOKUP(X295,'Demand Lookups'!$A$5:$B$101,2,0),0)</f>
        <v>Non-Electric Measures</v>
      </c>
      <c r="AA295" s="835">
        <f>IF(ISNA(VLOOKUP($X295,'Demand Lookups'!$A$5:$K$81,3,0)),0,VLOOKUP($X295,'Demand Lookups'!$A$5:$K$81,3,0))</f>
        <v>0</v>
      </c>
      <c r="AB295" s="835">
        <f>IF(ISNA(VLOOKUP($X295,'Demand Lookups'!$A$5:$K$81,4,0)),0,VLOOKUP($X295,'Demand Lookups'!$A$5:$K$81,4,0))</f>
        <v>0</v>
      </c>
      <c r="AC295" s="835">
        <f>IF(ISNA(VLOOKUP($X295,'Demand Lookups'!$A$5:$K$81,5,0)),0,VLOOKUP($X295,'Demand Lookups'!$A$5:$K$81,5,0))</f>
        <v>0</v>
      </c>
      <c r="AD295" s="836">
        <f>IF(ISNA(VLOOKUP($X295,'Demand Lookups'!$A$5:$K$81,6,0)),0,VLOOKUP($X295,'Demand Lookups'!$A$5:$K$81,6,0))</f>
        <v>0</v>
      </c>
      <c r="AE295" s="837">
        <f t="shared" ref="AE295:AE323" si="128">IF(ISERROR(W295*Y295),"",W295*Y295)</f>
        <v>0</v>
      </c>
      <c r="AF295" s="836">
        <f>ROUND(IF(ISNA(VLOOKUP($X295,'Demand Lookups'!$A$5:$K$82,10,0)),0,(VLOOKUP($X295,'Demand Lookups'!$A$5:$K$82,10,0))),2)</f>
        <v>0</v>
      </c>
      <c r="AG295" s="836">
        <f>ROUND(IF(ISNA(VLOOKUP($X295,'Demand Lookups'!$A$5:$K$82,11,0)),0,VLOOKUP($X295,'Demand Lookups'!$A$5:$K$82,11,0)),2)</f>
        <v>0</v>
      </c>
      <c r="AH295" s="648">
        <f t="shared" ref="AH295:AH296" si="129">AF295</f>
        <v>0</v>
      </c>
      <c r="AI295" s="648">
        <f t="shared" ref="AI295:AI296" si="130">AF295</f>
        <v>0</v>
      </c>
      <c r="AJ295" s="167" t="s">
        <v>87</v>
      </c>
      <c r="AK295" s="168">
        <v>353.6</v>
      </c>
      <c r="AL295" s="167"/>
      <c r="AM295" s="168"/>
      <c r="AN295" s="167"/>
      <c r="AO295" s="168"/>
      <c r="AP295" s="167"/>
      <c r="AQ295" s="171"/>
      <c r="AR295" s="171"/>
      <c r="AS295" s="299">
        <f>SUMIF('NEI Lookups'!$L:$L,'Inputs Yr 2'!$F295,'NEI Lookups'!E:E)+SUMIF('NEI Lookups'!$M:$M,'Inputs Yr 2'!$F295,'NEI Lookups'!E:E)+SUMIF('NEI Lookups'!$N:$N,'Inputs Yr 2'!$F295,'NEI Lookups'!E:E)+SUMIF('NEI Lookups'!$O:$O,'Inputs Yr 2'!$F295,'NEI Lookups'!E:E)+SUMIF('NEI Lookups'!$P:$P,'Inputs Yr 2'!$F295,'NEI Lookups'!E:E)+SUMIF('NEI Lookups'!$Q:$Q,'Inputs Yr 2'!$F295,'NEI Lookups'!E:E)+SUMIF('NEI Lookups'!$R:$R,'Inputs Yr 2'!$F295,'NEI Lookups'!E:E)+SUMIF('NEI Lookups'!$S:$S,'Inputs Yr 2'!$F295,'NEI Lookups'!E:E)+SUMIF('NEI Lookups'!$T:$T,'Inputs Yr 2'!$F295,'NEI Lookups'!E:E)</f>
        <v>0</v>
      </c>
      <c r="AT295" s="299">
        <f>SUMIF('NEI Lookups'!$L:$L,'Inputs Yr 2'!$F295,'NEI Lookups'!F:F)+SUMIF('NEI Lookups'!$M:$M,'Inputs Yr 2'!$F295,'NEI Lookups'!F:F)+SUMIF('NEI Lookups'!$N:$N,'Inputs Yr 2'!$F295,'NEI Lookups'!F:F)+SUMIF('NEI Lookups'!$O:$O,'Inputs Yr 2'!$F295,'NEI Lookups'!F:F)+SUMIF('NEI Lookups'!$P:$P,'Inputs Yr 2'!$F295,'NEI Lookups'!F:F)+SUMIF('NEI Lookups'!$Q:$Q,'Inputs Yr 2'!$F295,'NEI Lookups'!F:F)+SUMIF('NEI Lookups'!$R:$R,'Inputs Yr 2'!$F295,'NEI Lookups'!F:F)+SUMIF('NEI Lookups'!$S:$S,'Inputs Yr 2'!$F295,'NEI Lookups'!F:F)+SUMIF('NEI Lookups'!$T:$T,'Inputs Yr 2'!$F295,'NEI Lookups'!F:F)</f>
        <v>0</v>
      </c>
      <c r="AU295" s="299">
        <f>SUMIF('NEI Lookups'!$L:$L,'Inputs Yr 2'!$F295,'NEI Lookups'!G:G)+SUMIF('NEI Lookups'!$M:$M,'Inputs Yr 2'!$F295,'NEI Lookups'!G:G)+SUMIF('NEI Lookups'!$N:$N,'Inputs Yr 2'!$F295,'NEI Lookups'!G:G)+SUMIF('NEI Lookups'!$O:$O,'Inputs Yr 2'!$F295,'NEI Lookups'!G:G)+SUMIF('NEI Lookups'!$P:$P,'Inputs Yr 2'!$F295,'NEI Lookups'!G:G)+SUMIF('NEI Lookups'!$Q:$Q,'Inputs Yr 2'!$F295,'NEI Lookups'!G:G)+SUMIF('NEI Lookups'!$R:$R,'Inputs Yr 2'!$F295,'NEI Lookups'!G:G)+SUMIF('NEI Lookups'!$S:$S,'Inputs Yr 2'!$F295,'NEI Lookups'!G:G)+SUMIF('NEI Lookups'!$T:$T,'Inputs Yr 2'!$F295,'NEI Lookups'!G:G)</f>
        <v>0</v>
      </c>
      <c r="AV295" s="299">
        <f>SUMIF('NEI Lookups'!$L:$L,'Inputs Yr 2'!$F295,'NEI Lookups'!H:H)+SUMIF('NEI Lookups'!$M:$M,'Inputs Yr 2'!$F295,'NEI Lookups'!H:H)+SUMIF('NEI Lookups'!$N:$N,'Inputs Yr 2'!$F295,'NEI Lookups'!H:H)+SUMIF('NEI Lookups'!$O:$O,'Inputs Yr 2'!$F295,'NEI Lookups'!H:H)+SUMIF('NEI Lookups'!$P:$P,'Inputs Yr 2'!$F295,'NEI Lookups'!H:H)+SUMIF('NEI Lookups'!$Q:$Q,'Inputs Yr 2'!$F295,'NEI Lookups'!H:H)+SUMIF('NEI Lookups'!$R:$R,'Inputs Yr 2'!$F295,'NEI Lookups'!H:H)+SUMIF('NEI Lookups'!$S:$S,'Inputs Yr 2'!$F295,'NEI Lookups'!H:H)+SUMIF('NEI Lookups'!$T:$T,'Inputs Yr 2'!$F295,'NEI Lookups'!H:H)</f>
        <v>0</v>
      </c>
      <c r="AW295" s="299">
        <f>SUMIF('NEI Lookups'!$L:$L,'Inputs Yr 2'!$F295,'NEI Lookups'!I:I)+SUMIF('NEI Lookups'!$M:$M,'Inputs Yr 2'!$F295,'NEI Lookups'!I:I)+SUMIF('NEI Lookups'!$N:$N,'Inputs Yr 2'!$F295,'NEI Lookups'!I:I)+SUMIF('NEI Lookups'!$O:$O,'Inputs Yr 2'!$F295,'NEI Lookups'!I:I)+SUMIF('NEI Lookups'!$P:$P,'Inputs Yr 2'!$F295,'NEI Lookups'!I:I)+SUMIF('NEI Lookups'!$Q:$Q,'Inputs Yr 2'!$F295,'NEI Lookups'!I:I)+SUMIF('NEI Lookups'!$R:$R,'Inputs Yr 2'!$F295,'NEI Lookups'!I:I)+SUMIF('NEI Lookups'!$S:$S,'Inputs Yr 2'!$F295,'NEI Lookups'!I:I)+SUMIF('NEI Lookups'!$T:$T,'Inputs Yr 2'!$F295,'NEI Lookups'!I:I)</f>
        <v>0</v>
      </c>
      <c r="AX295" s="299">
        <f>SUMIF('NEI Lookups'!$L:$L,'Inputs Yr 2'!$F295,'NEI Lookups'!J:J)+SUMIF('NEI Lookups'!$M:$M,'Inputs Yr 2'!$F295,'NEI Lookups'!J:J)+SUMIF('NEI Lookups'!$N:$N,'Inputs Yr 2'!$F295,'NEI Lookups'!J:J)+SUMIF('NEI Lookups'!$O:$O,'Inputs Yr 2'!$F295,'NEI Lookups'!J:J)+SUMIF('NEI Lookups'!$P:$P,'Inputs Yr 2'!$F295,'NEI Lookups'!J:J)+SUMIF('NEI Lookups'!$Q:$Q,'Inputs Yr 2'!$F295,'NEI Lookups'!J:J)+SUMIF('NEI Lookups'!$R:$R,'Inputs Yr 2'!$F295,'NEI Lookups'!J:J)+SUMIF('NEI Lookups'!$S:$S,'Inputs Yr 2'!$F295,'NEI Lookups'!J:J)+SUMIF('NEI Lookups'!$T:$T,'Inputs Yr 2'!$F295,'NEI Lookups'!J:J)</f>
        <v>0</v>
      </c>
      <c r="AY295" s="930">
        <f>'Calculations Yr 2'!CP295/'Calculations Yr 2'!I295</f>
        <v>0.92788044046845863</v>
      </c>
    </row>
    <row r="296" spans="1:51" s="133" customFormat="1" ht="12.75" customHeight="1">
      <c r="A296" s="145" t="s">
        <v>83</v>
      </c>
      <c r="B296" s="132" t="s">
        <v>870</v>
      </c>
      <c r="C296" s="132" t="s">
        <v>659</v>
      </c>
      <c r="D296" s="902"/>
      <c r="E296" s="887" t="s">
        <v>1340</v>
      </c>
      <c r="F296" s="150" t="s">
        <v>1154</v>
      </c>
      <c r="G296" s="145" t="s">
        <v>460</v>
      </c>
      <c r="H296" s="165">
        <v>1</v>
      </c>
      <c r="I296" s="234">
        <v>20</v>
      </c>
      <c r="J296" s="971">
        <v>46888.746666666666</v>
      </c>
      <c r="K296" s="871">
        <v>35166.559999999998</v>
      </c>
      <c r="L296" s="888">
        <f t="shared" si="107"/>
        <v>11722.186666666668</v>
      </c>
      <c r="M296" s="980">
        <v>0.11</v>
      </c>
      <c r="N296" s="980">
        <v>2.6000000000000002E-2</v>
      </c>
      <c r="O296" s="980">
        <v>3.0000000000000001E-3</v>
      </c>
      <c r="P296" s="889">
        <f t="shared" si="127"/>
        <v>0.91900000000000004</v>
      </c>
      <c r="Q296" s="978">
        <v>1</v>
      </c>
      <c r="R296" s="178">
        <v>1</v>
      </c>
      <c r="S296" s="178">
        <v>1</v>
      </c>
      <c r="T296" s="178">
        <v>1</v>
      </c>
      <c r="U296" s="978">
        <v>0.77900000000000003</v>
      </c>
      <c r="V296" s="978">
        <v>1</v>
      </c>
      <c r="W296" s="179"/>
      <c r="X296" s="937" t="s">
        <v>653</v>
      </c>
      <c r="Y296" s="299">
        <f>IFERROR(VLOOKUP($X296,'Demand Lookups'!$A$5:$K$101,9,0), 0)</f>
        <v>0</v>
      </c>
      <c r="Z296" s="922" t="str">
        <f>IFERROR(VLOOKUP(X296,'Demand Lookups'!$A$5:$B$101,2,0),0)</f>
        <v>Non-Electric Measures</v>
      </c>
      <c r="AA296" s="835">
        <f>IF(ISNA(VLOOKUP($X296,'Demand Lookups'!$A$5:$K$81,3,0)),0,VLOOKUP($X296,'Demand Lookups'!$A$5:$K$81,3,0))</f>
        <v>0</v>
      </c>
      <c r="AB296" s="835">
        <f>IF(ISNA(VLOOKUP($X296,'Demand Lookups'!$A$5:$K$81,4,0)),0,VLOOKUP($X296,'Demand Lookups'!$A$5:$K$81,4,0))</f>
        <v>0</v>
      </c>
      <c r="AC296" s="835">
        <f>IF(ISNA(VLOOKUP($X296,'Demand Lookups'!$A$5:$K$81,5,0)),0,VLOOKUP($X296,'Demand Lookups'!$A$5:$K$81,5,0))</f>
        <v>0</v>
      </c>
      <c r="AD296" s="836">
        <f>IF(ISNA(VLOOKUP($X296,'Demand Lookups'!$A$5:$K$81,6,0)),0,VLOOKUP($X296,'Demand Lookups'!$A$5:$K$81,6,0))</f>
        <v>0</v>
      </c>
      <c r="AE296" s="837">
        <f t="shared" si="128"/>
        <v>0</v>
      </c>
      <c r="AF296" s="836">
        <f>ROUND(IF(ISNA(VLOOKUP($X296,'Demand Lookups'!$A$5:$K$82,10,0)),0,(VLOOKUP($X296,'Demand Lookups'!$A$5:$K$82,10,0))),2)</f>
        <v>0</v>
      </c>
      <c r="AG296" s="836">
        <f>ROUND(IF(ISNA(VLOOKUP($X296,'Demand Lookups'!$A$5:$K$82,11,0)),0,VLOOKUP($X296,'Demand Lookups'!$A$5:$K$82,11,0)),2)</f>
        <v>0</v>
      </c>
      <c r="AH296" s="648">
        <f t="shared" si="129"/>
        <v>0</v>
      </c>
      <c r="AI296" s="648">
        <f t="shared" si="130"/>
        <v>0</v>
      </c>
      <c r="AJ296" s="167" t="s">
        <v>87</v>
      </c>
      <c r="AK296" s="168">
        <v>976</v>
      </c>
      <c r="AL296" s="167"/>
      <c r="AM296" s="168"/>
      <c r="AN296" s="167"/>
      <c r="AO296" s="168"/>
      <c r="AP296" s="167"/>
      <c r="AQ296" s="171"/>
      <c r="AR296" s="171"/>
      <c r="AS296" s="299">
        <f>SUMIF('NEI Lookups'!$L:$L,'Inputs Yr 2'!$F296,'NEI Lookups'!E:E)+SUMIF('NEI Lookups'!$M:$M,'Inputs Yr 2'!$F296,'NEI Lookups'!E:E)+SUMIF('NEI Lookups'!$N:$N,'Inputs Yr 2'!$F296,'NEI Lookups'!E:E)+SUMIF('NEI Lookups'!$O:$O,'Inputs Yr 2'!$F296,'NEI Lookups'!E:E)+SUMIF('NEI Lookups'!$P:$P,'Inputs Yr 2'!$F296,'NEI Lookups'!E:E)+SUMIF('NEI Lookups'!$Q:$Q,'Inputs Yr 2'!$F296,'NEI Lookups'!E:E)+SUMIF('NEI Lookups'!$R:$R,'Inputs Yr 2'!$F296,'NEI Lookups'!E:E)+SUMIF('NEI Lookups'!$S:$S,'Inputs Yr 2'!$F296,'NEI Lookups'!E:E)+SUMIF('NEI Lookups'!$T:$T,'Inputs Yr 2'!$F296,'NEI Lookups'!E:E)</f>
        <v>0</v>
      </c>
      <c r="AT296" s="299">
        <f>SUMIF('NEI Lookups'!$L:$L,'Inputs Yr 2'!$F296,'NEI Lookups'!F:F)+SUMIF('NEI Lookups'!$M:$M,'Inputs Yr 2'!$F296,'NEI Lookups'!F:F)+SUMIF('NEI Lookups'!$N:$N,'Inputs Yr 2'!$F296,'NEI Lookups'!F:F)+SUMIF('NEI Lookups'!$O:$O,'Inputs Yr 2'!$F296,'NEI Lookups'!F:F)+SUMIF('NEI Lookups'!$P:$P,'Inputs Yr 2'!$F296,'NEI Lookups'!F:F)+SUMIF('NEI Lookups'!$Q:$Q,'Inputs Yr 2'!$F296,'NEI Lookups'!F:F)+SUMIF('NEI Lookups'!$R:$R,'Inputs Yr 2'!$F296,'NEI Lookups'!F:F)+SUMIF('NEI Lookups'!$S:$S,'Inputs Yr 2'!$F296,'NEI Lookups'!F:F)+SUMIF('NEI Lookups'!$T:$T,'Inputs Yr 2'!$F296,'NEI Lookups'!F:F)</f>
        <v>0</v>
      </c>
      <c r="AU296" s="299">
        <f>SUMIF('NEI Lookups'!$L:$L,'Inputs Yr 2'!$F296,'NEI Lookups'!G:G)+SUMIF('NEI Lookups'!$M:$M,'Inputs Yr 2'!$F296,'NEI Lookups'!G:G)+SUMIF('NEI Lookups'!$N:$N,'Inputs Yr 2'!$F296,'NEI Lookups'!G:G)+SUMIF('NEI Lookups'!$O:$O,'Inputs Yr 2'!$F296,'NEI Lookups'!G:G)+SUMIF('NEI Lookups'!$P:$P,'Inputs Yr 2'!$F296,'NEI Lookups'!G:G)+SUMIF('NEI Lookups'!$Q:$Q,'Inputs Yr 2'!$F296,'NEI Lookups'!G:G)+SUMIF('NEI Lookups'!$R:$R,'Inputs Yr 2'!$F296,'NEI Lookups'!G:G)+SUMIF('NEI Lookups'!$S:$S,'Inputs Yr 2'!$F296,'NEI Lookups'!G:G)+SUMIF('NEI Lookups'!$T:$T,'Inputs Yr 2'!$F296,'NEI Lookups'!G:G)</f>
        <v>0</v>
      </c>
      <c r="AV296" s="299">
        <f>SUMIF('NEI Lookups'!$L:$L,'Inputs Yr 2'!$F296,'NEI Lookups'!H:H)+SUMIF('NEI Lookups'!$M:$M,'Inputs Yr 2'!$F296,'NEI Lookups'!H:H)+SUMIF('NEI Lookups'!$N:$N,'Inputs Yr 2'!$F296,'NEI Lookups'!H:H)+SUMIF('NEI Lookups'!$O:$O,'Inputs Yr 2'!$F296,'NEI Lookups'!H:H)+SUMIF('NEI Lookups'!$P:$P,'Inputs Yr 2'!$F296,'NEI Lookups'!H:H)+SUMIF('NEI Lookups'!$Q:$Q,'Inputs Yr 2'!$F296,'NEI Lookups'!H:H)+SUMIF('NEI Lookups'!$R:$R,'Inputs Yr 2'!$F296,'NEI Lookups'!H:H)+SUMIF('NEI Lookups'!$S:$S,'Inputs Yr 2'!$F296,'NEI Lookups'!H:H)+SUMIF('NEI Lookups'!$T:$T,'Inputs Yr 2'!$F296,'NEI Lookups'!H:H)</f>
        <v>0</v>
      </c>
      <c r="AW296" s="299">
        <f>SUMIF('NEI Lookups'!$L:$L,'Inputs Yr 2'!$F296,'NEI Lookups'!I:I)+SUMIF('NEI Lookups'!$M:$M,'Inputs Yr 2'!$F296,'NEI Lookups'!I:I)+SUMIF('NEI Lookups'!$N:$N,'Inputs Yr 2'!$F296,'NEI Lookups'!I:I)+SUMIF('NEI Lookups'!$O:$O,'Inputs Yr 2'!$F296,'NEI Lookups'!I:I)+SUMIF('NEI Lookups'!$P:$P,'Inputs Yr 2'!$F296,'NEI Lookups'!I:I)+SUMIF('NEI Lookups'!$Q:$Q,'Inputs Yr 2'!$F296,'NEI Lookups'!I:I)+SUMIF('NEI Lookups'!$R:$R,'Inputs Yr 2'!$F296,'NEI Lookups'!I:I)+SUMIF('NEI Lookups'!$S:$S,'Inputs Yr 2'!$F296,'NEI Lookups'!I:I)+SUMIF('NEI Lookups'!$T:$T,'Inputs Yr 2'!$F296,'NEI Lookups'!I:I)</f>
        <v>0</v>
      </c>
      <c r="AX296" s="299">
        <f>SUMIF('NEI Lookups'!$L:$L,'Inputs Yr 2'!$F296,'NEI Lookups'!J:J)+SUMIF('NEI Lookups'!$M:$M,'Inputs Yr 2'!$F296,'NEI Lookups'!J:J)+SUMIF('NEI Lookups'!$N:$N,'Inputs Yr 2'!$F296,'NEI Lookups'!J:J)+SUMIF('NEI Lookups'!$O:$O,'Inputs Yr 2'!$F296,'NEI Lookups'!J:J)+SUMIF('NEI Lookups'!$P:$P,'Inputs Yr 2'!$F296,'NEI Lookups'!J:J)+SUMIF('NEI Lookups'!$Q:$Q,'Inputs Yr 2'!$F296,'NEI Lookups'!J:J)+SUMIF('NEI Lookups'!$R:$R,'Inputs Yr 2'!$F296,'NEI Lookups'!J:J)+SUMIF('NEI Lookups'!$S:$S,'Inputs Yr 2'!$F296,'NEI Lookups'!J:J)+SUMIF('NEI Lookups'!$T:$T,'Inputs Yr 2'!$F296,'NEI Lookups'!J:J)</f>
        <v>0</v>
      </c>
      <c r="AY296" s="930">
        <f>'Calculations Yr 2'!CP296/'Calculations Yr 2'!I296</f>
        <v>2.7938964328928768</v>
      </c>
    </row>
    <row r="297" spans="1:51" s="133" customFormat="1" ht="12.75" customHeight="1">
      <c r="A297" s="145" t="s">
        <v>83</v>
      </c>
      <c r="B297" s="132" t="s">
        <v>870</v>
      </c>
      <c r="C297" s="132" t="s">
        <v>659</v>
      </c>
      <c r="D297" s="902"/>
      <c r="E297" s="656" t="s">
        <v>604</v>
      </c>
      <c r="F297" s="150" t="s">
        <v>1155</v>
      </c>
      <c r="G297" s="145" t="s">
        <v>545</v>
      </c>
      <c r="H297" s="165"/>
      <c r="I297" s="234"/>
      <c r="J297" s="971"/>
      <c r="K297" s="871"/>
      <c r="L297" s="888">
        <f t="shared" si="107"/>
        <v>0</v>
      </c>
      <c r="M297" s="980">
        <v>0.11</v>
      </c>
      <c r="N297" s="980">
        <v>2.5999999999999999E-2</v>
      </c>
      <c r="O297" s="980">
        <v>3.0000000000000001E-3</v>
      </c>
      <c r="P297" s="889">
        <v>0.91900000000000004</v>
      </c>
      <c r="Q297" s="978">
        <v>1</v>
      </c>
      <c r="R297" s="178">
        <v>1</v>
      </c>
      <c r="S297" s="178">
        <v>1</v>
      </c>
      <c r="T297" s="178">
        <v>1</v>
      </c>
      <c r="U297" s="978">
        <v>0.77900000000000003</v>
      </c>
      <c r="V297" s="978">
        <v>0</v>
      </c>
      <c r="W297" s="179"/>
      <c r="X297" s="937" t="s">
        <v>653</v>
      </c>
      <c r="Y297" s="299">
        <f>IFERROR(VLOOKUP($X297,'Demand Lookups'!$A$5:$K$101,9,0), 0)</f>
        <v>0</v>
      </c>
      <c r="Z297" s="922" t="str">
        <f>IFERROR(VLOOKUP(X297,'Demand Lookups'!$A$5:$B$101,2,0),0)</f>
        <v>Non-Electric Measures</v>
      </c>
      <c r="AA297" s="722">
        <v>0</v>
      </c>
      <c r="AB297" s="722">
        <v>0</v>
      </c>
      <c r="AC297" s="722">
        <v>0</v>
      </c>
      <c r="AD297" s="723">
        <v>0</v>
      </c>
      <c r="AE297" s="837">
        <f t="shared" si="128"/>
        <v>0</v>
      </c>
      <c r="AF297" s="723">
        <v>0</v>
      </c>
      <c r="AG297" s="723">
        <v>0</v>
      </c>
      <c r="AH297" s="648">
        <v>0</v>
      </c>
      <c r="AI297" s="648">
        <v>0</v>
      </c>
      <c r="AJ297" s="167" t="s">
        <v>200</v>
      </c>
      <c r="AK297" s="168"/>
      <c r="AL297" s="167"/>
      <c r="AM297" s="168"/>
      <c r="AN297" s="167"/>
      <c r="AO297" s="168"/>
      <c r="AP297" s="167"/>
      <c r="AQ297" s="171"/>
      <c r="AR297" s="171"/>
      <c r="AS297" s="299">
        <f>SUMIF('NEI Lookups'!$L:$L,'Inputs Yr 2'!$F297,'NEI Lookups'!E:E)+SUMIF('NEI Lookups'!$M:$M,'Inputs Yr 2'!$F297,'NEI Lookups'!E:E)+SUMIF('NEI Lookups'!$N:$N,'Inputs Yr 2'!$F297,'NEI Lookups'!E:E)+SUMIF('NEI Lookups'!$O:$O,'Inputs Yr 2'!$F297,'NEI Lookups'!E:E)+SUMIF('NEI Lookups'!$P:$P,'Inputs Yr 2'!$F297,'NEI Lookups'!E:E)+SUMIF('NEI Lookups'!$Q:$Q,'Inputs Yr 2'!$F297,'NEI Lookups'!E:E)+SUMIF('NEI Lookups'!$R:$R,'Inputs Yr 2'!$F297,'NEI Lookups'!E:E)+SUMIF('NEI Lookups'!$S:$S,'Inputs Yr 2'!$F297,'NEI Lookups'!E:E)+SUMIF('NEI Lookups'!$T:$T,'Inputs Yr 2'!$F297,'NEI Lookups'!E:E)</f>
        <v>0</v>
      </c>
      <c r="AT297" s="299">
        <f>SUMIF('NEI Lookups'!$L:$L,'Inputs Yr 2'!$F297,'NEI Lookups'!F:F)+SUMIF('NEI Lookups'!$M:$M,'Inputs Yr 2'!$F297,'NEI Lookups'!F:F)+SUMIF('NEI Lookups'!$N:$N,'Inputs Yr 2'!$F297,'NEI Lookups'!F:F)+SUMIF('NEI Lookups'!$O:$O,'Inputs Yr 2'!$F297,'NEI Lookups'!F:F)+SUMIF('NEI Lookups'!$P:$P,'Inputs Yr 2'!$F297,'NEI Lookups'!F:F)+SUMIF('NEI Lookups'!$Q:$Q,'Inputs Yr 2'!$F297,'NEI Lookups'!F:F)+SUMIF('NEI Lookups'!$R:$R,'Inputs Yr 2'!$F297,'NEI Lookups'!F:F)+SUMIF('NEI Lookups'!$S:$S,'Inputs Yr 2'!$F297,'NEI Lookups'!F:F)+SUMIF('NEI Lookups'!$T:$T,'Inputs Yr 2'!$F297,'NEI Lookups'!F:F)</f>
        <v>0</v>
      </c>
      <c r="AU297" s="299">
        <f>SUMIF('NEI Lookups'!$L:$L,'Inputs Yr 2'!$F297,'NEI Lookups'!G:G)+SUMIF('NEI Lookups'!$M:$M,'Inputs Yr 2'!$F297,'NEI Lookups'!G:G)+SUMIF('NEI Lookups'!$N:$N,'Inputs Yr 2'!$F297,'NEI Lookups'!G:G)+SUMIF('NEI Lookups'!$O:$O,'Inputs Yr 2'!$F297,'NEI Lookups'!G:G)+SUMIF('NEI Lookups'!$P:$P,'Inputs Yr 2'!$F297,'NEI Lookups'!G:G)+SUMIF('NEI Lookups'!$Q:$Q,'Inputs Yr 2'!$F297,'NEI Lookups'!G:G)+SUMIF('NEI Lookups'!$R:$R,'Inputs Yr 2'!$F297,'NEI Lookups'!G:G)+SUMIF('NEI Lookups'!$S:$S,'Inputs Yr 2'!$F297,'NEI Lookups'!G:G)+SUMIF('NEI Lookups'!$T:$T,'Inputs Yr 2'!$F297,'NEI Lookups'!G:G)</f>
        <v>0</v>
      </c>
      <c r="AV297" s="299">
        <f>SUMIF('NEI Lookups'!$L:$L,'Inputs Yr 2'!$F297,'NEI Lookups'!H:H)+SUMIF('NEI Lookups'!$M:$M,'Inputs Yr 2'!$F297,'NEI Lookups'!H:H)+SUMIF('NEI Lookups'!$N:$N,'Inputs Yr 2'!$F297,'NEI Lookups'!H:H)+SUMIF('NEI Lookups'!$O:$O,'Inputs Yr 2'!$F297,'NEI Lookups'!H:H)+SUMIF('NEI Lookups'!$P:$P,'Inputs Yr 2'!$F297,'NEI Lookups'!H:H)+SUMIF('NEI Lookups'!$Q:$Q,'Inputs Yr 2'!$F297,'NEI Lookups'!H:H)+SUMIF('NEI Lookups'!$R:$R,'Inputs Yr 2'!$F297,'NEI Lookups'!H:H)+SUMIF('NEI Lookups'!$S:$S,'Inputs Yr 2'!$F297,'NEI Lookups'!H:H)+SUMIF('NEI Lookups'!$T:$T,'Inputs Yr 2'!$F297,'NEI Lookups'!H:H)</f>
        <v>0</v>
      </c>
      <c r="AW297" s="299">
        <f>SUMIF('NEI Lookups'!$L:$L,'Inputs Yr 2'!$F297,'NEI Lookups'!I:I)+SUMIF('NEI Lookups'!$M:$M,'Inputs Yr 2'!$F297,'NEI Lookups'!I:I)+SUMIF('NEI Lookups'!$N:$N,'Inputs Yr 2'!$F297,'NEI Lookups'!I:I)+SUMIF('NEI Lookups'!$O:$O,'Inputs Yr 2'!$F297,'NEI Lookups'!I:I)+SUMIF('NEI Lookups'!$P:$P,'Inputs Yr 2'!$F297,'NEI Lookups'!I:I)+SUMIF('NEI Lookups'!$Q:$Q,'Inputs Yr 2'!$F297,'NEI Lookups'!I:I)+SUMIF('NEI Lookups'!$R:$R,'Inputs Yr 2'!$F297,'NEI Lookups'!I:I)+SUMIF('NEI Lookups'!$S:$S,'Inputs Yr 2'!$F297,'NEI Lookups'!I:I)+SUMIF('NEI Lookups'!$T:$T,'Inputs Yr 2'!$F297,'NEI Lookups'!I:I)</f>
        <v>0</v>
      </c>
      <c r="AX297" s="299">
        <f>SUMIF('NEI Lookups'!$L:$L,'Inputs Yr 2'!$F297,'NEI Lookups'!J:J)+SUMIF('NEI Lookups'!$M:$M,'Inputs Yr 2'!$F297,'NEI Lookups'!J:J)+SUMIF('NEI Lookups'!$N:$N,'Inputs Yr 2'!$F297,'NEI Lookups'!J:J)+SUMIF('NEI Lookups'!$O:$O,'Inputs Yr 2'!$F297,'NEI Lookups'!J:J)+SUMIF('NEI Lookups'!$P:$P,'Inputs Yr 2'!$F297,'NEI Lookups'!J:J)+SUMIF('NEI Lookups'!$Q:$Q,'Inputs Yr 2'!$F297,'NEI Lookups'!J:J)+SUMIF('NEI Lookups'!$R:$R,'Inputs Yr 2'!$F297,'NEI Lookups'!J:J)+SUMIF('NEI Lookups'!$S:$S,'Inputs Yr 2'!$F297,'NEI Lookups'!J:J)+SUMIF('NEI Lookups'!$T:$T,'Inputs Yr 2'!$F297,'NEI Lookups'!J:J)</f>
        <v>0</v>
      </c>
      <c r="AY297" s="930" t="e">
        <f>'Calculations Yr 2'!CP297/'Calculations Yr 2'!I297</f>
        <v>#VALUE!</v>
      </c>
    </row>
    <row r="298" spans="1:51" s="133" customFormat="1" ht="12.75" customHeight="1">
      <c r="A298" s="145" t="s">
        <v>83</v>
      </c>
      <c r="B298" s="132" t="s">
        <v>870</v>
      </c>
      <c r="C298" s="132" t="s">
        <v>659</v>
      </c>
      <c r="D298" s="902"/>
      <c r="E298" s="891" t="s">
        <v>605</v>
      </c>
      <c r="F298" s="150" t="s">
        <v>1156</v>
      </c>
      <c r="G298" s="145" t="s">
        <v>545</v>
      </c>
      <c r="H298" s="165"/>
      <c r="I298" s="234"/>
      <c r="J298" s="964"/>
      <c r="K298" s="166"/>
      <c r="L298" s="888">
        <f t="shared" si="107"/>
        <v>0</v>
      </c>
      <c r="M298" s="980">
        <v>0.30099999999999999</v>
      </c>
      <c r="N298" s="980">
        <v>0.14699999999999999</v>
      </c>
      <c r="O298" s="980">
        <v>0</v>
      </c>
      <c r="P298" s="889">
        <f t="shared" ref="P298" si="131">1-M298+N298+O298</f>
        <v>0.84600000000000009</v>
      </c>
      <c r="Q298" s="980">
        <v>1</v>
      </c>
      <c r="R298" s="178">
        <v>1</v>
      </c>
      <c r="S298" s="178">
        <v>1</v>
      </c>
      <c r="T298" s="178">
        <v>1</v>
      </c>
      <c r="U298" s="978">
        <v>0.77900000000000003</v>
      </c>
      <c r="V298" s="978">
        <v>0</v>
      </c>
      <c r="W298" s="890"/>
      <c r="X298" s="937" t="s">
        <v>653</v>
      </c>
      <c r="Y298" s="299">
        <f>IFERROR(VLOOKUP($X298,'Demand Lookups'!$A$5:$K$101,9,0), 0)</f>
        <v>0</v>
      </c>
      <c r="Z298" s="922" t="str">
        <f>IFERROR(VLOOKUP(X298,'Demand Lookups'!$A$5:$B$101,2,0),0)</f>
        <v>Non-Electric Measures</v>
      </c>
      <c r="AA298" s="722">
        <v>0</v>
      </c>
      <c r="AB298" s="722">
        <v>0</v>
      </c>
      <c r="AC298" s="722">
        <v>0</v>
      </c>
      <c r="AD298" s="723">
        <v>0</v>
      </c>
      <c r="AE298" s="837">
        <f t="shared" si="128"/>
        <v>0</v>
      </c>
      <c r="AF298" s="723">
        <v>0</v>
      </c>
      <c r="AG298" s="723">
        <v>0</v>
      </c>
      <c r="AH298" s="648">
        <f t="shared" ref="AH298" si="132">AF298</f>
        <v>0</v>
      </c>
      <c r="AI298" s="648">
        <f t="shared" ref="AI298" si="133">AF298</f>
        <v>0</v>
      </c>
      <c r="AJ298" s="167" t="s">
        <v>200</v>
      </c>
      <c r="AK298" s="168"/>
      <c r="AL298" s="167"/>
      <c r="AM298" s="168"/>
      <c r="AN298" s="167"/>
      <c r="AO298" s="168"/>
      <c r="AP298" s="167"/>
      <c r="AQ298" s="171"/>
      <c r="AR298" s="171"/>
      <c r="AS298" s="299">
        <f>SUMIF('NEI Lookups'!$L:$L,'Inputs Yr 2'!$F298,'NEI Lookups'!E:E)+SUMIF('NEI Lookups'!$M:$M,'Inputs Yr 2'!$F298,'NEI Lookups'!E:E)+SUMIF('NEI Lookups'!$N:$N,'Inputs Yr 2'!$F298,'NEI Lookups'!E:E)+SUMIF('NEI Lookups'!$O:$O,'Inputs Yr 2'!$F298,'NEI Lookups'!E:E)+SUMIF('NEI Lookups'!$P:$P,'Inputs Yr 2'!$F298,'NEI Lookups'!E:E)+SUMIF('NEI Lookups'!$Q:$Q,'Inputs Yr 2'!$F298,'NEI Lookups'!E:E)+SUMIF('NEI Lookups'!$R:$R,'Inputs Yr 2'!$F298,'NEI Lookups'!E:E)+SUMIF('NEI Lookups'!$S:$S,'Inputs Yr 2'!$F298,'NEI Lookups'!E:E)+SUMIF('NEI Lookups'!$T:$T,'Inputs Yr 2'!$F298,'NEI Lookups'!E:E)</f>
        <v>0</v>
      </c>
      <c r="AT298" s="299">
        <f>SUMIF('NEI Lookups'!$L:$L,'Inputs Yr 2'!$F298,'NEI Lookups'!F:F)+SUMIF('NEI Lookups'!$M:$M,'Inputs Yr 2'!$F298,'NEI Lookups'!F:F)+SUMIF('NEI Lookups'!$N:$N,'Inputs Yr 2'!$F298,'NEI Lookups'!F:F)+SUMIF('NEI Lookups'!$O:$O,'Inputs Yr 2'!$F298,'NEI Lookups'!F:F)+SUMIF('NEI Lookups'!$P:$P,'Inputs Yr 2'!$F298,'NEI Lookups'!F:F)+SUMIF('NEI Lookups'!$Q:$Q,'Inputs Yr 2'!$F298,'NEI Lookups'!F:F)+SUMIF('NEI Lookups'!$R:$R,'Inputs Yr 2'!$F298,'NEI Lookups'!F:F)+SUMIF('NEI Lookups'!$S:$S,'Inputs Yr 2'!$F298,'NEI Lookups'!F:F)+SUMIF('NEI Lookups'!$T:$T,'Inputs Yr 2'!$F298,'NEI Lookups'!F:F)</f>
        <v>0</v>
      </c>
      <c r="AU298" s="299">
        <f>SUMIF('NEI Lookups'!$L:$L,'Inputs Yr 2'!$F298,'NEI Lookups'!G:G)+SUMIF('NEI Lookups'!$M:$M,'Inputs Yr 2'!$F298,'NEI Lookups'!G:G)+SUMIF('NEI Lookups'!$N:$N,'Inputs Yr 2'!$F298,'NEI Lookups'!G:G)+SUMIF('NEI Lookups'!$O:$O,'Inputs Yr 2'!$F298,'NEI Lookups'!G:G)+SUMIF('NEI Lookups'!$P:$P,'Inputs Yr 2'!$F298,'NEI Lookups'!G:G)+SUMIF('NEI Lookups'!$Q:$Q,'Inputs Yr 2'!$F298,'NEI Lookups'!G:G)+SUMIF('NEI Lookups'!$R:$R,'Inputs Yr 2'!$F298,'NEI Lookups'!G:G)+SUMIF('NEI Lookups'!$S:$S,'Inputs Yr 2'!$F298,'NEI Lookups'!G:G)+SUMIF('NEI Lookups'!$T:$T,'Inputs Yr 2'!$F298,'NEI Lookups'!G:G)</f>
        <v>0</v>
      </c>
      <c r="AV298" s="299">
        <f>SUMIF('NEI Lookups'!$L:$L,'Inputs Yr 2'!$F298,'NEI Lookups'!H:H)+SUMIF('NEI Lookups'!$M:$M,'Inputs Yr 2'!$F298,'NEI Lookups'!H:H)+SUMIF('NEI Lookups'!$N:$N,'Inputs Yr 2'!$F298,'NEI Lookups'!H:H)+SUMIF('NEI Lookups'!$O:$O,'Inputs Yr 2'!$F298,'NEI Lookups'!H:H)+SUMIF('NEI Lookups'!$P:$P,'Inputs Yr 2'!$F298,'NEI Lookups'!H:H)+SUMIF('NEI Lookups'!$Q:$Q,'Inputs Yr 2'!$F298,'NEI Lookups'!H:H)+SUMIF('NEI Lookups'!$R:$R,'Inputs Yr 2'!$F298,'NEI Lookups'!H:H)+SUMIF('NEI Lookups'!$S:$S,'Inputs Yr 2'!$F298,'NEI Lookups'!H:H)+SUMIF('NEI Lookups'!$T:$T,'Inputs Yr 2'!$F298,'NEI Lookups'!H:H)</f>
        <v>0</v>
      </c>
      <c r="AW298" s="299">
        <f>SUMIF('NEI Lookups'!$L:$L,'Inputs Yr 2'!$F298,'NEI Lookups'!I:I)+SUMIF('NEI Lookups'!$M:$M,'Inputs Yr 2'!$F298,'NEI Lookups'!I:I)+SUMIF('NEI Lookups'!$N:$N,'Inputs Yr 2'!$F298,'NEI Lookups'!I:I)+SUMIF('NEI Lookups'!$O:$O,'Inputs Yr 2'!$F298,'NEI Lookups'!I:I)+SUMIF('NEI Lookups'!$P:$P,'Inputs Yr 2'!$F298,'NEI Lookups'!I:I)+SUMIF('NEI Lookups'!$Q:$Q,'Inputs Yr 2'!$F298,'NEI Lookups'!I:I)+SUMIF('NEI Lookups'!$R:$R,'Inputs Yr 2'!$F298,'NEI Lookups'!I:I)+SUMIF('NEI Lookups'!$S:$S,'Inputs Yr 2'!$F298,'NEI Lookups'!I:I)+SUMIF('NEI Lookups'!$T:$T,'Inputs Yr 2'!$F298,'NEI Lookups'!I:I)</f>
        <v>0</v>
      </c>
      <c r="AX298" s="299">
        <f>SUMIF('NEI Lookups'!$L:$L,'Inputs Yr 2'!$F298,'NEI Lookups'!J:J)+SUMIF('NEI Lookups'!$M:$M,'Inputs Yr 2'!$F298,'NEI Lookups'!J:J)+SUMIF('NEI Lookups'!$N:$N,'Inputs Yr 2'!$F298,'NEI Lookups'!J:J)+SUMIF('NEI Lookups'!$O:$O,'Inputs Yr 2'!$F298,'NEI Lookups'!J:J)+SUMIF('NEI Lookups'!$P:$P,'Inputs Yr 2'!$F298,'NEI Lookups'!J:J)+SUMIF('NEI Lookups'!$Q:$Q,'Inputs Yr 2'!$F298,'NEI Lookups'!J:J)+SUMIF('NEI Lookups'!$R:$R,'Inputs Yr 2'!$F298,'NEI Lookups'!J:J)+SUMIF('NEI Lookups'!$S:$S,'Inputs Yr 2'!$F298,'NEI Lookups'!J:J)+SUMIF('NEI Lookups'!$T:$T,'Inputs Yr 2'!$F298,'NEI Lookups'!J:J)</f>
        <v>0</v>
      </c>
      <c r="AY298" s="930" t="e">
        <f>'Calculations Yr 2'!CP298/'Calculations Yr 2'!I298</f>
        <v>#VALUE!</v>
      </c>
    </row>
    <row r="299" spans="1:51" s="133" customFormat="1" ht="12.75" customHeight="1">
      <c r="A299" s="145" t="s">
        <v>83</v>
      </c>
      <c r="B299" s="132" t="s">
        <v>870</v>
      </c>
      <c r="C299" s="132" t="s">
        <v>659</v>
      </c>
      <c r="D299" s="902"/>
      <c r="E299" s="655" t="s">
        <v>793</v>
      </c>
      <c r="F299" s="150" t="s">
        <v>1157</v>
      </c>
      <c r="G299" s="145" t="s">
        <v>1247</v>
      </c>
      <c r="H299" s="165"/>
      <c r="I299" s="234"/>
      <c r="J299" s="971"/>
      <c r="K299" s="871"/>
      <c r="L299" s="888">
        <f t="shared" si="107"/>
        <v>0</v>
      </c>
      <c r="M299" s="980">
        <v>0.11</v>
      </c>
      <c r="N299" s="980">
        <v>2.5999999999999999E-2</v>
      </c>
      <c r="O299" s="980">
        <v>3.0000000000000001E-3</v>
      </c>
      <c r="P299" s="889">
        <v>0.91900000000000004</v>
      </c>
      <c r="Q299" s="978">
        <v>1</v>
      </c>
      <c r="R299" s="178">
        <v>1</v>
      </c>
      <c r="S299" s="178">
        <v>1</v>
      </c>
      <c r="T299" s="178">
        <v>1</v>
      </c>
      <c r="U299" s="978">
        <v>0.77900000000000003</v>
      </c>
      <c r="V299" s="978">
        <v>0</v>
      </c>
      <c r="W299" s="179"/>
      <c r="X299" s="937" t="s">
        <v>653</v>
      </c>
      <c r="Y299" s="299">
        <f>IFERROR(VLOOKUP($X299,'Demand Lookups'!$A$5:$K$101,9,0), 0)</f>
        <v>0</v>
      </c>
      <c r="Z299" s="922" t="str">
        <f>IFERROR(VLOOKUP(X299,'Demand Lookups'!$A$5:$B$101,2,0),0)</f>
        <v>Non-Electric Measures</v>
      </c>
      <c r="AA299" s="722">
        <v>0</v>
      </c>
      <c r="AB299" s="722">
        <v>0</v>
      </c>
      <c r="AC299" s="722">
        <v>0</v>
      </c>
      <c r="AD299" s="723">
        <v>0</v>
      </c>
      <c r="AE299" s="837">
        <f t="shared" si="128"/>
        <v>0</v>
      </c>
      <c r="AF299" s="723">
        <v>0</v>
      </c>
      <c r="AG299" s="723">
        <v>0</v>
      </c>
      <c r="AH299" s="648">
        <v>0</v>
      </c>
      <c r="AI299" s="648">
        <v>0</v>
      </c>
      <c r="AJ299" s="167"/>
      <c r="AK299" s="168"/>
      <c r="AL299" s="167"/>
      <c r="AM299" s="168"/>
      <c r="AN299" s="167"/>
      <c r="AO299" s="168"/>
      <c r="AP299" s="167"/>
      <c r="AQ299" s="171"/>
      <c r="AR299" s="171"/>
      <c r="AS299" s="299">
        <f>SUMIF('NEI Lookups'!$L:$L,'Inputs Yr 2'!$F299,'NEI Lookups'!E:E)+SUMIF('NEI Lookups'!$M:$M,'Inputs Yr 2'!$F299,'NEI Lookups'!E:E)+SUMIF('NEI Lookups'!$N:$N,'Inputs Yr 2'!$F299,'NEI Lookups'!E:E)+SUMIF('NEI Lookups'!$O:$O,'Inputs Yr 2'!$F299,'NEI Lookups'!E:E)+SUMIF('NEI Lookups'!$P:$P,'Inputs Yr 2'!$F299,'NEI Lookups'!E:E)+SUMIF('NEI Lookups'!$Q:$Q,'Inputs Yr 2'!$F299,'NEI Lookups'!E:E)+SUMIF('NEI Lookups'!$R:$R,'Inputs Yr 2'!$F299,'NEI Lookups'!E:E)+SUMIF('NEI Lookups'!$S:$S,'Inputs Yr 2'!$F299,'NEI Lookups'!E:E)+SUMIF('NEI Lookups'!$T:$T,'Inputs Yr 2'!$F299,'NEI Lookups'!E:E)</f>
        <v>0</v>
      </c>
      <c r="AT299" s="299">
        <f>SUMIF('NEI Lookups'!$L:$L,'Inputs Yr 2'!$F299,'NEI Lookups'!F:F)+SUMIF('NEI Lookups'!$M:$M,'Inputs Yr 2'!$F299,'NEI Lookups'!F:F)+SUMIF('NEI Lookups'!$N:$N,'Inputs Yr 2'!$F299,'NEI Lookups'!F:F)+SUMIF('NEI Lookups'!$O:$O,'Inputs Yr 2'!$F299,'NEI Lookups'!F:F)+SUMIF('NEI Lookups'!$P:$P,'Inputs Yr 2'!$F299,'NEI Lookups'!F:F)+SUMIF('NEI Lookups'!$Q:$Q,'Inputs Yr 2'!$F299,'NEI Lookups'!F:F)+SUMIF('NEI Lookups'!$R:$R,'Inputs Yr 2'!$F299,'NEI Lookups'!F:F)+SUMIF('NEI Lookups'!$S:$S,'Inputs Yr 2'!$F299,'NEI Lookups'!F:F)+SUMIF('NEI Lookups'!$T:$T,'Inputs Yr 2'!$F299,'NEI Lookups'!F:F)</f>
        <v>0</v>
      </c>
      <c r="AU299" s="299">
        <f>SUMIF('NEI Lookups'!$L:$L,'Inputs Yr 2'!$F299,'NEI Lookups'!G:G)+SUMIF('NEI Lookups'!$M:$M,'Inputs Yr 2'!$F299,'NEI Lookups'!G:G)+SUMIF('NEI Lookups'!$N:$N,'Inputs Yr 2'!$F299,'NEI Lookups'!G:G)+SUMIF('NEI Lookups'!$O:$O,'Inputs Yr 2'!$F299,'NEI Lookups'!G:G)+SUMIF('NEI Lookups'!$P:$P,'Inputs Yr 2'!$F299,'NEI Lookups'!G:G)+SUMIF('NEI Lookups'!$Q:$Q,'Inputs Yr 2'!$F299,'NEI Lookups'!G:G)+SUMIF('NEI Lookups'!$R:$R,'Inputs Yr 2'!$F299,'NEI Lookups'!G:G)+SUMIF('NEI Lookups'!$S:$S,'Inputs Yr 2'!$F299,'NEI Lookups'!G:G)+SUMIF('NEI Lookups'!$T:$T,'Inputs Yr 2'!$F299,'NEI Lookups'!G:G)</f>
        <v>0</v>
      </c>
      <c r="AV299" s="299">
        <f>SUMIF('NEI Lookups'!$L:$L,'Inputs Yr 2'!$F299,'NEI Lookups'!H:H)+SUMIF('NEI Lookups'!$M:$M,'Inputs Yr 2'!$F299,'NEI Lookups'!H:H)+SUMIF('NEI Lookups'!$N:$N,'Inputs Yr 2'!$F299,'NEI Lookups'!H:H)+SUMIF('NEI Lookups'!$O:$O,'Inputs Yr 2'!$F299,'NEI Lookups'!H:H)+SUMIF('NEI Lookups'!$P:$P,'Inputs Yr 2'!$F299,'NEI Lookups'!H:H)+SUMIF('NEI Lookups'!$Q:$Q,'Inputs Yr 2'!$F299,'NEI Lookups'!H:H)+SUMIF('NEI Lookups'!$R:$R,'Inputs Yr 2'!$F299,'NEI Lookups'!H:H)+SUMIF('NEI Lookups'!$S:$S,'Inputs Yr 2'!$F299,'NEI Lookups'!H:H)+SUMIF('NEI Lookups'!$T:$T,'Inputs Yr 2'!$F299,'NEI Lookups'!H:H)</f>
        <v>0</v>
      </c>
      <c r="AW299" s="299">
        <f>SUMIF('NEI Lookups'!$L:$L,'Inputs Yr 2'!$F299,'NEI Lookups'!I:I)+SUMIF('NEI Lookups'!$M:$M,'Inputs Yr 2'!$F299,'NEI Lookups'!I:I)+SUMIF('NEI Lookups'!$N:$N,'Inputs Yr 2'!$F299,'NEI Lookups'!I:I)+SUMIF('NEI Lookups'!$O:$O,'Inputs Yr 2'!$F299,'NEI Lookups'!I:I)+SUMIF('NEI Lookups'!$P:$P,'Inputs Yr 2'!$F299,'NEI Lookups'!I:I)+SUMIF('NEI Lookups'!$Q:$Q,'Inputs Yr 2'!$F299,'NEI Lookups'!I:I)+SUMIF('NEI Lookups'!$R:$R,'Inputs Yr 2'!$F299,'NEI Lookups'!I:I)+SUMIF('NEI Lookups'!$S:$S,'Inputs Yr 2'!$F299,'NEI Lookups'!I:I)+SUMIF('NEI Lookups'!$T:$T,'Inputs Yr 2'!$F299,'NEI Lookups'!I:I)</f>
        <v>0</v>
      </c>
      <c r="AX299" s="299">
        <f>SUMIF('NEI Lookups'!$L:$L,'Inputs Yr 2'!$F299,'NEI Lookups'!J:J)+SUMIF('NEI Lookups'!$M:$M,'Inputs Yr 2'!$F299,'NEI Lookups'!J:J)+SUMIF('NEI Lookups'!$N:$N,'Inputs Yr 2'!$F299,'NEI Lookups'!J:J)+SUMIF('NEI Lookups'!$O:$O,'Inputs Yr 2'!$F299,'NEI Lookups'!J:J)+SUMIF('NEI Lookups'!$P:$P,'Inputs Yr 2'!$F299,'NEI Lookups'!J:J)+SUMIF('NEI Lookups'!$Q:$Q,'Inputs Yr 2'!$F299,'NEI Lookups'!J:J)+SUMIF('NEI Lookups'!$R:$R,'Inputs Yr 2'!$F299,'NEI Lookups'!J:J)+SUMIF('NEI Lookups'!$S:$S,'Inputs Yr 2'!$F299,'NEI Lookups'!J:J)+SUMIF('NEI Lookups'!$T:$T,'Inputs Yr 2'!$F299,'NEI Lookups'!J:J)</f>
        <v>0</v>
      </c>
      <c r="AY299" s="930" t="e">
        <f>'Calculations Yr 2'!CP299/'Calculations Yr 2'!I299</f>
        <v>#VALUE!</v>
      </c>
    </row>
    <row r="300" spans="1:51" s="133" customFormat="1" ht="12.75" customHeight="1">
      <c r="A300" s="145" t="s">
        <v>83</v>
      </c>
      <c r="B300" s="132" t="s">
        <v>870</v>
      </c>
      <c r="C300" s="132" t="s">
        <v>659</v>
      </c>
      <c r="D300" s="902"/>
      <c r="E300" s="98" t="s">
        <v>1353</v>
      </c>
      <c r="F300" s="150" t="s">
        <v>1158</v>
      </c>
      <c r="G300" s="145" t="s">
        <v>1247</v>
      </c>
      <c r="H300" s="165">
        <v>1</v>
      </c>
      <c r="I300" s="234">
        <v>15</v>
      </c>
      <c r="J300" s="971">
        <v>38453.333333333336</v>
      </c>
      <c r="K300" s="871">
        <v>28840</v>
      </c>
      <c r="L300" s="888">
        <f t="shared" si="107"/>
        <v>9613.3333333333358</v>
      </c>
      <c r="M300" s="980">
        <v>0.11</v>
      </c>
      <c r="N300" s="980">
        <v>2.5999999999999999E-2</v>
      </c>
      <c r="O300" s="980">
        <v>3.0000000000000001E-3</v>
      </c>
      <c r="P300" s="889">
        <v>0.91900000000000004</v>
      </c>
      <c r="Q300" s="978">
        <v>1</v>
      </c>
      <c r="R300" s="178">
        <v>1</v>
      </c>
      <c r="S300" s="178">
        <v>1</v>
      </c>
      <c r="T300" s="178">
        <v>1</v>
      </c>
      <c r="U300" s="978">
        <v>0.77900000000000003</v>
      </c>
      <c r="V300" s="978">
        <v>1</v>
      </c>
      <c r="W300" s="179"/>
      <c r="X300" s="937" t="s">
        <v>653</v>
      </c>
      <c r="Y300" s="299">
        <f>IFERROR(VLOOKUP($X300,'Demand Lookups'!$A$5:$K$101,9,0), 0)</f>
        <v>0</v>
      </c>
      <c r="Z300" s="922" t="str">
        <f>IFERROR(VLOOKUP(X300,'Demand Lookups'!$A$5:$B$101,2,0),0)</f>
        <v>Non-Electric Measures</v>
      </c>
      <c r="AA300" s="722">
        <v>0</v>
      </c>
      <c r="AB300" s="722">
        <v>0</v>
      </c>
      <c r="AC300" s="722">
        <v>0</v>
      </c>
      <c r="AD300" s="723">
        <v>0</v>
      </c>
      <c r="AE300" s="837">
        <f t="shared" si="128"/>
        <v>0</v>
      </c>
      <c r="AF300" s="723">
        <v>0</v>
      </c>
      <c r="AG300" s="723">
        <v>0</v>
      </c>
      <c r="AH300" s="648">
        <v>0</v>
      </c>
      <c r="AI300" s="648">
        <v>0</v>
      </c>
      <c r="AJ300" s="167" t="s">
        <v>87</v>
      </c>
      <c r="AK300" s="168">
        <v>569.20000000000005</v>
      </c>
      <c r="AL300" s="167"/>
      <c r="AM300" s="168"/>
      <c r="AN300" s="167"/>
      <c r="AO300" s="168"/>
      <c r="AP300" s="167"/>
      <c r="AQ300" s="171"/>
      <c r="AR300" s="171"/>
      <c r="AS300" s="299">
        <f>SUMIF('NEI Lookups'!$L:$L,'Inputs Yr 2'!$F300,'NEI Lookups'!E:E)+SUMIF('NEI Lookups'!$M:$M,'Inputs Yr 2'!$F300,'NEI Lookups'!E:E)+SUMIF('NEI Lookups'!$N:$N,'Inputs Yr 2'!$F300,'NEI Lookups'!E:E)+SUMIF('NEI Lookups'!$O:$O,'Inputs Yr 2'!$F300,'NEI Lookups'!E:E)+SUMIF('NEI Lookups'!$P:$P,'Inputs Yr 2'!$F300,'NEI Lookups'!E:E)+SUMIF('NEI Lookups'!$Q:$Q,'Inputs Yr 2'!$F300,'NEI Lookups'!E:E)+SUMIF('NEI Lookups'!$R:$R,'Inputs Yr 2'!$F300,'NEI Lookups'!E:E)+SUMIF('NEI Lookups'!$S:$S,'Inputs Yr 2'!$F300,'NEI Lookups'!E:E)+SUMIF('NEI Lookups'!$T:$T,'Inputs Yr 2'!$F300,'NEI Lookups'!E:E)</f>
        <v>0</v>
      </c>
      <c r="AT300" s="299">
        <f>SUMIF('NEI Lookups'!$L:$L,'Inputs Yr 2'!$F300,'NEI Lookups'!F:F)+SUMIF('NEI Lookups'!$M:$M,'Inputs Yr 2'!$F300,'NEI Lookups'!F:F)+SUMIF('NEI Lookups'!$N:$N,'Inputs Yr 2'!$F300,'NEI Lookups'!F:F)+SUMIF('NEI Lookups'!$O:$O,'Inputs Yr 2'!$F300,'NEI Lookups'!F:F)+SUMIF('NEI Lookups'!$P:$P,'Inputs Yr 2'!$F300,'NEI Lookups'!F:F)+SUMIF('NEI Lookups'!$Q:$Q,'Inputs Yr 2'!$F300,'NEI Lookups'!F:F)+SUMIF('NEI Lookups'!$R:$R,'Inputs Yr 2'!$F300,'NEI Lookups'!F:F)+SUMIF('NEI Lookups'!$S:$S,'Inputs Yr 2'!$F300,'NEI Lookups'!F:F)+SUMIF('NEI Lookups'!$T:$T,'Inputs Yr 2'!$F300,'NEI Lookups'!F:F)</f>
        <v>0</v>
      </c>
      <c r="AU300" s="299">
        <f>SUMIF('NEI Lookups'!$L:$L,'Inputs Yr 2'!$F300,'NEI Lookups'!G:G)+SUMIF('NEI Lookups'!$M:$M,'Inputs Yr 2'!$F300,'NEI Lookups'!G:G)+SUMIF('NEI Lookups'!$N:$N,'Inputs Yr 2'!$F300,'NEI Lookups'!G:G)+SUMIF('NEI Lookups'!$O:$O,'Inputs Yr 2'!$F300,'NEI Lookups'!G:G)+SUMIF('NEI Lookups'!$P:$P,'Inputs Yr 2'!$F300,'NEI Lookups'!G:G)+SUMIF('NEI Lookups'!$Q:$Q,'Inputs Yr 2'!$F300,'NEI Lookups'!G:G)+SUMIF('NEI Lookups'!$R:$R,'Inputs Yr 2'!$F300,'NEI Lookups'!G:G)+SUMIF('NEI Lookups'!$S:$S,'Inputs Yr 2'!$F300,'NEI Lookups'!G:G)+SUMIF('NEI Lookups'!$T:$T,'Inputs Yr 2'!$F300,'NEI Lookups'!G:G)</f>
        <v>0</v>
      </c>
      <c r="AV300" s="299">
        <f>SUMIF('NEI Lookups'!$L:$L,'Inputs Yr 2'!$F300,'NEI Lookups'!H:H)+SUMIF('NEI Lookups'!$M:$M,'Inputs Yr 2'!$F300,'NEI Lookups'!H:H)+SUMIF('NEI Lookups'!$N:$N,'Inputs Yr 2'!$F300,'NEI Lookups'!H:H)+SUMIF('NEI Lookups'!$O:$O,'Inputs Yr 2'!$F300,'NEI Lookups'!H:H)+SUMIF('NEI Lookups'!$P:$P,'Inputs Yr 2'!$F300,'NEI Lookups'!H:H)+SUMIF('NEI Lookups'!$Q:$Q,'Inputs Yr 2'!$F300,'NEI Lookups'!H:H)+SUMIF('NEI Lookups'!$R:$R,'Inputs Yr 2'!$F300,'NEI Lookups'!H:H)+SUMIF('NEI Lookups'!$S:$S,'Inputs Yr 2'!$F300,'NEI Lookups'!H:H)+SUMIF('NEI Lookups'!$T:$T,'Inputs Yr 2'!$F300,'NEI Lookups'!H:H)</f>
        <v>0</v>
      </c>
      <c r="AW300" s="299">
        <f>SUMIF('NEI Lookups'!$L:$L,'Inputs Yr 2'!$F300,'NEI Lookups'!I:I)+SUMIF('NEI Lookups'!$M:$M,'Inputs Yr 2'!$F300,'NEI Lookups'!I:I)+SUMIF('NEI Lookups'!$N:$N,'Inputs Yr 2'!$F300,'NEI Lookups'!I:I)+SUMIF('NEI Lookups'!$O:$O,'Inputs Yr 2'!$F300,'NEI Lookups'!I:I)+SUMIF('NEI Lookups'!$P:$P,'Inputs Yr 2'!$F300,'NEI Lookups'!I:I)+SUMIF('NEI Lookups'!$Q:$Q,'Inputs Yr 2'!$F300,'NEI Lookups'!I:I)+SUMIF('NEI Lookups'!$R:$R,'Inputs Yr 2'!$F300,'NEI Lookups'!I:I)+SUMIF('NEI Lookups'!$S:$S,'Inputs Yr 2'!$F300,'NEI Lookups'!I:I)+SUMIF('NEI Lookups'!$T:$T,'Inputs Yr 2'!$F300,'NEI Lookups'!I:I)</f>
        <v>0</v>
      </c>
      <c r="AX300" s="299">
        <f>SUMIF('NEI Lookups'!$L:$L,'Inputs Yr 2'!$F300,'NEI Lookups'!J:J)+SUMIF('NEI Lookups'!$M:$M,'Inputs Yr 2'!$F300,'NEI Lookups'!J:J)+SUMIF('NEI Lookups'!$N:$N,'Inputs Yr 2'!$F300,'NEI Lookups'!J:J)+SUMIF('NEI Lookups'!$O:$O,'Inputs Yr 2'!$F300,'NEI Lookups'!J:J)+SUMIF('NEI Lookups'!$P:$P,'Inputs Yr 2'!$F300,'NEI Lookups'!J:J)+SUMIF('NEI Lookups'!$Q:$Q,'Inputs Yr 2'!$F300,'NEI Lookups'!J:J)+SUMIF('NEI Lookups'!$R:$R,'Inputs Yr 2'!$F300,'NEI Lookups'!J:J)+SUMIF('NEI Lookups'!$S:$S,'Inputs Yr 2'!$F300,'NEI Lookups'!J:J)+SUMIF('NEI Lookups'!$T:$T,'Inputs Yr 2'!$F300,'NEI Lookups'!J:J)</f>
        <v>0</v>
      </c>
      <c r="AY300" s="930">
        <f>'Calculations Yr 2'!CP300/'Calculations Yr 2'!I300</f>
        <v>1.4674843739773951</v>
      </c>
    </row>
    <row r="301" spans="1:51" s="133" customFormat="1" ht="12.75" customHeight="1">
      <c r="A301" s="145" t="s">
        <v>83</v>
      </c>
      <c r="B301" s="132" t="s">
        <v>870</v>
      </c>
      <c r="C301" s="132" t="s">
        <v>659</v>
      </c>
      <c r="D301" s="902"/>
      <c r="E301" s="97" t="s">
        <v>769</v>
      </c>
      <c r="F301" s="150" t="s">
        <v>1159</v>
      </c>
      <c r="G301" s="145" t="s">
        <v>1247</v>
      </c>
      <c r="H301" s="165"/>
      <c r="I301" s="234">
        <v>15</v>
      </c>
      <c r="J301" s="971">
        <v>72000</v>
      </c>
      <c r="K301" s="871">
        <v>72000</v>
      </c>
      <c r="L301" s="888">
        <f t="shared" si="107"/>
        <v>0</v>
      </c>
      <c r="M301" s="980">
        <v>0.30099999999999999</v>
      </c>
      <c r="N301" s="980">
        <v>0.14699999999999999</v>
      </c>
      <c r="O301" s="980">
        <v>0</v>
      </c>
      <c r="P301" s="889">
        <v>0.84600000000000009</v>
      </c>
      <c r="Q301" s="978">
        <v>1</v>
      </c>
      <c r="R301" s="178">
        <v>1</v>
      </c>
      <c r="S301" s="178">
        <v>1</v>
      </c>
      <c r="T301" s="178">
        <v>1</v>
      </c>
      <c r="U301" s="978">
        <v>0</v>
      </c>
      <c r="V301" s="978">
        <v>0</v>
      </c>
      <c r="W301" s="179"/>
      <c r="X301" s="937" t="s">
        <v>653</v>
      </c>
      <c r="Y301" s="299">
        <f>IFERROR(VLOOKUP($X301,'Demand Lookups'!$A$5:$K$101,9,0), 0)</f>
        <v>0</v>
      </c>
      <c r="Z301" s="922" t="str">
        <f>IFERROR(VLOOKUP(X301,'Demand Lookups'!$A$5:$B$101,2,0),0)</f>
        <v>Non-Electric Measures</v>
      </c>
      <c r="AA301" s="722">
        <v>0</v>
      </c>
      <c r="AB301" s="722">
        <v>0</v>
      </c>
      <c r="AC301" s="722">
        <v>0</v>
      </c>
      <c r="AD301" s="723">
        <v>0</v>
      </c>
      <c r="AE301" s="837">
        <f t="shared" si="128"/>
        <v>0</v>
      </c>
      <c r="AF301" s="723">
        <v>0</v>
      </c>
      <c r="AG301" s="723">
        <v>0</v>
      </c>
      <c r="AH301" s="648">
        <v>0</v>
      </c>
      <c r="AI301" s="648">
        <v>0</v>
      </c>
      <c r="AJ301" s="167" t="s">
        <v>87</v>
      </c>
      <c r="AK301" s="168">
        <v>3600</v>
      </c>
      <c r="AL301" s="167"/>
      <c r="AM301" s="168"/>
      <c r="AN301" s="167"/>
      <c r="AO301" s="168"/>
      <c r="AP301" s="167"/>
      <c r="AQ301" s="171"/>
      <c r="AR301" s="171"/>
      <c r="AS301" s="299">
        <f>SUMIF('NEI Lookups'!$L:$L,'Inputs Yr 2'!$F301,'NEI Lookups'!E:E)+SUMIF('NEI Lookups'!$M:$M,'Inputs Yr 2'!$F301,'NEI Lookups'!E:E)+SUMIF('NEI Lookups'!$N:$N,'Inputs Yr 2'!$F301,'NEI Lookups'!E:E)+SUMIF('NEI Lookups'!$O:$O,'Inputs Yr 2'!$F301,'NEI Lookups'!E:E)+SUMIF('NEI Lookups'!$P:$P,'Inputs Yr 2'!$F301,'NEI Lookups'!E:E)+SUMIF('NEI Lookups'!$Q:$Q,'Inputs Yr 2'!$F301,'NEI Lookups'!E:E)+SUMIF('NEI Lookups'!$R:$R,'Inputs Yr 2'!$F301,'NEI Lookups'!E:E)+SUMIF('NEI Lookups'!$S:$S,'Inputs Yr 2'!$F301,'NEI Lookups'!E:E)+SUMIF('NEI Lookups'!$T:$T,'Inputs Yr 2'!$F301,'NEI Lookups'!E:E)</f>
        <v>0</v>
      </c>
      <c r="AT301" s="299">
        <f>SUMIF('NEI Lookups'!$L:$L,'Inputs Yr 2'!$F301,'NEI Lookups'!F:F)+SUMIF('NEI Lookups'!$M:$M,'Inputs Yr 2'!$F301,'NEI Lookups'!F:F)+SUMIF('NEI Lookups'!$N:$N,'Inputs Yr 2'!$F301,'NEI Lookups'!F:F)+SUMIF('NEI Lookups'!$O:$O,'Inputs Yr 2'!$F301,'NEI Lookups'!F:F)+SUMIF('NEI Lookups'!$P:$P,'Inputs Yr 2'!$F301,'NEI Lookups'!F:F)+SUMIF('NEI Lookups'!$Q:$Q,'Inputs Yr 2'!$F301,'NEI Lookups'!F:F)+SUMIF('NEI Lookups'!$R:$R,'Inputs Yr 2'!$F301,'NEI Lookups'!F:F)+SUMIF('NEI Lookups'!$S:$S,'Inputs Yr 2'!$F301,'NEI Lookups'!F:F)+SUMIF('NEI Lookups'!$T:$T,'Inputs Yr 2'!$F301,'NEI Lookups'!F:F)</f>
        <v>0</v>
      </c>
      <c r="AU301" s="299">
        <f>SUMIF('NEI Lookups'!$L:$L,'Inputs Yr 2'!$F301,'NEI Lookups'!G:G)+SUMIF('NEI Lookups'!$M:$M,'Inputs Yr 2'!$F301,'NEI Lookups'!G:G)+SUMIF('NEI Lookups'!$N:$N,'Inputs Yr 2'!$F301,'NEI Lookups'!G:G)+SUMIF('NEI Lookups'!$O:$O,'Inputs Yr 2'!$F301,'NEI Lookups'!G:G)+SUMIF('NEI Lookups'!$P:$P,'Inputs Yr 2'!$F301,'NEI Lookups'!G:G)+SUMIF('NEI Lookups'!$Q:$Q,'Inputs Yr 2'!$F301,'NEI Lookups'!G:G)+SUMIF('NEI Lookups'!$R:$R,'Inputs Yr 2'!$F301,'NEI Lookups'!G:G)+SUMIF('NEI Lookups'!$S:$S,'Inputs Yr 2'!$F301,'NEI Lookups'!G:G)+SUMIF('NEI Lookups'!$T:$T,'Inputs Yr 2'!$F301,'NEI Lookups'!G:G)</f>
        <v>0</v>
      </c>
      <c r="AV301" s="299">
        <f>SUMIF('NEI Lookups'!$L:$L,'Inputs Yr 2'!$F301,'NEI Lookups'!H:H)+SUMIF('NEI Lookups'!$M:$M,'Inputs Yr 2'!$F301,'NEI Lookups'!H:H)+SUMIF('NEI Lookups'!$N:$N,'Inputs Yr 2'!$F301,'NEI Lookups'!H:H)+SUMIF('NEI Lookups'!$O:$O,'Inputs Yr 2'!$F301,'NEI Lookups'!H:H)+SUMIF('NEI Lookups'!$P:$P,'Inputs Yr 2'!$F301,'NEI Lookups'!H:H)+SUMIF('NEI Lookups'!$Q:$Q,'Inputs Yr 2'!$F301,'NEI Lookups'!H:H)+SUMIF('NEI Lookups'!$R:$R,'Inputs Yr 2'!$F301,'NEI Lookups'!H:H)+SUMIF('NEI Lookups'!$S:$S,'Inputs Yr 2'!$F301,'NEI Lookups'!H:H)+SUMIF('NEI Lookups'!$T:$T,'Inputs Yr 2'!$F301,'NEI Lookups'!H:H)</f>
        <v>0</v>
      </c>
      <c r="AW301" s="299">
        <f>SUMIF('NEI Lookups'!$L:$L,'Inputs Yr 2'!$F301,'NEI Lookups'!I:I)+SUMIF('NEI Lookups'!$M:$M,'Inputs Yr 2'!$F301,'NEI Lookups'!I:I)+SUMIF('NEI Lookups'!$N:$N,'Inputs Yr 2'!$F301,'NEI Lookups'!I:I)+SUMIF('NEI Lookups'!$O:$O,'Inputs Yr 2'!$F301,'NEI Lookups'!I:I)+SUMIF('NEI Lookups'!$P:$P,'Inputs Yr 2'!$F301,'NEI Lookups'!I:I)+SUMIF('NEI Lookups'!$Q:$Q,'Inputs Yr 2'!$F301,'NEI Lookups'!I:I)+SUMIF('NEI Lookups'!$R:$R,'Inputs Yr 2'!$F301,'NEI Lookups'!I:I)+SUMIF('NEI Lookups'!$S:$S,'Inputs Yr 2'!$F301,'NEI Lookups'!I:I)+SUMIF('NEI Lookups'!$T:$T,'Inputs Yr 2'!$F301,'NEI Lookups'!I:I)</f>
        <v>0</v>
      </c>
      <c r="AX301" s="299">
        <f>SUMIF('NEI Lookups'!$L:$L,'Inputs Yr 2'!$F301,'NEI Lookups'!J:J)+SUMIF('NEI Lookups'!$M:$M,'Inputs Yr 2'!$F301,'NEI Lookups'!J:J)+SUMIF('NEI Lookups'!$N:$N,'Inputs Yr 2'!$F301,'NEI Lookups'!J:J)+SUMIF('NEI Lookups'!$O:$O,'Inputs Yr 2'!$F301,'NEI Lookups'!J:J)+SUMIF('NEI Lookups'!$P:$P,'Inputs Yr 2'!$F301,'NEI Lookups'!J:J)+SUMIF('NEI Lookups'!$Q:$Q,'Inputs Yr 2'!$F301,'NEI Lookups'!J:J)+SUMIF('NEI Lookups'!$R:$R,'Inputs Yr 2'!$F301,'NEI Lookups'!J:J)+SUMIF('NEI Lookups'!$S:$S,'Inputs Yr 2'!$F301,'NEI Lookups'!J:J)+SUMIF('NEI Lookups'!$T:$T,'Inputs Yr 2'!$F301,'NEI Lookups'!J:J)</f>
        <v>0</v>
      </c>
      <c r="AY301" s="930" t="e">
        <f>'Calculations Yr 2'!CP301/'Calculations Yr 2'!I301</f>
        <v>#VALUE!</v>
      </c>
    </row>
    <row r="302" spans="1:51" s="133" customFormat="1" ht="12.75" customHeight="1">
      <c r="A302" s="145" t="s">
        <v>83</v>
      </c>
      <c r="B302" s="132" t="s">
        <v>870</v>
      </c>
      <c r="C302" s="132" t="s">
        <v>659</v>
      </c>
      <c r="D302" s="902" t="s">
        <v>1573</v>
      </c>
      <c r="E302" s="133" t="s">
        <v>1515</v>
      </c>
      <c r="F302" s="150" t="s">
        <v>1160</v>
      </c>
      <c r="G302" s="145" t="s">
        <v>89</v>
      </c>
      <c r="H302" s="165">
        <v>1</v>
      </c>
      <c r="I302" s="237">
        <v>15</v>
      </c>
      <c r="J302" s="971">
        <v>13626.666666666666</v>
      </c>
      <c r="K302" s="871">
        <v>10220</v>
      </c>
      <c r="L302" s="888">
        <f t="shared" si="107"/>
        <v>3406.6666666666661</v>
      </c>
      <c r="M302" s="980">
        <v>0.11</v>
      </c>
      <c r="N302" s="980">
        <v>2.6000000000000002E-2</v>
      </c>
      <c r="O302" s="980">
        <v>3.0000000000000001E-3</v>
      </c>
      <c r="P302" s="889">
        <f t="shared" si="123"/>
        <v>0.91900000000000004</v>
      </c>
      <c r="Q302" s="978">
        <v>1</v>
      </c>
      <c r="R302" s="178">
        <v>1</v>
      </c>
      <c r="S302" s="178">
        <v>1</v>
      </c>
      <c r="T302" s="178">
        <v>1</v>
      </c>
      <c r="U302" s="978">
        <v>0.77900000000000003</v>
      </c>
      <c r="V302" s="978">
        <v>1</v>
      </c>
      <c r="W302" s="179"/>
      <c r="X302" s="937" t="s">
        <v>653</v>
      </c>
      <c r="Y302" s="299">
        <f>IFERROR(VLOOKUP($X302,'Demand Lookups'!$A$5:$K$101,9,0), 0)</f>
        <v>0</v>
      </c>
      <c r="Z302" s="922" t="str">
        <f>IFERROR(VLOOKUP(X302,'Demand Lookups'!$A$5:$B$101,2,0),0)</f>
        <v>Non-Electric Measures</v>
      </c>
      <c r="AA302" s="722">
        <f>IF(ISNA(VLOOKUP($X302,'Demand Lookups'!$A$5:$K$81,3,0)),0,VLOOKUP($X302,'Demand Lookups'!$A$5:$K$81,3,0))</f>
        <v>0</v>
      </c>
      <c r="AB302" s="722">
        <f>IF(ISNA(VLOOKUP($X302,'Demand Lookups'!$A$5:$K$81,4,0)),0,VLOOKUP($X302,'Demand Lookups'!$A$5:$K$81,4,0))</f>
        <v>0</v>
      </c>
      <c r="AC302" s="722">
        <f>IF(ISNA(VLOOKUP($X302,'Demand Lookups'!$A$5:$K$81,5,0)),0,VLOOKUP($X302,'Demand Lookups'!$A$5:$K$81,5,0))</f>
        <v>0</v>
      </c>
      <c r="AD302" s="723">
        <f>IF(ISNA(VLOOKUP($X302,'Demand Lookups'!$A$5:$K$81,6,0)),0,VLOOKUP($X302,'Demand Lookups'!$A$5:$K$81,6,0))</f>
        <v>0</v>
      </c>
      <c r="AE302" s="837">
        <f t="shared" si="128"/>
        <v>0</v>
      </c>
      <c r="AF302" s="723">
        <f>ROUND(IF(ISNA(VLOOKUP($X302,'Demand Lookups'!$A$5:$K$82,10,0)),0,(VLOOKUP($X302,'Demand Lookups'!$A$5:$K$82,10,0))),2)</f>
        <v>0</v>
      </c>
      <c r="AG302" s="723">
        <f>ROUND(IF(ISNA(VLOOKUP($X302,'Demand Lookups'!$A$5:$K$82,11,0)),0,VLOOKUP($X302,'Demand Lookups'!$A$5:$K$82,11,0)),2)</f>
        <v>0</v>
      </c>
      <c r="AH302" s="648">
        <f t="shared" si="125"/>
        <v>0</v>
      </c>
      <c r="AI302" s="648">
        <f t="shared" si="126"/>
        <v>0</v>
      </c>
      <c r="AJ302" s="167" t="s">
        <v>406</v>
      </c>
      <c r="AK302" s="168">
        <v>314.3</v>
      </c>
      <c r="AL302" s="167"/>
      <c r="AM302" s="168"/>
      <c r="AN302" s="167"/>
      <c r="AO302" s="168"/>
      <c r="AP302" s="167"/>
      <c r="AQ302" s="171">
        <v>0</v>
      </c>
      <c r="AR302" s="171">
        <v>0</v>
      </c>
      <c r="AS302" s="299">
        <f>SUMIF('NEI Lookups'!$L:$L,'Inputs Yr 2'!$F302,'NEI Lookups'!E:E)+SUMIF('NEI Lookups'!$M:$M,'Inputs Yr 2'!$F302,'NEI Lookups'!E:E)+SUMIF('NEI Lookups'!$N:$N,'Inputs Yr 2'!$F302,'NEI Lookups'!E:E)+SUMIF('NEI Lookups'!$O:$O,'Inputs Yr 2'!$F302,'NEI Lookups'!E:E)+SUMIF('NEI Lookups'!$P:$P,'Inputs Yr 2'!$F302,'NEI Lookups'!E:E)+SUMIF('NEI Lookups'!$Q:$Q,'Inputs Yr 2'!$F302,'NEI Lookups'!E:E)+SUMIF('NEI Lookups'!$R:$R,'Inputs Yr 2'!$F302,'NEI Lookups'!E:E)+SUMIF('NEI Lookups'!$S:$S,'Inputs Yr 2'!$F302,'NEI Lookups'!E:E)+SUMIF('NEI Lookups'!$T:$T,'Inputs Yr 2'!$F302,'NEI Lookups'!E:E)</f>
        <v>0</v>
      </c>
      <c r="AT302" s="299">
        <f>SUMIF('NEI Lookups'!$L:$L,'Inputs Yr 2'!$F302,'NEI Lookups'!F:F)+SUMIF('NEI Lookups'!$M:$M,'Inputs Yr 2'!$F302,'NEI Lookups'!F:F)+SUMIF('NEI Lookups'!$N:$N,'Inputs Yr 2'!$F302,'NEI Lookups'!F:F)+SUMIF('NEI Lookups'!$O:$O,'Inputs Yr 2'!$F302,'NEI Lookups'!F:F)+SUMIF('NEI Lookups'!$P:$P,'Inputs Yr 2'!$F302,'NEI Lookups'!F:F)+SUMIF('NEI Lookups'!$Q:$Q,'Inputs Yr 2'!$F302,'NEI Lookups'!F:F)+SUMIF('NEI Lookups'!$R:$R,'Inputs Yr 2'!$F302,'NEI Lookups'!F:F)+SUMIF('NEI Lookups'!$S:$S,'Inputs Yr 2'!$F302,'NEI Lookups'!F:F)+SUMIF('NEI Lookups'!$T:$T,'Inputs Yr 2'!$F302,'NEI Lookups'!F:F)</f>
        <v>0</v>
      </c>
      <c r="AU302" s="299">
        <f>SUMIF('NEI Lookups'!$L:$L,'Inputs Yr 2'!$F302,'NEI Lookups'!G:G)+SUMIF('NEI Lookups'!$M:$M,'Inputs Yr 2'!$F302,'NEI Lookups'!G:G)+SUMIF('NEI Lookups'!$N:$N,'Inputs Yr 2'!$F302,'NEI Lookups'!G:G)+SUMIF('NEI Lookups'!$O:$O,'Inputs Yr 2'!$F302,'NEI Lookups'!G:G)+SUMIF('NEI Lookups'!$P:$P,'Inputs Yr 2'!$F302,'NEI Lookups'!G:G)+SUMIF('NEI Lookups'!$Q:$Q,'Inputs Yr 2'!$F302,'NEI Lookups'!G:G)+SUMIF('NEI Lookups'!$R:$R,'Inputs Yr 2'!$F302,'NEI Lookups'!G:G)+SUMIF('NEI Lookups'!$S:$S,'Inputs Yr 2'!$F302,'NEI Lookups'!G:G)+SUMIF('NEI Lookups'!$T:$T,'Inputs Yr 2'!$F302,'NEI Lookups'!G:G)</f>
        <v>0</v>
      </c>
      <c r="AV302" s="299">
        <f>SUMIF('NEI Lookups'!$L:$L,'Inputs Yr 2'!$F302,'NEI Lookups'!H:H)+SUMIF('NEI Lookups'!$M:$M,'Inputs Yr 2'!$F302,'NEI Lookups'!H:H)+SUMIF('NEI Lookups'!$N:$N,'Inputs Yr 2'!$F302,'NEI Lookups'!H:H)+SUMIF('NEI Lookups'!$O:$O,'Inputs Yr 2'!$F302,'NEI Lookups'!H:H)+SUMIF('NEI Lookups'!$P:$P,'Inputs Yr 2'!$F302,'NEI Lookups'!H:H)+SUMIF('NEI Lookups'!$Q:$Q,'Inputs Yr 2'!$F302,'NEI Lookups'!H:H)+SUMIF('NEI Lookups'!$R:$R,'Inputs Yr 2'!$F302,'NEI Lookups'!H:H)+SUMIF('NEI Lookups'!$S:$S,'Inputs Yr 2'!$F302,'NEI Lookups'!H:H)+SUMIF('NEI Lookups'!$T:$T,'Inputs Yr 2'!$F302,'NEI Lookups'!H:H)</f>
        <v>0</v>
      </c>
      <c r="AW302" s="299">
        <f>SUMIF('NEI Lookups'!$L:$L,'Inputs Yr 2'!$F302,'NEI Lookups'!I:I)+SUMIF('NEI Lookups'!$M:$M,'Inputs Yr 2'!$F302,'NEI Lookups'!I:I)+SUMIF('NEI Lookups'!$N:$N,'Inputs Yr 2'!$F302,'NEI Lookups'!I:I)+SUMIF('NEI Lookups'!$O:$O,'Inputs Yr 2'!$F302,'NEI Lookups'!I:I)+SUMIF('NEI Lookups'!$P:$P,'Inputs Yr 2'!$F302,'NEI Lookups'!I:I)+SUMIF('NEI Lookups'!$Q:$Q,'Inputs Yr 2'!$F302,'NEI Lookups'!I:I)+SUMIF('NEI Lookups'!$R:$R,'Inputs Yr 2'!$F302,'NEI Lookups'!I:I)+SUMIF('NEI Lookups'!$S:$S,'Inputs Yr 2'!$F302,'NEI Lookups'!I:I)+SUMIF('NEI Lookups'!$T:$T,'Inputs Yr 2'!$F302,'NEI Lookups'!I:I)</f>
        <v>0</v>
      </c>
      <c r="AX302" s="299">
        <f>SUMIF('NEI Lookups'!$L:$L,'Inputs Yr 2'!$F302,'NEI Lookups'!J:J)+SUMIF('NEI Lookups'!$M:$M,'Inputs Yr 2'!$F302,'NEI Lookups'!J:J)+SUMIF('NEI Lookups'!$N:$N,'Inputs Yr 2'!$F302,'NEI Lookups'!J:J)+SUMIF('NEI Lookups'!$O:$O,'Inputs Yr 2'!$F302,'NEI Lookups'!J:J)+SUMIF('NEI Lookups'!$P:$P,'Inputs Yr 2'!$F302,'NEI Lookups'!J:J)+SUMIF('NEI Lookups'!$Q:$Q,'Inputs Yr 2'!$F302,'NEI Lookups'!J:J)+SUMIF('NEI Lookups'!$R:$R,'Inputs Yr 2'!$F302,'NEI Lookups'!J:J)+SUMIF('NEI Lookups'!$S:$S,'Inputs Yr 2'!$F302,'NEI Lookups'!J:J)+SUMIF('NEI Lookups'!$T:$T,'Inputs Yr 2'!$F302,'NEI Lookups'!J:J)</f>
        <v>0</v>
      </c>
      <c r="AY302" s="930">
        <f>'Calculations Yr 2'!CP302/'Calculations Yr 2'!I302</f>
        <v>2.0745106731187288</v>
      </c>
    </row>
    <row r="303" spans="1:51" s="133" customFormat="1" ht="12.75" customHeight="1">
      <c r="A303" s="145" t="s">
        <v>83</v>
      </c>
      <c r="B303" s="132" t="s">
        <v>870</v>
      </c>
      <c r="C303" s="132" t="s">
        <v>659</v>
      </c>
      <c r="D303" s="902"/>
      <c r="E303" s="133" t="s">
        <v>771</v>
      </c>
      <c r="F303" s="150" t="s">
        <v>1161</v>
      </c>
      <c r="G303" s="145" t="s">
        <v>89</v>
      </c>
      <c r="H303" s="165"/>
      <c r="I303" s="237">
        <v>9</v>
      </c>
      <c r="J303" s="971">
        <v>20250</v>
      </c>
      <c r="K303" s="871">
        <v>20250</v>
      </c>
      <c r="L303" s="888">
        <f t="shared" si="107"/>
        <v>0</v>
      </c>
      <c r="M303" s="980">
        <v>0.30099999999999999</v>
      </c>
      <c r="N303" s="980">
        <v>0.14699999999999999</v>
      </c>
      <c r="O303" s="980">
        <v>0</v>
      </c>
      <c r="P303" s="889">
        <v>0.84600000000000009</v>
      </c>
      <c r="Q303" s="978">
        <v>1</v>
      </c>
      <c r="R303" s="178">
        <v>1</v>
      </c>
      <c r="S303" s="178">
        <v>1</v>
      </c>
      <c r="T303" s="178">
        <v>1</v>
      </c>
      <c r="U303" s="978">
        <v>0</v>
      </c>
      <c r="V303" s="978">
        <v>0</v>
      </c>
      <c r="W303" s="179"/>
      <c r="X303" s="937" t="s">
        <v>653</v>
      </c>
      <c r="Y303" s="299">
        <f>IFERROR(VLOOKUP($X303,'Demand Lookups'!$A$5:$K$101,9,0), 0)</f>
        <v>0</v>
      </c>
      <c r="Z303" s="922" t="str">
        <f>IFERROR(VLOOKUP(X303,'Demand Lookups'!$A$5:$B$101,2,0),0)</f>
        <v>Non-Electric Measures</v>
      </c>
      <c r="AA303" s="722">
        <v>0</v>
      </c>
      <c r="AB303" s="722">
        <v>0</v>
      </c>
      <c r="AC303" s="722">
        <v>0</v>
      </c>
      <c r="AD303" s="723">
        <v>0</v>
      </c>
      <c r="AE303" s="837">
        <f t="shared" si="128"/>
        <v>0</v>
      </c>
      <c r="AF303" s="723">
        <v>0</v>
      </c>
      <c r="AG303" s="723">
        <v>0</v>
      </c>
      <c r="AH303" s="648">
        <v>0</v>
      </c>
      <c r="AI303" s="648">
        <v>0</v>
      </c>
      <c r="AJ303" s="167" t="s">
        <v>406</v>
      </c>
      <c r="AK303" s="168">
        <v>2700</v>
      </c>
      <c r="AL303" s="167"/>
      <c r="AM303" s="168"/>
      <c r="AN303" s="167"/>
      <c r="AO303" s="168"/>
      <c r="AP303" s="167"/>
      <c r="AQ303" s="171"/>
      <c r="AR303" s="171"/>
      <c r="AS303" s="299">
        <f>SUMIF('NEI Lookups'!$L:$L,'Inputs Yr 2'!$F303,'NEI Lookups'!E:E)+SUMIF('NEI Lookups'!$M:$M,'Inputs Yr 2'!$F303,'NEI Lookups'!E:E)+SUMIF('NEI Lookups'!$N:$N,'Inputs Yr 2'!$F303,'NEI Lookups'!E:E)+SUMIF('NEI Lookups'!$O:$O,'Inputs Yr 2'!$F303,'NEI Lookups'!E:E)+SUMIF('NEI Lookups'!$P:$P,'Inputs Yr 2'!$F303,'NEI Lookups'!E:E)+SUMIF('NEI Lookups'!$Q:$Q,'Inputs Yr 2'!$F303,'NEI Lookups'!E:E)+SUMIF('NEI Lookups'!$R:$R,'Inputs Yr 2'!$F303,'NEI Lookups'!E:E)+SUMIF('NEI Lookups'!$S:$S,'Inputs Yr 2'!$F303,'NEI Lookups'!E:E)+SUMIF('NEI Lookups'!$T:$T,'Inputs Yr 2'!$F303,'NEI Lookups'!E:E)</f>
        <v>0</v>
      </c>
      <c r="AT303" s="299">
        <f>SUMIF('NEI Lookups'!$L:$L,'Inputs Yr 2'!$F303,'NEI Lookups'!F:F)+SUMIF('NEI Lookups'!$M:$M,'Inputs Yr 2'!$F303,'NEI Lookups'!F:F)+SUMIF('NEI Lookups'!$N:$N,'Inputs Yr 2'!$F303,'NEI Lookups'!F:F)+SUMIF('NEI Lookups'!$O:$O,'Inputs Yr 2'!$F303,'NEI Lookups'!F:F)+SUMIF('NEI Lookups'!$P:$P,'Inputs Yr 2'!$F303,'NEI Lookups'!F:F)+SUMIF('NEI Lookups'!$Q:$Q,'Inputs Yr 2'!$F303,'NEI Lookups'!F:F)+SUMIF('NEI Lookups'!$R:$R,'Inputs Yr 2'!$F303,'NEI Lookups'!F:F)+SUMIF('NEI Lookups'!$S:$S,'Inputs Yr 2'!$F303,'NEI Lookups'!F:F)+SUMIF('NEI Lookups'!$T:$T,'Inputs Yr 2'!$F303,'NEI Lookups'!F:F)</f>
        <v>0</v>
      </c>
      <c r="AU303" s="299">
        <f>SUMIF('NEI Lookups'!$L:$L,'Inputs Yr 2'!$F303,'NEI Lookups'!G:G)+SUMIF('NEI Lookups'!$M:$M,'Inputs Yr 2'!$F303,'NEI Lookups'!G:G)+SUMIF('NEI Lookups'!$N:$N,'Inputs Yr 2'!$F303,'NEI Lookups'!G:G)+SUMIF('NEI Lookups'!$O:$O,'Inputs Yr 2'!$F303,'NEI Lookups'!G:G)+SUMIF('NEI Lookups'!$P:$P,'Inputs Yr 2'!$F303,'NEI Lookups'!G:G)+SUMIF('NEI Lookups'!$Q:$Q,'Inputs Yr 2'!$F303,'NEI Lookups'!G:G)+SUMIF('NEI Lookups'!$R:$R,'Inputs Yr 2'!$F303,'NEI Lookups'!G:G)+SUMIF('NEI Lookups'!$S:$S,'Inputs Yr 2'!$F303,'NEI Lookups'!G:G)+SUMIF('NEI Lookups'!$T:$T,'Inputs Yr 2'!$F303,'NEI Lookups'!G:G)</f>
        <v>0</v>
      </c>
      <c r="AV303" s="299">
        <f>SUMIF('NEI Lookups'!$L:$L,'Inputs Yr 2'!$F303,'NEI Lookups'!H:H)+SUMIF('NEI Lookups'!$M:$M,'Inputs Yr 2'!$F303,'NEI Lookups'!H:H)+SUMIF('NEI Lookups'!$N:$N,'Inputs Yr 2'!$F303,'NEI Lookups'!H:H)+SUMIF('NEI Lookups'!$O:$O,'Inputs Yr 2'!$F303,'NEI Lookups'!H:H)+SUMIF('NEI Lookups'!$P:$P,'Inputs Yr 2'!$F303,'NEI Lookups'!H:H)+SUMIF('NEI Lookups'!$Q:$Q,'Inputs Yr 2'!$F303,'NEI Lookups'!H:H)+SUMIF('NEI Lookups'!$R:$R,'Inputs Yr 2'!$F303,'NEI Lookups'!H:H)+SUMIF('NEI Lookups'!$S:$S,'Inputs Yr 2'!$F303,'NEI Lookups'!H:H)+SUMIF('NEI Lookups'!$T:$T,'Inputs Yr 2'!$F303,'NEI Lookups'!H:H)</f>
        <v>0</v>
      </c>
      <c r="AW303" s="299">
        <f>SUMIF('NEI Lookups'!$L:$L,'Inputs Yr 2'!$F303,'NEI Lookups'!I:I)+SUMIF('NEI Lookups'!$M:$M,'Inputs Yr 2'!$F303,'NEI Lookups'!I:I)+SUMIF('NEI Lookups'!$N:$N,'Inputs Yr 2'!$F303,'NEI Lookups'!I:I)+SUMIF('NEI Lookups'!$O:$O,'Inputs Yr 2'!$F303,'NEI Lookups'!I:I)+SUMIF('NEI Lookups'!$P:$P,'Inputs Yr 2'!$F303,'NEI Lookups'!I:I)+SUMIF('NEI Lookups'!$Q:$Q,'Inputs Yr 2'!$F303,'NEI Lookups'!I:I)+SUMIF('NEI Lookups'!$R:$R,'Inputs Yr 2'!$F303,'NEI Lookups'!I:I)+SUMIF('NEI Lookups'!$S:$S,'Inputs Yr 2'!$F303,'NEI Lookups'!I:I)+SUMIF('NEI Lookups'!$T:$T,'Inputs Yr 2'!$F303,'NEI Lookups'!I:I)</f>
        <v>0</v>
      </c>
      <c r="AX303" s="299">
        <f>SUMIF('NEI Lookups'!$L:$L,'Inputs Yr 2'!$F303,'NEI Lookups'!J:J)+SUMIF('NEI Lookups'!$M:$M,'Inputs Yr 2'!$F303,'NEI Lookups'!J:J)+SUMIF('NEI Lookups'!$N:$N,'Inputs Yr 2'!$F303,'NEI Lookups'!J:J)+SUMIF('NEI Lookups'!$O:$O,'Inputs Yr 2'!$F303,'NEI Lookups'!J:J)+SUMIF('NEI Lookups'!$P:$P,'Inputs Yr 2'!$F303,'NEI Lookups'!J:J)+SUMIF('NEI Lookups'!$Q:$Q,'Inputs Yr 2'!$F303,'NEI Lookups'!J:J)+SUMIF('NEI Lookups'!$R:$R,'Inputs Yr 2'!$F303,'NEI Lookups'!J:J)+SUMIF('NEI Lookups'!$S:$S,'Inputs Yr 2'!$F303,'NEI Lookups'!J:J)+SUMIF('NEI Lookups'!$T:$T,'Inputs Yr 2'!$F303,'NEI Lookups'!J:J)</f>
        <v>0</v>
      </c>
      <c r="AY303" s="930" t="e">
        <f>'Calculations Yr 2'!CP303/'Calculations Yr 2'!I303</f>
        <v>#VALUE!</v>
      </c>
    </row>
    <row r="304" spans="1:51" s="133" customFormat="1" ht="12.75" customHeight="1">
      <c r="A304" s="145" t="s">
        <v>83</v>
      </c>
      <c r="B304" s="132" t="s">
        <v>870</v>
      </c>
      <c r="C304" s="132" t="s">
        <v>659</v>
      </c>
      <c r="D304" s="902" t="s">
        <v>1574</v>
      </c>
      <c r="E304" s="98" t="s">
        <v>84</v>
      </c>
      <c r="F304" s="150" t="s">
        <v>1162</v>
      </c>
      <c r="G304" s="145" t="s">
        <v>1247</v>
      </c>
      <c r="H304" s="232"/>
      <c r="I304" s="234"/>
      <c r="J304" s="964">
        <v>0</v>
      </c>
      <c r="K304" s="871">
        <v>0</v>
      </c>
      <c r="L304" s="888">
        <f t="shared" si="107"/>
        <v>0</v>
      </c>
      <c r="M304" s="980">
        <v>0.11</v>
      </c>
      <c r="N304" s="980">
        <v>2.5999999999999999E-2</v>
      </c>
      <c r="O304" s="980">
        <v>3.0000000000000001E-3</v>
      </c>
      <c r="P304" s="889">
        <v>0.91900000000000004</v>
      </c>
      <c r="Q304" s="978">
        <v>1</v>
      </c>
      <c r="R304" s="178">
        <v>1</v>
      </c>
      <c r="S304" s="178">
        <v>1</v>
      </c>
      <c r="T304" s="178">
        <v>1</v>
      </c>
      <c r="U304" s="978">
        <v>0.77900000000000003</v>
      </c>
      <c r="V304" s="978">
        <v>1</v>
      </c>
      <c r="W304" s="179"/>
      <c r="X304" s="937" t="s">
        <v>653</v>
      </c>
      <c r="Y304" s="299">
        <f>IFERROR(VLOOKUP($X304,'Demand Lookups'!$A$5:$K$101,9,0), 0)</f>
        <v>0</v>
      </c>
      <c r="Z304" s="922" t="str">
        <f>IFERROR(VLOOKUP(X304,'Demand Lookups'!$A$5:$B$101,2,0),0)</f>
        <v>Non-Electric Measures</v>
      </c>
      <c r="AA304" s="722">
        <v>0</v>
      </c>
      <c r="AB304" s="722">
        <v>0</v>
      </c>
      <c r="AC304" s="722">
        <v>0</v>
      </c>
      <c r="AD304" s="723">
        <v>0</v>
      </c>
      <c r="AE304" s="837">
        <f t="shared" si="128"/>
        <v>0</v>
      </c>
      <c r="AF304" s="723">
        <v>0</v>
      </c>
      <c r="AG304" s="723">
        <v>0</v>
      </c>
      <c r="AH304" s="648">
        <v>0</v>
      </c>
      <c r="AI304" s="648">
        <v>0</v>
      </c>
      <c r="AJ304" s="167" t="s">
        <v>87</v>
      </c>
      <c r="AK304" s="168">
        <v>0</v>
      </c>
      <c r="AL304" s="167"/>
      <c r="AM304" s="168"/>
      <c r="AN304" s="167"/>
      <c r="AO304" s="168"/>
      <c r="AP304" s="167"/>
      <c r="AQ304" s="171"/>
      <c r="AR304" s="171"/>
      <c r="AS304" s="299">
        <f>SUMIF('NEI Lookups'!$L:$L,'Inputs Yr 2'!$F304,'NEI Lookups'!E:E)+SUMIF('NEI Lookups'!$M:$M,'Inputs Yr 2'!$F304,'NEI Lookups'!E:E)+SUMIF('NEI Lookups'!$N:$N,'Inputs Yr 2'!$F304,'NEI Lookups'!E:E)+SUMIF('NEI Lookups'!$O:$O,'Inputs Yr 2'!$F304,'NEI Lookups'!E:E)+SUMIF('NEI Lookups'!$P:$P,'Inputs Yr 2'!$F304,'NEI Lookups'!E:E)+SUMIF('NEI Lookups'!$Q:$Q,'Inputs Yr 2'!$F304,'NEI Lookups'!E:E)+SUMIF('NEI Lookups'!$R:$R,'Inputs Yr 2'!$F304,'NEI Lookups'!E:E)+SUMIF('NEI Lookups'!$S:$S,'Inputs Yr 2'!$F304,'NEI Lookups'!E:E)+SUMIF('NEI Lookups'!$T:$T,'Inputs Yr 2'!$F304,'NEI Lookups'!E:E)</f>
        <v>0</v>
      </c>
      <c r="AT304" s="299">
        <f>SUMIF('NEI Lookups'!$L:$L,'Inputs Yr 2'!$F304,'NEI Lookups'!F:F)+SUMIF('NEI Lookups'!$M:$M,'Inputs Yr 2'!$F304,'NEI Lookups'!F:F)+SUMIF('NEI Lookups'!$N:$N,'Inputs Yr 2'!$F304,'NEI Lookups'!F:F)+SUMIF('NEI Lookups'!$O:$O,'Inputs Yr 2'!$F304,'NEI Lookups'!F:F)+SUMIF('NEI Lookups'!$P:$P,'Inputs Yr 2'!$F304,'NEI Lookups'!F:F)+SUMIF('NEI Lookups'!$Q:$Q,'Inputs Yr 2'!$F304,'NEI Lookups'!F:F)+SUMIF('NEI Lookups'!$R:$R,'Inputs Yr 2'!$F304,'NEI Lookups'!F:F)+SUMIF('NEI Lookups'!$S:$S,'Inputs Yr 2'!$F304,'NEI Lookups'!F:F)+SUMIF('NEI Lookups'!$T:$T,'Inputs Yr 2'!$F304,'NEI Lookups'!F:F)</f>
        <v>0</v>
      </c>
      <c r="AU304" s="299">
        <f>SUMIF('NEI Lookups'!$L:$L,'Inputs Yr 2'!$F304,'NEI Lookups'!G:G)+SUMIF('NEI Lookups'!$M:$M,'Inputs Yr 2'!$F304,'NEI Lookups'!G:G)+SUMIF('NEI Lookups'!$N:$N,'Inputs Yr 2'!$F304,'NEI Lookups'!G:G)+SUMIF('NEI Lookups'!$O:$O,'Inputs Yr 2'!$F304,'NEI Lookups'!G:G)+SUMIF('NEI Lookups'!$P:$P,'Inputs Yr 2'!$F304,'NEI Lookups'!G:G)+SUMIF('NEI Lookups'!$Q:$Q,'Inputs Yr 2'!$F304,'NEI Lookups'!G:G)+SUMIF('NEI Lookups'!$R:$R,'Inputs Yr 2'!$F304,'NEI Lookups'!G:G)+SUMIF('NEI Lookups'!$S:$S,'Inputs Yr 2'!$F304,'NEI Lookups'!G:G)+SUMIF('NEI Lookups'!$T:$T,'Inputs Yr 2'!$F304,'NEI Lookups'!G:G)</f>
        <v>0</v>
      </c>
      <c r="AV304" s="299">
        <f>SUMIF('NEI Lookups'!$L:$L,'Inputs Yr 2'!$F304,'NEI Lookups'!H:H)+SUMIF('NEI Lookups'!$M:$M,'Inputs Yr 2'!$F304,'NEI Lookups'!H:H)+SUMIF('NEI Lookups'!$N:$N,'Inputs Yr 2'!$F304,'NEI Lookups'!H:H)+SUMIF('NEI Lookups'!$O:$O,'Inputs Yr 2'!$F304,'NEI Lookups'!H:H)+SUMIF('NEI Lookups'!$P:$P,'Inputs Yr 2'!$F304,'NEI Lookups'!H:H)+SUMIF('NEI Lookups'!$Q:$Q,'Inputs Yr 2'!$F304,'NEI Lookups'!H:H)+SUMIF('NEI Lookups'!$R:$R,'Inputs Yr 2'!$F304,'NEI Lookups'!H:H)+SUMIF('NEI Lookups'!$S:$S,'Inputs Yr 2'!$F304,'NEI Lookups'!H:H)+SUMIF('NEI Lookups'!$T:$T,'Inputs Yr 2'!$F304,'NEI Lookups'!H:H)</f>
        <v>0</v>
      </c>
      <c r="AW304" s="299">
        <f>SUMIF('NEI Lookups'!$L:$L,'Inputs Yr 2'!$F304,'NEI Lookups'!I:I)+SUMIF('NEI Lookups'!$M:$M,'Inputs Yr 2'!$F304,'NEI Lookups'!I:I)+SUMIF('NEI Lookups'!$N:$N,'Inputs Yr 2'!$F304,'NEI Lookups'!I:I)+SUMIF('NEI Lookups'!$O:$O,'Inputs Yr 2'!$F304,'NEI Lookups'!I:I)+SUMIF('NEI Lookups'!$P:$P,'Inputs Yr 2'!$F304,'NEI Lookups'!I:I)+SUMIF('NEI Lookups'!$Q:$Q,'Inputs Yr 2'!$F304,'NEI Lookups'!I:I)+SUMIF('NEI Lookups'!$R:$R,'Inputs Yr 2'!$F304,'NEI Lookups'!I:I)+SUMIF('NEI Lookups'!$S:$S,'Inputs Yr 2'!$F304,'NEI Lookups'!I:I)+SUMIF('NEI Lookups'!$T:$T,'Inputs Yr 2'!$F304,'NEI Lookups'!I:I)</f>
        <v>0</v>
      </c>
      <c r="AX304" s="299">
        <f>SUMIF('NEI Lookups'!$L:$L,'Inputs Yr 2'!$F304,'NEI Lookups'!J:J)+SUMIF('NEI Lookups'!$M:$M,'Inputs Yr 2'!$F304,'NEI Lookups'!J:J)+SUMIF('NEI Lookups'!$N:$N,'Inputs Yr 2'!$F304,'NEI Lookups'!J:J)+SUMIF('NEI Lookups'!$O:$O,'Inputs Yr 2'!$F304,'NEI Lookups'!J:J)+SUMIF('NEI Lookups'!$P:$P,'Inputs Yr 2'!$F304,'NEI Lookups'!J:J)+SUMIF('NEI Lookups'!$Q:$Q,'Inputs Yr 2'!$F304,'NEI Lookups'!J:J)+SUMIF('NEI Lookups'!$R:$R,'Inputs Yr 2'!$F304,'NEI Lookups'!J:J)+SUMIF('NEI Lookups'!$S:$S,'Inputs Yr 2'!$F304,'NEI Lookups'!J:J)+SUMIF('NEI Lookups'!$T:$T,'Inputs Yr 2'!$F304,'NEI Lookups'!J:J)</f>
        <v>0</v>
      </c>
      <c r="AY304" s="930" t="e">
        <f>'Calculations Yr 2'!CP304/'Calculations Yr 2'!I304</f>
        <v>#VALUE!</v>
      </c>
    </row>
    <row r="305" spans="1:51" s="133" customFormat="1" ht="12.75" customHeight="1">
      <c r="A305" s="145" t="s">
        <v>83</v>
      </c>
      <c r="B305" s="132" t="s">
        <v>870</v>
      </c>
      <c r="C305" s="132" t="s">
        <v>659</v>
      </c>
      <c r="D305" s="902"/>
      <c r="E305" s="98" t="s">
        <v>85</v>
      </c>
      <c r="F305" s="150" t="s">
        <v>1163</v>
      </c>
      <c r="G305" s="145" t="s">
        <v>1247</v>
      </c>
      <c r="H305" s="232"/>
      <c r="I305" s="234">
        <v>15</v>
      </c>
      <c r="J305" s="964">
        <v>108000</v>
      </c>
      <c r="K305" s="871">
        <v>108000</v>
      </c>
      <c r="L305" s="888">
        <f t="shared" si="107"/>
        <v>0</v>
      </c>
      <c r="M305" s="980">
        <v>0.30099999999999999</v>
      </c>
      <c r="N305" s="980">
        <v>0.14699999999999999</v>
      </c>
      <c r="O305" s="980">
        <v>0</v>
      </c>
      <c r="P305" s="889">
        <v>0.84600000000000009</v>
      </c>
      <c r="Q305" s="978">
        <v>1</v>
      </c>
      <c r="R305" s="178">
        <v>1</v>
      </c>
      <c r="S305" s="178">
        <v>1</v>
      </c>
      <c r="T305" s="178">
        <v>1</v>
      </c>
      <c r="U305" s="978">
        <v>0</v>
      </c>
      <c r="V305" s="978">
        <v>0</v>
      </c>
      <c r="W305" s="179"/>
      <c r="X305" s="937" t="s">
        <v>653</v>
      </c>
      <c r="Y305" s="299">
        <f>IFERROR(VLOOKUP($X305,'Demand Lookups'!$A$5:$K$101,9,0), 0)</f>
        <v>0</v>
      </c>
      <c r="Z305" s="922" t="str">
        <f>IFERROR(VLOOKUP(X305,'Demand Lookups'!$A$5:$B$101,2,0),0)</f>
        <v>Non-Electric Measures</v>
      </c>
      <c r="AA305" s="722">
        <v>0</v>
      </c>
      <c r="AB305" s="722">
        <v>0</v>
      </c>
      <c r="AC305" s="722">
        <v>0</v>
      </c>
      <c r="AD305" s="723">
        <v>0</v>
      </c>
      <c r="AE305" s="837">
        <f t="shared" si="128"/>
        <v>0</v>
      </c>
      <c r="AF305" s="723">
        <v>0</v>
      </c>
      <c r="AG305" s="723">
        <v>0</v>
      </c>
      <c r="AH305" s="648">
        <v>0</v>
      </c>
      <c r="AI305" s="648">
        <v>0</v>
      </c>
      <c r="AJ305" s="167" t="s">
        <v>87</v>
      </c>
      <c r="AK305" s="168">
        <v>900</v>
      </c>
      <c r="AL305" s="167"/>
      <c r="AM305" s="168"/>
      <c r="AN305" s="167"/>
      <c r="AO305" s="168"/>
      <c r="AP305" s="167"/>
      <c r="AQ305" s="171"/>
      <c r="AR305" s="171"/>
      <c r="AS305" s="299">
        <f>SUMIF('NEI Lookups'!$L:$L,'Inputs Yr 2'!$F305,'NEI Lookups'!E:E)+SUMIF('NEI Lookups'!$M:$M,'Inputs Yr 2'!$F305,'NEI Lookups'!E:E)+SUMIF('NEI Lookups'!$N:$N,'Inputs Yr 2'!$F305,'NEI Lookups'!E:E)+SUMIF('NEI Lookups'!$O:$O,'Inputs Yr 2'!$F305,'NEI Lookups'!E:E)+SUMIF('NEI Lookups'!$P:$P,'Inputs Yr 2'!$F305,'NEI Lookups'!E:E)+SUMIF('NEI Lookups'!$Q:$Q,'Inputs Yr 2'!$F305,'NEI Lookups'!E:E)+SUMIF('NEI Lookups'!$R:$R,'Inputs Yr 2'!$F305,'NEI Lookups'!E:E)+SUMIF('NEI Lookups'!$S:$S,'Inputs Yr 2'!$F305,'NEI Lookups'!E:E)+SUMIF('NEI Lookups'!$T:$T,'Inputs Yr 2'!$F305,'NEI Lookups'!E:E)</f>
        <v>0</v>
      </c>
      <c r="AT305" s="299">
        <f>SUMIF('NEI Lookups'!$L:$L,'Inputs Yr 2'!$F305,'NEI Lookups'!F:F)+SUMIF('NEI Lookups'!$M:$M,'Inputs Yr 2'!$F305,'NEI Lookups'!F:F)+SUMIF('NEI Lookups'!$N:$N,'Inputs Yr 2'!$F305,'NEI Lookups'!F:F)+SUMIF('NEI Lookups'!$O:$O,'Inputs Yr 2'!$F305,'NEI Lookups'!F:F)+SUMIF('NEI Lookups'!$P:$P,'Inputs Yr 2'!$F305,'NEI Lookups'!F:F)+SUMIF('NEI Lookups'!$Q:$Q,'Inputs Yr 2'!$F305,'NEI Lookups'!F:F)+SUMIF('NEI Lookups'!$R:$R,'Inputs Yr 2'!$F305,'NEI Lookups'!F:F)+SUMIF('NEI Lookups'!$S:$S,'Inputs Yr 2'!$F305,'NEI Lookups'!F:F)+SUMIF('NEI Lookups'!$T:$T,'Inputs Yr 2'!$F305,'NEI Lookups'!F:F)</f>
        <v>0</v>
      </c>
      <c r="AU305" s="299">
        <f>SUMIF('NEI Lookups'!$L:$L,'Inputs Yr 2'!$F305,'NEI Lookups'!G:G)+SUMIF('NEI Lookups'!$M:$M,'Inputs Yr 2'!$F305,'NEI Lookups'!G:G)+SUMIF('NEI Lookups'!$N:$N,'Inputs Yr 2'!$F305,'NEI Lookups'!G:G)+SUMIF('NEI Lookups'!$O:$O,'Inputs Yr 2'!$F305,'NEI Lookups'!G:G)+SUMIF('NEI Lookups'!$P:$P,'Inputs Yr 2'!$F305,'NEI Lookups'!G:G)+SUMIF('NEI Lookups'!$Q:$Q,'Inputs Yr 2'!$F305,'NEI Lookups'!G:G)+SUMIF('NEI Lookups'!$R:$R,'Inputs Yr 2'!$F305,'NEI Lookups'!G:G)+SUMIF('NEI Lookups'!$S:$S,'Inputs Yr 2'!$F305,'NEI Lookups'!G:G)+SUMIF('NEI Lookups'!$T:$T,'Inputs Yr 2'!$F305,'NEI Lookups'!G:G)</f>
        <v>0</v>
      </c>
      <c r="AV305" s="299">
        <f>SUMIF('NEI Lookups'!$L:$L,'Inputs Yr 2'!$F305,'NEI Lookups'!H:H)+SUMIF('NEI Lookups'!$M:$M,'Inputs Yr 2'!$F305,'NEI Lookups'!H:H)+SUMIF('NEI Lookups'!$N:$N,'Inputs Yr 2'!$F305,'NEI Lookups'!H:H)+SUMIF('NEI Lookups'!$O:$O,'Inputs Yr 2'!$F305,'NEI Lookups'!H:H)+SUMIF('NEI Lookups'!$P:$P,'Inputs Yr 2'!$F305,'NEI Lookups'!H:H)+SUMIF('NEI Lookups'!$Q:$Q,'Inputs Yr 2'!$F305,'NEI Lookups'!H:H)+SUMIF('NEI Lookups'!$R:$R,'Inputs Yr 2'!$F305,'NEI Lookups'!H:H)+SUMIF('NEI Lookups'!$S:$S,'Inputs Yr 2'!$F305,'NEI Lookups'!H:H)+SUMIF('NEI Lookups'!$T:$T,'Inputs Yr 2'!$F305,'NEI Lookups'!H:H)</f>
        <v>0</v>
      </c>
      <c r="AW305" s="299">
        <f>SUMIF('NEI Lookups'!$L:$L,'Inputs Yr 2'!$F305,'NEI Lookups'!I:I)+SUMIF('NEI Lookups'!$M:$M,'Inputs Yr 2'!$F305,'NEI Lookups'!I:I)+SUMIF('NEI Lookups'!$N:$N,'Inputs Yr 2'!$F305,'NEI Lookups'!I:I)+SUMIF('NEI Lookups'!$O:$O,'Inputs Yr 2'!$F305,'NEI Lookups'!I:I)+SUMIF('NEI Lookups'!$P:$P,'Inputs Yr 2'!$F305,'NEI Lookups'!I:I)+SUMIF('NEI Lookups'!$Q:$Q,'Inputs Yr 2'!$F305,'NEI Lookups'!I:I)+SUMIF('NEI Lookups'!$R:$R,'Inputs Yr 2'!$F305,'NEI Lookups'!I:I)+SUMIF('NEI Lookups'!$S:$S,'Inputs Yr 2'!$F305,'NEI Lookups'!I:I)+SUMIF('NEI Lookups'!$T:$T,'Inputs Yr 2'!$F305,'NEI Lookups'!I:I)</f>
        <v>0</v>
      </c>
      <c r="AX305" s="299">
        <f>SUMIF('NEI Lookups'!$L:$L,'Inputs Yr 2'!$F305,'NEI Lookups'!J:J)+SUMIF('NEI Lookups'!$M:$M,'Inputs Yr 2'!$F305,'NEI Lookups'!J:J)+SUMIF('NEI Lookups'!$N:$N,'Inputs Yr 2'!$F305,'NEI Lookups'!J:J)+SUMIF('NEI Lookups'!$O:$O,'Inputs Yr 2'!$F305,'NEI Lookups'!J:J)+SUMIF('NEI Lookups'!$P:$P,'Inputs Yr 2'!$F305,'NEI Lookups'!J:J)+SUMIF('NEI Lookups'!$Q:$Q,'Inputs Yr 2'!$F305,'NEI Lookups'!J:J)+SUMIF('NEI Lookups'!$R:$R,'Inputs Yr 2'!$F305,'NEI Lookups'!J:J)+SUMIF('NEI Lookups'!$S:$S,'Inputs Yr 2'!$F305,'NEI Lookups'!J:J)+SUMIF('NEI Lookups'!$T:$T,'Inputs Yr 2'!$F305,'NEI Lookups'!J:J)</f>
        <v>0</v>
      </c>
      <c r="AY305" s="930" t="e">
        <f>'Calculations Yr 2'!CP305/'Calculations Yr 2'!I305</f>
        <v>#VALUE!</v>
      </c>
    </row>
    <row r="306" spans="1:51" s="133" customFormat="1" ht="12.75" customHeight="1">
      <c r="A306" s="145" t="s">
        <v>83</v>
      </c>
      <c r="B306" s="132" t="s">
        <v>870</v>
      </c>
      <c r="C306" s="132" t="s">
        <v>659</v>
      </c>
      <c r="D306" s="902"/>
      <c r="E306" s="656" t="s">
        <v>1377</v>
      </c>
      <c r="F306" s="150" t="s">
        <v>1164</v>
      </c>
      <c r="G306" s="145" t="s">
        <v>1244</v>
      </c>
      <c r="H306" s="165">
        <v>1</v>
      </c>
      <c r="I306" s="234">
        <v>15</v>
      </c>
      <c r="J306" s="964">
        <v>6440</v>
      </c>
      <c r="K306" s="871">
        <v>4830</v>
      </c>
      <c r="L306" s="888">
        <f t="shared" si="107"/>
        <v>1610</v>
      </c>
      <c r="M306" s="980">
        <v>0.11</v>
      </c>
      <c r="N306" s="980">
        <v>2.5999999999999999E-2</v>
      </c>
      <c r="O306" s="980">
        <v>3.0000000000000001E-3</v>
      </c>
      <c r="P306" s="889">
        <v>0.91900000000000004</v>
      </c>
      <c r="Q306" s="978">
        <v>1</v>
      </c>
      <c r="R306" s="178">
        <v>1</v>
      </c>
      <c r="S306" s="178">
        <v>1</v>
      </c>
      <c r="T306" s="178">
        <v>1</v>
      </c>
      <c r="U306" s="978">
        <v>0.77900000000000003</v>
      </c>
      <c r="V306" s="978">
        <v>1</v>
      </c>
      <c r="W306" s="179"/>
      <c r="X306" s="937" t="s">
        <v>653</v>
      </c>
      <c r="Y306" s="299">
        <f>IFERROR(VLOOKUP($X306,'Demand Lookups'!$A$5:$K$101,9,0), 0)</f>
        <v>0</v>
      </c>
      <c r="Z306" s="922" t="str">
        <f>IFERROR(VLOOKUP(X306,'Demand Lookups'!$A$5:$B$101,2,0),0)</f>
        <v>Non-Electric Measures</v>
      </c>
      <c r="AA306" s="722">
        <v>0</v>
      </c>
      <c r="AB306" s="722">
        <v>0</v>
      </c>
      <c r="AC306" s="722">
        <v>0</v>
      </c>
      <c r="AD306" s="723">
        <v>0</v>
      </c>
      <c r="AE306" s="837">
        <f t="shared" si="128"/>
        <v>0</v>
      </c>
      <c r="AF306" s="723">
        <v>0</v>
      </c>
      <c r="AG306" s="723">
        <v>0</v>
      </c>
      <c r="AH306" s="648">
        <v>0</v>
      </c>
      <c r="AI306" s="648">
        <v>0</v>
      </c>
      <c r="AJ306" s="167" t="s">
        <v>200</v>
      </c>
      <c r="AK306" s="168">
        <v>630.70000000000005</v>
      </c>
      <c r="AL306" s="167"/>
      <c r="AM306" s="168"/>
      <c r="AN306" s="167"/>
      <c r="AO306" s="168"/>
      <c r="AP306" s="167"/>
      <c r="AQ306" s="171"/>
      <c r="AR306" s="171"/>
      <c r="AS306" s="299">
        <f>SUMIF('NEI Lookups'!$L:$L,'Inputs Yr 2'!$F306,'NEI Lookups'!E:E)+SUMIF('NEI Lookups'!$M:$M,'Inputs Yr 2'!$F306,'NEI Lookups'!E:E)+SUMIF('NEI Lookups'!$N:$N,'Inputs Yr 2'!$F306,'NEI Lookups'!E:E)+SUMIF('NEI Lookups'!$O:$O,'Inputs Yr 2'!$F306,'NEI Lookups'!E:E)+SUMIF('NEI Lookups'!$P:$P,'Inputs Yr 2'!$F306,'NEI Lookups'!E:E)+SUMIF('NEI Lookups'!$Q:$Q,'Inputs Yr 2'!$F306,'NEI Lookups'!E:E)+SUMIF('NEI Lookups'!$R:$R,'Inputs Yr 2'!$F306,'NEI Lookups'!E:E)+SUMIF('NEI Lookups'!$S:$S,'Inputs Yr 2'!$F306,'NEI Lookups'!E:E)+SUMIF('NEI Lookups'!$T:$T,'Inputs Yr 2'!$F306,'NEI Lookups'!E:E)</f>
        <v>0</v>
      </c>
      <c r="AT306" s="299">
        <f>SUMIF('NEI Lookups'!$L:$L,'Inputs Yr 2'!$F306,'NEI Lookups'!F:F)+SUMIF('NEI Lookups'!$M:$M,'Inputs Yr 2'!$F306,'NEI Lookups'!F:F)+SUMIF('NEI Lookups'!$N:$N,'Inputs Yr 2'!$F306,'NEI Lookups'!F:F)+SUMIF('NEI Lookups'!$O:$O,'Inputs Yr 2'!$F306,'NEI Lookups'!F:F)+SUMIF('NEI Lookups'!$P:$P,'Inputs Yr 2'!$F306,'NEI Lookups'!F:F)+SUMIF('NEI Lookups'!$Q:$Q,'Inputs Yr 2'!$F306,'NEI Lookups'!F:F)+SUMIF('NEI Lookups'!$R:$R,'Inputs Yr 2'!$F306,'NEI Lookups'!F:F)+SUMIF('NEI Lookups'!$S:$S,'Inputs Yr 2'!$F306,'NEI Lookups'!F:F)+SUMIF('NEI Lookups'!$T:$T,'Inputs Yr 2'!$F306,'NEI Lookups'!F:F)</f>
        <v>0</v>
      </c>
      <c r="AU306" s="299">
        <f>SUMIF('NEI Lookups'!$L:$L,'Inputs Yr 2'!$F306,'NEI Lookups'!G:G)+SUMIF('NEI Lookups'!$M:$M,'Inputs Yr 2'!$F306,'NEI Lookups'!G:G)+SUMIF('NEI Lookups'!$N:$N,'Inputs Yr 2'!$F306,'NEI Lookups'!G:G)+SUMIF('NEI Lookups'!$O:$O,'Inputs Yr 2'!$F306,'NEI Lookups'!G:G)+SUMIF('NEI Lookups'!$P:$P,'Inputs Yr 2'!$F306,'NEI Lookups'!G:G)+SUMIF('NEI Lookups'!$Q:$Q,'Inputs Yr 2'!$F306,'NEI Lookups'!G:G)+SUMIF('NEI Lookups'!$R:$R,'Inputs Yr 2'!$F306,'NEI Lookups'!G:G)+SUMIF('NEI Lookups'!$S:$S,'Inputs Yr 2'!$F306,'NEI Lookups'!G:G)+SUMIF('NEI Lookups'!$T:$T,'Inputs Yr 2'!$F306,'NEI Lookups'!G:G)</f>
        <v>0</v>
      </c>
      <c r="AV306" s="299">
        <f>SUMIF('NEI Lookups'!$L:$L,'Inputs Yr 2'!$F306,'NEI Lookups'!H:H)+SUMIF('NEI Lookups'!$M:$M,'Inputs Yr 2'!$F306,'NEI Lookups'!H:H)+SUMIF('NEI Lookups'!$N:$N,'Inputs Yr 2'!$F306,'NEI Lookups'!H:H)+SUMIF('NEI Lookups'!$O:$O,'Inputs Yr 2'!$F306,'NEI Lookups'!H:H)+SUMIF('NEI Lookups'!$P:$P,'Inputs Yr 2'!$F306,'NEI Lookups'!H:H)+SUMIF('NEI Lookups'!$Q:$Q,'Inputs Yr 2'!$F306,'NEI Lookups'!H:H)+SUMIF('NEI Lookups'!$R:$R,'Inputs Yr 2'!$F306,'NEI Lookups'!H:H)+SUMIF('NEI Lookups'!$S:$S,'Inputs Yr 2'!$F306,'NEI Lookups'!H:H)+SUMIF('NEI Lookups'!$T:$T,'Inputs Yr 2'!$F306,'NEI Lookups'!H:H)</f>
        <v>0</v>
      </c>
      <c r="AW306" s="299">
        <f>SUMIF('NEI Lookups'!$L:$L,'Inputs Yr 2'!$F306,'NEI Lookups'!I:I)+SUMIF('NEI Lookups'!$M:$M,'Inputs Yr 2'!$F306,'NEI Lookups'!I:I)+SUMIF('NEI Lookups'!$N:$N,'Inputs Yr 2'!$F306,'NEI Lookups'!I:I)+SUMIF('NEI Lookups'!$O:$O,'Inputs Yr 2'!$F306,'NEI Lookups'!I:I)+SUMIF('NEI Lookups'!$P:$P,'Inputs Yr 2'!$F306,'NEI Lookups'!I:I)+SUMIF('NEI Lookups'!$Q:$Q,'Inputs Yr 2'!$F306,'NEI Lookups'!I:I)+SUMIF('NEI Lookups'!$R:$R,'Inputs Yr 2'!$F306,'NEI Lookups'!I:I)+SUMIF('NEI Lookups'!$S:$S,'Inputs Yr 2'!$F306,'NEI Lookups'!I:I)+SUMIF('NEI Lookups'!$T:$T,'Inputs Yr 2'!$F306,'NEI Lookups'!I:I)</f>
        <v>0</v>
      </c>
      <c r="AX306" s="299">
        <f>SUMIF('NEI Lookups'!$L:$L,'Inputs Yr 2'!$F306,'NEI Lookups'!J:J)+SUMIF('NEI Lookups'!$M:$M,'Inputs Yr 2'!$F306,'NEI Lookups'!J:J)+SUMIF('NEI Lookups'!$N:$N,'Inputs Yr 2'!$F306,'NEI Lookups'!J:J)+SUMIF('NEI Lookups'!$O:$O,'Inputs Yr 2'!$F306,'NEI Lookups'!J:J)+SUMIF('NEI Lookups'!$P:$P,'Inputs Yr 2'!$F306,'NEI Lookups'!J:J)+SUMIF('NEI Lookups'!$Q:$Q,'Inputs Yr 2'!$F306,'NEI Lookups'!J:J)+SUMIF('NEI Lookups'!$R:$R,'Inputs Yr 2'!$F306,'NEI Lookups'!J:J)+SUMIF('NEI Lookups'!$S:$S,'Inputs Yr 2'!$F306,'NEI Lookups'!J:J)+SUMIF('NEI Lookups'!$T:$T,'Inputs Yr 2'!$F306,'NEI Lookups'!J:J)</f>
        <v>0</v>
      </c>
      <c r="AY306" s="930">
        <f>'Calculations Yr 2'!CP306/'Calculations Yr 2'!I306</f>
        <v>9.3928071181321791</v>
      </c>
    </row>
    <row r="307" spans="1:51" s="133" customFormat="1" ht="12.75" customHeight="1">
      <c r="A307" s="145" t="s">
        <v>83</v>
      </c>
      <c r="B307" s="132" t="s">
        <v>870</v>
      </c>
      <c r="C307" s="132" t="s">
        <v>659</v>
      </c>
      <c r="D307" s="902"/>
      <c r="E307" s="656" t="s">
        <v>608</v>
      </c>
      <c r="F307" s="150" t="s">
        <v>1165</v>
      </c>
      <c r="G307" s="145" t="s">
        <v>1244</v>
      </c>
      <c r="H307" s="165"/>
      <c r="I307" s="234"/>
      <c r="J307" s="964"/>
      <c r="K307" s="871"/>
      <c r="L307" s="888">
        <f t="shared" si="107"/>
        <v>0</v>
      </c>
      <c r="M307" s="980">
        <v>0.30099999999999999</v>
      </c>
      <c r="N307" s="980">
        <v>0.14699999999999999</v>
      </c>
      <c r="O307" s="980">
        <v>0</v>
      </c>
      <c r="P307" s="889">
        <v>0.84600000000000009</v>
      </c>
      <c r="Q307" s="978">
        <v>1</v>
      </c>
      <c r="R307" s="178">
        <v>1</v>
      </c>
      <c r="S307" s="178">
        <v>1</v>
      </c>
      <c r="T307" s="178">
        <v>1</v>
      </c>
      <c r="U307" s="978">
        <v>0</v>
      </c>
      <c r="V307" s="978">
        <v>0</v>
      </c>
      <c r="W307" s="179"/>
      <c r="X307" s="937" t="s">
        <v>653</v>
      </c>
      <c r="Y307" s="299">
        <f>IFERROR(VLOOKUP($X307,'Demand Lookups'!$A$5:$K$101,9,0), 0)</f>
        <v>0</v>
      </c>
      <c r="Z307" s="922" t="str">
        <f>IFERROR(VLOOKUP(X307,'Demand Lookups'!$A$5:$B$101,2,0),0)</f>
        <v>Non-Electric Measures</v>
      </c>
      <c r="AA307" s="722">
        <v>0</v>
      </c>
      <c r="AB307" s="722">
        <v>0</v>
      </c>
      <c r="AC307" s="722">
        <v>0</v>
      </c>
      <c r="AD307" s="723">
        <v>0</v>
      </c>
      <c r="AE307" s="837">
        <f t="shared" si="128"/>
        <v>0</v>
      </c>
      <c r="AF307" s="723">
        <v>0</v>
      </c>
      <c r="AG307" s="723">
        <v>0</v>
      </c>
      <c r="AH307" s="648">
        <v>0</v>
      </c>
      <c r="AI307" s="648">
        <v>0</v>
      </c>
      <c r="AJ307" s="167"/>
      <c r="AK307" s="168"/>
      <c r="AL307" s="167"/>
      <c r="AM307" s="168"/>
      <c r="AN307" s="167"/>
      <c r="AO307" s="168"/>
      <c r="AP307" s="167"/>
      <c r="AQ307" s="171"/>
      <c r="AR307" s="171"/>
      <c r="AS307" s="299">
        <f>SUMIF('NEI Lookups'!$L:$L,'Inputs Yr 2'!$F307,'NEI Lookups'!E:E)+SUMIF('NEI Lookups'!$M:$M,'Inputs Yr 2'!$F307,'NEI Lookups'!E:E)+SUMIF('NEI Lookups'!$N:$N,'Inputs Yr 2'!$F307,'NEI Lookups'!E:E)+SUMIF('NEI Lookups'!$O:$O,'Inputs Yr 2'!$F307,'NEI Lookups'!E:E)+SUMIF('NEI Lookups'!$P:$P,'Inputs Yr 2'!$F307,'NEI Lookups'!E:E)+SUMIF('NEI Lookups'!$Q:$Q,'Inputs Yr 2'!$F307,'NEI Lookups'!E:E)+SUMIF('NEI Lookups'!$R:$R,'Inputs Yr 2'!$F307,'NEI Lookups'!E:E)+SUMIF('NEI Lookups'!$S:$S,'Inputs Yr 2'!$F307,'NEI Lookups'!E:E)+SUMIF('NEI Lookups'!$T:$T,'Inputs Yr 2'!$F307,'NEI Lookups'!E:E)</f>
        <v>0</v>
      </c>
      <c r="AT307" s="299">
        <f>SUMIF('NEI Lookups'!$L:$L,'Inputs Yr 2'!$F307,'NEI Lookups'!F:F)+SUMIF('NEI Lookups'!$M:$M,'Inputs Yr 2'!$F307,'NEI Lookups'!F:F)+SUMIF('NEI Lookups'!$N:$N,'Inputs Yr 2'!$F307,'NEI Lookups'!F:F)+SUMIF('NEI Lookups'!$O:$O,'Inputs Yr 2'!$F307,'NEI Lookups'!F:F)+SUMIF('NEI Lookups'!$P:$P,'Inputs Yr 2'!$F307,'NEI Lookups'!F:F)+SUMIF('NEI Lookups'!$Q:$Q,'Inputs Yr 2'!$F307,'NEI Lookups'!F:F)+SUMIF('NEI Lookups'!$R:$R,'Inputs Yr 2'!$F307,'NEI Lookups'!F:F)+SUMIF('NEI Lookups'!$S:$S,'Inputs Yr 2'!$F307,'NEI Lookups'!F:F)+SUMIF('NEI Lookups'!$T:$T,'Inputs Yr 2'!$F307,'NEI Lookups'!F:F)</f>
        <v>0</v>
      </c>
      <c r="AU307" s="299">
        <f>SUMIF('NEI Lookups'!$L:$L,'Inputs Yr 2'!$F307,'NEI Lookups'!G:G)+SUMIF('NEI Lookups'!$M:$M,'Inputs Yr 2'!$F307,'NEI Lookups'!G:G)+SUMIF('NEI Lookups'!$N:$N,'Inputs Yr 2'!$F307,'NEI Lookups'!G:G)+SUMIF('NEI Lookups'!$O:$O,'Inputs Yr 2'!$F307,'NEI Lookups'!G:G)+SUMIF('NEI Lookups'!$P:$P,'Inputs Yr 2'!$F307,'NEI Lookups'!G:G)+SUMIF('NEI Lookups'!$Q:$Q,'Inputs Yr 2'!$F307,'NEI Lookups'!G:G)+SUMIF('NEI Lookups'!$R:$R,'Inputs Yr 2'!$F307,'NEI Lookups'!G:G)+SUMIF('NEI Lookups'!$S:$S,'Inputs Yr 2'!$F307,'NEI Lookups'!G:G)+SUMIF('NEI Lookups'!$T:$T,'Inputs Yr 2'!$F307,'NEI Lookups'!G:G)</f>
        <v>0</v>
      </c>
      <c r="AV307" s="299">
        <f>SUMIF('NEI Lookups'!$L:$L,'Inputs Yr 2'!$F307,'NEI Lookups'!H:H)+SUMIF('NEI Lookups'!$M:$M,'Inputs Yr 2'!$F307,'NEI Lookups'!H:H)+SUMIF('NEI Lookups'!$N:$N,'Inputs Yr 2'!$F307,'NEI Lookups'!H:H)+SUMIF('NEI Lookups'!$O:$O,'Inputs Yr 2'!$F307,'NEI Lookups'!H:H)+SUMIF('NEI Lookups'!$P:$P,'Inputs Yr 2'!$F307,'NEI Lookups'!H:H)+SUMIF('NEI Lookups'!$Q:$Q,'Inputs Yr 2'!$F307,'NEI Lookups'!H:H)+SUMIF('NEI Lookups'!$R:$R,'Inputs Yr 2'!$F307,'NEI Lookups'!H:H)+SUMIF('NEI Lookups'!$S:$S,'Inputs Yr 2'!$F307,'NEI Lookups'!H:H)+SUMIF('NEI Lookups'!$T:$T,'Inputs Yr 2'!$F307,'NEI Lookups'!H:H)</f>
        <v>0</v>
      </c>
      <c r="AW307" s="299">
        <f>SUMIF('NEI Lookups'!$L:$L,'Inputs Yr 2'!$F307,'NEI Lookups'!I:I)+SUMIF('NEI Lookups'!$M:$M,'Inputs Yr 2'!$F307,'NEI Lookups'!I:I)+SUMIF('NEI Lookups'!$N:$N,'Inputs Yr 2'!$F307,'NEI Lookups'!I:I)+SUMIF('NEI Lookups'!$O:$O,'Inputs Yr 2'!$F307,'NEI Lookups'!I:I)+SUMIF('NEI Lookups'!$P:$P,'Inputs Yr 2'!$F307,'NEI Lookups'!I:I)+SUMIF('NEI Lookups'!$Q:$Q,'Inputs Yr 2'!$F307,'NEI Lookups'!I:I)+SUMIF('NEI Lookups'!$R:$R,'Inputs Yr 2'!$F307,'NEI Lookups'!I:I)+SUMIF('NEI Lookups'!$S:$S,'Inputs Yr 2'!$F307,'NEI Lookups'!I:I)+SUMIF('NEI Lookups'!$T:$T,'Inputs Yr 2'!$F307,'NEI Lookups'!I:I)</f>
        <v>0</v>
      </c>
      <c r="AX307" s="299">
        <f>SUMIF('NEI Lookups'!$L:$L,'Inputs Yr 2'!$F307,'NEI Lookups'!J:J)+SUMIF('NEI Lookups'!$M:$M,'Inputs Yr 2'!$F307,'NEI Lookups'!J:J)+SUMIF('NEI Lookups'!$N:$N,'Inputs Yr 2'!$F307,'NEI Lookups'!J:J)+SUMIF('NEI Lookups'!$O:$O,'Inputs Yr 2'!$F307,'NEI Lookups'!J:J)+SUMIF('NEI Lookups'!$P:$P,'Inputs Yr 2'!$F307,'NEI Lookups'!J:J)+SUMIF('NEI Lookups'!$Q:$Q,'Inputs Yr 2'!$F307,'NEI Lookups'!J:J)+SUMIF('NEI Lookups'!$R:$R,'Inputs Yr 2'!$F307,'NEI Lookups'!J:J)+SUMIF('NEI Lookups'!$S:$S,'Inputs Yr 2'!$F307,'NEI Lookups'!J:J)+SUMIF('NEI Lookups'!$T:$T,'Inputs Yr 2'!$F307,'NEI Lookups'!J:J)</f>
        <v>0</v>
      </c>
      <c r="AY307" s="930" t="e">
        <f>'Calculations Yr 2'!CP307/'Calculations Yr 2'!I307</f>
        <v>#VALUE!</v>
      </c>
    </row>
    <row r="308" spans="1:51" s="133" customFormat="1" ht="12.75" customHeight="1">
      <c r="A308" s="145" t="s">
        <v>83</v>
      </c>
      <c r="B308" s="132" t="s">
        <v>870</v>
      </c>
      <c r="C308" s="132" t="s">
        <v>659</v>
      </c>
      <c r="D308" s="902"/>
      <c r="E308" s="656" t="s">
        <v>606</v>
      </c>
      <c r="F308" s="150" t="s">
        <v>1166</v>
      </c>
      <c r="G308" s="145" t="s">
        <v>86</v>
      </c>
      <c r="H308" s="165"/>
      <c r="I308" s="234"/>
      <c r="J308" s="964"/>
      <c r="K308" s="871"/>
      <c r="L308" s="888">
        <f t="shared" si="107"/>
        <v>0</v>
      </c>
      <c r="M308" s="980">
        <v>0.11</v>
      </c>
      <c r="N308" s="980">
        <v>2.5999999999999999E-2</v>
      </c>
      <c r="O308" s="980">
        <v>3.0000000000000001E-3</v>
      </c>
      <c r="P308" s="889">
        <v>0.91900000000000004</v>
      </c>
      <c r="Q308" s="978">
        <v>1</v>
      </c>
      <c r="R308" s="178">
        <v>1</v>
      </c>
      <c r="S308" s="178">
        <v>1</v>
      </c>
      <c r="T308" s="178">
        <v>1</v>
      </c>
      <c r="U308" s="978">
        <v>0</v>
      </c>
      <c r="V308" s="978">
        <v>0</v>
      </c>
      <c r="W308" s="179"/>
      <c r="X308" s="937" t="s">
        <v>653</v>
      </c>
      <c r="Y308" s="299">
        <f>IFERROR(VLOOKUP($X308,'Demand Lookups'!$A$5:$K$101,9,0), 0)</f>
        <v>0</v>
      </c>
      <c r="Z308" s="922" t="str">
        <f>IFERROR(VLOOKUP(X308,'Demand Lookups'!$A$5:$B$101,2,0),0)</f>
        <v>Non-Electric Measures</v>
      </c>
      <c r="AA308" s="722">
        <v>0</v>
      </c>
      <c r="AB308" s="722">
        <v>0</v>
      </c>
      <c r="AC308" s="722">
        <v>0</v>
      </c>
      <c r="AD308" s="723">
        <v>0</v>
      </c>
      <c r="AE308" s="837">
        <f t="shared" si="128"/>
        <v>0</v>
      </c>
      <c r="AF308" s="723">
        <v>0</v>
      </c>
      <c r="AG308" s="723">
        <v>0</v>
      </c>
      <c r="AH308" s="648">
        <v>0</v>
      </c>
      <c r="AI308" s="648">
        <v>0</v>
      </c>
      <c r="AJ308" s="167"/>
      <c r="AK308" s="168"/>
      <c r="AL308" s="167"/>
      <c r="AM308" s="168"/>
      <c r="AN308" s="167"/>
      <c r="AO308" s="168"/>
      <c r="AP308" s="167"/>
      <c r="AQ308" s="171"/>
      <c r="AR308" s="171"/>
      <c r="AS308" s="299">
        <f>SUMIF('NEI Lookups'!$L:$L,'Inputs Yr 2'!$F308,'NEI Lookups'!E:E)+SUMIF('NEI Lookups'!$M:$M,'Inputs Yr 2'!$F308,'NEI Lookups'!E:E)+SUMIF('NEI Lookups'!$N:$N,'Inputs Yr 2'!$F308,'NEI Lookups'!E:E)+SUMIF('NEI Lookups'!$O:$O,'Inputs Yr 2'!$F308,'NEI Lookups'!E:E)+SUMIF('NEI Lookups'!$P:$P,'Inputs Yr 2'!$F308,'NEI Lookups'!E:E)+SUMIF('NEI Lookups'!$Q:$Q,'Inputs Yr 2'!$F308,'NEI Lookups'!E:E)+SUMIF('NEI Lookups'!$R:$R,'Inputs Yr 2'!$F308,'NEI Lookups'!E:E)+SUMIF('NEI Lookups'!$S:$S,'Inputs Yr 2'!$F308,'NEI Lookups'!E:E)+SUMIF('NEI Lookups'!$T:$T,'Inputs Yr 2'!$F308,'NEI Lookups'!E:E)</f>
        <v>0</v>
      </c>
      <c r="AT308" s="299">
        <f>SUMIF('NEI Lookups'!$L:$L,'Inputs Yr 2'!$F308,'NEI Lookups'!F:F)+SUMIF('NEI Lookups'!$M:$M,'Inputs Yr 2'!$F308,'NEI Lookups'!F:F)+SUMIF('NEI Lookups'!$N:$N,'Inputs Yr 2'!$F308,'NEI Lookups'!F:F)+SUMIF('NEI Lookups'!$O:$O,'Inputs Yr 2'!$F308,'NEI Lookups'!F:F)+SUMIF('NEI Lookups'!$P:$P,'Inputs Yr 2'!$F308,'NEI Lookups'!F:F)+SUMIF('NEI Lookups'!$Q:$Q,'Inputs Yr 2'!$F308,'NEI Lookups'!F:F)+SUMIF('NEI Lookups'!$R:$R,'Inputs Yr 2'!$F308,'NEI Lookups'!F:F)+SUMIF('NEI Lookups'!$S:$S,'Inputs Yr 2'!$F308,'NEI Lookups'!F:F)+SUMIF('NEI Lookups'!$T:$T,'Inputs Yr 2'!$F308,'NEI Lookups'!F:F)</f>
        <v>0</v>
      </c>
      <c r="AU308" s="299">
        <f>SUMIF('NEI Lookups'!$L:$L,'Inputs Yr 2'!$F308,'NEI Lookups'!G:G)+SUMIF('NEI Lookups'!$M:$M,'Inputs Yr 2'!$F308,'NEI Lookups'!G:G)+SUMIF('NEI Lookups'!$N:$N,'Inputs Yr 2'!$F308,'NEI Lookups'!G:G)+SUMIF('NEI Lookups'!$O:$O,'Inputs Yr 2'!$F308,'NEI Lookups'!G:G)+SUMIF('NEI Lookups'!$P:$P,'Inputs Yr 2'!$F308,'NEI Lookups'!G:G)+SUMIF('NEI Lookups'!$Q:$Q,'Inputs Yr 2'!$F308,'NEI Lookups'!G:G)+SUMIF('NEI Lookups'!$R:$R,'Inputs Yr 2'!$F308,'NEI Lookups'!G:G)+SUMIF('NEI Lookups'!$S:$S,'Inputs Yr 2'!$F308,'NEI Lookups'!G:G)+SUMIF('NEI Lookups'!$T:$T,'Inputs Yr 2'!$F308,'NEI Lookups'!G:G)</f>
        <v>0</v>
      </c>
      <c r="AV308" s="299">
        <f>SUMIF('NEI Lookups'!$L:$L,'Inputs Yr 2'!$F308,'NEI Lookups'!H:H)+SUMIF('NEI Lookups'!$M:$M,'Inputs Yr 2'!$F308,'NEI Lookups'!H:H)+SUMIF('NEI Lookups'!$N:$N,'Inputs Yr 2'!$F308,'NEI Lookups'!H:H)+SUMIF('NEI Lookups'!$O:$O,'Inputs Yr 2'!$F308,'NEI Lookups'!H:H)+SUMIF('NEI Lookups'!$P:$P,'Inputs Yr 2'!$F308,'NEI Lookups'!H:H)+SUMIF('NEI Lookups'!$Q:$Q,'Inputs Yr 2'!$F308,'NEI Lookups'!H:H)+SUMIF('NEI Lookups'!$R:$R,'Inputs Yr 2'!$F308,'NEI Lookups'!H:H)+SUMIF('NEI Lookups'!$S:$S,'Inputs Yr 2'!$F308,'NEI Lookups'!H:H)+SUMIF('NEI Lookups'!$T:$T,'Inputs Yr 2'!$F308,'NEI Lookups'!H:H)</f>
        <v>0</v>
      </c>
      <c r="AW308" s="299">
        <f>SUMIF('NEI Lookups'!$L:$L,'Inputs Yr 2'!$F308,'NEI Lookups'!I:I)+SUMIF('NEI Lookups'!$M:$M,'Inputs Yr 2'!$F308,'NEI Lookups'!I:I)+SUMIF('NEI Lookups'!$N:$N,'Inputs Yr 2'!$F308,'NEI Lookups'!I:I)+SUMIF('NEI Lookups'!$O:$O,'Inputs Yr 2'!$F308,'NEI Lookups'!I:I)+SUMIF('NEI Lookups'!$P:$P,'Inputs Yr 2'!$F308,'NEI Lookups'!I:I)+SUMIF('NEI Lookups'!$Q:$Q,'Inputs Yr 2'!$F308,'NEI Lookups'!I:I)+SUMIF('NEI Lookups'!$R:$R,'Inputs Yr 2'!$F308,'NEI Lookups'!I:I)+SUMIF('NEI Lookups'!$S:$S,'Inputs Yr 2'!$F308,'NEI Lookups'!I:I)+SUMIF('NEI Lookups'!$T:$T,'Inputs Yr 2'!$F308,'NEI Lookups'!I:I)</f>
        <v>0</v>
      </c>
      <c r="AX308" s="299">
        <f>SUMIF('NEI Lookups'!$L:$L,'Inputs Yr 2'!$F308,'NEI Lookups'!J:J)+SUMIF('NEI Lookups'!$M:$M,'Inputs Yr 2'!$F308,'NEI Lookups'!J:J)+SUMIF('NEI Lookups'!$N:$N,'Inputs Yr 2'!$F308,'NEI Lookups'!J:J)+SUMIF('NEI Lookups'!$O:$O,'Inputs Yr 2'!$F308,'NEI Lookups'!J:J)+SUMIF('NEI Lookups'!$P:$P,'Inputs Yr 2'!$F308,'NEI Lookups'!J:J)+SUMIF('NEI Lookups'!$Q:$Q,'Inputs Yr 2'!$F308,'NEI Lookups'!J:J)+SUMIF('NEI Lookups'!$R:$R,'Inputs Yr 2'!$F308,'NEI Lookups'!J:J)+SUMIF('NEI Lookups'!$S:$S,'Inputs Yr 2'!$F308,'NEI Lookups'!J:J)+SUMIF('NEI Lookups'!$T:$T,'Inputs Yr 2'!$F308,'NEI Lookups'!J:J)</f>
        <v>0</v>
      </c>
      <c r="AY308" s="930" t="e">
        <f>'Calculations Yr 2'!CP308/'Calculations Yr 2'!I308</f>
        <v>#VALUE!</v>
      </c>
    </row>
    <row r="309" spans="1:51" s="133" customFormat="1" ht="12.75" customHeight="1">
      <c r="A309" s="145" t="s">
        <v>83</v>
      </c>
      <c r="B309" s="132" t="s">
        <v>870</v>
      </c>
      <c r="C309" s="132" t="s">
        <v>659</v>
      </c>
      <c r="D309" s="902" t="s">
        <v>1575</v>
      </c>
      <c r="E309" s="656" t="s">
        <v>1381</v>
      </c>
      <c r="F309" s="150" t="s">
        <v>1167</v>
      </c>
      <c r="G309" s="145" t="s">
        <v>89</v>
      </c>
      <c r="H309" s="165">
        <v>1</v>
      </c>
      <c r="I309" s="234">
        <v>6</v>
      </c>
      <c r="J309" s="964">
        <v>12226.666666666666</v>
      </c>
      <c r="K309" s="871">
        <v>9170</v>
      </c>
      <c r="L309" s="888">
        <f t="shared" si="107"/>
        <v>3056.6666666666661</v>
      </c>
      <c r="M309" s="980">
        <v>0.11</v>
      </c>
      <c r="N309" s="980">
        <v>2.5999999999999999E-2</v>
      </c>
      <c r="O309" s="980">
        <v>3.0000000000000001E-3</v>
      </c>
      <c r="P309" s="889">
        <v>0.91900000000000004</v>
      </c>
      <c r="Q309" s="978">
        <v>1</v>
      </c>
      <c r="R309" s="178">
        <v>1</v>
      </c>
      <c r="S309" s="178">
        <v>1</v>
      </c>
      <c r="T309" s="178">
        <v>1</v>
      </c>
      <c r="U309" s="978">
        <v>0.77900000000000003</v>
      </c>
      <c r="V309" s="978">
        <v>1</v>
      </c>
      <c r="W309" s="179"/>
      <c r="X309" s="937" t="s">
        <v>653</v>
      </c>
      <c r="Y309" s="299">
        <f>IFERROR(VLOOKUP($X309,'Demand Lookups'!$A$5:$K$101,9,0), 0)</f>
        <v>0</v>
      </c>
      <c r="Z309" s="922" t="str">
        <f>IFERROR(VLOOKUP(X309,'Demand Lookups'!$A$5:$B$101,2,0),0)</f>
        <v>Non-Electric Measures</v>
      </c>
      <c r="AA309" s="722">
        <v>0</v>
      </c>
      <c r="AB309" s="722">
        <v>0</v>
      </c>
      <c r="AC309" s="722">
        <v>0</v>
      </c>
      <c r="AD309" s="723">
        <v>0</v>
      </c>
      <c r="AE309" s="837">
        <f t="shared" si="128"/>
        <v>0</v>
      </c>
      <c r="AF309" s="723">
        <v>0</v>
      </c>
      <c r="AG309" s="723">
        <v>0</v>
      </c>
      <c r="AH309" s="648">
        <v>0</v>
      </c>
      <c r="AI309" s="648">
        <v>0</v>
      </c>
      <c r="AJ309" s="167" t="s">
        <v>87</v>
      </c>
      <c r="AK309" s="168">
        <v>341.7</v>
      </c>
      <c r="AL309" s="167"/>
      <c r="AM309" s="168"/>
      <c r="AN309" s="167"/>
      <c r="AO309" s="168"/>
      <c r="AP309" s="167"/>
      <c r="AQ309" s="171"/>
      <c r="AR309" s="171"/>
      <c r="AS309" s="299">
        <f>SUMIF('NEI Lookups'!$L:$L,'Inputs Yr 2'!$F309,'NEI Lookups'!E:E)+SUMIF('NEI Lookups'!$M:$M,'Inputs Yr 2'!$F309,'NEI Lookups'!E:E)+SUMIF('NEI Lookups'!$N:$N,'Inputs Yr 2'!$F309,'NEI Lookups'!E:E)+SUMIF('NEI Lookups'!$O:$O,'Inputs Yr 2'!$F309,'NEI Lookups'!E:E)+SUMIF('NEI Lookups'!$P:$P,'Inputs Yr 2'!$F309,'NEI Lookups'!E:E)+SUMIF('NEI Lookups'!$Q:$Q,'Inputs Yr 2'!$F309,'NEI Lookups'!E:E)+SUMIF('NEI Lookups'!$R:$R,'Inputs Yr 2'!$F309,'NEI Lookups'!E:E)+SUMIF('NEI Lookups'!$S:$S,'Inputs Yr 2'!$F309,'NEI Lookups'!E:E)+SUMIF('NEI Lookups'!$T:$T,'Inputs Yr 2'!$F309,'NEI Lookups'!E:E)</f>
        <v>0</v>
      </c>
      <c r="AT309" s="299">
        <f>SUMIF('NEI Lookups'!$L:$L,'Inputs Yr 2'!$F309,'NEI Lookups'!F:F)+SUMIF('NEI Lookups'!$M:$M,'Inputs Yr 2'!$F309,'NEI Lookups'!F:F)+SUMIF('NEI Lookups'!$N:$N,'Inputs Yr 2'!$F309,'NEI Lookups'!F:F)+SUMIF('NEI Lookups'!$O:$O,'Inputs Yr 2'!$F309,'NEI Lookups'!F:F)+SUMIF('NEI Lookups'!$P:$P,'Inputs Yr 2'!$F309,'NEI Lookups'!F:F)+SUMIF('NEI Lookups'!$Q:$Q,'Inputs Yr 2'!$F309,'NEI Lookups'!F:F)+SUMIF('NEI Lookups'!$R:$R,'Inputs Yr 2'!$F309,'NEI Lookups'!F:F)+SUMIF('NEI Lookups'!$S:$S,'Inputs Yr 2'!$F309,'NEI Lookups'!F:F)+SUMIF('NEI Lookups'!$T:$T,'Inputs Yr 2'!$F309,'NEI Lookups'!F:F)</f>
        <v>0</v>
      </c>
      <c r="AU309" s="299">
        <f>SUMIF('NEI Lookups'!$L:$L,'Inputs Yr 2'!$F309,'NEI Lookups'!G:G)+SUMIF('NEI Lookups'!$M:$M,'Inputs Yr 2'!$F309,'NEI Lookups'!G:G)+SUMIF('NEI Lookups'!$N:$N,'Inputs Yr 2'!$F309,'NEI Lookups'!G:G)+SUMIF('NEI Lookups'!$O:$O,'Inputs Yr 2'!$F309,'NEI Lookups'!G:G)+SUMIF('NEI Lookups'!$P:$P,'Inputs Yr 2'!$F309,'NEI Lookups'!G:G)+SUMIF('NEI Lookups'!$Q:$Q,'Inputs Yr 2'!$F309,'NEI Lookups'!G:G)+SUMIF('NEI Lookups'!$R:$R,'Inputs Yr 2'!$F309,'NEI Lookups'!G:G)+SUMIF('NEI Lookups'!$S:$S,'Inputs Yr 2'!$F309,'NEI Lookups'!G:G)+SUMIF('NEI Lookups'!$T:$T,'Inputs Yr 2'!$F309,'NEI Lookups'!G:G)</f>
        <v>0</v>
      </c>
      <c r="AV309" s="299">
        <f>SUMIF('NEI Lookups'!$L:$L,'Inputs Yr 2'!$F309,'NEI Lookups'!H:H)+SUMIF('NEI Lookups'!$M:$M,'Inputs Yr 2'!$F309,'NEI Lookups'!H:H)+SUMIF('NEI Lookups'!$N:$N,'Inputs Yr 2'!$F309,'NEI Lookups'!H:H)+SUMIF('NEI Lookups'!$O:$O,'Inputs Yr 2'!$F309,'NEI Lookups'!H:H)+SUMIF('NEI Lookups'!$P:$P,'Inputs Yr 2'!$F309,'NEI Lookups'!H:H)+SUMIF('NEI Lookups'!$Q:$Q,'Inputs Yr 2'!$F309,'NEI Lookups'!H:H)+SUMIF('NEI Lookups'!$R:$R,'Inputs Yr 2'!$F309,'NEI Lookups'!H:H)+SUMIF('NEI Lookups'!$S:$S,'Inputs Yr 2'!$F309,'NEI Lookups'!H:H)+SUMIF('NEI Lookups'!$T:$T,'Inputs Yr 2'!$F309,'NEI Lookups'!H:H)</f>
        <v>0</v>
      </c>
      <c r="AW309" s="299">
        <f>SUMIF('NEI Lookups'!$L:$L,'Inputs Yr 2'!$F309,'NEI Lookups'!I:I)+SUMIF('NEI Lookups'!$M:$M,'Inputs Yr 2'!$F309,'NEI Lookups'!I:I)+SUMIF('NEI Lookups'!$N:$N,'Inputs Yr 2'!$F309,'NEI Lookups'!I:I)+SUMIF('NEI Lookups'!$O:$O,'Inputs Yr 2'!$F309,'NEI Lookups'!I:I)+SUMIF('NEI Lookups'!$P:$P,'Inputs Yr 2'!$F309,'NEI Lookups'!I:I)+SUMIF('NEI Lookups'!$Q:$Q,'Inputs Yr 2'!$F309,'NEI Lookups'!I:I)+SUMIF('NEI Lookups'!$R:$R,'Inputs Yr 2'!$F309,'NEI Lookups'!I:I)+SUMIF('NEI Lookups'!$S:$S,'Inputs Yr 2'!$F309,'NEI Lookups'!I:I)+SUMIF('NEI Lookups'!$T:$T,'Inputs Yr 2'!$F309,'NEI Lookups'!I:I)</f>
        <v>0</v>
      </c>
      <c r="AX309" s="299">
        <f>SUMIF('NEI Lookups'!$L:$L,'Inputs Yr 2'!$F309,'NEI Lookups'!J:J)+SUMIF('NEI Lookups'!$M:$M,'Inputs Yr 2'!$F309,'NEI Lookups'!J:J)+SUMIF('NEI Lookups'!$N:$N,'Inputs Yr 2'!$F309,'NEI Lookups'!J:J)+SUMIF('NEI Lookups'!$O:$O,'Inputs Yr 2'!$F309,'NEI Lookups'!J:J)+SUMIF('NEI Lookups'!$P:$P,'Inputs Yr 2'!$F309,'NEI Lookups'!J:J)+SUMIF('NEI Lookups'!$Q:$Q,'Inputs Yr 2'!$F309,'NEI Lookups'!J:J)+SUMIF('NEI Lookups'!$R:$R,'Inputs Yr 2'!$F309,'NEI Lookups'!J:J)+SUMIF('NEI Lookups'!$S:$S,'Inputs Yr 2'!$F309,'NEI Lookups'!J:J)+SUMIF('NEI Lookups'!$T:$T,'Inputs Yr 2'!$F309,'NEI Lookups'!J:J)</f>
        <v>0</v>
      </c>
      <c r="AY309" s="930">
        <f>'Calculations Yr 2'!CP309/'Calculations Yr 2'!I309</f>
        <v>1.1533626864531152</v>
      </c>
    </row>
    <row r="310" spans="1:51" s="133" customFormat="1" ht="12.75" customHeight="1">
      <c r="A310" s="145" t="s">
        <v>83</v>
      </c>
      <c r="B310" s="132" t="s">
        <v>870</v>
      </c>
      <c r="C310" s="132" t="s">
        <v>659</v>
      </c>
      <c r="D310" s="902"/>
      <c r="E310" s="656" t="s">
        <v>795</v>
      </c>
      <c r="F310" s="150" t="s">
        <v>1168</v>
      </c>
      <c r="G310" s="145" t="s">
        <v>89</v>
      </c>
      <c r="H310" s="165"/>
      <c r="I310" s="234">
        <v>6</v>
      </c>
      <c r="J310" s="964"/>
      <c r="K310" s="871"/>
      <c r="L310" s="888">
        <f t="shared" si="107"/>
        <v>0</v>
      </c>
      <c r="M310" s="980">
        <v>0.30099999999999999</v>
      </c>
      <c r="N310" s="980">
        <v>0.14699999999999999</v>
      </c>
      <c r="O310" s="980">
        <v>0</v>
      </c>
      <c r="P310" s="889">
        <v>0.84600000000000009</v>
      </c>
      <c r="Q310" s="978">
        <v>1</v>
      </c>
      <c r="R310" s="178">
        <v>1</v>
      </c>
      <c r="S310" s="178">
        <v>1</v>
      </c>
      <c r="T310" s="178">
        <v>1</v>
      </c>
      <c r="U310" s="978">
        <v>0</v>
      </c>
      <c r="V310" s="978">
        <v>0</v>
      </c>
      <c r="W310" s="179"/>
      <c r="X310" s="937" t="s">
        <v>653</v>
      </c>
      <c r="Y310" s="299">
        <f>IFERROR(VLOOKUP($X310,'Demand Lookups'!$A$5:$K$101,9,0), 0)</f>
        <v>0</v>
      </c>
      <c r="Z310" s="922" t="str">
        <f>IFERROR(VLOOKUP(X310,'Demand Lookups'!$A$5:$B$101,2,0),0)</f>
        <v>Non-Electric Measures</v>
      </c>
      <c r="AA310" s="722">
        <v>0</v>
      </c>
      <c r="AB310" s="722">
        <v>0</v>
      </c>
      <c r="AC310" s="722">
        <v>0</v>
      </c>
      <c r="AD310" s="723">
        <v>0</v>
      </c>
      <c r="AE310" s="837">
        <f t="shared" si="128"/>
        <v>0</v>
      </c>
      <c r="AF310" s="723">
        <v>0</v>
      </c>
      <c r="AG310" s="723">
        <v>0</v>
      </c>
      <c r="AH310" s="648">
        <v>0</v>
      </c>
      <c r="AI310" s="648">
        <v>0</v>
      </c>
      <c r="AJ310" s="167"/>
      <c r="AK310" s="168">
        <v>12.2</v>
      </c>
      <c r="AL310" s="167"/>
      <c r="AM310" s="168"/>
      <c r="AN310" s="167"/>
      <c r="AO310" s="168"/>
      <c r="AP310" s="167"/>
      <c r="AQ310" s="171"/>
      <c r="AR310" s="171"/>
      <c r="AS310" s="299">
        <f>SUMIF('NEI Lookups'!$L:$L,'Inputs Yr 2'!$F310,'NEI Lookups'!E:E)+SUMIF('NEI Lookups'!$M:$M,'Inputs Yr 2'!$F310,'NEI Lookups'!E:E)+SUMIF('NEI Lookups'!$N:$N,'Inputs Yr 2'!$F310,'NEI Lookups'!E:E)+SUMIF('NEI Lookups'!$O:$O,'Inputs Yr 2'!$F310,'NEI Lookups'!E:E)+SUMIF('NEI Lookups'!$P:$P,'Inputs Yr 2'!$F310,'NEI Lookups'!E:E)+SUMIF('NEI Lookups'!$Q:$Q,'Inputs Yr 2'!$F310,'NEI Lookups'!E:E)+SUMIF('NEI Lookups'!$R:$R,'Inputs Yr 2'!$F310,'NEI Lookups'!E:E)+SUMIF('NEI Lookups'!$S:$S,'Inputs Yr 2'!$F310,'NEI Lookups'!E:E)+SUMIF('NEI Lookups'!$T:$T,'Inputs Yr 2'!$F310,'NEI Lookups'!E:E)</f>
        <v>0</v>
      </c>
      <c r="AT310" s="299">
        <f>SUMIF('NEI Lookups'!$L:$L,'Inputs Yr 2'!$F310,'NEI Lookups'!F:F)+SUMIF('NEI Lookups'!$M:$M,'Inputs Yr 2'!$F310,'NEI Lookups'!F:F)+SUMIF('NEI Lookups'!$N:$N,'Inputs Yr 2'!$F310,'NEI Lookups'!F:F)+SUMIF('NEI Lookups'!$O:$O,'Inputs Yr 2'!$F310,'NEI Lookups'!F:F)+SUMIF('NEI Lookups'!$P:$P,'Inputs Yr 2'!$F310,'NEI Lookups'!F:F)+SUMIF('NEI Lookups'!$Q:$Q,'Inputs Yr 2'!$F310,'NEI Lookups'!F:F)+SUMIF('NEI Lookups'!$R:$R,'Inputs Yr 2'!$F310,'NEI Lookups'!F:F)+SUMIF('NEI Lookups'!$S:$S,'Inputs Yr 2'!$F310,'NEI Lookups'!F:F)+SUMIF('NEI Lookups'!$T:$T,'Inputs Yr 2'!$F310,'NEI Lookups'!F:F)</f>
        <v>0</v>
      </c>
      <c r="AU310" s="299">
        <f>SUMIF('NEI Lookups'!$L:$L,'Inputs Yr 2'!$F310,'NEI Lookups'!G:G)+SUMIF('NEI Lookups'!$M:$M,'Inputs Yr 2'!$F310,'NEI Lookups'!G:G)+SUMIF('NEI Lookups'!$N:$N,'Inputs Yr 2'!$F310,'NEI Lookups'!G:G)+SUMIF('NEI Lookups'!$O:$O,'Inputs Yr 2'!$F310,'NEI Lookups'!G:G)+SUMIF('NEI Lookups'!$P:$P,'Inputs Yr 2'!$F310,'NEI Lookups'!G:G)+SUMIF('NEI Lookups'!$Q:$Q,'Inputs Yr 2'!$F310,'NEI Lookups'!G:G)+SUMIF('NEI Lookups'!$R:$R,'Inputs Yr 2'!$F310,'NEI Lookups'!G:G)+SUMIF('NEI Lookups'!$S:$S,'Inputs Yr 2'!$F310,'NEI Lookups'!G:G)+SUMIF('NEI Lookups'!$T:$T,'Inputs Yr 2'!$F310,'NEI Lookups'!G:G)</f>
        <v>0</v>
      </c>
      <c r="AV310" s="299">
        <f>SUMIF('NEI Lookups'!$L:$L,'Inputs Yr 2'!$F310,'NEI Lookups'!H:H)+SUMIF('NEI Lookups'!$M:$M,'Inputs Yr 2'!$F310,'NEI Lookups'!H:H)+SUMIF('NEI Lookups'!$N:$N,'Inputs Yr 2'!$F310,'NEI Lookups'!H:H)+SUMIF('NEI Lookups'!$O:$O,'Inputs Yr 2'!$F310,'NEI Lookups'!H:H)+SUMIF('NEI Lookups'!$P:$P,'Inputs Yr 2'!$F310,'NEI Lookups'!H:H)+SUMIF('NEI Lookups'!$Q:$Q,'Inputs Yr 2'!$F310,'NEI Lookups'!H:H)+SUMIF('NEI Lookups'!$R:$R,'Inputs Yr 2'!$F310,'NEI Lookups'!H:H)+SUMIF('NEI Lookups'!$S:$S,'Inputs Yr 2'!$F310,'NEI Lookups'!H:H)+SUMIF('NEI Lookups'!$T:$T,'Inputs Yr 2'!$F310,'NEI Lookups'!H:H)</f>
        <v>0</v>
      </c>
      <c r="AW310" s="299">
        <f>SUMIF('NEI Lookups'!$L:$L,'Inputs Yr 2'!$F310,'NEI Lookups'!I:I)+SUMIF('NEI Lookups'!$M:$M,'Inputs Yr 2'!$F310,'NEI Lookups'!I:I)+SUMIF('NEI Lookups'!$N:$N,'Inputs Yr 2'!$F310,'NEI Lookups'!I:I)+SUMIF('NEI Lookups'!$O:$O,'Inputs Yr 2'!$F310,'NEI Lookups'!I:I)+SUMIF('NEI Lookups'!$P:$P,'Inputs Yr 2'!$F310,'NEI Lookups'!I:I)+SUMIF('NEI Lookups'!$Q:$Q,'Inputs Yr 2'!$F310,'NEI Lookups'!I:I)+SUMIF('NEI Lookups'!$R:$R,'Inputs Yr 2'!$F310,'NEI Lookups'!I:I)+SUMIF('NEI Lookups'!$S:$S,'Inputs Yr 2'!$F310,'NEI Lookups'!I:I)+SUMIF('NEI Lookups'!$T:$T,'Inputs Yr 2'!$F310,'NEI Lookups'!I:I)</f>
        <v>0</v>
      </c>
      <c r="AX310" s="299">
        <f>SUMIF('NEI Lookups'!$L:$L,'Inputs Yr 2'!$F310,'NEI Lookups'!J:J)+SUMIF('NEI Lookups'!$M:$M,'Inputs Yr 2'!$F310,'NEI Lookups'!J:J)+SUMIF('NEI Lookups'!$N:$N,'Inputs Yr 2'!$F310,'NEI Lookups'!J:J)+SUMIF('NEI Lookups'!$O:$O,'Inputs Yr 2'!$F310,'NEI Lookups'!J:J)+SUMIF('NEI Lookups'!$P:$P,'Inputs Yr 2'!$F310,'NEI Lookups'!J:J)+SUMIF('NEI Lookups'!$Q:$Q,'Inputs Yr 2'!$F310,'NEI Lookups'!J:J)+SUMIF('NEI Lookups'!$R:$R,'Inputs Yr 2'!$F310,'NEI Lookups'!J:J)+SUMIF('NEI Lookups'!$S:$S,'Inputs Yr 2'!$F310,'NEI Lookups'!J:J)+SUMIF('NEI Lookups'!$T:$T,'Inputs Yr 2'!$F310,'NEI Lookups'!J:J)</f>
        <v>0</v>
      </c>
      <c r="AY310" s="930" t="e">
        <f>'Calculations Yr 2'!CP310/'Calculations Yr 2'!I310</f>
        <v>#VALUE!</v>
      </c>
    </row>
    <row r="311" spans="1:51" s="133" customFormat="1" ht="12.75" customHeight="1">
      <c r="A311" s="145" t="s">
        <v>83</v>
      </c>
      <c r="B311" s="132" t="s">
        <v>870</v>
      </c>
      <c r="C311" s="132" t="s">
        <v>659</v>
      </c>
      <c r="D311" s="902" t="s">
        <v>1575</v>
      </c>
      <c r="E311" s="150" t="s">
        <v>1309</v>
      </c>
      <c r="F311" s="150" t="s">
        <v>1169</v>
      </c>
      <c r="G311" s="145" t="s">
        <v>1247</v>
      </c>
      <c r="H311" s="232">
        <v>35</v>
      </c>
      <c r="I311" s="234">
        <v>15</v>
      </c>
      <c r="J311" s="964">
        <v>129.06</v>
      </c>
      <c r="K311" s="871">
        <v>129.06</v>
      </c>
      <c r="L311" s="888">
        <f t="shared" si="107"/>
        <v>0</v>
      </c>
      <c r="M311" s="980">
        <v>0.30099999999999999</v>
      </c>
      <c r="N311" s="980">
        <v>0.14700000000000002</v>
      </c>
      <c r="O311" s="980">
        <v>0</v>
      </c>
      <c r="P311" s="889">
        <f t="shared" si="123"/>
        <v>0.84600000000000009</v>
      </c>
      <c r="Q311" s="978">
        <v>1</v>
      </c>
      <c r="R311" s="178">
        <v>1</v>
      </c>
      <c r="S311" s="178">
        <v>1</v>
      </c>
      <c r="T311" s="178">
        <v>1</v>
      </c>
      <c r="U311" s="978">
        <v>1</v>
      </c>
      <c r="V311" s="978">
        <v>1</v>
      </c>
      <c r="W311" s="179"/>
      <c r="X311" s="937" t="s">
        <v>653</v>
      </c>
      <c r="Y311" s="299">
        <f>IFERROR(VLOOKUP($X311,'Demand Lookups'!$A$5:$K$101,9,0), 0)</f>
        <v>0</v>
      </c>
      <c r="Z311" s="922" t="str">
        <f>IFERROR(VLOOKUP(X311,'Demand Lookups'!$A$5:$B$101,2,0),0)</f>
        <v>Non-Electric Measures</v>
      </c>
      <c r="AA311" s="722">
        <f>IF(ISNA(VLOOKUP($X311,'Demand Lookups'!$A$5:$K$81,3,0)),0,VLOOKUP($X311,'Demand Lookups'!$A$5:$K$81,3,0))</f>
        <v>0</v>
      </c>
      <c r="AB311" s="722">
        <f>IF(ISNA(VLOOKUP($X311,'Demand Lookups'!$A$5:$K$81,4,0)),0,VLOOKUP($X311,'Demand Lookups'!$A$5:$K$81,4,0))</f>
        <v>0</v>
      </c>
      <c r="AC311" s="722">
        <f>IF(ISNA(VLOOKUP($X311,'Demand Lookups'!$A$5:$K$81,5,0)),0,VLOOKUP($X311,'Demand Lookups'!$A$5:$K$81,5,0))</f>
        <v>0</v>
      </c>
      <c r="AD311" s="723">
        <f>IF(ISNA(VLOOKUP($X311,'Demand Lookups'!$A$5:$K$81,6,0)),0,VLOOKUP($X311,'Demand Lookups'!$A$5:$K$81,6,0))</f>
        <v>0</v>
      </c>
      <c r="AE311" s="837">
        <f t="shared" si="128"/>
        <v>0</v>
      </c>
      <c r="AF311" s="723">
        <f>ROUND(IF(ISNA(VLOOKUP($X311,'Demand Lookups'!$A$5:$K$82,10,0)),0,(VLOOKUP($X311,'Demand Lookups'!$A$5:$K$82,10,0))),2)</f>
        <v>0</v>
      </c>
      <c r="AG311" s="723">
        <f>ROUND(IF(ISNA(VLOOKUP($X311,'Demand Lookups'!$A$5:$K$82,11,0)),0,VLOOKUP($X311,'Demand Lookups'!$A$5:$K$82,11,0)),2)</f>
        <v>0</v>
      </c>
      <c r="AH311" s="648">
        <f t="shared" si="125"/>
        <v>0</v>
      </c>
      <c r="AI311" s="648">
        <f t="shared" si="126"/>
        <v>0</v>
      </c>
      <c r="AJ311" s="167" t="s">
        <v>87</v>
      </c>
      <c r="AK311" s="866">
        <v>3.2</v>
      </c>
      <c r="AL311" s="167"/>
      <c r="AM311" s="168"/>
      <c r="AN311" s="167"/>
      <c r="AO311" s="168"/>
      <c r="AP311" s="167"/>
      <c r="AQ311" s="171">
        <v>0</v>
      </c>
      <c r="AR311" s="171">
        <v>0</v>
      </c>
      <c r="AS311" s="299">
        <f>SUMIF('NEI Lookups'!$L:$L,'Inputs Yr 2'!$F311,'NEI Lookups'!E:E)+SUMIF('NEI Lookups'!$M:$M,'Inputs Yr 2'!$F311,'NEI Lookups'!E:E)+SUMIF('NEI Lookups'!$N:$N,'Inputs Yr 2'!$F311,'NEI Lookups'!E:E)+SUMIF('NEI Lookups'!$O:$O,'Inputs Yr 2'!$F311,'NEI Lookups'!E:E)+SUMIF('NEI Lookups'!$P:$P,'Inputs Yr 2'!$F311,'NEI Lookups'!E:E)+SUMIF('NEI Lookups'!$Q:$Q,'Inputs Yr 2'!$F311,'NEI Lookups'!E:E)+SUMIF('NEI Lookups'!$R:$R,'Inputs Yr 2'!$F311,'NEI Lookups'!E:E)+SUMIF('NEI Lookups'!$S:$S,'Inputs Yr 2'!$F311,'NEI Lookups'!E:E)+SUMIF('NEI Lookups'!$T:$T,'Inputs Yr 2'!$F311,'NEI Lookups'!E:E)</f>
        <v>0</v>
      </c>
      <c r="AT311" s="299">
        <f>SUMIF('NEI Lookups'!$L:$L,'Inputs Yr 2'!$F311,'NEI Lookups'!F:F)+SUMIF('NEI Lookups'!$M:$M,'Inputs Yr 2'!$F311,'NEI Lookups'!F:F)+SUMIF('NEI Lookups'!$N:$N,'Inputs Yr 2'!$F311,'NEI Lookups'!F:F)+SUMIF('NEI Lookups'!$O:$O,'Inputs Yr 2'!$F311,'NEI Lookups'!F:F)+SUMIF('NEI Lookups'!$P:$P,'Inputs Yr 2'!$F311,'NEI Lookups'!F:F)+SUMIF('NEI Lookups'!$Q:$Q,'Inputs Yr 2'!$F311,'NEI Lookups'!F:F)+SUMIF('NEI Lookups'!$R:$R,'Inputs Yr 2'!$F311,'NEI Lookups'!F:F)+SUMIF('NEI Lookups'!$S:$S,'Inputs Yr 2'!$F311,'NEI Lookups'!F:F)+SUMIF('NEI Lookups'!$T:$T,'Inputs Yr 2'!$F311,'NEI Lookups'!F:F)</f>
        <v>0</v>
      </c>
      <c r="AU311" s="299">
        <f>SUMIF('NEI Lookups'!$L:$L,'Inputs Yr 2'!$F311,'NEI Lookups'!G:G)+SUMIF('NEI Lookups'!$M:$M,'Inputs Yr 2'!$F311,'NEI Lookups'!G:G)+SUMIF('NEI Lookups'!$N:$N,'Inputs Yr 2'!$F311,'NEI Lookups'!G:G)+SUMIF('NEI Lookups'!$O:$O,'Inputs Yr 2'!$F311,'NEI Lookups'!G:G)+SUMIF('NEI Lookups'!$P:$P,'Inputs Yr 2'!$F311,'NEI Lookups'!G:G)+SUMIF('NEI Lookups'!$Q:$Q,'Inputs Yr 2'!$F311,'NEI Lookups'!G:G)+SUMIF('NEI Lookups'!$R:$R,'Inputs Yr 2'!$F311,'NEI Lookups'!G:G)+SUMIF('NEI Lookups'!$S:$S,'Inputs Yr 2'!$F311,'NEI Lookups'!G:G)+SUMIF('NEI Lookups'!$T:$T,'Inputs Yr 2'!$F311,'NEI Lookups'!G:G)</f>
        <v>0</v>
      </c>
      <c r="AV311" s="299">
        <f>SUMIF('NEI Lookups'!$L:$L,'Inputs Yr 2'!$F311,'NEI Lookups'!H:H)+SUMIF('NEI Lookups'!$M:$M,'Inputs Yr 2'!$F311,'NEI Lookups'!H:H)+SUMIF('NEI Lookups'!$N:$N,'Inputs Yr 2'!$F311,'NEI Lookups'!H:H)+SUMIF('NEI Lookups'!$O:$O,'Inputs Yr 2'!$F311,'NEI Lookups'!H:H)+SUMIF('NEI Lookups'!$P:$P,'Inputs Yr 2'!$F311,'NEI Lookups'!H:H)+SUMIF('NEI Lookups'!$Q:$Q,'Inputs Yr 2'!$F311,'NEI Lookups'!H:H)+SUMIF('NEI Lookups'!$R:$R,'Inputs Yr 2'!$F311,'NEI Lookups'!H:H)+SUMIF('NEI Lookups'!$S:$S,'Inputs Yr 2'!$F311,'NEI Lookups'!H:H)+SUMIF('NEI Lookups'!$T:$T,'Inputs Yr 2'!$F311,'NEI Lookups'!H:H)</f>
        <v>0</v>
      </c>
      <c r="AW311" s="299">
        <f>SUMIF('NEI Lookups'!$L:$L,'Inputs Yr 2'!$F311,'NEI Lookups'!I:I)+SUMIF('NEI Lookups'!$M:$M,'Inputs Yr 2'!$F311,'NEI Lookups'!I:I)+SUMIF('NEI Lookups'!$N:$N,'Inputs Yr 2'!$F311,'NEI Lookups'!I:I)+SUMIF('NEI Lookups'!$O:$O,'Inputs Yr 2'!$F311,'NEI Lookups'!I:I)+SUMIF('NEI Lookups'!$P:$P,'Inputs Yr 2'!$F311,'NEI Lookups'!I:I)+SUMIF('NEI Lookups'!$Q:$Q,'Inputs Yr 2'!$F311,'NEI Lookups'!I:I)+SUMIF('NEI Lookups'!$R:$R,'Inputs Yr 2'!$F311,'NEI Lookups'!I:I)+SUMIF('NEI Lookups'!$S:$S,'Inputs Yr 2'!$F311,'NEI Lookups'!I:I)+SUMIF('NEI Lookups'!$T:$T,'Inputs Yr 2'!$F311,'NEI Lookups'!I:I)</f>
        <v>1.35</v>
      </c>
      <c r="AX311" s="299">
        <f>SUMIF('NEI Lookups'!$L:$L,'Inputs Yr 2'!$F311,'NEI Lookups'!J:J)+SUMIF('NEI Lookups'!$M:$M,'Inputs Yr 2'!$F311,'NEI Lookups'!J:J)+SUMIF('NEI Lookups'!$N:$N,'Inputs Yr 2'!$F311,'NEI Lookups'!J:J)+SUMIF('NEI Lookups'!$O:$O,'Inputs Yr 2'!$F311,'NEI Lookups'!J:J)+SUMIF('NEI Lookups'!$P:$P,'Inputs Yr 2'!$F311,'NEI Lookups'!J:J)+SUMIF('NEI Lookups'!$Q:$Q,'Inputs Yr 2'!$F311,'NEI Lookups'!J:J)+SUMIF('NEI Lookups'!$R:$R,'Inputs Yr 2'!$F311,'NEI Lookups'!J:J)+SUMIF('NEI Lookups'!$S:$S,'Inputs Yr 2'!$F311,'NEI Lookups'!J:J)+SUMIF('NEI Lookups'!$T:$T,'Inputs Yr 2'!$F311,'NEI Lookups'!J:J)</f>
        <v>0</v>
      </c>
      <c r="AY311" s="930">
        <f>'Calculations Yr 2'!CP311/'Calculations Yr 2'!I311</f>
        <v>8.0146254933081664</v>
      </c>
    </row>
    <row r="312" spans="1:51" s="133" customFormat="1" ht="12.75" customHeight="1">
      <c r="A312" s="145" t="s">
        <v>83</v>
      </c>
      <c r="B312" s="132" t="s">
        <v>870</v>
      </c>
      <c r="C312" s="132" t="s">
        <v>659</v>
      </c>
      <c r="D312" s="902"/>
      <c r="E312" s="150" t="s">
        <v>759</v>
      </c>
      <c r="F312" s="150" t="s">
        <v>1170</v>
      </c>
      <c r="G312" s="145" t="s">
        <v>1247</v>
      </c>
      <c r="H312" s="165"/>
      <c r="I312" s="234">
        <v>15</v>
      </c>
      <c r="J312" s="964"/>
      <c r="K312" s="871"/>
      <c r="L312" s="888">
        <f t="shared" si="107"/>
        <v>0</v>
      </c>
      <c r="M312" s="980">
        <v>0.30099999999999999</v>
      </c>
      <c r="N312" s="980">
        <v>0.14699999999999999</v>
      </c>
      <c r="O312" s="980">
        <v>0</v>
      </c>
      <c r="P312" s="889">
        <v>0.84600000000000009</v>
      </c>
      <c r="Q312" s="978">
        <v>1</v>
      </c>
      <c r="R312" s="178">
        <v>1</v>
      </c>
      <c r="S312" s="178">
        <v>1</v>
      </c>
      <c r="T312" s="178">
        <v>1</v>
      </c>
      <c r="U312" s="978">
        <v>0</v>
      </c>
      <c r="V312" s="978">
        <v>0</v>
      </c>
      <c r="W312" s="179"/>
      <c r="X312" s="937" t="s">
        <v>653</v>
      </c>
      <c r="Y312" s="299">
        <f>IFERROR(VLOOKUP($X312,'Demand Lookups'!$A$5:$K$101,9,0), 0)</f>
        <v>0</v>
      </c>
      <c r="Z312" s="922" t="str">
        <f>IFERROR(VLOOKUP(X312,'Demand Lookups'!$A$5:$B$101,2,0),0)</f>
        <v>Non-Electric Measures</v>
      </c>
      <c r="AA312" s="722">
        <v>0</v>
      </c>
      <c r="AB312" s="722">
        <v>0</v>
      </c>
      <c r="AC312" s="722">
        <v>0</v>
      </c>
      <c r="AD312" s="723">
        <v>0</v>
      </c>
      <c r="AE312" s="837">
        <f t="shared" si="128"/>
        <v>0</v>
      </c>
      <c r="AF312" s="723">
        <v>0</v>
      </c>
      <c r="AG312" s="723">
        <v>0</v>
      </c>
      <c r="AH312" s="648">
        <v>0</v>
      </c>
      <c r="AI312" s="648">
        <v>0</v>
      </c>
      <c r="AJ312" s="167" t="s">
        <v>87</v>
      </c>
      <c r="AK312" s="866">
        <v>6.6</v>
      </c>
      <c r="AL312" s="167"/>
      <c r="AM312" s="168"/>
      <c r="AN312" s="167"/>
      <c r="AO312" s="168"/>
      <c r="AP312" s="167"/>
      <c r="AQ312" s="171"/>
      <c r="AR312" s="171"/>
      <c r="AS312" s="299">
        <f>SUMIF('NEI Lookups'!$L:$L,'Inputs Yr 2'!$F312,'NEI Lookups'!E:E)+SUMIF('NEI Lookups'!$M:$M,'Inputs Yr 2'!$F312,'NEI Lookups'!E:E)+SUMIF('NEI Lookups'!$N:$N,'Inputs Yr 2'!$F312,'NEI Lookups'!E:E)+SUMIF('NEI Lookups'!$O:$O,'Inputs Yr 2'!$F312,'NEI Lookups'!E:E)+SUMIF('NEI Lookups'!$P:$P,'Inputs Yr 2'!$F312,'NEI Lookups'!E:E)+SUMIF('NEI Lookups'!$Q:$Q,'Inputs Yr 2'!$F312,'NEI Lookups'!E:E)+SUMIF('NEI Lookups'!$R:$R,'Inputs Yr 2'!$F312,'NEI Lookups'!E:E)+SUMIF('NEI Lookups'!$S:$S,'Inputs Yr 2'!$F312,'NEI Lookups'!E:E)+SUMIF('NEI Lookups'!$T:$T,'Inputs Yr 2'!$F312,'NEI Lookups'!E:E)</f>
        <v>0</v>
      </c>
      <c r="AT312" s="299">
        <f>SUMIF('NEI Lookups'!$L:$L,'Inputs Yr 2'!$F312,'NEI Lookups'!F:F)+SUMIF('NEI Lookups'!$M:$M,'Inputs Yr 2'!$F312,'NEI Lookups'!F:F)+SUMIF('NEI Lookups'!$N:$N,'Inputs Yr 2'!$F312,'NEI Lookups'!F:F)+SUMIF('NEI Lookups'!$O:$O,'Inputs Yr 2'!$F312,'NEI Lookups'!F:F)+SUMIF('NEI Lookups'!$P:$P,'Inputs Yr 2'!$F312,'NEI Lookups'!F:F)+SUMIF('NEI Lookups'!$Q:$Q,'Inputs Yr 2'!$F312,'NEI Lookups'!F:F)+SUMIF('NEI Lookups'!$R:$R,'Inputs Yr 2'!$F312,'NEI Lookups'!F:F)+SUMIF('NEI Lookups'!$S:$S,'Inputs Yr 2'!$F312,'NEI Lookups'!F:F)+SUMIF('NEI Lookups'!$T:$T,'Inputs Yr 2'!$F312,'NEI Lookups'!F:F)</f>
        <v>0</v>
      </c>
      <c r="AU312" s="299">
        <f>SUMIF('NEI Lookups'!$L:$L,'Inputs Yr 2'!$F312,'NEI Lookups'!G:G)+SUMIF('NEI Lookups'!$M:$M,'Inputs Yr 2'!$F312,'NEI Lookups'!G:G)+SUMIF('NEI Lookups'!$N:$N,'Inputs Yr 2'!$F312,'NEI Lookups'!G:G)+SUMIF('NEI Lookups'!$O:$O,'Inputs Yr 2'!$F312,'NEI Lookups'!G:G)+SUMIF('NEI Lookups'!$P:$P,'Inputs Yr 2'!$F312,'NEI Lookups'!G:G)+SUMIF('NEI Lookups'!$Q:$Q,'Inputs Yr 2'!$F312,'NEI Lookups'!G:G)+SUMIF('NEI Lookups'!$R:$R,'Inputs Yr 2'!$F312,'NEI Lookups'!G:G)+SUMIF('NEI Lookups'!$S:$S,'Inputs Yr 2'!$F312,'NEI Lookups'!G:G)+SUMIF('NEI Lookups'!$T:$T,'Inputs Yr 2'!$F312,'NEI Lookups'!G:G)</f>
        <v>0</v>
      </c>
      <c r="AV312" s="299">
        <f>SUMIF('NEI Lookups'!$L:$L,'Inputs Yr 2'!$F312,'NEI Lookups'!H:H)+SUMIF('NEI Lookups'!$M:$M,'Inputs Yr 2'!$F312,'NEI Lookups'!H:H)+SUMIF('NEI Lookups'!$N:$N,'Inputs Yr 2'!$F312,'NEI Lookups'!H:H)+SUMIF('NEI Lookups'!$O:$O,'Inputs Yr 2'!$F312,'NEI Lookups'!H:H)+SUMIF('NEI Lookups'!$P:$P,'Inputs Yr 2'!$F312,'NEI Lookups'!H:H)+SUMIF('NEI Lookups'!$Q:$Q,'Inputs Yr 2'!$F312,'NEI Lookups'!H:H)+SUMIF('NEI Lookups'!$R:$R,'Inputs Yr 2'!$F312,'NEI Lookups'!H:H)+SUMIF('NEI Lookups'!$S:$S,'Inputs Yr 2'!$F312,'NEI Lookups'!H:H)+SUMIF('NEI Lookups'!$T:$T,'Inputs Yr 2'!$F312,'NEI Lookups'!H:H)</f>
        <v>0</v>
      </c>
      <c r="AW312" s="299">
        <f>SUMIF('NEI Lookups'!$L:$L,'Inputs Yr 2'!$F312,'NEI Lookups'!I:I)+SUMIF('NEI Lookups'!$M:$M,'Inputs Yr 2'!$F312,'NEI Lookups'!I:I)+SUMIF('NEI Lookups'!$N:$N,'Inputs Yr 2'!$F312,'NEI Lookups'!I:I)+SUMIF('NEI Lookups'!$O:$O,'Inputs Yr 2'!$F312,'NEI Lookups'!I:I)+SUMIF('NEI Lookups'!$P:$P,'Inputs Yr 2'!$F312,'NEI Lookups'!I:I)+SUMIF('NEI Lookups'!$Q:$Q,'Inputs Yr 2'!$F312,'NEI Lookups'!I:I)+SUMIF('NEI Lookups'!$R:$R,'Inputs Yr 2'!$F312,'NEI Lookups'!I:I)+SUMIF('NEI Lookups'!$S:$S,'Inputs Yr 2'!$F312,'NEI Lookups'!I:I)+SUMIF('NEI Lookups'!$T:$T,'Inputs Yr 2'!$F312,'NEI Lookups'!I:I)</f>
        <v>1.35</v>
      </c>
      <c r="AX312" s="299">
        <f>SUMIF('NEI Lookups'!$L:$L,'Inputs Yr 2'!$F312,'NEI Lookups'!J:J)+SUMIF('NEI Lookups'!$M:$M,'Inputs Yr 2'!$F312,'NEI Lookups'!J:J)+SUMIF('NEI Lookups'!$N:$N,'Inputs Yr 2'!$F312,'NEI Lookups'!J:J)+SUMIF('NEI Lookups'!$O:$O,'Inputs Yr 2'!$F312,'NEI Lookups'!J:J)+SUMIF('NEI Lookups'!$P:$P,'Inputs Yr 2'!$F312,'NEI Lookups'!J:J)+SUMIF('NEI Lookups'!$Q:$Q,'Inputs Yr 2'!$F312,'NEI Lookups'!J:J)+SUMIF('NEI Lookups'!$R:$R,'Inputs Yr 2'!$F312,'NEI Lookups'!J:J)+SUMIF('NEI Lookups'!$S:$S,'Inputs Yr 2'!$F312,'NEI Lookups'!J:J)+SUMIF('NEI Lookups'!$T:$T,'Inputs Yr 2'!$F312,'NEI Lookups'!J:J)</f>
        <v>0</v>
      </c>
      <c r="AY312" s="930" t="e">
        <f>'Calculations Yr 2'!CP312/'Calculations Yr 2'!I312</f>
        <v>#VALUE!</v>
      </c>
    </row>
    <row r="313" spans="1:51" s="133" customFormat="1" ht="12.75" customHeight="1">
      <c r="A313" s="145" t="s">
        <v>83</v>
      </c>
      <c r="B313" s="132" t="s">
        <v>870</v>
      </c>
      <c r="C313" s="132" t="s">
        <v>659</v>
      </c>
      <c r="D313" s="902"/>
      <c r="E313" s="150" t="s">
        <v>760</v>
      </c>
      <c r="F313" s="150" t="s">
        <v>1171</v>
      </c>
      <c r="G313" s="145" t="s">
        <v>1247</v>
      </c>
      <c r="H313" s="165"/>
      <c r="I313" s="234">
        <v>15</v>
      </c>
      <c r="J313" s="964"/>
      <c r="K313" s="871"/>
      <c r="L313" s="888">
        <f t="shared" si="107"/>
        <v>0</v>
      </c>
      <c r="M313" s="980">
        <v>0.30099999999999999</v>
      </c>
      <c r="N313" s="980">
        <v>0.14699999999999999</v>
      </c>
      <c r="O313" s="980">
        <v>0</v>
      </c>
      <c r="P313" s="889">
        <v>0.84600000000000009</v>
      </c>
      <c r="Q313" s="978">
        <v>1</v>
      </c>
      <c r="R313" s="178">
        <v>1</v>
      </c>
      <c r="S313" s="178">
        <v>1</v>
      </c>
      <c r="T313" s="178">
        <v>1</v>
      </c>
      <c r="U313" s="978">
        <v>0</v>
      </c>
      <c r="V313" s="978">
        <v>0</v>
      </c>
      <c r="W313" s="179"/>
      <c r="X313" s="937" t="s">
        <v>653</v>
      </c>
      <c r="Y313" s="299">
        <f>IFERROR(VLOOKUP($X313,'Demand Lookups'!$A$5:$K$101,9,0), 0)</f>
        <v>0</v>
      </c>
      <c r="Z313" s="922" t="str">
        <f>IFERROR(VLOOKUP(X313,'Demand Lookups'!$A$5:$B$101,2,0),0)</f>
        <v>Non-Electric Measures</v>
      </c>
      <c r="AA313" s="722">
        <v>0</v>
      </c>
      <c r="AB313" s="722">
        <v>0</v>
      </c>
      <c r="AC313" s="722">
        <v>0</v>
      </c>
      <c r="AD313" s="723">
        <v>0</v>
      </c>
      <c r="AE313" s="837">
        <f t="shared" si="128"/>
        <v>0</v>
      </c>
      <c r="AF313" s="723">
        <v>0</v>
      </c>
      <c r="AG313" s="723">
        <v>0</v>
      </c>
      <c r="AH313" s="648">
        <v>0</v>
      </c>
      <c r="AI313" s="648">
        <v>0</v>
      </c>
      <c r="AJ313" s="167" t="s">
        <v>87</v>
      </c>
      <c r="AK313" s="866">
        <v>6.6</v>
      </c>
      <c r="AL313" s="167"/>
      <c r="AM313" s="168"/>
      <c r="AN313" s="167"/>
      <c r="AO313" s="168"/>
      <c r="AP313" s="167"/>
      <c r="AQ313" s="171"/>
      <c r="AR313" s="171"/>
      <c r="AS313" s="299">
        <f>SUMIF('NEI Lookups'!$L:$L,'Inputs Yr 2'!$F313,'NEI Lookups'!E:E)+SUMIF('NEI Lookups'!$M:$M,'Inputs Yr 2'!$F313,'NEI Lookups'!E:E)+SUMIF('NEI Lookups'!$N:$N,'Inputs Yr 2'!$F313,'NEI Lookups'!E:E)+SUMIF('NEI Lookups'!$O:$O,'Inputs Yr 2'!$F313,'NEI Lookups'!E:E)+SUMIF('NEI Lookups'!$P:$P,'Inputs Yr 2'!$F313,'NEI Lookups'!E:E)+SUMIF('NEI Lookups'!$Q:$Q,'Inputs Yr 2'!$F313,'NEI Lookups'!E:E)+SUMIF('NEI Lookups'!$R:$R,'Inputs Yr 2'!$F313,'NEI Lookups'!E:E)+SUMIF('NEI Lookups'!$S:$S,'Inputs Yr 2'!$F313,'NEI Lookups'!E:E)+SUMIF('NEI Lookups'!$T:$T,'Inputs Yr 2'!$F313,'NEI Lookups'!E:E)</f>
        <v>0</v>
      </c>
      <c r="AT313" s="299">
        <f>SUMIF('NEI Lookups'!$L:$L,'Inputs Yr 2'!$F313,'NEI Lookups'!F:F)+SUMIF('NEI Lookups'!$M:$M,'Inputs Yr 2'!$F313,'NEI Lookups'!F:F)+SUMIF('NEI Lookups'!$N:$N,'Inputs Yr 2'!$F313,'NEI Lookups'!F:F)+SUMIF('NEI Lookups'!$O:$O,'Inputs Yr 2'!$F313,'NEI Lookups'!F:F)+SUMIF('NEI Lookups'!$P:$P,'Inputs Yr 2'!$F313,'NEI Lookups'!F:F)+SUMIF('NEI Lookups'!$Q:$Q,'Inputs Yr 2'!$F313,'NEI Lookups'!F:F)+SUMIF('NEI Lookups'!$R:$R,'Inputs Yr 2'!$F313,'NEI Lookups'!F:F)+SUMIF('NEI Lookups'!$S:$S,'Inputs Yr 2'!$F313,'NEI Lookups'!F:F)+SUMIF('NEI Lookups'!$T:$T,'Inputs Yr 2'!$F313,'NEI Lookups'!F:F)</f>
        <v>0</v>
      </c>
      <c r="AU313" s="299">
        <f>SUMIF('NEI Lookups'!$L:$L,'Inputs Yr 2'!$F313,'NEI Lookups'!G:G)+SUMIF('NEI Lookups'!$M:$M,'Inputs Yr 2'!$F313,'NEI Lookups'!G:G)+SUMIF('NEI Lookups'!$N:$N,'Inputs Yr 2'!$F313,'NEI Lookups'!G:G)+SUMIF('NEI Lookups'!$O:$O,'Inputs Yr 2'!$F313,'NEI Lookups'!G:G)+SUMIF('NEI Lookups'!$P:$P,'Inputs Yr 2'!$F313,'NEI Lookups'!G:G)+SUMIF('NEI Lookups'!$Q:$Q,'Inputs Yr 2'!$F313,'NEI Lookups'!G:G)+SUMIF('NEI Lookups'!$R:$R,'Inputs Yr 2'!$F313,'NEI Lookups'!G:G)+SUMIF('NEI Lookups'!$S:$S,'Inputs Yr 2'!$F313,'NEI Lookups'!G:G)+SUMIF('NEI Lookups'!$T:$T,'Inputs Yr 2'!$F313,'NEI Lookups'!G:G)</f>
        <v>0</v>
      </c>
      <c r="AV313" s="299">
        <f>SUMIF('NEI Lookups'!$L:$L,'Inputs Yr 2'!$F313,'NEI Lookups'!H:H)+SUMIF('NEI Lookups'!$M:$M,'Inputs Yr 2'!$F313,'NEI Lookups'!H:H)+SUMIF('NEI Lookups'!$N:$N,'Inputs Yr 2'!$F313,'NEI Lookups'!H:H)+SUMIF('NEI Lookups'!$O:$O,'Inputs Yr 2'!$F313,'NEI Lookups'!H:H)+SUMIF('NEI Lookups'!$P:$P,'Inputs Yr 2'!$F313,'NEI Lookups'!H:H)+SUMIF('NEI Lookups'!$Q:$Q,'Inputs Yr 2'!$F313,'NEI Lookups'!H:H)+SUMIF('NEI Lookups'!$R:$R,'Inputs Yr 2'!$F313,'NEI Lookups'!H:H)+SUMIF('NEI Lookups'!$S:$S,'Inputs Yr 2'!$F313,'NEI Lookups'!H:H)+SUMIF('NEI Lookups'!$T:$T,'Inputs Yr 2'!$F313,'NEI Lookups'!H:H)</f>
        <v>0</v>
      </c>
      <c r="AW313" s="299">
        <f>SUMIF('NEI Lookups'!$L:$L,'Inputs Yr 2'!$F313,'NEI Lookups'!I:I)+SUMIF('NEI Lookups'!$M:$M,'Inputs Yr 2'!$F313,'NEI Lookups'!I:I)+SUMIF('NEI Lookups'!$N:$N,'Inputs Yr 2'!$F313,'NEI Lookups'!I:I)+SUMIF('NEI Lookups'!$O:$O,'Inputs Yr 2'!$F313,'NEI Lookups'!I:I)+SUMIF('NEI Lookups'!$P:$P,'Inputs Yr 2'!$F313,'NEI Lookups'!I:I)+SUMIF('NEI Lookups'!$Q:$Q,'Inputs Yr 2'!$F313,'NEI Lookups'!I:I)+SUMIF('NEI Lookups'!$R:$R,'Inputs Yr 2'!$F313,'NEI Lookups'!I:I)+SUMIF('NEI Lookups'!$S:$S,'Inputs Yr 2'!$F313,'NEI Lookups'!I:I)+SUMIF('NEI Lookups'!$T:$T,'Inputs Yr 2'!$F313,'NEI Lookups'!I:I)</f>
        <v>1.35</v>
      </c>
      <c r="AX313" s="299">
        <f>SUMIF('NEI Lookups'!$L:$L,'Inputs Yr 2'!$F313,'NEI Lookups'!J:J)+SUMIF('NEI Lookups'!$M:$M,'Inputs Yr 2'!$F313,'NEI Lookups'!J:J)+SUMIF('NEI Lookups'!$N:$N,'Inputs Yr 2'!$F313,'NEI Lookups'!J:J)+SUMIF('NEI Lookups'!$O:$O,'Inputs Yr 2'!$F313,'NEI Lookups'!J:J)+SUMIF('NEI Lookups'!$P:$P,'Inputs Yr 2'!$F313,'NEI Lookups'!J:J)+SUMIF('NEI Lookups'!$Q:$Q,'Inputs Yr 2'!$F313,'NEI Lookups'!J:J)+SUMIF('NEI Lookups'!$R:$R,'Inputs Yr 2'!$F313,'NEI Lookups'!J:J)+SUMIF('NEI Lookups'!$S:$S,'Inputs Yr 2'!$F313,'NEI Lookups'!J:J)+SUMIF('NEI Lookups'!$T:$T,'Inputs Yr 2'!$F313,'NEI Lookups'!J:J)</f>
        <v>0</v>
      </c>
      <c r="AY313" s="930" t="e">
        <f>'Calculations Yr 2'!CP313/'Calculations Yr 2'!I313</f>
        <v>#VALUE!</v>
      </c>
    </row>
    <row r="314" spans="1:51" s="133" customFormat="1" ht="12.75" customHeight="1">
      <c r="A314" s="145" t="s">
        <v>83</v>
      </c>
      <c r="B314" s="132" t="s">
        <v>870</v>
      </c>
      <c r="C314" s="132" t="s">
        <v>659</v>
      </c>
      <c r="D314" s="902"/>
      <c r="E314" s="98" t="s">
        <v>1301</v>
      </c>
      <c r="F314" s="150" t="s">
        <v>1172</v>
      </c>
      <c r="G314" s="145" t="s">
        <v>1247</v>
      </c>
      <c r="H314" s="165"/>
      <c r="I314" s="234">
        <v>20</v>
      </c>
      <c r="J314" s="964"/>
      <c r="K314" s="871"/>
      <c r="L314" s="888">
        <f t="shared" si="107"/>
        <v>0</v>
      </c>
      <c r="M314" s="980">
        <v>0.30099999999999999</v>
      </c>
      <c r="N314" s="980">
        <v>0.14699999999999999</v>
      </c>
      <c r="O314" s="980">
        <v>0</v>
      </c>
      <c r="P314" s="889">
        <v>0.84600000000000009</v>
      </c>
      <c r="Q314" s="978">
        <v>1</v>
      </c>
      <c r="R314" s="178">
        <v>1</v>
      </c>
      <c r="S314" s="178">
        <v>1</v>
      </c>
      <c r="T314" s="178">
        <v>1</v>
      </c>
      <c r="U314" s="978">
        <v>0</v>
      </c>
      <c r="V314" s="978">
        <v>0</v>
      </c>
      <c r="W314" s="179"/>
      <c r="X314" s="937" t="s">
        <v>653</v>
      </c>
      <c r="Y314" s="299">
        <f>IFERROR(VLOOKUP($X314,'Demand Lookups'!$A$5:$K$101,9,0), 0)</f>
        <v>0</v>
      </c>
      <c r="Z314" s="922" t="str">
        <f>IFERROR(VLOOKUP(X314,'Demand Lookups'!$A$5:$B$101,2,0),0)</f>
        <v>Non-Electric Measures</v>
      </c>
      <c r="AA314" s="722">
        <v>0</v>
      </c>
      <c r="AB314" s="722">
        <v>0</v>
      </c>
      <c r="AC314" s="722">
        <v>0</v>
      </c>
      <c r="AD314" s="723">
        <v>0</v>
      </c>
      <c r="AE314" s="837">
        <f t="shared" si="128"/>
        <v>0</v>
      </c>
      <c r="AF314" s="723">
        <v>0</v>
      </c>
      <c r="AG314" s="723">
        <v>0</v>
      </c>
      <c r="AH314" s="648">
        <v>0</v>
      </c>
      <c r="AI314" s="648">
        <v>0</v>
      </c>
      <c r="AJ314" s="167"/>
      <c r="AK314" s="866"/>
      <c r="AL314" s="167"/>
      <c r="AM314" s="168"/>
      <c r="AN314" s="167"/>
      <c r="AO314" s="168"/>
      <c r="AP314" s="167"/>
      <c r="AQ314" s="171"/>
      <c r="AR314" s="171"/>
      <c r="AS314" s="299">
        <f>SUMIF('NEI Lookups'!$L:$L,'Inputs Yr 2'!$F314,'NEI Lookups'!E:E)+SUMIF('NEI Lookups'!$M:$M,'Inputs Yr 2'!$F314,'NEI Lookups'!E:E)+SUMIF('NEI Lookups'!$N:$N,'Inputs Yr 2'!$F314,'NEI Lookups'!E:E)+SUMIF('NEI Lookups'!$O:$O,'Inputs Yr 2'!$F314,'NEI Lookups'!E:E)+SUMIF('NEI Lookups'!$P:$P,'Inputs Yr 2'!$F314,'NEI Lookups'!E:E)+SUMIF('NEI Lookups'!$Q:$Q,'Inputs Yr 2'!$F314,'NEI Lookups'!E:E)+SUMIF('NEI Lookups'!$R:$R,'Inputs Yr 2'!$F314,'NEI Lookups'!E:E)+SUMIF('NEI Lookups'!$S:$S,'Inputs Yr 2'!$F314,'NEI Lookups'!E:E)+SUMIF('NEI Lookups'!$T:$T,'Inputs Yr 2'!$F314,'NEI Lookups'!E:E)</f>
        <v>0</v>
      </c>
      <c r="AT314" s="299">
        <f>SUMIF('NEI Lookups'!$L:$L,'Inputs Yr 2'!$F314,'NEI Lookups'!F:F)+SUMIF('NEI Lookups'!$M:$M,'Inputs Yr 2'!$F314,'NEI Lookups'!F:F)+SUMIF('NEI Lookups'!$N:$N,'Inputs Yr 2'!$F314,'NEI Lookups'!F:F)+SUMIF('NEI Lookups'!$O:$O,'Inputs Yr 2'!$F314,'NEI Lookups'!F:F)+SUMIF('NEI Lookups'!$P:$P,'Inputs Yr 2'!$F314,'NEI Lookups'!F:F)+SUMIF('NEI Lookups'!$Q:$Q,'Inputs Yr 2'!$F314,'NEI Lookups'!F:F)+SUMIF('NEI Lookups'!$R:$R,'Inputs Yr 2'!$F314,'NEI Lookups'!F:F)+SUMIF('NEI Lookups'!$S:$S,'Inputs Yr 2'!$F314,'NEI Lookups'!F:F)+SUMIF('NEI Lookups'!$T:$T,'Inputs Yr 2'!$F314,'NEI Lookups'!F:F)</f>
        <v>0</v>
      </c>
      <c r="AU314" s="299">
        <f>SUMIF('NEI Lookups'!$L:$L,'Inputs Yr 2'!$F314,'NEI Lookups'!G:G)+SUMIF('NEI Lookups'!$M:$M,'Inputs Yr 2'!$F314,'NEI Lookups'!G:G)+SUMIF('NEI Lookups'!$N:$N,'Inputs Yr 2'!$F314,'NEI Lookups'!G:G)+SUMIF('NEI Lookups'!$O:$O,'Inputs Yr 2'!$F314,'NEI Lookups'!G:G)+SUMIF('NEI Lookups'!$P:$P,'Inputs Yr 2'!$F314,'NEI Lookups'!G:G)+SUMIF('NEI Lookups'!$Q:$Q,'Inputs Yr 2'!$F314,'NEI Lookups'!G:G)+SUMIF('NEI Lookups'!$R:$R,'Inputs Yr 2'!$F314,'NEI Lookups'!G:G)+SUMIF('NEI Lookups'!$S:$S,'Inputs Yr 2'!$F314,'NEI Lookups'!G:G)+SUMIF('NEI Lookups'!$T:$T,'Inputs Yr 2'!$F314,'NEI Lookups'!G:G)</f>
        <v>0</v>
      </c>
      <c r="AV314" s="299">
        <f>SUMIF('NEI Lookups'!$L:$L,'Inputs Yr 2'!$F314,'NEI Lookups'!H:H)+SUMIF('NEI Lookups'!$M:$M,'Inputs Yr 2'!$F314,'NEI Lookups'!H:H)+SUMIF('NEI Lookups'!$N:$N,'Inputs Yr 2'!$F314,'NEI Lookups'!H:H)+SUMIF('NEI Lookups'!$O:$O,'Inputs Yr 2'!$F314,'NEI Lookups'!H:H)+SUMIF('NEI Lookups'!$P:$P,'Inputs Yr 2'!$F314,'NEI Lookups'!H:H)+SUMIF('NEI Lookups'!$Q:$Q,'Inputs Yr 2'!$F314,'NEI Lookups'!H:H)+SUMIF('NEI Lookups'!$R:$R,'Inputs Yr 2'!$F314,'NEI Lookups'!H:H)+SUMIF('NEI Lookups'!$S:$S,'Inputs Yr 2'!$F314,'NEI Lookups'!H:H)+SUMIF('NEI Lookups'!$T:$T,'Inputs Yr 2'!$F314,'NEI Lookups'!H:H)</f>
        <v>0</v>
      </c>
      <c r="AW314" s="299">
        <f>SUMIF('NEI Lookups'!$L:$L,'Inputs Yr 2'!$F314,'NEI Lookups'!I:I)+SUMIF('NEI Lookups'!$M:$M,'Inputs Yr 2'!$F314,'NEI Lookups'!I:I)+SUMIF('NEI Lookups'!$N:$N,'Inputs Yr 2'!$F314,'NEI Lookups'!I:I)+SUMIF('NEI Lookups'!$O:$O,'Inputs Yr 2'!$F314,'NEI Lookups'!I:I)+SUMIF('NEI Lookups'!$P:$P,'Inputs Yr 2'!$F314,'NEI Lookups'!I:I)+SUMIF('NEI Lookups'!$Q:$Q,'Inputs Yr 2'!$F314,'NEI Lookups'!I:I)+SUMIF('NEI Lookups'!$R:$R,'Inputs Yr 2'!$F314,'NEI Lookups'!I:I)+SUMIF('NEI Lookups'!$S:$S,'Inputs Yr 2'!$F314,'NEI Lookups'!I:I)+SUMIF('NEI Lookups'!$T:$T,'Inputs Yr 2'!$F314,'NEI Lookups'!I:I)</f>
        <v>1.35</v>
      </c>
      <c r="AX314" s="299">
        <f>SUMIF('NEI Lookups'!$L:$L,'Inputs Yr 2'!$F314,'NEI Lookups'!J:J)+SUMIF('NEI Lookups'!$M:$M,'Inputs Yr 2'!$F314,'NEI Lookups'!J:J)+SUMIF('NEI Lookups'!$N:$N,'Inputs Yr 2'!$F314,'NEI Lookups'!J:J)+SUMIF('NEI Lookups'!$O:$O,'Inputs Yr 2'!$F314,'NEI Lookups'!J:J)+SUMIF('NEI Lookups'!$P:$P,'Inputs Yr 2'!$F314,'NEI Lookups'!J:J)+SUMIF('NEI Lookups'!$Q:$Q,'Inputs Yr 2'!$F314,'NEI Lookups'!J:J)+SUMIF('NEI Lookups'!$R:$R,'Inputs Yr 2'!$F314,'NEI Lookups'!J:J)+SUMIF('NEI Lookups'!$S:$S,'Inputs Yr 2'!$F314,'NEI Lookups'!J:J)+SUMIF('NEI Lookups'!$T:$T,'Inputs Yr 2'!$F314,'NEI Lookups'!J:J)</f>
        <v>0</v>
      </c>
      <c r="AY314" s="930" t="e">
        <f>'Calculations Yr 2'!CP314/'Calculations Yr 2'!I314</f>
        <v>#VALUE!</v>
      </c>
    </row>
    <row r="315" spans="1:51" s="133" customFormat="1" ht="12.75" customHeight="1">
      <c r="A315" s="145" t="s">
        <v>83</v>
      </c>
      <c r="B315" s="132" t="s">
        <v>870</v>
      </c>
      <c r="C315" s="132" t="s">
        <v>659</v>
      </c>
      <c r="D315" s="902"/>
      <c r="E315" s="98" t="s">
        <v>1312</v>
      </c>
      <c r="F315" s="150" t="s">
        <v>1173</v>
      </c>
      <c r="G315" s="145" t="s">
        <v>1247</v>
      </c>
      <c r="H315" s="165"/>
      <c r="I315" s="234">
        <v>20</v>
      </c>
      <c r="J315" s="964"/>
      <c r="K315" s="871"/>
      <c r="L315" s="888">
        <f t="shared" si="107"/>
        <v>0</v>
      </c>
      <c r="M315" s="980">
        <v>0.30099999999999999</v>
      </c>
      <c r="N315" s="980">
        <v>0.14699999999999999</v>
      </c>
      <c r="O315" s="980">
        <v>0</v>
      </c>
      <c r="P315" s="889">
        <v>0.84600000000000009</v>
      </c>
      <c r="Q315" s="978">
        <v>1</v>
      </c>
      <c r="R315" s="178">
        <v>1</v>
      </c>
      <c r="S315" s="178">
        <v>1</v>
      </c>
      <c r="T315" s="178">
        <v>1</v>
      </c>
      <c r="U315" s="978">
        <v>0</v>
      </c>
      <c r="V315" s="978">
        <v>0</v>
      </c>
      <c r="W315" s="179"/>
      <c r="X315" s="937" t="s">
        <v>653</v>
      </c>
      <c r="Y315" s="299">
        <f>IFERROR(VLOOKUP($X315,'Demand Lookups'!$A$5:$K$101,9,0), 0)</f>
        <v>0</v>
      </c>
      <c r="Z315" s="922" t="str">
        <f>IFERROR(VLOOKUP(X315,'Demand Lookups'!$A$5:$B$101,2,0),0)</f>
        <v>Non-Electric Measures</v>
      </c>
      <c r="AA315" s="722">
        <v>0</v>
      </c>
      <c r="AB315" s="722">
        <v>0</v>
      </c>
      <c r="AC315" s="722">
        <v>0</v>
      </c>
      <c r="AD315" s="723">
        <v>0</v>
      </c>
      <c r="AE315" s="837">
        <f t="shared" si="128"/>
        <v>0</v>
      </c>
      <c r="AF315" s="723">
        <v>0</v>
      </c>
      <c r="AG315" s="723">
        <v>0</v>
      </c>
      <c r="AH315" s="648">
        <v>0</v>
      </c>
      <c r="AI315" s="648">
        <v>0</v>
      </c>
      <c r="AJ315" s="167" t="s">
        <v>87</v>
      </c>
      <c r="AK315" s="866">
        <v>0.13</v>
      </c>
      <c r="AL315" s="167"/>
      <c r="AM315" s="168"/>
      <c r="AN315" s="167"/>
      <c r="AO315" s="168"/>
      <c r="AP315" s="167"/>
      <c r="AQ315" s="171"/>
      <c r="AR315" s="171"/>
      <c r="AS315" s="299">
        <f>SUMIF('NEI Lookups'!$L:$L,'Inputs Yr 2'!$F315,'NEI Lookups'!E:E)+SUMIF('NEI Lookups'!$M:$M,'Inputs Yr 2'!$F315,'NEI Lookups'!E:E)+SUMIF('NEI Lookups'!$N:$N,'Inputs Yr 2'!$F315,'NEI Lookups'!E:E)+SUMIF('NEI Lookups'!$O:$O,'Inputs Yr 2'!$F315,'NEI Lookups'!E:E)+SUMIF('NEI Lookups'!$P:$P,'Inputs Yr 2'!$F315,'NEI Lookups'!E:E)+SUMIF('NEI Lookups'!$Q:$Q,'Inputs Yr 2'!$F315,'NEI Lookups'!E:E)+SUMIF('NEI Lookups'!$R:$R,'Inputs Yr 2'!$F315,'NEI Lookups'!E:E)+SUMIF('NEI Lookups'!$S:$S,'Inputs Yr 2'!$F315,'NEI Lookups'!E:E)+SUMIF('NEI Lookups'!$T:$T,'Inputs Yr 2'!$F315,'NEI Lookups'!E:E)</f>
        <v>0</v>
      </c>
      <c r="AT315" s="299">
        <f>SUMIF('NEI Lookups'!$L:$L,'Inputs Yr 2'!$F315,'NEI Lookups'!F:F)+SUMIF('NEI Lookups'!$M:$M,'Inputs Yr 2'!$F315,'NEI Lookups'!F:F)+SUMIF('NEI Lookups'!$N:$N,'Inputs Yr 2'!$F315,'NEI Lookups'!F:F)+SUMIF('NEI Lookups'!$O:$O,'Inputs Yr 2'!$F315,'NEI Lookups'!F:F)+SUMIF('NEI Lookups'!$P:$P,'Inputs Yr 2'!$F315,'NEI Lookups'!F:F)+SUMIF('NEI Lookups'!$Q:$Q,'Inputs Yr 2'!$F315,'NEI Lookups'!F:F)+SUMIF('NEI Lookups'!$R:$R,'Inputs Yr 2'!$F315,'NEI Lookups'!F:F)+SUMIF('NEI Lookups'!$S:$S,'Inputs Yr 2'!$F315,'NEI Lookups'!F:F)+SUMIF('NEI Lookups'!$T:$T,'Inputs Yr 2'!$F315,'NEI Lookups'!F:F)</f>
        <v>0</v>
      </c>
      <c r="AU315" s="299">
        <f>SUMIF('NEI Lookups'!$L:$L,'Inputs Yr 2'!$F315,'NEI Lookups'!G:G)+SUMIF('NEI Lookups'!$M:$M,'Inputs Yr 2'!$F315,'NEI Lookups'!G:G)+SUMIF('NEI Lookups'!$N:$N,'Inputs Yr 2'!$F315,'NEI Lookups'!G:G)+SUMIF('NEI Lookups'!$O:$O,'Inputs Yr 2'!$F315,'NEI Lookups'!G:G)+SUMIF('NEI Lookups'!$P:$P,'Inputs Yr 2'!$F315,'NEI Lookups'!G:G)+SUMIF('NEI Lookups'!$Q:$Q,'Inputs Yr 2'!$F315,'NEI Lookups'!G:G)+SUMIF('NEI Lookups'!$R:$R,'Inputs Yr 2'!$F315,'NEI Lookups'!G:G)+SUMIF('NEI Lookups'!$S:$S,'Inputs Yr 2'!$F315,'NEI Lookups'!G:G)+SUMIF('NEI Lookups'!$T:$T,'Inputs Yr 2'!$F315,'NEI Lookups'!G:G)</f>
        <v>0</v>
      </c>
      <c r="AV315" s="299">
        <f>SUMIF('NEI Lookups'!$L:$L,'Inputs Yr 2'!$F315,'NEI Lookups'!H:H)+SUMIF('NEI Lookups'!$M:$M,'Inputs Yr 2'!$F315,'NEI Lookups'!H:H)+SUMIF('NEI Lookups'!$N:$N,'Inputs Yr 2'!$F315,'NEI Lookups'!H:H)+SUMIF('NEI Lookups'!$O:$O,'Inputs Yr 2'!$F315,'NEI Lookups'!H:H)+SUMIF('NEI Lookups'!$P:$P,'Inputs Yr 2'!$F315,'NEI Lookups'!H:H)+SUMIF('NEI Lookups'!$Q:$Q,'Inputs Yr 2'!$F315,'NEI Lookups'!H:H)+SUMIF('NEI Lookups'!$R:$R,'Inputs Yr 2'!$F315,'NEI Lookups'!H:H)+SUMIF('NEI Lookups'!$S:$S,'Inputs Yr 2'!$F315,'NEI Lookups'!H:H)+SUMIF('NEI Lookups'!$T:$T,'Inputs Yr 2'!$F315,'NEI Lookups'!H:H)</f>
        <v>0</v>
      </c>
      <c r="AW315" s="299">
        <f>SUMIF('NEI Lookups'!$L:$L,'Inputs Yr 2'!$F315,'NEI Lookups'!I:I)+SUMIF('NEI Lookups'!$M:$M,'Inputs Yr 2'!$F315,'NEI Lookups'!I:I)+SUMIF('NEI Lookups'!$N:$N,'Inputs Yr 2'!$F315,'NEI Lookups'!I:I)+SUMIF('NEI Lookups'!$O:$O,'Inputs Yr 2'!$F315,'NEI Lookups'!I:I)+SUMIF('NEI Lookups'!$P:$P,'Inputs Yr 2'!$F315,'NEI Lookups'!I:I)+SUMIF('NEI Lookups'!$Q:$Q,'Inputs Yr 2'!$F315,'NEI Lookups'!I:I)+SUMIF('NEI Lookups'!$R:$R,'Inputs Yr 2'!$F315,'NEI Lookups'!I:I)+SUMIF('NEI Lookups'!$S:$S,'Inputs Yr 2'!$F315,'NEI Lookups'!I:I)+SUMIF('NEI Lookups'!$T:$T,'Inputs Yr 2'!$F315,'NEI Lookups'!I:I)</f>
        <v>0</v>
      </c>
      <c r="AX315" s="299">
        <f>SUMIF('NEI Lookups'!$L:$L,'Inputs Yr 2'!$F315,'NEI Lookups'!J:J)+SUMIF('NEI Lookups'!$M:$M,'Inputs Yr 2'!$F315,'NEI Lookups'!J:J)+SUMIF('NEI Lookups'!$N:$N,'Inputs Yr 2'!$F315,'NEI Lookups'!J:J)+SUMIF('NEI Lookups'!$O:$O,'Inputs Yr 2'!$F315,'NEI Lookups'!J:J)+SUMIF('NEI Lookups'!$P:$P,'Inputs Yr 2'!$F315,'NEI Lookups'!J:J)+SUMIF('NEI Lookups'!$Q:$Q,'Inputs Yr 2'!$F315,'NEI Lookups'!J:J)+SUMIF('NEI Lookups'!$R:$R,'Inputs Yr 2'!$F315,'NEI Lookups'!J:J)+SUMIF('NEI Lookups'!$S:$S,'Inputs Yr 2'!$F315,'NEI Lookups'!J:J)+SUMIF('NEI Lookups'!$T:$T,'Inputs Yr 2'!$F315,'NEI Lookups'!J:J)</f>
        <v>0</v>
      </c>
      <c r="AY315" s="930" t="e">
        <f>'Calculations Yr 2'!CP315/'Calculations Yr 2'!I315</f>
        <v>#VALUE!</v>
      </c>
    </row>
    <row r="316" spans="1:51" s="133" customFormat="1" ht="12.75" customHeight="1">
      <c r="A316" s="145" t="s">
        <v>83</v>
      </c>
      <c r="B316" s="132" t="s">
        <v>870</v>
      </c>
      <c r="C316" s="132" t="s">
        <v>659</v>
      </c>
      <c r="D316" s="902" t="s">
        <v>1576</v>
      </c>
      <c r="E316" s="150" t="s">
        <v>1304</v>
      </c>
      <c r="F316" s="150" t="s">
        <v>1174</v>
      </c>
      <c r="G316" s="145" t="s">
        <v>89</v>
      </c>
      <c r="H316" s="232">
        <v>1829</v>
      </c>
      <c r="I316" s="234">
        <v>10</v>
      </c>
      <c r="J316" s="964">
        <v>10.02</v>
      </c>
      <c r="K316" s="871">
        <v>10.02</v>
      </c>
      <c r="L316" s="888">
        <f t="shared" si="107"/>
        <v>0</v>
      </c>
      <c r="M316" s="980">
        <v>0.30099999999999999</v>
      </c>
      <c r="N316" s="980">
        <v>0.14700000000000002</v>
      </c>
      <c r="O316" s="980">
        <v>0</v>
      </c>
      <c r="P316" s="889">
        <f t="shared" si="123"/>
        <v>0.84600000000000009</v>
      </c>
      <c r="Q316" s="978">
        <v>1</v>
      </c>
      <c r="R316" s="178">
        <v>1</v>
      </c>
      <c r="S316" s="178">
        <v>1</v>
      </c>
      <c r="T316" s="178">
        <v>1</v>
      </c>
      <c r="U316" s="978">
        <v>1</v>
      </c>
      <c r="V316" s="978">
        <v>1</v>
      </c>
      <c r="W316" s="179"/>
      <c r="X316" s="937" t="s">
        <v>653</v>
      </c>
      <c r="Y316" s="299">
        <f>IFERROR(VLOOKUP($X316,'Demand Lookups'!$A$5:$K$101,9,0), 0)</f>
        <v>0</v>
      </c>
      <c r="Z316" s="922" t="str">
        <f>IFERROR(VLOOKUP(X316,'Demand Lookups'!$A$5:$B$101,2,0),0)</f>
        <v>Non-Electric Measures</v>
      </c>
      <c r="AA316" s="722">
        <f>IF(ISNA(VLOOKUP($X316,'Demand Lookups'!$A$5:$K$81,3,0)),0,VLOOKUP($X316,'Demand Lookups'!$A$5:$K$81,3,0))</f>
        <v>0</v>
      </c>
      <c r="AB316" s="722">
        <f>IF(ISNA(VLOOKUP($X316,'Demand Lookups'!$A$5:$K$81,4,0)),0,VLOOKUP($X316,'Demand Lookups'!$A$5:$K$81,4,0))</f>
        <v>0</v>
      </c>
      <c r="AC316" s="722">
        <f>IF(ISNA(VLOOKUP($X316,'Demand Lookups'!$A$5:$K$81,5,0)),0,VLOOKUP($X316,'Demand Lookups'!$A$5:$K$81,5,0))</f>
        <v>0</v>
      </c>
      <c r="AD316" s="723">
        <f>IF(ISNA(VLOOKUP($X316,'Demand Lookups'!$A$5:$K$81,6,0)),0,VLOOKUP($X316,'Demand Lookups'!$A$5:$K$81,6,0))</f>
        <v>0</v>
      </c>
      <c r="AE316" s="837">
        <f t="shared" si="128"/>
        <v>0</v>
      </c>
      <c r="AF316" s="723">
        <f>ROUND(IF(ISNA(VLOOKUP($X316,'Demand Lookups'!$A$5:$K$82,10,0)),0,(VLOOKUP($X316,'Demand Lookups'!$A$5:$K$82,10,0))),2)</f>
        <v>0</v>
      </c>
      <c r="AG316" s="723">
        <f>ROUND(IF(ISNA(VLOOKUP($X316,'Demand Lookups'!$A$5:$K$82,11,0)),0,VLOOKUP($X316,'Demand Lookups'!$A$5:$K$82,11,0)),2)</f>
        <v>0</v>
      </c>
      <c r="AH316" s="648">
        <f t="shared" si="125"/>
        <v>0</v>
      </c>
      <c r="AI316" s="648">
        <f t="shared" si="126"/>
        <v>0</v>
      </c>
      <c r="AJ316" s="167" t="s">
        <v>406</v>
      </c>
      <c r="AK316" s="866">
        <v>1.7000000000000006</v>
      </c>
      <c r="AL316" s="167"/>
      <c r="AM316" s="168"/>
      <c r="AN316" s="167"/>
      <c r="AO316" s="168"/>
      <c r="AP316" s="167"/>
      <c r="AQ316" s="171">
        <v>5460</v>
      </c>
      <c r="AR316" s="171">
        <v>5460</v>
      </c>
      <c r="AS316" s="299">
        <f>SUMIF('NEI Lookups'!$L:$L,'Inputs Yr 2'!$F316,'NEI Lookups'!E:E)+SUMIF('NEI Lookups'!$M:$M,'Inputs Yr 2'!$F316,'NEI Lookups'!E:E)+SUMIF('NEI Lookups'!$N:$N,'Inputs Yr 2'!$F316,'NEI Lookups'!E:E)+SUMIF('NEI Lookups'!$O:$O,'Inputs Yr 2'!$F316,'NEI Lookups'!E:E)+SUMIF('NEI Lookups'!$P:$P,'Inputs Yr 2'!$F316,'NEI Lookups'!E:E)+SUMIF('NEI Lookups'!$Q:$Q,'Inputs Yr 2'!$F316,'NEI Lookups'!E:E)+SUMIF('NEI Lookups'!$R:$R,'Inputs Yr 2'!$F316,'NEI Lookups'!E:E)+SUMIF('NEI Lookups'!$S:$S,'Inputs Yr 2'!$F316,'NEI Lookups'!E:E)+SUMIF('NEI Lookups'!$T:$T,'Inputs Yr 2'!$F316,'NEI Lookups'!E:E)</f>
        <v>0</v>
      </c>
      <c r="AT316" s="299">
        <f>SUMIF('NEI Lookups'!$L:$L,'Inputs Yr 2'!$F316,'NEI Lookups'!F:F)+SUMIF('NEI Lookups'!$M:$M,'Inputs Yr 2'!$F316,'NEI Lookups'!F:F)+SUMIF('NEI Lookups'!$N:$N,'Inputs Yr 2'!$F316,'NEI Lookups'!F:F)+SUMIF('NEI Lookups'!$O:$O,'Inputs Yr 2'!$F316,'NEI Lookups'!F:F)+SUMIF('NEI Lookups'!$P:$P,'Inputs Yr 2'!$F316,'NEI Lookups'!F:F)+SUMIF('NEI Lookups'!$Q:$Q,'Inputs Yr 2'!$F316,'NEI Lookups'!F:F)+SUMIF('NEI Lookups'!$R:$R,'Inputs Yr 2'!$F316,'NEI Lookups'!F:F)+SUMIF('NEI Lookups'!$S:$S,'Inputs Yr 2'!$F316,'NEI Lookups'!F:F)+SUMIF('NEI Lookups'!$T:$T,'Inputs Yr 2'!$F316,'NEI Lookups'!F:F)</f>
        <v>0</v>
      </c>
      <c r="AU316" s="299">
        <f>SUMIF('NEI Lookups'!$L:$L,'Inputs Yr 2'!$F316,'NEI Lookups'!G:G)+SUMIF('NEI Lookups'!$M:$M,'Inputs Yr 2'!$F316,'NEI Lookups'!G:G)+SUMIF('NEI Lookups'!$N:$N,'Inputs Yr 2'!$F316,'NEI Lookups'!G:G)+SUMIF('NEI Lookups'!$O:$O,'Inputs Yr 2'!$F316,'NEI Lookups'!G:G)+SUMIF('NEI Lookups'!$P:$P,'Inputs Yr 2'!$F316,'NEI Lookups'!G:G)+SUMIF('NEI Lookups'!$Q:$Q,'Inputs Yr 2'!$F316,'NEI Lookups'!G:G)+SUMIF('NEI Lookups'!$R:$R,'Inputs Yr 2'!$F316,'NEI Lookups'!G:G)+SUMIF('NEI Lookups'!$S:$S,'Inputs Yr 2'!$F316,'NEI Lookups'!G:G)+SUMIF('NEI Lookups'!$T:$T,'Inputs Yr 2'!$F316,'NEI Lookups'!G:G)</f>
        <v>0</v>
      </c>
      <c r="AV316" s="299">
        <f>SUMIF('NEI Lookups'!$L:$L,'Inputs Yr 2'!$F316,'NEI Lookups'!H:H)+SUMIF('NEI Lookups'!$M:$M,'Inputs Yr 2'!$F316,'NEI Lookups'!H:H)+SUMIF('NEI Lookups'!$N:$N,'Inputs Yr 2'!$F316,'NEI Lookups'!H:H)+SUMIF('NEI Lookups'!$O:$O,'Inputs Yr 2'!$F316,'NEI Lookups'!H:H)+SUMIF('NEI Lookups'!$P:$P,'Inputs Yr 2'!$F316,'NEI Lookups'!H:H)+SUMIF('NEI Lookups'!$Q:$Q,'Inputs Yr 2'!$F316,'NEI Lookups'!H:H)+SUMIF('NEI Lookups'!$R:$R,'Inputs Yr 2'!$F316,'NEI Lookups'!H:H)+SUMIF('NEI Lookups'!$S:$S,'Inputs Yr 2'!$F316,'NEI Lookups'!H:H)+SUMIF('NEI Lookups'!$T:$T,'Inputs Yr 2'!$F316,'NEI Lookups'!H:H)</f>
        <v>0</v>
      </c>
      <c r="AW316" s="299">
        <f>SUMIF('NEI Lookups'!$L:$L,'Inputs Yr 2'!$F316,'NEI Lookups'!I:I)+SUMIF('NEI Lookups'!$M:$M,'Inputs Yr 2'!$F316,'NEI Lookups'!I:I)+SUMIF('NEI Lookups'!$N:$N,'Inputs Yr 2'!$F316,'NEI Lookups'!I:I)+SUMIF('NEI Lookups'!$O:$O,'Inputs Yr 2'!$F316,'NEI Lookups'!I:I)+SUMIF('NEI Lookups'!$P:$P,'Inputs Yr 2'!$F316,'NEI Lookups'!I:I)+SUMIF('NEI Lookups'!$Q:$Q,'Inputs Yr 2'!$F316,'NEI Lookups'!I:I)+SUMIF('NEI Lookups'!$R:$R,'Inputs Yr 2'!$F316,'NEI Lookups'!I:I)+SUMIF('NEI Lookups'!$S:$S,'Inputs Yr 2'!$F316,'NEI Lookups'!I:I)+SUMIF('NEI Lookups'!$T:$T,'Inputs Yr 2'!$F316,'NEI Lookups'!I:I)</f>
        <v>0</v>
      </c>
      <c r="AX316" s="299">
        <f>SUMIF('NEI Lookups'!$L:$L,'Inputs Yr 2'!$F316,'NEI Lookups'!J:J)+SUMIF('NEI Lookups'!$M:$M,'Inputs Yr 2'!$F316,'NEI Lookups'!J:J)+SUMIF('NEI Lookups'!$N:$N,'Inputs Yr 2'!$F316,'NEI Lookups'!J:J)+SUMIF('NEI Lookups'!$O:$O,'Inputs Yr 2'!$F316,'NEI Lookups'!J:J)+SUMIF('NEI Lookups'!$P:$P,'Inputs Yr 2'!$F316,'NEI Lookups'!J:J)+SUMIF('NEI Lookups'!$Q:$Q,'Inputs Yr 2'!$F316,'NEI Lookups'!J:J)+SUMIF('NEI Lookups'!$R:$R,'Inputs Yr 2'!$F316,'NEI Lookups'!J:J)+SUMIF('NEI Lookups'!$S:$S,'Inputs Yr 2'!$F316,'NEI Lookups'!J:J)+SUMIF('NEI Lookups'!$T:$T,'Inputs Yr 2'!$F316,'NEI Lookups'!J:J)</f>
        <v>0</v>
      </c>
      <c r="AY316" s="930">
        <f>'Calculations Yr 2'!CP316/'Calculations Yr 2'!I316</f>
        <v>70.825554775786102</v>
      </c>
    </row>
    <row r="317" spans="1:51" s="133" customFormat="1" ht="12.75" customHeight="1">
      <c r="A317" s="145" t="s">
        <v>83</v>
      </c>
      <c r="B317" s="132" t="s">
        <v>870</v>
      </c>
      <c r="C317" s="132" t="s">
        <v>659</v>
      </c>
      <c r="D317" s="902"/>
      <c r="E317" s="656" t="s">
        <v>1305</v>
      </c>
      <c r="F317" s="150" t="s">
        <v>1175</v>
      </c>
      <c r="G317" s="145" t="s">
        <v>89</v>
      </c>
      <c r="H317" s="232">
        <v>1336</v>
      </c>
      <c r="I317" s="234">
        <v>10</v>
      </c>
      <c r="J317" s="964">
        <v>36.76</v>
      </c>
      <c r="K317" s="871">
        <v>36.76</v>
      </c>
      <c r="L317" s="888">
        <f t="shared" si="107"/>
        <v>0</v>
      </c>
      <c r="M317" s="980">
        <v>0.30099999999999999</v>
      </c>
      <c r="N317" s="980">
        <v>0.14700000000000002</v>
      </c>
      <c r="O317" s="980">
        <v>0</v>
      </c>
      <c r="P317" s="889">
        <f t="shared" si="123"/>
        <v>0.84600000000000009</v>
      </c>
      <c r="Q317" s="978">
        <v>1</v>
      </c>
      <c r="R317" s="178">
        <v>1</v>
      </c>
      <c r="S317" s="178">
        <v>1</v>
      </c>
      <c r="T317" s="178">
        <v>1</v>
      </c>
      <c r="U317" s="978">
        <v>1</v>
      </c>
      <c r="V317" s="978">
        <v>1</v>
      </c>
      <c r="W317" s="179"/>
      <c r="X317" s="937" t="s">
        <v>653</v>
      </c>
      <c r="Y317" s="299">
        <f>IFERROR(VLOOKUP($X317,'Demand Lookups'!$A$5:$K$101,9,0), 0)</f>
        <v>0</v>
      </c>
      <c r="Z317" s="922" t="str">
        <f>IFERROR(VLOOKUP(X317,'Demand Lookups'!$A$5:$B$101,2,0),0)</f>
        <v>Non-Electric Measures</v>
      </c>
      <c r="AA317" s="722">
        <f>IF(ISNA(VLOOKUP($X317,'Demand Lookups'!$A$5:$K$81,3,0)),0,VLOOKUP($X317,'Demand Lookups'!$A$5:$K$81,3,0))</f>
        <v>0</v>
      </c>
      <c r="AB317" s="722">
        <f>IF(ISNA(VLOOKUP($X317,'Demand Lookups'!$A$5:$K$81,4,0)),0,VLOOKUP($X317,'Demand Lookups'!$A$5:$K$81,4,0))</f>
        <v>0</v>
      </c>
      <c r="AC317" s="722">
        <f>IF(ISNA(VLOOKUP($X317,'Demand Lookups'!$A$5:$K$81,5,0)),0,VLOOKUP($X317,'Demand Lookups'!$A$5:$K$81,5,0))</f>
        <v>0</v>
      </c>
      <c r="AD317" s="723">
        <f>IF(ISNA(VLOOKUP($X317,'Demand Lookups'!$A$5:$K$81,6,0)),0,VLOOKUP($X317,'Demand Lookups'!$A$5:$K$81,6,0))</f>
        <v>0</v>
      </c>
      <c r="AE317" s="837">
        <f t="shared" si="128"/>
        <v>0</v>
      </c>
      <c r="AF317" s="723">
        <f>ROUND(IF(ISNA(VLOOKUP($X317,'Demand Lookups'!$A$5:$K$82,10,0)),0,(VLOOKUP($X317,'Demand Lookups'!$A$5:$K$82,10,0))),2)</f>
        <v>0</v>
      </c>
      <c r="AG317" s="723">
        <f>ROUND(IF(ISNA(VLOOKUP($X317,'Demand Lookups'!$A$5:$K$82,11,0)),0,VLOOKUP($X317,'Demand Lookups'!$A$5:$K$82,11,0)),2)</f>
        <v>0</v>
      </c>
      <c r="AH317" s="648">
        <f t="shared" si="125"/>
        <v>0</v>
      </c>
      <c r="AI317" s="648">
        <f t="shared" si="126"/>
        <v>0</v>
      </c>
      <c r="AJ317" s="167" t="s">
        <v>406</v>
      </c>
      <c r="AK317" s="866">
        <v>1.95</v>
      </c>
      <c r="AL317" s="167"/>
      <c r="AM317" s="168"/>
      <c r="AN317" s="167"/>
      <c r="AO317" s="168"/>
      <c r="AP317" s="167"/>
      <c r="AQ317" s="171">
        <v>7300</v>
      </c>
      <c r="AR317" s="171">
        <v>7300</v>
      </c>
      <c r="AS317" s="299">
        <f>SUMIF('NEI Lookups'!$L:$L,'Inputs Yr 2'!$F317,'NEI Lookups'!E:E)+SUMIF('NEI Lookups'!$M:$M,'Inputs Yr 2'!$F317,'NEI Lookups'!E:E)+SUMIF('NEI Lookups'!$N:$N,'Inputs Yr 2'!$F317,'NEI Lookups'!E:E)+SUMIF('NEI Lookups'!$O:$O,'Inputs Yr 2'!$F317,'NEI Lookups'!E:E)+SUMIF('NEI Lookups'!$P:$P,'Inputs Yr 2'!$F317,'NEI Lookups'!E:E)+SUMIF('NEI Lookups'!$Q:$Q,'Inputs Yr 2'!$F317,'NEI Lookups'!E:E)+SUMIF('NEI Lookups'!$R:$R,'Inputs Yr 2'!$F317,'NEI Lookups'!E:E)+SUMIF('NEI Lookups'!$S:$S,'Inputs Yr 2'!$F317,'NEI Lookups'!E:E)+SUMIF('NEI Lookups'!$T:$T,'Inputs Yr 2'!$F317,'NEI Lookups'!E:E)</f>
        <v>0</v>
      </c>
      <c r="AT317" s="299">
        <f>SUMIF('NEI Lookups'!$L:$L,'Inputs Yr 2'!$F317,'NEI Lookups'!F:F)+SUMIF('NEI Lookups'!$M:$M,'Inputs Yr 2'!$F317,'NEI Lookups'!F:F)+SUMIF('NEI Lookups'!$N:$N,'Inputs Yr 2'!$F317,'NEI Lookups'!F:F)+SUMIF('NEI Lookups'!$O:$O,'Inputs Yr 2'!$F317,'NEI Lookups'!F:F)+SUMIF('NEI Lookups'!$P:$P,'Inputs Yr 2'!$F317,'NEI Lookups'!F:F)+SUMIF('NEI Lookups'!$Q:$Q,'Inputs Yr 2'!$F317,'NEI Lookups'!F:F)+SUMIF('NEI Lookups'!$R:$R,'Inputs Yr 2'!$F317,'NEI Lookups'!F:F)+SUMIF('NEI Lookups'!$S:$S,'Inputs Yr 2'!$F317,'NEI Lookups'!F:F)+SUMIF('NEI Lookups'!$T:$T,'Inputs Yr 2'!$F317,'NEI Lookups'!F:F)</f>
        <v>0</v>
      </c>
      <c r="AU317" s="299">
        <f>SUMIF('NEI Lookups'!$L:$L,'Inputs Yr 2'!$F317,'NEI Lookups'!G:G)+SUMIF('NEI Lookups'!$M:$M,'Inputs Yr 2'!$F317,'NEI Lookups'!G:G)+SUMIF('NEI Lookups'!$N:$N,'Inputs Yr 2'!$F317,'NEI Lookups'!G:G)+SUMIF('NEI Lookups'!$O:$O,'Inputs Yr 2'!$F317,'NEI Lookups'!G:G)+SUMIF('NEI Lookups'!$P:$P,'Inputs Yr 2'!$F317,'NEI Lookups'!G:G)+SUMIF('NEI Lookups'!$Q:$Q,'Inputs Yr 2'!$F317,'NEI Lookups'!G:G)+SUMIF('NEI Lookups'!$R:$R,'Inputs Yr 2'!$F317,'NEI Lookups'!G:G)+SUMIF('NEI Lookups'!$S:$S,'Inputs Yr 2'!$F317,'NEI Lookups'!G:G)+SUMIF('NEI Lookups'!$T:$T,'Inputs Yr 2'!$F317,'NEI Lookups'!G:G)</f>
        <v>0</v>
      </c>
      <c r="AV317" s="299">
        <f>SUMIF('NEI Lookups'!$L:$L,'Inputs Yr 2'!$F317,'NEI Lookups'!H:H)+SUMIF('NEI Lookups'!$M:$M,'Inputs Yr 2'!$F317,'NEI Lookups'!H:H)+SUMIF('NEI Lookups'!$N:$N,'Inputs Yr 2'!$F317,'NEI Lookups'!H:H)+SUMIF('NEI Lookups'!$O:$O,'Inputs Yr 2'!$F317,'NEI Lookups'!H:H)+SUMIF('NEI Lookups'!$P:$P,'Inputs Yr 2'!$F317,'NEI Lookups'!H:H)+SUMIF('NEI Lookups'!$Q:$Q,'Inputs Yr 2'!$F317,'NEI Lookups'!H:H)+SUMIF('NEI Lookups'!$R:$R,'Inputs Yr 2'!$F317,'NEI Lookups'!H:H)+SUMIF('NEI Lookups'!$S:$S,'Inputs Yr 2'!$F317,'NEI Lookups'!H:H)+SUMIF('NEI Lookups'!$T:$T,'Inputs Yr 2'!$F317,'NEI Lookups'!H:H)</f>
        <v>0</v>
      </c>
      <c r="AW317" s="299">
        <f>SUMIF('NEI Lookups'!$L:$L,'Inputs Yr 2'!$F317,'NEI Lookups'!I:I)+SUMIF('NEI Lookups'!$M:$M,'Inputs Yr 2'!$F317,'NEI Lookups'!I:I)+SUMIF('NEI Lookups'!$N:$N,'Inputs Yr 2'!$F317,'NEI Lookups'!I:I)+SUMIF('NEI Lookups'!$O:$O,'Inputs Yr 2'!$F317,'NEI Lookups'!I:I)+SUMIF('NEI Lookups'!$P:$P,'Inputs Yr 2'!$F317,'NEI Lookups'!I:I)+SUMIF('NEI Lookups'!$Q:$Q,'Inputs Yr 2'!$F317,'NEI Lookups'!I:I)+SUMIF('NEI Lookups'!$R:$R,'Inputs Yr 2'!$F317,'NEI Lookups'!I:I)+SUMIF('NEI Lookups'!$S:$S,'Inputs Yr 2'!$F317,'NEI Lookups'!I:I)+SUMIF('NEI Lookups'!$T:$T,'Inputs Yr 2'!$F317,'NEI Lookups'!I:I)</f>
        <v>0</v>
      </c>
      <c r="AX317" s="299">
        <f>SUMIF('NEI Lookups'!$L:$L,'Inputs Yr 2'!$F317,'NEI Lookups'!J:J)+SUMIF('NEI Lookups'!$M:$M,'Inputs Yr 2'!$F317,'NEI Lookups'!J:J)+SUMIF('NEI Lookups'!$N:$N,'Inputs Yr 2'!$F317,'NEI Lookups'!J:J)+SUMIF('NEI Lookups'!$O:$O,'Inputs Yr 2'!$F317,'NEI Lookups'!J:J)+SUMIF('NEI Lookups'!$P:$P,'Inputs Yr 2'!$F317,'NEI Lookups'!J:J)+SUMIF('NEI Lookups'!$Q:$Q,'Inputs Yr 2'!$F317,'NEI Lookups'!J:J)+SUMIF('NEI Lookups'!$R:$R,'Inputs Yr 2'!$F317,'NEI Lookups'!J:J)+SUMIF('NEI Lookups'!$S:$S,'Inputs Yr 2'!$F317,'NEI Lookups'!J:J)+SUMIF('NEI Lookups'!$T:$T,'Inputs Yr 2'!$F317,'NEI Lookups'!J:J)</f>
        <v>0</v>
      </c>
      <c r="AY317" s="930">
        <f>'Calculations Yr 2'!CP317/'Calculations Yr 2'!I317</f>
        <v>25.134696657989657</v>
      </c>
    </row>
    <row r="318" spans="1:51" s="133" customFormat="1" ht="12.75" customHeight="1">
      <c r="A318" s="145" t="s">
        <v>83</v>
      </c>
      <c r="B318" s="132" t="s">
        <v>870</v>
      </c>
      <c r="C318" s="132" t="s">
        <v>659</v>
      </c>
      <c r="D318" s="902" t="s">
        <v>1577</v>
      </c>
      <c r="E318" s="656" t="s">
        <v>797</v>
      </c>
      <c r="F318" s="150" t="s">
        <v>1176</v>
      </c>
      <c r="G318" s="145" t="s">
        <v>89</v>
      </c>
      <c r="H318" s="232">
        <v>244</v>
      </c>
      <c r="I318" s="234">
        <v>8</v>
      </c>
      <c r="J318" s="964">
        <v>141.91999999999999</v>
      </c>
      <c r="K318" s="871">
        <v>141.91999999999999</v>
      </c>
      <c r="L318" s="888">
        <f t="shared" si="107"/>
        <v>0</v>
      </c>
      <c r="M318" s="980">
        <v>0.30099999999999999</v>
      </c>
      <c r="N318" s="980">
        <v>0.14700000000000002</v>
      </c>
      <c r="O318" s="980">
        <v>0</v>
      </c>
      <c r="P318" s="889">
        <f t="shared" si="123"/>
        <v>0.84600000000000009</v>
      </c>
      <c r="Q318" s="978">
        <v>1</v>
      </c>
      <c r="R318" s="178">
        <v>1</v>
      </c>
      <c r="S318" s="178">
        <v>1</v>
      </c>
      <c r="T318" s="178">
        <v>1</v>
      </c>
      <c r="U318" s="978">
        <v>1</v>
      </c>
      <c r="V318" s="978">
        <v>1</v>
      </c>
      <c r="W318" s="179"/>
      <c r="X318" s="937" t="s">
        <v>653</v>
      </c>
      <c r="Y318" s="299">
        <f>IFERROR(VLOOKUP($X318,'Demand Lookups'!$A$5:$K$101,9,0), 0)</f>
        <v>0</v>
      </c>
      <c r="Z318" s="922" t="str">
        <f>IFERROR(VLOOKUP(X318,'Demand Lookups'!$A$5:$B$101,2,0),0)</f>
        <v>Non-Electric Measures</v>
      </c>
      <c r="AA318" s="722">
        <f>IF(ISNA(VLOOKUP($X318,'Demand Lookups'!$A$5:$K$81,3,0)),0,VLOOKUP($X318,'Demand Lookups'!$A$5:$K$81,3,0))</f>
        <v>0</v>
      </c>
      <c r="AB318" s="722">
        <f>IF(ISNA(VLOOKUP($X318,'Demand Lookups'!$A$5:$K$81,4,0)),0,VLOOKUP($X318,'Demand Lookups'!$A$5:$K$81,4,0))</f>
        <v>0</v>
      </c>
      <c r="AC318" s="722">
        <f>IF(ISNA(VLOOKUP($X318,'Demand Lookups'!$A$5:$K$81,5,0)),0,VLOOKUP($X318,'Demand Lookups'!$A$5:$K$81,5,0))</f>
        <v>0</v>
      </c>
      <c r="AD318" s="723">
        <f>IF(ISNA(VLOOKUP($X318,'Demand Lookups'!$A$5:$K$81,6,0)),0,VLOOKUP($X318,'Demand Lookups'!$A$5:$K$81,6,0))</f>
        <v>0</v>
      </c>
      <c r="AE318" s="837">
        <f t="shared" si="128"/>
        <v>0</v>
      </c>
      <c r="AF318" s="723">
        <f>ROUND(IF(ISNA(VLOOKUP($X318,'Demand Lookups'!$A$5:$K$82,10,0)),0,(VLOOKUP($X318,'Demand Lookups'!$A$5:$K$82,10,0))),2)</f>
        <v>0</v>
      </c>
      <c r="AG318" s="723">
        <f>ROUND(IF(ISNA(VLOOKUP($X318,'Demand Lookups'!$A$5:$K$82,11,0)),0,VLOOKUP($X318,'Demand Lookups'!$A$5:$K$82,11,0)),2)</f>
        <v>0</v>
      </c>
      <c r="AH318" s="648">
        <f t="shared" si="125"/>
        <v>0</v>
      </c>
      <c r="AI318" s="648">
        <f t="shared" si="126"/>
        <v>0</v>
      </c>
      <c r="AJ318" s="167" t="s">
        <v>406</v>
      </c>
      <c r="AK318" s="866">
        <v>11.400000000000002</v>
      </c>
      <c r="AL318" s="167"/>
      <c r="AM318" s="168"/>
      <c r="AN318" s="167"/>
      <c r="AO318" s="168"/>
      <c r="AP318" s="167"/>
      <c r="AQ318" s="171">
        <v>6410</v>
      </c>
      <c r="AR318" s="171">
        <v>6410</v>
      </c>
      <c r="AS318" s="299">
        <f>SUMIF('NEI Lookups'!$L:$L,'Inputs Yr 2'!$F318,'NEI Lookups'!E:E)+SUMIF('NEI Lookups'!$M:$M,'Inputs Yr 2'!$F318,'NEI Lookups'!E:E)+SUMIF('NEI Lookups'!$N:$N,'Inputs Yr 2'!$F318,'NEI Lookups'!E:E)+SUMIF('NEI Lookups'!$O:$O,'Inputs Yr 2'!$F318,'NEI Lookups'!E:E)+SUMIF('NEI Lookups'!$P:$P,'Inputs Yr 2'!$F318,'NEI Lookups'!E:E)+SUMIF('NEI Lookups'!$Q:$Q,'Inputs Yr 2'!$F318,'NEI Lookups'!E:E)+SUMIF('NEI Lookups'!$R:$R,'Inputs Yr 2'!$F318,'NEI Lookups'!E:E)+SUMIF('NEI Lookups'!$S:$S,'Inputs Yr 2'!$F318,'NEI Lookups'!E:E)+SUMIF('NEI Lookups'!$T:$T,'Inputs Yr 2'!$F318,'NEI Lookups'!E:E)</f>
        <v>0</v>
      </c>
      <c r="AT318" s="299">
        <f>SUMIF('NEI Lookups'!$L:$L,'Inputs Yr 2'!$F318,'NEI Lookups'!F:F)+SUMIF('NEI Lookups'!$M:$M,'Inputs Yr 2'!$F318,'NEI Lookups'!F:F)+SUMIF('NEI Lookups'!$N:$N,'Inputs Yr 2'!$F318,'NEI Lookups'!F:F)+SUMIF('NEI Lookups'!$O:$O,'Inputs Yr 2'!$F318,'NEI Lookups'!F:F)+SUMIF('NEI Lookups'!$P:$P,'Inputs Yr 2'!$F318,'NEI Lookups'!F:F)+SUMIF('NEI Lookups'!$Q:$Q,'Inputs Yr 2'!$F318,'NEI Lookups'!F:F)+SUMIF('NEI Lookups'!$R:$R,'Inputs Yr 2'!$F318,'NEI Lookups'!F:F)+SUMIF('NEI Lookups'!$S:$S,'Inputs Yr 2'!$F318,'NEI Lookups'!F:F)+SUMIF('NEI Lookups'!$T:$T,'Inputs Yr 2'!$F318,'NEI Lookups'!F:F)</f>
        <v>0</v>
      </c>
      <c r="AU318" s="299">
        <f>SUMIF('NEI Lookups'!$L:$L,'Inputs Yr 2'!$F318,'NEI Lookups'!G:G)+SUMIF('NEI Lookups'!$M:$M,'Inputs Yr 2'!$F318,'NEI Lookups'!G:G)+SUMIF('NEI Lookups'!$N:$N,'Inputs Yr 2'!$F318,'NEI Lookups'!G:G)+SUMIF('NEI Lookups'!$O:$O,'Inputs Yr 2'!$F318,'NEI Lookups'!G:G)+SUMIF('NEI Lookups'!$P:$P,'Inputs Yr 2'!$F318,'NEI Lookups'!G:G)+SUMIF('NEI Lookups'!$Q:$Q,'Inputs Yr 2'!$F318,'NEI Lookups'!G:G)+SUMIF('NEI Lookups'!$R:$R,'Inputs Yr 2'!$F318,'NEI Lookups'!G:G)+SUMIF('NEI Lookups'!$S:$S,'Inputs Yr 2'!$F318,'NEI Lookups'!G:G)+SUMIF('NEI Lookups'!$T:$T,'Inputs Yr 2'!$F318,'NEI Lookups'!G:G)</f>
        <v>0</v>
      </c>
      <c r="AV318" s="299">
        <f>SUMIF('NEI Lookups'!$L:$L,'Inputs Yr 2'!$F318,'NEI Lookups'!H:H)+SUMIF('NEI Lookups'!$M:$M,'Inputs Yr 2'!$F318,'NEI Lookups'!H:H)+SUMIF('NEI Lookups'!$N:$N,'Inputs Yr 2'!$F318,'NEI Lookups'!H:H)+SUMIF('NEI Lookups'!$O:$O,'Inputs Yr 2'!$F318,'NEI Lookups'!H:H)+SUMIF('NEI Lookups'!$P:$P,'Inputs Yr 2'!$F318,'NEI Lookups'!H:H)+SUMIF('NEI Lookups'!$Q:$Q,'Inputs Yr 2'!$F318,'NEI Lookups'!H:H)+SUMIF('NEI Lookups'!$R:$R,'Inputs Yr 2'!$F318,'NEI Lookups'!H:H)+SUMIF('NEI Lookups'!$S:$S,'Inputs Yr 2'!$F318,'NEI Lookups'!H:H)+SUMIF('NEI Lookups'!$T:$T,'Inputs Yr 2'!$F318,'NEI Lookups'!H:H)</f>
        <v>0</v>
      </c>
      <c r="AW318" s="299">
        <f>SUMIF('NEI Lookups'!$L:$L,'Inputs Yr 2'!$F318,'NEI Lookups'!I:I)+SUMIF('NEI Lookups'!$M:$M,'Inputs Yr 2'!$F318,'NEI Lookups'!I:I)+SUMIF('NEI Lookups'!$N:$N,'Inputs Yr 2'!$F318,'NEI Lookups'!I:I)+SUMIF('NEI Lookups'!$O:$O,'Inputs Yr 2'!$F318,'NEI Lookups'!I:I)+SUMIF('NEI Lookups'!$P:$P,'Inputs Yr 2'!$F318,'NEI Lookups'!I:I)+SUMIF('NEI Lookups'!$Q:$Q,'Inputs Yr 2'!$F318,'NEI Lookups'!I:I)+SUMIF('NEI Lookups'!$R:$R,'Inputs Yr 2'!$F318,'NEI Lookups'!I:I)+SUMIF('NEI Lookups'!$S:$S,'Inputs Yr 2'!$F318,'NEI Lookups'!I:I)+SUMIF('NEI Lookups'!$T:$T,'Inputs Yr 2'!$F318,'NEI Lookups'!I:I)</f>
        <v>0</v>
      </c>
      <c r="AX318" s="299">
        <f>SUMIF('NEI Lookups'!$L:$L,'Inputs Yr 2'!$F318,'NEI Lookups'!J:J)+SUMIF('NEI Lookups'!$M:$M,'Inputs Yr 2'!$F318,'NEI Lookups'!J:J)+SUMIF('NEI Lookups'!$N:$N,'Inputs Yr 2'!$F318,'NEI Lookups'!J:J)+SUMIF('NEI Lookups'!$O:$O,'Inputs Yr 2'!$F318,'NEI Lookups'!J:J)+SUMIF('NEI Lookups'!$P:$P,'Inputs Yr 2'!$F318,'NEI Lookups'!J:J)+SUMIF('NEI Lookups'!$Q:$Q,'Inputs Yr 2'!$F318,'NEI Lookups'!J:J)+SUMIF('NEI Lookups'!$R:$R,'Inputs Yr 2'!$F318,'NEI Lookups'!J:J)+SUMIF('NEI Lookups'!$S:$S,'Inputs Yr 2'!$F318,'NEI Lookups'!J:J)+SUMIF('NEI Lookups'!$T:$T,'Inputs Yr 2'!$F318,'NEI Lookups'!J:J)</f>
        <v>0</v>
      </c>
      <c r="AY318" s="930">
        <f>'Calculations Yr 2'!CP318/'Calculations Yr 2'!I318</f>
        <v>8.8569518013371091</v>
      </c>
    </row>
    <row r="319" spans="1:51" s="133" customFormat="1" ht="12.75" customHeight="1">
      <c r="A319" s="145" t="s">
        <v>83</v>
      </c>
      <c r="B319" s="132" t="s">
        <v>870</v>
      </c>
      <c r="C319" s="132" t="s">
        <v>659</v>
      </c>
      <c r="D319" s="902" t="s">
        <v>1578</v>
      </c>
      <c r="E319" s="656" t="s">
        <v>798</v>
      </c>
      <c r="F319" s="150" t="s">
        <v>1177</v>
      </c>
      <c r="G319" s="145" t="s">
        <v>89</v>
      </c>
      <c r="H319" s="232">
        <v>21</v>
      </c>
      <c r="I319" s="234">
        <v>15</v>
      </c>
      <c r="J319" s="964">
        <v>56.91</v>
      </c>
      <c r="K319" s="871">
        <v>56.91</v>
      </c>
      <c r="L319" s="888">
        <f t="shared" si="107"/>
        <v>0</v>
      </c>
      <c r="M319" s="980">
        <v>0.30099999999999999</v>
      </c>
      <c r="N319" s="980">
        <v>0.14700000000000002</v>
      </c>
      <c r="O319" s="980">
        <v>0</v>
      </c>
      <c r="P319" s="889">
        <f t="shared" si="123"/>
        <v>0.84600000000000009</v>
      </c>
      <c r="Q319" s="978">
        <v>1</v>
      </c>
      <c r="R319" s="178">
        <v>1</v>
      </c>
      <c r="S319" s="178">
        <v>1</v>
      </c>
      <c r="T319" s="178">
        <v>1</v>
      </c>
      <c r="U319" s="978">
        <v>1</v>
      </c>
      <c r="V319" s="978">
        <v>1</v>
      </c>
      <c r="W319" s="179"/>
      <c r="X319" s="937" t="s">
        <v>653</v>
      </c>
      <c r="Y319" s="299">
        <f>IFERROR(VLOOKUP($X319,'Demand Lookups'!$A$5:$K$101,9,0), 0)</f>
        <v>0</v>
      </c>
      <c r="Z319" s="922" t="str">
        <f>IFERROR(VLOOKUP(X319,'Demand Lookups'!$A$5:$B$101,2,0),0)</f>
        <v>Non-Electric Measures</v>
      </c>
      <c r="AA319" s="722">
        <f>IF(ISNA(VLOOKUP($X319,'Demand Lookups'!$A$5:$K$81,3,0)),0,VLOOKUP($X319,'Demand Lookups'!$A$5:$K$81,3,0))</f>
        <v>0</v>
      </c>
      <c r="AB319" s="722">
        <f>IF(ISNA(VLOOKUP($X319,'Demand Lookups'!$A$5:$K$81,4,0)),0,VLOOKUP($X319,'Demand Lookups'!$A$5:$K$81,4,0))</f>
        <v>0</v>
      </c>
      <c r="AC319" s="722">
        <f>IF(ISNA(VLOOKUP($X319,'Demand Lookups'!$A$5:$K$81,5,0)),0,VLOOKUP($X319,'Demand Lookups'!$A$5:$K$81,5,0))</f>
        <v>0</v>
      </c>
      <c r="AD319" s="723">
        <f>IF(ISNA(VLOOKUP($X319,'Demand Lookups'!$A$5:$K$81,6,0)),0,VLOOKUP($X319,'Demand Lookups'!$A$5:$K$81,6,0))</f>
        <v>0</v>
      </c>
      <c r="AE319" s="837">
        <f t="shared" si="128"/>
        <v>0</v>
      </c>
      <c r="AF319" s="723">
        <f>ROUND(IF(ISNA(VLOOKUP($X319,'Demand Lookups'!$A$5:$K$82,10,0)),0,(VLOOKUP($X319,'Demand Lookups'!$A$5:$K$82,10,0))),2)</f>
        <v>0</v>
      </c>
      <c r="AG319" s="723">
        <f>ROUND(IF(ISNA(VLOOKUP($X319,'Demand Lookups'!$A$5:$K$82,11,0)),0,VLOOKUP($X319,'Demand Lookups'!$A$5:$K$82,11,0)),2)</f>
        <v>0</v>
      </c>
      <c r="AH319" s="648">
        <f t="shared" si="125"/>
        <v>0</v>
      </c>
      <c r="AI319" s="648">
        <f t="shared" si="126"/>
        <v>0</v>
      </c>
      <c r="AJ319" s="167" t="s">
        <v>406</v>
      </c>
      <c r="AK319" s="866">
        <v>0.20999999999999996</v>
      </c>
      <c r="AL319" s="167"/>
      <c r="AM319" s="168"/>
      <c r="AN319" s="167"/>
      <c r="AO319" s="168"/>
      <c r="AP319" s="167"/>
      <c r="AQ319" s="171">
        <v>0</v>
      </c>
      <c r="AR319" s="171">
        <v>0</v>
      </c>
      <c r="AS319" s="299">
        <f>SUMIF('NEI Lookups'!$L:$L,'Inputs Yr 2'!$F319,'NEI Lookups'!E:E)+SUMIF('NEI Lookups'!$M:$M,'Inputs Yr 2'!$F319,'NEI Lookups'!E:E)+SUMIF('NEI Lookups'!$N:$N,'Inputs Yr 2'!$F319,'NEI Lookups'!E:E)+SUMIF('NEI Lookups'!$O:$O,'Inputs Yr 2'!$F319,'NEI Lookups'!E:E)+SUMIF('NEI Lookups'!$P:$P,'Inputs Yr 2'!$F319,'NEI Lookups'!E:E)+SUMIF('NEI Lookups'!$Q:$Q,'Inputs Yr 2'!$F319,'NEI Lookups'!E:E)+SUMIF('NEI Lookups'!$R:$R,'Inputs Yr 2'!$F319,'NEI Lookups'!E:E)+SUMIF('NEI Lookups'!$S:$S,'Inputs Yr 2'!$F319,'NEI Lookups'!E:E)+SUMIF('NEI Lookups'!$T:$T,'Inputs Yr 2'!$F319,'NEI Lookups'!E:E)</f>
        <v>0</v>
      </c>
      <c r="AT319" s="299">
        <f>SUMIF('NEI Lookups'!$L:$L,'Inputs Yr 2'!$F319,'NEI Lookups'!F:F)+SUMIF('NEI Lookups'!$M:$M,'Inputs Yr 2'!$F319,'NEI Lookups'!F:F)+SUMIF('NEI Lookups'!$N:$N,'Inputs Yr 2'!$F319,'NEI Lookups'!F:F)+SUMIF('NEI Lookups'!$O:$O,'Inputs Yr 2'!$F319,'NEI Lookups'!F:F)+SUMIF('NEI Lookups'!$P:$P,'Inputs Yr 2'!$F319,'NEI Lookups'!F:F)+SUMIF('NEI Lookups'!$Q:$Q,'Inputs Yr 2'!$F319,'NEI Lookups'!F:F)+SUMIF('NEI Lookups'!$R:$R,'Inputs Yr 2'!$F319,'NEI Lookups'!F:F)+SUMIF('NEI Lookups'!$S:$S,'Inputs Yr 2'!$F319,'NEI Lookups'!F:F)+SUMIF('NEI Lookups'!$T:$T,'Inputs Yr 2'!$F319,'NEI Lookups'!F:F)</f>
        <v>0</v>
      </c>
      <c r="AU319" s="299">
        <f>SUMIF('NEI Lookups'!$L:$L,'Inputs Yr 2'!$F319,'NEI Lookups'!G:G)+SUMIF('NEI Lookups'!$M:$M,'Inputs Yr 2'!$F319,'NEI Lookups'!G:G)+SUMIF('NEI Lookups'!$N:$N,'Inputs Yr 2'!$F319,'NEI Lookups'!G:G)+SUMIF('NEI Lookups'!$O:$O,'Inputs Yr 2'!$F319,'NEI Lookups'!G:G)+SUMIF('NEI Lookups'!$P:$P,'Inputs Yr 2'!$F319,'NEI Lookups'!G:G)+SUMIF('NEI Lookups'!$Q:$Q,'Inputs Yr 2'!$F319,'NEI Lookups'!G:G)+SUMIF('NEI Lookups'!$R:$R,'Inputs Yr 2'!$F319,'NEI Lookups'!G:G)+SUMIF('NEI Lookups'!$S:$S,'Inputs Yr 2'!$F319,'NEI Lookups'!G:G)+SUMIF('NEI Lookups'!$T:$T,'Inputs Yr 2'!$F319,'NEI Lookups'!G:G)</f>
        <v>0</v>
      </c>
      <c r="AV319" s="299">
        <f>SUMIF('NEI Lookups'!$L:$L,'Inputs Yr 2'!$F319,'NEI Lookups'!H:H)+SUMIF('NEI Lookups'!$M:$M,'Inputs Yr 2'!$F319,'NEI Lookups'!H:H)+SUMIF('NEI Lookups'!$N:$N,'Inputs Yr 2'!$F319,'NEI Lookups'!H:H)+SUMIF('NEI Lookups'!$O:$O,'Inputs Yr 2'!$F319,'NEI Lookups'!H:H)+SUMIF('NEI Lookups'!$P:$P,'Inputs Yr 2'!$F319,'NEI Lookups'!H:H)+SUMIF('NEI Lookups'!$Q:$Q,'Inputs Yr 2'!$F319,'NEI Lookups'!H:H)+SUMIF('NEI Lookups'!$R:$R,'Inputs Yr 2'!$F319,'NEI Lookups'!H:H)+SUMIF('NEI Lookups'!$S:$S,'Inputs Yr 2'!$F319,'NEI Lookups'!H:H)+SUMIF('NEI Lookups'!$T:$T,'Inputs Yr 2'!$F319,'NEI Lookups'!H:H)</f>
        <v>0</v>
      </c>
      <c r="AW319" s="299">
        <f>SUMIF('NEI Lookups'!$L:$L,'Inputs Yr 2'!$F319,'NEI Lookups'!I:I)+SUMIF('NEI Lookups'!$M:$M,'Inputs Yr 2'!$F319,'NEI Lookups'!I:I)+SUMIF('NEI Lookups'!$N:$N,'Inputs Yr 2'!$F319,'NEI Lookups'!I:I)+SUMIF('NEI Lookups'!$O:$O,'Inputs Yr 2'!$F319,'NEI Lookups'!I:I)+SUMIF('NEI Lookups'!$P:$P,'Inputs Yr 2'!$F319,'NEI Lookups'!I:I)+SUMIF('NEI Lookups'!$Q:$Q,'Inputs Yr 2'!$F319,'NEI Lookups'!I:I)+SUMIF('NEI Lookups'!$R:$R,'Inputs Yr 2'!$F319,'NEI Lookups'!I:I)+SUMIF('NEI Lookups'!$S:$S,'Inputs Yr 2'!$F319,'NEI Lookups'!I:I)+SUMIF('NEI Lookups'!$T:$T,'Inputs Yr 2'!$F319,'NEI Lookups'!I:I)</f>
        <v>0</v>
      </c>
      <c r="AX319" s="299">
        <f>SUMIF('NEI Lookups'!$L:$L,'Inputs Yr 2'!$F319,'NEI Lookups'!J:J)+SUMIF('NEI Lookups'!$M:$M,'Inputs Yr 2'!$F319,'NEI Lookups'!J:J)+SUMIF('NEI Lookups'!$N:$N,'Inputs Yr 2'!$F319,'NEI Lookups'!J:J)+SUMIF('NEI Lookups'!$O:$O,'Inputs Yr 2'!$F319,'NEI Lookups'!J:J)+SUMIF('NEI Lookups'!$P:$P,'Inputs Yr 2'!$F319,'NEI Lookups'!J:J)+SUMIF('NEI Lookups'!$Q:$Q,'Inputs Yr 2'!$F319,'NEI Lookups'!J:J)+SUMIF('NEI Lookups'!$R:$R,'Inputs Yr 2'!$F319,'NEI Lookups'!J:J)+SUMIF('NEI Lookups'!$S:$S,'Inputs Yr 2'!$F319,'NEI Lookups'!J:J)+SUMIF('NEI Lookups'!$T:$T,'Inputs Yr 2'!$F319,'NEI Lookups'!J:J)</f>
        <v>0</v>
      </c>
      <c r="AY319" s="930">
        <f>'Calculations Yr 2'!CP319/'Calculations Yr 2'!I319</f>
        <v>0.42604372817893132</v>
      </c>
    </row>
    <row r="320" spans="1:51" s="133" customFormat="1" ht="12.75" customHeight="1">
      <c r="A320" s="145" t="s">
        <v>83</v>
      </c>
      <c r="B320" s="132" t="s">
        <v>870</v>
      </c>
      <c r="C320" s="132" t="s">
        <v>659</v>
      </c>
      <c r="D320" s="902" t="s">
        <v>1579</v>
      </c>
      <c r="E320" s="656" t="s">
        <v>799</v>
      </c>
      <c r="F320" s="150" t="s">
        <v>1178</v>
      </c>
      <c r="G320" s="145" t="s">
        <v>89</v>
      </c>
      <c r="H320" s="165">
        <v>4</v>
      </c>
      <c r="I320" s="236">
        <v>15</v>
      </c>
      <c r="J320" s="964">
        <v>5.6</v>
      </c>
      <c r="K320" s="166">
        <v>5.6</v>
      </c>
      <c r="L320" s="888">
        <f t="shared" si="107"/>
        <v>0</v>
      </c>
      <c r="M320" s="980">
        <v>0.30099999999999999</v>
      </c>
      <c r="N320" s="980">
        <v>0.14699999999999999</v>
      </c>
      <c r="O320" s="980">
        <v>0</v>
      </c>
      <c r="P320" s="889">
        <v>0.84600000000000009</v>
      </c>
      <c r="Q320" s="978">
        <v>1</v>
      </c>
      <c r="R320" s="178">
        <v>1</v>
      </c>
      <c r="S320" s="178">
        <v>1</v>
      </c>
      <c r="T320" s="178">
        <v>1</v>
      </c>
      <c r="U320" s="978">
        <v>1</v>
      </c>
      <c r="V320" s="978">
        <v>1</v>
      </c>
      <c r="W320" s="179"/>
      <c r="X320" s="937" t="s">
        <v>653</v>
      </c>
      <c r="Y320" s="299">
        <f>IFERROR(VLOOKUP($X320,'Demand Lookups'!$A$5:$K$101,9,0), 0)</f>
        <v>0</v>
      </c>
      <c r="Z320" s="922" t="str">
        <f>IFERROR(VLOOKUP(X320,'Demand Lookups'!$A$5:$B$101,2,0),0)</f>
        <v>Non-Electric Measures</v>
      </c>
      <c r="AA320" s="722">
        <v>0</v>
      </c>
      <c r="AB320" s="722">
        <v>0</v>
      </c>
      <c r="AC320" s="722">
        <v>0</v>
      </c>
      <c r="AD320" s="723">
        <v>0</v>
      </c>
      <c r="AE320" s="837">
        <f t="shared" si="128"/>
        <v>0</v>
      </c>
      <c r="AF320" s="723">
        <v>0</v>
      </c>
      <c r="AG320" s="723">
        <v>0</v>
      </c>
      <c r="AH320" s="648">
        <v>0</v>
      </c>
      <c r="AI320" s="648">
        <v>0</v>
      </c>
      <c r="AJ320" s="167" t="s">
        <v>406</v>
      </c>
      <c r="AK320" s="168">
        <v>0.36</v>
      </c>
      <c r="AL320" s="167"/>
      <c r="AM320" s="168"/>
      <c r="AN320" s="167"/>
      <c r="AO320" s="168"/>
      <c r="AP320" s="167"/>
      <c r="AQ320" s="171"/>
      <c r="AR320" s="171"/>
      <c r="AS320" s="299">
        <f>SUMIF('NEI Lookups'!$L:$L,'Inputs Yr 2'!$F320,'NEI Lookups'!E:E)+SUMIF('NEI Lookups'!$M:$M,'Inputs Yr 2'!$F320,'NEI Lookups'!E:E)+SUMIF('NEI Lookups'!$N:$N,'Inputs Yr 2'!$F320,'NEI Lookups'!E:E)+SUMIF('NEI Lookups'!$O:$O,'Inputs Yr 2'!$F320,'NEI Lookups'!E:E)+SUMIF('NEI Lookups'!$P:$P,'Inputs Yr 2'!$F320,'NEI Lookups'!E:E)+SUMIF('NEI Lookups'!$Q:$Q,'Inputs Yr 2'!$F320,'NEI Lookups'!E:E)+SUMIF('NEI Lookups'!$R:$R,'Inputs Yr 2'!$F320,'NEI Lookups'!E:E)+SUMIF('NEI Lookups'!$S:$S,'Inputs Yr 2'!$F320,'NEI Lookups'!E:E)+SUMIF('NEI Lookups'!$T:$T,'Inputs Yr 2'!$F320,'NEI Lookups'!E:E)</f>
        <v>0</v>
      </c>
      <c r="AT320" s="299">
        <f>SUMIF('NEI Lookups'!$L:$L,'Inputs Yr 2'!$F320,'NEI Lookups'!F:F)+SUMIF('NEI Lookups'!$M:$M,'Inputs Yr 2'!$F320,'NEI Lookups'!F:F)+SUMIF('NEI Lookups'!$N:$N,'Inputs Yr 2'!$F320,'NEI Lookups'!F:F)+SUMIF('NEI Lookups'!$O:$O,'Inputs Yr 2'!$F320,'NEI Lookups'!F:F)+SUMIF('NEI Lookups'!$P:$P,'Inputs Yr 2'!$F320,'NEI Lookups'!F:F)+SUMIF('NEI Lookups'!$Q:$Q,'Inputs Yr 2'!$F320,'NEI Lookups'!F:F)+SUMIF('NEI Lookups'!$R:$R,'Inputs Yr 2'!$F320,'NEI Lookups'!F:F)+SUMIF('NEI Lookups'!$S:$S,'Inputs Yr 2'!$F320,'NEI Lookups'!F:F)+SUMIF('NEI Lookups'!$T:$T,'Inputs Yr 2'!$F320,'NEI Lookups'!F:F)</f>
        <v>0</v>
      </c>
      <c r="AU320" s="299">
        <f>SUMIF('NEI Lookups'!$L:$L,'Inputs Yr 2'!$F320,'NEI Lookups'!G:G)+SUMIF('NEI Lookups'!$M:$M,'Inputs Yr 2'!$F320,'NEI Lookups'!G:G)+SUMIF('NEI Lookups'!$N:$N,'Inputs Yr 2'!$F320,'NEI Lookups'!G:G)+SUMIF('NEI Lookups'!$O:$O,'Inputs Yr 2'!$F320,'NEI Lookups'!G:G)+SUMIF('NEI Lookups'!$P:$P,'Inputs Yr 2'!$F320,'NEI Lookups'!G:G)+SUMIF('NEI Lookups'!$Q:$Q,'Inputs Yr 2'!$F320,'NEI Lookups'!G:G)+SUMIF('NEI Lookups'!$R:$R,'Inputs Yr 2'!$F320,'NEI Lookups'!G:G)+SUMIF('NEI Lookups'!$S:$S,'Inputs Yr 2'!$F320,'NEI Lookups'!G:G)+SUMIF('NEI Lookups'!$T:$T,'Inputs Yr 2'!$F320,'NEI Lookups'!G:G)</f>
        <v>0</v>
      </c>
      <c r="AV320" s="299">
        <f>SUMIF('NEI Lookups'!$L:$L,'Inputs Yr 2'!$F320,'NEI Lookups'!H:H)+SUMIF('NEI Lookups'!$M:$M,'Inputs Yr 2'!$F320,'NEI Lookups'!H:H)+SUMIF('NEI Lookups'!$N:$N,'Inputs Yr 2'!$F320,'NEI Lookups'!H:H)+SUMIF('NEI Lookups'!$O:$O,'Inputs Yr 2'!$F320,'NEI Lookups'!H:H)+SUMIF('NEI Lookups'!$P:$P,'Inputs Yr 2'!$F320,'NEI Lookups'!H:H)+SUMIF('NEI Lookups'!$Q:$Q,'Inputs Yr 2'!$F320,'NEI Lookups'!H:H)+SUMIF('NEI Lookups'!$R:$R,'Inputs Yr 2'!$F320,'NEI Lookups'!H:H)+SUMIF('NEI Lookups'!$S:$S,'Inputs Yr 2'!$F320,'NEI Lookups'!H:H)+SUMIF('NEI Lookups'!$T:$T,'Inputs Yr 2'!$F320,'NEI Lookups'!H:H)</f>
        <v>0</v>
      </c>
      <c r="AW320" s="299">
        <f>SUMIF('NEI Lookups'!$L:$L,'Inputs Yr 2'!$F320,'NEI Lookups'!I:I)+SUMIF('NEI Lookups'!$M:$M,'Inputs Yr 2'!$F320,'NEI Lookups'!I:I)+SUMIF('NEI Lookups'!$N:$N,'Inputs Yr 2'!$F320,'NEI Lookups'!I:I)+SUMIF('NEI Lookups'!$O:$O,'Inputs Yr 2'!$F320,'NEI Lookups'!I:I)+SUMIF('NEI Lookups'!$P:$P,'Inputs Yr 2'!$F320,'NEI Lookups'!I:I)+SUMIF('NEI Lookups'!$Q:$Q,'Inputs Yr 2'!$F320,'NEI Lookups'!I:I)+SUMIF('NEI Lookups'!$R:$R,'Inputs Yr 2'!$F320,'NEI Lookups'!I:I)+SUMIF('NEI Lookups'!$S:$S,'Inputs Yr 2'!$F320,'NEI Lookups'!I:I)+SUMIF('NEI Lookups'!$T:$T,'Inputs Yr 2'!$F320,'NEI Lookups'!I:I)</f>
        <v>0</v>
      </c>
      <c r="AX320" s="299">
        <f>SUMIF('NEI Lookups'!$L:$L,'Inputs Yr 2'!$F320,'NEI Lookups'!J:J)+SUMIF('NEI Lookups'!$M:$M,'Inputs Yr 2'!$F320,'NEI Lookups'!J:J)+SUMIF('NEI Lookups'!$N:$N,'Inputs Yr 2'!$F320,'NEI Lookups'!J:J)+SUMIF('NEI Lookups'!$O:$O,'Inputs Yr 2'!$F320,'NEI Lookups'!J:J)+SUMIF('NEI Lookups'!$P:$P,'Inputs Yr 2'!$F320,'NEI Lookups'!J:J)+SUMIF('NEI Lookups'!$Q:$Q,'Inputs Yr 2'!$F320,'NEI Lookups'!J:J)+SUMIF('NEI Lookups'!$R:$R,'Inputs Yr 2'!$F320,'NEI Lookups'!J:J)+SUMIF('NEI Lookups'!$S:$S,'Inputs Yr 2'!$F320,'NEI Lookups'!J:J)+SUMIF('NEI Lookups'!$T:$T,'Inputs Yr 2'!$F320,'NEI Lookups'!J:J)</f>
        <v>0</v>
      </c>
      <c r="AY320" s="930">
        <f>'Calculations Yr 2'!CP320/'Calculations Yr 2'!I320</f>
        <v>7.4222903787743828</v>
      </c>
    </row>
    <row r="321" spans="1:51" s="133" customFormat="1" ht="12.75" customHeight="1">
      <c r="A321" s="145" t="s">
        <v>83</v>
      </c>
      <c r="B321" s="132" t="s">
        <v>870</v>
      </c>
      <c r="C321" s="132" t="s">
        <v>659</v>
      </c>
      <c r="D321" s="902"/>
      <c r="E321" s="656" t="s">
        <v>800</v>
      </c>
      <c r="F321" s="150" t="s">
        <v>1179</v>
      </c>
      <c r="G321" s="145" t="s">
        <v>1247</v>
      </c>
      <c r="H321" s="165"/>
      <c r="I321" s="236">
        <v>15</v>
      </c>
      <c r="J321" s="964"/>
      <c r="K321" s="166"/>
      <c r="L321" s="888">
        <f t="shared" si="107"/>
        <v>0</v>
      </c>
      <c r="M321" s="980">
        <v>0.30099999999999999</v>
      </c>
      <c r="N321" s="980">
        <v>0.14699999999999999</v>
      </c>
      <c r="O321" s="980">
        <v>0</v>
      </c>
      <c r="P321" s="889">
        <v>0.84600000000000009</v>
      </c>
      <c r="Q321" s="978">
        <v>1</v>
      </c>
      <c r="R321" s="178">
        <v>1</v>
      </c>
      <c r="S321" s="178">
        <v>1</v>
      </c>
      <c r="T321" s="178">
        <v>1</v>
      </c>
      <c r="U321" s="978">
        <v>0</v>
      </c>
      <c r="V321" s="978">
        <v>0</v>
      </c>
      <c r="W321" s="179"/>
      <c r="X321" s="937" t="s">
        <v>653</v>
      </c>
      <c r="Y321" s="299">
        <f>IFERROR(VLOOKUP($X321,'Demand Lookups'!$A$5:$K$101,9,0), 0)</f>
        <v>0</v>
      </c>
      <c r="Z321" s="922" t="str">
        <f>IFERROR(VLOOKUP(X321,'Demand Lookups'!$A$5:$B$101,2,0),0)</f>
        <v>Non-Electric Measures</v>
      </c>
      <c r="AA321" s="722">
        <v>0</v>
      </c>
      <c r="AB321" s="722">
        <v>0</v>
      </c>
      <c r="AC321" s="722">
        <v>0</v>
      </c>
      <c r="AD321" s="723">
        <v>0</v>
      </c>
      <c r="AE321" s="837">
        <f t="shared" si="128"/>
        <v>0</v>
      </c>
      <c r="AF321" s="723">
        <v>0</v>
      </c>
      <c r="AG321" s="723">
        <v>0</v>
      </c>
      <c r="AH321" s="648">
        <v>0</v>
      </c>
      <c r="AI321" s="648">
        <v>0</v>
      </c>
      <c r="AJ321" s="167" t="s">
        <v>87</v>
      </c>
      <c r="AK321" s="168">
        <v>0.21</v>
      </c>
      <c r="AL321" s="167"/>
      <c r="AM321" s="168"/>
      <c r="AN321" s="167"/>
      <c r="AO321" s="168"/>
      <c r="AP321" s="167"/>
      <c r="AQ321" s="171"/>
      <c r="AR321" s="171"/>
      <c r="AS321" s="299">
        <f>SUMIF('NEI Lookups'!$L:$L,'Inputs Yr 2'!$F321,'NEI Lookups'!E:E)+SUMIF('NEI Lookups'!$M:$M,'Inputs Yr 2'!$F321,'NEI Lookups'!E:E)+SUMIF('NEI Lookups'!$N:$N,'Inputs Yr 2'!$F321,'NEI Lookups'!E:E)+SUMIF('NEI Lookups'!$O:$O,'Inputs Yr 2'!$F321,'NEI Lookups'!E:E)+SUMIF('NEI Lookups'!$P:$P,'Inputs Yr 2'!$F321,'NEI Lookups'!E:E)+SUMIF('NEI Lookups'!$Q:$Q,'Inputs Yr 2'!$F321,'NEI Lookups'!E:E)+SUMIF('NEI Lookups'!$R:$R,'Inputs Yr 2'!$F321,'NEI Lookups'!E:E)+SUMIF('NEI Lookups'!$S:$S,'Inputs Yr 2'!$F321,'NEI Lookups'!E:E)+SUMIF('NEI Lookups'!$T:$T,'Inputs Yr 2'!$F321,'NEI Lookups'!E:E)</f>
        <v>0</v>
      </c>
      <c r="AT321" s="299">
        <f>SUMIF('NEI Lookups'!$L:$L,'Inputs Yr 2'!$F321,'NEI Lookups'!F:F)+SUMIF('NEI Lookups'!$M:$M,'Inputs Yr 2'!$F321,'NEI Lookups'!F:F)+SUMIF('NEI Lookups'!$N:$N,'Inputs Yr 2'!$F321,'NEI Lookups'!F:F)+SUMIF('NEI Lookups'!$O:$O,'Inputs Yr 2'!$F321,'NEI Lookups'!F:F)+SUMIF('NEI Lookups'!$P:$P,'Inputs Yr 2'!$F321,'NEI Lookups'!F:F)+SUMIF('NEI Lookups'!$Q:$Q,'Inputs Yr 2'!$F321,'NEI Lookups'!F:F)+SUMIF('NEI Lookups'!$R:$R,'Inputs Yr 2'!$F321,'NEI Lookups'!F:F)+SUMIF('NEI Lookups'!$S:$S,'Inputs Yr 2'!$F321,'NEI Lookups'!F:F)+SUMIF('NEI Lookups'!$T:$T,'Inputs Yr 2'!$F321,'NEI Lookups'!F:F)</f>
        <v>0</v>
      </c>
      <c r="AU321" s="299">
        <f>SUMIF('NEI Lookups'!$L:$L,'Inputs Yr 2'!$F321,'NEI Lookups'!G:G)+SUMIF('NEI Lookups'!$M:$M,'Inputs Yr 2'!$F321,'NEI Lookups'!G:G)+SUMIF('NEI Lookups'!$N:$N,'Inputs Yr 2'!$F321,'NEI Lookups'!G:G)+SUMIF('NEI Lookups'!$O:$O,'Inputs Yr 2'!$F321,'NEI Lookups'!G:G)+SUMIF('NEI Lookups'!$P:$P,'Inputs Yr 2'!$F321,'NEI Lookups'!G:G)+SUMIF('NEI Lookups'!$Q:$Q,'Inputs Yr 2'!$F321,'NEI Lookups'!G:G)+SUMIF('NEI Lookups'!$R:$R,'Inputs Yr 2'!$F321,'NEI Lookups'!G:G)+SUMIF('NEI Lookups'!$S:$S,'Inputs Yr 2'!$F321,'NEI Lookups'!G:G)+SUMIF('NEI Lookups'!$T:$T,'Inputs Yr 2'!$F321,'NEI Lookups'!G:G)</f>
        <v>0</v>
      </c>
      <c r="AV321" s="299">
        <f>SUMIF('NEI Lookups'!$L:$L,'Inputs Yr 2'!$F321,'NEI Lookups'!H:H)+SUMIF('NEI Lookups'!$M:$M,'Inputs Yr 2'!$F321,'NEI Lookups'!H:H)+SUMIF('NEI Lookups'!$N:$N,'Inputs Yr 2'!$F321,'NEI Lookups'!H:H)+SUMIF('NEI Lookups'!$O:$O,'Inputs Yr 2'!$F321,'NEI Lookups'!H:H)+SUMIF('NEI Lookups'!$P:$P,'Inputs Yr 2'!$F321,'NEI Lookups'!H:H)+SUMIF('NEI Lookups'!$Q:$Q,'Inputs Yr 2'!$F321,'NEI Lookups'!H:H)+SUMIF('NEI Lookups'!$R:$R,'Inputs Yr 2'!$F321,'NEI Lookups'!H:H)+SUMIF('NEI Lookups'!$S:$S,'Inputs Yr 2'!$F321,'NEI Lookups'!H:H)+SUMIF('NEI Lookups'!$T:$T,'Inputs Yr 2'!$F321,'NEI Lookups'!H:H)</f>
        <v>0</v>
      </c>
      <c r="AW321" s="299">
        <f>SUMIF('NEI Lookups'!$L:$L,'Inputs Yr 2'!$F321,'NEI Lookups'!I:I)+SUMIF('NEI Lookups'!$M:$M,'Inputs Yr 2'!$F321,'NEI Lookups'!I:I)+SUMIF('NEI Lookups'!$N:$N,'Inputs Yr 2'!$F321,'NEI Lookups'!I:I)+SUMIF('NEI Lookups'!$O:$O,'Inputs Yr 2'!$F321,'NEI Lookups'!I:I)+SUMIF('NEI Lookups'!$P:$P,'Inputs Yr 2'!$F321,'NEI Lookups'!I:I)+SUMIF('NEI Lookups'!$Q:$Q,'Inputs Yr 2'!$F321,'NEI Lookups'!I:I)+SUMIF('NEI Lookups'!$R:$R,'Inputs Yr 2'!$F321,'NEI Lookups'!I:I)+SUMIF('NEI Lookups'!$S:$S,'Inputs Yr 2'!$F321,'NEI Lookups'!I:I)+SUMIF('NEI Lookups'!$T:$T,'Inputs Yr 2'!$F321,'NEI Lookups'!I:I)</f>
        <v>0</v>
      </c>
      <c r="AX321" s="299">
        <f>SUMIF('NEI Lookups'!$L:$L,'Inputs Yr 2'!$F321,'NEI Lookups'!J:J)+SUMIF('NEI Lookups'!$M:$M,'Inputs Yr 2'!$F321,'NEI Lookups'!J:J)+SUMIF('NEI Lookups'!$N:$N,'Inputs Yr 2'!$F321,'NEI Lookups'!J:J)+SUMIF('NEI Lookups'!$O:$O,'Inputs Yr 2'!$F321,'NEI Lookups'!J:J)+SUMIF('NEI Lookups'!$P:$P,'Inputs Yr 2'!$F321,'NEI Lookups'!J:J)+SUMIF('NEI Lookups'!$Q:$Q,'Inputs Yr 2'!$F321,'NEI Lookups'!J:J)+SUMIF('NEI Lookups'!$R:$R,'Inputs Yr 2'!$F321,'NEI Lookups'!J:J)+SUMIF('NEI Lookups'!$S:$S,'Inputs Yr 2'!$F321,'NEI Lookups'!J:J)+SUMIF('NEI Lookups'!$T:$T,'Inputs Yr 2'!$F321,'NEI Lookups'!J:J)</f>
        <v>0</v>
      </c>
      <c r="AY321" s="930" t="e">
        <f>'Calculations Yr 2'!CP321/'Calculations Yr 2'!I321</f>
        <v>#VALUE!</v>
      </c>
    </row>
    <row r="322" spans="1:51" s="133" customFormat="1" ht="12.75" customHeight="1">
      <c r="A322" s="145" t="s">
        <v>83</v>
      </c>
      <c r="B322" s="132" t="s">
        <v>870</v>
      </c>
      <c r="C322" s="132" t="s">
        <v>659</v>
      </c>
      <c r="D322" s="902"/>
      <c r="E322" s="656" t="s">
        <v>801</v>
      </c>
      <c r="F322" s="150" t="s">
        <v>1180</v>
      </c>
      <c r="G322" s="145" t="s">
        <v>1247</v>
      </c>
      <c r="H322" s="165"/>
      <c r="I322" s="236">
        <v>15</v>
      </c>
      <c r="J322" s="964"/>
      <c r="K322" s="166"/>
      <c r="L322" s="888">
        <f t="shared" si="107"/>
        <v>0</v>
      </c>
      <c r="M322" s="980">
        <v>0.30099999999999999</v>
      </c>
      <c r="N322" s="980">
        <v>0.14699999999999999</v>
      </c>
      <c r="O322" s="980">
        <v>0</v>
      </c>
      <c r="P322" s="889">
        <v>0.84600000000000009</v>
      </c>
      <c r="Q322" s="978">
        <v>1</v>
      </c>
      <c r="R322" s="178">
        <v>1</v>
      </c>
      <c r="S322" s="178">
        <v>1</v>
      </c>
      <c r="T322" s="178">
        <v>1</v>
      </c>
      <c r="U322" s="978">
        <v>0</v>
      </c>
      <c r="V322" s="978">
        <v>0</v>
      </c>
      <c r="W322" s="179"/>
      <c r="X322" s="937" t="s">
        <v>653</v>
      </c>
      <c r="Y322" s="299">
        <f>IFERROR(VLOOKUP($X322,'Demand Lookups'!$A$5:$K$101,9,0), 0)</f>
        <v>0</v>
      </c>
      <c r="Z322" s="922" t="str">
        <f>IFERROR(VLOOKUP(X322,'Demand Lookups'!$A$5:$B$101,2,0),0)</f>
        <v>Non-Electric Measures</v>
      </c>
      <c r="AA322" s="722">
        <v>0</v>
      </c>
      <c r="AB322" s="722">
        <v>0</v>
      </c>
      <c r="AC322" s="722">
        <v>0</v>
      </c>
      <c r="AD322" s="723">
        <v>0</v>
      </c>
      <c r="AE322" s="837">
        <f t="shared" si="128"/>
        <v>0</v>
      </c>
      <c r="AF322" s="723">
        <v>0</v>
      </c>
      <c r="AG322" s="723">
        <v>0</v>
      </c>
      <c r="AH322" s="648">
        <v>0</v>
      </c>
      <c r="AI322" s="648">
        <v>0</v>
      </c>
      <c r="AJ322" s="167" t="s">
        <v>87</v>
      </c>
      <c r="AK322" s="168">
        <v>0.37</v>
      </c>
      <c r="AL322" s="167"/>
      <c r="AM322" s="168"/>
      <c r="AN322" s="167"/>
      <c r="AO322" s="168"/>
      <c r="AP322" s="167"/>
      <c r="AQ322" s="171"/>
      <c r="AR322" s="171"/>
      <c r="AS322" s="299">
        <f>SUMIF('NEI Lookups'!$L:$L,'Inputs Yr 2'!$F322,'NEI Lookups'!E:E)+SUMIF('NEI Lookups'!$M:$M,'Inputs Yr 2'!$F322,'NEI Lookups'!E:E)+SUMIF('NEI Lookups'!$N:$N,'Inputs Yr 2'!$F322,'NEI Lookups'!E:E)+SUMIF('NEI Lookups'!$O:$O,'Inputs Yr 2'!$F322,'NEI Lookups'!E:E)+SUMIF('NEI Lookups'!$P:$P,'Inputs Yr 2'!$F322,'NEI Lookups'!E:E)+SUMIF('NEI Lookups'!$Q:$Q,'Inputs Yr 2'!$F322,'NEI Lookups'!E:E)+SUMIF('NEI Lookups'!$R:$R,'Inputs Yr 2'!$F322,'NEI Lookups'!E:E)+SUMIF('NEI Lookups'!$S:$S,'Inputs Yr 2'!$F322,'NEI Lookups'!E:E)+SUMIF('NEI Lookups'!$T:$T,'Inputs Yr 2'!$F322,'NEI Lookups'!E:E)</f>
        <v>0</v>
      </c>
      <c r="AT322" s="299">
        <f>SUMIF('NEI Lookups'!$L:$L,'Inputs Yr 2'!$F322,'NEI Lookups'!F:F)+SUMIF('NEI Lookups'!$M:$M,'Inputs Yr 2'!$F322,'NEI Lookups'!F:F)+SUMIF('NEI Lookups'!$N:$N,'Inputs Yr 2'!$F322,'NEI Lookups'!F:F)+SUMIF('NEI Lookups'!$O:$O,'Inputs Yr 2'!$F322,'NEI Lookups'!F:F)+SUMIF('NEI Lookups'!$P:$P,'Inputs Yr 2'!$F322,'NEI Lookups'!F:F)+SUMIF('NEI Lookups'!$Q:$Q,'Inputs Yr 2'!$F322,'NEI Lookups'!F:F)+SUMIF('NEI Lookups'!$R:$R,'Inputs Yr 2'!$F322,'NEI Lookups'!F:F)+SUMIF('NEI Lookups'!$S:$S,'Inputs Yr 2'!$F322,'NEI Lookups'!F:F)+SUMIF('NEI Lookups'!$T:$T,'Inputs Yr 2'!$F322,'NEI Lookups'!F:F)</f>
        <v>0</v>
      </c>
      <c r="AU322" s="299">
        <f>SUMIF('NEI Lookups'!$L:$L,'Inputs Yr 2'!$F322,'NEI Lookups'!G:G)+SUMIF('NEI Lookups'!$M:$M,'Inputs Yr 2'!$F322,'NEI Lookups'!G:G)+SUMIF('NEI Lookups'!$N:$N,'Inputs Yr 2'!$F322,'NEI Lookups'!G:G)+SUMIF('NEI Lookups'!$O:$O,'Inputs Yr 2'!$F322,'NEI Lookups'!G:G)+SUMIF('NEI Lookups'!$P:$P,'Inputs Yr 2'!$F322,'NEI Lookups'!G:G)+SUMIF('NEI Lookups'!$Q:$Q,'Inputs Yr 2'!$F322,'NEI Lookups'!G:G)+SUMIF('NEI Lookups'!$R:$R,'Inputs Yr 2'!$F322,'NEI Lookups'!G:G)+SUMIF('NEI Lookups'!$S:$S,'Inputs Yr 2'!$F322,'NEI Lookups'!G:G)+SUMIF('NEI Lookups'!$T:$T,'Inputs Yr 2'!$F322,'NEI Lookups'!G:G)</f>
        <v>0</v>
      </c>
      <c r="AV322" s="299">
        <f>SUMIF('NEI Lookups'!$L:$L,'Inputs Yr 2'!$F322,'NEI Lookups'!H:H)+SUMIF('NEI Lookups'!$M:$M,'Inputs Yr 2'!$F322,'NEI Lookups'!H:H)+SUMIF('NEI Lookups'!$N:$N,'Inputs Yr 2'!$F322,'NEI Lookups'!H:H)+SUMIF('NEI Lookups'!$O:$O,'Inputs Yr 2'!$F322,'NEI Lookups'!H:H)+SUMIF('NEI Lookups'!$P:$P,'Inputs Yr 2'!$F322,'NEI Lookups'!H:H)+SUMIF('NEI Lookups'!$Q:$Q,'Inputs Yr 2'!$F322,'NEI Lookups'!H:H)+SUMIF('NEI Lookups'!$R:$R,'Inputs Yr 2'!$F322,'NEI Lookups'!H:H)+SUMIF('NEI Lookups'!$S:$S,'Inputs Yr 2'!$F322,'NEI Lookups'!H:H)+SUMIF('NEI Lookups'!$T:$T,'Inputs Yr 2'!$F322,'NEI Lookups'!H:H)</f>
        <v>0</v>
      </c>
      <c r="AW322" s="299">
        <f>SUMIF('NEI Lookups'!$L:$L,'Inputs Yr 2'!$F322,'NEI Lookups'!I:I)+SUMIF('NEI Lookups'!$M:$M,'Inputs Yr 2'!$F322,'NEI Lookups'!I:I)+SUMIF('NEI Lookups'!$N:$N,'Inputs Yr 2'!$F322,'NEI Lookups'!I:I)+SUMIF('NEI Lookups'!$O:$O,'Inputs Yr 2'!$F322,'NEI Lookups'!I:I)+SUMIF('NEI Lookups'!$P:$P,'Inputs Yr 2'!$F322,'NEI Lookups'!I:I)+SUMIF('NEI Lookups'!$Q:$Q,'Inputs Yr 2'!$F322,'NEI Lookups'!I:I)+SUMIF('NEI Lookups'!$R:$R,'Inputs Yr 2'!$F322,'NEI Lookups'!I:I)+SUMIF('NEI Lookups'!$S:$S,'Inputs Yr 2'!$F322,'NEI Lookups'!I:I)+SUMIF('NEI Lookups'!$T:$T,'Inputs Yr 2'!$F322,'NEI Lookups'!I:I)</f>
        <v>0</v>
      </c>
      <c r="AX322" s="299">
        <f>SUMIF('NEI Lookups'!$L:$L,'Inputs Yr 2'!$F322,'NEI Lookups'!J:J)+SUMIF('NEI Lookups'!$M:$M,'Inputs Yr 2'!$F322,'NEI Lookups'!J:J)+SUMIF('NEI Lookups'!$N:$N,'Inputs Yr 2'!$F322,'NEI Lookups'!J:J)+SUMIF('NEI Lookups'!$O:$O,'Inputs Yr 2'!$F322,'NEI Lookups'!J:J)+SUMIF('NEI Lookups'!$P:$P,'Inputs Yr 2'!$F322,'NEI Lookups'!J:J)+SUMIF('NEI Lookups'!$Q:$Q,'Inputs Yr 2'!$F322,'NEI Lookups'!J:J)+SUMIF('NEI Lookups'!$R:$R,'Inputs Yr 2'!$F322,'NEI Lookups'!J:J)+SUMIF('NEI Lookups'!$S:$S,'Inputs Yr 2'!$F322,'NEI Lookups'!J:J)+SUMIF('NEI Lookups'!$T:$T,'Inputs Yr 2'!$F322,'NEI Lookups'!J:J)</f>
        <v>0</v>
      </c>
      <c r="AY322" s="930" t="e">
        <f>'Calculations Yr 2'!CP322/'Calculations Yr 2'!I322</f>
        <v>#VALUE!</v>
      </c>
    </row>
    <row r="323" spans="1:51" s="133" customFormat="1" ht="12.75" customHeight="1">
      <c r="A323" s="145" t="s">
        <v>83</v>
      </c>
      <c r="B323" s="132" t="s">
        <v>870</v>
      </c>
      <c r="C323" s="132" t="s">
        <v>659</v>
      </c>
      <c r="D323" s="916"/>
      <c r="E323" s="98" t="s">
        <v>1319</v>
      </c>
      <c r="F323" s="150" t="s">
        <v>1181</v>
      </c>
      <c r="G323" s="145" t="s">
        <v>1247</v>
      </c>
      <c r="H323" s="165"/>
      <c r="I323" s="236">
        <v>15</v>
      </c>
      <c r="J323" s="964"/>
      <c r="K323" s="166"/>
      <c r="L323" s="888">
        <f t="shared" si="107"/>
        <v>0</v>
      </c>
      <c r="M323" s="980">
        <v>0.30099999999999999</v>
      </c>
      <c r="N323" s="980">
        <v>0.14699999999999999</v>
      </c>
      <c r="O323" s="980">
        <v>0</v>
      </c>
      <c r="P323" s="889">
        <v>0.84600000000000009</v>
      </c>
      <c r="Q323" s="978">
        <v>1</v>
      </c>
      <c r="R323" s="178">
        <v>1</v>
      </c>
      <c r="S323" s="178">
        <v>1</v>
      </c>
      <c r="T323" s="178">
        <v>1</v>
      </c>
      <c r="U323" s="978">
        <v>0</v>
      </c>
      <c r="V323" s="978">
        <v>0</v>
      </c>
      <c r="W323" s="179"/>
      <c r="X323" s="937" t="s">
        <v>653</v>
      </c>
      <c r="Y323" s="299">
        <f>IFERROR(VLOOKUP($X323,'Demand Lookups'!$A$5:$K$101,9,0), 0)</f>
        <v>0</v>
      </c>
      <c r="Z323" s="922" t="str">
        <f>IFERROR(VLOOKUP(X323,'Demand Lookups'!$A$5:$B$101,2,0),0)</f>
        <v>Non-Electric Measures</v>
      </c>
      <c r="AA323" s="867">
        <v>0</v>
      </c>
      <c r="AB323" s="867">
        <v>0</v>
      </c>
      <c r="AC323" s="867">
        <v>0</v>
      </c>
      <c r="AD323" s="868">
        <v>0</v>
      </c>
      <c r="AE323" s="837">
        <f t="shared" si="128"/>
        <v>0</v>
      </c>
      <c r="AF323" s="868">
        <v>0</v>
      </c>
      <c r="AG323" s="868">
        <v>0</v>
      </c>
      <c r="AH323" s="648">
        <v>0</v>
      </c>
      <c r="AI323" s="648">
        <v>0</v>
      </c>
      <c r="AJ323" s="167" t="s">
        <v>87</v>
      </c>
      <c r="AK323" s="168">
        <v>35.5</v>
      </c>
      <c r="AL323" s="167"/>
      <c r="AM323" s="168"/>
      <c r="AN323" s="167"/>
      <c r="AO323" s="168"/>
      <c r="AP323" s="167"/>
      <c r="AQ323" s="171"/>
      <c r="AR323" s="171"/>
      <c r="AS323" s="299">
        <f>SUMIF('NEI Lookups'!$L:$L,'Inputs Yr 2'!$F323,'NEI Lookups'!E:E)+SUMIF('NEI Lookups'!$M:$M,'Inputs Yr 2'!$F323,'NEI Lookups'!E:E)+SUMIF('NEI Lookups'!$N:$N,'Inputs Yr 2'!$F323,'NEI Lookups'!E:E)+SUMIF('NEI Lookups'!$O:$O,'Inputs Yr 2'!$F323,'NEI Lookups'!E:E)+SUMIF('NEI Lookups'!$P:$P,'Inputs Yr 2'!$F323,'NEI Lookups'!E:E)+SUMIF('NEI Lookups'!$Q:$Q,'Inputs Yr 2'!$F323,'NEI Lookups'!E:E)+SUMIF('NEI Lookups'!$R:$R,'Inputs Yr 2'!$F323,'NEI Lookups'!E:E)+SUMIF('NEI Lookups'!$S:$S,'Inputs Yr 2'!$F323,'NEI Lookups'!E:E)+SUMIF('NEI Lookups'!$T:$T,'Inputs Yr 2'!$F323,'NEI Lookups'!E:E)</f>
        <v>0</v>
      </c>
      <c r="AT323" s="299">
        <f>SUMIF('NEI Lookups'!$L:$L,'Inputs Yr 2'!$F323,'NEI Lookups'!F:F)+SUMIF('NEI Lookups'!$M:$M,'Inputs Yr 2'!$F323,'NEI Lookups'!F:F)+SUMIF('NEI Lookups'!$N:$N,'Inputs Yr 2'!$F323,'NEI Lookups'!F:F)+SUMIF('NEI Lookups'!$O:$O,'Inputs Yr 2'!$F323,'NEI Lookups'!F:F)+SUMIF('NEI Lookups'!$P:$P,'Inputs Yr 2'!$F323,'NEI Lookups'!F:F)+SUMIF('NEI Lookups'!$Q:$Q,'Inputs Yr 2'!$F323,'NEI Lookups'!F:F)+SUMIF('NEI Lookups'!$R:$R,'Inputs Yr 2'!$F323,'NEI Lookups'!F:F)+SUMIF('NEI Lookups'!$S:$S,'Inputs Yr 2'!$F323,'NEI Lookups'!F:F)+SUMIF('NEI Lookups'!$T:$T,'Inputs Yr 2'!$F323,'NEI Lookups'!F:F)</f>
        <v>0</v>
      </c>
      <c r="AU323" s="299">
        <f>SUMIF('NEI Lookups'!$L:$L,'Inputs Yr 2'!$F323,'NEI Lookups'!G:G)+SUMIF('NEI Lookups'!$M:$M,'Inputs Yr 2'!$F323,'NEI Lookups'!G:G)+SUMIF('NEI Lookups'!$N:$N,'Inputs Yr 2'!$F323,'NEI Lookups'!G:G)+SUMIF('NEI Lookups'!$O:$O,'Inputs Yr 2'!$F323,'NEI Lookups'!G:G)+SUMIF('NEI Lookups'!$P:$P,'Inputs Yr 2'!$F323,'NEI Lookups'!G:G)+SUMIF('NEI Lookups'!$Q:$Q,'Inputs Yr 2'!$F323,'NEI Lookups'!G:G)+SUMIF('NEI Lookups'!$R:$R,'Inputs Yr 2'!$F323,'NEI Lookups'!G:G)+SUMIF('NEI Lookups'!$S:$S,'Inputs Yr 2'!$F323,'NEI Lookups'!G:G)+SUMIF('NEI Lookups'!$T:$T,'Inputs Yr 2'!$F323,'NEI Lookups'!G:G)</f>
        <v>0</v>
      </c>
      <c r="AV323" s="299">
        <f>SUMIF('NEI Lookups'!$L:$L,'Inputs Yr 2'!$F323,'NEI Lookups'!H:H)+SUMIF('NEI Lookups'!$M:$M,'Inputs Yr 2'!$F323,'NEI Lookups'!H:H)+SUMIF('NEI Lookups'!$N:$N,'Inputs Yr 2'!$F323,'NEI Lookups'!H:H)+SUMIF('NEI Lookups'!$O:$O,'Inputs Yr 2'!$F323,'NEI Lookups'!H:H)+SUMIF('NEI Lookups'!$P:$P,'Inputs Yr 2'!$F323,'NEI Lookups'!H:H)+SUMIF('NEI Lookups'!$Q:$Q,'Inputs Yr 2'!$F323,'NEI Lookups'!H:H)+SUMIF('NEI Lookups'!$R:$R,'Inputs Yr 2'!$F323,'NEI Lookups'!H:H)+SUMIF('NEI Lookups'!$S:$S,'Inputs Yr 2'!$F323,'NEI Lookups'!H:H)+SUMIF('NEI Lookups'!$T:$T,'Inputs Yr 2'!$F323,'NEI Lookups'!H:H)</f>
        <v>0</v>
      </c>
      <c r="AW323" s="299">
        <f>SUMIF('NEI Lookups'!$L:$L,'Inputs Yr 2'!$F323,'NEI Lookups'!I:I)+SUMIF('NEI Lookups'!$M:$M,'Inputs Yr 2'!$F323,'NEI Lookups'!I:I)+SUMIF('NEI Lookups'!$N:$N,'Inputs Yr 2'!$F323,'NEI Lookups'!I:I)+SUMIF('NEI Lookups'!$O:$O,'Inputs Yr 2'!$F323,'NEI Lookups'!I:I)+SUMIF('NEI Lookups'!$P:$P,'Inputs Yr 2'!$F323,'NEI Lookups'!I:I)+SUMIF('NEI Lookups'!$Q:$Q,'Inputs Yr 2'!$F323,'NEI Lookups'!I:I)+SUMIF('NEI Lookups'!$R:$R,'Inputs Yr 2'!$F323,'NEI Lookups'!I:I)+SUMIF('NEI Lookups'!$S:$S,'Inputs Yr 2'!$F323,'NEI Lookups'!I:I)+SUMIF('NEI Lookups'!$T:$T,'Inputs Yr 2'!$F323,'NEI Lookups'!I:I)</f>
        <v>1.35</v>
      </c>
      <c r="AX323" s="299">
        <f>SUMIF('NEI Lookups'!$L:$L,'Inputs Yr 2'!$F323,'NEI Lookups'!J:J)+SUMIF('NEI Lookups'!$M:$M,'Inputs Yr 2'!$F323,'NEI Lookups'!J:J)+SUMIF('NEI Lookups'!$N:$N,'Inputs Yr 2'!$F323,'NEI Lookups'!J:J)+SUMIF('NEI Lookups'!$O:$O,'Inputs Yr 2'!$F323,'NEI Lookups'!J:J)+SUMIF('NEI Lookups'!$P:$P,'Inputs Yr 2'!$F323,'NEI Lookups'!J:J)+SUMIF('NEI Lookups'!$Q:$Q,'Inputs Yr 2'!$F323,'NEI Lookups'!J:J)+SUMIF('NEI Lookups'!$R:$R,'Inputs Yr 2'!$F323,'NEI Lookups'!J:J)+SUMIF('NEI Lookups'!$S:$S,'Inputs Yr 2'!$F323,'NEI Lookups'!J:J)+SUMIF('NEI Lookups'!$T:$T,'Inputs Yr 2'!$F323,'NEI Lookups'!J:J)</f>
        <v>0</v>
      </c>
      <c r="AY323" s="930" t="e">
        <f>'Calculations Yr 2'!CP323/'Calculations Yr 2'!I323</f>
        <v>#VALUE!</v>
      </c>
    </row>
    <row r="324" spans="1:51" s="133" customFormat="1" ht="12.75" customHeight="1">
      <c r="A324" s="145" t="s">
        <v>83</v>
      </c>
      <c r="B324" s="132" t="s">
        <v>870</v>
      </c>
      <c r="C324" s="132" t="s">
        <v>659</v>
      </c>
      <c r="D324" s="933"/>
      <c r="E324" s="934" t="s">
        <v>1507</v>
      </c>
      <c r="F324" s="145" t="s">
        <v>1276</v>
      </c>
      <c r="G324" s="145" t="s">
        <v>1247</v>
      </c>
      <c r="H324" s="165">
        <v>1</v>
      </c>
      <c r="I324" s="236">
        <v>10</v>
      </c>
      <c r="J324" s="964">
        <v>13160</v>
      </c>
      <c r="K324" s="938">
        <v>9870</v>
      </c>
      <c r="L324" s="939">
        <f t="shared" si="107"/>
        <v>3290</v>
      </c>
      <c r="M324" s="986">
        <v>0.11</v>
      </c>
      <c r="N324" s="987">
        <v>2.6000000000000002E-2</v>
      </c>
      <c r="O324" s="980">
        <v>3.0000000000000001E-3</v>
      </c>
      <c r="P324" s="889">
        <f t="shared" ref="P324" si="134">1-M324+N324+O324</f>
        <v>0.91900000000000004</v>
      </c>
      <c r="Q324" s="978">
        <v>1</v>
      </c>
      <c r="R324" s="178">
        <v>1</v>
      </c>
      <c r="S324" s="178">
        <v>1</v>
      </c>
      <c r="T324" s="178">
        <v>1</v>
      </c>
      <c r="U324" s="978">
        <v>0.77900000000000003</v>
      </c>
      <c r="V324" s="978">
        <v>1</v>
      </c>
      <c r="W324" s="179"/>
      <c r="X324" s="937" t="s">
        <v>653</v>
      </c>
      <c r="Y324" s="299">
        <f>IFERROR(VLOOKUP($X324,'Demand Lookups'!$A$5:$K$101,9,0), 0)</f>
        <v>0</v>
      </c>
      <c r="Z324" s="922" t="str">
        <f>IFERROR(VLOOKUP(X324,'Demand Lookups'!$A$5:$B$101,2,0),0)</f>
        <v>Non-Electric Measures</v>
      </c>
      <c r="AA324" s="910">
        <f>IF(ISNA(VLOOKUP($X324,'Demand Lookups'!$A$5:$K$81,3,0)),0,VLOOKUP($X324,'Demand Lookups'!$A$5:$K$81,3,0))</f>
        <v>0</v>
      </c>
      <c r="AB324" s="910">
        <f>IF(ISNA(VLOOKUP($X324,'Demand Lookups'!$A$5:$K$81,4,0)),0,VLOOKUP($X324,'Demand Lookups'!$A$5:$K$81,4,0))</f>
        <v>0</v>
      </c>
      <c r="AC324" s="910">
        <f>IF(ISNA(VLOOKUP($X324,'Demand Lookups'!$A$5:$K$81,5,0)),0,VLOOKUP($X324,'Demand Lookups'!$A$5:$K$81,5,0))</f>
        <v>0</v>
      </c>
      <c r="AD324" s="648">
        <f>IF(ISNA(VLOOKUP($X324,'Demand Lookups'!$A$5:$K$81,6,0)),0,VLOOKUP($X324,'Demand Lookups'!$A$5:$K$81,6,0))</f>
        <v>0</v>
      </c>
      <c r="AE324" s="911">
        <f t="shared" ref="AE324" si="135">IF(ISERROR(W324*Y324),"",W324*Y324)</f>
        <v>0</v>
      </c>
      <c r="AF324" s="648">
        <f>ROUND(IF(ISNA(VLOOKUP($X324,'Demand Lookups'!$A$5:$K$82,10,0)),0,(VLOOKUP($X324,'Demand Lookups'!$A$5:$K$82,10,0))),2)</f>
        <v>0</v>
      </c>
      <c r="AG324" s="648">
        <f>ROUND(IF(ISNA(VLOOKUP($X324,'Demand Lookups'!$A$5:$K$82,11,0)),0,VLOOKUP($X324,'Demand Lookups'!$A$5:$K$82,11,0)),2)</f>
        <v>0</v>
      </c>
      <c r="AH324" s="648">
        <f t="shared" ref="AH324" si="136">AF324</f>
        <v>0</v>
      </c>
      <c r="AI324" s="648">
        <f t="shared" ref="AI324" si="137">AF324</f>
        <v>0</v>
      </c>
      <c r="AJ324" s="167" t="s">
        <v>87</v>
      </c>
      <c r="AK324" s="168">
        <v>180.8</v>
      </c>
      <c r="AL324" s="649"/>
      <c r="AM324" s="168"/>
      <c r="AN324" s="167"/>
      <c r="AO324" s="168"/>
      <c r="AP324" s="167"/>
      <c r="AQ324" s="171"/>
      <c r="AR324" s="171"/>
      <c r="AS324" s="299">
        <f>SUMIF('NEI Lookups'!$L:$L,'Inputs Yr 2'!$F324,'NEI Lookups'!E:E)+SUMIF('NEI Lookups'!$M:$M,'Inputs Yr 2'!$F324,'NEI Lookups'!E:E)+SUMIF('NEI Lookups'!$N:$N,'Inputs Yr 2'!$F324,'NEI Lookups'!E:E)+SUMIF('NEI Lookups'!$O:$O,'Inputs Yr 2'!$F324,'NEI Lookups'!E:E)+SUMIF('NEI Lookups'!$P:$P,'Inputs Yr 2'!$F324,'NEI Lookups'!E:E)+SUMIF('NEI Lookups'!$Q:$Q,'Inputs Yr 2'!$F324,'NEI Lookups'!E:E)+SUMIF('NEI Lookups'!$R:$R,'Inputs Yr 2'!$F324,'NEI Lookups'!E:E)+SUMIF('NEI Lookups'!$S:$S,'Inputs Yr 2'!$F324,'NEI Lookups'!E:E)+SUMIF('NEI Lookups'!$T:$T,'Inputs Yr 2'!$F324,'NEI Lookups'!E:E)</f>
        <v>0</v>
      </c>
      <c r="AT324" s="299">
        <f>SUMIF('NEI Lookups'!$L:$L,'Inputs Yr 2'!$F324,'NEI Lookups'!F:F)+SUMIF('NEI Lookups'!$M:$M,'Inputs Yr 2'!$F324,'NEI Lookups'!F:F)+SUMIF('NEI Lookups'!$N:$N,'Inputs Yr 2'!$F324,'NEI Lookups'!F:F)+SUMIF('NEI Lookups'!$O:$O,'Inputs Yr 2'!$F324,'NEI Lookups'!F:F)+SUMIF('NEI Lookups'!$P:$P,'Inputs Yr 2'!$F324,'NEI Lookups'!F:F)+SUMIF('NEI Lookups'!$Q:$Q,'Inputs Yr 2'!$F324,'NEI Lookups'!F:F)+SUMIF('NEI Lookups'!$R:$R,'Inputs Yr 2'!$F324,'NEI Lookups'!F:F)+SUMIF('NEI Lookups'!$S:$S,'Inputs Yr 2'!$F324,'NEI Lookups'!F:F)+SUMIF('NEI Lookups'!$T:$T,'Inputs Yr 2'!$F324,'NEI Lookups'!F:F)</f>
        <v>0</v>
      </c>
      <c r="AU324" s="299">
        <f>SUMIF('NEI Lookups'!$L:$L,'Inputs Yr 2'!$F324,'NEI Lookups'!G:G)+SUMIF('NEI Lookups'!$M:$M,'Inputs Yr 2'!$F324,'NEI Lookups'!G:G)+SUMIF('NEI Lookups'!$N:$N,'Inputs Yr 2'!$F324,'NEI Lookups'!G:G)+SUMIF('NEI Lookups'!$O:$O,'Inputs Yr 2'!$F324,'NEI Lookups'!G:G)+SUMIF('NEI Lookups'!$P:$P,'Inputs Yr 2'!$F324,'NEI Lookups'!G:G)+SUMIF('NEI Lookups'!$Q:$Q,'Inputs Yr 2'!$F324,'NEI Lookups'!G:G)+SUMIF('NEI Lookups'!$R:$R,'Inputs Yr 2'!$F324,'NEI Lookups'!G:G)+SUMIF('NEI Lookups'!$S:$S,'Inputs Yr 2'!$F324,'NEI Lookups'!G:G)+SUMIF('NEI Lookups'!$T:$T,'Inputs Yr 2'!$F324,'NEI Lookups'!G:G)</f>
        <v>0</v>
      </c>
      <c r="AV324" s="299">
        <f>SUMIF('NEI Lookups'!$L:$L,'Inputs Yr 2'!$F324,'NEI Lookups'!H:H)+SUMIF('NEI Lookups'!$M:$M,'Inputs Yr 2'!$F324,'NEI Lookups'!H:H)+SUMIF('NEI Lookups'!$N:$N,'Inputs Yr 2'!$F324,'NEI Lookups'!H:H)+SUMIF('NEI Lookups'!$O:$O,'Inputs Yr 2'!$F324,'NEI Lookups'!H:H)+SUMIF('NEI Lookups'!$P:$P,'Inputs Yr 2'!$F324,'NEI Lookups'!H:H)+SUMIF('NEI Lookups'!$Q:$Q,'Inputs Yr 2'!$F324,'NEI Lookups'!H:H)+SUMIF('NEI Lookups'!$R:$R,'Inputs Yr 2'!$F324,'NEI Lookups'!H:H)+SUMIF('NEI Lookups'!$S:$S,'Inputs Yr 2'!$F324,'NEI Lookups'!H:H)+SUMIF('NEI Lookups'!$T:$T,'Inputs Yr 2'!$F324,'NEI Lookups'!H:H)</f>
        <v>0</v>
      </c>
      <c r="AW324" s="299">
        <f>SUMIF('NEI Lookups'!$L:$L,'Inputs Yr 2'!$F324,'NEI Lookups'!I:I)+SUMIF('NEI Lookups'!$M:$M,'Inputs Yr 2'!$F324,'NEI Lookups'!I:I)+SUMIF('NEI Lookups'!$N:$N,'Inputs Yr 2'!$F324,'NEI Lookups'!I:I)+SUMIF('NEI Lookups'!$O:$O,'Inputs Yr 2'!$F324,'NEI Lookups'!I:I)+SUMIF('NEI Lookups'!$P:$P,'Inputs Yr 2'!$F324,'NEI Lookups'!I:I)+SUMIF('NEI Lookups'!$Q:$Q,'Inputs Yr 2'!$F324,'NEI Lookups'!I:I)+SUMIF('NEI Lookups'!$R:$R,'Inputs Yr 2'!$F324,'NEI Lookups'!I:I)+SUMIF('NEI Lookups'!$S:$S,'Inputs Yr 2'!$F324,'NEI Lookups'!I:I)+SUMIF('NEI Lookups'!$T:$T,'Inputs Yr 2'!$F324,'NEI Lookups'!I:I)</f>
        <v>0</v>
      </c>
      <c r="AX324" s="299">
        <f>SUMIF('NEI Lookups'!$L:$L,'Inputs Yr 2'!$F324,'NEI Lookups'!J:J)+SUMIF('NEI Lookups'!$M:$M,'Inputs Yr 2'!$F324,'NEI Lookups'!J:J)+SUMIF('NEI Lookups'!$N:$N,'Inputs Yr 2'!$F324,'NEI Lookups'!J:J)+SUMIF('NEI Lookups'!$O:$O,'Inputs Yr 2'!$F324,'NEI Lookups'!J:J)+SUMIF('NEI Lookups'!$P:$P,'Inputs Yr 2'!$F324,'NEI Lookups'!J:J)+SUMIF('NEI Lookups'!$Q:$Q,'Inputs Yr 2'!$F324,'NEI Lookups'!J:J)+SUMIF('NEI Lookups'!$R:$R,'Inputs Yr 2'!$F324,'NEI Lookups'!J:J)+SUMIF('NEI Lookups'!$S:$S,'Inputs Yr 2'!$F324,'NEI Lookups'!J:J)+SUMIF('NEI Lookups'!$T:$T,'Inputs Yr 2'!$F324,'NEI Lookups'!J:J)</f>
        <v>0</v>
      </c>
      <c r="AY324" s="930">
        <f>'Calculations Yr 2'!CP324/'Calculations Yr 2'!I324</f>
        <v>0.91016567359648171</v>
      </c>
    </row>
    <row r="325" spans="1:51" s="133" customFormat="1" ht="13.5" customHeight="1" thickBot="1">
      <c r="A325" s="147" t="s">
        <v>83</v>
      </c>
      <c r="B325" s="146" t="s">
        <v>870</v>
      </c>
      <c r="C325" s="146" t="s">
        <v>659</v>
      </c>
      <c r="D325" s="177"/>
      <c r="E325" s="917" t="s">
        <v>1508</v>
      </c>
      <c r="F325" s="147" t="s">
        <v>1276</v>
      </c>
      <c r="G325" s="147" t="s">
        <v>1247</v>
      </c>
      <c r="H325" s="233">
        <v>1</v>
      </c>
      <c r="I325" s="235">
        <v>15</v>
      </c>
      <c r="J325" s="970">
        <v>7466.666666666667</v>
      </c>
      <c r="K325" s="876">
        <v>5600</v>
      </c>
      <c r="L325" s="898">
        <f t="shared" ref="L325:L351" si="138">J325-K325</f>
        <v>1866.666666666667</v>
      </c>
      <c r="M325" s="981">
        <v>0.11</v>
      </c>
      <c r="N325" s="981">
        <v>2.6000000000000002E-2</v>
      </c>
      <c r="O325" s="981">
        <v>3.0000000000000001E-3</v>
      </c>
      <c r="P325" s="895">
        <f t="shared" ref="P325" si="139">1-M325+N325+O325</f>
        <v>0.91900000000000004</v>
      </c>
      <c r="Q325" s="979">
        <v>1</v>
      </c>
      <c r="R325" s="221">
        <v>1</v>
      </c>
      <c r="S325" s="221">
        <v>1</v>
      </c>
      <c r="T325" s="221">
        <v>1</v>
      </c>
      <c r="U325" s="979">
        <v>0.77900000000000003</v>
      </c>
      <c r="V325" s="979">
        <v>1</v>
      </c>
      <c r="W325" s="222"/>
      <c r="X325" s="915" t="s">
        <v>653</v>
      </c>
      <c r="Y325" s="302">
        <f>IFERROR(VLOOKUP($X325,'Demand Lookups'!$A$5:$K$101,9,0), 0)</f>
        <v>0</v>
      </c>
      <c r="Z325" s="923" t="str">
        <f>IFERROR(VLOOKUP(X325,'Demand Lookups'!$A$5:$B$101,2,0),0)</f>
        <v>Non-Electric Measures</v>
      </c>
      <c r="AA325" s="874">
        <f>IF(ISNA(VLOOKUP($X325,'Demand Lookups'!$A$5:$K$81,3,0)),0,VLOOKUP($X325,'Demand Lookups'!$A$5:$K$81,3,0))</f>
        <v>0</v>
      </c>
      <c r="AB325" s="874">
        <f>IF(ISNA(VLOOKUP($X325,'Demand Lookups'!$A$5:$K$81,4,0)),0,VLOOKUP($X325,'Demand Lookups'!$A$5:$K$81,4,0))</f>
        <v>0</v>
      </c>
      <c r="AC325" s="874">
        <f>IF(ISNA(VLOOKUP($X325,'Demand Lookups'!$A$5:$K$81,5,0)),0,VLOOKUP($X325,'Demand Lookups'!$A$5:$K$81,5,0))</f>
        <v>0</v>
      </c>
      <c r="AD325" s="653">
        <f>IF(ISNA(VLOOKUP($X325,'Demand Lookups'!$A$5:$K$81,6,0)),0,VLOOKUP($X325,'Demand Lookups'!$A$5:$K$81,6,0))</f>
        <v>0</v>
      </c>
      <c r="AE325" s="875">
        <f t="shared" ref="AE325:AE326" si="140">IF(ISERROR(W325*Y325),"",W325*Y325)</f>
        <v>0</v>
      </c>
      <c r="AF325" s="653">
        <f>ROUND(IF(ISNA(VLOOKUP($X325,'Demand Lookups'!$A$5:$K$82,10,0)),0,(VLOOKUP($X325,'Demand Lookups'!$A$5:$K$82,10,0))),2)</f>
        <v>0</v>
      </c>
      <c r="AG325" s="653">
        <f>ROUND(IF(ISNA(VLOOKUP($X325,'Demand Lookups'!$A$5:$K$82,11,0)),0,VLOOKUP($X325,'Demand Lookups'!$A$5:$K$82,11,0)),2)</f>
        <v>0</v>
      </c>
      <c r="AH325" s="653">
        <f t="shared" ref="AH325:AH326" si="141">AF325</f>
        <v>0</v>
      </c>
      <c r="AI325" s="653">
        <f t="shared" ref="AI325:AI326" si="142">AF325</f>
        <v>0</v>
      </c>
      <c r="AJ325" s="174" t="s">
        <v>87</v>
      </c>
      <c r="AK325" s="303">
        <v>131.4</v>
      </c>
      <c r="AL325" s="174"/>
      <c r="AM325" s="303"/>
      <c r="AN325" s="174"/>
      <c r="AO325" s="303"/>
      <c r="AP325" s="174"/>
      <c r="AQ325" s="175">
        <v>0</v>
      </c>
      <c r="AR325" s="175">
        <v>0</v>
      </c>
      <c r="AS325" s="302">
        <f>SUMIF('NEI Lookups'!$L:$L,'Inputs Yr 2'!$F325,'NEI Lookups'!E:E)+SUMIF('NEI Lookups'!$M:$M,'Inputs Yr 2'!$F325,'NEI Lookups'!E:E)+SUMIF('NEI Lookups'!$N:$N,'Inputs Yr 2'!$F325,'NEI Lookups'!E:E)+SUMIF('NEI Lookups'!$O:$O,'Inputs Yr 2'!$F325,'NEI Lookups'!E:E)+SUMIF('NEI Lookups'!$P:$P,'Inputs Yr 2'!$F325,'NEI Lookups'!E:E)+SUMIF('NEI Lookups'!$Q:$Q,'Inputs Yr 2'!$F325,'NEI Lookups'!E:E)+SUMIF('NEI Lookups'!$R:$R,'Inputs Yr 2'!$F325,'NEI Lookups'!E:E)+SUMIF('NEI Lookups'!$S:$S,'Inputs Yr 2'!$F325,'NEI Lookups'!E:E)+SUMIF('NEI Lookups'!$T:$T,'Inputs Yr 2'!$F325,'NEI Lookups'!E:E)</f>
        <v>0</v>
      </c>
      <c r="AT325" s="302">
        <f>SUMIF('NEI Lookups'!$L:$L,'Inputs Yr 2'!$F325,'NEI Lookups'!F:F)+SUMIF('NEI Lookups'!$M:$M,'Inputs Yr 2'!$F325,'NEI Lookups'!F:F)+SUMIF('NEI Lookups'!$N:$N,'Inputs Yr 2'!$F325,'NEI Lookups'!F:F)+SUMIF('NEI Lookups'!$O:$O,'Inputs Yr 2'!$F325,'NEI Lookups'!F:F)+SUMIF('NEI Lookups'!$P:$P,'Inputs Yr 2'!$F325,'NEI Lookups'!F:F)+SUMIF('NEI Lookups'!$Q:$Q,'Inputs Yr 2'!$F325,'NEI Lookups'!F:F)+SUMIF('NEI Lookups'!$R:$R,'Inputs Yr 2'!$F325,'NEI Lookups'!F:F)+SUMIF('NEI Lookups'!$S:$S,'Inputs Yr 2'!$F325,'NEI Lookups'!F:F)+SUMIF('NEI Lookups'!$T:$T,'Inputs Yr 2'!$F325,'NEI Lookups'!F:F)</f>
        <v>0</v>
      </c>
      <c r="AU325" s="302">
        <f>SUMIF('NEI Lookups'!$L:$L,'Inputs Yr 2'!$F325,'NEI Lookups'!G:G)+SUMIF('NEI Lookups'!$M:$M,'Inputs Yr 2'!$F325,'NEI Lookups'!G:G)+SUMIF('NEI Lookups'!$N:$N,'Inputs Yr 2'!$F325,'NEI Lookups'!G:G)+SUMIF('NEI Lookups'!$O:$O,'Inputs Yr 2'!$F325,'NEI Lookups'!G:G)+SUMIF('NEI Lookups'!$P:$P,'Inputs Yr 2'!$F325,'NEI Lookups'!G:G)+SUMIF('NEI Lookups'!$Q:$Q,'Inputs Yr 2'!$F325,'NEI Lookups'!G:G)+SUMIF('NEI Lookups'!$R:$R,'Inputs Yr 2'!$F325,'NEI Lookups'!G:G)+SUMIF('NEI Lookups'!$S:$S,'Inputs Yr 2'!$F325,'NEI Lookups'!G:G)+SUMIF('NEI Lookups'!$T:$T,'Inputs Yr 2'!$F325,'NEI Lookups'!G:G)</f>
        <v>0</v>
      </c>
      <c r="AV325" s="302">
        <f>SUMIF('NEI Lookups'!$L:$L,'Inputs Yr 2'!$F325,'NEI Lookups'!H:H)+SUMIF('NEI Lookups'!$M:$M,'Inputs Yr 2'!$F325,'NEI Lookups'!H:H)+SUMIF('NEI Lookups'!$N:$N,'Inputs Yr 2'!$F325,'NEI Lookups'!H:H)+SUMIF('NEI Lookups'!$O:$O,'Inputs Yr 2'!$F325,'NEI Lookups'!H:H)+SUMIF('NEI Lookups'!$P:$P,'Inputs Yr 2'!$F325,'NEI Lookups'!H:H)+SUMIF('NEI Lookups'!$Q:$Q,'Inputs Yr 2'!$F325,'NEI Lookups'!H:H)+SUMIF('NEI Lookups'!$R:$R,'Inputs Yr 2'!$F325,'NEI Lookups'!H:H)+SUMIF('NEI Lookups'!$S:$S,'Inputs Yr 2'!$F325,'NEI Lookups'!H:H)+SUMIF('NEI Lookups'!$T:$T,'Inputs Yr 2'!$F325,'NEI Lookups'!H:H)</f>
        <v>0</v>
      </c>
      <c r="AW325" s="302">
        <f>SUMIF('NEI Lookups'!$L:$L,'Inputs Yr 2'!$F325,'NEI Lookups'!I:I)+SUMIF('NEI Lookups'!$M:$M,'Inputs Yr 2'!$F325,'NEI Lookups'!I:I)+SUMIF('NEI Lookups'!$N:$N,'Inputs Yr 2'!$F325,'NEI Lookups'!I:I)+SUMIF('NEI Lookups'!$O:$O,'Inputs Yr 2'!$F325,'NEI Lookups'!I:I)+SUMIF('NEI Lookups'!$P:$P,'Inputs Yr 2'!$F325,'NEI Lookups'!I:I)+SUMIF('NEI Lookups'!$Q:$Q,'Inputs Yr 2'!$F325,'NEI Lookups'!I:I)+SUMIF('NEI Lookups'!$R:$R,'Inputs Yr 2'!$F325,'NEI Lookups'!I:I)+SUMIF('NEI Lookups'!$S:$S,'Inputs Yr 2'!$F325,'NEI Lookups'!I:I)+SUMIF('NEI Lookups'!$T:$T,'Inputs Yr 2'!$F325,'NEI Lookups'!I:I)</f>
        <v>0</v>
      </c>
      <c r="AX325" s="302">
        <f>SUMIF('NEI Lookups'!$L:$L,'Inputs Yr 2'!$F325,'NEI Lookups'!J:J)+SUMIF('NEI Lookups'!$M:$M,'Inputs Yr 2'!$F325,'NEI Lookups'!J:J)+SUMIF('NEI Lookups'!$N:$N,'Inputs Yr 2'!$F325,'NEI Lookups'!J:J)+SUMIF('NEI Lookups'!$O:$O,'Inputs Yr 2'!$F325,'NEI Lookups'!J:J)+SUMIF('NEI Lookups'!$P:$P,'Inputs Yr 2'!$F325,'NEI Lookups'!J:J)+SUMIF('NEI Lookups'!$Q:$Q,'Inputs Yr 2'!$F325,'NEI Lookups'!J:J)+SUMIF('NEI Lookups'!$R:$R,'Inputs Yr 2'!$F325,'NEI Lookups'!J:J)+SUMIF('NEI Lookups'!$S:$S,'Inputs Yr 2'!$F325,'NEI Lookups'!J:J)+SUMIF('NEI Lookups'!$T:$T,'Inputs Yr 2'!$F325,'NEI Lookups'!J:J)</f>
        <v>0</v>
      </c>
      <c r="AY325" s="932">
        <f>'Calculations Yr 2'!CP325/'Calculations Yr 2'!I325</f>
        <v>1.7446615437706308</v>
      </c>
    </row>
    <row r="326" spans="1:51" s="133" customFormat="1" ht="12.75" customHeight="1">
      <c r="A326" s="145" t="s">
        <v>83</v>
      </c>
      <c r="B326" s="132" t="s">
        <v>870</v>
      </c>
      <c r="C326" s="132" t="s">
        <v>912</v>
      </c>
      <c r="D326" s="902" t="s">
        <v>1521</v>
      </c>
      <c r="E326" s="98" t="s">
        <v>767</v>
      </c>
      <c r="F326" s="150" t="s">
        <v>1182</v>
      </c>
      <c r="G326" s="145" t="s">
        <v>460</v>
      </c>
      <c r="H326" s="927">
        <v>38500</v>
      </c>
      <c r="I326" s="232">
        <v>19</v>
      </c>
      <c r="J326" s="964">
        <v>2.83</v>
      </c>
      <c r="K326" s="166">
        <v>2.1222077922077922</v>
      </c>
      <c r="L326" s="888">
        <f t="shared" si="138"/>
        <v>0.70779220779220786</v>
      </c>
      <c r="M326" s="978">
        <v>0.11</v>
      </c>
      <c r="N326" s="978">
        <v>2.5999999999999999E-2</v>
      </c>
      <c r="O326" s="978">
        <v>3.0000000000000001E-3</v>
      </c>
      <c r="P326" s="889">
        <v>0.91900000000000004</v>
      </c>
      <c r="Q326" s="978">
        <v>1</v>
      </c>
      <c r="R326" s="178">
        <v>1</v>
      </c>
      <c r="S326" s="178">
        <v>1</v>
      </c>
      <c r="T326" s="178">
        <v>1</v>
      </c>
      <c r="U326" s="978">
        <v>0.77900000000000003</v>
      </c>
      <c r="V326" s="978">
        <v>1</v>
      </c>
      <c r="W326" s="179"/>
      <c r="X326" s="99" t="s">
        <v>653</v>
      </c>
      <c r="Y326" s="299">
        <f>IFERROR(VLOOKUP($X326,'Demand Lookups'!$A$5:$K$101,9,0), 0)</f>
        <v>0</v>
      </c>
      <c r="Z326" s="922" t="str">
        <f>IFERROR(VLOOKUP(X326,'Demand Lookups'!$A$5:$B$101,2,0),0)</f>
        <v>Non-Electric Measures</v>
      </c>
      <c r="AA326" s="722">
        <f>IF(ISNA(VLOOKUP($X326,'Demand Lookups'!$A$5:$K$81,3,0)),0,VLOOKUP($X326,'Demand Lookups'!$A$5:$K$81,3,0))</f>
        <v>0</v>
      </c>
      <c r="AB326" s="722">
        <f>IF(ISNA(VLOOKUP($X326,'Demand Lookups'!$A$5:$K$81,4,0)),0,VLOOKUP($X326,'Demand Lookups'!$A$5:$K$81,4,0))</f>
        <v>0</v>
      </c>
      <c r="AC326" s="722">
        <f>IF(ISNA(VLOOKUP($X326,'Demand Lookups'!$A$5:$K$81,5,0)),0,VLOOKUP($X326,'Demand Lookups'!$A$5:$K$81,5,0))</f>
        <v>0</v>
      </c>
      <c r="AD326" s="723">
        <f>IF(ISNA(VLOOKUP($X326,'Demand Lookups'!$A$5:$K$81,6,0)),0,VLOOKUP($X326,'Demand Lookups'!$A$5:$K$81,6,0))</f>
        <v>0</v>
      </c>
      <c r="AE326" s="724">
        <f t="shared" si="140"/>
        <v>0</v>
      </c>
      <c r="AF326" s="723">
        <f>ROUND(IF(ISNA(VLOOKUP($X326,'Demand Lookups'!$A$5:$K$82,10,0)),0,(VLOOKUP($X326,'Demand Lookups'!$A$5:$K$82,10,0))),2)</f>
        <v>0</v>
      </c>
      <c r="AG326" s="723">
        <f>ROUND(IF(ISNA(VLOOKUP($X326,'Demand Lookups'!$A$5:$K$82,11,0)),0,VLOOKUP($X326,'Demand Lookups'!$A$5:$K$82,11,0)),2)</f>
        <v>0</v>
      </c>
      <c r="AH326" s="648">
        <f t="shared" si="141"/>
        <v>0</v>
      </c>
      <c r="AI326" s="648">
        <f t="shared" si="142"/>
        <v>0</v>
      </c>
      <c r="AJ326" s="167" t="s">
        <v>404</v>
      </c>
      <c r="AK326" s="866">
        <v>1.6296103881591258E-2</v>
      </c>
      <c r="AL326" s="167"/>
      <c r="AM326" s="168"/>
      <c r="AN326" s="167"/>
      <c r="AO326" s="168"/>
      <c r="AP326" s="167"/>
      <c r="AQ326" s="171"/>
      <c r="AR326" s="171"/>
      <c r="AS326" s="299">
        <f>SUMIF('NEI Lookups'!$L:$L,'Inputs Yr 2'!$F326,'NEI Lookups'!E:E)+SUMIF('NEI Lookups'!$M:$M,'Inputs Yr 2'!$F326,'NEI Lookups'!E:E)+SUMIF('NEI Lookups'!$N:$N,'Inputs Yr 2'!$F326,'NEI Lookups'!E:E)+SUMIF('NEI Lookups'!$O:$O,'Inputs Yr 2'!$F326,'NEI Lookups'!E:E)+SUMIF('NEI Lookups'!$P:$P,'Inputs Yr 2'!$F326,'NEI Lookups'!E:E)+SUMIF('NEI Lookups'!$Q:$Q,'Inputs Yr 2'!$F326,'NEI Lookups'!E:E)+SUMIF('NEI Lookups'!$R:$R,'Inputs Yr 2'!$F326,'NEI Lookups'!E:E)+SUMIF('NEI Lookups'!$S:$S,'Inputs Yr 2'!$F326,'NEI Lookups'!E:E)+SUMIF('NEI Lookups'!$T:$T,'Inputs Yr 2'!$F326,'NEI Lookups'!E:E)</f>
        <v>0</v>
      </c>
      <c r="AT326" s="299">
        <f>SUMIF('NEI Lookups'!$L:$L,'Inputs Yr 2'!$F326,'NEI Lookups'!F:F)+SUMIF('NEI Lookups'!$M:$M,'Inputs Yr 2'!$F326,'NEI Lookups'!F:F)+SUMIF('NEI Lookups'!$N:$N,'Inputs Yr 2'!$F326,'NEI Lookups'!F:F)+SUMIF('NEI Lookups'!$O:$O,'Inputs Yr 2'!$F326,'NEI Lookups'!F:F)+SUMIF('NEI Lookups'!$P:$P,'Inputs Yr 2'!$F326,'NEI Lookups'!F:F)+SUMIF('NEI Lookups'!$Q:$Q,'Inputs Yr 2'!$F326,'NEI Lookups'!F:F)+SUMIF('NEI Lookups'!$R:$R,'Inputs Yr 2'!$F326,'NEI Lookups'!F:F)+SUMIF('NEI Lookups'!$S:$S,'Inputs Yr 2'!$F326,'NEI Lookups'!F:F)+SUMIF('NEI Lookups'!$T:$T,'Inputs Yr 2'!$F326,'NEI Lookups'!F:F)</f>
        <v>0</v>
      </c>
      <c r="AU326" s="299">
        <f>SUMIF('NEI Lookups'!$L:$L,'Inputs Yr 2'!$F326,'NEI Lookups'!G:G)+SUMIF('NEI Lookups'!$M:$M,'Inputs Yr 2'!$F326,'NEI Lookups'!G:G)+SUMIF('NEI Lookups'!$N:$N,'Inputs Yr 2'!$F326,'NEI Lookups'!G:G)+SUMIF('NEI Lookups'!$O:$O,'Inputs Yr 2'!$F326,'NEI Lookups'!G:G)+SUMIF('NEI Lookups'!$P:$P,'Inputs Yr 2'!$F326,'NEI Lookups'!G:G)+SUMIF('NEI Lookups'!$Q:$Q,'Inputs Yr 2'!$F326,'NEI Lookups'!G:G)+SUMIF('NEI Lookups'!$R:$R,'Inputs Yr 2'!$F326,'NEI Lookups'!G:G)+SUMIF('NEI Lookups'!$S:$S,'Inputs Yr 2'!$F326,'NEI Lookups'!G:G)+SUMIF('NEI Lookups'!$T:$T,'Inputs Yr 2'!$F326,'NEI Lookups'!G:G)</f>
        <v>0</v>
      </c>
      <c r="AV326" s="299">
        <f>SUMIF('NEI Lookups'!$L:$L,'Inputs Yr 2'!$F326,'NEI Lookups'!H:H)+SUMIF('NEI Lookups'!$M:$M,'Inputs Yr 2'!$F326,'NEI Lookups'!H:H)+SUMIF('NEI Lookups'!$N:$N,'Inputs Yr 2'!$F326,'NEI Lookups'!H:H)+SUMIF('NEI Lookups'!$O:$O,'Inputs Yr 2'!$F326,'NEI Lookups'!H:H)+SUMIF('NEI Lookups'!$P:$P,'Inputs Yr 2'!$F326,'NEI Lookups'!H:H)+SUMIF('NEI Lookups'!$Q:$Q,'Inputs Yr 2'!$F326,'NEI Lookups'!H:H)+SUMIF('NEI Lookups'!$R:$R,'Inputs Yr 2'!$F326,'NEI Lookups'!H:H)+SUMIF('NEI Lookups'!$S:$S,'Inputs Yr 2'!$F326,'NEI Lookups'!H:H)+SUMIF('NEI Lookups'!$T:$T,'Inputs Yr 2'!$F326,'NEI Lookups'!H:H)</f>
        <v>0</v>
      </c>
      <c r="AW326" s="299">
        <f>SUMIF('NEI Lookups'!$L:$L,'Inputs Yr 2'!$F326,'NEI Lookups'!I:I)+SUMIF('NEI Lookups'!$M:$M,'Inputs Yr 2'!$F326,'NEI Lookups'!I:I)+SUMIF('NEI Lookups'!$N:$N,'Inputs Yr 2'!$F326,'NEI Lookups'!I:I)+SUMIF('NEI Lookups'!$O:$O,'Inputs Yr 2'!$F326,'NEI Lookups'!I:I)+SUMIF('NEI Lookups'!$P:$P,'Inputs Yr 2'!$F326,'NEI Lookups'!I:I)+SUMIF('NEI Lookups'!$Q:$Q,'Inputs Yr 2'!$F326,'NEI Lookups'!I:I)+SUMIF('NEI Lookups'!$R:$R,'Inputs Yr 2'!$F326,'NEI Lookups'!I:I)+SUMIF('NEI Lookups'!$S:$S,'Inputs Yr 2'!$F326,'NEI Lookups'!I:I)+SUMIF('NEI Lookups'!$T:$T,'Inputs Yr 2'!$F326,'NEI Lookups'!I:I)</f>
        <v>0.47699999999999998</v>
      </c>
      <c r="AX326" s="299">
        <f>SUMIF('NEI Lookups'!$L:$L,'Inputs Yr 2'!$F326,'NEI Lookups'!J:J)+SUMIF('NEI Lookups'!$M:$M,'Inputs Yr 2'!$F326,'NEI Lookups'!J:J)+SUMIF('NEI Lookups'!$N:$N,'Inputs Yr 2'!$F326,'NEI Lookups'!J:J)+SUMIF('NEI Lookups'!$O:$O,'Inputs Yr 2'!$F326,'NEI Lookups'!J:J)+SUMIF('NEI Lookups'!$P:$P,'Inputs Yr 2'!$F326,'NEI Lookups'!J:J)+SUMIF('NEI Lookups'!$Q:$Q,'Inputs Yr 2'!$F326,'NEI Lookups'!J:J)+SUMIF('NEI Lookups'!$R:$R,'Inputs Yr 2'!$F326,'NEI Lookups'!J:J)+SUMIF('NEI Lookups'!$S:$S,'Inputs Yr 2'!$F326,'NEI Lookups'!J:J)+SUMIF('NEI Lookups'!$T:$T,'Inputs Yr 2'!$F326,'NEI Lookups'!J:J)</f>
        <v>0</v>
      </c>
      <c r="AY326" s="930">
        <f>'Calculations Yr 2'!CP326/'Calculations Yr 2'!I326</f>
        <v>1.172288500595325</v>
      </c>
    </row>
    <row r="327" spans="1:51" s="133" customFormat="1" ht="12.75" customHeight="1">
      <c r="A327" s="145" t="s">
        <v>83</v>
      </c>
      <c r="B327" s="132" t="s">
        <v>870</v>
      </c>
      <c r="C327" s="132" t="s">
        <v>907</v>
      </c>
      <c r="D327" s="98"/>
      <c r="E327" s="656" t="s">
        <v>84</v>
      </c>
      <c r="F327" s="150" t="s">
        <v>1183</v>
      </c>
      <c r="G327" s="145" t="s">
        <v>1247</v>
      </c>
      <c r="H327" s="927">
        <v>0</v>
      </c>
      <c r="I327" s="232">
        <v>0</v>
      </c>
      <c r="J327" s="964"/>
      <c r="K327" s="166"/>
      <c r="L327" s="888">
        <f t="shared" si="138"/>
        <v>0</v>
      </c>
      <c r="M327" s="978">
        <v>0</v>
      </c>
      <c r="N327" s="978">
        <v>0</v>
      </c>
      <c r="O327" s="978">
        <v>0</v>
      </c>
      <c r="P327" s="889">
        <f t="shared" si="123"/>
        <v>1</v>
      </c>
      <c r="Q327" s="978">
        <v>0</v>
      </c>
      <c r="R327" s="178">
        <v>1</v>
      </c>
      <c r="S327" s="178">
        <v>1</v>
      </c>
      <c r="T327" s="178">
        <v>1</v>
      </c>
      <c r="U327" s="978">
        <v>0</v>
      </c>
      <c r="V327" s="978">
        <v>0</v>
      </c>
      <c r="W327" s="179"/>
      <c r="X327" s="99" t="s">
        <v>653</v>
      </c>
      <c r="Y327" s="299">
        <f>IFERROR(VLOOKUP($X327,'Demand Lookups'!$A$5:$K$101,9,0), 0)</f>
        <v>0</v>
      </c>
      <c r="Z327" s="922" t="str">
        <f>IFERROR(VLOOKUP(X327,'Demand Lookups'!$A$5:$B$101,2,0),0)</f>
        <v>Non-Electric Measures</v>
      </c>
      <c r="AA327" s="722">
        <f>IF(ISNA(VLOOKUP($X327,'Demand Lookups'!$A$5:$K$81,3,0)),0,VLOOKUP($X327,'Demand Lookups'!$A$5:$K$81,3,0))</f>
        <v>0</v>
      </c>
      <c r="AB327" s="722">
        <f>IF(ISNA(VLOOKUP($X327,'Demand Lookups'!$A$5:$K$81,4,0)),0,VLOOKUP($X327,'Demand Lookups'!$A$5:$K$81,4,0))</f>
        <v>0</v>
      </c>
      <c r="AC327" s="722">
        <f>IF(ISNA(VLOOKUP($X327,'Demand Lookups'!$A$5:$K$81,5,0)),0,VLOOKUP($X327,'Demand Lookups'!$A$5:$K$81,5,0))</f>
        <v>0</v>
      </c>
      <c r="AD327" s="723">
        <f>IF(ISNA(VLOOKUP($X327,'Demand Lookups'!$A$5:$K$81,6,0)),0,VLOOKUP($X327,'Demand Lookups'!$A$5:$K$81,6,0))</f>
        <v>0</v>
      </c>
      <c r="AE327" s="724">
        <f t="shared" ref="AE327:AE351" si="143">IF(ISERROR(W327*Y327),"",W327*Y327)</f>
        <v>0</v>
      </c>
      <c r="AF327" s="723">
        <f>ROUND(IF(ISNA(VLOOKUP($X327,'Demand Lookups'!$A$5:$K$82,10,0)),0,(VLOOKUP($X327,'Demand Lookups'!$A$5:$K$82,10,0))),2)</f>
        <v>0</v>
      </c>
      <c r="AG327" s="723">
        <f>ROUND(IF(ISNA(VLOOKUP($X327,'Demand Lookups'!$A$5:$K$82,11,0)),0,VLOOKUP($X327,'Demand Lookups'!$A$5:$K$82,11,0)),2)</f>
        <v>0</v>
      </c>
      <c r="AH327" s="648">
        <f t="shared" ref="AH327:AH351" si="144">AF327</f>
        <v>0</v>
      </c>
      <c r="AI327" s="648">
        <f t="shared" ref="AI327:AI351" si="145">AF327</f>
        <v>0</v>
      </c>
      <c r="AJ327" s="167" t="s">
        <v>404</v>
      </c>
      <c r="AK327" s="866">
        <v>0</v>
      </c>
      <c r="AL327" s="167"/>
      <c r="AM327" s="168"/>
      <c r="AN327" s="167"/>
      <c r="AO327" s="168"/>
      <c r="AP327" s="167"/>
      <c r="AQ327" s="171"/>
      <c r="AR327" s="171"/>
      <c r="AS327" s="299">
        <f>SUMIF('NEI Lookups'!$L:$L,'Inputs Yr 2'!$F327,'NEI Lookups'!E:E)+SUMIF('NEI Lookups'!$M:$M,'Inputs Yr 2'!$F327,'NEI Lookups'!E:E)+SUMIF('NEI Lookups'!$N:$N,'Inputs Yr 2'!$F327,'NEI Lookups'!E:E)+SUMIF('NEI Lookups'!$O:$O,'Inputs Yr 2'!$F327,'NEI Lookups'!E:E)+SUMIF('NEI Lookups'!$P:$P,'Inputs Yr 2'!$F327,'NEI Lookups'!E:E)+SUMIF('NEI Lookups'!$Q:$Q,'Inputs Yr 2'!$F327,'NEI Lookups'!E:E)+SUMIF('NEI Lookups'!$R:$R,'Inputs Yr 2'!$F327,'NEI Lookups'!E:E)+SUMIF('NEI Lookups'!$S:$S,'Inputs Yr 2'!$F327,'NEI Lookups'!E:E)+SUMIF('NEI Lookups'!$T:$T,'Inputs Yr 2'!$F327,'NEI Lookups'!E:E)</f>
        <v>0</v>
      </c>
      <c r="AT327" s="299">
        <f>SUMIF('NEI Lookups'!$L:$L,'Inputs Yr 2'!$F327,'NEI Lookups'!F:F)+SUMIF('NEI Lookups'!$M:$M,'Inputs Yr 2'!$F327,'NEI Lookups'!F:F)+SUMIF('NEI Lookups'!$N:$N,'Inputs Yr 2'!$F327,'NEI Lookups'!F:F)+SUMIF('NEI Lookups'!$O:$O,'Inputs Yr 2'!$F327,'NEI Lookups'!F:F)+SUMIF('NEI Lookups'!$P:$P,'Inputs Yr 2'!$F327,'NEI Lookups'!F:F)+SUMIF('NEI Lookups'!$Q:$Q,'Inputs Yr 2'!$F327,'NEI Lookups'!F:F)+SUMIF('NEI Lookups'!$R:$R,'Inputs Yr 2'!$F327,'NEI Lookups'!F:F)+SUMIF('NEI Lookups'!$S:$S,'Inputs Yr 2'!$F327,'NEI Lookups'!F:F)+SUMIF('NEI Lookups'!$T:$T,'Inputs Yr 2'!$F327,'NEI Lookups'!F:F)</f>
        <v>0</v>
      </c>
      <c r="AU327" s="299">
        <f>SUMIF('NEI Lookups'!$L:$L,'Inputs Yr 2'!$F327,'NEI Lookups'!G:G)+SUMIF('NEI Lookups'!$M:$M,'Inputs Yr 2'!$F327,'NEI Lookups'!G:G)+SUMIF('NEI Lookups'!$N:$N,'Inputs Yr 2'!$F327,'NEI Lookups'!G:G)+SUMIF('NEI Lookups'!$O:$O,'Inputs Yr 2'!$F327,'NEI Lookups'!G:G)+SUMIF('NEI Lookups'!$P:$P,'Inputs Yr 2'!$F327,'NEI Lookups'!G:G)+SUMIF('NEI Lookups'!$Q:$Q,'Inputs Yr 2'!$F327,'NEI Lookups'!G:G)+SUMIF('NEI Lookups'!$R:$R,'Inputs Yr 2'!$F327,'NEI Lookups'!G:G)+SUMIF('NEI Lookups'!$S:$S,'Inputs Yr 2'!$F327,'NEI Lookups'!G:G)+SUMIF('NEI Lookups'!$T:$T,'Inputs Yr 2'!$F327,'NEI Lookups'!G:G)</f>
        <v>0</v>
      </c>
      <c r="AV327" s="299">
        <f>SUMIF('NEI Lookups'!$L:$L,'Inputs Yr 2'!$F327,'NEI Lookups'!H:H)+SUMIF('NEI Lookups'!$M:$M,'Inputs Yr 2'!$F327,'NEI Lookups'!H:H)+SUMIF('NEI Lookups'!$N:$N,'Inputs Yr 2'!$F327,'NEI Lookups'!H:H)+SUMIF('NEI Lookups'!$O:$O,'Inputs Yr 2'!$F327,'NEI Lookups'!H:H)+SUMIF('NEI Lookups'!$P:$P,'Inputs Yr 2'!$F327,'NEI Lookups'!H:H)+SUMIF('NEI Lookups'!$Q:$Q,'Inputs Yr 2'!$F327,'NEI Lookups'!H:H)+SUMIF('NEI Lookups'!$R:$R,'Inputs Yr 2'!$F327,'NEI Lookups'!H:H)+SUMIF('NEI Lookups'!$S:$S,'Inputs Yr 2'!$F327,'NEI Lookups'!H:H)+SUMIF('NEI Lookups'!$T:$T,'Inputs Yr 2'!$F327,'NEI Lookups'!H:H)</f>
        <v>0</v>
      </c>
      <c r="AW327" s="299">
        <f>SUMIF('NEI Lookups'!$L:$L,'Inputs Yr 2'!$F327,'NEI Lookups'!I:I)+SUMIF('NEI Lookups'!$M:$M,'Inputs Yr 2'!$F327,'NEI Lookups'!I:I)+SUMIF('NEI Lookups'!$N:$N,'Inputs Yr 2'!$F327,'NEI Lookups'!I:I)+SUMIF('NEI Lookups'!$O:$O,'Inputs Yr 2'!$F327,'NEI Lookups'!I:I)+SUMIF('NEI Lookups'!$P:$P,'Inputs Yr 2'!$F327,'NEI Lookups'!I:I)+SUMIF('NEI Lookups'!$Q:$Q,'Inputs Yr 2'!$F327,'NEI Lookups'!I:I)+SUMIF('NEI Lookups'!$R:$R,'Inputs Yr 2'!$F327,'NEI Lookups'!I:I)+SUMIF('NEI Lookups'!$S:$S,'Inputs Yr 2'!$F327,'NEI Lookups'!I:I)+SUMIF('NEI Lookups'!$T:$T,'Inputs Yr 2'!$F327,'NEI Lookups'!I:I)</f>
        <v>0</v>
      </c>
      <c r="AX327" s="299">
        <f>SUMIF('NEI Lookups'!$L:$L,'Inputs Yr 2'!$F327,'NEI Lookups'!J:J)+SUMIF('NEI Lookups'!$M:$M,'Inputs Yr 2'!$F327,'NEI Lookups'!J:J)+SUMIF('NEI Lookups'!$N:$N,'Inputs Yr 2'!$F327,'NEI Lookups'!J:J)+SUMIF('NEI Lookups'!$O:$O,'Inputs Yr 2'!$F327,'NEI Lookups'!J:J)+SUMIF('NEI Lookups'!$P:$P,'Inputs Yr 2'!$F327,'NEI Lookups'!J:J)+SUMIF('NEI Lookups'!$Q:$Q,'Inputs Yr 2'!$F327,'NEI Lookups'!J:J)+SUMIF('NEI Lookups'!$R:$R,'Inputs Yr 2'!$F327,'NEI Lookups'!J:J)+SUMIF('NEI Lookups'!$S:$S,'Inputs Yr 2'!$F327,'NEI Lookups'!J:J)+SUMIF('NEI Lookups'!$T:$T,'Inputs Yr 2'!$F327,'NEI Lookups'!J:J)</f>
        <v>0</v>
      </c>
      <c r="AY327" s="930" t="e">
        <f>'Calculations Yr 2'!CP327/'Calculations Yr 2'!I327</f>
        <v>#VALUE!</v>
      </c>
    </row>
    <row r="328" spans="1:51" s="133" customFormat="1" ht="15.75">
      <c r="A328" s="145" t="s">
        <v>83</v>
      </c>
      <c r="B328" s="132" t="s">
        <v>870</v>
      </c>
      <c r="C328" s="132" t="s">
        <v>907</v>
      </c>
      <c r="D328" s="902" t="s">
        <v>1522</v>
      </c>
      <c r="E328" s="98" t="s">
        <v>768</v>
      </c>
      <c r="F328" s="150" t="s">
        <v>1184</v>
      </c>
      <c r="G328" s="145" t="s">
        <v>1247</v>
      </c>
      <c r="H328" s="927">
        <v>1716</v>
      </c>
      <c r="I328" s="232">
        <v>20</v>
      </c>
      <c r="J328" s="964">
        <v>70.920745920745915</v>
      </c>
      <c r="K328" s="166">
        <v>53.19055944055944</v>
      </c>
      <c r="L328" s="888">
        <f t="shared" si="138"/>
        <v>17.730186480186475</v>
      </c>
      <c r="M328" s="978">
        <v>0.11</v>
      </c>
      <c r="N328" s="978">
        <v>2.5999999999999999E-2</v>
      </c>
      <c r="O328" s="978">
        <v>3.0000000000000001E-3</v>
      </c>
      <c r="P328" s="889">
        <f t="shared" ref="P328:P347" si="146">1-M328+N328+O328</f>
        <v>0.91900000000000004</v>
      </c>
      <c r="Q328" s="978">
        <v>1</v>
      </c>
      <c r="R328" s="178">
        <v>1</v>
      </c>
      <c r="S328" s="178">
        <v>1</v>
      </c>
      <c r="T328" s="178">
        <v>1</v>
      </c>
      <c r="U328" s="978">
        <v>0.77900000000000003</v>
      </c>
      <c r="V328" s="978">
        <v>1</v>
      </c>
      <c r="W328" s="179"/>
      <c r="X328" s="99" t="s">
        <v>653</v>
      </c>
      <c r="Y328" s="299">
        <f>IFERROR(VLOOKUP($X328,'Demand Lookups'!$A$5:$K$101,9,0), 0)</f>
        <v>0</v>
      </c>
      <c r="Z328" s="922" t="str">
        <f>IFERROR(VLOOKUP(X328,'Demand Lookups'!$A$5:$B$101,2,0),0)</f>
        <v>Non-Electric Measures</v>
      </c>
      <c r="AA328" s="722">
        <f>IF(ISNA(VLOOKUP($X328,'Demand Lookups'!$A$5:$K$81,3,0)),0,VLOOKUP($X328,'Demand Lookups'!$A$5:$K$81,3,0))</f>
        <v>0</v>
      </c>
      <c r="AB328" s="722">
        <f>IF(ISNA(VLOOKUP($X328,'Demand Lookups'!$A$5:$K$81,4,0)),0,VLOOKUP($X328,'Demand Lookups'!$A$5:$K$81,4,0))</f>
        <v>0</v>
      </c>
      <c r="AC328" s="722">
        <f>IF(ISNA(VLOOKUP($X328,'Demand Lookups'!$A$5:$K$81,5,0)),0,VLOOKUP($X328,'Demand Lookups'!$A$5:$K$81,5,0))</f>
        <v>0</v>
      </c>
      <c r="AD328" s="723">
        <f>IF(ISNA(VLOOKUP($X328,'Demand Lookups'!$A$5:$K$81,6,0)),0,VLOOKUP($X328,'Demand Lookups'!$A$5:$K$81,6,0))</f>
        <v>0</v>
      </c>
      <c r="AE328" s="724">
        <f t="shared" si="143"/>
        <v>0</v>
      </c>
      <c r="AF328" s="723">
        <f>ROUND(IF(ISNA(VLOOKUP($X328,'Demand Lookups'!$A$5:$K$82,10,0)),0,(VLOOKUP($X328,'Demand Lookups'!$A$5:$K$82,10,0))),2)</f>
        <v>0</v>
      </c>
      <c r="AG328" s="723">
        <f>ROUND(IF(ISNA(VLOOKUP($X328,'Demand Lookups'!$A$5:$K$82,11,0)),0,VLOOKUP($X328,'Demand Lookups'!$A$5:$K$82,11,0)),2)</f>
        <v>0</v>
      </c>
      <c r="AH328" s="648">
        <f t="shared" si="144"/>
        <v>0</v>
      </c>
      <c r="AI328" s="648">
        <f t="shared" si="145"/>
        <v>0</v>
      </c>
      <c r="AJ328" s="167" t="s">
        <v>404</v>
      </c>
      <c r="AK328" s="866">
        <v>0.61689976641136091</v>
      </c>
      <c r="AL328" s="167"/>
      <c r="AM328" s="168"/>
      <c r="AN328" s="167"/>
      <c r="AO328" s="168"/>
      <c r="AP328" s="167"/>
      <c r="AQ328" s="171"/>
      <c r="AR328" s="171"/>
      <c r="AS328" s="299">
        <f>SUMIF('NEI Lookups'!$L:$L,'Inputs Yr 2'!$F328,'NEI Lookups'!E:E)+SUMIF('NEI Lookups'!$M:$M,'Inputs Yr 2'!$F328,'NEI Lookups'!E:E)+SUMIF('NEI Lookups'!$N:$N,'Inputs Yr 2'!$F328,'NEI Lookups'!E:E)+SUMIF('NEI Lookups'!$O:$O,'Inputs Yr 2'!$F328,'NEI Lookups'!E:E)+SUMIF('NEI Lookups'!$P:$P,'Inputs Yr 2'!$F328,'NEI Lookups'!E:E)+SUMIF('NEI Lookups'!$Q:$Q,'Inputs Yr 2'!$F328,'NEI Lookups'!E:E)+SUMIF('NEI Lookups'!$R:$R,'Inputs Yr 2'!$F328,'NEI Lookups'!E:E)+SUMIF('NEI Lookups'!$S:$S,'Inputs Yr 2'!$F328,'NEI Lookups'!E:E)+SUMIF('NEI Lookups'!$T:$T,'Inputs Yr 2'!$F328,'NEI Lookups'!E:E)</f>
        <v>0</v>
      </c>
      <c r="AT328" s="299">
        <f>SUMIF('NEI Lookups'!$L:$L,'Inputs Yr 2'!$F328,'NEI Lookups'!F:F)+SUMIF('NEI Lookups'!$M:$M,'Inputs Yr 2'!$F328,'NEI Lookups'!F:F)+SUMIF('NEI Lookups'!$N:$N,'Inputs Yr 2'!$F328,'NEI Lookups'!F:F)+SUMIF('NEI Lookups'!$O:$O,'Inputs Yr 2'!$F328,'NEI Lookups'!F:F)+SUMIF('NEI Lookups'!$P:$P,'Inputs Yr 2'!$F328,'NEI Lookups'!F:F)+SUMIF('NEI Lookups'!$Q:$Q,'Inputs Yr 2'!$F328,'NEI Lookups'!F:F)+SUMIF('NEI Lookups'!$R:$R,'Inputs Yr 2'!$F328,'NEI Lookups'!F:F)+SUMIF('NEI Lookups'!$S:$S,'Inputs Yr 2'!$F328,'NEI Lookups'!F:F)+SUMIF('NEI Lookups'!$T:$T,'Inputs Yr 2'!$F328,'NEI Lookups'!F:F)</f>
        <v>0</v>
      </c>
      <c r="AU328" s="299">
        <f>SUMIF('NEI Lookups'!$L:$L,'Inputs Yr 2'!$F328,'NEI Lookups'!G:G)+SUMIF('NEI Lookups'!$M:$M,'Inputs Yr 2'!$F328,'NEI Lookups'!G:G)+SUMIF('NEI Lookups'!$N:$N,'Inputs Yr 2'!$F328,'NEI Lookups'!G:G)+SUMIF('NEI Lookups'!$O:$O,'Inputs Yr 2'!$F328,'NEI Lookups'!G:G)+SUMIF('NEI Lookups'!$P:$P,'Inputs Yr 2'!$F328,'NEI Lookups'!G:G)+SUMIF('NEI Lookups'!$Q:$Q,'Inputs Yr 2'!$F328,'NEI Lookups'!G:G)+SUMIF('NEI Lookups'!$R:$R,'Inputs Yr 2'!$F328,'NEI Lookups'!G:G)+SUMIF('NEI Lookups'!$S:$S,'Inputs Yr 2'!$F328,'NEI Lookups'!G:G)+SUMIF('NEI Lookups'!$T:$T,'Inputs Yr 2'!$F328,'NEI Lookups'!G:G)</f>
        <v>0</v>
      </c>
      <c r="AV328" s="299">
        <f>SUMIF('NEI Lookups'!$L:$L,'Inputs Yr 2'!$F328,'NEI Lookups'!H:H)+SUMIF('NEI Lookups'!$M:$M,'Inputs Yr 2'!$F328,'NEI Lookups'!H:H)+SUMIF('NEI Lookups'!$N:$N,'Inputs Yr 2'!$F328,'NEI Lookups'!H:H)+SUMIF('NEI Lookups'!$O:$O,'Inputs Yr 2'!$F328,'NEI Lookups'!H:H)+SUMIF('NEI Lookups'!$P:$P,'Inputs Yr 2'!$F328,'NEI Lookups'!H:H)+SUMIF('NEI Lookups'!$Q:$Q,'Inputs Yr 2'!$F328,'NEI Lookups'!H:H)+SUMIF('NEI Lookups'!$R:$R,'Inputs Yr 2'!$F328,'NEI Lookups'!H:H)+SUMIF('NEI Lookups'!$S:$S,'Inputs Yr 2'!$F328,'NEI Lookups'!H:H)+SUMIF('NEI Lookups'!$T:$T,'Inputs Yr 2'!$F328,'NEI Lookups'!H:H)</f>
        <v>0</v>
      </c>
      <c r="AW328" s="299">
        <f>SUMIF('NEI Lookups'!$L:$L,'Inputs Yr 2'!$F328,'NEI Lookups'!I:I)+SUMIF('NEI Lookups'!$M:$M,'Inputs Yr 2'!$F328,'NEI Lookups'!I:I)+SUMIF('NEI Lookups'!$N:$N,'Inputs Yr 2'!$F328,'NEI Lookups'!I:I)+SUMIF('NEI Lookups'!$O:$O,'Inputs Yr 2'!$F328,'NEI Lookups'!I:I)+SUMIF('NEI Lookups'!$P:$P,'Inputs Yr 2'!$F328,'NEI Lookups'!I:I)+SUMIF('NEI Lookups'!$Q:$Q,'Inputs Yr 2'!$F328,'NEI Lookups'!I:I)+SUMIF('NEI Lookups'!$R:$R,'Inputs Yr 2'!$F328,'NEI Lookups'!I:I)+SUMIF('NEI Lookups'!$S:$S,'Inputs Yr 2'!$F328,'NEI Lookups'!I:I)+SUMIF('NEI Lookups'!$T:$T,'Inputs Yr 2'!$F328,'NEI Lookups'!I:I)</f>
        <v>0.22900000000000001</v>
      </c>
      <c r="AX328" s="299">
        <f>SUMIF('NEI Lookups'!$L:$L,'Inputs Yr 2'!$F328,'NEI Lookups'!J:J)+SUMIF('NEI Lookups'!$M:$M,'Inputs Yr 2'!$F328,'NEI Lookups'!J:J)+SUMIF('NEI Lookups'!$N:$N,'Inputs Yr 2'!$F328,'NEI Lookups'!J:J)+SUMIF('NEI Lookups'!$O:$O,'Inputs Yr 2'!$F328,'NEI Lookups'!J:J)+SUMIF('NEI Lookups'!$P:$P,'Inputs Yr 2'!$F328,'NEI Lookups'!J:J)+SUMIF('NEI Lookups'!$Q:$Q,'Inputs Yr 2'!$F328,'NEI Lookups'!J:J)+SUMIF('NEI Lookups'!$R:$R,'Inputs Yr 2'!$F328,'NEI Lookups'!J:J)+SUMIF('NEI Lookups'!$S:$S,'Inputs Yr 2'!$F328,'NEI Lookups'!J:J)+SUMIF('NEI Lookups'!$T:$T,'Inputs Yr 2'!$F328,'NEI Lookups'!J:J)</f>
        <v>0</v>
      </c>
      <c r="AY328" s="930">
        <f>'Calculations Yr 2'!CP328/'Calculations Yr 2'!I328</f>
        <v>1.5448575235468627</v>
      </c>
    </row>
    <row r="329" spans="1:51" s="133" customFormat="1" ht="15.75">
      <c r="A329" s="145" t="s">
        <v>83</v>
      </c>
      <c r="B329" s="132" t="s">
        <v>870</v>
      </c>
      <c r="C329" s="132" t="s">
        <v>907</v>
      </c>
      <c r="D329" s="902" t="s">
        <v>1523</v>
      </c>
      <c r="E329" s="98" t="s">
        <v>770</v>
      </c>
      <c r="F329" s="150" t="s">
        <v>1185</v>
      </c>
      <c r="G329" s="145" t="s">
        <v>89</v>
      </c>
      <c r="H329" s="927">
        <v>8487</v>
      </c>
      <c r="I329" s="232">
        <v>18</v>
      </c>
      <c r="J329" s="964">
        <v>10.380057735359962</v>
      </c>
      <c r="K329" s="166">
        <v>7.7850983857664655</v>
      </c>
      <c r="L329" s="888">
        <f t="shared" si="138"/>
        <v>2.5949593495934966</v>
      </c>
      <c r="M329" s="978">
        <v>0.11</v>
      </c>
      <c r="N329" s="978">
        <v>2.5999999999999999E-2</v>
      </c>
      <c r="O329" s="978">
        <v>3.0000000000000001E-3</v>
      </c>
      <c r="P329" s="889">
        <f t="shared" si="146"/>
        <v>0.91900000000000004</v>
      </c>
      <c r="Q329" s="978">
        <v>1</v>
      </c>
      <c r="R329" s="178">
        <v>1</v>
      </c>
      <c r="S329" s="178">
        <v>1</v>
      </c>
      <c r="T329" s="178">
        <v>1</v>
      </c>
      <c r="U329" s="978">
        <v>0.77900000000000003</v>
      </c>
      <c r="V329" s="978">
        <v>1</v>
      </c>
      <c r="W329" s="179"/>
      <c r="X329" s="99" t="s">
        <v>653</v>
      </c>
      <c r="Y329" s="299">
        <f>IFERROR(VLOOKUP($X329,'Demand Lookups'!$A$5:$K$101,9,0), 0)</f>
        <v>0</v>
      </c>
      <c r="Z329" s="922" t="str">
        <f>IFERROR(VLOOKUP(X329,'Demand Lookups'!$A$5:$B$101,2,0),0)</f>
        <v>Non-Electric Measures</v>
      </c>
      <c r="AA329" s="722">
        <f>IF(ISNA(VLOOKUP($X329,'Demand Lookups'!$A$5:$K$81,3,0)),0,VLOOKUP($X329,'Demand Lookups'!$A$5:$K$81,3,0))</f>
        <v>0</v>
      </c>
      <c r="AB329" s="722">
        <f>IF(ISNA(VLOOKUP($X329,'Demand Lookups'!$A$5:$K$81,4,0)),0,VLOOKUP($X329,'Demand Lookups'!$A$5:$K$81,4,0))</f>
        <v>0</v>
      </c>
      <c r="AC329" s="722">
        <f>IF(ISNA(VLOOKUP($X329,'Demand Lookups'!$A$5:$K$81,5,0)),0,VLOOKUP($X329,'Demand Lookups'!$A$5:$K$81,5,0))</f>
        <v>0</v>
      </c>
      <c r="AD329" s="723">
        <f>IF(ISNA(VLOOKUP($X329,'Demand Lookups'!$A$5:$K$81,6,0)),0,VLOOKUP($X329,'Demand Lookups'!$A$5:$K$81,6,0))</f>
        <v>0</v>
      </c>
      <c r="AE329" s="724">
        <f t="shared" si="143"/>
        <v>0</v>
      </c>
      <c r="AF329" s="723">
        <f>ROUND(IF(ISNA(VLOOKUP($X329,'Demand Lookups'!$A$5:$K$82,10,0)),0,(VLOOKUP($X329,'Demand Lookups'!$A$5:$K$82,10,0))),2)</f>
        <v>0</v>
      </c>
      <c r="AG329" s="723">
        <f>ROUND(IF(ISNA(VLOOKUP($X329,'Demand Lookups'!$A$5:$K$82,11,0)),0,VLOOKUP($X329,'Demand Lookups'!$A$5:$K$82,11,0)),2)</f>
        <v>0</v>
      </c>
      <c r="AH329" s="648">
        <f t="shared" si="144"/>
        <v>0</v>
      </c>
      <c r="AI329" s="648">
        <f t="shared" si="145"/>
        <v>0</v>
      </c>
      <c r="AJ329" s="167" t="s">
        <v>40</v>
      </c>
      <c r="AK329" s="866">
        <v>0.33877224003456419</v>
      </c>
      <c r="AL329" s="167"/>
      <c r="AM329" s="168"/>
      <c r="AN329" s="167"/>
      <c r="AO329" s="168"/>
      <c r="AP329" s="167"/>
      <c r="AQ329" s="171"/>
      <c r="AR329" s="171"/>
      <c r="AS329" s="299">
        <f>SUMIF('NEI Lookups'!$L:$L,'Inputs Yr 2'!$F329,'NEI Lookups'!E:E)+SUMIF('NEI Lookups'!$M:$M,'Inputs Yr 2'!$F329,'NEI Lookups'!E:E)+SUMIF('NEI Lookups'!$N:$N,'Inputs Yr 2'!$F329,'NEI Lookups'!E:E)+SUMIF('NEI Lookups'!$O:$O,'Inputs Yr 2'!$F329,'NEI Lookups'!E:E)+SUMIF('NEI Lookups'!$P:$P,'Inputs Yr 2'!$F329,'NEI Lookups'!E:E)+SUMIF('NEI Lookups'!$Q:$Q,'Inputs Yr 2'!$F329,'NEI Lookups'!E:E)+SUMIF('NEI Lookups'!$R:$R,'Inputs Yr 2'!$F329,'NEI Lookups'!E:E)+SUMIF('NEI Lookups'!$S:$S,'Inputs Yr 2'!$F329,'NEI Lookups'!E:E)+SUMIF('NEI Lookups'!$T:$T,'Inputs Yr 2'!$F329,'NEI Lookups'!E:E)</f>
        <v>0</v>
      </c>
      <c r="AT329" s="299">
        <f>SUMIF('NEI Lookups'!$L:$L,'Inputs Yr 2'!$F329,'NEI Lookups'!F:F)+SUMIF('NEI Lookups'!$M:$M,'Inputs Yr 2'!$F329,'NEI Lookups'!F:F)+SUMIF('NEI Lookups'!$N:$N,'Inputs Yr 2'!$F329,'NEI Lookups'!F:F)+SUMIF('NEI Lookups'!$O:$O,'Inputs Yr 2'!$F329,'NEI Lookups'!F:F)+SUMIF('NEI Lookups'!$P:$P,'Inputs Yr 2'!$F329,'NEI Lookups'!F:F)+SUMIF('NEI Lookups'!$Q:$Q,'Inputs Yr 2'!$F329,'NEI Lookups'!F:F)+SUMIF('NEI Lookups'!$R:$R,'Inputs Yr 2'!$F329,'NEI Lookups'!F:F)+SUMIF('NEI Lookups'!$S:$S,'Inputs Yr 2'!$F329,'NEI Lookups'!F:F)+SUMIF('NEI Lookups'!$T:$T,'Inputs Yr 2'!$F329,'NEI Lookups'!F:F)</f>
        <v>0</v>
      </c>
      <c r="AU329" s="299">
        <f>SUMIF('NEI Lookups'!$L:$L,'Inputs Yr 2'!$F329,'NEI Lookups'!G:G)+SUMIF('NEI Lookups'!$M:$M,'Inputs Yr 2'!$F329,'NEI Lookups'!G:G)+SUMIF('NEI Lookups'!$N:$N,'Inputs Yr 2'!$F329,'NEI Lookups'!G:G)+SUMIF('NEI Lookups'!$O:$O,'Inputs Yr 2'!$F329,'NEI Lookups'!G:G)+SUMIF('NEI Lookups'!$P:$P,'Inputs Yr 2'!$F329,'NEI Lookups'!G:G)+SUMIF('NEI Lookups'!$Q:$Q,'Inputs Yr 2'!$F329,'NEI Lookups'!G:G)+SUMIF('NEI Lookups'!$R:$R,'Inputs Yr 2'!$F329,'NEI Lookups'!G:G)+SUMIF('NEI Lookups'!$S:$S,'Inputs Yr 2'!$F329,'NEI Lookups'!G:G)+SUMIF('NEI Lookups'!$T:$T,'Inputs Yr 2'!$F329,'NEI Lookups'!G:G)</f>
        <v>0</v>
      </c>
      <c r="AV329" s="299">
        <f>SUMIF('NEI Lookups'!$L:$L,'Inputs Yr 2'!$F329,'NEI Lookups'!H:H)+SUMIF('NEI Lookups'!$M:$M,'Inputs Yr 2'!$F329,'NEI Lookups'!H:H)+SUMIF('NEI Lookups'!$N:$N,'Inputs Yr 2'!$F329,'NEI Lookups'!H:H)+SUMIF('NEI Lookups'!$O:$O,'Inputs Yr 2'!$F329,'NEI Lookups'!H:H)+SUMIF('NEI Lookups'!$P:$P,'Inputs Yr 2'!$F329,'NEI Lookups'!H:H)+SUMIF('NEI Lookups'!$Q:$Q,'Inputs Yr 2'!$F329,'NEI Lookups'!H:H)+SUMIF('NEI Lookups'!$R:$R,'Inputs Yr 2'!$F329,'NEI Lookups'!H:H)+SUMIF('NEI Lookups'!$S:$S,'Inputs Yr 2'!$F329,'NEI Lookups'!H:H)+SUMIF('NEI Lookups'!$T:$T,'Inputs Yr 2'!$F329,'NEI Lookups'!H:H)</f>
        <v>0</v>
      </c>
      <c r="AW329" s="299">
        <f>SUMIF('NEI Lookups'!$L:$L,'Inputs Yr 2'!$F329,'NEI Lookups'!I:I)+SUMIF('NEI Lookups'!$M:$M,'Inputs Yr 2'!$F329,'NEI Lookups'!I:I)+SUMIF('NEI Lookups'!$N:$N,'Inputs Yr 2'!$F329,'NEI Lookups'!I:I)+SUMIF('NEI Lookups'!$O:$O,'Inputs Yr 2'!$F329,'NEI Lookups'!I:I)+SUMIF('NEI Lookups'!$P:$P,'Inputs Yr 2'!$F329,'NEI Lookups'!I:I)+SUMIF('NEI Lookups'!$Q:$Q,'Inputs Yr 2'!$F329,'NEI Lookups'!I:I)+SUMIF('NEI Lookups'!$R:$R,'Inputs Yr 2'!$F329,'NEI Lookups'!I:I)+SUMIF('NEI Lookups'!$S:$S,'Inputs Yr 2'!$F329,'NEI Lookups'!I:I)+SUMIF('NEI Lookups'!$T:$T,'Inputs Yr 2'!$F329,'NEI Lookups'!I:I)</f>
        <v>0</v>
      </c>
      <c r="AX329" s="299">
        <f>SUMIF('NEI Lookups'!$L:$L,'Inputs Yr 2'!$F329,'NEI Lookups'!J:J)+SUMIF('NEI Lookups'!$M:$M,'Inputs Yr 2'!$F329,'NEI Lookups'!J:J)+SUMIF('NEI Lookups'!$N:$N,'Inputs Yr 2'!$F329,'NEI Lookups'!J:J)+SUMIF('NEI Lookups'!$O:$O,'Inputs Yr 2'!$F329,'NEI Lookups'!J:J)+SUMIF('NEI Lookups'!$P:$P,'Inputs Yr 2'!$F329,'NEI Lookups'!J:J)+SUMIF('NEI Lookups'!$Q:$Q,'Inputs Yr 2'!$F329,'NEI Lookups'!J:J)+SUMIF('NEI Lookups'!$R:$R,'Inputs Yr 2'!$F329,'NEI Lookups'!J:J)+SUMIF('NEI Lookups'!$S:$S,'Inputs Yr 2'!$F329,'NEI Lookups'!J:J)+SUMIF('NEI Lookups'!$T:$T,'Inputs Yr 2'!$F329,'NEI Lookups'!J:J)</f>
        <v>0</v>
      </c>
      <c r="AY329" s="930">
        <f>'Calculations Yr 2'!CP329/'Calculations Yr 2'!I329</f>
        <v>4.0131919229118136</v>
      </c>
    </row>
    <row r="330" spans="1:51" s="8" customFormat="1" ht="15.75">
      <c r="A330" s="145" t="s">
        <v>83</v>
      </c>
      <c r="B330" s="132" t="s">
        <v>870</v>
      </c>
      <c r="C330" s="132" t="s">
        <v>907</v>
      </c>
      <c r="D330" s="98"/>
      <c r="E330" s="98" t="s">
        <v>1312</v>
      </c>
      <c r="F330" s="150" t="s">
        <v>1186</v>
      </c>
      <c r="G330" s="145" t="s">
        <v>1247</v>
      </c>
      <c r="H330" s="927">
        <v>0</v>
      </c>
      <c r="I330" s="232">
        <v>0</v>
      </c>
      <c r="J330" s="964"/>
      <c r="K330" s="166"/>
      <c r="L330" s="888">
        <f t="shared" si="138"/>
        <v>0</v>
      </c>
      <c r="M330" s="978">
        <v>0</v>
      </c>
      <c r="N330" s="978">
        <v>0</v>
      </c>
      <c r="O330" s="978">
        <v>0</v>
      </c>
      <c r="P330" s="889">
        <f t="shared" si="146"/>
        <v>1</v>
      </c>
      <c r="Q330" s="978">
        <v>0</v>
      </c>
      <c r="R330" s="178">
        <v>1</v>
      </c>
      <c r="S330" s="178">
        <v>1</v>
      </c>
      <c r="T330" s="178">
        <v>1</v>
      </c>
      <c r="U330" s="978">
        <v>0</v>
      </c>
      <c r="V330" s="978">
        <v>0</v>
      </c>
      <c r="W330" s="179"/>
      <c r="X330" s="99" t="s">
        <v>653</v>
      </c>
      <c r="Y330" s="299">
        <f>IFERROR(VLOOKUP($X330,'Demand Lookups'!$A$5:$K$101,9,0), 0)</f>
        <v>0</v>
      </c>
      <c r="Z330" s="922" t="str">
        <f>IFERROR(VLOOKUP(X330,'Demand Lookups'!$A$5:$B$101,2,0),0)</f>
        <v>Non-Electric Measures</v>
      </c>
      <c r="AA330" s="722">
        <f>IF(ISNA(VLOOKUP($X330,'Demand Lookups'!$A$5:$K$81,3,0)),0,VLOOKUP($X330,'Demand Lookups'!$A$5:$K$81,3,0))</f>
        <v>0</v>
      </c>
      <c r="AB330" s="722">
        <f>IF(ISNA(VLOOKUP($X330,'Demand Lookups'!$A$5:$K$81,4,0)),0,VLOOKUP($X330,'Demand Lookups'!$A$5:$K$81,4,0))</f>
        <v>0</v>
      </c>
      <c r="AC330" s="722">
        <f>IF(ISNA(VLOOKUP($X330,'Demand Lookups'!$A$5:$K$81,5,0)),0,VLOOKUP($X330,'Demand Lookups'!$A$5:$K$81,5,0))</f>
        <v>0</v>
      </c>
      <c r="AD330" s="723">
        <f>IF(ISNA(VLOOKUP($X330,'Demand Lookups'!$A$5:$K$81,6,0)),0,VLOOKUP($X330,'Demand Lookups'!$A$5:$K$81,6,0))</f>
        <v>0</v>
      </c>
      <c r="AE330" s="724">
        <f t="shared" si="143"/>
        <v>0</v>
      </c>
      <c r="AF330" s="723">
        <f>ROUND(IF(ISNA(VLOOKUP($X330,'Demand Lookups'!$A$5:$K$82,10,0)),0,(VLOOKUP($X330,'Demand Lookups'!$A$5:$K$82,10,0))),2)</f>
        <v>0</v>
      </c>
      <c r="AG330" s="723">
        <f>ROUND(IF(ISNA(VLOOKUP($X330,'Demand Lookups'!$A$5:$K$82,11,0)),0,VLOOKUP($X330,'Demand Lookups'!$A$5:$K$82,11,0)),2)</f>
        <v>0</v>
      </c>
      <c r="AH330" s="648">
        <f t="shared" si="144"/>
        <v>0</v>
      </c>
      <c r="AI330" s="648">
        <f t="shared" si="145"/>
        <v>0</v>
      </c>
      <c r="AJ330" s="167" t="s">
        <v>404</v>
      </c>
      <c r="AK330" s="866">
        <v>0</v>
      </c>
      <c r="AL330" s="167"/>
      <c r="AM330" s="168"/>
      <c r="AN330" s="167"/>
      <c r="AO330" s="168"/>
      <c r="AP330" s="167"/>
      <c r="AQ330" s="171"/>
      <c r="AR330" s="171"/>
      <c r="AS330" s="299">
        <f>SUMIF('NEI Lookups'!$L:$L,'Inputs Yr 2'!$F330,'NEI Lookups'!E:E)+SUMIF('NEI Lookups'!$M:$M,'Inputs Yr 2'!$F330,'NEI Lookups'!E:E)+SUMIF('NEI Lookups'!$N:$N,'Inputs Yr 2'!$F330,'NEI Lookups'!E:E)+SUMIF('NEI Lookups'!$O:$O,'Inputs Yr 2'!$F330,'NEI Lookups'!E:E)+SUMIF('NEI Lookups'!$P:$P,'Inputs Yr 2'!$F330,'NEI Lookups'!E:E)+SUMIF('NEI Lookups'!$Q:$Q,'Inputs Yr 2'!$F330,'NEI Lookups'!E:E)+SUMIF('NEI Lookups'!$R:$R,'Inputs Yr 2'!$F330,'NEI Lookups'!E:E)+SUMIF('NEI Lookups'!$S:$S,'Inputs Yr 2'!$F330,'NEI Lookups'!E:E)+SUMIF('NEI Lookups'!$T:$T,'Inputs Yr 2'!$F330,'NEI Lookups'!E:E)</f>
        <v>0</v>
      </c>
      <c r="AT330" s="299">
        <f>SUMIF('NEI Lookups'!$L:$L,'Inputs Yr 2'!$F330,'NEI Lookups'!F:F)+SUMIF('NEI Lookups'!$M:$M,'Inputs Yr 2'!$F330,'NEI Lookups'!F:F)+SUMIF('NEI Lookups'!$N:$N,'Inputs Yr 2'!$F330,'NEI Lookups'!F:F)+SUMIF('NEI Lookups'!$O:$O,'Inputs Yr 2'!$F330,'NEI Lookups'!F:F)+SUMIF('NEI Lookups'!$P:$P,'Inputs Yr 2'!$F330,'NEI Lookups'!F:F)+SUMIF('NEI Lookups'!$Q:$Q,'Inputs Yr 2'!$F330,'NEI Lookups'!F:F)+SUMIF('NEI Lookups'!$R:$R,'Inputs Yr 2'!$F330,'NEI Lookups'!F:F)+SUMIF('NEI Lookups'!$S:$S,'Inputs Yr 2'!$F330,'NEI Lookups'!F:F)+SUMIF('NEI Lookups'!$T:$T,'Inputs Yr 2'!$F330,'NEI Lookups'!F:F)</f>
        <v>0</v>
      </c>
      <c r="AU330" s="299">
        <f>SUMIF('NEI Lookups'!$L:$L,'Inputs Yr 2'!$F330,'NEI Lookups'!G:G)+SUMIF('NEI Lookups'!$M:$M,'Inputs Yr 2'!$F330,'NEI Lookups'!G:G)+SUMIF('NEI Lookups'!$N:$N,'Inputs Yr 2'!$F330,'NEI Lookups'!G:G)+SUMIF('NEI Lookups'!$O:$O,'Inputs Yr 2'!$F330,'NEI Lookups'!G:G)+SUMIF('NEI Lookups'!$P:$P,'Inputs Yr 2'!$F330,'NEI Lookups'!G:G)+SUMIF('NEI Lookups'!$Q:$Q,'Inputs Yr 2'!$F330,'NEI Lookups'!G:G)+SUMIF('NEI Lookups'!$R:$R,'Inputs Yr 2'!$F330,'NEI Lookups'!G:G)+SUMIF('NEI Lookups'!$S:$S,'Inputs Yr 2'!$F330,'NEI Lookups'!G:G)+SUMIF('NEI Lookups'!$T:$T,'Inputs Yr 2'!$F330,'NEI Lookups'!G:G)</f>
        <v>0</v>
      </c>
      <c r="AV330" s="299">
        <f>SUMIF('NEI Lookups'!$L:$L,'Inputs Yr 2'!$F330,'NEI Lookups'!H:H)+SUMIF('NEI Lookups'!$M:$M,'Inputs Yr 2'!$F330,'NEI Lookups'!H:H)+SUMIF('NEI Lookups'!$N:$N,'Inputs Yr 2'!$F330,'NEI Lookups'!H:H)+SUMIF('NEI Lookups'!$O:$O,'Inputs Yr 2'!$F330,'NEI Lookups'!H:H)+SUMIF('NEI Lookups'!$P:$P,'Inputs Yr 2'!$F330,'NEI Lookups'!H:H)+SUMIF('NEI Lookups'!$Q:$Q,'Inputs Yr 2'!$F330,'NEI Lookups'!H:H)+SUMIF('NEI Lookups'!$R:$R,'Inputs Yr 2'!$F330,'NEI Lookups'!H:H)+SUMIF('NEI Lookups'!$S:$S,'Inputs Yr 2'!$F330,'NEI Lookups'!H:H)+SUMIF('NEI Lookups'!$T:$T,'Inputs Yr 2'!$F330,'NEI Lookups'!H:H)</f>
        <v>0</v>
      </c>
      <c r="AW330" s="299">
        <f>SUMIF('NEI Lookups'!$L:$L,'Inputs Yr 2'!$F330,'NEI Lookups'!I:I)+SUMIF('NEI Lookups'!$M:$M,'Inputs Yr 2'!$F330,'NEI Lookups'!I:I)+SUMIF('NEI Lookups'!$N:$N,'Inputs Yr 2'!$F330,'NEI Lookups'!I:I)+SUMIF('NEI Lookups'!$O:$O,'Inputs Yr 2'!$F330,'NEI Lookups'!I:I)+SUMIF('NEI Lookups'!$P:$P,'Inputs Yr 2'!$F330,'NEI Lookups'!I:I)+SUMIF('NEI Lookups'!$Q:$Q,'Inputs Yr 2'!$F330,'NEI Lookups'!I:I)+SUMIF('NEI Lookups'!$R:$R,'Inputs Yr 2'!$F330,'NEI Lookups'!I:I)+SUMIF('NEI Lookups'!$S:$S,'Inputs Yr 2'!$F330,'NEI Lookups'!I:I)+SUMIF('NEI Lookups'!$T:$T,'Inputs Yr 2'!$F330,'NEI Lookups'!I:I)</f>
        <v>1.35</v>
      </c>
      <c r="AX330" s="299">
        <f>SUMIF('NEI Lookups'!$L:$L,'Inputs Yr 2'!$F330,'NEI Lookups'!J:J)+SUMIF('NEI Lookups'!$M:$M,'Inputs Yr 2'!$F330,'NEI Lookups'!J:J)+SUMIF('NEI Lookups'!$N:$N,'Inputs Yr 2'!$F330,'NEI Lookups'!J:J)+SUMIF('NEI Lookups'!$O:$O,'Inputs Yr 2'!$F330,'NEI Lookups'!J:J)+SUMIF('NEI Lookups'!$P:$P,'Inputs Yr 2'!$F330,'NEI Lookups'!J:J)+SUMIF('NEI Lookups'!$Q:$Q,'Inputs Yr 2'!$F330,'NEI Lookups'!J:J)+SUMIF('NEI Lookups'!$R:$R,'Inputs Yr 2'!$F330,'NEI Lookups'!J:J)+SUMIF('NEI Lookups'!$S:$S,'Inputs Yr 2'!$F330,'NEI Lookups'!J:J)+SUMIF('NEI Lookups'!$T:$T,'Inputs Yr 2'!$F330,'NEI Lookups'!J:J)</f>
        <v>0</v>
      </c>
      <c r="AY330" s="930" t="e">
        <f>'Calculations Yr 2'!CP330/'Calculations Yr 2'!I330</f>
        <v>#VALUE!</v>
      </c>
    </row>
    <row r="331" spans="1:51" s="8" customFormat="1">
      <c r="A331" s="145" t="s">
        <v>83</v>
      </c>
      <c r="B331" s="132" t="s">
        <v>870</v>
      </c>
      <c r="C331" s="132" t="s">
        <v>912</v>
      </c>
      <c r="D331" s="902" t="s">
        <v>1524</v>
      </c>
      <c r="E331" s="98" t="s">
        <v>1301</v>
      </c>
      <c r="F331" s="150" t="s">
        <v>1187</v>
      </c>
      <c r="G331" s="145" t="s">
        <v>1247</v>
      </c>
      <c r="H331" s="927">
        <v>1</v>
      </c>
      <c r="I331" s="232">
        <v>20</v>
      </c>
      <c r="J331" s="964">
        <v>80</v>
      </c>
      <c r="K331" s="166">
        <v>80</v>
      </c>
      <c r="L331" s="888">
        <f t="shared" si="138"/>
        <v>0</v>
      </c>
      <c r="M331" s="978">
        <v>0</v>
      </c>
      <c r="N331" s="978">
        <v>0</v>
      </c>
      <c r="O331" s="978">
        <v>0</v>
      </c>
      <c r="P331" s="889">
        <v>1</v>
      </c>
      <c r="Q331" s="978">
        <v>1</v>
      </c>
      <c r="R331" s="178">
        <v>1</v>
      </c>
      <c r="S331" s="178">
        <v>1</v>
      </c>
      <c r="T331" s="178">
        <v>1</v>
      </c>
      <c r="U331" s="978">
        <v>0.86199999999999999</v>
      </c>
      <c r="V331" s="978">
        <v>1</v>
      </c>
      <c r="W331" s="179"/>
      <c r="X331" s="99" t="s">
        <v>653</v>
      </c>
      <c r="Y331" s="299">
        <f>IFERROR(VLOOKUP($X331,'Demand Lookups'!$A$5:$K$101,9,0), 0)</f>
        <v>0</v>
      </c>
      <c r="Z331" s="922" t="str">
        <f>IFERROR(VLOOKUP(X331,'Demand Lookups'!$A$5:$B$101,2,0),0)</f>
        <v>Non-Electric Measures</v>
      </c>
      <c r="AA331" s="722">
        <f>IF(ISNA(VLOOKUP($X331,'Demand Lookups'!$A$5:$K$81,3,0)),0,VLOOKUP($X331,'Demand Lookups'!$A$5:$K$81,3,0))</f>
        <v>0</v>
      </c>
      <c r="AB331" s="722">
        <f>IF(ISNA(VLOOKUP($X331,'Demand Lookups'!$A$5:$K$81,4,0)),0,VLOOKUP($X331,'Demand Lookups'!$A$5:$K$81,4,0))</f>
        <v>0</v>
      </c>
      <c r="AC331" s="722">
        <f>IF(ISNA(VLOOKUP($X331,'Demand Lookups'!$A$5:$K$81,5,0)),0,VLOOKUP($X331,'Demand Lookups'!$A$5:$K$81,5,0))</f>
        <v>0</v>
      </c>
      <c r="AD331" s="723">
        <f>IF(ISNA(VLOOKUP($X331,'Demand Lookups'!$A$5:$K$81,6,0)),0,VLOOKUP($X331,'Demand Lookups'!$A$5:$K$81,6,0))</f>
        <v>0</v>
      </c>
      <c r="AE331" s="724">
        <f t="shared" si="143"/>
        <v>0</v>
      </c>
      <c r="AF331" s="723">
        <f>ROUND(IF(ISNA(VLOOKUP($X331,'Demand Lookups'!$A$5:$K$82,10,0)),0,(VLOOKUP($X331,'Demand Lookups'!$A$5:$K$82,10,0))),2)</f>
        <v>0</v>
      </c>
      <c r="AG331" s="723">
        <f>ROUND(IF(ISNA(VLOOKUP($X331,'Demand Lookups'!$A$5:$K$82,11,0)),0,VLOOKUP($X331,'Demand Lookups'!$A$5:$K$82,11,0)),2)</f>
        <v>0</v>
      </c>
      <c r="AH331" s="648">
        <f t="shared" si="144"/>
        <v>0</v>
      </c>
      <c r="AI331" s="648">
        <f t="shared" si="145"/>
        <v>0</v>
      </c>
      <c r="AJ331" s="167" t="s">
        <v>404</v>
      </c>
      <c r="AK331" s="866">
        <v>1.9728004640371228</v>
      </c>
      <c r="AL331" s="167"/>
      <c r="AM331" s="168"/>
      <c r="AN331" s="167"/>
      <c r="AO331" s="168"/>
      <c r="AP331" s="167"/>
      <c r="AQ331" s="171"/>
      <c r="AR331" s="171"/>
      <c r="AS331" s="299">
        <f>SUMIF('NEI Lookups'!$L:$L,'Inputs Yr 2'!$F331,'NEI Lookups'!E:E)+SUMIF('NEI Lookups'!$M:$M,'Inputs Yr 2'!$F331,'NEI Lookups'!E:E)+SUMIF('NEI Lookups'!$N:$N,'Inputs Yr 2'!$F331,'NEI Lookups'!E:E)+SUMIF('NEI Lookups'!$O:$O,'Inputs Yr 2'!$F331,'NEI Lookups'!E:E)+SUMIF('NEI Lookups'!$P:$P,'Inputs Yr 2'!$F331,'NEI Lookups'!E:E)+SUMIF('NEI Lookups'!$Q:$Q,'Inputs Yr 2'!$F331,'NEI Lookups'!E:E)+SUMIF('NEI Lookups'!$R:$R,'Inputs Yr 2'!$F331,'NEI Lookups'!E:E)+SUMIF('NEI Lookups'!$S:$S,'Inputs Yr 2'!$F331,'NEI Lookups'!E:E)+SUMIF('NEI Lookups'!$T:$T,'Inputs Yr 2'!$F331,'NEI Lookups'!E:E)</f>
        <v>0.23</v>
      </c>
      <c r="AT331" s="299">
        <f>SUMIF('NEI Lookups'!$L:$L,'Inputs Yr 2'!$F331,'NEI Lookups'!F:F)+SUMIF('NEI Lookups'!$M:$M,'Inputs Yr 2'!$F331,'NEI Lookups'!F:F)+SUMIF('NEI Lookups'!$N:$N,'Inputs Yr 2'!$F331,'NEI Lookups'!F:F)+SUMIF('NEI Lookups'!$O:$O,'Inputs Yr 2'!$F331,'NEI Lookups'!F:F)+SUMIF('NEI Lookups'!$P:$P,'Inputs Yr 2'!$F331,'NEI Lookups'!F:F)+SUMIF('NEI Lookups'!$Q:$Q,'Inputs Yr 2'!$F331,'NEI Lookups'!F:F)+SUMIF('NEI Lookups'!$R:$R,'Inputs Yr 2'!$F331,'NEI Lookups'!F:F)+SUMIF('NEI Lookups'!$S:$S,'Inputs Yr 2'!$F331,'NEI Lookups'!F:F)+SUMIF('NEI Lookups'!$T:$T,'Inputs Yr 2'!$F331,'NEI Lookups'!F:F)</f>
        <v>0</v>
      </c>
      <c r="AU331" s="299">
        <f>SUMIF('NEI Lookups'!$L:$L,'Inputs Yr 2'!$F331,'NEI Lookups'!G:G)+SUMIF('NEI Lookups'!$M:$M,'Inputs Yr 2'!$F331,'NEI Lookups'!G:G)+SUMIF('NEI Lookups'!$N:$N,'Inputs Yr 2'!$F331,'NEI Lookups'!G:G)+SUMIF('NEI Lookups'!$O:$O,'Inputs Yr 2'!$F331,'NEI Lookups'!G:G)+SUMIF('NEI Lookups'!$P:$P,'Inputs Yr 2'!$F331,'NEI Lookups'!G:G)+SUMIF('NEI Lookups'!$Q:$Q,'Inputs Yr 2'!$F331,'NEI Lookups'!G:G)+SUMIF('NEI Lookups'!$R:$R,'Inputs Yr 2'!$F331,'NEI Lookups'!G:G)+SUMIF('NEI Lookups'!$S:$S,'Inputs Yr 2'!$F331,'NEI Lookups'!G:G)+SUMIF('NEI Lookups'!$T:$T,'Inputs Yr 2'!$F331,'NEI Lookups'!G:G)</f>
        <v>0</v>
      </c>
      <c r="AV331" s="299">
        <f>SUMIF('NEI Lookups'!$L:$L,'Inputs Yr 2'!$F331,'NEI Lookups'!H:H)+SUMIF('NEI Lookups'!$M:$M,'Inputs Yr 2'!$F331,'NEI Lookups'!H:H)+SUMIF('NEI Lookups'!$N:$N,'Inputs Yr 2'!$F331,'NEI Lookups'!H:H)+SUMIF('NEI Lookups'!$O:$O,'Inputs Yr 2'!$F331,'NEI Lookups'!H:H)+SUMIF('NEI Lookups'!$P:$P,'Inputs Yr 2'!$F331,'NEI Lookups'!H:H)+SUMIF('NEI Lookups'!$Q:$Q,'Inputs Yr 2'!$F331,'NEI Lookups'!H:H)+SUMIF('NEI Lookups'!$R:$R,'Inputs Yr 2'!$F331,'NEI Lookups'!H:H)+SUMIF('NEI Lookups'!$S:$S,'Inputs Yr 2'!$F331,'NEI Lookups'!H:H)+SUMIF('NEI Lookups'!$T:$T,'Inputs Yr 2'!$F331,'NEI Lookups'!H:H)</f>
        <v>0</v>
      </c>
      <c r="AW331" s="299">
        <f>SUMIF('NEI Lookups'!$L:$L,'Inputs Yr 2'!$F331,'NEI Lookups'!I:I)+SUMIF('NEI Lookups'!$M:$M,'Inputs Yr 2'!$F331,'NEI Lookups'!I:I)+SUMIF('NEI Lookups'!$N:$N,'Inputs Yr 2'!$F331,'NEI Lookups'!I:I)+SUMIF('NEI Lookups'!$O:$O,'Inputs Yr 2'!$F331,'NEI Lookups'!I:I)+SUMIF('NEI Lookups'!$P:$P,'Inputs Yr 2'!$F331,'NEI Lookups'!I:I)+SUMIF('NEI Lookups'!$Q:$Q,'Inputs Yr 2'!$F331,'NEI Lookups'!I:I)+SUMIF('NEI Lookups'!$R:$R,'Inputs Yr 2'!$F331,'NEI Lookups'!I:I)+SUMIF('NEI Lookups'!$S:$S,'Inputs Yr 2'!$F331,'NEI Lookups'!I:I)+SUMIF('NEI Lookups'!$T:$T,'Inputs Yr 2'!$F331,'NEI Lookups'!I:I)</f>
        <v>0</v>
      </c>
      <c r="AX331" s="299">
        <f>SUMIF('NEI Lookups'!$L:$L,'Inputs Yr 2'!$F331,'NEI Lookups'!J:J)+SUMIF('NEI Lookups'!$M:$M,'Inputs Yr 2'!$F331,'NEI Lookups'!J:J)+SUMIF('NEI Lookups'!$N:$N,'Inputs Yr 2'!$F331,'NEI Lookups'!J:J)+SUMIF('NEI Lookups'!$O:$O,'Inputs Yr 2'!$F331,'NEI Lookups'!J:J)+SUMIF('NEI Lookups'!$P:$P,'Inputs Yr 2'!$F331,'NEI Lookups'!J:J)+SUMIF('NEI Lookups'!$Q:$Q,'Inputs Yr 2'!$F331,'NEI Lookups'!J:J)+SUMIF('NEI Lookups'!$R:$R,'Inputs Yr 2'!$F331,'NEI Lookups'!J:J)+SUMIF('NEI Lookups'!$S:$S,'Inputs Yr 2'!$F331,'NEI Lookups'!J:J)+SUMIF('NEI Lookups'!$T:$T,'Inputs Yr 2'!$F331,'NEI Lookups'!J:J)</f>
        <v>0</v>
      </c>
      <c r="AY331" s="930">
        <f>'Calculations Yr 2'!CP331/'Calculations Yr 2'!I331</f>
        <v>3.9692981847271702</v>
      </c>
    </row>
    <row r="332" spans="1:51" s="8" customFormat="1" ht="15.75">
      <c r="A332" s="145" t="s">
        <v>83</v>
      </c>
      <c r="B332" s="132" t="s">
        <v>870</v>
      </c>
      <c r="C332" s="132" t="s">
        <v>907</v>
      </c>
      <c r="D332" s="902" t="s">
        <v>1525</v>
      </c>
      <c r="E332" s="98" t="s">
        <v>730</v>
      </c>
      <c r="F332" s="150" t="s">
        <v>1188</v>
      </c>
      <c r="G332" s="145" t="s">
        <v>89</v>
      </c>
      <c r="H332" s="927">
        <v>3</v>
      </c>
      <c r="I332" s="232">
        <v>15</v>
      </c>
      <c r="J332" s="964">
        <v>15</v>
      </c>
      <c r="K332" s="166">
        <v>15</v>
      </c>
      <c r="L332" s="888">
        <f t="shared" si="138"/>
        <v>0</v>
      </c>
      <c r="M332" s="978">
        <v>0</v>
      </c>
      <c r="N332" s="978">
        <v>0</v>
      </c>
      <c r="O332" s="978">
        <v>0</v>
      </c>
      <c r="P332" s="889">
        <f t="shared" si="146"/>
        <v>1</v>
      </c>
      <c r="Q332" s="978">
        <v>1</v>
      </c>
      <c r="R332" s="178">
        <v>1</v>
      </c>
      <c r="S332" s="178">
        <v>1</v>
      </c>
      <c r="T332" s="178">
        <v>1</v>
      </c>
      <c r="U332" s="978">
        <v>0.86199999999999999</v>
      </c>
      <c r="V332" s="978">
        <v>1</v>
      </c>
      <c r="W332" s="179"/>
      <c r="X332" s="99" t="s">
        <v>653</v>
      </c>
      <c r="Y332" s="299">
        <f>IFERROR(VLOOKUP($X332,'Demand Lookups'!$A$5:$K$101,9,0), 0)</f>
        <v>0</v>
      </c>
      <c r="Z332" s="922" t="str">
        <f>IFERROR(VLOOKUP(X332,'Demand Lookups'!$A$5:$B$101,2,0),0)</f>
        <v>Non-Electric Measures</v>
      </c>
      <c r="AA332" s="722">
        <f>IF(ISNA(VLOOKUP($X332,'Demand Lookups'!$A$5:$K$81,3,0)),0,VLOOKUP($X332,'Demand Lookups'!$A$5:$K$81,3,0))</f>
        <v>0</v>
      </c>
      <c r="AB332" s="722">
        <f>IF(ISNA(VLOOKUP($X332,'Demand Lookups'!$A$5:$K$81,4,0)),0,VLOOKUP($X332,'Demand Lookups'!$A$5:$K$81,4,0))</f>
        <v>0</v>
      </c>
      <c r="AC332" s="722">
        <f>IF(ISNA(VLOOKUP($X332,'Demand Lookups'!$A$5:$K$81,5,0)),0,VLOOKUP($X332,'Demand Lookups'!$A$5:$K$81,5,0))</f>
        <v>0</v>
      </c>
      <c r="AD332" s="723">
        <f>IF(ISNA(VLOOKUP($X332,'Demand Lookups'!$A$5:$K$81,6,0)),0,VLOOKUP($X332,'Demand Lookups'!$A$5:$K$81,6,0))</f>
        <v>0</v>
      </c>
      <c r="AE332" s="724">
        <f t="shared" si="143"/>
        <v>0</v>
      </c>
      <c r="AF332" s="723">
        <f>ROUND(IF(ISNA(VLOOKUP($X332,'Demand Lookups'!$A$5:$K$82,10,0)),0,(VLOOKUP($X332,'Demand Lookups'!$A$5:$K$82,10,0))),2)</f>
        <v>0</v>
      </c>
      <c r="AG332" s="723">
        <f>ROUND(IF(ISNA(VLOOKUP($X332,'Demand Lookups'!$A$5:$K$82,11,0)),0,VLOOKUP($X332,'Demand Lookups'!$A$5:$K$82,11,0)),2)</f>
        <v>0</v>
      </c>
      <c r="AH332" s="648">
        <f t="shared" si="144"/>
        <v>0</v>
      </c>
      <c r="AI332" s="648">
        <f t="shared" si="145"/>
        <v>0</v>
      </c>
      <c r="AJ332" s="167" t="s">
        <v>40</v>
      </c>
      <c r="AK332" s="866">
        <v>1.1400000000000001</v>
      </c>
      <c r="AL332" s="167"/>
      <c r="AM332" s="168"/>
      <c r="AN332" s="167"/>
      <c r="AO332" s="168"/>
      <c r="AP332" s="167"/>
      <c r="AQ332" s="171"/>
      <c r="AR332" s="171"/>
      <c r="AS332" s="299">
        <f>SUMIF('NEI Lookups'!$L:$L,'Inputs Yr 2'!$F332,'NEI Lookups'!E:E)+SUMIF('NEI Lookups'!$M:$M,'Inputs Yr 2'!$F332,'NEI Lookups'!E:E)+SUMIF('NEI Lookups'!$N:$N,'Inputs Yr 2'!$F332,'NEI Lookups'!E:E)+SUMIF('NEI Lookups'!$O:$O,'Inputs Yr 2'!$F332,'NEI Lookups'!E:E)+SUMIF('NEI Lookups'!$P:$P,'Inputs Yr 2'!$F332,'NEI Lookups'!E:E)+SUMIF('NEI Lookups'!$Q:$Q,'Inputs Yr 2'!$F332,'NEI Lookups'!E:E)+SUMIF('NEI Lookups'!$R:$R,'Inputs Yr 2'!$F332,'NEI Lookups'!E:E)+SUMIF('NEI Lookups'!$S:$S,'Inputs Yr 2'!$F332,'NEI Lookups'!E:E)+SUMIF('NEI Lookups'!$T:$T,'Inputs Yr 2'!$F332,'NEI Lookups'!E:E)</f>
        <v>0</v>
      </c>
      <c r="AT332" s="299">
        <f>SUMIF('NEI Lookups'!$L:$L,'Inputs Yr 2'!$F332,'NEI Lookups'!F:F)+SUMIF('NEI Lookups'!$M:$M,'Inputs Yr 2'!$F332,'NEI Lookups'!F:F)+SUMIF('NEI Lookups'!$N:$N,'Inputs Yr 2'!$F332,'NEI Lookups'!F:F)+SUMIF('NEI Lookups'!$O:$O,'Inputs Yr 2'!$F332,'NEI Lookups'!F:F)+SUMIF('NEI Lookups'!$P:$P,'Inputs Yr 2'!$F332,'NEI Lookups'!F:F)+SUMIF('NEI Lookups'!$Q:$Q,'Inputs Yr 2'!$F332,'NEI Lookups'!F:F)+SUMIF('NEI Lookups'!$R:$R,'Inputs Yr 2'!$F332,'NEI Lookups'!F:F)+SUMIF('NEI Lookups'!$S:$S,'Inputs Yr 2'!$F332,'NEI Lookups'!F:F)+SUMIF('NEI Lookups'!$T:$T,'Inputs Yr 2'!$F332,'NEI Lookups'!F:F)</f>
        <v>0</v>
      </c>
      <c r="AU332" s="299">
        <f>SUMIF('NEI Lookups'!$L:$L,'Inputs Yr 2'!$F332,'NEI Lookups'!G:G)+SUMIF('NEI Lookups'!$M:$M,'Inputs Yr 2'!$F332,'NEI Lookups'!G:G)+SUMIF('NEI Lookups'!$N:$N,'Inputs Yr 2'!$F332,'NEI Lookups'!G:G)+SUMIF('NEI Lookups'!$O:$O,'Inputs Yr 2'!$F332,'NEI Lookups'!G:G)+SUMIF('NEI Lookups'!$P:$P,'Inputs Yr 2'!$F332,'NEI Lookups'!G:G)+SUMIF('NEI Lookups'!$Q:$Q,'Inputs Yr 2'!$F332,'NEI Lookups'!G:G)+SUMIF('NEI Lookups'!$R:$R,'Inputs Yr 2'!$F332,'NEI Lookups'!G:G)+SUMIF('NEI Lookups'!$S:$S,'Inputs Yr 2'!$F332,'NEI Lookups'!G:G)+SUMIF('NEI Lookups'!$T:$T,'Inputs Yr 2'!$F332,'NEI Lookups'!G:G)</f>
        <v>0</v>
      </c>
      <c r="AV332" s="299">
        <f>SUMIF('NEI Lookups'!$L:$L,'Inputs Yr 2'!$F332,'NEI Lookups'!H:H)+SUMIF('NEI Lookups'!$M:$M,'Inputs Yr 2'!$F332,'NEI Lookups'!H:H)+SUMIF('NEI Lookups'!$N:$N,'Inputs Yr 2'!$F332,'NEI Lookups'!H:H)+SUMIF('NEI Lookups'!$O:$O,'Inputs Yr 2'!$F332,'NEI Lookups'!H:H)+SUMIF('NEI Lookups'!$P:$P,'Inputs Yr 2'!$F332,'NEI Lookups'!H:H)+SUMIF('NEI Lookups'!$Q:$Q,'Inputs Yr 2'!$F332,'NEI Lookups'!H:H)+SUMIF('NEI Lookups'!$R:$R,'Inputs Yr 2'!$F332,'NEI Lookups'!H:H)+SUMIF('NEI Lookups'!$S:$S,'Inputs Yr 2'!$F332,'NEI Lookups'!H:H)+SUMIF('NEI Lookups'!$T:$T,'Inputs Yr 2'!$F332,'NEI Lookups'!H:H)</f>
        <v>0</v>
      </c>
      <c r="AW332" s="299">
        <f>SUMIF('NEI Lookups'!$L:$L,'Inputs Yr 2'!$F332,'NEI Lookups'!I:I)+SUMIF('NEI Lookups'!$M:$M,'Inputs Yr 2'!$F332,'NEI Lookups'!I:I)+SUMIF('NEI Lookups'!$N:$N,'Inputs Yr 2'!$F332,'NEI Lookups'!I:I)+SUMIF('NEI Lookups'!$O:$O,'Inputs Yr 2'!$F332,'NEI Lookups'!I:I)+SUMIF('NEI Lookups'!$P:$P,'Inputs Yr 2'!$F332,'NEI Lookups'!I:I)+SUMIF('NEI Lookups'!$Q:$Q,'Inputs Yr 2'!$F332,'NEI Lookups'!I:I)+SUMIF('NEI Lookups'!$R:$R,'Inputs Yr 2'!$F332,'NEI Lookups'!I:I)+SUMIF('NEI Lookups'!$S:$S,'Inputs Yr 2'!$F332,'NEI Lookups'!I:I)+SUMIF('NEI Lookups'!$T:$T,'Inputs Yr 2'!$F332,'NEI Lookups'!I:I)</f>
        <v>0</v>
      </c>
      <c r="AX332" s="299">
        <f>SUMIF('NEI Lookups'!$L:$L,'Inputs Yr 2'!$F332,'NEI Lookups'!J:J)+SUMIF('NEI Lookups'!$M:$M,'Inputs Yr 2'!$F332,'NEI Lookups'!J:J)+SUMIF('NEI Lookups'!$N:$N,'Inputs Yr 2'!$F332,'NEI Lookups'!J:J)+SUMIF('NEI Lookups'!$O:$O,'Inputs Yr 2'!$F332,'NEI Lookups'!J:J)+SUMIF('NEI Lookups'!$P:$P,'Inputs Yr 2'!$F332,'NEI Lookups'!J:J)+SUMIF('NEI Lookups'!$Q:$Q,'Inputs Yr 2'!$F332,'NEI Lookups'!J:J)+SUMIF('NEI Lookups'!$R:$R,'Inputs Yr 2'!$F332,'NEI Lookups'!J:J)+SUMIF('NEI Lookups'!$S:$S,'Inputs Yr 2'!$F332,'NEI Lookups'!J:J)+SUMIF('NEI Lookups'!$T:$T,'Inputs Yr 2'!$F332,'NEI Lookups'!J:J)</f>
        <v>0</v>
      </c>
      <c r="AY332" s="930">
        <f>'Calculations Yr 2'!CP332/'Calculations Yr 2'!I332</f>
        <v>8.5485781681243775</v>
      </c>
    </row>
    <row r="333" spans="1:51" s="8" customFormat="1" ht="15.75">
      <c r="A333" s="145" t="s">
        <v>83</v>
      </c>
      <c r="B333" s="132" t="s">
        <v>870</v>
      </c>
      <c r="C333" s="132" t="s">
        <v>907</v>
      </c>
      <c r="D333" s="902" t="s">
        <v>1526</v>
      </c>
      <c r="E333" s="98" t="s">
        <v>731</v>
      </c>
      <c r="F333" s="150" t="s">
        <v>1189</v>
      </c>
      <c r="G333" s="145" t="s">
        <v>1247</v>
      </c>
      <c r="H333" s="927">
        <v>16718</v>
      </c>
      <c r="I333" s="232">
        <v>15</v>
      </c>
      <c r="J333" s="964">
        <v>8.1221384136858479</v>
      </c>
      <c r="K333" s="166">
        <v>6.0917340590979787</v>
      </c>
      <c r="L333" s="888">
        <f t="shared" si="138"/>
        <v>2.0304043545878692</v>
      </c>
      <c r="M333" s="978">
        <v>0</v>
      </c>
      <c r="N333" s="978">
        <v>0</v>
      </c>
      <c r="O333" s="978">
        <v>0</v>
      </c>
      <c r="P333" s="889">
        <f t="shared" si="146"/>
        <v>1</v>
      </c>
      <c r="Q333" s="978">
        <v>1</v>
      </c>
      <c r="R333" s="178">
        <v>1</v>
      </c>
      <c r="S333" s="178">
        <v>1</v>
      </c>
      <c r="T333" s="178">
        <v>1</v>
      </c>
      <c r="U333" s="978">
        <v>0.86199999999999999</v>
      </c>
      <c r="V333" s="978">
        <v>1</v>
      </c>
      <c r="W333" s="179"/>
      <c r="X333" s="99" t="s">
        <v>653</v>
      </c>
      <c r="Y333" s="299">
        <f>IFERROR(VLOOKUP($X333,'Demand Lookups'!$A$5:$K$101,9,0), 0)</f>
        <v>0</v>
      </c>
      <c r="Z333" s="922" t="str">
        <f>IFERROR(VLOOKUP(X333,'Demand Lookups'!$A$5:$B$101,2,0),0)</f>
        <v>Non-Electric Measures</v>
      </c>
      <c r="AA333" s="722">
        <f>IF(ISNA(VLOOKUP($X333,'Demand Lookups'!$A$5:$K$81,3,0)),0,VLOOKUP($X333,'Demand Lookups'!$A$5:$K$81,3,0))</f>
        <v>0</v>
      </c>
      <c r="AB333" s="722">
        <f>IF(ISNA(VLOOKUP($X333,'Demand Lookups'!$A$5:$K$81,4,0)),0,VLOOKUP($X333,'Demand Lookups'!$A$5:$K$81,4,0))</f>
        <v>0</v>
      </c>
      <c r="AC333" s="722">
        <f>IF(ISNA(VLOOKUP($X333,'Demand Lookups'!$A$5:$K$81,5,0)),0,VLOOKUP($X333,'Demand Lookups'!$A$5:$K$81,5,0))</f>
        <v>0</v>
      </c>
      <c r="AD333" s="723">
        <f>IF(ISNA(VLOOKUP($X333,'Demand Lookups'!$A$5:$K$81,6,0)),0,VLOOKUP($X333,'Demand Lookups'!$A$5:$K$81,6,0))</f>
        <v>0</v>
      </c>
      <c r="AE333" s="724">
        <f t="shared" si="143"/>
        <v>0</v>
      </c>
      <c r="AF333" s="723">
        <f>ROUND(IF(ISNA(VLOOKUP($X333,'Demand Lookups'!$A$5:$K$82,10,0)),0,(VLOOKUP($X333,'Demand Lookups'!$A$5:$K$82,10,0))),2)</f>
        <v>0</v>
      </c>
      <c r="AG333" s="723">
        <f>ROUND(IF(ISNA(VLOOKUP($X333,'Demand Lookups'!$A$5:$K$82,11,0)),0,VLOOKUP($X333,'Demand Lookups'!$A$5:$K$82,11,0)),2)</f>
        <v>0</v>
      </c>
      <c r="AH333" s="648">
        <f t="shared" si="144"/>
        <v>0</v>
      </c>
      <c r="AI333" s="648">
        <f t="shared" si="145"/>
        <v>0</v>
      </c>
      <c r="AJ333" s="167" t="s">
        <v>404</v>
      </c>
      <c r="AK333" s="866">
        <v>0.15999999999999998</v>
      </c>
      <c r="AL333" s="167"/>
      <c r="AM333" s="168"/>
      <c r="AN333" s="167"/>
      <c r="AO333" s="168"/>
      <c r="AP333" s="167"/>
      <c r="AQ333" s="171"/>
      <c r="AR333" s="171"/>
      <c r="AS333" s="299">
        <f>SUMIF('NEI Lookups'!$L:$L,'Inputs Yr 2'!$F333,'NEI Lookups'!E:E)+SUMIF('NEI Lookups'!$M:$M,'Inputs Yr 2'!$F333,'NEI Lookups'!E:E)+SUMIF('NEI Lookups'!$N:$N,'Inputs Yr 2'!$F333,'NEI Lookups'!E:E)+SUMIF('NEI Lookups'!$O:$O,'Inputs Yr 2'!$F333,'NEI Lookups'!E:E)+SUMIF('NEI Lookups'!$P:$P,'Inputs Yr 2'!$F333,'NEI Lookups'!E:E)+SUMIF('NEI Lookups'!$Q:$Q,'Inputs Yr 2'!$F333,'NEI Lookups'!E:E)+SUMIF('NEI Lookups'!$R:$R,'Inputs Yr 2'!$F333,'NEI Lookups'!E:E)+SUMIF('NEI Lookups'!$S:$S,'Inputs Yr 2'!$F333,'NEI Lookups'!E:E)+SUMIF('NEI Lookups'!$T:$T,'Inputs Yr 2'!$F333,'NEI Lookups'!E:E)</f>
        <v>0</v>
      </c>
      <c r="AT333" s="299">
        <f>SUMIF('NEI Lookups'!$L:$L,'Inputs Yr 2'!$F333,'NEI Lookups'!F:F)+SUMIF('NEI Lookups'!$M:$M,'Inputs Yr 2'!$F333,'NEI Lookups'!F:F)+SUMIF('NEI Lookups'!$N:$N,'Inputs Yr 2'!$F333,'NEI Lookups'!F:F)+SUMIF('NEI Lookups'!$O:$O,'Inputs Yr 2'!$F333,'NEI Lookups'!F:F)+SUMIF('NEI Lookups'!$P:$P,'Inputs Yr 2'!$F333,'NEI Lookups'!F:F)+SUMIF('NEI Lookups'!$Q:$Q,'Inputs Yr 2'!$F333,'NEI Lookups'!F:F)+SUMIF('NEI Lookups'!$R:$R,'Inputs Yr 2'!$F333,'NEI Lookups'!F:F)+SUMIF('NEI Lookups'!$S:$S,'Inputs Yr 2'!$F333,'NEI Lookups'!F:F)+SUMIF('NEI Lookups'!$T:$T,'Inputs Yr 2'!$F333,'NEI Lookups'!F:F)</f>
        <v>0</v>
      </c>
      <c r="AU333" s="299">
        <f>SUMIF('NEI Lookups'!$L:$L,'Inputs Yr 2'!$F333,'NEI Lookups'!G:G)+SUMIF('NEI Lookups'!$M:$M,'Inputs Yr 2'!$F333,'NEI Lookups'!G:G)+SUMIF('NEI Lookups'!$N:$N,'Inputs Yr 2'!$F333,'NEI Lookups'!G:G)+SUMIF('NEI Lookups'!$O:$O,'Inputs Yr 2'!$F333,'NEI Lookups'!G:G)+SUMIF('NEI Lookups'!$P:$P,'Inputs Yr 2'!$F333,'NEI Lookups'!G:G)+SUMIF('NEI Lookups'!$Q:$Q,'Inputs Yr 2'!$F333,'NEI Lookups'!G:G)+SUMIF('NEI Lookups'!$R:$R,'Inputs Yr 2'!$F333,'NEI Lookups'!G:G)+SUMIF('NEI Lookups'!$S:$S,'Inputs Yr 2'!$F333,'NEI Lookups'!G:G)+SUMIF('NEI Lookups'!$T:$T,'Inputs Yr 2'!$F333,'NEI Lookups'!G:G)</f>
        <v>0</v>
      </c>
      <c r="AV333" s="299">
        <f>SUMIF('NEI Lookups'!$L:$L,'Inputs Yr 2'!$F333,'NEI Lookups'!H:H)+SUMIF('NEI Lookups'!$M:$M,'Inputs Yr 2'!$F333,'NEI Lookups'!H:H)+SUMIF('NEI Lookups'!$N:$N,'Inputs Yr 2'!$F333,'NEI Lookups'!H:H)+SUMIF('NEI Lookups'!$O:$O,'Inputs Yr 2'!$F333,'NEI Lookups'!H:H)+SUMIF('NEI Lookups'!$P:$P,'Inputs Yr 2'!$F333,'NEI Lookups'!H:H)+SUMIF('NEI Lookups'!$Q:$Q,'Inputs Yr 2'!$F333,'NEI Lookups'!H:H)+SUMIF('NEI Lookups'!$R:$R,'Inputs Yr 2'!$F333,'NEI Lookups'!H:H)+SUMIF('NEI Lookups'!$S:$S,'Inputs Yr 2'!$F333,'NEI Lookups'!H:H)+SUMIF('NEI Lookups'!$T:$T,'Inputs Yr 2'!$F333,'NEI Lookups'!H:H)</f>
        <v>0</v>
      </c>
      <c r="AW333" s="299">
        <f>SUMIF('NEI Lookups'!$L:$L,'Inputs Yr 2'!$F333,'NEI Lookups'!I:I)+SUMIF('NEI Lookups'!$M:$M,'Inputs Yr 2'!$F333,'NEI Lookups'!I:I)+SUMIF('NEI Lookups'!$N:$N,'Inputs Yr 2'!$F333,'NEI Lookups'!I:I)+SUMIF('NEI Lookups'!$O:$O,'Inputs Yr 2'!$F333,'NEI Lookups'!I:I)+SUMIF('NEI Lookups'!$P:$P,'Inputs Yr 2'!$F333,'NEI Lookups'!I:I)+SUMIF('NEI Lookups'!$Q:$Q,'Inputs Yr 2'!$F333,'NEI Lookups'!I:I)+SUMIF('NEI Lookups'!$R:$R,'Inputs Yr 2'!$F333,'NEI Lookups'!I:I)+SUMIF('NEI Lookups'!$S:$S,'Inputs Yr 2'!$F333,'NEI Lookups'!I:I)+SUMIF('NEI Lookups'!$T:$T,'Inputs Yr 2'!$F333,'NEI Lookups'!I:I)</f>
        <v>1.35</v>
      </c>
      <c r="AX333" s="299">
        <f>SUMIF('NEI Lookups'!$L:$L,'Inputs Yr 2'!$F333,'NEI Lookups'!J:J)+SUMIF('NEI Lookups'!$M:$M,'Inputs Yr 2'!$F333,'NEI Lookups'!J:J)+SUMIF('NEI Lookups'!$N:$N,'Inputs Yr 2'!$F333,'NEI Lookups'!J:J)+SUMIF('NEI Lookups'!$O:$O,'Inputs Yr 2'!$F333,'NEI Lookups'!J:J)+SUMIF('NEI Lookups'!$P:$P,'Inputs Yr 2'!$F333,'NEI Lookups'!J:J)+SUMIF('NEI Lookups'!$Q:$Q,'Inputs Yr 2'!$F333,'NEI Lookups'!J:J)+SUMIF('NEI Lookups'!$R:$R,'Inputs Yr 2'!$F333,'NEI Lookups'!J:J)+SUMIF('NEI Lookups'!$S:$S,'Inputs Yr 2'!$F333,'NEI Lookups'!J:J)+SUMIF('NEI Lookups'!$T:$T,'Inputs Yr 2'!$F333,'NEI Lookups'!J:J)</f>
        <v>0</v>
      </c>
      <c r="AY333" s="930">
        <f>'Calculations Yr 2'!CP333/'Calculations Yr 2'!I333</f>
        <v>5.6417207995397538</v>
      </c>
    </row>
    <row r="334" spans="1:51" s="8" customFormat="1" ht="15.75">
      <c r="A334" s="145" t="s">
        <v>83</v>
      </c>
      <c r="B334" s="132" t="s">
        <v>870</v>
      </c>
      <c r="C334" s="132" t="s">
        <v>907</v>
      </c>
      <c r="D334" s="902" t="s">
        <v>1527</v>
      </c>
      <c r="E334" s="150" t="s">
        <v>1304</v>
      </c>
      <c r="F334" s="150" t="s">
        <v>1190</v>
      </c>
      <c r="G334" s="145" t="s">
        <v>89</v>
      </c>
      <c r="H334" s="927">
        <v>722</v>
      </c>
      <c r="I334" s="232">
        <v>7</v>
      </c>
      <c r="J334" s="964">
        <v>3.5713434903047081</v>
      </c>
      <c r="K334" s="166">
        <v>3.5713434903047081</v>
      </c>
      <c r="L334" s="888">
        <f t="shared" si="138"/>
        <v>0</v>
      </c>
      <c r="M334" s="978">
        <v>0.15</v>
      </c>
      <c r="N334" s="978">
        <v>0</v>
      </c>
      <c r="O334" s="978">
        <v>0</v>
      </c>
      <c r="P334" s="889">
        <f t="shared" si="146"/>
        <v>0.85</v>
      </c>
      <c r="Q334" s="978">
        <v>1</v>
      </c>
      <c r="R334" s="178">
        <v>1</v>
      </c>
      <c r="S334" s="178">
        <v>1</v>
      </c>
      <c r="T334" s="178">
        <v>1</v>
      </c>
      <c r="U334" s="978">
        <v>1</v>
      </c>
      <c r="V334" s="978">
        <v>1</v>
      </c>
      <c r="W334" s="179"/>
      <c r="X334" s="99" t="s">
        <v>653</v>
      </c>
      <c r="Y334" s="299">
        <f>IFERROR(VLOOKUP($X334,'Demand Lookups'!$A$5:$K$101,9,0), 0)</f>
        <v>0</v>
      </c>
      <c r="Z334" s="922" t="str">
        <f>IFERROR(VLOOKUP(X334,'Demand Lookups'!$A$5:$B$101,2,0),0)</f>
        <v>Non-Electric Measures</v>
      </c>
      <c r="AA334" s="722">
        <f>IF(ISNA(VLOOKUP($X334,'Demand Lookups'!$A$5:$K$81,3,0)),0,VLOOKUP($X334,'Demand Lookups'!$A$5:$K$81,3,0))</f>
        <v>0</v>
      </c>
      <c r="AB334" s="722">
        <f>IF(ISNA(VLOOKUP($X334,'Demand Lookups'!$A$5:$K$81,4,0)),0,VLOOKUP($X334,'Demand Lookups'!$A$5:$K$81,4,0))</f>
        <v>0</v>
      </c>
      <c r="AC334" s="722">
        <f>IF(ISNA(VLOOKUP($X334,'Demand Lookups'!$A$5:$K$81,5,0)),0,VLOOKUP($X334,'Demand Lookups'!$A$5:$K$81,5,0))</f>
        <v>0</v>
      </c>
      <c r="AD334" s="723">
        <f>IF(ISNA(VLOOKUP($X334,'Demand Lookups'!$A$5:$K$81,6,0)),0,VLOOKUP($X334,'Demand Lookups'!$A$5:$K$81,6,0))</f>
        <v>0</v>
      </c>
      <c r="AE334" s="724">
        <f t="shared" si="143"/>
        <v>0</v>
      </c>
      <c r="AF334" s="723">
        <f>ROUND(IF(ISNA(VLOOKUP($X334,'Demand Lookups'!$A$5:$K$82,10,0)),0,(VLOOKUP($X334,'Demand Lookups'!$A$5:$K$82,10,0))),2)</f>
        <v>0</v>
      </c>
      <c r="AG334" s="723">
        <f>ROUND(IF(ISNA(VLOOKUP($X334,'Demand Lookups'!$A$5:$K$82,11,0)),0,VLOOKUP($X334,'Demand Lookups'!$A$5:$K$82,11,0)),2)</f>
        <v>0</v>
      </c>
      <c r="AH334" s="648">
        <f t="shared" si="144"/>
        <v>0</v>
      </c>
      <c r="AI334" s="648">
        <f t="shared" si="145"/>
        <v>0</v>
      </c>
      <c r="AJ334" s="167" t="s">
        <v>40</v>
      </c>
      <c r="AK334" s="866">
        <v>0.86</v>
      </c>
      <c r="AL334" s="167"/>
      <c r="AM334" s="168"/>
      <c r="AN334" s="167"/>
      <c r="AO334" s="168"/>
      <c r="AP334" s="171">
        <v>332</v>
      </c>
      <c r="AQ334" s="171"/>
      <c r="AR334" s="171"/>
      <c r="AS334" s="299">
        <f>SUMIF('NEI Lookups'!$L:$L,'Inputs Yr 2'!$F334,'NEI Lookups'!E:E)+SUMIF('NEI Lookups'!$M:$M,'Inputs Yr 2'!$F334,'NEI Lookups'!E:E)+SUMIF('NEI Lookups'!$N:$N,'Inputs Yr 2'!$F334,'NEI Lookups'!E:E)+SUMIF('NEI Lookups'!$O:$O,'Inputs Yr 2'!$F334,'NEI Lookups'!E:E)+SUMIF('NEI Lookups'!$P:$P,'Inputs Yr 2'!$F334,'NEI Lookups'!E:E)+SUMIF('NEI Lookups'!$Q:$Q,'Inputs Yr 2'!$F334,'NEI Lookups'!E:E)+SUMIF('NEI Lookups'!$R:$R,'Inputs Yr 2'!$F334,'NEI Lookups'!E:E)+SUMIF('NEI Lookups'!$S:$S,'Inputs Yr 2'!$F334,'NEI Lookups'!E:E)+SUMIF('NEI Lookups'!$T:$T,'Inputs Yr 2'!$F334,'NEI Lookups'!E:E)</f>
        <v>0.58000000000000007</v>
      </c>
      <c r="AT334" s="299">
        <f>SUMIF('NEI Lookups'!$L:$L,'Inputs Yr 2'!$F334,'NEI Lookups'!F:F)+SUMIF('NEI Lookups'!$M:$M,'Inputs Yr 2'!$F334,'NEI Lookups'!F:F)+SUMIF('NEI Lookups'!$N:$N,'Inputs Yr 2'!$F334,'NEI Lookups'!F:F)+SUMIF('NEI Lookups'!$O:$O,'Inputs Yr 2'!$F334,'NEI Lookups'!F:F)+SUMIF('NEI Lookups'!$P:$P,'Inputs Yr 2'!$F334,'NEI Lookups'!F:F)+SUMIF('NEI Lookups'!$Q:$Q,'Inputs Yr 2'!$F334,'NEI Lookups'!F:F)+SUMIF('NEI Lookups'!$R:$R,'Inputs Yr 2'!$F334,'NEI Lookups'!F:F)+SUMIF('NEI Lookups'!$S:$S,'Inputs Yr 2'!$F334,'NEI Lookups'!F:F)+SUMIF('NEI Lookups'!$T:$T,'Inputs Yr 2'!$F334,'NEI Lookups'!F:F)</f>
        <v>0</v>
      </c>
      <c r="AU334" s="299">
        <f>SUMIF('NEI Lookups'!$L:$L,'Inputs Yr 2'!$F334,'NEI Lookups'!G:G)+SUMIF('NEI Lookups'!$M:$M,'Inputs Yr 2'!$F334,'NEI Lookups'!G:G)+SUMIF('NEI Lookups'!$N:$N,'Inputs Yr 2'!$F334,'NEI Lookups'!G:G)+SUMIF('NEI Lookups'!$O:$O,'Inputs Yr 2'!$F334,'NEI Lookups'!G:G)+SUMIF('NEI Lookups'!$P:$P,'Inputs Yr 2'!$F334,'NEI Lookups'!G:G)+SUMIF('NEI Lookups'!$Q:$Q,'Inputs Yr 2'!$F334,'NEI Lookups'!G:G)+SUMIF('NEI Lookups'!$R:$R,'Inputs Yr 2'!$F334,'NEI Lookups'!G:G)+SUMIF('NEI Lookups'!$S:$S,'Inputs Yr 2'!$F334,'NEI Lookups'!G:G)+SUMIF('NEI Lookups'!$T:$T,'Inputs Yr 2'!$F334,'NEI Lookups'!G:G)</f>
        <v>0</v>
      </c>
      <c r="AV334" s="299">
        <f>SUMIF('NEI Lookups'!$L:$L,'Inputs Yr 2'!$F334,'NEI Lookups'!H:H)+SUMIF('NEI Lookups'!$M:$M,'Inputs Yr 2'!$F334,'NEI Lookups'!H:H)+SUMIF('NEI Lookups'!$N:$N,'Inputs Yr 2'!$F334,'NEI Lookups'!H:H)+SUMIF('NEI Lookups'!$O:$O,'Inputs Yr 2'!$F334,'NEI Lookups'!H:H)+SUMIF('NEI Lookups'!$P:$P,'Inputs Yr 2'!$F334,'NEI Lookups'!H:H)+SUMIF('NEI Lookups'!$Q:$Q,'Inputs Yr 2'!$F334,'NEI Lookups'!H:H)+SUMIF('NEI Lookups'!$R:$R,'Inputs Yr 2'!$F334,'NEI Lookups'!H:H)+SUMIF('NEI Lookups'!$S:$S,'Inputs Yr 2'!$F334,'NEI Lookups'!H:H)+SUMIF('NEI Lookups'!$T:$T,'Inputs Yr 2'!$F334,'NEI Lookups'!H:H)</f>
        <v>0</v>
      </c>
      <c r="AW334" s="299">
        <f>SUMIF('NEI Lookups'!$L:$L,'Inputs Yr 2'!$F334,'NEI Lookups'!I:I)+SUMIF('NEI Lookups'!$M:$M,'Inputs Yr 2'!$F334,'NEI Lookups'!I:I)+SUMIF('NEI Lookups'!$N:$N,'Inputs Yr 2'!$F334,'NEI Lookups'!I:I)+SUMIF('NEI Lookups'!$O:$O,'Inputs Yr 2'!$F334,'NEI Lookups'!I:I)+SUMIF('NEI Lookups'!$P:$P,'Inputs Yr 2'!$F334,'NEI Lookups'!I:I)+SUMIF('NEI Lookups'!$Q:$Q,'Inputs Yr 2'!$F334,'NEI Lookups'!I:I)+SUMIF('NEI Lookups'!$R:$R,'Inputs Yr 2'!$F334,'NEI Lookups'!I:I)+SUMIF('NEI Lookups'!$S:$S,'Inputs Yr 2'!$F334,'NEI Lookups'!I:I)+SUMIF('NEI Lookups'!$T:$T,'Inputs Yr 2'!$F334,'NEI Lookups'!I:I)</f>
        <v>0</v>
      </c>
      <c r="AX334" s="299">
        <f>SUMIF('NEI Lookups'!$L:$L,'Inputs Yr 2'!$F334,'NEI Lookups'!J:J)+SUMIF('NEI Lookups'!$M:$M,'Inputs Yr 2'!$F334,'NEI Lookups'!J:J)+SUMIF('NEI Lookups'!$N:$N,'Inputs Yr 2'!$F334,'NEI Lookups'!J:J)+SUMIF('NEI Lookups'!$O:$O,'Inputs Yr 2'!$F334,'NEI Lookups'!J:J)+SUMIF('NEI Lookups'!$P:$P,'Inputs Yr 2'!$F334,'NEI Lookups'!J:J)+SUMIF('NEI Lookups'!$Q:$Q,'Inputs Yr 2'!$F334,'NEI Lookups'!J:J)+SUMIF('NEI Lookups'!$R:$R,'Inputs Yr 2'!$F334,'NEI Lookups'!J:J)+SUMIF('NEI Lookups'!$S:$S,'Inputs Yr 2'!$F334,'NEI Lookups'!J:J)+SUMIF('NEI Lookups'!$T:$T,'Inputs Yr 2'!$F334,'NEI Lookups'!J:J)</f>
        <v>0</v>
      </c>
      <c r="AY334" s="930">
        <f>'Calculations Yr 2'!CP334/'Calculations Yr 2'!I334</f>
        <v>23.074876593419589</v>
      </c>
    </row>
    <row r="335" spans="1:51" s="8" customFormat="1" ht="15.75">
      <c r="A335" s="145" t="s">
        <v>83</v>
      </c>
      <c r="B335" s="132" t="s">
        <v>870</v>
      </c>
      <c r="C335" s="132" t="s">
        <v>907</v>
      </c>
      <c r="D335" s="902" t="s">
        <v>1528</v>
      </c>
      <c r="E335" s="150" t="s">
        <v>1305</v>
      </c>
      <c r="F335" s="150" t="s">
        <v>1191</v>
      </c>
      <c r="G335" s="145" t="s">
        <v>89</v>
      </c>
      <c r="H335" s="927">
        <v>486</v>
      </c>
      <c r="I335" s="232">
        <v>7</v>
      </c>
      <c r="J335" s="964">
        <v>15.84619341563786</v>
      </c>
      <c r="K335" s="166">
        <v>15.84619341563786</v>
      </c>
      <c r="L335" s="888">
        <f t="shared" si="138"/>
        <v>0</v>
      </c>
      <c r="M335" s="978">
        <v>0.15</v>
      </c>
      <c r="N335" s="978">
        <v>0</v>
      </c>
      <c r="O335" s="978">
        <v>0</v>
      </c>
      <c r="P335" s="889">
        <f t="shared" si="146"/>
        <v>0.85</v>
      </c>
      <c r="Q335" s="978">
        <v>1</v>
      </c>
      <c r="R335" s="178">
        <v>1</v>
      </c>
      <c r="S335" s="178">
        <v>1</v>
      </c>
      <c r="T335" s="178">
        <v>1</v>
      </c>
      <c r="U335" s="978">
        <v>1</v>
      </c>
      <c r="V335" s="978">
        <v>1</v>
      </c>
      <c r="W335" s="179"/>
      <c r="X335" s="99" t="s">
        <v>653</v>
      </c>
      <c r="Y335" s="299">
        <f>IFERROR(VLOOKUP($X335,'Demand Lookups'!$A$5:$K$101,9,0), 0)</f>
        <v>0</v>
      </c>
      <c r="Z335" s="922" t="str">
        <f>IFERROR(VLOOKUP(X335,'Demand Lookups'!$A$5:$B$101,2,0),0)</f>
        <v>Non-Electric Measures</v>
      </c>
      <c r="AA335" s="722">
        <f>IF(ISNA(VLOOKUP($X335,'Demand Lookups'!$A$5:$K$81,3,0)),0,VLOOKUP($X335,'Demand Lookups'!$A$5:$K$81,3,0))</f>
        <v>0</v>
      </c>
      <c r="AB335" s="722">
        <f>IF(ISNA(VLOOKUP($X335,'Demand Lookups'!$A$5:$K$81,4,0)),0,VLOOKUP($X335,'Demand Lookups'!$A$5:$K$81,4,0))</f>
        <v>0</v>
      </c>
      <c r="AC335" s="722">
        <f>IF(ISNA(VLOOKUP($X335,'Demand Lookups'!$A$5:$K$81,5,0)),0,VLOOKUP($X335,'Demand Lookups'!$A$5:$K$81,5,0))</f>
        <v>0</v>
      </c>
      <c r="AD335" s="723">
        <f>IF(ISNA(VLOOKUP($X335,'Demand Lookups'!$A$5:$K$81,6,0)),0,VLOOKUP($X335,'Demand Lookups'!$A$5:$K$81,6,0))</f>
        <v>0</v>
      </c>
      <c r="AE335" s="724">
        <f t="shared" si="143"/>
        <v>0</v>
      </c>
      <c r="AF335" s="723">
        <f>ROUND(IF(ISNA(VLOOKUP($X335,'Demand Lookups'!$A$5:$K$82,10,0)),0,(VLOOKUP($X335,'Demand Lookups'!$A$5:$K$82,10,0))),2)</f>
        <v>0</v>
      </c>
      <c r="AG335" s="723">
        <f>ROUND(IF(ISNA(VLOOKUP($X335,'Demand Lookups'!$A$5:$K$82,11,0)),0,VLOOKUP($X335,'Demand Lookups'!$A$5:$K$82,11,0)),2)</f>
        <v>0</v>
      </c>
      <c r="AH335" s="648">
        <f t="shared" si="144"/>
        <v>0</v>
      </c>
      <c r="AI335" s="648">
        <f t="shared" si="145"/>
        <v>0</v>
      </c>
      <c r="AJ335" s="167" t="s">
        <v>40</v>
      </c>
      <c r="AK335" s="866">
        <v>1.1400000000000001</v>
      </c>
      <c r="AL335" s="167"/>
      <c r="AM335" s="168"/>
      <c r="AN335" s="167"/>
      <c r="AO335" s="168"/>
      <c r="AP335" s="171">
        <v>2165</v>
      </c>
      <c r="AQ335" s="171"/>
      <c r="AR335" s="171"/>
      <c r="AS335" s="299">
        <f>SUMIF('NEI Lookups'!$L:$L,'Inputs Yr 2'!$F335,'NEI Lookups'!E:E)+SUMIF('NEI Lookups'!$M:$M,'Inputs Yr 2'!$F335,'NEI Lookups'!E:E)+SUMIF('NEI Lookups'!$N:$N,'Inputs Yr 2'!$F335,'NEI Lookups'!E:E)+SUMIF('NEI Lookups'!$O:$O,'Inputs Yr 2'!$F335,'NEI Lookups'!E:E)+SUMIF('NEI Lookups'!$P:$P,'Inputs Yr 2'!$F335,'NEI Lookups'!E:E)+SUMIF('NEI Lookups'!$Q:$Q,'Inputs Yr 2'!$F335,'NEI Lookups'!E:E)+SUMIF('NEI Lookups'!$R:$R,'Inputs Yr 2'!$F335,'NEI Lookups'!E:E)+SUMIF('NEI Lookups'!$S:$S,'Inputs Yr 2'!$F335,'NEI Lookups'!E:E)+SUMIF('NEI Lookups'!$T:$T,'Inputs Yr 2'!$F335,'NEI Lookups'!E:E)</f>
        <v>0.58000000000000007</v>
      </c>
      <c r="AT335" s="299">
        <f>SUMIF('NEI Lookups'!$L:$L,'Inputs Yr 2'!$F335,'NEI Lookups'!F:F)+SUMIF('NEI Lookups'!$M:$M,'Inputs Yr 2'!$F335,'NEI Lookups'!F:F)+SUMIF('NEI Lookups'!$N:$N,'Inputs Yr 2'!$F335,'NEI Lookups'!F:F)+SUMIF('NEI Lookups'!$O:$O,'Inputs Yr 2'!$F335,'NEI Lookups'!F:F)+SUMIF('NEI Lookups'!$P:$P,'Inputs Yr 2'!$F335,'NEI Lookups'!F:F)+SUMIF('NEI Lookups'!$Q:$Q,'Inputs Yr 2'!$F335,'NEI Lookups'!F:F)+SUMIF('NEI Lookups'!$R:$R,'Inputs Yr 2'!$F335,'NEI Lookups'!F:F)+SUMIF('NEI Lookups'!$S:$S,'Inputs Yr 2'!$F335,'NEI Lookups'!F:F)+SUMIF('NEI Lookups'!$T:$T,'Inputs Yr 2'!$F335,'NEI Lookups'!F:F)</f>
        <v>0</v>
      </c>
      <c r="AU335" s="299">
        <f>SUMIF('NEI Lookups'!$L:$L,'Inputs Yr 2'!$F335,'NEI Lookups'!G:G)+SUMIF('NEI Lookups'!$M:$M,'Inputs Yr 2'!$F335,'NEI Lookups'!G:G)+SUMIF('NEI Lookups'!$N:$N,'Inputs Yr 2'!$F335,'NEI Lookups'!G:G)+SUMIF('NEI Lookups'!$O:$O,'Inputs Yr 2'!$F335,'NEI Lookups'!G:G)+SUMIF('NEI Lookups'!$P:$P,'Inputs Yr 2'!$F335,'NEI Lookups'!G:G)+SUMIF('NEI Lookups'!$Q:$Q,'Inputs Yr 2'!$F335,'NEI Lookups'!G:G)+SUMIF('NEI Lookups'!$R:$R,'Inputs Yr 2'!$F335,'NEI Lookups'!G:G)+SUMIF('NEI Lookups'!$S:$S,'Inputs Yr 2'!$F335,'NEI Lookups'!G:G)+SUMIF('NEI Lookups'!$T:$T,'Inputs Yr 2'!$F335,'NEI Lookups'!G:G)</f>
        <v>0</v>
      </c>
      <c r="AV335" s="299">
        <f>SUMIF('NEI Lookups'!$L:$L,'Inputs Yr 2'!$F335,'NEI Lookups'!H:H)+SUMIF('NEI Lookups'!$M:$M,'Inputs Yr 2'!$F335,'NEI Lookups'!H:H)+SUMIF('NEI Lookups'!$N:$N,'Inputs Yr 2'!$F335,'NEI Lookups'!H:H)+SUMIF('NEI Lookups'!$O:$O,'Inputs Yr 2'!$F335,'NEI Lookups'!H:H)+SUMIF('NEI Lookups'!$P:$P,'Inputs Yr 2'!$F335,'NEI Lookups'!H:H)+SUMIF('NEI Lookups'!$Q:$Q,'Inputs Yr 2'!$F335,'NEI Lookups'!H:H)+SUMIF('NEI Lookups'!$R:$R,'Inputs Yr 2'!$F335,'NEI Lookups'!H:H)+SUMIF('NEI Lookups'!$S:$S,'Inputs Yr 2'!$F335,'NEI Lookups'!H:H)+SUMIF('NEI Lookups'!$T:$T,'Inputs Yr 2'!$F335,'NEI Lookups'!H:H)</f>
        <v>0</v>
      </c>
      <c r="AW335" s="299">
        <f>SUMIF('NEI Lookups'!$L:$L,'Inputs Yr 2'!$F335,'NEI Lookups'!I:I)+SUMIF('NEI Lookups'!$M:$M,'Inputs Yr 2'!$F335,'NEI Lookups'!I:I)+SUMIF('NEI Lookups'!$N:$N,'Inputs Yr 2'!$F335,'NEI Lookups'!I:I)+SUMIF('NEI Lookups'!$O:$O,'Inputs Yr 2'!$F335,'NEI Lookups'!I:I)+SUMIF('NEI Lookups'!$P:$P,'Inputs Yr 2'!$F335,'NEI Lookups'!I:I)+SUMIF('NEI Lookups'!$Q:$Q,'Inputs Yr 2'!$F335,'NEI Lookups'!I:I)+SUMIF('NEI Lookups'!$R:$R,'Inputs Yr 2'!$F335,'NEI Lookups'!I:I)+SUMIF('NEI Lookups'!$S:$S,'Inputs Yr 2'!$F335,'NEI Lookups'!I:I)+SUMIF('NEI Lookups'!$T:$T,'Inputs Yr 2'!$F335,'NEI Lookups'!I:I)</f>
        <v>0</v>
      </c>
      <c r="AX335" s="299">
        <f>SUMIF('NEI Lookups'!$L:$L,'Inputs Yr 2'!$F335,'NEI Lookups'!J:J)+SUMIF('NEI Lookups'!$M:$M,'Inputs Yr 2'!$F335,'NEI Lookups'!J:J)+SUMIF('NEI Lookups'!$N:$N,'Inputs Yr 2'!$F335,'NEI Lookups'!J:J)+SUMIF('NEI Lookups'!$O:$O,'Inputs Yr 2'!$F335,'NEI Lookups'!J:J)+SUMIF('NEI Lookups'!$P:$P,'Inputs Yr 2'!$F335,'NEI Lookups'!J:J)+SUMIF('NEI Lookups'!$Q:$Q,'Inputs Yr 2'!$F335,'NEI Lookups'!J:J)+SUMIF('NEI Lookups'!$R:$R,'Inputs Yr 2'!$F335,'NEI Lookups'!J:J)+SUMIF('NEI Lookups'!$S:$S,'Inputs Yr 2'!$F335,'NEI Lookups'!J:J)+SUMIF('NEI Lookups'!$T:$T,'Inputs Yr 2'!$F335,'NEI Lookups'!J:J)</f>
        <v>0</v>
      </c>
      <c r="AY335" s="930">
        <f>'Calculations Yr 2'!CP335/'Calculations Yr 2'!I335</f>
        <v>14.940567845193986</v>
      </c>
    </row>
    <row r="336" spans="1:51" s="8" customFormat="1" ht="15.75">
      <c r="A336" s="145" t="s">
        <v>83</v>
      </c>
      <c r="B336" s="132" t="s">
        <v>870</v>
      </c>
      <c r="C336" s="132" t="s">
        <v>907</v>
      </c>
      <c r="D336" s="902" t="s">
        <v>1529</v>
      </c>
      <c r="E336" s="98" t="s">
        <v>1309</v>
      </c>
      <c r="F336" s="150" t="s">
        <v>1192</v>
      </c>
      <c r="G336" s="145" t="s">
        <v>1247</v>
      </c>
      <c r="H336" s="927">
        <v>1033</v>
      </c>
      <c r="I336" s="232">
        <v>10</v>
      </c>
      <c r="J336" s="964">
        <v>88.180058083252661</v>
      </c>
      <c r="K336" s="166">
        <v>88.180058083252661</v>
      </c>
      <c r="L336" s="888">
        <f t="shared" si="138"/>
        <v>0</v>
      </c>
      <c r="M336" s="978">
        <v>0.24</v>
      </c>
      <c r="N336" s="978">
        <v>0</v>
      </c>
      <c r="O336" s="978">
        <v>0</v>
      </c>
      <c r="P336" s="889">
        <f t="shared" si="146"/>
        <v>0.76</v>
      </c>
      <c r="Q336" s="978">
        <v>1</v>
      </c>
      <c r="R336" s="178">
        <v>1</v>
      </c>
      <c r="S336" s="178">
        <v>1</v>
      </c>
      <c r="T336" s="178">
        <v>1</v>
      </c>
      <c r="U336" s="978">
        <v>1</v>
      </c>
      <c r="V336" s="978">
        <v>1</v>
      </c>
      <c r="W336" s="179"/>
      <c r="X336" s="99" t="s">
        <v>653</v>
      </c>
      <c r="Y336" s="299">
        <f>IFERROR(VLOOKUP($X336,'Demand Lookups'!$A$5:$K$101,9,0), 0)</f>
        <v>0</v>
      </c>
      <c r="Z336" s="922" t="str">
        <f>IFERROR(VLOOKUP(X336,'Demand Lookups'!$A$5:$B$101,2,0),0)</f>
        <v>Non-Electric Measures</v>
      </c>
      <c r="AA336" s="722">
        <f>IF(ISNA(VLOOKUP($X336,'Demand Lookups'!$A$5:$K$81,3,0)),0,VLOOKUP($X336,'Demand Lookups'!$A$5:$K$81,3,0))</f>
        <v>0</v>
      </c>
      <c r="AB336" s="722">
        <f>IF(ISNA(VLOOKUP($X336,'Demand Lookups'!$A$5:$K$81,4,0)),0,VLOOKUP($X336,'Demand Lookups'!$A$5:$K$81,4,0))</f>
        <v>0</v>
      </c>
      <c r="AC336" s="722">
        <f>IF(ISNA(VLOOKUP($X336,'Demand Lookups'!$A$5:$K$81,5,0)),0,VLOOKUP($X336,'Demand Lookups'!$A$5:$K$81,5,0))</f>
        <v>0</v>
      </c>
      <c r="AD336" s="723">
        <f>IF(ISNA(VLOOKUP($X336,'Demand Lookups'!$A$5:$K$81,6,0)),0,VLOOKUP($X336,'Demand Lookups'!$A$5:$K$81,6,0))</f>
        <v>0</v>
      </c>
      <c r="AE336" s="724">
        <f t="shared" si="143"/>
        <v>0</v>
      </c>
      <c r="AF336" s="723">
        <f>ROUND(IF(ISNA(VLOOKUP($X336,'Demand Lookups'!$A$5:$K$82,10,0)),0,(VLOOKUP($X336,'Demand Lookups'!$A$5:$K$82,10,0))),2)</f>
        <v>0</v>
      </c>
      <c r="AG336" s="723">
        <f>ROUND(IF(ISNA(VLOOKUP($X336,'Demand Lookups'!$A$5:$K$82,11,0)),0,VLOOKUP($X336,'Demand Lookups'!$A$5:$K$82,11,0)),2)</f>
        <v>0</v>
      </c>
      <c r="AH336" s="648">
        <f t="shared" si="144"/>
        <v>0</v>
      </c>
      <c r="AI336" s="648">
        <f t="shared" si="145"/>
        <v>0</v>
      </c>
      <c r="AJ336" s="167" t="s">
        <v>404</v>
      </c>
      <c r="AK336" s="866">
        <v>2.2999999999999998</v>
      </c>
      <c r="AL336" s="167"/>
      <c r="AM336" s="168"/>
      <c r="AN336" s="167"/>
      <c r="AO336" s="168"/>
      <c r="AP336" s="167"/>
      <c r="AQ336" s="171"/>
      <c r="AR336" s="171"/>
      <c r="AS336" s="299">
        <f>SUMIF('NEI Lookups'!$L:$L,'Inputs Yr 2'!$F336,'NEI Lookups'!E:E)+SUMIF('NEI Lookups'!$M:$M,'Inputs Yr 2'!$F336,'NEI Lookups'!E:E)+SUMIF('NEI Lookups'!$N:$N,'Inputs Yr 2'!$F336,'NEI Lookups'!E:E)+SUMIF('NEI Lookups'!$O:$O,'Inputs Yr 2'!$F336,'NEI Lookups'!E:E)+SUMIF('NEI Lookups'!$P:$P,'Inputs Yr 2'!$F336,'NEI Lookups'!E:E)+SUMIF('NEI Lookups'!$Q:$Q,'Inputs Yr 2'!$F336,'NEI Lookups'!E:E)+SUMIF('NEI Lookups'!$R:$R,'Inputs Yr 2'!$F336,'NEI Lookups'!E:E)+SUMIF('NEI Lookups'!$S:$S,'Inputs Yr 2'!$F336,'NEI Lookups'!E:E)+SUMIF('NEI Lookups'!$T:$T,'Inputs Yr 2'!$F336,'NEI Lookups'!E:E)</f>
        <v>14.35</v>
      </c>
      <c r="AT336" s="299">
        <f>SUMIF('NEI Lookups'!$L:$L,'Inputs Yr 2'!$F336,'NEI Lookups'!F:F)+SUMIF('NEI Lookups'!$M:$M,'Inputs Yr 2'!$F336,'NEI Lookups'!F:F)+SUMIF('NEI Lookups'!$N:$N,'Inputs Yr 2'!$F336,'NEI Lookups'!F:F)+SUMIF('NEI Lookups'!$O:$O,'Inputs Yr 2'!$F336,'NEI Lookups'!F:F)+SUMIF('NEI Lookups'!$P:$P,'Inputs Yr 2'!$F336,'NEI Lookups'!F:F)+SUMIF('NEI Lookups'!$Q:$Q,'Inputs Yr 2'!$F336,'NEI Lookups'!F:F)+SUMIF('NEI Lookups'!$R:$R,'Inputs Yr 2'!$F336,'NEI Lookups'!F:F)+SUMIF('NEI Lookups'!$S:$S,'Inputs Yr 2'!$F336,'NEI Lookups'!F:F)+SUMIF('NEI Lookups'!$T:$T,'Inputs Yr 2'!$F336,'NEI Lookups'!F:F)</f>
        <v>0</v>
      </c>
      <c r="AU336" s="299">
        <f>SUMIF('NEI Lookups'!$L:$L,'Inputs Yr 2'!$F336,'NEI Lookups'!G:G)+SUMIF('NEI Lookups'!$M:$M,'Inputs Yr 2'!$F336,'NEI Lookups'!G:G)+SUMIF('NEI Lookups'!$N:$N,'Inputs Yr 2'!$F336,'NEI Lookups'!G:G)+SUMIF('NEI Lookups'!$O:$O,'Inputs Yr 2'!$F336,'NEI Lookups'!G:G)+SUMIF('NEI Lookups'!$P:$P,'Inputs Yr 2'!$F336,'NEI Lookups'!G:G)+SUMIF('NEI Lookups'!$Q:$Q,'Inputs Yr 2'!$F336,'NEI Lookups'!G:G)+SUMIF('NEI Lookups'!$R:$R,'Inputs Yr 2'!$F336,'NEI Lookups'!G:G)+SUMIF('NEI Lookups'!$S:$S,'Inputs Yr 2'!$F336,'NEI Lookups'!G:G)+SUMIF('NEI Lookups'!$T:$T,'Inputs Yr 2'!$F336,'NEI Lookups'!G:G)</f>
        <v>0</v>
      </c>
      <c r="AV336" s="299">
        <f>SUMIF('NEI Lookups'!$L:$L,'Inputs Yr 2'!$F336,'NEI Lookups'!H:H)+SUMIF('NEI Lookups'!$M:$M,'Inputs Yr 2'!$F336,'NEI Lookups'!H:H)+SUMIF('NEI Lookups'!$N:$N,'Inputs Yr 2'!$F336,'NEI Lookups'!H:H)+SUMIF('NEI Lookups'!$O:$O,'Inputs Yr 2'!$F336,'NEI Lookups'!H:H)+SUMIF('NEI Lookups'!$P:$P,'Inputs Yr 2'!$F336,'NEI Lookups'!H:H)+SUMIF('NEI Lookups'!$Q:$Q,'Inputs Yr 2'!$F336,'NEI Lookups'!H:H)+SUMIF('NEI Lookups'!$R:$R,'Inputs Yr 2'!$F336,'NEI Lookups'!H:H)+SUMIF('NEI Lookups'!$S:$S,'Inputs Yr 2'!$F336,'NEI Lookups'!H:H)+SUMIF('NEI Lookups'!$T:$T,'Inputs Yr 2'!$F336,'NEI Lookups'!H:H)</f>
        <v>0</v>
      </c>
      <c r="AW336" s="299">
        <f>SUMIF('NEI Lookups'!$L:$L,'Inputs Yr 2'!$F336,'NEI Lookups'!I:I)+SUMIF('NEI Lookups'!$M:$M,'Inputs Yr 2'!$F336,'NEI Lookups'!I:I)+SUMIF('NEI Lookups'!$N:$N,'Inputs Yr 2'!$F336,'NEI Lookups'!I:I)+SUMIF('NEI Lookups'!$O:$O,'Inputs Yr 2'!$F336,'NEI Lookups'!I:I)+SUMIF('NEI Lookups'!$P:$P,'Inputs Yr 2'!$F336,'NEI Lookups'!I:I)+SUMIF('NEI Lookups'!$Q:$Q,'Inputs Yr 2'!$F336,'NEI Lookups'!I:I)+SUMIF('NEI Lookups'!$R:$R,'Inputs Yr 2'!$F336,'NEI Lookups'!I:I)+SUMIF('NEI Lookups'!$S:$S,'Inputs Yr 2'!$F336,'NEI Lookups'!I:I)+SUMIF('NEI Lookups'!$T:$T,'Inputs Yr 2'!$F336,'NEI Lookups'!I:I)</f>
        <v>0</v>
      </c>
      <c r="AX336" s="299">
        <f>SUMIF('NEI Lookups'!$L:$L,'Inputs Yr 2'!$F336,'NEI Lookups'!J:J)+SUMIF('NEI Lookups'!$M:$M,'Inputs Yr 2'!$F336,'NEI Lookups'!J:J)+SUMIF('NEI Lookups'!$N:$N,'Inputs Yr 2'!$F336,'NEI Lookups'!J:J)+SUMIF('NEI Lookups'!$O:$O,'Inputs Yr 2'!$F336,'NEI Lookups'!J:J)+SUMIF('NEI Lookups'!$P:$P,'Inputs Yr 2'!$F336,'NEI Lookups'!J:J)+SUMIF('NEI Lookups'!$Q:$Q,'Inputs Yr 2'!$F336,'NEI Lookups'!J:J)+SUMIF('NEI Lookups'!$R:$R,'Inputs Yr 2'!$F336,'NEI Lookups'!J:J)+SUMIF('NEI Lookups'!$S:$S,'Inputs Yr 2'!$F336,'NEI Lookups'!J:J)+SUMIF('NEI Lookups'!$T:$T,'Inputs Yr 2'!$F336,'NEI Lookups'!J:J)</f>
        <v>0</v>
      </c>
      <c r="AY336" s="930">
        <f>'Calculations Yr 2'!CP336/'Calculations Yr 2'!I336</f>
        <v>3.9690240156441212</v>
      </c>
    </row>
    <row r="337" spans="1:51" s="8" customFormat="1">
      <c r="A337" s="145" t="s">
        <v>83</v>
      </c>
      <c r="B337" s="132" t="s">
        <v>870</v>
      </c>
      <c r="C337" s="132" t="s">
        <v>912</v>
      </c>
      <c r="D337" s="98"/>
      <c r="E337" s="98" t="s">
        <v>759</v>
      </c>
      <c r="F337" s="150" t="s">
        <v>1193</v>
      </c>
      <c r="G337" s="145" t="s">
        <v>1247</v>
      </c>
      <c r="H337" s="927">
        <v>0</v>
      </c>
      <c r="I337" s="232">
        <v>0</v>
      </c>
      <c r="J337" s="977"/>
      <c r="K337" s="966"/>
      <c r="L337" s="888">
        <f t="shared" si="138"/>
        <v>0</v>
      </c>
      <c r="M337" s="978">
        <v>0</v>
      </c>
      <c r="N337" s="978">
        <v>0</v>
      </c>
      <c r="O337" s="978">
        <v>0</v>
      </c>
      <c r="P337" s="889">
        <v>1</v>
      </c>
      <c r="Q337" s="978">
        <v>0</v>
      </c>
      <c r="R337" s="178">
        <v>1</v>
      </c>
      <c r="S337" s="178">
        <v>1</v>
      </c>
      <c r="T337" s="178">
        <v>1</v>
      </c>
      <c r="U337" s="978">
        <v>0</v>
      </c>
      <c r="V337" s="978">
        <v>0</v>
      </c>
      <c r="W337" s="179"/>
      <c r="X337" s="99" t="s">
        <v>653</v>
      </c>
      <c r="Y337" s="299">
        <f>IFERROR(VLOOKUP($X337,'Demand Lookups'!$A$5:$K$101,9,0), 0)</f>
        <v>0</v>
      </c>
      <c r="Z337" s="922" t="str">
        <f>IFERROR(VLOOKUP(X337,'Demand Lookups'!$A$5:$B$101,2,0),0)</f>
        <v>Non-Electric Measures</v>
      </c>
      <c r="AA337" s="722">
        <f>IF(ISNA(VLOOKUP($X337,'Demand Lookups'!$A$5:$K$81,3,0)),0,VLOOKUP($X337,'Demand Lookups'!$A$5:$K$81,3,0))</f>
        <v>0</v>
      </c>
      <c r="AB337" s="722">
        <f>IF(ISNA(VLOOKUP($X337,'Demand Lookups'!$A$5:$K$81,4,0)),0,VLOOKUP($X337,'Demand Lookups'!$A$5:$K$81,4,0))</f>
        <v>0</v>
      </c>
      <c r="AC337" s="722">
        <f>IF(ISNA(VLOOKUP($X337,'Demand Lookups'!$A$5:$K$81,5,0)),0,VLOOKUP($X337,'Demand Lookups'!$A$5:$K$81,5,0))</f>
        <v>0</v>
      </c>
      <c r="AD337" s="723">
        <f>IF(ISNA(VLOOKUP($X337,'Demand Lookups'!$A$5:$K$81,6,0)),0,VLOOKUP($X337,'Demand Lookups'!$A$5:$K$81,6,0))</f>
        <v>0</v>
      </c>
      <c r="AE337" s="724">
        <f t="shared" si="143"/>
        <v>0</v>
      </c>
      <c r="AF337" s="723">
        <f>ROUND(IF(ISNA(VLOOKUP($X337,'Demand Lookups'!$A$5:$K$82,10,0)),0,(VLOOKUP($X337,'Demand Lookups'!$A$5:$K$82,10,0))),2)</f>
        <v>0</v>
      </c>
      <c r="AG337" s="723">
        <f>ROUND(IF(ISNA(VLOOKUP($X337,'Demand Lookups'!$A$5:$K$82,11,0)),0,VLOOKUP($X337,'Demand Lookups'!$A$5:$K$82,11,0)),2)</f>
        <v>0</v>
      </c>
      <c r="AH337" s="648">
        <f t="shared" si="144"/>
        <v>0</v>
      </c>
      <c r="AI337" s="648">
        <f t="shared" si="145"/>
        <v>0</v>
      </c>
      <c r="AJ337" s="167" t="s">
        <v>87</v>
      </c>
      <c r="AK337" s="866">
        <v>0</v>
      </c>
      <c r="AL337" s="167"/>
      <c r="AM337" s="168"/>
      <c r="AN337" s="167"/>
      <c r="AO337" s="168"/>
      <c r="AP337" s="167"/>
      <c r="AQ337" s="171"/>
      <c r="AR337" s="171"/>
      <c r="AS337" s="299">
        <f>SUMIF('NEI Lookups'!$L:$L,'Inputs Yr 2'!$F337,'NEI Lookups'!E:E)+SUMIF('NEI Lookups'!$M:$M,'Inputs Yr 2'!$F337,'NEI Lookups'!E:E)+SUMIF('NEI Lookups'!$N:$N,'Inputs Yr 2'!$F337,'NEI Lookups'!E:E)+SUMIF('NEI Lookups'!$O:$O,'Inputs Yr 2'!$F337,'NEI Lookups'!E:E)+SUMIF('NEI Lookups'!$P:$P,'Inputs Yr 2'!$F337,'NEI Lookups'!E:E)+SUMIF('NEI Lookups'!$Q:$Q,'Inputs Yr 2'!$F337,'NEI Lookups'!E:E)+SUMIF('NEI Lookups'!$R:$R,'Inputs Yr 2'!$F337,'NEI Lookups'!E:E)+SUMIF('NEI Lookups'!$S:$S,'Inputs Yr 2'!$F337,'NEI Lookups'!E:E)+SUMIF('NEI Lookups'!$T:$T,'Inputs Yr 2'!$F337,'NEI Lookups'!E:E)</f>
        <v>14.35</v>
      </c>
      <c r="AT337" s="299">
        <f>SUMIF('NEI Lookups'!$L:$L,'Inputs Yr 2'!$F337,'NEI Lookups'!F:F)+SUMIF('NEI Lookups'!$M:$M,'Inputs Yr 2'!$F337,'NEI Lookups'!F:F)+SUMIF('NEI Lookups'!$N:$N,'Inputs Yr 2'!$F337,'NEI Lookups'!F:F)+SUMIF('NEI Lookups'!$O:$O,'Inputs Yr 2'!$F337,'NEI Lookups'!F:F)+SUMIF('NEI Lookups'!$P:$P,'Inputs Yr 2'!$F337,'NEI Lookups'!F:F)+SUMIF('NEI Lookups'!$Q:$Q,'Inputs Yr 2'!$F337,'NEI Lookups'!F:F)+SUMIF('NEI Lookups'!$R:$R,'Inputs Yr 2'!$F337,'NEI Lookups'!F:F)+SUMIF('NEI Lookups'!$S:$S,'Inputs Yr 2'!$F337,'NEI Lookups'!F:F)+SUMIF('NEI Lookups'!$T:$T,'Inputs Yr 2'!$F337,'NEI Lookups'!F:F)</f>
        <v>0</v>
      </c>
      <c r="AU337" s="299">
        <f>SUMIF('NEI Lookups'!$L:$L,'Inputs Yr 2'!$F337,'NEI Lookups'!G:G)+SUMIF('NEI Lookups'!$M:$M,'Inputs Yr 2'!$F337,'NEI Lookups'!G:G)+SUMIF('NEI Lookups'!$N:$N,'Inputs Yr 2'!$F337,'NEI Lookups'!G:G)+SUMIF('NEI Lookups'!$O:$O,'Inputs Yr 2'!$F337,'NEI Lookups'!G:G)+SUMIF('NEI Lookups'!$P:$P,'Inputs Yr 2'!$F337,'NEI Lookups'!G:G)+SUMIF('NEI Lookups'!$Q:$Q,'Inputs Yr 2'!$F337,'NEI Lookups'!G:G)+SUMIF('NEI Lookups'!$R:$R,'Inputs Yr 2'!$F337,'NEI Lookups'!G:G)+SUMIF('NEI Lookups'!$S:$S,'Inputs Yr 2'!$F337,'NEI Lookups'!G:G)+SUMIF('NEI Lookups'!$T:$T,'Inputs Yr 2'!$F337,'NEI Lookups'!G:G)</f>
        <v>0</v>
      </c>
      <c r="AV337" s="299">
        <f>SUMIF('NEI Lookups'!$L:$L,'Inputs Yr 2'!$F337,'NEI Lookups'!H:H)+SUMIF('NEI Lookups'!$M:$M,'Inputs Yr 2'!$F337,'NEI Lookups'!H:H)+SUMIF('NEI Lookups'!$N:$N,'Inputs Yr 2'!$F337,'NEI Lookups'!H:H)+SUMIF('NEI Lookups'!$O:$O,'Inputs Yr 2'!$F337,'NEI Lookups'!H:H)+SUMIF('NEI Lookups'!$P:$P,'Inputs Yr 2'!$F337,'NEI Lookups'!H:H)+SUMIF('NEI Lookups'!$Q:$Q,'Inputs Yr 2'!$F337,'NEI Lookups'!H:H)+SUMIF('NEI Lookups'!$R:$R,'Inputs Yr 2'!$F337,'NEI Lookups'!H:H)+SUMIF('NEI Lookups'!$S:$S,'Inputs Yr 2'!$F337,'NEI Lookups'!H:H)+SUMIF('NEI Lookups'!$T:$T,'Inputs Yr 2'!$F337,'NEI Lookups'!H:H)</f>
        <v>0</v>
      </c>
      <c r="AW337" s="299">
        <f>SUMIF('NEI Lookups'!$L:$L,'Inputs Yr 2'!$F337,'NEI Lookups'!I:I)+SUMIF('NEI Lookups'!$M:$M,'Inputs Yr 2'!$F337,'NEI Lookups'!I:I)+SUMIF('NEI Lookups'!$N:$N,'Inputs Yr 2'!$F337,'NEI Lookups'!I:I)+SUMIF('NEI Lookups'!$O:$O,'Inputs Yr 2'!$F337,'NEI Lookups'!I:I)+SUMIF('NEI Lookups'!$P:$P,'Inputs Yr 2'!$F337,'NEI Lookups'!I:I)+SUMIF('NEI Lookups'!$Q:$Q,'Inputs Yr 2'!$F337,'NEI Lookups'!I:I)+SUMIF('NEI Lookups'!$R:$R,'Inputs Yr 2'!$F337,'NEI Lookups'!I:I)+SUMIF('NEI Lookups'!$S:$S,'Inputs Yr 2'!$F337,'NEI Lookups'!I:I)+SUMIF('NEI Lookups'!$T:$T,'Inputs Yr 2'!$F337,'NEI Lookups'!I:I)</f>
        <v>0</v>
      </c>
      <c r="AX337" s="299">
        <f>SUMIF('NEI Lookups'!$L:$L,'Inputs Yr 2'!$F337,'NEI Lookups'!J:J)+SUMIF('NEI Lookups'!$M:$M,'Inputs Yr 2'!$F337,'NEI Lookups'!J:J)+SUMIF('NEI Lookups'!$N:$N,'Inputs Yr 2'!$F337,'NEI Lookups'!J:J)+SUMIF('NEI Lookups'!$O:$O,'Inputs Yr 2'!$F337,'NEI Lookups'!J:J)+SUMIF('NEI Lookups'!$P:$P,'Inputs Yr 2'!$F337,'NEI Lookups'!J:J)+SUMIF('NEI Lookups'!$Q:$Q,'Inputs Yr 2'!$F337,'NEI Lookups'!J:J)+SUMIF('NEI Lookups'!$R:$R,'Inputs Yr 2'!$F337,'NEI Lookups'!J:J)+SUMIF('NEI Lookups'!$S:$S,'Inputs Yr 2'!$F337,'NEI Lookups'!J:J)+SUMIF('NEI Lookups'!$T:$T,'Inputs Yr 2'!$F337,'NEI Lookups'!J:J)</f>
        <v>0</v>
      </c>
      <c r="AY337" s="930" t="e">
        <f>'Calculations Yr 2'!CP337/'Calculations Yr 2'!I337</f>
        <v>#VALUE!</v>
      </c>
    </row>
    <row r="338" spans="1:51" s="8" customFormat="1">
      <c r="A338" s="145" t="s">
        <v>83</v>
      </c>
      <c r="B338" s="132" t="s">
        <v>870</v>
      </c>
      <c r="C338" s="132" t="s">
        <v>912</v>
      </c>
      <c r="D338" s="98"/>
      <c r="E338" s="150" t="s">
        <v>1395</v>
      </c>
      <c r="F338" s="150" t="s">
        <v>1194</v>
      </c>
      <c r="G338" s="145" t="s">
        <v>1247</v>
      </c>
      <c r="H338" s="927">
        <v>0</v>
      </c>
      <c r="I338" s="232">
        <v>0</v>
      </c>
      <c r="J338" s="977"/>
      <c r="K338" s="966"/>
      <c r="L338" s="888">
        <f t="shared" si="138"/>
        <v>0</v>
      </c>
      <c r="M338" s="978">
        <v>0</v>
      </c>
      <c r="N338" s="978">
        <v>0</v>
      </c>
      <c r="O338" s="978">
        <v>0</v>
      </c>
      <c r="P338" s="889">
        <v>1</v>
      </c>
      <c r="Q338" s="978">
        <v>0</v>
      </c>
      <c r="R338" s="178">
        <v>1</v>
      </c>
      <c r="S338" s="178">
        <v>1</v>
      </c>
      <c r="T338" s="178">
        <v>1</v>
      </c>
      <c r="U338" s="978">
        <v>0</v>
      </c>
      <c r="V338" s="978">
        <v>0</v>
      </c>
      <c r="W338" s="179"/>
      <c r="X338" s="99" t="s">
        <v>61</v>
      </c>
      <c r="Y338" s="299">
        <f>IFERROR(VLOOKUP($X338,'Demand Lookups'!$A$5:$K$101,9,0), 0)</f>
        <v>2.0660739342383619E-3</v>
      </c>
      <c r="Z338" s="922" t="str">
        <f>IFERROR(VLOOKUP(X338,'Demand Lookups'!$A$5:$B$101,2,0),0)</f>
        <v>Res Multi Family Electric Cooling (BUILDING_AC) Normal</v>
      </c>
      <c r="AA338" s="722">
        <f>IF(ISNA(VLOOKUP($X338,'Demand Lookups'!$A$5:$K$81,3,0)),0,VLOOKUP($X338,'Demand Lookups'!$A$5:$K$81,3,0))</f>
        <v>8.9473960760131505E-3</v>
      </c>
      <c r="AB338" s="722">
        <f>IF(ISNA(VLOOKUP($X338,'Demand Lookups'!$A$5:$K$81,4,0)),0,VLOOKUP($X338,'Demand Lookups'!$A$5:$K$81,4,0))</f>
        <v>4.2581477373051027E-2</v>
      </c>
      <c r="AC338" s="722">
        <f>IF(ISNA(VLOOKUP($X338,'Demand Lookups'!$A$5:$K$81,5,0)),0,VLOOKUP($X338,'Demand Lookups'!$A$5:$K$81,5,0))</f>
        <v>0.52714991710093428</v>
      </c>
      <c r="AD338" s="723">
        <f>IF(ISNA(VLOOKUP($X338,'Demand Lookups'!$A$5:$K$81,6,0)),0,VLOOKUP($X338,'Demand Lookups'!$A$5:$K$81,6,0))</f>
        <v>0.42132120944999413</v>
      </c>
      <c r="AE338" s="724">
        <f t="shared" si="143"/>
        <v>0</v>
      </c>
      <c r="AF338" s="723">
        <f>ROUND(IF(ISNA(VLOOKUP($X338,'Demand Lookups'!$A$5:$K$82,10,0)),0,(VLOOKUP($X338,'Demand Lookups'!$A$5:$K$82,10,0))),2)</f>
        <v>1</v>
      </c>
      <c r="AG338" s="723">
        <f>ROUND(IF(ISNA(VLOOKUP($X338,'Demand Lookups'!$A$5:$K$82,11,0)),0,VLOOKUP($X338,'Demand Lookups'!$A$5:$K$82,11,0)),2)</f>
        <v>0</v>
      </c>
      <c r="AH338" s="648">
        <f t="shared" si="144"/>
        <v>1</v>
      </c>
      <c r="AI338" s="648">
        <f t="shared" si="145"/>
        <v>1</v>
      </c>
      <c r="AJ338" s="167" t="s">
        <v>87</v>
      </c>
      <c r="AK338" s="866">
        <v>0</v>
      </c>
      <c r="AL338" s="167"/>
      <c r="AM338" s="168"/>
      <c r="AN338" s="167"/>
      <c r="AO338" s="168"/>
      <c r="AP338" s="167"/>
      <c r="AQ338" s="171"/>
      <c r="AR338" s="171"/>
      <c r="AS338" s="299">
        <f>SUMIF('NEI Lookups'!$L:$L,'Inputs Yr 2'!$F338,'NEI Lookups'!E:E)+SUMIF('NEI Lookups'!$M:$M,'Inputs Yr 2'!$F338,'NEI Lookups'!E:E)+SUMIF('NEI Lookups'!$N:$N,'Inputs Yr 2'!$F338,'NEI Lookups'!E:E)+SUMIF('NEI Lookups'!$O:$O,'Inputs Yr 2'!$F338,'NEI Lookups'!E:E)+SUMIF('NEI Lookups'!$P:$P,'Inputs Yr 2'!$F338,'NEI Lookups'!E:E)+SUMIF('NEI Lookups'!$Q:$Q,'Inputs Yr 2'!$F338,'NEI Lookups'!E:E)+SUMIF('NEI Lookups'!$R:$R,'Inputs Yr 2'!$F338,'NEI Lookups'!E:E)+SUMIF('NEI Lookups'!$S:$S,'Inputs Yr 2'!$F338,'NEI Lookups'!E:E)+SUMIF('NEI Lookups'!$T:$T,'Inputs Yr 2'!$F338,'NEI Lookups'!E:E)</f>
        <v>14.35</v>
      </c>
      <c r="AT338" s="299">
        <f>SUMIF('NEI Lookups'!$L:$L,'Inputs Yr 2'!$F338,'NEI Lookups'!F:F)+SUMIF('NEI Lookups'!$M:$M,'Inputs Yr 2'!$F338,'NEI Lookups'!F:F)+SUMIF('NEI Lookups'!$N:$N,'Inputs Yr 2'!$F338,'NEI Lookups'!F:F)+SUMIF('NEI Lookups'!$O:$O,'Inputs Yr 2'!$F338,'NEI Lookups'!F:F)+SUMIF('NEI Lookups'!$P:$P,'Inputs Yr 2'!$F338,'NEI Lookups'!F:F)+SUMIF('NEI Lookups'!$Q:$Q,'Inputs Yr 2'!$F338,'NEI Lookups'!F:F)+SUMIF('NEI Lookups'!$R:$R,'Inputs Yr 2'!$F338,'NEI Lookups'!F:F)+SUMIF('NEI Lookups'!$S:$S,'Inputs Yr 2'!$F338,'NEI Lookups'!F:F)+SUMIF('NEI Lookups'!$T:$T,'Inputs Yr 2'!$F338,'NEI Lookups'!F:F)</f>
        <v>0</v>
      </c>
      <c r="AU338" s="299">
        <f>SUMIF('NEI Lookups'!$L:$L,'Inputs Yr 2'!$F338,'NEI Lookups'!G:G)+SUMIF('NEI Lookups'!$M:$M,'Inputs Yr 2'!$F338,'NEI Lookups'!G:G)+SUMIF('NEI Lookups'!$N:$N,'Inputs Yr 2'!$F338,'NEI Lookups'!G:G)+SUMIF('NEI Lookups'!$O:$O,'Inputs Yr 2'!$F338,'NEI Lookups'!G:G)+SUMIF('NEI Lookups'!$P:$P,'Inputs Yr 2'!$F338,'NEI Lookups'!G:G)+SUMIF('NEI Lookups'!$Q:$Q,'Inputs Yr 2'!$F338,'NEI Lookups'!G:G)+SUMIF('NEI Lookups'!$R:$R,'Inputs Yr 2'!$F338,'NEI Lookups'!G:G)+SUMIF('NEI Lookups'!$S:$S,'Inputs Yr 2'!$F338,'NEI Lookups'!G:G)+SUMIF('NEI Lookups'!$T:$T,'Inputs Yr 2'!$F338,'NEI Lookups'!G:G)</f>
        <v>0</v>
      </c>
      <c r="AV338" s="299">
        <f>SUMIF('NEI Lookups'!$L:$L,'Inputs Yr 2'!$F338,'NEI Lookups'!H:H)+SUMIF('NEI Lookups'!$M:$M,'Inputs Yr 2'!$F338,'NEI Lookups'!H:H)+SUMIF('NEI Lookups'!$N:$N,'Inputs Yr 2'!$F338,'NEI Lookups'!H:H)+SUMIF('NEI Lookups'!$O:$O,'Inputs Yr 2'!$F338,'NEI Lookups'!H:H)+SUMIF('NEI Lookups'!$P:$P,'Inputs Yr 2'!$F338,'NEI Lookups'!H:H)+SUMIF('NEI Lookups'!$Q:$Q,'Inputs Yr 2'!$F338,'NEI Lookups'!H:H)+SUMIF('NEI Lookups'!$R:$R,'Inputs Yr 2'!$F338,'NEI Lookups'!H:H)+SUMIF('NEI Lookups'!$S:$S,'Inputs Yr 2'!$F338,'NEI Lookups'!H:H)+SUMIF('NEI Lookups'!$T:$T,'Inputs Yr 2'!$F338,'NEI Lookups'!H:H)</f>
        <v>0</v>
      </c>
      <c r="AW338" s="299">
        <f>SUMIF('NEI Lookups'!$L:$L,'Inputs Yr 2'!$F338,'NEI Lookups'!I:I)+SUMIF('NEI Lookups'!$M:$M,'Inputs Yr 2'!$F338,'NEI Lookups'!I:I)+SUMIF('NEI Lookups'!$N:$N,'Inputs Yr 2'!$F338,'NEI Lookups'!I:I)+SUMIF('NEI Lookups'!$O:$O,'Inputs Yr 2'!$F338,'NEI Lookups'!I:I)+SUMIF('NEI Lookups'!$P:$P,'Inputs Yr 2'!$F338,'NEI Lookups'!I:I)+SUMIF('NEI Lookups'!$Q:$Q,'Inputs Yr 2'!$F338,'NEI Lookups'!I:I)+SUMIF('NEI Lookups'!$R:$R,'Inputs Yr 2'!$F338,'NEI Lookups'!I:I)+SUMIF('NEI Lookups'!$S:$S,'Inputs Yr 2'!$F338,'NEI Lookups'!I:I)+SUMIF('NEI Lookups'!$T:$T,'Inputs Yr 2'!$F338,'NEI Lookups'!I:I)</f>
        <v>0</v>
      </c>
      <c r="AX338" s="299">
        <f>SUMIF('NEI Lookups'!$L:$L,'Inputs Yr 2'!$F338,'NEI Lookups'!J:J)+SUMIF('NEI Lookups'!$M:$M,'Inputs Yr 2'!$F338,'NEI Lookups'!J:J)+SUMIF('NEI Lookups'!$N:$N,'Inputs Yr 2'!$F338,'NEI Lookups'!J:J)+SUMIF('NEI Lookups'!$O:$O,'Inputs Yr 2'!$F338,'NEI Lookups'!J:J)+SUMIF('NEI Lookups'!$P:$P,'Inputs Yr 2'!$F338,'NEI Lookups'!J:J)+SUMIF('NEI Lookups'!$Q:$Q,'Inputs Yr 2'!$F338,'NEI Lookups'!J:J)+SUMIF('NEI Lookups'!$R:$R,'Inputs Yr 2'!$F338,'NEI Lookups'!J:J)+SUMIF('NEI Lookups'!$S:$S,'Inputs Yr 2'!$F338,'NEI Lookups'!J:J)+SUMIF('NEI Lookups'!$T:$T,'Inputs Yr 2'!$F338,'NEI Lookups'!J:J)</f>
        <v>0</v>
      </c>
      <c r="AY338" s="930" t="e">
        <f>'Calculations Yr 2'!CP338/'Calculations Yr 2'!I338</f>
        <v>#VALUE!</v>
      </c>
    </row>
    <row r="339" spans="1:51" s="8" customFormat="1">
      <c r="A339" s="145" t="s">
        <v>83</v>
      </c>
      <c r="B339" s="132" t="s">
        <v>870</v>
      </c>
      <c r="C339" s="132" t="s">
        <v>912</v>
      </c>
      <c r="D339" s="98"/>
      <c r="E339" s="98" t="s">
        <v>1308</v>
      </c>
      <c r="F339" s="150" t="s">
        <v>1195</v>
      </c>
      <c r="G339" s="145" t="s">
        <v>89</v>
      </c>
      <c r="H339" s="927">
        <v>0</v>
      </c>
      <c r="I339" s="232">
        <v>0</v>
      </c>
      <c r="J339" s="977"/>
      <c r="K339" s="966"/>
      <c r="L339" s="888">
        <f t="shared" si="138"/>
        <v>0</v>
      </c>
      <c r="M339" s="978">
        <v>0</v>
      </c>
      <c r="N339" s="978">
        <v>0</v>
      </c>
      <c r="O339" s="978">
        <v>0</v>
      </c>
      <c r="P339" s="889">
        <v>1</v>
      </c>
      <c r="Q339" s="978">
        <v>0</v>
      </c>
      <c r="R339" s="178">
        <v>1</v>
      </c>
      <c r="S339" s="178">
        <v>1</v>
      </c>
      <c r="T339" s="178">
        <v>1</v>
      </c>
      <c r="U339" s="978">
        <v>0</v>
      </c>
      <c r="V339" s="978">
        <v>0</v>
      </c>
      <c r="W339" s="179"/>
      <c r="X339" s="937" t="s">
        <v>653</v>
      </c>
      <c r="Y339" s="299">
        <f>IFERROR(VLOOKUP($X339,'Demand Lookups'!$A$5:$K$101,9,0), 0)</f>
        <v>0</v>
      </c>
      <c r="Z339" s="922" t="str">
        <f>IFERROR(VLOOKUP(X339,'Demand Lookups'!$A$5:$B$101,2,0),0)</f>
        <v>Non-Electric Measures</v>
      </c>
      <c r="AA339" s="722">
        <f>IF(ISNA(VLOOKUP($X339,'Demand Lookups'!$A$5:$K$81,3,0)),0,VLOOKUP($X339,'Demand Lookups'!$A$5:$K$81,3,0))</f>
        <v>0</v>
      </c>
      <c r="AB339" s="722">
        <f>IF(ISNA(VLOOKUP($X339,'Demand Lookups'!$A$5:$K$81,4,0)),0,VLOOKUP($X339,'Demand Lookups'!$A$5:$K$81,4,0))</f>
        <v>0</v>
      </c>
      <c r="AC339" s="722">
        <f>IF(ISNA(VLOOKUP($X339,'Demand Lookups'!$A$5:$K$81,5,0)),0,VLOOKUP($X339,'Demand Lookups'!$A$5:$K$81,5,0))</f>
        <v>0</v>
      </c>
      <c r="AD339" s="723">
        <f>IF(ISNA(VLOOKUP($X339,'Demand Lookups'!$A$5:$K$81,6,0)),0,VLOOKUP($X339,'Demand Lookups'!$A$5:$K$81,6,0))</f>
        <v>0</v>
      </c>
      <c r="AE339" s="724">
        <f t="shared" si="143"/>
        <v>0</v>
      </c>
      <c r="AF339" s="723">
        <f>ROUND(IF(ISNA(VLOOKUP($X339,'Demand Lookups'!$A$5:$K$82,10,0)),0,(VLOOKUP($X339,'Demand Lookups'!$A$5:$K$82,10,0))),2)</f>
        <v>0</v>
      </c>
      <c r="AG339" s="723">
        <f>ROUND(IF(ISNA(VLOOKUP($X339,'Demand Lookups'!$A$5:$K$82,11,0)),0,VLOOKUP($X339,'Demand Lookups'!$A$5:$K$82,11,0)),2)</f>
        <v>0</v>
      </c>
      <c r="AH339" s="648">
        <f t="shared" si="144"/>
        <v>0</v>
      </c>
      <c r="AI339" s="648">
        <f t="shared" si="145"/>
        <v>0</v>
      </c>
      <c r="AJ339" s="167" t="s">
        <v>406</v>
      </c>
      <c r="AK339" s="866">
        <v>0</v>
      </c>
      <c r="AL339" s="167"/>
      <c r="AM339" s="168"/>
      <c r="AN339" s="167"/>
      <c r="AO339" s="168"/>
      <c r="AP339" s="167"/>
      <c r="AQ339" s="171"/>
      <c r="AR339" s="171"/>
      <c r="AS339" s="299">
        <f>SUMIF('NEI Lookups'!$L:$L,'Inputs Yr 2'!$F339,'NEI Lookups'!E:E)+SUMIF('NEI Lookups'!$M:$M,'Inputs Yr 2'!$F339,'NEI Lookups'!E:E)+SUMIF('NEI Lookups'!$N:$N,'Inputs Yr 2'!$F339,'NEI Lookups'!E:E)+SUMIF('NEI Lookups'!$O:$O,'Inputs Yr 2'!$F339,'NEI Lookups'!E:E)+SUMIF('NEI Lookups'!$P:$P,'Inputs Yr 2'!$F339,'NEI Lookups'!E:E)+SUMIF('NEI Lookups'!$Q:$Q,'Inputs Yr 2'!$F339,'NEI Lookups'!E:E)+SUMIF('NEI Lookups'!$R:$R,'Inputs Yr 2'!$F339,'NEI Lookups'!E:E)+SUMIF('NEI Lookups'!$S:$S,'Inputs Yr 2'!$F339,'NEI Lookups'!E:E)+SUMIF('NEI Lookups'!$T:$T,'Inputs Yr 2'!$F339,'NEI Lookups'!E:E)</f>
        <v>0</v>
      </c>
      <c r="AT339" s="299">
        <f>SUMIF('NEI Lookups'!$L:$L,'Inputs Yr 2'!$F339,'NEI Lookups'!F:F)+SUMIF('NEI Lookups'!$M:$M,'Inputs Yr 2'!$F339,'NEI Lookups'!F:F)+SUMIF('NEI Lookups'!$N:$N,'Inputs Yr 2'!$F339,'NEI Lookups'!F:F)+SUMIF('NEI Lookups'!$O:$O,'Inputs Yr 2'!$F339,'NEI Lookups'!F:F)+SUMIF('NEI Lookups'!$P:$P,'Inputs Yr 2'!$F339,'NEI Lookups'!F:F)+SUMIF('NEI Lookups'!$Q:$Q,'Inputs Yr 2'!$F339,'NEI Lookups'!F:F)+SUMIF('NEI Lookups'!$R:$R,'Inputs Yr 2'!$F339,'NEI Lookups'!F:F)+SUMIF('NEI Lookups'!$S:$S,'Inputs Yr 2'!$F339,'NEI Lookups'!F:F)+SUMIF('NEI Lookups'!$T:$T,'Inputs Yr 2'!$F339,'NEI Lookups'!F:F)</f>
        <v>0</v>
      </c>
      <c r="AU339" s="299">
        <f>SUMIF('NEI Lookups'!$L:$L,'Inputs Yr 2'!$F339,'NEI Lookups'!G:G)+SUMIF('NEI Lookups'!$M:$M,'Inputs Yr 2'!$F339,'NEI Lookups'!G:G)+SUMIF('NEI Lookups'!$N:$N,'Inputs Yr 2'!$F339,'NEI Lookups'!G:G)+SUMIF('NEI Lookups'!$O:$O,'Inputs Yr 2'!$F339,'NEI Lookups'!G:G)+SUMIF('NEI Lookups'!$P:$P,'Inputs Yr 2'!$F339,'NEI Lookups'!G:G)+SUMIF('NEI Lookups'!$Q:$Q,'Inputs Yr 2'!$F339,'NEI Lookups'!G:G)+SUMIF('NEI Lookups'!$R:$R,'Inputs Yr 2'!$F339,'NEI Lookups'!G:G)+SUMIF('NEI Lookups'!$S:$S,'Inputs Yr 2'!$F339,'NEI Lookups'!G:G)+SUMIF('NEI Lookups'!$T:$T,'Inputs Yr 2'!$F339,'NEI Lookups'!G:G)</f>
        <v>0</v>
      </c>
      <c r="AV339" s="299">
        <f>SUMIF('NEI Lookups'!$L:$L,'Inputs Yr 2'!$F339,'NEI Lookups'!H:H)+SUMIF('NEI Lookups'!$M:$M,'Inputs Yr 2'!$F339,'NEI Lookups'!H:H)+SUMIF('NEI Lookups'!$N:$N,'Inputs Yr 2'!$F339,'NEI Lookups'!H:H)+SUMIF('NEI Lookups'!$O:$O,'Inputs Yr 2'!$F339,'NEI Lookups'!H:H)+SUMIF('NEI Lookups'!$P:$P,'Inputs Yr 2'!$F339,'NEI Lookups'!H:H)+SUMIF('NEI Lookups'!$Q:$Q,'Inputs Yr 2'!$F339,'NEI Lookups'!H:H)+SUMIF('NEI Lookups'!$R:$R,'Inputs Yr 2'!$F339,'NEI Lookups'!H:H)+SUMIF('NEI Lookups'!$S:$S,'Inputs Yr 2'!$F339,'NEI Lookups'!H:H)+SUMIF('NEI Lookups'!$T:$T,'Inputs Yr 2'!$F339,'NEI Lookups'!H:H)</f>
        <v>0</v>
      </c>
      <c r="AW339" s="299">
        <f>SUMIF('NEI Lookups'!$L:$L,'Inputs Yr 2'!$F339,'NEI Lookups'!I:I)+SUMIF('NEI Lookups'!$M:$M,'Inputs Yr 2'!$F339,'NEI Lookups'!I:I)+SUMIF('NEI Lookups'!$N:$N,'Inputs Yr 2'!$F339,'NEI Lookups'!I:I)+SUMIF('NEI Lookups'!$O:$O,'Inputs Yr 2'!$F339,'NEI Lookups'!I:I)+SUMIF('NEI Lookups'!$P:$P,'Inputs Yr 2'!$F339,'NEI Lookups'!I:I)+SUMIF('NEI Lookups'!$Q:$Q,'Inputs Yr 2'!$F339,'NEI Lookups'!I:I)+SUMIF('NEI Lookups'!$R:$R,'Inputs Yr 2'!$F339,'NEI Lookups'!I:I)+SUMIF('NEI Lookups'!$S:$S,'Inputs Yr 2'!$F339,'NEI Lookups'!I:I)+SUMIF('NEI Lookups'!$T:$T,'Inputs Yr 2'!$F339,'NEI Lookups'!I:I)</f>
        <v>0</v>
      </c>
      <c r="AX339" s="299">
        <f>SUMIF('NEI Lookups'!$L:$L,'Inputs Yr 2'!$F339,'NEI Lookups'!J:J)+SUMIF('NEI Lookups'!$M:$M,'Inputs Yr 2'!$F339,'NEI Lookups'!J:J)+SUMIF('NEI Lookups'!$N:$N,'Inputs Yr 2'!$F339,'NEI Lookups'!J:J)+SUMIF('NEI Lookups'!$O:$O,'Inputs Yr 2'!$F339,'NEI Lookups'!J:J)+SUMIF('NEI Lookups'!$P:$P,'Inputs Yr 2'!$F339,'NEI Lookups'!J:J)+SUMIF('NEI Lookups'!$Q:$Q,'Inputs Yr 2'!$F339,'NEI Lookups'!J:J)+SUMIF('NEI Lookups'!$R:$R,'Inputs Yr 2'!$F339,'NEI Lookups'!J:J)+SUMIF('NEI Lookups'!$S:$S,'Inputs Yr 2'!$F339,'NEI Lookups'!J:J)+SUMIF('NEI Lookups'!$T:$T,'Inputs Yr 2'!$F339,'NEI Lookups'!J:J)</f>
        <v>0</v>
      </c>
      <c r="AY339" s="930" t="e">
        <f>'Calculations Yr 2'!CP339/'Calculations Yr 2'!I339</f>
        <v>#VALUE!</v>
      </c>
    </row>
    <row r="340" spans="1:51" s="8" customFormat="1">
      <c r="A340" s="145" t="s">
        <v>83</v>
      </c>
      <c r="B340" s="132" t="s">
        <v>870</v>
      </c>
      <c r="C340" s="132" t="s">
        <v>912</v>
      </c>
      <c r="D340" s="98"/>
      <c r="E340" s="98" t="s">
        <v>1413</v>
      </c>
      <c r="F340" s="150" t="s">
        <v>1196</v>
      </c>
      <c r="G340" s="145" t="s">
        <v>459</v>
      </c>
      <c r="H340" s="927">
        <v>0</v>
      </c>
      <c r="I340" s="232">
        <v>0</v>
      </c>
      <c r="J340" s="977"/>
      <c r="K340" s="966"/>
      <c r="L340" s="888">
        <f t="shared" si="138"/>
        <v>0</v>
      </c>
      <c r="M340" s="978">
        <v>0</v>
      </c>
      <c r="N340" s="978">
        <v>0</v>
      </c>
      <c r="O340" s="978">
        <v>0</v>
      </c>
      <c r="P340" s="889">
        <v>0.82000000000000006</v>
      </c>
      <c r="Q340" s="978">
        <v>0</v>
      </c>
      <c r="R340" s="178">
        <v>1</v>
      </c>
      <c r="S340" s="178">
        <v>1</v>
      </c>
      <c r="T340" s="178">
        <v>1</v>
      </c>
      <c r="U340" s="978">
        <v>0</v>
      </c>
      <c r="V340" s="978">
        <v>0</v>
      </c>
      <c r="W340" s="179"/>
      <c r="X340" s="97" t="s">
        <v>539</v>
      </c>
      <c r="Y340" s="299">
        <f>IFERROR(VLOOKUP($X340,'Demand Lookups'!$A$5:$K$101,9,0), 0)</f>
        <v>1.0147133434804667E-3</v>
      </c>
      <c r="Z340" s="922" t="str">
        <f>IFERROR(VLOOKUP(X340,'Demand Lookups'!$A$5:$B$101,2,0),0)</f>
        <v>Res Single Family Electric Lighting- Indoor (All Bulb) - NMR</v>
      </c>
      <c r="AA340" s="722">
        <f>IF(ISNA(VLOOKUP($X340,'Demand Lookups'!$A$5:$K$81,3,0)),0,VLOOKUP($X340,'Demand Lookups'!$A$5:$K$81,3,0))</f>
        <v>0.43</v>
      </c>
      <c r="AB340" s="722">
        <f>IF(ISNA(VLOOKUP($X340,'Demand Lookups'!$A$5:$K$81,4,0)),0,VLOOKUP($X340,'Demand Lookups'!$A$5:$K$81,4,0))</f>
        <v>0.24</v>
      </c>
      <c r="AC340" s="722">
        <f>IF(ISNA(VLOOKUP($X340,'Demand Lookups'!$A$5:$K$81,5,0)),0,VLOOKUP($X340,'Demand Lookups'!$A$5:$K$81,5,0))</f>
        <v>0.21</v>
      </c>
      <c r="AD340" s="723">
        <f>IF(ISNA(VLOOKUP($X340,'Demand Lookups'!$A$5:$K$81,6,0)),0,VLOOKUP($X340,'Demand Lookups'!$A$5:$K$81,6,0))</f>
        <v>0.12</v>
      </c>
      <c r="AE340" s="724">
        <f t="shared" si="143"/>
        <v>0</v>
      </c>
      <c r="AF340" s="723">
        <f>ROUND(IF(ISNA(VLOOKUP($X340,'Demand Lookups'!$A$5:$K$82,10,0)),0,(VLOOKUP($X340,'Demand Lookups'!$A$5:$K$82,10,0))),2)</f>
        <v>0.13</v>
      </c>
      <c r="AG340" s="723">
        <f>ROUND(IF(ISNA(VLOOKUP($X340,'Demand Lookups'!$A$5:$K$82,11,0)),0,VLOOKUP($X340,'Demand Lookups'!$A$5:$K$82,11,0)),2)</f>
        <v>0.16</v>
      </c>
      <c r="AH340" s="648">
        <f t="shared" si="144"/>
        <v>0.13</v>
      </c>
      <c r="AI340" s="648">
        <f t="shared" si="145"/>
        <v>0.13</v>
      </c>
      <c r="AJ340" s="167"/>
      <c r="AK340" s="866">
        <v>0</v>
      </c>
      <c r="AL340" s="167"/>
      <c r="AM340" s="168"/>
      <c r="AN340" s="167"/>
      <c r="AO340" s="168"/>
      <c r="AP340" s="167"/>
      <c r="AQ340" s="171"/>
      <c r="AR340" s="171"/>
      <c r="AS340" s="299">
        <f>SUMIF('NEI Lookups'!$L:$L,'Inputs Yr 2'!$F340,'NEI Lookups'!E:E)+SUMIF('NEI Lookups'!$M:$M,'Inputs Yr 2'!$F340,'NEI Lookups'!E:E)+SUMIF('NEI Lookups'!$N:$N,'Inputs Yr 2'!$F340,'NEI Lookups'!E:E)+SUMIF('NEI Lookups'!$O:$O,'Inputs Yr 2'!$F340,'NEI Lookups'!E:E)+SUMIF('NEI Lookups'!$P:$P,'Inputs Yr 2'!$F340,'NEI Lookups'!E:E)+SUMIF('NEI Lookups'!$Q:$Q,'Inputs Yr 2'!$F340,'NEI Lookups'!E:E)+SUMIF('NEI Lookups'!$R:$R,'Inputs Yr 2'!$F340,'NEI Lookups'!E:E)+SUMIF('NEI Lookups'!$S:$S,'Inputs Yr 2'!$F340,'NEI Lookups'!E:E)+SUMIF('NEI Lookups'!$T:$T,'Inputs Yr 2'!$F340,'NEI Lookups'!E:E)</f>
        <v>0</v>
      </c>
      <c r="AT340" s="299">
        <f>SUMIF('NEI Lookups'!$L:$L,'Inputs Yr 2'!$F340,'NEI Lookups'!F:F)+SUMIF('NEI Lookups'!$M:$M,'Inputs Yr 2'!$F340,'NEI Lookups'!F:F)+SUMIF('NEI Lookups'!$N:$N,'Inputs Yr 2'!$F340,'NEI Lookups'!F:F)+SUMIF('NEI Lookups'!$O:$O,'Inputs Yr 2'!$F340,'NEI Lookups'!F:F)+SUMIF('NEI Lookups'!$P:$P,'Inputs Yr 2'!$F340,'NEI Lookups'!F:F)+SUMIF('NEI Lookups'!$Q:$Q,'Inputs Yr 2'!$F340,'NEI Lookups'!F:F)+SUMIF('NEI Lookups'!$R:$R,'Inputs Yr 2'!$F340,'NEI Lookups'!F:F)+SUMIF('NEI Lookups'!$S:$S,'Inputs Yr 2'!$F340,'NEI Lookups'!F:F)+SUMIF('NEI Lookups'!$T:$T,'Inputs Yr 2'!$F340,'NEI Lookups'!F:F)</f>
        <v>3</v>
      </c>
      <c r="AU340" s="299">
        <f>SUMIF('NEI Lookups'!$L:$L,'Inputs Yr 2'!$F340,'NEI Lookups'!G:G)+SUMIF('NEI Lookups'!$M:$M,'Inputs Yr 2'!$F340,'NEI Lookups'!G:G)+SUMIF('NEI Lookups'!$N:$N,'Inputs Yr 2'!$F340,'NEI Lookups'!G:G)+SUMIF('NEI Lookups'!$O:$O,'Inputs Yr 2'!$F340,'NEI Lookups'!G:G)+SUMIF('NEI Lookups'!$P:$P,'Inputs Yr 2'!$F340,'NEI Lookups'!G:G)+SUMIF('NEI Lookups'!$Q:$Q,'Inputs Yr 2'!$F340,'NEI Lookups'!G:G)+SUMIF('NEI Lookups'!$R:$R,'Inputs Yr 2'!$F340,'NEI Lookups'!G:G)+SUMIF('NEI Lookups'!$S:$S,'Inputs Yr 2'!$F340,'NEI Lookups'!G:G)+SUMIF('NEI Lookups'!$T:$T,'Inputs Yr 2'!$F340,'NEI Lookups'!G:G)</f>
        <v>0</v>
      </c>
      <c r="AV340" s="299">
        <f>SUMIF('NEI Lookups'!$L:$L,'Inputs Yr 2'!$F340,'NEI Lookups'!H:H)+SUMIF('NEI Lookups'!$M:$M,'Inputs Yr 2'!$F340,'NEI Lookups'!H:H)+SUMIF('NEI Lookups'!$N:$N,'Inputs Yr 2'!$F340,'NEI Lookups'!H:H)+SUMIF('NEI Lookups'!$O:$O,'Inputs Yr 2'!$F340,'NEI Lookups'!H:H)+SUMIF('NEI Lookups'!$P:$P,'Inputs Yr 2'!$F340,'NEI Lookups'!H:H)+SUMIF('NEI Lookups'!$Q:$Q,'Inputs Yr 2'!$F340,'NEI Lookups'!H:H)+SUMIF('NEI Lookups'!$R:$R,'Inputs Yr 2'!$F340,'NEI Lookups'!H:H)+SUMIF('NEI Lookups'!$S:$S,'Inputs Yr 2'!$F340,'NEI Lookups'!H:H)+SUMIF('NEI Lookups'!$T:$T,'Inputs Yr 2'!$F340,'NEI Lookups'!H:H)</f>
        <v>0</v>
      </c>
      <c r="AW340" s="299">
        <f>SUMIF('NEI Lookups'!$L:$L,'Inputs Yr 2'!$F340,'NEI Lookups'!I:I)+SUMIF('NEI Lookups'!$M:$M,'Inputs Yr 2'!$F340,'NEI Lookups'!I:I)+SUMIF('NEI Lookups'!$N:$N,'Inputs Yr 2'!$F340,'NEI Lookups'!I:I)+SUMIF('NEI Lookups'!$O:$O,'Inputs Yr 2'!$F340,'NEI Lookups'!I:I)+SUMIF('NEI Lookups'!$P:$P,'Inputs Yr 2'!$F340,'NEI Lookups'!I:I)+SUMIF('NEI Lookups'!$Q:$Q,'Inputs Yr 2'!$F340,'NEI Lookups'!I:I)+SUMIF('NEI Lookups'!$R:$R,'Inputs Yr 2'!$F340,'NEI Lookups'!I:I)+SUMIF('NEI Lookups'!$S:$S,'Inputs Yr 2'!$F340,'NEI Lookups'!I:I)+SUMIF('NEI Lookups'!$T:$T,'Inputs Yr 2'!$F340,'NEI Lookups'!I:I)</f>
        <v>0</v>
      </c>
      <c r="AX340" s="299">
        <f>SUMIF('NEI Lookups'!$L:$L,'Inputs Yr 2'!$F340,'NEI Lookups'!J:J)+SUMIF('NEI Lookups'!$M:$M,'Inputs Yr 2'!$F340,'NEI Lookups'!J:J)+SUMIF('NEI Lookups'!$N:$N,'Inputs Yr 2'!$F340,'NEI Lookups'!J:J)+SUMIF('NEI Lookups'!$O:$O,'Inputs Yr 2'!$F340,'NEI Lookups'!J:J)+SUMIF('NEI Lookups'!$P:$P,'Inputs Yr 2'!$F340,'NEI Lookups'!J:J)+SUMIF('NEI Lookups'!$Q:$Q,'Inputs Yr 2'!$F340,'NEI Lookups'!J:J)+SUMIF('NEI Lookups'!$R:$R,'Inputs Yr 2'!$F340,'NEI Lookups'!J:J)+SUMIF('NEI Lookups'!$S:$S,'Inputs Yr 2'!$F340,'NEI Lookups'!J:J)+SUMIF('NEI Lookups'!$T:$T,'Inputs Yr 2'!$F340,'NEI Lookups'!J:J)</f>
        <v>0</v>
      </c>
      <c r="AY340" s="930" t="e">
        <f>'Calculations Yr 2'!CP340/'Calculations Yr 2'!I340</f>
        <v>#VALUE!</v>
      </c>
    </row>
    <row r="341" spans="1:51" s="8" customFormat="1">
      <c r="A341" s="145" t="s">
        <v>83</v>
      </c>
      <c r="B341" s="132" t="s">
        <v>870</v>
      </c>
      <c r="C341" s="132" t="s">
        <v>912</v>
      </c>
      <c r="D341" s="98"/>
      <c r="E341" s="98" t="s">
        <v>414</v>
      </c>
      <c r="F341" s="150" t="s">
        <v>1411</v>
      </c>
      <c r="G341" s="145" t="s">
        <v>459</v>
      </c>
      <c r="H341" s="927">
        <v>0</v>
      </c>
      <c r="I341" s="232">
        <v>0</v>
      </c>
      <c r="J341" s="977"/>
      <c r="K341" s="966"/>
      <c r="L341" s="888">
        <f t="shared" si="138"/>
        <v>0</v>
      </c>
      <c r="M341" s="978">
        <v>0</v>
      </c>
      <c r="N341" s="978">
        <v>0</v>
      </c>
      <c r="O341" s="978">
        <v>0</v>
      </c>
      <c r="P341" s="889">
        <v>0.82000000000000006</v>
      </c>
      <c r="Q341" s="978">
        <v>0</v>
      </c>
      <c r="R341" s="178">
        <v>1</v>
      </c>
      <c r="S341" s="178">
        <v>1</v>
      </c>
      <c r="T341" s="178">
        <v>1</v>
      </c>
      <c r="U341" s="978">
        <v>0</v>
      </c>
      <c r="V341" s="978">
        <v>0</v>
      </c>
      <c r="W341" s="179"/>
      <c r="X341" s="97" t="s">
        <v>539</v>
      </c>
      <c r="Y341" s="299">
        <f>IFERROR(VLOOKUP($X341,'Demand Lookups'!$A$5:$K$101,9,0), 0)</f>
        <v>1.0147133434804667E-3</v>
      </c>
      <c r="Z341" s="922" t="str">
        <f>IFERROR(VLOOKUP(X341,'Demand Lookups'!$A$5:$B$101,2,0),0)</f>
        <v>Res Single Family Electric Lighting- Indoor (All Bulb) - NMR</v>
      </c>
      <c r="AA341" s="722">
        <f>IF(ISNA(VLOOKUP($X341,'Demand Lookups'!$A$5:$K$81,3,0)),0,VLOOKUP($X341,'Demand Lookups'!$A$5:$K$81,3,0))</f>
        <v>0.43</v>
      </c>
      <c r="AB341" s="722">
        <f>IF(ISNA(VLOOKUP($X341,'Demand Lookups'!$A$5:$K$81,4,0)),0,VLOOKUP($X341,'Demand Lookups'!$A$5:$K$81,4,0))</f>
        <v>0.24</v>
      </c>
      <c r="AC341" s="722">
        <f>IF(ISNA(VLOOKUP($X341,'Demand Lookups'!$A$5:$K$81,5,0)),0,VLOOKUP($X341,'Demand Lookups'!$A$5:$K$81,5,0))</f>
        <v>0.21</v>
      </c>
      <c r="AD341" s="723">
        <f>IF(ISNA(VLOOKUP($X341,'Demand Lookups'!$A$5:$K$81,6,0)),0,VLOOKUP($X341,'Demand Lookups'!$A$5:$K$81,6,0))</f>
        <v>0.12</v>
      </c>
      <c r="AE341" s="724">
        <f t="shared" si="143"/>
        <v>0</v>
      </c>
      <c r="AF341" s="723">
        <f>ROUND(IF(ISNA(VLOOKUP($X341,'Demand Lookups'!$A$5:$K$82,10,0)),0,(VLOOKUP($X341,'Demand Lookups'!$A$5:$K$82,10,0))),2)</f>
        <v>0.13</v>
      </c>
      <c r="AG341" s="723">
        <f>ROUND(IF(ISNA(VLOOKUP($X341,'Demand Lookups'!$A$5:$K$82,11,0)),0,VLOOKUP($X341,'Demand Lookups'!$A$5:$K$82,11,0)),2)</f>
        <v>0.16</v>
      </c>
      <c r="AH341" s="648">
        <f t="shared" si="144"/>
        <v>0.13</v>
      </c>
      <c r="AI341" s="648">
        <f t="shared" si="145"/>
        <v>0.13</v>
      </c>
      <c r="AJ341" s="167"/>
      <c r="AK341" s="866">
        <v>0</v>
      </c>
      <c r="AL341" s="167"/>
      <c r="AM341" s="168"/>
      <c r="AN341" s="167"/>
      <c r="AO341" s="168"/>
      <c r="AP341" s="167"/>
      <c r="AQ341" s="171"/>
      <c r="AR341" s="171"/>
      <c r="AS341" s="299">
        <f>SUMIF('NEI Lookups'!$L:$L,'Inputs Yr 2'!$F341,'NEI Lookups'!E:E)+SUMIF('NEI Lookups'!$M:$M,'Inputs Yr 2'!$F341,'NEI Lookups'!E:E)+SUMIF('NEI Lookups'!$N:$N,'Inputs Yr 2'!$F341,'NEI Lookups'!E:E)+SUMIF('NEI Lookups'!$O:$O,'Inputs Yr 2'!$F341,'NEI Lookups'!E:E)+SUMIF('NEI Lookups'!$P:$P,'Inputs Yr 2'!$F341,'NEI Lookups'!E:E)+SUMIF('NEI Lookups'!$Q:$Q,'Inputs Yr 2'!$F341,'NEI Lookups'!E:E)+SUMIF('NEI Lookups'!$R:$R,'Inputs Yr 2'!$F341,'NEI Lookups'!E:E)+SUMIF('NEI Lookups'!$S:$S,'Inputs Yr 2'!$F341,'NEI Lookups'!E:E)+SUMIF('NEI Lookups'!$T:$T,'Inputs Yr 2'!$F341,'NEI Lookups'!E:E)</f>
        <v>0</v>
      </c>
      <c r="AT341" s="299">
        <f>SUMIF('NEI Lookups'!$L:$L,'Inputs Yr 2'!$F341,'NEI Lookups'!F:F)+SUMIF('NEI Lookups'!$M:$M,'Inputs Yr 2'!$F341,'NEI Lookups'!F:F)+SUMIF('NEI Lookups'!$N:$N,'Inputs Yr 2'!$F341,'NEI Lookups'!F:F)+SUMIF('NEI Lookups'!$O:$O,'Inputs Yr 2'!$F341,'NEI Lookups'!F:F)+SUMIF('NEI Lookups'!$P:$P,'Inputs Yr 2'!$F341,'NEI Lookups'!F:F)+SUMIF('NEI Lookups'!$Q:$Q,'Inputs Yr 2'!$F341,'NEI Lookups'!F:F)+SUMIF('NEI Lookups'!$R:$R,'Inputs Yr 2'!$F341,'NEI Lookups'!F:F)+SUMIF('NEI Lookups'!$S:$S,'Inputs Yr 2'!$F341,'NEI Lookups'!F:F)+SUMIF('NEI Lookups'!$T:$T,'Inputs Yr 2'!$F341,'NEI Lookups'!F:F)</f>
        <v>3</v>
      </c>
      <c r="AU341" s="299">
        <f>SUMIF('NEI Lookups'!$L:$L,'Inputs Yr 2'!$F341,'NEI Lookups'!G:G)+SUMIF('NEI Lookups'!$M:$M,'Inputs Yr 2'!$F341,'NEI Lookups'!G:G)+SUMIF('NEI Lookups'!$N:$N,'Inputs Yr 2'!$F341,'NEI Lookups'!G:G)+SUMIF('NEI Lookups'!$O:$O,'Inputs Yr 2'!$F341,'NEI Lookups'!G:G)+SUMIF('NEI Lookups'!$P:$P,'Inputs Yr 2'!$F341,'NEI Lookups'!G:G)+SUMIF('NEI Lookups'!$Q:$Q,'Inputs Yr 2'!$F341,'NEI Lookups'!G:G)+SUMIF('NEI Lookups'!$R:$R,'Inputs Yr 2'!$F341,'NEI Lookups'!G:G)+SUMIF('NEI Lookups'!$S:$S,'Inputs Yr 2'!$F341,'NEI Lookups'!G:G)+SUMIF('NEI Lookups'!$T:$T,'Inputs Yr 2'!$F341,'NEI Lookups'!G:G)</f>
        <v>0</v>
      </c>
      <c r="AV341" s="299">
        <f>SUMIF('NEI Lookups'!$L:$L,'Inputs Yr 2'!$F341,'NEI Lookups'!H:H)+SUMIF('NEI Lookups'!$M:$M,'Inputs Yr 2'!$F341,'NEI Lookups'!H:H)+SUMIF('NEI Lookups'!$N:$N,'Inputs Yr 2'!$F341,'NEI Lookups'!H:H)+SUMIF('NEI Lookups'!$O:$O,'Inputs Yr 2'!$F341,'NEI Lookups'!H:H)+SUMIF('NEI Lookups'!$P:$P,'Inputs Yr 2'!$F341,'NEI Lookups'!H:H)+SUMIF('NEI Lookups'!$Q:$Q,'Inputs Yr 2'!$F341,'NEI Lookups'!H:H)+SUMIF('NEI Lookups'!$R:$R,'Inputs Yr 2'!$F341,'NEI Lookups'!H:H)+SUMIF('NEI Lookups'!$S:$S,'Inputs Yr 2'!$F341,'NEI Lookups'!H:H)+SUMIF('NEI Lookups'!$T:$T,'Inputs Yr 2'!$F341,'NEI Lookups'!H:H)</f>
        <v>0</v>
      </c>
      <c r="AW341" s="299">
        <f>SUMIF('NEI Lookups'!$L:$L,'Inputs Yr 2'!$F341,'NEI Lookups'!I:I)+SUMIF('NEI Lookups'!$M:$M,'Inputs Yr 2'!$F341,'NEI Lookups'!I:I)+SUMIF('NEI Lookups'!$N:$N,'Inputs Yr 2'!$F341,'NEI Lookups'!I:I)+SUMIF('NEI Lookups'!$O:$O,'Inputs Yr 2'!$F341,'NEI Lookups'!I:I)+SUMIF('NEI Lookups'!$P:$P,'Inputs Yr 2'!$F341,'NEI Lookups'!I:I)+SUMIF('NEI Lookups'!$Q:$Q,'Inputs Yr 2'!$F341,'NEI Lookups'!I:I)+SUMIF('NEI Lookups'!$R:$R,'Inputs Yr 2'!$F341,'NEI Lookups'!I:I)+SUMIF('NEI Lookups'!$S:$S,'Inputs Yr 2'!$F341,'NEI Lookups'!I:I)+SUMIF('NEI Lookups'!$T:$T,'Inputs Yr 2'!$F341,'NEI Lookups'!I:I)</f>
        <v>0</v>
      </c>
      <c r="AX341" s="299">
        <f>SUMIF('NEI Lookups'!$L:$L,'Inputs Yr 2'!$F341,'NEI Lookups'!J:J)+SUMIF('NEI Lookups'!$M:$M,'Inputs Yr 2'!$F341,'NEI Lookups'!J:J)+SUMIF('NEI Lookups'!$N:$N,'Inputs Yr 2'!$F341,'NEI Lookups'!J:J)+SUMIF('NEI Lookups'!$O:$O,'Inputs Yr 2'!$F341,'NEI Lookups'!J:J)+SUMIF('NEI Lookups'!$P:$P,'Inputs Yr 2'!$F341,'NEI Lookups'!J:J)+SUMIF('NEI Lookups'!$Q:$Q,'Inputs Yr 2'!$F341,'NEI Lookups'!J:J)+SUMIF('NEI Lookups'!$R:$R,'Inputs Yr 2'!$F341,'NEI Lookups'!J:J)+SUMIF('NEI Lookups'!$S:$S,'Inputs Yr 2'!$F341,'NEI Lookups'!J:J)+SUMIF('NEI Lookups'!$T:$T,'Inputs Yr 2'!$F341,'NEI Lookups'!J:J)</f>
        <v>0</v>
      </c>
      <c r="AY341" s="930" t="e">
        <f>'Calculations Yr 2'!CP341/'Calculations Yr 2'!I341</f>
        <v>#VALUE!</v>
      </c>
    </row>
    <row r="342" spans="1:51" s="8" customFormat="1" ht="15.75">
      <c r="A342" s="145" t="s">
        <v>83</v>
      </c>
      <c r="B342" s="132" t="s">
        <v>870</v>
      </c>
      <c r="C342" s="132" t="s">
        <v>907</v>
      </c>
      <c r="D342" s="902" t="s">
        <v>1530</v>
      </c>
      <c r="E342" s="98" t="s">
        <v>1298</v>
      </c>
      <c r="F342" s="150" t="s">
        <v>1282</v>
      </c>
      <c r="G342" s="145" t="s">
        <v>460</v>
      </c>
      <c r="H342" s="927">
        <v>4282</v>
      </c>
      <c r="I342" s="232">
        <v>15</v>
      </c>
      <c r="J342" s="964">
        <v>305.93709715086408</v>
      </c>
      <c r="K342" s="166">
        <v>304.83170247547872</v>
      </c>
      <c r="L342" s="888">
        <f t="shared" si="138"/>
        <v>1.1053946753853552</v>
      </c>
      <c r="M342" s="978">
        <v>0.19</v>
      </c>
      <c r="N342" s="978">
        <v>0</v>
      </c>
      <c r="O342" s="978">
        <v>0</v>
      </c>
      <c r="P342" s="889">
        <f t="shared" si="146"/>
        <v>0.81</v>
      </c>
      <c r="Q342" s="978">
        <v>1</v>
      </c>
      <c r="R342" s="178">
        <v>1</v>
      </c>
      <c r="S342" s="178">
        <v>1</v>
      </c>
      <c r="T342" s="178">
        <v>1</v>
      </c>
      <c r="U342" s="978">
        <v>0.86199999999999999</v>
      </c>
      <c r="V342" s="978">
        <v>1</v>
      </c>
      <c r="W342" s="179"/>
      <c r="X342" s="937" t="s">
        <v>653</v>
      </c>
      <c r="Y342" s="299">
        <f>IFERROR(VLOOKUP($X342,'Demand Lookups'!$A$5:$K$101,9,0), 0)</f>
        <v>0</v>
      </c>
      <c r="Z342" s="922" t="str">
        <f>IFERROR(VLOOKUP(X342,'Demand Lookups'!$A$5:$B$101,2,0),0)</f>
        <v>Non-Electric Measures</v>
      </c>
      <c r="AA342" s="722">
        <f>IF(ISNA(VLOOKUP($X342,'Demand Lookups'!$A$5:$K$81,3,0)),0,VLOOKUP($X342,'Demand Lookups'!$A$5:$K$81,3,0))</f>
        <v>0</v>
      </c>
      <c r="AB342" s="722">
        <f>IF(ISNA(VLOOKUP($X342,'Demand Lookups'!$A$5:$K$81,4,0)),0,VLOOKUP($X342,'Demand Lookups'!$A$5:$K$81,4,0))</f>
        <v>0</v>
      </c>
      <c r="AC342" s="722">
        <f>IF(ISNA(VLOOKUP($X342,'Demand Lookups'!$A$5:$K$81,5,0)),0,VLOOKUP($X342,'Demand Lookups'!$A$5:$K$81,5,0))</f>
        <v>0</v>
      </c>
      <c r="AD342" s="723">
        <f>IF(ISNA(VLOOKUP($X342,'Demand Lookups'!$A$5:$K$81,6,0)),0,VLOOKUP($X342,'Demand Lookups'!$A$5:$K$81,6,0))</f>
        <v>0</v>
      </c>
      <c r="AE342" s="724">
        <f t="shared" si="143"/>
        <v>0</v>
      </c>
      <c r="AF342" s="723">
        <f>ROUND(IF(ISNA(VLOOKUP($X342,'Demand Lookups'!$A$5:$K$82,10,0)),0,(VLOOKUP($X342,'Demand Lookups'!$A$5:$K$82,10,0))),2)</f>
        <v>0</v>
      </c>
      <c r="AG342" s="723">
        <f>ROUND(IF(ISNA(VLOOKUP($X342,'Demand Lookups'!$A$5:$K$82,11,0)),0,VLOOKUP($X342,'Demand Lookups'!$A$5:$K$82,11,0)),2)</f>
        <v>0</v>
      </c>
      <c r="AH342" s="648">
        <f t="shared" si="144"/>
        <v>0</v>
      </c>
      <c r="AI342" s="648">
        <f t="shared" si="145"/>
        <v>0</v>
      </c>
      <c r="AJ342" s="167" t="s">
        <v>404</v>
      </c>
      <c r="AK342" s="866">
        <v>3.0057055108345097</v>
      </c>
      <c r="AL342" s="167"/>
      <c r="AM342" s="168"/>
      <c r="AN342" s="167"/>
      <c r="AO342" s="168"/>
      <c r="AP342" s="167"/>
      <c r="AQ342" s="171"/>
      <c r="AR342" s="171"/>
      <c r="AS342" s="299">
        <f>SUMIF('NEI Lookups'!$L:$L,'Inputs Yr 2'!$F342,'NEI Lookups'!E:E)+SUMIF('NEI Lookups'!$M:$M,'Inputs Yr 2'!$F342,'NEI Lookups'!E:E)+SUMIF('NEI Lookups'!$N:$N,'Inputs Yr 2'!$F342,'NEI Lookups'!E:E)+SUMIF('NEI Lookups'!$O:$O,'Inputs Yr 2'!$F342,'NEI Lookups'!E:E)+SUMIF('NEI Lookups'!$P:$P,'Inputs Yr 2'!$F342,'NEI Lookups'!E:E)+SUMIF('NEI Lookups'!$Q:$Q,'Inputs Yr 2'!$F342,'NEI Lookups'!E:E)+SUMIF('NEI Lookups'!$R:$R,'Inputs Yr 2'!$F342,'NEI Lookups'!E:E)+SUMIF('NEI Lookups'!$S:$S,'Inputs Yr 2'!$F342,'NEI Lookups'!E:E)+SUMIF('NEI Lookups'!$T:$T,'Inputs Yr 2'!$F342,'NEI Lookups'!E:E)</f>
        <v>19.350000000000005</v>
      </c>
      <c r="AT342" s="299">
        <f>SUMIF('NEI Lookups'!$L:$L,'Inputs Yr 2'!$F342,'NEI Lookups'!F:F)+SUMIF('NEI Lookups'!$M:$M,'Inputs Yr 2'!$F342,'NEI Lookups'!F:F)+SUMIF('NEI Lookups'!$N:$N,'Inputs Yr 2'!$F342,'NEI Lookups'!F:F)+SUMIF('NEI Lookups'!$O:$O,'Inputs Yr 2'!$F342,'NEI Lookups'!F:F)+SUMIF('NEI Lookups'!$P:$P,'Inputs Yr 2'!$F342,'NEI Lookups'!F:F)+SUMIF('NEI Lookups'!$Q:$Q,'Inputs Yr 2'!$F342,'NEI Lookups'!F:F)+SUMIF('NEI Lookups'!$R:$R,'Inputs Yr 2'!$F342,'NEI Lookups'!F:F)+SUMIF('NEI Lookups'!$S:$S,'Inputs Yr 2'!$F342,'NEI Lookups'!F:F)+SUMIF('NEI Lookups'!$T:$T,'Inputs Yr 2'!$F342,'NEI Lookups'!F:F)</f>
        <v>0</v>
      </c>
      <c r="AU342" s="299">
        <f>SUMIF('NEI Lookups'!$L:$L,'Inputs Yr 2'!$F342,'NEI Lookups'!G:G)+SUMIF('NEI Lookups'!$M:$M,'Inputs Yr 2'!$F342,'NEI Lookups'!G:G)+SUMIF('NEI Lookups'!$N:$N,'Inputs Yr 2'!$F342,'NEI Lookups'!G:G)+SUMIF('NEI Lookups'!$O:$O,'Inputs Yr 2'!$F342,'NEI Lookups'!G:G)+SUMIF('NEI Lookups'!$P:$P,'Inputs Yr 2'!$F342,'NEI Lookups'!G:G)+SUMIF('NEI Lookups'!$Q:$Q,'Inputs Yr 2'!$F342,'NEI Lookups'!G:G)+SUMIF('NEI Lookups'!$R:$R,'Inputs Yr 2'!$F342,'NEI Lookups'!G:G)+SUMIF('NEI Lookups'!$S:$S,'Inputs Yr 2'!$F342,'NEI Lookups'!G:G)+SUMIF('NEI Lookups'!$T:$T,'Inputs Yr 2'!$F342,'NEI Lookups'!G:G)</f>
        <v>0</v>
      </c>
      <c r="AV342" s="299">
        <f>SUMIF('NEI Lookups'!$L:$L,'Inputs Yr 2'!$F342,'NEI Lookups'!H:H)+SUMIF('NEI Lookups'!$M:$M,'Inputs Yr 2'!$F342,'NEI Lookups'!H:H)+SUMIF('NEI Lookups'!$N:$N,'Inputs Yr 2'!$F342,'NEI Lookups'!H:H)+SUMIF('NEI Lookups'!$O:$O,'Inputs Yr 2'!$F342,'NEI Lookups'!H:H)+SUMIF('NEI Lookups'!$P:$P,'Inputs Yr 2'!$F342,'NEI Lookups'!H:H)+SUMIF('NEI Lookups'!$Q:$Q,'Inputs Yr 2'!$F342,'NEI Lookups'!H:H)+SUMIF('NEI Lookups'!$R:$R,'Inputs Yr 2'!$F342,'NEI Lookups'!H:H)+SUMIF('NEI Lookups'!$S:$S,'Inputs Yr 2'!$F342,'NEI Lookups'!H:H)+SUMIF('NEI Lookups'!$T:$T,'Inputs Yr 2'!$F342,'NEI Lookups'!H:H)</f>
        <v>0</v>
      </c>
      <c r="AW342" s="299">
        <f>SUMIF('NEI Lookups'!$L:$L,'Inputs Yr 2'!$F342,'NEI Lookups'!I:I)+SUMIF('NEI Lookups'!$M:$M,'Inputs Yr 2'!$F342,'NEI Lookups'!I:I)+SUMIF('NEI Lookups'!$N:$N,'Inputs Yr 2'!$F342,'NEI Lookups'!I:I)+SUMIF('NEI Lookups'!$O:$O,'Inputs Yr 2'!$F342,'NEI Lookups'!I:I)+SUMIF('NEI Lookups'!$P:$P,'Inputs Yr 2'!$F342,'NEI Lookups'!I:I)+SUMIF('NEI Lookups'!$Q:$Q,'Inputs Yr 2'!$F342,'NEI Lookups'!I:I)+SUMIF('NEI Lookups'!$R:$R,'Inputs Yr 2'!$F342,'NEI Lookups'!I:I)+SUMIF('NEI Lookups'!$S:$S,'Inputs Yr 2'!$F342,'NEI Lookups'!I:I)+SUMIF('NEI Lookups'!$T:$T,'Inputs Yr 2'!$F342,'NEI Lookups'!I:I)</f>
        <v>0</v>
      </c>
      <c r="AX342" s="299">
        <f>SUMIF('NEI Lookups'!$L:$L,'Inputs Yr 2'!$F342,'NEI Lookups'!J:J)+SUMIF('NEI Lookups'!$M:$M,'Inputs Yr 2'!$F342,'NEI Lookups'!J:J)+SUMIF('NEI Lookups'!$N:$N,'Inputs Yr 2'!$F342,'NEI Lookups'!J:J)+SUMIF('NEI Lookups'!$O:$O,'Inputs Yr 2'!$F342,'NEI Lookups'!J:J)+SUMIF('NEI Lookups'!$P:$P,'Inputs Yr 2'!$F342,'NEI Lookups'!J:J)+SUMIF('NEI Lookups'!$Q:$Q,'Inputs Yr 2'!$F342,'NEI Lookups'!J:J)+SUMIF('NEI Lookups'!$R:$R,'Inputs Yr 2'!$F342,'NEI Lookups'!J:J)+SUMIF('NEI Lookups'!$S:$S,'Inputs Yr 2'!$F342,'NEI Lookups'!J:J)+SUMIF('NEI Lookups'!$T:$T,'Inputs Yr 2'!$F342,'NEI Lookups'!J:J)</f>
        <v>0</v>
      </c>
      <c r="AY342" s="930">
        <f>'Calculations Yr 2'!CP342/'Calculations Yr 2'!I342</f>
        <v>2.0721690380894704</v>
      </c>
    </row>
    <row r="343" spans="1:51" s="8" customFormat="1" ht="15.75">
      <c r="A343" s="145" t="s">
        <v>83</v>
      </c>
      <c r="B343" s="132" t="s">
        <v>870</v>
      </c>
      <c r="C343" s="132" t="s">
        <v>907</v>
      </c>
      <c r="D343" s="902" t="s">
        <v>1531</v>
      </c>
      <c r="E343" s="98" t="s">
        <v>493</v>
      </c>
      <c r="F343" s="150" t="s">
        <v>1283</v>
      </c>
      <c r="G343" s="145" t="s">
        <v>460</v>
      </c>
      <c r="H343" s="927">
        <v>1081</v>
      </c>
      <c r="I343" s="232">
        <v>25</v>
      </c>
      <c r="J343" s="964">
        <v>359.40760407030524</v>
      </c>
      <c r="K343" s="166">
        <v>276.26399629972246</v>
      </c>
      <c r="L343" s="888">
        <f t="shared" si="138"/>
        <v>83.143607770582776</v>
      </c>
      <c r="M343" s="978">
        <v>0.19</v>
      </c>
      <c r="N343" s="978">
        <v>0</v>
      </c>
      <c r="O343" s="978">
        <v>0</v>
      </c>
      <c r="P343" s="889">
        <f t="shared" si="146"/>
        <v>0.81</v>
      </c>
      <c r="Q343" s="978">
        <v>1</v>
      </c>
      <c r="R343" s="178">
        <v>1</v>
      </c>
      <c r="S343" s="178">
        <v>1</v>
      </c>
      <c r="T343" s="178">
        <v>1</v>
      </c>
      <c r="U343" s="978">
        <v>0.86199999999999999</v>
      </c>
      <c r="V343" s="978">
        <v>1</v>
      </c>
      <c r="W343" s="179"/>
      <c r="X343" s="937" t="s">
        <v>653</v>
      </c>
      <c r="Y343" s="299">
        <f>IFERROR(VLOOKUP($X343,'Demand Lookups'!$A$5:$K$101,9,0), 0)</f>
        <v>0</v>
      </c>
      <c r="Z343" s="922" t="str">
        <f>IFERROR(VLOOKUP(X343,'Demand Lookups'!$A$5:$B$101,2,0),0)</f>
        <v>Non-Electric Measures</v>
      </c>
      <c r="AA343" s="722">
        <f>IF(ISNA(VLOOKUP($X343,'Demand Lookups'!$A$5:$K$81,3,0)),0,VLOOKUP($X343,'Demand Lookups'!$A$5:$K$81,3,0))</f>
        <v>0</v>
      </c>
      <c r="AB343" s="722">
        <f>IF(ISNA(VLOOKUP($X343,'Demand Lookups'!$A$5:$K$81,4,0)),0,VLOOKUP($X343,'Demand Lookups'!$A$5:$K$81,4,0))</f>
        <v>0</v>
      </c>
      <c r="AC343" s="722">
        <f>IF(ISNA(VLOOKUP($X343,'Demand Lookups'!$A$5:$K$81,5,0)),0,VLOOKUP($X343,'Demand Lookups'!$A$5:$K$81,5,0))</f>
        <v>0</v>
      </c>
      <c r="AD343" s="723">
        <f>IF(ISNA(VLOOKUP($X343,'Demand Lookups'!$A$5:$K$81,6,0)),0,VLOOKUP($X343,'Demand Lookups'!$A$5:$K$81,6,0))</f>
        <v>0</v>
      </c>
      <c r="AE343" s="724">
        <f t="shared" si="143"/>
        <v>0</v>
      </c>
      <c r="AF343" s="723">
        <f>ROUND(IF(ISNA(VLOOKUP($X343,'Demand Lookups'!$A$5:$K$82,10,0)),0,(VLOOKUP($X343,'Demand Lookups'!$A$5:$K$82,10,0))),2)</f>
        <v>0</v>
      </c>
      <c r="AG343" s="723">
        <f>ROUND(IF(ISNA(VLOOKUP($X343,'Demand Lookups'!$A$5:$K$82,11,0)),0,VLOOKUP($X343,'Demand Lookups'!$A$5:$K$82,11,0)),2)</f>
        <v>0</v>
      </c>
      <c r="AH343" s="648">
        <f t="shared" si="144"/>
        <v>0</v>
      </c>
      <c r="AI343" s="648">
        <f t="shared" si="145"/>
        <v>0</v>
      </c>
      <c r="AJ343" s="167" t="s">
        <v>404</v>
      </c>
      <c r="AK343" s="866">
        <v>2.6638392774691693</v>
      </c>
      <c r="AL343" s="167"/>
      <c r="AM343" s="168"/>
      <c r="AN343" s="167"/>
      <c r="AO343" s="168"/>
      <c r="AP343" s="167"/>
      <c r="AQ343" s="171"/>
      <c r="AR343" s="171"/>
      <c r="AS343" s="299">
        <f>SUMIF('NEI Lookups'!$L:$L,'Inputs Yr 2'!$F343,'NEI Lookups'!E:E)+SUMIF('NEI Lookups'!$M:$M,'Inputs Yr 2'!$F343,'NEI Lookups'!E:E)+SUMIF('NEI Lookups'!$N:$N,'Inputs Yr 2'!$F343,'NEI Lookups'!E:E)+SUMIF('NEI Lookups'!$O:$O,'Inputs Yr 2'!$F343,'NEI Lookups'!E:E)+SUMIF('NEI Lookups'!$P:$P,'Inputs Yr 2'!$F343,'NEI Lookups'!E:E)+SUMIF('NEI Lookups'!$Q:$Q,'Inputs Yr 2'!$F343,'NEI Lookups'!E:E)+SUMIF('NEI Lookups'!$R:$R,'Inputs Yr 2'!$F343,'NEI Lookups'!E:E)+SUMIF('NEI Lookups'!$S:$S,'Inputs Yr 2'!$F343,'NEI Lookups'!E:E)+SUMIF('NEI Lookups'!$T:$T,'Inputs Yr 2'!$F343,'NEI Lookups'!E:E)</f>
        <v>47.309999999999995</v>
      </c>
      <c r="AT343" s="299">
        <f>SUMIF('NEI Lookups'!$L:$L,'Inputs Yr 2'!$F343,'NEI Lookups'!F:F)+SUMIF('NEI Lookups'!$M:$M,'Inputs Yr 2'!$F343,'NEI Lookups'!F:F)+SUMIF('NEI Lookups'!$N:$N,'Inputs Yr 2'!$F343,'NEI Lookups'!F:F)+SUMIF('NEI Lookups'!$O:$O,'Inputs Yr 2'!$F343,'NEI Lookups'!F:F)+SUMIF('NEI Lookups'!$P:$P,'Inputs Yr 2'!$F343,'NEI Lookups'!F:F)+SUMIF('NEI Lookups'!$Q:$Q,'Inputs Yr 2'!$F343,'NEI Lookups'!F:F)+SUMIF('NEI Lookups'!$R:$R,'Inputs Yr 2'!$F343,'NEI Lookups'!F:F)+SUMIF('NEI Lookups'!$S:$S,'Inputs Yr 2'!$F343,'NEI Lookups'!F:F)+SUMIF('NEI Lookups'!$T:$T,'Inputs Yr 2'!$F343,'NEI Lookups'!F:F)</f>
        <v>0</v>
      </c>
      <c r="AU343" s="299">
        <f>SUMIF('NEI Lookups'!$L:$L,'Inputs Yr 2'!$F343,'NEI Lookups'!G:G)+SUMIF('NEI Lookups'!$M:$M,'Inputs Yr 2'!$F343,'NEI Lookups'!G:G)+SUMIF('NEI Lookups'!$N:$N,'Inputs Yr 2'!$F343,'NEI Lookups'!G:G)+SUMIF('NEI Lookups'!$O:$O,'Inputs Yr 2'!$F343,'NEI Lookups'!G:G)+SUMIF('NEI Lookups'!$P:$P,'Inputs Yr 2'!$F343,'NEI Lookups'!G:G)+SUMIF('NEI Lookups'!$Q:$Q,'Inputs Yr 2'!$F343,'NEI Lookups'!G:G)+SUMIF('NEI Lookups'!$R:$R,'Inputs Yr 2'!$F343,'NEI Lookups'!G:G)+SUMIF('NEI Lookups'!$S:$S,'Inputs Yr 2'!$F343,'NEI Lookups'!G:G)+SUMIF('NEI Lookups'!$T:$T,'Inputs Yr 2'!$F343,'NEI Lookups'!G:G)</f>
        <v>0</v>
      </c>
      <c r="AV343" s="299">
        <f>SUMIF('NEI Lookups'!$L:$L,'Inputs Yr 2'!$F343,'NEI Lookups'!H:H)+SUMIF('NEI Lookups'!$M:$M,'Inputs Yr 2'!$F343,'NEI Lookups'!H:H)+SUMIF('NEI Lookups'!$N:$N,'Inputs Yr 2'!$F343,'NEI Lookups'!H:H)+SUMIF('NEI Lookups'!$O:$O,'Inputs Yr 2'!$F343,'NEI Lookups'!H:H)+SUMIF('NEI Lookups'!$P:$P,'Inputs Yr 2'!$F343,'NEI Lookups'!H:H)+SUMIF('NEI Lookups'!$Q:$Q,'Inputs Yr 2'!$F343,'NEI Lookups'!H:H)+SUMIF('NEI Lookups'!$R:$R,'Inputs Yr 2'!$F343,'NEI Lookups'!H:H)+SUMIF('NEI Lookups'!$S:$S,'Inputs Yr 2'!$F343,'NEI Lookups'!H:H)+SUMIF('NEI Lookups'!$T:$T,'Inputs Yr 2'!$F343,'NEI Lookups'!H:H)</f>
        <v>0</v>
      </c>
      <c r="AW343" s="299">
        <f>SUMIF('NEI Lookups'!$L:$L,'Inputs Yr 2'!$F343,'NEI Lookups'!I:I)+SUMIF('NEI Lookups'!$M:$M,'Inputs Yr 2'!$F343,'NEI Lookups'!I:I)+SUMIF('NEI Lookups'!$N:$N,'Inputs Yr 2'!$F343,'NEI Lookups'!I:I)+SUMIF('NEI Lookups'!$O:$O,'Inputs Yr 2'!$F343,'NEI Lookups'!I:I)+SUMIF('NEI Lookups'!$P:$P,'Inputs Yr 2'!$F343,'NEI Lookups'!I:I)+SUMIF('NEI Lookups'!$Q:$Q,'Inputs Yr 2'!$F343,'NEI Lookups'!I:I)+SUMIF('NEI Lookups'!$R:$R,'Inputs Yr 2'!$F343,'NEI Lookups'!I:I)+SUMIF('NEI Lookups'!$S:$S,'Inputs Yr 2'!$F343,'NEI Lookups'!I:I)+SUMIF('NEI Lookups'!$T:$T,'Inputs Yr 2'!$F343,'NEI Lookups'!I:I)</f>
        <v>0</v>
      </c>
      <c r="AX343" s="299">
        <f>SUMIF('NEI Lookups'!$L:$L,'Inputs Yr 2'!$F343,'NEI Lookups'!J:J)+SUMIF('NEI Lookups'!$M:$M,'Inputs Yr 2'!$F343,'NEI Lookups'!J:J)+SUMIF('NEI Lookups'!$N:$N,'Inputs Yr 2'!$F343,'NEI Lookups'!J:J)+SUMIF('NEI Lookups'!$O:$O,'Inputs Yr 2'!$F343,'NEI Lookups'!J:J)+SUMIF('NEI Lookups'!$P:$P,'Inputs Yr 2'!$F343,'NEI Lookups'!J:J)+SUMIF('NEI Lookups'!$Q:$Q,'Inputs Yr 2'!$F343,'NEI Lookups'!J:J)+SUMIF('NEI Lookups'!$R:$R,'Inputs Yr 2'!$F343,'NEI Lookups'!J:J)+SUMIF('NEI Lookups'!$S:$S,'Inputs Yr 2'!$F343,'NEI Lookups'!J:J)+SUMIF('NEI Lookups'!$T:$T,'Inputs Yr 2'!$F343,'NEI Lookups'!J:J)</f>
        <v>0</v>
      </c>
      <c r="AY343" s="930">
        <f>'Calculations Yr 2'!CP343/'Calculations Yr 2'!I343</f>
        <v>4.6137934650199268</v>
      </c>
    </row>
    <row r="344" spans="1:51" s="8" customFormat="1">
      <c r="A344" s="145" t="s">
        <v>83</v>
      </c>
      <c r="B344" s="132" t="s">
        <v>870</v>
      </c>
      <c r="C344" s="132" t="s">
        <v>912</v>
      </c>
      <c r="D344" s="98"/>
      <c r="E344" s="98" t="s">
        <v>726</v>
      </c>
      <c r="F344" s="150" t="s">
        <v>1284</v>
      </c>
      <c r="G344" s="145" t="s">
        <v>460</v>
      </c>
      <c r="H344" s="927">
        <v>0</v>
      </c>
      <c r="I344" s="232">
        <v>0</v>
      </c>
      <c r="J344" s="977"/>
      <c r="K344" s="966"/>
      <c r="L344" s="888">
        <f t="shared" si="138"/>
        <v>0</v>
      </c>
      <c r="M344" s="978">
        <v>0</v>
      </c>
      <c r="N344" s="978">
        <v>0</v>
      </c>
      <c r="O344" s="978">
        <v>0</v>
      </c>
      <c r="P344" s="889">
        <v>0.81</v>
      </c>
      <c r="Q344" s="978">
        <v>0</v>
      </c>
      <c r="R344" s="178">
        <v>1</v>
      </c>
      <c r="S344" s="178">
        <v>1</v>
      </c>
      <c r="T344" s="178">
        <v>1</v>
      </c>
      <c r="U344" s="978">
        <v>0</v>
      </c>
      <c r="V344" s="978">
        <v>0</v>
      </c>
      <c r="W344" s="179"/>
      <c r="X344" s="937" t="s">
        <v>653</v>
      </c>
      <c r="Y344" s="299">
        <f>IFERROR(VLOOKUP($X344,'Demand Lookups'!$A$5:$K$101,9,0), 0)</f>
        <v>0</v>
      </c>
      <c r="Z344" s="922" t="str">
        <f>IFERROR(VLOOKUP(X344,'Demand Lookups'!$A$5:$B$101,2,0),0)</f>
        <v>Non-Electric Measures</v>
      </c>
      <c r="AA344" s="722">
        <f>IF(ISNA(VLOOKUP($X344,'Demand Lookups'!$A$5:$K$81,3,0)),0,VLOOKUP($X344,'Demand Lookups'!$A$5:$K$81,3,0))</f>
        <v>0</v>
      </c>
      <c r="AB344" s="722">
        <f>IF(ISNA(VLOOKUP($X344,'Demand Lookups'!$A$5:$K$81,4,0)),0,VLOOKUP($X344,'Demand Lookups'!$A$5:$K$81,4,0))</f>
        <v>0</v>
      </c>
      <c r="AC344" s="722">
        <f>IF(ISNA(VLOOKUP($X344,'Demand Lookups'!$A$5:$K$81,5,0)),0,VLOOKUP($X344,'Demand Lookups'!$A$5:$K$81,5,0))</f>
        <v>0</v>
      </c>
      <c r="AD344" s="723">
        <f>IF(ISNA(VLOOKUP($X344,'Demand Lookups'!$A$5:$K$81,6,0)),0,VLOOKUP($X344,'Demand Lookups'!$A$5:$K$81,6,0))</f>
        <v>0</v>
      </c>
      <c r="AE344" s="724">
        <f t="shared" si="143"/>
        <v>0</v>
      </c>
      <c r="AF344" s="723">
        <f>ROUND(IF(ISNA(VLOOKUP($X344,'Demand Lookups'!$A$5:$K$82,10,0)),0,(VLOOKUP($X344,'Demand Lookups'!$A$5:$K$82,10,0))),2)</f>
        <v>0</v>
      </c>
      <c r="AG344" s="723">
        <f>ROUND(IF(ISNA(VLOOKUP($X344,'Demand Lookups'!$A$5:$K$82,11,0)),0,VLOOKUP($X344,'Demand Lookups'!$A$5:$K$82,11,0)),2)</f>
        <v>0</v>
      </c>
      <c r="AH344" s="648">
        <f t="shared" si="144"/>
        <v>0</v>
      </c>
      <c r="AI344" s="648">
        <f t="shared" si="145"/>
        <v>0</v>
      </c>
      <c r="AJ344" s="167" t="s">
        <v>87</v>
      </c>
      <c r="AK344" s="866">
        <v>0</v>
      </c>
      <c r="AL344" s="167"/>
      <c r="AM344" s="168"/>
      <c r="AN344" s="167"/>
      <c r="AO344" s="168"/>
      <c r="AP344" s="167"/>
      <c r="AQ344" s="171"/>
      <c r="AR344" s="171"/>
      <c r="AS344" s="299">
        <f>SUMIF('NEI Lookups'!$L:$L,'Inputs Yr 2'!$F344,'NEI Lookups'!E:E)+SUMIF('NEI Lookups'!$M:$M,'Inputs Yr 2'!$F344,'NEI Lookups'!E:E)+SUMIF('NEI Lookups'!$N:$N,'Inputs Yr 2'!$F344,'NEI Lookups'!E:E)+SUMIF('NEI Lookups'!$O:$O,'Inputs Yr 2'!$F344,'NEI Lookups'!E:E)+SUMIF('NEI Lookups'!$P:$P,'Inputs Yr 2'!$F344,'NEI Lookups'!E:E)+SUMIF('NEI Lookups'!$Q:$Q,'Inputs Yr 2'!$F344,'NEI Lookups'!E:E)+SUMIF('NEI Lookups'!$R:$R,'Inputs Yr 2'!$F344,'NEI Lookups'!E:E)+SUMIF('NEI Lookups'!$S:$S,'Inputs Yr 2'!$F344,'NEI Lookups'!E:E)+SUMIF('NEI Lookups'!$T:$T,'Inputs Yr 2'!$F344,'NEI Lookups'!E:E)</f>
        <v>47.309999999999995</v>
      </c>
      <c r="AT344" s="299">
        <f>SUMIF('NEI Lookups'!$L:$L,'Inputs Yr 2'!$F344,'NEI Lookups'!F:F)+SUMIF('NEI Lookups'!$M:$M,'Inputs Yr 2'!$F344,'NEI Lookups'!F:F)+SUMIF('NEI Lookups'!$N:$N,'Inputs Yr 2'!$F344,'NEI Lookups'!F:F)+SUMIF('NEI Lookups'!$O:$O,'Inputs Yr 2'!$F344,'NEI Lookups'!F:F)+SUMIF('NEI Lookups'!$P:$P,'Inputs Yr 2'!$F344,'NEI Lookups'!F:F)+SUMIF('NEI Lookups'!$Q:$Q,'Inputs Yr 2'!$F344,'NEI Lookups'!F:F)+SUMIF('NEI Lookups'!$R:$R,'Inputs Yr 2'!$F344,'NEI Lookups'!F:F)+SUMIF('NEI Lookups'!$S:$S,'Inputs Yr 2'!$F344,'NEI Lookups'!F:F)+SUMIF('NEI Lookups'!$T:$T,'Inputs Yr 2'!$F344,'NEI Lookups'!F:F)</f>
        <v>0</v>
      </c>
      <c r="AU344" s="299">
        <f>SUMIF('NEI Lookups'!$L:$L,'Inputs Yr 2'!$F344,'NEI Lookups'!G:G)+SUMIF('NEI Lookups'!$M:$M,'Inputs Yr 2'!$F344,'NEI Lookups'!G:G)+SUMIF('NEI Lookups'!$N:$N,'Inputs Yr 2'!$F344,'NEI Lookups'!G:G)+SUMIF('NEI Lookups'!$O:$O,'Inputs Yr 2'!$F344,'NEI Lookups'!G:G)+SUMIF('NEI Lookups'!$P:$P,'Inputs Yr 2'!$F344,'NEI Lookups'!G:G)+SUMIF('NEI Lookups'!$Q:$Q,'Inputs Yr 2'!$F344,'NEI Lookups'!G:G)+SUMIF('NEI Lookups'!$R:$R,'Inputs Yr 2'!$F344,'NEI Lookups'!G:G)+SUMIF('NEI Lookups'!$S:$S,'Inputs Yr 2'!$F344,'NEI Lookups'!G:G)+SUMIF('NEI Lookups'!$T:$T,'Inputs Yr 2'!$F344,'NEI Lookups'!G:G)</f>
        <v>0</v>
      </c>
      <c r="AV344" s="299">
        <f>SUMIF('NEI Lookups'!$L:$L,'Inputs Yr 2'!$F344,'NEI Lookups'!H:H)+SUMIF('NEI Lookups'!$M:$M,'Inputs Yr 2'!$F344,'NEI Lookups'!H:H)+SUMIF('NEI Lookups'!$N:$N,'Inputs Yr 2'!$F344,'NEI Lookups'!H:H)+SUMIF('NEI Lookups'!$O:$O,'Inputs Yr 2'!$F344,'NEI Lookups'!H:H)+SUMIF('NEI Lookups'!$P:$P,'Inputs Yr 2'!$F344,'NEI Lookups'!H:H)+SUMIF('NEI Lookups'!$Q:$Q,'Inputs Yr 2'!$F344,'NEI Lookups'!H:H)+SUMIF('NEI Lookups'!$R:$R,'Inputs Yr 2'!$F344,'NEI Lookups'!H:H)+SUMIF('NEI Lookups'!$S:$S,'Inputs Yr 2'!$F344,'NEI Lookups'!H:H)+SUMIF('NEI Lookups'!$T:$T,'Inputs Yr 2'!$F344,'NEI Lookups'!H:H)</f>
        <v>0</v>
      </c>
      <c r="AW344" s="299">
        <f>SUMIF('NEI Lookups'!$L:$L,'Inputs Yr 2'!$F344,'NEI Lookups'!I:I)+SUMIF('NEI Lookups'!$M:$M,'Inputs Yr 2'!$F344,'NEI Lookups'!I:I)+SUMIF('NEI Lookups'!$N:$N,'Inputs Yr 2'!$F344,'NEI Lookups'!I:I)+SUMIF('NEI Lookups'!$O:$O,'Inputs Yr 2'!$F344,'NEI Lookups'!I:I)+SUMIF('NEI Lookups'!$P:$P,'Inputs Yr 2'!$F344,'NEI Lookups'!I:I)+SUMIF('NEI Lookups'!$Q:$Q,'Inputs Yr 2'!$F344,'NEI Lookups'!I:I)+SUMIF('NEI Lookups'!$R:$R,'Inputs Yr 2'!$F344,'NEI Lookups'!I:I)+SUMIF('NEI Lookups'!$S:$S,'Inputs Yr 2'!$F344,'NEI Lookups'!I:I)+SUMIF('NEI Lookups'!$T:$T,'Inputs Yr 2'!$F344,'NEI Lookups'!I:I)</f>
        <v>0</v>
      </c>
      <c r="AX344" s="299">
        <f>SUMIF('NEI Lookups'!$L:$L,'Inputs Yr 2'!$F344,'NEI Lookups'!J:J)+SUMIF('NEI Lookups'!$M:$M,'Inputs Yr 2'!$F344,'NEI Lookups'!J:J)+SUMIF('NEI Lookups'!$N:$N,'Inputs Yr 2'!$F344,'NEI Lookups'!J:J)+SUMIF('NEI Lookups'!$O:$O,'Inputs Yr 2'!$F344,'NEI Lookups'!J:J)+SUMIF('NEI Lookups'!$P:$P,'Inputs Yr 2'!$F344,'NEI Lookups'!J:J)+SUMIF('NEI Lookups'!$Q:$Q,'Inputs Yr 2'!$F344,'NEI Lookups'!J:J)+SUMIF('NEI Lookups'!$R:$R,'Inputs Yr 2'!$F344,'NEI Lookups'!J:J)+SUMIF('NEI Lookups'!$S:$S,'Inputs Yr 2'!$F344,'NEI Lookups'!J:J)+SUMIF('NEI Lookups'!$T:$T,'Inputs Yr 2'!$F344,'NEI Lookups'!J:J)</f>
        <v>0</v>
      </c>
      <c r="AY344" s="930" t="e">
        <f>'Calculations Yr 2'!CP344/'Calculations Yr 2'!I344</f>
        <v>#VALUE!</v>
      </c>
    </row>
    <row r="345" spans="1:51" s="8" customFormat="1">
      <c r="A345" s="145" t="s">
        <v>83</v>
      </c>
      <c r="B345" s="132" t="s">
        <v>870</v>
      </c>
      <c r="C345" s="132" t="s">
        <v>912</v>
      </c>
      <c r="D345" s="98"/>
      <c r="E345" s="98" t="s">
        <v>727</v>
      </c>
      <c r="F345" s="150" t="s">
        <v>1285</v>
      </c>
      <c r="G345" s="145" t="s">
        <v>1247</v>
      </c>
      <c r="H345" s="927">
        <v>0</v>
      </c>
      <c r="I345" s="232">
        <v>0</v>
      </c>
      <c r="J345" s="977"/>
      <c r="K345" s="966"/>
      <c r="L345" s="888">
        <f t="shared" si="138"/>
        <v>0</v>
      </c>
      <c r="M345" s="978">
        <v>0</v>
      </c>
      <c r="N345" s="978">
        <v>0</v>
      </c>
      <c r="O345" s="978">
        <v>0</v>
      </c>
      <c r="P345" s="889">
        <v>1</v>
      </c>
      <c r="Q345" s="978">
        <v>0</v>
      </c>
      <c r="R345" s="178">
        <v>1</v>
      </c>
      <c r="S345" s="178">
        <v>1</v>
      </c>
      <c r="T345" s="178">
        <v>1</v>
      </c>
      <c r="U345" s="978">
        <v>0</v>
      </c>
      <c r="V345" s="978">
        <v>0</v>
      </c>
      <c r="W345" s="179"/>
      <c r="X345" s="937" t="s">
        <v>653</v>
      </c>
      <c r="Y345" s="299">
        <f>IFERROR(VLOOKUP($X345,'Demand Lookups'!$A$5:$K$101,9,0), 0)</f>
        <v>0</v>
      </c>
      <c r="Z345" s="922" t="str">
        <f>IFERROR(VLOOKUP(X345,'Demand Lookups'!$A$5:$B$101,2,0),0)</f>
        <v>Non-Electric Measures</v>
      </c>
      <c r="AA345" s="722">
        <f>IF(ISNA(VLOOKUP($X345,'Demand Lookups'!$A$5:$K$81,3,0)),0,VLOOKUP($X345,'Demand Lookups'!$A$5:$K$81,3,0))</f>
        <v>0</v>
      </c>
      <c r="AB345" s="722">
        <f>IF(ISNA(VLOOKUP($X345,'Demand Lookups'!$A$5:$K$81,4,0)),0,VLOOKUP($X345,'Demand Lookups'!$A$5:$K$81,4,0))</f>
        <v>0</v>
      </c>
      <c r="AC345" s="722">
        <f>IF(ISNA(VLOOKUP($X345,'Demand Lookups'!$A$5:$K$81,5,0)),0,VLOOKUP($X345,'Demand Lookups'!$A$5:$K$81,5,0))</f>
        <v>0</v>
      </c>
      <c r="AD345" s="723">
        <f>IF(ISNA(VLOOKUP($X345,'Demand Lookups'!$A$5:$K$81,6,0)),0,VLOOKUP($X345,'Demand Lookups'!$A$5:$K$81,6,0))</f>
        <v>0</v>
      </c>
      <c r="AE345" s="724">
        <f t="shared" si="143"/>
        <v>0</v>
      </c>
      <c r="AF345" s="723">
        <f>ROUND(IF(ISNA(VLOOKUP($X345,'Demand Lookups'!$A$5:$K$82,10,0)),0,(VLOOKUP($X345,'Demand Lookups'!$A$5:$K$82,10,0))),2)</f>
        <v>0</v>
      </c>
      <c r="AG345" s="723">
        <f>ROUND(IF(ISNA(VLOOKUP($X345,'Demand Lookups'!$A$5:$K$82,11,0)),0,VLOOKUP($X345,'Demand Lookups'!$A$5:$K$82,11,0)),2)</f>
        <v>0</v>
      </c>
      <c r="AH345" s="648">
        <f t="shared" si="144"/>
        <v>0</v>
      </c>
      <c r="AI345" s="648">
        <f t="shared" si="145"/>
        <v>0</v>
      </c>
      <c r="AJ345" s="167" t="s">
        <v>87</v>
      </c>
      <c r="AK345" s="866">
        <v>0</v>
      </c>
      <c r="AL345" s="167"/>
      <c r="AM345" s="168"/>
      <c r="AN345" s="167"/>
      <c r="AO345" s="168"/>
      <c r="AP345" s="167"/>
      <c r="AQ345" s="171"/>
      <c r="AR345" s="171"/>
      <c r="AS345" s="299">
        <f>SUMIF('NEI Lookups'!$L:$L,'Inputs Yr 2'!$F345,'NEI Lookups'!E:E)+SUMIF('NEI Lookups'!$M:$M,'Inputs Yr 2'!$F345,'NEI Lookups'!E:E)+SUMIF('NEI Lookups'!$N:$N,'Inputs Yr 2'!$F345,'NEI Lookups'!E:E)+SUMIF('NEI Lookups'!$O:$O,'Inputs Yr 2'!$F345,'NEI Lookups'!E:E)+SUMIF('NEI Lookups'!$P:$P,'Inputs Yr 2'!$F345,'NEI Lookups'!E:E)+SUMIF('NEI Lookups'!$Q:$Q,'Inputs Yr 2'!$F345,'NEI Lookups'!E:E)+SUMIF('NEI Lookups'!$R:$R,'Inputs Yr 2'!$F345,'NEI Lookups'!E:E)+SUMIF('NEI Lookups'!$S:$S,'Inputs Yr 2'!$F345,'NEI Lookups'!E:E)+SUMIF('NEI Lookups'!$T:$T,'Inputs Yr 2'!$F345,'NEI Lookups'!E:E)</f>
        <v>0</v>
      </c>
      <c r="AT345" s="299">
        <f>SUMIF('NEI Lookups'!$L:$L,'Inputs Yr 2'!$F345,'NEI Lookups'!F:F)+SUMIF('NEI Lookups'!$M:$M,'Inputs Yr 2'!$F345,'NEI Lookups'!F:F)+SUMIF('NEI Lookups'!$N:$N,'Inputs Yr 2'!$F345,'NEI Lookups'!F:F)+SUMIF('NEI Lookups'!$O:$O,'Inputs Yr 2'!$F345,'NEI Lookups'!F:F)+SUMIF('NEI Lookups'!$P:$P,'Inputs Yr 2'!$F345,'NEI Lookups'!F:F)+SUMIF('NEI Lookups'!$Q:$Q,'Inputs Yr 2'!$F345,'NEI Lookups'!F:F)+SUMIF('NEI Lookups'!$R:$R,'Inputs Yr 2'!$F345,'NEI Lookups'!F:F)+SUMIF('NEI Lookups'!$S:$S,'Inputs Yr 2'!$F345,'NEI Lookups'!F:F)+SUMIF('NEI Lookups'!$T:$T,'Inputs Yr 2'!$F345,'NEI Lookups'!F:F)</f>
        <v>0</v>
      </c>
      <c r="AU345" s="299">
        <f>SUMIF('NEI Lookups'!$L:$L,'Inputs Yr 2'!$F345,'NEI Lookups'!G:G)+SUMIF('NEI Lookups'!$M:$M,'Inputs Yr 2'!$F345,'NEI Lookups'!G:G)+SUMIF('NEI Lookups'!$N:$N,'Inputs Yr 2'!$F345,'NEI Lookups'!G:G)+SUMIF('NEI Lookups'!$O:$O,'Inputs Yr 2'!$F345,'NEI Lookups'!G:G)+SUMIF('NEI Lookups'!$P:$P,'Inputs Yr 2'!$F345,'NEI Lookups'!G:G)+SUMIF('NEI Lookups'!$Q:$Q,'Inputs Yr 2'!$F345,'NEI Lookups'!G:G)+SUMIF('NEI Lookups'!$R:$R,'Inputs Yr 2'!$F345,'NEI Lookups'!G:G)+SUMIF('NEI Lookups'!$S:$S,'Inputs Yr 2'!$F345,'NEI Lookups'!G:G)+SUMIF('NEI Lookups'!$T:$T,'Inputs Yr 2'!$F345,'NEI Lookups'!G:G)</f>
        <v>0</v>
      </c>
      <c r="AV345" s="299">
        <f>SUMIF('NEI Lookups'!$L:$L,'Inputs Yr 2'!$F345,'NEI Lookups'!H:H)+SUMIF('NEI Lookups'!$M:$M,'Inputs Yr 2'!$F345,'NEI Lookups'!H:H)+SUMIF('NEI Lookups'!$N:$N,'Inputs Yr 2'!$F345,'NEI Lookups'!H:H)+SUMIF('NEI Lookups'!$O:$O,'Inputs Yr 2'!$F345,'NEI Lookups'!H:H)+SUMIF('NEI Lookups'!$P:$P,'Inputs Yr 2'!$F345,'NEI Lookups'!H:H)+SUMIF('NEI Lookups'!$Q:$Q,'Inputs Yr 2'!$F345,'NEI Lookups'!H:H)+SUMIF('NEI Lookups'!$R:$R,'Inputs Yr 2'!$F345,'NEI Lookups'!H:H)+SUMIF('NEI Lookups'!$S:$S,'Inputs Yr 2'!$F345,'NEI Lookups'!H:H)+SUMIF('NEI Lookups'!$T:$T,'Inputs Yr 2'!$F345,'NEI Lookups'!H:H)</f>
        <v>0</v>
      </c>
      <c r="AW345" s="299">
        <f>SUMIF('NEI Lookups'!$L:$L,'Inputs Yr 2'!$F345,'NEI Lookups'!I:I)+SUMIF('NEI Lookups'!$M:$M,'Inputs Yr 2'!$F345,'NEI Lookups'!I:I)+SUMIF('NEI Lookups'!$N:$N,'Inputs Yr 2'!$F345,'NEI Lookups'!I:I)+SUMIF('NEI Lookups'!$O:$O,'Inputs Yr 2'!$F345,'NEI Lookups'!I:I)+SUMIF('NEI Lookups'!$P:$P,'Inputs Yr 2'!$F345,'NEI Lookups'!I:I)+SUMIF('NEI Lookups'!$Q:$Q,'Inputs Yr 2'!$F345,'NEI Lookups'!I:I)+SUMIF('NEI Lookups'!$R:$R,'Inputs Yr 2'!$F345,'NEI Lookups'!I:I)+SUMIF('NEI Lookups'!$S:$S,'Inputs Yr 2'!$F345,'NEI Lookups'!I:I)+SUMIF('NEI Lookups'!$T:$T,'Inputs Yr 2'!$F345,'NEI Lookups'!I:I)</f>
        <v>0</v>
      </c>
      <c r="AX345" s="299">
        <f>SUMIF('NEI Lookups'!$L:$L,'Inputs Yr 2'!$F345,'NEI Lookups'!J:J)+SUMIF('NEI Lookups'!$M:$M,'Inputs Yr 2'!$F345,'NEI Lookups'!J:J)+SUMIF('NEI Lookups'!$N:$N,'Inputs Yr 2'!$F345,'NEI Lookups'!J:J)+SUMIF('NEI Lookups'!$O:$O,'Inputs Yr 2'!$F345,'NEI Lookups'!J:J)+SUMIF('NEI Lookups'!$P:$P,'Inputs Yr 2'!$F345,'NEI Lookups'!J:J)+SUMIF('NEI Lookups'!$Q:$Q,'Inputs Yr 2'!$F345,'NEI Lookups'!J:J)+SUMIF('NEI Lookups'!$R:$R,'Inputs Yr 2'!$F345,'NEI Lookups'!J:J)+SUMIF('NEI Lookups'!$S:$S,'Inputs Yr 2'!$F345,'NEI Lookups'!J:J)+SUMIF('NEI Lookups'!$T:$T,'Inputs Yr 2'!$F345,'NEI Lookups'!J:J)</f>
        <v>0</v>
      </c>
      <c r="AY345" s="930" t="e">
        <f>'Calculations Yr 2'!CP345/'Calculations Yr 2'!I345</f>
        <v>#VALUE!</v>
      </c>
    </row>
    <row r="346" spans="1:51" s="8" customFormat="1">
      <c r="A346" s="145" t="s">
        <v>83</v>
      </c>
      <c r="B346" s="132" t="s">
        <v>870</v>
      </c>
      <c r="C346" s="132" t="s">
        <v>912</v>
      </c>
      <c r="D346" s="98"/>
      <c r="E346" s="98" t="s">
        <v>728</v>
      </c>
      <c r="F346" s="150" t="s">
        <v>1286</v>
      </c>
      <c r="G346" s="145" t="s">
        <v>1247</v>
      </c>
      <c r="H346" s="927">
        <v>0</v>
      </c>
      <c r="I346" s="232">
        <v>0</v>
      </c>
      <c r="J346" s="977"/>
      <c r="K346" s="966"/>
      <c r="L346" s="888">
        <f t="shared" si="138"/>
        <v>0</v>
      </c>
      <c r="M346" s="978">
        <v>0</v>
      </c>
      <c r="N346" s="978">
        <v>0</v>
      </c>
      <c r="O346" s="978">
        <v>0</v>
      </c>
      <c r="P346" s="889">
        <v>1</v>
      </c>
      <c r="Q346" s="978">
        <v>0</v>
      </c>
      <c r="R346" s="178">
        <v>1</v>
      </c>
      <c r="S346" s="178">
        <v>1</v>
      </c>
      <c r="T346" s="178">
        <v>1</v>
      </c>
      <c r="U346" s="978">
        <v>0</v>
      </c>
      <c r="V346" s="978">
        <v>0</v>
      </c>
      <c r="W346" s="179"/>
      <c r="X346" s="937" t="s">
        <v>653</v>
      </c>
      <c r="Y346" s="299">
        <f>IFERROR(VLOOKUP($X346,'Demand Lookups'!$A$5:$K$101,9,0), 0)</f>
        <v>0</v>
      </c>
      <c r="Z346" s="922" t="str">
        <f>IFERROR(VLOOKUP(X346,'Demand Lookups'!$A$5:$B$101,2,0),0)</f>
        <v>Non-Electric Measures</v>
      </c>
      <c r="AA346" s="722">
        <f>IF(ISNA(VLOOKUP($X346,'Demand Lookups'!$A$5:$K$81,3,0)),0,VLOOKUP($X346,'Demand Lookups'!$A$5:$K$81,3,0))</f>
        <v>0</v>
      </c>
      <c r="AB346" s="722">
        <f>IF(ISNA(VLOOKUP($X346,'Demand Lookups'!$A$5:$K$81,4,0)),0,VLOOKUP($X346,'Demand Lookups'!$A$5:$K$81,4,0))</f>
        <v>0</v>
      </c>
      <c r="AC346" s="722">
        <f>IF(ISNA(VLOOKUP($X346,'Demand Lookups'!$A$5:$K$81,5,0)),0,VLOOKUP($X346,'Demand Lookups'!$A$5:$K$81,5,0))</f>
        <v>0</v>
      </c>
      <c r="AD346" s="723">
        <f>IF(ISNA(VLOOKUP($X346,'Demand Lookups'!$A$5:$K$81,6,0)),0,VLOOKUP($X346,'Demand Lookups'!$A$5:$K$81,6,0))</f>
        <v>0</v>
      </c>
      <c r="AE346" s="724">
        <f t="shared" si="143"/>
        <v>0</v>
      </c>
      <c r="AF346" s="723">
        <f>ROUND(IF(ISNA(VLOOKUP($X346,'Demand Lookups'!$A$5:$K$82,10,0)),0,(VLOOKUP($X346,'Demand Lookups'!$A$5:$K$82,10,0))),2)</f>
        <v>0</v>
      </c>
      <c r="AG346" s="723">
        <f>ROUND(IF(ISNA(VLOOKUP($X346,'Demand Lookups'!$A$5:$K$82,11,0)),0,VLOOKUP($X346,'Demand Lookups'!$A$5:$K$82,11,0)),2)</f>
        <v>0</v>
      </c>
      <c r="AH346" s="648">
        <f t="shared" si="144"/>
        <v>0</v>
      </c>
      <c r="AI346" s="648">
        <f t="shared" si="145"/>
        <v>0</v>
      </c>
      <c r="AJ346" s="167" t="s">
        <v>87</v>
      </c>
      <c r="AK346" s="866">
        <v>0</v>
      </c>
      <c r="AL346" s="167"/>
      <c r="AM346" s="168"/>
      <c r="AN346" s="167"/>
      <c r="AO346" s="168"/>
      <c r="AP346" s="167"/>
      <c r="AQ346" s="171"/>
      <c r="AR346" s="171"/>
      <c r="AS346" s="299">
        <f>SUMIF('NEI Lookups'!$L:$L,'Inputs Yr 2'!$F346,'NEI Lookups'!E:E)+SUMIF('NEI Lookups'!$M:$M,'Inputs Yr 2'!$F346,'NEI Lookups'!E:E)+SUMIF('NEI Lookups'!$N:$N,'Inputs Yr 2'!$F346,'NEI Lookups'!E:E)+SUMIF('NEI Lookups'!$O:$O,'Inputs Yr 2'!$F346,'NEI Lookups'!E:E)+SUMIF('NEI Lookups'!$P:$P,'Inputs Yr 2'!$F346,'NEI Lookups'!E:E)+SUMIF('NEI Lookups'!$Q:$Q,'Inputs Yr 2'!$F346,'NEI Lookups'!E:E)+SUMIF('NEI Lookups'!$R:$R,'Inputs Yr 2'!$F346,'NEI Lookups'!E:E)+SUMIF('NEI Lookups'!$S:$S,'Inputs Yr 2'!$F346,'NEI Lookups'!E:E)+SUMIF('NEI Lookups'!$T:$T,'Inputs Yr 2'!$F346,'NEI Lookups'!E:E)</f>
        <v>0</v>
      </c>
      <c r="AT346" s="299">
        <f>SUMIF('NEI Lookups'!$L:$L,'Inputs Yr 2'!$F346,'NEI Lookups'!F:F)+SUMIF('NEI Lookups'!$M:$M,'Inputs Yr 2'!$F346,'NEI Lookups'!F:F)+SUMIF('NEI Lookups'!$N:$N,'Inputs Yr 2'!$F346,'NEI Lookups'!F:F)+SUMIF('NEI Lookups'!$O:$O,'Inputs Yr 2'!$F346,'NEI Lookups'!F:F)+SUMIF('NEI Lookups'!$P:$P,'Inputs Yr 2'!$F346,'NEI Lookups'!F:F)+SUMIF('NEI Lookups'!$Q:$Q,'Inputs Yr 2'!$F346,'NEI Lookups'!F:F)+SUMIF('NEI Lookups'!$R:$R,'Inputs Yr 2'!$F346,'NEI Lookups'!F:F)+SUMIF('NEI Lookups'!$S:$S,'Inputs Yr 2'!$F346,'NEI Lookups'!F:F)+SUMIF('NEI Lookups'!$T:$T,'Inputs Yr 2'!$F346,'NEI Lookups'!F:F)</f>
        <v>0</v>
      </c>
      <c r="AU346" s="299">
        <f>SUMIF('NEI Lookups'!$L:$L,'Inputs Yr 2'!$F346,'NEI Lookups'!G:G)+SUMIF('NEI Lookups'!$M:$M,'Inputs Yr 2'!$F346,'NEI Lookups'!G:G)+SUMIF('NEI Lookups'!$N:$N,'Inputs Yr 2'!$F346,'NEI Lookups'!G:G)+SUMIF('NEI Lookups'!$O:$O,'Inputs Yr 2'!$F346,'NEI Lookups'!G:G)+SUMIF('NEI Lookups'!$P:$P,'Inputs Yr 2'!$F346,'NEI Lookups'!G:G)+SUMIF('NEI Lookups'!$Q:$Q,'Inputs Yr 2'!$F346,'NEI Lookups'!G:G)+SUMIF('NEI Lookups'!$R:$R,'Inputs Yr 2'!$F346,'NEI Lookups'!G:G)+SUMIF('NEI Lookups'!$S:$S,'Inputs Yr 2'!$F346,'NEI Lookups'!G:G)+SUMIF('NEI Lookups'!$T:$T,'Inputs Yr 2'!$F346,'NEI Lookups'!G:G)</f>
        <v>0</v>
      </c>
      <c r="AV346" s="299">
        <f>SUMIF('NEI Lookups'!$L:$L,'Inputs Yr 2'!$F346,'NEI Lookups'!H:H)+SUMIF('NEI Lookups'!$M:$M,'Inputs Yr 2'!$F346,'NEI Lookups'!H:H)+SUMIF('NEI Lookups'!$N:$N,'Inputs Yr 2'!$F346,'NEI Lookups'!H:H)+SUMIF('NEI Lookups'!$O:$O,'Inputs Yr 2'!$F346,'NEI Lookups'!H:H)+SUMIF('NEI Lookups'!$P:$P,'Inputs Yr 2'!$F346,'NEI Lookups'!H:H)+SUMIF('NEI Lookups'!$Q:$Q,'Inputs Yr 2'!$F346,'NEI Lookups'!H:H)+SUMIF('NEI Lookups'!$R:$R,'Inputs Yr 2'!$F346,'NEI Lookups'!H:H)+SUMIF('NEI Lookups'!$S:$S,'Inputs Yr 2'!$F346,'NEI Lookups'!H:H)+SUMIF('NEI Lookups'!$T:$T,'Inputs Yr 2'!$F346,'NEI Lookups'!H:H)</f>
        <v>0</v>
      </c>
      <c r="AW346" s="299">
        <f>SUMIF('NEI Lookups'!$L:$L,'Inputs Yr 2'!$F346,'NEI Lookups'!I:I)+SUMIF('NEI Lookups'!$M:$M,'Inputs Yr 2'!$F346,'NEI Lookups'!I:I)+SUMIF('NEI Lookups'!$N:$N,'Inputs Yr 2'!$F346,'NEI Lookups'!I:I)+SUMIF('NEI Lookups'!$O:$O,'Inputs Yr 2'!$F346,'NEI Lookups'!I:I)+SUMIF('NEI Lookups'!$P:$P,'Inputs Yr 2'!$F346,'NEI Lookups'!I:I)+SUMIF('NEI Lookups'!$Q:$Q,'Inputs Yr 2'!$F346,'NEI Lookups'!I:I)+SUMIF('NEI Lookups'!$R:$R,'Inputs Yr 2'!$F346,'NEI Lookups'!I:I)+SUMIF('NEI Lookups'!$S:$S,'Inputs Yr 2'!$F346,'NEI Lookups'!I:I)+SUMIF('NEI Lookups'!$T:$T,'Inputs Yr 2'!$F346,'NEI Lookups'!I:I)</f>
        <v>0</v>
      </c>
      <c r="AX346" s="299">
        <f>SUMIF('NEI Lookups'!$L:$L,'Inputs Yr 2'!$F346,'NEI Lookups'!J:J)+SUMIF('NEI Lookups'!$M:$M,'Inputs Yr 2'!$F346,'NEI Lookups'!J:J)+SUMIF('NEI Lookups'!$N:$N,'Inputs Yr 2'!$F346,'NEI Lookups'!J:J)+SUMIF('NEI Lookups'!$O:$O,'Inputs Yr 2'!$F346,'NEI Lookups'!J:J)+SUMIF('NEI Lookups'!$P:$P,'Inputs Yr 2'!$F346,'NEI Lookups'!J:J)+SUMIF('NEI Lookups'!$Q:$Q,'Inputs Yr 2'!$F346,'NEI Lookups'!J:J)+SUMIF('NEI Lookups'!$R:$R,'Inputs Yr 2'!$F346,'NEI Lookups'!J:J)+SUMIF('NEI Lookups'!$S:$S,'Inputs Yr 2'!$F346,'NEI Lookups'!J:J)+SUMIF('NEI Lookups'!$T:$T,'Inputs Yr 2'!$F346,'NEI Lookups'!J:J)</f>
        <v>0</v>
      </c>
      <c r="AY346" s="930" t="e">
        <f>'Calculations Yr 2'!CP346/'Calculations Yr 2'!I346</f>
        <v>#VALUE!</v>
      </c>
    </row>
    <row r="347" spans="1:51" s="8" customFormat="1" ht="15.75">
      <c r="A347" s="145" t="s">
        <v>83</v>
      </c>
      <c r="B347" s="132" t="s">
        <v>870</v>
      </c>
      <c r="C347" s="132" t="s">
        <v>907</v>
      </c>
      <c r="D347" s="902" t="s">
        <v>1532</v>
      </c>
      <c r="E347" s="150" t="s">
        <v>1306</v>
      </c>
      <c r="F347" s="150" t="s">
        <v>1287</v>
      </c>
      <c r="G347" s="145" t="s">
        <v>89</v>
      </c>
      <c r="H347" s="927">
        <v>67</v>
      </c>
      <c r="I347" s="232">
        <v>7</v>
      </c>
      <c r="J347" s="964">
        <v>33.649253731343286</v>
      </c>
      <c r="K347" s="166">
        <v>33.649253731343286</v>
      </c>
      <c r="L347" s="888">
        <f t="shared" si="138"/>
        <v>0</v>
      </c>
      <c r="M347" s="978">
        <v>0</v>
      </c>
      <c r="N347" s="978">
        <v>0</v>
      </c>
      <c r="O347" s="978">
        <v>0</v>
      </c>
      <c r="P347" s="889">
        <f t="shared" si="146"/>
        <v>1</v>
      </c>
      <c r="Q347" s="978">
        <v>1</v>
      </c>
      <c r="R347" s="178">
        <v>1</v>
      </c>
      <c r="S347" s="178">
        <v>1</v>
      </c>
      <c r="T347" s="178">
        <v>1</v>
      </c>
      <c r="U347" s="978">
        <v>1</v>
      </c>
      <c r="V347" s="978">
        <v>1</v>
      </c>
      <c r="W347" s="179"/>
      <c r="X347" s="937" t="s">
        <v>653</v>
      </c>
      <c r="Y347" s="299">
        <f>IFERROR(VLOOKUP($X347,'Demand Lookups'!$A$5:$K$101,9,0), 0)</f>
        <v>0</v>
      </c>
      <c r="Z347" s="922" t="str">
        <f>IFERROR(VLOOKUP(X347,'Demand Lookups'!$A$5:$B$101,2,0),0)</f>
        <v>Non-Electric Measures</v>
      </c>
      <c r="AA347" s="722">
        <f>IF(ISNA(VLOOKUP($X347,'Demand Lookups'!$A$5:$K$81,3,0)),0,VLOOKUP($X347,'Demand Lookups'!$A$5:$K$81,3,0))</f>
        <v>0</v>
      </c>
      <c r="AB347" s="722">
        <f>IF(ISNA(VLOOKUP($X347,'Demand Lookups'!$A$5:$K$81,4,0)),0,VLOOKUP($X347,'Demand Lookups'!$A$5:$K$81,4,0))</f>
        <v>0</v>
      </c>
      <c r="AC347" s="722">
        <f>IF(ISNA(VLOOKUP($X347,'Demand Lookups'!$A$5:$K$81,5,0)),0,VLOOKUP($X347,'Demand Lookups'!$A$5:$K$81,5,0))</f>
        <v>0</v>
      </c>
      <c r="AD347" s="723">
        <f>IF(ISNA(VLOOKUP($X347,'Demand Lookups'!$A$5:$K$81,6,0)),0,VLOOKUP($X347,'Demand Lookups'!$A$5:$K$81,6,0))</f>
        <v>0</v>
      </c>
      <c r="AE347" s="724">
        <f t="shared" si="143"/>
        <v>0</v>
      </c>
      <c r="AF347" s="723">
        <f>ROUND(IF(ISNA(VLOOKUP($X347,'Demand Lookups'!$A$5:$K$82,10,0)),0,(VLOOKUP($X347,'Demand Lookups'!$A$5:$K$82,10,0))),2)</f>
        <v>0</v>
      </c>
      <c r="AG347" s="723">
        <f>ROUND(IF(ISNA(VLOOKUP($X347,'Demand Lookups'!$A$5:$K$82,11,0)),0,VLOOKUP($X347,'Demand Lookups'!$A$5:$K$82,11,0)),2)</f>
        <v>0</v>
      </c>
      <c r="AH347" s="648">
        <f t="shared" si="144"/>
        <v>0</v>
      </c>
      <c r="AI347" s="648">
        <f t="shared" si="145"/>
        <v>0</v>
      </c>
      <c r="AJ347" s="167" t="s">
        <v>40</v>
      </c>
      <c r="AK347" s="866">
        <v>1.6600000000000001</v>
      </c>
      <c r="AL347" s="167"/>
      <c r="AM347" s="168"/>
      <c r="AN347" s="167"/>
      <c r="AO347" s="168"/>
      <c r="AP347" s="171">
        <v>2723</v>
      </c>
      <c r="AQ347" s="171"/>
      <c r="AR347" s="171"/>
      <c r="AS347" s="299">
        <f>SUMIF('NEI Lookups'!$L:$L,'Inputs Yr 2'!$F347,'NEI Lookups'!E:E)+SUMIF('NEI Lookups'!$M:$M,'Inputs Yr 2'!$F347,'NEI Lookups'!E:E)+SUMIF('NEI Lookups'!$N:$N,'Inputs Yr 2'!$F347,'NEI Lookups'!E:E)+SUMIF('NEI Lookups'!$O:$O,'Inputs Yr 2'!$F347,'NEI Lookups'!E:E)+SUMIF('NEI Lookups'!$P:$P,'Inputs Yr 2'!$F347,'NEI Lookups'!E:E)+SUMIF('NEI Lookups'!$Q:$Q,'Inputs Yr 2'!$F347,'NEI Lookups'!E:E)+SUMIF('NEI Lookups'!$R:$R,'Inputs Yr 2'!$F347,'NEI Lookups'!E:E)+SUMIF('NEI Lookups'!$S:$S,'Inputs Yr 2'!$F347,'NEI Lookups'!E:E)+SUMIF('NEI Lookups'!$T:$T,'Inputs Yr 2'!$F347,'NEI Lookups'!E:E)</f>
        <v>0.58000000000000007</v>
      </c>
      <c r="AT347" s="299">
        <f>SUMIF('NEI Lookups'!$L:$L,'Inputs Yr 2'!$F347,'NEI Lookups'!F:F)+SUMIF('NEI Lookups'!$M:$M,'Inputs Yr 2'!$F347,'NEI Lookups'!F:F)+SUMIF('NEI Lookups'!$N:$N,'Inputs Yr 2'!$F347,'NEI Lookups'!F:F)+SUMIF('NEI Lookups'!$O:$O,'Inputs Yr 2'!$F347,'NEI Lookups'!F:F)+SUMIF('NEI Lookups'!$P:$P,'Inputs Yr 2'!$F347,'NEI Lookups'!F:F)+SUMIF('NEI Lookups'!$Q:$Q,'Inputs Yr 2'!$F347,'NEI Lookups'!F:F)+SUMIF('NEI Lookups'!$R:$R,'Inputs Yr 2'!$F347,'NEI Lookups'!F:F)+SUMIF('NEI Lookups'!$S:$S,'Inputs Yr 2'!$F347,'NEI Lookups'!F:F)+SUMIF('NEI Lookups'!$T:$T,'Inputs Yr 2'!$F347,'NEI Lookups'!F:F)</f>
        <v>0</v>
      </c>
      <c r="AU347" s="299">
        <f>SUMIF('NEI Lookups'!$L:$L,'Inputs Yr 2'!$F347,'NEI Lookups'!G:G)+SUMIF('NEI Lookups'!$M:$M,'Inputs Yr 2'!$F347,'NEI Lookups'!G:G)+SUMIF('NEI Lookups'!$N:$N,'Inputs Yr 2'!$F347,'NEI Lookups'!G:G)+SUMIF('NEI Lookups'!$O:$O,'Inputs Yr 2'!$F347,'NEI Lookups'!G:G)+SUMIF('NEI Lookups'!$P:$P,'Inputs Yr 2'!$F347,'NEI Lookups'!G:G)+SUMIF('NEI Lookups'!$Q:$Q,'Inputs Yr 2'!$F347,'NEI Lookups'!G:G)+SUMIF('NEI Lookups'!$R:$R,'Inputs Yr 2'!$F347,'NEI Lookups'!G:G)+SUMIF('NEI Lookups'!$S:$S,'Inputs Yr 2'!$F347,'NEI Lookups'!G:G)+SUMIF('NEI Lookups'!$T:$T,'Inputs Yr 2'!$F347,'NEI Lookups'!G:G)</f>
        <v>0</v>
      </c>
      <c r="AV347" s="299">
        <f>SUMIF('NEI Lookups'!$L:$L,'Inputs Yr 2'!$F347,'NEI Lookups'!H:H)+SUMIF('NEI Lookups'!$M:$M,'Inputs Yr 2'!$F347,'NEI Lookups'!H:H)+SUMIF('NEI Lookups'!$N:$N,'Inputs Yr 2'!$F347,'NEI Lookups'!H:H)+SUMIF('NEI Lookups'!$O:$O,'Inputs Yr 2'!$F347,'NEI Lookups'!H:H)+SUMIF('NEI Lookups'!$P:$P,'Inputs Yr 2'!$F347,'NEI Lookups'!H:H)+SUMIF('NEI Lookups'!$Q:$Q,'Inputs Yr 2'!$F347,'NEI Lookups'!H:H)+SUMIF('NEI Lookups'!$R:$R,'Inputs Yr 2'!$F347,'NEI Lookups'!H:H)+SUMIF('NEI Lookups'!$S:$S,'Inputs Yr 2'!$F347,'NEI Lookups'!H:H)+SUMIF('NEI Lookups'!$T:$T,'Inputs Yr 2'!$F347,'NEI Lookups'!H:H)</f>
        <v>0</v>
      </c>
      <c r="AW347" s="299">
        <f>SUMIF('NEI Lookups'!$L:$L,'Inputs Yr 2'!$F347,'NEI Lookups'!I:I)+SUMIF('NEI Lookups'!$M:$M,'Inputs Yr 2'!$F347,'NEI Lookups'!I:I)+SUMIF('NEI Lookups'!$N:$N,'Inputs Yr 2'!$F347,'NEI Lookups'!I:I)+SUMIF('NEI Lookups'!$O:$O,'Inputs Yr 2'!$F347,'NEI Lookups'!I:I)+SUMIF('NEI Lookups'!$P:$P,'Inputs Yr 2'!$F347,'NEI Lookups'!I:I)+SUMIF('NEI Lookups'!$Q:$Q,'Inputs Yr 2'!$F347,'NEI Lookups'!I:I)+SUMIF('NEI Lookups'!$R:$R,'Inputs Yr 2'!$F347,'NEI Lookups'!I:I)+SUMIF('NEI Lookups'!$S:$S,'Inputs Yr 2'!$F347,'NEI Lookups'!I:I)+SUMIF('NEI Lookups'!$T:$T,'Inputs Yr 2'!$F347,'NEI Lookups'!I:I)</f>
        <v>0</v>
      </c>
      <c r="AX347" s="299">
        <f>SUMIF('NEI Lookups'!$L:$L,'Inputs Yr 2'!$F347,'NEI Lookups'!J:J)+SUMIF('NEI Lookups'!$M:$M,'Inputs Yr 2'!$F347,'NEI Lookups'!J:J)+SUMIF('NEI Lookups'!$N:$N,'Inputs Yr 2'!$F347,'NEI Lookups'!J:J)+SUMIF('NEI Lookups'!$O:$O,'Inputs Yr 2'!$F347,'NEI Lookups'!J:J)+SUMIF('NEI Lookups'!$P:$P,'Inputs Yr 2'!$F347,'NEI Lookups'!J:J)+SUMIF('NEI Lookups'!$Q:$Q,'Inputs Yr 2'!$F347,'NEI Lookups'!J:J)+SUMIF('NEI Lookups'!$R:$R,'Inputs Yr 2'!$F347,'NEI Lookups'!J:J)+SUMIF('NEI Lookups'!$S:$S,'Inputs Yr 2'!$F347,'NEI Lookups'!J:J)+SUMIF('NEI Lookups'!$T:$T,'Inputs Yr 2'!$F347,'NEI Lookups'!J:J)</f>
        <v>0</v>
      </c>
      <c r="AY347" s="930">
        <f>'Calculations Yr 2'!CP347/'Calculations Yr 2'!I347</f>
        <v>9.2376876586730354</v>
      </c>
    </row>
    <row r="348" spans="1:51" s="8" customFormat="1">
      <c r="A348" s="145" t="s">
        <v>83</v>
      </c>
      <c r="B348" s="132" t="s">
        <v>870</v>
      </c>
      <c r="C348" s="132" t="s">
        <v>912</v>
      </c>
      <c r="D348" s="98"/>
      <c r="E348" s="150" t="s">
        <v>1330</v>
      </c>
      <c r="F348" s="150" t="s">
        <v>1288</v>
      </c>
      <c r="G348" s="145" t="s">
        <v>89</v>
      </c>
      <c r="H348" s="927">
        <v>0</v>
      </c>
      <c r="I348" s="232">
        <v>0</v>
      </c>
      <c r="J348" s="964"/>
      <c r="K348" s="166"/>
      <c r="L348" s="888">
        <f t="shared" si="138"/>
        <v>0</v>
      </c>
      <c r="M348" s="978">
        <v>0</v>
      </c>
      <c r="N348" s="978">
        <v>0</v>
      </c>
      <c r="O348" s="978">
        <v>0</v>
      </c>
      <c r="P348" s="889">
        <v>0.85</v>
      </c>
      <c r="Q348" s="978">
        <v>0</v>
      </c>
      <c r="R348" s="178">
        <v>1</v>
      </c>
      <c r="S348" s="178">
        <v>1</v>
      </c>
      <c r="T348" s="178">
        <v>1</v>
      </c>
      <c r="U348" s="978">
        <v>0</v>
      </c>
      <c r="V348" s="978">
        <v>0</v>
      </c>
      <c r="W348" s="179"/>
      <c r="X348" s="937" t="s">
        <v>653</v>
      </c>
      <c r="Y348" s="299">
        <f>IFERROR(VLOOKUP($X348,'Demand Lookups'!$A$5:$K$101,9,0), 0)</f>
        <v>0</v>
      </c>
      <c r="Z348" s="922" t="str">
        <f>IFERROR(VLOOKUP(X348,'Demand Lookups'!$A$5:$B$101,2,0),0)</f>
        <v>Non-Electric Measures</v>
      </c>
      <c r="AA348" s="722">
        <f>IF(ISNA(VLOOKUP($X348,'Demand Lookups'!$A$5:$K$81,3,0)),0,VLOOKUP($X348,'Demand Lookups'!$A$5:$K$81,3,0))</f>
        <v>0</v>
      </c>
      <c r="AB348" s="722">
        <f>IF(ISNA(VLOOKUP($X348,'Demand Lookups'!$A$5:$K$81,4,0)),0,VLOOKUP($X348,'Demand Lookups'!$A$5:$K$81,4,0))</f>
        <v>0</v>
      </c>
      <c r="AC348" s="722">
        <f>IF(ISNA(VLOOKUP($X348,'Demand Lookups'!$A$5:$K$81,5,0)),0,VLOOKUP($X348,'Demand Lookups'!$A$5:$K$81,5,0))</f>
        <v>0</v>
      </c>
      <c r="AD348" s="723">
        <f>IF(ISNA(VLOOKUP($X348,'Demand Lookups'!$A$5:$K$81,6,0)),0,VLOOKUP($X348,'Demand Lookups'!$A$5:$K$81,6,0))</f>
        <v>0</v>
      </c>
      <c r="AE348" s="724">
        <f t="shared" si="143"/>
        <v>0</v>
      </c>
      <c r="AF348" s="723">
        <f>ROUND(IF(ISNA(VLOOKUP($X348,'Demand Lookups'!$A$5:$K$82,10,0)),0,(VLOOKUP($X348,'Demand Lookups'!$A$5:$K$82,10,0))),2)</f>
        <v>0</v>
      </c>
      <c r="AG348" s="723">
        <f>ROUND(IF(ISNA(VLOOKUP($X348,'Demand Lookups'!$A$5:$K$82,11,0)),0,VLOOKUP($X348,'Demand Lookups'!$A$5:$K$82,11,0)),2)</f>
        <v>0</v>
      </c>
      <c r="AH348" s="648">
        <f t="shared" si="144"/>
        <v>0</v>
      </c>
      <c r="AI348" s="648">
        <f t="shared" si="145"/>
        <v>0</v>
      </c>
      <c r="AJ348" s="167" t="s">
        <v>406</v>
      </c>
      <c r="AK348" s="866">
        <v>0</v>
      </c>
      <c r="AL348" s="167"/>
      <c r="AM348" s="168"/>
      <c r="AN348" s="167"/>
      <c r="AO348" s="168"/>
      <c r="AP348" s="171">
        <v>558</v>
      </c>
      <c r="AQ348" s="171"/>
      <c r="AR348" s="171"/>
      <c r="AS348" s="299">
        <f>SUMIF('NEI Lookups'!$L:$L,'Inputs Yr 2'!$F348,'NEI Lookups'!E:E)+SUMIF('NEI Lookups'!$M:$M,'Inputs Yr 2'!$F348,'NEI Lookups'!E:E)+SUMIF('NEI Lookups'!$N:$N,'Inputs Yr 2'!$F348,'NEI Lookups'!E:E)+SUMIF('NEI Lookups'!$O:$O,'Inputs Yr 2'!$F348,'NEI Lookups'!E:E)+SUMIF('NEI Lookups'!$P:$P,'Inputs Yr 2'!$F348,'NEI Lookups'!E:E)+SUMIF('NEI Lookups'!$Q:$Q,'Inputs Yr 2'!$F348,'NEI Lookups'!E:E)+SUMIF('NEI Lookups'!$R:$R,'Inputs Yr 2'!$F348,'NEI Lookups'!E:E)+SUMIF('NEI Lookups'!$S:$S,'Inputs Yr 2'!$F348,'NEI Lookups'!E:E)+SUMIF('NEI Lookups'!$T:$T,'Inputs Yr 2'!$F348,'NEI Lookups'!E:E)</f>
        <v>0</v>
      </c>
      <c r="AT348" s="299">
        <f>SUMIF('NEI Lookups'!$L:$L,'Inputs Yr 2'!$F348,'NEI Lookups'!F:F)+SUMIF('NEI Lookups'!$M:$M,'Inputs Yr 2'!$F348,'NEI Lookups'!F:F)+SUMIF('NEI Lookups'!$N:$N,'Inputs Yr 2'!$F348,'NEI Lookups'!F:F)+SUMIF('NEI Lookups'!$O:$O,'Inputs Yr 2'!$F348,'NEI Lookups'!F:F)+SUMIF('NEI Lookups'!$P:$P,'Inputs Yr 2'!$F348,'NEI Lookups'!F:F)+SUMIF('NEI Lookups'!$Q:$Q,'Inputs Yr 2'!$F348,'NEI Lookups'!F:F)+SUMIF('NEI Lookups'!$R:$R,'Inputs Yr 2'!$F348,'NEI Lookups'!F:F)+SUMIF('NEI Lookups'!$S:$S,'Inputs Yr 2'!$F348,'NEI Lookups'!F:F)+SUMIF('NEI Lookups'!$T:$T,'Inputs Yr 2'!$F348,'NEI Lookups'!F:F)</f>
        <v>0</v>
      </c>
      <c r="AU348" s="299">
        <f>SUMIF('NEI Lookups'!$L:$L,'Inputs Yr 2'!$F348,'NEI Lookups'!G:G)+SUMIF('NEI Lookups'!$M:$M,'Inputs Yr 2'!$F348,'NEI Lookups'!G:G)+SUMIF('NEI Lookups'!$N:$N,'Inputs Yr 2'!$F348,'NEI Lookups'!G:G)+SUMIF('NEI Lookups'!$O:$O,'Inputs Yr 2'!$F348,'NEI Lookups'!G:G)+SUMIF('NEI Lookups'!$P:$P,'Inputs Yr 2'!$F348,'NEI Lookups'!G:G)+SUMIF('NEI Lookups'!$Q:$Q,'Inputs Yr 2'!$F348,'NEI Lookups'!G:G)+SUMIF('NEI Lookups'!$R:$R,'Inputs Yr 2'!$F348,'NEI Lookups'!G:G)+SUMIF('NEI Lookups'!$S:$S,'Inputs Yr 2'!$F348,'NEI Lookups'!G:G)+SUMIF('NEI Lookups'!$T:$T,'Inputs Yr 2'!$F348,'NEI Lookups'!G:G)</f>
        <v>0</v>
      </c>
      <c r="AV348" s="299">
        <f>SUMIF('NEI Lookups'!$L:$L,'Inputs Yr 2'!$F348,'NEI Lookups'!H:H)+SUMIF('NEI Lookups'!$M:$M,'Inputs Yr 2'!$F348,'NEI Lookups'!H:H)+SUMIF('NEI Lookups'!$N:$N,'Inputs Yr 2'!$F348,'NEI Lookups'!H:H)+SUMIF('NEI Lookups'!$O:$O,'Inputs Yr 2'!$F348,'NEI Lookups'!H:H)+SUMIF('NEI Lookups'!$P:$P,'Inputs Yr 2'!$F348,'NEI Lookups'!H:H)+SUMIF('NEI Lookups'!$Q:$Q,'Inputs Yr 2'!$F348,'NEI Lookups'!H:H)+SUMIF('NEI Lookups'!$R:$R,'Inputs Yr 2'!$F348,'NEI Lookups'!H:H)+SUMIF('NEI Lookups'!$S:$S,'Inputs Yr 2'!$F348,'NEI Lookups'!H:H)+SUMIF('NEI Lookups'!$T:$T,'Inputs Yr 2'!$F348,'NEI Lookups'!H:H)</f>
        <v>0</v>
      </c>
      <c r="AW348" s="299">
        <f>SUMIF('NEI Lookups'!$L:$L,'Inputs Yr 2'!$F348,'NEI Lookups'!I:I)+SUMIF('NEI Lookups'!$M:$M,'Inputs Yr 2'!$F348,'NEI Lookups'!I:I)+SUMIF('NEI Lookups'!$N:$N,'Inputs Yr 2'!$F348,'NEI Lookups'!I:I)+SUMIF('NEI Lookups'!$O:$O,'Inputs Yr 2'!$F348,'NEI Lookups'!I:I)+SUMIF('NEI Lookups'!$P:$P,'Inputs Yr 2'!$F348,'NEI Lookups'!I:I)+SUMIF('NEI Lookups'!$Q:$Q,'Inputs Yr 2'!$F348,'NEI Lookups'!I:I)+SUMIF('NEI Lookups'!$R:$R,'Inputs Yr 2'!$F348,'NEI Lookups'!I:I)+SUMIF('NEI Lookups'!$S:$S,'Inputs Yr 2'!$F348,'NEI Lookups'!I:I)+SUMIF('NEI Lookups'!$T:$T,'Inputs Yr 2'!$F348,'NEI Lookups'!I:I)</f>
        <v>0</v>
      </c>
      <c r="AX348" s="299">
        <f>SUMIF('NEI Lookups'!$L:$L,'Inputs Yr 2'!$F348,'NEI Lookups'!J:J)+SUMIF('NEI Lookups'!$M:$M,'Inputs Yr 2'!$F348,'NEI Lookups'!J:J)+SUMIF('NEI Lookups'!$N:$N,'Inputs Yr 2'!$F348,'NEI Lookups'!J:J)+SUMIF('NEI Lookups'!$O:$O,'Inputs Yr 2'!$F348,'NEI Lookups'!J:J)+SUMIF('NEI Lookups'!$P:$P,'Inputs Yr 2'!$F348,'NEI Lookups'!J:J)+SUMIF('NEI Lookups'!$Q:$Q,'Inputs Yr 2'!$F348,'NEI Lookups'!J:J)+SUMIF('NEI Lookups'!$R:$R,'Inputs Yr 2'!$F348,'NEI Lookups'!J:J)+SUMIF('NEI Lookups'!$S:$S,'Inputs Yr 2'!$F348,'NEI Lookups'!J:J)+SUMIF('NEI Lookups'!$T:$T,'Inputs Yr 2'!$F348,'NEI Lookups'!J:J)</f>
        <v>0</v>
      </c>
      <c r="AY348" s="930" t="e">
        <f>'Calculations Yr 2'!CP348/'Calculations Yr 2'!I348</f>
        <v>#VALUE!</v>
      </c>
    </row>
    <row r="349" spans="1:51" s="133" customFormat="1">
      <c r="A349" s="912" t="s">
        <v>83</v>
      </c>
      <c r="B349" s="132" t="s">
        <v>870</v>
      </c>
      <c r="C349" s="132" t="s">
        <v>912</v>
      </c>
      <c r="D349" s="98"/>
      <c r="E349" s="98" t="s">
        <v>736</v>
      </c>
      <c r="F349" s="150" t="s">
        <v>1289</v>
      </c>
      <c r="G349" s="145" t="s">
        <v>1247</v>
      </c>
      <c r="H349" s="927">
        <v>0</v>
      </c>
      <c r="I349" s="232">
        <v>0</v>
      </c>
      <c r="J349" s="964"/>
      <c r="K349" s="166"/>
      <c r="L349" s="888">
        <f t="shared" si="138"/>
        <v>0</v>
      </c>
      <c r="M349" s="978">
        <v>0</v>
      </c>
      <c r="N349" s="978">
        <v>0</v>
      </c>
      <c r="O349" s="978">
        <v>0</v>
      </c>
      <c r="P349" s="889">
        <v>0.76</v>
      </c>
      <c r="Q349" s="978">
        <v>0</v>
      </c>
      <c r="R349" s="178">
        <v>1</v>
      </c>
      <c r="S349" s="178">
        <v>1</v>
      </c>
      <c r="T349" s="178">
        <v>1</v>
      </c>
      <c r="U349" s="978">
        <v>0</v>
      </c>
      <c r="V349" s="978">
        <v>0</v>
      </c>
      <c r="W349" s="179"/>
      <c r="X349" s="97" t="s">
        <v>61</v>
      </c>
      <c r="Y349" s="299">
        <f>IFERROR(VLOOKUP($X349,'Demand Lookups'!$A$5:$K$101,9,0), 0)</f>
        <v>2.0660739342383619E-3</v>
      </c>
      <c r="Z349" s="922" t="str">
        <f>IFERROR(VLOOKUP(X349,'Demand Lookups'!$A$5:$B$101,2,0),0)</f>
        <v>Res Multi Family Electric Cooling (BUILDING_AC) Normal</v>
      </c>
      <c r="AA349" s="722">
        <f>IF(ISNA(VLOOKUP($X349,'Demand Lookups'!$A$5:$K$81,3,0)),0,VLOOKUP($X349,'Demand Lookups'!$A$5:$K$81,3,0))</f>
        <v>8.9473960760131505E-3</v>
      </c>
      <c r="AB349" s="722">
        <f>IF(ISNA(VLOOKUP($X349,'Demand Lookups'!$A$5:$K$81,4,0)),0,VLOOKUP($X349,'Demand Lookups'!$A$5:$K$81,4,0))</f>
        <v>4.2581477373051027E-2</v>
      </c>
      <c r="AC349" s="722">
        <f>IF(ISNA(VLOOKUP($X349,'Demand Lookups'!$A$5:$K$81,5,0)),0,VLOOKUP($X349,'Demand Lookups'!$A$5:$K$81,5,0))</f>
        <v>0.52714991710093428</v>
      </c>
      <c r="AD349" s="723">
        <f>IF(ISNA(VLOOKUP($X349,'Demand Lookups'!$A$5:$K$81,6,0)),0,VLOOKUP($X349,'Demand Lookups'!$A$5:$K$81,6,0))</f>
        <v>0.42132120944999413</v>
      </c>
      <c r="AE349" s="724">
        <f t="shared" si="143"/>
        <v>0</v>
      </c>
      <c r="AF349" s="723">
        <f>ROUND(IF(ISNA(VLOOKUP($X349,'Demand Lookups'!$A$5:$K$82,10,0)),0,(VLOOKUP($X349,'Demand Lookups'!$A$5:$K$82,10,0))),2)</f>
        <v>1</v>
      </c>
      <c r="AG349" s="723">
        <f>ROUND(IF(ISNA(VLOOKUP($X349,'Demand Lookups'!$A$5:$K$82,11,0)),0,VLOOKUP($X349,'Demand Lookups'!$A$5:$K$82,11,0)),2)</f>
        <v>0</v>
      </c>
      <c r="AH349" s="648">
        <f t="shared" si="144"/>
        <v>1</v>
      </c>
      <c r="AI349" s="648">
        <f t="shared" si="145"/>
        <v>1</v>
      </c>
      <c r="AJ349" s="167" t="s">
        <v>87</v>
      </c>
      <c r="AK349" s="866">
        <v>0</v>
      </c>
      <c r="AL349" s="167"/>
      <c r="AM349" s="168"/>
      <c r="AN349" s="167"/>
      <c r="AO349" s="168"/>
      <c r="AP349" s="167"/>
      <c r="AQ349" s="171"/>
      <c r="AR349" s="171"/>
      <c r="AS349" s="299">
        <f>SUMIF('NEI Lookups'!$L:$L,'Inputs Yr 2'!$F349,'NEI Lookups'!E:E)+SUMIF('NEI Lookups'!$M:$M,'Inputs Yr 2'!$F349,'NEI Lookups'!E:E)+SUMIF('NEI Lookups'!$N:$N,'Inputs Yr 2'!$F349,'NEI Lookups'!E:E)+SUMIF('NEI Lookups'!$O:$O,'Inputs Yr 2'!$F349,'NEI Lookups'!E:E)+SUMIF('NEI Lookups'!$P:$P,'Inputs Yr 2'!$F349,'NEI Lookups'!E:E)+SUMIF('NEI Lookups'!$Q:$Q,'Inputs Yr 2'!$F349,'NEI Lookups'!E:E)+SUMIF('NEI Lookups'!$R:$R,'Inputs Yr 2'!$F349,'NEI Lookups'!E:E)+SUMIF('NEI Lookups'!$S:$S,'Inputs Yr 2'!$F349,'NEI Lookups'!E:E)+SUMIF('NEI Lookups'!$T:$T,'Inputs Yr 2'!$F349,'NEI Lookups'!E:E)</f>
        <v>14.35</v>
      </c>
      <c r="AT349" s="299">
        <f>SUMIF('NEI Lookups'!$L:$L,'Inputs Yr 2'!$F349,'NEI Lookups'!F:F)+SUMIF('NEI Lookups'!$M:$M,'Inputs Yr 2'!$F349,'NEI Lookups'!F:F)+SUMIF('NEI Lookups'!$N:$N,'Inputs Yr 2'!$F349,'NEI Lookups'!F:F)+SUMIF('NEI Lookups'!$O:$O,'Inputs Yr 2'!$F349,'NEI Lookups'!F:F)+SUMIF('NEI Lookups'!$P:$P,'Inputs Yr 2'!$F349,'NEI Lookups'!F:F)+SUMIF('NEI Lookups'!$Q:$Q,'Inputs Yr 2'!$F349,'NEI Lookups'!F:F)+SUMIF('NEI Lookups'!$R:$R,'Inputs Yr 2'!$F349,'NEI Lookups'!F:F)+SUMIF('NEI Lookups'!$S:$S,'Inputs Yr 2'!$F349,'NEI Lookups'!F:F)+SUMIF('NEI Lookups'!$T:$T,'Inputs Yr 2'!$F349,'NEI Lookups'!F:F)</f>
        <v>0</v>
      </c>
      <c r="AU349" s="299">
        <f>SUMIF('NEI Lookups'!$L:$L,'Inputs Yr 2'!$F349,'NEI Lookups'!G:G)+SUMIF('NEI Lookups'!$M:$M,'Inputs Yr 2'!$F349,'NEI Lookups'!G:G)+SUMIF('NEI Lookups'!$N:$N,'Inputs Yr 2'!$F349,'NEI Lookups'!G:G)+SUMIF('NEI Lookups'!$O:$O,'Inputs Yr 2'!$F349,'NEI Lookups'!G:G)+SUMIF('NEI Lookups'!$P:$P,'Inputs Yr 2'!$F349,'NEI Lookups'!G:G)+SUMIF('NEI Lookups'!$Q:$Q,'Inputs Yr 2'!$F349,'NEI Lookups'!G:G)+SUMIF('NEI Lookups'!$R:$R,'Inputs Yr 2'!$F349,'NEI Lookups'!G:G)+SUMIF('NEI Lookups'!$S:$S,'Inputs Yr 2'!$F349,'NEI Lookups'!G:G)+SUMIF('NEI Lookups'!$T:$T,'Inputs Yr 2'!$F349,'NEI Lookups'!G:G)</f>
        <v>0</v>
      </c>
      <c r="AV349" s="299">
        <f>SUMIF('NEI Lookups'!$L:$L,'Inputs Yr 2'!$F349,'NEI Lookups'!H:H)+SUMIF('NEI Lookups'!$M:$M,'Inputs Yr 2'!$F349,'NEI Lookups'!H:H)+SUMIF('NEI Lookups'!$N:$N,'Inputs Yr 2'!$F349,'NEI Lookups'!H:H)+SUMIF('NEI Lookups'!$O:$O,'Inputs Yr 2'!$F349,'NEI Lookups'!H:H)+SUMIF('NEI Lookups'!$P:$P,'Inputs Yr 2'!$F349,'NEI Lookups'!H:H)+SUMIF('NEI Lookups'!$Q:$Q,'Inputs Yr 2'!$F349,'NEI Lookups'!H:H)+SUMIF('NEI Lookups'!$R:$R,'Inputs Yr 2'!$F349,'NEI Lookups'!H:H)+SUMIF('NEI Lookups'!$S:$S,'Inputs Yr 2'!$F349,'NEI Lookups'!H:H)+SUMIF('NEI Lookups'!$T:$T,'Inputs Yr 2'!$F349,'NEI Lookups'!H:H)</f>
        <v>0</v>
      </c>
      <c r="AW349" s="299">
        <f>SUMIF('NEI Lookups'!$L:$L,'Inputs Yr 2'!$F349,'NEI Lookups'!I:I)+SUMIF('NEI Lookups'!$M:$M,'Inputs Yr 2'!$F349,'NEI Lookups'!I:I)+SUMIF('NEI Lookups'!$N:$N,'Inputs Yr 2'!$F349,'NEI Lookups'!I:I)+SUMIF('NEI Lookups'!$O:$O,'Inputs Yr 2'!$F349,'NEI Lookups'!I:I)+SUMIF('NEI Lookups'!$P:$P,'Inputs Yr 2'!$F349,'NEI Lookups'!I:I)+SUMIF('NEI Lookups'!$Q:$Q,'Inputs Yr 2'!$F349,'NEI Lookups'!I:I)+SUMIF('NEI Lookups'!$R:$R,'Inputs Yr 2'!$F349,'NEI Lookups'!I:I)+SUMIF('NEI Lookups'!$S:$S,'Inputs Yr 2'!$F349,'NEI Lookups'!I:I)+SUMIF('NEI Lookups'!$T:$T,'Inputs Yr 2'!$F349,'NEI Lookups'!I:I)</f>
        <v>0</v>
      </c>
      <c r="AX349" s="299">
        <f>SUMIF('NEI Lookups'!$L:$L,'Inputs Yr 2'!$F349,'NEI Lookups'!J:J)+SUMIF('NEI Lookups'!$M:$M,'Inputs Yr 2'!$F349,'NEI Lookups'!J:J)+SUMIF('NEI Lookups'!$N:$N,'Inputs Yr 2'!$F349,'NEI Lookups'!J:J)+SUMIF('NEI Lookups'!$O:$O,'Inputs Yr 2'!$F349,'NEI Lookups'!J:J)+SUMIF('NEI Lookups'!$P:$P,'Inputs Yr 2'!$F349,'NEI Lookups'!J:J)+SUMIF('NEI Lookups'!$Q:$Q,'Inputs Yr 2'!$F349,'NEI Lookups'!J:J)+SUMIF('NEI Lookups'!$R:$R,'Inputs Yr 2'!$F349,'NEI Lookups'!J:J)+SUMIF('NEI Lookups'!$S:$S,'Inputs Yr 2'!$F349,'NEI Lookups'!J:J)+SUMIF('NEI Lookups'!$T:$T,'Inputs Yr 2'!$F349,'NEI Lookups'!J:J)</f>
        <v>0</v>
      </c>
      <c r="AY349" s="930" t="e">
        <f>'Calculations Yr 2'!CP349/'Calculations Yr 2'!I349</f>
        <v>#VALUE!</v>
      </c>
    </row>
    <row r="350" spans="1:51" s="133" customFormat="1">
      <c r="A350" s="912" t="s">
        <v>83</v>
      </c>
      <c r="B350" s="132" t="s">
        <v>870</v>
      </c>
      <c r="C350" s="132" t="s">
        <v>912</v>
      </c>
      <c r="D350" s="98"/>
      <c r="E350" s="98" t="s">
        <v>739</v>
      </c>
      <c r="F350" s="150" t="s">
        <v>1290</v>
      </c>
      <c r="G350" s="145" t="s">
        <v>89</v>
      </c>
      <c r="H350" s="927">
        <v>0</v>
      </c>
      <c r="I350" s="232">
        <v>0</v>
      </c>
      <c r="J350" s="964"/>
      <c r="K350" s="166"/>
      <c r="L350" s="888">
        <f t="shared" si="138"/>
        <v>0</v>
      </c>
      <c r="M350" s="978">
        <v>0</v>
      </c>
      <c r="N350" s="978">
        <v>0</v>
      </c>
      <c r="O350" s="978">
        <v>0</v>
      </c>
      <c r="P350" s="889">
        <v>1</v>
      </c>
      <c r="Q350" s="978">
        <v>0</v>
      </c>
      <c r="R350" s="178">
        <v>1</v>
      </c>
      <c r="S350" s="178">
        <v>1</v>
      </c>
      <c r="T350" s="178">
        <v>1</v>
      </c>
      <c r="U350" s="978">
        <v>0</v>
      </c>
      <c r="V350" s="978">
        <v>0</v>
      </c>
      <c r="W350" s="179"/>
      <c r="X350" s="937" t="s">
        <v>653</v>
      </c>
      <c r="Y350" s="299">
        <f>IFERROR(VLOOKUP($X350,'Demand Lookups'!$A$5:$K$101,9,0), 0)</f>
        <v>0</v>
      </c>
      <c r="Z350" s="922" t="str">
        <f>IFERROR(VLOOKUP(X350,'Demand Lookups'!$A$5:$B$101,2,0),0)</f>
        <v>Non-Electric Measures</v>
      </c>
      <c r="AA350" s="722">
        <f>IF(ISNA(VLOOKUP($X350,'Demand Lookups'!$A$5:$K$81,3,0)),0,VLOOKUP($X350,'Demand Lookups'!$A$5:$K$81,3,0))</f>
        <v>0</v>
      </c>
      <c r="AB350" s="722">
        <f>IF(ISNA(VLOOKUP($X350,'Demand Lookups'!$A$5:$K$81,4,0)),0,VLOOKUP($X350,'Demand Lookups'!$A$5:$K$81,4,0))</f>
        <v>0</v>
      </c>
      <c r="AC350" s="722">
        <f>IF(ISNA(VLOOKUP($X350,'Demand Lookups'!$A$5:$K$81,5,0)),0,VLOOKUP($X350,'Demand Lookups'!$A$5:$K$81,5,0))</f>
        <v>0</v>
      </c>
      <c r="AD350" s="723">
        <f>IF(ISNA(VLOOKUP($X350,'Demand Lookups'!$A$5:$K$81,6,0)),0,VLOOKUP($X350,'Demand Lookups'!$A$5:$K$81,6,0))</f>
        <v>0</v>
      </c>
      <c r="AE350" s="724">
        <f t="shared" si="143"/>
        <v>0</v>
      </c>
      <c r="AF350" s="723">
        <f>ROUND(IF(ISNA(VLOOKUP($X350,'Demand Lookups'!$A$5:$K$82,10,0)),0,(VLOOKUP($X350,'Demand Lookups'!$A$5:$K$82,10,0))),2)</f>
        <v>0</v>
      </c>
      <c r="AG350" s="723">
        <f>ROUND(IF(ISNA(VLOOKUP($X350,'Demand Lookups'!$A$5:$K$82,11,0)),0,VLOOKUP($X350,'Demand Lookups'!$A$5:$K$82,11,0)),2)</f>
        <v>0</v>
      </c>
      <c r="AH350" s="648">
        <f t="shared" si="144"/>
        <v>0</v>
      </c>
      <c r="AI350" s="648">
        <f t="shared" si="145"/>
        <v>0</v>
      </c>
      <c r="AJ350" s="167" t="s">
        <v>406</v>
      </c>
      <c r="AK350" s="866">
        <v>0</v>
      </c>
      <c r="AL350" s="167"/>
      <c r="AM350" s="168"/>
      <c r="AN350" s="167"/>
      <c r="AO350" s="168"/>
      <c r="AP350" s="167"/>
      <c r="AQ350" s="654"/>
      <c r="AR350" s="171"/>
      <c r="AS350" s="299">
        <f>SUMIF('NEI Lookups'!$L:$L,'Inputs Yr 2'!$F350,'NEI Lookups'!E:E)+SUMIF('NEI Lookups'!$M:$M,'Inputs Yr 2'!$F350,'NEI Lookups'!E:E)+SUMIF('NEI Lookups'!$N:$N,'Inputs Yr 2'!$F350,'NEI Lookups'!E:E)+SUMIF('NEI Lookups'!$O:$O,'Inputs Yr 2'!$F350,'NEI Lookups'!E:E)+SUMIF('NEI Lookups'!$P:$P,'Inputs Yr 2'!$F350,'NEI Lookups'!E:E)+SUMIF('NEI Lookups'!$Q:$Q,'Inputs Yr 2'!$F350,'NEI Lookups'!E:E)+SUMIF('NEI Lookups'!$R:$R,'Inputs Yr 2'!$F350,'NEI Lookups'!E:E)+SUMIF('NEI Lookups'!$S:$S,'Inputs Yr 2'!$F350,'NEI Lookups'!E:E)+SUMIF('NEI Lookups'!$T:$T,'Inputs Yr 2'!$F350,'NEI Lookups'!E:E)</f>
        <v>0</v>
      </c>
      <c r="AT350" s="299">
        <f>SUMIF('NEI Lookups'!$L:$L,'Inputs Yr 2'!$F350,'NEI Lookups'!F:F)+SUMIF('NEI Lookups'!$M:$M,'Inputs Yr 2'!$F350,'NEI Lookups'!F:F)+SUMIF('NEI Lookups'!$N:$N,'Inputs Yr 2'!$F350,'NEI Lookups'!F:F)+SUMIF('NEI Lookups'!$O:$O,'Inputs Yr 2'!$F350,'NEI Lookups'!F:F)+SUMIF('NEI Lookups'!$P:$P,'Inputs Yr 2'!$F350,'NEI Lookups'!F:F)+SUMIF('NEI Lookups'!$Q:$Q,'Inputs Yr 2'!$F350,'NEI Lookups'!F:F)+SUMIF('NEI Lookups'!$R:$R,'Inputs Yr 2'!$F350,'NEI Lookups'!F:F)+SUMIF('NEI Lookups'!$S:$S,'Inputs Yr 2'!$F350,'NEI Lookups'!F:F)+SUMIF('NEI Lookups'!$T:$T,'Inputs Yr 2'!$F350,'NEI Lookups'!F:F)</f>
        <v>0</v>
      </c>
      <c r="AU350" s="299">
        <f>SUMIF('NEI Lookups'!$L:$L,'Inputs Yr 2'!$F350,'NEI Lookups'!G:G)+SUMIF('NEI Lookups'!$M:$M,'Inputs Yr 2'!$F350,'NEI Lookups'!G:G)+SUMIF('NEI Lookups'!$N:$N,'Inputs Yr 2'!$F350,'NEI Lookups'!G:G)+SUMIF('NEI Lookups'!$O:$O,'Inputs Yr 2'!$F350,'NEI Lookups'!G:G)+SUMIF('NEI Lookups'!$P:$P,'Inputs Yr 2'!$F350,'NEI Lookups'!G:G)+SUMIF('NEI Lookups'!$Q:$Q,'Inputs Yr 2'!$F350,'NEI Lookups'!G:G)+SUMIF('NEI Lookups'!$R:$R,'Inputs Yr 2'!$F350,'NEI Lookups'!G:G)+SUMIF('NEI Lookups'!$S:$S,'Inputs Yr 2'!$F350,'NEI Lookups'!G:G)+SUMIF('NEI Lookups'!$T:$T,'Inputs Yr 2'!$F350,'NEI Lookups'!G:G)</f>
        <v>0</v>
      </c>
      <c r="AV350" s="299">
        <f>SUMIF('NEI Lookups'!$L:$L,'Inputs Yr 2'!$F350,'NEI Lookups'!H:H)+SUMIF('NEI Lookups'!$M:$M,'Inputs Yr 2'!$F350,'NEI Lookups'!H:H)+SUMIF('NEI Lookups'!$N:$N,'Inputs Yr 2'!$F350,'NEI Lookups'!H:H)+SUMIF('NEI Lookups'!$O:$O,'Inputs Yr 2'!$F350,'NEI Lookups'!H:H)+SUMIF('NEI Lookups'!$P:$P,'Inputs Yr 2'!$F350,'NEI Lookups'!H:H)+SUMIF('NEI Lookups'!$Q:$Q,'Inputs Yr 2'!$F350,'NEI Lookups'!H:H)+SUMIF('NEI Lookups'!$R:$R,'Inputs Yr 2'!$F350,'NEI Lookups'!H:H)+SUMIF('NEI Lookups'!$S:$S,'Inputs Yr 2'!$F350,'NEI Lookups'!H:H)+SUMIF('NEI Lookups'!$T:$T,'Inputs Yr 2'!$F350,'NEI Lookups'!H:H)</f>
        <v>0</v>
      </c>
      <c r="AW350" s="299">
        <f>SUMIF('NEI Lookups'!$L:$L,'Inputs Yr 2'!$F350,'NEI Lookups'!I:I)+SUMIF('NEI Lookups'!$M:$M,'Inputs Yr 2'!$F350,'NEI Lookups'!I:I)+SUMIF('NEI Lookups'!$N:$N,'Inputs Yr 2'!$F350,'NEI Lookups'!I:I)+SUMIF('NEI Lookups'!$O:$O,'Inputs Yr 2'!$F350,'NEI Lookups'!I:I)+SUMIF('NEI Lookups'!$P:$P,'Inputs Yr 2'!$F350,'NEI Lookups'!I:I)+SUMIF('NEI Lookups'!$Q:$Q,'Inputs Yr 2'!$F350,'NEI Lookups'!I:I)+SUMIF('NEI Lookups'!$R:$R,'Inputs Yr 2'!$F350,'NEI Lookups'!I:I)+SUMIF('NEI Lookups'!$S:$S,'Inputs Yr 2'!$F350,'NEI Lookups'!I:I)+SUMIF('NEI Lookups'!$T:$T,'Inputs Yr 2'!$F350,'NEI Lookups'!I:I)</f>
        <v>0</v>
      </c>
      <c r="AX350" s="299">
        <f>SUMIF('NEI Lookups'!$L:$L,'Inputs Yr 2'!$F350,'NEI Lookups'!J:J)+SUMIF('NEI Lookups'!$M:$M,'Inputs Yr 2'!$F350,'NEI Lookups'!J:J)+SUMIF('NEI Lookups'!$N:$N,'Inputs Yr 2'!$F350,'NEI Lookups'!J:J)+SUMIF('NEI Lookups'!$O:$O,'Inputs Yr 2'!$F350,'NEI Lookups'!J:J)+SUMIF('NEI Lookups'!$P:$P,'Inputs Yr 2'!$F350,'NEI Lookups'!J:J)+SUMIF('NEI Lookups'!$Q:$Q,'Inputs Yr 2'!$F350,'NEI Lookups'!J:J)+SUMIF('NEI Lookups'!$R:$R,'Inputs Yr 2'!$F350,'NEI Lookups'!J:J)+SUMIF('NEI Lookups'!$S:$S,'Inputs Yr 2'!$F350,'NEI Lookups'!J:J)+SUMIF('NEI Lookups'!$T:$T,'Inputs Yr 2'!$F350,'NEI Lookups'!J:J)</f>
        <v>0</v>
      </c>
      <c r="AY350" s="930" t="e">
        <f>'Calculations Yr 2'!CP350/'Calculations Yr 2'!I350</f>
        <v>#VALUE!</v>
      </c>
    </row>
    <row r="351" spans="1:51" ht="13.5" thickBot="1">
      <c r="A351" s="147" t="s">
        <v>83</v>
      </c>
      <c r="B351" s="146" t="s">
        <v>870</v>
      </c>
      <c r="C351" s="146" t="s">
        <v>912</v>
      </c>
      <c r="D351" s="920" t="s">
        <v>1533</v>
      </c>
      <c r="E351" s="177" t="s">
        <v>1267</v>
      </c>
      <c r="F351" s="657" t="s">
        <v>1416</v>
      </c>
      <c r="G351" s="879" t="s">
        <v>1247</v>
      </c>
      <c r="H351" s="959">
        <v>6</v>
      </c>
      <c r="I351" s="233">
        <v>15</v>
      </c>
      <c r="J351" s="967">
        <v>5700</v>
      </c>
      <c r="K351" s="969">
        <v>4275</v>
      </c>
      <c r="L351" s="898">
        <f t="shared" si="138"/>
        <v>1425</v>
      </c>
      <c r="M351" s="979">
        <v>0</v>
      </c>
      <c r="N351" s="979">
        <v>0</v>
      </c>
      <c r="O351" s="979">
        <v>0</v>
      </c>
      <c r="P351" s="895">
        <v>1</v>
      </c>
      <c r="Q351" s="979">
        <v>1</v>
      </c>
      <c r="R351" s="221">
        <v>1</v>
      </c>
      <c r="S351" s="221">
        <v>1</v>
      </c>
      <c r="T351" s="221">
        <v>1</v>
      </c>
      <c r="U351" s="979">
        <v>0.86199999999999999</v>
      </c>
      <c r="V351" s="979">
        <v>1</v>
      </c>
      <c r="W351" s="222"/>
      <c r="X351" s="146" t="s">
        <v>653</v>
      </c>
      <c r="Y351" s="302">
        <f>IFERROR(VLOOKUP($X351,'Demand Lookups'!$A$5:$K$101,9,0), 0)</f>
        <v>0</v>
      </c>
      <c r="Z351" s="923" t="str">
        <f>IFERROR(VLOOKUP(X351,'Demand Lookups'!$A$5:$B$101,2,0),0)</f>
        <v>Non-Electric Measures</v>
      </c>
      <c r="AA351" s="722">
        <f>IF(ISNA(VLOOKUP($X351,'Demand Lookups'!$A$5:$K$81,3,0)),0,VLOOKUP($X351,'Demand Lookups'!$A$5:$K$81,3,0))</f>
        <v>0</v>
      </c>
      <c r="AB351" s="722">
        <f>IF(ISNA(VLOOKUP($X351,'Demand Lookups'!$A$5:$K$81,4,0)),0,VLOOKUP($X351,'Demand Lookups'!$A$5:$K$81,4,0))</f>
        <v>0</v>
      </c>
      <c r="AC351" s="722">
        <f>IF(ISNA(VLOOKUP($X351,'Demand Lookups'!$A$5:$K$81,5,0)),0,VLOOKUP($X351,'Demand Lookups'!$A$5:$K$81,5,0))</f>
        <v>0</v>
      </c>
      <c r="AD351" s="723">
        <f>IF(ISNA(VLOOKUP($X351,'Demand Lookups'!$A$5:$K$81,6,0)),0,VLOOKUP($X351,'Demand Lookups'!$A$5:$K$81,6,0))</f>
        <v>0</v>
      </c>
      <c r="AE351" s="724">
        <f t="shared" si="143"/>
        <v>0</v>
      </c>
      <c r="AF351" s="723">
        <f>ROUND(IF(ISNA(VLOOKUP($X351,'Demand Lookups'!$A$5:$K$82,10,0)),0,(VLOOKUP($X351,'Demand Lookups'!$A$5:$K$82,10,0))),2)</f>
        <v>0</v>
      </c>
      <c r="AG351" s="723">
        <f>ROUND(IF(ISNA(VLOOKUP($X351,'Demand Lookups'!$A$5:$K$82,11,0)),0,VLOOKUP($X351,'Demand Lookups'!$A$5:$K$82,11,0)),2)</f>
        <v>0</v>
      </c>
      <c r="AH351" s="653">
        <f t="shared" si="144"/>
        <v>0</v>
      </c>
      <c r="AI351" s="653">
        <f t="shared" si="145"/>
        <v>0</v>
      </c>
      <c r="AJ351" s="174" t="s">
        <v>404</v>
      </c>
      <c r="AK351" s="955">
        <v>35.5</v>
      </c>
      <c r="AL351" s="956"/>
      <c r="AM351" s="710"/>
      <c r="AN351" s="957"/>
      <c r="AO351" s="957"/>
      <c r="AP351" s="957"/>
      <c r="AQ351" s="957"/>
      <c r="AR351" s="956"/>
      <c r="AS351" s="302">
        <f>SUMIF('NEI Lookups'!$L:$L,'Inputs Yr 2'!$F351,'NEI Lookups'!E:E)+SUMIF('NEI Lookups'!$M:$M,'Inputs Yr 2'!$F351,'NEI Lookups'!E:E)+SUMIF('NEI Lookups'!$N:$N,'Inputs Yr 2'!$F351,'NEI Lookups'!E:E)+SUMIF('NEI Lookups'!$O:$O,'Inputs Yr 2'!$F351,'NEI Lookups'!E:E)+SUMIF('NEI Lookups'!$P:$P,'Inputs Yr 2'!$F351,'NEI Lookups'!E:E)+SUMIF('NEI Lookups'!$Q:$Q,'Inputs Yr 2'!$F351,'NEI Lookups'!E:E)+SUMIF('NEI Lookups'!$R:$R,'Inputs Yr 2'!$F351,'NEI Lookups'!E:E)+SUMIF('NEI Lookups'!$S:$S,'Inputs Yr 2'!$F351,'NEI Lookups'!E:E)+SUMIF('NEI Lookups'!$T:$T,'Inputs Yr 2'!$F351,'NEI Lookups'!E:E)</f>
        <v>0</v>
      </c>
      <c r="AT351" s="302">
        <f>SUMIF('NEI Lookups'!$L:$L,'Inputs Yr 2'!$F351,'NEI Lookups'!F:F)+SUMIF('NEI Lookups'!$M:$M,'Inputs Yr 2'!$F351,'NEI Lookups'!F:F)+SUMIF('NEI Lookups'!$N:$N,'Inputs Yr 2'!$F351,'NEI Lookups'!F:F)+SUMIF('NEI Lookups'!$O:$O,'Inputs Yr 2'!$F351,'NEI Lookups'!F:F)+SUMIF('NEI Lookups'!$P:$P,'Inputs Yr 2'!$F351,'NEI Lookups'!F:F)+SUMIF('NEI Lookups'!$Q:$Q,'Inputs Yr 2'!$F351,'NEI Lookups'!F:F)+SUMIF('NEI Lookups'!$R:$R,'Inputs Yr 2'!$F351,'NEI Lookups'!F:F)+SUMIF('NEI Lookups'!$S:$S,'Inputs Yr 2'!$F351,'NEI Lookups'!F:F)+SUMIF('NEI Lookups'!$T:$T,'Inputs Yr 2'!$F351,'NEI Lookups'!F:F)</f>
        <v>0</v>
      </c>
      <c r="AU351" s="302">
        <f>SUMIF('NEI Lookups'!$L:$L,'Inputs Yr 2'!$F351,'NEI Lookups'!G:G)+SUMIF('NEI Lookups'!$M:$M,'Inputs Yr 2'!$F351,'NEI Lookups'!G:G)+SUMIF('NEI Lookups'!$N:$N,'Inputs Yr 2'!$F351,'NEI Lookups'!G:G)+SUMIF('NEI Lookups'!$O:$O,'Inputs Yr 2'!$F351,'NEI Lookups'!G:G)+SUMIF('NEI Lookups'!$P:$P,'Inputs Yr 2'!$F351,'NEI Lookups'!G:G)+SUMIF('NEI Lookups'!$Q:$Q,'Inputs Yr 2'!$F351,'NEI Lookups'!G:G)+SUMIF('NEI Lookups'!$R:$R,'Inputs Yr 2'!$F351,'NEI Lookups'!G:G)+SUMIF('NEI Lookups'!$S:$S,'Inputs Yr 2'!$F351,'NEI Lookups'!G:G)+SUMIF('NEI Lookups'!$T:$T,'Inputs Yr 2'!$F351,'NEI Lookups'!G:G)</f>
        <v>0</v>
      </c>
      <c r="AV351" s="302">
        <f>SUMIF('NEI Lookups'!$L:$L,'Inputs Yr 2'!$F351,'NEI Lookups'!H:H)+SUMIF('NEI Lookups'!$M:$M,'Inputs Yr 2'!$F351,'NEI Lookups'!H:H)+SUMIF('NEI Lookups'!$N:$N,'Inputs Yr 2'!$F351,'NEI Lookups'!H:H)+SUMIF('NEI Lookups'!$O:$O,'Inputs Yr 2'!$F351,'NEI Lookups'!H:H)+SUMIF('NEI Lookups'!$P:$P,'Inputs Yr 2'!$F351,'NEI Lookups'!H:H)+SUMIF('NEI Lookups'!$Q:$Q,'Inputs Yr 2'!$F351,'NEI Lookups'!H:H)+SUMIF('NEI Lookups'!$R:$R,'Inputs Yr 2'!$F351,'NEI Lookups'!H:H)+SUMIF('NEI Lookups'!$S:$S,'Inputs Yr 2'!$F351,'NEI Lookups'!H:H)+SUMIF('NEI Lookups'!$T:$T,'Inputs Yr 2'!$F351,'NEI Lookups'!H:H)</f>
        <v>0</v>
      </c>
      <c r="AW351" s="302">
        <f>SUMIF('NEI Lookups'!$L:$L,'Inputs Yr 2'!$F351,'NEI Lookups'!I:I)+SUMIF('NEI Lookups'!$M:$M,'Inputs Yr 2'!$F351,'NEI Lookups'!I:I)+SUMIF('NEI Lookups'!$N:$N,'Inputs Yr 2'!$F351,'NEI Lookups'!I:I)+SUMIF('NEI Lookups'!$O:$O,'Inputs Yr 2'!$F351,'NEI Lookups'!I:I)+SUMIF('NEI Lookups'!$P:$P,'Inputs Yr 2'!$F351,'NEI Lookups'!I:I)+SUMIF('NEI Lookups'!$Q:$Q,'Inputs Yr 2'!$F351,'NEI Lookups'!I:I)+SUMIF('NEI Lookups'!$R:$R,'Inputs Yr 2'!$F351,'NEI Lookups'!I:I)+SUMIF('NEI Lookups'!$S:$S,'Inputs Yr 2'!$F351,'NEI Lookups'!I:I)+SUMIF('NEI Lookups'!$T:$T,'Inputs Yr 2'!$F351,'NEI Lookups'!I:I)</f>
        <v>0</v>
      </c>
      <c r="AX351" s="302">
        <f>SUMIF('NEI Lookups'!$L:$L,'Inputs Yr 2'!$F351,'NEI Lookups'!J:J)+SUMIF('NEI Lookups'!$M:$M,'Inputs Yr 2'!$F351,'NEI Lookups'!J:J)+SUMIF('NEI Lookups'!$N:$N,'Inputs Yr 2'!$F351,'NEI Lookups'!J:J)+SUMIF('NEI Lookups'!$O:$O,'Inputs Yr 2'!$F351,'NEI Lookups'!J:J)+SUMIF('NEI Lookups'!$P:$P,'Inputs Yr 2'!$F351,'NEI Lookups'!J:J)+SUMIF('NEI Lookups'!$Q:$Q,'Inputs Yr 2'!$F351,'NEI Lookups'!J:J)+SUMIF('NEI Lookups'!$R:$R,'Inputs Yr 2'!$F351,'NEI Lookups'!J:J)+SUMIF('NEI Lookups'!$S:$S,'Inputs Yr 2'!$F351,'NEI Lookups'!J:J)+SUMIF('NEI Lookups'!$T:$T,'Inputs Yr 2'!$F351,'NEI Lookups'!J:J)</f>
        <v>0</v>
      </c>
      <c r="AY351" s="932">
        <f>'Calculations Yr 2'!CP351/'Calculations Yr 2'!I351</f>
        <v>0.73155800603001575</v>
      </c>
    </row>
    <row r="352" spans="1:51" s="133" customFormat="1">
      <c r="A352" s="860"/>
      <c r="B352" s="860"/>
      <c r="C352" s="860"/>
      <c r="D352" s="860"/>
      <c r="E352" s="860"/>
      <c r="F352" s="860"/>
      <c r="G352" s="860"/>
      <c r="H352" s="860"/>
      <c r="I352" s="860"/>
      <c r="J352" s="860"/>
      <c r="K352" s="860"/>
      <c r="L352" s="705"/>
      <c r="M352" s="705"/>
      <c r="N352" s="705"/>
      <c r="O352" s="705"/>
      <c r="P352" s="705"/>
      <c r="Q352" s="705"/>
      <c r="R352" s="705"/>
      <c r="S352" s="705"/>
      <c r="T352" s="860"/>
      <c r="U352" s="705"/>
      <c r="V352" s="705"/>
      <c r="W352" s="705"/>
      <c r="X352" s="705"/>
      <c r="Y352" s="705"/>
      <c r="Z352" s="705"/>
      <c r="AA352" s="705"/>
      <c r="AB352" s="705"/>
      <c r="AC352" s="705"/>
      <c r="AD352" s="705"/>
      <c r="AE352" s="705"/>
      <c r="AF352" s="705"/>
      <c r="AG352" s="705"/>
      <c r="AH352" s="705"/>
      <c r="AI352" s="705"/>
      <c r="AJ352" s="705"/>
      <c r="AK352" s="705"/>
      <c r="AL352" s="705"/>
      <c r="AM352" s="705"/>
      <c r="AN352" s="705"/>
      <c r="AO352" s="705"/>
      <c r="AP352" s="705"/>
      <c r="AQ352" s="705"/>
      <c r="AR352" s="705"/>
      <c r="AS352" s="863"/>
      <c r="AT352" s="863"/>
      <c r="AU352" s="863"/>
      <c r="AV352" s="863"/>
      <c r="AW352" s="863"/>
      <c r="AX352" s="863"/>
      <c r="AY352" s="864"/>
    </row>
    <row r="353" spans="1:51" s="133" customFormat="1">
      <c r="A353" s="860"/>
      <c r="B353" s="860"/>
      <c r="C353" s="860"/>
      <c r="D353" s="860"/>
      <c r="E353" s="860"/>
      <c r="F353" s="860"/>
      <c r="G353" s="860"/>
      <c r="H353" s="860"/>
      <c r="I353" s="860"/>
      <c r="J353" s="860"/>
      <c r="K353" s="860"/>
      <c r="L353" s="705"/>
      <c r="M353" s="705"/>
      <c r="N353" s="705"/>
      <c r="O353" s="705"/>
      <c r="P353" s="705"/>
      <c r="Q353" s="705"/>
      <c r="R353" s="705"/>
      <c r="S353" s="705"/>
      <c r="T353" s="860"/>
      <c r="U353" s="705"/>
      <c r="V353" s="705"/>
      <c r="W353" s="705"/>
      <c r="X353" s="705"/>
      <c r="Y353" s="705"/>
      <c r="Z353" s="705"/>
      <c r="AA353" s="705"/>
      <c r="AB353" s="705"/>
      <c r="AC353" s="705"/>
      <c r="AD353" s="705"/>
      <c r="AE353" s="705"/>
      <c r="AF353" s="705"/>
      <c r="AG353" s="705"/>
      <c r="AH353" s="705"/>
      <c r="AI353" s="705"/>
      <c r="AJ353" s="705"/>
      <c r="AK353" s="705"/>
      <c r="AL353" s="705"/>
      <c r="AM353" s="705"/>
      <c r="AN353" s="705"/>
      <c r="AO353" s="705"/>
      <c r="AP353" s="705"/>
      <c r="AQ353" s="705"/>
      <c r="AR353" s="705"/>
      <c r="AS353" s="863"/>
      <c r="AT353" s="863"/>
      <c r="AU353" s="863"/>
      <c r="AV353" s="863"/>
      <c r="AW353" s="863"/>
      <c r="AX353" s="863"/>
      <c r="AY353" s="864"/>
    </row>
    <row r="354" spans="1:51" s="133" customFormat="1">
      <c r="A354" s="860"/>
      <c r="B354" s="860"/>
      <c r="C354" s="860"/>
      <c r="D354" s="860"/>
      <c r="E354" s="860"/>
      <c r="F354" s="860"/>
      <c r="G354" s="860"/>
      <c r="H354" s="860"/>
      <c r="I354" s="860"/>
      <c r="J354" s="860"/>
      <c r="K354" s="860"/>
      <c r="L354" s="705"/>
      <c r="M354" s="705"/>
      <c r="N354" s="705"/>
      <c r="O354" s="705"/>
      <c r="P354" s="705"/>
      <c r="Q354" s="705"/>
      <c r="R354" s="705"/>
      <c r="S354" s="705"/>
      <c r="T354" s="860"/>
      <c r="U354" s="705"/>
      <c r="V354" s="705"/>
      <c r="W354" s="705"/>
      <c r="X354" s="705"/>
      <c r="Y354" s="705"/>
      <c r="Z354" s="705"/>
      <c r="AA354" s="705"/>
      <c r="AB354" s="705"/>
      <c r="AC354" s="705"/>
      <c r="AD354" s="705"/>
      <c r="AE354" s="705"/>
      <c r="AF354" s="705"/>
      <c r="AG354" s="705"/>
      <c r="AH354" s="705"/>
      <c r="AI354" s="705"/>
      <c r="AJ354" s="705"/>
      <c r="AK354" s="705"/>
      <c r="AL354" s="705"/>
      <c r="AM354" s="705"/>
      <c r="AN354" s="705"/>
      <c r="AO354" s="705"/>
      <c r="AP354" s="705"/>
      <c r="AQ354" s="705"/>
      <c r="AR354" s="705"/>
      <c r="AS354" s="863"/>
      <c r="AT354" s="863"/>
      <c r="AU354" s="863"/>
      <c r="AV354" s="863"/>
      <c r="AW354" s="863"/>
      <c r="AX354" s="863"/>
      <c r="AY354" s="864"/>
    </row>
    <row r="355" spans="1:51" s="133" customFormat="1">
      <c r="A355" s="860"/>
      <c r="B355" s="860"/>
      <c r="C355" s="860"/>
      <c r="D355" s="860"/>
      <c r="E355" s="860"/>
      <c r="F355" s="860"/>
      <c r="G355" s="860"/>
      <c r="H355" s="860"/>
      <c r="I355" s="860"/>
      <c r="J355" s="860"/>
      <c r="K355" s="860"/>
      <c r="L355" s="705"/>
      <c r="M355" s="705"/>
      <c r="N355" s="705"/>
      <c r="O355" s="705"/>
      <c r="P355" s="705"/>
      <c r="Q355" s="705"/>
      <c r="R355" s="705"/>
      <c r="S355" s="705"/>
      <c r="T355" s="860"/>
      <c r="U355" s="705"/>
      <c r="V355" s="705"/>
      <c r="W355" s="705"/>
      <c r="X355" s="705"/>
      <c r="Y355" s="705"/>
      <c r="Z355" s="705"/>
      <c r="AA355" s="705"/>
      <c r="AB355" s="705"/>
      <c r="AC355" s="705"/>
      <c r="AD355" s="705"/>
      <c r="AE355" s="705"/>
      <c r="AF355" s="705"/>
      <c r="AG355" s="705"/>
      <c r="AH355" s="705"/>
      <c r="AI355" s="705"/>
      <c r="AJ355" s="705"/>
      <c r="AK355" s="705"/>
      <c r="AL355" s="705"/>
      <c r="AM355" s="705"/>
      <c r="AN355" s="705"/>
      <c r="AO355" s="705"/>
      <c r="AP355" s="705"/>
      <c r="AQ355" s="705"/>
      <c r="AR355" s="705"/>
      <c r="AS355" s="863"/>
      <c r="AT355" s="863"/>
      <c r="AU355" s="863"/>
      <c r="AV355" s="863"/>
      <c r="AW355" s="863"/>
      <c r="AX355" s="863"/>
      <c r="AY355" s="864"/>
    </row>
    <row r="356" spans="1:51" s="133" customFormat="1">
      <c r="A356" s="860"/>
      <c r="B356" s="860"/>
      <c r="C356" s="860"/>
      <c r="D356" s="860"/>
      <c r="E356" s="860"/>
      <c r="F356" s="860"/>
      <c r="G356" s="860"/>
      <c r="H356" s="860"/>
      <c r="I356" s="860"/>
      <c r="J356" s="860"/>
      <c r="K356" s="860"/>
      <c r="L356" s="705"/>
      <c r="M356" s="705"/>
      <c r="N356" s="705"/>
      <c r="O356" s="705"/>
      <c r="P356" s="705"/>
      <c r="Q356" s="705"/>
      <c r="R356" s="705"/>
      <c r="S356" s="705"/>
      <c r="T356" s="860"/>
      <c r="U356" s="705"/>
      <c r="V356" s="705"/>
      <c r="W356" s="705"/>
      <c r="X356" s="705"/>
      <c r="Y356" s="705"/>
      <c r="Z356" s="705"/>
      <c r="AA356" s="705"/>
      <c r="AB356" s="705"/>
      <c r="AC356" s="705"/>
      <c r="AD356" s="705"/>
      <c r="AE356" s="705"/>
      <c r="AF356" s="705"/>
      <c r="AG356" s="705"/>
      <c r="AH356" s="705"/>
      <c r="AI356" s="705"/>
      <c r="AJ356" s="705"/>
      <c r="AK356" s="705"/>
      <c r="AL356" s="705"/>
      <c r="AM356" s="705"/>
      <c r="AN356" s="705"/>
      <c r="AO356" s="705"/>
      <c r="AP356" s="705"/>
      <c r="AQ356" s="705"/>
      <c r="AR356" s="705"/>
      <c r="AS356" s="863"/>
      <c r="AT356" s="863"/>
      <c r="AU356" s="863"/>
      <c r="AV356" s="863"/>
      <c r="AW356" s="863"/>
      <c r="AX356" s="863"/>
      <c r="AY356" s="864"/>
    </row>
    <row r="357" spans="1:51" s="133" customFormat="1">
      <c r="A357" s="860"/>
      <c r="B357" s="860"/>
      <c r="C357" s="860"/>
      <c r="D357" s="860"/>
      <c r="E357" s="860"/>
      <c r="F357" s="860"/>
      <c r="G357" s="860"/>
      <c r="H357" s="860"/>
      <c r="I357" s="860"/>
      <c r="J357" s="860"/>
      <c r="K357" s="860"/>
      <c r="L357" s="705"/>
      <c r="M357" s="705"/>
      <c r="N357" s="705"/>
      <c r="O357" s="705"/>
      <c r="P357" s="705"/>
      <c r="Q357" s="705"/>
      <c r="R357" s="705"/>
      <c r="S357" s="705"/>
      <c r="T357" s="860"/>
      <c r="U357" s="705"/>
      <c r="V357" s="705"/>
      <c r="W357" s="705"/>
      <c r="X357" s="705"/>
      <c r="Y357" s="705"/>
      <c r="Z357" s="705"/>
      <c r="AA357" s="705"/>
      <c r="AB357" s="705"/>
      <c r="AC357" s="705"/>
      <c r="AD357" s="705"/>
      <c r="AE357" s="705"/>
      <c r="AF357" s="705"/>
      <c r="AG357" s="705"/>
      <c r="AH357" s="705"/>
      <c r="AI357" s="705"/>
      <c r="AJ357" s="705"/>
      <c r="AK357" s="705"/>
      <c r="AL357" s="705"/>
      <c r="AM357" s="705"/>
      <c r="AN357" s="705"/>
      <c r="AO357" s="705"/>
      <c r="AP357" s="705"/>
      <c r="AQ357" s="705"/>
      <c r="AR357" s="705"/>
      <c r="AS357" s="863"/>
      <c r="AT357" s="863"/>
      <c r="AU357" s="863"/>
      <c r="AV357" s="863"/>
      <c r="AW357" s="863"/>
      <c r="AX357" s="863"/>
      <c r="AY357" s="864"/>
    </row>
    <row r="358" spans="1:51" s="133" customFormat="1">
      <c r="A358" s="860"/>
      <c r="B358" s="860"/>
      <c r="C358" s="860"/>
      <c r="D358" s="860"/>
      <c r="E358" s="860"/>
      <c r="F358" s="880"/>
      <c r="G358" s="860"/>
      <c r="H358" s="860"/>
      <c r="I358" s="860"/>
      <c r="J358" s="860"/>
      <c r="K358" s="860"/>
      <c r="L358" s="705"/>
      <c r="M358" s="705"/>
      <c r="N358" s="705"/>
      <c r="O358" s="705"/>
      <c r="P358" s="705"/>
      <c r="Q358" s="705"/>
      <c r="R358" s="705"/>
      <c r="S358" s="705"/>
      <c r="T358" s="860"/>
      <c r="U358" s="705"/>
      <c r="V358" s="705"/>
      <c r="W358" s="705"/>
      <c r="X358" s="705"/>
      <c r="Y358" s="705"/>
      <c r="Z358" s="705"/>
      <c r="AA358" s="705"/>
      <c r="AB358" s="705"/>
      <c r="AC358" s="705"/>
      <c r="AD358" s="705"/>
      <c r="AE358" s="705"/>
      <c r="AF358" s="705"/>
      <c r="AG358" s="705"/>
      <c r="AH358" s="705"/>
      <c r="AI358" s="705"/>
      <c r="AJ358" s="705"/>
      <c r="AK358" s="705"/>
      <c r="AL358" s="705"/>
      <c r="AM358" s="705"/>
      <c r="AN358" s="705"/>
      <c r="AO358" s="705"/>
      <c r="AP358" s="705"/>
      <c r="AQ358" s="705"/>
      <c r="AR358" s="705"/>
      <c r="AS358" s="863"/>
      <c r="AT358" s="863"/>
      <c r="AU358" s="863"/>
      <c r="AV358" s="863"/>
      <c r="AW358" s="863"/>
      <c r="AX358" s="863"/>
      <c r="AY358" s="864"/>
    </row>
    <row r="359" spans="1:51" s="133" customFormat="1">
      <c r="A359" s="860"/>
      <c r="B359" s="860"/>
      <c r="C359" s="860"/>
      <c r="D359" s="860"/>
      <c r="E359" s="860"/>
      <c r="F359" s="860"/>
      <c r="G359" s="860"/>
      <c r="H359" s="860"/>
      <c r="I359" s="860"/>
      <c r="J359" s="860"/>
      <c r="K359" s="860"/>
      <c r="L359" s="705"/>
      <c r="M359" s="705"/>
      <c r="N359" s="705"/>
      <c r="O359" s="705"/>
      <c r="P359" s="705"/>
      <c r="Q359" s="705"/>
      <c r="R359" s="705"/>
      <c r="S359" s="705"/>
      <c r="T359" s="860"/>
      <c r="U359" s="705"/>
      <c r="V359" s="705"/>
      <c r="W359" s="705"/>
      <c r="X359" s="705"/>
      <c r="Y359" s="705"/>
      <c r="Z359" s="705"/>
      <c r="AA359" s="705"/>
      <c r="AB359" s="705"/>
      <c r="AC359" s="705"/>
      <c r="AD359" s="705"/>
      <c r="AE359" s="705"/>
      <c r="AF359" s="705"/>
      <c r="AG359" s="705"/>
      <c r="AH359" s="705"/>
      <c r="AI359" s="705"/>
      <c r="AJ359" s="705"/>
      <c r="AK359" s="705"/>
      <c r="AL359" s="705"/>
      <c r="AM359" s="705"/>
      <c r="AN359" s="705"/>
      <c r="AO359" s="705"/>
      <c r="AP359" s="705"/>
      <c r="AQ359" s="705"/>
      <c r="AR359" s="705"/>
      <c r="AS359" s="863"/>
      <c r="AT359" s="863"/>
      <c r="AU359" s="863"/>
      <c r="AV359" s="863"/>
      <c r="AW359" s="863"/>
      <c r="AX359" s="863"/>
      <c r="AY359" s="864"/>
    </row>
    <row r="360" spans="1:51" s="133" customFormat="1">
      <c r="A360" s="860"/>
      <c r="B360" s="860"/>
      <c r="C360" s="860"/>
      <c r="D360" s="860"/>
      <c r="E360" s="860"/>
      <c r="F360" s="860"/>
      <c r="G360" s="860"/>
      <c r="H360" s="860"/>
      <c r="I360" s="860"/>
      <c r="J360" s="860"/>
      <c r="K360" s="860"/>
      <c r="L360" s="705"/>
      <c r="M360" s="705"/>
      <c r="N360" s="705"/>
      <c r="O360" s="705"/>
      <c r="P360" s="705"/>
      <c r="Q360" s="705"/>
      <c r="R360" s="705"/>
      <c r="S360" s="705"/>
      <c r="T360" s="860"/>
      <c r="U360" s="705"/>
      <c r="V360" s="705"/>
      <c r="W360" s="705"/>
      <c r="X360" s="705"/>
      <c r="Y360" s="705"/>
      <c r="Z360" s="705"/>
      <c r="AA360" s="705"/>
      <c r="AB360" s="705"/>
      <c r="AC360" s="705"/>
      <c r="AD360" s="705"/>
      <c r="AE360" s="705"/>
      <c r="AF360" s="705"/>
      <c r="AG360" s="705"/>
      <c r="AH360" s="705"/>
      <c r="AI360" s="705"/>
      <c r="AJ360" s="705"/>
      <c r="AK360" s="705"/>
      <c r="AL360" s="705"/>
      <c r="AM360" s="705"/>
      <c r="AN360" s="705"/>
      <c r="AO360" s="705"/>
      <c r="AP360" s="705"/>
      <c r="AQ360" s="705"/>
      <c r="AR360" s="705"/>
      <c r="AS360" s="863"/>
      <c r="AT360" s="863"/>
      <c r="AU360" s="863"/>
      <c r="AV360" s="863"/>
      <c r="AW360" s="863"/>
      <c r="AX360" s="863"/>
      <c r="AY360" s="864"/>
    </row>
    <row r="361" spans="1:51" s="133" customFormat="1">
      <c r="A361" s="860"/>
      <c r="B361" s="860"/>
      <c r="C361" s="860"/>
      <c r="D361" s="860"/>
      <c r="E361" s="860"/>
      <c r="F361" s="860"/>
      <c r="G361" s="860"/>
      <c r="H361" s="860"/>
      <c r="I361" s="860"/>
      <c r="J361" s="860"/>
      <c r="K361" s="860"/>
      <c r="L361" s="705"/>
      <c r="M361" s="705"/>
      <c r="N361" s="705"/>
      <c r="O361" s="705"/>
      <c r="P361" s="705"/>
      <c r="Q361" s="705"/>
      <c r="R361" s="705"/>
      <c r="S361" s="705"/>
      <c r="T361" s="860"/>
      <c r="U361" s="705"/>
      <c r="V361" s="705"/>
      <c r="W361" s="705"/>
      <c r="X361" s="705"/>
      <c r="Y361" s="705"/>
      <c r="Z361" s="705"/>
      <c r="AA361" s="705"/>
      <c r="AB361" s="705"/>
      <c r="AC361" s="705"/>
      <c r="AD361" s="705"/>
      <c r="AE361" s="705"/>
      <c r="AF361" s="705"/>
      <c r="AG361" s="705"/>
      <c r="AH361" s="705"/>
      <c r="AI361" s="705"/>
      <c r="AJ361" s="705"/>
      <c r="AK361" s="705"/>
      <c r="AL361" s="705"/>
      <c r="AM361" s="705"/>
      <c r="AN361" s="705"/>
      <c r="AO361" s="705"/>
      <c r="AP361" s="705"/>
      <c r="AQ361" s="705"/>
      <c r="AR361" s="705"/>
      <c r="AS361" s="863"/>
      <c r="AT361" s="863"/>
      <c r="AU361" s="863"/>
      <c r="AV361" s="863"/>
      <c r="AW361" s="863"/>
      <c r="AX361" s="863"/>
      <c r="AY361" s="864"/>
    </row>
    <row r="362" spans="1:51" s="133" customFormat="1">
      <c r="A362" s="860"/>
      <c r="B362" s="860"/>
      <c r="C362" s="860"/>
      <c r="D362" s="860"/>
      <c r="E362" s="860"/>
      <c r="F362" s="860"/>
      <c r="G362" s="860"/>
      <c r="H362" s="860"/>
      <c r="I362" s="860"/>
      <c r="J362" s="860"/>
      <c r="K362" s="860"/>
      <c r="L362" s="705"/>
      <c r="M362" s="705"/>
      <c r="N362" s="705"/>
      <c r="O362" s="705"/>
      <c r="P362" s="705"/>
      <c r="Q362" s="705"/>
      <c r="R362" s="705"/>
      <c r="S362" s="705"/>
      <c r="T362" s="860"/>
      <c r="U362" s="705"/>
      <c r="V362" s="705"/>
      <c r="W362" s="705"/>
      <c r="X362" s="705"/>
      <c r="Y362" s="705"/>
      <c r="Z362" s="705"/>
      <c r="AA362" s="705"/>
      <c r="AB362" s="705"/>
      <c r="AC362" s="705"/>
      <c r="AD362" s="705"/>
      <c r="AE362" s="705"/>
      <c r="AF362" s="705"/>
      <c r="AG362" s="705"/>
      <c r="AH362" s="705"/>
      <c r="AI362" s="705"/>
      <c r="AJ362" s="705"/>
      <c r="AK362" s="705"/>
      <c r="AL362" s="705"/>
      <c r="AM362" s="705"/>
      <c r="AN362" s="705"/>
      <c r="AO362" s="705"/>
      <c r="AP362" s="705"/>
      <c r="AQ362" s="705"/>
      <c r="AR362" s="705"/>
      <c r="AS362" s="863"/>
      <c r="AT362" s="863"/>
      <c r="AU362" s="863"/>
      <c r="AV362" s="863"/>
      <c r="AW362" s="863"/>
      <c r="AX362" s="863"/>
      <c r="AY362" s="864"/>
    </row>
    <row r="363" spans="1:51" s="133" customFormat="1">
      <c r="A363" s="860"/>
      <c r="B363" s="860"/>
      <c r="C363" s="860"/>
      <c r="D363" s="860"/>
      <c r="E363" s="860"/>
      <c r="F363" s="860"/>
      <c r="G363" s="860"/>
      <c r="H363" s="860"/>
      <c r="I363" s="860"/>
      <c r="J363" s="860"/>
      <c r="K363" s="860"/>
      <c r="L363" s="705"/>
      <c r="M363" s="705"/>
      <c r="N363" s="705"/>
      <c r="O363" s="705"/>
      <c r="P363" s="705"/>
      <c r="Q363" s="705"/>
      <c r="R363" s="705"/>
      <c r="S363" s="705"/>
      <c r="T363" s="860"/>
      <c r="U363" s="705"/>
      <c r="V363" s="705"/>
      <c r="W363" s="705"/>
      <c r="X363" s="705"/>
      <c r="Y363" s="705"/>
      <c r="Z363" s="705"/>
      <c r="AA363" s="705"/>
      <c r="AB363" s="705"/>
      <c r="AC363" s="705"/>
      <c r="AD363" s="705"/>
      <c r="AE363" s="705"/>
      <c r="AF363" s="705"/>
      <c r="AG363" s="705"/>
      <c r="AH363" s="705"/>
      <c r="AI363" s="705"/>
      <c r="AJ363" s="705"/>
      <c r="AK363" s="705"/>
      <c r="AL363" s="705"/>
      <c r="AM363" s="705"/>
      <c r="AN363" s="705"/>
      <c r="AO363" s="705"/>
      <c r="AP363" s="705"/>
      <c r="AQ363" s="705"/>
      <c r="AR363" s="705"/>
      <c r="AS363" s="863"/>
      <c r="AT363" s="863"/>
      <c r="AU363" s="863"/>
      <c r="AV363" s="863"/>
      <c r="AW363" s="863"/>
      <c r="AX363" s="863"/>
      <c r="AY363" s="864"/>
    </row>
    <row r="364" spans="1:51" s="133" customFormat="1">
      <c r="A364" s="860"/>
      <c r="B364" s="860"/>
      <c r="C364" s="860"/>
      <c r="D364" s="860"/>
      <c r="E364" s="860"/>
      <c r="F364" s="860"/>
      <c r="G364" s="860"/>
      <c r="H364" s="860"/>
      <c r="I364" s="860"/>
      <c r="J364" s="860"/>
      <c r="K364" s="860"/>
      <c r="L364" s="705"/>
      <c r="M364" s="705"/>
      <c r="N364" s="705"/>
      <c r="O364" s="705"/>
      <c r="P364" s="705"/>
      <c r="Q364" s="705"/>
      <c r="R364" s="705"/>
      <c r="S364" s="705"/>
      <c r="T364" s="860"/>
      <c r="U364" s="705"/>
      <c r="V364" s="705"/>
      <c r="W364" s="705"/>
      <c r="X364" s="705"/>
      <c r="Y364" s="705"/>
      <c r="Z364" s="705"/>
      <c r="AA364" s="705"/>
      <c r="AB364" s="705"/>
      <c r="AC364" s="705"/>
      <c r="AD364" s="705"/>
      <c r="AE364" s="705"/>
      <c r="AF364" s="705"/>
      <c r="AG364" s="705"/>
      <c r="AH364" s="705"/>
      <c r="AI364" s="705"/>
      <c r="AJ364" s="705"/>
      <c r="AK364" s="705"/>
      <c r="AL364" s="705"/>
      <c r="AM364" s="705"/>
      <c r="AN364" s="705"/>
      <c r="AO364" s="705"/>
      <c r="AP364" s="705"/>
      <c r="AQ364" s="705"/>
      <c r="AR364" s="705"/>
      <c r="AS364" s="863"/>
      <c r="AT364" s="863"/>
      <c r="AU364" s="863"/>
      <c r="AV364" s="863"/>
      <c r="AW364" s="863"/>
      <c r="AX364" s="863"/>
      <c r="AY364" s="864"/>
    </row>
    <row r="365" spans="1:51" s="133" customFormat="1">
      <c r="A365" s="860"/>
      <c r="B365" s="860"/>
      <c r="C365" s="860"/>
      <c r="D365" s="860"/>
      <c r="E365" s="860"/>
      <c r="F365" s="860"/>
      <c r="G365" s="860"/>
      <c r="H365" s="860"/>
      <c r="I365" s="860"/>
      <c r="J365" s="860"/>
      <c r="K365" s="860"/>
      <c r="L365" s="705"/>
      <c r="M365" s="705"/>
      <c r="N365" s="705"/>
      <c r="O365" s="705"/>
      <c r="P365" s="705"/>
      <c r="Q365" s="705"/>
      <c r="R365" s="705"/>
      <c r="S365" s="705"/>
      <c r="T365" s="860"/>
      <c r="U365" s="705"/>
      <c r="V365" s="705"/>
      <c r="W365" s="705"/>
      <c r="X365" s="705"/>
      <c r="Y365" s="705"/>
      <c r="Z365" s="705"/>
      <c r="AA365" s="705"/>
      <c r="AB365" s="705"/>
      <c r="AC365" s="705"/>
      <c r="AD365" s="705"/>
      <c r="AE365" s="705"/>
      <c r="AF365" s="705"/>
      <c r="AG365" s="705"/>
      <c r="AH365" s="705"/>
      <c r="AI365" s="705"/>
      <c r="AJ365" s="705"/>
      <c r="AK365" s="705"/>
      <c r="AL365" s="705"/>
      <c r="AM365" s="705"/>
      <c r="AN365" s="705"/>
      <c r="AO365" s="705"/>
      <c r="AP365" s="705"/>
      <c r="AQ365" s="705"/>
      <c r="AR365" s="705"/>
      <c r="AS365" s="863"/>
      <c r="AT365" s="863"/>
      <c r="AU365" s="863"/>
      <c r="AV365" s="863"/>
      <c r="AW365" s="863"/>
      <c r="AX365" s="863"/>
      <c r="AY365" s="864"/>
    </row>
    <row r="366" spans="1:51" s="133" customFormat="1">
      <c r="A366" s="860"/>
      <c r="B366" s="860"/>
      <c r="C366" s="860"/>
      <c r="D366" s="860"/>
      <c r="E366" s="860"/>
      <c r="F366" s="860"/>
      <c r="G366" s="860"/>
      <c r="H366" s="860"/>
      <c r="I366" s="860"/>
      <c r="J366" s="860"/>
      <c r="K366" s="860"/>
      <c r="L366" s="705"/>
      <c r="M366" s="705"/>
      <c r="N366" s="705"/>
      <c r="O366" s="705"/>
      <c r="P366" s="705"/>
      <c r="Q366" s="705"/>
      <c r="R366" s="705"/>
      <c r="S366" s="705"/>
      <c r="T366" s="860"/>
      <c r="U366" s="705"/>
      <c r="V366" s="705"/>
      <c r="W366" s="705"/>
      <c r="X366" s="705"/>
      <c r="Y366" s="705"/>
      <c r="Z366" s="705"/>
      <c r="AA366" s="705"/>
      <c r="AB366" s="705"/>
      <c r="AC366" s="705"/>
      <c r="AD366" s="705"/>
      <c r="AE366" s="705"/>
      <c r="AF366" s="705"/>
      <c r="AG366" s="705"/>
      <c r="AH366" s="705"/>
      <c r="AI366" s="705"/>
      <c r="AJ366" s="705"/>
      <c r="AK366" s="705"/>
      <c r="AL366" s="705"/>
      <c r="AM366" s="705"/>
      <c r="AN366" s="705"/>
      <c r="AO366" s="705"/>
      <c r="AP366" s="705"/>
      <c r="AQ366" s="705"/>
      <c r="AR366" s="705"/>
      <c r="AS366" s="863"/>
      <c r="AT366" s="863"/>
      <c r="AU366" s="863"/>
      <c r="AV366" s="863"/>
      <c r="AW366" s="863"/>
      <c r="AX366" s="863"/>
      <c r="AY366" s="864"/>
    </row>
    <row r="367" spans="1:51" s="133" customFormat="1">
      <c r="A367" s="860"/>
      <c r="B367" s="860"/>
      <c r="C367" s="860"/>
      <c r="D367" s="860"/>
      <c r="E367" s="860"/>
      <c r="F367" s="860"/>
      <c r="G367" s="860"/>
      <c r="H367" s="860"/>
      <c r="I367" s="860"/>
      <c r="J367" s="860"/>
      <c r="K367" s="860"/>
      <c r="L367" s="705"/>
      <c r="M367" s="705"/>
      <c r="N367" s="705"/>
      <c r="O367" s="705"/>
      <c r="P367" s="705"/>
      <c r="Q367" s="705"/>
      <c r="R367" s="705"/>
      <c r="S367" s="705"/>
      <c r="T367" s="860"/>
      <c r="U367" s="705"/>
      <c r="V367" s="705"/>
      <c r="W367" s="705"/>
      <c r="X367" s="705"/>
      <c r="Y367" s="705"/>
      <c r="Z367" s="705"/>
      <c r="AA367" s="705"/>
      <c r="AB367" s="705"/>
      <c r="AC367" s="705"/>
      <c r="AD367" s="705"/>
      <c r="AE367" s="705"/>
      <c r="AF367" s="705"/>
      <c r="AG367" s="705"/>
      <c r="AH367" s="705"/>
      <c r="AI367" s="705"/>
      <c r="AJ367" s="705"/>
      <c r="AK367" s="705"/>
      <c r="AL367" s="705"/>
      <c r="AM367" s="705"/>
      <c r="AN367" s="705"/>
      <c r="AO367" s="705"/>
      <c r="AP367" s="705"/>
      <c r="AQ367" s="705"/>
      <c r="AR367" s="705"/>
      <c r="AS367" s="863"/>
      <c r="AT367" s="863"/>
      <c r="AU367" s="863"/>
      <c r="AV367" s="863"/>
      <c r="AW367" s="863"/>
      <c r="AX367" s="863"/>
      <c r="AY367" s="864"/>
    </row>
    <row r="368" spans="1:51" s="133" customFormat="1">
      <c r="A368" s="860"/>
      <c r="B368" s="860"/>
      <c r="C368" s="860"/>
      <c r="D368" s="860"/>
      <c r="E368" s="860"/>
      <c r="F368" s="860"/>
      <c r="G368" s="860"/>
      <c r="H368" s="860"/>
      <c r="I368" s="860"/>
      <c r="J368" s="860"/>
      <c r="K368" s="860"/>
      <c r="L368" s="705"/>
      <c r="M368" s="705"/>
      <c r="N368" s="705"/>
      <c r="O368" s="705"/>
      <c r="P368" s="705"/>
      <c r="Q368" s="705"/>
      <c r="R368" s="705"/>
      <c r="S368" s="705"/>
      <c r="T368" s="860"/>
      <c r="U368" s="705"/>
      <c r="V368" s="705"/>
      <c r="W368" s="705"/>
      <c r="X368" s="705"/>
      <c r="Y368" s="705"/>
      <c r="Z368" s="705"/>
      <c r="AA368" s="705"/>
      <c r="AB368" s="705"/>
      <c r="AC368" s="705"/>
      <c r="AD368" s="705"/>
      <c r="AE368" s="705"/>
      <c r="AF368" s="705"/>
      <c r="AG368" s="705"/>
      <c r="AH368" s="705"/>
      <c r="AI368" s="705"/>
      <c r="AJ368" s="705"/>
      <c r="AK368" s="705"/>
      <c r="AL368" s="705"/>
      <c r="AM368" s="705"/>
      <c r="AN368" s="705"/>
      <c r="AO368" s="705"/>
      <c r="AP368" s="705"/>
      <c r="AQ368" s="705"/>
      <c r="AR368" s="705"/>
      <c r="AS368" s="863"/>
      <c r="AT368" s="863"/>
      <c r="AU368" s="863"/>
      <c r="AV368" s="863"/>
      <c r="AW368" s="863"/>
      <c r="AX368" s="863"/>
      <c r="AY368" s="864"/>
    </row>
    <row r="369" spans="1:51" s="133" customFormat="1">
      <c r="A369" s="860"/>
      <c r="B369" s="860"/>
      <c r="C369" s="860"/>
      <c r="D369" s="860"/>
      <c r="E369" s="860"/>
      <c r="F369" s="860"/>
      <c r="G369" s="860"/>
      <c r="H369" s="860"/>
      <c r="I369" s="860"/>
      <c r="J369" s="860"/>
      <c r="K369" s="860"/>
      <c r="L369" s="705"/>
      <c r="M369" s="705"/>
      <c r="N369" s="705"/>
      <c r="O369" s="705"/>
      <c r="P369" s="705"/>
      <c r="Q369" s="705"/>
      <c r="R369" s="705"/>
      <c r="S369" s="705"/>
      <c r="T369" s="860"/>
      <c r="U369" s="705"/>
      <c r="V369" s="705"/>
      <c r="W369" s="705"/>
      <c r="X369" s="705"/>
      <c r="Y369" s="705"/>
      <c r="Z369" s="705"/>
      <c r="AA369" s="705"/>
      <c r="AB369" s="705"/>
      <c r="AC369" s="705"/>
      <c r="AD369" s="705"/>
      <c r="AE369" s="705"/>
      <c r="AF369" s="705"/>
      <c r="AG369" s="705"/>
      <c r="AH369" s="705"/>
      <c r="AI369" s="705"/>
      <c r="AJ369" s="705"/>
      <c r="AK369" s="705"/>
      <c r="AL369" s="705"/>
      <c r="AM369" s="705"/>
      <c r="AN369" s="705"/>
      <c r="AO369" s="705"/>
      <c r="AP369" s="705"/>
      <c r="AQ369" s="705"/>
      <c r="AR369" s="705"/>
      <c r="AS369" s="863"/>
      <c r="AT369" s="863"/>
      <c r="AU369" s="863"/>
      <c r="AV369" s="863"/>
      <c r="AW369" s="863"/>
      <c r="AX369" s="863"/>
      <c r="AY369" s="864"/>
    </row>
    <row r="370" spans="1:51" s="133" customFormat="1">
      <c r="A370" s="860"/>
      <c r="B370" s="860"/>
      <c r="C370" s="860"/>
      <c r="D370" s="860"/>
      <c r="E370" s="860"/>
      <c r="F370" s="860"/>
      <c r="G370" s="860"/>
      <c r="H370" s="860"/>
      <c r="I370" s="860"/>
      <c r="J370" s="860"/>
      <c r="K370" s="860"/>
      <c r="L370" s="705"/>
      <c r="M370" s="705"/>
      <c r="N370" s="705"/>
      <c r="O370" s="705"/>
      <c r="P370" s="705"/>
      <c r="Q370" s="705"/>
      <c r="R370" s="705"/>
      <c r="S370" s="705"/>
      <c r="T370" s="860"/>
      <c r="U370" s="705"/>
      <c r="V370" s="705"/>
      <c r="W370" s="705"/>
      <c r="X370" s="705"/>
      <c r="Y370" s="705"/>
      <c r="Z370" s="705"/>
      <c r="AA370" s="705"/>
      <c r="AB370" s="705"/>
      <c r="AC370" s="705"/>
      <c r="AD370" s="705"/>
      <c r="AE370" s="705"/>
      <c r="AF370" s="705"/>
      <c r="AG370" s="705"/>
      <c r="AH370" s="705"/>
      <c r="AI370" s="705"/>
      <c r="AJ370" s="705"/>
      <c r="AK370" s="705"/>
      <c r="AL370" s="705"/>
      <c r="AM370" s="705"/>
      <c r="AN370" s="705"/>
      <c r="AO370" s="705"/>
      <c r="AP370" s="705"/>
      <c r="AQ370" s="705"/>
      <c r="AR370" s="705"/>
      <c r="AS370" s="863"/>
      <c r="AT370" s="863"/>
      <c r="AU370" s="863"/>
      <c r="AV370" s="863"/>
      <c r="AW370" s="863"/>
      <c r="AX370" s="863"/>
      <c r="AY370" s="864"/>
    </row>
    <row r="371" spans="1:51" s="133" customFormat="1">
      <c r="A371" s="860"/>
      <c r="B371" s="860"/>
      <c r="C371" s="860"/>
      <c r="D371" s="860"/>
      <c r="E371" s="860"/>
      <c r="F371" s="860"/>
      <c r="G371" s="860"/>
      <c r="H371" s="860"/>
      <c r="I371" s="860"/>
      <c r="J371" s="860"/>
      <c r="K371" s="860"/>
      <c r="L371" s="705"/>
      <c r="M371" s="705"/>
      <c r="N371" s="705"/>
      <c r="O371" s="705"/>
      <c r="P371" s="705"/>
      <c r="Q371" s="705"/>
      <c r="R371" s="705"/>
      <c r="S371" s="705"/>
      <c r="T371" s="860"/>
      <c r="U371" s="705"/>
      <c r="V371" s="705"/>
      <c r="W371" s="705"/>
      <c r="X371" s="705"/>
      <c r="Y371" s="705"/>
      <c r="Z371" s="705"/>
      <c r="AA371" s="705"/>
      <c r="AB371" s="705"/>
      <c r="AC371" s="705"/>
      <c r="AD371" s="705"/>
      <c r="AE371" s="705"/>
      <c r="AF371" s="705"/>
      <c r="AG371" s="705"/>
      <c r="AH371" s="705"/>
      <c r="AI371" s="705"/>
      <c r="AJ371" s="705"/>
      <c r="AK371" s="705"/>
      <c r="AL371" s="705"/>
      <c r="AM371" s="705"/>
      <c r="AN371" s="705"/>
      <c r="AO371" s="705"/>
      <c r="AP371" s="705"/>
      <c r="AQ371" s="705"/>
      <c r="AR371" s="705"/>
      <c r="AS371" s="863"/>
      <c r="AT371" s="863"/>
      <c r="AU371" s="863"/>
      <c r="AV371" s="863"/>
      <c r="AW371" s="863"/>
      <c r="AX371" s="863"/>
      <c r="AY371" s="864"/>
    </row>
    <row r="372" spans="1:51" s="133" customFormat="1">
      <c r="A372" s="860"/>
      <c r="B372" s="860"/>
      <c r="C372" s="860"/>
      <c r="D372" s="860"/>
      <c r="E372" s="860"/>
      <c r="F372" s="860"/>
      <c r="G372" s="860"/>
      <c r="H372" s="860"/>
      <c r="I372" s="860"/>
      <c r="J372" s="860"/>
      <c r="K372" s="860"/>
      <c r="L372" s="705"/>
      <c r="M372" s="705"/>
      <c r="N372" s="705"/>
      <c r="O372" s="705"/>
      <c r="P372" s="705"/>
      <c r="Q372" s="705"/>
      <c r="R372" s="705"/>
      <c r="S372" s="705"/>
      <c r="T372" s="860"/>
      <c r="U372" s="705"/>
      <c r="V372" s="705"/>
      <c r="W372" s="705"/>
      <c r="X372" s="705"/>
      <c r="Y372" s="705"/>
      <c r="Z372" s="705"/>
      <c r="AA372" s="705"/>
      <c r="AB372" s="705"/>
      <c r="AC372" s="705"/>
      <c r="AD372" s="705"/>
      <c r="AE372" s="705"/>
      <c r="AF372" s="705"/>
      <c r="AG372" s="705"/>
      <c r="AH372" s="705"/>
      <c r="AI372" s="705"/>
      <c r="AJ372" s="705"/>
      <c r="AK372" s="705"/>
      <c r="AL372" s="705"/>
      <c r="AM372" s="705"/>
      <c r="AN372" s="705"/>
      <c r="AO372" s="705"/>
      <c r="AP372" s="705"/>
      <c r="AQ372" s="705"/>
      <c r="AR372" s="705"/>
      <c r="AS372" s="863"/>
      <c r="AT372" s="863"/>
      <c r="AU372" s="863"/>
      <c r="AV372" s="863"/>
      <c r="AW372" s="863"/>
      <c r="AX372" s="863"/>
      <c r="AY372" s="864"/>
    </row>
    <row r="373" spans="1:51" s="133" customFormat="1">
      <c r="A373" s="860"/>
      <c r="B373" s="860"/>
      <c r="C373" s="860"/>
      <c r="D373" s="860"/>
      <c r="E373" s="860"/>
      <c r="F373" s="860"/>
      <c r="G373" s="860"/>
      <c r="H373" s="860"/>
      <c r="I373" s="860"/>
      <c r="J373" s="860"/>
      <c r="K373" s="860"/>
      <c r="L373" s="705"/>
      <c r="M373" s="705"/>
      <c r="N373" s="705"/>
      <c r="O373" s="705"/>
      <c r="P373" s="705"/>
      <c r="Q373" s="705"/>
      <c r="R373" s="705"/>
      <c r="S373" s="705"/>
      <c r="T373" s="860"/>
      <c r="U373" s="705"/>
      <c r="V373" s="705"/>
      <c r="W373" s="705"/>
      <c r="X373" s="705"/>
      <c r="Y373" s="705"/>
      <c r="Z373" s="705"/>
      <c r="AA373" s="705"/>
      <c r="AB373" s="705"/>
      <c r="AC373" s="705"/>
      <c r="AD373" s="705"/>
      <c r="AE373" s="705"/>
      <c r="AF373" s="705"/>
      <c r="AG373" s="705"/>
      <c r="AH373" s="705"/>
      <c r="AI373" s="705"/>
      <c r="AJ373" s="705"/>
      <c r="AK373" s="705"/>
      <c r="AL373" s="705"/>
      <c r="AM373" s="705"/>
      <c r="AN373" s="705"/>
      <c r="AO373" s="705"/>
      <c r="AP373" s="705"/>
      <c r="AQ373" s="705"/>
      <c r="AR373" s="705"/>
      <c r="AS373" s="863"/>
      <c r="AT373" s="863"/>
      <c r="AU373" s="863"/>
      <c r="AV373" s="863"/>
      <c r="AW373" s="863"/>
      <c r="AX373" s="863"/>
      <c r="AY373" s="864"/>
    </row>
    <row r="374" spans="1:51" s="133" customFormat="1">
      <c r="A374" s="860"/>
      <c r="B374" s="860"/>
      <c r="C374" s="860"/>
      <c r="D374" s="860"/>
      <c r="E374" s="860"/>
      <c r="F374" s="860"/>
      <c r="G374" s="860"/>
      <c r="H374" s="860"/>
      <c r="I374" s="860"/>
      <c r="J374" s="860"/>
      <c r="K374" s="860"/>
      <c r="L374" s="705"/>
      <c r="M374" s="705"/>
      <c r="N374" s="705"/>
      <c r="O374" s="705"/>
      <c r="P374" s="705"/>
      <c r="Q374" s="705"/>
      <c r="R374" s="705"/>
      <c r="S374" s="705"/>
      <c r="T374" s="860"/>
      <c r="U374" s="705"/>
      <c r="V374" s="705"/>
      <c r="W374" s="705"/>
      <c r="X374" s="705"/>
      <c r="Y374" s="705"/>
      <c r="Z374" s="705"/>
      <c r="AA374" s="705"/>
      <c r="AB374" s="705"/>
      <c r="AC374" s="705"/>
      <c r="AD374" s="705"/>
      <c r="AE374" s="705"/>
      <c r="AF374" s="705"/>
      <c r="AG374" s="705"/>
      <c r="AH374" s="705"/>
      <c r="AI374" s="705"/>
      <c r="AJ374" s="705"/>
      <c r="AK374" s="705"/>
      <c r="AL374" s="705"/>
      <c r="AM374" s="705"/>
      <c r="AN374" s="705"/>
      <c r="AO374" s="705"/>
      <c r="AP374" s="705"/>
      <c r="AQ374" s="705"/>
      <c r="AR374" s="705"/>
      <c r="AS374" s="863"/>
      <c r="AT374" s="863"/>
      <c r="AU374" s="863"/>
      <c r="AV374" s="863"/>
      <c r="AW374" s="863"/>
      <c r="AX374" s="863"/>
      <c r="AY374" s="864"/>
    </row>
    <row r="375" spans="1:51" s="133" customFormat="1">
      <c r="A375" s="860"/>
      <c r="B375" s="860"/>
      <c r="C375" s="860"/>
      <c r="D375" s="860"/>
      <c r="E375" s="860"/>
      <c r="F375" s="860"/>
      <c r="G375" s="860"/>
      <c r="H375" s="860"/>
      <c r="I375" s="860"/>
      <c r="J375" s="860"/>
      <c r="K375" s="860"/>
      <c r="L375" s="705"/>
      <c r="M375" s="705"/>
      <c r="N375" s="705"/>
      <c r="O375" s="705"/>
      <c r="P375" s="705"/>
      <c r="Q375" s="705"/>
      <c r="R375" s="705"/>
      <c r="S375" s="705"/>
      <c r="T375" s="860"/>
      <c r="U375" s="705"/>
      <c r="V375" s="705"/>
      <c r="W375" s="705"/>
      <c r="X375" s="705"/>
      <c r="Y375" s="705"/>
      <c r="Z375" s="705"/>
      <c r="AA375" s="705"/>
      <c r="AB375" s="705"/>
      <c r="AC375" s="705"/>
      <c r="AD375" s="705"/>
      <c r="AE375" s="705"/>
      <c r="AF375" s="705"/>
      <c r="AG375" s="705"/>
      <c r="AH375" s="705"/>
      <c r="AI375" s="705"/>
      <c r="AJ375" s="705"/>
      <c r="AK375" s="705"/>
      <c r="AL375" s="705"/>
      <c r="AM375" s="705"/>
      <c r="AN375" s="705"/>
      <c r="AO375" s="705"/>
      <c r="AP375" s="705"/>
      <c r="AQ375" s="705"/>
      <c r="AR375" s="705"/>
      <c r="AS375" s="863"/>
      <c r="AT375" s="863"/>
      <c r="AU375" s="863"/>
      <c r="AV375" s="863"/>
      <c r="AW375" s="863"/>
      <c r="AX375" s="863"/>
      <c r="AY375" s="864"/>
    </row>
    <row r="376" spans="1:51" s="133" customFormat="1">
      <c r="A376" s="860"/>
      <c r="B376" s="860"/>
      <c r="C376" s="860"/>
      <c r="D376" s="860"/>
      <c r="E376" s="860"/>
      <c r="F376" s="860"/>
      <c r="G376" s="860"/>
      <c r="H376" s="860"/>
      <c r="I376" s="860"/>
      <c r="J376" s="860"/>
      <c r="K376" s="860"/>
      <c r="L376" s="705"/>
      <c r="M376" s="705"/>
      <c r="N376" s="705"/>
      <c r="O376" s="705"/>
      <c r="P376" s="705"/>
      <c r="Q376" s="705"/>
      <c r="R376" s="705"/>
      <c r="S376" s="705"/>
      <c r="T376" s="860"/>
      <c r="U376" s="705"/>
      <c r="V376" s="705"/>
      <c r="W376" s="705"/>
      <c r="X376" s="705"/>
      <c r="Y376" s="705"/>
      <c r="Z376" s="705"/>
      <c r="AA376" s="705"/>
      <c r="AB376" s="705"/>
      <c r="AC376" s="705"/>
      <c r="AD376" s="705"/>
      <c r="AE376" s="705"/>
      <c r="AF376" s="705"/>
      <c r="AG376" s="705"/>
      <c r="AH376" s="705"/>
      <c r="AI376" s="705"/>
      <c r="AJ376" s="705"/>
      <c r="AK376" s="705"/>
      <c r="AL376" s="705"/>
      <c r="AM376" s="705"/>
      <c r="AN376" s="705"/>
      <c r="AO376" s="705"/>
      <c r="AP376" s="705"/>
      <c r="AQ376" s="705"/>
      <c r="AR376" s="705"/>
      <c r="AS376" s="863"/>
      <c r="AT376" s="863"/>
      <c r="AU376" s="863"/>
      <c r="AV376" s="863"/>
      <c r="AW376" s="863"/>
      <c r="AX376" s="863"/>
      <c r="AY376" s="864"/>
    </row>
    <row r="377" spans="1:51" s="133" customFormat="1">
      <c r="A377" s="860"/>
      <c r="B377" s="860"/>
      <c r="C377" s="860"/>
      <c r="D377" s="860"/>
      <c r="E377" s="860"/>
      <c r="F377" s="860"/>
      <c r="G377" s="860"/>
      <c r="H377" s="860"/>
      <c r="I377" s="860"/>
      <c r="J377" s="860"/>
      <c r="K377" s="860"/>
      <c r="L377" s="705"/>
      <c r="M377" s="705"/>
      <c r="N377" s="705"/>
      <c r="O377" s="705"/>
      <c r="P377" s="705"/>
      <c r="Q377" s="705"/>
      <c r="R377" s="705"/>
      <c r="S377" s="705"/>
      <c r="T377" s="860"/>
      <c r="U377" s="705"/>
      <c r="V377" s="705"/>
      <c r="W377" s="705"/>
      <c r="X377" s="705"/>
      <c r="Y377" s="705"/>
      <c r="Z377" s="705"/>
      <c r="AA377" s="705"/>
      <c r="AB377" s="705"/>
      <c r="AC377" s="705"/>
      <c r="AD377" s="705"/>
      <c r="AE377" s="705"/>
      <c r="AF377" s="705"/>
      <c r="AG377" s="705"/>
      <c r="AH377" s="705"/>
      <c r="AI377" s="705"/>
      <c r="AJ377" s="705"/>
      <c r="AK377" s="705"/>
      <c r="AL377" s="705"/>
      <c r="AM377" s="705"/>
      <c r="AN377" s="705"/>
      <c r="AO377" s="705"/>
      <c r="AP377" s="705"/>
      <c r="AQ377" s="705"/>
      <c r="AR377" s="705"/>
      <c r="AS377" s="863"/>
      <c r="AT377" s="863"/>
      <c r="AU377" s="863"/>
      <c r="AV377" s="863"/>
      <c r="AW377" s="863"/>
      <c r="AX377" s="863"/>
      <c r="AY377" s="864"/>
    </row>
    <row r="378" spans="1:51" s="133" customFormat="1">
      <c r="A378" s="860"/>
      <c r="B378" s="860"/>
      <c r="C378" s="860"/>
      <c r="D378" s="860"/>
      <c r="E378" s="860"/>
      <c r="F378" s="860"/>
      <c r="G378" s="860"/>
      <c r="H378" s="860"/>
      <c r="I378" s="860"/>
      <c r="J378" s="860"/>
      <c r="K378" s="860"/>
      <c r="L378" s="705"/>
      <c r="M378" s="705"/>
      <c r="N378" s="705"/>
      <c r="O378" s="705"/>
      <c r="P378" s="705"/>
      <c r="Q378" s="705"/>
      <c r="R378" s="705"/>
      <c r="S378" s="705"/>
      <c r="T378" s="860"/>
      <c r="U378" s="705"/>
      <c r="V378" s="705"/>
      <c r="W378" s="705"/>
      <c r="X378" s="705"/>
      <c r="Y378" s="705"/>
      <c r="Z378" s="705"/>
      <c r="AA378" s="705"/>
      <c r="AB378" s="705"/>
      <c r="AC378" s="705"/>
      <c r="AD378" s="705"/>
      <c r="AE378" s="705"/>
      <c r="AF378" s="705"/>
      <c r="AG378" s="705"/>
      <c r="AH378" s="705"/>
      <c r="AI378" s="705"/>
      <c r="AJ378" s="705"/>
      <c r="AK378" s="705"/>
      <c r="AL378" s="705"/>
      <c r="AM378" s="705"/>
      <c r="AN378" s="705"/>
      <c r="AO378" s="705"/>
      <c r="AP378" s="705"/>
      <c r="AQ378" s="705"/>
      <c r="AR378" s="705"/>
      <c r="AS378" s="863"/>
      <c r="AT378" s="863"/>
      <c r="AU378" s="863"/>
      <c r="AV378" s="863"/>
      <c r="AW378" s="863"/>
      <c r="AX378" s="863"/>
      <c r="AY378" s="864"/>
    </row>
    <row r="379" spans="1:51" s="133" customFormat="1">
      <c r="A379" s="860"/>
      <c r="B379" s="860"/>
      <c r="C379" s="860"/>
      <c r="D379" s="860"/>
      <c r="E379" s="860"/>
      <c r="F379" s="860"/>
      <c r="G379" s="860"/>
      <c r="H379" s="860"/>
      <c r="I379" s="860"/>
      <c r="J379" s="860"/>
      <c r="K379" s="860"/>
      <c r="L379" s="705"/>
      <c r="M379" s="705"/>
      <c r="N379" s="705"/>
      <c r="O379" s="705"/>
      <c r="P379" s="705"/>
      <c r="Q379" s="705"/>
      <c r="R379" s="705"/>
      <c r="S379" s="705"/>
      <c r="T379" s="860"/>
      <c r="U379" s="705"/>
      <c r="V379" s="705"/>
      <c r="W379" s="705"/>
      <c r="X379" s="705"/>
      <c r="Y379" s="705"/>
      <c r="Z379" s="705"/>
      <c r="AA379" s="705"/>
      <c r="AB379" s="705"/>
      <c r="AC379" s="705"/>
      <c r="AD379" s="705"/>
      <c r="AE379" s="705"/>
      <c r="AF379" s="705"/>
      <c r="AG379" s="705"/>
      <c r="AH379" s="705"/>
      <c r="AI379" s="705"/>
      <c r="AJ379" s="705"/>
      <c r="AK379" s="705"/>
      <c r="AL379" s="705"/>
      <c r="AM379" s="705"/>
      <c r="AN379" s="705"/>
      <c r="AO379" s="705"/>
      <c r="AP379" s="705"/>
      <c r="AQ379" s="705"/>
      <c r="AR379" s="705"/>
      <c r="AS379" s="863"/>
      <c r="AT379" s="863"/>
      <c r="AU379" s="863"/>
      <c r="AV379" s="863"/>
      <c r="AW379" s="863"/>
      <c r="AX379" s="863"/>
      <c r="AY379" s="864"/>
    </row>
    <row r="380" spans="1:51" s="9" customFormat="1">
      <c r="A380" s="860"/>
      <c r="B380" s="860"/>
      <c r="C380" s="860"/>
      <c r="D380" s="860"/>
      <c r="E380" s="860"/>
      <c r="F380" s="860"/>
      <c r="G380" s="860"/>
      <c r="H380" s="860"/>
      <c r="I380" s="860"/>
      <c r="J380" s="860"/>
      <c r="K380" s="860"/>
      <c r="L380" s="705"/>
      <c r="M380" s="705"/>
      <c r="N380" s="705"/>
      <c r="O380" s="705"/>
      <c r="P380" s="705"/>
      <c r="Q380" s="705"/>
      <c r="R380" s="705"/>
      <c r="S380" s="705"/>
      <c r="T380" s="860"/>
      <c r="U380" s="705"/>
      <c r="V380" s="705"/>
      <c r="W380" s="705"/>
      <c r="X380" s="705"/>
      <c r="Y380" s="705"/>
      <c r="Z380" s="705"/>
      <c r="AA380" s="705"/>
      <c r="AB380" s="705"/>
      <c r="AC380" s="705"/>
      <c r="AD380" s="705"/>
      <c r="AE380" s="705"/>
      <c r="AF380" s="705"/>
      <c r="AG380" s="705"/>
      <c r="AH380" s="705"/>
      <c r="AI380" s="705"/>
      <c r="AJ380" s="705"/>
      <c r="AK380" s="705"/>
      <c r="AL380" s="705"/>
      <c r="AM380" s="705"/>
      <c r="AN380" s="705"/>
      <c r="AO380" s="705"/>
      <c r="AP380" s="705"/>
      <c r="AQ380" s="705"/>
      <c r="AR380" s="705"/>
      <c r="AS380" s="863"/>
      <c r="AT380" s="863"/>
      <c r="AU380" s="863"/>
      <c r="AV380" s="863"/>
      <c r="AW380" s="863"/>
      <c r="AX380" s="863"/>
      <c r="AY380" s="864"/>
    </row>
    <row r="381" spans="1:51" s="133" customFormat="1">
      <c r="A381" s="860"/>
      <c r="B381" s="860"/>
      <c r="C381" s="860"/>
      <c r="D381" s="860"/>
      <c r="E381" s="860"/>
      <c r="F381" s="860"/>
      <c r="G381" s="860"/>
      <c r="H381" s="860"/>
      <c r="I381" s="860"/>
      <c r="J381" s="860"/>
      <c r="K381" s="860"/>
      <c r="L381" s="705"/>
      <c r="M381" s="705"/>
      <c r="N381" s="705"/>
      <c r="O381" s="705"/>
      <c r="P381" s="705"/>
      <c r="Q381" s="705"/>
      <c r="R381" s="705"/>
      <c r="S381" s="705"/>
      <c r="T381" s="860"/>
      <c r="U381" s="705"/>
      <c r="V381" s="705"/>
      <c r="W381" s="705"/>
      <c r="X381" s="705"/>
      <c r="Y381" s="705"/>
      <c r="Z381" s="705"/>
      <c r="AA381" s="705"/>
      <c r="AB381" s="705"/>
      <c r="AC381" s="705"/>
      <c r="AD381" s="705"/>
      <c r="AE381" s="705"/>
      <c r="AF381" s="705"/>
      <c r="AG381" s="705"/>
      <c r="AH381" s="705"/>
      <c r="AI381" s="705"/>
      <c r="AJ381" s="705"/>
      <c r="AK381" s="705"/>
      <c r="AL381" s="705"/>
      <c r="AM381" s="705"/>
      <c r="AN381" s="705"/>
      <c r="AO381" s="705"/>
      <c r="AP381" s="705"/>
      <c r="AQ381" s="705"/>
      <c r="AR381" s="705"/>
      <c r="AS381" s="863"/>
      <c r="AT381" s="863"/>
      <c r="AU381" s="863"/>
      <c r="AV381" s="863"/>
      <c r="AW381" s="863"/>
      <c r="AX381" s="863"/>
      <c r="AY381" s="864"/>
    </row>
    <row r="382" spans="1:51" s="133" customFormat="1">
      <c r="A382" s="860"/>
      <c r="B382" s="860"/>
      <c r="C382" s="860"/>
      <c r="D382" s="860"/>
      <c r="E382" s="860"/>
      <c r="F382" s="860"/>
      <c r="G382" s="860"/>
      <c r="H382" s="860"/>
      <c r="I382" s="860"/>
      <c r="J382" s="860"/>
      <c r="K382" s="860"/>
      <c r="L382" s="705"/>
      <c r="M382" s="705"/>
      <c r="N382" s="705"/>
      <c r="O382" s="705"/>
      <c r="P382" s="705"/>
      <c r="Q382" s="705"/>
      <c r="R382" s="705"/>
      <c r="S382" s="705"/>
      <c r="T382" s="860"/>
      <c r="U382" s="705"/>
      <c r="V382" s="705"/>
      <c r="W382" s="705"/>
      <c r="X382" s="705"/>
      <c r="Y382" s="705"/>
      <c r="Z382" s="705"/>
      <c r="AA382" s="705"/>
      <c r="AB382" s="705"/>
      <c r="AC382" s="705"/>
      <c r="AD382" s="705"/>
      <c r="AE382" s="705"/>
      <c r="AF382" s="705"/>
      <c r="AG382" s="705"/>
      <c r="AH382" s="705"/>
      <c r="AI382" s="705"/>
      <c r="AJ382" s="705"/>
      <c r="AK382" s="705"/>
      <c r="AL382" s="705"/>
      <c r="AM382" s="705"/>
      <c r="AN382" s="705"/>
      <c r="AO382" s="705"/>
      <c r="AP382" s="705"/>
      <c r="AQ382" s="705"/>
      <c r="AR382" s="705"/>
      <c r="AS382" s="863"/>
      <c r="AT382" s="863"/>
      <c r="AU382" s="863"/>
      <c r="AV382" s="863"/>
      <c r="AW382" s="863"/>
      <c r="AX382" s="863"/>
      <c r="AY382" s="864"/>
    </row>
    <row r="383" spans="1:51" s="133" customFormat="1">
      <c r="A383" s="860"/>
      <c r="B383" s="860"/>
      <c r="C383" s="860"/>
      <c r="D383" s="860"/>
      <c r="E383" s="860"/>
      <c r="F383" s="860"/>
      <c r="G383" s="860"/>
      <c r="H383" s="860"/>
      <c r="I383" s="860"/>
      <c r="J383" s="860"/>
      <c r="K383" s="860"/>
      <c r="L383" s="705"/>
      <c r="M383" s="705"/>
      <c r="N383" s="705"/>
      <c r="O383" s="705"/>
      <c r="P383" s="705"/>
      <c r="Q383" s="705"/>
      <c r="R383" s="705"/>
      <c r="S383" s="705"/>
      <c r="T383" s="860"/>
      <c r="U383" s="705"/>
      <c r="V383" s="705"/>
      <c r="W383" s="705"/>
      <c r="X383" s="705"/>
      <c r="Y383" s="705"/>
      <c r="Z383" s="705"/>
      <c r="AA383" s="705"/>
      <c r="AB383" s="705"/>
      <c r="AC383" s="705"/>
      <c r="AD383" s="705"/>
      <c r="AE383" s="705"/>
      <c r="AF383" s="705"/>
      <c r="AG383" s="705"/>
      <c r="AH383" s="705"/>
      <c r="AI383" s="705"/>
      <c r="AJ383" s="705"/>
      <c r="AK383" s="705"/>
      <c r="AL383" s="705"/>
      <c r="AM383" s="705"/>
      <c r="AN383" s="705"/>
      <c r="AO383" s="705"/>
      <c r="AP383" s="705"/>
      <c r="AQ383" s="705"/>
      <c r="AR383" s="705"/>
      <c r="AS383" s="863"/>
      <c r="AT383" s="863"/>
      <c r="AU383" s="863"/>
      <c r="AV383" s="863"/>
      <c r="AW383" s="863"/>
      <c r="AX383" s="863"/>
      <c r="AY383" s="864"/>
    </row>
    <row r="384" spans="1:51" s="133" customFormat="1">
      <c r="A384" s="860"/>
      <c r="B384" s="860"/>
      <c r="C384" s="860"/>
      <c r="D384" s="860"/>
      <c r="E384" s="860"/>
      <c r="F384" s="860"/>
      <c r="G384" s="860"/>
      <c r="H384" s="860"/>
      <c r="I384" s="860"/>
      <c r="J384" s="860"/>
      <c r="K384" s="860"/>
      <c r="L384" s="705"/>
      <c r="M384" s="705"/>
      <c r="N384" s="705"/>
      <c r="O384" s="705"/>
      <c r="P384" s="705"/>
      <c r="Q384" s="705"/>
      <c r="R384" s="705"/>
      <c r="S384" s="705"/>
      <c r="T384" s="860"/>
      <c r="U384" s="705"/>
      <c r="V384" s="705"/>
      <c r="W384" s="705"/>
      <c r="X384" s="705"/>
      <c r="Y384" s="705"/>
      <c r="Z384" s="705"/>
      <c r="AA384" s="705"/>
      <c r="AB384" s="705"/>
      <c r="AC384" s="705"/>
      <c r="AD384" s="705"/>
      <c r="AE384" s="705"/>
      <c r="AF384" s="705"/>
      <c r="AG384" s="705"/>
      <c r="AH384" s="705"/>
      <c r="AI384" s="705"/>
      <c r="AJ384" s="705"/>
      <c r="AK384" s="705"/>
      <c r="AL384" s="705"/>
      <c r="AM384" s="705"/>
      <c r="AN384" s="705"/>
      <c r="AO384" s="705"/>
      <c r="AP384" s="705"/>
      <c r="AQ384" s="705"/>
      <c r="AR384" s="705"/>
      <c r="AS384" s="863"/>
      <c r="AT384" s="863"/>
      <c r="AU384" s="863"/>
      <c r="AV384" s="863"/>
      <c r="AW384" s="863"/>
      <c r="AX384" s="863"/>
      <c r="AY384" s="864"/>
    </row>
    <row r="385" spans="1:51" s="133" customFormat="1">
      <c r="A385" s="860"/>
      <c r="B385" s="860"/>
      <c r="C385" s="860"/>
      <c r="D385" s="860"/>
      <c r="E385" s="860"/>
      <c r="F385" s="860"/>
      <c r="G385" s="860"/>
      <c r="H385" s="860"/>
      <c r="I385" s="860"/>
      <c r="J385" s="860"/>
      <c r="K385" s="860"/>
      <c r="L385" s="705"/>
      <c r="M385" s="705"/>
      <c r="N385" s="705"/>
      <c r="O385" s="705"/>
      <c r="P385" s="705"/>
      <c r="Q385" s="705"/>
      <c r="R385" s="705"/>
      <c r="S385" s="705"/>
      <c r="T385" s="860"/>
      <c r="U385" s="705"/>
      <c r="V385" s="705"/>
      <c r="W385" s="705"/>
      <c r="X385" s="705"/>
      <c r="Y385" s="705"/>
      <c r="Z385" s="705"/>
      <c r="AA385" s="705"/>
      <c r="AB385" s="705"/>
      <c r="AC385" s="705"/>
      <c r="AD385" s="705"/>
      <c r="AE385" s="705"/>
      <c r="AF385" s="705"/>
      <c r="AG385" s="705"/>
      <c r="AH385" s="705"/>
      <c r="AI385" s="705"/>
      <c r="AJ385" s="705"/>
      <c r="AK385" s="705"/>
      <c r="AL385" s="705"/>
      <c r="AM385" s="705"/>
      <c r="AN385" s="705"/>
      <c r="AO385" s="705"/>
      <c r="AP385" s="705"/>
      <c r="AQ385" s="705"/>
      <c r="AR385" s="705"/>
      <c r="AS385" s="863"/>
      <c r="AT385" s="863"/>
      <c r="AU385" s="863"/>
      <c r="AV385" s="863"/>
      <c r="AW385" s="863"/>
      <c r="AX385" s="863"/>
      <c r="AY385" s="864"/>
    </row>
    <row r="386" spans="1:51" s="133" customFormat="1">
      <c r="A386" s="860"/>
      <c r="B386" s="860"/>
      <c r="C386" s="860"/>
      <c r="D386" s="860"/>
      <c r="E386" s="860"/>
      <c r="F386" s="860"/>
      <c r="G386" s="860"/>
      <c r="H386" s="860"/>
      <c r="I386" s="860"/>
      <c r="J386" s="860"/>
      <c r="K386" s="860"/>
      <c r="L386" s="705"/>
      <c r="M386" s="705"/>
      <c r="N386" s="705"/>
      <c r="O386" s="705"/>
      <c r="P386" s="705"/>
      <c r="Q386" s="705"/>
      <c r="R386" s="705"/>
      <c r="S386" s="705"/>
      <c r="T386" s="860"/>
      <c r="U386" s="705"/>
      <c r="V386" s="705"/>
      <c r="W386" s="705"/>
      <c r="X386" s="705"/>
      <c r="Y386" s="705"/>
      <c r="Z386" s="705"/>
      <c r="AA386" s="705"/>
      <c r="AB386" s="705"/>
      <c r="AC386" s="705"/>
      <c r="AD386" s="705"/>
      <c r="AE386" s="705"/>
      <c r="AF386" s="705"/>
      <c r="AG386" s="705"/>
      <c r="AH386" s="705"/>
      <c r="AI386" s="705"/>
      <c r="AJ386" s="705"/>
      <c r="AK386" s="705"/>
      <c r="AL386" s="705"/>
      <c r="AM386" s="705"/>
      <c r="AN386" s="705"/>
      <c r="AO386" s="705"/>
      <c r="AP386" s="705"/>
      <c r="AQ386" s="705"/>
      <c r="AR386" s="705"/>
      <c r="AS386" s="863"/>
      <c r="AT386" s="863"/>
      <c r="AU386" s="863"/>
      <c r="AV386" s="863"/>
      <c r="AW386" s="863"/>
      <c r="AX386" s="863"/>
      <c r="AY386" s="864"/>
    </row>
    <row r="387" spans="1:51" s="133" customFormat="1">
      <c r="A387" s="860"/>
      <c r="B387" s="860"/>
      <c r="C387" s="860"/>
      <c r="D387" s="860"/>
      <c r="E387" s="860"/>
      <c r="F387" s="860"/>
      <c r="G387" s="860"/>
      <c r="H387" s="860"/>
      <c r="I387" s="860"/>
      <c r="J387" s="860"/>
      <c r="K387" s="860"/>
      <c r="L387" s="705"/>
      <c r="M387" s="705"/>
      <c r="N387" s="705"/>
      <c r="O387" s="705"/>
      <c r="P387" s="705"/>
      <c r="Q387" s="705"/>
      <c r="R387" s="705"/>
      <c r="S387" s="705"/>
      <c r="T387" s="860"/>
      <c r="U387" s="705"/>
      <c r="V387" s="705"/>
      <c r="W387" s="705"/>
      <c r="X387" s="705"/>
      <c r="Y387" s="705"/>
      <c r="Z387" s="705"/>
      <c r="AA387" s="705"/>
      <c r="AB387" s="705"/>
      <c r="AC387" s="705"/>
      <c r="AD387" s="705"/>
      <c r="AE387" s="705"/>
      <c r="AF387" s="705"/>
      <c r="AG387" s="705"/>
      <c r="AH387" s="705"/>
      <c r="AI387" s="705"/>
      <c r="AJ387" s="705"/>
      <c r="AK387" s="705"/>
      <c r="AL387" s="705"/>
      <c r="AM387" s="705"/>
      <c r="AN387" s="705"/>
      <c r="AO387" s="705"/>
      <c r="AP387" s="705"/>
      <c r="AQ387" s="705"/>
      <c r="AR387" s="705"/>
      <c r="AS387" s="863"/>
      <c r="AT387" s="863"/>
      <c r="AU387" s="863"/>
      <c r="AV387" s="863"/>
      <c r="AW387" s="863"/>
      <c r="AX387" s="863"/>
      <c r="AY387" s="864"/>
    </row>
    <row r="388" spans="1:51" s="133" customFormat="1" ht="13.5" thickBot="1">
      <c r="A388" s="860"/>
      <c r="B388" s="860"/>
      <c r="C388" s="860"/>
      <c r="D388" s="860"/>
      <c r="E388" s="860"/>
      <c r="F388" s="860"/>
      <c r="G388" s="860"/>
      <c r="H388" s="860"/>
      <c r="I388" s="860"/>
      <c r="J388" s="860"/>
      <c r="K388" s="860"/>
      <c r="L388" s="705"/>
      <c r="M388" s="705"/>
      <c r="N388" s="705"/>
      <c r="O388" s="705"/>
      <c r="P388" s="705"/>
      <c r="Q388" s="705"/>
      <c r="R388" s="705"/>
      <c r="S388" s="705"/>
      <c r="T388" s="860"/>
      <c r="U388" s="705"/>
      <c r="V388" s="705"/>
      <c r="W388" s="705"/>
      <c r="X388" s="705"/>
      <c r="Y388" s="705"/>
      <c r="Z388" s="705"/>
      <c r="AA388" s="705"/>
      <c r="AB388" s="705"/>
      <c r="AC388" s="705"/>
      <c r="AD388" s="705"/>
      <c r="AE388" s="705"/>
      <c r="AF388" s="705"/>
      <c r="AG388" s="705"/>
      <c r="AH388" s="705"/>
      <c r="AI388" s="705"/>
      <c r="AJ388" s="705"/>
      <c r="AK388" s="705"/>
      <c r="AL388" s="705"/>
      <c r="AM388" s="705"/>
      <c r="AN388" s="705"/>
      <c r="AO388" s="705"/>
      <c r="AP388" s="705"/>
      <c r="AQ388" s="705"/>
      <c r="AR388" s="705"/>
      <c r="AS388" s="863"/>
      <c r="AT388" s="881"/>
      <c r="AU388" s="863"/>
      <c r="AV388" s="863"/>
      <c r="AW388" s="863"/>
      <c r="AX388" s="863"/>
      <c r="AY388" s="864"/>
    </row>
    <row r="389" spans="1:51" s="133" customFormat="1">
      <c r="A389" s="860"/>
      <c r="B389" s="860"/>
      <c r="C389" s="860"/>
      <c r="D389" s="860"/>
      <c r="E389" s="860"/>
      <c r="F389" s="860"/>
      <c r="G389" s="860"/>
      <c r="H389" s="860"/>
      <c r="I389" s="860"/>
      <c r="J389" s="860"/>
      <c r="K389" s="860"/>
      <c r="L389" s="705"/>
      <c r="M389" s="705"/>
      <c r="N389" s="705"/>
      <c r="O389" s="705"/>
      <c r="P389" s="705"/>
      <c r="Q389" s="705"/>
      <c r="R389" s="705"/>
      <c r="S389" s="705"/>
      <c r="T389" s="860"/>
      <c r="U389" s="705"/>
      <c r="V389" s="705"/>
      <c r="W389" s="705"/>
      <c r="X389" s="705"/>
      <c r="Y389" s="705"/>
      <c r="Z389" s="705"/>
      <c r="AA389" s="705"/>
      <c r="AB389" s="705"/>
      <c r="AC389" s="705"/>
      <c r="AD389" s="705"/>
      <c r="AE389" s="705"/>
      <c r="AF389" s="705"/>
      <c r="AG389" s="705"/>
      <c r="AH389" s="705"/>
      <c r="AI389" s="705"/>
      <c r="AJ389" s="705"/>
      <c r="AK389" s="705"/>
      <c r="AL389" s="705"/>
      <c r="AM389" s="705"/>
      <c r="AN389" s="705"/>
      <c r="AO389" s="705"/>
      <c r="AP389" s="705"/>
      <c r="AQ389" s="705"/>
      <c r="AR389" s="705"/>
      <c r="AS389" s="863"/>
      <c r="AT389" s="863"/>
      <c r="AU389" s="863"/>
      <c r="AV389" s="863"/>
      <c r="AW389" s="863"/>
      <c r="AX389" s="863"/>
      <c r="AY389" s="864"/>
    </row>
    <row r="390" spans="1:51" s="133" customFormat="1">
      <c r="A390" s="860"/>
      <c r="B390" s="860"/>
      <c r="C390" s="860"/>
      <c r="D390" s="860"/>
      <c r="E390" s="860"/>
      <c r="F390" s="860"/>
      <c r="G390" s="860"/>
      <c r="H390" s="860"/>
      <c r="I390" s="860"/>
      <c r="J390" s="860"/>
      <c r="K390" s="860"/>
      <c r="L390" s="705"/>
      <c r="M390" s="705"/>
      <c r="N390" s="705"/>
      <c r="O390" s="705"/>
      <c r="P390" s="705"/>
      <c r="Q390" s="705"/>
      <c r="R390" s="705"/>
      <c r="S390" s="705"/>
      <c r="T390" s="860"/>
      <c r="U390" s="705"/>
      <c r="V390" s="705"/>
      <c r="W390" s="705"/>
      <c r="X390" s="705"/>
      <c r="Y390" s="705"/>
      <c r="Z390" s="705"/>
      <c r="AA390" s="705"/>
      <c r="AB390" s="705"/>
      <c r="AC390" s="705"/>
      <c r="AD390" s="705"/>
      <c r="AE390" s="705"/>
      <c r="AF390" s="705"/>
      <c r="AG390" s="705"/>
      <c r="AH390" s="705"/>
      <c r="AI390" s="705"/>
      <c r="AJ390" s="705"/>
      <c r="AK390" s="705"/>
      <c r="AL390" s="705"/>
      <c r="AM390" s="705"/>
      <c r="AN390" s="705"/>
      <c r="AO390" s="705"/>
      <c r="AP390" s="705"/>
      <c r="AQ390" s="705"/>
      <c r="AR390" s="705"/>
      <c r="AS390" s="863"/>
      <c r="AT390" s="863"/>
      <c r="AU390" s="863"/>
      <c r="AV390" s="863"/>
      <c r="AW390" s="863"/>
      <c r="AX390" s="863"/>
      <c r="AY390" s="864"/>
    </row>
    <row r="391" spans="1:51" s="133" customFormat="1">
      <c r="A391" s="860"/>
      <c r="B391" s="860"/>
      <c r="C391" s="860"/>
      <c r="D391" s="860"/>
      <c r="E391" s="860"/>
      <c r="F391" s="860"/>
      <c r="G391" s="860"/>
      <c r="H391" s="860"/>
      <c r="I391" s="860"/>
      <c r="J391" s="860"/>
      <c r="K391" s="860"/>
      <c r="L391" s="705"/>
      <c r="M391" s="705"/>
      <c r="N391" s="705"/>
      <c r="O391" s="705"/>
      <c r="P391" s="705"/>
      <c r="Q391" s="705"/>
      <c r="R391" s="705"/>
      <c r="S391" s="705"/>
      <c r="T391" s="860"/>
      <c r="U391" s="705"/>
      <c r="V391" s="705"/>
      <c r="W391" s="705"/>
      <c r="X391" s="705"/>
      <c r="Y391" s="705"/>
      <c r="Z391" s="705"/>
      <c r="AA391" s="705"/>
      <c r="AB391" s="705"/>
      <c r="AC391" s="705"/>
      <c r="AD391" s="705"/>
      <c r="AE391" s="705"/>
      <c r="AF391" s="705"/>
      <c r="AG391" s="705"/>
      <c r="AH391" s="705"/>
      <c r="AI391" s="705"/>
      <c r="AJ391" s="705"/>
      <c r="AK391" s="705"/>
      <c r="AL391" s="705"/>
      <c r="AM391" s="705"/>
      <c r="AN391" s="705"/>
      <c r="AO391" s="705"/>
      <c r="AP391" s="705"/>
      <c r="AQ391" s="705"/>
      <c r="AR391" s="705"/>
      <c r="AS391" s="863"/>
      <c r="AT391" s="863"/>
      <c r="AU391" s="863"/>
      <c r="AV391" s="863"/>
      <c r="AW391" s="863"/>
      <c r="AX391" s="863"/>
      <c r="AY391" s="864"/>
    </row>
    <row r="392" spans="1:51" s="133" customFormat="1">
      <c r="A392" s="860"/>
      <c r="B392" s="860"/>
      <c r="C392" s="860"/>
      <c r="D392" s="860"/>
      <c r="E392" s="860"/>
      <c r="F392" s="860"/>
      <c r="G392" s="860"/>
      <c r="H392" s="860"/>
      <c r="I392" s="860"/>
      <c r="J392" s="860"/>
      <c r="K392" s="860"/>
      <c r="L392" s="705"/>
      <c r="M392" s="705"/>
      <c r="N392" s="705"/>
      <c r="O392" s="705"/>
      <c r="P392" s="705"/>
      <c r="Q392" s="705"/>
      <c r="R392" s="705"/>
      <c r="S392" s="705"/>
      <c r="T392" s="860"/>
      <c r="U392" s="705"/>
      <c r="V392" s="705"/>
      <c r="W392" s="705"/>
      <c r="X392" s="705"/>
      <c r="Y392" s="705"/>
      <c r="Z392" s="705"/>
      <c r="AA392" s="705"/>
      <c r="AB392" s="705"/>
      <c r="AC392" s="705"/>
      <c r="AD392" s="705"/>
      <c r="AE392" s="705"/>
      <c r="AF392" s="705"/>
      <c r="AG392" s="705"/>
      <c r="AH392" s="705"/>
      <c r="AI392" s="705"/>
      <c r="AJ392" s="705"/>
      <c r="AK392" s="705"/>
      <c r="AL392" s="705"/>
      <c r="AM392" s="705"/>
      <c r="AN392" s="705"/>
      <c r="AO392" s="705"/>
      <c r="AP392" s="705"/>
      <c r="AQ392" s="705"/>
      <c r="AR392" s="705"/>
      <c r="AS392" s="863"/>
      <c r="AT392" s="863"/>
      <c r="AU392" s="863"/>
      <c r="AV392" s="863"/>
      <c r="AW392" s="863"/>
      <c r="AX392" s="863"/>
      <c r="AY392" s="864"/>
    </row>
    <row r="393" spans="1:51" s="133" customFormat="1">
      <c r="A393" s="860"/>
      <c r="B393" s="860"/>
      <c r="C393" s="860"/>
      <c r="D393" s="860"/>
      <c r="E393" s="860"/>
      <c r="F393" s="860"/>
      <c r="G393" s="860"/>
      <c r="H393" s="860"/>
      <c r="I393" s="860"/>
      <c r="J393" s="860"/>
      <c r="K393" s="860"/>
      <c r="L393" s="705"/>
      <c r="M393" s="705"/>
      <c r="N393" s="705"/>
      <c r="O393" s="705"/>
      <c r="P393" s="705"/>
      <c r="Q393" s="705"/>
      <c r="R393" s="705"/>
      <c r="S393" s="705"/>
      <c r="T393" s="860"/>
      <c r="U393" s="705"/>
      <c r="V393" s="705"/>
      <c r="W393" s="705"/>
      <c r="X393" s="705"/>
      <c r="Y393" s="705"/>
      <c r="Z393" s="705"/>
      <c r="AA393" s="705"/>
      <c r="AB393" s="705"/>
      <c r="AC393" s="705"/>
      <c r="AD393" s="705"/>
      <c r="AE393" s="705"/>
      <c r="AF393" s="705"/>
      <c r="AG393" s="705"/>
      <c r="AH393" s="705"/>
      <c r="AI393" s="705"/>
      <c r="AJ393" s="705"/>
      <c r="AK393" s="705"/>
      <c r="AL393" s="705"/>
      <c r="AM393" s="705"/>
      <c r="AN393" s="705"/>
      <c r="AO393" s="705"/>
      <c r="AP393" s="705"/>
      <c r="AQ393" s="705"/>
      <c r="AR393" s="705"/>
      <c r="AS393" s="863"/>
      <c r="AT393" s="863"/>
      <c r="AU393" s="863"/>
      <c r="AV393" s="863"/>
      <c r="AW393" s="863"/>
      <c r="AX393" s="863"/>
      <c r="AY393" s="864"/>
    </row>
    <row r="394" spans="1:51" s="133" customFormat="1">
      <c r="A394" s="860"/>
      <c r="B394" s="860"/>
      <c r="C394" s="860"/>
      <c r="D394" s="860"/>
      <c r="E394" s="860"/>
      <c r="F394" s="860"/>
      <c r="G394" s="860"/>
      <c r="H394" s="860"/>
      <c r="I394" s="860"/>
      <c r="J394" s="860"/>
      <c r="K394" s="860"/>
      <c r="L394" s="705"/>
      <c r="M394" s="705"/>
      <c r="N394" s="705"/>
      <c r="O394" s="705"/>
      <c r="P394" s="705"/>
      <c r="Q394" s="705"/>
      <c r="R394" s="705"/>
      <c r="S394" s="705"/>
      <c r="T394" s="860"/>
      <c r="U394" s="705"/>
      <c r="V394" s="705"/>
      <c r="W394" s="705"/>
      <c r="X394" s="705"/>
      <c r="Y394" s="705"/>
      <c r="Z394" s="705"/>
      <c r="AA394" s="705"/>
      <c r="AB394" s="705"/>
      <c r="AC394" s="705"/>
      <c r="AD394" s="705"/>
      <c r="AE394" s="705"/>
      <c r="AF394" s="705"/>
      <c r="AG394" s="705"/>
      <c r="AH394" s="705"/>
      <c r="AI394" s="705"/>
      <c r="AJ394" s="705"/>
      <c r="AK394" s="705"/>
      <c r="AL394" s="705"/>
      <c r="AM394" s="705"/>
      <c r="AN394" s="705"/>
      <c r="AO394" s="705"/>
      <c r="AP394" s="705"/>
      <c r="AQ394" s="705"/>
      <c r="AR394" s="705"/>
      <c r="AS394" s="863"/>
      <c r="AT394" s="863"/>
      <c r="AU394" s="863"/>
      <c r="AV394" s="863"/>
      <c r="AW394" s="863"/>
      <c r="AX394" s="863"/>
      <c r="AY394" s="864"/>
    </row>
    <row r="395" spans="1:51" s="133" customFormat="1">
      <c r="A395" s="860"/>
      <c r="B395" s="860"/>
      <c r="C395" s="860"/>
      <c r="D395" s="860"/>
      <c r="E395" s="860"/>
      <c r="F395" s="860"/>
      <c r="G395" s="860"/>
      <c r="H395" s="860"/>
      <c r="I395" s="860"/>
      <c r="J395" s="860"/>
      <c r="K395" s="860"/>
      <c r="L395" s="705"/>
      <c r="M395" s="705"/>
      <c r="N395" s="705"/>
      <c r="O395" s="705"/>
      <c r="P395" s="705"/>
      <c r="Q395" s="705"/>
      <c r="R395" s="705"/>
      <c r="S395" s="705"/>
      <c r="T395" s="860"/>
      <c r="U395" s="705"/>
      <c r="V395" s="705"/>
      <c r="W395" s="705"/>
      <c r="X395" s="705"/>
      <c r="Y395" s="705"/>
      <c r="Z395" s="705"/>
      <c r="AA395" s="705"/>
      <c r="AB395" s="705"/>
      <c r="AC395" s="705"/>
      <c r="AD395" s="705"/>
      <c r="AE395" s="705"/>
      <c r="AF395" s="705"/>
      <c r="AG395" s="705"/>
      <c r="AH395" s="705"/>
      <c r="AI395" s="705"/>
      <c r="AJ395" s="705"/>
      <c r="AK395" s="705"/>
      <c r="AL395" s="705"/>
      <c r="AM395" s="705"/>
      <c r="AN395" s="705"/>
      <c r="AO395" s="705"/>
      <c r="AP395" s="705"/>
      <c r="AQ395" s="705"/>
      <c r="AR395" s="705"/>
      <c r="AS395" s="863"/>
      <c r="AT395" s="863"/>
      <c r="AU395" s="863"/>
      <c r="AV395" s="863"/>
      <c r="AW395" s="863"/>
      <c r="AX395" s="863"/>
      <c r="AY395" s="864"/>
    </row>
    <row r="396" spans="1:51" s="133" customFormat="1">
      <c r="A396" s="860"/>
      <c r="B396" s="860"/>
      <c r="C396" s="860"/>
      <c r="D396" s="860"/>
      <c r="E396" s="860"/>
      <c r="F396" s="860"/>
      <c r="G396" s="860"/>
      <c r="H396" s="860"/>
      <c r="I396" s="860"/>
      <c r="J396" s="860"/>
      <c r="K396" s="860"/>
      <c r="L396" s="705"/>
      <c r="M396" s="705"/>
      <c r="N396" s="705"/>
      <c r="O396" s="705"/>
      <c r="P396" s="705"/>
      <c r="Q396" s="705"/>
      <c r="R396" s="705"/>
      <c r="S396" s="705"/>
      <c r="T396" s="860"/>
      <c r="U396" s="705"/>
      <c r="V396" s="705"/>
      <c r="W396" s="705"/>
      <c r="X396" s="705"/>
      <c r="Y396" s="705"/>
      <c r="Z396" s="705"/>
      <c r="AA396" s="705"/>
      <c r="AB396" s="705"/>
      <c r="AC396" s="705"/>
      <c r="AD396" s="705"/>
      <c r="AE396" s="705"/>
      <c r="AF396" s="705"/>
      <c r="AG396" s="705"/>
      <c r="AH396" s="705"/>
      <c r="AI396" s="705"/>
      <c r="AJ396" s="705"/>
      <c r="AK396" s="705"/>
      <c r="AL396" s="705"/>
      <c r="AM396" s="705"/>
      <c r="AN396" s="705"/>
      <c r="AO396" s="705"/>
      <c r="AP396" s="705"/>
      <c r="AQ396" s="705"/>
      <c r="AR396" s="705"/>
      <c r="AS396" s="863"/>
      <c r="AT396" s="863"/>
      <c r="AU396" s="863"/>
      <c r="AV396" s="863"/>
      <c r="AW396" s="863"/>
      <c r="AX396" s="863"/>
      <c r="AY396" s="864"/>
    </row>
    <row r="397" spans="1:51" s="9" customFormat="1">
      <c r="A397" s="860"/>
      <c r="B397" s="860"/>
      <c r="C397" s="860"/>
      <c r="D397" s="860"/>
      <c r="E397" s="860"/>
      <c r="F397" s="860"/>
      <c r="G397" s="860"/>
      <c r="H397" s="860"/>
      <c r="I397" s="860"/>
      <c r="J397" s="860"/>
      <c r="K397" s="860"/>
      <c r="L397" s="705"/>
      <c r="M397" s="705"/>
      <c r="N397" s="705"/>
      <c r="O397" s="705"/>
      <c r="P397" s="705"/>
      <c r="Q397" s="705"/>
      <c r="R397" s="705"/>
      <c r="S397" s="705"/>
      <c r="T397" s="860"/>
      <c r="U397" s="705"/>
      <c r="V397" s="705"/>
      <c r="W397" s="705"/>
      <c r="X397" s="705"/>
      <c r="Y397" s="705"/>
      <c r="Z397" s="705"/>
      <c r="AA397" s="705"/>
      <c r="AB397" s="705"/>
      <c r="AC397" s="705"/>
      <c r="AD397" s="705"/>
      <c r="AE397" s="705"/>
      <c r="AF397" s="705"/>
      <c r="AG397" s="705"/>
      <c r="AH397" s="705"/>
      <c r="AI397" s="705"/>
      <c r="AJ397" s="705"/>
      <c r="AK397" s="705"/>
      <c r="AL397" s="705"/>
      <c r="AM397" s="705"/>
      <c r="AN397" s="705"/>
      <c r="AO397" s="705"/>
      <c r="AP397" s="705"/>
      <c r="AQ397" s="705"/>
      <c r="AR397" s="705"/>
      <c r="AS397" s="863"/>
      <c r="AT397" s="863"/>
      <c r="AU397" s="863"/>
      <c r="AV397" s="863"/>
      <c r="AW397" s="863"/>
      <c r="AX397" s="863"/>
      <c r="AY397" s="864"/>
    </row>
    <row r="398" spans="1:51" s="133" customFormat="1">
      <c r="A398" s="860"/>
      <c r="B398" s="860"/>
      <c r="C398" s="860"/>
      <c r="D398" s="860"/>
      <c r="E398" s="860"/>
      <c r="F398" s="860"/>
      <c r="G398" s="860"/>
      <c r="H398" s="860"/>
      <c r="I398" s="860"/>
      <c r="J398" s="860"/>
      <c r="K398" s="860"/>
      <c r="L398" s="705"/>
      <c r="M398" s="705"/>
      <c r="N398" s="705"/>
      <c r="O398" s="705"/>
      <c r="P398" s="705"/>
      <c r="Q398" s="705"/>
      <c r="R398" s="705"/>
      <c r="S398" s="705"/>
      <c r="T398" s="860"/>
      <c r="U398" s="705"/>
      <c r="V398" s="705"/>
      <c r="W398" s="705"/>
      <c r="X398" s="705"/>
      <c r="Y398" s="705"/>
      <c r="Z398" s="705"/>
      <c r="AA398" s="705"/>
      <c r="AB398" s="705"/>
      <c r="AC398" s="705"/>
      <c r="AD398" s="705"/>
      <c r="AE398" s="705"/>
      <c r="AF398" s="705"/>
      <c r="AG398" s="705"/>
      <c r="AH398" s="705"/>
      <c r="AI398" s="705"/>
      <c r="AJ398" s="705"/>
      <c r="AK398" s="705"/>
      <c r="AL398" s="705"/>
      <c r="AM398" s="705"/>
      <c r="AN398" s="705"/>
      <c r="AO398" s="705"/>
      <c r="AP398" s="705"/>
      <c r="AQ398" s="705"/>
      <c r="AR398" s="705"/>
      <c r="AS398" s="863"/>
      <c r="AT398" s="863"/>
      <c r="AU398" s="863"/>
      <c r="AV398" s="863"/>
      <c r="AW398" s="863"/>
      <c r="AX398" s="863"/>
      <c r="AY398" s="864"/>
    </row>
    <row r="399" spans="1:51" s="133" customFormat="1">
      <c r="A399" s="860"/>
      <c r="B399" s="860"/>
      <c r="C399" s="860"/>
      <c r="D399" s="860"/>
      <c r="E399" s="860"/>
      <c r="F399" s="860"/>
      <c r="G399" s="860"/>
      <c r="H399" s="860"/>
      <c r="I399" s="860"/>
      <c r="J399" s="860"/>
      <c r="K399" s="860"/>
      <c r="L399" s="705"/>
      <c r="M399" s="705"/>
      <c r="N399" s="705"/>
      <c r="O399" s="705"/>
      <c r="P399" s="705"/>
      <c r="Q399" s="705"/>
      <c r="R399" s="705"/>
      <c r="S399" s="705"/>
      <c r="T399" s="860"/>
      <c r="U399" s="705"/>
      <c r="V399" s="705"/>
      <c r="W399" s="705"/>
      <c r="X399" s="705"/>
      <c r="Y399" s="705"/>
      <c r="Z399" s="705"/>
      <c r="AA399" s="705"/>
      <c r="AB399" s="705"/>
      <c r="AC399" s="705"/>
      <c r="AD399" s="705"/>
      <c r="AE399" s="705"/>
      <c r="AF399" s="705"/>
      <c r="AG399" s="705"/>
      <c r="AH399" s="705"/>
      <c r="AI399" s="705"/>
      <c r="AJ399" s="705"/>
      <c r="AK399" s="705"/>
      <c r="AL399" s="705"/>
      <c r="AM399" s="705"/>
      <c r="AN399" s="705"/>
      <c r="AO399" s="705"/>
      <c r="AP399" s="705"/>
      <c r="AQ399" s="705"/>
      <c r="AR399" s="705"/>
      <c r="AS399" s="863"/>
      <c r="AT399" s="863"/>
      <c r="AU399" s="863"/>
      <c r="AV399" s="863"/>
      <c r="AW399" s="863"/>
      <c r="AX399" s="863"/>
      <c r="AY399" s="864"/>
    </row>
    <row r="400" spans="1:51" s="133" customFormat="1">
      <c r="A400" s="860"/>
      <c r="B400" s="860"/>
      <c r="C400" s="860"/>
      <c r="D400" s="860"/>
      <c r="E400" s="860"/>
      <c r="F400" s="860"/>
      <c r="G400" s="860"/>
      <c r="H400" s="860"/>
      <c r="I400" s="860"/>
      <c r="J400" s="860"/>
      <c r="K400" s="860"/>
      <c r="L400" s="705"/>
      <c r="M400" s="705"/>
      <c r="N400" s="705"/>
      <c r="O400" s="705"/>
      <c r="P400" s="705"/>
      <c r="Q400" s="705"/>
      <c r="R400" s="705"/>
      <c r="S400" s="705"/>
      <c r="T400" s="860"/>
      <c r="U400" s="705"/>
      <c r="V400" s="705"/>
      <c r="W400" s="705"/>
      <c r="X400" s="705"/>
      <c r="Y400" s="705"/>
      <c r="Z400" s="705"/>
      <c r="AA400" s="705"/>
      <c r="AB400" s="705"/>
      <c r="AC400" s="705"/>
      <c r="AD400" s="705"/>
      <c r="AE400" s="705"/>
      <c r="AF400" s="705"/>
      <c r="AG400" s="705"/>
      <c r="AH400" s="705"/>
      <c r="AI400" s="705"/>
      <c r="AJ400" s="705"/>
      <c r="AK400" s="705"/>
      <c r="AL400" s="705"/>
      <c r="AM400" s="705"/>
      <c r="AN400" s="705"/>
      <c r="AO400" s="705"/>
      <c r="AP400" s="705"/>
      <c r="AQ400" s="705"/>
      <c r="AR400" s="705"/>
      <c r="AS400" s="863"/>
      <c r="AT400" s="863"/>
      <c r="AU400" s="863"/>
      <c r="AV400" s="863"/>
      <c r="AW400" s="863"/>
      <c r="AX400" s="863"/>
      <c r="AY400" s="864"/>
    </row>
    <row r="401" spans="1:51" s="133" customFormat="1" ht="13.5" thickBot="1">
      <c r="A401" s="860"/>
      <c r="B401" s="860"/>
      <c r="C401" s="860"/>
      <c r="D401" s="860"/>
      <c r="E401" s="860"/>
      <c r="F401" s="860"/>
      <c r="G401" s="860"/>
      <c r="H401" s="860"/>
      <c r="I401" s="860"/>
      <c r="J401" s="860"/>
      <c r="K401" s="860"/>
      <c r="L401" s="705"/>
      <c r="M401" s="705"/>
      <c r="N401" s="705"/>
      <c r="O401" s="705"/>
      <c r="P401" s="705"/>
      <c r="Q401" s="705"/>
      <c r="R401" s="705"/>
      <c r="S401" s="705"/>
      <c r="T401" s="860"/>
      <c r="U401" s="705"/>
      <c r="V401" s="705"/>
      <c r="W401" s="705"/>
      <c r="X401" s="705"/>
      <c r="Y401" s="705"/>
      <c r="Z401" s="705"/>
      <c r="AA401" s="705"/>
      <c r="AB401" s="705"/>
      <c r="AC401" s="705"/>
      <c r="AD401" s="705"/>
      <c r="AE401" s="705"/>
      <c r="AF401" s="705"/>
      <c r="AG401" s="705"/>
      <c r="AH401" s="705"/>
      <c r="AI401" s="705"/>
      <c r="AJ401" s="705"/>
      <c r="AK401" s="705"/>
      <c r="AL401" s="705"/>
      <c r="AM401" s="705"/>
      <c r="AN401" s="705"/>
      <c r="AO401" s="705"/>
      <c r="AP401" s="705"/>
      <c r="AQ401" s="705"/>
      <c r="AR401" s="705"/>
      <c r="AS401" s="863"/>
      <c r="AT401" s="881"/>
      <c r="AU401" s="863"/>
      <c r="AV401" s="863"/>
      <c r="AW401" s="863"/>
      <c r="AX401" s="863"/>
      <c r="AY401" s="864"/>
    </row>
    <row r="402" spans="1:51" s="133" customFormat="1">
      <c r="A402" s="860"/>
      <c r="B402" s="860"/>
      <c r="C402" s="860"/>
      <c r="D402" s="860"/>
      <c r="E402" s="860"/>
      <c r="F402" s="860"/>
      <c r="G402" s="860"/>
      <c r="H402" s="860"/>
      <c r="I402" s="860"/>
      <c r="J402" s="860"/>
      <c r="K402" s="860"/>
      <c r="L402" s="705"/>
      <c r="M402" s="705"/>
      <c r="N402" s="705"/>
      <c r="O402" s="705"/>
      <c r="P402" s="705"/>
      <c r="Q402" s="705"/>
      <c r="R402" s="705"/>
      <c r="S402" s="705"/>
      <c r="T402" s="860"/>
      <c r="U402" s="705"/>
      <c r="V402" s="705"/>
      <c r="W402" s="705"/>
      <c r="X402" s="705"/>
      <c r="Y402" s="705"/>
      <c r="Z402" s="705"/>
      <c r="AA402" s="705"/>
      <c r="AB402" s="705"/>
      <c r="AC402" s="705"/>
      <c r="AD402" s="705"/>
      <c r="AE402" s="705"/>
      <c r="AF402" s="705"/>
      <c r="AG402" s="705"/>
      <c r="AH402" s="705"/>
      <c r="AI402" s="705"/>
      <c r="AJ402" s="705"/>
      <c r="AK402" s="705"/>
      <c r="AL402" s="705"/>
      <c r="AM402" s="705"/>
      <c r="AN402" s="705"/>
      <c r="AO402" s="705"/>
      <c r="AP402" s="705"/>
      <c r="AQ402" s="705"/>
      <c r="AR402" s="705"/>
      <c r="AS402" s="863"/>
      <c r="AT402" s="863"/>
      <c r="AU402" s="863"/>
      <c r="AV402" s="863"/>
      <c r="AW402" s="863"/>
      <c r="AX402" s="863"/>
      <c r="AY402" s="864"/>
    </row>
    <row r="403" spans="1:51" s="133" customFormat="1">
      <c r="A403" s="860"/>
      <c r="B403" s="860"/>
      <c r="C403" s="860"/>
      <c r="D403" s="860"/>
      <c r="E403" s="860"/>
      <c r="F403" s="860"/>
      <c r="G403" s="860"/>
      <c r="H403" s="860"/>
      <c r="I403" s="860"/>
      <c r="J403" s="860"/>
      <c r="K403" s="860"/>
      <c r="L403" s="705"/>
      <c r="M403" s="705"/>
      <c r="N403" s="705"/>
      <c r="O403" s="705"/>
      <c r="P403" s="705"/>
      <c r="Q403" s="705"/>
      <c r="R403" s="705"/>
      <c r="S403" s="705"/>
      <c r="T403" s="860"/>
      <c r="U403" s="705"/>
      <c r="V403" s="705"/>
      <c r="W403" s="705"/>
      <c r="X403" s="705"/>
      <c r="Y403" s="705"/>
      <c r="Z403" s="705"/>
      <c r="AA403" s="705"/>
      <c r="AB403" s="705"/>
      <c r="AC403" s="705"/>
      <c r="AD403" s="705"/>
      <c r="AE403" s="705"/>
      <c r="AF403" s="705"/>
      <c r="AG403" s="705"/>
      <c r="AH403" s="705"/>
      <c r="AI403" s="705"/>
      <c r="AJ403" s="705"/>
      <c r="AK403" s="705"/>
      <c r="AL403" s="705"/>
      <c r="AM403" s="705"/>
      <c r="AN403" s="705"/>
      <c r="AO403" s="705"/>
      <c r="AP403" s="705"/>
      <c r="AQ403" s="705"/>
      <c r="AR403" s="705"/>
      <c r="AS403" s="863"/>
      <c r="AT403" s="863"/>
      <c r="AU403" s="863"/>
      <c r="AV403" s="863"/>
      <c r="AW403" s="863"/>
      <c r="AX403" s="863"/>
      <c r="AY403" s="864"/>
    </row>
    <row r="404" spans="1:51" s="133" customFormat="1">
      <c r="A404" s="860"/>
      <c r="B404" s="860"/>
      <c r="C404" s="860"/>
      <c r="D404" s="860"/>
      <c r="E404" s="860"/>
      <c r="F404" s="860"/>
      <c r="G404" s="860"/>
      <c r="H404" s="860"/>
      <c r="I404" s="860"/>
      <c r="J404" s="860"/>
      <c r="K404" s="860"/>
      <c r="L404" s="705"/>
      <c r="M404" s="705"/>
      <c r="N404" s="705"/>
      <c r="O404" s="705"/>
      <c r="P404" s="705"/>
      <c r="Q404" s="705"/>
      <c r="R404" s="705"/>
      <c r="S404" s="705"/>
      <c r="T404" s="860"/>
      <c r="U404" s="705"/>
      <c r="V404" s="705"/>
      <c r="W404" s="705"/>
      <c r="X404" s="705"/>
      <c r="Y404" s="705"/>
      <c r="Z404" s="705"/>
      <c r="AA404" s="705"/>
      <c r="AB404" s="705"/>
      <c r="AC404" s="705"/>
      <c r="AD404" s="705"/>
      <c r="AE404" s="705"/>
      <c r="AF404" s="705"/>
      <c r="AG404" s="705"/>
      <c r="AH404" s="705"/>
      <c r="AI404" s="705"/>
      <c r="AJ404" s="705"/>
      <c r="AK404" s="705"/>
      <c r="AL404" s="705"/>
      <c r="AM404" s="705"/>
      <c r="AN404" s="705"/>
      <c r="AO404" s="705"/>
      <c r="AP404" s="705"/>
      <c r="AQ404" s="705"/>
      <c r="AR404" s="705"/>
      <c r="AS404" s="863"/>
      <c r="AT404" s="863"/>
      <c r="AU404" s="863"/>
      <c r="AV404" s="863"/>
      <c r="AW404" s="863"/>
      <c r="AX404" s="863"/>
      <c r="AY404" s="864"/>
    </row>
    <row r="405" spans="1:51" s="133" customFormat="1">
      <c r="A405" s="860"/>
      <c r="B405" s="860"/>
      <c r="C405" s="860"/>
      <c r="D405" s="860"/>
      <c r="E405" s="860"/>
      <c r="F405" s="860"/>
      <c r="G405" s="860"/>
      <c r="H405" s="860"/>
      <c r="I405" s="860"/>
      <c r="J405" s="860"/>
      <c r="K405" s="860"/>
      <c r="L405" s="705"/>
      <c r="M405" s="705"/>
      <c r="N405" s="705"/>
      <c r="O405" s="705"/>
      <c r="P405" s="705"/>
      <c r="Q405" s="705"/>
      <c r="R405" s="705"/>
      <c r="S405" s="705"/>
      <c r="T405" s="860"/>
      <c r="U405" s="705"/>
      <c r="V405" s="705"/>
      <c r="W405" s="705"/>
      <c r="X405" s="705"/>
      <c r="Y405" s="705"/>
      <c r="Z405" s="705"/>
      <c r="AA405" s="705"/>
      <c r="AB405" s="705"/>
      <c r="AC405" s="705"/>
      <c r="AD405" s="705"/>
      <c r="AE405" s="705"/>
      <c r="AF405" s="705"/>
      <c r="AG405" s="705"/>
      <c r="AH405" s="705"/>
      <c r="AI405" s="705"/>
      <c r="AJ405" s="705"/>
      <c r="AK405" s="705"/>
      <c r="AL405" s="705"/>
      <c r="AM405" s="705"/>
      <c r="AN405" s="705"/>
      <c r="AO405" s="705"/>
      <c r="AP405" s="705"/>
      <c r="AQ405" s="705"/>
      <c r="AR405" s="705"/>
      <c r="AS405" s="863"/>
      <c r="AT405" s="863"/>
      <c r="AU405" s="863"/>
      <c r="AV405" s="863"/>
      <c r="AW405" s="863"/>
      <c r="AX405" s="863"/>
      <c r="AY405" s="864"/>
    </row>
    <row r="406" spans="1:51" s="133" customFormat="1">
      <c r="A406" s="860"/>
      <c r="B406" s="860"/>
      <c r="C406" s="860"/>
      <c r="D406" s="860"/>
      <c r="E406" s="860"/>
      <c r="F406" s="860"/>
      <c r="G406" s="860"/>
      <c r="H406" s="860"/>
      <c r="I406" s="860"/>
      <c r="J406" s="860"/>
      <c r="K406" s="860"/>
      <c r="L406" s="705"/>
      <c r="M406" s="705"/>
      <c r="N406" s="705"/>
      <c r="O406" s="705"/>
      <c r="P406" s="705"/>
      <c r="Q406" s="705"/>
      <c r="R406" s="705"/>
      <c r="S406" s="705"/>
      <c r="T406" s="860"/>
      <c r="U406" s="705"/>
      <c r="V406" s="705"/>
      <c r="W406" s="705"/>
      <c r="X406" s="705"/>
      <c r="Y406" s="705"/>
      <c r="Z406" s="705"/>
      <c r="AA406" s="705"/>
      <c r="AB406" s="705"/>
      <c r="AC406" s="705"/>
      <c r="AD406" s="705"/>
      <c r="AE406" s="705"/>
      <c r="AF406" s="705"/>
      <c r="AG406" s="705"/>
      <c r="AH406" s="705"/>
      <c r="AI406" s="705"/>
      <c r="AJ406" s="705"/>
      <c r="AK406" s="705"/>
      <c r="AL406" s="705"/>
      <c r="AM406" s="705"/>
      <c r="AN406" s="705"/>
      <c r="AO406" s="705"/>
      <c r="AP406" s="705"/>
      <c r="AQ406" s="705"/>
      <c r="AR406" s="705"/>
      <c r="AS406" s="863"/>
      <c r="AT406" s="863"/>
      <c r="AU406" s="863"/>
      <c r="AV406" s="863"/>
      <c r="AW406" s="863"/>
      <c r="AX406" s="863"/>
      <c r="AY406" s="864"/>
    </row>
    <row r="407" spans="1:51" s="133" customFormat="1">
      <c r="A407" s="860"/>
      <c r="B407" s="860"/>
      <c r="C407" s="860"/>
      <c r="D407" s="860"/>
      <c r="E407" s="860"/>
      <c r="F407" s="860"/>
      <c r="G407" s="860"/>
      <c r="H407" s="860"/>
      <c r="I407" s="860"/>
      <c r="J407" s="860"/>
      <c r="K407" s="860"/>
      <c r="L407" s="705"/>
      <c r="M407" s="705"/>
      <c r="N407" s="705"/>
      <c r="O407" s="705"/>
      <c r="P407" s="705"/>
      <c r="Q407" s="705"/>
      <c r="R407" s="705"/>
      <c r="S407" s="705"/>
      <c r="T407" s="860"/>
      <c r="U407" s="705"/>
      <c r="V407" s="705"/>
      <c r="W407" s="705"/>
      <c r="X407" s="705"/>
      <c r="Y407" s="705"/>
      <c r="Z407" s="705"/>
      <c r="AA407" s="705"/>
      <c r="AB407" s="705"/>
      <c r="AC407" s="705"/>
      <c r="AD407" s="705"/>
      <c r="AE407" s="705"/>
      <c r="AF407" s="705"/>
      <c r="AG407" s="705"/>
      <c r="AH407" s="705"/>
      <c r="AI407" s="705"/>
      <c r="AJ407" s="705"/>
      <c r="AK407" s="705"/>
      <c r="AL407" s="705"/>
      <c r="AM407" s="705"/>
      <c r="AN407" s="705"/>
      <c r="AO407" s="705"/>
      <c r="AP407" s="705"/>
      <c r="AQ407" s="705"/>
      <c r="AR407" s="705"/>
      <c r="AS407" s="863"/>
      <c r="AT407" s="863"/>
      <c r="AU407" s="863"/>
      <c r="AV407" s="863"/>
      <c r="AW407" s="863"/>
      <c r="AX407" s="863"/>
      <c r="AY407" s="864"/>
    </row>
    <row r="408" spans="1:51" s="133" customFormat="1">
      <c r="A408" s="860"/>
      <c r="B408" s="860"/>
      <c r="C408" s="860"/>
      <c r="D408" s="860"/>
      <c r="E408" s="860"/>
      <c r="F408" s="860"/>
      <c r="G408" s="860"/>
      <c r="H408" s="860"/>
      <c r="I408" s="860"/>
      <c r="J408" s="860"/>
      <c r="K408" s="860"/>
      <c r="L408" s="705"/>
      <c r="M408" s="705"/>
      <c r="N408" s="705"/>
      <c r="O408" s="705"/>
      <c r="P408" s="705"/>
      <c r="Q408" s="705"/>
      <c r="R408" s="705"/>
      <c r="S408" s="705"/>
      <c r="T408" s="860"/>
      <c r="U408" s="705"/>
      <c r="V408" s="705"/>
      <c r="W408" s="705"/>
      <c r="X408" s="705"/>
      <c r="Y408" s="705"/>
      <c r="Z408" s="705"/>
      <c r="AA408" s="705"/>
      <c r="AB408" s="705"/>
      <c r="AC408" s="705"/>
      <c r="AD408" s="705"/>
      <c r="AE408" s="705"/>
      <c r="AF408" s="705"/>
      <c r="AG408" s="705"/>
      <c r="AH408" s="705"/>
      <c r="AI408" s="705"/>
      <c r="AJ408" s="705"/>
      <c r="AK408" s="705"/>
      <c r="AL408" s="705"/>
      <c r="AM408" s="705"/>
      <c r="AN408" s="705"/>
      <c r="AO408" s="705"/>
      <c r="AP408" s="705"/>
      <c r="AQ408" s="705"/>
      <c r="AR408" s="705"/>
      <c r="AS408" s="863"/>
      <c r="AT408" s="863"/>
      <c r="AU408" s="863"/>
      <c r="AV408" s="863"/>
      <c r="AW408" s="863"/>
      <c r="AX408" s="863"/>
      <c r="AY408" s="864"/>
    </row>
    <row r="409" spans="1:51" s="133" customFormat="1">
      <c r="A409" s="860"/>
      <c r="B409" s="860"/>
      <c r="C409" s="860"/>
      <c r="D409" s="860"/>
      <c r="E409" s="860"/>
      <c r="F409" s="860"/>
      <c r="G409" s="860"/>
      <c r="H409" s="860"/>
      <c r="I409" s="860"/>
      <c r="J409" s="860"/>
      <c r="K409" s="860"/>
      <c r="L409" s="705"/>
      <c r="M409" s="705"/>
      <c r="N409" s="705"/>
      <c r="O409" s="705"/>
      <c r="P409" s="705"/>
      <c r="Q409" s="705"/>
      <c r="R409" s="705"/>
      <c r="S409" s="705"/>
      <c r="T409" s="860"/>
      <c r="U409" s="705"/>
      <c r="V409" s="705"/>
      <c r="W409" s="705"/>
      <c r="X409" s="705"/>
      <c r="Y409" s="705"/>
      <c r="Z409" s="705"/>
      <c r="AA409" s="705"/>
      <c r="AB409" s="705"/>
      <c r="AC409" s="705"/>
      <c r="AD409" s="705"/>
      <c r="AE409" s="705"/>
      <c r="AF409" s="705"/>
      <c r="AG409" s="705"/>
      <c r="AH409" s="705"/>
      <c r="AI409" s="705"/>
      <c r="AJ409" s="705"/>
      <c r="AK409" s="705"/>
      <c r="AL409" s="705"/>
      <c r="AM409" s="705"/>
      <c r="AN409" s="705"/>
      <c r="AO409" s="705"/>
      <c r="AP409" s="705"/>
      <c r="AQ409" s="705"/>
      <c r="AR409" s="705"/>
      <c r="AS409" s="863"/>
      <c r="AT409" s="863"/>
      <c r="AU409" s="863"/>
      <c r="AV409" s="863"/>
      <c r="AW409" s="863"/>
      <c r="AX409" s="863"/>
      <c r="AY409" s="864"/>
    </row>
    <row r="410" spans="1:51" s="133" customFormat="1">
      <c r="A410" s="860"/>
      <c r="B410" s="860"/>
      <c r="C410" s="860"/>
      <c r="D410" s="860"/>
      <c r="E410" s="860"/>
      <c r="F410" s="860"/>
      <c r="G410" s="860"/>
      <c r="H410" s="860"/>
      <c r="I410" s="860"/>
      <c r="J410" s="860"/>
      <c r="K410" s="860"/>
      <c r="L410" s="705"/>
      <c r="M410" s="705"/>
      <c r="N410" s="705"/>
      <c r="O410" s="705"/>
      <c r="P410" s="705"/>
      <c r="Q410" s="705"/>
      <c r="R410" s="705"/>
      <c r="S410" s="705"/>
      <c r="T410" s="860"/>
      <c r="U410" s="705"/>
      <c r="V410" s="705"/>
      <c r="W410" s="705"/>
      <c r="X410" s="705"/>
      <c r="Y410" s="705"/>
      <c r="Z410" s="705"/>
      <c r="AA410" s="705"/>
      <c r="AB410" s="705"/>
      <c r="AC410" s="705"/>
      <c r="AD410" s="705"/>
      <c r="AE410" s="705"/>
      <c r="AF410" s="705"/>
      <c r="AG410" s="705"/>
      <c r="AH410" s="705"/>
      <c r="AI410" s="705"/>
      <c r="AJ410" s="705"/>
      <c r="AK410" s="705"/>
      <c r="AL410" s="705"/>
      <c r="AM410" s="705"/>
      <c r="AN410" s="705"/>
      <c r="AO410" s="705"/>
      <c r="AP410" s="705"/>
      <c r="AQ410" s="705"/>
      <c r="AR410" s="705"/>
      <c r="AS410" s="863"/>
      <c r="AT410" s="863"/>
      <c r="AU410" s="863"/>
      <c r="AV410" s="863"/>
      <c r="AW410" s="863"/>
      <c r="AX410" s="863"/>
      <c r="AY410" s="864"/>
    </row>
    <row r="411" spans="1:51" s="133" customFormat="1">
      <c r="A411" s="860"/>
      <c r="B411" s="860"/>
      <c r="C411" s="860"/>
      <c r="D411" s="860"/>
      <c r="E411" s="860"/>
      <c r="F411" s="860"/>
      <c r="G411" s="860"/>
      <c r="H411" s="860"/>
      <c r="I411" s="860"/>
      <c r="J411" s="860"/>
      <c r="K411" s="860"/>
      <c r="L411" s="705"/>
      <c r="M411" s="705"/>
      <c r="N411" s="705"/>
      <c r="O411" s="705"/>
      <c r="P411" s="705"/>
      <c r="Q411" s="705"/>
      <c r="R411" s="705"/>
      <c r="S411" s="705"/>
      <c r="T411" s="860"/>
      <c r="U411" s="705"/>
      <c r="V411" s="705"/>
      <c r="W411" s="705"/>
      <c r="X411" s="705"/>
      <c r="Y411" s="705"/>
      <c r="Z411" s="705"/>
      <c r="AA411" s="705"/>
      <c r="AB411" s="705"/>
      <c r="AC411" s="705"/>
      <c r="AD411" s="705"/>
      <c r="AE411" s="705"/>
      <c r="AF411" s="705"/>
      <c r="AG411" s="705"/>
      <c r="AH411" s="705"/>
      <c r="AI411" s="705"/>
      <c r="AJ411" s="705"/>
      <c r="AK411" s="705"/>
      <c r="AL411" s="705"/>
      <c r="AM411" s="705"/>
      <c r="AN411" s="705"/>
      <c r="AO411" s="705"/>
      <c r="AP411" s="705"/>
      <c r="AQ411" s="705"/>
      <c r="AR411" s="705"/>
      <c r="AS411" s="863"/>
      <c r="AT411" s="863"/>
      <c r="AU411" s="863"/>
      <c r="AV411" s="863"/>
      <c r="AW411" s="863"/>
      <c r="AX411" s="863"/>
      <c r="AY411" s="864"/>
    </row>
    <row r="412" spans="1:51" s="133" customFormat="1">
      <c r="A412" s="860"/>
      <c r="B412" s="860"/>
      <c r="C412" s="860"/>
      <c r="D412" s="860"/>
      <c r="E412" s="860"/>
      <c r="F412" s="860"/>
      <c r="G412" s="860"/>
      <c r="H412" s="860"/>
      <c r="I412" s="860"/>
      <c r="J412" s="860"/>
      <c r="K412" s="860"/>
      <c r="L412" s="705"/>
      <c r="M412" s="705"/>
      <c r="N412" s="705"/>
      <c r="O412" s="705"/>
      <c r="P412" s="705"/>
      <c r="Q412" s="705"/>
      <c r="R412" s="705"/>
      <c r="S412" s="705"/>
      <c r="T412" s="860"/>
      <c r="U412" s="705"/>
      <c r="V412" s="705"/>
      <c r="W412" s="705"/>
      <c r="X412" s="705"/>
      <c r="Y412" s="705"/>
      <c r="Z412" s="705"/>
      <c r="AA412" s="705"/>
      <c r="AB412" s="705"/>
      <c r="AC412" s="705"/>
      <c r="AD412" s="705"/>
      <c r="AE412" s="705"/>
      <c r="AF412" s="705"/>
      <c r="AG412" s="705"/>
      <c r="AH412" s="705"/>
      <c r="AI412" s="705"/>
      <c r="AJ412" s="705"/>
      <c r="AK412" s="705"/>
      <c r="AL412" s="705"/>
      <c r="AM412" s="705"/>
      <c r="AN412" s="705"/>
      <c r="AO412" s="705"/>
      <c r="AP412" s="705"/>
      <c r="AQ412" s="705"/>
      <c r="AR412" s="705"/>
      <c r="AS412" s="863"/>
      <c r="AT412" s="863"/>
      <c r="AU412" s="863"/>
      <c r="AV412" s="863"/>
      <c r="AW412" s="863"/>
      <c r="AX412" s="863"/>
      <c r="AY412" s="864"/>
    </row>
    <row r="413" spans="1:51" s="133" customFormat="1">
      <c r="A413" s="860"/>
      <c r="B413" s="860"/>
      <c r="C413" s="860"/>
      <c r="D413" s="860"/>
      <c r="E413" s="860"/>
      <c r="F413" s="860"/>
      <c r="G413" s="860"/>
      <c r="H413" s="860"/>
      <c r="I413" s="860"/>
      <c r="J413" s="860"/>
      <c r="K413" s="860"/>
      <c r="L413" s="705"/>
      <c r="M413" s="705"/>
      <c r="N413" s="705"/>
      <c r="O413" s="705"/>
      <c r="P413" s="705"/>
      <c r="Q413" s="705"/>
      <c r="R413" s="705"/>
      <c r="S413" s="705"/>
      <c r="T413" s="860"/>
      <c r="U413" s="705"/>
      <c r="V413" s="705"/>
      <c r="W413" s="705"/>
      <c r="X413" s="705"/>
      <c r="Y413" s="705"/>
      <c r="Z413" s="705"/>
      <c r="AA413" s="705"/>
      <c r="AB413" s="705"/>
      <c r="AC413" s="705"/>
      <c r="AD413" s="705"/>
      <c r="AE413" s="705"/>
      <c r="AF413" s="705"/>
      <c r="AG413" s="705"/>
      <c r="AH413" s="705"/>
      <c r="AI413" s="705"/>
      <c r="AJ413" s="705"/>
      <c r="AK413" s="705"/>
      <c r="AL413" s="705"/>
      <c r="AM413" s="705"/>
      <c r="AN413" s="705"/>
      <c r="AO413" s="705"/>
      <c r="AP413" s="705"/>
      <c r="AQ413" s="705"/>
      <c r="AR413" s="705"/>
      <c r="AS413" s="863"/>
      <c r="AT413" s="863"/>
      <c r="AU413" s="863"/>
      <c r="AV413" s="863"/>
      <c r="AW413" s="863"/>
      <c r="AX413" s="863"/>
      <c r="AY413" s="864"/>
    </row>
    <row r="414" spans="1:51" s="9" customFormat="1">
      <c r="A414" s="860"/>
      <c r="B414" s="860"/>
      <c r="C414" s="860"/>
      <c r="D414" s="860"/>
      <c r="E414" s="860"/>
      <c r="F414" s="860"/>
      <c r="G414" s="860"/>
      <c r="H414" s="860"/>
      <c r="I414" s="860"/>
      <c r="J414" s="860"/>
      <c r="K414" s="860"/>
      <c r="L414" s="705"/>
      <c r="M414" s="705"/>
      <c r="N414" s="705"/>
      <c r="O414" s="705"/>
      <c r="P414" s="705"/>
      <c r="Q414" s="705"/>
      <c r="R414" s="705"/>
      <c r="S414" s="705"/>
      <c r="T414" s="860"/>
      <c r="U414" s="705"/>
      <c r="V414" s="705"/>
      <c r="W414" s="705"/>
      <c r="X414" s="705"/>
      <c r="Y414" s="705"/>
      <c r="Z414" s="705"/>
      <c r="AA414" s="705"/>
      <c r="AB414" s="705"/>
      <c r="AC414" s="705"/>
      <c r="AD414" s="705"/>
      <c r="AE414" s="705"/>
      <c r="AF414" s="705"/>
      <c r="AG414" s="705"/>
      <c r="AH414" s="705"/>
      <c r="AI414" s="705"/>
      <c r="AJ414" s="705"/>
      <c r="AK414" s="705"/>
      <c r="AL414" s="705"/>
      <c r="AM414" s="705"/>
      <c r="AN414" s="705"/>
      <c r="AO414" s="705"/>
      <c r="AP414" s="705"/>
      <c r="AQ414" s="705"/>
      <c r="AR414" s="705"/>
      <c r="AS414" s="863"/>
      <c r="AT414" s="863"/>
      <c r="AU414" s="863"/>
      <c r="AV414" s="863"/>
      <c r="AW414" s="863"/>
      <c r="AX414" s="863"/>
      <c r="AY414" s="864"/>
    </row>
    <row r="415" spans="1:51" s="133" customFormat="1">
      <c r="A415" s="860"/>
      <c r="B415" s="860"/>
      <c r="C415" s="860"/>
      <c r="D415" s="860"/>
      <c r="E415" s="860"/>
      <c r="F415" s="860"/>
      <c r="G415" s="860"/>
      <c r="H415" s="860"/>
      <c r="I415" s="860"/>
      <c r="J415" s="860"/>
      <c r="K415" s="860"/>
      <c r="L415" s="705"/>
      <c r="M415" s="705"/>
      <c r="N415" s="705"/>
      <c r="O415" s="705"/>
      <c r="P415" s="705"/>
      <c r="Q415" s="705"/>
      <c r="R415" s="705"/>
      <c r="S415" s="705"/>
      <c r="T415" s="860"/>
      <c r="U415" s="705"/>
      <c r="V415" s="705"/>
      <c r="W415" s="705"/>
      <c r="X415" s="705"/>
      <c r="Y415" s="705"/>
      <c r="Z415" s="705"/>
      <c r="AA415" s="705"/>
      <c r="AB415" s="705"/>
      <c r="AC415" s="705"/>
      <c r="AD415" s="705"/>
      <c r="AE415" s="705"/>
      <c r="AF415" s="705"/>
      <c r="AG415" s="705"/>
      <c r="AH415" s="705"/>
      <c r="AI415" s="705"/>
      <c r="AJ415" s="705"/>
      <c r="AK415" s="705"/>
      <c r="AL415" s="705"/>
      <c r="AM415" s="705"/>
      <c r="AN415" s="705"/>
      <c r="AO415" s="705"/>
      <c r="AP415" s="705"/>
      <c r="AQ415" s="705"/>
      <c r="AR415" s="705"/>
      <c r="AS415" s="863"/>
      <c r="AT415" s="863"/>
      <c r="AU415" s="863"/>
      <c r="AV415" s="863"/>
      <c r="AW415" s="863"/>
      <c r="AX415" s="863"/>
      <c r="AY415" s="864"/>
    </row>
    <row r="416" spans="1:51" s="133" customFormat="1" ht="13.5" thickBot="1">
      <c r="A416" s="860"/>
      <c r="B416" s="860"/>
      <c r="C416" s="860"/>
      <c r="D416" s="860"/>
      <c r="E416" s="860"/>
      <c r="F416" s="860"/>
      <c r="G416" s="860"/>
      <c r="H416" s="860"/>
      <c r="I416" s="860"/>
      <c r="J416" s="860"/>
      <c r="K416" s="860"/>
      <c r="L416" s="705"/>
      <c r="M416" s="705"/>
      <c r="N416" s="705"/>
      <c r="O416" s="705"/>
      <c r="P416" s="705"/>
      <c r="Q416" s="705"/>
      <c r="R416" s="705"/>
      <c r="S416" s="705"/>
      <c r="T416" s="860"/>
      <c r="U416" s="705"/>
      <c r="V416" s="705"/>
      <c r="W416" s="705"/>
      <c r="X416" s="705"/>
      <c r="Y416" s="705"/>
      <c r="Z416" s="705"/>
      <c r="AA416" s="705"/>
      <c r="AB416" s="705"/>
      <c r="AC416" s="705"/>
      <c r="AD416" s="705"/>
      <c r="AE416" s="705"/>
      <c r="AF416" s="705"/>
      <c r="AG416" s="705"/>
      <c r="AH416" s="705"/>
      <c r="AI416" s="705"/>
      <c r="AJ416" s="705"/>
      <c r="AK416" s="705"/>
      <c r="AL416" s="705"/>
      <c r="AM416" s="705"/>
      <c r="AN416" s="705"/>
      <c r="AO416" s="705"/>
      <c r="AP416" s="705"/>
      <c r="AQ416" s="705"/>
      <c r="AR416" s="705"/>
      <c r="AS416" s="863"/>
      <c r="AT416" s="881"/>
      <c r="AU416" s="863"/>
      <c r="AV416" s="863"/>
      <c r="AW416" s="863"/>
      <c r="AX416" s="863"/>
      <c r="AY416" s="864"/>
    </row>
    <row r="417" spans="1:51" s="133" customFormat="1">
      <c r="A417" s="860"/>
      <c r="B417" s="860"/>
      <c r="C417" s="860"/>
      <c r="D417" s="860"/>
      <c r="E417" s="860"/>
      <c r="F417" s="860"/>
      <c r="G417" s="860"/>
      <c r="H417" s="860"/>
      <c r="I417" s="860"/>
      <c r="J417" s="860"/>
      <c r="K417" s="860"/>
      <c r="L417" s="705"/>
      <c r="M417" s="705"/>
      <c r="N417" s="705"/>
      <c r="O417" s="705"/>
      <c r="P417" s="705"/>
      <c r="Q417" s="705"/>
      <c r="R417" s="705"/>
      <c r="S417" s="705"/>
      <c r="T417" s="860"/>
      <c r="U417" s="705"/>
      <c r="V417" s="705"/>
      <c r="W417" s="705"/>
      <c r="X417" s="705"/>
      <c r="Y417" s="705"/>
      <c r="Z417" s="705"/>
      <c r="AA417" s="705"/>
      <c r="AB417" s="705"/>
      <c r="AC417" s="705"/>
      <c r="AD417" s="705"/>
      <c r="AE417" s="705"/>
      <c r="AF417" s="705"/>
      <c r="AG417" s="705"/>
      <c r="AH417" s="705"/>
      <c r="AI417" s="705"/>
      <c r="AJ417" s="705"/>
      <c r="AK417" s="705"/>
      <c r="AL417" s="705"/>
      <c r="AM417" s="705"/>
      <c r="AN417" s="705"/>
      <c r="AO417" s="705"/>
      <c r="AP417" s="705"/>
      <c r="AQ417" s="705"/>
      <c r="AR417" s="705"/>
      <c r="AS417" s="863"/>
      <c r="AT417" s="863"/>
      <c r="AU417" s="863"/>
      <c r="AV417" s="863"/>
      <c r="AW417" s="863"/>
      <c r="AX417" s="863"/>
      <c r="AY417" s="864"/>
    </row>
    <row r="418" spans="1:51" s="133" customFormat="1">
      <c r="A418" s="860"/>
      <c r="B418" s="860"/>
      <c r="C418" s="860"/>
      <c r="D418" s="860"/>
      <c r="E418" s="860"/>
      <c r="F418" s="860"/>
      <c r="G418" s="860"/>
      <c r="H418" s="860"/>
      <c r="I418" s="860"/>
      <c r="J418" s="860"/>
      <c r="K418" s="860"/>
      <c r="L418" s="705"/>
      <c r="M418" s="705"/>
      <c r="N418" s="705"/>
      <c r="O418" s="705"/>
      <c r="P418" s="705"/>
      <c r="Q418" s="705"/>
      <c r="R418" s="705"/>
      <c r="S418" s="705"/>
      <c r="T418" s="860"/>
      <c r="U418" s="705"/>
      <c r="V418" s="705"/>
      <c r="W418" s="705"/>
      <c r="X418" s="705"/>
      <c r="Y418" s="705"/>
      <c r="Z418" s="705"/>
      <c r="AA418" s="705"/>
      <c r="AB418" s="705"/>
      <c r="AC418" s="705"/>
      <c r="AD418" s="705"/>
      <c r="AE418" s="705"/>
      <c r="AF418" s="705"/>
      <c r="AG418" s="705"/>
      <c r="AH418" s="705"/>
      <c r="AI418" s="705"/>
      <c r="AJ418" s="705"/>
      <c r="AK418" s="705"/>
      <c r="AL418" s="705"/>
      <c r="AM418" s="705"/>
      <c r="AN418" s="705"/>
      <c r="AO418" s="705"/>
      <c r="AP418" s="705"/>
      <c r="AQ418" s="705"/>
      <c r="AR418" s="705"/>
      <c r="AS418" s="863"/>
      <c r="AT418" s="863"/>
      <c r="AU418" s="863"/>
      <c r="AV418" s="863"/>
      <c r="AW418" s="863"/>
      <c r="AX418" s="863"/>
      <c r="AY418" s="864"/>
    </row>
    <row r="419" spans="1:51" s="133" customFormat="1">
      <c r="A419" s="860"/>
      <c r="B419" s="860"/>
      <c r="C419" s="860"/>
      <c r="D419" s="860"/>
      <c r="E419" s="860"/>
      <c r="F419" s="860"/>
      <c r="G419" s="860"/>
      <c r="H419" s="860"/>
      <c r="I419" s="860"/>
      <c r="J419" s="860"/>
      <c r="K419" s="860"/>
      <c r="L419" s="705"/>
      <c r="M419" s="705"/>
      <c r="N419" s="705"/>
      <c r="O419" s="705"/>
      <c r="P419" s="705"/>
      <c r="Q419" s="705"/>
      <c r="R419" s="705"/>
      <c r="S419" s="705"/>
      <c r="T419" s="860"/>
      <c r="U419" s="705"/>
      <c r="V419" s="705"/>
      <c r="W419" s="705"/>
      <c r="X419" s="705"/>
      <c r="Y419" s="705"/>
      <c r="Z419" s="705"/>
      <c r="AA419" s="705"/>
      <c r="AB419" s="705"/>
      <c r="AC419" s="705"/>
      <c r="AD419" s="705"/>
      <c r="AE419" s="705"/>
      <c r="AF419" s="705"/>
      <c r="AG419" s="705"/>
      <c r="AH419" s="705"/>
      <c r="AI419" s="705"/>
      <c r="AJ419" s="705"/>
      <c r="AK419" s="705"/>
      <c r="AL419" s="705"/>
      <c r="AM419" s="705"/>
      <c r="AN419" s="705"/>
      <c r="AO419" s="705"/>
      <c r="AP419" s="705"/>
      <c r="AQ419" s="705"/>
      <c r="AR419" s="705"/>
      <c r="AS419" s="863"/>
      <c r="AT419" s="863"/>
      <c r="AU419" s="863"/>
      <c r="AV419" s="863"/>
      <c r="AW419" s="863"/>
      <c r="AX419" s="863"/>
      <c r="AY419" s="864"/>
    </row>
    <row r="420" spans="1:51" s="133" customFormat="1">
      <c r="A420" s="860"/>
      <c r="B420" s="860"/>
      <c r="C420" s="860"/>
      <c r="D420" s="860"/>
      <c r="E420" s="860"/>
      <c r="F420" s="860"/>
      <c r="G420" s="860"/>
      <c r="H420" s="860"/>
      <c r="I420" s="860"/>
      <c r="J420" s="860"/>
      <c r="K420" s="860"/>
      <c r="L420" s="705"/>
      <c r="M420" s="705"/>
      <c r="N420" s="705"/>
      <c r="O420" s="705"/>
      <c r="P420" s="705"/>
      <c r="Q420" s="705"/>
      <c r="R420" s="705"/>
      <c r="S420" s="705"/>
      <c r="T420" s="860"/>
      <c r="U420" s="705"/>
      <c r="V420" s="705"/>
      <c r="W420" s="705"/>
      <c r="X420" s="705"/>
      <c r="Y420" s="705"/>
      <c r="Z420" s="705"/>
      <c r="AA420" s="705"/>
      <c r="AB420" s="705"/>
      <c r="AC420" s="705"/>
      <c r="AD420" s="705"/>
      <c r="AE420" s="705"/>
      <c r="AF420" s="705"/>
      <c r="AG420" s="705"/>
      <c r="AH420" s="705"/>
      <c r="AI420" s="705"/>
      <c r="AJ420" s="705"/>
      <c r="AK420" s="705"/>
      <c r="AL420" s="705"/>
      <c r="AM420" s="705"/>
      <c r="AN420" s="705"/>
      <c r="AO420" s="705"/>
      <c r="AP420" s="705"/>
      <c r="AQ420" s="705"/>
      <c r="AR420" s="705"/>
      <c r="AS420" s="863"/>
      <c r="AT420" s="863"/>
      <c r="AU420" s="863"/>
      <c r="AV420" s="863"/>
      <c r="AW420" s="863"/>
      <c r="AX420" s="863"/>
      <c r="AY420" s="864"/>
    </row>
    <row r="421" spans="1:51" s="133" customFormat="1">
      <c r="A421" s="860"/>
      <c r="B421" s="860"/>
      <c r="C421" s="860"/>
      <c r="D421" s="860"/>
      <c r="E421" s="860"/>
      <c r="F421" s="860"/>
      <c r="G421" s="860"/>
      <c r="H421" s="860"/>
      <c r="I421" s="860"/>
      <c r="J421" s="860"/>
      <c r="K421" s="860"/>
      <c r="L421" s="705"/>
      <c r="M421" s="705"/>
      <c r="N421" s="705"/>
      <c r="O421" s="705"/>
      <c r="P421" s="705"/>
      <c r="Q421" s="705"/>
      <c r="R421" s="705"/>
      <c r="S421" s="705"/>
      <c r="T421" s="860"/>
      <c r="U421" s="705"/>
      <c r="V421" s="705"/>
      <c r="W421" s="705"/>
      <c r="X421" s="705"/>
      <c r="Y421" s="705"/>
      <c r="Z421" s="705"/>
      <c r="AA421" s="705"/>
      <c r="AB421" s="705"/>
      <c r="AC421" s="705"/>
      <c r="AD421" s="705"/>
      <c r="AE421" s="705"/>
      <c r="AF421" s="705"/>
      <c r="AG421" s="705"/>
      <c r="AH421" s="705"/>
      <c r="AI421" s="705"/>
      <c r="AJ421" s="705"/>
      <c r="AK421" s="705"/>
      <c r="AL421" s="705"/>
      <c r="AM421" s="705"/>
      <c r="AN421" s="705"/>
      <c r="AO421" s="705"/>
      <c r="AP421" s="705"/>
      <c r="AQ421" s="705"/>
      <c r="AR421" s="705"/>
      <c r="AS421" s="863"/>
      <c r="AT421" s="863"/>
      <c r="AU421" s="863"/>
      <c r="AV421" s="863"/>
      <c r="AW421" s="863"/>
      <c r="AX421" s="863"/>
      <c r="AY421" s="864"/>
    </row>
    <row r="422" spans="1:51" s="133" customFormat="1">
      <c r="A422" s="860"/>
      <c r="B422" s="860"/>
      <c r="C422" s="860"/>
      <c r="D422" s="860"/>
      <c r="E422" s="860"/>
      <c r="F422" s="860"/>
      <c r="G422" s="860"/>
      <c r="H422" s="860"/>
      <c r="I422" s="860"/>
      <c r="J422" s="860"/>
      <c r="K422" s="860"/>
      <c r="L422" s="705"/>
      <c r="M422" s="705"/>
      <c r="N422" s="705"/>
      <c r="O422" s="705"/>
      <c r="P422" s="705"/>
      <c r="Q422" s="705"/>
      <c r="R422" s="705"/>
      <c r="S422" s="705"/>
      <c r="T422" s="860"/>
      <c r="U422" s="705"/>
      <c r="V422" s="705"/>
      <c r="W422" s="705"/>
      <c r="X422" s="705"/>
      <c r="Y422" s="705"/>
      <c r="Z422" s="705"/>
      <c r="AA422" s="705"/>
      <c r="AB422" s="705"/>
      <c r="AC422" s="705"/>
      <c r="AD422" s="705"/>
      <c r="AE422" s="705"/>
      <c r="AF422" s="705"/>
      <c r="AG422" s="705"/>
      <c r="AH422" s="705"/>
      <c r="AI422" s="705"/>
      <c r="AJ422" s="705"/>
      <c r="AK422" s="705"/>
      <c r="AL422" s="705"/>
      <c r="AM422" s="705"/>
      <c r="AN422" s="705"/>
      <c r="AO422" s="705"/>
      <c r="AP422" s="705"/>
      <c r="AQ422" s="705"/>
      <c r="AR422" s="705"/>
      <c r="AS422" s="863"/>
      <c r="AT422" s="863"/>
      <c r="AU422" s="863"/>
      <c r="AV422" s="863"/>
      <c r="AW422" s="863"/>
      <c r="AX422" s="863"/>
      <c r="AY422" s="864"/>
    </row>
    <row r="423" spans="1:51" s="133" customFormat="1">
      <c r="A423" s="860"/>
      <c r="B423" s="860"/>
      <c r="C423" s="860"/>
      <c r="D423" s="860"/>
      <c r="E423" s="860"/>
      <c r="F423" s="860"/>
      <c r="G423" s="860"/>
      <c r="H423" s="860"/>
      <c r="I423" s="860"/>
      <c r="J423" s="860"/>
      <c r="K423" s="860"/>
      <c r="L423" s="705"/>
      <c r="M423" s="705"/>
      <c r="N423" s="705"/>
      <c r="O423" s="705"/>
      <c r="P423" s="705"/>
      <c r="Q423" s="705"/>
      <c r="R423" s="705"/>
      <c r="S423" s="705"/>
      <c r="T423" s="860"/>
      <c r="U423" s="705"/>
      <c r="V423" s="705"/>
      <c r="W423" s="705"/>
      <c r="X423" s="705"/>
      <c r="Y423" s="705"/>
      <c r="Z423" s="705"/>
      <c r="AA423" s="705"/>
      <c r="AB423" s="705"/>
      <c r="AC423" s="705"/>
      <c r="AD423" s="705"/>
      <c r="AE423" s="705"/>
      <c r="AF423" s="705"/>
      <c r="AG423" s="705"/>
      <c r="AH423" s="705"/>
      <c r="AI423" s="705"/>
      <c r="AJ423" s="705"/>
      <c r="AK423" s="705"/>
      <c r="AL423" s="705"/>
      <c r="AM423" s="705"/>
      <c r="AN423" s="705"/>
      <c r="AO423" s="705"/>
      <c r="AP423" s="705"/>
      <c r="AQ423" s="705"/>
      <c r="AR423" s="705"/>
      <c r="AS423" s="863"/>
      <c r="AT423" s="863"/>
      <c r="AU423" s="863"/>
      <c r="AV423" s="863"/>
      <c r="AW423" s="863"/>
      <c r="AX423" s="863"/>
      <c r="AY423" s="864"/>
    </row>
    <row r="424" spans="1:51" s="133" customFormat="1" ht="13.5" thickBot="1">
      <c r="A424" s="860"/>
      <c r="B424" s="860"/>
      <c r="C424" s="860"/>
      <c r="D424" s="860"/>
      <c r="E424" s="860"/>
      <c r="F424" s="860"/>
      <c r="G424" s="860"/>
      <c r="H424" s="860"/>
      <c r="I424" s="860"/>
      <c r="J424" s="860"/>
      <c r="K424" s="860"/>
      <c r="L424" s="705"/>
      <c r="M424" s="705"/>
      <c r="N424" s="705"/>
      <c r="O424" s="705"/>
      <c r="P424" s="705"/>
      <c r="Q424" s="705"/>
      <c r="R424" s="705"/>
      <c r="S424" s="705"/>
      <c r="T424" s="860"/>
      <c r="U424" s="705"/>
      <c r="V424" s="705"/>
      <c r="W424" s="705"/>
      <c r="X424" s="705"/>
      <c r="Y424" s="705"/>
      <c r="Z424" s="705"/>
      <c r="AA424" s="705"/>
      <c r="AB424" s="705"/>
      <c r="AC424" s="705"/>
      <c r="AD424" s="705"/>
      <c r="AE424" s="705"/>
      <c r="AF424" s="705"/>
      <c r="AG424" s="705"/>
      <c r="AH424" s="705"/>
      <c r="AI424" s="705"/>
      <c r="AJ424" s="705"/>
      <c r="AK424" s="705"/>
      <c r="AL424" s="705"/>
      <c r="AM424" s="705"/>
      <c r="AN424" s="705"/>
      <c r="AO424" s="705"/>
      <c r="AP424" s="705"/>
      <c r="AQ424" s="705"/>
      <c r="AR424" s="705"/>
      <c r="AS424" s="863"/>
      <c r="AT424" s="881"/>
      <c r="AU424" s="863"/>
      <c r="AV424" s="863"/>
      <c r="AW424" s="863"/>
      <c r="AX424" s="863"/>
      <c r="AY424" s="864"/>
    </row>
    <row r="425" spans="1:51" s="133" customFormat="1">
      <c r="A425" s="860"/>
      <c r="B425" s="860"/>
      <c r="C425" s="860"/>
      <c r="D425" s="860"/>
      <c r="E425" s="860"/>
      <c r="F425" s="860"/>
      <c r="G425" s="860"/>
      <c r="H425" s="860"/>
      <c r="I425" s="860"/>
      <c r="J425" s="860"/>
      <c r="K425" s="860"/>
      <c r="L425" s="705"/>
      <c r="M425" s="705"/>
      <c r="N425" s="705"/>
      <c r="O425" s="705"/>
      <c r="P425" s="705"/>
      <c r="Q425" s="705"/>
      <c r="R425" s="705"/>
      <c r="S425" s="705"/>
      <c r="T425" s="860"/>
      <c r="U425" s="705"/>
      <c r="V425" s="705"/>
      <c r="W425" s="705"/>
      <c r="X425" s="705"/>
      <c r="Y425" s="705"/>
      <c r="Z425" s="705"/>
      <c r="AA425" s="705"/>
      <c r="AB425" s="705"/>
      <c r="AC425" s="705"/>
      <c r="AD425" s="705"/>
      <c r="AE425" s="705"/>
      <c r="AF425" s="705"/>
      <c r="AG425" s="705"/>
      <c r="AH425" s="705"/>
      <c r="AI425" s="705"/>
      <c r="AJ425" s="705"/>
      <c r="AK425" s="705"/>
      <c r="AL425" s="705"/>
      <c r="AM425" s="705"/>
      <c r="AN425" s="705"/>
      <c r="AO425" s="705"/>
      <c r="AP425" s="705"/>
      <c r="AQ425" s="705"/>
      <c r="AR425" s="705"/>
      <c r="AS425" s="863"/>
      <c r="AT425" s="863"/>
      <c r="AU425" s="863"/>
      <c r="AV425" s="863"/>
      <c r="AW425" s="863"/>
      <c r="AX425" s="863"/>
      <c r="AY425" s="864"/>
    </row>
    <row r="426" spans="1:51" s="133" customFormat="1">
      <c r="A426" s="860"/>
      <c r="B426" s="860"/>
      <c r="C426" s="860"/>
      <c r="D426" s="860"/>
      <c r="E426" s="860"/>
      <c r="F426" s="860"/>
      <c r="G426" s="860"/>
      <c r="H426" s="860"/>
      <c r="I426" s="860"/>
      <c r="J426" s="860"/>
      <c r="K426" s="860"/>
      <c r="L426" s="705"/>
      <c r="M426" s="705"/>
      <c r="N426" s="705"/>
      <c r="O426" s="705"/>
      <c r="P426" s="705"/>
      <c r="Q426" s="705"/>
      <c r="R426" s="705"/>
      <c r="S426" s="705"/>
      <c r="T426" s="860"/>
      <c r="U426" s="705"/>
      <c r="V426" s="705"/>
      <c r="W426" s="705"/>
      <c r="X426" s="705"/>
      <c r="Y426" s="705"/>
      <c r="Z426" s="705"/>
      <c r="AA426" s="705"/>
      <c r="AB426" s="705"/>
      <c r="AC426" s="705"/>
      <c r="AD426" s="705"/>
      <c r="AE426" s="705"/>
      <c r="AF426" s="705"/>
      <c r="AG426" s="705"/>
      <c r="AH426" s="705"/>
      <c r="AI426" s="705"/>
      <c r="AJ426" s="705"/>
      <c r="AK426" s="705"/>
      <c r="AL426" s="705"/>
      <c r="AM426" s="705"/>
      <c r="AN426" s="705"/>
      <c r="AO426" s="705"/>
      <c r="AP426" s="705"/>
      <c r="AQ426" s="705"/>
      <c r="AR426" s="705"/>
      <c r="AS426" s="863"/>
      <c r="AT426" s="863"/>
      <c r="AU426" s="863"/>
      <c r="AV426" s="863"/>
      <c r="AW426" s="863"/>
      <c r="AX426" s="863"/>
      <c r="AY426" s="864"/>
    </row>
    <row r="427" spans="1:51" s="9" customFormat="1" ht="13.5" thickBot="1">
      <c r="A427" s="860"/>
      <c r="B427" s="860"/>
      <c r="C427" s="860"/>
      <c r="D427" s="860"/>
      <c r="E427" s="860"/>
      <c r="F427" s="860"/>
      <c r="G427" s="860"/>
      <c r="H427" s="860"/>
      <c r="I427" s="860"/>
      <c r="J427" s="860"/>
      <c r="K427" s="860"/>
      <c r="L427" s="705"/>
      <c r="M427" s="705"/>
      <c r="N427" s="705"/>
      <c r="O427" s="705"/>
      <c r="P427" s="705"/>
      <c r="Q427" s="705"/>
      <c r="R427" s="705"/>
      <c r="S427" s="705"/>
      <c r="T427" s="860"/>
      <c r="U427" s="705"/>
      <c r="V427" s="705"/>
      <c r="W427" s="705"/>
      <c r="X427" s="705"/>
      <c r="Y427" s="705"/>
      <c r="Z427" s="705"/>
      <c r="AA427" s="705"/>
      <c r="AB427" s="705"/>
      <c r="AC427" s="705"/>
      <c r="AD427" s="705"/>
      <c r="AE427" s="705"/>
      <c r="AF427" s="705"/>
      <c r="AG427" s="705"/>
      <c r="AH427" s="705"/>
      <c r="AI427" s="705"/>
      <c r="AJ427" s="705"/>
      <c r="AK427" s="705"/>
      <c r="AL427" s="705"/>
      <c r="AM427" s="705"/>
      <c r="AN427" s="705"/>
      <c r="AO427" s="705"/>
      <c r="AP427" s="705"/>
      <c r="AQ427" s="705"/>
      <c r="AR427" s="705"/>
      <c r="AS427" s="863"/>
      <c r="AT427" s="881"/>
      <c r="AU427" s="863"/>
      <c r="AV427" s="863"/>
      <c r="AW427" s="863"/>
      <c r="AX427" s="863"/>
      <c r="AY427" s="864"/>
    </row>
    <row r="428" spans="1:51" s="133" customFormat="1">
      <c r="A428" s="860"/>
      <c r="B428" s="860"/>
      <c r="C428" s="860"/>
      <c r="D428" s="860"/>
      <c r="E428" s="860"/>
      <c r="F428" s="860"/>
      <c r="G428" s="860"/>
      <c r="H428" s="860"/>
      <c r="I428" s="860"/>
      <c r="J428" s="860"/>
      <c r="K428" s="860"/>
      <c r="L428" s="705"/>
      <c r="M428" s="705"/>
      <c r="N428" s="705"/>
      <c r="O428" s="705"/>
      <c r="P428" s="705"/>
      <c r="Q428" s="705"/>
      <c r="R428" s="705"/>
      <c r="S428" s="705"/>
      <c r="T428" s="860"/>
      <c r="U428" s="705"/>
      <c r="V428" s="705"/>
      <c r="W428" s="705"/>
      <c r="X428" s="705"/>
      <c r="Y428" s="705"/>
      <c r="Z428" s="705"/>
      <c r="AA428" s="705"/>
      <c r="AB428" s="705"/>
      <c r="AC428" s="705"/>
      <c r="AD428" s="705"/>
      <c r="AE428" s="705"/>
      <c r="AF428" s="705"/>
      <c r="AG428" s="705"/>
      <c r="AH428" s="705"/>
      <c r="AI428" s="705"/>
      <c r="AJ428" s="705"/>
      <c r="AK428" s="705"/>
      <c r="AL428" s="705"/>
      <c r="AM428" s="705"/>
      <c r="AN428" s="705"/>
      <c r="AO428" s="705"/>
      <c r="AP428" s="705"/>
      <c r="AQ428" s="705"/>
      <c r="AR428" s="705"/>
      <c r="AS428" s="863"/>
      <c r="AT428" s="863"/>
      <c r="AU428" s="863"/>
      <c r="AV428" s="863"/>
      <c r="AW428" s="863"/>
      <c r="AX428" s="863"/>
      <c r="AY428" s="864"/>
    </row>
    <row r="429" spans="1:51" s="9" customFormat="1" ht="13.5" thickBot="1">
      <c r="A429" s="860"/>
      <c r="B429" s="860"/>
      <c r="C429" s="860"/>
      <c r="D429" s="860"/>
      <c r="E429" s="860"/>
      <c r="F429" s="860"/>
      <c r="G429" s="860"/>
      <c r="H429" s="860"/>
      <c r="I429" s="860"/>
      <c r="J429" s="860"/>
      <c r="K429" s="860"/>
      <c r="L429" s="705"/>
      <c r="M429" s="705"/>
      <c r="N429" s="705"/>
      <c r="O429" s="705"/>
      <c r="P429" s="705"/>
      <c r="Q429" s="705"/>
      <c r="R429" s="705"/>
      <c r="S429" s="705"/>
      <c r="T429" s="860"/>
      <c r="U429" s="705"/>
      <c r="V429" s="705"/>
      <c r="W429" s="705"/>
      <c r="X429" s="705"/>
      <c r="Y429" s="705"/>
      <c r="Z429" s="705"/>
      <c r="AA429" s="705"/>
      <c r="AB429" s="705"/>
      <c r="AC429" s="705"/>
      <c r="AD429" s="705"/>
      <c r="AE429" s="705"/>
      <c r="AF429" s="705"/>
      <c r="AG429" s="705"/>
      <c r="AH429" s="705"/>
      <c r="AI429" s="705"/>
      <c r="AJ429" s="705"/>
      <c r="AK429" s="705"/>
      <c r="AL429" s="705"/>
      <c r="AM429" s="705"/>
      <c r="AN429" s="705"/>
      <c r="AO429" s="705"/>
      <c r="AP429" s="705"/>
      <c r="AQ429" s="705"/>
      <c r="AR429" s="705"/>
      <c r="AS429" s="863"/>
      <c r="AT429" s="881"/>
      <c r="AU429" s="863"/>
      <c r="AV429" s="863"/>
      <c r="AW429" s="863"/>
      <c r="AX429" s="863"/>
      <c r="AY429" s="864"/>
    </row>
    <row r="430" spans="1:51">
      <c r="AS430" s="863"/>
      <c r="AT430" s="863"/>
      <c r="AU430" s="863"/>
      <c r="AV430" s="863"/>
      <c r="AW430" s="863"/>
      <c r="AX430" s="863"/>
    </row>
  </sheetData>
  <mergeCells count="5">
    <mergeCell ref="AS3:AX3"/>
    <mergeCell ref="AE3:AI3"/>
    <mergeCell ref="W3:AD3"/>
    <mergeCell ref="AJ3:AR3"/>
    <mergeCell ref="M3:V3"/>
  </mergeCells>
  <phoneticPr fontId="30" type="noConversion"/>
  <conditionalFormatting sqref="AY4:AY429">
    <cfRule type="cellIs" dxfId="410" priority="402" stopIfTrue="1" operator="lessThan">
      <formula>1</formula>
    </cfRule>
  </conditionalFormatting>
  <conditionalFormatting sqref="J3:K3">
    <cfRule type="expression" dxfId="409" priority="124" stopIfTrue="1">
      <formula>ISBLANK($J3)</formula>
    </cfRule>
    <cfRule type="expression" dxfId="408" priority="125" stopIfTrue="1">
      <formula>$I3=0</formula>
    </cfRule>
  </conditionalFormatting>
  <conditionalFormatting sqref="I3">
    <cfRule type="expression" dxfId="407" priority="122" stopIfTrue="1">
      <formula>ISBLANK($J3)</formula>
    </cfRule>
    <cfRule type="expression" dxfId="406" priority="123" stopIfTrue="1">
      <formula>$I3=0</formula>
    </cfRule>
  </conditionalFormatting>
  <conditionalFormatting sqref="I2:J2">
    <cfRule type="expression" dxfId="405" priority="405" stopIfTrue="1">
      <formula>ISBLANK($I2)</formula>
    </cfRule>
    <cfRule type="expression" dxfId="404" priority="406" stopIfTrue="1">
      <formula>#REF!=0</formula>
    </cfRule>
  </conditionalFormatting>
  <conditionalFormatting sqref="I1:J1">
    <cfRule type="expression" dxfId="403" priority="502" stopIfTrue="1">
      <formula>ISBLANK($I1)</formula>
    </cfRule>
    <cfRule type="expression" dxfId="402" priority="503" stopIfTrue="1">
      <formula>$E1=0</formula>
    </cfRule>
  </conditionalFormatting>
  <dataValidations count="4">
    <dataValidation type="list" allowBlank="1" showInputMessage="1" showErrorMessage="1" sqref="G352:G1048576">
      <formula1>$E$47:$E$62</formula1>
    </dataValidation>
    <dataValidation type="list" allowBlank="1" showInputMessage="1" showErrorMessage="1" sqref="AL200 AL155 AL298 AL268 AL260 AL258 AL256 AL247 AL209 AL207 AL205">
      <formula1>$E$52:$E$68</formula1>
    </dataValidation>
    <dataValidation type="list" allowBlank="1" showInputMessage="1" showErrorMessage="1" sqref="AJ209 AJ207 AJ256 AJ205 AJ260 AJ258">
      <formula1>$E$33:$E$44</formula1>
    </dataValidation>
    <dataValidation type="list" allowBlank="1" showInputMessage="1" showErrorMessage="1" sqref="G5:G350">
      <formula1>EndUse</formula1>
    </dataValidation>
  </dataValidations>
  <pageMargins left="0.7" right="0.7" top="1.3958333333333333" bottom="0.75" header="0.3" footer="0.3"/>
  <pageSetup fitToHeight="0" orientation="portrait" r:id="rId1"/>
  <headerFooter>
    <oddHeader>&amp;RBoston Gas Company and Colonial Gas Company 
d/b/a National Grid 
D.P.U. 18-51
2017 Energy Efficiency Plan-Year Report
Appendix 2, BCR Model
&amp;P of &amp;N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'[2]Lookups-Assumptions'!#REF!</xm:f>
          </x14:formula1>
          <xm:sqref>AN200 AN205 AN207 AN209 AN247 AN256 AN258 AN260 AN268 AN298 AN155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A459"/>
  <sheetViews>
    <sheetView zoomScale="90" zoomScaleNormal="90" workbookViewId="0">
      <selection activeCell="M5" sqref="M5"/>
    </sheetView>
  </sheetViews>
  <sheetFormatPr defaultColWidth="9.140625" defaultRowHeight="12.75"/>
  <cols>
    <col min="1" max="1" width="7" style="92" customWidth="1"/>
    <col min="2" max="2" width="8.85546875" style="92" customWidth="1"/>
    <col min="3" max="3" width="33.85546875" style="92" customWidth="1"/>
    <col min="4" max="4" width="35.85546875" style="92" customWidth="1"/>
    <col min="5" max="5" width="13.7109375" style="92" customWidth="1"/>
    <col min="6" max="6" width="16.28515625" style="214" bestFit="1" customWidth="1"/>
    <col min="7" max="7" width="8.140625" style="215" customWidth="1"/>
    <col min="8" max="8" width="8.140625" style="214" customWidth="1"/>
    <col min="9" max="9" width="16.5703125" style="215" bestFit="1" customWidth="1"/>
    <col min="10" max="10" width="20.85546875" style="215" bestFit="1" customWidth="1"/>
    <col min="11" max="11" width="17" style="215" bestFit="1" customWidth="1"/>
    <col min="12" max="12" width="14.42578125" style="96" customWidth="1"/>
    <col min="13" max="13" width="11.85546875" style="216" customWidth="1"/>
    <col min="14" max="14" width="14" style="217" customWidth="1"/>
    <col min="15" max="15" width="11.85546875" style="216" customWidth="1"/>
    <col min="16" max="20" width="14" style="217" customWidth="1"/>
    <col min="21" max="21" width="11.5703125" style="216" customWidth="1"/>
    <col min="22" max="23" width="11.5703125" style="217" customWidth="1"/>
    <col min="24" max="25" width="11.42578125" style="487" customWidth="1"/>
    <col min="26" max="26" width="17.140625" style="259" bestFit="1" customWidth="1"/>
    <col min="27" max="27" width="17.7109375" style="259" bestFit="1" customWidth="1"/>
    <col min="28" max="28" width="17.28515625" style="259" customWidth="1"/>
    <col min="29" max="29" width="16.140625" style="259" customWidth="1"/>
    <col min="30" max="34" width="11.42578125" style="259" customWidth="1"/>
    <col min="35" max="35" width="13.7109375" style="259" customWidth="1"/>
    <col min="36" max="36" width="11.42578125" style="259" customWidth="1"/>
    <col min="37" max="37" width="13.42578125" style="259" customWidth="1"/>
    <col min="38" max="38" width="21" style="259" customWidth="1"/>
    <col min="39" max="40" width="11.42578125" style="259" customWidth="1"/>
    <col min="41" max="41" width="31.28515625" style="259" bestFit="1" customWidth="1"/>
    <col min="42" max="45" width="15" style="96" customWidth="1"/>
    <col min="46" max="46" width="17.140625" style="218" bestFit="1" customWidth="1"/>
    <col min="47" max="50" width="14.28515625" style="42" bestFit="1" customWidth="1"/>
    <col min="51" max="52" width="14.28515625" style="42" customWidth="1"/>
    <col min="53" max="53" width="15.85546875" style="219" customWidth="1"/>
    <col min="54" max="54" width="17.5703125" style="219" customWidth="1"/>
    <col min="55" max="55" width="16.42578125" style="96" customWidth="1"/>
    <col min="56" max="56" width="11.42578125" style="96" customWidth="1"/>
    <col min="57" max="57" width="15" style="96" bestFit="1" customWidth="1"/>
    <col min="58" max="59" width="14.140625" style="96" customWidth="1"/>
    <col min="60" max="60" width="16.140625" style="218" customWidth="1"/>
    <col min="61" max="61" width="19.85546875" style="218" customWidth="1"/>
    <col min="62" max="62" width="12.85546875" style="96" customWidth="1"/>
    <col min="63" max="63" width="14.28515625" style="96" customWidth="1"/>
    <col min="64" max="64" width="19.5703125" style="96" bestFit="1" customWidth="1"/>
    <col min="65" max="68" width="12.85546875" style="96" customWidth="1"/>
    <col min="69" max="69" width="23.140625" style="218" bestFit="1" customWidth="1"/>
    <col min="70" max="70" width="17.28515625" style="42" bestFit="1" customWidth="1"/>
    <col min="71" max="71" width="9.140625" style="42"/>
    <col min="72" max="72" width="10.7109375" style="42" customWidth="1"/>
    <col min="73" max="73" width="18.28515625" style="42" bestFit="1" customWidth="1"/>
    <col min="74" max="74" width="14" style="42" bestFit="1" customWidth="1"/>
    <col min="75" max="76" width="9.140625" style="42" customWidth="1"/>
    <col min="77" max="77" width="9.140625" style="42"/>
    <col min="78" max="78" width="18.5703125" style="219" bestFit="1" customWidth="1"/>
    <col min="79" max="79" width="13.85546875" style="219" customWidth="1"/>
    <col min="80" max="83" width="10.85546875" style="96" customWidth="1"/>
    <col min="84" max="84" width="12.5703125" style="96" customWidth="1"/>
    <col min="85" max="85" width="14.140625" style="96" customWidth="1"/>
    <col min="86" max="86" width="12.85546875" style="96" customWidth="1"/>
    <col min="87" max="87" width="15" style="96" customWidth="1"/>
    <col min="88" max="88" width="17.7109375" style="96" customWidth="1"/>
    <col min="89" max="90" width="12.140625" style="96" customWidth="1"/>
    <col min="91" max="91" width="17.140625" style="96" bestFit="1" customWidth="1"/>
    <col min="92" max="92" width="12.140625" style="96" customWidth="1"/>
    <col min="93" max="93" width="23.5703125" style="255" bestFit="1" customWidth="1"/>
    <col min="94" max="94" width="19.85546875" style="255" customWidth="1"/>
    <col min="95" max="95" width="7.42578125" style="220" customWidth="1"/>
    <col min="96" max="96" width="7.42578125" style="42" customWidth="1"/>
    <col min="97" max="97" width="8" style="42" customWidth="1"/>
    <col min="98" max="98" width="8.140625" style="42" customWidth="1"/>
    <col min="99" max="99" width="8" style="42" customWidth="1"/>
    <col min="100" max="102" width="7.42578125" style="42" customWidth="1"/>
    <col min="103" max="16384" width="9.140625" style="42"/>
  </cols>
  <sheetData>
    <row r="1" spans="1:105" s="86" customFormat="1" ht="15">
      <c r="A1" s="484" t="s">
        <v>280</v>
      </c>
      <c r="B1" s="485">
        <f>Year2</f>
        <v>2017</v>
      </c>
      <c r="C1" s="467"/>
      <c r="D1" s="467"/>
      <c r="E1" s="467"/>
      <c r="F1" s="84"/>
      <c r="G1" s="468"/>
      <c r="H1" s="84"/>
      <c r="I1" s="712"/>
      <c r="J1" s="468"/>
      <c r="K1" s="468"/>
      <c r="L1" s="96"/>
      <c r="M1" s="469"/>
      <c r="N1" s="470"/>
      <c r="O1" s="469"/>
      <c r="P1" s="470"/>
      <c r="Q1" s="470"/>
      <c r="R1" s="470"/>
      <c r="S1" s="470"/>
      <c r="T1" s="470"/>
      <c r="U1" s="469"/>
      <c r="V1" s="470"/>
      <c r="W1" s="470"/>
      <c r="X1" s="471"/>
      <c r="Y1" s="471"/>
      <c r="Z1" s="472"/>
      <c r="AA1" s="472"/>
      <c r="AB1" s="472"/>
      <c r="AC1" s="472"/>
      <c r="AD1" s="472"/>
      <c r="AE1" s="472"/>
      <c r="AF1" s="472"/>
      <c r="AG1" s="472"/>
      <c r="AH1" s="472"/>
      <c r="AI1" s="472"/>
      <c r="AJ1" s="472"/>
      <c r="AK1" s="472"/>
      <c r="AL1" s="472"/>
      <c r="AM1" s="472"/>
      <c r="AN1" s="472"/>
      <c r="AO1" s="472"/>
      <c r="AP1" s="96"/>
      <c r="AQ1" s="473"/>
      <c r="AR1" s="473"/>
      <c r="AS1" s="473"/>
      <c r="AT1" s="218"/>
      <c r="AU1" s="201"/>
      <c r="AV1" s="201"/>
      <c r="AW1" s="201"/>
      <c r="AX1" s="201"/>
      <c r="AY1" s="201"/>
      <c r="AZ1" s="201"/>
      <c r="BA1" s="474"/>
      <c r="BB1" s="474"/>
      <c r="BC1" s="473"/>
      <c r="BD1" s="473"/>
      <c r="BE1" s="473"/>
      <c r="BF1" s="473" t="s">
        <v>37</v>
      </c>
      <c r="BG1" s="85" t="s">
        <v>37</v>
      </c>
      <c r="BH1" s="475"/>
      <c r="BI1" s="475"/>
      <c r="BJ1" s="473"/>
      <c r="BK1" s="473"/>
      <c r="BL1" s="473"/>
      <c r="BM1" s="473"/>
      <c r="BN1" s="473"/>
      <c r="BO1" s="473"/>
      <c r="BP1" s="473"/>
      <c r="BQ1" s="475"/>
      <c r="BR1" s="201"/>
      <c r="BS1" s="201"/>
      <c r="BT1" s="201"/>
      <c r="BU1" s="201"/>
      <c r="BV1" s="201"/>
      <c r="BW1" s="201"/>
      <c r="BX1" s="201"/>
      <c r="BY1" s="201"/>
      <c r="BZ1" s="474"/>
      <c r="CA1" s="474"/>
      <c r="CB1" s="473"/>
      <c r="CC1" s="473"/>
      <c r="CD1" s="473"/>
      <c r="CE1" s="473"/>
      <c r="CF1" s="473"/>
      <c r="CG1" s="473"/>
      <c r="CH1" s="473"/>
      <c r="CI1" s="473"/>
      <c r="CJ1" s="473"/>
      <c r="CK1" s="473"/>
      <c r="CL1" s="473"/>
      <c r="CM1" s="473"/>
      <c r="CN1" s="473"/>
      <c r="CO1" s="476"/>
      <c r="CP1" s="476"/>
      <c r="CQ1" s="477"/>
      <c r="CR1" s="201"/>
      <c r="CS1" s="201"/>
      <c r="CT1" s="201"/>
      <c r="CU1" s="201"/>
      <c r="CV1" s="201"/>
      <c r="CW1" s="201"/>
      <c r="CX1" s="201"/>
      <c r="CY1" s="201"/>
      <c r="CZ1" s="201"/>
      <c r="DA1" s="201"/>
    </row>
    <row r="2" spans="1:105" s="90" customFormat="1">
      <c r="A2" s="87"/>
      <c r="B2" s="87"/>
      <c r="C2" s="87"/>
      <c r="D2" s="88"/>
      <c r="E2" s="88"/>
      <c r="F2" s="88"/>
      <c r="G2" s="88"/>
      <c r="H2" s="88"/>
      <c r="I2" s="88"/>
      <c r="J2" s="88"/>
      <c r="K2" s="88"/>
      <c r="L2" s="89"/>
      <c r="M2" s="89"/>
      <c r="N2" s="89"/>
      <c r="O2" s="89"/>
      <c r="P2" s="89"/>
      <c r="Q2" s="89"/>
      <c r="R2" s="89"/>
      <c r="S2" s="89"/>
      <c r="T2" s="89"/>
      <c r="U2" s="89"/>
      <c r="V2" s="89"/>
      <c r="W2" s="89"/>
      <c r="X2" s="89"/>
      <c r="Y2" s="89"/>
      <c r="Z2" s="256"/>
      <c r="AA2" s="256"/>
      <c r="AB2" s="256"/>
      <c r="AC2" s="256"/>
      <c r="AD2" s="256"/>
      <c r="AE2" s="256"/>
      <c r="AF2" s="256"/>
      <c r="AG2" s="256"/>
      <c r="AH2" s="256"/>
      <c r="AI2" s="256"/>
      <c r="AJ2" s="256"/>
      <c r="AK2" s="256"/>
      <c r="AL2" s="256"/>
      <c r="AM2" s="256"/>
      <c r="AN2" s="256"/>
      <c r="AO2" s="256"/>
      <c r="AP2" s="89">
        <v>4</v>
      </c>
      <c r="AQ2" s="89">
        <v>6</v>
      </c>
      <c r="AR2" s="89">
        <v>8</v>
      </c>
      <c r="AS2" s="89">
        <v>10</v>
      </c>
      <c r="AT2" s="192"/>
      <c r="AU2" s="89">
        <v>55</v>
      </c>
      <c r="AV2" s="89">
        <v>57</v>
      </c>
      <c r="AW2" s="89">
        <v>59</v>
      </c>
      <c r="AX2" s="89">
        <v>61</v>
      </c>
      <c r="AY2" s="464">
        <v>87</v>
      </c>
      <c r="AZ2" s="464">
        <v>89</v>
      </c>
      <c r="BA2" s="192"/>
      <c r="BB2" s="465"/>
      <c r="BC2" s="89">
        <v>12</v>
      </c>
      <c r="BD2" s="89">
        <v>14</v>
      </c>
      <c r="BE2" s="89">
        <v>52</v>
      </c>
      <c r="BF2" s="89">
        <v>16</v>
      </c>
      <c r="BG2" s="89">
        <v>18</v>
      </c>
      <c r="BH2" s="192"/>
      <c r="BI2" s="192"/>
      <c r="BJ2" s="89">
        <v>26</v>
      </c>
      <c r="BK2" s="89">
        <v>28</v>
      </c>
      <c r="BL2" s="89">
        <v>30</v>
      </c>
      <c r="BM2" s="89">
        <v>32</v>
      </c>
      <c r="BN2" s="89">
        <v>34</v>
      </c>
      <c r="BO2" s="89">
        <v>36</v>
      </c>
      <c r="BP2" s="89">
        <v>38</v>
      </c>
      <c r="BQ2" s="192"/>
      <c r="BR2" s="464">
        <v>71</v>
      </c>
      <c r="BS2" s="464">
        <v>73</v>
      </c>
      <c r="BT2" s="464">
        <v>75</v>
      </c>
      <c r="BU2" s="464">
        <v>77</v>
      </c>
      <c r="BV2" s="464">
        <v>79</v>
      </c>
      <c r="BW2" s="464">
        <v>81</v>
      </c>
      <c r="BX2" s="464">
        <v>83</v>
      </c>
      <c r="BY2" s="464">
        <v>85</v>
      </c>
      <c r="BZ2" s="466"/>
      <c r="CA2" s="466"/>
      <c r="CB2" s="89">
        <v>20</v>
      </c>
      <c r="CC2" s="89">
        <v>22</v>
      </c>
      <c r="CD2" s="89">
        <v>40</v>
      </c>
      <c r="CE2" s="89">
        <v>44</v>
      </c>
      <c r="CF2" s="89">
        <v>46</v>
      </c>
      <c r="CG2" s="89">
        <v>48</v>
      </c>
      <c r="CH2" s="89"/>
      <c r="CI2" s="89">
        <v>50</v>
      </c>
      <c r="CJ2" s="89"/>
      <c r="CK2" s="89">
        <v>50</v>
      </c>
      <c r="CL2" s="89"/>
      <c r="CM2" s="89">
        <v>50</v>
      </c>
      <c r="CN2" s="89"/>
      <c r="CO2" s="254"/>
      <c r="CP2" s="254"/>
      <c r="CQ2" s="89"/>
      <c r="CR2" s="89"/>
      <c r="CS2" s="89"/>
      <c r="CT2" s="89"/>
      <c r="CU2" s="89"/>
      <c r="CV2" s="89"/>
      <c r="CW2" s="89"/>
      <c r="CX2" s="89"/>
    </row>
    <row r="3" spans="1:105" s="86" customFormat="1" ht="15.75" customHeight="1">
      <c r="A3" s="1182" t="s">
        <v>283</v>
      </c>
      <c r="B3" s="1182"/>
      <c r="C3" s="1182"/>
      <c r="D3" s="1182"/>
      <c r="E3" s="1182"/>
      <c r="F3" s="1182"/>
      <c r="G3" s="1182"/>
      <c r="H3" s="1182"/>
      <c r="I3" s="1183" t="s">
        <v>290</v>
      </c>
      <c r="J3" s="1183"/>
      <c r="K3" s="1183"/>
      <c r="L3" s="1184" t="s">
        <v>511</v>
      </c>
      <c r="M3" s="1184"/>
      <c r="N3" s="1184"/>
      <c r="O3" s="1184"/>
      <c r="P3" s="1184"/>
      <c r="Q3" s="1184"/>
      <c r="R3" s="1184"/>
      <c r="S3" s="1184"/>
      <c r="T3" s="1185"/>
      <c r="U3" s="1186" t="s">
        <v>513</v>
      </c>
      <c r="V3" s="1186"/>
      <c r="W3" s="1186"/>
      <c r="X3" s="1186"/>
      <c r="Y3" s="1186"/>
      <c r="Z3" s="451" t="s">
        <v>519</v>
      </c>
      <c r="AA3" s="451"/>
      <c r="AB3" s="451"/>
      <c r="AC3" s="451"/>
      <c r="AD3" s="451"/>
      <c r="AE3" s="451"/>
      <c r="AF3" s="451"/>
      <c r="AG3" s="451"/>
      <c r="AH3" s="451"/>
      <c r="AI3" s="451"/>
      <c r="AJ3" s="451"/>
      <c r="AK3" s="451"/>
      <c r="AL3" s="451"/>
      <c r="AM3" s="451"/>
      <c r="AN3" s="451"/>
      <c r="AO3" s="451"/>
      <c r="AP3" s="452" t="s">
        <v>520</v>
      </c>
      <c r="AQ3" s="452"/>
      <c r="AR3" s="452"/>
      <c r="AS3" s="452"/>
      <c r="AT3" s="452"/>
      <c r="AU3" s="453" t="s">
        <v>522</v>
      </c>
      <c r="AV3" s="453"/>
      <c r="AW3" s="453"/>
      <c r="AX3" s="453"/>
      <c r="AY3" s="453"/>
      <c r="AZ3" s="453"/>
      <c r="BA3" s="453"/>
      <c r="BB3" s="454" t="s">
        <v>562</v>
      </c>
      <c r="BC3" s="455" t="s">
        <v>521</v>
      </c>
      <c r="BD3" s="455"/>
      <c r="BE3" s="455"/>
      <c r="BF3" s="455"/>
      <c r="BG3" s="455"/>
      <c r="BH3" s="455"/>
      <c r="BI3" s="456" t="s">
        <v>288</v>
      </c>
      <c r="BJ3" s="457"/>
      <c r="BK3" s="457" t="s">
        <v>524</v>
      </c>
      <c r="BL3" s="457"/>
      <c r="BM3" s="457"/>
      <c r="BN3" s="457"/>
      <c r="BO3" s="457"/>
      <c r="BP3" s="457"/>
      <c r="BQ3" s="457"/>
      <c r="BR3" s="1181" t="s">
        <v>525</v>
      </c>
      <c r="BS3" s="1181"/>
      <c r="BT3" s="1181"/>
      <c r="BU3" s="1181"/>
      <c r="BV3" s="1181"/>
      <c r="BW3" s="1181"/>
      <c r="BX3" s="1181"/>
      <c r="BY3" s="1181"/>
      <c r="BZ3" s="1181"/>
      <c r="CA3" s="456" t="s">
        <v>600</v>
      </c>
      <c r="CB3" s="458" t="s">
        <v>573</v>
      </c>
      <c r="CC3" s="458"/>
      <c r="CD3" s="458"/>
      <c r="CE3" s="458"/>
      <c r="CF3" s="458"/>
      <c r="CG3" s="458"/>
      <c r="CH3" s="456" t="s">
        <v>288</v>
      </c>
      <c r="CI3" s="1187" t="s">
        <v>582</v>
      </c>
      <c r="CJ3" s="1187"/>
      <c r="CK3" s="1187"/>
      <c r="CL3" s="1187"/>
      <c r="CM3" s="1187"/>
      <c r="CN3" s="1187"/>
      <c r="CO3" s="1187"/>
      <c r="CP3" s="459" t="s">
        <v>411</v>
      </c>
      <c r="CQ3" s="1180" t="s">
        <v>527</v>
      </c>
      <c r="CR3" s="1180"/>
      <c r="CS3" s="1180"/>
      <c r="CT3" s="1180"/>
      <c r="CU3" s="1180"/>
      <c r="CV3" s="1180"/>
      <c r="CW3" s="1180"/>
      <c r="CX3" s="1180"/>
    </row>
    <row r="4" spans="1:105" s="191" customFormat="1" ht="63.75">
      <c r="A4" s="460" t="str">
        <f>'Inputs Yr 2'!A4</f>
        <v>Sector</v>
      </c>
      <c r="B4" s="460" t="str">
        <f>'Inputs Yr 2'!B4</f>
        <v>Program</v>
      </c>
      <c r="C4" s="460" t="str">
        <f>'Inputs Yr 2'!C4</f>
        <v>Core Initiative</v>
      </c>
      <c r="D4" s="460" t="s">
        <v>9</v>
      </c>
      <c r="E4" s="460" t="s">
        <v>715</v>
      </c>
      <c r="F4" s="460" t="s">
        <v>10</v>
      </c>
      <c r="G4" s="461" t="s">
        <v>285</v>
      </c>
      <c r="H4" s="460" t="s">
        <v>284</v>
      </c>
      <c r="I4" s="462" t="s">
        <v>656</v>
      </c>
      <c r="J4" s="462" t="s">
        <v>657</v>
      </c>
      <c r="K4" s="462" t="s">
        <v>658</v>
      </c>
      <c r="L4" s="463" t="s">
        <v>694</v>
      </c>
      <c r="M4" s="463" t="s">
        <v>532</v>
      </c>
      <c r="N4" s="463" t="s">
        <v>533</v>
      </c>
      <c r="O4" s="478" t="s">
        <v>534</v>
      </c>
      <c r="P4" s="479" t="s">
        <v>514</v>
      </c>
      <c r="Q4" s="480" t="s">
        <v>515</v>
      </c>
      <c r="R4" s="480" t="s">
        <v>516</v>
      </c>
      <c r="S4" s="480" t="s">
        <v>517</v>
      </c>
      <c r="T4" s="486" t="s">
        <v>518</v>
      </c>
      <c r="U4" s="481" t="s">
        <v>286</v>
      </c>
      <c r="V4" s="482" t="s">
        <v>572</v>
      </c>
      <c r="W4" s="482" t="s">
        <v>570</v>
      </c>
      <c r="X4" s="482" t="s">
        <v>602</v>
      </c>
      <c r="Y4" s="482" t="s">
        <v>571</v>
      </c>
      <c r="Z4" s="483" t="s">
        <v>593</v>
      </c>
      <c r="AA4" s="483" t="s">
        <v>594</v>
      </c>
      <c r="AB4" s="483" t="s">
        <v>583</v>
      </c>
      <c r="AC4" s="483" t="s">
        <v>584</v>
      </c>
      <c r="AD4" s="483" t="s">
        <v>595</v>
      </c>
      <c r="AE4" s="483" t="s">
        <v>596</v>
      </c>
      <c r="AF4" s="483" t="s">
        <v>585</v>
      </c>
      <c r="AG4" s="483" t="s">
        <v>586</v>
      </c>
      <c r="AH4" s="483" t="s">
        <v>597</v>
      </c>
      <c r="AI4" s="483" t="s">
        <v>598</v>
      </c>
      <c r="AJ4" s="483" t="s">
        <v>587</v>
      </c>
      <c r="AK4" s="483" t="s">
        <v>588</v>
      </c>
      <c r="AL4" s="483" t="s">
        <v>589</v>
      </c>
      <c r="AM4" s="483" t="s">
        <v>590</v>
      </c>
      <c r="AN4" s="483" t="s">
        <v>591</v>
      </c>
      <c r="AO4" s="483" t="s">
        <v>592</v>
      </c>
      <c r="AP4" s="478" t="s">
        <v>550</v>
      </c>
      <c r="AQ4" s="478" t="s">
        <v>551</v>
      </c>
      <c r="AR4" s="478" t="s">
        <v>552</v>
      </c>
      <c r="AS4" s="478" t="s">
        <v>553</v>
      </c>
      <c r="AT4" s="488" t="s">
        <v>554</v>
      </c>
      <c r="AU4" s="493" t="s">
        <v>555</v>
      </c>
      <c r="AV4" s="493" t="s">
        <v>556</v>
      </c>
      <c r="AW4" s="493" t="s">
        <v>557</v>
      </c>
      <c r="AX4" s="493" t="s">
        <v>558</v>
      </c>
      <c r="AY4" s="493" t="s">
        <v>680</v>
      </c>
      <c r="AZ4" s="493" t="s">
        <v>683</v>
      </c>
      <c r="BA4" s="489" t="s">
        <v>559</v>
      </c>
      <c r="BB4" s="490" t="s">
        <v>560</v>
      </c>
      <c r="BC4" s="499" t="s">
        <v>563</v>
      </c>
      <c r="BD4" s="500" t="s">
        <v>565</v>
      </c>
      <c r="BE4" s="500" t="s">
        <v>564</v>
      </c>
      <c r="BF4" s="500" t="s">
        <v>567</v>
      </c>
      <c r="BG4" s="500" t="s">
        <v>568</v>
      </c>
      <c r="BH4" s="491" t="s">
        <v>561</v>
      </c>
      <c r="BI4" s="492" t="s">
        <v>566</v>
      </c>
      <c r="BJ4" s="501" t="str">
        <f>'Lookups-Assumptions'!D36</f>
        <v>NG - Res All</v>
      </c>
      <c r="BK4" s="501" t="str">
        <f>'Lookups-Assumptions'!D37</f>
        <v>NG - Res Hot Water</v>
      </c>
      <c r="BL4" s="501" t="str">
        <f>'Lookups-Assumptions'!D38</f>
        <v>NG - Res Gas Heating</v>
      </c>
      <c r="BM4" s="501" t="str">
        <f>'Lookups-Assumptions'!D39</f>
        <v>NG - Res Gas Non-Heating</v>
      </c>
      <c r="BN4" s="501" t="str">
        <f>'Lookups-Assumptions'!D40</f>
        <v>NG - C&amp;I Gas Non-Heating</v>
      </c>
      <c r="BO4" s="501" t="str">
        <f>'Lookups-Assumptions'!D41</f>
        <v>NG - C&amp;I Gas Heat</v>
      </c>
      <c r="BP4" s="501" t="str">
        <f>'Lookups-Assumptions'!D42</f>
        <v>NG - C&amp;I Gas All</v>
      </c>
      <c r="BQ4" s="495" t="s">
        <v>569</v>
      </c>
      <c r="BR4" s="502" t="s">
        <v>296</v>
      </c>
      <c r="BS4" s="502" t="s">
        <v>409</v>
      </c>
      <c r="BT4" s="502" t="s">
        <v>687</v>
      </c>
      <c r="BU4" s="502" t="s">
        <v>688</v>
      </c>
      <c r="BV4" s="502" t="s">
        <v>689</v>
      </c>
      <c r="BW4" s="502" t="s">
        <v>408</v>
      </c>
      <c r="BX4" s="502" t="s">
        <v>691</v>
      </c>
      <c r="BY4" s="502" t="s">
        <v>690</v>
      </c>
      <c r="BZ4" s="496" t="s">
        <v>523</v>
      </c>
      <c r="CA4" s="492" t="s">
        <v>574</v>
      </c>
      <c r="CB4" s="503" t="str">
        <f>'Lookups-Assumptions'!D43</f>
        <v>Fuel Oil - Residential Distillate</v>
      </c>
      <c r="CC4" s="503" t="str">
        <f>'Lookups-Assumptions'!D44</f>
        <v>Fuel Oil - Com Fuel Oil</v>
      </c>
      <c r="CD4" s="503" t="str">
        <f>'Lookups-Assumptions'!D46</f>
        <v>Propane</v>
      </c>
      <c r="CE4" s="503" t="str">
        <f>'Lookups-Assumptions'!D47</f>
        <v>Res Water</v>
      </c>
      <c r="CF4" s="503" t="str">
        <f>'Lookups-Assumptions'!D48</f>
        <v>C&amp;I Water</v>
      </c>
      <c r="CG4" s="503" t="str">
        <f>'Lookups-Assumptions'!D49</f>
        <v>C&amp;I Sewer</v>
      </c>
      <c r="CH4" s="492" t="s">
        <v>526</v>
      </c>
      <c r="CI4" s="506" t="s">
        <v>576</v>
      </c>
      <c r="CJ4" s="506" t="s">
        <v>577</v>
      </c>
      <c r="CK4" s="506" t="s">
        <v>578</v>
      </c>
      <c r="CL4" s="506" t="s">
        <v>575</v>
      </c>
      <c r="CM4" s="506" t="s">
        <v>579</v>
      </c>
      <c r="CN4" s="506" t="s">
        <v>580</v>
      </c>
      <c r="CO4" s="498" t="s">
        <v>581</v>
      </c>
      <c r="CP4" s="497" t="s">
        <v>599</v>
      </c>
      <c r="CQ4" s="494" t="s">
        <v>192</v>
      </c>
      <c r="CR4" s="494" t="s">
        <v>193</v>
      </c>
      <c r="CS4" s="494" t="s">
        <v>194</v>
      </c>
      <c r="CT4" s="494" t="s">
        <v>195</v>
      </c>
      <c r="CU4" s="494" t="s">
        <v>196</v>
      </c>
      <c r="CV4" s="494" t="s">
        <v>197</v>
      </c>
      <c r="CW4" s="494" t="s">
        <v>287</v>
      </c>
      <c r="CX4" s="494" t="s">
        <v>199</v>
      </c>
    </row>
    <row r="5" spans="1:105">
      <c r="A5" s="91" t="str">
        <f>IF('Inputs Yr 2'!$B5=0,"",'Inputs Yr 2'!A5)</f>
        <v>A - Residential</v>
      </c>
      <c r="B5" s="91" t="str">
        <f>IF('Inputs Yr 2'!$B5=0,"",'Inputs Yr 2'!B5)</f>
        <v>A1 - Residential Whole House</v>
      </c>
      <c r="C5" s="91" t="str">
        <f>IF('Inputs Yr 2'!$B5=0,"",'Inputs Yr 2'!C5)</f>
        <v>A1a - Residential New Construction</v>
      </c>
      <c r="D5" s="91" t="str">
        <f>IF('Inputs Yr 2'!$B5=0,"",'Inputs Yr 2'!E5)</f>
        <v>Low Rise NC Heating</v>
      </c>
      <c r="E5" s="93" t="str">
        <f>IF('Inputs Yr 2'!$B5=0,"",'Inputs Yr 2'!F5)</f>
        <v>G16A1a01</v>
      </c>
      <c r="F5" s="93" t="str">
        <f>IF('Inputs Yr 2'!$B5=0,"",'Inputs Yr 2'!G5)</f>
        <v>Energy Star Homes</v>
      </c>
      <c r="G5" s="95" t="str">
        <f>IF('Inputs Yr 2'!$H5&lt;&gt;0,('Inputs Yr 2'!H5),"")</f>
        <v>2424</v>
      </c>
      <c r="H5" s="94">
        <f>IFERROR('Inputs Yr 2'!I5,"")</f>
        <v>25</v>
      </c>
      <c r="I5" s="298">
        <f>IFERROR('Inputs Yr 2'!J5*'Inputs Yr 2'!P5*G5,"")</f>
        <v>15851991.576601846</v>
      </c>
      <c r="J5" s="298">
        <f>IFERROR('Inputs Yr 2'!K5*G5,"")</f>
        <v>5612278.9039999992</v>
      </c>
      <c r="K5" s="298">
        <f t="shared" ref="K5" si="0">IFERROR(I5-J5,"")</f>
        <v>10239712.672601847</v>
      </c>
      <c r="L5" s="194">
        <f>IFERROR(('Inputs Yr 2'!W5*G5)/1000,"")</f>
        <v>207.53216921666669</v>
      </c>
      <c r="M5" s="194">
        <f>IFERROR(L5*('Inputs Yr 2'!$Q5*'Inputs Yr 2'!$V5*'Inputs Yr 2'!$R5),"")</f>
        <v>207.53216921666669</v>
      </c>
      <c r="N5" s="194">
        <f t="shared" ref="N5" si="1">IFERROR(M5*$H5,"")</f>
        <v>5188.3042304166675</v>
      </c>
      <c r="O5" s="194">
        <f>IFERROR(M5*'Inputs Yr 2'!P5,"")</f>
        <v>249.03860306000001</v>
      </c>
      <c r="P5" s="194">
        <f t="shared" ref="P5" si="2">IFERROR(O5*$H5,"")</f>
        <v>6225.9650765000006</v>
      </c>
      <c r="Q5" s="194">
        <f>IFERROR($P5*'Inputs Yr 2'!AA5,"")</f>
        <v>2354.1063210087823</v>
      </c>
      <c r="R5" s="194">
        <f>IFERROR($P5*'Inputs Yr 2'!AB5,"")</f>
        <v>3830.6298010501346</v>
      </c>
      <c r="S5" s="194">
        <f>IFERROR($P5*'Inputs Yr 2'!AC5,"")</f>
        <v>10.83444714104451</v>
      </c>
      <c r="T5" s="194">
        <f>IFERROR($P5*'Inputs Yr 2'!AD5,"")</f>
        <v>30.394507300042758</v>
      </c>
      <c r="U5" s="194">
        <f>IFERROR(G5*'Inputs Yr 2'!$AE5*'Inputs Yr 2'!$P5*'Inputs Yr 2'!$Q5,"")</f>
        <v>132.94026928199179</v>
      </c>
      <c r="V5" s="194">
        <f>IFERROR($G5*'Inputs Yr 2'!$AE5*'Inputs Yr 2'!$AG5*'Inputs Yr 2'!Q5*'Inputs Yr 2'!$S5,"")</f>
        <v>88.294495514789546</v>
      </c>
      <c r="W5" s="194">
        <f>IFERROR($G5*'Inputs Yr 2'!$AE5*'Inputs Yr 2'!$AG5*'Inputs Yr 2'!P5*'Inputs Yr 2'!Q5*'Inputs Yr 2'!$S5,"")</f>
        <v>105.95339461774745</v>
      </c>
      <c r="X5" s="194">
        <f>IFERROR($G5*'Inputs Yr 2'!$AE5*'Inputs Yr 2'!$AF5*'Inputs Yr 2'!Q5*'Inputs Yr 2'!$T5,"")</f>
        <v>0</v>
      </c>
      <c r="Y5" s="194">
        <f>IFERROR($G5*'Inputs Yr 2'!$AE5*'Inputs Yr 2'!$AF5*'Inputs Yr 2'!P5*'Inputs Yr 2'!Q5*'Inputs Yr 2'!$T5,"")</f>
        <v>0</v>
      </c>
      <c r="Z5" s="257">
        <f>IFERROR($G5*'Inputs Yr 2'!$Q5*'Inputs Yr 2'!$U5*(IF(IFERROR(SEARCH("NG", 'Inputs Yr 2'!$AJ5),0),'Inputs Yr 2'!$AK5,0)+IF(IFERROR(SEARCH("NG", 'Inputs Yr 2'!$AL5),0),'Inputs Yr 2'!$AM5,0)+IF(IFERROR(SEARCH("NG", 'Inputs Yr 2'!$AN5),0),'Inputs Yr 2'!$AO5,0)),0)</f>
        <v>36566.458319999998</v>
      </c>
      <c r="AA5" s="257">
        <f t="shared" ref="AA5" si="3">IFERROR(Z5*$H5,0)</f>
        <v>914161.45799999998</v>
      </c>
      <c r="AB5" s="257">
        <f>IFERROR(Z5*'Inputs Yr 2'!$P5,0)</f>
        <v>43879.749983999995</v>
      </c>
      <c r="AC5" s="257">
        <f t="shared" ref="AC5" si="4">IFERROR(AB5*$H5,0)</f>
        <v>1096993.7495999997</v>
      </c>
      <c r="AD5" s="257">
        <f>IFERROR($G5*'Inputs Yr 2'!$Q5*'Inputs Yr 2'!$U5*(IF(IFERROR(SEARCH("Oil", 'Inputs Yr 2'!$AJ5), 0),'Inputs Yr 2'!$AK5,0)+IF(IFERROR(SEARCH("Oil", 'Inputs Yr 2'!$AL5), 0),'Inputs Yr 2'!$AM5,0)+IF(IFERROR(SEARCH("Oil", 'Inputs Yr 2'!$AN5), 0),'Inputs Yr 2'!$AO5,0)),0)</f>
        <v>0</v>
      </c>
      <c r="AE5" s="257">
        <f t="shared" ref="AE5" si="5">IFERROR(AD5*$H5,0)</f>
        <v>0</v>
      </c>
      <c r="AF5" s="257">
        <f>IFERROR(AD5*'Inputs Yr 2'!$P5,0)</f>
        <v>0</v>
      </c>
      <c r="AG5" s="257">
        <f t="shared" ref="AG5" si="6">IFERROR(AF5*$H5,0)</f>
        <v>0</v>
      </c>
      <c r="AH5" s="257">
        <f>IFERROR($G5*'Inputs Yr 2'!$Q5*'Inputs Yr 2'!$U5*(IF('Inputs Yr 2'!$AJ5=CD$4,'Inputs Yr 2'!$AK5,IF('Inputs Yr 2'!$AL5=CD$4,'Inputs Yr 2'!$AM5,IF('Inputs Yr 2'!$AN5=CD$4,'Inputs Yr 2'!$AO5,0)))),0)</f>
        <v>0</v>
      </c>
      <c r="AI5" s="257">
        <f t="shared" ref="AI5" si="7">IFERROR(AH5*$H5,0)</f>
        <v>0</v>
      </c>
      <c r="AJ5" s="257">
        <f>IFERROR(AH5*'Inputs Yr 2'!$P5,0)</f>
        <v>0</v>
      </c>
      <c r="AK5" s="257">
        <f t="shared" ref="AK5" si="8">IFERROR(AJ5*$H5,0)</f>
        <v>0</v>
      </c>
      <c r="AL5" s="258">
        <f>IFERROR($G5*'Inputs Yr 2'!$P5*'Inputs Yr 2'!$Q5*'Inputs Yr 2'!AP5,0)</f>
        <v>0</v>
      </c>
      <c r="AM5" s="260">
        <f>IFERROR($G5*'Inputs Yr 2'!$P5*'Inputs Yr 2'!$Q5*'Inputs Yr 2'!AQ5,0)</f>
        <v>0</v>
      </c>
      <c r="AN5" s="258">
        <f>IFERROR($G5*'Inputs Yr 2'!$P5*'Inputs Yr 2'!$Q5*'Inputs Yr 2'!AR5,0)</f>
        <v>0</v>
      </c>
      <c r="AO5" s="257">
        <f>IFERROR(SUM(AL5:AM5)*$H5,0)</f>
        <v>0</v>
      </c>
      <c r="AP5" s="195">
        <f>IFERROR($CQ5*(INDEX(avoidedcosttbl2,$H5,AP$2)+(($H5-ROUNDDOWN($H5,0))*(INDEX(avoidedcosttbl2,ROUNDUP($H5,0),AP$2)-(INDEX(avoidedcosttbl2,ROUNDDOWN($H5,0),AP$2)))))*$O5*1000*'Inputs Yr 2'!AA5,"")</f>
        <v>233715.80139709046</v>
      </c>
      <c r="AQ5" s="195">
        <f>IFERROR($CR5*(INDEX(avoidedcosttbl2,$H5,AQ$2)+(($H5-ROUNDDOWN($H5,0))*(INDEX(avoidedcosttbl2,ROUNDUP($H5,0),AQ$2)-(INDEX(avoidedcosttbl2,ROUNDDOWN($H5,0),AQ$2)))))*$O5*1000*'Inputs Yr 2'!AB5,"")</f>
        <v>340313.03294096794</v>
      </c>
      <c r="AR5" s="195">
        <f>IFERROR($CS5*(INDEX(avoidedcosttbl2,$H5,AR$2)+(($H5-ROUNDDOWN($H5,0))*(INDEX(avoidedcosttbl2,ROUNDUP($H5,0),AR$2)-(INDEX(avoidedcosttbl2,ROUNDDOWN($H5,0),AR$2)))))*$O5*1000*'Inputs Yr 2'!AC5,"")</f>
        <v>1148.7278699783806</v>
      </c>
      <c r="AS5" s="195">
        <f>IFERROR($CT5*(INDEX(avoidedcosttbl2,$H5,AS$2)+(($H5-ROUNDDOWN($H5,0))*(INDEX(avoidedcosttbl2,ROUNDUP($H5,0),AS$2)-(INDEX(avoidedcosttbl2,ROUNDDOWN($H5,0),AS$2)))))*$O5*1000*'Inputs Yr 2'!AD5,"")</f>
        <v>2389.3838881922929</v>
      </c>
      <c r="AT5" s="196">
        <f t="shared" ref="AT5" si="9">IFERROR(SUM(AP5:AS5),"")</f>
        <v>577566.94609622902</v>
      </c>
      <c r="AU5" s="197">
        <f>IFERROR($CQ5*((INDEX(avoidedcosttbl2,$H5,AU$2))+(($H5-ROUNDDOWN($H5,0))*((INDEX(avoidedcosttbl2,ROUNDUP($H5,0),AU$2))-(INDEX(avoidedcosttbl2,ROUNDDOWN($H5,0),AU$2)))))*$O5*1000*'Inputs Yr 2'!AA5,"")</f>
        <v>3072.0768686253186</v>
      </c>
      <c r="AV5" s="197">
        <f>IFERROR($CR5*((INDEX(avoidedcosttbl2,$H5,AV$2))+(($H5-ROUNDDOWN($H5,0))*((INDEX(avoidedcosttbl2,ROUNDUP($H5,0),AV$2))-(INDEX(avoidedcosttbl2,ROUNDDOWN($H5,0),AV$2)))))*$O5*1000*'Inputs Yr 2'!AB5,"")</f>
        <v>2404.9957860011959</v>
      </c>
      <c r="AW5" s="197">
        <f>IFERROR($CS5*((INDEX(avoidedcosttbl2,$H5,AW$2))+(($H5-ROUNDDOWN($H5,0))*((INDEX(avoidedcosttbl2,ROUNDUP($H5,0),AW$2))-(INDEX(avoidedcosttbl2,ROUNDDOWN($H5,0),AW$2)))))*$O5*1000*'Inputs Yr 2'!AC5,"")</f>
        <v>16.695219764462156</v>
      </c>
      <c r="AX5" s="197">
        <f>IFERROR($CT5*((INDEX(avoidedcosttbl2,$H5,AX$2))+(($H5-ROUNDDOWN($H5,0))*((INDEX(avoidedcosttbl2,ROUNDUP($H5,0),AX$2))-(INDEX(avoidedcosttbl2,ROUNDDOWN($H5,0),AX$2)))))*$O5*1000*'Inputs Yr 2'!AD5,"")</f>
        <v>15.366642525981156</v>
      </c>
      <c r="AY5" s="197">
        <f>IFERROR(((INDEX(avoidedcosttbl2,$H5,AY$2))+(($H5-ROUNDDOWN($H5,0))*((INDEX(avoidedcosttbl2,ROUNDUP($H5,0),AY$2))-(INDEX(avoidedcosttbl2,ROUNDDOWN($H5,0),AY$2)))))*$O5*1000*('Inputs Yr 2'!AC5+'Inputs Yr 2'!AD5),"")</f>
        <v>96.403735700581905</v>
      </c>
      <c r="AZ5" s="197">
        <f>IFERROR(((INDEX(avoidedcosttbl2,$H5,AZ$2))+(($H5-ROUNDDOWN($H5,0))*((INDEX(avoidedcosttbl2,ROUNDUP($H5,0),AZ$2))-(INDEX(avoidedcosttbl2,ROUNDDOWN($H5,0),AZ$2)))))*$O5*1000*('Inputs Yr 2'!AA5+'Inputs Yr 2'!AB5),"")</f>
        <v>19406.738627638897</v>
      </c>
      <c r="BA5" s="198">
        <f>IFERROR(SUM(AU5:AZ5),"")</f>
        <v>25012.276880256435</v>
      </c>
      <c r="BB5" s="198">
        <f>IFERROR(SUM(AT5,BA5),"")</f>
        <v>602579.2229764855</v>
      </c>
      <c r="BC5" s="195">
        <f t="shared" ref="BC5:BC68" si="10">IFERROR($CU5*(INDEX(avoidedcosttbl2,$H5,BC$2)+(($H5-ROUNDDOWN($H5,0))*(INDEX(avoidedcosttbl2,ROUNDUP($H5,0),BC$2)-(INDEX(avoidedcosttbl2,ROUNDDOWN($H5,0),BC$2)))))*$Y5,"")</f>
        <v>0</v>
      </c>
      <c r="BD5" s="195">
        <f t="shared" ref="BD5:BD68" si="11">IFERROR($CV5*(INDEX(avoidedcosttbl2,$H5,BD$2)+(($H5-ROUNDDOWN($H5,0))*(INDEX(avoidedcosttbl2,ROUNDUP($H5,0),BD$2)-(INDEX(avoidedcosttbl2,ROUNDDOWN($H5,0),BD$2)))))*$W5,"")</f>
        <v>0</v>
      </c>
      <c r="BE5" s="195">
        <f t="shared" ref="BE5:BE68" si="12">IFERROR($CU5*(INDEX(avoidedcosttbl2,$H5,BE$2)+(($H5-ROUNDDOWN($H5,0))*(INDEX(avoidedcosttbl2,ROUNDUP($H5,0),BE$2)-(INDEX(avoidedcosttbl2,ROUNDDOWN($H5,0),BE$2)))))*$Y5,"")</f>
        <v>0</v>
      </c>
      <c r="BF5" s="195">
        <f t="shared" ref="BF5:BF68" si="13">IFERROR($CW5*(INDEX(avoidedcosttbl2,$H5,BF$2)+(($H5-ROUNDDOWN($H5,0))*(INDEX(avoidedcosttbl2,ROUNDUP($H5,0),BF$2)-(INDEX(avoidedcosttbl2,ROUNDDOWN($H5,0),BF$2)))))*$Y5,"")</f>
        <v>0</v>
      </c>
      <c r="BG5" s="195">
        <f t="shared" ref="BG5:BG68" si="14">IFERROR($CX5*(INDEX(avoidedcosttbl2,$H5,BG$2)+(($H5-ROUNDDOWN($H5,0))*(INDEX(avoidedcosttbl2,ROUNDUP($H5,0),BG$2)-(INDEX(avoidedcosttbl2,ROUNDDOWN($H5,0),BG$2)))))*$Y5,"")</f>
        <v>0</v>
      </c>
      <c r="BH5" s="196">
        <f t="shared" ref="BH5" si="15">IFERROR(SUM(BC5:BG5),"")</f>
        <v>0</v>
      </c>
      <c r="BI5" s="196">
        <f t="shared" ref="BI5" si="16">IFERROR(BB5+BH5,"")</f>
        <v>602579.2229764855</v>
      </c>
      <c r="BJ5" s="195">
        <f>IFERROR($G5*(IF('Inputs Yr 2'!$AJ5=BJ$4,'Inputs Yr 2'!$AK5,IF('Inputs Yr 2'!$AL5=BJ$4,'Inputs Yr 2'!$AM5,IF('Inputs Yr 2'!$AN5=BJ$4,'Inputs Yr 2'!$AO5,0))))*(INDEX(avoidedcosttbl2,$H5,BJ$2)+(($H5-ROUNDDOWN($H5,0))*(INDEX(avoidedcosttbl2,ROUNDUP($H5,0),BJ$2)-(INDEX(avoidedcosttbl2,ROUNDDOWN($H5,0),BJ$2)))))*'Inputs Yr 2'!P5*'Inputs Yr 2'!Q5*'Inputs Yr 2'!U5,"")</f>
        <v>0</v>
      </c>
      <c r="BK5" s="195">
        <f>IFERROR($G5*(IF('Inputs Yr 2'!$AJ5=BK$4,'Inputs Yr 2'!$AK5,IF('Inputs Yr 2'!$AL5=BK$4,'Inputs Yr 2'!$AM5,IF('Inputs Yr 2'!$AN5=BK$4,'Inputs Yr 2'!$AO5,0))))*(INDEX(avoidedcosttbl2,$H5,BK$2)+(($H5-ROUNDDOWN($H5,0))*(INDEX(avoidedcosttbl2,ROUNDUP($H5,0),BK$2)-(INDEX(avoidedcosttbl2,ROUNDDOWN($H5,0),BK$2)))))*'Inputs Yr 2'!P5*'Inputs Yr 2'!Q5*'Inputs Yr 2'!U5,"")</f>
        <v>0</v>
      </c>
      <c r="BL5" s="195">
        <f>IFERROR($G5*(IF('Inputs Yr 2'!$AJ5=BL$4,'Inputs Yr 2'!$AK5,IF('Inputs Yr 2'!$AL5=BL$4,'Inputs Yr 2'!$AM5,IF('Inputs Yr 2'!$AN5=BL$4,'Inputs Yr 2'!$AO5,0))))*(INDEX(avoidedcosttbl2,$H5,BL$2)+(($H5-ROUNDDOWN($H5,0))*(INDEX(avoidedcosttbl2,ROUNDUP($H5,0),BL$2)-(INDEX(avoidedcosttbl2,ROUNDDOWN($H5,0),BL$2)))))*'Inputs Yr 2'!P5*'Inputs Yr 2'!Q5*'Inputs Yr 2'!U5,"")</f>
        <v>9762676.3080777675</v>
      </c>
      <c r="BM5" s="195">
        <f>IFERROR($G5*(IF('Inputs Yr 2'!$AJ5=BM$4,'Inputs Yr 2'!$AK5,IF('Inputs Yr 2'!$AL5=BM$4,'Inputs Yr 2'!$AM5,IF('Inputs Yr 2'!$AN5=BM$4,'Inputs Yr 2'!$AO5,0))))*(INDEX(avoidedcosttbl2,$H5,BM$2)+(($H5-ROUNDDOWN($H5,0))*(INDEX(avoidedcosttbl2,ROUNDUP($H5,0),BM$2)-(INDEX(avoidedcosttbl2,ROUNDDOWN($H5,0),BM$2)))))*'Inputs Yr 2'!P5*'Inputs Yr 2'!Q5*'Inputs Yr 2'!U5,"")</f>
        <v>0</v>
      </c>
      <c r="BN5" s="195">
        <f>IFERROR($G5*(IF('Inputs Yr 2'!$AJ5=BN$4,'Inputs Yr 2'!$AK5,IF('Inputs Yr 2'!$AL5=BN$4,'Inputs Yr 2'!$AM5,IF('Inputs Yr 2'!$AN5=BN$4,'Inputs Yr 2'!$AO5,0))))*(INDEX(avoidedcosttbl2,$H5,BN$2)+(($H5-ROUNDDOWN($H5,0))*(INDEX(avoidedcosttbl2,ROUNDUP($H5,0),BN$2)-(INDEX(avoidedcosttbl2,ROUNDDOWN($H5,0),BN$2)))))*'Inputs Yr 2'!P5*'Inputs Yr 2'!Q5*'Inputs Yr 2'!U5,"")</f>
        <v>0</v>
      </c>
      <c r="BO5" s="195">
        <f>IFERROR($G5*(IF('Inputs Yr 2'!$AJ5=BO$4,'Inputs Yr 2'!$AK5,IF('Inputs Yr 2'!$AL5=BO$4,'Inputs Yr 2'!$AM5,IF('Inputs Yr 2'!$AN5=BO$4,'Inputs Yr 2'!$AO5,0))))*(INDEX(avoidedcosttbl2,$H5,BO$2)+(($H5-ROUNDDOWN($H5,0))*(INDEX(avoidedcosttbl2,ROUNDUP($H5,0),BO$2)-(INDEX(avoidedcosttbl2,ROUNDDOWN($H5,0),BO$2)))))*'Inputs Yr 2'!P5*'Inputs Yr 2'!Q5*'Inputs Yr 2'!U5,"")</f>
        <v>0</v>
      </c>
      <c r="BP5" s="195">
        <f>IFERROR($G5*(IF('Inputs Yr 2'!$AJ5=BP$4,'Inputs Yr 2'!$AK5,IF('Inputs Yr 2'!$AL5=BP$4,'Inputs Yr 2'!$AM5,IF('Inputs Yr 2'!$AN5=BP$4,'Inputs Yr 2'!$AO5,0))))*(INDEX(avoidedcosttbl2,$H5,BP$2)+(($H5-ROUNDDOWN($H5,0))*(INDEX(avoidedcosttbl2,ROUNDUP($H5,0),BP$2)-(INDEX(avoidedcosttbl2,ROUNDDOWN($H5,0),BP$2)))))*'Inputs Yr 2'!P5*'Inputs Yr 2'!Q5*'Inputs Yr 2'!U5,"")</f>
        <v>0</v>
      </c>
      <c r="BQ5" s="230">
        <f>IFERROR(SUM(BJ5:BP5),"")</f>
        <v>9762676.3080777675</v>
      </c>
      <c r="BR5" s="197">
        <f t="shared" ref="BR5:BR68" si="17">IFERROR($AB5*((INDEX(avoidedcosttbl2,$H5,BR$2))+(($H5-ROUNDDOWN($H5,0))*((INDEX(avoidedcosttbl2,ROUNDUP($H5,0),BR$2))-(INDEX(avoidedcosttbl2,ROUNDDOWN($H5,0),BR$2))))),"")</f>
        <v>145506.94305819247</v>
      </c>
      <c r="BS5" s="197">
        <f>IFERROR(($G5*IF('Inputs Yr 2'!$AJ5=BM$4,'Inputs Yr 2'!$AK5,IF('Inputs Yr 2'!$AL5=BM$4,'Inputs Yr 2'!$AM5,IF('Inputs Yr 2'!$AN5=BM$4,'Inputs Yr 2'!$AO5,0))))*(INDEX(avoidedcosttbl2,$H5,BS$2)+(($H5-ROUNDDOWN($H5,0))*(INDEX(avoidedcosttbl2,ROUNDUP($H5,0),BS$2)-(INDEX(avoidedcosttbl2,ROUNDDOWN($H5,0),BS$2)))))*'Inputs Yr 2'!P5*'Inputs Yr 2'!Q5*'Inputs Yr 2'!U5,"")</f>
        <v>0</v>
      </c>
      <c r="BT5" s="197">
        <f>IFERROR(($G5*IF('Inputs Yr 2'!$AJ5=BK$4,'Inputs Yr 2'!$AK5,IF('Inputs Yr 2'!$AL5=BK$4,'Inputs Yr 2'!$AM5,IF('Inputs Yr 2'!$AN5=BK$4,'Inputs Yr 2'!$AO5,0))))*(INDEX(avoidedcosttbl2,$H5,BT$2)+(($H5-ROUNDDOWN($H5,0))*(INDEX(avoidedcosttbl2,ROUNDUP($H5,0),BT$2)-(INDEX(avoidedcosttbl2,ROUNDDOWN($H5,0),BT$2)))))*'Inputs Yr 2'!P5*'Inputs Yr 2'!Q5*'Inputs Yr 2'!U5,"")</f>
        <v>0</v>
      </c>
      <c r="BU5" s="197">
        <f>IFERROR(($G5*IF('Inputs Yr 2'!$AJ5=BL$4,'Inputs Yr 2'!$AK5,IF('Inputs Yr 2'!$AL5=BL$4,'Inputs Yr 2'!$AM5,IF('Inputs Yr 2'!$AN5=BL$4,'Inputs Yr 2'!$AO5,0))))*(INDEX(avoidedcosttbl2,$H5,BU$2)+(($H5-ROUNDDOWN($H5,0))*(INDEX(avoidedcosttbl2,ROUNDUP($H5,0),BU$2)-(INDEX(avoidedcosttbl2,ROUNDDOWN($H5,0),BU$2)))))*'Inputs Yr 2'!P5*'Inputs Yr 2'!Q5*'Inputs Yr 2'!U5,"")</f>
        <v>374262.89609708515</v>
      </c>
      <c r="BV5" s="775">
        <f>IFERROR(($G5*IF('Inputs Yr 2'!$AJ5=BJ$4,'Inputs Yr 2'!$AK5,IF('Inputs Yr 2'!$AL5=BJ$4,'Inputs Yr 2'!$AM5,IF('Inputs Yr 2'!$AN5=BJ$4,'Inputs Yr 2'!$AO5,0))))*(INDEX(avoidedcosttbl2,$H5,BV$2)+(($H5-ROUNDDOWN($H5,0))*(INDEX(avoidedcosttbl2,ROUNDUP($H5,0),BV$2)-(INDEX(avoidedcosttbl2,ROUNDDOWN($H5,0),BV$2)))))*'Inputs Yr 2'!P5*'Inputs Yr 2'!Q5*'Inputs Yr 2'!U5,"")</f>
        <v>0</v>
      </c>
      <c r="BW5" s="197">
        <f>IFERROR(($G5*IF('Inputs Yr 2'!$AJ5=BN$4,'Inputs Yr 2'!$AK5,IF('Inputs Yr 2'!$AL5=BN$4,'Inputs Yr 2'!$AM5,IF('Inputs Yr 2'!$AN5=BN$4,'Inputs Yr 2'!$AO5,0))))*(INDEX(avoidedcosttbl2,$H5,BW$2)+(($H5-ROUNDDOWN($H5,0))*(INDEX(avoidedcosttbl2,ROUNDUP($H5,0),BW$2)-(INDEX(avoidedcosttbl2,ROUNDDOWN($H5,0),BW$2)))))*'Inputs Yr 2'!P5*'Inputs Yr 2'!Q5*'Inputs Yr 2'!U5,"")</f>
        <v>0</v>
      </c>
      <c r="BX5" s="197">
        <f>IFERROR(($G5*IF('Inputs Yr 2'!$AJ5=BO$4,'Inputs Yr 2'!$AK5,IF('Inputs Yr 2'!$AL5=BO$4,'Inputs Yr 2'!$AM5,IF('Inputs Yr 2'!$AN5=BO$4,'Inputs Yr 2'!$AO5,0))))*(INDEX(avoidedcosttbl2,$H5,BX$2)+(($H5-ROUNDDOWN($H5,0))*(INDEX(avoidedcosttbl2,ROUNDUP($H5,0),BX$2)-(INDEX(avoidedcosttbl2,ROUNDDOWN($H5,0),BX$2)))))*'Inputs Yr 2'!P5*'Inputs Yr 2'!Q5*'Inputs Yr 2'!U5,"")</f>
        <v>0</v>
      </c>
      <c r="BY5" s="197">
        <f>IFERROR(($G5*IF('Inputs Yr 2'!$AJ5=BP$4,'Inputs Yr 2'!$AK5,IF('Inputs Yr 2'!$AL5=BP$4,'Inputs Yr 2'!$AM5,IF('Inputs Yr 2'!$AN5=BP$4,'Inputs Yr 2'!$AO5,0))))*(INDEX(avoidedcosttbl2,$H5,BY$2)+(($H5-ROUNDDOWN($H5,0))*(INDEX(avoidedcosttbl2,ROUNDUP($H5,0),BY$2)-(INDEX(avoidedcosttbl2,ROUNDDOWN($H5,0),BY$2)))))*'Inputs Yr 2'!P5*'Inputs Yr 2'!Q5*'Inputs Yr 2'!U5,"")</f>
        <v>0</v>
      </c>
      <c r="BZ5" s="193">
        <f t="shared" ref="BZ5" si="18">IFERROR(SUM(BR5:BY5),"")</f>
        <v>519769.83915527759</v>
      </c>
      <c r="CA5" s="193">
        <f>IFERROR(BQ5+BZ5,"")</f>
        <v>10282446.147233045</v>
      </c>
      <c r="CB5" s="195">
        <f>IFERROR(G5*(IF('Inputs Yr 2'!$AJ5=CB$4,'Inputs Yr 2'!$AK5,IF('Inputs Yr 2'!$AL5=CB$4,'Inputs Yr 2'!$AM5,IF('Inputs Yr 2'!$AN5=CB$4,'Inputs Yr 2'!$AO5,0))))*(INDEX(avoidedcosttbl2,$H5,CB$2)+(($H5-ROUNDDOWN($H5,0))*(INDEX(avoidedcosttbl2,ROUNDUP($H5,0),CB$2)-(INDEX(avoidedcosttbl2,ROUNDDOWN($H5,0),CB$2)))))*'Inputs Yr 2'!P5*'Inputs Yr 2'!Q5*'Inputs Yr 2'!U5,"")</f>
        <v>0</v>
      </c>
      <c r="CC5" s="195">
        <f>IFERROR(H5*(IF('Inputs Yr 2'!$AJ5=CC$4,'Inputs Yr 2'!$AK5,IF('Inputs Yr 2'!$AL5=CC$4,'Inputs Yr 2'!$AM5,IF('Inputs Yr 2'!$AN5=CC$4,'Inputs Yr 2'!$AO5,0))))*(INDEX(avoidedcosttbl2,$H5,CC$2)+(($H5-ROUNDDOWN($H5,0))*(INDEX(avoidedcosttbl2,ROUNDUP($H5,0),CC$2)-(INDEX(avoidedcosttbl2,ROUNDDOWN($H5,0),CC$2)))))*'Inputs Yr 2'!Q5*'Inputs Yr 2'!R5*'Inputs Yr 2'!V5,"")</f>
        <v>0</v>
      </c>
      <c r="CD5" s="195">
        <f>IFERROR(I5*(IF('Inputs Yr 2'!$AJ5=CD$4,'Inputs Yr 2'!$AK5,IF('Inputs Yr 2'!$AL5=CD$4,'Inputs Yr 2'!$AM5,IF('Inputs Yr 2'!$AN5=CD$4,'Inputs Yr 2'!$AO5,0))))*(INDEX(avoidedcosttbl2,$H5,CD$2)+(($H5-ROUNDDOWN($H5,0))*(INDEX(avoidedcosttbl2,ROUNDUP($H5,0),CD$2)-(INDEX(avoidedcosttbl2,ROUNDDOWN($H5,0),CD$2)))))*'Inputs Yr 2'!R5*'Inputs Yr 2'!S5*'Inputs Yr 2'!W5,"")</f>
        <v>0</v>
      </c>
      <c r="CE5" s="213">
        <f t="shared" ref="CE5" si="19">IFERROR(AL5*(INDEX(avoidedcosttbl2,$H5,CE$2)+(($H5-ROUNDDOWN($H5,0))*(INDEX(avoidedcosttbl2,ROUNDUP($H5,0),CE$2)-(INDEX(avoidedcosttbl2,ROUNDDOWN($H5,0),CE$2))))),"")</f>
        <v>0</v>
      </c>
      <c r="CF5" s="213">
        <f t="shared" ref="CF5" si="20">IFERROR(AM5*(INDEX(avoidedcosttbl2,$H5,CF$2)+(($H5-ROUNDDOWN($H5,0))*(INDEX(avoidedcosttbl2,ROUNDUP($H5,0),CF$2)-(INDEX(avoidedcosttbl2,ROUNDDOWN($H5,0),CF$2))))),"")</f>
        <v>0</v>
      </c>
      <c r="CG5" s="213">
        <f t="shared" ref="CG5" si="21">IFERROR(AN5*(INDEX(avoidedcosttbl2,$H5,CG$2)+(($H5-ROUNDDOWN($H5,0))*(INDEX(avoidedcosttbl2,ROUNDUP($H5,0),CG$2)-(INDEX(avoidedcosttbl2,ROUNDDOWN($H5,0),CG$2))))),"")</f>
        <v>0</v>
      </c>
      <c r="CH5" s="698">
        <f t="shared" ref="CH5" si="22">IFERROR(SUM(CA5:CG5),"")</f>
        <v>10282446.147233045</v>
      </c>
      <c r="CI5" s="79">
        <f>IFERROR(($G5*'Inputs Yr 2'!$P5*'Inputs Yr 2'!$Q5*(((INDEX(avoidedcosttbl2,$H5,CI$2)+(($H5-ROUNDDOWN($H5,0))*(INDEX(avoidedcosttbl2,ROUNDUP($H5,0),CI$2)-INDEX(avoidedcosttbl2,ROUNDDOWN($H5,0),CI$2))))*'Inputs Yr 2'!AS5))),"")</f>
        <v>8057931.2565318719</v>
      </c>
      <c r="CJ5" s="504">
        <f>IFERROR($G5*'Inputs Yr 2'!AT5*'Inputs Yr 2'!$P5*'Inputs Yr 2'!$Q5/((1+realdiscrt1)^-0.5),"")</f>
        <v>0</v>
      </c>
      <c r="CK5" s="79">
        <f>IFERROR((O5*1000*(((INDEX(avoidedcosttbl2,$H5,CK$2)+(($H5-ROUNDDOWN($H5,0))*(INDEX(avoidedcosttbl2,ROUNDUP($H5,0),CK$2)-INDEX(avoidedcosttbl2,ROUNDDOWN($H5,0),CK$2))))*'Inputs Yr 2'!AU5))),"")</f>
        <v>0</v>
      </c>
      <c r="CL5" s="504">
        <f>IFERROR(O5*1000*'Inputs Yr 2'!AV5/((1+realdiscrt1)^-0.5),"")</f>
        <v>0</v>
      </c>
      <c r="CM5" s="79">
        <f>IFERROR((AB5*'Inputs Yr 2'!AW5*(((INDEX(avoidedcosttbl2,$H5,CM$2)+(($H5-ROUNDDOWN($H5,0))*(INDEX(avoidedcosttbl2,ROUNDUP($H5,0),CM$2)-INDEX(avoidedcosttbl2,ROUNDDOWN($H5,0),CM$2)))))))*10,"")</f>
        <v>0</v>
      </c>
      <c r="CN5" s="504">
        <f>IFERROR(10*AB5*'Inputs Yr 2'!AX5/((1+realdiscrt1)^-0.5),"")</f>
        <v>0</v>
      </c>
      <c r="CO5" s="505">
        <f>SUM(CI5:CN5)</f>
        <v>8057931.2565318719</v>
      </c>
      <c r="CP5" s="230">
        <f>IFERROR(CO5+CH5+BI5,"")</f>
        <v>18942956.626741406</v>
      </c>
      <c r="CQ5" s="199">
        <f>ROUND(IFERROR(IF(LEFT($A5,1)="C",'Avoided Costs'!$K$13,'Avoided Costs'!$K$12)+1,""),4)</f>
        <v>1.0720000000000001</v>
      </c>
      <c r="CR5" s="199">
        <f>ROUND(IFERROR(IF(LEFT($A5,1)="C",'Avoided Costs'!$L$13,'Avoided Costs'!$L$12)+1,""),4)</f>
        <v>1.04</v>
      </c>
      <c r="CS5" s="199">
        <f>ROUND(IFERROR(IF(LEFT($A5,1)="C",'Avoided Costs'!$M$13,'Avoided Costs'!$M$12)+1,""),4)</f>
        <v>1.0720000000000001</v>
      </c>
      <c r="CT5" s="199">
        <f>ROUND(IFERROR(IF(LEFT($A5,1)="C",'Avoided Costs'!$N$13,'Avoided Costs'!$N$12)+1,""),4)</f>
        <v>1.04</v>
      </c>
      <c r="CU5" s="199">
        <f>ROUND(IFERROR(IF(LEFT($A5,1)="C",'Avoided Costs'!$O$13,'Avoided Costs'!$O$12)+1,""),4)</f>
        <v>1.1120000000000001</v>
      </c>
      <c r="CV5" s="199">
        <f>ROUND(IFERROR(IF(LEFT($A5,1)="C",'Avoided Costs'!$P$13,'Avoided Costs'!$P$12)+1,""),4)</f>
        <v>1.095</v>
      </c>
      <c r="CW5" s="199">
        <f>ROUND(IFERROR(IF(LEFT($A5,1)="C",'Avoided Costs'!$Q$13,'Avoided Costs'!$Q$12)+1,""),4)</f>
        <v>1.1120000000000001</v>
      </c>
      <c r="CX5" s="200">
        <f>ROUND(IFERROR(IF(LEFT($A5,1)="C",'Avoided Costs'!$R$13,'Avoided Costs'!$R$12)+1,""),4)</f>
        <v>1.1120000000000001</v>
      </c>
    </row>
    <row r="6" spans="1:105">
      <c r="A6" s="91" t="str">
        <f>IF('Inputs Yr 2'!$B6=0,"",'Inputs Yr 2'!A6)</f>
        <v>A - Residential</v>
      </c>
      <c r="B6" s="91" t="str">
        <f>IF('Inputs Yr 2'!$B6=0,"",'Inputs Yr 2'!B6)</f>
        <v>A1 - Residential Whole House</v>
      </c>
      <c r="C6" s="91" t="str">
        <f>IF('Inputs Yr 2'!$B6=0,"",'Inputs Yr 2'!C6)</f>
        <v>A1a - Residential New Construction</v>
      </c>
      <c r="D6" s="91" t="str">
        <f>IF('Inputs Yr 2'!$B6=0,"",'Inputs Yr 2'!E6)</f>
        <v>Low Rise NC Cooling</v>
      </c>
      <c r="E6" s="93" t="str">
        <f>IF('Inputs Yr 2'!$B6=0,"",'Inputs Yr 2'!F6)</f>
        <v>G16A1a02</v>
      </c>
      <c r="F6" s="93" t="str">
        <f>IF('Inputs Yr 2'!$B6=0,"",'Inputs Yr 2'!G6)</f>
        <v>Energy Star Homes</v>
      </c>
      <c r="G6" s="95" t="str">
        <f>IF('Inputs Yr 2'!$H6&lt;&gt;0,('Inputs Yr 2'!H6),"")</f>
        <v>2424</v>
      </c>
      <c r="H6" s="94">
        <f>IFERROR('Inputs Yr 2'!I6,"")</f>
        <v>25</v>
      </c>
      <c r="I6" s="298">
        <f>IFERROR('Inputs Yr 2'!J6*'Inputs Yr 2'!P6*G6,"")</f>
        <v>0</v>
      </c>
      <c r="J6" s="298">
        <f>IFERROR('Inputs Yr 2'!K6*G6,"")</f>
        <v>0</v>
      </c>
      <c r="K6" s="298">
        <f t="shared" ref="K6:K69" si="23">IFERROR(I6-J6,"")</f>
        <v>0</v>
      </c>
      <c r="L6" s="194">
        <f>IFERROR(('Inputs Yr 2'!W6*G6)/1000,"")</f>
        <v>34.878839124999999</v>
      </c>
      <c r="M6" s="194">
        <f>IFERROR(L6*('Inputs Yr 2'!$Q6*'Inputs Yr 2'!$V6*'Inputs Yr 2'!$R6),"")</f>
        <v>34.878839124999999</v>
      </c>
      <c r="N6" s="194">
        <f t="shared" ref="N6:N69" si="24">IFERROR(M6*$H6,"")</f>
        <v>871.97097812499999</v>
      </c>
      <c r="O6" s="194">
        <f>IFERROR(M6*'Inputs Yr 2'!P6,"")</f>
        <v>41.854606949999997</v>
      </c>
      <c r="P6" s="194">
        <f t="shared" ref="P6:P69" si="25">IFERROR(O6*$H6,"")</f>
        <v>1046.3651737499999</v>
      </c>
      <c r="Q6" s="194">
        <f>IFERROR($P6*'Inputs Yr 2'!AA6,"")</f>
        <v>9.3734193215775328</v>
      </c>
      <c r="R6" s="194">
        <f>IFERROR($P6*'Inputs Yr 2'!AB6,"")</f>
        <v>43.077589670081259</v>
      </c>
      <c r="S6" s="194">
        <f>IFERROR($P6*'Inputs Yr 2'!AC6,"")</f>
        <v>563.17168249743406</v>
      </c>
      <c r="T6" s="194">
        <f>IFERROR($P6*'Inputs Yr 2'!AD6,"")</f>
        <v>430.74248226088895</v>
      </c>
      <c r="U6" s="194">
        <f>IFERROR(G6*'Inputs Yr 2'!$AE6*'Inputs Yr 2'!$P6*'Inputs Yr 2'!$Q6,"")</f>
        <v>93.041203387307917</v>
      </c>
      <c r="V6" s="194">
        <f>IFERROR($G6*'Inputs Yr 2'!$AE6*'Inputs Yr 2'!$AG6*'Inputs Yr 2'!Q6*'Inputs Yr 2'!$S6,"")</f>
        <v>0</v>
      </c>
      <c r="W6" s="194">
        <f>IFERROR($G6*'Inputs Yr 2'!$AE6*'Inputs Yr 2'!$AG6*'Inputs Yr 2'!P6*'Inputs Yr 2'!Q6*'Inputs Yr 2'!$S6,"")</f>
        <v>0</v>
      </c>
      <c r="X6" s="194">
        <f>IFERROR($G6*'Inputs Yr 2'!$AE6*'Inputs Yr 2'!$AF6*'Inputs Yr 2'!Q6*'Inputs Yr 2'!$T6,"")</f>
        <v>77.456801819933844</v>
      </c>
      <c r="Y6" s="194">
        <f>IFERROR($G6*'Inputs Yr 2'!$AE6*'Inputs Yr 2'!$AF6*'Inputs Yr 2'!P6*'Inputs Yr 2'!Q6*'Inputs Yr 2'!$T6,"")</f>
        <v>92.948162183920616</v>
      </c>
      <c r="Z6" s="257">
        <f>IFERROR($G6*'Inputs Yr 2'!$Q6*'Inputs Yr 2'!$U6*(IF(IFERROR(SEARCH("NG", 'Inputs Yr 2'!$AJ6),0),'Inputs Yr 2'!$AK6,0)+IF(IFERROR(SEARCH("NG", 'Inputs Yr 2'!$AL6),0),'Inputs Yr 2'!$AM6,0)+IF(IFERROR(SEARCH("NG", 'Inputs Yr 2'!$AN6),0),'Inputs Yr 2'!$AO6,0)),0)</f>
        <v>0</v>
      </c>
      <c r="AA6" s="257">
        <f t="shared" ref="AA6:AA69" si="26">IFERROR(Z6*$H6,0)</f>
        <v>0</v>
      </c>
      <c r="AB6" s="257">
        <f>IFERROR(Z6*'Inputs Yr 2'!$P6,0)</f>
        <v>0</v>
      </c>
      <c r="AC6" s="257">
        <f t="shared" ref="AC6:AC69" si="27">IFERROR(AB6*$H6,0)</f>
        <v>0</v>
      </c>
      <c r="AD6" s="257">
        <f>IFERROR($G6*'Inputs Yr 2'!$Q6*'Inputs Yr 2'!$U6*(IF(IFERROR(SEARCH("Oil", 'Inputs Yr 2'!$AJ6), 0),'Inputs Yr 2'!$AK6,0)+IF(IFERROR(SEARCH("Oil", 'Inputs Yr 2'!$AL6), 0),'Inputs Yr 2'!$AM6,0)+IF(IFERROR(SEARCH("Oil", 'Inputs Yr 2'!$AN6), 0),'Inputs Yr 2'!$AO6,0)),0)</f>
        <v>0</v>
      </c>
      <c r="AE6" s="257">
        <f t="shared" ref="AE6:AE69" si="28">IFERROR(AD6*$H6,0)</f>
        <v>0</v>
      </c>
      <c r="AF6" s="257">
        <f>IFERROR(AD6*'Inputs Yr 2'!$P6,0)</f>
        <v>0</v>
      </c>
      <c r="AG6" s="257">
        <f t="shared" ref="AG6:AG69" si="29">IFERROR(AF6*$H6,0)</f>
        <v>0</v>
      </c>
      <c r="AH6" s="257">
        <f>IFERROR($G6*'Inputs Yr 2'!$Q6*'Inputs Yr 2'!$U6*(IF('Inputs Yr 2'!$AJ6=CD$4,'Inputs Yr 2'!$AK6,IF('Inputs Yr 2'!$AL6=CD$4,'Inputs Yr 2'!$AM6,IF('Inputs Yr 2'!$AN6=CD$4,'Inputs Yr 2'!$AO6,0)))),0)</f>
        <v>0</v>
      </c>
      <c r="AI6" s="257">
        <f t="shared" ref="AI6:AI69" si="30">IFERROR(AH6*$H6,0)</f>
        <v>0</v>
      </c>
      <c r="AJ6" s="257">
        <f>IFERROR(AH6*'Inputs Yr 2'!$P6,0)</f>
        <v>0</v>
      </c>
      <c r="AK6" s="257">
        <f t="shared" ref="AK6:AK69" si="31">IFERROR(AJ6*$H6,0)</f>
        <v>0</v>
      </c>
      <c r="AL6" s="258">
        <f>IFERROR($G6*'Inputs Yr 2'!$P6*'Inputs Yr 2'!$Q6*'Inputs Yr 2'!AP6,0)</f>
        <v>0</v>
      </c>
      <c r="AM6" s="260">
        <f>IFERROR($G6*'Inputs Yr 2'!$P6*'Inputs Yr 2'!$Q6*'Inputs Yr 2'!AQ6,0)</f>
        <v>0</v>
      </c>
      <c r="AN6" s="258">
        <f>IFERROR($G6*'Inputs Yr 2'!$P6*'Inputs Yr 2'!$Q6*'Inputs Yr 2'!AR6,0)</f>
        <v>0</v>
      </c>
      <c r="AO6" s="257">
        <f t="shared" ref="AO6:AO69" si="32">IFERROR(SUM(AL6:AM6)*$H6,0)</f>
        <v>0</v>
      </c>
      <c r="AP6" s="195">
        <f>IFERROR($CQ6*(INDEX(avoidedcosttbl2,$H6,AP$2)+(($H6-ROUNDDOWN($H6,0))*(INDEX(avoidedcosttbl2,ROUNDUP($H6,0),AP$2)-(INDEX(avoidedcosttbl2,ROUNDDOWN($H6,0),AP$2)))))*$O6*1000*'Inputs Yr 2'!AA6,"")</f>
        <v>930.59357133653123</v>
      </c>
      <c r="AQ6" s="195">
        <f>IFERROR($CR6*(INDEX(avoidedcosttbl2,$H6,AQ$2)+(($H6-ROUNDDOWN($H6,0))*(INDEX(avoidedcosttbl2,ROUNDUP($H6,0),AQ$2)-(INDEX(avoidedcosttbl2,ROUNDDOWN($H6,0),AQ$2)))))*$O6*1000*'Inputs Yr 2'!AB6,"")</f>
        <v>3827.0117327424814</v>
      </c>
      <c r="AR6" s="195">
        <f>IFERROR($CS6*(INDEX(avoidedcosttbl2,$H6,AR$2)+(($H6-ROUNDDOWN($H6,0))*(INDEX(avoidedcosttbl2,ROUNDUP($H6,0),AR$2)-(INDEX(avoidedcosttbl2,ROUNDDOWN($H6,0),AR$2)))))*$O6*1000*'Inputs Yr 2'!AC6,"")</f>
        <v>59710.569339216883</v>
      </c>
      <c r="AS6" s="195">
        <f>IFERROR($CT6*(INDEX(avoidedcosttbl2,$H6,AS$2)+(($H6-ROUNDDOWN($H6,0))*(INDEX(avoidedcosttbl2,ROUNDUP($H6,0),AS$2)-(INDEX(avoidedcosttbl2,ROUNDDOWN($H6,0),AS$2)))))*$O6*1000*'Inputs Yr 2'!AD6,"")</f>
        <v>33861.682208373044</v>
      </c>
      <c r="AT6" s="196">
        <f t="shared" ref="AT6:AT69" si="33">IFERROR(SUM(AP6:AS6),"")</f>
        <v>98329.856851668941</v>
      </c>
      <c r="AU6" s="197">
        <f>IFERROR($CQ6*((INDEX(avoidedcosttbl2,$H6,AU$2))+(($H6-ROUNDDOWN($H6,0))*((INDEX(avoidedcosttbl2,ROUNDUP($H6,0),AU$2))-(INDEX(avoidedcosttbl2,ROUNDDOWN($H6,0),AU$2)))))*$O6*1000*'Inputs Yr 2'!AA6,"")</f>
        <v>12.23218527589882</v>
      </c>
      <c r="AV6" s="197">
        <f>IFERROR($CR6*((INDEX(avoidedcosttbl2,$H6,AV$2))+(($H6-ROUNDDOWN($H6,0))*((INDEX(avoidedcosttbl2,ROUNDUP($H6,0),AV$2))-(INDEX(avoidedcosttbl2,ROUNDDOWN($H6,0),AV$2)))))*$O6*1000*'Inputs Yr 2'!AB6,"")</f>
        <v>27.045532199230696</v>
      </c>
      <c r="AW6" s="197">
        <f>IFERROR($CS6*((INDEX(avoidedcosttbl2,$H6,AW$2))+(($H6-ROUNDDOWN($H6,0))*((INDEX(avoidedcosttbl2,ROUNDUP($H6,0),AW$2))-(INDEX(avoidedcosttbl2,ROUNDDOWN($H6,0),AW$2)))))*$O6*1000*'Inputs Yr 2'!AC6,"")</f>
        <v>867.81308561630283</v>
      </c>
      <c r="AX6" s="197">
        <f>IFERROR($CT6*((INDEX(avoidedcosttbl2,$H6,AX$2))+(($H6-ROUNDDOWN($H6,0))*((INDEX(avoidedcosttbl2,ROUNDUP($H6,0),AX$2))-(INDEX(avoidedcosttbl2,ROUNDDOWN($H6,0),AX$2)))))*$O6*1000*'Inputs Yr 2'!AD6,"")</f>
        <v>217.77177304820293</v>
      </c>
      <c r="AY6" s="197">
        <f>IFERROR(((INDEX(avoidedcosttbl2,$H6,AY$2))+(($H6-ROUNDDOWN($H6,0))*((INDEX(avoidedcosttbl2,ROUNDUP($H6,0),AY$2))-(INDEX(avoidedcosttbl2,ROUNDDOWN($H6,0),AY$2)))))*$O6*1000*('Inputs Yr 2'!AC6+'Inputs Yr 2'!AD6),"")</f>
        <v>2324.0230014889303</v>
      </c>
      <c r="AZ6" s="197">
        <f>IFERROR(((INDEX(avoidedcosttbl2,$H6,AZ$2))+(($H6-ROUNDDOWN($H6,0))*((INDEX(avoidedcosttbl2,ROUNDUP($H6,0),AZ$2))-(INDEX(avoidedcosttbl2,ROUNDDOWN($H6,0),AZ$2)))))*$O6*1000*('Inputs Yr 2'!AA6+'Inputs Yr 2'!AB6),"")</f>
        <v>164.58309654093969</v>
      </c>
      <c r="BA6" s="198">
        <f t="shared" ref="BA6:BA69" si="34">IFERROR(SUM(AU6:AZ6),"")</f>
        <v>3613.468674169505</v>
      </c>
      <c r="BB6" s="198">
        <f t="shared" ref="BB6:BB69" si="35">IFERROR(SUM(AT6,BA6),"")</f>
        <v>101943.32552583845</v>
      </c>
      <c r="BC6" s="195">
        <f t="shared" si="10"/>
        <v>417645.79679326125</v>
      </c>
      <c r="BD6" s="195">
        <f t="shared" si="11"/>
        <v>0</v>
      </c>
      <c r="BE6" s="195">
        <f t="shared" si="12"/>
        <v>0</v>
      </c>
      <c r="BF6" s="195">
        <f t="shared" si="13"/>
        <v>26282.808938560607</v>
      </c>
      <c r="BG6" s="195">
        <f t="shared" si="14"/>
        <v>206290.0697772766</v>
      </c>
      <c r="BH6" s="196">
        <f t="shared" ref="BH6:BH69" si="36">IFERROR(SUM(BC6:BG6),"")</f>
        <v>650218.67550909845</v>
      </c>
      <c r="BI6" s="196">
        <f t="shared" ref="BI6:BI69" si="37">IFERROR(BB6+BH6,"")</f>
        <v>752162.00103493687</v>
      </c>
      <c r="BJ6" s="195">
        <f>IFERROR($G6*(IF('Inputs Yr 2'!$AJ6=BJ$4,'Inputs Yr 2'!$AK6,IF('Inputs Yr 2'!$AL6=BJ$4,'Inputs Yr 2'!$AM6,IF('Inputs Yr 2'!$AN6=BJ$4,'Inputs Yr 2'!$AO6,0))))*(INDEX(avoidedcosttbl2,$H6,BJ$2)+(($H6-ROUNDDOWN($H6,0))*(INDEX(avoidedcosttbl2,ROUNDUP($H6,0),BJ$2)-(INDEX(avoidedcosttbl2,ROUNDDOWN($H6,0),BJ$2)))))*'Inputs Yr 2'!P6*'Inputs Yr 2'!Q6*'Inputs Yr 2'!U6,"")</f>
        <v>0</v>
      </c>
      <c r="BK6" s="195">
        <f>IFERROR($G6*(IF('Inputs Yr 2'!$AJ6=BK$4,'Inputs Yr 2'!$AK6,IF('Inputs Yr 2'!$AL6=BK$4,'Inputs Yr 2'!$AM6,IF('Inputs Yr 2'!$AN6=BK$4,'Inputs Yr 2'!$AO6,0))))*(INDEX(avoidedcosttbl2,$H6,BK$2)+(($H6-ROUNDDOWN($H6,0))*(INDEX(avoidedcosttbl2,ROUNDUP($H6,0),BK$2)-(INDEX(avoidedcosttbl2,ROUNDDOWN($H6,0),BK$2)))))*'Inputs Yr 2'!P6*'Inputs Yr 2'!Q6*'Inputs Yr 2'!U6,"")</f>
        <v>0</v>
      </c>
      <c r="BL6" s="195">
        <f>IFERROR($G6*(IF('Inputs Yr 2'!$AJ6=BL$4,'Inputs Yr 2'!$AK6,IF('Inputs Yr 2'!$AL6=BL$4,'Inputs Yr 2'!$AM6,IF('Inputs Yr 2'!$AN6=BL$4,'Inputs Yr 2'!$AO6,0))))*(INDEX(avoidedcosttbl2,$H6,BL$2)+(($H6-ROUNDDOWN($H6,0))*(INDEX(avoidedcosttbl2,ROUNDUP($H6,0),BL$2)-(INDEX(avoidedcosttbl2,ROUNDDOWN($H6,0),BL$2)))))*'Inputs Yr 2'!P6*'Inputs Yr 2'!Q6*'Inputs Yr 2'!U6,"")</f>
        <v>0</v>
      </c>
      <c r="BM6" s="195">
        <f>IFERROR($G6*(IF('Inputs Yr 2'!$AJ6=BM$4,'Inputs Yr 2'!$AK6,IF('Inputs Yr 2'!$AL6=BM$4,'Inputs Yr 2'!$AM6,IF('Inputs Yr 2'!$AN6=BM$4,'Inputs Yr 2'!$AO6,0))))*(INDEX(avoidedcosttbl2,$H6,BM$2)+(($H6-ROUNDDOWN($H6,0))*(INDEX(avoidedcosttbl2,ROUNDUP($H6,0),BM$2)-(INDEX(avoidedcosttbl2,ROUNDDOWN($H6,0),BM$2)))))*'Inputs Yr 2'!P6*'Inputs Yr 2'!Q6*'Inputs Yr 2'!U6,"")</f>
        <v>0</v>
      </c>
      <c r="BN6" s="195">
        <f>IFERROR($G6*(IF('Inputs Yr 2'!$AJ6=BN$4,'Inputs Yr 2'!$AK6,IF('Inputs Yr 2'!$AL6=BN$4,'Inputs Yr 2'!$AM6,IF('Inputs Yr 2'!$AN6=BN$4,'Inputs Yr 2'!$AO6,0))))*(INDEX(avoidedcosttbl2,$H6,BN$2)+(($H6-ROUNDDOWN($H6,0))*(INDEX(avoidedcosttbl2,ROUNDUP($H6,0),BN$2)-(INDEX(avoidedcosttbl2,ROUNDDOWN($H6,0),BN$2)))))*'Inputs Yr 2'!P6*'Inputs Yr 2'!Q6*'Inputs Yr 2'!U6,"")</f>
        <v>0</v>
      </c>
      <c r="BO6" s="195">
        <f>IFERROR($G6*(IF('Inputs Yr 2'!$AJ6=BO$4,'Inputs Yr 2'!$AK6,IF('Inputs Yr 2'!$AL6=BO$4,'Inputs Yr 2'!$AM6,IF('Inputs Yr 2'!$AN6=BO$4,'Inputs Yr 2'!$AO6,0))))*(INDEX(avoidedcosttbl2,$H6,BO$2)+(($H6-ROUNDDOWN($H6,0))*(INDEX(avoidedcosttbl2,ROUNDUP($H6,0),BO$2)-(INDEX(avoidedcosttbl2,ROUNDDOWN($H6,0),BO$2)))))*'Inputs Yr 2'!P6*'Inputs Yr 2'!Q6*'Inputs Yr 2'!U6,"")</f>
        <v>0</v>
      </c>
      <c r="BP6" s="195">
        <f>IFERROR($G6*(IF('Inputs Yr 2'!$AJ6=BP$4,'Inputs Yr 2'!$AK6,IF('Inputs Yr 2'!$AL6=BP$4,'Inputs Yr 2'!$AM6,IF('Inputs Yr 2'!$AN6=BP$4,'Inputs Yr 2'!$AO6,0))))*(INDEX(avoidedcosttbl2,$H6,BP$2)+(($H6-ROUNDDOWN($H6,0))*(INDEX(avoidedcosttbl2,ROUNDUP($H6,0),BP$2)-(INDEX(avoidedcosttbl2,ROUNDDOWN($H6,0),BP$2)))))*'Inputs Yr 2'!P6*'Inputs Yr 2'!Q6*'Inputs Yr 2'!U6,"")</f>
        <v>0</v>
      </c>
      <c r="BQ6" s="230">
        <f t="shared" ref="BQ6:BQ69" si="38">IFERROR(SUM(BJ6:BP6),"")</f>
        <v>0</v>
      </c>
      <c r="BR6" s="197">
        <f t="shared" si="17"/>
        <v>0</v>
      </c>
      <c r="BS6" s="197">
        <f>IFERROR(($G6*IF('Inputs Yr 2'!$AJ6=BM$4,'Inputs Yr 2'!$AK6,IF('Inputs Yr 2'!$AL6=BM$4,'Inputs Yr 2'!$AM6,IF('Inputs Yr 2'!$AN6=BM$4,'Inputs Yr 2'!$AO6,0))))*(INDEX(avoidedcosttbl2,$H6,BS$2)+(($H6-ROUNDDOWN($H6,0))*(INDEX(avoidedcosttbl2,ROUNDUP($H6,0),BS$2)-(INDEX(avoidedcosttbl2,ROUNDDOWN($H6,0),BS$2)))))*'Inputs Yr 2'!P6*'Inputs Yr 2'!Q6*'Inputs Yr 2'!U6,"")</f>
        <v>0</v>
      </c>
      <c r="BT6" s="197">
        <f>IFERROR(($G6*IF('Inputs Yr 2'!$AJ6=BK$4,'Inputs Yr 2'!$AK6,IF('Inputs Yr 2'!$AL6=BK$4,'Inputs Yr 2'!$AM6,IF('Inputs Yr 2'!$AN6=BK$4,'Inputs Yr 2'!$AO6,0))))*(INDEX(avoidedcosttbl2,$H6,BT$2)+(($H6-ROUNDDOWN($H6,0))*(INDEX(avoidedcosttbl2,ROUNDUP($H6,0),BT$2)-(INDEX(avoidedcosttbl2,ROUNDDOWN($H6,0),BT$2)))))*'Inputs Yr 2'!P6*'Inputs Yr 2'!Q6*'Inputs Yr 2'!U6,"")</f>
        <v>0</v>
      </c>
      <c r="BU6" s="197">
        <f>IFERROR(($G6*IF('Inputs Yr 2'!$AJ6=BL$4,'Inputs Yr 2'!$AK6,IF('Inputs Yr 2'!$AL6=BL$4,'Inputs Yr 2'!$AM6,IF('Inputs Yr 2'!$AN6=BL$4,'Inputs Yr 2'!$AO6,0))))*(INDEX(avoidedcosttbl2,$H6,BU$2)+(($H6-ROUNDDOWN($H6,0))*(INDEX(avoidedcosttbl2,ROUNDUP($H6,0),BU$2)-(INDEX(avoidedcosttbl2,ROUNDDOWN($H6,0),BU$2)))))*'Inputs Yr 2'!P6*'Inputs Yr 2'!Q6*'Inputs Yr 2'!U6,"")</f>
        <v>0</v>
      </c>
      <c r="BV6" s="775">
        <f>IFERROR(($G6*IF('Inputs Yr 2'!$AJ6=BJ$4,'Inputs Yr 2'!$AK6,IF('Inputs Yr 2'!$AL6=BJ$4,'Inputs Yr 2'!$AM6,IF('Inputs Yr 2'!$AN6=BJ$4,'Inputs Yr 2'!$AO6,0))))*(INDEX(avoidedcosttbl2,$H6,BV$2)+(($H6-ROUNDDOWN($H6,0))*(INDEX(avoidedcosttbl2,ROUNDUP($H6,0),BV$2)-(INDEX(avoidedcosttbl2,ROUNDDOWN($H6,0),BV$2)))))*'Inputs Yr 2'!P6*'Inputs Yr 2'!Q6*'Inputs Yr 2'!U6,"")</f>
        <v>0</v>
      </c>
      <c r="BW6" s="197">
        <f>IFERROR(($G6*IF('Inputs Yr 2'!$AJ6=BN$4,'Inputs Yr 2'!$AK6,IF('Inputs Yr 2'!$AL6=BN$4,'Inputs Yr 2'!$AM6,IF('Inputs Yr 2'!$AN6=BN$4,'Inputs Yr 2'!$AO6,0))))*(INDEX(avoidedcosttbl2,$H6,BW$2)+(($H6-ROUNDDOWN($H6,0))*(INDEX(avoidedcosttbl2,ROUNDUP($H6,0),BW$2)-(INDEX(avoidedcosttbl2,ROUNDDOWN($H6,0),BW$2)))))*'Inputs Yr 2'!P6*'Inputs Yr 2'!Q6*'Inputs Yr 2'!U6,"")</f>
        <v>0</v>
      </c>
      <c r="BX6" s="197">
        <f>IFERROR(($G6*IF('Inputs Yr 2'!$AJ6=BO$4,'Inputs Yr 2'!$AK6,IF('Inputs Yr 2'!$AL6=BO$4,'Inputs Yr 2'!$AM6,IF('Inputs Yr 2'!$AN6=BO$4,'Inputs Yr 2'!$AO6,0))))*(INDEX(avoidedcosttbl2,$H6,BX$2)+(($H6-ROUNDDOWN($H6,0))*(INDEX(avoidedcosttbl2,ROUNDUP($H6,0),BX$2)-(INDEX(avoidedcosttbl2,ROUNDDOWN($H6,0),BX$2)))))*'Inputs Yr 2'!P6*'Inputs Yr 2'!Q6*'Inputs Yr 2'!U6,"")</f>
        <v>0</v>
      </c>
      <c r="BY6" s="197">
        <f>IFERROR(($G6*IF('Inputs Yr 2'!$AJ6=BP$4,'Inputs Yr 2'!$AK6,IF('Inputs Yr 2'!$AL6=BP$4,'Inputs Yr 2'!$AM6,IF('Inputs Yr 2'!$AN6=BP$4,'Inputs Yr 2'!$AO6,0))))*(INDEX(avoidedcosttbl2,$H6,BY$2)+(($H6-ROUNDDOWN($H6,0))*(INDEX(avoidedcosttbl2,ROUNDUP($H6,0),BY$2)-(INDEX(avoidedcosttbl2,ROUNDDOWN($H6,0),BY$2)))))*'Inputs Yr 2'!P6*'Inputs Yr 2'!Q6*'Inputs Yr 2'!U6,"")</f>
        <v>0</v>
      </c>
      <c r="BZ6" s="193">
        <f t="shared" ref="BZ6:BZ69" si="39">IFERROR(SUM(BR6:BY6),"")</f>
        <v>0</v>
      </c>
      <c r="CA6" s="193">
        <f t="shared" ref="CA6:CA69" si="40">IFERROR(BQ6+BZ6,"")</f>
        <v>0</v>
      </c>
      <c r="CB6" s="195">
        <f>IFERROR(G6*(IF('Inputs Yr 2'!$AJ6=CB$4,'Inputs Yr 2'!$AK6,IF('Inputs Yr 2'!$AL6=CB$4,'Inputs Yr 2'!$AM6,IF('Inputs Yr 2'!$AN6=CB$4,'Inputs Yr 2'!$AO6,0))))*(INDEX(avoidedcosttbl2,$H6,CB$2)+(($H6-ROUNDDOWN($H6,0))*(INDEX(avoidedcosttbl2,ROUNDUP($H6,0),CB$2)-(INDEX(avoidedcosttbl2,ROUNDDOWN($H6,0),CB$2)))))*'Inputs Yr 2'!P6*'Inputs Yr 2'!Q6*'Inputs Yr 2'!U6,"")</f>
        <v>0</v>
      </c>
      <c r="CC6" s="195">
        <f>IFERROR(H6*(IF('Inputs Yr 2'!$AJ6=CC$4,'Inputs Yr 2'!$AK6,IF('Inputs Yr 2'!$AL6=CC$4,'Inputs Yr 2'!$AM6,IF('Inputs Yr 2'!$AN6=CC$4,'Inputs Yr 2'!$AO6,0))))*(INDEX(avoidedcosttbl2,$H6,CC$2)+(($H6-ROUNDDOWN($H6,0))*(INDEX(avoidedcosttbl2,ROUNDUP($H6,0),CC$2)-(INDEX(avoidedcosttbl2,ROUNDDOWN($H6,0),CC$2)))))*'Inputs Yr 2'!Q6*'Inputs Yr 2'!R6*'Inputs Yr 2'!V6,"")</f>
        <v>0</v>
      </c>
      <c r="CD6" s="195">
        <f>IFERROR(I6*(IF('Inputs Yr 2'!$AJ6=CD$4,'Inputs Yr 2'!$AK6,IF('Inputs Yr 2'!$AL6=CD$4,'Inputs Yr 2'!$AM6,IF('Inputs Yr 2'!$AN6=CD$4,'Inputs Yr 2'!$AO6,0))))*(INDEX(avoidedcosttbl2,$H6,CD$2)+(($H6-ROUNDDOWN($H6,0))*(INDEX(avoidedcosttbl2,ROUNDUP($H6,0),CD$2)-(INDEX(avoidedcosttbl2,ROUNDDOWN($H6,0),CD$2)))))*'Inputs Yr 2'!R6*'Inputs Yr 2'!S6*'Inputs Yr 2'!W6,"")</f>
        <v>0</v>
      </c>
      <c r="CE6" s="213">
        <f t="shared" ref="CE6:CE69" si="41">IFERROR(AL6*(INDEX(avoidedcosttbl2,$H6,CE$2)+(($H6-ROUNDDOWN($H6,0))*(INDEX(avoidedcosttbl2,ROUNDUP($H6,0),CE$2)-(INDEX(avoidedcosttbl2,ROUNDDOWN($H6,0),CE$2))))),"")</f>
        <v>0</v>
      </c>
      <c r="CF6" s="213">
        <f t="shared" ref="CF6:CF69" si="42">IFERROR(AM6*(INDEX(avoidedcosttbl2,$H6,CF$2)+(($H6-ROUNDDOWN($H6,0))*(INDEX(avoidedcosttbl2,ROUNDUP($H6,0),CF$2)-(INDEX(avoidedcosttbl2,ROUNDDOWN($H6,0),CF$2))))),"")</f>
        <v>0</v>
      </c>
      <c r="CG6" s="213">
        <f t="shared" ref="CG6:CG69" si="43">IFERROR(AN6*(INDEX(avoidedcosttbl2,$H6,CG$2)+(($H6-ROUNDDOWN($H6,0))*(INDEX(avoidedcosttbl2,ROUNDUP($H6,0),CG$2)-(INDEX(avoidedcosttbl2,ROUNDDOWN($H6,0),CG$2))))),"")</f>
        <v>0</v>
      </c>
      <c r="CH6" s="698">
        <f t="shared" ref="CH6:CH69" si="44">IFERROR(SUM(CA6:CG6),"")</f>
        <v>0</v>
      </c>
      <c r="CI6" s="79">
        <f>IFERROR(($G6*'Inputs Yr 2'!$P6*'Inputs Yr 2'!$Q6*(((INDEX(avoidedcosttbl2,$H6,CI$2)+(($H6-ROUNDDOWN($H6,0))*(INDEX(avoidedcosttbl2,ROUNDUP($H6,0),CI$2)-INDEX(avoidedcosttbl2,ROUNDDOWN($H6,0),CI$2))))*'Inputs Yr 2'!AS6))),"")</f>
        <v>0</v>
      </c>
      <c r="CJ6" s="504">
        <f>IFERROR($G6*'Inputs Yr 2'!AT6*'Inputs Yr 2'!$P6*'Inputs Yr 2'!$Q6/((1+realdiscrt1)^-0.5),"")</f>
        <v>0</v>
      </c>
      <c r="CK6" s="79">
        <f>IFERROR((O6*1000*(((INDEX(avoidedcosttbl2,$H6,CK$2)+(($H6-ROUNDDOWN($H6,0))*(INDEX(avoidedcosttbl2,ROUNDUP($H6,0),CK$2)-INDEX(avoidedcosttbl2,ROUNDDOWN($H6,0),CK$2))))*'Inputs Yr 2'!AU6))),"")</f>
        <v>0</v>
      </c>
      <c r="CL6" s="504">
        <f>IFERROR(O6*1000*'Inputs Yr 2'!AV6/((1+realdiscrt1)^-0.5),"")</f>
        <v>0</v>
      </c>
      <c r="CM6" s="79">
        <f>IFERROR((AB6*'Inputs Yr 2'!AW6*(((INDEX(avoidedcosttbl2,$H6,CM$2)+(($H6-ROUNDDOWN($H6,0))*(INDEX(avoidedcosttbl2,ROUNDUP($H6,0),CM$2)-INDEX(avoidedcosttbl2,ROUNDDOWN($H6,0),CM$2)))))))*10,"")</f>
        <v>0</v>
      </c>
      <c r="CN6" s="504">
        <f>IFERROR(10*AB6*'Inputs Yr 2'!AX6/((1+realdiscrt1)^-0.5),"")</f>
        <v>0</v>
      </c>
      <c r="CO6" s="505">
        <f t="shared" ref="CO6:CO69" si="45">SUM(CI6:CN6)</f>
        <v>0</v>
      </c>
      <c r="CP6" s="230">
        <f t="shared" ref="CP6:CP69" si="46">IFERROR(CO6+CH6+BI6,"")</f>
        <v>752162.00103493687</v>
      </c>
      <c r="CQ6" s="199">
        <f>ROUND(IFERROR(IF(LEFT($A6,1)="C",'Avoided Costs'!$K$13,'Avoided Costs'!$K$12)+1,""),4)</f>
        <v>1.0720000000000001</v>
      </c>
      <c r="CR6" s="199">
        <f>ROUND(IFERROR(IF(LEFT($A6,1)="C",'Avoided Costs'!$L$13,'Avoided Costs'!$L$12)+1,""),4)</f>
        <v>1.04</v>
      </c>
      <c r="CS6" s="199">
        <f>ROUND(IFERROR(IF(LEFT($A6,1)="C",'Avoided Costs'!$M$13,'Avoided Costs'!$M$12)+1,""),4)</f>
        <v>1.0720000000000001</v>
      </c>
      <c r="CT6" s="199">
        <f>ROUND(IFERROR(IF(LEFT($A6,1)="C",'Avoided Costs'!$N$13,'Avoided Costs'!$N$12)+1,""),4)</f>
        <v>1.04</v>
      </c>
      <c r="CU6" s="199">
        <f>ROUND(IFERROR(IF(LEFT($A6,1)="C",'Avoided Costs'!$O$13,'Avoided Costs'!$O$12)+1,""),4)</f>
        <v>1.1120000000000001</v>
      </c>
      <c r="CV6" s="199">
        <f>ROUND(IFERROR(IF(LEFT($A6,1)="C",'Avoided Costs'!$P$13,'Avoided Costs'!$P$12)+1,""),4)</f>
        <v>1.095</v>
      </c>
      <c r="CW6" s="199">
        <f>ROUND(IFERROR(IF(LEFT($A6,1)="C",'Avoided Costs'!$Q$13,'Avoided Costs'!$Q$12)+1,""),4)</f>
        <v>1.1120000000000001</v>
      </c>
      <c r="CX6" s="200">
        <f>ROUND(IFERROR(IF(LEFT($A6,1)="C",'Avoided Costs'!$R$13,'Avoided Costs'!$R$12)+1,""),4)</f>
        <v>1.1120000000000001</v>
      </c>
    </row>
    <row r="7" spans="1:105">
      <c r="A7" s="91" t="str">
        <f>IF('Inputs Yr 2'!$B7=0,"",'Inputs Yr 2'!A7)</f>
        <v>A - Residential</v>
      </c>
      <c r="B7" s="91" t="str">
        <f>IF('Inputs Yr 2'!$B7=0,"",'Inputs Yr 2'!B7)</f>
        <v>A1 - Residential Whole House</v>
      </c>
      <c r="C7" s="91" t="str">
        <f>IF('Inputs Yr 2'!$B7=0,"",'Inputs Yr 2'!C7)</f>
        <v>A1a - Residential New Construction</v>
      </c>
      <c r="D7" s="91" t="str">
        <f>IF('Inputs Yr 2'!$B7=0,"",'Inputs Yr 2'!E7)</f>
        <v>Low Rise NC Water Heating</v>
      </c>
      <c r="E7" s="93" t="str">
        <f>IF('Inputs Yr 2'!$B7=0,"",'Inputs Yr 2'!F7)</f>
        <v>G16A1a03</v>
      </c>
      <c r="F7" s="93" t="str">
        <f>IF('Inputs Yr 2'!$B7=0,"",'Inputs Yr 2'!G7)</f>
        <v>Hot Water</v>
      </c>
      <c r="G7" s="95" t="str">
        <f>IF('Inputs Yr 2'!$H7&lt;&gt;0,('Inputs Yr 2'!H7),"")</f>
        <v>2424</v>
      </c>
      <c r="H7" s="94">
        <f>IFERROR('Inputs Yr 2'!I7,"")</f>
        <v>15</v>
      </c>
      <c r="I7" s="298">
        <f>IFERROR('Inputs Yr 2'!J7*'Inputs Yr 2'!P7*G7,"")</f>
        <v>0</v>
      </c>
      <c r="J7" s="298">
        <f>IFERROR('Inputs Yr 2'!K7*G7,"")</f>
        <v>0</v>
      </c>
      <c r="K7" s="298">
        <f t="shared" si="23"/>
        <v>0</v>
      </c>
      <c r="L7" s="194">
        <f>IFERROR(('Inputs Yr 2'!W7*G7)/1000,"")</f>
        <v>2.9101427666666662</v>
      </c>
      <c r="M7" s="194">
        <f>IFERROR(L7*('Inputs Yr 2'!$Q7*'Inputs Yr 2'!$V7*'Inputs Yr 2'!$R7),"")</f>
        <v>2.9101427666666662</v>
      </c>
      <c r="N7" s="194">
        <f t="shared" si="24"/>
        <v>43.652141499999992</v>
      </c>
      <c r="O7" s="194">
        <f>IFERROR(M7*'Inputs Yr 2'!P7,"")</f>
        <v>3.4921713199999993</v>
      </c>
      <c r="P7" s="194">
        <f t="shared" si="25"/>
        <v>52.382569799999992</v>
      </c>
      <c r="Q7" s="194">
        <f>IFERROR($P7*'Inputs Yr 2'!AA7,"")</f>
        <v>18.773921758009372</v>
      </c>
      <c r="R7" s="194">
        <f>IFERROR($P7*'Inputs Yr 2'!AB7,"")</f>
        <v>16.111619145811133</v>
      </c>
      <c r="S7" s="194">
        <f>IFERROR($P7*'Inputs Yr 2'!AC7,"")</f>
        <v>9.0403840184420545</v>
      </c>
      <c r="T7" s="194">
        <f>IFERROR($P7*'Inputs Yr 2'!AD7,"")</f>
        <v>8.4566448777374905</v>
      </c>
      <c r="U7" s="194">
        <f>IFERROR(G7*'Inputs Yr 2'!$AE7*'Inputs Yr 2'!$P7*'Inputs Yr 2'!$Q7,"")</f>
        <v>3.3451199999999996</v>
      </c>
      <c r="V7" s="194">
        <f>IFERROR($G7*'Inputs Yr 2'!$AE7*'Inputs Yr 2'!$AG7*'Inputs Yr 2'!Q7*'Inputs Yr 2'!$S7,"")</f>
        <v>0</v>
      </c>
      <c r="W7" s="194">
        <f>IFERROR($G7*'Inputs Yr 2'!$AE7*'Inputs Yr 2'!$AG7*'Inputs Yr 2'!P7*'Inputs Yr 2'!Q7*'Inputs Yr 2'!$S7,"")</f>
        <v>0</v>
      </c>
      <c r="X7" s="194">
        <f>IFERROR($G7*'Inputs Yr 2'!$AE7*'Inputs Yr 2'!$AF7*'Inputs Yr 2'!Q7*'Inputs Yr 2'!$T7,"")</f>
        <v>2.7875999999999999</v>
      </c>
      <c r="Y7" s="194">
        <f>IFERROR($G7*'Inputs Yr 2'!$AE7*'Inputs Yr 2'!$AF7*'Inputs Yr 2'!P7*'Inputs Yr 2'!Q7*'Inputs Yr 2'!$T7,"")</f>
        <v>3.3451199999999996</v>
      </c>
      <c r="Z7" s="257">
        <f>IFERROR($G7*'Inputs Yr 2'!$Q7*'Inputs Yr 2'!$U7*(IF(IFERROR(SEARCH("NG", 'Inputs Yr 2'!$AJ7),0),'Inputs Yr 2'!$AK7,0)+IF(IFERROR(SEARCH("NG", 'Inputs Yr 2'!$AL7),0),'Inputs Yr 2'!$AM7,0)+IF(IFERROR(SEARCH("NG", 'Inputs Yr 2'!$AN7),0),'Inputs Yr 2'!$AO7,0)),0)</f>
        <v>10628.437329999999</v>
      </c>
      <c r="AA7" s="257">
        <f t="shared" si="26"/>
        <v>159426.55995</v>
      </c>
      <c r="AB7" s="257">
        <f>IFERROR(Z7*'Inputs Yr 2'!$P7,0)</f>
        <v>12754.124795999998</v>
      </c>
      <c r="AC7" s="257">
        <f t="shared" si="27"/>
        <v>191311.87193999998</v>
      </c>
      <c r="AD7" s="257">
        <f>IFERROR($G7*'Inputs Yr 2'!$Q7*'Inputs Yr 2'!$U7*(IF(IFERROR(SEARCH("Oil", 'Inputs Yr 2'!$AJ7), 0),'Inputs Yr 2'!$AK7,0)+IF(IFERROR(SEARCH("Oil", 'Inputs Yr 2'!$AL7), 0),'Inputs Yr 2'!$AM7,0)+IF(IFERROR(SEARCH("Oil", 'Inputs Yr 2'!$AN7), 0),'Inputs Yr 2'!$AO7,0)),0)</f>
        <v>0</v>
      </c>
      <c r="AE7" s="257">
        <f t="shared" si="28"/>
        <v>0</v>
      </c>
      <c r="AF7" s="257">
        <f>IFERROR(AD7*'Inputs Yr 2'!$P7,0)</f>
        <v>0</v>
      </c>
      <c r="AG7" s="257">
        <f t="shared" si="29"/>
        <v>0</v>
      </c>
      <c r="AH7" s="257">
        <f>IFERROR($G7*'Inputs Yr 2'!$Q7*'Inputs Yr 2'!$U7*(IF('Inputs Yr 2'!$AJ7=CD$4,'Inputs Yr 2'!$AK7,IF('Inputs Yr 2'!$AL7=CD$4,'Inputs Yr 2'!$AM7,IF('Inputs Yr 2'!$AN7=CD$4,'Inputs Yr 2'!$AO7,0)))),0)</f>
        <v>0</v>
      </c>
      <c r="AI7" s="257">
        <f t="shared" si="30"/>
        <v>0</v>
      </c>
      <c r="AJ7" s="257">
        <f>IFERROR(AH7*'Inputs Yr 2'!$P7,0)</f>
        <v>0</v>
      </c>
      <c r="AK7" s="257">
        <f t="shared" si="31"/>
        <v>0</v>
      </c>
      <c r="AL7" s="258">
        <f>IFERROR($G7*'Inputs Yr 2'!$P7*'Inputs Yr 2'!$Q7*'Inputs Yr 2'!AP7,0)</f>
        <v>0</v>
      </c>
      <c r="AM7" s="260">
        <f>IFERROR($G7*'Inputs Yr 2'!$P7*'Inputs Yr 2'!$Q7*'Inputs Yr 2'!AQ7,0)</f>
        <v>0</v>
      </c>
      <c r="AN7" s="258">
        <f>IFERROR($G7*'Inputs Yr 2'!$P7*'Inputs Yr 2'!$Q7*'Inputs Yr 2'!AR7,0)</f>
        <v>0</v>
      </c>
      <c r="AO7" s="257">
        <f t="shared" si="32"/>
        <v>0</v>
      </c>
      <c r="AP7" s="195">
        <f>IFERROR($CQ7*(INDEX(avoidedcosttbl2,$H7,AP$2)+(($H7-ROUNDDOWN($H7,0))*(INDEX(avoidedcosttbl2,ROUNDUP($H7,0),AP$2)-(INDEX(avoidedcosttbl2,ROUNDDOWN($H7,0),AP$2)))))*$O7*1000*'Inputs Yr 2'!AA7,"")</f>
        <v>1576.9480181992442</v>
      </c>
      <c r="AQ7" s="195">
        <f>IFERROR($CR7*(INDEX(avoidedcosttbl2,$H7,AQ$2)+(($H7-ROUNDDOWN($H7,0))*(INDEX(avoidedcosttbl2,ROUNDUP($H7,0),AQ$2)-(INDEX(avoidedcosttbl2,ROUNDDOWN($H7,0),AQ$2)))))*$O7*1000*'Inputs Yr 2'!AB7,"")</f>
        <v>1210.8860810067847</v>
      </c>
      <c r="AR7" s="195">
        <f>IFERROR($CS7*(INDEX(avoidedcosttbl2,$H7,AR$2)+(($H7-ROUNDDOWN($H7,0))*(INDEX(avoidedcosttbl2,ROUNDUP($H7,0),AR$2)-(INDEX(avoidedcosttbl2,ROUNDDOWN($H7,0),AR$2)))))*$O7*1000*'Inputs Yr 2'!AC7,"")</f>
        <v>739.29305458039914</v>
      </c>
      <c r="AS7" s="195">
        <f>IFERROR($CT7*(INDEX(avoidedcosttbl2,$H7,AS$2)+(($H7-ROUNDDOWN($H7,0))*(INDEX(avoidedcosttbl2,ROUNDUP($H7,0),AS$2)-(INDEX(avoidedcosttbl2,ROUNDDOWN($H7,0),AS$2)))))*$O7*1000*'Inputs Yr 2'!AD7,"")</f>
        <v>541.56482032793622</v>
      </c>
      <c r="AT7" s="196">
        <f t="shared" si="33"/>
        <v>4068.6919741143643</v>
      </c>
      <c r="AU7" s="197">
        <f>IFERROR($CQ7*((INDEX(avoidedcosttbl2,$H7,AU$2))+(($H7-ROUNDDOWN($H7,0))*((INDEX(avoidedcosttbl2,ROUNDUP($H7,0),AU$2))-(INDEX(avoidedcosttbl2,ROUNDDOWN($H7,0),AU$2)))))*$O7*1000*'Inputs Yr 2'!AA7,"")</f>
        <v>40.832856083186087</v>
      </c>
      <c r="AV7" s="197">
        <f>IFERROR($CR7*((INDEX(avoidedcosttbl2,$H7,AV$2))+(($H7-ROUNDDOWN($H7,0))*((INDEX(avoidedcosttbl2,ROUNDUP($H7,0),AV$2))-(INDEX(avoidedcosttbl2,ROUNDDOWN($H7,0),AV$2)))))*$O7*1000*'Inputs Yr 2'!AB7,"")</f>
        <v>16.859010207977388</v>
      </c>
      <c r="AW7" s="197">
        <f>IFERROR($CS7*((INDEX(avoidedcosttbl2,$H7,AW$2))+(($H7-ROUNDDOWN($H7,0))*((INDEX(avoidedcosttbl2,ROUNDUP($H7,0),AW$2))-(INDEX(avoidedcosttbl2,ROUNDDOWN($H7,0),AW$2)))))*$O7*1000*'Inputs Yr 2'!AC7,"")</f>
        <v>23.217797207089561</v>
      </c>
      <c r="AX7" s="197">
        <f>IFERROR($CT7*((INDEX(avoidedcosttbl2,$H7,AX$2))+(($H7-ROUNDDOWN($H7,0))*((INDEX(avoidedcosttbl2,ROUNDUP($H7,0),AX$2))-(INDEX(avoidedcosttbl2,ROUNDDOWN($H7,0),AX$2)))))*$O7*1000*'Inputs Yr 2'!AD7,"")</f>
        <v>7.1257523342701035</v>
      </c>
      <c r="AY7" s="197">
        <f>IFERROR(((INDEX(avoidedcosttbl2,$H7,AY$2))+(($H7-ROUNDDOWN($H7,0))*((INDEX(avoidedcosttbl2,ROUNDUP($H7,0),AY$2))-(INDEX(avoidedcosttbl2,ROUNDDOWN($H7,0),AY$2)))))*$O7*1000*('Inputs Yr 2'!AC7+'Inputs Yr 2'!AD7),"")</f>
        <v>54.983875242762963</v>
      </c>
      <c r="AZ7" s="197">
        <f>IFERROR(((INDEX(avoidedcosttbl2,$H7,AZ$2))+(($H7-ROUNDDOWN($H7,0))*((INDEX(avoidedcosttbl2,ROUNDUP($H7,0),AZ$2))-(INDEX(avoidedcosttbl2,ROUNDDOWN($H7,0),AZ$2)))))*$O7*1000*('Inputs Yr 2'!AA7+'Inputs Yr 2'!AB7),"")</f>
        <v>154.08074156210506</v>
      </c>
      <c r="BA7" s="198">
        <f t="shared" si="34"/>
        <v>297.10003263739117</v>
      </c>
      <c r="BB7" s="198">
        <f t="shared" si="35"/>
        <v>4365.7920067517553</v>
      </c>
      <c r="BC7" s="195">
        <f t="shared" si="10"/>
        <v>8671.1349486204817</v>
      </c>
      <c r="BD7" s="195">
        <f t="shared" si="11"/>
        <v>0</v>
      </c>
      <c r="BE7" s="195">
        <f t="shared" si="12"/>
        <v>0</v>
      </c>
      <c r="BF7" s="195">
        <f t="shared" si="13"/>
        <v>579.94651650673086</v>
      </c>
      <c r="BG7" s="195">
        <f t="shared" si="14"/>
        <v>4551.9186186274501</v>
      </c>
      <c r="BH7" s="196">
        <f t="shared" si="36"/>
        <v>13803.000083754661</v>
      </c>
      <c r="BI7" s="196">
        <f t="shared" si="37"/>
        <v>18168.792090506417</v>
      </c>
      <c r="BJ7" s="195">
        <f>IFERROR($G7*(IF('Inputs Yr 2'!$AJ7=BJ$4,'Inputs Yr 2'!$AK7,IF('Inputs Yr 2'!$AL7=BJ$4,'Inputs Yr 2'!$AM7,IF('Inputs Yr 2'!$AN7=BJ$4,'Inputs Yr 2'!$AO7,0))))*(INDEX(avoidedcosttbl2,$H7,BJ$2)+(($H7-ROUNDDOWN($H7,0))*(INDEX(avoidedcosttbl2,ROUNDUP($H7,0),BJ$2)-(INDEX(avoidedcosttbl2,ROUNDDOWN($H7,0),BJ$2)))))*'Inputs Yr 2'!P7*'Inputs Yr 2'!Q7*'Inputs Yr 2'!U7,"")</f>
        <v>0</v>
      </c>
      <c r="BK7" s="195">
        <f>IFERROR($G7*(IF('Inputs Yr 2'!$AJ7=BK$4,'Inputs Yr 2'!$AK7,IF('Inputs Yr 2'!$AL7=BK$4,'Inputs Yr 2'!$AM7,IF('Inputs Yr 2'!$AN7=BK$4,'Inputs Yr 2'!$AO7,0))))*(INDEX(avoidedcosttbl2,$H7,BK$2)+(($H7-ROUNDDOWN($H7,0))*(INDEX(avoidedcosttbl2,ROUNDUP($H7,0),BK$2)-(INDEX(avoidedcosttbl2,ROUNDDOWN($H7,0),BK$2)))))*'Inputs Yr 2'!P7*'Inputs Yr 2'!Q7*'Inputs Yr 2'!U7,"")</f>
        <v>1533006.0618686909</v>
      </c>
      <c r="BL7" s="195">
        <f>IFERROR($G7*(IF('Inputs Yr 2'!$AJ7=BL$4,'Inputs Yr 2'!$AK7,IF('Inputs Yr 2'!$AL7=BL$4,'Inputs Yr 2'!$AM7,IF('Inputs Yr 2'!$AN7=BL$4,'Inputs Yr 2'!$AO7,0))))*(INDEX(avoidedcosttbl2,$H7,BL$2)+(($H7-ROUNDDOWN($H7,0))*(INDEX(avoidedcosttbl2,ROUNDUP($H7,0),BL$2)-(INDEX(avoidedcosttbl2,ROUNDDOWN($H7,0),BL$2)))))*'Inputs Yr 2'!P7*'Inputs Yr 2'!Q7*'Inputs Yr 2'!U7,"")</f>
        <v>0</v>
      </c>
      <c r="BM7" s="195">
        <f>IFERROR($G7*(IF('Inputs Yr 2'!$AJ7=BM$4,'Inputs Yr 2'!$AK7,IF('Inputs Yr 2'!$AL7=BM$4,'Inputs Yr 2'!$AM7,IF('Inputs Yr 2'!$AN7=BM$4,'Inputs Yr 2'!$AO7,0))))*(INDEX(avoidedcosttbl2,$H7,BM$2)+(($H7-ROUNDDOWN($H7,0))*(INDEX(avoidedcosttbl2,ROUNDUP($H7,0),BM$2)-(INDEX(avoidedcosttbl2,ROUNDDOWN($H7,0),BM$2)))))*'Inputs Yr 2'!P7*'Inputs Yr 2'!Q7*'Inputs Yr 2'!U7,"")</f>
        <v>0</v>
      </c>
      <c r="BN7" s="195">
        <f>IFERROR($G7*(IF('Inputs Yr 2'!$AJ7=BN$4,'Inputs Yr 2'!$AK7,IF('Inputs Yr 2'!$AL7=BN$4,'Inputs Yr 2'!$AM7,IF('Inputs Yr 2'!$AN7=BN$4,'Inputs Yr 2'!$AO7,0))))*(INDEX(avoidedcosttbl2,$H7,BN$2)+(($H7-ROUNDDOWN($H7,0))*(INDEX(avoidedcosttbl2,ROUNDUP($H7,0),BN$2)-(INDEX(avoidedcosttbl2,ROUNDDOWN($H7,0),BN$2)))))*'Inputs Yr 2'!P7*'Inputs Yr 2'!Q7*'Inputs Yr 2'!U7,"")</f>
        <v>0</v>
      </c>
      <c r="BO7" s="195">
        <f>IFERROR($G7*(IF('Inputs Yr 2'!$AJ7=BO$4,'Inputs Yr 2'!$AK7,IF('Inputs Yr 2'!$AL7=BO$4,'Inputs Yr 2'!$AM7,IF('Inputs Yr 2'!$AN7=BO$4,'Inputs Yr 2'!$AO7,0))))*(INDEX(avoidedcosttbl2,$H7,BO$2)+(($H7-ROUNDDOWN($H7,0))*(INDEX(avoidedcosttbl2,ROUNDUP($H7,0),BO$2)-(INDEX(avoidedcosttbl2,ROUNDDOWN($H7,0),BO$2)))))*'Inputs Yr 2'!P7*'Inputs Yr 2'!Q7*'Inputs Yr 2'!U7,"")</f>
        <v>0</v>
      </c>
      <c r="BP7" s="195">
        <f>IFERROR($G7*(IF('Inputs Yr 2'!$AJ7=BP$4,'Inputs Yr 2'!$AK7,IF('Inputs Yr 2'!$AL7=BP$4,'Inputs Yr 2'!$AM7,IF('Inputs Yr 2'!$AN7=BP$4,'Inputs Yr 2'!$AO7,0))))*(INDEX(avoidedcosttbl2,$H7,BP$2)+(($H7-ROUNDDOWN($H7,0))*(INDEX(avoidedcosttbl2,ROUNDUP($H7,0),BP$2)-(INDEX(avoidedcosttbl2,ROUNDDOWN($H7,0),BP$2)))))*'Inputs Yr 2'!P7*'Inputs Yr 2'!Q7*'Inputs Yr 2'!U7,"")</f>
        <v>0</v>
      </c>
      <c r="BQ7" s="230">
        <f t="shared" si="38"/>
        <v>1533006.0618686909</v>
      </c>
      <c r="BR7" s="197">
        <f t="shared" si="17"/>
        <v>25930.775539486396</v>
      </c>
      <c r="BS7" s="197">
        <f>IFERROR(($G7*IF('Inputs Yr 2'!$AJ7=BM$4,'Inputs Yr 2'!$AK7,IF('Inputs Yr 2'!$AL7=BM$4,'Inputs Yr 2'!$AM7,IF('Inputs Yr 2'!$AN7=BM$4,'Inputs Yr 2'!$AO7,0))))*(INDEX(avoidedcosttbl2,$H7,BS$2)+(($H7-ROUNDDOWN($H7,0))*(INDEX(avoidedcosttbl2,ROUNDUP($H7,0),BS$2)-(INDEX(avoidedcosttbl2,ROUNDDOWN($H7,0),BS$2)))))*'Inputs Yr 2'!P7*'Inputs Yr 2'!Q7*'Inputs Yr 2'!U7,"")</f>
        <v>0</v>
      </c>
      <c r="BT7" s="197">
        <f>IFERROR(($G7*IF('Inputs Yr 2'!$AJ7=BK$4,'Inputs Yr 2'!$AK7,IF('Inputs Yr 2'!$AL7=BK$4,'Inputs Yr 2'!$AM7,IF('Inputs Yr 2'!$AN7=BK$4,'Inputs Yr 2'!$AO7,0))))*(INDEX(avoidedcosttbl2,$H7,BT$2)+(($H7-ROUNDDOWN($H7,0))*(INDEX(avoidedcosttbl2,ROUNDUP($H7,0),BT$2)-(INDEX(avoidedcosttbl2,ROUNDDOWN($H7,0),BT$2)))))*'Inputs Yr 2'!P7*'Inputs Yr 2'!Q7*'Inputs Yr 2'!U7,"")</f>
        <v>105332.80456000214</v>
      </c>
      <c r="BU7" s="197">
        <f>IFERROR(($G7*IF('Inputs Yr 2'!$AJ7=BL$4,'Inputs Yr 2'!$AK7,IF('Inputs Yr 2'!$AL7=BL$4,'Inputs Yr 2'!$AM7,IF('Inputs Yr 2'!$AN7=BL$4,'Inputs Yr 2'!$AO7,0))))*(INDEX(avoidedcosttbl2,$H7,BU$2)+(($H7-ROUNDDOWN($H7,0))*(INDEX(avoidedcosttbl2,ROUNDUP($H7,0),BU$2)-(INDEX(avoidedcosttbl2,ROUNDDOWN($H7,0),BU$2)))))*'Inputs Yr 2'!P7*'Inputs Yr 2'!Q7*'Inputs Yr 2'!U7,"")</f>
        <v>0</v>
      </c>
      <c r="BV7" s="775">
        <f>IFERROR(($G7*IF('Inputs Yr 2'!$AJ7=BJ$4,'Inputs Yr 2'!$AK7,IF('Inputs Yr 2'!$AL7=BJ$4,'Inputs Yr 2'!$AM7,IF('Inputs Yr 2'!$AN7=BJ$4,'Inputs Yr 2'!$AO7,0))))*(INDEX(avoidedcosttbl2,$H7,BV$2)+(($H7-ROUNDDOWN($H7,0))*(INDEX(avoidedcosttbl2,ROUNDUP($H7,0),BV$2)-(INDEX(avoidedcosttbl2,ROUNDDOWN($H7,0),BV$2)))))*'Inputs Yr 2'!P7*'Inputs Yr 2'!Q7*'Inputs Yr 2'!U7,"")</f>
        <v>0</v>
      </c>
      <c r="BW7" s="197">
        <f>IFERROR(($G7*IF('Inputs Yr 2'!$AJ7=BN$4,'Inputs Yr 2'!$AK7,IF('Inputs Yr 2'!$AL7=BN$4,'Inputs Yr 2'!$AM7,IF('Inputs Yr 2'!$AN7=BN$4,'Inputs Yr 2'!$AO7,0))))*(INDEX(avoidedcosttbl2,$H7,BW$2)+(($H7-ROUNDDOWN($H7,0))*(INDEX(avoidedcosttbl2,ROUNDUP($H7,0),BW$2)-(INDEX(avoidedcosttbl2,ROUNDDOWN($H7,0),BW$2)))))*'Inputs Yr 2'!P7*'Inputs Yr 2'!Q7*'Inputs Yr 2'!U7,"")</f>
        <v>0</v>
      </c>
      <c r="BX7" s="197">
        <f>IFERROR(($G7*IF('Inputs Yr 2'!$AJ7=BO$4,'Inputs Yr 2'!$AK7,IF('Inputs Yr 2'!$AL7=BO$4,'Inputs Yr 2'!$AM7,IF('Inputs Yr 2'!$AN7=BO$4,'Inputs Yr 2'!$AO7,0))))*(INDEX(avoidedcosttbl2,$H7,BX$2)+(($H7-ROUNDDOWN($H7,0))*(INDEX(avoidedcosttbl2,ROUNDUP($H7,0),BX$2)-(INDEX(avoidedcosttbl2,ROUNDDOWN($H7,0),BX$2)))))*'Inputs Yr 2'!P7*'Inputs Yr 2'!Q7*'Inputs Yr 2'!U7,"")</f>
        <v>0</v>
      </c>
      <c r="BY7" s="197">
        <f>IFERROR(($G7*IF('Inputs Yr 2'!$AJ7=BP$4,'Inputs Yr 2'!$AK7,IF('Inputs Yr 2'!$AL7=BP$4,'Inputs Yr 2'!$AM7,IF('Inputs Yr 2'!$AN7=BP$4,'Inputs Yr 2'!$AO7,0))))*(INDEX(avoidedcosttbl2,$H7,BY$2)+(($H7-ROUNDDOWN($H7,0))*(INDEX(avoidedcosttbl2,ROUNDUP($H7,0),BY$2)-(INDEX(avoidedcosttbl2,ROUNDDOWN($H7,0),BY$2)))))*'Inputs Yr 2'!P7*'Inputs Yr 2'!Q7*'Inputs Yr 2'!U7,"")</f>
        <v>0</v>
      </c>
      <c r="BZ7" s="193">
        <f t="shared" si="39"/>
        <v>131263.58009948855</v>
      </c>
      <c r="CA7" s="193">
        <f t="shared" si="40"/>
        <v>1664269.6419681795</v>
      </c>
      <c r="CB7" s="195">
        <f>IFERROR(G7*(IF('Inputs Yr 2'!$AJ7=CB$4,'Inputs Yr 2'!$AK7,IF('Inputs Yr 2'!$AL7=CB$4,'Inputs Yr 2'!$AM7,IF('Inputs Yr 2'!$AN7=CB$4,'Inputs Yr 2'!$AO7,0))))*(INDEX(avoidedcosttbl2,$H7,CB$2)+(($H7-ROUNDDOWN($H7,0))*(INDEX(avoidedcosttbl2,ROUNDUP($H7,0),CB$2)-(INDEX(avoidedcosttbl2,ROUNDDOWN($H7,0),CB$2)))))*'Inputs Yr 2'!P7*'Inputs Yr 2'!Q7*'Inputs Yr 2'!U7,"")</f>
        <v>0</v>
      </c>
      <c r="CC7" s="195">
        <f>IFERROR(H7*(IF('Inputs Yr 2'!$AJ7=CC$4,'Inputs Yr 2'!$AK7,IF('Inputs Yr 2'!$AL7=CC$4,'Inputs Yr 2'!$AM7,IF('Inputs Yr 2'!$AN7=CC$4,'Inputs Yr 2'!$AO7,0))))*(INDEX(avoidedcosttbl2,$H7,CC$2)+(($H7-ROUNDDOWN($H7,0))*(INDEX(avoidedcosttbl2,ROUNDUP($H7,0),CC$2)-(INDEX(avoidedcosttbl2,ROUNDDOWN($H7,0),CC$2)))))*'Inputs Yr 2'!Q7*'Inputs Yr 2'!R7*'Inputs Yr 2'!V7,"")</f>
        <v>0</v>
      </c>
      <c r="CD7" s="195">
        <f>IFERROR(I7*(IF('Inputs Yr 2'!$AJ7=CD$4,'Inputs Yr 2'!$AK7,IF('Inputs Yr 2'!$AL7=CD$4,'Inputs Yr 2'!$AM7,IF('Inputs Yr 2'!$AN7=CD$4,'Inputs Yr 2'!$AO7,0))))*(INDEX(avoidedcosttbl2,$H7,CD$2)+(($H7-ROUNDDOWN($H7,0))*(INDEX(avoidedcosttbl2,ROUNDUP($H7,0),CD$2)-(INDEX(avoidedcosttbl2,ROUNDDOWN($H7,0),CD$2)))))*'Inputs Yr 2'!R7*'Inputs Yr 2'!S7*'Inputs Yr 2'!W7,"")</f>
        <v>0</v>
      </c>
      <c r="CE7" s="213">
        <f t="shared" si="41"/>
        <v>0</v>
      </c>
      <c r="CF7" s="213">
        <f t="shared" si="42"/>
        <v>0</v>
      </c>
      <c r="CG7" s="213">
        <f t="shared" si="43"/>
        <v>0</v>
      </c>
      <c r="CH7" s="698">
        <f t="shared" si="44"/>
        <v>1664269.6419681795</v>
      </c>
      <c r="CI7" s="79">
        <f>IFERROR(($G7*'Inputs Yr 2'!$P7*'Inputs Yr 2'!$Q7*(((INDEX(avoidedcosttbl2,$H7,CI$2)+(($H7-ROUNDDOWN($H7,0))*(INDEX(avoidedcosttbl2,ROUNDUP($H7,0),CI$2)-INDEX(avoidedcosttbl2,ROUNDDOWN($H7,0),CI$2))))*'Inputs Yr 2'!AS7))),"")</f>
        <v>0</v>
      </c>
      <c r="CJ7" s="504">
        <f>IFERROR($G7*'Inputs Yr 2'!AT7*'Inputs Yr 2'!$P7*'Inputs Yr 2'!$Q7/((1+realdiscrt1)^-0.5),"")</f>
        <v>0</v>
      </c>
      <c r="CK7" s="79">
        <f>IFERROR((O7*1000*(((INDEX(avoidedcosttbl2,$H7,CK$2)+(($H7-ROUNDDOWN($H7,0))*(INDEX(avoidedcosttbl2,ROUNDUP($H7,0),CK$2)-INDEX(avoidedcosttbl2,ROUNDDOWN($H7,0),CK$2))))*'Inputs Yr 2'!AU7))),"")</f>
        <v>0</v>
      </c>
      <c r="CL7" s="504">
        <f>IFERROR(O7*1000*'Inputs Yr 2'!AV7/((1+realdiscrt1)^-0.5),"")</f>
        <v>0</v>
      </c>
      <c r="CM7" s="79">
        <f>IFERROR((AB7*'Inputs Yr 2'!AW7*(((INDEX(avoidedcosttbl2,$H7,CM$2)+(($H7-ROUNDDOWN($H7,0))*(INDEX(avoidedcosttbl2,ROUNDUP($H7,0),CM$2)-INDEX(avoidedcosttbl2,ROUNDDOWN($H7,0),CM$2)))))))*10,"")</f>
        <v>0</v>
      </c>
      <c r="CN7" s="504">
        <f>IFERROR(10*AB7*'Inputs Yr 2'!AX7/((1+realdiscrt1)^-0.5),"")</f>
        <v>0</v>
      </c>
      <c r="CO7" s="505">
        <f t="shared" si="45"/>
        <v>0</v>
      </c>
      <c r="CP7" s="230">
        <f t="shared" si="46"/>
        <v>1682438.434058686</v>
      </c>
      <c r="CQ7" s="199">
        <f>ROUND(IFERROR(IF(LEFT($A7,1)="C",'Avoided Costs'!$K$13,'Avoided Costs'!$K$12)+1,""),4)</f>
        <v>1.0720000000000001</v>
      </c>
      <c r="CR7" s="199">
        <f>ROUND(IFERROR(IF(LEFT($A7,1)="C",'Avoided Costs'!$L$13,'Avoided Costs'!$L$12)+1,""),4)</f>
        <v>1.04</v>
      </c>
      <c r="CS7" s="199">
        <f>ROUND(IFERROR(IF(LEFT($A7,1)="C",'Avoided Costs'!$M$13,'Avoided Costs'!$M$12)+1,""),4)</f>
        <v>1.0720000000000001</v>
      </c>
      <c r="CT7" s="199">
        <f>ROUND(IFERROR(IF(LEFT($A7,1)="C",'Avoided Costs'!$N$13,'Avoided Costs'!$N$12)+1,""),4)</f>
        <v>1.04</v>
      </c>
      <c r="CU7" s="199">
        <f>ROUND(IFERROR(IF(LEFT($A7,1)="C",'Avoided Costs'!$O$13,'Avoided Costs'!$O$12)+1,""),4)</f>
        <v>1.1120000000000001</v>
      </c>
      <c r="CV7" s="199">
        <f>ROUND(IFERROR(IF(LEFT($A7,1)="C",'Avoided Costs'!$P$13,'Avoided Costs'!$P$12)+1,""),4)</f>
        <v>1.095</v>
      </c>
      <c r="CW7" s="199">
        <f>ROUND(IFERROR(IF(LEFT($A7,1)="C",'Avoided Costs'!$Q$13,'Avoided Costs'!$Q$12)+1,""),4)</f>
        <v>1.1120000000000001</v>
      </c>
      <c r="CX7" s="200">
        <f>ROUND(IFERROR(IF(LEFT($A7,1)="C",'Avoided Costs'!$R$13,'Avoided Costs'!$R$12)+1,""),4)</f>
        <v>1.1120000000000001</v>
      </c>
    </row>
    <row r="8" spans="1:105">
      <c r="A8" s="91" t="str">
        <f>IF('Inputs Yr 2'!$B8=0,"",'Inputs Yr 2'!A8)</f>
        <v>A - Residential</v>
      </c>
      <c r="B8" s="91" t="str">
        <f>IF('Inputs Yr 2'!$B8=0,"",'Inputs Yr 2'!B8)</f>
        <v>A1 - Residential Whole House</v>
      </c>
      <c r="C8" s="91" t="str">
        <f>IF('Inputs Yr 2'!$B8=0,"",'Inputs Yr 2'!C8)</f>
        <v>A1a - Residential New Construction</v>
      </c>
      <c r="D8" s="91" t="str">
        <f>IF('Inputs Yr 2'!$B8=0,"",'Inputs Yr 2'!E8)</f>
        <v>CFL Bulb (Carryover)</v>
      </c>
      <c r="E8" s="93" t="str">
        <f>IF('Inputs Yr 2'!$B8=0,"",'Inputs Yr 2'!F8)</f>
        <v>G16A1a04</v>
      </c>
      <c r="F8" s="93" t="str">
        <f>IF('Inputs Yr 2'!$B8=0,"",'Inputs Yr 2'!G8)</f>
        <v>Lighting</v>
      </c>
      <c r="G8" s="95">
        <f>IF('Inputs Yr 2'!$H8&lt;&gt;0,('Inputs Yr 2'!H8),"")</f>
        <v>17</v>
      </c>
      <c r="H8" s="94">
        <f>IFERROR('Inputs Yr 2'!I8,"")</f>
        <v>5</v>
      </c>
      <c r="I8" s="298">
        <f>IFERROR('Inputs Yr 2'!J8*'Inputs Yr 2'!P8*G8,"")</f>
        <v>0</v>
      </c>
      <c r="J8" s="298">
        <f>IFERROR('Inputs Yr 2'!K8*G8,"")</f>
        <v>0</v>
      </c>
      <c r="K8" s="298">
        <f t="shared" si="23"/>
        <v>0</v>
      </c>
      <c r="L8" s="194">
        <f>IFERROR(('Inputs Yr 2'!W8*G8)/1000,"")</f>
        <v>0.72250000000000003</v>
      </c>
      <c r="M8" s="194">
        <f>IFERROR(L8*('Inputs Yr 2'!$Q8*'Inputs Yr 2'!$V8*'Inputs Yr 2'!$R8),"")</f>
        <v>0.72242775000000004</v>
      </c>
      <c r="N8" s="194">
        <f t="shared" si="24"/>
        <v>3.6121387500000002</v>
      </c>
      <c r="O8" s="194">
        <f>IFERROR(M8*'Inputs Yr 2'!P8,"")</f>
        <v>0.39011098500000002</v>
      </c>
      <c r="P8" s="194">
        <f t="shared" si="25"/>
        <v>1.9505549250000001</v>
      </c>
      <c r="Q8" s="194">
        <f>IFERROR($P8*'Inputs Yr 2'!AA8,"")</f>
        <v>0.83873861775000003</v>
      </c>
      <c r="R8" s="194">
        <f>IFERROR($P8*'Inputs Yr 2'!AB8,"")</f>
        <v>0.46813318199999998</v>
      </c>
      <c r="S8" s="194">
        <f>IFERROR($P8*'Inputs Yr 2'!AC8,"")</f>
        <v>0.40961653425</v>
      </c>
      <c r="T8" s="194">
        <f>IFERROR($P8*'Inputs Yr 2'!AD8,"")</f>
        <v>0.23406659099999999</v>
      </c>
      <c r="U8" s="194">
        <f>IFERROR(G8*'Inputs Yr 2'!$AE8*'Inputs Yr 2'!$P8*'Inputs Yr 2'!$Q8,"")</f>
        <v>0.36352800000000002</v>
      </c>
      <c r="V8" s="194">
        <f>IFERROR($G8*'Inputs Yr 2'!$AE8*'Inputs Yr 2'!$AG8*'Inputs Yr 2'!Q8*'Inputs Yr 2'!$S8,"")</f>
        <v>0.10535580000000001</v>
      </c>
      <c r="W8" s="194">
        <f>IFERROR($G8*'Inputs Yr 2'!$AE8*'Inputs Yr 2'!$AG8*'Inputs Yr 2'!P8*'Inputs Yr 2'!Q8*'Inputs Yr 2'!$S8,"")</f>
        <v>5.6892132000000012E-2</v>
      </c>
      <c r="X8" s="194">
        <f>IFERROR($G8*'Inputs Yr 2'!$AE8*'Inputs Yr 2'!$AF8*'Inputs Yr 2'!Q8*'Inputs Yr 2'!$T8,"")</f>
        <v>0.10569240000000001</v>
      </c>
      <c r="Y8" s="194">
        <f>IFERROR($G8*'Inputs Yr 2'!$AE8*'Inputs Yr 2'!$AF8*'Inputs Yr 2'!P8*'Inputs Yr 2'!Q8*'Inputs Yr 2'!$T8,"")</f>
        <v>5.7073896000000013E-2</v>
      </c>
      <c r="Z8" s="257">
        <f>IFERROR($G8*'Inputs Yr 2'!$Q8*'Inputs Yr 2'!$U8*(IF(IFERROR(SEARCH("NG", 'Inputs Yr 2'!$AJ8),0),'Inputs Yr 2'!$AK8,0)+IF(IFERROR(SEARCH("NG", 'Inputs Yr 2'!$AL8),0),'Inputs Yr 2'!$AM8,0)+IF(IFERROR(SEARCH("NG", 'Inputs Yr 2'!$AN8),0),'Inputs Yr 2'!$AO8,0)),0)</f>
        <v>-0.10198888888888887</v>
      </c>
      <c r="AA8" s="257">
        <f t="shared" si="26"/>
        <v>-0.50994444444444431</v>
      </c>
      <c r="AB8" s="257">
        <f>IFERROR(Z8*'Inputs Yr 2'!$P8,0)</f>
        <v>-5.5073999999999991E-2</v>
      </c>
      <c r="AC8" s="257">
        <f t="shared" si="27"/>
        <v>-0.27536999999999995</v>
      </c>
      <c r="AD8" s="257">
        <f>IFERROR($G8*'Inputs Yr 2'!$Q8*'Inputs Yr 2'!$U8*(IF(IFERROR(SEARCH("Oil", 'Inputs Yr 2'!$AJ8), 0),'Inputs Yr 2'!$AK8,0)+IF(IFERROR(SEARCH("Oil", 'Inputs Yr 2'!$AL8), 0),'Inputs Yr 2'!$AM8,0)+IF(IFERROR(SEARCH("Oil", 'Inputs Yr 2'!$AN8), 0),'Inputs Yr 2'!$AO8,0)),0)</f>
        <v>0</v>
      </c>
      <c r="AE8" s="257">
        <f t="shared" si="28"/>
        <v>0</v>
      </c>
      <c r="AF8" s="257">
        <f>IFERROR(AD8*'Inputs Yr 2'!$P8,0)</f>
        <v>0</v>
      </c>
      <c r="AG8" s="257">
        <f t="shared" si="29"/>
        <v>0</v>
      </c>
      <c r="AH8" s="257">
        <f>IFERROR($G8*'Inputs Yr 2'!$Q8*'Inputs Yr 2'!$U8*(IF('Inputs Yr 2'!$AJ8=CD$4,'Inputs Yr 2'!$AK8,IF('Inputs Yr 2'!$AL8=CD$4,'Inputs Yr 2'!$AM8,IF('Inputs Yr 2'!$AN8=CD$4,'Inputs Yr 2'!$AO8,0)))),0)</f>
        <v>0</v>
      </c>
      <c r="AI8" s="257">
        <f t="shared" si="30"/>
        <v>0</v>
      </c>
      <c r="AJ8" s="257">
        <f>IFERROR(AH8*'Inputs Yr 2'!$P8,0)</f>
        <v>0</v>
      </c>
      <c r="AK8" s="257">
        <f t="shared" si="31"/>
        <v>0</v>
      </c>
      <c r="AL8" s="258">
        <f>IFERROR($G8*'Inputs Yr 2'!$P8*'Inputs Yr 2'!$Q8*'Inputs Yr 2'!AP8,0)</f>
        <v>0</v>
      </c>
      <c r="AM8" s="260">
        <f>IFERROR($G8*'Inputs Yr 2'!$P8*'Inputs Yr 2'!$Q8*'Inputs Yr 2'!AQ8,0)</f>
        <v>0</v>
      </c>
      <c r="AN8" s="258">
        <f>IFERROR($G8*'Inputs Yr 2'!$P8*'Inputs Yr 2'!$Q8*'Inputs Yr 2'!AR8,0)</f>
        <v>0</v>
      </c>
      <c r="AO8" s="257">
        <f t="shared" si="32"/>
        <v>0</v>
      </c>
      <c r="AP8" s="195">
        <f>IFERROR($CQ8*(INDEX(avoidedcosttbl2,$H8,AP$2)+(($H8-ROUNDDOWN($H8,0))*(INDEX(avoidedcosttbl2,ROUNDUP($H8,0),AP$2)-(INDEX(avoidedcosttbl2,ROUNDDOWN($H8,0),AP$2)))))*$O8*1000*'Inputs Yr 2'!AA8,"")</f>
        <v>62.292947630744422</v>
      </c>
      <c r="AQ8" s="195">
        <f>IFERROR($CR8*(INDEX(avoidedcosttbl2,$H8,AQ$2)+(($H8-ROUNDDOWN($H8,0))*(INDEX(avoidedcosttbl2,ROUNDUP($H8,0),AQ$2)-(INDEX(avoidedcosttbl2,ROUNDDOWN($H8,0),AQ$2)))))*$O8*1000*'Inputs Yr 2'!AB8,"")</f>
        <v>31.084167818097587</v>
      </c>
      <c r="AR8" s="195">
        <f>IFERROR($CS8*(INDEX(avoidedcosttbl2,$H8,AR$2)+(($H8-ROUNDDOWN($H8,0))*(INDEX(avoidedcosttbl2,ROUNDUP($H8,0),AR$2)-(INDEX(avoidedcosttbl2,ROUNDDOWN($H8,0),AR$2)))))*$O8*1000*'Inputs Yr 2'!AC8,"")</f>
        <v>27.167178756566074</v>
      </c>
      <c r="AS8" s="195">
        <f>IFERROR($CT8*(INDEX(avoidedcosttbl2,$H8,AS$2)+(($H8-ROUNDDOWN($H8,0))*(INDEX(avoidedcosttbl2,ROUNDUP($H8,0),AS$2)-(INDEX(avoidedcosttbl2,ROUNDDOWN($H8,0),AS$2)))))*$O8*1000*'Inputs Yr 2'!AD8,"")</f>
        <v>12.262678616678429</v>
      </c>
      <c r="AT8" s="196">
        <f t="shared" si="33"/>
        <v>132.80697282208649</v>
      </c>
      <c r="AU8" s="197">
        <f>IFERROR($CQ8*((INDEX(avoidedcosttbl2,$H8,AU$2))+(($H8-ROUNDDOWN($H8,0))*((INDEX(avoidedcosttbl2,ROUNDUP($H8,0),AU$2))-(INDEX(avoidedcosttbl2,ROUNDDOWN($H8,0),AU$2)))))*$O8*1000*'Inputs Yr 2'!AA8,"")</f>
        <v>5.4727126880751786</v>
      </c>
      <c r="AV8" s="197">
        <f>IFERROR($CR8*((INDEX(avoidedcosttbl2,$H8,AV$2))+(($H8-ROUNDDOWN($H8,0))*((INDEX(avoidedcosttbl2,ROUNDUP($H8,0),AV$2))-(INDEX(avoidedcosttbl2,ROUNDDOWN($H8,0),AV$2)))))*$O8*1000*'Inputs Yr 2'!AB8,"")</f>
        <v>1.4695472917908781</v>
      </c>
      <c r="AW8" s="197">
        <f>IFERROR($CS8*((INDEX(avoidedcosttbl2,$H8,AW$2))+(($H8-ROUNDDOWN($H8,0))*((INDEX(avoidedcosttbl2,ROUNDUP($H8,0),AW$2))-(INDEX(avoidedcosttbl2,ROUNDDOWN($H8,0),AW$2)))))*$O8*1000*'Inputs Yr 2'!AC8,"")</f>
        <v>3.1559700137139632</v>
      </c>
      <c r="AX8" s="197">
        <f>IFERROR($CT8*((INDEX(avoidedcosttbl2,$H8,AX$2))+(($H8-ROUNDDOWN($H8,0))*((INDEX(avoidedcosttbl2,ROUNDUP($H8,0),AX$2))-(INDEX(avoidedcosttbl2,ROUNDDOWN($H8,0),AX$2)))))*$O8*1000*'Inputs Yr 2'!AD8,"")</f>
        <v>0.59168875410047828</v>
      </c>
      <c r="AY8" s="197">
        <f>IFERROR(((INDEX(avoidedcosttbl2,$H8,AY$2))+(($H8-ROUNDDOWN($H8,0))*((INDEX(avoidedcosttbl2,ROUNDUP($H8,0),AY$2))-(INDEX(avoidedcosttbl2,ROUNDDOWN($H8,0),AY$2)))))*$O8*1000*('Inputs Yr 2'!AC8+'Inputs Yr 2'!AD8),"")</f>
        <v>4.5387941926913866</v>
      </c>
      <c r="AZ8" s="197">
        <f>IFERROR(((INDEX(avoidedcosttbl2,$H8,AZ$2))+(($H8-ROUNDDOWN($H8,0))*((INDEX(avoidedcosttbl2,ROUNDUP($H8,0),AZ$2))-(INDEX(avoidedcosttbl2,ROUNDDOWN($H8,0),AZ$2)))))*$O8*1000*('Inputs Yr 2'!AA8+'Inputs Yr 2'!AB8),"")</f>
        <v>13.976620427396741</v>
      </c>
      <c r="BA8" s="198">
        <f t="shared" si="34"/>
        <v>29.205333367768624</v>
      </c>
      <c r="BB8" s="198">
        <f t="shared" si="35"/>
        <v>162.01230618985511</v>
      </c>
      <c r="BC8" s="195">
        <f t="shared" si="10"/>
        <v>36.364542259634113</v>
      </c>
      <c r="BD8" s="195">
        <f t="shared" si="11"/>
        <v>0</v>
      </c>
      <c r="BE8" s="195">
        <f t="shared" si="12"/>
        <v>0</v>
      </c>
      <c r="BF8" s="195">
        <f t="shared" si="13"/>
        <v>3.3709807381193877</v>
      </c>
      <c r="BG8" s="195">
        <f t="shared" si="14"/>
        <v>26.458353569060623</v>
      </c>
      <c r="BH8" s="196">
        <f t="shared" si="36"/>
        <v>66.193876566814126</v>
      </c>
      <c r="BI8" s="196">
        <f t="shared" si="37"/>
        <v>228.20618275666925</v>
      </c>
      <c r="BJ8" s="195">
        <f>IFERROR($G8*(IF('Inputs Yr 2'!$AJ8=BJ$4,'Inputs Yr 2'!$AK8,IF('Inputs Yr 2'!$AL8=BJ$4,'Inputs Yr 2'!$AM8,IF('Inputs Yr 2'!$AN8=BJ$4,'Inputs Yr 2'!$AO8,0))))*(INDEX(avoidedcosttbl2,$H8,BJ$2)+(($H8-ROUNDDOWN($H8,0))*(INDEX(avoidedcosttbl2,ROUNDUP($H8,0),BJ$2)-(INDEX(avoidedcosttbl2,ROUNDDOWN($H8,0),BJ$2)))))*'Inputs Yr 2'!P8*'Inputs Yr 2'!Q8*'Inputs Yr 2'!U8,"")</f>
        <v>0</v>
      </c>
      <c r="BK8" s="195">
        <f>IFERROR($G8*(IF('Inputs Yr 2'!$AJ8=BK$4,'Inputs Yr 2'!$AK8,IF('Inputs Yr 2'!$AL8=BK$4,'Inputs Yr 2'!$AM8,IF('Inputs Yr 2'!$AN8=BK$4,'Inputs Yr 2'!$AO8,0))))*(INDEX(avoidedcosttbl2,$H8,BK$2)+(($H8-ROUNDDOWN($H8,0))*(INDEX(avoidedcosttbl2,ROUNDUP($H8,0),BK$2)-(INDEX(avoidedcosttbl2,ROUNDDOWN($H8,0),BK$2)))))*'Inputs Yr 2'!P8*'Inputs Yr 2'!Q8*'Inputs Yr 2'!U8,"")</f>
        <v>0</v>
      </c>
      <c r="BL8" s="195">
        <f>IFERROR($G8*(IF('Inputs Yr 2'!$AJ8=BL$4,'Inputs Yr 2'!$AK8,IF('Inputs Yr 2'!$AL8=BL$4,'Inputs Yr 2'!$AM8,IF('Inputs Yr 2'!$AN8=BL$4,'Inputs Yr 2'!$AO8,0))))*(INDEX(avoidedcosttbl2,$H8,BL$2)+(($H8-ROUNDDOWN($H8,0))*(INDEX(avoidedcosttbl2,ROUNDUP($H8,0),BL$2)-(INDEX(avoidedcosttbl2,ROUNDDOWN($H8,0),BL$2)))))*'Inputs Yr 2'!P8*'Inputs Yr 2'!Q8*'Inputs Yr 2'!U8,"")</f>
        <v>-2.240091157531122</v>
      </c>
      <c r="BM8" s="195">
        <f>IFERROR($G8*(IF('Inputs Yr 2'!$AJ8=BM$4,'Inputs Yr 2'!$AK8,IF('Inputs Yr 2'!$AL8=BM$4,'Inputs Yr 2'!$AM8,IF('Inputs Yr 2'!$AN8=BM$4,'Inputs Yr 2'!$AO8,0))))*(INDEX(avoidedcosttbl2,$H8,BM$2)+(($H8-ROUNDDOWN($H8,0))*(INDEX(avoidedcosttbl2,ROUNDUP($H8,0),BM$2)-(INDEX(avoidedcosttbl2,ROUNDDOWN($H8,0),BM$2)))))*'Inputs Yr 2'!P8*'Inputs Yr 2'!Q8*'Inputs Yr 2'!U8,"")</f>
        <v>0</v>
      </c>
      <c r="BN8" s="195">
        <f>IFERROR($G8*(IF('Inputs Yr 2'!$AJ8=BN$4,'Inputs Yr 2'!$AK8,IF('Inputs Yr 2'!$AL8=BN$4,'Inputs Yr 2'!$AM8,IF('Inputs Yr 2'!$AN8=BN$4,'Inputs Yr 2'!$AO8,0))))*(INDEX(avoidedcosttbl2,$H8,BN$2)+(($H8-ROUNDDOWN($H8,0))*(INDEX(avoidedcosttbl2,ROUNDUP($H8,0),BN$2)-(INDEX(avoidedcosttbl2,ROUNDDOWN($H8,0),BN$2)))))*'Inputs Yr 2'!P8*'Inputs Yr 2'!Q8*'Inputs Yr 2'!U8,"")</f>
        <v>0</v>
      </c>
      <c r="BO8" s="195">
        <f>IFERROR($G8*(IF('Inputs Yr 2'!$AJ8=BO$4,'Inputs Yr 2'!$AK8,IF('Inputs Yr 2'!$AL8=BO$4,'Inputs Yr 2'!$AM8,IF('Inputs Yr 2'!$AN8=BO$4,'Inputs Yr 2'!$AO8,0))))*(INDEX(avoidedcosttbl2,$H8,BO$2)+(($H8-ROUNDDOWN($H8,0))*(INDEX(avoidedcosttbl2,ROUNDUP($H8,0),BO$2)-(INDEX(avoidedcosttbl2,ROUNDDOWN($H8,0),BO$2)))))*'Inputs Yr 2'!P8*'Inputs Yr 2'!Q8*'Inputs Yr 2'!U8,"")</f>
        <v>0</v>
      </c>
      <c r="BP8" s="195">
        <f>IFERROR($G8*(IF('Inputs Yr 2'!$AJ8=BP$4,'Inputs Yr 2'!$AK8,IF('Inputs Yr 2'!$AL8=BP$4,'Inputs Yr 2'!$AM8,IF('Inputs Yr 2'!$AN8=BP$4,'Inputs Yr 2'!$AO8,0))))*(INDEX(avoidedcosttbl2,$H8,BP$2)+(($H8-ROUNDDOWN($H8,0))*(INDEX(avoidedcosttbl2,ROUNDUP($H8,0),BP$2)-(INDEX(avoidedcosttbl2,ROUNDDOWN($H8,0),BP$2)))))*'Inputs Yr 2'!P8*'Inputs Yr 2'!Q8*'Inputs Yr 2'!U8,"")</f>
        <v>0</v>
      </c>
      <c r="BQ8" s="230">
        <f t="shared" si="38"/>
        <v>-2.240091157531122</v>
      </c>
      <c r="BR8" s="197">
        <f t="shared" si="17"/>
        <v>-3.8146436425263885E-2</v>
      </c>
      <c r="BS8" s="197">
        <f>IFERROR(($G8*IF('Inputs Yr 2'!$AJ8=BM$4,'Inputs Yr 2'!$AK8,IF('Inputs Yr 2'!$AL8=BM$4,'Inputs Yr 2'!$AM8,IF('Inputs Yr 2'!$AN8=BM$4,'Inputs Yr 2'!$AO8,0))))*(INDEX(avoidedcosttbl2,$H8,BS$2)+(($H8-ROUNDDOWN($H8,0))*(INDEX(avoidedcosttbl2,ROUNDUP($H8,0),BS$2)-(INDEX(avoidedcosttbl2,ROUNDDOWN($H8,0),BS$2)))))*'Inputs Yr 2'!P8*'Inputs Yr 2'!Q8*'Inputs Yr 2'!U8,"")</f>
        <v>0</v>
      </c>
      <c r="BT8" s="197">
        <f>IFERROR(($G8*IF('Inputs Yr 2'!$AJ8=BK$4,'Inputs Yr 2'!$AK8,IF('Inputs Yr 2'!$AL8=BK$4,'Inputs Yr 2'!$AM8,IF('Inputs Yr 2'!$AN8=BK$4,'Inputs Yr 2'!$AO8,0))))*(INDEX(avoidedcosttbl2,$H8,BT$2)+(($H8-ROUNDDOWN($H8,0))*(INDEX(avoidedcosttbl2,ROUNDUP($H8,0),BT$2)-(INDEX(avoidedcosttbl2,ROUNDDOWN($H8,0),BT$2)))))*'Inputs Yr 2'!P8*'Inputs Yr 2'!Q8*'Inputs Yr 2'!U8,"")</f>
        <v>0</v>
      </c>
      <c r="BU8" s="197">
        <f>IFERROR(($G8*IF('Inputs Yr 2'!$AJ8=BL$4,'Inputs Yr 2'!$AK8,IF('Inputs Yr 2'!$AL8=BL$4,'Inputs Yr 2'!$AM8,IF('Inputs Yr 2'!$AN8=BL$4,'Inputs Yr 2'!$AO8,0))))*(INDEX(avoidedcosttbl2,$H8,BU$2)+(($H8-ROUNDDOWN($H8,0))*(INDEX(avoidedcosttbl2,ROUNDUP($H8,0),BU$2)-(INDEX(avoidedcosttbl2,ROUNDDOWN($H8,0),BU$2)))))*'Inputs Yr 2'!P8*'Inputs Yr 2'!Q8*'Inputs Yr 2'!U8,"")</f>
        <v>-0.38082897854065467</v>
      </c>
      <c r="BV8" s="775">
        <f>IFERROR(($G8*IF('Inputs Yr 2'!$AJ8=BJ$4,'Inputs Yr 2'!$AK8,IF('Inputs Yr 2'!$AL8=BJ$4,'Inputs Yr 2'!$AM8,IF('Inputs Yr 2'!$AN8=BJ$4,'Inputs Yr 2'!$AO8,0))))*(INDEX(avoidedcosttbl2,$H8,BV$2)+(($H8-ROUNDDOWN($H8,0))*(INDEX(avoidedcosttbl2,ROUNDUP($H8,0),BV$2)-(INDEX(avoidedcosttbl2,ROUNDDOWN($H8,0),BV$2)))))*'Inputs Yr 2'!P8*'Inputs Yr 2'!Q8*'Inputs Yr 2'!U8,"")</f>
        <v>0</v>
      </c>
      <c r="BW8" s="197">
        <f>IFERROR(($G8*IF('Inputs Yr 2'!$AJ8=BN$4,'Inputs Yr 2'!$AK8,IF('Inputs Yr 2'!$AL8=BN$4,'Inputs Yr 2'!$AM8,IF('Inputs Yr 2'!$AN8=BN$4,'Inputs Yr 2'!$AO8,0))))*(INDEX(avoidedcosttbl2,$H8,BW$2)+(($H8-ROUNDDOWN($H8,0))*(INDEX(avoidedcosttbl2,ROUNDUP($H8,0),BW$2)-(INDEX(avoidedcosttbl2,ROUNDDOWN($H8,0),BW$2)))))*'Inputs Yr 2'!P8*'Inputs Yr 2'!Q8*'Inputs Yr 2'!U8,"")</f>
        <v>0</v>
      </c>
      <c r="BX8" s="197">
        <f>IFERROR(($G8*IF('Inputs Yr 2'!$AJ8=BO$4,'Inputs Yr 2'!$AK8,IF('Inputs Yr 2'!$AL8=BO$4,'Inputs Yr 2'!$AM8,IF('Inputs Yr 2'!$AN8=BO$4,'Inputs Yr 2'!$AO8,0))))*(INDEX(avoidedcosttbl2,$H8,BX$2)+(($H8-ROUNDDOWN($H8,0))*(INDEX(avoidedcosttbl2,ROUNDUP($H8,0),BX$2)-(INDEX(avoidedcosttbl2,ROUNDDOWN($H8,0),BX$2)))))*'Inputs Yr 2'!P8*'Inputs Yr 2'!Q8*'Inputs Yr 2'!U8,"")</f>
        <v>0</v>
      </c>
      <c r="BY8" s="197">
        <f>IFERROR(($G8*IF('Inputs Yr 2'!$AJ8=BP$4,'Inputs Yr 2'!$AK8,IF('Inputs Yr 2'!$AL8=BP$4,'Inputs Yr 2'!$AM8,IF('Inputs Yr 2'!$AN8=BP$4,'Inputs Yr 2'!$AO8,0))))*(INDEX(avoidedcosttbl2,$H8,BY$2)+(($H8-ROUNDDOWN($H8,0))*(INDEX(avoidedcosttbl2,ROUNDUP($H8,0),BY$2)-(INDEX(avoidedcosttbl2,ROUNDDOWN($H8,0),BY$2)))))*'Inputs Yr 2'!P8*'Inputs Yr 2'!Q8*'Inputs Yr 2'!U8,"")</f>
        <v>0</v>
      </c>
      <c r="BZ8" s="193">
        <f t="shared" si="39"/>
        <v>-0.41897541496591856</v>
      </c>
      <c r="CA8" s="193">
        <f t="shared" si="40"/>
        <v>-2.6590665724970406</v>
      </c>
      <c r="CB8" s="195">
        <f>IFERROR(G8*(IF('Inputs Yr 2'!$AJ8=CB$4,'Inputs Yr 2'!$AK8,IF('Inputs Yr 2'!$AL8=CB$4,'Inputs Yr 2'!$AM8,IF('Inputs Yr 2'!$AN8=CB$4,'Inputs Yr 2'!$AO8,0))))*(INDEX(avoidedcosttbl2,$H8,CB$2)+(($H8-ROUNDDOWN($H8,0))*(INDEX(avoidedcosttbl2,ROUNDUP($H8,0),CB$2)-(INDEX(avoidedcosttbl2,ROUNDDOWN($H8,0),CB$2)))))*'Inputs Yr 2'!P8*'Inputs Yr 2'!Q8*'Inputs Yr 2'!U8,"")</f>
        <v>0</v>
      </c>
      <c r="CC8" s="195">
        <f>IFERROR(H8*(IF('Inputs Yr 2'!$AJ8=CC$4,'Inputs Yr 2'!$AK8,IF('Inputs Yr 2'!$AL8=CC$4,'Inputs Yr 2'!$AM8,IF('Inputs Yr 2'!$AN8=CC$4,'Inputs Yr 2'!$AO8,0))))*(INDEX(avoidedcosttbl2,$H8,CC$2)+(($H8-ROUNDDOWN($H8,0))*(INDEX(avoidedcosttbl2,ROUNDUP($H8,0),CC$2)-(INDEX(avoidedcosttbl2,ROUNDDOWN($H8,0),CC$2)))))*'Inputs Yr 2'!Q8*'Inputs Yr 2'!R8*'Inputs Yr 2'!V8,"")</f>
        <v>0</v>
      </c>
      <c r="CD8" s="195">
        <f>IFERROR(I8*(IF('Inputs Yr 2'!$AJ8=CD$4,'Inputs Yr 2'!$AK8,IF('Inputs Yr 2'!$AL8=CD$4,'Inputs Yr 2'!$AM8,IF('Inputs Yr 2'!$AN8=CD$4,'Inputs Yr 2'!$AO8,0))))*(INDEX(avoidedcosttbl2,$H8,CD$2)+(($H8-ROUNDDOWN($H8,0))*(INDEX(avoidedcosttbl2,ROUNDUP($H8,0),CD$2)-(INDEX(avoidedcosttbl2,ROUNDDOWN($H8,0),CD$2)))))*'Inputs Yr 2'!R8*'Inputs Yr 2'!S8*'Inputs Yr 2'!W8,"")</f>
        <v>0</v>
      </c>
      <c r="CE8" s="213">
        <f t="shared" si="41"/>
        <v>0</v>
      </c>
      <c r="CF8" s="213">
        <f t="shared" si="42"/>
        <v>0</v>
      </c>
      <c r="CG8" s="213">
        <f t="shared" si="43"/>
        <v>0</v>
      </c>
      <c r="CH8" s="698">
        <f t="shared" si="44"/>
        <v>-2.6590665724970406</v>
      </c>
      <c r="CI8" s="79">
        <f>IFERROR(($G8*'Inputs Yr 2'!$P8*'Inputs Yr 2'!$Q8*(((INDEX(avoidedcosttbl2,$H8,CI$2)+(($H8-ROUNDDOWN($H8,0))*(INDEX(avoidedcosttbl2,ROUNDUP($H8,0),CI$2)-INDEX(avoidedcosttbl2,ROUNDDOWN($H8,0),CI$2))))*'Inputs Yr 2'!AS8))),"")</f>
        <v>0</v>
      </c>
      <c r="CJ8" s="504">
        <f>IFERROR($G8*'Inputs Yr 2'!AT8*'Inputs Yr 2'!$P8*'Inputs Yr 2'!$Q8/((1+realdiscrt1)^-0.5),"")</f>
        <v>27.324516284426775</v>
      </c>
      <c r="CK8" s="79">
        <f>IFERROR((O8*1000*(((INDEX(avoidedcosttbl2,$H8,CK$2)+(($H8-ROUNDDOWN($H8,0))*(INDEX(avoidedcosttbl2,ROUNDUP($H8,0),CK$2)-INDEX(avoidedcosttbl2,ROUNDDOWN($H8,0),CK$2))))*'Inputs Yr 2'!AU8))),"")</f>
        <v>0</v>
      </c>
      <c r="CL8" s="504">
        <f>IFERROR(O8*1000*'Inputs Yr 2'!AV8/((1+realdiscrt1)^-0.5),"")</f>
        <v>0</v>
      </c>
      <c r="CM8" s="79">
        <f>IFERROR((AB8*'Inputs Yr 2'!AW8*(((INDEX(avoidedcosttbl2,$H8,CM$2)+(($H8-ROUNDDOWN($H8,0))*(INDEX(avoidedcosttbl2,ROUNDUP($H8,0),CM$2)-INDEX(avoidedcosttbl2,ROUNDDOWN($H8,0),CM$2)))))))*10,"")</f>
        <v>0</v>
      </c>
      <c r="CN8" s="504">
        <f>IFERROR(10*AB8*'Inputs Yr 2'!AX8/((1+realdiscrt1)^-0.5),"")</f>
        <v>0</v>
      </c>
      <c r="CO8" s="505">
        <f t="shared" si="45"/>
        <v>27.324516284426775</v>
      </c>
      <c r="CP8" s="230">
        <f t="shared" si="46"/>
        <v>252.87163246859899</v>
      </c>
      <c r="CQ8" s="199">
        <f>ROUND(IFERROR(IF(LEFT($A8,1)="C",'Avoided Costs'!$K$13,'Avoided Costs'!$K$12)+1,""),4)</f>
        <v>1.0720000000000001</v>
      </c>
      <c r="CR8" s="199">
        <f>ROUND(IFERROR(IF(LEFT($A8,1)="C",'Avoided Costs'!$L$13,'Avoided Costs'!$L$12)+1,""),4)</f>
        <v>1.04</v>
      </c>
      <c r="CS8" s="199">
        <f>ROUND(IFERROR(IF(LEFT($A8,1)="C",'Avoided Costs'!$M$13,'Avoided Costs'!$M$12)+1,""),4)</f>
        <v>1.0720000000000001</v>
      </c>
      <c r="CT8" s="199">
        <f>ROUND(IFERROR(IF(LEFT($A8,1)="C",'Avoided Costs'!$N$13,'Avoided Costs'!$N$12)+1,""),4)</f>
        <v>1.04</v>
      </c>
      <c r="CU8" s="199">
        <f>ROUND(IFERROR(IF(LEFT($A8,1)="C",'Avoided Costs'!$O$13,'Avoided Costs'!$O$12)+1,""),4)</f>
        <v>1.1120000000000001</v>
      </c>
      <c r="CV8" s="199">
        <f>ROUND(IFERROR(IF(LEFT($A8,1)="C",'Avoided Costs'!$P$13,'Avoided Costs'!$P$12)+1,""),4)</f>
        <v>1.095</v>
      </c>
      <c r="CW8" s="199">
        <f>ROUND(IFERROR(IF(LEFT($A8,1)="C",'Avoided Costs'!$Q$13,'Avoided Costs'!$Q$12)+1,""),4)</f>
        <v>1.1120000000000001</v>
      </c>
      <c r="CX8" s="200">
        <f>ROUND(IFERROR(IF(LEFT($A8,1)="C",'Avoided Costs'!$R$13,'Avoided Costs'!$R$12)+1,""),4)</f>
        <v>1.1120000000000001</v>
      </c>
    </row>
    <row r="9" spans="1:105">
      <c r="A9" s="91" t="str">
        <f>IF('Inputs Yr 2'!$B9=0,"",'Inputs Yr 2'!A9)</f>
        <v>A - Residential</v>
      </c>
      <c r="B9" s="91" t="str">
        <f>IF('Inputs Yr 2'!$B9=0,"",'Inputs Yr 2'!B9)</f>
        <v>A1 - Residential Whole House</v>
      </c>
      <c r="C9" s="91" t="str">
        <f>IF('Inputs Yr 2'!$B9=0,"",'Inputs Yr 2'!C9)</f>
        <v>A1a - Residential New Construction</v>
      </c>
      <c r="D9" s="91" t="str">
        <f>IF('Inputs Yr 2'!$B9=0,"",'Inputs Yr 2'!E9)</f>
        <v>LED Bulb</v>
      </c>
      <c r="E9" s="93" t="str">
        <f>IF('Inputs Yr 2'!$B9=0,"",'Inputs Yr 2'!F9)</f>
        <v>G17A1a05</v>
      </c>
      <c r="F9" s="93" t="str">
        <f>IF('Inputs Yr 2'!$B9=0,"",'Inputs Yr 2'!G9)</f>
        <v>Lighting</v>
      </c>
      <c r="G9" s="95">
        <f>IF('Inputs Yr 2'!$H9&lt;&gt;0,('Inputs Yr 2'!H9),"")</f>
        <v>20603</v>
      </c>
      <c r="H9" s="94">
        <f>IFERROR('Inputs Yr 2'!I9,"")</f>
        <v>7</v>
      </c>
      <c r="I9" s="298">
        <f>IFERROR('Inputs Yr 2'!J9*'Inputs Yr 2'!P9*G9,"")</f>
        <v>0</v>
      </c>
      <c r="J9" s="298">
        <f>IFERROR('Inputs Yr 2'!K9*G9,"")</f>
        <v>0</v>
      </c>
      <c r="K9" s="298">
        <f t="shared" si="23"/>
        <v>0</v>
      </c>
      <c r="L9" s="194">
        <f>IFERROR(('Inputs Yr 2'!W9*G9)/1000,"")</f>
        <v>642.81359999999995</v>
      </c>
      <c r="M9" s="194">
        <f>IFERROR(L9*('Inputs Yr 2'!$Q9*'Inputs Yr 2'!$V9*'Inputs Yr 2'!$R9),"")</f>
        <v>597.81664799999999</v>
      </c>
      <c r="N9" s="194">
        <f t="shared" si="24"/>
        <v>4184.7165359999999</v>
      </c>
      <c r="O9" s="194">
        <f>IFERROR(M9*'Inputs Yr 2'!P9,"")</f>
        <v>478.25331840000001</v>
      </c>
      <c r="P9" s="194">
        <f t="shared" si="25"/>
        <v>3347.7732288000002</v>
      </c>
      <c r="Q9" s="194">
        <f>IFERROR($P9*'Inputs Yr 2'!AA9,"")</f>
        <v>1439.5424883840001</v>
      </c>
      <c r="R9" s="194">
        <f>IFERROR($P9*'Inputs Yr 2'!AB9,"")</f>
        <v>803.46557491199997</v>
      </c>
      <c r="S9" s="194">
        <f>IFERROR($P9*'Inputs Yr 2'!AC9,"")</f>
        <v>703.03237804800006</v>
      </c>
      <c r="T9" s="194">
        <f>IFERROR($P9*'Inputs Yr 2'!AD9,"")</f>
        <v>401.73278745599998</v>
      </c>
      <c r="U9" s="194">
        <f>IFERROR(G9*'Inputs Yr 2'!$AE9*'Inputs Yr 2'!$P9*'Inputs Yr 2'!$Q9,"")</f>
        <v>494.47200000000004</v>
      </c>
      <c r="V9" s="194">
        <f>IFERROR($G9*'Inputs Yr 2'!$AE9*'Inputs Yr 2'!$AG9*'Inputs Yr 2'!Q9*'Inputs Yr 2'!$S9,"")</f>
        <v>89.959909050000007</v>
      </c>
      <c r="W9" s="194">
        <f>IFERROR($G9*'Inputs Yr 2'!$AE9*'Inputs Yr 2'!$AG9*'Inputs Yr 2'!P9*'Inputs Yr 2'!Q9*'Inputs Yr 2'!$S9,"")</f>
        <v>71.967927240000009</v>
      </c>
      <c r="X9" s="194">
        <f>IFERROR($G9*'Inputs Yr 2'!$AE9*'Inputs Yr 2'!$AF9*'Inputs Yr 2'!Q9*'Inputs Yr 2'!$T9,"")</f>
        <v>90.247320900000005</v>
      </c>
      <c r="Y9" s="194">
        <f>IFERROR($G9*'Inputs Yr 2'!$AE9*'Inputs Yr 2'!$AF9*'Inputs Yr 2'!P9*'Inputs Yr 2'!Q9*'Inputs Yr 2'!$T9,"")</f>
        <v>72.197856720000019</v>
      </c>
      <c r="Z9" s="257">
        <f>IFERROR($G9*'Inputs Yr 2'!$Q9*'Inputs Yr 2'!$U9*(IF(IFERROR(SEARCH("NG", 'Inputs Yr 2'!$AJ9),0),'Inputs Yr 2'!$AK9,0)+IF(IFERROR(SEARCH("NG", 'Inputs Yr 2'!$AL9),0),'Inputs Yr 2'!$AM9,0)+IF(IFERROR(SEARCH("NG", 'Inputs Yr 2'!$AN9),0),'Inputs Yr 2'!$AO9,0)),0)</f>
        <v>-95.803949999999986</v>
      </c>
      <c r="AA9" s="257">
        <f t="shared" si="26"/>
        <v>-670.6276499999999</v>
      </c>
      <c r="AB9" s="257">
        <f>IFERROR(Z9*'Inputs Yr 2'!$P9,0)</f>
        <v>-76.643159999999995</v>
      </c>
      <c r="AC9" s="257">
        <f t="shared" si="27"/>
        <v>-536.50211999999999</v>
      </c>
      <c r="AD9" s="257">
        <f>IFERROR($G9*'Inputs Yr 2'!$Q9*'Inputs Yr 2'!$U9*(IF(IFERROR(SEARCH("Oil", 'Inputs Yr 2'!$AJ9), 0),'Inputs Yr 2'!$AK9,0)+IF(IFERROR(SEARCH("Oil", 'Inputs Yr 2'!$AL9), 0),'Inputs Yr 2'!$AM9,0)+IF(IFERROR(SEARCH("Oil", 'Inputs Yr 2'!$AN9), 0),'Inputs Yr 2'!$AO9,0)),0)</f>
        <v>0</v>
      </c>
      <c r="AE9" s="257">
        <f t="shared" si="28"/>
        <v>0</v>
      </c>
      <c r="AF9" s="257">
        <f>IFERROR(AD9*'Inputs Yr 2'!$P9,0)</f>
        <v>0</v>
      </c>
      <c r="AG9" s="257">
        <f t="shared" si="29"/>
        <v>0</v>
      </c>
      <c r="AH9" s="257">
        <f>IFERROR($G9*'Inputs Yr 2'!$Q9*'Inputs Yr 2'!$U9*(IF('Inputs Yr 2'!$AJ9=CD$4,'Inputs Yr 2'!$AK9,IF('Inputs Yr 2'!$AL9=CD$4,'Inputs Yr 2'!$AM9,IF('Inputs Yr 2'!$AN9=CD$4,'Inputs Yr 2'!$AO9,0)))),0)</f>
        <v>0</v>
      </c>
      <c r="AI9" s="257">
        <f t="shared" si="30"/>
        <v>0</v>
      </c>
      <c r="AJ9" s="257">
        <f>IFERROR(AH9*'Inputs Yr 2'!$P9,0)</f>
        <v>0</v>
      </c>
      <c r="AK9" s="257">
        <f t="shared" si="31"/>
        <v>0</v>
      </c>
      <c r="AL9" s="258">
        <f>IFERROR($G9*'Inputs Yr 2'!$P9*'Inputs Yr 2'!$Q9*'Inputs Yr 2'!AP9,0)</f>
        <v>0</v>
      </c>
      <c r="AM9" s="260">
        <f>IFERROR($G9*'Inputs Yr 2'!$P9*'Inputs Yr 2'!$Q9*'Inputs Yr 2'!AQ9,0)</f>
        <v>0</v>
      </c>
      <c r="AN9" s="258">
        <f>IFERROR($G9*'Inputs Yr 2'!$P9*'Inputs Yr 2'!$Q9*'Inputs Yr 2'!AR9,0)</f>
        <v>0</v>
      </c>
      <c r="AO9" s="257">
        <f t="shared" si="32"/>
        <v>0</v>
      </c>
      <c r="AP9" s="195">
        <f>IFERROR($CQ9*(INDEX(avoidedcosttbl2,$H9,AP$2)+(($H9-ROUNDDOWN($H9,0))*(INDEX(avoidedcosttbl2,ROUNDUP($H9,0),AP$2)-(INDEX(avoidedcosttbl2,ROUNDDOWN($H9,0),AP$2)))))*$O9*1000*'Inputs Yr 2'!AA9,"")</f>
        <v>108443.442046703</v>
      </c>
      <c r="AQ9" s="195">
        <f>IFERROR($CR9*(INDEX(avoidedcosttbl2,$H9,AQ$2)+(($H9-ROUNDDOWN($H9,0))*(INDEX(avoidedcosttbl2,ROUNDUP($H9,0),AQ$2)-(INDEX(avoidedcosttbl2,ROUNDDOWN($H9,0),AQ$2)))))*$O9*1000*'Inputs Yr 2'!AB9,"")</f>
        <v>54136.010074024736</v>
      </c>
      <c r="AR9" s="195">
        <f>IFERROR($CS9*(INDEX(avoidedcosttbl2,$H9,AR$2)+(($H9-ROUNDDOWN($H9,0))*(INDEX(avoidedcosttbl2,ROUNDUP($H9,0),AR$2)-(INDEX(avoidedcosttbl2,ROUNDDOWN($H9,0),AR$2)))))*$O9*1000*'Inputs Yr 2'!AC9,"")</f>
        <v>48375.614237202957</v>
      </c>
      <c r="AS9" s="195">
        <f>IFERROR($CT9*(INDEX(avoidedcosttbl2,$H9,AS$2)+(($H9-ROUNDDOWN($H9,0))*(INDEX(avoidedcosttbl2,ROUNDUP($H9,0),AS$2)-(INDEX(avoidedcosttbl2,ROUNDDOWN($H9,0),AS$2)))))*$O9*1000*'Inputs Yr 2'!AD9,"")</f>
        <v>21855.868103156648</v>
      </c>
      <c r="AT9" s="196">
        <f t="shared" si="33"/>
        <v>232810.93446108737</v>
      </c>
      <c r="AU9" s="197">
        <f>IFERROR($CQ9*((INDEX(avoidedcosttbl2,$H9,AU$2))+(($H9-ROUNDDOWN($H9,0))*((INDEX(avoidedcosttbl2,ROUNDUP($H9,0),AU$2))-(INDEX(avoidedcosttbl2,ROUNDDOWN($H9,0),AU$2)))))*$O9*1000*'Inputs Yr 2'!AA9,"")</f>
        <v>6709.2266159122337</v>
      </c>
      <c r="AV9" s="197">
        <f>IFERROR($CR9*((INDEX(avoidedcosttbl2,$H9,AV$2))+(($H9-ROUNDDOWN($H9,0))*((INDEX(avoidedcosttbl2,ROUNDUP($H9,0),AV$2))-(INDEX(avoidedcosttbl2,ROUNDDOWN($H9,0),AV$2)))))*$O9*1000*'Inputs Yr 2'!AB9,"")</f>
        <v>1801.5792835075397</v>
      </c>
      <c r="AW9" s="197">
        <f>IFERROR($CS9*((INDEX(avoidedcosttbl2,$H9,AW$2))+(($H9-ROUNDDOWN($H9,0))*((INDEX(avoidedcosttbl2,ROUNDUP($H9,0),AW$2))-(INDEX(avoidedcosttbl2,ROUNDDOWN($H9,0),AW$2)))))*$O9*1000*'Inputs Yr 2'!AC9,"")</f>
        <v>3869.0351973287716</v>
      </c>
      <c r="AX9" s="197">
        <f>IFERROR($CT9*((INDEX(avoidedcosttbl2,$H9,AX$2))+(($H9-ROUNDDOWN($H9,0))*((INDEX(avoidedcosttbl2,ROUNDUP($H9,0),AX$2))-(INDEX(avoidedcosttbl2,ROUNDDOWN($H9,0),AX$2)))))*$O9*1000*'Inputs Yr 2'!AD9,"")</f>
        <v>725.37590836750041</v>
      </c>
      <c r="AY9" s="197">
        <f>IFERROR(((INDEX(avoidedcosttbl2,$H9,AY$2))+(($H9-ROUNDDOWN($H9,0))*((INDEX(avoidedcosttbl2,ROUNDUP($H9,0),AY$2))-(INDEX(avoidedcosttbl2,ROUNDDOWN($H9,0),AY$2)))))*$O9*1000*('Inputs Yr 2'!AC9+'Inputs Yr 2'!AD9),"")</f>
        <v>5947.6169104373475</v>
      </c>
      <c r="AZ9" s="197">
        <f>IFERROR(((INDEX(avoidedcosttbl2,$H9,AZ$2))+(($H9-ROUNDDOWN($H9,0))*((INDEX(avoidedcosttbl2,ROUNDUP($H9,0),AZ$2))-(INDEX(avoidedcosttbl2,ROUNDDOWN($H9,0),AZ$2)))))*$O9*1000*('Inputs Yr 2'!AA9+'Inputs Yr 2'!AB9),"")</f>
        <v>17970.13293863802</v>
      </c>
      <c r="BA9" s="198">
        <f t="shared" si="34"/>
        <v>37022.966854191414</v>
      </c>
      <c r="BB9" s="198">
        <f t="shared" si="35"/>
        <v>269833.90131527878</v>
      </c>
      <c r="BC9" s="195">
        <f t="shared" si="10"/>
        <v>73569.001994573468</v>
      </c>
      <c r="BD9" s="195">
        <f t="shared" si="11"/>
        <v>0</v>
      </c>
      <c r="BE9" s="195">
        <f t="shared" si="12"/>
        <v>0</v>
      </c>
      <c r="BF9" s="195">
        <f t="shared" si="13"/>
        <v>5943.9173133161012</v>
      </c>
      <c r="BG9" s="195">
        <f t="shared" si="14"/>
        <v>46652.970775713911</v>
      </c>
      <c r="BH9" s="196">
        <f t="shared" si="36"/>
        <v>126165.89008360347</v>
      </c>
      <c r="BI9" s="196">
        <f t="shared" si="37"/>
        <v>395999.79139888228</v>
      </c>
      <c r="BJ9" s="195">
        <f>IFERROR($G9*(IF('Inputs Yr 2'!$AJ9=BJ$4,'Inputs Yr 2'!$AK9,IF('Inputs Yr 2'!$AL9=BJ$4,'Inputs Yr 2'!$AM9,IF('Inputs Yr 2'!$AN9=BJ$4,'Inputs Yr 2'!$AO9,0))))*(INDEX(avoidedcosttbl2,$H9,BJ$2)+(($H9-ROUNDDOWN($H9,0))*(INDEX(avoidedcosttbl2,ROUNDUP($H9,0),BJ$2)-(INDEX(avoidedcosttbl2,ROUNDDOWN($H9,0),BJ$2)))))*'Inputs Yr 2'!P9*'Inputs Yr 2'!Q9*'Inputs Yr 2'!U9,"")</f>
        <v>0</v>
      </c>
      <c r="BK9" s="195">
        <f>IFERROR($G9*(IF('Inputs Yr 2'!$AJ9=BK$4,'Inputs Yr 2'!$AK9,IF('Inputs Yr 2'!$AL9=BK$4,'Inputs Yr 2'!$AM9,IF('Inputs Yr 2'!$AN9=BK$4,'Inputs Yr 2'!$AO9,0))))*(INDEX(avoidedcosttbl2,$H9,BK$2)+(($H9-ROUNDDOWN($H9,0))*(INDEX(avoidedcosttbl2,ROUNDUP($H9,0),BK$2)-(INDEX(avoidedcosttbl2,ROUNDDOWN($H9,0),BK$2)))))*'Inputs Yr 2'!P9*'Inputs Yr 2'!Q9*'Inputs Yr 2'!U9,"")</f>
        <v>0</v>
      </c>
      <c r="BL9" s="195">
        <f>IFERROR($G9*(IF('Inputs Yr 2'!$AJ9=BL$4,'Inputs Yr 2'!$AK9,IF('Inputs Yr 2'!$AL9=BL$4,'Inputs Yr 2'!$AM9,IF('Inputs Yr 2'!$AN9=BL$4,'Inputs Yr 2'!$AO9,0))))*(INDEX(avoidedcosttbl2,$H9,BL$2)+(($H9-ROUNDDOWN($H9,0))*(INDEX(avoidedcosttbl2,ROUNDUP($H9,0),BL$2)-(INDEX(avoidedcosttbl2,ROUNDDOWN($H9,0),BL$2)))))*'Inputs Yr 2'!P9*'Inputs Yr 2'!Q9*'Inputs Yr 2'!U9,"")</f>
        <v>-4373.3152961377637</v>
      </c>
      <c r="BM9" s="195">
        <f>IFERROR($G9*(IF('Inputs Yr 2'!$AJ9=BM$4,'Inputs Yr 2'!$AK9,IF('Inputs Yr 2'!$AL9=BM$4,'Inputs Yr 2'!$AM9,IF('Inputs Yr 2'!$AN9=BM$4,'Inputs Yr 2'!$AO9,0))))*(INDEX(avoidedcosttbl2,$H9,BM$2)+(($H9-ROUNDDOWN($H9,0))*(INDEX(avoidedcosttbl2,ROUNDUP($H9,0),BM$2)-(INDEX(avoidedcosttbl2,ROUNDDOWN($H9,0),BM$2)))))*'Inputs Yr 2'!P9*'Inputs Yr 2'!Q9*'Inputs Yr 2'!U9,"")</f>
        <v>0</v>
      </c>
      <c r="BN9" s="195">
        <f>IFERROR($G9*(IF('Inputs Yr 2'!$AJ9=BN$4,'Inputs Yr 2'!$AK9,IF('Inputs Yr 2'!$AL9=BN$4,'Inputs Yr 2'!$AM9,IF('Inputs Yr 2'!$AN9=BN$4,'Inputs Yr 2'!$AO9,0))))*(INDEX(avoidedcosttbl2,$H9,BN$2)+(($H9-ROUNDDOWN($H9,0))*(INDEX(avoidedcosttbl2,ROUNDUP($H9,0),BN$2)-(INDEX(avoidedcosttbl2,ROUNDDOWN($H9,0),BN$2)))))*'Inputs Yr 2'!P9*'Inputs Yr 2'!Q9*'Inputs Yr 2'!U9,"")</f>
        <v>0</v>
      </c>
      <c r="BO9" s="195">
        <f>IFERROR($G9*(IF('Inputs Yr 2'!$AJ9=BO$4,'Inputs Yr 2'!$AK9,IF('Inputs Yr 2'!$AL9=BO$4,'Inputs Yr 2'!$AM9,IF('Inputs Yr 2'!$AN9=BO$4,'Inputs Yr 2'!$AO9,0))))*(INDEX(avoidedcosttbl2,$H9,BO$2)+(($H9-ROUNDDOWN($H9,0))*(INDEX(avoidedcosttbl2,ROUNDUP($H9,0),BO$2)-(INDEX(avoidedcosttbl2,ROUNDDOWN($H9,0),BO$2)))))*'Inputs Yr 2'!P9*'Inputs Yr 2'!Q9*'Inputs Yr 2'!U9,"")</f>
        <v>0</v>
      </c>
      <c r="BP9" s="195">
        <f>IFERROR($G9*(IF('Inputs Yr 2'!$AJ9=BP$4,'Inputs Yr 2'!$AK9,IF('Inputs Yr 2'!$AL9=BP$4,'Inputs Yr 2'!$AM9,IF('Inputs Yr 2'!$AN9=BP$4,'Inputs Yr 2'!$AO9,0))))*(INDEX(avoidedcosttbl2,$H9,BP$2)+(($H9-ROUNDDOWN($H9,0))*(INDEX(avoidedcosttbl2,ROUNDUP($H9,0),BP$2)-(INDEX(avoidedcosttbl2,ROUNDDOWN($H9,0),BP$2)))))*'Inputs Yr 2'!P9*'Inputs Yr 2'!Q9*'Inputs Yr 2'!U9,"")</f>
        <v>0</v>
      </c>
      <c r="BQ9" s="230">
        <f t="shared" si="38"/>
        <v>-4373.3152961377637</v>
      </c>
      <c r="BR9" s="197">
        <f t="shared" si="17"/>
        <v>-73.996377265659788</v>
      </c>
      <c r="BS9" s="197">
        <f>IFERROR(($G9*IF('Inputs Yr 2'!$AJ9=BM$4,'Inputs Yr 2'!$AK9,IF('Inputs Yr 2'!$AL9=BM$4,'Inputs Yr 2'!$AM9,IF('Inputs Yr 2'!$AN9=BM$4,'Inputs Yr 2'!$AO9,0))))*(INDEX(avoidedcosttbl2,$H9,BS$2)+(($H9-ROUNDDOWN($H9,0))*(INDEX(avoidedcosttbl2,ROUNDUP($H9,0),BS$2)-(INDEX(avoidedcosttbl2,ROUNDDOWN($H9,0),BS$2)))))*'Inputs Yr 2'!P9*'Inputs Yr 2'!Q9*'Inputs Yr 2'!U9,"")</f>
        <v>0</v>
      </c>
      <c r="BT9" s="197">
        <f>IFERROR(($G9*IF('Inputs Yr 2'!$AJ9=BK$4,'Inputs Yr 2'!$AK9,IF('Inputs Yr 2'!$AL9=BK$4,'Inputs Yr 2'!$AM9,IF('Inputs Yr 2'!$AN9=BK$4,'Inputs Yr 2'!$AO9,0))))*(INDEX(avoidedcosttbl2,$H9,BT$2)+(($H9-ROUNDDOWN($H9,0))*(INDEX(avoidedcosttbl2,ROUNDUP($H9,0),BT$2)-(INDEX(avoidedcosttbl2,ROUNDDOWN($H9,0),BT$2)))))*'Inputs Yr 2'!P9*'Inputs Yr 2'!Q9*'Inputs Yr 2'!U9,"")</f>
        <v>0</v>
      </c>
      <c r="BU9" s="197">
        <f>IFERROR(($G9*IF('Inputs Yr 2'!$AJ9=BL$4,'Inputs Yr 2'!$AK9,IF('Inputs Yr 2'!$AL9=BL$4,'Inputs Yr 2'!$AM9,IF('Inputs Yr 2'!$AN9=BL$4,'Inputs Yr 2'!$AO9,0))))*(INDEX(avoidedcosttbl2,$H9,BU$2)+(($H9-ROUNDDOWN($H9,0))*(INDEX(avoidedcosttbl2,ROUNDUP($H9,0),BU$2)-(INDEX(avoidedcosttbl2,ROUNDDOWN($H9,0),BU$2)))))*'Inputs Yr 2'!P9*'Inputs Yr 2'!Q9*'Inputs Yr 2'!U9,"")</f>
        <v>-542.95834125625584</v>
      </c>
      <c r="BV9" s="775">
        <f>IFERROR(($G9*IF('Inputs Yr 2'!$AJ9=BJ$4,'Inputs Yr 2'!$AK9,IF('Inputs Yr 2'!$AL9=BJ$4,'Inputs Yr 2'!$AM9,IF('Inputs Yr 2'!$AN9=BJ$4,'Inputs Yr 2'!$AO9,0))))*(INDEX(avoidedcosttbl2,$H9,BV$2)+(($H9-ROUNDDOWN($H9,0))*(INDEX(avoidedcosttbl2,ROUNDUP($H9,0),BV$2)-(INDEX(avoidedcosttbl2,ROUNDDOWN($H9,0),BV$2)))))*'Inputs Yr 2'!P9*'Inputs Yr 2'!Q9*'Inputs Yr 2'!U9,"")</f>
        <v>0</v>
      </c>
      <c r="BW9" s="197">
        <f>IFERROR(($G9*IF('Inputs Yr 2'!$AJ9=BN$4,'Inputs Yr 2'!$AK9,IF('Inputs Yr 2'!$AL9=BN$4,'Inputs Yr 2'!$AM9,IF('Inputs Yr 2'!$AN9=BN$4,'Inputs Yr 2'!$AO9,0))))*(INDEX(avoidedcosttbl2,$H9,BW$2)+(($H9-ROUNDDOWN($H9,0))*(INDEX(avoidedcosttbl2,ROUNDUP($H9,0),BW$2)-(INDEX(avoidedcosttbl2,ROUNDDOWN($H9,0),BW$2)))))*'Inputs Yr 2'!P9*'Inputs Yr 2'!Q9*'Inputs Yr 2'!U9,"")</f>
        <v>0</v>
      </c>
      <c r="BX9" s="197">
        <f>IFERROR(($G9*IF('Inputs Yr 2'!$AJ9=BO$4,'Inputs Yr 2'!$AK9,IF('Inputs Yr 2'!$AL9=BO$4,'Inputs Yr 2'!$AM9,IF('Inputs Yr 2'!$AN9=BO$4,'Inputs Yr 2'!$AO9,0))))*(INDEX(avoidedcosttbl2,$H9,BX$2)+(($H9-ROUNDDOWN($H9,0))*(INDEX(avoidedcosttbl2,ROUNDUP($H9,0),BX$2)-(INDEX(avoidedcosttbl2,ROUNDDOWN($H9,0),BX$2)))))*'Inputs Yr 2'!P9*'Inputs Yr 2'!Q9*'Inputs Yr 2'!U9,"")</f>
        <v>0</v>
      </c>
      <c r="BY9" s="197">
        <f>IFERROR(($G9*IF('Inputs Yr 2'!$AJ9=BP$4,'Inputs Yr 2'!$AK9,IF('Inputs Yr 2'!$AL9=BP$4,'Inputs Yr 2'!$AM9,IF('Inputs Yr 2'!$AN9=BP$4,'Inputs Yr 2'!$AO9,0))))*(INDEX(avoidedcosttbl2,$H9,BY$2)+(($H9-ROUNDDOWN($H9,0))*(INDEX(avoidedcosttbl2,ROUNDUP($H9,0),BY$2)-(INDEX(avoidedcosttbl2,ROUNDDOWN($H9,0),BY$2)))))*'Inputs Yr 2'!P9*'Inputs Yr 2'!Q9*'Inputs Yr 2'!U9,"")</f>
        <v>0</v>
      </c>
      <c r="BZ9" s="193">
        <f t="shared" si="39"/>
        <v>-616.95471852191565</v>
      </c>
      <c r="CA9" s="193">
        <f t="shared" si="40"/>
        <v>-4990.270014659679</v>
      </c>
      <c r="CB9" s="195">
        <f>IFERROR(G9*(IF('Inputs Yr 2'!$AJ9=CB$4,'Inputs Yr 2'!$AK9,IF('Inputs Yr 2'!$AL9=CB$4,'Inputs Yr 2'!$AM9,IF('Inputs Yr 2'!$AN9=CB$4,'Inputs Yr 2'!$AO9,0))))*(INDEX(avoidedcosttbl2,$H9,CB$2)+(($H9-ROUNDDOWN($H9,0))*(INDEX(avoidedcosttbl2,ROUNDUP($H9,0),CB$2)-(INDEX(avoidedcosttbl2,ROUNDDOWN($H9,0),CB$2)))))*'Inputs Yr 2'!P9*'Inputs Yr 2'!Q9*'Inputs Yr 2'!U9,"")</f>
        <v>0</v>
      </c>
      <c r="CC9" s="195">
        <f>IFERROR(H9*(IF('Inputs Yr 2'!$AJ9=CC$4,'Inputs Yr 2'!$AK9,IF('Inputs Yr 2'!$AL9=CC$4,'Inputs Yr 2'!$AM9,IF('Inputs Yr 2'!$AN9=CC$4,'Inputs Yr 2'!$AO9,0))))*(INDEX(avoidedcosttbl2,$H9,CC$2)+(($H9-ROUNDDOWN($H9,0))*(INDEX(avoidedcosttbl2,ROUNDUP($H9,0),CC$2)-(INDEX(avoidedcosttbl2,ROUNDDOWN($H9,0),CC$2)))))*'Inputs Yr 2'!Q9*'Inputs Yr 2'!R9*'Inputs Yr 2'!V9,"")</f>
        <v>0</v>
      </c>
      <c r="CD9" s="195">
        <f>IFERROR(I9*(IF('Inputs Yr 2'!$AJ9=CD$4,'Inputs Yr 2'!$AK9,IF('Inputs Yr 2'!$AL9=CD$4,'Inputs Yr 2'!$AM9,IF('Inputs Yr 2'!$AN9=CD$4,'Inputs Yr 2'!$AO9,0))))*(INDEX(avoidedcosttbl2,$H9,CD$2)+(($H9-ROUNDDOWN($H9,0))*(INDEX(avoidedcosttbl2,ROUNDUP($H9,0),CD$2)-(INDEX(avoidedcosttbl2,ROUNDDOWN($H9,0),CD$2)))))*'Inputs Yr 2'!R9*'Inputs Yr 2'!S9*'Inputs Yr 2'!W9,"")</f>
        <v>0</v>
      </c>
      <c r="CE9" s="213">
        <f t="shared" si="41"/>
        <v>0</v>
      </c>
      <c r="CF9" s="213">
        <f t="shared" si="42"/>
        <v>0</v>
      </c>
      <c r="CG9" s="213">
        <f t="shared" si="43"/>
        <v>0</v>
      </c>
      <c r="CH9" s="698">
        <f t="shared" si="44"/>
        <v>-4990.270014659679</v>
      </c>
      <c r="CI9" s="79">
        <f>IFERROR(($G9*'Inputs Yr 2'!$P9*'Inputs Yr 2'!$Q9*(((INDEX(avoidedcosttbl2,$H9,CI$2)+(($H9-ROUNDDOWN($H9,0))*(INDEX(avoidedcosttbl2,ROUNDUP($H9,0),CI$2)-INDEX(avoidedcosttbl2,ROUNDDOWN($H9,0),CI$2))))*'Inputs Yr 2'!AS9))),"")</f>
        <v>0</v>
      </c>
      <c r="CJ9" s="504">
        <f>IFERROR($G9*'Inputs Yr 2'!AT9*'Inputs Yr 2'!$P9*'Inputs Yr 2'!$Q9/((1+realdiscrt1)^-0.5),"")</f>
        <v>49555.864440311161</v>
      </c>
      <c r="CK9" s="79">
        <f>IFERROR((O9*1000*(((INDEX(avoidedcosttbl2,$H9,CK$2)+(($H9-ROUNDDOWN($H9,0))*(INDEX(avoidedcosttbl2,ROUNDUP($H9,0),CK$2)-INDEX(avoidedcosttbl2,ROUNDDOWN($H9,0),CK$2))))*'Inputs Yr 2'!AU9))),"")</f>
        <v>0</v>
      </c>
      <c r="CL9" s="504">
        <f>IFERROR(O9*1000*'Inputs Yr 2'!AV9/((1+realdiscrt1)^-0.5),"")</f>
        <v>0</v>
      </c>
      <c r="CM9" s="79">
        <f>IFERROR((AB9*'Inputs Yr 2'!AW9*(((INDEX(avoidedcosttbl2,$H9,CM$2)+(($H9-ROUNDDOWN($H9,0))*(INDEX(avoidedcosttbl2,ROUNDUP($H9,0),CM$2)-INDEX(avoidedcosttbl2,ROUNDDOWN($H9,0),CM$2)))))))*10,"")</f>
        <v>0</v>
      </c>
      <c r="CN9" s="504">
        <f>IFERROR(10*AB9*'Inputs Yr 2'!AX9/((1+realdiscrt1)^-0.5),"")</f>
        <v>0</v>
      </c>
      <c r="CO9" s="505">
        <f t="shared" si="45"/>
        <v>49555.864440311161</v>
      </c>
      <c r="CP9" s="230">
        <f t="shared" si="46"/>
        <v>440565.38582453376</v>
      </c>
      <c r="CQ9" s="199">
        <f>ROUND(IFERROR(IF(LEFT($A9,1)="C",'Avoided Costs'!$K$13,'Avoided Costs'!$K$12)+1,""),4)</f>
        <v>1.0720000000000001</v>
      </c>
      <c r="CR9" s="199">
        <f>ROUND(IFERROR(IF(LEFT($A9,1)="C",'Avoided Costs'!$L$13,'Avoided Costs'!$L$12)+1,""),4)</f>
        <v>1.04</v>
      </c>
      <c r="CS9" s="199">
        <f>ROUND(IFERROR(IF(LEFT($A9,1)="C",'Avoided Costs'!$M$13,'Avoided Costs'!$M$12)+1,""),4)</f>
        <v>1.0720000000000001</v>
      </c>
      <c r="CT9" s="199">
        <f>ROUND(IFERROR(IF(LEFT($A9,1)="C",'Avoided Costs'!$N$13,'Avoided Costs'!$N$12)+1,""),4)</f>
        <v>1.04</v>
      </c>
      <c r="CU9" s="199">
        <f>ROUND(IFERROR(IF(LEFT($A9,1)="C",'Avoided Costs'!$O$13,'Avoided Costs'!$O$12)+1,""),4)</f>
        <v>1.1120000000000001</v>
      </c>
      <c r="CV9" s="199">
        <f>ROUND(IFERROR(IF(LEFT($A9,1)="C",'Avoided Costs'!$P$13,'Avoided Costs'!$P$12)+1,""),4)</f>
        <v>1.095</v>
      </c>
      <c r="CW9" s="199">
        <f>ROUND(IFERROR(IF(LEFT($A9,1)="C",'Avoided Costs'!$Q$13,'Avoided Costs'!$Q$12)+1,""),4)</f>
        <v>1.1120000000000001</v>
      </c>
      <c r="CX9" s="200">
        <f>ROUND(IFERROR(IF(LEFT($A9,1)="C",'Avoided Costs'!$R$13,'Avoided Costs'!$R$12)+1,""),4)</f>
        <v>1.1120000000000001</v>
      </c>
    </row>
    <row r="10" spans="1:105">
      <c r="A10" s="91" t="str">
        <f>IF('Inputs Yr 2'!$B10=0,"",'Inputs Yr 2'!A10)</f>
        <v>A - Residential</v>
      </c>
      <c r="B10" s="91" t="str">
        <f>IF('Inputs Yr 2'!$B10=0,"",'Inputs Yr 2'!B10)</f>
        <v>A1 - Residential Whole House</v>
      </c>
      <c r="C10" s="91" t="str">
        <f>IF('Inputs Yr 2'!$B10=0,"",'Inputs Yr 2'!C10)</f>
        <v>A1a - Residential New Construction</v>
      </c>
      <c r="D10" s="91" t="str">
        <f>IF('Inputs Yr 2'!$B10=0,"",'Inputs Yr 2'!E10)</f>
        <v xml:space="preserve">High Rise NC Heating </v>
      </c>
      <c r="E10" s="93" t="str">
        <f>IF('Inputs Yr 2'!$B10=0,"",'Inputs Yr 2'!F10)</f>
        <v>G16A1a06</v>
      </c>
      <c r="F10" s="93" t="str">
        <f>IF('Inputs Yr 2'!$B10=0,"",'Inputs Yr 2'!G10)</f>
        <v>Energy Star Homes</v>
      </c>
      <c r="G10" s="95">
        <f>IF('Inputs Yr 2'!$H10&lt;&gt;0,('Inputs Yr 2'!H10),"")</f>
        <v>3813</v>
      </c>
      <c r="H10" s="94">
        <f>IFERROR('Inputs Yr 2'!I10,"")</f>
        <v>25</v>
      </c>
      <c r="I10" s="298">
        <f>IFERROR('Inputs Yr 2'!J10*'Inputs Yr 2'!P10*G10,"")</f>
        <v>2852518.1999999997</v>
      </c>
      <c r="J10" s="298">
        <f>IFERROR('Inputs Yr 2'!K10*G10,"")</f>
        <v>571052.04</v>
      </c>
      <c r="K10" s="298">
        <f t="shared" si="23"/>
        <v>2281466.1599999997</v>
      </c>
      <c r="L10" s="194">
        <f>IFERROR(('Inputs Yr 2'!W10*G10)/1000,"")</f>
        <v>0</v>
      </c>
      <c r="M10" s="194">
        <f>IFERROR(L10*('Inputs Yr 2'!$Q10*'Inputs Yr 2'!$V10*'Inputs Yr 2'!$R10),"")</f>
        <v>0</v>
      </c>
      <c r="N10" s="194">
        <f t="shared" si="24"/>
        <v>0</v>
      </c>
      <c r="O10" s="194">
        <f>IFERROR(M10*'Inputs Yr 2'!P10,"")</f>
        <v>0</v>
      </c>
      <c r="P10" s="194">
        <f t="shared" si="25"/>
        <v>0</v>
      </c>
      <c r="Q10" s="194">
        <f>IFERROR($P10*'Inputs Yr 2'!AA10,"")</f>
        <v>0</v>
      </c>
      <c r="R10" s="194">
        <f>IFERROR($P10*'Inputs Yr 2'!AB10,"")</f>
        <v>0</v>
      </c>
      <c r="S10" s="194">
        <f>IFERROR($P10*'Inputs Yr 2'!AC10,"")</f>
        <v>0</v>
      </c>
      <c r="T10" s="194">
        <f>IFERROR($P10*'Inputs Yr 2'!AD10,"")</f>
        <v>0</v>
      </c>
      <c r="U10" s="194">
        <f>IFERROR(G10*'Inputs Yr 2'!$AE10*'Inputs Yr 2'!$P10*'Inputs Yr 2'!$Q10,"")</f>
        <v>0</v>
      </c>
      <c r="V10" s="194">
        <f>IFERROR($G10*'Inputs Yr 2'!$AE10*'Inputs Yr 2'!$AG10*'Inputs Yr 2'!Q10*'Inputs Yr 2'!$S10,"")</f>
        <v>0</v>
      </c>
      <c r="W10" s="194">
        <f>IFERROR($G10*'Inputs Yr 2'!$AE10*'Inputs Yr 2'!$AG10*'Inputs Yr 2'!P10*'Inputs Yr 2'!Q10*'Inputs Yr 2'!$S10,"")</f>
        <v>0</v>
      </c>
      <c r="X10" s="194">
        <f>IFERROR($G10*'Inputs Yr 2'!$AE10*'Inputs Yr 2'!$AF10*'Inputs Yr 2'!Q10*'Inputs Yr 2'!$T10,"")</f>
        <v>0</v>
      </c>
      <c r="Y10" s="194">
        <f>IFERROR($G10*'Inputs Yr 2'!$AE10*'Inputs Yr 2'!$AF10*'Inputs Yr 2'!P10*'Inputs Yr 2'!Q10*'Inputs Yr 2'!$T10,"")</f>
        <v>0</v>
      </c>
      <c r="Z10" s="257">
        <f>IFERROR($G10*'Inputs Yr 2'!$Q10*'Inputs Yr 2'!$U10*(IF(IFERROR(SEARCH("NG", 'Inputs Yr 2'!$AJ10),0),'Inputs Yr 2'!$AK10,0)+IF(IFERROR(SEARCH("NG", 'Inputs Yr 2'!$AL10),0),'Inputs Yr 2'!$AM10,0)+IF(IFERROR(SEARCH("NG", 'Inputs Yr 2'!$AN10),0),'Inputs Yr 2'!$AO10,0)),0)</f>
        <v>3868.9411</v>
      </c>
      <c r="AA10" s="257">
        <f t="shared" si="26"/>
        <v>96723.527499999997</v>
      </c>
      <c r="AB10" s="257">
        <f>IFERROR(Z10*'Inputs Yr 2'!$P10,0)</f>
        <v>3868.9411</v>
      </c>
      <c r="AC10" s="257">
        <f t="shared" si="27"/>
        <v>96723.527499999997</v>
      </c>
      <c r="AD10" s="257">
        <f>IFERROR($G10*'Inputs Yr 2'!$Q10*'Inputs Yr 2'!$U10*(IF(IFERROR(SEARCH("Oil", 'Inputs Yr 2'!$AJ10), 0),'Inputs Yr 2'!$AK10,0)+IF(IFERROR(SEARCH("Oil", 'Inputs Yr 2'!$AL10), 0),'Inputs Yr 2'!$AM10,0)+IF(IFERROR(SEARCH("Oil", 'Inputs Yr 2'!$AN10), 0),'Inputs Yr 2'!$AO10,0)),0)</f>
        <v>0</v>
      </c>
      <c r="AE10" s="257">
        <f t="shared" si="28"/>
        <v>0</v>
      </c>
      <c r="AF10" s="257">
        <f>IFERROR(AD10*'Inputs Yr 2'!$P10,0)</f>
        <v>0</v>
      </c>
      <c r="AG10" s="257">
        <f t="shared" si="29"/>
        <v>0</v>
      </c>
      <c r="AH10" s="257">
        <f>IFERROR($G10*'Inputs Yr 2'!$Q10*'Inputs Yr 2'!$U10*(IF('Inputs Yr 2'!$AJ10=CD$4,'Inputs Yr 2'!$AK10,IF('Inputs Yr 2'!$AL10=CD$4,'Inputs Yr 2'!$AM10,IF('Inputs Yr 2'!$AN10=CD$4,'Inputs Yr 2'!$AO10,0)))),0)</f>
        <v>0</v>
      </c>
      <c r="AI10" s="257">
        <f t="shared" si="30"/>
        <v>0</v>
      </c>
      <c r="AJ10" s="257">
        <f>IFERROR(AH10*'Inputs Yr 2'!$P10,0)</f>
        <v>0</v>
      </c>
      <c r="AK10" s="257">
        <f t="shared" si="31"/>
        <v>0</v>
      </c>
      <c r="AL10" s="258">
        <f>IFERROR($G10*'Inputs Yr 2'!$P10*'Inputs Yr 2'!$Q10*'Inputs Yr 2'!AP10,0)</f>
        <v>0</v>
      </c>
      <c r="AM10" s="260">
        <f>IFERROR($G10*'Inputs Yr 2'!$P10*'Inputs Yr 2'!$Q10*'Inputs Yr 2'!AQ10,0)</f>
        <v>0</v>
      </c>
      <c r="AN10" s="258">
        <f>IFERROR($G10*'Inputs Yr 2'!$P10*'Inputs Yr 2'!$Q10*'Inputs Yr 2'!AR10,0)</f>
        <v>0</v>
      </c>
      <c r="AO10" s="257">
        <f t="shared" si="32"/>
        <v>0</v>
      </c>
      <c r="AP10" s="195">
        <f>IFERROR($CQ10*(INDEX(avoidedcosttbl2,$H10,AP$2)+(($H10-ROUNDDOWN($H10,0))*(INDEX(avoidedcosttbl2,ROUNDUP($H10,0),AP$2)-(INDEX(avoidedcosttbl2,ROUNDDOWN($H10,0),AP$2)))))*$O10*1000*'Inputs Yr 2'!AA10,"")</f>
        <v>0</v>
      </c>
      <c r="AQ10" s="195">
        <f>IFERROR($CR10*(INDEX(avoidedcosttbl2,$H10,AQ$2)+(($H10-ROUNDDOWN($H10,0))*(INDEX(avoidedcosttbl2,ROUNDUP($H10,0),AQ$2)-(INDEX(avoidedcosttbl2,ROUNDDOWN($H10,0),AQ$2)))))*$O10*1000*'Inputs Yr 2'!AB10,"")</f>
        <v>0</v>
      </c>
      <c r="AR10" s="195">
        <f>IFERROR($CS10*(INDEX(avoidedcosttbl2,$H10,AR$2)+(($H10-ROUNDDOWN($H10,0))*(INDEX(avoidedcosttbl2,ROUNDUP($H10,0),AR$2)-(INDEX(avoidedcosttbl2,ROUNDDOWN($H10,0),AR$2)))))*$O10*1000*'Inputs Yr 2'!AC10,"")</f>
        <v>0</v>
      </c>
      <c r="AS10" s="195">
        <f>IFERROR($CT10*(INDEX(avoidedcosttbl2,$H10,AS$2)+(($H10-ROUNDDOWN($H10,0))*(INDEX(avoidedcosttbl2,ROUNDUP($H10,0),AS$2)-(INDEX(avoidedcosttbl2,ROUNDDOWN($H10,0),AS$2)))))*$O10*1000*'Inputs Yr 2'!AD10,"")</f>
        <v>0</v>
      </c>
      <c r="AT10" s="196">
        <f t="shared" si="33"/>
        <v>0</v>
      </c>
      <c r="AU10" s="197">
        <f>IFERROR($CQ10*((INDEX(avoidedcosttbl2,$H10,AU$2))+(($H10-ROUNDDOWN($H10,0))*((INDEX(avoidedcosttbl2,ROUNDUP($H10,0),AU$2))-(INDEX(avoidedcosttbl2,ROUNDDOWN($H10,0),AU$2)))))*$O10*1000*'Inputs Yr 2'!AA10,"")</f>
        <v>0</v>
      </c>
      <c r="AV10" s="197">
        <f>IFERROR($CR10*((INDEX(avoidedcosttbl2,$H10,AV$2))+(($H10-ROUNDDOWN($H10,0))*((INDEX(avoidedcosttbl2,ROUNDUP($H10,0),AV$2))-(INDEX(avoidedcosttbl2,ROUNDDOWN($H10,0),AV$2)))))*$O10*1000*'Inputs Yr 2'!AB10,"")</f>
        <v>0</v>
      </c>
      <c r="AW10" s="197">
        <f>IFERROR($CS10*((INDEX(avoidedcosttbl2,$H10,AW$2))+(($H10-ROUNDDOWN($H10,0))*((INDEX(avoidedcosttbl2,ROUNDUP($H10,0),AW$2))-(INDEX(avoidedcosttbl2,ROUNDDOWN($H10,0),AW$2)))))*$O10*1000*'Inputs Yr 2'!AC10,"")</f>
        <v>0</v>
      </c>
      <c r="AX10" s="197">
        <f>IFERROR($CT10*((INDEX(avoidedcosttbl2,$H10,AX$2))+(($H10-ROUNDDOWN($H10,0))*((INDEX(avoidedcosttbl2,ROUNDUP($H10,0),AX$2))-(INDEX(avoidedcosttbl2,ROUNDDOWN($H10,0),AX$2)))))*$O10*1000*'Inputs Yr 2'!AD10,"")</f>
        <v>0</v>
      </c>
      <c r="AY10" s="197">
        <f>IFERROR(((INDEX(avoidedcosttbl2,$H10,AY$2))+(($H10-ROUNDDOWN($H10,0))*((INDEX(avoidedcosttbl2,ROUNDUP($H10,0),AY$2))-(INDEX(avoidedcosttbl2,ROUNDDOWN($H10,0),AY$2)))))*$O10*1000*('Inputs Yr 2'!AC10+'Inputs Yr 2'!AD10),"")</f>
        <v>0</v>
      </c>
      <c r="AZ10" s="197">
        <f>IFERROR(((INDEX(avoidedcosttbl2,$H10,AZ$2))+(($H10-ROUNDDOWN($H10,0))*((INDEX(avoidedcosttbl2,ROUNDUP($H10,0),AZ$2))-(INDEX(avoidedcosttbl2,ROUNDDOWN($H10,0),AZ$2)))))*$O10*1000*('Inputs Yr 2'!AA10+'Inputs Yr 2'!AB10),"")</f>
        <v>0</v>
      </c>
      <c r="BA10" s="198">
        <f t="shared" si="34"/>
        <v>0</v>
      </c>
      <c r="BB10" s="198">
        <f t="shared" si="35"/>
        <v>0</v>
      </c>
      <c r="BC10" s="195">
        <f t="shared" si="10"/>
        <v>0</v>
      </c>
      <c r="BD10" s="195">
        <f t="shared" si="11"/>
        <v>0</v>
      </c>
      <c r="BE10" s="195">
        <f t="shared" si="12"/>
        <v>0</v>
      </c>
      <c r="BF10" s="195">
        <f t="shared" si="13"/>
        <v>0</v>
      </c>
      <c r="BG10" s="195">
        <f t="shared" si="14"/>
        <v>0</v>
      </c>
      <c r="BH10" s="196">
        <f t="shared" si="36"/>
        <v>0</v>
      </c>
      <c r="BI10" s="196">
        <f t="shared" si="37"/>
        <v>0</v>
      </c>
      <c r="BJ10" s="195">
        <f>IFERROR($G10*(IF('Inputs Yr 2'!$AJ10=BJ$4,'Inputs Yr 2'!$AK10,IF('Inputs Yr 2'!$AL10=BJ$4,'Inputs Yr 2'!$AM10,IF('Inputs Yr 2'!$AN10=BJ$4,'Inputs Yr 2'!$AO10,0))))*(INDEX(avoidedcosttbl2,$H10,BJ$2)+(($H10-ROUNDDOWN($H10,0))*(INDEX(avoidedcosttbl2,ROUNDUP($H10,0),BJ$2)-(INDEX(avoidedcosttbl2,ROUNDDOWN($H10,0),BJ$2)))))*'Inputs Yr 2'!P10*'Inputs Yr 2'!Q10*'Inputs Yr 2'!U10,"")</f>
        <v>0</v>
      </c>
      <c r="BK10" s="195">
        <f>IFERROR($G10*(IF('Inputs Yr 2'!$AJ10=BK$4,'Inputs Yr 2'!$AK10,IF('Inputs Yr 2'!$AL10=BK$4,'Inputs Yr 2'!$AM10,IF('Inputs Yr 2'!$AN10=BK$4,'Inputs Yr 2'!$AO10,0))))*(INDEX(avoidedcosttbl2,$H10,BK$2)+(($H10-ROUNDDOWN($H10,0))*(INDEX(avoidedcosttbl2,ROUNDUP($H10,0),BK$2)-(INDEX(avoidedcosttbl2,ROUNDDOWN($H10,0),BK$2)))))*'Inputs Yr 2'!P10*'Inputs Yr 2'!Q10*'Inputs Yr 2'!U10,"")</f>
        <v>0</v>
      </c>
      <c r="BL10" s="195">
        <f>IFERROR($G10*(IF('Inputs Yr 2'!$AJ10=BL$4,'Inputs Yr 2'!$AK10,IF('Inputs Yr 2'!$AL10=BL$4,'Inputs Yr 2'!$AM10,IF('Inputs Yr 2'!$AN10=BL$4,'Inputs Yr 2'!$AO10,0))))*(INDEX(avoidedcosttbl2,$H10,BL$2)+(($H10-ROUNDDOWN($H10,0))*(INDEX(avoidedcosttbl2,ROUNDUP($H10,0),BL$2)-(INDEX(avoidedcosttbl2,ROUNDDOWN($H10,0),BL$2)))))*'Inputs Yr 2'!P10*'Inputs Yr 2'!Q10*'Inputs Yr 2'!U10,"")</f>
        <v>860789.30778071831</v>
      </c>
      <c r="BM10" s="195">
        <f>IFERROR($G10*(IF('Inputs Yr 2'!$AJ10=BM$4,'Inputs Yr 2'!$AK10,IF('Inputs Yr 2'!$AL10=BM$4,'Inputs Yr 2'!$AM10,IF('Inputs Yr 2'!$AN10=BM$4,'Inputs Yr 2'!$AO10,0))))*(INDEX(avoidedcosttbl2,$H10,BM$2)+(($H10-ROUNDDOWN($H10,0))*(INDEX(avoidedcosttbl2,ROUNDUP($H10,0),BM$2)-(INDEX(avoidedcosttbl2,ROUNDDOWN($H10,0),BM$2)))))*'Inputs Yr 2'!P10*'Inputs Yr 2'!Q10*'Inputs Yr 2'!U10,"")</f>
        <v>0</v>
      </c>
      <c r="BN10" s="195">
        <f>IFERROR($G10*(IF('Inputs Yr 2'!$AJ10=BN$4,'Inputs Yr 2'!$AK10,IF('Inputs Yr 2'!$AL10=BN$4,'Inputs Yr 2'!$AM10,IF('Inputs Yr 2'!$AN10=BN$4,'Inputs Yr 2'!$AO10,0))))*(INDEX(avoidedcosttbl2,$H10,BN$2)+(($H10-ROUNDDOWN($H10,0))*(INDEX(avoidedcosttbl2,ROUNDUP($H10,0),BN$2)-(INDEX(avoidedcosttbl2,ROUNDDOWN($H10,0),BN$2)))))*'Inputs Yr 2'!P10*'Inputs Yr 2'!Q10*'Inputs Yr 2'!U10,"")</f>
        <v>0</v>
      </c>
      <c r="BO10" s="195">
        <f>IFERROR($G10*(IF('Inputs Yr 2'!$AJ10=BO$4,'Inputs Yr 2'!$AK10,IF('Inputs Yr 2'!$AL10=BO$4,'Inputs Yr 2'!$AM10,IF('Inputs Yr 2'!$AN10=BO$4,'Inputs Yr 2'!$AO10,0))))*(INDEX(avoidedcosttbl2,$H10,BO$2)+(($H10-ROUNDDOWN($H10,0))*(INDEX(avoidedcosttbl2,ROUNDUP($H10,0),BO$2)-(INDEX(avoidedcosttbl2,ROUNDDOWN($H10,0),BO$2)))))*'Inputs Yr 2'!P10*'Inputs Yr 2'!Q10*'Inputs Yr 2'!U10,"")</f>
        <v>0</v>
      </c>
      <c r="BP10" s="195">
        <f>IFERROR($G10*(IF('Inputs Yr 2'!$AJ10=BP$4,'Inputs Yr 2'!$AK10,IF('Inputs Yr 2'!$AL10=BP$4,'Inputs Yr 2'!$AM10,IF('Inputs Yr 2'!$AN10=BP$4,'Inputs Yr 2'!$AO10,0))))*(INDEX(avoidedcosttbl2,$H10,BP$2)+(($H10-ROUNDDOWN($H10,0))*(INDEX(avoidedcosttbl2,ROUNDUP($H10,0),BP$2)-(INDEX(avoidedcosttbl2,ROUNDDOWN($H10,0),BP$2)))))*'Inputs Yr 2'!P10*'Inputs Yr 2'!Q10*'Inputs Yr 2'!U10,"")</f>
        <v>0</v>
      </c>
      <c r="BQ10" s="230">
        <f t="shared" si="38"/>
        <v>860789.30778071831</v>
      </c>
      <c r="BR10" s="197">
        <f t="shared" si="17"/>
        <v>12829.557883499188</v>
      </c>
      <c r="BS10" s="197">
        <f>IFERROR(($G10*IF('Inputs Yr 2'!$AJ10=BM$4,'Inputs Yr 2'!$AK10,IF('Inputs Yr 2'!$AL10=BM$4,'Inputs Yr 2'!$AM10,IF('Inputs Yr 2'!$AN10=BM$4,'Inputs Yr 2'!$AO10,0))))*(INDEX(avoidedcosttbl2,$H10,BS$2)+(($H10-ROUNDDOWN($H10,0))*(INDEX(avoidedcosttbl2,ROUNDUP($H10,0),BS$2)-(INDEX(avoidedcosttbl2,ROUNDDOWN($H10,0),BS$2)))))*'Inputs Yr 2'!P10*'Inputs Yr 2'!Q10*'Inputs Yr 2'!U10,"")</f>
        <v>0</v>
      </c>
      <c r="BT10" s="197">
        <f>IFERROR(($G10*IF('Inputs Yr 2'!$AJ10=BK$4,'Inputs Yr 2'!$AK10,IF('Inputs Yr 2'!$AL10=BK$4,'Inputs Yr 2'!$AM10,IF('Inputs Yr 2'!$AN10=BK$4,'Inputs Yr 2'!$AO10,0))))*(INDEX(avoidedcosttbl2,$H10,BT$2)+(($H10-ROUNDDOWN($H10,0))*(INDEX(avoidedcosttbl2,ROUNDUP($H10,0),BT$2)-(INDEX(avoidedcosttbl2,ROUNDDOWN($H10,0),BT$2)))))*'Inputs Yr 2'!P10*'Inputs Yr 2'!Q10*'Inputs Yr 2'!U10,"")</f>
        <v>0</v>
      </c>
      <c r="BU10" s="197">
        <f>IFERROR(($G10*IF('Inputs Yr 2'!$AJ10=BL$4,'Inputs Yr 2'!$AK10,IF('Inputs Yr 2'!$AL10=BL$4,'Inputs Yr 2'!$AM10,IF('Inputs Yr 2'!$AN10=BL$4,'Inputs Yr 2'!$AO10,0))))*(INDEX(avoidedcosttbl2,$H10,BU$2)+(($H10-ROUNDDOWN($H10,0))*(INDEX(avoidedcosttbl2,ROUNDUP($H10,0),BU$2)-(INDEX(avoidedcosttbl2,ROUNDDOWN($H10,0),BU$2)))))*'Inputs Yr 2'!P10*'Inputs Yr 2'!Q10*'Inputs Yr 2'!U10,"")</f>
        <v>32999.301533008533</v>
      </c>
      <c r="BV10" s="775">
        <f>IFERROR(($G10*IF('Inputs Yr 2'!$AJ10=BJ$4,'Inputs Yr 2'!$AK10,IF('Inputs Yr 2'!$AL10=BJ$4,'Inputs Yr 2'!$AM10,IF('Inputs Yr 2'!$AN10=BJ$4,'Inputs Yr 2'!$AO10,0))))*(INDEX(avoidedcosttbl2,$H10,BV$2)+(($H10-ROUNDDOWN($H10,0))*(INDEX(avoidedcosttbl2,ROUNDUP($H10,0),BV$2)-(INDEX(avoidedcosttbl2,ROUNDDOWN($H10,0),BV$2)))))*'Inputs Yr 2'!P10*'Inputs Yr 2'!Q10*'Inputs Yr 2'!U10,"")</f>
        <v>0</v>
      </c>
      <c r="BW10" s="197">
        <f>IFERROR(($G10*IF('Inputs Yr 2'!$AJ10=BN$4,'Inputs Yr 2'!$AK10,IF('Inputs Yr 2'!$AL10=BN$4,'Inputs Yr 2'!$AM10,IF('Inputs Yr 2'!$AN10=BN$4,'Inputs Yr 2'!$AO10,0))))*(INDEX(avoidedcosttbl2,$H10,BW$2)+(($H10-ROUNDDOWN($H10,0))*(INDEX(avoidedcosttbl2,ROUNDUP($H10,0),BW$2)-(INDEX(avoidedcosttbl2,ROUNDDOWN($H10,0),BW$2)))))*'Inputs Yr 2'!P10*'Inputs Yr 2'!Q10*'Inputs Yr 2'!U10,"")</f>
        <v>0</v>
      </c>
      <c r="BX10" s="197">
        <f>IFERROR(($G10*IF('Inputs Yr 2'!$AJ10=BO$4,'Inputs Yr 2'!$AK10,IF('Inputs Yr 2'!$AL10=BO$4,'Inputs Yr 2'!$AM10,IF('Inputs Yr 2'!$AN10=BO$4,'Inputs Yr 2'!$AO10,0))))*(INDEX(avoidedcosttbl2,$H10,BX$2)+(($H10-ROUNDDOWN($H10,0))*(INDEX(avoidedcosttbl2,ROUNDUP($H10,0),BX$2)-(INDEX(avoidedcosttbl2,ROUNDDOWN($H10,0),BX$2)))))*'Inputs Yr 2'!P10*'Inputs Yr 2'!Q10*'Inputs Yr 2'!U10,"")</f>
        <v>0</v>
      </c>
      <c r="BY10" s="197">
        <f>IFERROR(($G10*IF('Inputs Yr 2'!$AJ10=BP$4,'Inputs Yr 2'!$AK10,IF('Inputs Yr 2'!$AL10=BP$4,'Inputs Yr 2'!$AM10,IF('Inputs Yr 2'!$AN10=BP$4,'Inputs Yr 2'!$AO10,0))))*(INDEX(avoidedcosttbl2,$H10,BY$2)+(($H10-ROUNDDOWN($H10,0))*(INDEX(avoidedcosttbl2,ROUNDUP($H10,0),BY$2)-(INDEX(avoidedcosttbl2,ROUNDDOWN($H10,0),BY$2)))))*'Inputs Yr 2'!P10*'Inputs Yr 2'!Q10*'Inputs Yr 2'!U10,"")</f>
        <v>0</v>
      </c>
      <c r="BZ10" s="193">
        <f t="shared" si="39"/>
        <v>45828.859416507723</v>
      </c>
      <c r="CA10" s="193">
        <f t="shared" si="40"/>
        <v>906618.16719722608</v>
      </c>
      <c r="CB10" s="195">
        <f>IFERROR(G10*(IF('Inputs Yr 2'!$AJ10=CB$4,'Inputs Yr 2'!$AK10,IF('Inputs Yr 2'!$AL10=CB$4,'Inputs Yr 2'!$AM10,IF('Inputs Yr 2'!$AN10=CB$4,'Inputs Yr 2'!$AO10,0))))*(INDEX(avoidedcosttbl2,$H10,CB$2)+(($H10-ROUNDDOWN($H10,0))*(INDEX(avoidedcosttbl2,ROUNDUP($H10,0),CB$2)-(INDEX(avoidedcosttbl2,ROUNDDOWN($H10,0),CB$2)))))*'Inputs Yr 2'!P10*'Inputs Yr 2'!Q10*'Inputs Yr 2'!U10,"")</f>
        <v>0</v>
      </c>
      <c r="CC10" s="195">
        <f>IFERROR(H10*(IF('Inputs Yr 2'!$AJ10=CC$4,'Inputs Yr 2'!$AK10,IF('Inputs Yr 2'!$AL10=CC$4,'Inputs Yr 2'!$AM10,IF('Inputs Yr 2'!$AN10=CC$4,'Inputs Yr 2'!$AO10,0))))*(INDEX(avoidedcosttbl2,$H10,CC$2)+(($H10-ROUNDDOWN($H10,0))*(INDEX(avoidedcosttbl2,ROUNDUP($H10,0),CC$2)-(INDEX(avoidedcosttbl2,ROUNDDOWN($H10,0),CC$2)))))*'Inputs Yr 2'!Q10*'Inputs Yr 2'!R10*'Inputs Yr 2'!V10,"")</f>
        <v>0</v>
      </c>
      <c r="CD10" s="195">
        <f>IFERROR(I10*(IF('Inputs Yr 2'!$AJ10=CD$4,'Inputs Yr 2'!$AK10,IF('Inputs Yr 2'!$AL10=CD$4,'Inputs Yr 2'!$AM10,IF('Inputs Yr 2'!$AN10=CD$4,'Inputs Yr 2'!$AO10,0))))*(INDEX(avoidedcosttbl2,$H10,CD$2)+(($H10-ROUNDDOWN($H10,0))*(INDEX(avoidedcosttbl2,ROUNDUP($H10,0),CD$2)-(INDEX(avoidedcosttbl2,ROUNDDOWN($H10,0),CD$2)))))*'Inputs Yr 2'!R10*'Inputs Yr 2'!S10*'Inputs Yr 2'!W10,"")</f>
        <v>0</v>
      </c>
      <c r="CE10" s="213">
        <f t="shared" si="41"/>
        <v>0</v>
      </c>
      <c r="CF10" s="213">
        <f t="shared" si="42"/>
        <v>0</v>
      </c>
      <c r="CG10" s="213">
        <f t="shared" si="43"/>
        <v>0</v>
      </c>
      <c r="CH10" s="698">
        <f t="shared" si="44"/>
        <v>906618.16719722608</v>
      </c>
      <c r="CI10" s="79">
        <f>IFERROR(($G10*'Inputs Yr 2'!$P10*'Inputs Yr 2'!$Q10*(((INDEX(avoidedcosttbl2,$H10,CI$2)+(($H10-ROUNDDOWN($H10,0))*(INDEX(avoidedcosttbl2,ROUNDUP($H10,0),CI$2)-INDEX(avoidedcosttbl2,ROUNDDOWN($H10,0),CI$2))))*'Inputs Yr 2'!AS10))),"")</f>
        <v>124634.07501986052</v>
      </c>
      <c r="CJ10" s="504">
        <f>IFERROR($G10*'Inputs Yr 2'!AT10*'Inputs Yr 2'!$P10*'Inputs Yr 2'!$Q10/((1+realdiscrt1)^-0.5),"")</f>
        <v>0</v>
      </c>
      <c r="CK10" s="79">
        <f>IFERROR((O10*1000*(((INDEX(avoidedcosttbl2,$H10,CK$2)+(($H10-ROUNDDOWN($H10,0))*(INDEX(avoidedcosttbl2,ROUNDUP($H10,0),CK$2)-INDEX(avoidedcosttbl2,ROUNDDOWN($H10,0),CK$2))))*'Inputs Yr 2'!AU10))),"")</f>
        <v>0</v>
      </c>
      <c r="CL10" s="504">
        <f>IFERROR(O10*1000*'Inputs Yr 2'!AV10/((1+realdiscrt1)^-0.5),"")</f>
        <v>0</v>
      </c>
      <c r="CM10" s="79">
        <f>IFERROR((AB10*'Inputs Yr 2'!AW10*(((INDEX(avoidedcosttbl2,$H10,CM$2)+(($H10-ROUNDDOWN($H10,0))*(INDEX(avoidedcosttbl2,ROUNDUP($H10,0),CM$2)-INDEX(avoidedcosttbl2,ROUNDDOWN($H10,0),CM$2)))))))*10,"")</f>
        <v>0</v>
      </c>
      <c r="CN10" s="504">
        <f>IFERROR(10*AB10*'Inputs Yr 2'!AX10/((1+realdiscrt1)^-0.5),"")</f>
        <v>0</v>
      </c>
      <c r="CO10" s="505">
        <f t="shared" si="45"/>
        <v>124634.07501986052</v>
      </c>
      <c r="CP10" s="230">
        <f t="shared" si="46"/>
        <v>1031252.2422170866</v>
      </c>
      <c r="CQ10" s="199">
        <f>ROUND(IFERROR(IF(LEFT($A10,1)="C",'Avoided Costs'!$K$13,'Avoided Costs'!$K$12)+1,""),4)</f>
        <v>1.0720000000000001</v>
      </c>
      <c r="CR10" s="199">
        <f>ROUND(IFERROR(IF(LEFT($A10,1)="C",'Avoided Costs'!$L$13,'Avoided Costs'!$L$12)+1,""),4)</f>
        <v>1.04</v>
      </c>
      <c r="CS10" s="199">
        <f>ROUND(IFERROR(IF(LEFT($A10,1)="C",'Avoided Costs'!$M$13,'Avoided Costs'!$M$12)+1,""),4)</f>
        <v>1.0720000000000001</v>
      </c>
      <c r="CT10" s="199">
        <f>ROUND(IFERROR(IF(LEFT($A10,1)="C",'Avoided Costs'!$N$13,'Avoided Costs'!$N$12)+1,""),4)</f>
        <v>1.04</v>
      </c>
      <c r="CU10" s="199">
        <f>ROUND(IFERROR(IF(LEFT($A10,1)="C",'Avoided Costs'!$O$13,'Avoided Costs'!$O$12)+1,""),4)</f>
        <v>1.1120000000000001</v>
      </c>
      <c r="CV10" s="199">
        <f>ROUND(IFERROR(IF(LEFT($A10,1)="C",'Avoided Costs'!$P$13,'Avoided Costs'!$P$12)+1,""),4)</f>
        <v>1.095</v>
      </c>
      <c r="CW10" s="199">
        <f>ROUND(IFERROR(IF(LEFT($A10,1)="C",'Avoided Costs'!$Q$13,'Avoided Costs'!$Q$12)+1,""),4)</f>
        <v>1.1120000000000001</v>
      </c>
      <c r="CX10" s="200">
        <f>ROUND(IFERROR(IF(LEFT($A10,1)="C",'Avoided Costs'!$R$13,'Avoided Costs'!$R$12)+1,""),4)</f>
        <v>1.1120000000000001</v>
      </c>
    </row>
    <row r="11" spans="1:105">
      <c r="A11" s="91" t="str">
        <f>IF('Inputs Yr 2'!$B11=0,"",'Inputs Yr 2'!A11)</f>
        <v>A - Residential</v>
      </c>
      <c r="B11" s="91" t="str">
        <f>IF('Inputs Yr 2'!$B11=0,"",'Inputs Yr 2'!B11)</f>
        <v>A1 - Residential Whole House</v>
      </c>
      <c r="C11" s="91" t="str">
        <f>IF('Inputs Yr 2'!$B11=0,"",'Inputs Yr 2'!C11)</f>
        <v>A1a - Residential New Construction</v>
      </c>
      <c r="D11" s="91" t="str">
        <f>IF('Inputs Yr 2'!$B11=0,"",'Inputs Yr 2'!E11)</f>
        <v>High Rise NC Cooling</v>
      </c>
      <c r="E11" s="93" t="str">
        <f>IF('Inputs Yr 2'!$B11=0,"",'Inputs Yr 2'!F11)</f>
        <v>G16A1a07</v>
      </c>
      <c r="F11" s="93" t="str">
        <f>IF('Inputs Yr 2'!$B11=0,"",'Inputs Yr 2'!G11)</f>
        <v>Energy Star Homes</v>
      </c>
      <c r="G11" s="95" t="str">
        <f>IF('Inputs Yr 2'!$H11&lt;&gt;0,('Inputs Yr 2'!H11),"")</f>
        <v/>
      </c>
      <c r="H11" s="94">
        <f>IFERROR('Inputs Yr 2'!I11,"")</f>
        <v>0</v>
      </c>
      <c r="I11" s="298" t="str">
        <f>IFERROR('Inputs Yr 2'!J11*'Inputs Yr 2'!P11*G11,"")</f>
        <v/>
      </c>
      <c r="J11" s="298" t="str">
        <f>IFERROR('Inputs Yr 2'!K11*G11,"")</f>
        <v/>
      </c>
      <c r="K11" s="298" t="str">
        <f t="shared" si="23"/>
        <v/>
      </c>
      <c r="L11" s="194" t="str">
        <f>IFERROR(('Inputs Yr 2'!W11*G11)/1000,"")</f>
        <v/>
      </c>
      <c r="M11" s="194" t="str">
        <f>IFERROR(L11*('Inputs Yr 2'!$Q11*'Inputs Yr 2'!$V11*'Inputs Yr 2'!$R11),"")</f>
        <v/>
      </c>
      <c r="N11" s="194" t="str">
        <f t="shared" si="24"/>
        <v/>
      </c>
      <c r="O11" s="194" t="str">
        <f>IFERROR(M11*'Inputs Yr 2'!P11,"")</f>
        <v/>
      </c>
      <c r="P11" s="194" t="str">
        <f t="shared" si="25"/>
        <v/>
      </c>
      <c r="Q11" s="194" t="str">
        <f>IFERROR($P11*'Inputs Yr 2'!AA11,"")</f>
        <v/>
      </c>
      <c r="R11" s="194" t="str">
        <f>IFERROR($P11*'Inputs Yr 2'!AB11,"")</f>
        <v/>
      </c>
      <c r="S11" s="194" t="str">
        <f>IFERROR($P11*'Inputs Yr 2'!AC11,"")</f>
        <v/>
      </c>
      <c r="T11" s="194" t="str">
        <f>IFERROR($P11*'Inputs Yr 2'!AD11,"")</f>
        <v/>
      </c>
      <c r="U11" s="194" t="str">
        <f>IFERROR(G11*'Inputs Yr 2'!$AE11*'Inputs Yr 2'!$P11*'Inputs Yr 2'!$Q11,"")</f>
        <v/>
      </c>
      <c r="V11" s="194" t="str">
        <f>IFERROR($G11*'Inputs Yr 2'!$AE11*'Inputs Yr 2'!$AG11*'Inputs Yr 2'!Q11*'Inputs Yr 2'!$S11,"")</f>
        <v/>
      </c>
      <c r="W11" s="194" t="str">
        <f>IFERROR($G11*'Inputs Yr 2'!$AE11*'Inputs Yr 2'!$AG11*'Inputs Yr 2'!P11*'Inputs Yr 2'!Q11*'Inputs Yr 2'!$S11,"")</f>
        <v/>
      </c>
      <c r="X11" s="194" t="str">
        <f>IFERROR($G11*'Inputs Yr 2'!$AE11*'Inputs Yr 2'!$AF11*'Inputs Yr 2'!Q11*'Inputs Yr 2'!$T11,"")</f>
        <v/>
      </c>
      <c r="Y11" s="194" t="str">
        <f>IFERROR($G11*'Inputs Yr 2'!$AE11*'Inputs Yr 2'!$AF11*'Inputs Yr 2'!P11*'Inputs Yr 2'!Q11*'Inputs Yr 2'!$T11,"")</f>
        <v/>
      </c>
      <c r="Z11" s="257">
        <f>IFERROR($G11*'Inputs Yr 2'!$Q11*'Inputs Yr 2'!$U11*(IF(IFERROR(SEARCH("NG", 'Inputs Yr 2'!$AJ11),0),'Inputs Yr 2'!$AK11,0)+IF(IFERROR(SEARCH("NG", 'Inputs Yr 2'!$AL11),0),'Inputs Yr 2'!$AM11,0)+IF(IFERROR(SEARCH("NG", 'Inputs Yr 2'!$AN11),0),'Inputs Yr 2'!$AO11,0)),0)</f>
        <v>0</v>
      </c>
      <c r="AA11" s="257">
        <f t="shared" si="26"/>
        <v>0</v>
      </c>
      <c r="AB11" s="257">
        <f>IFERROR(Z11*'Inputs Yr 2'!$P11,0)</f>
        <v>0</v>
      </c>
      <c r="AC11" s="257">
        <f t="shared" si="27"/>
        <v>0</v>
      </c>
      <c r="AD11" s="257">
        <f>IFERROR($G11*'Inputs Yr 2'!$Q11*'Inputs Yr 2'!$U11*(IF(IFERROR(SEARCH("Oil", 'Inputs Yr 2'!$AJ11), 0),'Inputs Yr 2'!$AK11,0)+IF(IFERROR(SEARCH("Oil", 'Inputs Yr 2'!$AL11), 0),'Inputs Yr 2'!$AM11,0)+IF(IFERROR(SEARCH("Oil", 'Inputs Yr 2'!$AN11), 0),'Inputs Yr 2'!$AO11,0)),0)</f>
        <v>0</v>
      </c>
      <c r="AE11" s="257">
        <f t="shared" si="28"/>
        <v>0</v>
      </c>
      <c r="AF11" s="257">
        <f>IFERROR(AD11*'Inputs Yr 2'!$P11,0)</f>
        <v>0</v>
      </c>
      <c r="AG11" s="257">
        <f t="shared" si="29"/>
        <v>0</v>
      </c>
      <c r="AH11" s="257">
        <f>IFERROR($G11*'Inputs Yr 2'!$Q11*'Inputs Yr 2'!$U11*(IF('Inputs Yr 2'!$AJ11=CD$4,'Inputs Yr 2'!$AK11,IF('Inputs Yr 2'!$AL11=CD$4,'Inputs Yr 2'!$AM11,IF('Inputs Yr 2'!$AN11=CD$4,'Inputs Yr 2'!$AO11,0)))),0)</f>
        <v>0</v>
      </c>
      <c r="AI11" s="257">
        <f t="shared" si="30"/>
        <v>0</v>
      </c>
      <c r="AJ11" s="257">
        <f>IFERROR(AH11*'Inputs Yr 2'!$P11,0)</f>
        <v>0</v>
      </c>
      <c r="AK11" s="257">
        <f t="shared" si="31"/>
        <v>0</v>
      </c>
      <c r="AL11" s="258">
        <f>IFERROR($G11*'Inputs Yr 2'!$P11*'Inputs Yr 2'!$Q11*'Inputs Yr 2'!AP11,0)</f>
        <v>0</v>
      </c>
      <c r="AM11" s="260">
        <f>IFERROR($G11*'Inputs Yr 2'!$P11*'Inputs Yr 2'!$Q11*'Inputs Yr 2'!AQ11,0)</f>
        <v>0</v>
      </c>
      <c r="AN11" s="258">
        <f>IFERROR($G11*'Inputs Yr 2'!$P11*'Inputs Yr 2'!$Q11*'Inputs Yr 2'!AR11,0)</f>
        <v>0</v>
      </c>
      <c r="AO11" s="257">
        <f t="shared" si="32"/>
        <v>0</v>
      </c>
      <c r="AP11" s="195" t="str">
        <f>IFERROR($CQ11*(INDEX(avoidedcosttbl2,$H11,AP$2)+(($H11-ROUNDDOWN($H11,0))*(INDEX(avoidedcosttbl2,ROUNDUP($H11,0),AP$2)-(INDEX(avoidedcosttbl2,ROUNDDOWN($H11,0),AP$2)))))*$O11*1000*'Inputs Yr 2'!AA11,"")</f>
        <v/>
      </c>
      <c r="AQ11" s="195" t="str">
        <f>IFERROR($CR11*(INDEX(avoidedcosttbl2,$H11,AQ$2)+(($H11-ROUNDDOWN($H11,0))*(INDEX(avoidedcosttbl2,ROUNDUP($H11,0),AQ$2)-(INDEX(avoidedcosttbl2,ROUNDDOWN($H11,0),AQ$2)))))*$O11*1000*'Inputs Yr 2'!AB11,"")</f>
        <v/>
      </c>
      <c r="AR11" s="195" t="str">
        <f>IFERROR($CS11*(INDEX(avoidedcosttbl2,$H11,AR$2)+(($H11-ROUNDDOWN($H11,0))*(INDEX(avoidedcosttbl2,ROUNDUP($H11,0),AR$2)-(INDEX(avoidedcosttbl2,ROUNDDOWN($H11,0),AR$2)))))*$O11*1000*'Inputs Yr 2'!AC11,"")</f>
        <v/>
      </c>
      <c r="AS11" s="195" t="str">
        <f>IFERROR($CT11*(INDEX(avoidedcosttbl2,$H11,AS$2)+(($H11-ROUNDDOWN($H11,0))*(INDEX(avoidedcosttbl2,ROUNDUP($H11,0),AS$2)-(INDEX(avoidedcosttbl2,ROUNDDOWN($H11,0),AS$2)))))*$O11*1000*'Inputs Yr 2'!AD11,"")</f>
        <v/>
      </c>
      <c r="AT11" s="196">
        <f t="shared" si="33"/>
        <v>0</v>
      </c>
      <c r="AU11" s="197" t="str">
        <f>IFERROR($CQ11*((INDEX(avoidedcosttbl2,$H11,AU$2))+(($H11-ROUNDDOWN($H11,0))*((INDEX(avoidedcosttbl2,ROUNDUP($H11,0),AU$2))-(INDEX(avoidedcosttbl2,ROUNDDOWN($H11,0),AU$2)))))*$O11*1000*'Inputs Yr 2'!AA11,"")</f>
        <v/>
      </c>
      <c r="AV11" s="197" t="str">
        <f>IFERROR($CR11*((INDEX(avoidedcosttbl2,$H11,AV$2))+(($H11-ROUNDDOWN($H11,0))*((INDEX(avoidedcosttbl2,ROUNDUP($H11,0),AV$2))-(INDEX(avoidedcosttbl2,ROUNDDOWN($H11,0),AV$2)))))*$O11*1000*'Inputs Yr 2'!AB11,"")</f>
        <v/>
      </c>
      <c r="AW11" s="197" t="str">
        <f>IFERROR($CS11*((INDEX(avoidedcosttbl2,$H11,AW$2))+(($H11-ROUNDDOWN($H11,0))*((INDEX(avoidedcosttbl2,ROUNDUP($H11,0),AW$2))-(INDEX(avoidedcosttbl2,ROUNDDOWN($H11,0),AW$2)))))*$O11*1000*'Inputs Yr 2'!AC11,"")</f>
        <v/>
      </c>
      <c r="AX11" s="197" t="str">
        <f>IFERROR($CT11*((INDEX(avoidedcosttbl2,$H11,AX$2))+(($H11-ROUNDDOWN($H11,0))*((INDEX(avoidedcosttbl2,ROUNDUP($H11,0),AX$2))-(INDEX(avoidedcosttbl2,ROUNDDOWN($H11,0),AX$2)))))*$O11*1000*'Inputs Yr 2'!AD11,"")</f>
        <v/>
      </c>
      <c r="AY11" s="197" t="str">
        <f>IFERROR(((INDEX(avoidedcosttbl2,$H11,AY$2))+(($H11-ROUNDDOWN($H11,0))*((INDEX(avoidedcosttbl2,ROUNDUP($H11,0),AY$2))-(INDEX(avoidedcosttbl2,ROUNDDOWN($H11,0),AY$2)))))*$O11*1000*('Inputs Yr 2'!AC11+'Inputs Yr 2'!AD11),"")</f>
        <v/>
      </c>
      <c r="AZ11" s="197" t="str">
        <f>IFERROR(((INDEX(avoidedcosttbl2,$H11,AZ$2))+(($H11-ROUNDDOWN($H11,0))*((INDEX(avoidedcosttbl2,ROUNDUP($H11,0),AZ$2))-(INDEX(avoidedcosttbl2,ROUNDDOWN($H11,0),AZ$2)))))*$O11*1000*('Inputs Yr 2'!AA11+'Inputs Yr 2'!AB11),"")</f>
        <v/>
      </c>
      <c r="BA11" s="198">
        <f t="shared" si="34"/>
        <v>0</v>
      </c>
      <c r="BB11" s="198">
        <f t="shared" si="35"/>
        <v>0</v>
      </c>
      <c r="BC11" s="195" t="str">
        <f t="shared" si="10"/>
        <v/>
      </c>
      <c r="BD11" s="195" t="str">
        <f t="shared" si="11"/>
        <v/>
      </c>
      <c r="BE11" s="195" t="str">
        <f t="shared" si="12"/>
        <v/>
      </c>
      <c r="BF11" s="195" t="str">
        <f t="shared" si="13"/>
        <v/>
      </c>
      <c r="BG11" s="195" t="str">
        <f t="shared" si="14"/>
        <v/>
      </c>
      <c r="BH11" s="196">
        <f t="shared" si="36"/>
        <v>0</v>
      </c>
      <c r="BI11" s="196">
        <f t="shared" si="37"/>
        <v>0</v>
      </c>
      <c r="BJ11" s="195" t="str">
        <f>IFERROR($G11*(IF('Inputs Yr 2'!$AJ11=BJ$4,'Inputs Yr 2'!$AK11,IF('Inputs Yr 2'!$AL11=BJ$4,'Inputs Yr 2'!$AM11,IF('Inputs Yr 2'!$AN11=BJ$4,'Inputs Yr 2'!$AO11,0))))*(INDEX(avoidedcosttbl2,$H11,BJ$2)+(($H11-ROUNDDOWN($H11,0))*(INDEX(avoidedcosttbl2,ROUNDUP($H11,0),BJ$2)-(INDEX(avoidedcosttbl2,ROUNDDOWN($H11,0),BJ$2)))))*'Inputs Yr 2'!P11*'Inputs Yr 2'!Q11*'Inputs Yr 2'!U11,"")</f>
        <v/>
      </c>
      <c r="BK11" s="195" t="str">
        <f>IFERROR($G11*(IF('Inputs Yr 2'!$AJ11=BK$4,'Inputs Yr 2'!$AK11,IF('Inputs Yr 2'!$AL11=BK$4,'Inputs Yr 2'!$AM11,IF('Inputs Yr 2'!$AN11=BK$4,'Inputs Yr 2'!$AO11,0))))*(INDEX(avoidedcosttbl2,$H11,BK$2)+(($H11-ROUNDDOWN($H11,0))*(INDEX(avoidedcosttbl2,ROUNDUP($H11,0),BK$2)-(INDEX(avoidedcosttbl2,ROUNDDOWN($H11,0),BK$2)))))*'Inputs Yr 2'!P11*'Inputs Yr 2'!Q11*'Inputs Yr 2'!U11,"")</f>
        <v/>
      </c>
      <c r="BL11" s="195" t="str">
        <f>IFERROR($G11*(IF('Inputs Yr 2'!$AJ11=BL$4,'Inputs Yr 2'!$AK11,IF('Inputs Yr 2'!$AL11=BL$4,'Inputs Yr 2'!$AM11,IF('Inputs Yr 2'!$AN11=BL$4,'Inputs Yr 2'!$AO11,0))))*(INDEX(avoidedcosttbl2,$H11,BL$2)+(($H11-ROUNDDOWN($H11,0))*(INDEX(avoidedcosttbl2,ROUNDUP($H11,0),BL$2)-(INDEX(avoidedcosttbl2,ROUNDDOWN($H11,0),BL$2)))))*'Inputs Yr 2'!P11*'Inputs Yr 2'!Q11*'Inputs Yr 2'!U11,"")</f>
        <v/>
      </c>
      <c r="BM11" s="195" t="str">
        <f>IFERROR($G11*(IF('Inputs Yr 2'!$AJ11=BM$4,'Inputs Yr 2'!$AK11,IF('Inputs Yr 2'!$AL11=BM$4,'Inputs Yr 2'!$AM11,IF('Inputs Yr 2'!$AN11=BM$4,'Inputs Yr 2'!$AO11,0))))*(INDEX(avoidedcosttbl2,$H11,BM$2)+(($H11-ROUNDDOWN($H11,0))*(INDEX(avoidedcosttbl2,ROUNDUP($H11,0),BM$2)-(INDEX(avoidedcosttbl2,ROUNDDOWN($H11,0),BM$2)))))*'Inputs Yr 2'!P11*'Inputs Yr 2'!Q11*'Inputs Yr 2'!U11,"")</f>
        <v/>
      </c>
      <c r="BN11" s="195" t="str">
        <f>IFERROR($G11*(IF('Inputs Yr 2'!$AJ11=BN$4,'Inputs Yr 2'!$AK11,IF('Inputs Yr 2'!$AL11=BN$4,'Inputs Yr 2'!$AM11,IF('Inputs Yr 2'!$AN11=BN$4,'Inputs Yr 2'!$AO11,0))))*(INDEX(avoidedcosttbl2,$H11,BN$2)+(($H11-ROUNDDOWN($H11,0))*(INDEX(avoidedcosttbl2,ROUNDUP($H11,0),BN$2)-(INDEX(avoidedcosttbl2,ROUNDDOWN($H11,0),BN$2)))))*'Inputs Yr 2'!P11*'Inputs Yr 2'!Q11*'Inputs Yr 2'!U11,"")</f>
        <v/>
      </c>
      <c r="BO11" s="195" t="str">
        <f>IFERROR($G11*(IF('Inputs Yr 2'!$AJ11=BO$4,'Inputs Yr 2'!$AK11,IF('Inputs Yr 2'!$AL11=BO$4,'Inputs Yr 2'!$AM11,IF('Inputs Yr 2'!$AN11=BO$4,'Inputs Yr 2'!$AO11,0))))*(INDEX(avoidedcosttbl2,$H11,BO$2)+(($H11-ROUNDDOWN($H11,0))*(INDEX(avoidedcosttbl2,ROUNDUP($H11,0),BO$2)-(INDEX(avoidedcosttbl2,ROUNDDOWN($H11,0),BO$2)))))*'Inputs Yr 2'!P11*'Inputs Yr 2'!Q11*'Inputs Yr 2'!U11,"")</f>
        <v/>
      </c>
      <c r="BP11" s="195" t="str">
        <f>IFERROR($G11*(IF('Inputs Yr 2'!$AJ11=BP$4,'Inputs Yr 2'!$AK11,IF('Inputs Yr 2'!$AL11=BP$4,'Inputs Yr 2'!$AM11,IF('Inputs Yr 2'!$AN11=BP$4,'Inputs Yr 2'!$AO11,0))))*(INDEX(avoidedcosttbl2,$H11,BP$2)+(($H11-ROUNDDOWN($H11,0))*(INDEX(avoidedcosttbl2,ROUNDUP($H11,0),BP$2)-(INDEX(avoidedcosttbl2,ROUNDDOWN($H11,0),BP$2)))))*'Inputs Yr 2'!P11*'Inputs Yr 2'!Q11*'Inputs Yr 2'!U11,"")</f>
        <v/>
      </c>
      <c r="BQ11" s="230">
        <f t="shared" si="38"/>
        <v>0</v>
      </c>
      <c r="BR11" s="197" t="str">
        <f t="shared" si="17"/>
        <v/>
      </c>
      <c r="BS11" s="197" t="str">
        <f>IFERROR(($G11*IF('Inputs Yr 2'!$AJ11=BM$4,'Inputs Yr 2'!$AK11,IF('Inputs Yr 2'!$AL11=BM$4,'Inputs Yr 2'!$AM11,IF('Inputs Yr 2'!$AN11=BM$4,'Inputs Yr 2'!$AO11,0))))*(INDEX(avoidedcosttbl2,$H11,BS$2)+(($H11-ROUNDDOWN($H11,0))*(INDEX(avoidedcosttbl2,ROUNDUP($H11,0),BS$2)-(INDEX(avoidedcosttbl2,ROUNDDOWN($H11,0),BS$2)))))*'Inputs Yr 2'!P11*'Inputs Yr 2'!Q11*'Inputs Yr 2'!U11,"")</f>
        <v/>
      </c>
      <c r="BT11" s="197" t="str">
        <f>IFERROR(($G11*IF('Inputs Yr 2'!$AJ11=BK$4,'Inputs Yr 2'!$AK11,IF('Inputs Yr 2'!$AL11=BK$4,'Inputs Yr 2'!$AM11,IF('Inputs Yr 2'!$AN11=BK$4,'Inputs Yr 2'!$AO11,0))))*(INDEX(avoidedcosttbl2,$H11,BT$2)+(($H11-ROUNDDOWN($H11,0))*(INDEX(avoidedcosttbl2,ROUNDUP($H11,0),BT$2)-(INDEX(avoidedcosttbl2,ROUNDDOWN($H11,0),BT$2)))))*'Inputs Yr 2'!P11*'Inputs Yr 2'!Q11*'Inputs Yr 2'!U11,"")</f>
        <v/>
      </c>
      <c r="BU11" s="197" t="str">
        <f>IFERROR(($G11*IF('Inputs Yr 2'!$AJ11=BL$4,'Inputs Yr 2'!$AK11,IF('Inputs Yr 2'!$AL11=BL$4,'Inputs Yr 2'!$AM11,IF('Inputs Yr 2'!$AN11=BL$4,'Inputs Yr 2'!$AO11,0))))*(INDEX(avoidedcosttbl2,$H11,BU$2)+(($H11-ROUNDDOWN($H11,0))*(INDEX(avoidedcosttbl2,ROUNDUP($H11,0),BU$2)-(INDEX(avoidedcosttbl2,ROUNDDOWN($H11,0),BU$2)))))*'Inputs Yr 2'!P11*'Inputs Yr 2'!Q11*'Inputs Yr 2'!U11,"")</f>
        <v/>
      </c>
      <c r="BV11" s="775" t="str">
        <f>IFERROR(($G11*IF('Inputs Yr 2'!$AJ11=BJ$4,'Inputs Yr 2'!$AK11,IF('Inputs Yr 2'!$AL11=BJ$4,'Inputs Yr 2'!$AM11,IF('Inputs Yr 2'!$AN11=BJ$4,'Inputs Yr 2'!$AO11,0))))*(INDEX(avoidedcosttbl2,$H11,BV$2)+(($H11-ROUNDDOWN($H11,0))*(INDEX(avoidedcosttbl2,ROUNDUP($H11,0),BV$2)-(INDEX(avoidedcosttbl2,ROUNDDOWN($H11,0),BV$2)))))*'Inputs Yr 2'!P11*'Inputs Yr 2'!Q11*'Inputs Yr 2'!U11,"")</f>
        <v/>
      </c>
      <c r="BW11" s="197" t="str">
        <f>IFERROR(($G11*IF('Inputs Yr 2'!$AJ11=BN$4,'Inputs Yr 2'!$AK11,IF('Inputs Yr 2'!$AL11=BN$4,'Inputs Yr 2'!$AM11,IF('Inputs Yr 2'!$AN11=BN$4,'Inputs Yr 2'!$AO11,0))))*(INDEX(avoidedcosttbl2,$H11,BW$2)+(($H11-ROUNDDOWN($H11,0))*(INDEX(avoidedcosttbl2,ROUNDUP($H11,0),BW$2)-(INDEX(avoidedcosttbl2,ROUNDDOWN($H11,0),BW$2)))))*'Inputs Yr 2'!P11*'Inputs Yr 2'!Q11*'Inputs Yr 2'!U11,"")</f>
        <v/>
      </c>
      <c r="BX11" s="197" t="str">
        <f>IFERROR(($G11*IF('Inputs Yr 2'!$AJ11=BO$4,'Inputs Yr 2'!$AK11,IF('Inputs Yr 2'!$AL11=BO$4,'Inputs Yr 2'!$AM11,IF('Inputs Yr 2'!$AN11=BO$4,'Inputs Yr 2'!$AO11,0))))*(INDEX(avoidedcosttbl2,$H11,BX$2)+(($H11-ROUNDDOWN($H11,0))*(INDEX(avoidedcosttbl2,ROUNDUP($H11,0),BX$2)-(INDEX(avoidedcosttbl2,ROUNDDOWN($H11,0),BX$2)))))*'Inputs Yr 2'!P11*'Inputs Yr 2'!Q11*'Inputs Yr 2'!U11,"")</f>
        <v/>
      </c>
      <c r="BY11" s="197" t="str">
        <f>IFERROR(($G11*IF('Inputs Yr 2'!$AJ11=BP$4,'Inputs Yr 2'!$AK11,IF('Inputs Yr 2'!$AL11=BP$4,'Inputs Yr 2'!$AM11,IF('Inputs Yr 2'!$AN11=BP$4,'Inputs Yr 2'!$AO11,0))))*(INDEX(avoidedcosttbl2,$H11,BY$2)+(($H11-ROUNDDOWN($H11,0))*(INDEX(avoidedcosttbl2,ROUNDUP($H11,0),BY$2)-(INDEX(avoidedcosttbl2,ROUNDDOWN($H11,0),BY$2)))))*'Inputs Yr 2'!P11*'Inputs Yr 2'!Q11*'Inputs Yr 2'!U11,"")</f>
        <v/>
      </c>
      <c r="BZ11" s="193">
        <f t="shared" si="39"/>
        <v>0</v>
      </c>
      <c r="CA11" s="193">
        <f t="shared" si="40"/>
        <v>0</v>
      </c>
      <c r="CB11" s="195" t="str">
        <f>IFERROR(G11*(IF('Inputs Yr 2'!$AJ11=CB$4,'Inputs Yr 2'!$AK11,IF('Inputs Yr 2'!$AL11=CB$4,'Inputs Yr 2'!$AM11,IF('Inputs Yr 2'!$AN11=CB$4,'Inputs Yr 2'!$AO11,0))))*(INDEX(avoidedcosttbl2,$H11,CB$2)+(($H11-ROUNDDOWN($H11,0))*(INDEX(avoidedcosttbl2,ROUNDUP($H11,0),CB$2)-(INDEX(avoidedcosttbl2,ROUNDDOWN($H11,0),CB$2)))))*'Inputs Yr 2'!P11*'Inputs Yr 2'!Q11*'Inputs Yr 2'!U11,"")</f>
        <v/>
      </c>
      <c r="CC11" s="195" t="str">
        <f>IFERROR(H11*(IF('Inputs Yr 2'!$AJ11=CC$4,'Inputs Yr 2'!$AK11,IF('Inputs Yr 2'!$AL11=CC$4,'Inputs Yr 2'!$AM11,IF('Inputs Yr 2'!$AN11=CC$4,'Inputs Yr 2'!$AO11,0))))*(INDEX(avoidedcosttbl2,$H11,CC$2)+(($H11-ROUNDDOWN($H11,0))*(INDEX(avoidedcosttbl2,ROUNDUP($H11,0),CC$2)-(INDEX(avoidedcosttbl2,ROUNDDOWN($H11,0),CC$2)))))*'Inputs Yr 2'!Q11*'Inputs Yr 2'!R11*'Inputs Yr 2'!V11,"")</f>
        <v/>
      </c>
      <c r="CD11" s="195" t="str">
        <f>IFERROR(I11*(IF('Inputs Yr 2'!$AJ11=CD$4,'Inputs Yr 2'!$AK11,IF('Inputs Yr 2'!$AL11=CD$4,'Inputs Yr 2'!$AM11,IF('Inputs Yr 2'!$AN11=CD$4,'Inputs Yr 2'!$AO11,0))))*(INDEX(avoidedcosttbl2,$H11,CD$2)+(($H11-ROUNDDOWN($H11,0))*(INDEX(avoidedcosttbl2,ROUNDUP($H11,0),CD$2)-(INDEX(avoidedcosttbl2,ROUNDDOWN($H11,0),CD$2)))))*'Inputs Yr 2'!R11*'Inputs Yr 2'!S11*'Inputs Yr 2'!W11,"")</f>
        <v/>
      </c>
      <c r="CE11" s="213" t="str">
        <f t="shared" si="41"/>
        <v/>
      </c>
      <c r="CF11" s="213" t="str">
        <f t="shared" si="42"/>
        <v/>
      </c>
      <c r="CG11" s="213" t="str">
        <f t="shared" si="43"/>
        <v/>
      </c>
      <c r="CH11" s="698">
        <f t="shared" si="44"/>
        <v>0</v>
      </c>
      <c r="CI11" s="79" t="str">
        <f>IFERROR(($G11*'Inputs Yr 2'!$P11*'Inputs Yr 2'!$Q11*(((INDEX(avoidedcosttbl2,$H11,CI$2)+(($H11-ROUNDDOWN($H11,0))*(INDEX(avoidedcosttbl2,ROUNDUP($H11,0),CI$2)-INDEX(avoidedcosttbl2,ROUNDDOWN($H11,0),CI$2))))*'Inputs Yr 2'!AS11))),"")</f>
        <v/>
      </c>
      <c r="CJ11" s="504" t="str">
        <f>IFERROR($G11*'Inputs Yr 2'!AT11*'Inputs Yr 2'!$P11*'Inputs Yr 2'!$Q11/((1+realdiscrt1)^-0.5),"")</f>
        <v/>
      </c>
      <c r="CK11" s="79" t="str">
        <f>IFERROR((O11*1000*(((INDEX(avoidedcosttbl2,$H11,CK$2)+(($H11-ROUNDDOWN($H11,0))*(INDEX(avoidedcosttbl2,ROUNDUP($H11,0),CK$2)-INDEX(avoidedcosttbl2,ROUNDDOWN($H11,0),CK$2))))*'Inputs Yr 2'!AU11))),"")</f>
        <v/>
      </c>
      <c r="CL11" s="504" t="str">
        <f>IFERROR(O11*1000*'Inputs Yr 2'!AV11/((1+realdiscrt1)^-0.5),"")</f>
        <v/>
      </c>
      <c r="CM11" s="79" t="str">
        <f>IFERROR((AB11*'Inputs Yr 2'!AW11*(((INDEX(avoidedcosttbl2,$H11,CM$2)+(($H11-ROUNDDOWN($H11,0))*(INDEX(avoidedcosttbl2,ROUNDUP($H11,0),CM$2)-INDEX(avoidedcosttbl2,ROUNDDOWN($H11,0),CM$2)))))))*10,"")</f>
        <v/>
      </c>
      <c r="CN11" s="504">
        <f>IFERROR(10*AB11*'Inputs Yr 2'!AX11/((1+realdiscrt1)^-0.5),"")</f>
        <v>0</v>
      </c>
      <c r="CO11" s="505">
        <f t="shared" si="45"/>
        <v>0</v>
      </c>
      <c r="CP11" s="230">
        <f t="shared" si="46"/>
        <v>0</v>
      </c>
      <c r="CQ11" s="199">
        <f>ROUND(IFERROR(IF(LEFT($A11,1)="C",'Avoided Costs'!$K$13,'Avoided Costs'!$K$12)+1,""),4)</f>
        <v>1.0720000000000001</v>
      </c>
      <c r="CR11" s="199">
        <f>ROUND(IFERROR(IF(LEFT($A11,1)="C",'Avoided Costs'!$L$13,'Avoided Costs'!$L$12)+1,""),4)</f>
        <v>1.04</v>
      </c>
      <c r="CS11" s="199">
        <f>ROUND(IFERROR(IF(LEFT($A11,1)="C",'Avoided Costs'!$M$13,'Avoided Costs'!$M$12)+1,""),4)</f>
        <v>1.0720000000000001</v>
      </c>
      <c r="CT11" s="199">
        <f>ROUND(IFERROR(IF(LEFT($A11,1)="C",'Avoided Costs'!$N$13,'Avoided Costs'!$N$12)+1,""),4)</f>
        <v>1.04</v>
      </c>
      <c r="CU11" s="199">
        <f>ROUND(IFERROR(IF(LEFT($A11,1)="C",'Avoided Costs'!$O$13,'Avoided Costs'!$O$12)+1,""),4)</f>
        <v>1.1120000000000001</v>
      </c>
      <c r="CV11" s="199">
        <f>ROUND(IFERROR(IF(LEFT($A11,1)="C",'Avoided Costs'!$P$13,'Avoided Costs'!$P$12)+1,""),4)</f>
        <v>1.095</v>
      </c>
      <c r="CW11" s="199">
        <f>ROUND(IFERROR(IF(LEFT($A11,1)="C",'Avoided Costs'!$Q$13,'Avoided Costs'!$Q$12)+1,""),4)</f>
        <v>1.1120000000000001</v>
      </c>
      <c r="CX11" s="200">
        <f>ROUND(IFERROR(IF(LEFT($A11,1)="C",'Avoided Costs'!$R$13,'Avoided Costs'!$R$12)+1,""),4)</f>
        <v>1.1120000000000001</v>
      </c>
    </row>
    <row r="12" spans="1:105">
      <c r="A12" s="91" t="str">
        <f>IF('Inputs Yr 2'!$B12=0,"",'Inputs Yr 2'!A12)</f>
        <v>A - Residential</v>
      </c>
      <c r="B12" s="91" t="str">
        <f>IF('Inputs Yr 2'!$B12=0,"",'Inputs Yr 2'!B12)</f>
        <v>A1 - Residential Whole House</v>
      </c>
      <c r="C12" s="91" t="str">
        <f>IF('Inputs Yr 2'!$B12=0,"",'Inputs Yr 2'!C12)</f>
        <v>A1a - Residential New Construction</v>
      </c>
      <c r="D12" s="91" t="str">
        <f>IF('Inputs Yr 2'!$B12=0,"",'Inputs Yr 2'!E12)</f>
        <v>High Rise NC Water Heating</v>
      </c>
      <c r="E12" s="93" t="str">
        <f>IF('Inputs Yr 2'!$B12=0,"",'Inputs Yr 2'!F12)</f>
        <v>G16A1a08</v>
      </c>
      <c r="F12" s="93" t="str">
        <f>IF('Inputs Yr 2'!$B12=0,"",'Inputs Yr 2'!G12)</f>
        <v>Hot Water</v>
      </c>
      <c r="G12" s="95">
        <f>IF('Inputs Yr 2'!$H12&lt;&gt;0,('Inputs Yr 2'!H12),"")</f>
        <v>3813</v>
      </c>
      <c r="H12" s="94">
        <f>IFERROR('Inputs Yr 2'!I12,"")</f>
        <v>15</v>
      </c>
      <c r="I12" s="298">
        <f>IFERROR('Inputs Yr 2'!J12*'Inputs Yr 2'!P12*G12,"")</f>
        <v>0</v>
      </c>
      <c r="J12" s="298">
        <f>IFERROR('Inputs Yr 2'!K12*G12,"")</f>
        <v>0</v>
      </c>
      <c r="K12" s="298">
        <f t="shared" si="23"/>
        <v>0</v>
      </c>
      <c r="L12" s="194">
        <f>IFERROR(('Inputs Yr 2'!W12*G12)/1000,"")</f>
        <v>0</v>
      </c>
      <c r="M12" s="194">
        <f>IFERROR(L12*('Inputs Yr 2'!$Q12*'Inputs Yr 2'!$V12*'Inputs Yr 2'!$R12),"")</f>
        <v>0</v>
      </c>
      <c r="N12" s="194">
        <f t="shared" si="24"/>
        <v>0</v>
      </c>
      <c r="O12" s="194">
        <f>IFERROR(M12*'Inputs Yr 2'!P12,"")</f>
        <v>0</v>
      </c>
      <c r="P12" s="194">
        <f t="shared" si="25"/>
        <v>0</v>
      </c>
      <c r="Q12" s="194">
        <f>IFERROR($P12*'Inputs Yr 2'!AA12,"")</f>
        <v>0</v>
      </c>
      <c r="R12" s="194">
        <f>IFERROR($P12*'Inputs Yr 2'!AB12,"")</f>
        <v>0</v>
      </c>
      <c r="S12" s="194">
        <f>IFERROR($P12*'Inputs Yr 2'!AC12,"")</f>
        <v>0</v>
      </c>
      <c r="T12" s="194">
        <f>IFERROR($P12*'Inputs Yr 2'!AD12,"")</f>
        <v>0</v>
      </c>
      <c r="U12" s="194">
        <f>IFERROR(G12*'Inputs Yr 2'!$AE12*'Inputs Yr 2'!$P12*'Inputs Yr 2'!$Q12,"")</f>
        <v>0</v>
      </c>
      <c r="V12" s="194">
        <f>IFERROR($G12*'Inputs Yr 2'!$AE12*'Inputs Yr 2'!$AG12*'Inputs Yr 2'!Q12*'Inputs Yr 2'!$S12,"")</f>
        <v>0</v>
      </c>
      <c r="W12" s="194">
        <f>IFERROR($G12*'Inputs Yr 2'!$AE12*'Inputs Yr 2'!$AG12*'Inputs Yr 2'!P12*'Inputs Yr 2'!Q12*'Inputs Yr 2'!$S12,"")</f>
        <v>0</v>
      </c>
      <c r="X12" s="194">
        <f>IFERROR($G12*'Inputs Yr 2'!$AE12*'Inputs Yr 2'!$AF12*'Inputs Yr 2'!Q12*'Inputs Yr 2'!$T12,"")</f>
        <v>0</v>
      </c>
      <c r="Y12" s="194">
        <f>IFERROR($G12*'Inputs Yr 2'!$AE12*'Inputs Yr 2'!$AF12*'Inputs Yr 2'!P12*'Inputs Yr 2'!Q12*'Inputs Yr 2'!$T12,"")</f>
        <v>0</v>
      </c>
      <c r="Z12" s="257">
        <f>IFERROR($G12*'Inputs Yr 2'!$Q12*'Inputs Yr 2'!$U12*(IF(IFERROR(SEARCH("NG", 'Inputs Yr 2'!$AJ12),0),'Inputs Yr 2'!$AK12,0)+IF(IFERROR(SEARCH("NG", 'Inputs Yr 2'!$AL12),0),'Inputs Yr 2'!$AM12,0)+IF(IFERROR(SEARCH("NG", 'Inputs Yr 2'!$AN12),0),'Inputs Yr 2'!$AO12,0)),0)</f>
        <v>11485.521000000001</v>
      </c>
      <c r="AA12" s="257">
        <f t="shared" si="26"/>
        <v>172282.815</v>
      </c>
      <c r="AB12" s="257">
        <f>IFERROR(Z12*'Inputs Yr 2'!$P12,0)</f>
        <v>11485.521000000001</v>
      </c>
      <c r="AC12" s="257">
        <f t="shared" si="27"/>
        <v>172282.815</v>
      </c>
      <c r="AD12" s="257">
        <f>IFERROR($G12*'Inputs Yr 2'!$Q12*'Inputs Yr 2'!$U12*(IF(IFERROR(SEARCH("Oil", 'Inputs Yr 2'!$AJ12), 0),'Inputs Yr 2'!$AK12,0)+IF(IFERROR(SEARCH("Oil", 'Inputs Yr 2'!$AL12), 0),'Inputs Yr 2'!$AM12,0)+IF(IFERROR(SEARCH("Oil", 'Inputs Yr 2'!$AN12), 0),'Inputs Yr 2'!$AO12,0)),0)</f>
        <v>0</v>
      </c>
      <c r="AE12" s="257">
        <f t="shared" si="28"/>
        <v>0</v>
      </c>
      <c r="AF12" s="257">
        <f>IFERROR(AD12*'Inputs Yr 2'!$P12,0)</f>
        <v>0</v>
      </c>
      <c r="AG12" s="257">
        <f t="shared" si="29"/>
        <v>0</v>
      </c>
      <c r="AH12" s="257">
        <f>IFERROR($G12*'Inputs Yr 2'!$Q12*'Inputs Yr 2'!$U12*(IF('Inputs Yr 2'!$AJ12=CD$4,'Inputs Yr 2'!$AK12,IF('Inputs Yr 2'!$AL12=CD$4,'Inputs Yr 2'!$AM12,IF('Inputs Yr 2'!$AN12=CD$4,'Inputs Yr 2'!$AO12,0)))),0)</f>
        <v>0</v>
      </c>
      <c r="AI12" s="257">
        <f t="shared" si="30"/>
        <v>0</v>
      </c>
      <c r="AJ12" s="257">
        <f>IFERROR(AH12*'Inputs Yr 2'!$P12,0)</f>
        <v>0</v>
      </c>
      <c r="AK12" s="257">
        <f t="shared" si="31"/>
        <v>0</v>
      </c>
      <c r="AL12" s="258">
        <f>IFERROR($G12*'Inputs Yr 2'!$P12*'Inputs Yr 2'!$Q12*'Inputs Yr 2'!AP12,0)</f>
        <v>0</v>
      </c>
      <c r="AM12" s="260">
        <f>IFERROR($G12*'Inputs Yr 2'!$P12*'Inputs Yr 2'!$Q12*'Inputs Yr 2'!AQ12,0)</f>
        <v>0</v>
      </c>
      <c r="AN12" s="258">
        <f>IFERROR($G12*'Inputs Yr 2'!$P12*'Inputs Yr 2'!$Q12*'Inputs Yr 2'!AR12,0)</f>
        <v>0</v>
      </c>
      <c r="AO12" s="257">
        <f t="shared" si="32"/>
        <v>0</v>
      </c>
      <c r="AP12" s="195">
        <f>IFERROR($CQ12*(INDEX(avoidedcosttbl2,$H12,AP$2)+(($H12-ROUNDDOWN($H12,0))*(INDEX(avoidedcosttbl2,ROUNDUP($H12,0),AP$2)-(INDEX(avoidedcosttbl2,ROUNDDOWN($H12,0),AP$2)))))*$O12*1000*'Inputs Yr 2'!AA12,"")</f>
        <v>0</v>
      </c>
      <c r="AQ12" s="195">
        <f>IFERROR($CR12*(INDEX(avoidedcosttbl2,$H12,AQ$2)+(($H12-ROUNDDOWN($H12,0))*(INDEX(avoidedcosttbl2,ROUNDUP($H12,0),AQ$2)-(INDEX(avoidedcosttbl2,ROUNDDOWN($H12,0),AQ$2)))))*$O12*1000*'Inputs Yr 2'!AB12,"")</f>
        <v>0</v>
      </c>
      <c r="AR12" s="195">
        <f>IFERROR($CS12*(INDEX(avoidedcosttbl2,$H12,AR$2)+(($H12-ROUNDDOWN($H12,0))*(INDEX(avoidedcosttbl2,ROUNDUP($H12,0),AR$2)-(INDEX(avoidedcosttbl2,ROUNDDOWN($H12,0),AR$2)))))*$O12*1000*'Inputs Yr 2'!AC12,"")</f>
        <v>0</v>
      </c>
      <c r="AS12" s="195">
        <f>IFERROR($CT12*(INDEX(avoidedcosttbl2,$H12,AS$2)+(($H12-ROUNDDOWN($H12,0))*(INDEX(avoidedcosttbl2,ROUNDUP($H12,0),AS$2)-(INDEX(avoidedcosttbl2,ROUNDDOWN($H12,0),AS$2)))))*$O12*1000*'Inputs Yr 2'!AD12,"")</f>
        <v>0</v>
      </c>
      <c r="AT12" s="196">
        <f t="shared" si="33"/>
        <v>0</v>
      </c>
      <c r="AU12" s="197">
        <f>IFERROR($CQ12*((INDEX(avoidedcosttbl2,$H12,AU$2))+(($H12-ROUNDDOWN($H12,0))*((INDEX(avoidedcosttbl2,ROUNDUP($H12,0),AU$2))-(INDEX(avoidedcosttbl2,ROUNDDOWN($H12,0),AU$2)))))*$O12*1000*'Inputs Yr 2'!AA12,"")</f>
        <v>0</v>
      </c>
      <c r="AV12" s="197">
        <f>IFERROR($CR12*((INDEX(avoidedcosttbl2,$H12,AV$2))+(($H12-ROUNDDOWN($H12,0))*((INDEX(avoidedcosttbl2,ROUNDUP($H12,0),AV$2))-(INDEX(avoidedcosttbl2,ROUNDDOWN($H12,0),AV$2)))))*$O12*1000*'Inputs Yr 2'!AB12,"")</f>
        <v>0</v>
      </c>
      <c r="AW12" s="197">
        <f>IFERROR($CS12*((INDEX(avoidedcosttbl2,$H12,AW$2))+(($H12-ROUNDDOWN($H12,0))*((INDEX(avoidedcosttbl2,ROUNDUP($H12,0),AW$2))-(INDEX(avoidedcosttbl2,ROUNDDOWN($H12,0),AW$2)))))*$O12*1000*'Inputs Yr 2'!AC12,"")</f>
        <v>0</v>
      </c>
      <c r="AX12" s="197">
        <f>IFERROR($CT12*((INDEX(avoidedcosttbl2,$H12,AX$2))+(($H12-ROUNDDOWN($H12,0))*((INDEX(avoidedcosttbl2,ROUNDUP($H12,0),AX$2))-(INDEX(avoidedcosttbl2,ROUNDDOWN($H12,0),AX$2)))))*$O12*1000*'Inputs Yr 2'!AD12,"")</f>
        <v>0</v>
      </c>
      <c r="AY12" s="197">
        <f>IFERROR(((INDEX(avoidedcosttbl2,$H12,AY$2))+(($H12-ROUNDDOWN($H12,0))*((INDEX(avoidedcosttbl2,ROUNDUP($H12,0),AY$2))-(INDEX(avoidedcosttbl2,ROUNDDOWN($H12,0),AY$2)))))*$O12*1000*('Inputs Yr 2'!AC12+'Inputs Yr 2'!AD12),"")</f>
        <v>0</v>
      </c>
      <c r="AZ12" s="197">
        <f>IFERROR(((INDEX(avoidedcosttbl2,$H12,AZ$2))+(($H12-ROUNDDOWN($H12,0))*((INDEX(avoidedcosttbl2,ROUNDUP($H12,0),AZ$2))-(INDEX(avoidedcosttbl2,ROUNDDOWN($H12,0),AZ$2)))))*$O12*1000*('Inputs Yr 2'!AA12+'Inputs Yr 2'!AB12),"")</f>
        <v>0</v>
      </c>
      <c r="BA12" s="198">
        <f t="shared" si="34"/>
        <v>0</v>
      </c>
      <c r="BB12" s="198">
        <f t="shared" si="35"/>
        <v>0</v>
      </c>
      <c r="BC12" s="195">
        <f t="shared" si="10"/>
        <v>0</v>
      </c>
      <c r="BD12" s="195">
        <f t="shared" si="11"/>
        <v>0</v>
      </c>
      <c r="BE12" s="195">
        <f t="shared" si="12"/>
        <v>0</v>
      </c>
      <c r="BF12" s="195">
        <f t="shared" si="13"/>
        <v>0</v>
      </c>
      <c r="BG12" s="195">
        <f t="shared" si="14"/>
        <v>0</v>
      </c>
      <c r="BH12" s="196">
        <f t="shared" si="36"/>
        <v>0</v>
      </c>
      <c r="BI12" s="196">
        <f t="shared" si="37"/>
        <v>0</v>
      </c>
      <c r="BJ12" s="195">
        <f>IFERROR($G12*(IF('Inputs Yr 2'!$AJ12=BJ$4,'Inputs Yr 2'!$AK12,IF('Inputs Yr 2'!$AL12=BJ$4,'Inputs Yr 2'!$AM12,IF('Inputs Yr 2'!$AN12=BJ$4,'Inputs Yr 2'!$AO12,0))))*(INDEX(avoidedcosttbl2,$H12,BJ$2)+(($H12-ROUNDDOWN($H12,0))*(INDEX(avoidedcosttbl2,ROUNDUP($H12,0),BJ$2)-(INDEX(avoidedcosttbl2,ROUNDDOWN($H12,0),BJ$2)))))*'Inputs Yr 2'!P12*'Inputs Yr 2'!Q12*'Inputs Yr 2'!U12,"")</f>
        <v>0</v>
      </c>
      <c r="BK12" s="195">
        <f>IFERROR($G12*(IF('Inputs Yr 2'!$AJ12=BK$4,'Inputs Yr 2'!$AK12,IF('Inputs Yr 2'!$AL12=BK$4,'Inputs Yr 2'!$AM12,IF('Inputs Yr 2'!$AN12=BK$4,'Inputs Yr 2'!$AO12,0))))*(INDEX(avoidedcosttbl2,$H12,BK$2)+(($H12-ROUNDDOWN($H12,0))*(INDEX(avoidedcosttbl2,ROUNDUP($H12,0),BK$2)-(INDEX(avoidedcosttbl2,ROUNDDOWN($H12,0),BK$2)))))*'Inputs Yr 2'!P12*'Inputs Yr 2'!Q12*'Inputs Yr 2'!U12,"")</f>
        <v>1380523.8382364148</v>
      </c>
      <c r="BL12" s="195">
        <f>IFERROR($G12*(IF('Inputs Yr 2'!$AJ12=BL$4,'Inputs Yr 2'!$AK12,IF('Inputs Yr 2'!$AL12=BL$4,'Inputs Yr 2'!$AM12,IF('Inputs Yr 2'!$AN12=BL$4,'Inputs Yr 2'!$AO12,0))))*(INDEX(avoidedcosttbl2,$H12,BL$2)+(($H12-ROUNDDOWN($H12,0))*(INDEX(avoidedcosttbl2,ROUNDUP($H12,0),BL$2)-(INDEX(avoidedcosttbl2,ROUNDDOWN($H12,0),BL$2)))))*'Inputs Yr 2'!P12*'Inputs Yr 2'!Q12*'Inputs Yr 2'!U12,"")</f>
        <v>0</v>
      </c>
      <c r="BM12" s="195">
        <f>IFERROR($G12*(IF('Inputs Yr 2'!$AJ12=BM$4,'Inputs Yr 2'!$AK12,IF('Inputs Yr 2'!$AL12=BM$4,'Inputs Yr 2'!$AM12,IF('Inputs Yr 2'!$AN12=BM$4,'Inputs Yr 2'!$AO12,0))))*(INDEX(avoidedcosttbl2,$H12,BM$2)+(($H12-ROUNDDOWN($H12,0))*(INDEX(avoidedcosttbl2,ROUNDUP($H12,0),BM$2)-(INDEX(avoidedcosttbl2,ROUNDDOWN($H12,0),BM$2)))))*'Inputs Yr 2'!P12*'Inputs Yr 2'!Q12*'Inputs Yr 2'!U12,"")</f>
        <v>0</v>
      </c>
      <c r="BN12" s="195">
        <f>IFERROR($G12*(IF('Inputs Yr 2'!$AJ12=BN$4,'Inputs Yr 2'!$AK12,IF('Inputs Yr 2'!$AL12=BN$4,'Inputs Yr 2'!$AM12,IF('Inputs Yr 2'!$AN12=BN$4,'Inputs Yr 2'!$AO12,0))))*(INDEX(avoidedcosttbl2,$H12,BN$2)+(($H12-ROUNDDOWN($H12,0))*(INDEX(avoidedcosttbl2,ROUNDUP($H12,0),BN$2)-(INDEX(avoidedcosttbl2,ROUNDDOWN($H12,0),BN$2)))))*'Inputs Yr 2'!P12*'Inputs Yr 2'!Q12*'Inputs Yr 2'!U12,"")</f>
        <v>0</v>
      </c>
      <c r="BO12" s="195">
        <f>IFERROR($G12*(IF('Inputs Yr 2'!$AJ12=BO$4,'Inputs Yr 2'!$AK12,IF('Inputs Yr 2'!$AL12=BO$4,'Inputs Yr 2'!$AM12,IF('Inputs Yr 2'!$AN12=BO$4,'Inputs Yr 2'!$AO12,0))))*(INDEX(avoidedcosttbl2,$H12,BO$2)+(($H12-ROUNDDOWN($H12,0))*(INDEX(avoidedcosttbl2,ROUNDUP($H12,0),BO$2)-(INDEX(avoidedcosttbl2,ROUNDDOWN($H12,0),BO$2)))))*'Inputs Yr 2'!P12*'Inputs Yr 2'!Q12*'Inputs Yr 2'!U12,"")</f>
        <v>0</v>
      </c>
      <c r="BP12" s="195">
        <f>IFERROR($G12*(IF('Inputs Yr 2'!$AJ12=BP$4,'Inputs Yr 2'!$AK12,IF('Inputs Yr 2'!$AL12=BP$4,'Inputs Yr 2'!$AM12,IF('Inputs Yr 2'!$AN12=BP$4,'Inputs Yr 2'!$AO12,0))))*(INDEX(avoidedcosttbl2,$H12,BP$2)+(($H12-ROUNDDOWN($H12,0))*(INDEX(avoidedcosttbl2,ROUNDUP($H12,0),BP$2)-(INDEX(avoidedcosttbl2,ROUNDDOWN($H12,0),BP$2)))))*'Inputs Yr 2'!P12*'Inputs Yr 2'!Q12*'Inputs Yr 2'!U12,"")</f>
        <v>0</v>
      </c>
      <c r="BQ12" s="230">
        <f t="shared" si="38"/>
        <v>1380523.8382364148</v>
      </c>
      <c r="BR12" s="197">
        <f t="shared" si="17"/>
        <v>23351.540914705769</v>
      </c>
      <c r="BS12" s="197">
        <f>IFERROR(($G12*IF('Inputs Yr 2'!$AJ12=BM$4,'Inputs Yr 2'!$AK12,IF('Inputs Yr 2'!$AL12=BM$4,'Inputs Yr 2'!$AM12,IF('Inputs Yr 2'!$AN12=BM$4,'Inputs Yr 2'!$AO12,0))))*(INDEX(avoidedcosttbl2,$H12,BS$2)+(($H12-ROUNDDOWN($H12,0))*(INDEX(avoidedcosttbl2,ROUNDUP($H12,0),BS$2)-(INDEX(avoidedcosttbl2,ROUNDDOWN($H12,0),BS$2)))))*'Inputs Yr 2'!P12*'Inputs Yr 2'!Q12*'Inputs Yr 2'!U12,"")</f>
        <v>0</v>
      </c>
      <c r="BT12" s="197">
        <f>IFERROR(($G12*IF('Inputs Yr 2'!$AJ12=BK$4,'Inputs Yr 2'!$AK12,IF('Inputs Yr 2'!$AL12=BK$4,'Inputs Yr 2'!$AM12,IF('Inputs Yr 2'!$AN12=BK$4,'Inputs Yr 2'!$AO12,0))))*(INDEX(avoidedcosttbl2,$H12,BT$2)+(($H12-ROUNDDOWN($H12,0))*(INDEX(avoidedcosttbl2,ROUNDUP($H12,0),BT$2)-(INDEX(avoidedcosttbl2,ROUNDDOWN($H12,0),BT$2)))))*'Inputs Yr 2'!P12*'Inputs Yr 2'!Q12*'Inputs Yr 2'!U12,"")</f>
        <v>94855.755146932832</v>
      </c>
      <c r="BU12" s="197">
        <f>IFERROR(($G12*IF('Inputs Yr 2'!$AJ12=BL$4,'Inputs Yr 2'!$AK12,IF('Inputs Yr 2'!$AL12=BL$4,'Inputs Yr 2'!$AM12,IF('Inputs Yr 2'!$AN12=BL$4,'Inputs Yr 2'!$AO12,0))))*(INDEX(avoidedcosttbl2,$H12,BU$2)+(($H12-ROUNDDOWN($H12,0))*(INDEX(avoidedcosttbl2,ROUNDUP($H12,0),BU$2)-(INDEX(avoidedcosttbl2,ROUNDDOWN($H12,0),BU$2)))))*'Inputs Yr 2'!P12*'Inputs Yr 2'!Q12*'Inputs Yr 2'!U12,"")</f>
        <v>0</v>
      </c>
      <c r="BV12" s="775">
        <f>IFERROR(($G12*IF('Inputs Yr 2'!$AJ12=BJ$4,'Inputs Yr 2'!$AK12,IF('Inputs Yr 2'!$AL12=BJ$4,'Inputs Yr 2'!$AM12,IF('Inputs Yr 2'!$AN12=BJ$4,'Inputs Yr 2'!$AO12,0))))*(INDEX(avoidedcosttbl2,$H12,BV$2)+(($H12-ROUNDDOWN($H12,0))*(INDEX(avoidedcosttbl2,ROUNDUP($H12,0),BV$2)-(INDEX(avoidedcosttbl2,ROUNDDOWN($H12,0),BV$2)))))*'Inputs Yr 2'!P12*'Inputs Yr 2'!Q12*'Inputs Yr 2'!U12,"")</f>
        <v>0</v>
      </c>
      <c r="BW12" s="197">
        <f>IFERROR(($G12*IF('Inputs Yr 2'!$AJ12=BN$4,'Inputs Yr 2'!$AK12,IF('Inputs Yr 2'!$AL12=BN$4,'Inputs Yr 2'!$AM12,IF('Inputs Yr 2'!$AN12=BN$4,'Inputs Yr 2'!$AO12,0))))*(INDEX(avoidedcosttbl2,$H12,BW$2)+(($H12-ROUNDDOWN($H12,0))*(INDEX(avoidedcosttbl2,ROUNDUP($H12,0),BW$2)-(INDEX(avoidedcosttbl2,ROUNDDOWN($H12,0),BW$2)))))*'Inputs Yr 2'!P12*'Inputs Yr 2'!Q12*'Inputs Yr 2'!U12,"")</f>
        <v>0</v>
      </c>
      <c r="BX12" s="197">
        <f>IFERROR(($G12*IF('Inputs Yr 2'!$AJ12=BO$4,'Inputs Yr 2'!$AK12,IF('Inputs Yr 2'!$AL12=BO$4,'Inputs Yr 2'!$AM12,IF('Inputs Yr 2'!$AN12=BO$4,'Inputs Yr 2'!$AO12,0))))*(INDEX(avoidedcosttbl2,$H12,BX$2)+(($H12-ROUNDDOWN($H12,0))*(INDEX(avoidedcosttbl2,ROUNDUP($H12,0),BX$2)-(INDEX(avoidedcosttbl2,ROUNDDOWN($H12,0),BX$2)))))*'Inputs Yr 2'!P12*'Inputs Yr 2'!Q12*'Inputs Yr 2'!U12,"")</f>
        <v>0</v>
      </c>
      <c r="BY12" s="197">
        <f>IFERROR(($G12*IF('Inputs Yr 2'!$AJ12=BP$4,'Inputs Yr 2'!$AK12,IF('Inputs Yr 2'!$AL12=BP$4,'Inputs Yr 2'!$AM12,IF('Inputs Yr 2'!$AN12=BP$4,'Inputs Yr 2'!$AO12,0))))*(INDEX(avoidedcosttbl2,$H12,BY$2)+(($H12-ROUNDDOWN($H12,0))*(INDEX(avoidedcosttbl2,ROUNDUP($H12,0),BY$2)-(INDEX(avoidedcosttbl2,ROUNDDOWN($H12,0),BY$2)))))*'Inputs Yr 2'!P12*'Inputs Yr 2'!Q12*'Inputs Yr 2'!U12,"")</f>
        <v>0</v>
      </c>
      <c r="BZ12" s="193">
        <f t="shared" si="39"/>
        <v>118207.2960616386</v>
      </c>
      <c r="CA12" s="193">
        <f t="shared" si="40"/>
        <v>1498731.1342980533</v>
      </c>
      <c r="CB12" s="195">
        <f>IFERROR(G12*(IF('Inputs Yr 2'!$AJ12=CB$4,'Inputs Yr 2'!$AK12,IF('Inputs Yr 2'!$AL12=CB$4,'Inputs Yr 2'!$AM12,IF('Inputs Yr 2'!$AN12=CB$4,'Inputs Yr 2'!$AO12,0))))*(INDEX(avoidedcosttbl2,$H12,CB$2)+(($H12-ROUNDDOWN($H12,0))*(INDEX(avoidedcosttbl2,ROUNDUP($H12,0),CB$2)-(INDEX(avoidedcosttbl2,ROUNDDOWN($H12,0),CB$2)))))*'Inputs Yr 2'!P12*'Inputs Yr 2'!Q12*'Inputs Yr 2'!U12,"")</f>
        <v>0</v>
      </c>
      <c r="CC12" s="195">
        <f>IFERROR(H12*(IF('Inputs Yr 2'!$AJ12=CC$4,'Inputs Yr 2'!$AK12,IF('Inputs Yr 2'!$AL12=CC$4,'Inputs Yr 2'!$AM12,IF('Inputs Yr 2'!$AN12=CC$4,'Inputs Yr 2'!$AO12,0))))*(INDEX(avoidedcosttbl2,$H12,CC$2)+(($H12-ROUNDDOWN($H12,0))*(INDEX(avoidedcosttbl2,ROUNDUP($H12,0),CC$2)-(INDEX(avoidedcosttbl2,ROUNDDOWN($H12,0),CC$2)))))*'Inputs Yr 2'!Q12*'Inputs Yr 2'!R12*'Inputs Yr 2'!V12,"")</f>
        <v>0</v>
      </c>
      <c r="CD12" s="195">
        <f>IFERROR(I12*(IF('Inputs Yr 2'!$AJ12=CD$4,'Inputs Yr 2'!$AK12,IF('Inputs Yr 2'!$AL12=CD$4,'Inputs Yr 2'!$AM12,IF('Inputs Yr 2'!$AN12=CD$4,'Inputs Yr 2'!$AO12,0))))*(INDEX(avoidedcosttbl2,$H12,CD$2)+(($H12-ROUNDDOWN($H12,0))*(INDEX(avoidedcosttbl2,ROUNDUP($H12,0),CD$2)-(INDEX(avoidedcosttbl2,ROUNDDOWN($H12,0),CD$2)))))*'Inputs Yr 2'!R12*'Inputs Yr 2'!S12*'Inputs Yr 2'!W12,"")</f>
        <v>0</v>
      </c>
      <c r="CE12" s="213">
        <f t="shared" si="41"/>
        <v>0</v>
      </c>
      <c r="CF12" s="213">
        <f t="shared" si="42"/>
        <v>0</v>
      </c>
      <c r="CG12" s="213">
        <f t="shared" si="43"/>
        <v>0</v>
      </c>
      <c r="CH12" s="698">
        <f t="shared" si="44"/>
        <v>1498731.1342980533</v>
      </c>
      <c r="CI12" s="79">
        <f>IFERROR(($G12*'Inputs Yr 2'!$P12*'Inputs Yr 2'!$Q12*(((INDEX(avoidedcosttbl2,$H12,CI$2)+(($H12-ROUNDDOWN($H12,0))*(INDEX(avoidedcosttbl2,ROUNDUP($H12,0),CI$2)-INDEX(avoidedcosttbl2,ROUNDDOWN($H12,0),CI$2))))*'Inputs Yr 2'!AS12))),"")</f>
        <v>0</v>
      </c>
      <c r="CJ12" s="504">
        <f>IFERROR($G12*'Inputs Yr 2'!AT12*'Inputs Yr 2'!$P12*'Inputs Yr 2'!$Q12/((1+realdiscrt1)^-0.5),"")</f>
        <v>0</v>
      </c>
      <c r="CK12" s="79">
        <f>IFERROR((O12*1000*(((INDEX(avoidedcosttbl2,$H12,CK$2)+(($H12-ROUNDDOWN($H12,0))*(INDEX(avoidedcosttbl2,ROUNDUP($H12,0),CK$2)-INDEX(avoidedcosttbl2,ROUNDDOWN($H12,0),CK$2))))*'Inputs Yr 2'!AU12))),"")</f>
        <v>0</v>
      </c>
      <c r="CL12" s="504">
        <f>IFERROR(O12*1000*'Inputs Yr 2'!AV12/((1+realdiscrt1)^-0.5),"")</f>
        <v>0</v>
      </c>
      <c r="CM12" s="79">
        <f>IFERROR((AB12*'Inputs Yr 2'!AW12*(((INDEX(avoidedcosttbl2,$H12,CM$2)+(($H12-ROUNDDOWN($H12,0))*(INDEX(avoidedcosttbl2,ROUNDUP($H12,0),CM$2)-INDEX(avoidedcosttbl2,ROUNDDOWN($H12,0),CM$2)))))))*10,"")</f>
        <v>0</v>
      </c>
      <c r="CN12" s="504">
        <f>IFERROR(10*AB12*'Inputs Yr 2'!AX12/((1+realdiscrt1)^-0.5),"")</f>
        <v>0</v>
      </c>
      <c r="CO12" s="505">
        <f t="shared" si="45"/>
        <v>0</v>
      </c>
      <c r="CP12" s="230">
        <f t="shared" si="46"/>
        <v>1498731.1342980533</v>
      </c>
      <c r="CQ12" s="199">
        <f>ROUND(IFERROR(IF(LEFT($A12,1)="C",'Avoided Costs'!$K$13,'Avoided Costs'!$K$12)+1,""),4)</f>
        <v>1.0720000000000001</v>
      </c>
      <c r="CR12" s="199">
        <f>ROUND(IFERROR(IF(LEFT($A12,1)="C",'Avoided Costs'!$L$13,'Avoided Costs'!$L$12)+1,""),4)</f>
        <v>1.04</v>
      </c>
      <c r="CS12" s="199">
        <f>ROUND(IFERROR(IF(LEFT($A12,1)="C",'Avoided Costs'!$M$13,'Avoided Costs'!$M$12)+1,""),4)</f>
        <v>1.0720000000000001</v>
      </c>
      <c r="CT12" s="199">
        <f>ROUND(IFERROR(IF(LEFT($A12,1)="C",'Avoided Costs'!$N$13,'Avoided Costs'!$N$12)+1,""),4)</f>
        <v>1.04</v>
      </c>
      <c r="CU12" s="199">
        <f>ROUND(IFERROR(IF(LEFT($A12,1)="C",'Avoided Costs'!$O$13,'Avoided Costs'!$O$12)+1,""),4)</f>
        <v>1.1120000000000001</v>
      </c>
      <c r="CV12" s="199">
        <f>ROUND(IFERROR(IF(LEFT($A12,1)="C",'Avoided Costs'!$P$13,'Avoided Costs'!$P$12)+1,""),4)</f>
        <v>1.095</v>
      </c>
      <c r="CW12" s="199">
        <f>ROUND(IFERROR(IF(LEFT($A12,1)="C",'Avoided Costs'!$Q$13,'Avoided Costs'!$Q$12)+1,""),4)</f>
        <v>1.1120000000000001</v>
      </c>
      <c r="CX12" s="200">
        <f>ROUND(IFERROR(IF(LEFT($A12,1)="C",'Avoided Costs'!$R$13,'Avoided Costs'!$R$12)+1,""),4)</f>
        <v>1.1120000000000001</v>
      </c>
    </row>
    <row r="13" spans="1:105">
      <c r="A13" s="91" t="str">
        <f>IF('Inputs Yr 2'!$B13=0,"",'Inputs Yr 2'!A13)</f>
        <v>A - Residential</v>
      </c>
      <c r="B13" s="91" t="str">
        <f>IF('Inputs Yr 2'!$B13=0,"",'Inputs Yr 2'!B13)</f>
        <v>A1 - Residential Whole House</v>
      </c>
      <c r="C13" s="91" t="str">
        <f>IF('Inputs Yr 2'!$B13=0,"",'Inputs Yr 2'!C13)</f>
        <v>A1a - Residential New Construction</v>
      </c>
      <c r="D13" s="91" t="str">
        <f>IF('Inputs Yr 2'!$B13=0,"",'Inputs Yr 2'!E13)</f>
        <v>High Rise NC Lighting</v>
      </c>
      <c r="E13" s="93" t="str">
        <f>IF('Inputs Yr 2'!$B13=0,"",'Inputs Yr 2'!F13)</f>
        <v>G16A1a09</v>
      </c>
      <c r="F13" s="93" t="str">
        <f>IF('Inputs Yr 2'!$B13=0,"",'Inputs Yr 2'!G13)</f>
        <v>Lighting</v>
      </c>
      <c r="G13" s="95" t="str">
        <f>IF('Inputs Yr 2'!$H13&lt;&gt;0,('Inputs Yr 2'!H13),"")</f>
        <v/>
      </c>
      <c r="H13" s="94">
        <f>IFERROR('Inputs Yr 2'!I13,"")</f>
        <v>0</v>
      </c>
      <c r="I13" s="298" t="str">
        <f>IFERROR('Inputs Yr 2'!J13*'Inputs Yr 2'!P13*G13,"")</f>
        <v/>
      </c>
      <c r="J13" s="298" t="str">
        <f>IFERROR('Inputs Yr 2'!K13*G13,"")</f>
        <v/>
      </c>
      <c r="K13" s="298" t="str">
        <f t="shared" si="23"/>
        <v/>
      </c>
      <c r="L13" s="194" t="str">
        <f>IFERROR(('Inputs Yr 2'!W13*G13)/1000,"")</f>
        <v/>
      </c>
      <c r="M13" s="194" t="str">
        <f>IFERROR(L13*('Inputs Yr 2'!$Q13*'Inputs Yr 2'!$V13*'Inputs Yr 2'!$R13),"")</f>
        <v/>
      </c>
      <c r="N13" s="194" t="str">
        <f t="shared" si="24"/>
        <v/>
      </c>
      <c r="O13" s="194" t="str">
        <f>IFERROR(M13*'Inputs Yr 2'!P13,"")</f>
        <v/>
      </c>
      <c r="P13" s="194" t="str">
        <f t="shared" si="25"/>
        <v/>
      </c>
      <c r="Q13" s="194" t="str">
        <f>IFERROR($P13*'Inputs Yr 2'!AA13,"")</f>
        <v/>
      </c>
      <c r="R13" s="194" t="str">
        <f>IFERROR($P13*'Inputs Yr 2'!AB13,"")</f>
        <v/>
      </c>
      <c r="S13" s="194" t="str">
        <f>IFERROR($P13*'Inputs Yr 2'!AC13,"")</f>
        <v/>
      </c>
      <c r="T13" s="194" t="str">
        <f>IFERROR($P13*'Inputs Yr 2'!AD13,"")</f>
        <v/>
      </c>
      <c r="U13" s="194" t="str">
        <f>IFERROR(G13*'Inputs Yr 2'!$AE13*'Inputs Yr 2'!$P13*'Inputs Yr 2'!$Q13,"")</f>
        <v/>
      </c>
      <c r="V13" s="194" t="str">
        <f>IFERROR($G13*'Inputs Yr 2'!$AE13*'Inputs Yr 2'!$AG13*'Inputs Yr 2'!Q13*'Inputs Yr 2'!$S13,"")</f>
        <v/>
      </c>
      <c r="W13" s="194" t="str">
        <f>IFERROR($G13*'Inputs Yr 2'!$AE13*'Inputs Yr 2'!$AG13*'Inputs Yr 2'!P13*'Inputs Yr 2'!Q13*'Inputs Yr 2'!$S13,"")</f>
        <v/>
      </c>
      <c r="X13" s="194" t="str">
        <f>IFERROR($G13*'Inputs Yr 2'!$AE13*'Inputs Yr 2'!$AF13*'Inputs Yr 2'!Q13*'Inputs Yr 2'!$T13,"")</f>
        <v/>
      </c>
      <c r="Y13" s="194" t="str">
        <f>IFERROR($G13*'Inputs Yr 2'!$AE13*'Inputs Yr 2'!$AF13*'Inputs Yr 2'!P13*'Inputs Yr 2'!Q13*'Inputs Yr 2'!$T13,"")</f>
        <v/>
      </c>
      <c r="Z13" s="257">
        <f>IFERROR($G13*'Inputs Yr 2'!$Q13*'Inputs Yr 2'!$U13*(IF(IFERROR(SEARCH("NG", 'Inputs Yr 2'!$AJ13),0),'Inputs Yr 2'!$AK13,0)+IF(IFERROR(SEARCH("NG", 'Inputs Yr 2'!$AL13),0),'Inputs Yr 2'!$AM13,0)+IF(IFERROR(SEARCH("NG", 'Inputs Yr 2'!$AN13),0),'Inputs Yr 2'!$AO13,0)),0)</f>
        <v>0</v>
      </c>
      <c r="AA13" s="257">
        <f t="shared" si="26"/>
        <v>0</v>
      </c>
      <c r="AB13" s="257">
        <f>IFERROR(Z13*'Inputs Yr 2'!$P13,0)</f>
        <v>0</v>
      </c>
      <c r="AC13" s="257">
        <f t="shared" si="27"/>
        <v>0</v>
      </c>
      <c r="AD13" s="257">
        <f>IFERROR($G13*'Inputs Yr 2'!$Q13*'Inputs Yr 2'!$U13*(IF(IFERROR(SEARCH("Oil", 'Inputs Yr 2'!$AJ13), 0),'Inputs Yr 2'!$AK13,0)+IF(IFERROR(SEARCH("Oil", 'Inputs Yr 2'!$AL13), 0),'Inputs Yr 2'!$AM13,0)+IF(IFERROR(SEARCH("Oil", 'Inputs Yr 2'!$AN13), 0),'Inputs Yr 2'!$AO13,0)),0)</f>
        <v>0</v>
      </c>
      <c r="AE13" s="257">
        <f t="shared" si="28"/>
        <v>0</v>
      </c>
      <c r="AF13" s="257">
        <f>IFERROR(AD13*'Inputs Yr 2'!$P13,0)</f>
        <v>0</v>
      </c>
      <c r="AG13" s="257">
        <f t="shared" si="29"/>
        <v>0</v>
      </c>
      <c r="AH13" s="257">
        <f>IFERROR($G13*'Inputs Yr 2'!$Q13*'Inputs Yr 2'!$U13*(IF('Inputs Yr 2'!$AJ13=CD$4,'Inputs Yr 2'!$AK13,IF('Inputs Yr 2'!$AL13=CD$4,'Inputs Yr 2'!$AM13,IF('Inputs Yr 2'!$AN13=CD$4,'Inputs Yr 2'!$AO13,0)))),0)</f>
        <v>0</v>
      </c>
      <c r="AI13" s="257">
        <f t="shared" si="30"/>
        <v>0</v>
      </c>
      <c r="AJ13" s="257">
        <f>IFERROR(AH13*'Inputs Yr 2'!$P13,0)</f>
        <v>0</v>
      </c>
      <c r="AK13" s="257">
        <f t="shared" si="31"/>
        <v>0</v>
      </c>
      <c r="AL13" s="258">
        <f>IFERROR($G13*'Inputs Yr 2'!$P13*'Inputs Yr 2'!$Q13*'Inputs Yr 2'!AP13,0)</f>
        <v>0</v>
      </c>
      <c r="AM13" s="260">
        <f>IFERROR($G13*'Inputs Yr 2'!$P13*'Inputs Yr 2'!$Q13*'Inputs Yr 2'!AQ13,0)</f>
        <v>0</v>
      </c>
      <c r="AN13" s="258">
        <f>IFERROR($G13*'Inputs Yr 2'!$P13*'Inputs Yr 2'!$Q13*'Inputs Yr 2'!AR13,0)</f>
        <v>0</v>
      </c>
      <c r="AO13" s="257">
        <f t="shared" si="32"/>
        <v>0</v>
      </c>
      <c r="AP13" s="195" t="str">
        <f>IFERROR($CQ13*(INDEX(avoidedcosttbl2,$H13,AP$2)+(($H13-ROUNDDOWN($H13,0))*(INDEX(avoidedcosttbl2,ROUNDUP($H13,0),AP$2)-(INDEX(avoidedcosttbl2,ROUNDDOWN($H13,0),AP$2)))))*$O13*1000*'Inputs Yr 2'!AA13,"")</f>
        <v/>
      </c>
      <c r="AQ13" s="195" t="str">
        <f>IFERROR($CR13*(INDEX(avoidedcosttbl2,$H13,AQ$2)+(($H13-ROUNDDOWN($H13,0))*(INDEX(avoidedcosttbl2,ROUNDUP($H13,0),AQ$2)-(INDEX(avoidedcosttbl2,ROUNDDOWN($H13,0),AQ$2)))))*$O13*1000*'Inputs Yr 2'!AB13,"")</f>
        <v/>
      </c>
      <c r="AR13" s="195" t="str">
        <f>IFERROR($CS13*(INDEX(avoidedcosttbl2,$H13,AR$2)+(($H13-ROUNDDOWN($H13,0))*(INDEX(avoidedcosttbl2,ROUNDUP($H13,0),AR$2)-(INDEX(avoidedcosttbl2,ROUNDDOWN($H13,0),AR$2)))))*$O13*1000*'Inputs Yr 2'!AC13,"")</f>
        <v/>
      </c>
      <c r="AS13" s="195" t="str">
        <f>IFERROR($CT13*(INDEX(avoidedcosttbl2,$H13,AS$2)+(($H13-ROUNDDOWN($H13,0))*(INDEX(avoidedcosttbl2,ROUNDUP($H13,0),AS$2)-(INDEX(avoidedcosttbl2,ROUNDDOWN($H13,0),AS$2)))))*$O13*1000*'Inputs Yr 2'!AD13,"")</f>
        <v/>
      </c>
      <c r="AT13" s="196">
        <f t="shared" si="33"/>
        <v>0</v>
      </c>
      <c r="AU13" s="197" t="str">
        <f>IFERROR($CQ13*((INDEX(avoidedcosttbl2,$H13,AU$2))+(($H13-ROUNDDOWN($H13,0))*((INDEX(avoidedcosttbl2,ROUNDUP($H13,0),AU$2))-(INDEX(avoidedcosttbl2,ROUNDDOWN($H13,0),AU$2)))))*$O13*1000*'Inputs Yr 2'!AA13,"")</f>
        <v/>
      </c>
      <c r="AV13" s="197" t="str">
        <f>IFERROR($CR13*((INDEX(avoidedcosttbl2,$H13,AV$2))+(($H13-ROUNDDOWN($H13,0))*((INDEX(avoidedcosttbl2,ROUNDUP($H13,0),AV$2))-(INDEX(avoidedcosttbl2,ROUNDDOWN($H13,0),AV$2)))))*$O13*1000*'Inputs Yr 2'!AB13,"")</f>
        <v/>
      </c>
      <c r="AW13" s="197" t="str">
        <f>IFERROR($CS13*((INDEX(avoidedcosttbl2,$H13,AW$2))+(($H13-ROUNDDOWN($H13,0))*((INDEX(avoidedcosttbl2,ROUNDUP($H13,0),AW$2))-(INDEX(avoidedcosttbl2,ROUNDDOWN($H13,0),AW$2)))))*$O13*1000*'Inputs Yr 2'!AC13,"")</f>
        <v/>
      </c>
      <c r="AX13" s="197" t="str">
        <f>IFERROR($CT13*((INDEX(avoidedcosttbl2,$H13,AX$2))+(($H13-ROUNDDOWN($H13,0))*((INDEX(avoidedcosttbl2,ROUNDUP($H13,0),AX$2))-(INDEX(avoidedcosttbl2,ROUNDDOWN($H13,0),AX$2)))))*$O13*1000*'Inputs Yr 2'!AD13,"")</f>
        <v/>
      </c>
      <c r="AY13" s="197" t="str">
        <f>IFERROR(((INDEX(avoidedcosttbl2,$H13,AY$2))+(($H13-ROUNDDOWN($H13,0))*((INDEX(avoidedcosttbl2,ROUNDUP($H13,0),AY$2))-(INDEX(avoidedcosttbl2,ROUNDDOWN($H13,0),AY$2)))))*$O13*1000*('Inputs Yr 2'!AC13+'Inputs Yr 2'!AD13),"")</f>
        <v/>
      </c>
      <c r="AZ13" s="197" t="str">
        <f>IFERROR(((INDEX(avoidedcosttbl2,$H13,AZ$2))+(($H13-ROUNDDOWN($H13,0))*((INDEX(avoidedcosttbl2,ROUNDUP($H13,0),AZ$2))-(INDEX(avoidedcosttbl2,ROUNDDOWN($H13,0),AZ$2)))))*$O13*1000*('Inputs Yr 2'!AA13+'Inputs Yr 2'!AB13),"")</f>
        <v/>
      </c>
      <c r="BA13" s="198">
        <f t="shared" si="34"/>
        <v>0</v>
      </c>
      <c r="BB13" s="198">
        <f t="shared" si="35"/>
        <v>0</v>
      </c>
      <c r="BC13" s="195" t="str">
        <f t="shared" si="10"/>
        <v/>
      </c>
      <c r="BD13" s="195" t="str">
        <f t="shared" si="11"/>
        <v/>
      </c>
      <c r="BE13" s="195" t="str">
        <f t="shared" si="12"/>
        <v/>
      </c>
      <c r="BF13" s="195" t="str">
        <f t="shared" si="13"/>
        <v/>
      </c>
      <c r="BG13" s="195" t="str">
        <f t="shared" si="14"/>
        <v/>
      </c>
      <c r="BH13" s="196">
        <f t="shared" si="36"/>
        <v>0</v>
      </c>
      <c r="BI13" s="196">
        <f t="shared" si="37"/>
        <v>0</v>
      </c>
      <c r="BJ13" s="195" t="str">
        <f>IFERROR($G13*(IF('Inputs Yr 2'!$AJ13=BJ$4,'Inputs Yr 2'!$AK13,IF('Inputs Yr 2'!$AL13=BJ$4,'Inputs Yr 2'!$AM13,IF('Inputs Yr 2'!$AN13=BJ$4,'Inputs Yr 2'!$AO13,0))))*(INDEX(avoidedcosttbl2,$H13,BJ$2)+(($H13-ROUNDDOWN($H13,0))*(INDEX(avoidedcosttbl2,ROUNDUP($H13,0),BJ$2)-(INDEX(avoidedcosttbl2,ROUNDDOWN($H13,0),BJ$2)))))*'Inputs Yr 2'!P13*'Inputs Yr 2'!Q13*'Inputs Yr 2'!U13,"")</f>
        <v/>
      </c>
      <c r="BK13" s="195" t="str">
        <f>IFERROR($G13*(IF('Inputs Yr 2'!$AJ13=BK$4,'Inputs Yr 2'!$AK13,IF('Inputs Yr 2'!$AL13=BK$4,'Inputs Yr 2'!$AM13,IF('Inputs Yr 2'!$AN13=BK$4,'Inputs Yr 2'!$AO13,0))))*(INDEX(avoidedcosttbl2,$H13,BK$2)+(($H13-ROUNDDOWN($H13,0))*(INDEX(avoidedcosttbl2,ROUNDUP($H13,0),BK$2)-(INDEX(avoidedcosttbl2,ROUNDDOWN($H13,0),BK$2)))))*'Inputs Yr 2'!P13*'Inputs Yr 2'!Q13*'Inputs Yr 2'!U13,"")</f>
        <v/>
      </c>
      <c r="BL13" s="195" t="str">
        <f>IFERROR($G13*(IF('Inputs Yr 2'!$AJ13=BL$4,'Inputs Yr 2'!$AK13,IF('Inputs Yr 2'!$AL13=BL$4,'Inputs Yr 2'!$AM13,IF('Inputs Yr 2'!$AN13=BL$4,'Inputs Yr 2'!$AO13,0))))*(INDEX(avoidedcosttbl2,$H13,BL$2)+(($H13-ROUNDDOWN($H13,0))*(INDEX(avoidedcosttbl2,ROUNDUP($H13,0),BL$2)-(INDEX(avoidedcosttbl2,ROUNDDOWN($H13,0),BL$2)))))*'Inputs Yr 2'!P13*'Inputs Yr 2'!Q13*'Inputs Yr 2'!U13,"")</f>
        <v/>
      </c>
      <c r="BM13" s="195" t="str">
        <f>IFERROR($G13*(IF('Inputs Yr 2'!$AJ13=BM$4,'Inputs Yr 2'!$AK13,IF('Inputs Yr 2'!$AL13=BM$4,'Inputs Yr 2'!$AM13,IF('Inputs Yr 2'!$AN13=BM$4,'Inputs Yr 2'!$AO13,0))))*(INDEX(avoidedcosttbl2,$H13,BM$2)+(($H13-ROUNDDOWN($H13,0))*(INDEX(avoidedcosttbl2,ROUNDUP($H13,0),BM$2)-(INDEX(avoidedcosttbl2,ROUNDDOWN($H13,0),BM$2)))))*'Inputs Yr 2'!P13*'Inputs Yr 2'!Q13*'Inputs Yr 2'!U13,"")</f>
        <v/>
      </c>
      <c r="BN13" s="195" t="str">
        <f>IFERROR($G13*(IF('Inputs Yr 2'!$AJ13=BN$4,'Inputs Yr 2'!$AK13,IF('Inputs Yr 2'!$AL13=BN$4,'Inputs Yr 2'!$AM13,IF('Inputs Yr 2'!$AN13=BN$4,'Inputs Yr 2'!$AO13,0))))*(INDEX(avoidedcosttbl2,$H13,BN$2)+(($H13-ROUNDDOWN($H13,0))*(INDEX(avoidedcosttbl2,ROUNDUP($H13,0),BN$2)-(INDEX(avoidedcosttbl2,ROUNDDOWN($H13,0),BN$2)))))*'Inputs Yr 2'!P13*'Inputs Yr 2'!Q13*'Inputs Yr 2'!U13,"")</f>
        <v/>
      </c>
      <c r="BO13" s="195" t="str">
        <f>IFERROR($G13*(IF('Inputs Yr 2'!$AJ13=BO$4,'Inputs Yr 2'!$AK13,IF('Inputs Yr 2'!$AL13=BO$4,'Inputs Yr 2'!$AM13,IF('Inputs Yr 2'!$AN13=BO$4,'Inputs Yr 2'!$AO13,0))))*(INDEX(avoidedcosttbl2,$H13,BO$2)+(($H13-ROUNDDOWN($H13,0))*(INDEX(avoidedcosttbl2,ROUNDUP($H13,0),BO$2)-(INDEX(avoidedcosttbl2,ROUNDDOWN($H13,0),BO$2)))))*'Inputs Yr 2'!P13*'Inputs Yr 2'!Q13*'Inputs Yr 2'!U13,"")</f>
        <v/>
      </c>
      <c r="BP13" s="195" t="str">
        <f>IFERROR($G13*(IF('Inputs Yr 2'!$AJ13=BP$4,'Inputs Yr 2'!$AK13,IF('Inputs Yr 2'!$AL13=BP$4,'Inputs Yr 2'!$AM13,IF('Inputs Yr 2'!$AN13=BP$4,'Inputs Yr 2'!$AO13,0))))*(INDEX(avoidedcosttbl2,$H13,BP$2)+(($H13-ROUNDDOWN($H13,0))*(INDEX(avoidedcosttbl2,ROUNDUP($H13,0),BP$2)-(INDEX(avoidedcosttbl2,ROUNDDOWN($H13,0),BP$2)))))*'Inputs Yr 2'!P13*'Inputs Yr 2'!Q13*'Inputs Yr 2'!U13,"")</f>
        <v/>
      </c>
      <c r="BQ13" s="230">
        <f t="shared" si="38"/>
        <v>0</v>
      </c>
      <c r="BR13" s="197" t="str">
        <f t="shared" si="17"/>
        <v/>
      </c>
      <c r="BS13" s="197" t="str">
        <f>IFERROR(($G13*IF('Inputs Yr 2'!$AJ13=BM$4,'Inputs Yr 2'!$AK13,IF('Inputs Yr 2'!$AL13=BM$4,'Inputs Yr 2'!$AM13,IF('Inputs Yr 2'!$AN13=BM$4,'Inputs Yr 2'!$AO13,0))))*(INDEX(avoidedcosttbl2,$H13,BS$2)+(($H13-ROUNDDOWN($H13,0))*(INDEX(avoidedcosttbl2,ROUNDUP($H13,0),BS$2)-(INDEX(avoidedcosttbl2,ROUNDDOWN($H13,0),BS$2)))))*'Inputs Yr 2'!P13*'Inputs Yr 2'!Q13*'Inputs Yr 2'!U13,"")</f>
        <v/>
      </c>
      <c r="BT13" s="197" t="str">
        <f>IFERROR(($G13*IF('Inputs Yr 2'!$AJ13=BK$4,'Inputs Yr 2'!$AK13,IF('Inputs Yr 2'!$AL13=BK$4,'Inputs Yr 2'!$AM13,IF('Inputs Yr 2'!$AN13=BK$4,'Inputs Yr 2'!$AO13,0))))*(INDEX(avoidedcosttbl2,$H13,BT$2)+(($H13-ROUNDDOWN($H13,0))*(INDEX(avoidedcosttbl2,ROUNDUP($H13,0),BT$2)-(INDEX(avoidedcosttbl2,ROUNDDOWN($H13,0),BT$2)))))*'Inputs Yr 2'!P13*'Inputs Yr 2'!Q13*'Inputs Yr 2'!U13,"")</f>
        <v/>
      </c>
      <c r="BU13" s="197" t="str">
        <f>IFERROR(($G13*IF('Inputs Yr 2'!$AJ13=BL$4,'Inputs Yr 2'!$AK13,IF('Inputs Yr 2'!$AL13=BL$4,'Inputs Yr 2'!$AM13,IF('Inputs Yr 2'!$AN13=BL$4,'Inputs Yr 2'!$AO13,0))))*(INDEX(avoidedcosttbl2,$H13,BU$2)+(($H13-ROUNDDOWN($H13,0))*(INDEX(avoidedcosttbl2,ROUNDUP($H13,0),BU$2)-(INDEX(avoidedcosttbl2,ROUNDDOWN($H13,0),BU$2)))))*'Inputs Yr 2'!P13*'Inputs Yr 2'!Q13*'Inputs Yr 2'!U13,"")</f>
        <v/>
      </c>
      <c r="BV13" s="775" t="str">
        <f>IFERROR(($G13*IF('Inputs Yr 2'!$AJ13=BJ$4,'Inputs Yr 2'!$AK13,IF('Inputs Yr 2'!$AL13=BJ$4,'Inputs Yr 2'!$AM13,IF('Inputs Yr 2'!$AN13=BJ$4,'Inputs Yr 2'!$AO13,0))))*(INDEX(avoidedcosttbl2,$H13,BV$2)+(($H13-ROUNDDOWN($H13,0))*(INDEX(avoidedcosttbl2,ROUNDUP($H13,0),BV$2)-(INDEX(avoidedcosttbl2,ROUNDDOWN($H13,0),BV$2)))))*'Inputs Yr 2'!P13*'Inputs Yr 2'!Q13*'Inputs Yr 2'!U13,"")</f>
        <v/>
      </c>
      <c r="BW13" s="197" t="str">
        <f>IFERROR(($G13*IF('Inputs Yr 2'!$AJ13=BN$4,'Inputs Yr 2'!$AK13,IF('Inputs Yr 2'!$AL13=BN$4,'Inputs Yr 2'!$AM13,IF('Inputs Yr 2'!$AN13=BN$4,'Inputs Yr 2'!$AO13,0))))*(INDEX(avoidedcosttbl2,$H13,BW$2)+(($H13-ROUNDDOWN($H13,0))*(INDEX(avoidedcosttbl2,ROUNDUP($H13,0),BW$2)-(INDEX(avoidedcosttbl2,ROUNDDOWN($H13,0),BW$2)))))*'Inputs Yr 2'!P13*'Inputs Yr 2'!Q13*'Inputs Yr 2'!U13,"")</f>
        <v/>
      </c>
      <c r="BX13" s="197" t="str">
        <f>IFERROR(($G13*IF('Inputs Yr 2'!$AJ13=BO$4,'Inputs Yr 2'!$AK13,IF('Inputs Yr 2'!$AL13=BO$4,'Inputs Yr 2'!$AM13,IF('Inputs Yr 2'!$AN13=BO$4,'Inputs Yr 2'!$AO13,0))))*(INDEX(avoidedcosttbl2,$H13,BX$2)+(($H13-ROUNDDOWN($H13,0))*(INDEX(avoidedcosttbl2,ROUNDUP($H13,0),BX$2)-(INDEX(avoidedcosttbl2,ROUNDDOWN($H13,0),BX$2)))))*'Inputs Yr 2'!P13*'Inputs Yr 2'!Q13*'Inputs Yr 2'!U13,"")</f>
        <v/>
      </c>
      <c r="BY13" s="197" t="str">
        <f>IFERROR(($G13*IF('Inputs Yr 2'!$AJ13=BP$4,'Inputs Yr 2'!$AK13,IF('Inputs Yr 2'!$AL13=BP$4,'Inputs Yr 2'!$AM13,IF('Inputs Yr 2'!$AN13=BP$4,'Inputs Yr 2'!$AO13,0))))*(INDEX(avoidedcosttbl2,$H13,BY$2)+(($H13-ROUNDDOWN($H13,0))*(INDEX(avoidedcosttbl2,ROUNDUP($H13,0),BY$2)-(INDEX(avoidedcosttbl2,ROUNDDOWN($H13,0),BY$2)))))*'Inputs Yr 2'!P13*'Inputs Yr 2'!Q13*'Inputs Yr 2'!U13,"")</f>
        <v/>
      </c>
      <c r="BZ13" s="193">
        <f t="shared" si="39"/>
        <v>0</v>
      </c>
      <c r="CA13" s="193">
        <f t="shared" si="40"/>
        <v>0</v>
      </c>
      <c r="CB13" s="195" t="str">
        <f>IFERROR(G13*(IF('Inputs Yr 2'!$AJ13=CB$4,'Inputs Yr 2'!$AK13,IF('Inputs Yr 2'!$AL13=CB$4,'Inputs Yr 2'!$AM13,IF('Inputs Yr 2'!$AN13=CB$4,'Inputs Yr 2'!$AO13,0))))*(INDEX(avoidedcosttbl2,$H13,CB$2)+(($H13-ROUNDDOWN($H13,0))*(INDEX(avoidedcosttbl2,ROUNDUP($H13,0),CB$2)-(INDEX(avoidedcosttbl2,ROUNDDOWN($H13,0),CB$2)))))*'Inputs Yr 2'!P13*'Inputs Yr 2'!Q13*'Inputs Yr 2'!U13,"")</f>
        <v/>
      </c>
      <c r="CC13" s="195" t="str">
        <f>IFERROR(H13*(IF('Inputs Yr 2'!$AJ13=CC$4,'Inputs Yr 2'!$AK13,IF('Inputs Yr 2'!$AL13=CC$4,'Inputs Yr 2'!$AM13,IF('Inputs Yr 2'!$AN13=CC$4,'Inputs Yr 2'!$AO13,0))))*(INDEX(avoidedcosttbl2,$H13,CC$2)+(($H13-ROUNDDOWN($H13,0))*(INDEX(avoidedcosttbl2,ROUNDUP($H13,0),CC$2)-(INDEX(avoidedcosttbl2,ROUNDDOWN($H13,0),CC$2)))))*'Inputs Yr 2'!Q13*'Inputs Yr 2'!R13*'Inputs Yr 2'!V13,"")</f>
        <v/>
      </c>
      <c r="CD13" s="195" t="str">
        <f>IFERROR(I13*(IF('Inputs Yr 2'!$AJ13=CD$4,'Inputs Yr 2'!$AK13,IF('Inputs Yr 2'!$AL13=CD$4,'Inputs Yr 2'!$AM13,IF('Inputs Yr 2'!$AN13=CD$4,'Inputs Yr 2'!$AO13,0))))*(INDEX(avoidedcosttbl2,$H13,CD$2)+(($H13-ROUNDDOWN($H13,0))*(INDEX(avoidedcosttbl2,ROUNDUP($H13,0),CD$2)-(INDEX(avoidedcosttbl2,ROUNDDOWN($H13,0),CD$2)))))*'Inputs Yr 2'!R13*'Inputs Yr 2'!S13*'Inputs Yr 2'!W13,"")</f>
        <v/>
      </c>
      <c r="CE13" s="213" t="str">
        <f t="shared" si="41"/>
        <v/>
      </c>
      <c r="CF13" s="213" t="str">
        <f t="shared" si="42"/>
        <v/>
      </c>
      <c r="CG13" s="213" t="str">
        <f t="shared" si="43"/>
        <v/>
      </c>
      <c r="CH13" s="698">
        <f t="shared" si="44"/>
        <v>0</v>
      </c>
      <c r="CI13" s="79" t="str">
        <f>IFERROR(($G13*'Inputs Yr 2'!$P13*'Inputs Yr 2'!$Q13*(((INDEX(avoidedcosttbl2,$H13,CI$2)+(($H13-ROUNDDOWN($H13,0))*(INDEX(avoidedcosttbl2,ROUNDUP($H13,0),CI$2)-INDEX(avoidedcosttbl2,ROUNDDOWN($H13,0),CI$2))))*'Inputs Yr 2'!AS13))),"")</f>
        <v/>
      </c>
      <c r="CJ13" s="504" t="str">
        <f>IFERROR($G13*'Inputs Yr 2'!AT13*'Inputs Yr 2'!$P13*'Inputs Yr 2'!$Q13/((1+realdiscrt1)^-0.5),"")</f>
        <v/>
      </c>
      <c r="CK13" s="79" t="str">
        <f>IFERROR((O13*1000*(((INDEX(avoidedcosttbl2,$H13,CK$2)+(($H13-ROUNDDOWN($H13,0))*(INDEX(avoidedcosttbl2,ROUNDUP($H13,0),CK$2)-INDEX(avoidedcosttbl2,ROUNDDOWN($H13,0),CK$2))))*'Inputs Yr 2'!AU13))),"")</f>
        <v/>
      </c>
      <c r="CL13" s="504" t="str">
        <f>IFERROR(O13*1000*'Inputs Yr 2'!AV13/((1+realdiscrt1)^-0.5),"")</f>
        <v/>
      </c>
      <c r="CM13" s="79" t="str">
        <f>IFERROR((AB13*'Inputs Yr 2'!AW13*(((INDEX(avoidedcosttbl2,$H13,CM$2)+(($H13-ROUNDDOWN($H13,0))*(INDEX(avoidedcosttbl2,ROUNDUP($H13,0),CM$2)-INDEX(avoidedcosttbl2,ROUNDDOWN($H13,0),CM$2)))))))*10,"")</f>
        <v/>
      </c>
      <c r="CN13" s="504">
        <f>IFERROR(10*AB13*'Inputs Yr 2'!AX13/((1+realdiscrt1)^-0.5),"")</f>
        <v>0</v>
      </c>
      <c r="CO13" s="505">
        <f t="shared" si="45"/>
        <v>0</v>
      </c>
      <c r="CP13" s="230">
        <f t="shared" si="46"/>
        <v>0</v>
      </c>
      <c r="CQ13" s="199">
        <f>ROUND(IFERROR(IF(LEFT($A13,1)="C",'Avoided Costs'!$K$13,'Avoided Costs'!$K$12)+1,""),4)</f>
        <v>1.0720000000000001</v>
      </c>
      <c r="CR13" s="199">
        <f>ROUND(IFERROR(IF(LEFT($A13,1)="C",'Avoided Costs'!$L$13,'Avoided Costs'!$L$12)+1,""),4)</f>
        <v>1.04</v>
      </c>
      <c r="CS13" s="199">
        <f>ROUND(IFERROR(IF(LEFT($A13,1)="C",'Avoided Costs'!$M$13,'Avoided Costs'!$M$12)+1,""),4)</f>
        <v>1.0720000000000001</v>
      </c>
      <c r="CT13" s="199">
        <f>ROUND(IFERROR(IF(LEFT($A13,1)="C",'Avoided Costs'!$N$13,'Avoided Costs'!$N$12)+1,""),4)</f>
        <v>1.04</v>
      </c>
      <c r="CU13" s="199">
        <f>ROUND(IFERROR(IF(LEFT($A13,1)="C",'Avoided Costs'!$O$13,'Avoided Costs'!$O$12)+1,""),4)</f>
        <v>1.1120000000000001</v>
      </c>
      <c r="CV13" s="199">
        <f>ROUND(IFERROR(IF(LEFT($A13,1)="C",'Avoided Costs'!$P$13,'Avoided Costs'!$P$12)+1,""),4)</f>
        <v>1.095</v>
      </c>
      <c r="CW13" s="199">
        <f>ROUND(IFERROR(IF(LEFT($A13,1)="C",'Avoided Costs'!$Q$13,'Avoided Costs'!$Q$12)+1,""),4)</f>
        <v>1.1120000000000001</v>
      </c>
      <c r="CX13" s="200">
        <f>ROUND(IFERROR(IF(LEFT($A13,1)="C",'Avoided Costs'!$R$13,'Avoided Costs'!$R$12)+1,""),4)</f>
        <v>1.1120000000000001</v>
      </c>
    </row>
    <row r="14" spans="1:105">
      <c r="A14" s="91" t="str">
        <f>IF('Inputs Yr 2'!$B14=0,"",'Inputs Yr 2'!A14)</f>
        <v>A - Residential</v>
      </c>
      <c r="B14" s="91" t="str">
        <f>IF('Inputs Yr 2'!$B14=0,"",'Inputs Yr 2'!B14)</f>
        <v>A1 - Residential Whole House</v>
      </c>
      <c r="C14" s="91" t="str">
        <f>IF('Inputs Yr 2'!$B14=0,"",'Inputs Yr 2'!C14)</f>
        <v>A1a - Residential New Construction</v>
      </c>
      <c r="D14" s="91" t="str">
        <f>IF('Inputs Yr 2'!$B14=0,"",'Inputs Yr 2'!E14)</f>
        <v>Codes and Standards</v>
      </c>
      <c r="E14" s="93" t="str">
        <f>IF('Inputs Yr 2'!$B14=0,"",'Inputs Yr 2'!F14)</f>
        <v>G16A1a10</v>
      </c>
      <c r="F14" s="93" t="str">
        <f>IF('Inputs Yr 2'!$B14=0,"",'Inputs Yr 2'!G14)</f>
        <v>Energy Star Homes</v>
      </c>
      <c r="G14" s="95">
        <f>IF('Inputs Yr 2'!$H14&lt;&gt;0,('Inputs Yr 2'!H14),"")</f>
        <v>1</v>
      </c>
      <c r="H14" s="94">
        <f>IFERROR('Inputs Yr 2'!I14,"")</f>
        <v>20</v>
      </c>
      <c r="I14" s="298">
        <f>IFERROR('Inputs Yr 2'!J14*'Inputs Yr 2'!P14*G14,"")</f>
        <v>0</v>
      </c>
      <c r="J14" s="298">
        <f>IFERROR('Inputs Yr 2'!K14*G14,"")</f>
        <v>0</v>
      </c>
      <c r="K14" s="298">
        <f t="shared" si="23"/>
        <v>0</v>
      </c>
      <c r="L14" s="194">
        <f>IFERROR(('Inputs Yr 2'!W14*G14)/1000,"")</f>
        <v>0</v>
      </c>
      <c r="M14" s="194">
        <f>IFERROR(L14*('Inputs Yr 2'!$Q14*'Inputs Yr 2'!$V14*'Inputs Yr 2'!$R14),"")</f>
        <v>0</v>
      </c>
      <c r="N14" s="194">
        <f t="shared" si="24"/>
        <v>0</v>
      </c>
      <c r="O14" s="194">
        <f>IFERROR(M14*'Inputs Yr 2'!P14,"")</f>
        <v>0</v>
      </c>
      <c r="P14" s="194">
        <f t="shared" si="25"/>
        <v>0</v>
      </c>
      <c r="Q14" s="194">
        <f>IFERROR($P14*'Inputs Yr 2'!AA14,"")</f>
        <v>0</v>
      </c>
      <c r="R14" s="194">
        <f>IFERROR($P14*'Inputs Yr 2'!AB14,"")</f>
        <v>0</v>
      </c>
      <c r="S14" s="194">
        <f>IFERROR($P14*'Inputs Yr 2'!AC14,"")</f>
        <v>0</v>
      </c>
      <c r="T14" s="194">
        <f>IFERROR($P14*'Inputs Yr 2'!AD14,"")</f>
        <v>0</v>
      </c>
      <c r="U14" s="194">
        <f>IFERROR(G14*'Inputs Yr 2'!$AE14*'Inputs Yr 2'!$P14*'Inputs Yr 2'!$Q14,"")</f>
        <v>0</v>
      </c>
      <c r="V14" s="194">
        <f>IFERROR($G14*'Inputs Yr 2'!$AE14*'Inputs Yr 2'!$AG14*'Inputs Yr 2'!Q14*'Inputs Yr 2'!$S14,"")</f>
        <v>0</v>
      </c>
      <c r="W14" s="194">
        <f>IFERROR($G14*'Inputs Yr 2'!$AE14*'Inputs Yr 2'!$AG14*'Inputs Yr 2'!P14*'Inputs Yr 2'!Q14*'Inputs Yr 2'!$S14,"")</f>
        <v>0</v>
      </c>
      <c r="X14" s="194">
        <f>IFERROR($G14*'Inputs Yr 2'!$AE14*'Inputs Yr 2'!$AF14*'Inputs Yr 2'!Q14*'Inputs Yr 2'!$T14,"")</f>
        <v>0</v>
      </c>
      <c r="Y14" s="194">
        <f>IFERROR($G14*'Inputs Yr 2'!$AE14*'Inputs Yr 2'!$AF14*'Inputs Yr 2'!P14*'Inputs Yr 2'!Q14*'Inputs Yr 2'!$T14,"")</f>
        <v>0</v>
      </c>
      <c r="Z14" s="257">
        <f>IFERROR($G14*'Inputs Yr 2'!$Q14*'Inputs Yr 2'!$U14*(IF(IFERROR(SEARCH("NG", 'Inputs Yr 2'!$AJ14),0),'Inputs Yr 2'!$AK14,0)+IF(IFERROR(SEARCH("NG", 'Inputs Yr 2'!$AL14),0),'Inputs Yr 2'!$AM14,0)+IF(IFERROR(SEARCH("NG", 'Inputs Yr 2'!$AN14),0),'Inputs Yr 2'!$AO14,0)),0)</f>
        <v>7437.9</v>
      </c>
      <c r="AA14" s="257">
        <f t="shared" si="26"/>
        <v>148758</v>
      </c>
      <c r="AB14" s="257">
        <f>IFERROR(Z14*'Inputs Yr 2'!$P14,0)</f>
        <v>7437.9</v>
      </c>
      <c r="AC14" s="257">
        <f t="shared" si="27"/>
        <v>148758</v>
      </c>
      <c r="AD14" s="257">
        <f>IFERROR($G14*'Inputs Yr 2'!$Q14*'Inputs Yr 2'!$U14*(IF(IFERROR(SEARCH("Oil", 'Inputs Yr 2'!$AJ14), 0),'Inputs Yr 2'!$AK14,0)+IF(IFERROR(SEARCH("Oil", 'Inputs Yr 2'!$AL14), 0),'Inputs Yr 2'!$AM14,0)+IF(IFERROR(SEARCH("Oil", 'Inputs Yr 2'!$AN14), 0),'Inputs Yr 2'!$AO14,0)),0)</f>
        <v>0</v>
      </c>
      <c r="AE14" s="257">
        <f t="shared" si="28"/>
        <v>0</v>
      </c>
      <c r="AF14" s="257">
        <f>IFERROR(AD14*'Inputs Yr 2'!$P14,0)</f>
        <v>0</v>
      </c>
      <c r="AG14" s="257">
        <f t="shared" si="29"/>
        <v>0</v>
      </c>
      <c r="AH14" s="257">
        <f>IFERROR($G14*'Inputs Yr 2'!$Q14*'Inputs Yr 2'!$U14*(IF('Inputs Yr 2'!$AJ14=CD$4,'Inputs Yr 2'!$AK14,IF('Inputs Yr 2'!$AL14=CD$4,'Inputs Yr 2'!$AM14,IF('Inputs Yr 2'!$AN14=CD$4,'Inputs Yr 2'!$AO14,0)))),0)</f>
        <v>0</v>
      </c>
      <c r="AI14" s="257">
        <f t="shared" si="30"/>
        <v>0</v>
      </c>
      <c r="AJ14" s="257">
        <f>IFERROR(AH14*'Inputs Yr 2'!$P14,0)</f>
        <v>0</v>
      </c>
      <c r="AK14" s="257">
        <f t="shared" si="31"/>
        <v>0</v>
      </c>
      <c r="AL14" s="258">
        <f>IFERROR($G14*'Inputs Yr 2'!$P14*'Inputs Yr 2'!$Q14*'Inputs Yr 2'!AP14,0)</f>
        <v>0</v>
      </c>
      <c r="AM14" s="260">
        <f>IFERROR($G14*'Inputs Yr 2'!$P14*'Inputs Yr 2'!$Q14*'Inputs Yr 2'!AQ14,0)</f>
        <v>0</v>
      </c>
      <c r="AN14" s="258">
        <f>IFERROR($G14*'Inputs Yr 2'!$P14*'Inputs Yr 2'!$Q14*'Inputs Yr 2'!AR14,0)</f>
        <v>0</v>
      </c>
      <c r="AO14" s="257">
        <f t="shared" si="32"/>
        <v>0</v>
      </c>
      <c r="AP14" s="195">
        <f>IFERROR($CQ14*(INDEX(avoidedcosttbl2,$H14,AP$2)+(($H14-ROUNDDOWN($H14,0))*(INDEX(avoidedcosttbl2,ROUNDUP($H14,0),AP$2)-(INDEX(avoidedcosttbl2,ROUNDDOWN($H14,0),AP$2)))))*$O14*1000*'Inputs Yr 2'!AA14,"")</f>
        <v>0</v>
      </c>
      <c r="AQ14" s="195">
        <f>IFERROR($CR14*(INDEX(avoidedcosttbl2,$H14,AQ$2)+(($H14-ROUNDDOWN($H14,0))*(INDEX(avoidedcosttbl2,ROUNDUP($H14,0),AQ$2)-(INDEX(avoidedcosttbl2,ROUNDDOWN($H14,0),AQ$2)))))*$O14*1000*'Inputs Yr 2'!AB14,"")</f>
        <v>0</v>
      </c>
      <c r="AR14" s="195">
        <f>IFERROR($CS14*(INDEX(avoidedcosttbl2,$H14,AR$2)+(($H14-ROUNDDOWN($H14,0))*(INDEX(avoidedcosttbl2,ROUNDUP($H14,0),AR$2)-(INDEX(avoidedcosttbl2,ROUNDDOWN($H14,0),AR$2)))))*$O14*1000*'Inputs Yr 2'!AC14,"")</f>
        <v>0</v>
      </c>
      <c r="AS14" s="195">
        <f>IFERROR($CT14*(INDEX(avoidedcosttbl2,$H14,AS$2)+(($H14-ROUNDDOWN($H14,0))*(INDEX(avoidedcosttbl2,ROUNDUP($H14,0),AS$2)-(INDEX(avoidedcosttbl2,ROUNDDOWN($H14,0),AS$2)))))*$O14*1000*'Inputs Yr 2'!AD14,"")</f>
        <v>0</v>
      </c>
      <c r="AT14" s="196">
        <f t="shared" si="33"/>
        <v>0</v>
      </c>
      <c r="AU14" s="197">
        <f>IFERROR($CQ14*((INDEX(avoidedcosttbl2,$H14,AU$2))+(($H14-ROUNDDOWN($H14,0))*((INDEX(avoidedcosttbl2,ROUNDUP($H14,0),AU$2))-(INDEX(avoidedcosttbl2,ROUNDDOWN($H14,0),AU$2)))))*$O14*1000*'Inputs Yr 2'!AA14,"")</f>
        <v>0</v>
      </c>
      <c r="AV14" s="197">
        <f>IFERROR($CR14*((INDEX(avoidedcosttbl2,$H14,AV$2))+(($H14-ROUNDDOWN($H14,0))*((INDEX(avoidedcosttbl2,ROUNDUP($H14,0),AV$2))-(INDEX(avoidedcosttbl2,ROUNDDOWN($H14,0),AV$2)))))*$O14*1000*'Inputs Yr 2'!AB14,"")</f>
        <v>0</v>
      </c>
      <c r="AW14" s="197">
        <f>IFERROR($CS14*((INDEX(avoidedcosttbl2,$H14,AW$2))+(($H14-ROUNDDOWN($H14,0))*((INDEX(avoidedcosttbl2,ROUNDUP($H14,0),AW$2))-(INDEX(avoidedcosttbl2,ROUNDDOWN($H14,0),AW$2)))))*$O14*1000*'Inputs Yr 2'!AC14,"")</f>
        <v>0</v>
      </c>
      <c r="AX14" s="197">
        <f>IFERROR($CT14*((INDEX(avoidedcosttbl2,$H14,AX$2))+(($H14-ROUNDDOWN($H14,0))*((INDEX(avoidedcosttbl2,ROUNDUP($H14,0),AX$2))-(INDEX(avoidedcosttbl2,ROUNDDOWN($H14,0),AX$2)))))*$O14*1000*'Inputs Yr 2'!AD14,"")</f>
        <v>0</v>
      </c>
      <c r="AY14" s="197">
        <f>IFERROR(((INDEX(avoidedcosttbl2,$H14,AY$2))+(($H14-ROUNDDOWN($H14,0))*((INDEX(avoidedcosttbl2,ROUNDUP($H14,0),AY$2))-(INDEX(avoidedcosttbl2,ROUNDDOWN($H14,0),AY$2)))))*$O14*1000*('Inputs Yr 2'!AC14+'Inputs Yr 2'!AD14),"")</f>
        <v>0</v>
      </c>
      <c r="AZ14" s="197">
        <f>IFERROR(((INDEX(avoidedcosttbl2,$H14,AZ$2))+(($H14-ROUNDDOWN($H14,0))*((INDEX(avoidedcosttbl2,ROUNDUP($H14,0),AZ$2))-(INDEX(avoidedcosttbl2,ROUNDDOWN($H14,0),AZ$2)))))*$O14*1000*('Inputs Yr 2'!AA14+'Inputs Yr 2'!AB14),"")</f>
        <v>0</v>
      </c>
      <c r="BA14" s="198">
        <f t="shared" si="34"/>
        <v>0</v>
      </c>
      <c r="BB14" s="198">
        <f t="shared" si="35"/>
        <v>0</v>
      </c>
      <c r="BC14" s="195">
        <f t="shared" si="10"/>
        <v>0</v>
      </c>
      <c r="BD14" s="195">
        <f t="shared" si="11"/>
        <v>0</v>
      </c>
      <c r="BE14" s="195">
        <f t="shared" si="12"/>
        <v>0</v>
      </c>
      <c r="BF14" s="195">
        <f t="shared" si="13"/>
        <v>0</v>
      </c>
      <c r="BG14" s="195">
        <f t="shared" si="14"/>
        <v>0</v>
      </c>
      <c r="BH14" s="196">
        <f t="shared" si="36"/>
        <v>0</v>
      </c>
      <c r="BI14" s="196">
        <f t="shared" si="37"/>
        <v>0</v>
      </c>
      <c r="BJ14" s="195">
        <f>IFERROR($G14*(IF('Inputs Yr 2'!$AJ14=BJ$4,'Inputs Yr 2'!$AK14,IF('Inputs Yr 2'!$AL14=BJ$4,'Inputs Yr 2'!$AM14,IF('Inputs Yr 2'!$AN14=BJ$4,'Inputs Yr 2'!$AO14,0))))*(INDEX(avoidedcosttbl2,$H14,BJ$2)+(($H14-ROUNDDOWN($H14,0))*(INDEX(avoidedcosttbl2,ROUNDUP($H14,0),BJ$2)-(INDEX(avoidedcosttbl2,ROUNDDOWN($H14,0),BJ$2)))))*'Inputs Yr 2'!P14*'Inputs Yr 2'!Q14*'Inputs Yr 2'!U14,"")</f>
        <v>0</v>
      </c>
      <c r="BK14" s="195">
        <f>IFERROR($G14*(IF('Inputs Yr 2'!$AJ14=BK$4,'Inputs Yr 2'!$AK14,IF('Inputs Yr 2'!$AL14=BK$4,'Inputs Yr 2'!$AM14,IF('Inputs Yr 2'!$AN14=BK$4,'Inputs Yr 2'!$AO14,0))))*(INDEX(avoidedcosttbl2,$H14,BK$2)+(($H14-ROUNDDOWN($H14,0))*(INDEX(avoidedcosttbl2,ROUNDUP($H14,0),BK$2)-(INDEX(avoidedcosttbl2,ROUNDDOWN($H14,0),BK$2)))))*'Inputs Yr 2'!P14*'Inputs Yr 2'!Q14*'Inputs Yr 2'!U14,"")</f>
        <v>0</v>
      </c>
      <c r="BL14" s="195">
        <f>IFERROR($G14*(IF('Inputs Yr 2'!$AJ14=BL$4,'Inputs Yr 2'!$AK14,IF('Inputs Yr 2'!$AL14=BL$4,'Inputs Yr 2'!$AM14,IF('Inputs Yr 2'!$AN14=BL$4,'Inputs Yr 2'!$AO14,0))))*(INDEX(avoidedcosttbl2,$H14,BL$2)+(($H14-ROUNDDOWN($H14,0))*(INDEX(avoidedcosttbl2,ROUNDUP($H14,0),BL$2)-(INDEX(avoidedcosttbl2,ROUNDDOWN($H14,0),BL$2)))))*'Inputs Yr 2'!P14*'Inputs Yr 2'!Q14*'Inputs Yr 2'!U14,"")</f>
        <v>1289124.3888844934</v>
      </c>
      <c r="BM14" s="195">
        <f>IFERROR($G14*(IF('Inputs Yr 2'!$AJ14=BM$4,'Inputs Yr 2'!$AK14,IF('Inputs Yr 2'!$AL14=BM$4,'Inputs Yr 2'!$AM14,IF('Inputs Yr 2'!$AN14=BM$4,'Inputs Yr 2'!$AO14,0))))*(INDEX(avoidedcosttbl2,$H14,BM$2)+(($H14-ROUNDDOWN($H14,0))*(INDEX(avoidedcosttbl2,ROUNDUP($H14,0),BM$2)-(INDEX(avoidedcosttbl2,ROUNDDOWN($H14,0),BM$2)))))*'Inputs Yr 2'!P14*'Inputs Yr 2'!Q14*'Inputs Yr 2'!U14,"")</f>
        <v>0</v>
      </c>
      <c r="BN14" s="195">
        <f>IFERROR($G14*(IF('Inputs Yr 2'!$AJ14=BN$4,'Inputs Yr 2'!$AK14,IF('Inputs Yr 2'!$AL14=BN$4,'Inputs Yr 2'!$AM14,IF('Inputs Yr 2'!$AN14=BN$4,'Inputs Yr 2'!$AO14,0))))*(INDEX(avoidedcosttbl2,$H14,BN$2)+(($H14-ROUNDDOWN($H14,0))*(INDEX(avoidedcosttbl2,ROUNDUP($H14,0),BN$2)-(INDEX(avoidedcosttbl2,ROUNDDOWN($H14,0),BN$2)))))*'Inputs Yr 2'!P14*'Inputs Yr 2'!Q14*'Inputs Yr 2'!U14,"")</f>
        <v>0</v>
      </c>
      <c r="BO14" s="195">
        <f>IFERROR($G14*(IF('Inputs Yr 2'!$AJ14=BO$4,'Inputs Yr 2'!$AK14,IF('Inputs Yr 2'!$AL14=BO$4,'Inputs Yr 2'!$AM14,IF('Inputs Yr 2'!$AN14=BO$4,'Inputs Yr 2'!$AO14,0))))*(INDEX(avoidedcosttbl2,$H14,BO$2)+(($H14-ROUNDDOWN($H14,0))*(INDEX(avoidedcosttbl2,ROUNDUP($H14,0),BO$2)-(INDEX(avoidedcosttbl2,ROUNDDOWN($H14,0),BO$2)))))*'Inputs Yr 2'!P14*'Inputs Yr 2'!Q14*'Inputs Yr 2'!U14,"")</f>
        <v>0</v>
      </c>
      <c r="BP14" s="195">
        <f>IFERROR($G14*(IF('Inputs Yr 2'!$AJ14=BP$4,'Inputs Yr 2'!$AK14,IF('Inputs Yr 2'!$AL14=BP$4,'Inputs Yr 2'!$AM14,IF('Inputs Yr 2'!$AN14=BP$4,'Inputs Yr 2'!$AO14,0))))*(INDEX(avoidedcosttbl2,$H14,BP$2)+(($H14-ROUNDDOWN($H14,0))*(INDEX(avoidedcosttbl2,ROUNDUP($H14,0),BP$2)-(INDEX(avoidedcosttbl2,ROUNDDOWN($H14,0),BP$2)))))*'Inputs Yr 2'!P14*'Inputs Yr 2'!Q14*'Inputs Yr 2'!U14,"")</f>
        <v>0</v>
      </c>
      <c r="BQ14" s="230">
        <f t="shared" si="38"/>
        <v>1289124.3888844934</v>
      </c>
      <c r="BR14" s="197">
        <f t="shared" si="17"/>
        <v>19945.649750320121</v>
      </c>
      <c r="BS14" s="197">
        <f>IFERROR(($G14*IF('Inputs Yr 2'!$AJ14=BM$4,'Inputs Yr 2'!$AK14,IF('Inputs Yr 2'!$AL14=BM$4,'Inputs Yr 2'!$AM14,IF('Inputs Yr 2'!$AN14=BM$4,'Inputs Yr 2'!$AO14,0))))*(INDEX(avoidedcosttbl2,$H14,BS$2)+(($H14-ROUNDDOWN($H14,0))*(INDEX(avoidedcosttbl2,ROUNDUP($H14,0),BS$2)-(INDEX(avoidedcosttbl2,ROUNDDOWN($H14,0),BS$2)))))*'Inputs Yr 2'!P14*'Inputs Yr 2'!Q14*'Inputs Yr 2'!U14,"")</f>
        <v>0</v>
      </c>
      <c r="BT14" s="197">
        <f>IFERROR(($G14*IF('Inputs Yr 2'!$AJ14=BK$4,'Inputs Yr 2'!$AK14,IF('Inputs Yr 2'!$AL14=BK$4,'Inputs Yr 2'!$AM14,IF('Inputs Yr 2'!$AN14=BK$4,'Inputs Yr 2'!$AO14,0))))*(INDEX(avoidedcosttbl2,$H14,BT$2)+(($H14-ROUNDDOWN($H14,0))*(INDEX(avoidedcosttbl2,ROUNDUP($H14,0),BT$2)-(INDEX(avoidedcosttbl2,ROUNDDOWN($H14,0),BT$2)))))*'Inputs Yr 2'!P14*'Inputs Yr 2'!Q14*'Inputs Yr 2'!U14,"")</f>
        <v>0</v>
      </c>
      <c r="BU14" s="197">
        <f>IFERROR(($G14*IF('Inputs Yr 2'!$AJ14=BL$4,'Inputs Yr 2'!$AK14,IF('Inputs Yr 2'!$AL14=BL$4,'Inputs Yr 2'!$AM14,IF('Inputs Yr 2'!$AN14=BL$4,'Inputs Yr 2'!$AO14,0))))*(INDEX(avoidedcosttbl2,$H14,BU$2)+(($H14-ROUNDDOWN($H14,0))*(INDEX(avoidedcosttbl2,ROUNDUP($H14,0),BU$2)-(INDEX(avoidedcosttbl2,ROUNDDOWN($H14,0),BU$2)))))*'Inputs Yr 2'!P14*'Inputs Yr 2'!Q14*'Inputs Yr 2'!U14,"")</f>
        <v>60544.942771344184</v>
      </c>
      <c r="BV14" s="775">
        <f>IFERROR(($G14*IF('Inputs Yr 2'!$AJ14=BJ$4,'Inputs Yr 2'!$AK14,IF('Inputs Yr 2'!$AL14=BJ$4,'Inputs Yr 2'!$AM14,IF('Inputs Yr 2'!$AN14=BJ$4,'Inputs Yr 2'!$AO14,0))))*(INDEX(avoidedcosttbl2,$H14,BV$2)+(($H14-ROUNDDOWN($H14,0))*(INDEX(avoidedcosttbl2,ROUNDUP($H14,0),BV$2)-(INDEX(avoidedcosttbl2,ROUNDDOWN($H14,0),BV$2)))))*'Inputs Yr 2'!P14*'Inputs Yr 2'!Q14*'Inputs Yr 2'!U14,"")</f>
        <v>0</v>
      </c>
      <c r="BW14" s="197">
        <f>IFERROR(($G14*IF('Inputs Yr 2'!$AJ14=BN$4,'Inputs Yr 2'!$AK14,IF('Inputs Yr 2'!$AL14=BN$4,'Inputs Yr 2'!$AM14,IF('Inputs Yr 2'!$AN14=BN$4,'Inputs Yr 2'!$AO14,0))))*(INDEX(avoidedcosttbl2,$H14,BW$2)+(($H14-ROUNDDOWN($H14,0))*(INDEX(avoidedcosttbl2,ROUNDUP($H14,0),BW$2)-(INDEX(avoidedcosttbl2,ROUNDDOWN($H14,0),BW$2)))))*'Inputs Yr 2'!P14*'Inputs Yr 2'!Q14*'Inputs Yr 2'!U14,"")</f>
        <v>0</v>
      </c>
      <c r="BX14" s="197">
        <f>IFERROR(($G14*IF('Inputs Yr 2'!$AJ14=BO$4,'Inputs Yr 2'!$AK14,IF('Inputs Yr 2'!$AL14=BO$4,'Inputs Yr 2'!$AM14,IF('Inputs Yr 2'!$AN14=BO$4,'Inputs Yr 2'!$AO14,0))))*(INDEX(avoidedcosttbl2,$H14,BX$2)+(($H14-ROUNDDOWN($H14,0))*(INDEX(avoidedcosttbl2,ROUNDUP($H14,0),BX$2)-(INDEX(avoidedcosttbl2,ROUNDDOWN($H14,0),BX$2)))))*'Inputs Yr 2'!P14*'Inputs Yr 2'!Q14*'Inputs Yr 2'!U14,"")</f>
        <v>0</v>
      </c>
      <c r="BY14" s="197">
        <f>IFERROR(($G14*IF('Inputs Yr 2'!$AJ14=BP$4,'Inputs Yr 2'!$AK14,IF('Inputs Yr 2'!$AL14=BP$4,'Inputs Yr 2'!$AM14,IF('Inputs Yr 2'!$AN14=BP$4,'Inputs Yr 2'!$AO14,0))))*(INDEX(avoidedcosttbl2,$H14,BY$2)+(($H14-ROUNDDOWN($H14,0))*(INDEX(avoidedcosttbl2,ROUNDUP($H14,0),BY$2)-(INDEX(avoidedcosttbl2,ROUNDDOWN($H14,0),BY$2)))))*'Inputs Yr 2'!P14*'Inputs Yr 2'!Q14*'Inputs Yr 2'!U14,"")</f>
        <v>0</v>
      </c>
      <c r="BZ14" s="193">
        <f t="shared" si="39"/>
        <v>80490.592521664308</v>
      </c>
      <c r="CA14" s="193">
        <f t="shared" si="40"/>
        <v>1369614.9814061576</v>
      </c>
      <c r="CB14" s="195">
        <f>IFERROR(G14*(IF('Inputs Yr 2'!$AJ14=CB$4,'Inputs Yr 2'!$AK14,IF('Inputs Yr 2'!$AL14=CB$4,'Inputs Yr 2'!$AM14,IF('Inputs Yr 2'!$AN14=CB$4,'Inputs Yr 2'!$AO14,0))))*(INDEX(avoidedcosttbl2,$H14,CB$2)+(($H14-ROUNDDOWN($H14,0))*(INDEX(avoidedcosttbl2,ROUNDUP($H14,0),CB$2)-(INDEX(avoidedcosttbl2,ROUNDDOWN($H14,0),CB$2)))))*'Inputs Yr 2'!P14*'Inputs Yr 2'!Q14*'Inputs Yr 2'!U14,"")</f>
        <v>0</v>
      </c>
      <c r="CC14" s="195">
        <f>IFERROR(H14*(IF('Inputs Yr 2'!$AJ14=CC$4,'Inputs Yr 2'!$AK14,IF('Inputs Yr 2'!$AL14=CC$4,'Inputs Yr 2'!$AM14,IF('Inputs Yr 2'!$AN14=CC$4,'Inputs Yr 2'!$AO14,0))))*(INDEX(avoidedcosttbl2,$H14,CC$2)+(($H14-ROUNDDOWN($H14,0))*(INDEX(avoidedcosttbl2,ROUNDUP($H14,0),CC$2)-(INDEX(avoidedcosttbl2,ROUNDDOWN($H14,0),CC$2)))))*'Inputs Yr 2'!Q14*'Inputs Yr 2'!R14*'Inputs Yr 2'!V14,"")</f>
        <v>0</v>
      </c>
      <c r="CD14" s="195">
        <f>IFERROR(I14*(IF('Inputs Yr 2'!$AJ14=CD$4,'Inputs Yr 2'!$AK14,IF('Inputs Yr 2'!$AL14=CD$4,'Inputs Yr 2'!$AM14,IF('Inputs Yr 2'!$AN14=CD$4,'Inputs Yr 2'!$AO14,0))))*(INDEX(avoidedcosttbl2,$H14,CD$2)+(($H14-ROUNDDOWN($H14,0))*(INDEX(avoidedcosttbl2,ROUNDUP($H14,0),CD$2)-(INDEX(avoidedcosttbl2,ROUNDDOWN($H14,0),CD$2)))))*'Inputs Yr 2'!R14*'Inputs Yr 2'!S14*'Inputs Yr 2'!W14,"")</f>
        <v>0</v>
      </c>
      <c r="CE14" s="213">
        <f t="shared" si="41"/>
        <v>0</v>
      </c>
      <c r="CF14" s="213">
        <f t="shared" si="42"/>
        <v>0</v>
      </c>
      <c r="CG14" s="213">
        <f t="shared" si="43"/>
        <v>0</v>
      </c>
      <c r="CH14" s="698">
        <f t="shared" si="44"/>
        <v>1369614.9814061576</v>
      </c>
      <c r="CI14" s="79">
        <f>IFERROR(($G14*'Inputs Yr 2'!$P14*'Inputs Yr 2'!$Q14*(((INDEX(avoidedcosttbl2,$H14,CI$2)+(($H14-ROUNDDOWN($H14,0))*(INDEX(avoidedcosttbl2,ROUNDUP($H14,0),CI$2)-INDEX(avoidedcosttbl2,ROUNDDOWN($H14,0),CI$2))))*'Inputs Yr 2'!AS14))),"")</f>
        <v>0</v>
      </c>
      <c r="CJ14" s="504">
        <f>IFERROR($G14*'Inputs Yr 2'!AT14*'Inputs Yr 2'!$P14*'Inputs Yr 2'!$Q14/((1+realdiscrt1)^-0.5),"")</f>
        <v>0</v>
      </c>
      <c r="CK14" s="79">
        <f>IFERROR((O14*1000*(((INDEX(avoidedcosttbl2,$H14,CK$2)+(($H14-ROUNDDOWN($H14,0))*(INDEX(avoidedcosttbl2,ROUNDUP($H14,0),CK$2)-INDEX(avoidedcosttbl2,ROUNDDOWN($H14,0),CK$2))))*'Inputs Yr 2'!AU14))),"")</f>
        <v>0</v>
      </c>
      <c r="CL14" s="504">
        <f>IFERROR(O14*1000*'Inputs Yr 2'!AV14/((1+realdiscrt1)^-0.5),"")</f>
        <v>0</v>
      </c>
      <c r="CM14" s="79">
        <f>IFERROR((AB14*'Inputs Yr 2'!AW14*(((INDEX(avoidedcosttbl2,$H14,CM$2)+(($H14-ROUNDDOWN($H14,0))*(INDEX(avoidedcosttbl2,ROUNDUP($H14,0),CM$2)-INDEX(avoidedcosttbl2,ROUNDDOWN($H14,0),CM$2)))))))*10,"")</f>
        <v>0</v>
      </c>
      <c r="CN14" s="504">
        <f>IFERROR(10*AB14*'Inputs Yr 2'!AX14/((1+realdiscrt1)^-0.5),"")</f>
        <v>0</v>
      </c>
      <c r="CO14" s="505">
        <f t="shared" si="45"/>
        <v>0</v>
      </c>
      <c r="CP14" s="230">
        <f t="shared" si="46"/>
        <v>1369614.9814061576</v>
      </c>
      <c r="CQ14" s="199">
        <f>ROUND(IFERROR(IF(LEFT($A14,1)="C",'Avoided Costs'!$K$13,'Avoided Costs'!$K$12)+1,""),4)</f>
        <v>1.0720000000000001</v>
      </c>
      <c r="CR14" s="199">
        <f>ROUND(IFERROR(IF(LEFT($A14,1)="C",'Avoided Costs'!$L$13,'Avoided Costs'!$L$12)+1,""),4)</f>
        <v>1.04</v>
      </c>
      <c r="CS14" s="199">
        <f>ROUND(IFERROR(IF(LEFT($A14,1)="C",'Avoided Costs'!$M$13,'Avoided Costs'!$M$12)+1,""),4)</f>
        <v>1.0720000000000001</v>
      </c>
      <c r="CT14" s="199">
        <f>ROUND(IFERROR(IF(LEFT($A14,1)="C",'Avoided Costs'!$N$13,'Avoided Costs'!$N$12)+1,""),4)</f>
        <v>1.04</v>
      </c>
      <c r="CU14" s="199">
        <f>ROUND(IFERROR(IF(LEFT($A14,1)="C",'Avoided Costs'!$O$13,'Avoided Costs'!$O$12)+1,""),4)</f>
        <v>1.1120000000000001</v>
      </c>
      <c r="CV14" s="199">
        <f>ROUND(IFERROR(IF(LEFT($A14,1)="C",'Avoided Costs'!$P$13,'Avoided Costs'!$P$12)+1,""),4)</f>
        <v>1.095</v>
      </c>
      <c r="CW14" s="199">
        <f>ROUND(IFERROR(IF(LEFT($A14,1)="C",'Avoided Costs'!$Q$13,'Avoided Costs'!$Q$12)+1,""),4)</f>
        <v>1.1120000000000001</v>
      </c>
      <c r="CX14" s="200">
        <f>ROUND(IFERROR(IF(LEFT($A14,1)="C",'Avoided Costs'!$R$13,'Avoided Costs'!$R$12)+1,""),4)</f>
        <v>1.1120000000000001</v>
      </c>
    </row>
    <row r="15" spans="1:105" ht="12.75" customHeight="1">
      <c r="A15" s="91" t="str">
        <f>IF('Inputs Yr 2'!$B15=0,"",'Inputs Yr 2'!A15)</f>
        <v>A - Residential</v>
      </c>
      <c r="B15" s="91" t="str">
        <f>IF('Inputs Yr 2'!$B15=0,"",'Inputs Yr 2'!B15)</f>
        <v>A1 - Residential Whole House</v>
      </c>
      <c r="C15" s="91" t="str">
        <f>IF('Inputs Yr 2'!$B15=0,"",'Inputs Yr 2'!C15)</f>
        <v>A1b - Residential Multi-Family Retrofit</v>
      </c>
      <c r="D15" s="91" t="str">
        <f>IF('Inputs Yr 2'!$B15=0,"",'Inputs Yr 2'!E15)</f>
        <v>Air Sealing, Gas</v>
      </c>
      <c r="E15" s="93" t="str">
        <f>IF('Inputs Yr 2'!$B15=0,"",'Inputs Yr 2'!F15)</f>
        <v>G16A1b01</v>
      </c>
      <c r="F15" s="93" t="str">
        <f>IF('Inputs Yr 2'!$B15=0,"",'Inputs Yr 2'!G15)</f>
        <v>Envelope</v>
      </c>
      <c r="G15" s="95">
        <f>IF('Inputs Yr 2'!$H15&lt;&gt;0,('Inputs Yr 2'!H15),"")</f>
        <v>8576</v>
      </c>
      <c r="H15" s="94">
        <f>IFERROR('Inputs Yr 2'!I15,"")</f>
        <v>15</v>
      </c>
      <c r="I15" s="298">
        <f>IFERROR('Inputs Yr 2'!J15*'Inputs Yr 2'!P15*G15,"")</f>
        <v>1771351.0919999992</v>
      </c>
      <c r="J15" s="298">
        <f>IFERROR('Inputs Yr 2'!K15*G15,"")</f>
        <v>2182649.399999999</v>
      </c>
      <c r="K15" s="298">
        <f t="shared" si="23"/>
        <v>-411298.30799999973</v>
      </c>
      <c r="L15" s="194">
        <f>IFERROR(('Inputs Yr 2'!W15*G15)/1000,"")</f>
        <v>0</v>
      </c>
      <c r="M15" s="194">
        <f>IFERROR(L15*('Inputs Yr 2'!$Q15*'Inputs Yr 2'!$V15*'Inputs Yr 2'!$R15),"")</f>
        <v>0</v>
      </c>
      <c r="N15" s="194">
        <f t="shared" si="24"/>
        <v>0</v>
      </c>
      <c r="O15" s="194">
        <f>IFERROR(M15*'Inputs Yr 2'!P15,"")</f>
        <v>0</v>
      </c>
      <c r="P15" s="194">
        <f t="shared" si="25"/>
        <v>0</v>
      </c>
      <c r="Q15" s="194">
        <f>IFERROR($P15*'Inputs Yr 2'!AA15,"")</f>
        <v>0</v>
      </c>
      <c r="R15" s="194">
        <f>IFERROR($P15*'Inputs Yr 2'!AB15,"")</f>
        <v>0</v>
      </c>
      <c r="S15" s="194">
        <f>IFERROR($P15*'Inputs Yr 2'!AC15,"")</f>
        <v>0</v>
      </c>
      <c r="T15" s="194">
        <f>IFERROR($P15*'Inputs Yr 2'!AD15,"")</f>
        <v>0</v>
      </c>
      <c r="U15" s="194">
        <f>IFERROR(G15*'Inputs Yr 2'!$AE15*'Inputs Yr 2'!$P15*'Inputs Yr 2'!$Q15,"")</f>
        <v>0</v>
      </c>
      <c r="V15" s="194">
        <f>IFERROR($G15*'Inputs Yr 2'!$AE15*'Inputs Yr 2'!$AG15*'Inputs Yr 2'!Q15*'Inputs Yr 2'!$S15,"")</f>
        <v>0</v>
      </c>
      <c r="W15" s="194">
        <f>IFERROR($G15*'Inputs Yr 2'!$AE15*'Inputs Yr 2'!$AG15*'Inputs Yr 2'!P15*'Inputs Yr 2'!Q15*'Inputs Yr 2'!$S15,"")</f>
        <v>0</v>
      </c>
      <c r="X15" s="194">
        <f>IFERROR($G15*'Inputs Yr 2'!$AE15*'Inputs Yr 2'!$AF15*'Inputs Yr 2'!Q15*'Inputs Yr 2'!$T15,"")</f>
        <v>0</v>
      </c>
      <c r="Y15" s="194">
        <f>IFERROR($G15*'Inputs Yr 2'!$AE15*'Inputs Yr 2'!$AF15*'Inputs Yr 2'!P15*'Inputs Yr 2'!Q15*'Inputs Yr 2'!$T15,"")</f>
        <v>0</v>
      </c>
      <c r="Z15" s="257">
        <f>IFERROR($G15*'Inputs Yr 2'!$Q15*'Inputs Yr 2'!$U15*(IF(IFERROR(SEARCH("NG", 'Inputs Yr 2'!$AJ15),0),'Inputs Yr 2'!$AK15,0)+IF(IFERROR(SEARCH("NG", 'Inputs Yr 2'!$AL15),0),'Inputs Yr 2'!$AM15,0)+IF(IFERROR(SEARCH("NG", 'Inputs Yr 2'!$AN15),0),'Inputs Yr 2'!$AO15,0)),0)</f>
        <v>19569.954154320985</v>
      </c>
      <c r="AA15" s="257">
        <f t="shared" si="26"/>
        <v>293549.31231481477</v>
      </c>
      <c r="AB15" s="257">
        <f>IFERROR(Z15*'Inputs Yr 2'!$P15,0)</f>
        <v>15851.662864999998</v>
      </c>
      <c r="AC15" s="257">
        <f t="shared" si="27"/>
        <v>237774.94297499998</v>
      </c>
      <c r="AD15" s="257">
        <f>IFERROR($G15*'Inputs Yr 2'!$Q15*'Inputs Yr 2'!$U15*(IF(IFERROR(SEARCH("Oil", 'Inputs Yr 2'!$AJ15), 0),'Inputs Yr 2'!$AK15,0)+IF(IFERROR(SEARCH("Oil", 'Inputs Yr 2'!$AL15), 0),'Inputs Yr 2'!$AM15,0)+IF(IFERROR(SEARCH("Oil", 'Inputs Yr 2'!$AN15), 0),'Inputs Yr 2'!$AO15,0)),0)</f>
        <v>0</v>
      </c>
      <c r="AE15" s="257">
        <f t="shared" si="28"/>
        <v>0</v>
      </c>
      <c r="AF15" s="257">
        <f>IFERROR(AD15*'Inputs Yr 2'!$P15,0)</f>
        <v>0</v>
      </c>
      <c r="AG15" s="257">
        <f t="shared" si="29"/>
        <v>0</v>
      </c>
      <c r="AH15" s="257">
        <f>IFERROR($G15*'Inputs Yr 2'!$Q15*'Inputs Yr 2'!$U15*(IF('Inputs Yr 2'!$AJ15=CD$4,'Inputs Yr 2'!$AK15,IF('Inputs Yr 2'!$AL15=CD$4,'Inputs Yr 2'!$AM15,IF('Inputs Yr 2'!$AN15=CD$4,'Inputs Yr 2'!$AO15,0)))),0)</f>
        <v>0</v>
      </c>
      <c r="AI15" s="257">
        <f t="shared" si="30"/>
        <v>0</v>
      </c>
      <c r="AJ15" s="257">
        <f>IFERROR(AH15*'Inputs Yr 2'!$P15,0)</f>
        <v>0</v>
      </c>
      <c r="AK15" s="257">
        <f t="shared" si="31"/>
        <v>0</v>
      </c>
      <c r="AL15" s="258">
        <f>IFERROR($G15*'Inputs Yr 2'!$P15*'Inputs Yr 2'!$Q15*'Inputs Yr 2'!AP15,0)</f>
        <v>0</v>
      </c>
      <c r="AM15" s="260">
        <f>IFERROR($G15*'Inputs Yr 2'!$P15*'Inputs Yr 2'!$Q15*'Inputs Yr 2'!AQ15,0)</f>
        <v>0</v>
      </c>
      <c r="AN15" s="258">
        <f>IFERROR($G15*'Inputs Yr 2'!$P15*'Inputs Yr 2'!$Q15*'Inputs Yr 2'!AR15,0)</f>
        <v>0</v>
      </c>
      <c r="AO15" s="257">
        <f t="shared" si="32"/>
        <v>0</v>
      </c>
      <c r="AP15" s="195">
        <f>IFERROR($CQ15*(INDEX(avoidedcosttbl2,$H15,AP$2)+(($H15-ROUNDDOWN($H15,0))*(INDEX(avoidedcosttbl2,ROUNDUP($H15,0),AP$2)-(INDEX(avoidedcosttbl2,ROUNDDOWN($H15,0),AP$2)))))*$O15*1000*'Inputs Yr 2'!AA15,"")</f>
        <v>0</v>
      </c>
      <c r="AQ15" s="195">
        <f>IFERROR($CR15*(INDEX(avoidedcosttbl2,$H15,AQ$2)+(($H15-ROUNDDOWN($H15,0))*(INDEX(avoidedcosttbl2,ROUNDUP($H15,0),AQ$2)-(INDEX(avoidedcosttbl2,ROUNDDOWN($H15,0),AQ$2)))))*$O15*1000*'Inputs Yr 2'!AB15,"")</f>
        <v>0</v>
      </c>
      <c r="AR15" s="195">
        <f>IFERROR($CS15*(INDEX(avoidedcosttbl2,$H15,AR$2)+(($H15-ROUNDDOWN($H15,0))*(INDEX(avoidedcosttbl2,ROUNDUP($H15,0),AR$2)-(INDEX(avoidedcosttbl2,ROUNDDOWN($H15,0),AR$2)))))*$O15*1000*'Inputs Yr 2'!AC15,"")</f>
        <v>0</v>
      </c>
      <c r="AS15" s="195">
        <f>IFERROR($CT15*(INDEX(avoidedcosttbl2,$H15,AS$2)+(($H15-ROUNDDOWN($H15,0))*(INDEX(avoidedcosttbl2,ROUNDUP($H15,0),AS$2)-(INDEX(avoidedcosttbl2,ROUNDDOWN($H15,0),AS$2)))))*$O15*1000*'Inputs Yr 2'!AD15,"")</f>
        <v>0</v>
      </c>
      <c r="AT15" s="196">
        <f t="shared" si="33"/>
        <v>0</v>
      </c>
      <c r="AU15" s="197">
        <f>IFERROR($CQ15*((INDEX(avoidedcosttbl2,$H15,AU$2))+(($H15-ROUNDDOWN($H15,0))*((INDEX(avoidedcosttbl2,ROUNDUP($H15,0),AU$2))-(INDEX(avoidedcosttbl2,ROUNDDOWN($H15,0),AU$2)))))*$O15*1000*'Inputs Yr 2'!AA15,"")</f>
        <v>0</v>
      </c>
      <c r="AV15" s="197">
        <f>IFERROR($CR15*((INDEX(avoidedcosttbl2,$H15,AV$2))+(($H15-ROUNDDOWN($H15,0))*((INDEX(avoidedcosttbl2,ROUNDUP($H15,0),AV$2))-(INDEX(avoidedcosttbl2,ROUNDDOWN($H15,0),AV$2)))))*$O15*1000*'Inputs Yr 2'!AB15,"")</f>
        <v>0</v>
      </c>
      <c r="AW15" s="197">
        <f>IFERROR($CS15*((INDEX(avoidedcosttbl2,$H15,AW$2))+(($H15-ROUNDDOWN($H15,0))*((INDEX(avoidedcosttbl2,ROUNDUP($H15,0),AW$2))-(INDEX(avoidedcosttbl2,ROUNDDOWN($H15,0),AW$2)))))*$O15*1000*'Inputs Yr 2'!AC15,"")</f>
        <v>0</v>
      </c>
      <c r="AX15" s="197">
        <f>IFERROR($CT15*((INDEX(avoidedcosttbl2,$H15,AX$2))+(($H15-ROUNDDOWN($H15,0))*((INDEX(avoidedcosttbl2,ROUNDUP($H15,0),AX$2))-(INDEX(avoidedcosttbl2,ROUNDDOWN($H15,0),AX$2)))))*$O15*1000*'Inputs Yr 2'!AD15,"")</f>
        <v>0</v>
      </c>
      <c r="AY15" s="197">
        <f>IFERROR(((INDEX(avoidedcosttbl2,$H15,AY$2))+(($H15-ROUNDDOWN($H15,0))*((INDEX(avoidedcosttbl2,ROUNDUP($H15,0),AY$2))-(INDEX(avoidedcosttbl2,ROUNDDOWN($H15,0),AY$2)))))*$O15*1000*('Inputs Yr 2'!AC15+'Inputs Yr 2'!AD15),"")</f>
        <v>0</v>
      </c>
      <c r="AZ15" s="197">
        <f>IFERROR(((INDEX(avoidedcosttbl2,$H15,AZ$2))+(($H15-ROUNDDOWN($H15,0))*((INDEX(avoidedcosttbl2,ROUNDUP($H15,0),AZ$2))-(INDEX(avoidedcosttbl2,ROUNDDOWN($H15,0),AZ$2)))))*$O15*1000*('Inputs Yr 2'!AA15+'Inputs Yr 2'!AB15),"")</f>
        <v>0</v>
      </c>
      <c r="BA15" s="198">
        <f t="shared" si="34"/>
        <v>0</v>
      </c>
      <c r="BB15" s="198">
        <f t="shared" si="35"/>
        <v>0</v>
      </c>
      <c r="BC15" s="195">
        <f t="shared" si="10"/>
        <v>0</v>
      </c>
      <c r="BD15" s="195">
        <f t="shared" si="11"/>
        <v>0</v>
      </c>
      <c r="BE15" s="195">
        <f t="shared" si="12"/>
        <v>0</v>
      </c>
      <c r="BF15" s="195">
        <f t="shared" si="13"/>
        <v>0</v>
      </c>
      <c r="BG15" s="195">
        <f t="shared" si="14"/>
        <v>0</v>
      </c>
      <c r="BH15" s="196">
        <f t="shared" si="36"/>
        <v>0</v>
      </c>
      <c r="BI15" s="196">
        <f t="shared" si="37"/>
        <v>0</v>
      </c>
      <c r="BJ15" s="195">
        <f>IFERROR($G15*(IF('Inputs Yr 2'!$AJ15=BJ$4,'Inputs Yr 2'!$AK15,IF('Inputs Yr 2'!$AL15=BJ$4,'Inputs Yr 2'!$AM15,IF('Inputs Yr 2'!$AN15=BJ$4,'Inputs Yr 2'!$AO15,0))))*(INDEX(avoidedcosttbl2,$H15,BJ$2)+(($H15-ROUNDDOWN($H15,0))*(INDEX(avoidedcosttbl2,ROUNDUP($H15,0),BJ$2)-(INDEX(avoidedcosttbl2,ROUNDDOWN($H15,0),BJ$2)))))*'Inputs Yr 2'!P15*'Inputs Yr 2'!Q15*'Inputs Yr 2'!U15,"")</f>
        <v>0</v>
      </c>
      <c r="BK15" s="195">
        <f>IFERROR($G15*(IF('Inputs Yr 2'!$AJ15=BK$4,'Inputs Yr 2'!$AK15,IF('Inputs Yr 2'!$AL15=BK$4,'Inputs Yr 2'!$AM15,IF('Inputs Yr 2'!$AN15=BK$4,'Inputs Yr 2'!$AO15,0))))*(INDEX(avoidedcosttbl2,$H15,BK$2)+(($H15-ROUNDDOWN($H15,0))*(INDEX(avoidedcosttbl2,ROUNDUP($H15,0),BK$2)-(INDEX(avoidedcosttbl2,ROUNDDOWN($H15,0),BK$2)))))*'Inputs Yr 2'!P15*'Inputs Yr 2'!Q15*'Inputs Yr 2'!U15,"")</f>
        <v>0</v>
      </c>
      <c r="BL15" s="195">
        <f>IFERROR($G15*(IF('Inputs Yr 2'!$AJ15=BL$4,'Inputs Yr 2'!$AK15,IF('Inputs Yr 2'!$AL15=BL$4,'Inputs Yr 2'!$AM15,IF('Inputs Yr 2'!$AN15=BL$4,'Inputs Yr 2'!$AO15,0))))*(INDEX(avoidedcosttbl2,$H15,BL$2)+(($H15-ROUNDDOWN($H15,0))*(INDEX(avoidedcosttbl2,ROUNDUP($H15,0),BL$2)-(INDEX(avoidedcosttbl2,ROUNDDOWN($H15,0),BL$2)))))*'Inputs Yr 2'!P15*'Inputs Yr 2'!Q15*'Inputs Yr 2'!U15,"")</f>
        <v>2005090.048718259</v>
      </c>
      <c r="BM15" s="195">
        <f>IFERROR($G15*(IF('Inputs Yr 2'!$AJ15=BM$4,'Inputs Yr 2'!$AK15,IF('Inputs Yr 2'!$AL15=BM$4,'Inputs Yr 2'!$AM15,IF('Inputs Yr 2'!$AN15=BM$4,'Inputs Yr 2'!$AO15,0))))*(INDEX(avoidedcosttbl2,$H15,BM$2)+(($H15-ROUNDDOWN($H15,0))*(INDEX(avoidedcosttbl2,ROUNDUP($H15,0),BM$2)-(INDEX(avoidedcosttbl2,ROUNDDOWN($H15,0),BM$2)))))*'Inputs Yr 2'!P15*'Inputs Yr 2'!Q15*'Inputs Yr 2'!U15,"")</f>
        <v>0</v>
      </c>
      <c r="BN15" s="195">
        <f>IFERROR($G15*(IF('Inputs Yr 2'!$AJ15=BN$4,'Inputs Yr 2'!$AK15,IF('Inputs Yr 2'!$AL15=BN$4,'Inputs Yr 2'!$AM15,IF('Inputs Yr 2'!$AN15=BN$4,'Inputs Yr 2'!$AO15,0))))*(INDEX(avoidedcosttbl2,$H15,BN$2)+(($H15-ROUNDDOWN($H15,0))*(INDEX(avoidedcosttbl2,ROUNDUP($H15,0),BN$2)-(INDEX(avoidedcosttbl2,ROUNDDOWN($H15,0),BN$2)))))*'Inputs Yr 2'!P15*'Inputs Yr 2'!Q15*'Inputs Yr 2'!U15,"")</f>
        <v>0</v>
      </c>
      <c r="BO15" s="195">
        <f>IFERROR($G15*(IF('Inputs Yr 2'!$AJ15=BO$4,'Inputs Yr 2'!$AK15,IF('Inputs Yr 2'!$AL15=BO$4,'Inputs Yr 2'!$AM15,IF('Inputs Yr 2'!$AN15=BO$4,'Inputs Yr 2'!$AO15,0))))*(INDEX(avoidedcosttbl2,$H15,BO$2)+(($H15-ROUNDDOWN($H15,0))*(INDEX(avoidedcosttbl2,ROUNDUP($H15,0),BO$2)-(INDEX(avoidedcosttbl2,ROUNDDOWN($H15,0),BO$2)))))*'Inputs Yr 2'!P15*'Inputs Yr 2'!Q15*'Inputs Yr 2'!U15,"")</f>
        <v>0</v>
      </c>
      <c r="BP15" s="195">
        <f>IFERROR($G15*(IF('Inputs Yr 2'!$AJ15=BP$4,'Inputs Yr 2'!$AK15,IF('Inputs Yr 2'!$AL15=BP$4,'Inputs Yr 2'!$AM15,IF('Inputs Yr 2'!$AN15=BP$4,'Inputs Yr 2'!$AO15,0))))*(INDEX(avoidedcosttbl2,$H15,BP$2)+(($H15-ROUNDDOWN($H15,0))*(INDEX(avoidedcosttbl2,ROUNDUP($H15,0),BP$2)-(INDEX(avoidedcosttbl2,ROUNDDOWN($H15,0),BP$2)))))*'Inputs Yr 2'!P15*'Inputs Yr 2'!Q15*'Inputs Yr 2'!U15,"")</f>
        <v>0</v>
      </c>
      <c r="BQ15" s="230">
        <f t="shared" si="38"/>
        <v>2005090.048718259</v>
      </c>
      <c r="BR15" s="197">
        <f t="shared" si="17"/>
        <v>32228.468691857299</v>
      </c>
      <c r="BS15" s="197">
        <f>IFERROR(($G15*IF('Inputs Yr 2'!$AJ15=BM$4,'Inputs Yr 2'!$AK15,IF('Inputs Yr 2'!$AL15=BM$4,'Inputs Yr 2'!$AM15,IF('Inputs Yr 2'!$AN15=BM$4,'Inputs Yr 2'!$AO15,0))))*(INDEX(avoidedcosttbl2,$H15,BS$2)+(($H15-ROUNDDOWN($H15,0))*(INDEX(avoidedcosttbl2,ROUNDUP($H15,0),BS$2)-(INDEX(avoidedcosttbl2,ROUNDDOWN($H15,0),BS$2)))))*'Inputs Yr 2'!P15*'Inputs Yr 2'!Q15*'Inputs Yr 2'!U15,"")</f>
        <v>0</v>
      </c>
      <c r="BT15" s="197">
        <f>IFERROR(($G15*IF('Inputs Yr 2'!$AJ15=BK$4,'Inputs Yr 2'!$AK15,IF('Inputs Yr 2'!$AL15=BK$4,'Inputs Yr 2'!$AM15,IF('Inputs Yr 2'!$AN15=BK$4,'Inputs Yr 2'!$AO15,0))))*(INDEX(avoidedcosttbl2,$H15,BT$2)+(($H15-ROUNDDOWN($H15,0))*(INDEX(avoidedcosttbl2,ROUNDUP($H15,0),BT$2)-(INDEX(avoidedcosttbl2,ROUNDDOWN($H15,0),BT$2)))))*'Inputs Yr 2'!P15*'Inputs Yr 2'!Q15*'Inputs Yr 2'!U15,"")</f>
        <v>0</v>
      </c>
      <c r="BU15" s="197">
        <f>IFERROR(($G15*IF('Inputs Yr 2'!$AJ15=BL$4,'Inputs Yr 2'!$AK15,IF('Inputs Yr 2'!$AL15=BL$4,'Inputs Yr 2'!$AM15,IF('Inputs Yr 2'!$AN15=BL$4,'Inputs Yr 2'!$AO15,0))))*(INDEX(avoidedcosttbl2,$H15,BU$2)+(($H15-ROUNDDOWN($H15,0))*(INDEX(avoidedcosttbl2,ROUNDUP($H15,0),BU$2)-(INDEX(avoidedcosttbl2,ROUNDDOWN($H15,0),BU$2)))))*'Inputs Yr 2'!P15*'Inputs Yr 2'!Q15*'Inputs Yr 2'!U15,"")</f>
        <v>122726.64462193652</v>
      </c>
      <c r="BV15" s="775">
        <f>IFERROR(($G15*IF('Inputs Yr 2'!$AJ15=BJ$4,'Inputs Yr 2'!$AK15,IF('Inputs Yr 2'!$AL15=BJ$4,'Inputs Yr 2'!$AM15,IF('Inputs Yr 2'!$AN15=BJ$4,'Inputs Yr 2'!$AO15,0))))*(INDEX(avoidedcosttbl2,$H15,BV$2)+(($H15-ROUNDDOWN($H15,0))*(INDEX(avoidedcosttbl2,ROUNDUP($H15,0),BV$2)-(INDEX(avoidedcosttbl2,ROUNDDOWN($H15,0),BV$2)))))*'Inputs Yr 2'!P15*'Inputs Yr 2'!Q15*'Inputs Yr 2'!U15,"")</f>
        <v>0</v>
      </c>
      <c r="BW15" s="197">
        <f>IFERROR(($G15*IF('Inputs Yr 2'!$AJ15=BN$4,'Inputs Yr 2'!$AK15,IF('Inputs Yr 2'!$AL15=BN$4,'Inputs Yr 2'!$AM15,IF('Inputs Yr 2'!$AN15=BN$4,'Inputs Yr 2'!$AO15,0))))*(INDEX(avoidedcosttbl2,$H15,BW$2)+(($H15-ROUNDDOWN($H15,0))*(INDEX(avoidedcosttbl2,ROUNDUP($H15,0),BW$2)-(INDEX(avoidedcosttbl2,ROUNDDOWN($H15,0),BW$2)))))*'Inputs Yr 2'!P15*'Inputs Yr 2'!Q15*'Inputs Yr 2'!U15,"")</f>
        <v>0</v>
      </c>
      <c r="BX15" s="197">
        <f>IFERROR(($G15*IF('Inputs Yr 2'!$AJ15=BO$4,'Inputs Yr 2'!$AK15,IF('Inputs Yr 2'!$AL15=BO$4,'Inputs Yr 2'!$AM15,IF('Inputs Yr 2'!$AN15=BO$4,'Inputs Yr 2'!$AO15,0))))*(INDEX(avoidedcosttbl2,$H15,BX$2)+(($H15-ROUNDDOWN($H15,0))*(INDEX(avoidedcosttbl2,ROUNDUP($H15,0),BX$2)-(INDEX(avoidedcosttbl2,ROUNDDOWN($H15,0),BX$2)))))*'Inputs Yr 2'!P15*'Inputs Yr 2'!Q15*'Inputs Yr 2'!U15,"")</f>
        <v>0</v>
      </c>
      <c r="BY15" s="197">
        <f>IFERROR(($G15*IF('Inputs Yr 2'!$AJ15=BP$4,'Inputs Yr 2'!$AK15,IF('Inputs Yr 2'!$AL15=BP$4,'Inputs Yr 2'!$AM15,IF('Inputs Yr 2'!$AN15=BP$4,'Inputs Yr 2'!$AO15,0))))*(INDEX(avoidedcosttbl2,$H15,BY$2)+(($H15-ROUNDDOWN($H15,0))*(INDEX(avoidedcosttbl2,ROUNDUP($H15,0),BY$2)-(INDEX(avoidedcosttbl2,ROUNDDOWN($H15,0),BY$2)))))*'Inputs Yr 2'!P15*'Inputs Yr 2'!Q15*'Inputs Yr 2'!U15,"")</f>
        <v>0</v>
      </c>
      <c r="BZ15" s="193">
        <f t="shared" si="39"/>
        <v>154955.11331379382</v>
      </c>
      <c r="CA15" s="193">
        <f t="shared" si="40"/>
        <v>2160045.1620320529</v>
      </c>
      <c r="CB15" s="195">
        <f>IFERROR(G15*(IF('Inputs Yr 2'!$AJ15=CB$4,'Inputs Yr 2'!$AK15,IF('Inputs Yr 2'!$AL15=CB$4,'Inputs Yr 2'!$AM15,IF('Inputs Yr 2'!$AN15=CB$4,'Inputs Yr 2'!$AO15,0))))*(INDEX(avoidedcosttbl2,$H15,CB$2)+(($H15-ROUNDDOWN($H15,0))*(INDEX(avoidedcosttbl2,ROUNDUP($H15,0),CB$2)-(INDEX(avoidedcosttbl2,ROUNDDOWN($H15,0),CB$2)))))*'Inputs Yr 2'!P15*'Inputs Yr 2'!Q15*'Inputs Yr 2'!U15,"")</f>
        <v>0</v>
      </c>
      <c r="CC15" s="195">
        <f>IFERROR(H15*(IF('Inputs Yr 2'!$AJ15=CC$4,'Inputs Yr 2'!$AK15,IF('Inputs Yr 2'!$AL15=CC$4,'Inputs Yr 2'!$AM15,IF('Inputs Yr 2'!$AN15=CC$4,'Inputs Yr 2'!$AO15,0))))*(INDEX(avoidedcosttbl2,$H15,CC$2)+(($H15-ROUNDDOWN($H15,0))*(INDEX(avoidedcosttbl2,ROUNDUP($H15,0),CC$2)-(INDEX(avoidedcosttbl2,ROUNDDOWN($H15,0),CC$2)))))*'Inputs Yr 2'!Q15*'Inputs Yr 2'!R15*'Inputs Yr 2'!V15,"")</f>
        <v>0</v>
      </c>
      <c r="CD15" s="195">
        <f>IFERROR(I15*(IF('Inputs Yr 2'!$AJ15=CD$4,'Inputs Yr 2'!$AK15,IF('Inputs Yr 2'!$AL15=CD$4,'Inputs Yr 2'!$AM15,IF('Inputs Yr 2'!$AN15=CD$4,'Inputs Yr 2'!$AO15,0))))*(INDEX(avoidedcosttbl2,$H15,CD$2)+(($H15-ROUNDDOWN($H15,0))*(INDEX(avoidedcosttbl2,ROUNDUP($H15,0),CD$2)-(INDEX(avoidedcosttbl2,ROUNDDOWN($H15,0),CD$2)))))*'Inputs Yr 2'!R15*'Inputs Yr 2'!S15*'Inputs Yr 2'!W15,"")</f>
        <v>0</v>
      </c>
      <c r="CE15" s="213">
        <f t="shared" si="41"/>
        <v>0</v>
      </c>
      <c r="CF15" s="213">
        <f t="shared" si="42"/>
        <v>0</v>
      </c>
      <c r="CG15" s="213">
        <f t="shared" si="43"/>
        <v>0</v>
      </c>
      <c r="CH15" s="698">
        <f t="shared" si="44"/>
        <v>2160045.1620320529</v>
      </c>
      <c r="CI15" s="79">
        <f>IFERROR(($G15*'Inputs Yr 2'!$P15*'Inputs Yr 2'!$Q15*(((INDEX(avoidedcosttbl2,$H15,CI$2)+(($H15-ROUNDDOWN($H15,0))*(INDEX(avoidedcosttbl2,ROUNDUP($H15,0),CI$2)-INDEX(avoidedcosttbl2,ROUNDDOWN($H15,0),CI$2))))*'Inputs Yr 2'!AS15))),"")</f>
        <v>1951281.2289286694</v>
      </c>
      <c r="CJ15" s="504">
        <f>IFERROR($G15*'Inputs Yr 2'!AT15*'Inputs Yr 2'!$P15*'Inputs Yr 2'!$Q15/((1+realdiscrt1)^-0.5),"")</f>
        <v>0</v>
      </c>
      <c r="CK15" s="79">
        <f>IFERROR((O15*1000*(((INDEX(avoidedcosttbl2,$H15,CK$2)+(($H15-ROUNDDOWN($H15,0))*(INDEX(avoidedcosttbl2,ROUNDUP($H15,0),CK$2)-INDEX(avoidedcosttbl2,ROUNDDOWN($H15,0),CK$2))))*'Inputs Yr 2'!AU15))),"")</f>
        <v>0</v>
      </c>
      <c r="CL15" s="504">
        <f>IFERROR(O15*1000*'Inputs Yr 2'!AV15/((1+realdiscrt1)^-0.5),"")</f>
        <v>0</v>
      </c>
      <c r="CM15" s="79">
        <f>IFERROR((AB15*'Inputs Yr 2'!AW15*(((INDEX(avoidedcosttbl2,$H15,CM$2)+(($H15-ROUNDDOWN($H15,0))*(INDEX(avoidedcosttbl2,ROUNDUP($H15,0),CM$2)-INDEX(avoidedcosttbl2,ROUNDDOWN($H15,0),CM$2)))))))*10,"")</f>
        <v>0</v>
      </c>
      <c r="CN15" s="504">
        <f>IFERROR(10*AB15*'Inputs Yr 2'!AX15/((1+realdiscrt1)^-0.5),"")</f>
        <v>0</v>
      </c>
      <c r="CO15" s="505">
        <f t="shared" si="45"/>
        <v>1951281.2289286694</v>
      </c>
      <c r="CP15" s="230">
        <f t="shared" si="46"/>
        <v>4111326.3909607222</v>
      </c>
      <c r="CQ15" s="199">
        <f>ROUND(IFERROR(IF(LEFT($A15,1)="C",'Avoided Costs'!$K$13,'Avoided Costs'!$K$12)+1,""),4)</f>
        <v>1.0720000000000001</v>
      </c>
      <c r="CR15" s="199">
        <f>ROUND(IFERROR(IF(LEFT($A15,1)="C",'Avoided Costs'!$L$13,'Avoided Costs'!$L$12)+1,""),4)</f>
        <v>1.04</v>
      </c>
      <c r="CS15" s="199">
        <f>ROUND(IFERROR(IF(LEFT($A15,1)="C",'Avoided Costs'!$M$13,'Avoided Costs'!$M$12)+1,""),4)</f>
        <v>1.0720000000000001</v>
      </c>
      <c r="CT15" s="199">
        <f>ROUND(IFERROR(IF(LEFT($A15,1)="C",'Avoided Costs'!$N$13,'Avoided Costs'!$N$12)+1,""),4)</f>
        <v>1.04</v>
      </c>
      <c r="CU15" s="199">
        <f>ROUND(IFERROR(IF(LEFT($A15,1)="C",'Avoided Costs'!$O$13,'Avoided Costs'!$O$12)+1,""),4)</f>
        <v>1.1120000000000001</v>
      </c>
      <c r="CV15" s="199">
        <f>ROUND(IFERROR(IF(LEFT($A15,1)="C",'Avoided Costs'!$P$13,'Avoided Costs'!$P$12)+1,""),4)</f>
        <v>1.095</v>
      </c>
      <c r="CW15" s="199">
        <f>ROUND(IFERROR(IF(LEFT($A15,1)="C",'Avoided Costs'!$Q$13,'Avoided Costs'!$Q$12)+1,""),4)</f>
        <v>1.1120000000000001</v>
      </c>
      <c r="CX15" s="200">
        <f>ROUND(IFERROR(IF(LEFT($A15,1)="C",'Avoided Costs'!$R$13,'Avoided Costs'!$R$12)+1,""),4)</f>
        <v>1.1120000000000001</v>
      </c>
    </row>
    <row r="16" spans="1:105" ht="12.75" customHeight="1">
      <c r="A16" s="91" t="str">
        <f>IF('Inputs Yr 2'!$B16=0,"",'Inputs Yr 2'!A16)</f>
        <v>A - Residential</v>
      </c>
      <c r="B16" s="91" t="str">
        <f>IF('Inputs Yr 2'!$B16=0,"",'Inputs Yr 2'!B16)</f>
        <v>A1 - Residential Whole House</v>
      </c>
      <c r="C16" s="91" t="str">
        <f>IF('Inputs Yr 2'!$B16=0,"",'Inputs Yr 2'!C16)</f>
        <v>A1b - Residential Multi-Family Retrofit</v>
      </c>
      <c r="D16" s="91" t="str">
        <f>IF('Inputs Yr 2'!$B16=0,"",'Inputs Yr 2'!E16)</f>
        <v>Insulation, Gas</v>
      </c>
      <c r="E16" s="93" t="str">
        <f>IF('Inputs Yr 2'!$B16=0,"",'Inputs Yr 2'!F16)</f>
        <v>G16A1b02</v>
      </c>
      <c r="F16" s="93" t="str">
        <f>IF('Inputs Yr 2'!$B16=0,"",'Inputs Yr 2'!G16)</f>
        <v>Envelope</v>
      </c>
      <c r="G16" s="95">
        <f>IF('Inputs Yr 2'!$H16&lt;&gt;0,('Inputs Yr 2'!H16),"")</f>
        <v>5698</v>
      </c>
      <c r="H16" s="94">
        <f>IFERROR('Inputs Yr 2'!I16,"")</f>
        <v>25</v>
      </c>
      <c r="I16" s="298">
        <f>IFERROR('Inputs Yr 2'!J16*'Inputs Yr 2'!P16*G16,"")</f>
        <v>773126.85599999968</v>
      </c>
      <c r="J16" s="298">
        <f>IFERROR('Inputs Yr 2'!K16*G16,"")</f>
        <v>716442.60000000033</v>
      </c>
      <c r="K16" s="298">
        <f t="shared" si="23"/>
        <v>56684.255999999354</v>
      </c>
      <c r="L16" s="194">
        <f>IFERROR(('Inputs Yr 2'!W16*G16)/1000,"")</f>
        <v>0</v>
      </c>
      <c r="M16" s="194">
        <f>IFERROR(L16*('Inputs Yr 2'!$Q16*'Inputs Yr 2'!$V16*'Inputs Yr 2'!$R16),"")</f>
        <v>0</v>
      </c>
      <c r="N16" s="194">
        <f t="shared" si="24"/>
        <v>0</v>
      </c>
      <c r="O16" s="194">
        <f>IFERROR(M16*'Inputs Yr 2'!P16,"")</f>
        <v>0</v>
      </c>
      <c r="P16" s="194">
        <f t="shared" si="25"/>
        <v>0</v>
      </c>
      <c r="Q16" s="194">
        <f>IFERROR($P16*'Inputs Yr 2'!AA16,"")</f>
        <v>0</v>
      </c>
      <c r="R16" s="194">
        <f>IFERROR($P16*'Inputs Yr 2'!AB16,"")</f>
        <v>0</v>
      </c>
      <c r="S16" s="194">
        <f>IFERROR($P16*'Inputs Yr 2'!AC16,"")</f>
        <v>0</v>
      </c>
      <c r="T16" s="194">
        <f>IFERROR($P16*'Inputs Yr 2'!AD16,"")</f>
        <v>0</v>
      </c>
      <c r="U16" s="194">
        <f>IFERROR(G16*'Inputs Yr 2'!$AE16*'Inputs Yr 2'!$P16*'Inputs Yr 2'!$Q16,"")</f>
        <v>0</v>
      </c>
      <c r="V16" s="194">
        <f>IFERROR($G16*'Inputs Yr 2'!$AE16*'Inputs Yr 2'!$AG16*'Inputs Yr 2'!Q16*'Inputs Yr 2'!$S16,"")</f>
        <v>0</v>
      </c>
      <c r="W16" s="194">
        <f>IFERROR($G16*'Inputs Yr 2'!$AE16*'Inputs Yr 2'!$AG16*'Inputs Yr 2'!P16*'Inputs Yr 2'!Q16*'Inputs Yr 2'!$S16,"")</f>
        <v>0</v>
      </c>
      <c r="X16" s="194">
        <f>IFERROR($G16*'Inputs Yr 2'!$AE16*'Inputs Yr 2'!$AF16*'Inputs Yr 2'!Q16*'Inputs Yr 2'!$T16,"")</f>
        <v>0</v>
      </c>
      <c r="Y16" s="194">
        <f>IFERROR($G16*'Inputs Yr 2'!$AE16*'Inputs Yr 2'!$AF16*'Inputs Yr 2'!P16*'Inputs Yr 2'!Q16*'Inputs Yr 2'!$T16,"")</f>
        <v>0</v>
      </c>
      <c r="Z16" s="257">
        <f>IFERROR($G16*'Inputs Yr 2'!$Q16*'Inputs Yr 2'!$U16*(IF(IFERROR(SEARCH("NG", 'Inputs Yr 2'!$AJ16),0),'Inputs Yr 2'!$AK16,0)+IF(IFERROR(SEARCH("NG", 'Inputs Yr 2'!$AL16),0),'Inputs Yr 2'!$AM16,0)+IF(IFERROR(SEARCH("NG", 'Inputs Yr 2'!$AN16),0),'Inputs Yr 2'!$AO16,0)),0)</f>
        <v>4440.7886925925923</v>
      </c>
      <c r="AA16" s="257">
        <f t="shared" si="26"/>
        <v>111019.7173148148</v>
      </c>
      <c r="AB16" s="257">
        <f>IFERROR(Z16*'Inputs Yr 2'!$P16,0)</f>
        <v>3597.038841</v>
      </c>
      <c r="AC16" s="257">
        <f t="shared" si="27"/>
        <v>89925.971025000006</v>
      </c>
      <c r="AD16" s="257">
        <f>IFERROR($G16*'Inputs Yr 2'!$Q16*'Inputs Yr 2'!$U16*(IF(IFERROR(SEARCH("Oil", 'Inputs Yr 2'!$AJ16), 0),'Inputs Yr 2'!$AK16,0)+IF(IFERROR(SEARCH("Oil", 'Inputs Yr 2'!$AL16), 0),'Inputs Yr 2'!$AM16,0)+IF(IFERROR(SEARCH("Oil", 'Inputs Yr 2'!$AN16), 0),'Inputs Yr 2'!$AO16,0)),0)</f>
        <v>0</v>
      </c>
      <c r="AE16" s="257">
        <f t="shared" si="28"/>
        <v>0</v>
      </c>
      <c r="AF16" s="257">
        <f>IFERROR(AD16*'Inputs Yr 2'!$P16,0)</f>
        <v>0</v>
      </c>
      <c r="AG16" s="257">
        <f t="shared" si="29"/>
        <v>0</v>
      </c>
      <c r="AH16" s="257">
        <f>IFERROR($G16*'Inputs Yr 2'!$Q16*'Inputs Yr 2'!$U16*(IF('Inputs Yr 2'!$AJ16=CD$4,'Inputs Yr 2'!$AK16,IF('Inputs Yr 2'!$AL16=CD$4,'Inputs Yr 2'!$AM16,IF('Inputs Yr 2'!$AN16=CD$4,'Inputs Yr 2'!$AO16,0)))),0)</f>
        <v>0</v>
      </c>
      <c r="AI16" s="257">
        <f t="shared" si="30"/>
        <v>0</v>
      </c>
      <c r="AJ16" s="257">
        <f>IFERROR(AH16*'Inputs Yr 2'!$P16,0)</f>
        <v>0</v>
      </c>
      <c r="AK16" s="257">
        <f t="shared" si="31"/>
        <v>0</v>
      </c>
      <c r="AL16" s="258">
        <f>IFERROR($G16*'Inputs Yr 2'!$P16*'Inputs Yr 2'!$Q16*'Inputs Yr 2'!AP16,0)</f>
        <v>0</v>
      </c>
      <c r="AM16" s="260">
        <f>IFERROR($G16*'Inputs Yr 2'!$P16*'Inputs Yr 2'!$Q16*'Inputs Yr 2'!AQ16,0)</f>
        <v>0</v>
      </c>
      <c r="AN16" s="258">
        <f>IFERROR($G16*'Inputs Yr 2'!$P16*'Inputs Yr 2'!$Q16*'Inputs Yr 2'!AR16,0)</f>
        <v>0</v>
      </c>
      <c r="AO16" s="257">
        <f t="shared" si="32"/>
        <v>0</v>
      </c>
      <c r="AP16" s="195">
        <f>IFERROR($CQ16*(INDEX(avoidedcosttbl2,$H16,AP$2)+(($H16-ROUNDDOWN($H16,0))*(INDEX(avoidedcosttbl2,ROUNDUP($H16,0),AP$2)-(INDEX(avoidedcosttbl2,ROUNDDOWN($H16,0),AP$2)))))*$O16*1000*'Inputs Yr 2'!AA16,"")</f>
        <v>0</v>
      </c>
      <c r="AQ16" s="195">
        <f>IFERROR($CR16*(INDEX(avoidedcosttbl2,$H16,AQ$2)+(($H16-ROUNDDOWN($H16,0))*(INDEX(avoidedcosttbl2,ROUNDUP($H16,0),AQ$2)-(INDEX(avoidedcosttbl2,ROUNDDOWN($H16,0),AQ$2)))))*$O16*1000*'Inputs Yr 2'!AB16,"")</f>
        <v>0</v>
      </c>
      <c r="AR16" s="195">
        <f>IFERROR($CS16*(INDEX(avoidedcosttbl2,$H16,AR$2)+(($H16-ROUNDDOWN($H16,0))*(INDEX(avoidedcosttbl2,ROUNDUP($H16,0),AR$2)-(INDEX(avoidedcosttbl2,ROUNDDOWN($H16,0),AR$2)))))*$O16*1000*'Inputs Yr 2'!AC16,"")</f>
        <v>0</v>
      </c>
      <c r="AS16" s="195">
        <f>IFERROR($CT16*(INDEX(avoidedcosttbl2,$H16,AS$2)+(($H16-ROUNDDOWN($H16,0))*(INDEX(avoidedcosttbl2,ROUNDUP($H16,0),AS$2)-(INDEX(avoidedcosttbl2,ROUNDDOWN($H16,0),AS$2)))))*$O16*1000*'Inputs Yr 2'!AD16,"")</f>
        <v>0</v>
      </c>
      <c r="AT16" s="196">
        <f t="shared" si="33"/>
        <v>0</v>
      </c>
      <c r="AU16" s="197">
        <f>IFERROR($CQ16*((INDEX(avoidedcosttbl2,$H16,AU$2))+(($H16-ROUNDDOWN($H16,0))*((INDEX(avoidedcosttbl2,ROUNDUP($H16,0),AU$2))-(INDEX(avoidedcosttbl2,ROUNDDOWN($H16,0),AU$2)))))*$O16*1000*'Inputs Yr 2'!AA16,"")</f>
        <v>0</v>
      </c>
      <c r="AV16" s="197">
        <f>IFERROR($CR16*((INDEX(avoidedcosttbl2,$H16,AV$2))+(($H16-ROUNDDOWN($H16,0))*((INDEX(avoidedcosttbl2,ROUNDUP($H16,0),AV$2))-(INDEX(avoidedcosttbl2,ROUNDDOWN($H16,0),AV$2)))))*$O16*1000*'Inputs Yr 2'!AB16,"")</f>
        <v>0</v>
      </c>
      <c r="AW16" s="197">
        <f>IFERROR($CS16*((INDEX(avoidedcosttbl2,$H16,AW$2))+(($H16-ROUNDDOWN($H16,0))*((INDEX(avoidedcosttbl2,ROUNDUP($H16,0),AW$2))-(INDEX(avoidedcosttbl2,ROUNDDOWN($H16,0),AW$2)))))*$O16*1000*'Inputs Yr 2'!AC16,"")</f>
        <v>0</v>
      </c>
      <c r="AX16" s="197">
        <f>IFERROR($CT16*((INDEX(avoidedcosttbl2,$H16,AX$2))+(($H16-ROUNDDOWN($H16,0))*((INDEX(avoidedcosttbl2,ROUNDUP($H16,0),AX$2))-(INDEX(avoidedcosttbl2,ROUNDDOWN($H16,0),AX$2)))))*$O16*1000*'Inputs Yr 2'!AD16,"")</f>
        <v>0</v>
      </c>
      <c r="AY16" s="197">
        <f>IFERROR(((INDEX(avoidedcosttbl2,$H16,AY$2))+(($H16-ROUNDDOWN($H16,0))*((INDEX(avoidedcosttbl2,ROUNDUP($H16,0),AY$2))-(INDEX(avoidedcosttbl2,ROUNDDOWN($H16,0),AY$2)))))*$O16*1000*('Inputs Yr 2'!AC16+'Inputs Yr 2'!AD16),"")</f>
        <v>0</v>
      </c>
      <c r="AZ16" s="197">
        <f>IFERROR(((INDEX(avoidedcosttbl2,$H16,AZ$2))+(($H16-ROUNDDOWN($H16,0))*((INDEX(avoidedcosttbl2,ROUNDUP($H16,0),AZ$2))-(INDEX(avoidedcosttbl2,ROUNDDOWN($H16,0),AZ$2)))))*$O16*1000*('Inputs Yr 2'!AA16+'Inputs Yr 2'!AB16),"")</f>
        <v>0</v>
      </c>
      <c r="BA16" s="198">
        <f t="shared" si="34"/>
        <v>0</v>
      </c>
      <c r="BB16" s="198">
        <f t="shared" si="35"/>
        <v>0</v>
      </c>
      <c r="BC16" s="195">
        <f t="shared" si="10"/>
        <v>0</v>
      </c>
      <c r="BD16" s="195">
        <f t="shared" si="11"/>
        <v>0</v>
      </c>
      <c r="BE16" s="195">
        <f t="shared" si="12"/>
        <v>0</v>
      </c>
      <c r="BF16" s="195">
        <f t="shared" si="13"/>
        <v>0</v>
      </c>
      <c r="BG16" s="195">
        <f t="shared" si="14"/>
        <v>0</v>
      </c>
      <c r="BH16" s="196">
        <f t="shared" si="36"/>
        <v>0</v>
      </c>
      <c r="BI16" s="196">
        <f t="shared" si="37"/>
        <v>0</v>
      </c>
      <c r="BJ16" s="195">
        <f>IFERROR($G16*(IF('Inputs Yr 2'!$AJ16=BJ$4,'Inputs Yr 2'!$AK16,IF('Inputs Yr 2'!$AL16=BJ$4,'Inputs Yr 2'!$AM16,IF('Inputs Yr 2'!$AN16=BJ$4,'Inputs Yr 2'!$AO16,0))))*(INDEX(avoidedcosttbl2,$H16,BJ$2)+(($H16-ROUNDDOWN($H16,0))*(INDEX(avoidedcosttbl2,ROUNDUP($H16,0),BJ$2)-(INDEX(avoidedcosttbl2,ROUNDDOWN($H16,0),BJ$2)))))*'Inputs Yr 2'!P16*'Inputs Yr 2'!Q16*'Inputs Yr 2'!U16,"")</f>
        <v>0</v>
      </c>
      <c r="BK16" s="195">
        <f>IFERROR($G16*(IF('Inputs Yr 2'!$AJ16=BK$4,'Inputs Yr 2'!$AK16,IF('Inputs Yr 2'!$AL16=BK$4,'Inputs Yr 2'!$AM16,IF('Inputs Yr 2'!$AN16=BK$4,'Inputs Yr 2'!$AO16,0))))*(INDEX(avoidedcosttbl2,$H16,BK$2)+(($H16-ROUNDDOWN($H16,0))*(INDEX(avoidedcosttbl2,ROUNDUP($H16,0),BK$2)-(INDEX(avoidedcosttbl2,ROUNDDOWN($H16,0),BK$2)))))*'Inputs Yr 2'!P16*'Inputs Yr 2'!Q16*'Inputs Yr 2'!U16,"")</f>
        <v>0</v>
      </c>
      <c r="BL16" s="195">
        <f>IFERROR($G16*(IF('Inputs Yr 2'!$AJ16=BL$4,'Inputs Yr 2'!$AK16,IF('Inputs Yr 2'!$AL16=BL$4,'Inputs Yr 2'!$AM16,IF('Inputs Yr 2'!$AN16=BL$4,'Inputs Yr 2'!$AO16,0))))*(INDEX(avoidedcosttbl2,$H16,BL$2)+(($H16-ROUNDDOWN($H16,0))*(INDEX(avoidedcosttbl2,ROUNDUP($H16,0),BL$2)-(INDEX(avoidedcosttbl2,ROUNDDOWN($H16,0),BL$2)))))*'Inputs Yr 2'!P16*'Inputs Yr 2'!Q16*'Inputs Yr 2'!U16,"")</f>
        <v>800294.57517581421</v>
      </c>
      <c r="BM16" s="195">
        <f>IFERROR($G16*(IF('Inputs Yr 2'!$AJ16=BM$4,'Inputs Yr 2'!$AK16,IF('Inputs Yr 2'!$AL16=BM$4,'Inputs Yr 2'!$AM16,IF('Inputs Yr 2'!$AN16=BM$4,'Inputs Yr 2'!$AO16,0))))*(INDEX(avoidedcosttbl2,$H16,BM$2)+(($H16-ROUNDDOWN($H16,0))*(INDEX(avoidedcosttbl2,ROUNDUP($H16,0),BM$2)-(INDEX(avoidedcosttbl2,ROUNDDOWN($H16,0),BM$2)))))*'Inputs Yr 2'!P16*'Inputs Yr 2'!Q16*'Inputs Yr 2'!U16,"")</f>
        <v>0</v>
      </c>
      <c r="BN16" s="195">
        <f>IFERROR($G16*(IF('Inputs Yr 2'!$AJ16=BN$4,'Inputs Yr 2'!$AK16,IF('Inputs Yr 2'!$AL16=BN$4,'Inputs Yr 2'!$AM16,IF('Inputs Yr 2'!$AN16=BN$4,'Inputs Yr 2'!$AO16,0))))*(INDEX(avoidedcosttbl2,$H16,BN$2)+(($H16-ROUNDDOWN($H16,0))*(INDEX(avoidedcosttbl2,ROUNDUP($H16,0),BN$2)-(INDEX(avoidedcosttbl2,ROUNDDOWN($H16,0),BN$2)))))*'Inputs Yr 2'!P16*'Inputs Yr 2'!Q16*'Inputs Yr 2'!U16,"")</f>
        <v>0</v>
      </c>
      <c r="BO16" s="195">
        <f>IFERROR($G16*(IF('Inputs Yr 2'!$AJ16=BO$4,'Inputs Yr 2'!$AK16,IF('Inputs Yr 2'!$AL16=BO$4,'Inputs Yr 2'!$AM16,IF('Inputs Yr 2'!$AN16=BO$4,'Inputs Yr 2'!$AO16,0))))*(INDEX(avoidedcosttbl2,$H16,BO$2)+(($H16-ROUNDDOWN($H16,0))*(INDEX(avoidedcosttbl2,ROUNDUP($H16,0),BO$2)-(INDEX(avoidedcosttbl2,ROUNDDOWN($H16,0),BO$2)))))*'Inputs Yr 2'!P16*'Inputs Yr 2'!Q16*'Inputs Yr 2'!U16,"")</f>
        <v>0</v>
      </c>
      <c r="BP16" s="195">
        <f>IFERROR($G16*(IF('Inputs Yr 2'!$AJ16=BP$4,'Inputs Yr 2'!$AK16,IF('Inputs Yr 2'!$AL16=BP$4,'Inputs Yr 2'!$AM16,IF('Inputs Yr 2'!$AN16=BP$4,'Inputs Yr 2'!$AO16,0))))*(INDEX(avoidedcosttbl2,$H16,BP$2)+(($H16-ROUNDDOWN($H16,0))*(INDEX(avoidedcosttbl2,ROUNDUP($H16,0),BP$2)-(INDEX(avoidedcosttbl2,ROUNDDOWN($H16,0),BP$2)))))*'Inputs Yr 2'!P16*'Inputs Yr 2'!Q16*'Inputs Yr 2'!U16,"")</f>
        <v>0</v>
      </c>
      <c r="BQ16" s="230">
        <f t="shared" si="38"/>
        <v>800294.57517581421</v>
      </c>
      <c r="BR16" s="197">
        <f t="shared" si="17"/>
        <v>11927.919507434304</v>
      </c>
      <c r="BS16" s="197">
        <f>IFERROR(($G16*IF('Inputs Yr 2'!$AJ16=BM$4,'Inputs Yr 2'!$AK16,IF('Inputs Yr 2'!$AL16=BM$4,'Inputs Yr 2'!$AM16,IF('Inputs Yr 2'!$AN16=BM$4,'Inputs Yr 2'!$AO16,0))))*(INDEX(avoidedcosttbl2,$H16,BS$2)+(($H16-ROUNDDOWN($H16,0))*(INDEX(avoidedcosttbl2,ROUNDUP($H16,0),BS$2)-(INDEX(avoidedcosttbl2,ROUNDDOWN($H16,0),BS$2)))))*'Inputs Yr 2'!P16*'Inputs Yr 2'!Q16*'Inputs Yr 2'!U16,"")</f>
        <v>0</v>
      </c>
      <c r="BT16" s="197">
        <f>IFERROR(($G16*IF('Inputs Yr 2'!$AJ16=BK$4,'Inputs Yr 2'!$AK16,IF('Inputs Yr 2'!$AL16=BK$4,'Inputs Yr 2'!$AM16,IF('Inputs Yr 2'!$AN16=BK$4,'Inputs Yr 2'!$AO16,0))))*(INDEX(avoidedcosttbl2,$H16,BT$2)+(($H16-ROUNDDOWN($H16,0))*(INDEX(avoidedcosttbl2,ROUNDUP($H16,0),BT$2)-(INDEX(avoidedcosttbl2,ROUNDDOWN($H16,0),BT$2)))))*'Inputs Yr 2'!P16*'Inputs Yr 2'!Q16*'Inputs Yr 2'!U16,"")</f>
        <v>0</v>
      </c>
      <c r="BU16" s="197">
        <f>IFERROR(($G16*IF('Inputs Yr 2'!$AJ16=BL$4,'Inputs Yr 2'!$AK16,IF('Inputs Yr 2'!$AL16=BL$4,'Inputs Yr 2'!$AM16,IF('Inputs Yr 2'!$AN16=BL$4,'Inputs Yr 2'!$AO16,0))))*(INDEX(avoidedcosttbl2,$H16,BU$2)+(($H16-ROUNDDOWN($H16,0))*(INDEX(avoidedcosttbl2,ROUNDUP($H16,0),BU$2)-(INDEX(avoidedcosttbl2,ROUNDDOWN($H16,0),BU$2)))))*'Inputs Yr 2'!P16*'Inputs Yr 2'!Q16*'Inputs Yr 2'!U16,"")</f>
        <v>30680.169656783488</v>
      </c>
      <c r="BV16" s="775">
        <f>IFERROR(($G16*IF('Inputs Yr 2'!$AJ16=BJ$4,'Inputs Yr 2'!$AK16,IF('Inputs Yr 2'!$AL16=BJ$4,'Inputs Yr 2'!$AM16,IF('Inputs Yr 2'!$AN16=BJ$4,'Inputs Yr 2'!$AO16,0))))*(INDEX(avoidedcosttbl2,$H16,BV$2)+(($H16-ROUNDDOWN($H16,0))*(INDEX(avoidedcosttbl2,ROUNDUP($H16,0),BV$2)-(INDEX(avoidedcosttbl2,ROUNDDOWN($H16,0),BV$2)))))*'Inputs Yr 2'!P16*'Inputs Yr 2'!Q16*'Inputs Yr 2'!U16,"")</f>
        <v>0</v>
      </c>
      <c r="BW16" s="197">
        <f>IFERROR(($G16*IF('Inputs Yr 2'!$AJ16=BN$4,'Inputs Yr 2'!$AK16,IF('Inputs Yr 2'!$AL16=BN$4,'Inputs Yr 2'!$AM16,IF('Inputs Yr 2'!$AN16=BN$4,'Inputs Yr 2'!$AO16,0))))*(INDEX(avoidedcosttbl2,$H16,BW$2)+(($H16-ROUNDDOWN($H16,0))*(INDEX(avoidedcosttbl2,ROUNDUP($H16,0),BW$2)-(INDEX(avoidedcosttbl2,ROUNDDOWN($H16,0),BW$2)))))*'Inputs Yr 2'!P16*'Inputs Yr 2'!Q16*'Inputs Yr 2'!U16,"")</f>
        <v>0</v>
      </c>
      <c r="BX16" s="197">
        <f>IFERROR(($G16*IF('Inputs Yr 2'!$AJ16=BO$4,'Inputs Yr 2'!$AK16,IF('Inputs Yr 2'!$AL16=BO$4,'Inputs Yr 2'!$AM16,IF('Inputs Yr 2'!$AN16=BO$4,'Inputs Yr 2'!$AO16,0))))*(INDEX(avoidedcosttbl2,$H16,BX$2)+(($H16-ROUNDDOWN($H16,0))*(INDEX(avoidedcosttbl2,ROUNDUP($H16,0),BX$2)-(INDEX(avoidedcosttbl2,ROUNDDOWN($H16,0),BX$2)))))*'Inputs Yr 2'!P16*'Inputs Yr 2'!Q16*'Inputs Yr 2'!U16,"")</f>
        <v>0</v>
      </c>
      <c r="BY16" s="197">
        <f>IFERROR(($G16*IF('Inputs Yr 2'!$AJ16=BP$4,'Inputs Yr 2'!$AK16,IF('Inputs Yr 2'!$AL16=BP$4,'Inputs Yr 2'!$AM16,IF('Inputs Yr 2'!$AN16=BP$4,'Inputs Yr 2'!$AO16,0))))*(INDEX(avoidedcosttbl2,$H16,BY$2)+(($H16-ROUNDDOWN($H16,0))*(INDEX(avoidedcosttbl2,ROUNDUP($H16,0),BY$2)-(INDEX(avoidedcosttbl2,ROUNDDOWN($H16,0),BY$2)))))*'Inputs Yr 2'!P16*'Inputs Yr 2'!Q16*'Inputs Yr 2'!U16,"")</f>
        <v>0</v>
      </c>
      <c r="BZ16" s="193">
        <f t="shared" si="39"/>
        <v>42608.089164217788</v>
      </c>
      <c r="CA16" s="193">
        <f t="shared" si="40"/>
        <v>842902.66434003203</v>
      </c>
      <c r="CB16" s="195">
        <f>IFERROR(G16*(IF('Inputs Yr 2'!$AJ16=CB$4,'Inputs Yr 2'!$AK16,IF('Inputs Yr 2'!$AL16=CB$4,'Inputs Yr 2'!$AM16,IF('Inputs Yr 2'!$AN16=CB$4,'Inputs Yr 2'!$AO16,0))))*(INDEX(avoidedcosttbl2,$H16,CB$2)+(($H16-ROUNDDOWN($H16,0))*(INDEX(avoidedcosttbl2,ROUNDUP($H16,0),CB$2)-(INDEX(avoidedcosttbl2,ROUNDDOWN($H16,0),CB$2)))))*'Inputs Yr 2'!P16*'Inputs Yr 2'!Q16*'Inputs Yr 2'!U16,"")</f>
        <v>0</v>
      </c>
      <c r="CC16" s="195">
        <f>IFERROR(H16*(IF('Inputs Yr 2'!$AJ16=CC$4,'Inputs Yr 2'!$AK16,IF('Inputs Yr 2'!$AL16=CC$4,'Inputs Yr 2'!$AM16,IF('Inputs Yr 2'!$AN16=CC$4,'Inputs Yr 2'!$AO16,0))))*(INDEX(avoidedcosttbl2,$H16,CC$2)+(($H16-ROUNDDOWN($H16,0))*(INDEX(avoidedcosttbl2,ROUNDUP($H16,0),CC$2)-(INDEX(avoidedcosttbl2,ROUNDDOWN($H16,0),CC$2)))))*'Inputs Yr 2'!Q16*'Inputs Yr 2'!R16*'Inputs Yr 2'!V16,"")</f>
        <v>0</v>
      </c>
      <c r="CD16" s="195">
        <f>IFERROR(I16*(IF('Inputs Yr 2'!$AJ16=CD$4,'Inputs Yr 2'!$AK16,IF('Inputs Yr 2'!$AL16=CD$4,'Inputs Yr 2'!$AM16,IF('Inputs Yr 2'!$AN16=CD$4,'Inputs Yr 2'!$AO16,0))))*(INDEX(avoidedcosttbl2,$H16,CD$2)+(($H16-ROUNDDOWN($H16,0))*(INDEX(avoidedcosttbl2,ROUNDUP($H16,0),CD$2)-(INDEX(avoidedcosttbl2,ROUNDDOWN($H16,0),CD$2)))))*'Inputs Yr 2'!R16*'Inputs Yr 2'!S16*'Inputs Yr 2'!W16,"")</f>
        <v>0</v>
      </c>
      <c r="CE16" s="213">
        <f t="shared" si="41"/>
        <v>0</v>
      </c>
      <c r="CF16" s="213">
        <f t="shared" si="42"/>
        <v>0</v>
      </c>
      <c r="CG16" s="213">
        <f t="shared" si="43"/>
        <v>0</v>
      </c>
      <c r="CH16" s="698">
        <f t="shared" si="44"/>
        <v>842902.66434003203</v>
      </c>
      <c r="CI16" s="79">
        <f>IFERROR(($G16*'Inputs Yr 2'!$P16*'Inputs Yr 2'!$Q16*(((INDEX(avoidedcosttbl2,$H16,CI$2)+(($H16-ROUNDDOWN($H16,0))*(INDEX(avoidedcosttbl2,ROUNDUP($H16,0),CI$2)-INDEX(avoidedcosttbl2,ROUNDDOWN($H16,0),CI$2))))*'Inputs Yr 2'!AS16))),"")</f>
        <v>5169925.0445061103</v>
      </c>
      <c r="CJ16" s="504">
        <f>IFERROR($G16*'Inputs Yr 2'!AT16*'Inputs Yr 2'!$P16*'Inputs Yr 2'!$Q16/((1+realdiscrt1)^-0.5),"")</f>
        <v>0</v>
      </c>
      <c r="CK16" s="79">
        <f>IFERROR((O16*1000*(((INDEX(avoidedcosttbl2,$H16,CK$2)+(($H16-ROUNDDOWN($H16,0))*(INDEX(avoidedcosttbl2,ROUNDUP($H16,0),CK$2)-INDEX(avoidedcosttbl2,ROUNDDOWN($H16,0),CK$2))))*'Inputs Yr 2'!AU16))),"")</f>
        <v>0</v>
      </c>
      <c r="CL16" s="504">
        <f>IFERROR(O16*1000*'Inputs Yr 2'!AV16/((1+realdiscrt1)^-0.5),"")</f>
        <v>0</v>
      </c>
      <c r="CM16" s="79">
        <f>IFERROR((AB16*'Inputs Yr 2'!AW16*(((INDEX(avoidedcosttbl2,$H16,CM$2)+(($H16-ROUNDDOWN($H16,0))*(INDEX(avoidedcosttbl2,ROUNDUP($H16,0),CM$2)-INDEX(avoidedcosttbl2,ROUNDDOWN($H16,0),CM$2)))))))*10,"")</f>
        <v>0</v>
      </c>
      <c r="CN16" s="504">
        <f>IFERROR(10*AB16*'Inputs Yr 2'!AX16/((1+realdiscrt1)^-0.5),"")</f>
        <v>0</v>
      </c>
      <c r="CO16" s="505">
        <f t="shared" si="45"/>
        <v>5169925.0445061103</v>
      </c>
      <c r="CP16" s="230">
        <f t="shared" si="46"/>
        <v>6012827.7088461425</v>
      </c>
      <c r="CQ16" s="199">
        <f>ROUND(IFERROR(IF(LEFT($A16,1)="C",'Avoided Costs'!$K$13,'Avoided Costs'!$K$12)+1,""),4)</f>
        <v>1.0720000000000001</v>
      </c>
      <c r="CR16" s="199">
        <f>ROUND(IFERROR(IF(LEFT($A16,1)="C",'Avoided Costs'!$L$13,'Avoided Costs'!$L$12)+1,""),4)</f>
        <v>1.04</v>
      </c>
      <c r="CS16" s="199">
        <f>ROUND(IFERROR(IF(LEFT($A16,1)="C",'Avoided Costs'!$M$13,'Avoided Costs'!$M$12)+1,""),4)</f>
        <v>1.0720000000000001</v>
      </c>
      <c r="CT16" s="199">
        <f>ROUND(IFERROR(IF(LEFT($A16,1)="C",'Avoided Costs'!$N$13,'Avoided Costs'!$N$12)+1,""),4)</f>
        <v>1.04</v>
      </c>
      <c r="CU16" s="199">
        <f>ROUND(IFERROR(IF(LEFT($A16,1)="C",'Avoided Costs'!$O$13,'Avoided Costs'!$O$12)+1,""),4)</f>
        <v>1.1120000000000001</v>
      </c>
      <c r="CV16" s="199">
        <f>ROUND(IFERROR(IF(LEFT($A16,1)="C",'Avoided Costs'!$P$13,'Avoided Costs'!$P$12)+1,""),4)</f>
        <v>1.095</v>
      </c>
      <c r="CW16" s="199">
        <f>ROUND(IFERROR(IF(LEFT($A16,1)="C",'Avoided Costs'!$Q$13,'Avoided Costs'!$Q$12)+1,""),4)</f>
        <v>1.1120000000000001</v>
      </c>
      <c r="CX16" s="200">
        <f>ROUND(IFERROR(IF(LEFT($A16,1)="C",'Avoided Costs'!$R$13,'Avoided Costs'!$R$12)+1,""),4)</f>
        <v>1.1120000000000001</v>
      </c>
    </row>
    <row r="17" spans="1:102" ht="12.75" customHeight="1">
      <c r="A17" s="91" t="str">
        <f>IF('Inputs Yr 2'!$B17=0,"",'Inputs Yr 2'!A17)</f>
        <v>A - Residential</v>
      </c>
      <c r="B17" s="91" t="str">
        <f>IF('Inputs Yr 2'!$B17=0,"",'Inputs Yr 2'!B17)</f>
        <v>A1 - Residential Whole House</v>
      </c>
      <c r="C17" s="91" t="str">
        <f>IF('Inputs Yr 2'!$B17=0,"",'Inputs Yr 2'!C17)</f>
        <v>A1b - Residential Multi-Family Retrofit</v>
      </c>
      <c r="D17" s="91" t="str">
        <f>IF('Inputs Yr 2'!$B17=0,"",'Inputs Yr 2'!E17)</f>
        <v>Insulation, Gas (with central AC)</v>
      </c>
      <c r="E17" s="93" t="str">
        <f>IF('Inputs Yr 2'!$B17=0,"",'Inputs Yr 2'!F17)</f>
        <v>G16A1b03</v>
      </c>
      <c r="F17" s="93" t="str">
        <f>IF('Inputs Yr 2'!$B17=0,"",'Inputs Yr 2'!G17)</f>
        <v>Envelope</v>
      </c>
      <c r="G17" s="95" t="str">
        <f>IF('Inputs Yr 2'!$H17&lt;&gt;0,('Inputs Yr 2'!H17),"")</f>
        <v/>
      </c>
      <c r="H17" s="94">
        <f>IFERROR('Inputs Yr 2'!I17,"")</f>
        <v>0</v>
      </c>
      <c r="I17" s="298" t="str">
        <f>IFERROR('Inputs Yr 2'!J17*'Inputs Yr 2'!P17*G17,"")</f>
        <v/>
      </c>
      <c r="J17" s="298" t="str">
        <f>IFERROR('Inputs Yr 2'!K17*G17,"")</f>
        <v/>
      </c>
      <c r="K17" s="298" t="str">
        <f t="shared" si="23"/>
        <v/>
      </c>
      <c r="L17" s="194" t="str">
        <f>IFERROR(('Inputs Yr 2'!W17*G17)/1000,"")</f>
        <v/>
      </c>
      <c r="M17" s="194" t="str">
        <f>IFERROR(L17*('Inputs Yr 2'!$Q17*'Inputs Yr 2'!$V17*'Inputs Yr 2'!$R17),"")</f>
        <v/>
      </c>
      <c r="N17" s="194" t="str">
        <f t="shared" si="24"/>
        <v/>
      </c>
      <c r="O17" s="194" t="str">
        <f>IFERROR(M17*'Inputs Yr 2'!P17,"")</f>
        <v/>
      </c>
      <c r="P17" s="194" t="str">
        <f t="shared" si="25"/>
        <v/>
      </c>
      <c r="Q17" s="194" t="str">
        <f>IFERROR($P17*'Inputs Yr 2'!AA17,"")</f>
        <v/>
      </c>
      <c r="R17" s="194" t="str">
        <f>IFERROR($P17*'Inputs Yr 2'!AB17,"")</f>
        <v/>
      </c>
      <c r="S17" s="194" t="str">
        <f>IFERROR($P17*'Inputs Yr 2'!AC17,"")</f>
        <v/>
      </c>
      <c r="T17" s="194" t="str">
        <f>IFERROR($P17*'Inputs Yr 2'!AD17,"")</f>
        <v/>
      </c>
      <c r="U17" s="194" t="str">
        <f>IFERROR(G17*'Inputs Yr 2'!$AE17*'Inputs Yr 2'!$P17*'Inputs Yr 2'!$Q17,"")</f>
        <v/>
      </c>
      <c r="V17" s="194" t="str">
        <f>IFERROR($G17*'Inputs Yr 2'!$AE17*'Inputs Yr 2'!$AG17*'Inputs Yr 2'!Q17*'Inputs Yr 2'!$S17,"")</f>
        <v/>
      </c>
      <c r="W17" s="194" t="str">
        <f>IFERROR($G17*'Inputs Yr 2'!$AE17*'Inputs Yr 2'!$AG17*'Inputs Yr 2'!P17*'Inputs Yr 2'!Q17*'Inputs Yr 2'!$S17,"")</f>
        <v/>
      </c>
      <c r="X17" s="194" t="str">
        <f>IFERROR($G17*'Inputs Yr 2'!$AE17*'Inputs Yr 2'!$AF17*'Inputs Yr 2'!Q17*'Inputs Yr 2'!$T17,"")</f>
        <v/>
      </c>
      <c r="Y17" s="194" t="str">
        <f>IFERROR($G17*'Inputs Yr 2'!$AE17*'Inputs Yr 2'!$AF17*'Inputs Yr 2'!P17*'Inputs Yr 2'!Q17*'Inputs Yr 2'!$T17,"")</f>
        <v/>
      </c>
      <c r="Z17" s="257">
        <f>IFERROR($G17*'Inputs Yr 2'!$Q17*'Inputs Yr 2'!$U17*(IF(IFERROR(SEARCH("NG", 'Inputs Yr 2'!$AJ17),0),'Inputs Yr 2'!$AK17,0)+IF(IFERROR(SEARCH("NG", 'Inputs Yr 2'!$AL17),0),'Inputs Yr 2'!$AM17,0)+IF(IFERROR(SEARCH("NG", 'Inputs Yr 2'!$AN17),0),'Inputs Yr 2'!$AO17,0)),0)</f>
        <v>0</v>
      </c>
      <c r="AA17" s="257">
        <f t="shared" si="26"/>
        <v>0</v>
      </c>
      <c r="AB17" s="257">
        <f>IFERROR(Z17*'Inputs Yr 2'!$P17,0)</f>
        <v>0</v>
      </c>
      <c r="AC17" s="257">
        <f t="shared" si="27"/>
        <v>0</v>
      </c>
      <c r="AD17" s="257">
        <f>IFERROR($G17*'Inputs Yr 2'!$Q17*'Inputs Yr 2'!$U17*(IF(IFERROR(SEARCH("Oil", 'Inputs Yr 2'!$AJ17), 0),'Inputs Yr 2'!$AK17,0)+IF(IFERROR(SEARCH("Oil", 'Inputs Yr 2'!$AL17), 0),'Inputs Yr 2'!$AM17,0)+IF(IFERROR(SEARCH("Oil", 'Inputs Yr 2'!$AN17), 0),'Inputs Yr 2'!$AO17,0)),0)</f>
        <v>0</v>
      </c>
      <c r="AE17" s="257">
        <f t="shared" si="28"/>
        <v>0</v>
      </c>
      <c r="AF17" s="257">
        <f>IFERROR(AD17*'Inputs Yr 2'!$P17,0)</f>
        <v>0</v>
      </c>
      <c r="AG17" s="257">
        <f t="shared" si="29"/>
        <v>0</v>
      </c>
      <c r="AH17" s="257">
        <f>IFERROR($G17*'Inputs Yr 2'!$Q17*'Inputs Yr 2'!$U17*(IF('Inputs Yr 2'!$AJ17=CD$4,'Inputs Yr 2'!$AK17,IF('Inputs Yr 2'!$AL17=CD$4,'Inputs Yr 2'!$AM17,IF('Inputs Yr 2'!$AN17=CD$4,'Inputs Yr 2'!$AO17,0)))),0)</f>
        <v>0</v>
      </c>
      <c r="AI17" s="257">
        <f t="shared" si="30"/>
        <v>0</v>
      </c>
      <c r="AJ17" s="257">
        <f>IFERROR(AH17*'Inputs Yr 2'!$P17,0)</f>
        <v>0</v>
      </c>
      <c r="AK17" s="257">
        <f t="shared" si="31"/>
        <v>0</v>
      </c>
      <c r="AL17" s="258">
        <f>IFERROR($G17*'Inputs Yr 2'!$P17*'Inputs Yr 2'!$Q17*'Inputs Yr 2'!AP17,0)</f>
        <v>0</v>
      </c>
      <c r="AM17" s="260">
        <f>IFERROR($G17*'Inputs Yr 2'!$P17*'Inputs Yr 2'!$Q17*'Inputs Yr 2'!AQ17,0)</f>
        <v>0</v>
      </c>
      <c r="AN17" s="258">
        <f>IFERROR($G17*'Inputs Yr 2'!$P17*'Inputs Yr 2'!$Q17*'Inputs Yr 2'!AR17,0)</f>
        <v>0</v>
      </c>
      <c r="AO17" s="257">
        <f t="shared" si="32"/>
        <v>0</v>
      </c>
      <c r="AP17" s="195" t="str">
        <f>IFERROR($CQ17*(INDEX(avoidedcosttbl2,$H17,AP$2)+(($H17-ROUNDDOWN($H17,0))*(INDEX(avoidedcosttbl2,ROUNDUP($H17,0),AP$2)-(INDEX(avoidedcosttbl2,ROUNDDOWN($H17,0),AP$2)))))*$O17*1000*'Inputs Yr 2'!AA17,"")</f>
        <v/>
      </c>
      <c r="AQ17" s="195" t="str">
        <f>IFERROR($CR17*(INDEX(avoidedcosttbl2,$H17,AQ$2)+(($H17-ROUNDDOWN($H17,0))*(INDEX(avoidedcosttbl2,ROUNDUP($H17,0),AQ$2)-(INDEX(avoidedcosttbl2,ROUNDDOWN($H17,0),AQ$2)))))*$O17*1000*'Inputs Yr 2'!AB17,"")</f>
        <v/>
      </c>
      <c r="AR17" s="195" t="str">
        <f>IFERROR($CS17*(INDEX(avoidedcosttbl2,$H17,AR$2)+(($H17-ROUNDDOWN($H17,0))*(INDEX(avoidedcosttbl2,ROUNDUP($H17,0),AR$2)-(INDEX(avoidedcosttbl2,ROUNDDOWN($H17,0),AR$2)))))*$O17*1000*'Inputs Yr 2'!AC17,"")</f>
        <v/>
      </c>
      <c r="AS17" s="195" t="str">
        <f>IFERROR($CT17*(INDEX(avoidedcosttbl2,$H17,AS$2)+(($H17-ROUNDDOWN($H17,0))*(INDEX(avoidedcosttbl2,ROUNDUP($H17,0),AS$2)-(INDEX(avoidedcosttbl2,ROUNDDOWN($H17,0),AS$2)))))*$O17*1000*'Inputs Yr 2'!AD17,"")</f>
        <v/>
      </c>
      <c r="AT17" s="196">
        <f t="shared" si="33"/>
        <v>0</v>
      </c>
      <c r="AU17" s="197" t="str">
        <f>IFERROR($CQ17*((INDEX(avoidedcosttbl2,$H17,AU$2))+(($H17-ROUNDDOWN($H17,0))*((INDEX(avoidedcosttbl2,ROUNDUP($H17,0),AU$2))-(INDEX(avoidedcosttbl2,ROUNDDOWN($H17,0),AU$2)))))*$O17*1000*'Inputs Yr 2'!AA17,"")</f>
        <v/>
      </c>
      <c r="AV17" s="197" t="str">
        <f>IFERROR($CR17*((INDEX(avoidedcosttbl2,$H17,AV$2))+(($H17-ROUNDDOWN($H17,0))*((INDEX(avoidedcosttbl2,ROUNDUP($H17,0),AV$2))-(INDEX(avoidedcosttbl2,ROUNDDOWN($H17,0),AV$2)))))*$O17*1000*'Inputs Yr 2'!AB17,"")</f>
        <v/>
      </c>
      <c r="AW17" s="197" t="str">
        <f>IFERROR($CS17*((INDEX(avoidedcosttbl2,$H17,AW$2))+(($H17-ROUNDDOWN($H17,0))*((INDEX(avoidedcosttbl2,ROUNDUP($H17,0),AW$2))-(INDEX(avoidedcosttbl2,ROUNDDOWN($H17,0),AW$2)))))*$O17*1000*'Inputs Yr 2'!AC17,"")</f>
        <v/>
      </c>
      <c r="AX17" s="197" t="str">
        <f>IFERROR($CT17*((INDEX(avoidedcosttbl2,$H17,AX$2))+(($H17-ROUNDDOWN($H17,0))*((INDEX(avoidedcosttbl2,ROUNDUP($H17,0),AX$2))-(INDEX(avoidedcosttbl2,ROUNDDOWN($H17,0),AX$2)))))*$O17*1000*'Inputs Yr 2'!AD17,"")</f>
        <v/>
      </c>
      <c r="AY17" s="197" t="str">
        <f>IFERROR(((INDEX(avoidedcosttbl2,$H17,AY$2))+(($H17-ROUNDDOWN($H17,0))*((INDEX(avoidedcosttbl2,ROUNDUP($H17,0),AY$2))-(INDEX(avoidedcosttbl2,ROUNDDOWN($H17,0),AY$2)))))*$O17*1000*('Inputs Yr 2'!AC17+'Inputs Yr 2'!AD17),"")</f>
        <v/>
      </c>
      <c r="AZ17" s="197" t="str">
        <f>IFERROR(((INDEX(avoidedcosttbl2,$H17,AZ$2))+(($H17-ROUNDDOWN($H17,0))*((INDEX(avoidedcosttbl2,ROUNDUP($H17,0),AZ$2))-(INDEX(avoidedcosttbl2,ROUNDDOWN($H17,0),AZ$2)))))*$O17*1000*('Inputs Yr 2'!AA17+'Inputs Yr 2'!AB17),"")</f>
        <v/>
      </c>
      <c r="BA17" s="198">
        <f t="shared" si="34"/>
        <v>0</v>
      </c>
      <c r="BB17" s="198">
        <f t="shared" si="35"/>
        <v>0</v>
      </c>
      <c r="BC17" s="195" t="str">
        <f t="shared" si="10"/>
        <v/>
      </c>
      <c r="BD17" s="195" t="str">
        <f t="shared" si="11"/>
        <v/>
      </c>
      <c r="BE17" s="195" t="str">
        <f t="shared" si="12"/>
        <v/>
      </c>
      <c r="BF17" s="195" t="str">
        <f t="shared" si="13"/>
        <v/>
      </c>
      <c r="BG17" s="195" t="str">
        <f t="shared" si="14"/>
        <v/>
      </c>
      <c r="BH17" s="196">
        <f t="shared" si="36"/>
        <v>0</v>
      </c>
      <c r="BI17" s="196">
        <f t="shared" si="37"/>
        <v>0</v>
      </c>
      <c r="BJ17" s="195" t="str">
        <f>IFERROR($G17*(IF('Inputs Yr 2'!$AJ17=BJ$4,'Inputs Yr 2'!$AK17,IF('Inputs Yr 2'!$AL17=BJ$4,'Inputs Yr 2'!$AM17,IF('Inputs Yr 2'!$AN17=BJ$4,'Inputs Yr 2'!$AO17,0))))*(INDEX(avoidedcosttbl2,$H17,BJ$2)+(($H17-ROUNDDOWN($H17,0))*(INDEX(avoidedcosttbl2,ROUNDUP($H17,0),BJ$2)-(INDEX(avoidedcosttbl2,ROUNDDOWN($H17,0),BJ$2)))))*'Inputs Yr 2'!P17*'Inputs Yr 2'!Q17*'Inputs Yr 2'!U17,"")</f>
        <v/>
      </c>
      <c r="BK17" s="195" t="str">
        <f>IFERROR($G17*(IF('Inputs Yr 2'!$AJ17=BK$4,'Inputs Yr 2'!$AK17,IF('Inputs Yr 2'!$AL17=BK$4,'Inputs Yr 2'!$AM17,IF('Inputs Yr 2'!$AN17=BK$4,'Inputs Yr 2'!$AO17,0))))*(INDEX(avoidedcosttbl2,$H17,BK$2)+(($H17-ROUNDDOWN($H17,0))*(INDEX(avoidedcosttbl2,ROUNDUP($H17,0),BK$2)-(INDEX(avoidedcosttbl2,ROUNDDOWN($H17,0),BK$2)))))*'Inputs Yr 2'!P17*'Inputs Yr 2'!Q17*'Inputs Yr 2'!U17,"")</f>
        <v/>
      </c>
      <c r="BL17" s="195" t="str">
        <f>IFERROR($G17*(IF('Inputs Yr 2'!$AJ17=BL$4,'Inputs Yr 2'!$AK17,IF('Inputs Yr 2'!$AL17=BL$4,'Inputs Yr 2'!$AM17,IF('Inputs Yr 2'!$AN17=BL$4,'Inputs Yr 2'!$AO17,0))))*(INDEX(avoidedcosttbl2,$H17,BL$2)+(($H17-ROUNDDOWN($H17,0))*(INDEX(avoidedcosttbl2,ROUNDUP($H17,0),BL$2)-(INDEX(avoidedcosttbl2,ROUNDDOWN($H17,0),BL$2)))))*'Inputs Yr 2'!P17*'Inputs Yr 2'!Q17*'Inputs Yr 2'!U17,"")</f>
        <v/>
      </c>
      <c r="BM17" s="195" t="str">
        <f>IFERROR($G17*(IF('Inputs Yr 2'!$AJ17=BM$4,'Inputs Yr 2'!$AK17,IF('Inputs Yr 2'!$AL17=BM$4,'Inputs Yr 2'!$AM17,IF('Inputs Yr 2'!$AN17=BM$4,'Inputs Yr 2'!$AO17,0))))*(INDEX(avoidedcosttbl2,$H17,BM$2)+(($H17-ROUNDDOWN($H17,0))*(INDEX(avoidedcosttbl2,ROUNDUP($H17,0),BM$2)-(INDEX(avoidedcosttbl2,ROUNDDOWN($H17,0),BM$2)))))*'Inputs Yr 2'!P17*'Inputs Yr 2'!Q17*'Inputs Yr 2'!U17,"")</f>
        <v/>
      </c>
      <c r="BN17" s="195" t="str">
        <f>IFERROR($G17*(IF('Inputs Yr 2'!$AJ17=BN$4,'Inputs Yr 2'!$AK17,IF('Inputs Yr 2'!$AL17=BN$4,'Inputs Yr 2'!$AM17,IF('Inputs Yr 2'!$AN17=BN$4,'Inputs Yr 2'!$AO17,0))))*(INDEX(avoidedcosttbl2,$H17,BN$2)+(($H17-ROUNDDOWN($H17,0))*(INDEX(avoidedcosttbl2,ROUNDUP($H17,0),BN$2)-(INDEX(avoidedcosttbl2,ROUNDDOWN($H17,0),BN$2)))))*'Inputs Yr 2'!P17*'Inputs Yr 2'!Q17*'Inputs Yr 2'!U17,"")</f>
        <v/>
      </c>
      <c r="BO17" s="195" t="str">
        <f>IFERROR($G17*(IF('Inputs Yr 2'!$AJ17=BO$4,'Inputs Yr 2'!$AK17,IF('Inputs Yr 2'!$AL17=BO$4,'Inputs Yr 2'!$AM17,IF('Inputs Yr 2'!$AN17=BO$4,'Inputs Yr 2'!$AO17,0))))*(INDEX(avoidedcosttbl2,$H17,BO$2)+(($H17-ROUNDDOWN($H17,0))*(INDEX(avoidedcosttbl2,ROUNDUP($H17,0),BO$2)-(INDEX(avoidedcosttbl2,ROUNDDOWN($H17,0),BO$2)))))*'Inputs Yr 2'!P17*'Inputs Yr 2'!Q17*'Inputs Yr 2'!U17,"")</f>
        <v/>
      </c>
      <c r="BP17" s="195" t="str">
        <f>IFERROR($G17*(IF('Inputs Yr 2'!$AJ17=BP$4,'Inputs Yr 2'!$AK17,IF('Inputs Yr 2'!$AL17=BP$4,'Inputs Yr 2'!$AM17,IF('Inputs Yr 2'!$AN17=BP$4,'Inputs Yr 2'!$AO17,0))))*(INDEX(avoidedcosttbl2,$H17,BP$2)+(($H17-ROUNDDOWN($H17,0))*(INDEX(avoidedcosttbl2,ROUNDUP($H17,0),BP$2)-(INDEX(avoidedcosttbl2,ROUNDDOWN($H17,0),BP$2)))))*'Inputs Yr 2'!P17*'Inputs Yr 2'!Q17*'Inputs Yr 2'!U17,"")</f>
        <v/>
      </c>
      <c r="BQ17" s="230">
        <f t="shared" si="38"/>
        <v>0</v>
      </c>
      <c r="BR17" s="197" t="str">
        <f t="shared" si="17"/>
        <v/>
      </c>
      <c r="BS17" s="197" t="str">
        <f>IFERROR(($G17*IF('Inputs Yr 2'!$AJ17=BM$4,'Inputs Yr 2'!$AK17,IF('Inputs Yr 2'!$AL17=BM$4,'Inputs Yr 2'!$AM17,IF('Inputs Yr 2'!$AN17=BM$4,'Inputs Yr 2'!$AO17,0))))*(INDEX(avoidedcosttbl2,$H17,BS$2)+(($H17-ROUNDDOWN($H17,0))*(INDEX(avoidedcosttbl2,ROUNDUP($H17,0),BS$2)-(INDEX(avoidedcosttbl2,ROUNDDOWN($H17,0),BS$2)))))*'Inputs Yr 2'!P17*'Inputs Yr 2'!Q17*'Inputs Yr 2'!U17,"")</f>
        <v/>
      </c>
      <c r="BT17" s="197" t="str">
        <f>IFERROR(($G17*IF('Inputs Yr 2'!$AJ17=BK$4,'Inputs Yr 2'!$AK17,IF('Inputs Yr 2'!$AL17=BK$4,'Inputs Yr 2'!$AM17,IF('Inputs Yr 2'!$AN17=BK$4,'Inputs Yr 2'!$AO17,0))))*(INDEX(avoidedcosttbl2,$H17,BT$2)+(($H17-ROUNDDOWN($H17,0))*(INDEX(avoidedcosttbl2,ROUNDUP($H17,0),BT$2)-(INDEX(avoidedcosttbl2,ROUNDDOWN($H17,0),BT$2)))))*'Inputs Yr 2'!P17*'Inputs Yr 2'!Q17*'Inputs Yr 2'!U17,"")</f>
        <v/>
      </c>
      <c r="BU17" s="197" t="str">
        <f>IFERROR(($G17*IF('Inputs Yr 2'!$AJ17=BL$4,'Inputs Yr 2'!$AK17,IF('Inputs Yr 2'!$AL17=BL$4,'Inputs Yr 2'!$AM17,IF('Inputs Yr 2'!$AN17=BL$4,'Inputs Yr 2'!$AO17,0))))*(INDEX(avoidedcosttbl2,$H17,BU$2)+(($H17-ROUNDDOWN($H17,0))*(INDEX(avoidedcosttbl2,ROUNDUP($H17,0),BU$2)-(INDEX(avoidedcosttbl2,ROUNDDOWN($H17,0),BU$2)))))*'Inputs Yr 2'!P17*'Inputs Yr 2'!Q17*'Inputs Yr 2'!U17,"")</f>
        <v/>
      </c>
      <c r="BV17" s="775" t="str">
        <f>IFERROR(($G17*IF('Inputs Yr 2'!$AJ17=BJ$4,'Inputs Yr 2'!$AK17,IF('Inputs Yr 2'!$AL17=BJ$4,'Inputs Yr 2'!$AM17,IF('Inputs Yr 2'!$AN17=BJ$4,'Inputs Yr 2'!$AO17,0))))*(INDEX(avoidedcosttbl2,$H17,BV$2)+(($H17-ROUNDDOWN($H17,0))*(INDEX(avoidedcosttbl2,ROUNDUP($H17,0),BV$2)-(INDEX(avoidedcosttbl2,ROUNDDOWN($H17,0),BV$2)))))*'Inputs Yr 2'!P17*'Inputs Yr 2'!Q17*'Inputs Yr 2'!U17,"")</f>
        <v/>
      </c>
      <c r="BW17" s="197" t="str">
        <f>IFERROR(($G17*IF('Inputs Yr 2'!$AJ17=BN$4,'Inputs Yr 2'!$AK17,IF('Inputs Yr 2'!$AL17=BN$4,'Inputs Yr 2'!$AM17,IF('Inputs Yr 2'!$AN17=BN$4,'Inputs Yr 2'!$AO17,0))))*(INDEX(avoidedcosttbl2,$H17,BW$2)+(($H17-ROUNDDOWN($H17,0))*(INDEX(avoidedcosttbl2,ROUNDUP($H17,0),BW$2)-(INDEX(avoidedcosttbl2,ROUNDDOWN($H17,0),BW$2)))))*'Inputs Yr 2'!P17*'Inputs Yr 2'!Q17*'Inputs Yr 2'!U17,"")</f>
        <v/>
      </c>
      <c r="BX17" s="197" t="str">
        <f>IFERROR(($G17*IF('Inputs Yr 2'!$AJ17=BO$4,'Inputs Yr 2'!$AK17,IF('Inputs Yr 2'!$AL17=BO$4,'Inputs Yr 2'!$AM17,IF('Inputs Yr 2'!$AN17=BO$4,'Inputs Yr 2'!$AO17,0))))*(INDEX(avoidedcosttbl2,$H17,BX$2)+(($H17-ROUNDDOWN($H17,0))*(INDEX(avoidedcosttbl2,ROUNDUP($H17,0),BX$2)-(INDEX(avoidedcosttbl2,ROUNDDOWN($H17,0),BX$2)))))*'Inputs Yr 2'!P17*'Inputs Yr 2'!Q17*'Inputs Yr 2'!U17,"")</f>
        <v/>
      </c>
      <c r="BY17" s="197" t="str">
        <f>IFERROR(($G17*IF('Inputs Yr 2'!$AJ17=BP$4,'Inputs Yr 2'!$AK17,IF('Inputs Yr 2'!$AL17=BP$4,'Inputs Yr 2'!$AM17,IF('Inputs Yr 2'!$AN17=BP$4,'Inputs Yr 2'!$AO17,0))))*(INDEX(avoidedcosttbl2,$H17,BY$2)+(($H17-ROUNDDOWN($H17,0))*(INDEX(avoidedcosttbl2,ROUNDUP($H17,0),BY$2)-(INDEX(avoidedcosttbl2,ROUNDDOWN($H17,0),BY$2)))))*'Inputs Yr 2'!P17*'Inputs Yr 2'!Q17*'Inputs Yr 2'!U17,"")</f>
        <v/>
      </c>
      <c r="BZ17" s="193">
        <f t="shared" si="39"/>
        <v>0</v>
      </c>
      <c r="CA17" s="193">
        <f t="shared" si="40"/>
        <v>0</v>
      </c>
      <c r="CB17" s="195" t="str">
        <f>IFERROR(G17*(IF('Inputs Yr 2'!$AJ17=CB$4,'Inputs Yr 2'!$AK17,IF('Inputs Yr 2'!$AL17=CB$4,'Inputs Yr 2'!$AM17,IF('Inputs Yr 2'!$AN17=CB$4,'Inputs Yr 2'!$AO17,0))))*(INDEX(avoidedcosttbl2,$H17,CB$2)+(($H17-ROUNDDOWN($H17,0))*(INDEX(avoidedcosttbl2,ROUNDUP($H17,0),CB$2)-(INDEX(avoidedcosttbl2,ROUNDDOWN($H17,0),CB$2)))))*'Inputs Yr 2'!P17*'Inputs Yr 2'!Q17*'Inputs Yr 2'!U17,"")</f>
        <v/>
      </c>
      <c r="CC17" s="195" t="str">
        <f>IFERROR(H17*(IF('Inputs Yr 2'!$AJ17=CC$4,'Inputs Yr 2'!$AK17,IF('Inputs Yr 2'!$AL17=CC$4,'Inputs Yr 2'!$AM17,IF('Inputs Yr 2'!$AN17=CC$4,'Inputs Yr 2'!$AO17,0))))*(INDEX(avoidedcosttbl2,$H17,CC$2)+(($H17-ROUNDDOWN($H17,0))*(INDEX(avoidedcosttbl2,ROUNDUP($H17,0),CC$2)-(INDEX(avoidedcosttbl2,ROUNDDOWN($H17,0),CC$2)))))*'Inputs Yr 2'!Q17*'Inputs Yr 2'!R17*'Inputs Yr 2'!V17,"")</f>
        <v/>
      </c>
      <c r="CD17" s="195" t="str">
        <f>IFERROR(I17*(IF('Inputs Yr 2'!$AJ17=CD$4,'Inputs Yr 2'!$AK17,IF('Inputs Yr 2'!$AL17=CD$4,'Inputs Yr 2'!$AM17,IF('Inputs Yr 2'!$AN17=CD$4,'Inputs Yr 2'!$AO17,0))))*(INDEX(avoidedcosttbl2,$H17,CD$2)+(($H17-ROUNDDOWN($H17,0))*(INDEX(avoidedcosttbl2,ROUNDUP($H17,0),CD$2)-(INDEX(avoidedcosttbl2,ROUNDDOWN($H17,0),CD$2)))))*'Inputs Yr 2'!R17*'Inputs Yr 2'!S17*'Inputs Yr 2'!W17,"")</f>
        <v/>
      </c>
      <c r="CE17" s="213" t="str">
        <f t="shared" si="41"/>
        <v/>
      </c>
      <c r="CF17" s="213" t="str">
        <f t="shared" si="42"/>
        <v/>
      </c>
      <c r="CG17" s="213" t="str">
        <f t="shared" si="43"/>
        <v/>
      </c>
      <c r="CH17" s="698">
        <f t="shared" si="44"/>
        <v>0</v>
      </c>
      <c r="CI17" s="79" t="str">
        <f>IFERROR(($G17*'Inputs Yr 2'!$P17*'Inputs Yr 2'!$Q17*(((INDEX(avoidedcosttbl2,$H17,CI$2)+(($H17-ROUNDDOWN($H17,0))*(INDEX(avoidedcosttbl2,ROUNDUP($H17,0),CI$2)-INDEX(avoidedcosttbl2,ROUNDDOWN($H17,0),CI$2))))*'Inputs Yr 2'!AS17))),"")</f>
        <v/>
      </c>
      <c r="CJ17" s="504" t="str">
        <f>IFERROR($G17*'Inputs Yr 2'!AT17*'Inputs Yr 2'!$P17*'Inputs Yr 2'!$Q17/((1+realdiscrt1)^-0.5),"")</f>
        <v/>
      </c>
      <c r="CK17" s="79" t="str">
        <f>IFERROR((O17*1000*(((INDEX(avoidedcosttbl2,$H17,CK$2)+(($H17-ROUNDDOWN($H17,0))*(INDEX(avoidedcosttbl2,ROUNDUP($H17,0),CK$2)-INDEX(avoidedcosttbl2,ROUNDDOWN($H17,0),CK$2))))*'Inputs Yr 2'!AU17))),"")</f>
        <v/>
      </c>
      <c r="CL17" s="504" t="str">
        <f>IFERROR(O17*1000*'Inputs Yr 2'!AV17/((1+realdiscrt1)^-0.5),"")</f>
        <v/>
      </c>
      <c r="CM17" s="79" t="str">
        <f>IFERROR((AB17*'Inputs Yr 2'!AW17*(((INDEX(avoidedcosttbl2,$H17,CM$2)+(($H17-ROUNDDOWN($H17,0))*(INDEX(avoidedcosttbl2,ROUNDUP($H17,0),CM$2)-INDEX(avoidedcosttbl2,ROUNDDOWN($H17,0),CM$2)))))))*10,"")</f>
        <v/>
      </c>
      <c r="CN17" s="504">
        <f>IFERROR(10*AB17*'Inputs Yr 2'!AX17/((1+realdiscrt1)^-0.5),"")</f>
        <v>0</v>
      </c>
      <c r="CO17" s="505">
        <f t="shared" si="45"/>
        <v>0</v>
      </c>
      <c r="CP17" s="230">
        <f t="shared" si="46"/>
        <v>0</v>
      </c>
      <c r="CQ17" s="199">
        <f>ROUND(IFERROR(IF(LEFT($A17,1)="C",'Avoided Costs'!$K$13,'Avoided Costs'!$K$12)+1,""),4)</f>
        <v>1.0720000000000001</v>
      </c>
      <c r="CR17" s="199">
        <f>ROUND(IFERROR(IF(LEFT($A17,1)="C",'Avoided Costs'!$L$13,'Avoided Costs'!$L$12)+1,""),4)</f>
        <v>1.04</v>
      </c>
      <c r="CS17" s="199">
        <f>ROUND(IFERROR(IF(LEFT($A17,1)="C",'Avoided Costs'!$M$13,'Avoided Costs'!$M$12)+1,""),4)</f>
        <v>1.0720000000000001</v>
      </c>
      <c r="CT17" s="199">
        <f>ROUND(IFERROR(IF(LEFT($A17,1)="C",'Avoided Costs'!$N$13,'Avoided Costs'!$N$12)+1,""),4)</f>
        <v>1.04</v>
      </c>
      <c r="CU17" s="199">
        <f>ROUND(IFERROR(IF(LEFT($A17,1)="C",'Avoided Costs'!$O$13,'Avoided Costs'!$O$12)+1,""),4)</f>
        <v>1.1120000000000001</v>
      </c>
      <c r="CV17" s="199">
        <f>ROUND(IFERROR(IF(LEFT($A17,1)="C",'Avoided Costs'!$P$13,'Avoided Costs'!$P$12)+1,""),4)</f>
        <v>1.095</v>
      </c>
      <c r="CW17" s="199">
        <f>ROUND(IFERROR(IF(LEFT($A17,1)="C",'Avoided Costs'!$Q$13,'Avoided Costs'!$Q$12)+1,""),4)</f>
        <v>1.1120000000000001</v>
      </c>
      <c r="CX17" s="200">
        <f>ROUND(IFERROR(IF(LEFT($A17,1)="C",'Avoided Costs'!$R$13,'Avoided Costs'!$R$12)+1,""),4)</f>
        <v>1.1120000000000001</v>
      </c>
    </row>
    <row r="18" spans="1:102" ht="12.75" customHeight="1">
      <c r="A18" s="91" t="str">
        <f>IF('Inputs Yr 2'!$B18=0,"",'Inputs Yr 2'!A18)</f>
        <v>A - Residential</v>
      </c>
      <c r="B18" s="91" t="str">
        <f>IF('Inputs Yr 2'!$B18=0,"",'Inputs Yr 2'!B18)</f>
        <v>A1 - Residential Whole House</v>
      </c>
      <c r="C18" s="91" t="str">
        <f>IF('Inputs Yr 2'!$B18=0,"",'Inputs Yr 2'!C18)</f>
        <v>A1b - Residential Multi-Family Retrofit</v>
      </c>
      <c r="D18" s="91" t="str">
        <f>IF('Inputs Yr 2'!$B18=0,"",'Inputs Yr 2'!E18)</f>
        <v>Heating System Replacement, Boiler</v>
      </c>
      <c r="E18" s="93" t="str">
        <f>IF('Inputs Yr 2'!$B18=0,"",'Inputs Yr 2'!F18)</f>
        <v>G16A1b04</v>
      </c>
      <c r="F18" s="93" t="str">
        <f>IF('Inputs Yr 2'!$B18=0,"",'Inputs Yr 2'!G18)</f>
        <v>HVAC</v>
      </c>
      <c r="G18" s="95" t="str">
        <f>IF('Inputs Yr 2'!$H18&lt;&gt;0,('Inputs Yr 2'!H18),"")</f>
        <v/>
      </c>
      <c r="H18" s="94">
        <f>IFERROR('Inputs Yr 2'!I18,"")</f>
        <v>0</v>
      </c>
      <c r="I18" s="298" t="str">
        <f>IFERROR('Inputs Yr 2'!J18*'Inputs Yr 2'!P18*G18,"")</f>
        <v/>
      </c>
      <c r="J18" s="298" t="str">
        <f>IFERROR('Inputs Yr 2'!K18*G18,"")</f>
        <v/>
      </c>
      <c r="K18" s="298" t="str">
        <f t="shared" si="23"/>
        <v/>
      </c>
      <c r="L18" s="194" t="str">
        <f>IFERROR(('Inputs Yr 2'!W18*G18)/1000,"")</f>
        <v/>
      </c>
      <c r="M18" s="194" t="str">
        <f>IFERROR(L18*('Inputs Yr 2'!$Q18*'Inputs Yr 2'!$V18*'Inputs Yr 2'!$R18),"")</f>
        <v/>
      </c>
      <c r="N18" s="194" t="str">
        <f t="shared" si="24"/>
        <v/>
      </c>
      <c r="O18" s="194" t="str">
        <f>IFERROR(M18*'Inputs Yr 2'!P18,"")</f>
        <v/>
      </c>
      <c r="P18" s="194" t="str">
        <f t="shared" si="25"/>
        <v/>
      </c>
      <c r="Q18" s="194" t="str">
        <f>IFERROR($P18*'Inputs Yr 2'!AA18,"")</f>
        <v/>
      </c>
      <c r="R18" s="194" t="str">
        <f>IFERROR($P18*'Inputs Yr 2'!AB18,"")</f>
        <v/>
      </c>
      <c r="S18" s="194" t="str">
        <f>IFERROR($P18*'Inputs Yr 2'!AC18,"")</f>
        <v/>
      </c>
      <c r="T18" s="194" t="str">
        <f>IFERROR($P18*'Inputs Yr 2'!AD18,"")</f>
        <v/>
      </c>
      <c r="U18" s="194" t="str">
        <f>IFERROR(G18*'Inputs Yr 2'!$AE18*'Inputs Yr 2'!$P18*'Inputs Yr 2'!$Q18,"")</f>
        <v/>
      </c>
      <c r="V18" s="194" t="str">
        <f>IFERROR($G18*'Inputs Yr 2'!$AE18*'Inputs Yr 2'!$AG18*'Inputs Yr 2'!Q18*'Inputs Yr 2'!$S18,"")</f>
        <v/>
      </c>
      <c r="W18" s="194" t="str">
        <f>IFERROR($G18*'Inputs Yr 2'!$AE18*'Inputs Yr 2'!$AG18*'Inputs Yr 2'!P18*'Inputs Yr 2'!Q18*'Inputs Yr 2'!$S18,"")</f>
        <v/>
      </c>
      <c r="X18" s="194" t="str">
        <f>IFERROR($G18*'Inputs Yr 2'!$AE18*'Inputs Yr 2'!$AF18*'Inputs Yr 2'!Q18*'Inputs Yr 2'!$T18,"")</f>
        <v/>
      </c>
      <c r="Y18" s="194" t="str">
        <f>IFERROR($G18*'Inputs Yr 2'!$AE18*'Inputs Yr 2'!$AF18*'Inputs Yr 2'!P18*'Inputs Yr 2'!Q18*'Inputs Yr 2'!$T18,"")</f>
        <v/>
      </c>
      <c r="Z18" s="257">
        <f>IFERROR($G18*'Inputs Yr 2'!$Q18*'Inputs Yr 2'!$U18*(IF(IFERROR(SEARCH("NG", 'Inputs Yr 2'!$AJ18),0),'Inputs Yr 2'!$AK18,0)+IF(IFERROR(SEARCH("NG", 'Inputs Yr 2'!$AL18),0),'Inputs Yr 2'!$AM18,0)+IF(IFERROR(SEARCH("NG", 'Inputs Yr 2'!$AN18),0),'Inputs Yr 2'!$AO18,0)),0)</f>
        <v>0</v>
      </c>
      <c r="AA18" s="257">
        <f t="shared" si="26"/>
        <v>0</v>
      </c>
      <c r="AB18" s="257">
        <f>IFERROR(Z18*'Inputs Yr 2'!$P18,0)</f>
        <v>0</v>
      </c>
      <c r="AC18" s="257">
        <f t="shared" si="27"/>
        <v>0</v>
      </c>
      <c r="AD18" s="257">
        <f>IFERROR($G18*'Inputs Yr 2'!$Q18*'Inputs Yr 2'!$U18*(IF(IFERROR(SEARCH("Oil", 'Inputs Yr 2'!$AJ18), 0),'Inputs Yr 2'!$AK18,0)+IF(IFERROR(SEARCH("Oil", 'Inputs Yr 2'!$AL18), 0),'Inputs Yr 2'!$AM18,0)+IF(IFERROR(SEARCH("Oil", 'Inputs Yr 2'!$AN18), 0),'Inputs Yr 2'!$AO18,0)),0)</f>
        <v>0</v>
      </c>
      <c r="AE18" s="257">
        <f t="shared" si="28"/>
        <v>0</v>
      </c>
      <c r="AF18" s="257">
        <f>IFERROR(AD18*'Inputs Yr 2'!$P18,0)</f>
        <v>0</v>
      </c>
      <c r="AG18" s="257">
        <f t="shared" si="29"/>
        <v>0</v>
      </c>
      <c r="AH18" s="257">
        <f>IFERROR($G18*'Inputs Yr 2'!$Q18*'Inputs Yr 2'!$U18*(IF('Inputs Yr 2'!$AJ18=CD$4,'Inputs Yr 2'!$AK18,IF('Inputs Yr 2'!$AL18=CD$4,'Inputs Yr 2'!$AM18,IF('Inputs Yr 2'!$AN18=CD$4,'Inputs Yr 2'!$AO18,0)))),0)</f>
        <v>0</v>
      </c>
      <c r="AI18" s="257">
        <f t="shared" si="30"/>
        <v>0</v>
      </c>
      <c r="AJ18" s="257">
        <f>IFERROR(AH18*'Inputs Yr 2'!$P18,0)</f>
        <v>0</v>
      </c>
      <c r="AK18" s="257">
        <f t="shared" si="31"/>
        <v>0</v>
      </c>
      <c r="AL18" s="258">
        <f>IFERROR($G18*'Inputs Yr 2'!$P18*'Inputs Yr 2'!$Q18*'Inputs Yr 2'!AP18,0)</f>
        <v>0</v>
      </c>
      <c r="AM18" s="260">
        <f>IFERROR($G18*'Inputs Yr 2'!$P18*'Inputs Yr 2'!$Q18*'Inputs Yr 2'!AQ18,0)</f>
        <v>0</v>
      </c>
      <c r="AN18" s="258">
        <f>IFERROR($G18*'Inputs Yr 2'!$P18*'Inputs Yr 2'!$Q18*'Inputs Yr 2'!AR18,0)</f>
        <v>0</v>
      </c>
      <c r="AO18" s="257">
        <f t="shared" si="32"/>
        <v>0</v>
      </c>
      <c r="AP18" s="195" t="str">
        <f>IFERROR($CQ18*(INDEX(avoidedcosttbl2,$H18,AP$2)+(($H18-ROUNDDOWN($H18,0))*(INDEX(avoidedcosttbl2,ROUNDUP($H18,0),AP$2)-(INDEX(avoidedcosttbl2,ROUNDDOWN($H18,0),AP$2)))))*$O18*1000*'Inputs Yr 2'!AA18,"")</f>
        <v/>
      </c>
      <c r="AQ18" s="195" t="str">
        <f>IFERROR($CR18*(INDEX(avoidedcosttbl2,$H18,AQ$2)+(($H18-ROUNDDOWN($H18,0))*(INDEX(avoidedcosttbl2,ROUNDUP($H18,0),AQ$2)-(INDEX(avoidedcosttbl2,ROUNDDOWN($H18,0),AQ$2)))))*$O18*1000*'Inputs Yr 2'!AB18,"")</f>
        <v/>
      </c>
      <c r="AR18" s="195" t="str">
        <f>IFERROR($CS18*(INDEX(avoidedcosttbl2,$H18,AR$2)+(($H18-ROUNDDOWN($H18,0))*(INDEX(avoidedcosttbl2,ROUNDUP($H18,0),AR$2)-(INDEX(avoidedcosttbl2,ROUNDDOWN($H18,0),AR$2)))))*$O18*1000*'Inputs Yr 2'!AC18,"")</f>
        <v/>
      </c>
      <c r="AS18" s="195" t="str">
        <f>IFERROR($CT18*(INDEX(avoidedcosttbl2,$H18,AS$2)+(($H18-ROUNDDOWN($H18,0))*(INDEX(avoidedcosttbl2,ROUNDUP($H18,0),AS$2)-(INDEX(avoidedcosttbl2,ROUNDDOWN($H18,0),AS$2)))))*$O18*1000*'Inputs Yr 2'!AD18,"")</f>
        <v/>
      </c>
      <c r="AT18" s="196">
        <f t="shared" si="33"/>
        <v>0</v>
      </c>
      <c r="AU18" s="197" t="str">
        <f>IFERROR($CQ18*((INDEX(avoidedcosttbl2,$H18,AU$2))+(($H18-ROUNDDOWN($H18,0))*((INDEX(avoidedcosttbl2,ROUNDUP($H18,0),AU$2))-(INDEX(avoidedcosttbl2,ROUNDDOWN($H18,0),AU$2)))))*$O18*1000*'Inputs Yr 2'!AA18,"")</f>
        <v/>
      </c>
      <c r="AV18" s="197" t="str">
        <f>IFERROR($CR18*((INDEX(avoidedcosttbl2,$H18,AV$2))+(($H18-ROUNDDOWN($H18,0))*((INDEX(avoidedcosttbl2,ROUNDUP($H18,0),AV$2))-(INDEX(avoidedcosttbl2,ROUNDDOWN($H18,0),AV$2)))))*$O18*1000*'Inputs Yr 2'!AB18,"")</f>
        <v/>
      </c>
      <c r="AW18" s="197" t="str">
        <f>IFERROR($CS18*((INDEX(avoidedcosttbl2,$H18,AW$2))+(($H18-ROUNDDOWN($H18,0))*((INDEX(avoidedcosttbl2,ROUNDUP($H18,0),AW$2))-(INDEX(avoidedcosttbl2,ROUNDDOWN($H18,0),AW$2)))))*$O18*1000*'Inputs Yr 2'!AC18,"")</f>
        <v/>
      </c>
      <c r="AX18" s="197" t="str">
        <f>IFERROR($CT18*((INDEX(avoidedcosttbl2,$H18,AX$2))+(($H18-ROUNDDOWN($H18,0))*((INDEX(avoidedcosttbl2,ROUNDUP($H18,0),AX$2))-(INDEX(avoidedcosttbl2,ROUNDDOWN($H18,0),AX$2)))))*$O18*1000*'Inputs Yr 2'!AD18,"")</f>
        <v/>
      </c>
      <c r="AY18" s="197" t="str">
        <f>IFERROR(((INDEX(avoidedcosttbl2,$H18,AY$2))+(($H18-ROUNDDOWN($H18,0))*((INDEX(avoidedcosttbl2,ROUNDUP($H18,0),AY$2))-(INDEX(avoidedcosttbl2,ROUNDDOWN($H18,0),AY$2)))))*$O18*1000*('Inputs Yr 2'!AC18+'Inputs Yr 2'!AD18),"")</f>
        <v/>
      </c>
      <c r="AZ18" s="197" t="str">
        <f>IFERROR(((INDEX(avoidedcosttbl2,$H18,AZ$2))+(($H18-ROUNDDOWN($H18,0))*((INDEX(avoidedcosttbl2,ROUNDUP($H18,0),AZ$2))-(INDEX(avoidedcosttbl2,ROUNDDOWN($H18,0),AZ$2)))))*$O18*1000*('Inputs Yr 2'!AA18+'Inputs Yr 2'!AB18),"")</f>
        <v/>
      </c>
      <c r="BA18" s="198">
        <f t="shared" si="34"/>
        <v>0</v>
      </c>
      <c r="BB18" s="198">
        <f t="shared" si="35"/>
        <v>0</v>
      </c>
      <c r="BC18" s="195" t="str">
        <f t="shared" si="10"/>
        <v/>
      </c>
      <c r="BD18" s="195" t="str">
        <f t="shared" si="11"/>
        <v/>
      </c>
      <c r="BE18" s="195" t="str">
        <f t="shared" si="12"/>
        <v/>
      </c>
      <c r="BF18" s="195" t="str">
        <f t="shared" si="13"/>
        <v/>
      </c>
      <c r="BG18" s="195" t="str">
        <f t="shared" si="14"/>
        <v/>
      </c>
      <c r="BH18" s="196">
        <f t="shared" si="36"/>
        <v>0</v>
      </c>
      <c r="BI18" s="196">
        <f t="shared" si="37"/>
        <v>0</v>
      </c>
      <c r="BJ18" s="195" t="str">
        <f>IFERROR($G18*(IF('Inputs Yr 2'!$AJ18=BJ$4,'Inputs Yr 2'!$AK18,IF('Inputs Yr 2'!$AL18=BJ$4,'Inputs Yr 2'!$AM18,IF('Inputs Yr 2'!$AN18=BJ$4,'Inputs Yr 2'!$AO18,0))))*(INDEX(avoidedcosttbl2,$H18,BJ$2)+(($H18-ROUNDDOWN($H18,0))*(INDEX(avoidedcosttbl2,ROUNDUP($H18,0),BJ$2)-(INDEX(avoidedcosttbl2,ROUNDDOWN($H18,0),BJ$2)))))*'Inputs Yr 2'!P18*'Inputs Yr 2'!Q18*'Inputs Yr 2'!U18,"")</f>
        <v/>
      </c>
      <c r="BK18" s="195" t="str">
        <f>IFERROR($G18*(IF('Inputs Yr 2'!$AJ18=BK$4,'Inputs Yr 2'!$AK18,IF('Inputs Yr 2'!$AL18=BK$4,'Inputs Yr 2'!$AM18,IF('Inputs Yr 2'!$AN18=BK$4,'Inputs Yr 2'!$AO18,0))))*(INDEX(avoidedcosttbl2,$H18,BK$2)+(($H18-ROUNDDOWN($H18,0))*(INDEX(avoidedcosttbl2,ROUNDUP($H18,0),BK$2)-(INDEX(avoidedcosttbl2,ROUNDDOWN($H18,0),BK$2)))))*'Inputs Yr 2'!P18*'Inputs Yr 2'!Q18*'Inputs Yr 2'!U18,"")</f>
        <v/>
      </c>
      <c r="BL18" s="195" t="str">
        <f>IFERROR($G18*(IF('Inputs Yr 2'!$AJ18=BL$4,'Inputs Yr 2'!$AK18,IF('Inputs Yr 2'!$AL18=BL$4,'Inputs Yr 2'!$AM18,IF('Inputs Yr 2'!$AN18=BL$4,'Inputs Yr 2'!$AO18,0))))*(INDEX(avoidedcosttbl2,$H18,BL$2)+(($H18-ROUNDDOWN($H18,0))*(INDEX(avoidedcosttbl2,ROUNDUP($H18,0),BL$2)-(INDEX(avoidedcosttbl2,ROUNDDOWN($H18,0),BL$2)))))*'Inputs Yr 2'!P18*'Inputs Yr 2'!Q18*'Inputs Yr 2'!U18,"")</f>
        <v/>
      </c>
      <c r="BM18" s="195" t="str">
        <f>IFERROR($G18*(IF('Inputs Yr 2'!$AJ18=BM$4,'Inputs Yr 2'!$AK18,IF('Inputs Yr 2'!$AL18=BM$4,'Inputs Yr 2'!$AM18,IF('Inputs Yr 2'!$AN18=BM$4,'Inputs Yr 2'!$AO18,0))))*(INDEX(avoidedcosttbl2,$H18,BM$2)+(($H18-ROUNDDOWN($H18,0))*(INDEX(avoidedcosttbl2,ROUNDUP($H18,0),BM$2)-(INDEX(avoidedcosttbl2,ROUNDDOWN($H18,0),BM$2)))))*'Inputs Yr 2'!P18*'Inputs Yr 2'!Q18*'Inputs Yr 2'!U18,"")</f>
        <v/>
      </c>
      <c r="BN18" s="195" t="str">
        <f>IFERROR($G18*(IF('Inputs Yr 2'!$AJ18=BN$4,'Inputs Yr 2'!$AK18,IF('Inputs Yr 2'!$AL18=BN$4,'Inputs Yr 2'!$AM18,IF('Inputs Yr 2'!$AN18=BN$4,'Inputs Yr 2'!$AO18,0))))*(INDEX(avoidedcosttbl2,$H18,BN$2)+(($H18-ROUNDDOWN($H18,0))*(INDEX(avoidedcosttbl2,ROUNDUP($H18,0),BN$2)-(INDEX(avoidedcosttbl2,ROUNDDOWN($H18,0),BN$2)))))*'Inputs Yr 2'!P18*'Inputs Yr 2'!Q18*'Inputs Yr 2'!U18,"")</f>
        <v/>
      </c>
      <c r="BO18" s="195" t="str">
        <f>IFERROR($G18*(IF('Inputs Yr 2'!$AJ18=BO$4,'Inputs Yr 2'!$AK18,IF('Inputs Yr 2'!$AL18=BO$4,'Inputs Yr 2'!$AM18,IF('Inputs Yr 2'!$AN18=BO$4,'Inputs Yr 2'!$AO18,0))))*(INDEX(avoidedcosttbl2,$H18,BO$2)+(($H18-ROUNDDOWN($H18,0))*(INDEX(avoidedcosttbl2,ROUNDUP($H18,0),BO$2)-(INDEX(avoidedcosttbl2,ROUNDDOWN($H18,0),BO$2)))))*'Inputs Yr 2'!P18*'Inputs Yr 2'!Q18*'Inputs Yr 2'!U18,"")</f>
        <v/>
      </c>
      <c r="BP18" s="195" t="str">
        <f>IFERROR($G18*(IF('Inputs Yr 2'!$AJ18=BP$4,'Inputs Yr 2'!$AK18,IF('Inputs Yr 2'!$AL18=BP$4,'Inputs Yr 2'!$AM18,IF('Inputs Yr 2'!$AN18=BP$4,'Inputs Yr 2'!$AO18,0))))*(INDEX(avoidedcosttbl2,$H18,BP$2)+(($H18-ROUNDDOWN($H18,0))*(INDEX(avoidedcosttbl2,ROUNDUP($H18,0),BP$2)-(INDEX(avoidedcosttbl2,ROUNDDOWN($H18,0),BP$2)))))*'Inputs Yr 2'!P18*'Inputs Yr 2'!Q18*'Inputs Yr 2'!U18,"")</f>
        <v/>
      </c>
      <c r="BQ18" s="230">
        <f t="shared" si="38"/>
        <v>0</v>
      </c>
      <c r="BR18" s="197" t="str">
        <f t="shared" si="17"/>
        <v/>
      </c>
      <c r="BS18" s="197" t="str">
        <f>IFERROR(($G18*IF('Inputs Yr 2'!$AJ18=BM$4,'Inputs Yr 2'!$AK18,IF('Inputs Yr 2'!$AL18=BM$4,'Inputs Yr 2'!$AM18,IF('Inputs Yr 2'!$AN18=BM$4,'Inputs Yr 2'!$AO18,0))))*(INDEX(avoidedcosttbl2,$H18,BS$2)+(($H18-ROUNDDOWN($H18,0))*(INDEX(avoidedcosttbl2,ROUNDUP($H18,0),BS$2)-(INDEX(avoidedcosttbl2,ROUNDDOWN($H18,0),BS$2)))))*'Inputs Yr 2'!P18*'Inputs Yr 2'!Q18*'Inputs Yr 2'!U18,"")</f>
        <v/>
      </c>
      <c r="BT18" s="197" t="str">
        <f>IFERROR(($G18*IF('Inputs Yr 2'!$AJ18=BK$4,'Inputs Yr 2'!$AK18,IF('Inputs Yr 2'!$AL18=BK$4,'Inputs Yr 2'!$AM18,IF('Inputs Yr 2'!$AN18=BK$4,'Inputs Yr 2'!$AO18,0))))*(INDEX(avoidedcosttbl2,$H18,BT$2)+(($H18-ROUNDDOWN($H18,0))*(INDEX(avoidedcosttbl2,ROUNDUP($H18,0),BT$2)-(INDEX(avoidedcosttbl2,ROUNDDOWN($H18,0),BT$2)))))*'Inputs Yr 2'!P18*'Inputs Yr 2'!Q18*'Inputs Yr 2'!U18,"")</f>
        <v/>
      </c>
      <c r="BU18" s="197" t="str">
        <f>IFERROR(($G18*IF('Inputs Yr 2'!$AJ18=BL$4,'Inputs Yr 2'!$AK18,IF('Inputs Yr 2'!$AL18=BL$4,'Inputs Yr 2'!$AM18,IF('Inputs Yr 2'!$AN18=BL$4,'Inputs Yr 2'!$AO18,0))))*(INDEX(avoidedcosttbl2,$H18,BU$2)+(($H18-ROUNDDOWN($H18,0))*(INDEX(avoidedcosttbl2,ROUNDUP($H18,0),BU$2)-(INDEX(avoidedcosttbl2,ROUNDDOWN($H18,0),BU$2)))))*'Inputs Yr 2'!P18*'Inputs Yr 2'!Q18*'Inputs Yr 2'!U18,"")</f>
        <v/>
      </c>
      <c r="BV18" s="775" t="str">
        <f>IFERROR(($G18*IF('Inputs Yr 2'!$AJ18=BJ$4,'Inputs Yr 2'!$AK18,IF('Inputs Yr 2'!$AL18=BJ$4,'Inputs Yr 2'!$AM18,IF('Inputs Yr 2'!$AN18=BJ$4,'Inputs Yr 2'!$AO18,0))))*(INDEX(avoidedcosttbl2,$H18,BV$2)+(($H18-ROUNDDOWN($H18,0))*(INDEX(avoidedcosttbl2,ROUNDUP($H18,0),BV$2)-(INDEX(avoidedcosttbl2,ROUNDDOWN($H18,0),BV$2)))))*'Inputs Yr 2'!P18*'Inputs Yr 2'!Q18*'Inputs Yr 2'!U18,"")</f>
        <v/>
      </c>
      <c r="BW18" s="197" t="str">
        <f>IFERROR(($G18*IF('Inputs Yr 2'!$AJ18=BN$4,'Inputs Yr 2'!$AK18,IF('Inputs Yr 2'!$AL18=BN$4,'Inputs Yr 2'!$AM18,IF('Inputs Yr 2'!$AN18=BN$4,'Inputs Yr 2'!$AO18,0))))*(INDEX(avoidedcosttbl2,$H18,BW$2)+(($H18-ROUNDDOWN($H18,0))*(INDEX(avoidedcosttbl2,ROUNDUP($H18,0),BW$2)-(INDEX(avoidedcosttbl2,ROUNDDOWN($H18,0),BW$2)))))*'Inputs Yr 2'!P18*'Inputs Yr 2'!Q18*'Inputs Yr 2'!U18,"")</f>
        <v/>
      </c>
      <c r="BX18" s="197" t="str">
        <f>IFERROR(($G18*IF('Inputs Yr 2'!$AJ18=BO$4,'Inputs Yr 2'!$AK18,IF('Inputs Yr 2'!$AL18=BO$4,'Inputs Yr 2'!$AM18,IF('Inputs Yr 2'!$AN18=BO$4,'Inputs Yr 2'!$AO18,0))))*(INDEX(avoidedcosttbl2,$H18,BX$2)+(($H18-ROUNDDOWN($H18,0))*(INDEX(avoidedcosttbl2,ROUNDUP($H18,0),BX$2)-(INDEX(avoidedcosttbl2,ROUNDDOWN($H18,0),BX$2)))))*'Inputs Yr 2'!P18*'Inputs Yr 2'!Q18*'Inputs Yr 2'!U18,"")</f>
        <v/>
      </c>
      <c r="BY18" s="197" t="str">
        <f>IFERROR(($G18*IF('Inputs Yr 2'!$AJ18=BP$4,'Inputs Yr 2'!$AK18,IF('Inputs Yr 2'!$AL18=BP$4,'Inputs Yr 2'!$AM18,IF('Inputs Yr 2'!$AN18=BP$4,'Inputs Yr 2'!$AO18,0))))*(INDEX(avoidedcosttbl2,$H18,BY$2)+(($H18-ROUNDDOWN($H18,0))*(INDEX(avoidedcosttbl2,ROUNDUP($H18,0),BY$2)-(INDEX(avoidedcosttbl2,ROUNDDOWN($H18,0),BY$2)))))*'Inputs Yr 2'!P18*'Inputs Yr 2'!Q18*'Inputs Yr 2'!U18,"")</f>
        <v/>
      </c>
      <c r="BZ18" s="193">
        <f t="shared" si="39"/>
        <v>0</v>
      </c>
      <c r="CA18" s="193">
        <f t="shared" si="40"/>
        <v>0</v>
      </c>
      <c r="CB18" s="195" t="str">
        <f>IFERROR(G18*(IF('Inputs Yr 2'!$AJ18=CB$4,'Inputs Yr 2'!$AK18,IF('Inputs Yr 2'!$AL18=CB$4,'Inputs Yr 2'!$AM18,IF('Inputs Yr 2'!$AN18=CB$4,'Inputs Yr 2'!$AO18,0))))*(INDEX(avoidedcosttbl2,$H18,CB$2)+(($H18-ROUNDDOWN($H18,0))*(INDEX(avoidedcosttbl2,ROUNDUP($H18,0),CB$2)-(INDEX(avoidedcosttbl2,ROUNDDOWN($H18,0),CB$2)))))*'Inputs Yr 2'!P18*'Inputs Yr 2'!Q18*'Inputs Yr 2'!U18,"")</f>
        <v/>
      </c>
      <c r="CC18" s="195" t="str">
        <f>IFERROR(H18*(IF('Inputs Yr 2'!$AJ18=CC$4,'Inputs Yr 2'!$AK18,IF('Inputs Yr 2'!$AL18=CC$4,'Inputs Yr 2'!$AM18,IF('Inputs Yr 2'!$AN18=CC$4,'Inputs Yr 2'!$AO18,0))))*(INDEX(avoidedcosttbl2,$H18,CC$2)+(($H18-ROUNDDOWN($H18,0))*(INDEX(avoidedcosttbl2,ROUNDUP($H18,0),CC$2)-(INDEX(avoidedcosttbl2,ROUNDDOWN($H18,0),CC$2)))))*'Inputs Yr 2'!Q18*'Inputs Yr 2'!R18*'Inputs Yr 2'!V18,"")</f>
        <v/>
      </c>
      <c r="CD18" s="195" t="str">
        <f>IFERROR(I18*(IF('Inputs Yr 2'!$AJ18=CD$4,'Inputs Yr 2'!$AK18,IF('Inputs Yr 2'!$AL18=CD$4,'Inputs Yr 2'!$AM18,IF('Inputs Yr 2'!$AN18=CD$4,'Inputs Yr 2'!$AO18,0))))*(INDEX(avoidedcosttbl2,$H18,CD$2)+(($H18-ROUNDDOWN($H18,0))*(INDEX(avoidedcosttbl2,ROUNDUP($H18,0),CD$2)-(INDEX(avoidedcosttbl2,ROUNDDOWN($H18,0),CD$2)))))*'Inputs Yr 2'!R18*'Inputs Yr 2'!S18*'Inputs Yr 2'!W18,"")</f>
        <v/>
      </c>
      <c r="CE18" s="213" t="str">
        <f t="shared" si="41"/>
        <v/>
      </c>
      <c r="CF18" s="213" t="str">
        <f t="shared" si="42"/>
        <v/>
      </c>
      <c r="CG18" s="213" t="str">
        <f t="shared" si="43"/>
        <v/>
      </c>
      <c r="CH18" s="698">
        <f t="shared" si="44"/>
        <v>0</v>
      </c>
      <c r="CI18" s="79" t="str">
        <f>IFERROR(($G18*'Inputs Yr 2'!$P18*'Inputs Yr 2'!$Q18*(((INDEX(avoidedcosttbl2,$H18,CI$2)+(($H18-ROUNDDOWN($H18,0))*(INDEX(avoidedcosttbl2,ROUNDUP($H18,0),CI$2)-INDEX(avoidedcosttbl2,ROUNDDOWN($H18,0),CI$2))))*'Inputs Yr 2'!AS18))),"")</f>
        <v/>
      </c>
      <c r="CJ18" s="504" t="str">
        <f>IFERROR($G18*'Inputs Yr 2'!AT18*'Inputs Yr 2'!$P18*'Inputs Yr 2'!$Q18/((1+realdiscrt1)^-0.5),"")</f>
        <v/>
      </c>
      <c r="CK18" s="79" t="str">
        <f>IFERROR((O18*1000*(((INDEX(avoidedcosttbl2,$H18,CK$2)+(($H18-ROUNDDOWN($H18,0))*(INDEX(avoidedcosttbl2,ROUNDUP($H18,0),CK$2)-INDEX(avoidedcosttbl2,ROUNDDOWN($H18,0),CK$2))))*'Inputs Yr 2'!AU18))),"")</f>
        <v/>
      </c>
      <c r="CL18" s="504" t="str">
        <f>IFERROR(O18*1000*'Inputs Yr 2'!AV18/((1+realdiscrt1)^-0.5),"")</f>
        <v/>
      </c>
      <c r="CM18" s="79" t="str">
        <f>IFERROR((AB18*'Inputs Yr 2'!AW18*(((INDEX(avoidedcosttbl2,$H18,CM$2)+(($H18-ROUNDDOWN($H18,0))*(INDEX(avoidedcosttbl2,ROUNDUP($H18,0),CM$2)-INDEX(avoidedcosttbl2,ROUNDDOWN($H18,0),CM$2)))))))*10,"")</f>
        <v/>
      </c>
      <c r="CN18" s="504">
        <f>IFERROR(10*AB18*'Inputs Yr 2'!AX18/((1+realdiscrt1)^-0.5),"")</f>
        <v>0</v>
      </c>
      <c r="CO18" s="505">
        <f t="shared" si="45"/>
        <v>0</v>
      </c>
      <c r="CP18" s="230">
        <f t="shared" si="46"/>
        <v>0</v>
      </c>
      <c r="CQ18" s="199">
        <f>ROUND(IFERROR(IF(LEFT($A18,1)="C",'Avoided Costs'!$K$13,'Avoided Costs'!$K$12)+1,""),4)</f>
        <v>1.0720000000000001</v>
      </c>
      <c r="CR18" s="199">
        <f>ROUND(IFERROR(IF(LEFT($A18,1)="C",'Avoided Costs'!$L$13,'Avoided Costs'!$L$12)+1,""),4)</f>
        <v>1.04</v>
      </c>
      <c r="CS18" s="199">
        <f>ROUND(IFERROR(IF(LEFT($A18,1)="C",'Avoided Costs'!$M$13,'Avoided Costs'!$M$12)+1,""),4)</f>
        <v>1.0720000000000001</v>
      </c>
      <c r="CT18" s="199">
        <f>ROUND(IFERROR(IF(LEFT($A18,1)="C",'Avoided Costs'!$N$13,'Avoided Costs'!$N$12)+1,""),4)</f>
        <v>1.04</v>
      </c>
      <c r="CU18" s="199">
        <f>ROUND(IFERROR(IF(LEFT($A18,1)="C",'Avoided Costs'!$O$13,'Avoided Costs'!$O$12)+1,""),4)</f>
        <v>1.1120000000000001</v>
      </c>
      <c r="CV18" s="199">
        <f>ROUND(IFERROR(IF(LEFT($A18,1)="C",'Avoided Costs'!$P$13,'Avoided Costs'!$P$12)+1,""),4)</f>
        <v>1.095</v>
      </c>
      <c r="CW18" s="199">
        <f>ROUND(IFERROR(IF(LEFT($A18,1)="C",'Avoided Costs'!$Q$13,'Avoided Costs'!$Q$12)+1,""),4)</f>
        <v>1.1120000000000001</v>
      </c>
      <c r="CX18" s="200">
        <f>ROUND(IFERROR(IF(LEFT($A18,1)="C",'Avoided Costs'!$R$13,'Avoided Costs'!$R$12)+1,""),4)</f>
        <v>1.1120000000000001</v>
      </c>
    </row>
    <row r="19" spans="1:102" ht="12.75" customHeight="1">
      <c r="A19" s="91" t="str">
        <f>IF('Inputs Yr 2'!$B19=0,"",'Inputs Yr 2'!A19)</f>
        <v>A - Residential</v>
      </c>
      <c r="B19" s="91" t="str">
        <f>IF('Inputs Yr 2'!$B19=0,"",'Inputs Yr 2'!B19)</f>
        <v>A1 - Residential Whole House</v>
      </c>
      <c r="C19" s="91" t="str">
        <f>IF('Inputs Yr 2'!$B19=0,"",'Inputs Yr 2'!C19)</f>
        <v>A1b - Residential Multi-Family Retrofit</v>
      </c>
      <c r="D19" s="91" t="str">
        <f>IF('Inputs Yr 2'!$B19=0,"",'Inputs Yr 2'!E19)</f>
        <v>Heating System Replacement, Furnace</v>
      </c>
      <c r="E19" s="93" t="str">
        <f>IF('Inputs Yr 2'!$B19=0,"",'Inputs Yr 2'!F19)</f>
        <v>G16A1b05</v>
      </c>
      <c r="F19" s="93" t="str">
        <f>IF('Inputs Yr 2'!$B19=0,"",'Inputs Yr 2'!G19)</f>
        <v>HVAC</v>
      </c>
      <c r="G19" s="95" t="str">
        <f>IF('Inputs Yr 2'!$H19&lt;&gt;0,('Inputs Yr 2'!H19),"")</f>
        <v/>
      </c>
      <c r="H19" s="94">
        <f>IFERROR('Inputs Yr 2'!I19,"")</f>
        <v>0</v>
      </c>
      <c r="I19" s="298" t="str">
        <f>IFERROR('Inputs Yr 2'!J19*'Inputs Yr 2'!P19*G19,"")</f>
        <v/>
      </c>
      <c r="J19" s="298" t="str">
        <f>IFERROR('Inputs Yr 2'!K19*G19,"")</f>
        <v/>
      </c>
      <c r="K19" s="298" t="str">
        <f t="shared" si="23"/>
        <v/>
      </c>
      <c r="L19" s="194" t="str">
        <f>IFERROR(('Inputs Yr 2'!W19*G19)/1000,"")</f>
        <v/>
      </c>
      <c r="M19" s="194" t="str">
        <f>IFERROR(L19*('Inputs Yr 2'!$Q19*'Inputs Yr 2'!$V19*'Inputs Yr 2'!$R19),"")</f>
        <v/>
      </c>
      <c r="N19" s="194" t="str">
        <f t="shared" si="24"/>
        <v/>
      </c>
      <c r="O19" s="194" t="str">
        <f>IFERROR(M19*'Inputs Yr 2'!P19,"")</f>
        <v/>
      </c>
      <c r="P19" s="194" t="str">
        <f t="shared" si="25"/>
        <v/>
      </c>
      <c r="Q19" s="194" t="str">
        <f>IFERROR($P19*'Inputs Yr 2'!AA19,"")</f>
        <v/>
      </c>
      <c r="R19" s="194" t="str">
        <f>IFERROR($P19*'Inputs Yr 2'!AB19,"")</f>
        <v/>
      </c>
      <c r="S19" s="194" t="str">
        <f>IFERROR($P19*'Inputs Yr 2'!AC19,"")</f>
        <v/>
      </c>
      <c r="T19" s="194" t="str">
        <f>IFERROR($P19*'Inputs Yr 2'!AD19,"")</f>
        <v/>
      </c>
      <c r="U19" s="194" t="str">
        <f>IFERROR(G19*'Inputs Yr 2'!$AE19*'Inputs Yr 2'!$P19*'Inputs Yr 2'!$Q19,"")</f>
        <v/>
      </c>
      <c r="V19" s="194" t="str">
        <f>IFERROR($G19*'Inputs Yr 2'!$AE19*'Inputs Yr 2'!$AG19*'Inputs Yr 2'!Q19*'Inputs Yr 2'!$S19,"")</f>
        <v/>
      </c>
      <c r="W19" s="194" t="str">
        <f>IFERROR($G19*'Inputs Yr 2'!$AE19*'Inputs Yr 2'!$AG19*'Inputs Yr 2'!P19*'Inputs Yr 2'!Q19*'Inputs Yr 2'!$S19,"")</f>
        <v/>
      </c>
      <c r="X19" s="194" t="str">
        <f>IFERROR($G19*'Inputs Yr 2'!$AE19*'Inputs Yr 2'!$AF19*'Inputs Yr 2'!Q19*'Inputs Yr 2'!$T19,"")</f>
        <v/>
      </c>
      <c r="Y19" s="194" t="str">
        <f>IFERROR($G19*'Inputs Yr 2'!$AE19*'Inputs Yr 2'!$AF19*'Inputs Yr 2'!P19*'Inputs Yr 2'!Q19*'Inputs Yr 2'!$T19,"")</f>
        <v/>
      </c>
      <c r="Z19" s="257">
        <f>IFERROR($G19*'Inputs Yr 2'!$Q19*'Inputs Yr 2'!$U19*(IF(IFERROR(SEARCH("NG", 'Inputs Yr 2'!$AJ19),0),'Inputs Yr 2'!$AK19,0)+IF(IFERROR(SEARCH("NG", 'Inputs Yr 2'!$AL19),0),'Inputs Yr 2'!$AM19,0)+IF(IFERROR(SEARCH("NG", 'Inputs Yr 2'!$AN19),0),'Inputs Yr 2'!$AO19,0)),0)</f>
        <v>0</v>
      </c>
      <c r="AA19" s="257">
        <f t="shared" si="26"/>
        <v>0</v>
      </c>
      <c r="AB19" s="257">
        <f>IFERROR(Z19*'Inputs Yr 2'!$P19,0)</f>
        <v>0</v>
      </c>
      <c r="AC19" s="257">
        <f t="shared" si="27"/>
        <v>0</v>
      </c>
      <c r="AD19" s="257">
        <f>IFERROR($G19*'Inputs Yr 2'!$Q19*'Inputs Yr 2'!$U19*(IF(IFERROR(SEARCH("Oil", 'Inputs Yr 2'!$AJ19), 0),'Inputs Yr 2'!$AK19,0)+IF(IFERROR(SEARCH("Oil", 'Inputs Yr 2'!$AL19), 0),'Inputs Yr 2'!$AM19,0)+IF(IFERROR(SEARCH("Oil", 'Inputs Yr 2'!$AN19), 0),'Inputs Yr 2'!$AO19,0)),0)</f>
        <v>0</v>
      </c>
      <c r="AE19" s="257">
        <f t="shared" si="28"/>
        <v>0</v>
      </c>
      <c r="AF19" s="257">
        <f>IFERROR(AD19*'Inputs Yr 2'!$P19,0)</f>
        <v>0</v>
      </c>
      <c r="AG19" s="257">
        <f t="shared" si="29"/>
        <v>0</v>
      </c>
      <c r="AH19" s="257">
        <f>IFERROR($G19*'Inputs Yr 2'!$Q19*'Inputs Yr 2'!$U19*(IF('Inputs Yr 2'!$AJ19=CD$4,'Inputs Yr 2'!$AK19,IF('Inputs Yr 2'!$AL19=CD$4,'Inputs Yr 2'!$AM19,IF('Inputs Yr 2'!$AN19=CD$4,'Inputs Yr 2'!$AO19,0)))),0)</f>
        <v>0</v>
      </c>
      <c r="AI19" s="257">
        <f t="shared" si="30"/>
        <v>0</v>
      </c>
      <c r="AJ19" s="257">
        <f>IFERROR(AH19*'Inputs Yr 2'!$P19,0)</f>
        <v>0</v>
      </c>
      <c r="AK19" s="257">
        <f t="shared" si="31"/>
        <v>0</v>
      </c>
      <c r="AL19" s="258">
        <f>IFERROR($G19*'Inputs Yr 2'!$P19*'Inputs Yr 2'!$Q19*'Inputs Yr 2'!AP19,0)</f>
        <v>0</v>
      </c>
      <c r="AM19" s="260">
        <f>IFERROR($G19*'Inputs Yr 2'!$P19*'Inputs Yr 2'!$Q19*'Inputs Yr 2'!AQ19,0)</f>
        <v>0</v>
      </c>
      <c r="AN19" s="258">
        <f>IFERROR($G19*'Inputs Yr 2'!$P19*'Inputs Yr 2'!$Q19*'Inputs Yr 2'!AR19,0)</f>
        <v>0</v>
      </c>
      <c r="AO19" s="257">
        <f t="shared" si="32"/>
        <v>0</v>
      </c>
      <c r="AP19" s="195" t="str">
        <f>IFERROR($CQ19*(INDEX(avoidedcosttbl2,$H19,AP$2)+(($H19-ROUNDDOWN($H19,0))*(INDEX(avoidedcosttbl2,ROUNDUP($H19,0),AP$2)-(INDEX(avoidedcosttbl2,ROUNDDOWN($H19,0),AP$2)))))*$O19*1000*'Inputs Yr 2'!AA19,"")</f>
        <v/>
      </c>
      <c r="AQ19" s="195" t="str">
        <f>IFERROR($CR19*(INDEX(avoidedcosttbl2,$H19,AQ$2)+(($H19-ROUNDDOWN($H19,0))*(INDEX(avoidedcosttbl2,ROUNDUP($H19,0),AQ$2)-(INDEX(avoidedcosttbl2,ROUNDDOWN($H19,0),AQ$2)))))*$O19*1000*'Inputs Yr 2'!AB19,"")</f>
        <v/>
      </c>
      <c r="AR19" s="195" t="str">
        <f>IFERROR($CS19*(INDEX(avoidedcosttbl2,$H19,AR$2)+(($H19-ROUNDDOWN($H19,0))*(INDEX(avoidedcosttbl2,ROUNDUP($H19,0),AR$2)-(INDEX(avoidedcosttbl2,ROUNDDOWN($H19,0),AR$2)))))*$O19*1000*'Inputs Yr 2'!AC19,"")</f>
        <v/>
      </c>
      <c r="AS19" s="195" t="str">
        <f>IFERROR($CT19*(INDEX(avoidedcosttbl2,$H19,AS$2)+(($H19-ROUNDDOWN($H19,0))*(INDEX(avoidedcosttbl2,ROUNDUP($H19,0),AS$2)-(INDEX(avoidedcosttbl2,ROUNDDOWN($H19,0),AS$2)))))*$O19*1000*'Inputs Yr 2'!AD19,"")</f>
        <v/>
      </c>
      <c r="AT19" s="196">
        <f t="shared" si="33"/>
        <v>0</v>
      </c>
      <c r="AU19" s="197" t="str">
        <f>IFERROR($CQ19*((INDEX(avoidedcosttbl2,$H19,AU$2))+(($H19-ROUNDDOWN($H19,0))*((INDEX(avoidedcosttbl2,ROUNDUP($H19,0),AU$2))-(INDEX(avoidedcosttbl2,ROUNDDOWN($H19,0),AU$2)))))*$O19*1000*'Inputs Yr 2'!AA19,"")</f>
        <v/>
      </c>
      <c r="AV19" s="197" t="str">
        <f>IFERROR($CR19*((INDEX(avoidedcosttbl2,$H19,AV$2))+(($H19-ROUNDDOWN($H19,0))*((INDEX(avoidedcosttbl2,ROUNDUP($H19,0),AV$2))-(INDEX(avoidedcosttbl2,ROUNDDOWN($H19,0),AV$2)))))*$O19*1000*'Inputs Yr 2'!AB19,"")</f>
        <v/>
      </c>
      <c r="AW19" s="197" t="str">
        <f>IFERROR($CS19*((INDEX(avoidedcosttbl2,$H19,AW$2))+(($H19-ROUNDDOWN($H19,0))*((INDEX(avoidedcosttbl2,ROUNDUP($H19,0),AW$2))-(INDEX(avoidedcosttbl2,ROUNDDOWN($H19,0),AW$2)))))*$O19*1000*'Inputs Yr 2'!AC19,"")</f>
        <v/>
      </c>
      <c r="AX19" s="197" t="str">
        <f>IFERROR($CT19*((INDEX(avoidedcosttbl2,$H19,AX$2))+(($H19-ROUNDDOWN($H19,0))*((INDEX(avoidedcosttbl2,ROUNDUP($H19,0),AX$2))-(INDEX(avoidedcosttbl2,ROUNDDOWN($H19,0),AX$2)))))*$O19*1000*'Inputs Yr 2'!AD19,"")</f>
        <v/>
      </c>
      <c r="AY19" s="197" t="str">
        <f>IFERROR(((INDEX(avoidedcosttbl2,$H19,AY$2))+(($H19-ROUNDDOWN($H19,0))*((INDEX(avoidedcosttbl2,ROUNDUP($H19,0),AY$2))-(INDEX(avoidedcosttbl2,ROUNDDOWN($H19,0),AY$2)))))*$O19*1000*('Inputs Yr 2'!AC19+'Inputs Yr 2'!AD19),"")</f>
        <v/>
      </c>
      <c r="AZ19" s="197" t="str">
        <f>IFERROR(((INDEX(avoidedcosttbl2,$H19,AZ$2))+(($H19-ROUNDDOWN($H19,0))*((INDEX(avoidedcosttbl2,ROUNDUP($H19,0),AZ$2))-(INDEX(avoidedcosttbl2,ROUNDDOWN($H19,0),AZ$2)))))*$O19*1000*('Inputs Yr 2'!AA19+'Inputs Yr 2'!AB19),"")</f>
        <v/>
      </c>
      <c r="BA19" s="198">
        <f t="shared" si="34"/>
        <v>0</v>
      </c>
      <c r="BB19" s="198">
        <f t="shared" si="35"/>
        <v>0</v>
      </c>
      <c r="BC19" s="195" t="str">
        <f t="shared" si="10"/>
        <v/>
      </c>
      <c r="BD19" s="195" t="str">
        <f t="shared" si="11"/>
        <v/>
      </c>
      <c r="BE19" s="195" t="str">
        <f t="shared" si="12"/>
        <v/>
      </c>
      <c r="BF19" s="195" t="str">
        <f t="shared" si="13"/>
        <v/>
      </c>
      <c r="BG19" s="195" t="str">
        <f t="shared" si="14"/>
        <v/>
      </c>
      <c r="BH19" s="196">
        <f t="shared" si="36"/>
        <v>0</v>
      </c>
      <c r="BI19" s="196">
        <f t="shared" si="37"/>
        <v>0</v>
      </c>
      <c r="BJ19" s="195" t="str">
        <f>IFERROR($G19*(IF('Inputs Yr 2'!$AJ19=BJ$4,'Inputs Yr 2'!$AK19,IF('Inputs Yr 2'!$AL19=BJ$4,'Inputs Yr 2'!$AM19,IF('Inputs Yr 2'!$AN19=BJ$4,'Inputs Yr 2'!$AO19,0))))*(INDEX(avoidedcosttbl2,$H19,BJ$2)+(($H19-ROUNDDOWN($H19,0))*(INDEX(avoidedcosttbl2,ROUNDUP($H19,0),BJ$2)-(INDEX(avoidedcosttbl2,ROUNDDOWN($H19,0),BJ$2)))))*'Inputs Yr 2'!P19*'Inputs Yr 2'!Q19*'Inputs Yr 2'!U19,"")</f>
        <v/>
      </c>
      <c r="BK19" s="195" t="str">
        <f>IFERROR($G19*(IF('Inputs Yr 2'!$AJ19=BK$4,'Inputs Yr 2'!$AK19,IF('Inputs Yr 2'!$AL19=BK$4,'Inputs Yr 2'!$AM19,IF('Inputs Yr 2'!$AN19=BK$4,'Inputs Yr 2'!$AO19,0))))*(INDEX(avoidedcosttbl2,$H19,BK$2)+(($H19-ROUNDDOWN($H19,0))*(INDEX(avoidedcosttbl2,ROUNDUP($H19,0),BK$2)-(INDEX(avoidedcosttbl2,ROUNDDOWN($H19,0),BK$2)))))*'Inputs Yr 2'!P19*'Inputs Yr 2'!Q19*'Inputs Yr 2'!U19,"")</f>
        <v/>
      </c>
      <c r="BL19" s="195" t="str">
        <f>IFERROR($G19*(IF('Inputs Yr 2'!$AJ19=BL$4,'Inputs Yr 2'!$AK19,IF('Inputs Yr 2'!$AL19=BL$4,'Inputs Yr 2'!$AM19,IF('Inputs Yr 2'!$AN19=BL$4,'Inputs Yr 2'!$AO19,0))))*(INDEX(avoidedcosttbl2,$H19,BL$2)+(($H19-ROUNDDOWN($H19,0))*(INDEX(avoidedcosttbl2,ROUNDUP($H19,0),BL$2)-(INDEX(avoidedcosttbl2,ROUNDDOWN($H19,0),BL$2)))))*'Inputs Yr 2'!P19*'Inputs Yr 2'!Q19*'Inputs Yr 2'!U19,"")</f>
        <v/>
      </c>
      <c r="BM19" s="195" t="str">
        <f>IFERROR($G19*(IF('Inputs Yr 2'!$AJ19=BM$4,'Inputs Yr 2'!$AK19,IF('Inputs Yr 2'!$AL19=BM$4,'Inputs Yr 2'!$AM19,IF('Inputs Yr 2'!$AN19=BM$4,'Inputs Yr 2'!$AO19,0))))*(INDEX(avoidedcosttbl2,$H19,BM$2)+(($H19-ROUNDDOWN($H19,0))*(INDEX(avoidedcosttbl2,ROUNDUP($H19,0),BM$2)-(INDEX(avoidedcosttbl2,ROUNDDOWN($H19,0),BM$2)))))*'Inputs Yr 2'!P19*'Inputs Yr 2'!Q19*'Inputs Yr 2'!U19,"")</f>
        <v/>
      </c>
      <c r="BN19" s="195" t="str">
        <f>IFERROR($G19*(IF('Inputs Yr 2'!$AJ19=BN$4,'Inputs Yr 2'!$AK19,IF('Inputs Yr 2'!$AL19=BN$4,'Inputs Yr 2'!$AM19,IF('Inputs Yr 2'!$AN19=BN$4,'Inputs Yr 2'!$AO19,0))))*(INDEX(avoidedcosttbl2,$H19,BN$2)+(($H19-ROUNDDOWN($H19,0))*(INDEX(avoidedcosttbl2,ROUNDUP($H19,0),BN$2)-(INDEX(avoidedcosttbl2,ROUNDDOWN($H19,0),BN$2)))))*'Inputs Yr 2'!P19*'Inputs Yr 2'!Q19*'Inputs Yr 2'!U19,"")</f>
        <v/>
      </c>
      <c r="BO19" s="195" t="str">
        <f>IFERROR($G19*(IF('Inputs Yr 2'!$AJ19=BO$4,'Inputs Yr 2'!$AK19,IF('Inputs Yr 2'!$AL19=BO$4,'Inputs Yr 2'!$AM19,IF('Inputs Yr 2'!$AN19=BO$4,'Inputs Yr 2'!$AO19,0))))*(INDEX(avoidedcosttbl2,$H19,BO$2)+(($H19-ROUNDDOWN($H19,0))*(INDEX(avoidedcosttbl2,ROUNDUP($H19,0),BO$2)-(INDEX(avoidedcosttbl2,ROUNDDOWN($H19,0),BO$2)))))*'Inputs Yr 2'!P19*'Inputs Yr 2'!Q19*'Inputs Yr 2'!U19,"")</f>
        <v/>
      </c>
      <c r="BP19" s="195" t="str">
        <f>IFERROR($G19*(IF('Inputs Yr 2'!$AJ19=BP$4,'Inputs Yr 2'!$AK19,IF('Inputs Yr 2'!$AL19=BP$4,'Inputs Yr 2'!$AM19,IF('Inputs Yr 2'!$AN19=BP$4,'Inputs Yr 2'!$AO19,0))))*(INDEX(avoidedcosttbl2,$H19,BP$2)+(($H19-ROUNDDOWN($H19,0))*(INDEX(avoidedcosttbl2,ROUNDUP($H19,0),BP$2)-(INDEX(avoidedcosttbl2,ROUNDDOWN($H19,0),BP$2)))))*'Inputs Yr 2'!P19*'Inputs Yr 2'!Q19*'Inputs Yr 2'!U19,"")</f>
        <v/>
      </c>
      <c r="BQ19" s="230">
        <f t="shared" si="38"/>
        <v>0</v>
      </c>
      <c r="BR19" s="197" t="str">
        <f t="shared" si="17"/>
        <v/>
      </c>
      <c r="BS19" s="197" t="str">
        <f>IFERROR(($G19*IF('Inputs Yr 2'!$AJ19=BM$4,'Inputs Yr 2'!$AK19,IF('Inputs Yr 2'!$AL19=BM$4,'Inputs Yr 2'!$AM19,IF('Inputs Yr 2'!$AN19=BM$4,'Inputs Yr 2'!$AO19,0))))*(INDEX(avoidedcosttbl2,$H19,BS$2)+(($H19-ROUNDDOWN($H19,0))*(INDEX(avoidedcosttbl2,ROUNDUP($H19,0),BS$2)-(INDEX(avoidedcosttbl2,ROUNDDOWN($H19,0),BS$2)))))*'Inputs Yr 2'!P19*'Inputs Yr 2'!Q19*'Inputs Yr 2'!U19,"")</f>
        <v/>
      </c>
      <c r="BT19" s="197" t="str">
        <f>IFERROR(($G19*IF('Inputs Yr 2'!$AJ19=BK$4,'Inputs Yr 2'!$AK19,IF('Inputs Yr 2'!$AL19=BK$4,'Inputs Yr 2'!$AM19,IF('Inputs Yr 2'!$AN19=BK$4,'Inputs Yr 2'!$AO19,0))))*(INDEX(avoidedcosttbl2,$H19,BT$2)+(($H19-ROUNDDOWN($H19,0))*(INDEX(avoidedcosttbl2,ROUNDUP($H19,0),BT$2)-(INDEX(avoidedcosttbl2,ROUNDDOWN($H19,0),BT$2)))))*'Inputs Yr 2'!P19*'Inputs Yr 2'!Q19*'Inputs Yr 2'!U19,"")</f>
        <v/>
      </c>
      <c r="BU19" s="197" t="str">
        <f>IFERROR(($G19*IF('Inputs Yr 2'!$AJ19=BL$4,'Inputs Yr 2'!$AK19,IF('Inputs Yr 2'!$AL19=BL$4,'Inputs Yr 2'!$AM19,IF('Inputs Yr 2'!$AN19=BL$4,'Inputs Yr 2'!$AO19,0))))*(INDEX(avoidedcosttbl2,$H19,BU$2)+(($H19-ROUNDDOWN($H19,0))*(INDEX(avoidedcosttbl2,ROUNDUP($H19,0),BU$2)-(INDEX(avoidedcosttbl2,ROUNDDOWN($H19,0),BU$2)))))*'Inputs Yr 2'!P19*'Inputs Yr 2'!Q19*'Inputs Yr 2'!U19,"")</f>
        <v/>
      </c>
      <c r="BV19" s="775" t="str">
        <f>IFERROR(($G19*IF('Inputs Yr 2'!$AJ19=BJ$4,'Inputs Yr 2'!$AK19,IF('Inputs Yr 2'!$AL19=BJ$4,'Inputs Yr 2'!$AM19,IF('Inputs Yr 2'!$AN19=BJ$4,'Inputs Yr 2'!$AO19,0))))*(INDEX(avoidedcosttbl2,$H19,BV$2)+(($H19-ROUNDDOWN($H19,0))*(INDEX(avoidedcosttbl2,ROUNDUP($H19,0),BV$2)-(INDEX(avoidedcosttbl2,ROUNDDOWN($H19,0),BV$2)))))*'Inputs Yr 2'!P19*'Inputs Yr 2'!Q19*'Inputs Yr 2'!U19,"")</f>
        <v/>
      </c>
      <c r="BW19" s="197" t="str">
        <f>IFERROR(($G19*IF('Inputs Yr 2'!$AJ19=BN$4,'Inputs Yr 2'!$AK19,IF('Inputs Yr 2'!$AL19=BN$4,'Inputs Yr 2'!$AM19,IF('Inputs Yr 2'!$AN19=BN$4,'Inputs Yr 2'!$AO19,0))))*(INDEX(avoidedcosttbl2,$H19,BW$2)+(($H19-ROUNDDOWN($H19,0))*(INDEX(avoidedcosttbl2,ROUNDUP($H19,0),BW$2)-(INDEX(avoidedcosttbl2,ROUNDDOWN($H19,0),BW$2)))))*'Inputs Yr 2'!P19*'Inputs Yr 2'!Q19*'Inputs Yr 2'!U19,"")</f>
        <v/>
      </c>
      <c r="BX19" s="197" t="str">
        <f>IFERROR(($G19*IF('Inputs Yr 2'!$AJ19=BO$4,'Inputs Yr 2'!$AK19,IF('Inputs Yr 2'!$AL19=BO$4,'Inputs Yr 2'!$AM19,IF('Inputs Yr 2'!$AN19=BO$4,'Inputs Yr 2'!$AO19,0))))*(INDEX(avoidedcosttbl2,$H19,BX$2)+(($H19-ROUNDDOWN($H19,0))*(INDEX(avoidedcosttbl2,ROUNDUP($H19,0),BX$2)-(INDEX(avoidedcosttbl2,ROUNDDOWN($H19,0),BX$2)))))*'Inputs Yr 2'!P19*'Inputs Yr 2'!Q19*'Inputs Yr 2'!U19,"")</f>
        <v/>
      </c>
      <c r="BY19" s="197" t="str">
        <f>IFERROR(($G19*IF('Inputs Yr 2'!$AJ19=BP$4,'Inputs Yr 2'!$AK19,IF('Inputs Yr 2'!$AL19=BP$4,'Inputs Yr 2'!$AM19,IF('Inputs Yr 2'!$AN19=BP$4,'Inputs Yr 2'!$AO19,0))))*(INDEX(avoidedcosttbl2,$H19,BY$2)+(($H19-ROUNDDOWN($H19,0))*(INDEX(avoidedcosttbl2,ROUNDUP($H19,0),BY$2)-(INDEX(avoidedcosttbl2,ROUNDDOWN($H19,0),BY$2)))))*'Inputs Yr 2'!P19*'Inputs Yr 2'!Q19*'Inputs Yr 2'!U19,"")</f>
        <v/>
      </c>
      <c r="BZ19" s="193">
        <f t="shared" si="39"/>
        <v>0</v>
      </c>
      <c r="CA19" s="193">
        <f t="shared" si="40"/>
        <v>0</v>
      </c>
      <c r="CB19" s="195" t="str">
        <f>IFERROR(G19*(IF('Inputs Yr 2'!$AJ19=CB$4,'Inputs Yr 2'!$AK19,IF('Inputs Yr 2'!$AL19=CB$4,'Inputs Yr 2'!$AM19,IF('Inputs Yr 2'!$AN19=CB$4,'Inputs Yr 2'!$AO19,0))))*(INDEX(avoidedcosttbl2,$H19,CB$2)+(($H19-ROUNDDOWN($H19,0))*(INDEX(avoidedcosttbl2,ROUNDUP($H19,0),CB$2)-(INDEX(avoidedcosttbl2,ROUNDDOWN($H19,0),CB$2)))))*'Inputs Yr 2'!P19*'Inputs Yr 2'!Q19*'Inputs Yr 2'!U19,"")</f>
        <v/>
      </c>
      <c r="CC19" s="195" t="str">
        <f>IFERROR(H19*(IF('Inputs Yr 2'!$AJ19=CC$4,'Inputs Yr 2'!$AK19,IF('Inputs Yr 2'!$AL19=CC$4,'Inputs Yr 2'!$AM19,IF('Inputs Yr 2'!$AN19=CC$4,'Inputs Yr 2'!$AO19,0))))*(INDEX(avoidedcosttbl2,$H19,CC$2)+(($H19-ROUNDDOWN($H19,0))*(INDEX(avoidedcosttbl2,ROUNDUP($H19,0),CC$2)-(INDEX(avoidedcosttbl2,ROUNDDOWN($H19,0),CC$2)))))*'Inputs Yr 2'!Q19*'Inputs Yr 2'!R19*'Inputs Yr 2'!V19,"")</f>
        <v/>
      </c>
      <c r="CD19" s="195" t="str">
        <f>IFERROR(I19*(IF('Inputs Yr 2'!$AJ19=CD$4,'Inputs Yr 2'!$AK19,IF('Inputs Yr 2'!$AL19=CD$4,'Inputs Yr 2'!$AM19,IF('Inputs Yr 2'!$AN19=CD$4,'Inputs Yr 2'!$AO19,0))))*(INDEX(avoidedcosttbl2,$H19,CD$2)+(($H19-ROUNDDOWN($H19,0))*(INDEX(avoidedcosttbl2,ROUNDUP($H19,0),CD$2)-(INDEX(avoidedcosttbl2,ROUNDDOWN($H19,0),CD$2)))))*'Inputs Yr 2'!R19*'Inputs Yr 2'!S19*'Inputs Yr 2'!W19,"")</f>
        <v/>
      </c>
      <c r="CE19" s="213" t="str">
        <f t="shared" si="41"/>
        <v/>
      </c>
      <c r="CF19" s="213" t="str">
        <f t="shared" si="42"/>
        <v/>
      </c>
      <c r="CG19" s="213" t="str">
        <f t="shared" si="43"/>
        <v/>
      </c>
      <c r="CH19" s="698">
        <f t="shared" si="44"/>
        <v>0</v>
      </c>
      <c r="CI19" s="79" t="str">
        <f>IFERROR(($G19*'Inputs Yr 2'!$P19*'Inputs Yr 2'!$Q19*(((INDEX(avoidedcosttbl2,$H19,CI$2)+(($H19-ROUNDDOWN($H19,0))*(INDEX(avoidedcosttbl2,ROUNDUP($H19,0),CI$2)-INDEX(avoidedcosttbl2,ROUNDDOWN($H19,0),CI$2))))*'Inputs Yr 2'!AS19))),"")</f>
        <v/>
      </c>
      <c r="CJ19" s="504" t="str">
        <f>IFERROR($G19*'Inputs Yr 2'!AT19*'Inputs Yr 2'!$P19*'Inputs Yr 2'!$Q19/((1+realdiscrt1)^-0.5),"")</f>
        <v/>
      </c>
      <c r="CK19" s="79" t="str">
        <f>IFERROR((O19*1000*(((INDEX(avoidedcosttbl2,$H19,CK$2)+(($H19-ROUNDDOWN($H19,0))*(INDEX(avoidedcosttbl2,ROUNDUP($H19,0),CK$2)-INDEX(avoidedcosttbl2,ROUNDDOWN($H19,0),CK$2))))*'Inputs Yr 2'!AU19))),"")</f>
        <v/>
      </c>
      <c r="CL19" s="504" t="str">
        <f>IFERROR(O19*1000*'Inputs Yr 2'!AV19/((1+realdiscrt1)^-0.5),"")</f>
        <v/>
      </c>
      <c r="CM19" s="79" t="str">
        <f>IFERROR((AB19*'Inputs Yr 2'!AW19*(((INDEX(avoidedcosttbl2,$H19,CM$2)+(($H19-ROUNDDOWN($H19,0))*(INDEX(avoidedcosttbl2,ROUNDUP($H19,0),CM$2)-INDEX(avoidedcosttbl2,ROUNDDOWN($H19,0),CM$2)))))))*10,"")</f>
        <v/>
      </c>
      <c r="CN19" s="504">
        <f>IFERROR(10*AB19*'Inputs Yr 2'!AX19/((1+realdiscrt1)^-0.5),"")</f>
        <v>0</v>
      </c>
      <c r="CO19" s="505">
        <f t="shared" si="45"/>
        <v>0</v>
      </c>
      <c r="CP19" s="230">
        <f t="shared" si="46"/>
        <v>0</v>
      </c>
      <c r="CQ19" s="199">
        <f>ROUND(IFERROR(IF(LEFT($A19,1)="C",'Avoided Costs'!$K$13,'Avoided Costs'!$K$12)+1,""),4)</f>
        <v>1.0720000000000001</v>
      </c>
      <c r="CR19" s="199">
        <f>ROUND(IFERROR(IF(LEFT($A19,1)="C",'Avoided Costs'!$L$13,'Avoided Costs'!$L$12)+1,""),4)</f>
        <v>1.04</v>
      </c>
      <c r="CS19" s="199">
        <f>ROUND(IFERROR(IF(LEFT($A19,1)="C",'Avoided Costs'!$M$13,'Avoided Costs'!$M$12)+1,""),4)</f>
        <v>1.0720000000000001</v>
      </c>
      <c r="CT19" s="199">
        <f>ROUND(IFERROR(IF(LEFT($A19,1)="C",'Avoided Costs'!$N$13,'Avoided Costs'!$N$12)+1,""),4)</f>
        <v>1.04</v>
      </c>
      <c r="CU19" s="199">
        <f>ROUND(IFERROR(IF(LEFT($A19,1)="C",'Avoided Costs'!$O$13,'Avoided Costs'!$O$12)+1,""),4)</f>
        <v>1.1120000000000001</v>
      </c>
      <c r="CV19" s="199">
        <f>ROUND(IFERROR(IF(LEFT($A19,1)="C",'Avoided Costs'!$P$13,'Avoided Costs'!$P$12)+1,""),4)</f>
        <v>1.095</v>
      </c>
      <c r="CW19" s="199">
        <f>ROUND(IFERROR(IF(LEFT($A19,1)="C",'Avoided Costs'!$Q$13,'Avoided Costs'!$Q$12)+1,""),4)</f>
        <v>1.1120000000000001</v>
      </c>
      <c r="CX19" s="200">
        <f>ROUND(IFERROR(IF(LEFT($A19,1)="C",'Avoided Costs'!$R$13,'Avoided Costs'!$R$12)+1,""),4)</f>
        <v>1.1120000000000001</v>
      </c>
    </row>
    <row r="20" spans="1:102" ht="12.75" customHeight="1">
      <c r="A20" s="91" t="str">
        <f>IF('Inputs Yr 2'!$B20=0,"",'Inputs Yr 2'!A20)</f>
        <v>A - Residential</v>
      </c>
      <c r="B20" s="91" t="str">
        <f>IF('Inputs Yr 2'!$B20=0,"",'Inputs Yr 2'!B20)</f>
        <v>A1 - Residential Whole House</v>
      </c>
      <c r="C20" s="91" t="str">
        <f>IF('Inputs Yr 2'!$B20=0,"",'Inputs Yr 2'!C20)</f>
        <v>A1b - Residential Multi-Family Retrofit</v>
      </c>
      <c r="D20" s="91" t="str">
        <f>IF('Inputs Yr 2'!$B20=0,"",'Inputs Yr 2'!E20)</f>
        <v>Boiler Reset Control, Gas</v>
      </c>
      <c r="E20" s="93" t="str">
        <f>IF('Inputs Yr 2'!$B20=0,"",'Inputs Yr 2'!F20)</f>
        <v>G16A1b23</v>
      </c>
      <c r="F20" s="93" t="str">
        <f>IF('Inputs Yr 2'!$B20=0,"",'Inputs Yr 2'!G20)</f>
        <v>HVAC</v>
      </c>
      <c r="G20" s="95" t="str">
        <f>IF('Inputs Yr 2'!$H20&lt;&gt;0,('Inputs Yr 2'!H20),"")</f>
        <v/>
      </c>
      <c r="H20" s="94">
        <f>IFERROR('Inputs Yr 2'!I20,"")</f>
        <v>0</v>
      </c>
      <c r="I20" s="298" t="str">
        <f>IFERROR('Inputs Yr 2'!J20*'Inputs Yr 2'!P20*G20,"")</f>
        <v/>
      </c>
      <c r="J20" s="298" t="str">
        <f>IFERROR('Inputs Yr 2'!K20*G20,"")</f>
        <v/>
      </c>
      <c r="K20" s="298" t="str">
        <f t="shared" si="23"/>
        <v/>
      </c>
      <c r="L20" s="194" t="str">
        <f>IFERROR(('Inputs Yr 2'!W20*G20)/1000,"")</f>
        <v/>
      </c>
      <c r="M20" s="194" t="str">
        <f>IFERROR(L20*('Inputs Yr 2'!$Q20*'Inputs Yr 2'!$V20*'Inputs Yr 2'!$R20),"")</f>
        <v/>
      </c>
      <c r="N20" s="194" t="str">
        <f t="shared" si="24"/>
        <v/>
      </c>
      <c r="O20" s="194" t="str">
        <f>IFERROR(M20*'Inputs Yr 2'!P20,"")</f>
        <v/>
      </c>
      <c r="P20" s="194" t="str">
        <f t="shared" si="25"/>
        <v/>
      </c>
      <c r="Q20" s="194" t="str">
        <f>IFERROR($P20*'Inputs Yr 2'!AA20,"")</f>
        <v/>
      </c>
      <c r="R20" s="194" t="str">
        <f>IFERROR($P20*'Inputs Yr 2'!AB20,"")</f>
        <v/>
      </c>
      <c r="S20" s="194" t="str">
        <f>IFERROR($P20*'Inputs Yr 2'!AC20,"")</f>
        <v/>
      </c>
      <c r="T20" s="194" t="str">
        <f>IFERROR($P20*'Inputs Yr 2'!AD20,"")</f>
        <v/>
      </c>
      <c r="U20" s="194" t="str">
        <f>IFERROR(G20*'Inputs Yr 2'!$AE20*'Inputs Yr 2'!$P20*'Inputs Yr 2'!$Q20,"")</f>
        <v/>
      </c>
      <c r="V20" s="194" t="str">
        <f>IFERROR($G20*'Inputs Yr 2'!$AE20*'Inputs Yr 2'!$AG20*'Inputs Yr 2'!Q20*'Inputs Yr 2'!$S20,"")</f>
        <v/>
      </c>
      <c r="W20" s="194" t="str">
        <f>IFERROR($G20*'Inputs Yr 2'!$AE20*'Inputs Yr 2'!$AG20*'Inputs Yr 2'!P20*'Inputs Yr 2'!Q20*'Inputs Yr 2'!$S20,"")</f>
        <v/>
      </c>
      <c r="X20" s="194" t="str">
        <f>IFERROR($G20*'Inputs Yr 2'!$AE20*'Inputs Yr 2'!$AF20*'Inputs Yr 2'!Q20*'Inputs Yr 2'!$T20,"")</f>
        <v/>
      </c>
      <c r="Y20" s="194" t="str">
        <f>IFERROR($G20*'Inputs Yr 2'!$AE20*'Inputs Yr 2'!$AF20*'Inputs Yr 2'!P20*'Inputs Yr 2'!Q20*'Inputs Yr 2'!$T20,"")</f>
        <v/>
      </c>
      <c r="Z20" s="257">
        <f>IFERROR($G20*'Inputs Yr 2'!$Q20*'Inputs Yr 2'!$U20*(IF(IFERROR(SEARCH("NG", 'Inputs Yr 2'!$AJ20),0),'Inputs Yr 2'!$AK20,0)+IF(IFERROR(SEARCH("NG", 'Inputs Yr 2'!$AL20),0),'Inputs Yr 2'!$AM20,0)+IF(IFERROR(SEARCH("NG", 'Inputs Yr 2'!$AN20),0),'Inputs Yr 2'!$AO20,0)),0)</f>
        <v>0</v>
      </c>
      <c r="AA20" s="257">
        <f t="shared" si="26"/>
        <v>0</v>
      </c>
      <c r="AB20" s="257">
        <f>IFERROR(Z20*'Inputs Yr 2'!$P20,0)</f>
        <v>0</v>
      </c>
      <c r="AC20" s="257">
        <f t="shared" si="27"/>
        <v>0</v>
      </c>
      <c r="AD20" s="257">
        <f>IFERROR($G20*'Inputs Yr 2'!$Q20*'Inputs Yr 2'!$U20*(IF(IFERROR(SEARCH("Oil", 'Inputs Yr 2'!$AJ20), 0),'Inputs Yr 2'!$AK20,0)+IF(IFERROR(SEARCH("Oil", 'Inputs Yr 2'!$AL20), 0),'Inputs Yr 2'!$AM20,0)+IF(IFERROR(SEARCH("Oil", 'Inputs Yr 2'!$AN20), 0),'Inputs Yr 2'!$AO20,0)),0)</f>
        <v>0</v>
      </c>
      <c r="AE20" s="257">
        <f t="shared" si="28"/>
        <v>0</v>
      </c>
      <c r="AF20" s="257">
        <f>IFERROR(AD20*'Inputs Yr 2'!$P20,0)</f>
        <v>0</v>
      </c>
      <c r="AG20" s="257">
        <f t="shared" si="29"/>
        <v>0</v>
      </c>
      <c r="AH20" s="257">
        <f>IFERROR($G20*'Inputs Yr 2'!$Q20*'Inputs Yr 2'!$U20*(IF('Inputs Yr 2'!$AJ20=CD$4,'Inputs Yr 2'!$AK20,IF('Inputs Yr 2'!$AL20=CD$4,'Inputs Yr 2'!$AM20,IF('Inputs Yr 2'!$AN20=CD$4,'Inputs Yr 2'!$AO20,0)))),0)</f>
        <v>0</v>
      </c>
      <c r="AI20" s="257">
        <f t="shared" si="30"/>
        <v>0</v>
      </c>
      <c r="AJ20" s="257">
        <f>IFERROR(AH20*'Inputs Yr 2'!$P20,0)</f>
        <v>0</v>
      </c>
      <c r="AK20" s="257">
        <f t="shared" si="31"/>
        <v>0</v>
      </c>
      <c r="AL20" s="258">
        <f>IFERROR($G20*'Inputs Yr 2'!$P20*'Inputs Yr 2'!$Q20*'Inputs Yr 2'!AP20,0)</f>
        <v>0</v>
      </c>
      <c r="AM20" s="260">
        <f>IFERROR($G20*'Inputs Yr 2'!$P20*'Inputs Yr 2'!$Q20*'Inputs Yr 2'!AQ20,0)</f>
        <v>0</v>
      </c>
      <c r="AN20" s="258">
        <f>IFERROR($G20*'Inputs Yr 2'!$P20*'Inputs Yr 2'!$Q20*'Inputs Yr 2'!AR20,0)</f>
        <v>0</v>
      </c>
      <c r="AO20" s="257">
        <f t="shared" si="32"/>
        <v>0</v>
      </c>
      <c r="AP20" s="195" t="str">
        <f>IFERROR($CQ20*(INDEX(avoidedcosttbl2,$H20,AP$2)+(($H20-ROUNDDOWN($H20,0))*(INDEX(avoidedcosttbl2,ROUNDUP($H20,0),AP$2)-(INDEX(avoidedcosttbl2,ROUNDDOWN($H20,0),AP$2)))))*$O20*1000*'Inputs Yr 2'!AA20,"")</f>
        <v/>
      </c>
      <c r="AQ20" s="195" t="str">
        <f>IFERROR($CR20*(INDEX(avoidedcosttbl2,$H20,AQ$2)+(($H20-ROUNDDOWN($H20,0))*(INDEX(avoidedcosttbl2,ROUNDUP($H20,0),AQ$2)-(INDEX(avoidedcosttbl2,ROUNDDOWN($H20,0),AQ$2)))))*$O20*1000*'Inputs Yr 2'!AB20,"")</f>
        <v/>
      </c>
      <c r="AR20" s="195" t="str">
        <f>IFERROR($CS20*(INDEX(avoidedcosttbl2,$H20,AR$2)+(($H20-ROUNDDOWN($H20,0))*(INDEX(avoidedcosttbl2,ROUNDUP($H20,0),AR$2)-(INDEX(avoidedcosttbl2,ROUNDDOWN($H20,0),AR$2)))))*$O20*1000*'Inputs Yr 2'!AC20,"")</f>
        <v/>
      </c>
      <c r="AS20" s="195" t="str">
        <f>IFERROR($CT20*(INDEX(avoidedcosttbl2,$H20,AS$2)+(($H20-ROUNDDOWN($H20,0))*(INDEX(avoidedcosttbl2,ROUNDUP($H20,0),AS$2)-(INDEX(avoidedcosttbl2,ROUNDDOWN($H20,0),AS$2)))))*$O20*1000*'Inputs Yr 2'!AD20,"")</f>
        <v/>
      </c>
      <c r="AT20" s="196">
        <f t="shared" si="33"/>
        <v>0</v>
      </c>
      <c r="AU20" s="197" t="str">
        <f>IFERROR($CQ20*((INDEX(avoidedcosttbl2,$H20,AU$2))+(($H20-ROUNDDOWN($H20,0))*((INDEX(avoidedcosttbl2,ROUNDUP($H20,0),AU$2))-(INDEX(avoidedcosttbl2,ROUNDDOWN($H20,0),AU$2)))))*$O20*1000*'Inputs Yr 2'!AA20,"")</f>
        <v/>
      </c>
      <c r="AV20" s="197" t="str">
        <f>IFERROR($CR20*((INDEX(avoidedcosttbl2,$H20,AV$2))+(($H20-ROUNDDOWN($H20,0))*((INDEX(avoidedcosttbl2,ROUNDUP($H20,0),AV$2))-(INDEX(avoidedcosttbl2,ROUNDDOWN($H20,0),AV$2)))))*$O20*1000*'Inputs Yr 2'!AB20,"")</f>
        <v/>
      </c>
      <c r="AW20" s="197" t="str">
        <f>IFERROR($CS20*((INDEX(avoidedcosttbl2,$H20,AW$2))+(($H20-ROUNDDOWN($H20,0))*((INDEX(avoidedcosttbl2,ROUNDUP($H20,0),AW$2))-(INDEX(avoidedcosttbl2,ROUNDDOWN($H20,0),AW$2)))))*$O20*1000*'Inputs Yr 2'!AC20,"")</f>
        <v/>
      </c>
      <c r="AX20" s="197" t="str">
        <f>IFERROR($CT20*((INDEX(avoidedcosttbl2,$H20,AX$2))+(($H20-ROUNDDOWN($H20,0))*((INDEX(avoidedcosttbl2,ROUNDUP($H20,0),AX$2))-(INDEX(avoidedcosttbl2,ROUNDDOWN($H20,0),AX$2)))))*$O20*1000*'Inputs Yr 2'!AD20,"")</f>
        <v/>
      </c>
      <c r="AY20" s="197" t="str">
        <f>IFERROR(((INDEX(avoidedcosttbl2,$H20,AY$2))+(($H20-ROUNDDOWN($H20,0))*((INDEX(avoidedcosttbl2,ROUNDUP($H20,0),AY$2))-(INDEX(avoidedcosttbl2,ROUNDDOWN($H20,0),AY$2)))))*$O20*1000*('Inputs Yr 2'!AC20+'Inputs Yr 2'!AD20),"")</f>
        <v/>
      </c>
      <c r="AZ20" s="197" t="str">
        <f>IFERROR(((INDEX(avoidedcosttbl2,$H20,AZ$2))+(($H20-ROUNDDOWN($H20,0))*((INDEX(avoidedcosttbl2,ROUNDUP($H20,0),AZ$2))-(INDEX(avoidedcosttbl2,ROUNDDOWN($H20,0),AZ$2)))))*$O20*1000*('Inputs Yr 2'!AA20+'Inputs Yr 2'!AB20),"")</f>
        <v/>
      </c>
      <c r="BA20" s="198">
        <f t="shared" si="34"/>
        <v>0</v>
      </c>
      <c r="BB20" s="198">
        <f t="shared" si="35"/>
        <v>0</v>
      </c>
      <c r="BC20" s="195" t="str">
        <f t="shared" si="10"/>
        <v/>
      </c>
      <c r="BD20" s="195" t="str">
        <f t="shared" si="11"/>
        <v/>
      </c>
      <c r="BE20" s="195" t="str">
        <f t="shared" si="12"/>
        <v/>
      </c>
      <c r="BF20" s="195" t="str">
        <f t="shared" si="13"/>
        <v/>
      </c>
      <c r="BG20" s="195" t="str">
        <f t="shared" si="14"/>
        <v/>
      </c>
      <c r="BH20" s="196">
        <f t="shared" si="36"/>
        <v>0</v>
      </c>
      <c r="BI20" s="196">
        <f t="shared" si="37"/>
        <v>0</v>
      </c>
      <c r="BJ20" s="195" t="str">
        <f>IFERROR($G20*(IF('Inputs Yr 2'!$AJ20=BJ$4,'Inputs Yr 2'!$AK20,IF('Inputs Yr 2'!$AL20=BJ$4,'Inputs Yr 2'!$AM20,IF('Inputs Yr 2'!$AN20=BJ$4,'Inputs Yr 2'!$AO20,0))))*(INDEX(avoidedcosttbl2,$H20,BJ$2)+(($H20-ROUNDDOWN($H20,0))*(INDEX(avoidedcosttbl2,ROUNDUP($H20,0),BJ$2)-(INDEX(avoidedcosttbl2,ROUNDDOWN($H20,0),BJ$2)))))*'Inputs Yr 2'!P20*'Inputs Yr 2'!Q20*'Inputs Yr 2'!U20,"")</f>
        <v/>
      </c>
      <c r="BK20" s="195" t="str">
        <f>IFERROR($G20*(IF('Inputs Yr 2'!$AJ20=BK$4,'Inputs Yr 2'!$AK20,IF('Inputs Yr 2'!$AL20=BK$4,'Inputs Yr 2'!$AM20,IF('Inputs Yr 2'!$AN20=BK$4,'Inputs Yr 2'!$AO20,0))))*(INDEX(avoidedcosttbl2,$H20,BK$2)+(($H20-ROUNDDOWN($H20,0))*(INDEX(avoidedcosttbl2,ROUNDUP($H20,0),BK$2)-(INDEX(avoidedcosttbl2,ROUNDDOWN($H20,0),BK$2)))))*'Inputs Yr 2'!P20*'Inputs Yr 2'!Q20*'Inputs Yr 2'!U20,"")</f>
        <v/>
      </c>
      <c r="BL20" s="195" t="str">
        <f>IFERROR($G20*(IF('Inputs Yr 2'!$AJ20=BL$4,'Inputs Yr 2'!$AK20,IF('Inputs Yr 2'!$AL20=BL$4,'Inputs Yr 2'!$AM20,IF('Inputs Yr 2'!$AN20=BL$4,'Inputs Yr 2'!$AO20,0))))*(INDEX(avoidedcosttbl2,$H20,BL$2)+(($H20-ROUNDDOWN($H20,0))*(INDEX(avoidedcosttbl2,ROUNDUP($H20,0),BL$2)-(INDEX(avoidedcosttbl2,ROUNDDOWN($H20,0),BL$2)))))*'Inputs Yr 2'!P20*'Inputs Yr 2'!Q20*'Inputs Yr 2'!U20,"")</f>
        <v/>
      </c>
      <c r="BM20" s="195" t="str">
        <f>IFERROR($G20*(IF('Inputs Yr 2'!$AJ20=BM$4,'Inputs Yr 2'!$AK20,IF('Inputs Yr 2'!$AL20=BM$4,'Inputs Yr 2'!$AM20,IF('Inputs Yr 2'!$AN20=BM$4,'Inputs Yr 2'!$AO20,0))))*(INDEX(avoidedcosttbl2,$H20,BM$2)+(($H20-ROUNDDOWN($H20,0))*(INDEX(avoidedcosttbl2,ROUNDUP($H20,0),BM$2)-(INDEX(avoidedcosttbl2,ROUNDDOWN($H20,0),BM$2)))))*'Inputs Yr 2'!P20*'Inputs Yr 2'!Q20*'Inputs Yr 2'!U20,"")</f>
        <v/>
      </c>
      <c r="BN20" s="195" t="str">
        <f>IFERROR($G20*(IF('Inputs Yr 2'!$AJ20=BN$4,'Inputs Yr 2'!$AK20,IF('Inputs Yr 2'!$AL20=BN$4,'Inputs Yr 2'!$AM20,IF('Inputs Yr 2'!$AN20=BN$4,'Inputs Yr 2'!$AO20,0))))*(INDEX(avoidedcosttbl2,$H20,BN$2)+(($H20-ROUNDDOWN($H20,0))*(INDEX(avoidedcosttbl2,ROUNDUP($H20,0),BN$2)-(INDEX(avoidedcosttbl2,ROUNDDOWN($H20,0),BN$2)))))*'Inputs Yr 2'!P20*'Inputs Yr 2'!Q20*'Inputs Yr 2'!U20,"")</f>
        <v/>
      </c>
      <c r="BO20" s="195" t="str">
        <f>IFERROR($G20*(IF('Inputs Yr 2'!$AJ20=BO$4,'Inputs Yr 2'!$AK20,IF('Inputs Yr 2'!$AL20=BO$4,'Inputs Yr 2'!$AM20,IF('Inputs Yr 2'!$AN20=BO$4,'Inputs Yr 2'!$AO20,0))))*(INDEX(avoidedcosttbl2,$H20,BO$2)+(($H20-ROUNDDOWN($H20,0))*(INDEX(avoidedcosttbl2,ROUNDUP($H20,0),BO$2)-(INDEX(avoidedcosttbl2,ROUNDDOWN($H20,0),BO$2)))))*'Inputs Yr 2'!P20*'Inputs Yr 2'!Q20*'Inputs Yr 2'!U20,"")</f>
        <v/>
      </c>
      <c r="BP20" s="195" t="str">
        <f>IFERROR($G20*(IF('Inputs Yr 2'!$AJ20=BP$4,'Inputs Yr 2'!$AK20,IF('Inputs Yr 2'!$AL20=BP$4,'Inputs Yr 2'!$AM20,IF('Inputs Yr 2'!$AN20=BP$4,'Inputs Yr 2'!$AO20,0))))*(INDEX(avoidedcosttbl2,$H20,BP$2)+(($H20-ROUNDDOWN($H20,0))*(INDEX(avoidedcosttbl2,ROUNDUP($H20,0),BP$2)-(INDEX(avoidedcosttbl2,ROUNDDOWN($H20,0),BP$2)))))*'Inputs Yr 2'!P20*'Inputs Yr 2'!Q20*'Inputs Yr 2'!U20,"")</f>
        <v/>
      </c>
      <c r="BQ20" s="230">
        <f t="shared" si="38"/>
        <v>0</v>
      </c>
      <c r="BR20" s="197" t="str">
        <f t="shared" si="17"/>
        <v/>
      </c>
      <c r="BS20" s="197" t="str">
        <f>IFERROR(($G20*IF('Inputs Yr 2'!$AJ20=BM$4,'Inputs Yr 2'!$AK20,IF('Inputs Yr 2'!$AL20=BM$4,'Inputs Yr 2'!$AM20,IF('Inputs Yr 2'!$AN20=BM$4,'Inputs Yr 2'!$AO20,0))))*(INDEX(avoidedcosttbl2,$H20,BS$2)+(($H20-ROUNDDOWN($H20,0))*(INDEX(avoidedcosttbl2,ROUNDUP($H20,0),BS$2)-(INDEX(avoidedcosttbl2,ROUNDDOWN($H20,0),BS$2)))))*'Inputs Yr 2'!P20*'Inputs Yr 2'!Q20*'Inputs Yr 2'!U20,"")</f>
        <v/>
      </c>
      <c r="BT20" s="197" t="str">
        <f>IFERROR(($G20*IF('Inputs Yr 2'!$AJ20=BK$4,'Inputs Yr 2'!$AK20,IF('Inputs Yr 2'!$AL20=BK$4,'Inputs Yr 2'!$AM20,IF('Inputs Yr 2'!$AN20=BK$4,'Inputs Yr 2'!$AO20,0))))*(INDEX(avoidedcosttbl2,$H20,BT$2)+(($H20-ROUNDDOWN($H20,0))*(INDEX(avoidedcosttbl2,ROUNDUP($H20,0),BT$2)-(INDEX(avoidedcosttbl2,ROUNDDOWN($H20,0),BT$2)))))*'Inputs Yr 2'!P20*'Inputs Yr 2'!Q20*'Inputs Yr 2'!U20,"")</f>
        <v/>
      </c>
      <c r="BU20" s="197" t="str">
        <f>IFERROR(($G20*IF('Inputs Yr 2'!$AJ20=BL$4,'Inputs Yr 2'!$AK20,IF('Inputs Yr 2'!$AL20=BL$4,'Inputs Yr 2'!$AM20,IF('Inputs Yr 2'!$AN20=BL$4,'Inputs Yr 2'!$AO20,0))))*(INDEX(avoidedcosttbl2,$H20,BU$2)+(($H20-ROUNDDOWN($H20,0))*(INDEX(avoidedcosttbl2,ROUNDUP($H20,0),BU$2)-(INDEX(avoidedcosttbl2,ROUNDDOWN($H20,0),BU$2)))))*'Inputs Yr 2'!P20*'Inputs Yr 2'!Q20*'Inputs Yr 2'!U20,"")</f>
        <v/>
      </c>
      <c r="BV20" s="775" t="str">
        <f>IFERROR(($G20*IF('Inputs Yr 2'!$AJ20=BJ$4,'Inputs Yr 2'!$AK20,IF('Inputs Yr 2'!$AL20=BJ$4,'Inputs Yr 2'!$AM20,IF('Inputs Yr 2'!$AN20=BJ$4,'Inputs Yr 2'!$AO20,0))))*(INDEX(avoidedcosttbl2,$H20,BV$2)+(($H20-ROUNDDOWN($H20,0))*(INDEX(avoidedcosttbl2,ROUNDUP($H20,0),BV$2)-(INDEX(avoidedcosttbl2,ROUNDDOWN($H20,0),BV$2)))))*'Inputs Yr 2'!P20*'Inputs Yr 2'!Q20*'Inputs Yr 2'!U20,"")</f>
        <v/>
      </c>
      <c r="BW20" s="197" t="str">
        <f>IFERROR(($G20*IF('Inputs Yr 2'!$AJ20=BN$4,'Inputs Yr 2'!$AK20,IF('Inputs Yr 2'!$AL20=BN$4,'Inputs Yr 2'!$AM20,IF('Inputs Yr 2'!$AN20=BN$4,'Inputs Yr 2'!$AO20,0))))*(INDEX(avoidedcosttbl2,$H20,BW$2)+(($H20-ROUNDDOWN($H20,0))*(INDEX(avoidedcosttbl2,ROUNDUP($H20,0),BW$2)-(INDEX(avoidedcosttbl2,ROUNDDOWN($H20,0),BW$2)))))*'Inputs Yr 2'!P20*'Inputs Yr 2'!Q20*'Inputs Yr 2'!U20,"")</f>
        <v/>
      </c>
      <c r="BX20" s="197" t="str">
        <f>IFERROR(($G20*IF('Inputs Yr 2'!$AJ20=BO$4,'Inputs Yr 2'!$AK20,IF('Inputs Yr 2'!$AL20=BO$4,'Inputs Yr 2'!$AM20,IF('Inputs Yr 2'!$AN20=BO$4,'Inputs Yr 2'!$AO20,0))))*(INDEX(avoidedcosttbl2,$H20,BX$2)+(($H20-ROUNDDOWN($H20,0))*(INDEX(avoidedcosttbl2,ROUNDUP($H20,0),BX$2)-(INDEX(avoidedcosttbl2,ROUNDDOWN($H20,0),BX$2)))))*'Inputs Yr 2'!P20*'Inputs Yr 2'!Q20*'Inputs Yr 2'!U20,"")</f>
        <v/>
      </c>
      <c r="BY20" s="197" t="str">
        <f>IFERROR(($G20*IF('Inputs Yr 2'!$AJ20=BP$4,'Inputs Yr 2'!$AK20,IF('Inputs Yr 2'!$AL20=BP$4,'Inputs Yr 2'!$AM20,IF('Inputs Yr 2'!$AN20=BP$4,'Inputs Yr 2'!$AO20,0))))*(INDEX(avoidedcosttbl2,$H20,BY$2)+(($H20-ROUNDDOWN($H20,0))*(INDEX(avoidedcosttbl2,ROUNDUP($H20,0),BY$2)-(INDEX(avoidedcosttbl2,ROUNDDOWN($H20,0),BY$2)))))*'Inputs Yr 2'!P20*'Inputs Yr 2'!Q20*'Inputs Yr 2'!U20,"")</f>
        <v/>
      </c>
      <c r="BZ20" s="193">
        <f t="shared" si="39"/>
        <v>0</v>
      </c>
      <c r="CA20" s="193">
        <f t="shared" si="40"/>
        <v>0</v>
      </c>
      <c r="CB20" s="195" t="str">
        <f>IFERROR(G20*(IF('Inputs Yr 2'!$AJ20=CB$4,'Inputs Yr 2'!$AK20,IF('Inputs Yr 2'!$AL20=CB$4,'Inputs Yr 2'!$AM20,IF('Inputs Yr 2'!$AN20=CB$4,'Inputs Yr 2'!$AO20,0))))*(INDEX(avoidedcosttbl2,$H20,CB$2)+(($H20-ROUNDDOWN($H20,0))*(INDEX(avoidedcosttbl2,ROUNDUP($H20,0),CB$2)-(INDEX(avoidedcosttbl2,ROUNDDOWN($H20,0),CB$2)))))*'Inputs Yr 2'!P20*'Inputs Yr 2'!Q20*'Inputs Yr 2'!U20,"")</f>
        <v/>
      </c>
      <c r="CC20" s="195" t="str">
        <f>IFERROR(H20*(IF('Inputs Yr 2'!$AJ20=CC$4,'Inputs Yr 2'!$AK20,IF('Inputs Yr 2'!$AL20=CC$4,'Inputs Yr 2'!$AM20,IF('Inputs Yr 2'!$AN20=CC$4,'Inputs Yr 2'!$AO20,0))))*(INDEX(avoidedcosttbl2,$H20,CC$2)+(($H20-ROUNDDOWN($H20,0))*(INDEX(avoidedcosttbl2,ROUNDUP($H20,0),CC$2)-(INDEX(avoidedcosttbl2,ROUNDDOWN($H20,0),CC$2)))))*'Inputs Yr 2'!Q20*'Inputs Yr 2'!R20*'Inputs Yr 2'!V20,"")</f>
        <v/>
      </c>
      <c r="CD20" s="195" t="str">
        <f>IFERROR(I20*(IF('Inputs Yr 2'!$AJ20=CD$4,'Inputs Yr 2'!$AK20,IF('Inputs Yr 2'!$AL20=CD$4,'Inputs Yr 2'!$AM20,IF('Inputs Yr 2'!$AN20=CD$4,'Inputs Yr 2'!$AO20,0))))*(INDEX(avoidedcosttbl2,$H20,CD$2)+(($H20-ROUNDDOWN($H20,0))*(INDEX(avoidedcosttbl2,ROUNDUP($H20,0),CD$2)-(INDEX(avoidedcosttbl2,ROUNDDOWN($H20,0),CD$2)))))*'Inputs Yr 2'!R20*'Inputs Yr 2'!S20*'Inputs Yr 2'!W20,"")</f>
        <v/>
      </c>
      <c r="CE20" s="213" t="str">
        <f t="shared" si="41"/>
        <v/>
      </c>
      <c r="CF20" s="213" t="str">
        <f t="shared" si="42"/>
        <v/>
      </c>
      <c r="CG20" s="213" t="str">
        <f t="shared" si="43"/>
        <v/>
      </c>
      <c r="CH20" s="698">
        <f t="shared" si="44"/>
        <v>0</v>
      </c>
      <c r="CI20" s="79" t="str">
        <f>IFERROR(($G20*'Inputs Yr 2'!$P20*'Inputs Yr 2'!$Q20*(((INDEX(avoidedcosttbl2,$H20,CI$2)+(($H20-ROUNDDOWN($H20,0))*(INDEX(avoidedcosttbl2,ROUNDUP($H20,0),CI$2)-INDEX(avoidedcosttbl2,ROUNDDOWN($H20,0),CI$2))))*'Inputs Yr 2'!AS20))),"")</f>
        <v/>
      </c>
      <c r="CJ20" s="504" t="str">
        <f>IFERROR($G20*'Inputs Yr 2'!AT20*'Inputs Yr 2'!$P20*'Inputs Yr 2'!$Q20/((1+realdiscrt1)^-0.5),"")</f>
        <v/>
      </c>
      <c r="CK20" s="79" t="str">
        <f>IFERROR((O20*1000*(((INDEX(avoidedcosttbl2,$H20,CK$2)+(($H20-ROUNDDOWN($H20,0))*(INDEX(avoidedcosttbl2,ROUNDUP($H20,0),CK$2)-INDEX(avoidedcosttbl2,ROUNDDOWN($H20,0),CK$2))))*'Inputs Yr 2'!AU20))),"")</f>
        <v/>
      </c>
      <c r="CL20" s="504" t="str">
        <f>IFERROR(O20*1000*'Inputs Yr 2'!AV20/((1+realdiscrt1)^-0.5),"")</f>
        <v/>
      </c>
      <c r="CM20" s="79" t="str">
        <f>IFERROR((AB20*'Inputs Yr 2'!AW20*(((INDEX(avoidedcosttbl2,$H20,CM$2)+(($H20-ROUNDDOWN($H20,0))*(INDEX(avoidedcosttbl2,ROUNDUP($H20,0),CM$2)-INDEX(avoidedcosttbl2,ROUNDDOWN($H20,0),CM$2)))))))*10,"")</f>
        <v/>
      </c>
      <c r="CN20" s="504">
        <f>IFERROR(10*AB20*'Inputs Yr 2'!AX20/((1+realdiscrt1)^-0.5),"")</f>
        <v>0</v>
      </c>
      <c r="CO20" s="505">
        <f t="shared" si="45"/>
        <v>0</v>
      </c>
      <c r="CP20" s="230">
        <f t="shared" si="46"/>
        <v>0</v>
      </c>
      <c r="CQ20" s="199">
        <f>ROUND(IFERROR(IF(LEFT($A20,1)="C",'Avoided Costs'!$K$13,'Avoided Costs'!$K$12)+1,""),4)</f>
        <v>1.0720000000000001</v>
      </c>
      <c r="CR20" s="199">
        <f>ROUND(IFERROR(IF(LEFT($A20,1)="C",'Avoided Costs'!$L$13,'Avoided Costs'!$L$12)+1,""),4)</f>
        <v>1.04</v>
      </c>
      <c r="CS20" s="199">
        <f>ROUND(IFERROR(IF(LEFT($A20,1)="C",'Avoided Costs'!$M$13,'Avoided Costs'!$M$12)+1,""),4)</f>
        <v>1.0720000000000001</v>
      </c>
      <c r="CT20" s="199">
        <f>ROUND(IFERROR(IF(LEFT($A20,1)="C",'Avoided Costs'!$N$13,'Avoided Costs'!$N$12)+1,""),4)</f>
        <v>1.04</v>
      </c>
      <c r="CU20" s="199">
        <f>ROUND(IFERROR(IF(LEFT($A20,1)="C",'Avoided Costs'!$O$13,'Avoided Costs'!$O$12)+1,""),4)</f>
        <v>1.1120000000000001</v>
      </c>
      <c r="CV20" s="199">
        <f>ROUND(IFERROR(IF(LEFT($A20,1)="C",'Avoided Costs'!$P$13,'Avoided Costs'!$P$12)+1,""),4)</f>
        <v>1.095</v>
      </c>
      <c r="CW20" s="199">
        <f>ROUND(IFERROR(IF(LEFT($A20,1)="C",'Avoided Costs'!$Q$13,'Avoided Costs'!$Q$12)+1,""),4)</f>
        <v>1.1120000000000001</v>
      </c>
      <c r="CX20" s="200">
        <f>ROUND(IFERROR(IF(LEFT($A20,1)="C",'Avoided Costs'!$R$13,'Avoided Costs'!$R$12)+1,""),4)</f>
        <v>1.1120000000000001</v>
      </c>
    </row>
    <row r="21" spans="1:102" ht="12.75" customHeight="1">
      <c r="A21" s="91" t="str">
        <f>IF('Inputs Yr 2'!$B21=0,"",'Inputs Yr 2'!A21)</f>
        <v>A - Residential</v>
      </c>
      <c r="B21" s="91" t="str">
        <f>IF('Inputs Yr 2'!$B21=0,"",'Inputs Yr 2'!B21)</f>
        <v>A1 - Residential Whole House</v>
      </c>
      <c r="C21" s="91" t="str">
        <f>IF('Inputs Yr 2'!$B21=0,"",'Inputs Yr 2'!C21)</f>
        <v>A1b - Residential Multi-Family Retrofit</v>
      </c>
      <c r="D21" s="91" t="str">
        <f>IF('Inputs Yr 2'!$B21=0,"",'Inputs Yr 2'!E21)</f>
        <v>Duct Seal, Gas</v>
      </c>
      <c r="E21" s="93" t="str">
        <f>IF('Inputs Yr 2'!$B21=0,"",'Inputs Yr 2'!F21)</f>
        <v>G16A1b06</v>
      </c>
      <c r="F21" s="93" t="str">
        <f>IF('Inputs Yr 2'!$B21=0,"",'Inputs Yr 2'!G21)</f>
        <v>HVAC</v>
      </c>
      <c r="G21" s="95">
        <f>IF('Inputs Yr 2'!$H21&lt;&gt;0,('Inputs Yr 2'!H21),"")</f>
        <v>10</v>
      </c>
      <c r="H21" s="94">
        <f>IFERROR('Inputs Yr 2'!I21,"")</f>
        <v>20</v>
      </c>
      <c r="I21" s="298">
        <f>IFERROR('Inputs Yr 2'!J21*'Inputs Yr 2'!P21*G21,"")</f>
        <v>900</v>
      </c>
      <c r="J21" s="298">
        <f>IFERROR('Inputs Yr 2'!K21*G21,"")</f>
        <v>900</v>
      </c>
      <c r="K21" s="298">
        <f t="shared" si="23"/>
        <v>0</v>
      </c>
      <c r="L21" s="194">
        <f>IFERROR(('Inputs Yr 2'!W21*G21)/1000,"")</f>
        <v>0</v>
      </c>
      <c r="M21" s="194">
        <f>IFERROR(L21*('Inputs Yr 2'!$Q21*'Inputs Yr 2'!$V21*'Inputs Yr 2'!$R21),"")</f>
        <v>0</v>
      </c>
      <c r="N21" s="194">
        <f t="shared" si="24"/>
        <v>0</v>
      </c>
      <c r="O21" s="194">
        <f>IFERROR(M21*'Inputs Yr 2'!P21,"")</f>
        <v>0</v>
      </c>
      <c r="P21" s="194">
        <f t="shared" si="25"/>
        <v>0</v>
      </c>
      <c r="Q21" s="194">
        <f>IFERROR($P21*'Inputs Yr 2'!AA21,"")</f>
        <v>0</v>
      </c>
      <c r="R21" s="194">
        <f>IFERROR($P21*'Inputs Yr 2'!AB21,"")</f>
        <v>0</v>
      </c>
      <c r="S21" s="194">
        <f>IFERROR($P21*'Inputs Yr 2'!AC21,"")</f>
        <v>0</v>
      </c>
      <c r="T21" s="194">
        <f>IFERROR($P21*'Inputs Yr 2'!AD21,"")</f>
        <v>0</v>
      </c>
      <c r="U21" s="194">
        <f>IFERROR(G21*'Inputs Yr 2'!$AE21*'Inputs Yr 2'!$P21*'Inputs Yr 2'!$Q21,"")</f>
        <v>0</v>
      </c>
      <c r="V21" s="194">
        <f>IFERROR($G21*'Inputs Yr 2'!$AE21*'Inputs Yr 2'!$AG21*'Inputs Yr 2'!Q21*'Inputs Yr 2'!$S21,"")</f>
        <v>0</v>
      </c>
      <c r="W21" s="194">
        <f>IFERROR($G21*'Inputs Yr 2'!$AE21*'Inputs Yr 2'!$AG21*'Inputs Yr 2'!P21*'Inputs Yr 2'!Q21*'Inputs Yr 2'!$S21,"")</f>
        <v>0</v>
      </c>
      <c r="X21" s="194">
        <f>IFERROR($G21*'Inputs Yr 2'!$AE21*'Inputs Yr 2'!$AF21*'Inputs Yr 2'!Q21*'Inputs Yr 2'!$T21,"")</f>
        <v>0</v>
      </c>
      <c r="Y21" s="194">
        <f>IFERROR($G21*'Inputs Yr 2'!$AE21*'Inputs Yr 2'!$AF21*'Inputs Yr 2'!P21*'Inputs Yr 2'!Q21*'Inputs Yr 2'!$T21,"")</f>
        <v>0</v>
      </c>
      <c r="Z21" s="257">
        <f>IFERROR($G21*'Inputs Yr 2'!$Q21*'Inputs Yr 2'!$U21*(IF(IFERROR(SEARCH("NG", 'Inputs Yr 2'!$AJ21),0),'Inputs Yr 2'!$AK21,0)+IF(IFERROR(SEARCH("NG", 'Inputs Yr 2'!$AL21),0),'Inputs Yr 2'!$AM21,0)+IF(IFERROR(SEARCH("NG", 'Inputs Yr 2'!$AN21),0),'Inputs Yr 2'!$AO21,0)),0)</f>
        <v>0</v>
      </c>
      <c r="AA21" s="257">
        <f t="shared" si="26"/>
        <v>0</v>
      </c>
      <c r="AB21" s="257">
        <f>IFERROR(Z21*'Inputs Yr 2'!$P21,0)</f>
        <v>0</v>
      </c>
      <c r="AC21" s="257">
        <f t="shared" si="27"/>
        <v>0</v>
      </c>
      <c r="AD21" s="257">
        <f>IFERROR($G21*'Inputs Yr 2'!$Q21*'Inputs Yr 2'!$U21*(IF(IFERROR(SEARCH("Oil", 'Inputs Yr 2'!$AJ21), 0),'Inputs Yr 2'!$AK21,0)+IF(IFERROR(SEARCH("Oil", 'Inputs Yr 2'!$AL21), 0),'Inputs Yr 2'!$AM21,0)+IF(IFERROR(SEARCH("Oil", 'Inputs Yr 2'!$AN21), 0),'Inputs Yr 2'!$AO21,0)),0)</f>
        <v>0</v>
      </c>
      <c r="AE21" s="257">
        <f t="shared" si="28"/>
        <v>0</v>
      </c>
      <c r="AF21" s="257">
        <f>IFERROR(AD21*'Inputs Yr 2'!$P21,0)</f>
        <v>0</v>
      </c>
      <c r="AG21" s="257">
        <f t="shared" si="29"/>
        <v>0</v>
      </c>
      <c r="AH21" s="257">
        <f>IFERROR($G21*'Inputs Yr 2'!$Q21*'Inputs Yr 2'!$U21*(IF('Inputs Yr 2'!$AJ21=CD$4,'Inputs Yr 2'!$AK21,IF('Inputs Yr 2'!$AL21=CD$4,'Inputs Yr 2'!$AM21,IF('Inputs Yr 2'!$AN21=CD$4,'Inputs Yr 2'!$AO21,0)))),0)</f>
        <v>0</v>
      </c>
      <c r="AI21" s="257">
        <f t="shared" si="30"/>
        <v>0</v>
      </c>
      <c r="AJ21" s="257">
        <f>IFERROR(AH21*'Inputs Yr 2'!$P21,0)</f>
        <v>0</v>
      </c>
      <c r="AK21" s="257">
        <f t="shared" si="31"/>
        <v>0</v>
      </c>
      <c r="AL21" s="258">
        <f>IFERROR($G21*'Inputs Yr 2'!$P21*'Inputs Yr 2'!$Q21*'Inputs Yr 2'!AP21,0)</f>
        <v>0</v>
      </c>
      <c r="AM21" s="260">
        <f>IFERROR($G21*'Inputs Yr 2'!$P21*'Inputs Yr 2'!$Q21*'Inputs Yr 2'!AQ21,0)</f>
        <v>0</v>
      </c>
      <c r="AN21" s="258">
        <f>IFERROR($G21*'Inputs Yr 2'!$P21*'Inputs Yr 2'!$Q21*'Inputs Yr 2'!AR21,0)</f>
        <v>0</v>
      </c>
      <c r="AO21" s="257">
        <f t="shared" si="32"/>
        <v>0</v>
      </c>
      <c r="AP21" s="195">
        <f>IFERROR($CQ21*(INDEX(avoidedcosttbl2,$H21,AP$2)+(($H21-ROUNDDOWN($H21,0))*(INDEX(avoidedcosttbl2,ROUNDUP($H21,0),AP$2)-(INDEX(avoidedcosttbl2,ROUNDDOWN($H21,0),AP$2)))))*$O21*1000*'Inputs Yr 2'!AA21,"")</f>
        <v>0</v>
      </c>
      <c r="AQ21" s="195">
        <f>IFERROR($CR21*(INDEX(avoidedcosttbl2,$H21,AQ$2)+(($H21-ROUNDDOWN($H21,0))*(INDEX(avoidedcosttbl2,ROUNDUP($H21,0),AQ$2)-(INDEX(avoidedcosttbl2,ROUNDDOWN($H21,0),AQ$2)))))*$O21*1000*'Inputs Yr 2'!AB21,"")</f>
        <v>0</v>
      </c>
      <c r="AR21" s="195">
        <f>IFERROR($CS21*(INDEX(avoidedcosttbl2,$H21,AR$2)+(($H21-ROUNDDOWN($H21,0))*(INDEX(avoidedcosttbl2,ROUNDUP($H21,0),AR$2)-(INDEX(avoidedcosttbl2,ROUNDDOWN($H21,0),AR$2)))))*$O21*1000*'Inputs Yr 2'!AC21,"")</f>
        <v>0</v>
      </c>
      <c r="AS21" s="195">
        <f>IFERROR($CT21*(INDEX(avoidedcosttbl2,$H21,AS$2)+(($H21-ROUNDDOWN($H21,0))*(INDEX(avoidedcosttbl2,ROUNDUP($H21,0),AS$2)-(INDEX(avoidedcosttbl2,ROUNDDOWN($H21,0),AS$2)))))*$O21*1000*'Inputs Yr 2'!AD21,"")</f>
        <v>0</v>
      </c>
      <c r="AT21" s="196">
        <f t="shared" si="33"/>
        <v>0</v>
      </c>
      <c r="AU21" s="197">
        <f>IFERROR($CQ21*((INDEX(avoidedcosttbl2,$H21,AU$2))+(($H21-ROUNDDOWN($H21,0))*((INDEX(avoidedcosttbl2,ROUNDUP($H21,0),AU$2))-(INDEX(avoidedcosttbl2,ROUNDDOWN($H21,0),AU$2)))))*$O21*1000*'Inputs Yr 2'!AA21,"")</f>
        <v>0</v>
      </c>
      <c r="AV21" s="197">
        <f>IFERROR($CR21*((INDEX(avoidedcosttbl2,$H21,AV$2))+(($H21-ROUNDDOWN($H21,0))*((INDEX(avoidedcosttbl2,ROUNDUP($H21,0),AV$2))-(INDEX(avoidedcosttbl2,ROUNDDOWN($H21,0),AV$2)))))*$O21*1000*'Inputs Yr 2'!AB21,"")</f>
        <v>0</v>
      </c>
      <c r="AW21" s="197">
        <f>IFERROR($CS21*((INDEX(avoidedcosttbl2,$H21,AW$2))+(($H21-ROUNDDOWN($H21,0))*((INDEX(avoidedcosttbl2,ROUNDUP($H21,0),AW$2))-(INDEX(avoidedcosttbl2,ROUNDDOWN($H21,0),AW$2)))))*$O21*1000*'Inputs Yr 2'!AC21,"")</f>
        <v>0</v>
      </c>
      <c r="AX21" s="197">
        <f>IFERROR($CT21*((INDEX(avoidedcosttbl2,$H21,AX$2))+(($H21-ROUNDDOWN($H21,0))*((INDEX(avoidedcosttbl2,ROUNDUP($H21,0),AX$2))-(INDEX(avoidedcosttbl2,ROUNDDOWN($H21,0),AX$2)))))*$O21*1000*'Inputs Yr 2'!AD21,"")</f>
        <v>0</v>
      </c>
      <c r="AY21" s="197">
        <f>IFERROR(((INDEX(avoidedcosttbl2,$H21,AY$2))+(($H21-ROUNDDOWN($H21,0))*((INDEX(avoidedcosttbl2,ROUNDUP($H21,0),AY$2))-(INDEX(avoidedcosttbl2,ROUNDDOWN($H21,0),AY$2)))))*$O21*1000*('Inputs Yr 2'!AC21+'Inputs Yr 2'!AD21),"")</f>
        <v>0</v>
      </c>
      <c r="AZ21" s="197">
        <f>IFERROR(((INDEX(avoidedcosttbl2,$H21,AZ$2))+(($H21-ROUNDDOWN($H21,0))*((INDEX(avoidedcosttbl2,ROUNDUP($H21,0),AZ$2))-(INDEX(avoidedcosttbl2,ROUNDDOWN($H21,0),AZ$2)))))*$O21*1000*('Inputs Yr 2'!AA21+'Inputs Yr 2'!AB21),"")</f>
        <v>0</v>
      </c>
      <c r="BA21" s="198">
        <f t="shared" si="34"/>
        <v>0</v>
      </c>
      <c r="BB21" s="198">
        <f t="shared" si="35"/>
        <v>0</v>
      </c>
      <c r="BC21" s="195">
        <f t="shared" si="10"/>
        <v>0</v>
      </c>
      <c r="BD21" s="195">
        <f t="shared" si="11"/>
        <v>0</v>
      </c>
      <c r="BE21" s="195">
        <f t="shared" si="12"/>
        <v>0</v>
      </c>
      <c r="BF21" s="195">
        <f t="shared" si="13"/>
        <v>0</v>
      </c>
      <c r="BG21" s="195">
        <f t="shared" si="14"/>
        <v>0</v>
      </c>
      <c r="BH21" s="196">
        <f t="shared" si="36"/>
        <v>0</v>
      </c>
      <c r="BI21" s="196">
        <f t="shared" si="37"/>
        <v>0</v>
      </c>
      <c r="BJ21" s="195">
        <f>IFERROR($G21*(IF('Inputs Yr 2'!$AJ21=BJ$4,'Inputs Yr 2'!$AK21,IF('Inputs Yr 2'!$AL21=BJ$4,'Inputs Yr 2'!$AM21,IF('Inputs Yr 2'!$AN21=BJ$4,'Inputs Yr 2'!$AO21,0))))*(INDEX(avoidedcosttbl2,$H21,BJ$2)+(($H21-ROUNDDOWN($H21,0))*(INDEX(avoidedcosttbl2,ROUNDUP($H21,0),BJ$2)-(INDEX(avoidedcosttbl2,ROUNDDOWN($H21,0),BJ$2)))))*'Inputs Yr 2'!P21*'Inputs Yr 2'!Q21*'Inputs Yr 2'!U21,"")</f>
        <v>0</v>
      </c>
      <c r="BK21" s="195">
        <f>IFERROR($G21*(IF('Inputs Yr 2'!$AJ21=BK$4,'Inputs Yr 2'!$AK21,IF('Inputs Yr 2'!$AL21=BK$4,'Inputs Yr 2'!$AM21,IF('Inputs Yr 2'!$AN21=BK$4,'Inputs Yr 2'!$AO21,0))))*(INDEX(avoidedcosttbl2,$H21,BK$2)+(($H21-ROUNDDOWN($H21,0))*(INDEX(avoidedcosttbl2,ROUNDUP($H21,0),BK$2)-(INDEX(avoidedcosttbl2,ROUNDDOWN($H21,0),BK$2)))))*'Inputs Yr 2'!P21*'Inputs Yr 2'!Q21*'Inputs Yr 2'!U21,"")</f>
        <v>0</v>
      </c>
      <c r="BL21" s="195">
        <f>IFERROR($G21*(IF('Inputs Yr 2'!$AJ21=BL$4,'Inputs Yr 2'!$AK21,IF('Inputs Yr 2'!$AL21=BL$4,'Inputs Yr 2'!$AM21,IF('Inputs Yr 2'!$AN21=BL$4,'Inputs Yr 2'!$AO21,0))))*(INDEX(avoidedcosttbl2,$H21,BL$2)+(($H21-ROUNDDOWN($H21,0))*(INDEX(avoidedcosttbl2,ROUNDUP($H21,0),BL$2)-(INDEX(avoidedcosttbl2,ROUNDDOWN($H21,0),BL$2)))))*'Inputs Yr 2'!P21*'Inputs Yr 2'!Q21*'Inputs Yr 2'!U21,"")</f>
        <v>0</v>
      </c>
      <c r="BM21" s="195">
        <f>IFERROR($G21*(IF('Inputs Yr 2'!$AJ21=BM$4,'Inputs Yr 2'!$AK21,IF('Inputs Yr 2'!$AL21=BM$4,'Inputs Yr 2'!$AM21,IF('Inputs Yr 2'!$AN21=BM$4,'Inputs Yr 2'!$AO21,0))))*(INDEX(avoidedcosttbl2,$H21,BM$2)+(($H21-ROUNDDOWN($H21,0))*(INDEX(avoidedcosttbl2,ROUNDUP($H21,0),BM$2)-(INDEX(avoidedcosttbl2,ROUNDDOWN($H21,0),BM$2)))))*'Inputs Yr 2'!P21*'Inputs Yr 2'!Q21*'Inputs Yr 2'!U21,"")</f>
        <v>0</v>
      </c>
      <c r="BN21" s="195">
        <f>IFERROR($G21*(IF('Inputs Yr 2'!$AJ21=BN$4,'Inputs Yr 2'!$AK21,IF('Inputs Yr 2'!$AL21=BN$4,'Inputs Yr 2'!$AM21,IF('Inputs Yr 2'!$AN21=BN$4,'Inputs Yr 2'!$AO21,0))))*(INDEX(avoidedcosttbl2,$H21,BN$2)+(($H21-ROUNDDOWN($H21,0))*(INDEX(avoidedcosttbl2,ROUNDUP($H21,0),BN$2)-(INDEX(avoidedcosttbl2,ROUNDDOWN($H21,0),BN$2)))))*'Inputs Yr 2'!P21*'Inputs Yr 2'!Q21*'Inputs Yr 2'!U21,"")</f>
        <v>0</v>
      </c>
      <c r="BO21" s="195">
        <f>IFERROR($G21*(IF('Inputs Yr 2'!$AJ21=BO$4,'Inputs Yr 2'!$AK21,IF('Inputs Yr 2'!$AL21=BO$4,'Inputs Yr 2'!$AM21,IF('Inputs Yr 2'!$AN21=BO$4,'Inputs Yr 2'!$AO21,0))))*(INDEX(avoidedcosttbl2,$H21,BO$2)+(($H21-ROUNDDOWN($H21,0))*(INDEX(avoidedcosttbl2,ROUNDUP($H21,0),BO$2)-(INDEX(avoidedcosttbl2,ROUNDDOWN($H21,0),BO$2)))))*'Inputs Yr 2'!P21*'Inputs Yr 2'!Q21*'Inputs Yr 2'!U21,"")</f>
        <v>0</v>
      </c>
      <c r="BP21" s="195">
        <f>IFERROR($G21*(IF('Inputs Yr 2'!$AJ21=BP$4,'Inputs Yr 2'!$AK21,IF('Inputs Yr 2'!$AL21=BP$4,'Inputs Yr 2'!$AM21,IF('Inputs Yr 2'!$AN21=BP$4,'Inputs Yr 2'!$AO21,0))))*(INDEX(avoidedcosttbl2,$H21,BP$2)+(($H21-ROUNDDOWN($H21,0))*(INDEX(avoidedcosttbl2,ROUNDUP($H21,0),BP$2)-(INDEX(avoidedcosttbl2,ROUNDDOWN($H21,0),BP$2)))))*'Inputs Yr 2'!P21*'Inputs Yr 2'!Q21*'Inputs Yr 2'!U21,"")</f>
        <v>0</v>
      </c>
      <c r="BQ21" s="230">
        <f t="shared" si="38"/>
        <v>0</v>
      </c>
      <c r="BR21" s="197">
        <f t="shared" si="17"/>
        <v>0</v>
      </c>
      <c r="BS21" s="197">
        <f>IFERROR(($G21*IF('Inputs Yr 2'!$AJ21=BM$4,'Inputs Yr 2'!$AK21,IF('Inputs Yr 2'!$AL21=BM$4,'Inputs Yr 2'!$AM21,IF('Inputs Yr 2'!$AN21=BM$4,'Inputs Yr 2'!$AO21,0))))*(INDEX(avoidedcosttbl2,$H21,BS$2)+(($H21-ROUNDDOWN($H21,0))*(INDEX(avoidedcosttbl2,ROUNDUP($H21,0),BS$2)-(INDEX(avoidedcosttbl2,ROUNDDOWN($H21,0),BS$2)))))*'Inputs Yr 2'!P21*'Inputs Yr 2'!Q21*'Inputs Yr 2'!U21,"")</f>
        <v>0</v>
      </c>
      <c r="BT21" s="197">
        <f>IFERROR(($G21*IF('Inputs Yr 2'!$AJ21=BK$4,'Inputs Yr 2'!$AK21,IF('Inputs Yr 2'!$AL21=BK$4,'Inputs Yr 2'!$AM21,IF('Inputs Yr 2'!$AN21=BK$4,'Inputs Yr 2'!$AO21,0))))*(INDEX(avoidedcosttbl2,$H21,BT$2)+(($H21-ROUNDDOWN($H21,0))*(INDEX(avoidedcosttbl2,ROUNDUP($H21,0),BT$2)-(INDEX(avoidedcosttbl2,ROUNDDOWN($H21,0),BT$2)))))*'Inputs Yr 2'!P21*'Inputs Yr 2'!Q21*'Inputs Yr 2'!U21,"")</f>
        <v>0</v>
      </c>
      <c r="BU21" s="197">
        <f>IFERROR(($G21*IF('Inputs Yr 2'!$AJ21=BL$4,'Inputs Yr 2'!$AK21,IF('Inputs Yr 2'!$AL21=BL$4,'Inputs Yr 2'!$AM21,IF('Inputs Yr 2'!$AN21=BL$4,'Inputs Yr 2'!$AO21,0))))*(INDEX(avoidedcosttbl2,$H21,BU$2)+(($H21-ROUNDDOWN($H21,0))*(INDEX(avoidedcosttbl2,ROUNDUP($H21,0),BU$2)-(INDEX(avoidedcosttbl2,ROUNDDOWN($H21,0),BU$2)))))*'Inputs Yr 2'!P21*'Inputs Yr 2'!Q21*'Inputs Yr 2'!U21,"")</f>
        <v>0</v>
      </c>
      <c r="BV21" s="775">
        <f>IFERROR(($G21*IF('Inputs Yr 2'!$AJ21=BJ$4,'Inputs Yr 2'!$AK21,IF('Inputs Yr 2'!$AL21=BJ$4,'Inputs Yr 2'!$AM21,IF('Inputs Yr 2'!$AN21=BJ$4,'Inputs Yr 2'!$AO21,0))))*(INDEX(avoidedcosttbl2,$H21,BV$2)+(($H21-ROUNDDOWN($H21,0))*(INDEX(avoidedcosttbl2,ROUNDUP($H21,0),BV$2)-(INDEX(avoidedcosttbl2,ROUNDDOWN($H21,0),BV$2)))))*'Inputs Yr 2'!P21*'Inputs Yr 2'!Q21*'Inputs Yr 2'!U21,"")</f>
        <v>0</v>
      </c>
      <c r="BW21" s="197">
        <f>IFERROR(($G21*IF('Inputs Yr 2'!$AJ21=BN$4,'Inputs Yr 2'!$AK21,IF('Inputs Yr 2'!$AL21=BN$4,'Inputs Yr 2'!$AM21,IF('Inputs Yr 2'!$AN21=BN$4,'Inputs Yr 2'!$AO21,0))))*(INDEX(avoidedcosttbl2,$H21,BW$2)+(($H21-ROUNDDOWN($H21,0))*(INDEX(avoidedcosttbl2,ROUNDUP($H21,0),BW$2)-(INDEX(avoidedcosttbl2,ROUNDDOWN($H21,0),BW$2)))))*'Inputs Yr 2'!P21*'Inputs Yr 2'!Q21*'Inputs Yr 2'!U21,"")</f>
        <v>0</v>
      </c>
      <c r="BX21" s="197">
        <f>IFERROR(($G21*IF('Inputs Yr 2'!$AJ21=BO$4,'Inputs Yr 2'!$AK21,IF('Inputs Yr 2'!$AL21=BO$4,'Inputs Yr 2'!$AM21,IF('Inputs Yr 2'!$AN21=BO$4,'Inputs Yr 2'!$AO21,0))))*(INDEX(avoidedcosttbl2,$H21,BX$2)+(($H21-ROUNDDOWN($H21,0))*(INDEX(avoidedcosttbl2,ROUNDUP($H21,0),BX$2)-(INDEX(avoidedcosttbl2,ROUNDDOWN($H21,0),BX$2)))))*'Inputs Yr 2'!P21*'Inputs Yr 2'!Q21*'Inputs Yr 2'!U21,"")</f>
        <v>0</v>
      </c>
      <c r="BY21" s="197">
        <f>IFERROR(($G21*IF('Inputs Yr 2'!$AJ21=BP$4,'Inputs Yr 2'!$AK21,IF('Inputs Yr 2'!$AL21=BP$4,'Inputs Yr 2'!$AM21,IF('Inputs Yr 2'!$AN21=BP$4,'Inputs Yr 2'!$AO21,0))))*(INDEX(avoidedcosttbl2,$H21,BY$2)+(($H21-ROUNDDOWN($H21,0))*(INDEX(avoidedcosttbl2,ROUNDUP($H21,0),BY$2)-(INDEX(avoidedcosttbl2,ROUNDDOWN($H21,0),BY$2)))))*'Inputs Yr 2'!P21*'Inputs Yr 2'!Q21*'Inputs Yr 2'!U21,"")</f>
        <v>0</v>
      </c>
      <c r="BZ21" s="193">
        <f t="shared" si="39"/>
        <v>0</v>
      </c>
      <c r="CA21" s="193">
        <f t="shared" si="40"/>
        <v>0</v>
      </c>
      <c r="CB21" s="195">
        <f>IFERROR(G21*(IF('Inputs Yr 2'!$AJ21=CB$4,'Inputs Yr 2'!$AK21,IF('Inputs Yr 2'!$AL21=CB$4,'Inputs Yr 2'!$AM21,IF('Inputs Yr 2'!$AN21=CB$4,'Inputs Yr 2'!$AO21,0))))*(INDEX(avoidedcosttbl2,$H21,CB$2)+(($H21-ROUNDDOWN($H21,0))*(INDEX(avoidedcosttbl2,ROUNDUP($H21,0),CB$2)-(INDEX(avoidedcosttbl2,ROUNDDOWN($H21,0),CB$2)))))*'Inputs Yr 2'!P21*'Inputs Yr 2'!Q21*'Inputs Yr 2'!U21,"")</f>
        <v>0</v>
      </c>
      <c r="CC21" s="195">
        <f>IFERROR(H21*(IF('Inputs Yr 2'!$AJ21=CC$4,'Inputs Yr 2'!$AK21,IF('Inputs Yr 2'!$AL21=CC$4,'Inputs Yr 2'!$AM21,IF('Inputs Yr 2'!$AN21=CC$4,'Inputs Yr 2'!$AO21,0))))*(INDEX(avoidedcosttbl2,$H21,CC$2)+(($H21-ROUNDDOWN($H21,0))*(INDEX(avoidedcosttbl2,ROUNDUP($H21,0),CC$2)-(INDEX(avoidedcosttbl2,ROUNDDOWN($H21,0),CC$2)))))*'Inputs Yr 2'!Q21*'Inputs Yr 2'!R21*'Inputs Yr 2'!V21,"")</f>
        <v>0</v>
      </c>
      <c r="CD21" s="195">
        <f>IFERROR(I21*(IF('Inputs Yr 2'!$AJ21=CD$4,'Inputs Yr 2'!$AK21,IF('Inputs Yr 2'!$AL21=CD$4,'Inputs Yr 2'!$AM21,IF('Inputs Yr 2'!$AN21=CD$4,'Inputs Yr 2'!$AO21,0))))*(INDEX(avoidedcosttbl2,$H21,CD$2)+(($H21-ROUNDDOWN($H21,0))*(INDEX(avoidedcosttbl2,ROUNDUP($H21,0),CD$2)-(INDEX(avoidedcosttbl2,ROUNDDOWN($H21,0),CD$2)))))*'Inputs Yr 2'!R21*'Inputs Yr 2'!S21*'Inputs Yr 2'!W21,"")</f>
        <v>0</v>
      </c>
      <c r="CE21" s="213">
        <f t="shared" si="41"/>
        <v>0</v>
      </c>
      <c r="CF21" s="213">
        <f t="shared" si="42"/>
        <v>0</v>
      </c>
      <c r="CG21" s="213">
        <f t="shared" si="43"/>
        <v>0</v>
      </c>
      <c r="CH21" s="698">
        <f t="shared" si="44"/>
        <v>0</v>
      </c>
      <c r="CI21" s="79">
        <f>IFERROR(($G21*'Inputs Yr 2'!$P21*'Inputs Yr 2'!$Q21*(((INDEX(avoidedcosttbl2,$H21,CI$2)+(($H21-ROUNDDOWN($H21,0))*(INDEX(avoidedcosttbl2,ROUNDUP($H21,0),CI$2)-INDEX(avoidedcosttbl2,ROUNDDOWN($H21,0),CI$2))))*'Inputs Yr 2'!AS21))),"")</f>
        <v>44.038239777907947</v>
      </c>
      <c r="CJ21" s="504">
        <f>IFERROR($G21*'Inputs Yr 2'!AT21*'Inputs Yr 2'!$P21*'Inputs Yr 2'!$Q21/((1+realdiscrt1)^-0.5),"")</f>
        <v>0</v>
      </c>
      <c r="CK21" s="79">
        <f>IFERROR((O21*1000*(((INDEX(avoidedcosttbl2,$H21,CK$2)+(($H21-ROUNDDOWN($H21,0))*(INDEX(avoidedcosttbl2,ROUNDUP($H21,0),CK$2)-INDEX(avoidedcosttbl2,ROUNDDOWN($H21,0),CK$2))))*'Inputs Yr 2'!AU21))),"")</f>
        <v>0</v>
      </c>
      <c r="CL21" s="504">
        <f>IFERROR(O21*1000*'Inputs Yr 2'!AV21/((1+realdiscrt1)^-0.5),"")</f>
        <v>0</v>
      </c>
      <c r="CM21" s="79">
        <f>IFERROR((AB21*'Inputs Yr 2'!AW21*(((INDEX(avoidedcosttbl2,$H21,CM$2)+(($H21-ROUNDDOWN($H21,0))*(INDEX(avoidedcosttbl2,ROUNDUP($H21,0),CM$2)-INDEX(avoidedcosttbl2,ROUNDDOWN($H21,0),CM$2)))))))*10,"")</f>
        <v>0</v>
      </c>
      <c r="CN21" s="504">
        <f>IFERROR(10*AB21*'Inputs Yr 2'!AX21/((1+realdiscrt1)^-0.5),"")</f>
        <v>0</v>
      </c>
      <c r="CO21" s="505">
        <f t="shared" si="45"/>
        <v>44.038239777907947</v>
      </c>
      <c r="CP21" s="230">
        <f t="shared" si="46"/>
        <v>44.038239777907947</v>
      </c>
      <c r="CQ21" s="199">
        <f>ROUND(IFERROR(IF(LEFT($A21,1)="C",'Avoided Costs'!$K$13,'Avoided Costs'!$K$12)+1,""),4)</f>
        <v>1.0720000000000001</v>
      </c>
      <c r="CR21" s="199">
        <f>ROUND(IFERROR(IF(LEFT($A21,1)="C",'Avoided Costs'!$L$13,'Avoided Costs'!$L$12)+1,""),4)</f>
        <v>1.04</v>
      </c>
      <c r="CS21" s="199">
        <f>ROUND(IFERROR(IF(LEFT($A21,1)="C",'Avoided Costs'!$M$13,'Avoided Costs'!$M$12)+1,""),4)</f>
        <v>1.0720000000000001</v>
      </c>
      <c r="CT21" s="199">
        <f>ROUND(IFERROR(IF(LEFT($A21,1)="C",'Avoided Costs'!$N$13,'Avoided Costs'!$N$12)+1,""),4)</f>
        <v>1.04</v>
      </c>
      <c r="CU21" s="199">
        <f>ROUND(IFERROR(IF(LEFT($A21,1)="C",'Avoided Costs'!$O$13,'Avoided Costs'!$O$12)+1,""),4)</f>
        <v>1.1120000000000001</v>
      </c>
      <c r="CV21" s="199">
        <f>ROUND(IFERROR(IF(LEFT($A21,1)="C",'Avoided Costs'!$P$13,'Avoided Costs'!$P$12)+1,""),4)</f>
        <v>1.095</v>
      </c>
      <c r="CW21" s="199">
        <f>ROUND(IFERROR(IF(LEFT($A21,1)="C",'Avoided Costs'!$Q$13,'Avoided Costs'!$Q$12)+1,""),4)</f>
        <v>1.1120000000000001</v>
      </c>
      <c r="CX21" s="200">
        <f>ROUND(IFERROR(IF(LEFT($A21,1)="C",'Avoided Costs'!$R$13,'Avoided Costs'!$R$12)+1,""),4)</f>
        <v>1.1120000000000001</v>
      </c>
    </row>
    <row r="22" spans="1:102" ht="12.75" customHeight="1">
      <c r="A22" s="91" t="str">
        <f>IF('Inputs Yr 2'!$B22=0,"",'Inputs Yr 2'!A22)</f>
        <v>A - Residential</v>
      </c>
      <c r="B22" s="91" t="str">
        <f>IF('Inputs Yr 2'!$B22=0,"",'Inputs Yr 2'!B22)</f>
        <v>A1 - Residential Whole House</v>
      </c>
      <c r="C22" s="91" t="str">
        <f>IF('Inputs Yr 2'!$B22=0,"",'Inputs Yr 2'!C22)</f>
        <v>A1b - Residential Multi-Family Retrofit</v>
      </c>
      <c r="D22" s="91" t="str">
        <f>IF('Inputs Yr 2'!$B22=0,"",'Inputs Yr 2'!E22)</f>
        <v>Duct Insulation</v>
      </c>
      <c r="E22" s="93" t="str">
        <f>IF('Inputs Yr 2'!$B22=0,"",'Inputs Yr 2'!F22)</f>
        <v>G16A1b07</v>
      </c>
      <c r="F22" s="93" t="str">
        <f>IF('Inputs Yr 2'!$B22=0,"",'Inputs Yr 2'!G22)</f>
        <v>HVAC</v>
      </c>
      <c r="G22" s="95">
        <f>IF('Inputs Yr 2'!$H22&lt;&gt;0,('Inputs Yr 2'!H22),"")</f>
        <v>97</v>
      </c>
      <c r="H22" s="94">
        <f>IFERROR('Inputs Yr 2'!I22,"")</f>
        <v>20</v>
      </c>
      <c r="I22" s="298">
        <f>IFERROR('Inputs Yr 2'!J22*'Inputs Yr 2'!P22*G22,"")</f>
        <v>918.74999999999989</v>
      </c>
      <c r="J22" s="298">
        <f>IFERROR('Inputs Yr 2'!K22*G22,"")</f>
        <v>239.05999999999989</v>
      </c>
      <c r="K22" s="298">
        <f t="shared" si="23"/>
        <v>679.69</v>
      </c>
      <c r="L22" s="194">
        <f>IFERROR(('Inputs Yr 2'!W22*G22)/1000,"")</f>
        <v>0</v>
      </c>
      <c r="M22" s="194">
        <f>IFERROR(L22*('Inputs Yr 2'!$Q22*'Inputs Yr 2'!$V22*'Inputs Yr 2'!$R22),"")</f>
        <v>0</v>
      </c>
      <c r="N22" s="194">
        <f t="shared" si="24"/>
        <v>0</v>
      </c>
      <c r="O22" s="194">
        <f>IFERROR(M22*'Inputs Yr 2'!P22,"")</f>
        <v>0</v>
      </c>
      <c r="P22" s="194">
        <f t="shared" si="25"/>
        <v>0</v>
      </c>
      <c r="Q22" s="194">
        <f>IFERROR($P22*'Inputs Yr 2'!AA22,"")</f>
        <v>0</v>
      </c>
      <c r="R22" s="194">
        <f>IFERROR($P22*'Inputs Yr 2'!AB22,"")</f>
        <v>0</v>
      </c>
      <c r="S22" s="194">
        <f>IFERROR($P22*'Inputs Yr 2'!AC22,"")</f>
        <v>0</v>
      </c>
      <c r="T22" s="194">
        <f>IFERROR($P22*'Inputs Yr 2'!AD22,"")</f>
        <v>0</v>
      </c>
      <c r="U22" s="194">
        <f>IFERROR(G22*'Inputs Yr 2'!$AE22*'Inputs Yr 2'!$P22*'Inputs Yr 2'!$Q22,"")</f>
        <v>0</v>
      </c>
      <c r="V22" s="194">
        <f>IFERROR($G22*'Inputs Yr 2'!$AE22*'Inputs Yr 2'!$AG22*'Inputs Yr 2'!Q22*'Inputs Yr 2'!$S22,"")</f>
        <v>0</v>
      </c>
      <c r="W22" s="194">
        <f>IFERROR($G22*'Inputs Yr 2'!$AE22*'Inputs Yr 2'!$AG22*'Inputs Yr 2'!P22*'Inputs Yr 2'!Q22*'Inputs Yr 2'!$S22,"")</f>
        <v>0</v>
      </c>
      <c r="X22" s="194">
        <f>IFERROR($G22*'Inputs Yr 2'!$AE22*'Inputs Yr 2'!$AF22*'Inputs Yr 2'!Q22*'Inputs Yr 2'!$T22,"")</f>
        <v>0</v>
      </c>
      <c r="Y22" s="194">
        <f>IFERROR($G22*'Inputs Yr 2'!$AE22*'Inputs Yr 2'!$AF22*'Inputs Yr 2'!P22*'Inputs Yr 2'!Q22*'Inputs Yr 2'!$T22,"")</f>
        <v>0</v>
      </c>
      <c r="Z22" s="257">
        <f>IFERROR($G22*'Inputs Yr 2'!$Q22*'Inputs Yr 2'!$U22*(IF(IFERROR(SEARCH("NG", 'Inputs Yr 2'!$AJ22),0),'Inputs Yr 2'!$AK22,0)+IF(IFERROR(SEARCH("NG", 'Inputs Yr 2'!$AL22),0),'Inputs Yr 2'!$AM22,0)+IF(IFERROR(SEARCH("NG", 'Inputs Yr 2'!$AN22),0),'Inputs Yr 2'!$AO22,0)),0)</f>
        <v>9.4820000000000011</v>
      </c>
      <c r="AA22" s="257">
        <f t="shared" si="26"/>
        <v>189.64000000000001</v>
      </c>
      <c r="AB22" s="257">
        <f>IFERROR(Z22*'Inputs Yr 2'!$P22,0)</f>
        <v>9.4820000000000011</v>
      </c>
      <c r="AC22" s="257">
        <f t="shared" si="27"/>
        <v>189.64000000000001</v>
      </c>
      <c r="AD22" s="257">
        <f>IFERROR($G22*'Inputs Yr 2'!$Q22*'Inputs Yr 2'!$U22*(IF(IFERROR(SEARCH("Oil", 'Inputs Yr 2'!$AJ22), 0),'Inputs Yr 2'!$AK22,0)+IF(IFERROR(SEARCH("Oil", 'Inputs Yr 2'!$AL22), 0),'Inputs Yr 2'!$AM22,0)+IF(IFERROR(SEARCH("Oil", 'Inputs Yr 2'!$AN22), 0),'Inputs Yr 2'!$AO22,0)),0)</f>
        <v>0</v>
      </c>
      <c r="AE22" s="257">
        <f t="shared" si="28"/>
        <v>0</v>
      </c>
      <c r="AF22" s="257">
        <f>IFERROR(AD22*'Inputs Yr 2'!$P22,0)</f>
        <v>0</v>
      </c>
      <c r="AG22" s="257">
        <f t="shared" si="29"/>
        <v>0</v>
      </c>
      <c r="AH22" s="257">
        <f>IFERROR($G22*'Inputs Yr 2'!$Q22*'Inputs Yr 2'!$U22*(IF('Inputs Yr 2'!$AJ22=CD$4,'Inputs Yr 2'!$AK22,IF('Inputs Yr 2'!$AL22=CD$4,'Inputs Yr 2'!$AM22,IF('Inputs Yr 2'!$AN22=CD$4,'Inputs Yr 2'!$AO22,0)))),0)</f>
        <v>0</v>
      </c>
      <c r="AI22" s="257">
        <f t="shared" si="30"/>
        <v>0</v>
      </c>
      <c r="AJ22" s="257">
        <f>IFERROR(AH22*'Inputs Yr 2'!$P22,0)</f>
        <v>0</v>
      </c>
      <c r="AK22" s="257">
        <f t="shared" si="31"/>
        <v>0</v>
      </c>
      <c r="AL22" s="258">
        <f>IFERROR($G22*'Inputs Yr 2'!$P22*'Inputs Yr 2'!$Q22*'Inputs Yr 2'!AP22,0)</f>
        <v>0</v>
      </c>
      <c r="AM22" s="260">
        <f>IFERROR($G22*'Inputs Yr 2'!$P22*'Inputs Yr 2'!$Q22*'Inputs Yr 2'!AQ22,0)</f>
        <v>0</v>
      </c>
      <c r="AN22" s="258">
        <f>IFERROR($G22*'Inputs Yr 2'!$P22*'Inputs Yr 2'!$Q22*'Inputs Yr 2'!AR22,0)</f>
        <v>0</v>
      </c>
      <c r="AO22" s="257">
        <f t="shared" si="32"/>
        <v>0</v>
      </c>
      <c r="AP22" s="195">
        <f>IFERROR($CQ22*(INDEX(avoidedcosttbl2,$H22,AP$2)+(($H22-ROUNDDOWN($H22,0))*(INDEX(avoidedcosttbl2,ROUNDUP($H22,0),AP$2)-(INDEX(avoidedcosttbl2,ROUNDDOWN($H22,0),AP$2)))))*$O22*1000*'Inputs Yr 2'!AA22,"")</f>
        <v>0</v>
      </c>
      <c r="AQ22" s="195">
        <f>IFERROR($CR22*(INDEX(avoidedcosttbl2,$H22,AQ$2)+(($H22-ROUNDDOWN($H22,0))*(INDEX(avoidedcosttbl2,ROUNDUP($H22,0),AQ$2)-(INDEX(avoidedcosttbl2,ROUNDDOWN($H22,0),AQ$2)))))*$O22*1000*'Inputs Yr 2'!AB22,"")</f>
        <v>0</v>
      </c>
      <c r="AR22" s="195">
        <f>IFERROR($CS22*(INDEX(avoidedcosttbl2,$H22,AR$2)+(($H22-ROUNDDOWN($H22,0))*(INDEX(avoidedcosttbl2,ROUNDUP($H22,0),AR$2)-(INDEX(avoidedcosttbl2,ROUNDDOWN($H22,0),AR$2)))))*$O22*1000*'Inputs Yr 2'!AC22,"")</f>
        <v>0</v>
      </c>
      <c r="AS22" s="195">
        <f>IFERROR($CT22*(INDEX(avoidedcosttbl2,$H22,AS$2)+(($H22-ROUNDDOWN($H22,0))*(INDEX(avoidedcosttbl2,ROUNDUP($H22,0),AS$2)-(INDEX(avoidedcosttbl2,ROUNDDOWN($H22,0),AS$2)))))*$O22*1000*'Inputs Yr 2'!AD22,"")</f>
        <v>0</v>
      </c>
      <c r="AT22" s="196">
        <f t="shared" si="33"/>
        <v>0</v>
      </c>
      <c r="AU22" s="197">
        <f>IFERROR($CQ22*((INDEX(avoidedcosttbl2,$H22,AU$2))+(($H22-ROUNDDOWN($H22,0))*((INDEX(avoidedcosttbl2,ROUNDUP($H22,0),AU$2))-(INDEX(avoidedcosttbl2,ROUNDDOWN($H22,0),AU$2)))))*$O22*1000*'Inputs Yr 2'!AA22,"")</f>
        <v>0</v>
      </c>
      <c r="AV22" s="197">
        <f>IFERROR($CR22*((INDEX(avoidedcosttbl2,$H22,AV$2))+(($H22-ROUNDDOWN($H22,0))*((INDEX(avoidedcosttbl2,ROUNDUP($H22,0),AV$2))-(INDEX(avoidedcosttbl2,ROUNDDOWN($H22,0),AV$2)))))*$O22*1000*'Inputs Yr 2'!AB22,"")</f>
        <v>0</v>
      </c>
      <c r="AW22" s="197">
        <f>IFERROR($CS22*((INDEX(avoidedcosttbl2,$H22,AW$2))+(($H22-ROUNDDOWN($H22,0))*((INDEX(avoidedcosttbl2,ROUNDUP($H22,0),AW$2))-(INDEX(avoidedcosttbl2,ROUNDDOWN($H22,0),AW$2)))))*$O22*1000*'Inputs Yr 2'!AC22,"")</f>
        <v>0</v>
      </c>
      <c r="AX22" s="197">
        <f>IFERROR($CT22*((INDEX(avoidedcosttbl2,$H22,AX$2))+(($H22-ROUNDDOWN($H22,0))*((INDEX(avoidedcosttbl2,ROUNDUP($H22,0),AX$2))-(INDEX(avoidedcosttbl2,ROUNDDOWN($H22,0),AX$2)))))*$O22*1000*'Inputs Yr 2'!AD22,"")</f>
        <v>0</v>
      </c>
      <c r="AY22" s="197">
        <f>IFERROR(((INDEX(avoidedcosttbl2,$H22,AY$2))+(($H22-ROUNDDOWN($H22,0))*((INDEX(avoidedcosttbl2,ROUNDUP($H22,0),AY$2))-(INDEX(avoidedcosttbl2,ROUNDDOWN($H22,0),AY$2)))))*$O22*1000*('Inputs Yr 2'!AC22+'Inputs Yr 2'!AD22),"")</f>
        <v>0</v>
      </c>
      <c r="AZ22" s="197">
        <f>IFERROR(((INDEX(avoidedcosttbl2,$H22,AZ$2))+(($H22-ROUNDDOWN($H22,0))*((INDEX(avoidedcosttbl2,ROUNDUP($H22,0),AZ$2))-(INDEX(avoidedcosttbl2,ROUNDDOWN($H22,0),AZ$2)))))*$O22*1000*('Inputs Yr 2'!AA22+'Inputs Yr 2'!AB22),"")</f>
        <v>0</v>
      </c>
      <c r="BA22" s="198">
        <f t="shared" si="34"/>
        <v>0</v>
      </c>
      <c r="BB22" s="198">
        <f t="shared" si="35"/>
        <v>0</v>
      </c>
      <c r="BC22" s="195">
        <f t="shared" si="10"/>
        <v>0</v>
      </c>
      <c r="BD22" s="195">
        <f t="shared" si="11"/>
        <v>0</v>
      </c>
      <c r="BE22" s="195">
        <f t="shared" si="12"/>
        <v>0</v>
      </c>
      <c r="BF22" s="195">
        <f t="shared" si="13"/>
        <v>0</v>
      </c>
      <c r="BG22" s="195">
        <f t="shared" si="14"/>
        <v>0</v>
      </c>
      <c r="BH22" s="196">
        <f t="shared" si="36"/>
        <v>0</v>
      </c>
      <c r="BI22" s="196">
        <f t="shared" si="37"/>
        <v>0</v>
      </c>
      <c r="BJ22" s="195">
        <f>IFERROR($G22*(IF('Inputs Yr 2'!$AJ22=BJ$4,'Inputs Yr 2'!$AK22,IF('Inputs Yr 2'!$AL22=BJ$4,'Inputs Yr 2'!$AM22,IF('Inputs Yr 2'!$AN22=BJ$4,'Inputs Yr 2'!$AO22,0))))*(INDEX(avoidedcosttbl2,$H22,BJ$2)+(($H22-ROUNDDOWN($H22,0))*(INDEX(avoidedcosttbl2,ROUNDUP($H22,0),BJ$2)-(INDEX(avoidedcosttbl2,ROUNDDOWN($H22,0),BJ$2)))))*'Inputs Yr 2'!P22*'Inputs Yr 2'!Q22*'Inputs Yr 2'!U22,"")</f>
        <v>0</v>
      </c>
      <c r="BK22" s="195">
        <f>IFERROR($G22*(IF('Inputs Yr 2'!$AJ22=BK$4,'Inputs Yr 2'!$AK22,IF('Inputs Yr 2'!$AL22=BK$4,'Inputs Yr 2'!$AM22,IF('Inputs Yr 2'!$AN22=BK$4,'Inputs Yr 2'!$AO22,0))))*(INDEX(avoidedcosttbl2,$H22,BK$2)+(($H22-ROUNDDOWN($H22,0))*(INDEX(avoidedcosttbl2,ROUNDUP($H22,0),BK$2)-(INDEX(avoidedcosttbl2,ROUNDDOWN($H22,0),BK$2)))))*'Inputs Yr 2'!P22*'Inputs Yr 2'!Q22*'Inputs Yr 2'!U22,"")</f>
        <v>0</v>
      </c>
      <c r="BL22" s="195">
        <f>IFERROR($G22*(IF('Inputs Yr 2'!$AJ22=BL$4,'Inputs Yr 2'!$AK22,IF('Inputs Yr 2'!$AL22=BL$4,'Inputs Yr 2'!$AM22,IF('Inputs Yr 2'!$AN22=BL$4,'Inputs Yr 2'!$AO22,0))))*(INDEX(avoidedcosttbl2,$H22,BL$2)+(($H22-ROUNDDOWN($H22,0))*(INDEX(avoidedcosttbl2,ROUNDUP($H22,0),BL$2)-(INDEX(avoidedcosttbl2,ROUNDDOWN($H22,0),BL$2)))))*'Inputs Yr 2'!P22*'Inputs Yr 2'!Q22*'Inputs Yr 2'!U22,"")</f>
        <v>1643.4043823394732</v>
      </c>
      <c r="BM22" s="195">
        <f>IFERROR($G22*(IF('Inputs Yr 2'!$AJ22=BM$4,'Inputs Yr 2'!$AK22,IF('Inputs Yr 2'!$AL22=BM$4,'Inputs Yr 2'!$AM22,IF('Inputs Yr 2'!$AN22=BM$4,'Inputs Yr 2'!$AO22,0))))*(INDEX(avoidedcosttbl2,$H22,BM$2)+(($H22-ROUNDDOWN($H22,0))*(INDEX(avoidedcosttbl2,ROUNDUP($H22,0),BM$2)-(INDEX(avoidedcosttbl2,ROUNDDOWN($H22,0),BM$2)))))*'Inputs Yr 2'!P22*'Inputs Yr 2'!Q22*'Inputs Yr 2'!U22,"")</f>
        <v>0</v>
      </c>
      <c r="BN22" s="195">
        <f>IFERROR($G22*(IF('Inputs Yr 2'!$AJ22=BN$4,'Inputs Yr 2'!$AK22,IF('Inputs Yr 2'!$AL22=BN$4,'Inputs Yr 2'!$AM22,IF('Inputs Yr 2'!$AN22=BN$4,'Inputs Yr 2'!$AO22,0))))*(INDEX(avoidedcosttbl2,$H22,BN$2)+(($H22-ROUNDDOWN($H22,0))*(INDEX(avoidedcosttbl2,ROUNDUP($H22,0),BN$2)-(INDEX(avoidedcosttbl2,ROUNDDOWN($H22,0),BN$2)))))*'Inputs Yr 2'!P22*'Inputs Yr 2'!Q22*'Inputs Yr 2'!U22,"")</f>
        <v>0</v>
      </c>
      <c r="BO22" s="195">
        <f>IFERROR($G22*(IF('Inputs Yr 2'!$AJ22=BO$4,'Inputs Yr 2'!$AK22,IF('Inputs Yr 2'!$AL22=BO$4,'Inputs Yr 2'!$AM22,IF('Inputs Yr 2'!$AN22=BO$4,'Inputs Yr 2'!$AO22,0))))*(INDEX(avoidedcosttbl2,$H22,BO$2)+(($H22-ROUNDDOWN($H22,0))*(INDEX(avoidedcosttbl2,ROUNDUP($H22,0),BO$2)-(INDEX(avoidedcosttbl2,ROUNDDOWN($H22,0),BO$2)))))*'Inputs Yr 2'!P22*'Inputs Yr 2'!Q22*'Inputs Yr 2'!U22,"")</f>
        <v>0</v>
      </c>
      <c r="BP22" s="195">
        <f>IFERROR($G22*(IF('Inputs Yr 2'!$AJ22=BP$4,'Inputs Yr 2'!$AK22,IF('Inputs Yr 2'!$AL22=BP$4,'Inputs Yr 2'!$AM22,IF('Inputs Yr 2'!$AN22=BP$4,'Inputs Yr 2'!$AO22,0))))*(INDEX(avoidedcosttbl2,$H22,BP$2)+(($H22-ROUNDDOWN($H22,0))*(INDEX(avoidedcosttbl2,ROUNDUP($H22,0),BP$2)-(INDEX(avoidedcosttbl2,ROUNDDOWN($H22,0),BP$2)))))*'Inputs Yr 2'!P22*'Inputs Yr 2'!Q22*'Inputs Yr 2'!U22,"")</f>
        <v>0</v>
      </c>
      <c r="BQ22" s="230">
        <f t="shared" si="38"/>
        <v>1643.4043823394732</v>
      </c>
      <c r="BR22" s="197">
        <f t="shared" si="17"/>
        <v>25.42715698416696</v>
      </c>
      <c r="BS22" s="197">
        <f>IFERROR(($G22*IF('Inputs Yr 2'!$AJ22=BM$4,'Inputs Yr 2'!$AK22,IF('Inputs Yr 2'!$AL22=BM$4,'Inputs Yr 2'!$AM22,IF('Inputs Yr 2'!$AN22=BM$4,'Inputs Yr 2'!$AO22,0))))*(INDEX(avoidedcosttbl2,$H22,BS$2)+(($H22-ROUNDDOWN($H22,0))*(INDEX(avoidedcosttbl2,ROUNDUP($H22,0),BS$2)-(INDEX(avoidedcosttbl2,ROUNDDOWN($H22,0),BS$2)))))*'Inputs Yr 2'!P22*'Inputs Yr 2'!Q22*'Inputs Yr 2'!U22,"")</f>
        <v>0</v>
      </c>
      <c r="BT22" s="197">
        <f>IFERROR(($G22*IF('Inputs Yr 2'!$AJ22=BK$4,'Inputs Yr 2'!$AK22,IF('Inputs Yr 2'!$AL22=BK$4,'Inputs Yr 2'!$AM22,IF('Inputs Yr 2'!$AN22=BK$4,'Inputs Yr 2'!$AO22,0))))*(INDEX(avoidedcosttbl2,$H22,BT$2)+(($H22-ROUNDDOWN($H22,0))*(INDEX(avoidedcosttbl2,ROUNDUP($H22,0),BT$2)-(INDEX(avoidedcosttbl2,ROUNDDOWN($H22,0),BT$2)))))*'Inputs Yr 2'!P22*'Inputs Yr 2'!Q22*'Inputs Yr 2'!U22,"")</f>
        <v>0</v>
      </c>
      <c r="BU22" s="197">
        <f>IFERROR(($G22*IF('Inputs Yr 2'!$AJ22=BL$4,'Inputs Yr 2'!$AK22,IF('Inputs Yr 2'!$AL22=BL$4,'Inputs Yr 2'!$AM22,IF('Inputs Yr 2'!$AN22=BL$4,'Inputs Yr 2'!$AO22,0))))*(INDEX(avoidedcosttbl2,$H22,BU$2)+(($H22-ROUNDDOWN($H22,0))*(INDEX(avoidedcosttbl2,ROUNDUP($H22,0),BU$2)-(INDEX(avoidedcosttbl2,ROUNDDOWN($H22,0),BU$2)))))*'Inputs Yr 2'!P22*'Inputs Yr 2'!Q22*'Inputs Yr 2'!U22,"")</f>
        <v>77.184036805803458</v>
      </c>
      <c r="BV22" s="775">
        <f>IFERROR(($G22*IF('Inputs Yr 2'!$AJ22=BJ$4,'Inputs Yr 2'!$AK22,IF('Inputs Yr 2'!$AL22=BJ$4,'Inputs Yr 2'!$AM22,IF('Inputs Yr 2'!$AN22=BJ$4,'Inputs Yr 2'!$AO22,0))))*(INDEX(avoidedcosttbl2,$H22,BV$2)+(($H22-ROUNDDOWN($H22,0))*(INDEX(avoidedcosttbl2,ROUNDUP($H22,0),BV$2)-(INDEX(avoidedcosttbl2,ROUNDDOWN($H22,0),BV$2)))))*'Inputs Yr 2'!P22*'Inputs Yr 2'!Q22*'Inputs Yr 2'!U22,"")</f>
        <v>0</v>
      </c>
      <c r="BW22" s="197">
        <f>IFERROR(($G22*IF('Inputs Yr 2'!$AJ22=BN$4,'Inputs Yr 2'!$AK22,IF('Inputs Yr 2'!$AL22=BN$4,'Inputs Yr 2'!$AM22,IF('Inputs Yr 2'!$AN22=BN$4,'Inputs Yr 2'!$AO22,0))))*(INDEX(avoidedcosttbl2,$H22,BW$2)+(($H22-ROUNDDOWN($H22,0))*(INDEX(avoidedcosttbl2,ROUNDUP($H22,0),BW$2)-(INDEX(avoidedcosttbl2,ROUNDDOWN($H22,0),BW$2)))))*'Inputs Yr 2'!P22*'Inputs Yr 2'!Q22*'Inputs Yr 2'!U22,"")</f>
        <v>0</v>
      </c>
      <c r="BX22" s="197">
        <f>IFERROR(($G22*IF('Inputs Yr 2'!$AJ22=BO$4,'Inputs Yr 2'!$AK22,IF('Inputs Yr 2'!$AL22=BO$4,'Inputs Yr 2'!$AM22,IF('Inputs Yr 2'!$AN22=BO$4,'Inputs Yr 2'!$AO22,0))))*(INDEX(avoidedcosttbl2,$H22,BX$2)+(($H22-ROUNDDOWN($H22,0))*(INDEX(avoidedcosttbl2,ROUNDUP($H22,0),BX$2)-(INDEX(avoidedcosttbl2,ROUNDDOWN($H22,0),BX$2)))))*'Inputs Yr 2'!P22*'Inputs Yr 2'!Q22*'Inputs Yr 2'!U22,"")</f>
        <v>0</v>
      </c>
      <c r="BY22" s="197">
        <f>IFERROR(($G22*IF('Inputs Yr 2'!$AJ22=BP$4,'Inputs Yr 2'!$AK22,IF('Inputs Yr 2'!$AL22=BP$4,'Inputs Yr 2'!$AM22,IF('Inputs Yr 2'!$AN22=BP$4,'Inputs Yr 2'!$AO22,0))))*(INDEX(avoidedcosttbl2,$H22,BY$2)+(($H22-ROUNDDOWN($H22,0))*(INDEX(avoidedcosttbl2,ROUNDUP($H22,0),BY$2)-(INDEX(avoidedcosttbl2,ROUNDDOWN($H22,0),BY$2)))))*'Inputs Yr 2'!P22*'Inputs Yr 2'!Q22*'Inputs Yr 2'!U22,"")</f>
        <v>0</v>
      </c>
      <c r="BZ22" s="193">
        <f t="shared" si="39"/>
        <v>102.61119378997041</v>
      </c>
      <c r="CA22" s="193">
        <f t="shared" si="40"/>
        <v>1746.0155761294436</v>
      </c>
      <c r="CB22" s="195">
        <f>IFERROR(G22*(IF('Inputs Yr 2'!$AJ22=CB$4,'Inputs Yr 2'!$AK22,IF('Inputs Yr 2'!$AL22=CB$4,'Inputs Yr 2'!$AM22,IF('Inputs Yr 2'!$AN22=CB$4,'Inputs Yr 2'!$AO22,0))))*(INDEX(avoidedcosttbl2,$H22,CB$2)+(($H22-ROUNDDOWN($H22,0))*(INDEX(avoidedcosttbl2,ROUNDUP($H22,0),CB$2)-(INDEX(avoidedcosttbl2,ROUNDDOWN($H22,0),CB$2)))))*'Inputs Yr 2'!P22*'Inputs Yr 2'!Q22*'Inputs Yr 2'!U22,"")</f>
        <v>0</v>
      </c>
      <c r="CC22" s="195">
        <f>IFERROR(H22*(IF('Inputs Yr 2'!$AJ22=CC$4,'Inputs Yr 2'!$AK22,IF('Inputs Yr 2'!$AL22=CC$4,'Inputs Yr 2'!$AM22,IF('Inputs Yr 2'!$AN22=CC$4,'Inputs Yr 2'!$AO22,0))))*(INDEX(avoidedcosttbl2,$H22,CC$2)+(($H22-ROUNDDOWN($H22,0))*(INDEX(avoidedcosttbl2,ROUNDUP($H22,0),CC$2)-(INDEX(avoidedcosttbl2,ROUNDDOWN($H22,0),CC$2)))))*'Inputs Yr 2'!Q22*'Inputs Yr 2'!R22*'Inputs Yr 2'!V22,"")</f>
        <v>0</v>
      </c>
      <c r="CD22" s="195">
        <f>IFERROR(I22*(IF('Inputs Yr 2'!$AJ22=CD$4,'Inputs Yr 2'!$AK22,IF('Inputs Yr 2'!$AL22=CD$4,'Inputs Yr 2'!$AM22,IF('Inputs Yr 2'!$AN22=CD$4,'Inputs Yr 2'!$AO22,0))))*(INDEX(avoidedcosttbl2,$H22,CD$2)+(($H22-ROUNDDOWN($H22,0))*(INDEX(avoidedcosttbl2,ROUNDUP($H22,0),CD$2)-(INDEX(avoidedcosttbl2,ROUNDDOWN($H22,0),CD$2)))))*'Inputs Yr 2'!R22*'Inputs Yr 2'!S22*'Inputs Yr 2'!W22,"")</f>
        <v>0</v>
      </c>
      <c r="CE22" s="213">
        <f t="shared" si="41"/>
        <v>0</v>
      </c>
      <c r="CF22" s="213">
        <f t="shared" si="42"/>
        <v>0</v>
      </c>
      <c r="CG22" s="213">
        <f t="shared" si="43"/>
        <v>0</v>
      </c>
      <c r="CH22" s="698">
        <f t="shared" si="44"/>
        <v>1746.0155761294436</v>
      </c>
      <c r="CI22" s="79">
        <f>IFERROR(($G22*'Inputs Yr 2'!$P22*'Inputs Yr 2'!$Q22*(((INDEX(avoidedcosttbl2,$H22,CI$2)+(($H22-ROUNDDOWN($H22,0))*(INDEX(avoidedcosttbl2,ROUNDUP($H22,0),CI$2)-INDEX(avoidedcosttbl2,ROUNDDOWN($H22,0),CI$2))))*'Inputs Yr 2'!AS22))),"")</f>
        <v>0</v>
      </c>
      <c r="CJ22" s="504">
        <f>IFERROR($G22*'Inputs Yr 2'!AT22*'Inputs Yr 2'!$P22*'Inputs Yr 2'!$Q22/((1+realdiscrt1)^-0.5),"")</f>
        <v>0</v>
      </c>
      <c r="CK22" s="79">
        <f>IFERROR((O22*1000*(((INDEX(avoidedcosttbl2,$H22,CK$2)+(($H22-ROUNDDOWN($H22,0))*(INDEX(avoidedcosttbl2,ROUNDUP($H22,0),CK$2)-INDEX(avoidedcosttbl2,ROUNDDOWN($H22,0),CK$2))))*'Inputs Yr 2'!AU22))),"")</f>
        <v>0</v>
      </c>
      <c r="CL22" s="504">
        <f>IFERROR(O22*1000*'Inputs Yr 2'!AV22/((1+realdiscrt1)^-0.5),"")</f>
        <v>0</v>
      </c>
      <c r="CM22" s="79">
        <f>IFERROR((AB22*'Inputs Yr 2'!AW22*(((INDEX(avoidedcosttbl2,$H22,CM$2)+(($H22-ROUNDDOWN($H22,0))*(INDEX(avoidedcosttbl2,ROUNDUP($H22,0),CM$2)-INDEX(avoidedcosttbl2,ROUNDDOWN($H22,0),CM$2)))))))*10,"")</f>
        <v>2450.9578083698539</v>
      </c>
      <c r="CN22" s="504">
        <f>IFERROR(10*AB22*'Inputs Yr 2'!AX22/((1+realdiscrt1)^-0.5),"")</f>
        <v>0</v>
      </c>
      <c r="CO22" s="505">
        <f t="shared" si="45"/>
        <v>2450.9578083698539</v>
      </c>
      <c r="CP22" s="230">
        <f t="shared" si="46"/>
        <v>4196.973384499297</v>
      </c>
      <c r="CQ22" s="199">
        <f>ROUND(IFERROR(IF(LEFT($A22,1)="C",'Avoided Costs'!$K$13,'Avoided Costs'!$K$12)+1,""),4)</f>
        <v>1.0720000000000001</v>
      </c>
      <c r="CR22" s="199">
        <f>ROUND(IFERROR(IF(LEFT($A22,1)="C",'Avoided Costs'!$L$13,'Avoided Costs'!$L$12)+1,""),4)</f>
        <v>1.04</v>
      </c>
      <c r="CS22" s="199">
        <f>ROUND(IFERROR(IF(LEFT($A22,1)="C",'Avoided Costs'!$M$13,'Avoided Costs'!$M$12)+1,""),4)</f>
        <v>1.0720000000000001</v>
      </c>
      <c r="CT22" s="199">
        <f>ROUND(IFERROR(IF(LEFT($A22,1)="C",'Avoided Costs'!$N$13,'Avoided Costs'!$N$12)+1,""),4)</f>
        <v>1.04</v>
      </c>
      <c r="CU22" s="199">
        <f>ROUND(IFERROR(IF(LEFT($A22,1)="C",'Avoided Costs'!$O$13,'Avoided Costs'!$O$12)+1,""),4)</f>
        <v>1.1120000000000001</v>
      </c>
      <c r="CV22" s="199">
        <f>ROUND(IFERROR(IF(LEFT($A22,1)="C",'Avoided Costs'!$P$13,'Avoided Costs'!$P$12)+1,""),4)</f>
        <v>1.095</v>
      </c>
      <c r="CW22" s="199">
        <f>ROUND(IFERROR(IF(LEFT($A22,1)="C",'Avoided Costs'!$Q$13,'Avoided Costs'!$Q$12)+1,""),4)</f>
        <v>1.1120000000000001</v>
      </c>
      <c r="CX22" s="200">
        <f>ROUND(IFERROR(IF(LEFT($A22,1)="C",'Avoided Costs'!$R$13,'Avoided Costs'!$R$12)+1,""),4)</f>
        <v>1.1120000000000001</v>
      </c>
    </row>
    <row r="23" spans="1:102" ht="12.75" customHeight="1">
      <c r="A23" s="91" t="str">
        <f>IF('Inputs Yr 2'!$B23=0,"",'Inputs Yr 2'!A23)</f>
        <v>A - Residential</v>
      </c>
      <c r="B23" s="91" t="str">
        <f>IF('Inputs Yr 2'!$B23=0,"",'Inputs Yr 2'!B23)</f>
        <v>A1 - Residential Whole House</v>
      </c>
      <c r="C23" s="91" t="str">
        <f>IF('Inputs Yr 2'!$B23=0,"",'Inputs Yr 2'!C23)</f>
        <v>A1b - Residential Multi-Family Retrofit</v>
      </c>
      <c r="D23" s="91" t="str">
        <f>IF('Inputs Yr 2'!$B23=0,"",'Inputs Yr 2'!E23)</f>
        <v>Pipe Wrap (Water Heating), Gas</v>
      </c>
      <c r="E23" s="93" t="str">
        <f>IF('Inputs Yr 2'!$B23=0,"",'Inputs Yr 2'!F23)</f>
        <v>G16A1b08</v>
      </c>
      <c r="F23" s="93" t="str">
        <f>IF('Inputs Yr 2'!$B23=0,"",'Inputs Yr 2'!G23)</f>
        <v>Hot Water</v>
      </c>
      <c r="G23" s="95">
        <f>IF('Inputs Yr 2'!$H23&lt;&gt;0,('Inputs Yr 2'!H23),"")</f>
        <v>294</v>
      </c>
      <c r="H23" s="94">
        <f>IFERROR('Inputs Yr 2'!I23,"")</f>
        <v>15</v>
      </c>
      <c r="I23" s="298">
        <f>IFERROR('Inputs Yr 2'!J23*'Inputs Yr 2'!P23*G23,"")</f>
        <v>3496.5</v>
      </c>
      <c r="J23" s="298">
        <f>IFERROR('Inputs Yr 2'!K23*G23,"")</f>
        <v>3481.4999999999995</v>
      </c>
      <c r="K23" s="298">
        <f t="shared" si="23"/>
        <v>15.000000000000455</v>
      </c>
      <c r="L23" s="194">
        <f>IFERROR(('Inputs Yr 2'!W23*G23)/1000,"")</f>
        <v>0</v>
      </c>
      <c r="M23" s="194">
        <f>IFERROR(L23*('Inputs Yr 2'!$Q23*'Inputs Yr 2'!$V23*'Inputs Yr 2'!$R23),"")</f>
        <v>0</v>
      </c>
      <c r="N23" s="194">
        <f t="shared" si="24"/>
        <v>0</v>
      </c>
      <c r="O23" s="194">
        <f>IFERROR(M23*'Inputs Yr 2'!P23,"")</f>
        <v>0</v>
      </c>
      <c r="P23" s="194">
        <f t="shared" si="25"/>
        <v>0</v>
      </c>
      <c r="Q23" s="194">
        <f>IFERROR($P23*'Inputs Yr 2'!AA23,"")</f>
        <v>0</v>
      </c>
      <c r="R23" s="194">
        <f>IFERROR($P23*'Inputs Yr 2'!AB23,"")</f>
        <v>0</v>
      </c>
      <c r="S23" s="194">
        <f>IFERROR($P23*'Inputs Yr 2'!AC23,"")</f>
        <v>0</v>
      </c>
      <c r="T23" s="194">
        <f>IFERROR($P23*'Inputs Yr 2'!AD23,"")</f>
        <v>0</v>
      </c>
      <c r="U23" s="194">
        <f>IFERROR(G23*'Inputs Yr 2'!$AE23*'Inputs Yr 2'!$P23*'Inputs Yr 2'!$Q23,"")</f>
        <v>0</v>
      </c>
      <c r="V23" s="194">
        <f>IFERROR($G23*'Inputs Yr 2'!$AE23*'Inputs Yr 2'!$AG23*'Inputs Yr 2'!Q23*'Inputs Yr 2'!$S23,"")</f>
        <v>0</v>
      </c>
      <c r="W23" s="194">
        <f>IFERROR($G23*'Inputs Yr 2'!$AE23*'Inputs Yr 2'!$AG23*'Inputs Yr 2'!P23*'Inputs Yr 2'!Q23*'Inputs Yr 2'!$S23,"")</f>
        <v>0</v>
      </c>
      <c r="X23" s="194">
        <f>IFERROR($G23*'Inputs Yr 2'!$AE23*'Inputs Yr 2'!$AF23*'Inputs Yr 2'!Q23*'Inputs Yr 2'!$T23,"")</f>
        <v>0</v>
      </c>
      <c r="Y23" s="194">
        <f>IFERROR($G23*'Inputs Yr 2'!$AE23*'Inputs Yr 2'!$AF23*'Inputs Yr 2'!P23*'Inputs Yr 2'!Q23*'Inputs Yr 2'!$T23,"")</f>
        <v>0</v>
      </c>
      <c r="Z23" s="257">
        <f>IFERROR($G23*'Inputs Yr 2'!$Q23*'Inputs Yr 2'!$U23*(IF(IFERROR(SEARCH("NG", 'Inputs Yr 2'!$AJ23),0),'Inputs Yr 2'!$AK23,0)+IF(IFERROR(SEARCH("NG", 'Inputs Yr 2'!$AL23),0),'Inputs Yr 2'!$AM23,0)+IF(IFERROR(SEARCH("NG", 'Inputs Yr 2'!$AN23),0),'Inputs Yr 2'!$AO23,0)),0)</f>
        <v>288.90792000000005</v>
      </c>
      <c r="AA23" s="257">
        <f t="shared" si="26"/>
        <v>4333.6188000000011</v>
      </c>
      <c r="AB23" s="257">
        <f>IFERROR(Z23*'Inputs Yr 2'!$P23,0)</f>
        <v>288.90792000000005</v>
      </c>
      <c r="AC23" s="257">
        <f t="shared" si="27"/>
        <v>4333.6188000000011</v>
      </c>
      <c r="AD23" s="257">
        <f>IFERROR($G23*'Inputs Yr 2'!$Q23*'Inputs Yr 2'!$U23*(IF(IFERROR(SEARCH("Oil", 'Inputs Yr 2'!$AJ23), 0),'Inputs Yr 2'!$AK23,0)+IF(IFERROR(SEARCH("Oil", 'Inputs Yr 2'!$AL23), 0),'Inputs Yr 2'!$AM23,0)+IF(IFERROR(SEARCH("Oil", 'Inputs Yr 2'!$AN23), 0),'Inputs Yr 2'!$AO23,0)),0)</f>
        <v>0</v>
      </c>
      <c r="AE23" s="257">
        <f t="shared" si="28"/>
        <v>0</v>
      </c>
      <c r="AF23" s="257">
        <f>IFERROR(AD23*'Inputs Yr 2'!$P23,0)</f>
        <v>0</v>
      </c>
      <c r="AG23" s="257">
        <f t="shared" si="29"/>
        <v>0</v>
      </c>
      <c r="AH23" s="257">
        <f>IFERROR($G23*'Inputs Yr 2'!$Q23*'Inputs Yr 2'!$U23*(IF('Inputs Yr 2'!$AJ23=CD$4,'Inputs Yr 2'!$AK23,IF('Inputs Yr 2'!$AL23=CD$4,'Inputs Yr 2'!$AM23,IF('Inputs Yr 2'!$AN23=CD$4,'Inputs Yr 2'!$AO23,0)))),0)</f>
        <v>0</v>
      </c>
      <c r="AI23" s="257">
        <f t="shared" si="30"/>
        <v>0</v>
      </c>
      <c r="AJ23" s="257">
        <f>IFERROR(AH23*'Inputs Yr 2'!$P23,0)</f>
        <v>0</v>
      </c>
      <c r="AK23" s="257">
        <f t="shared" si="31"/>
        <v>0</v>
      </c>
      <c r="AL23" s="258">
        <f>IFERROR($G23*'Inputs Yr 2'!$P23*'Inputs Yr 2'!$Q23*'Inputs Yr 2'!AP23,0)</f>
        <v>0</v>
      </c>
      <c r="AM23" s="260">
        <f>IFERROR($G23*'Inputs Yr 2'!$P23*'Inputs Yr 2'!$Q23*'Inputs Yr 2'!AQ23,0)</f>
        <v>0</v>
      </c>
      <c r="AN23" s="258">
        <f>IFERROR($G23*'Inputs Yr 2'!$P23*'Inputs Yr 2'!$Q23*'Inputs Yr 2'!AR23,0)</f>
        <v>0</v>
      </c>
      <c r="AO23" s="257">
        <f t="shared" si="32"/>
        <v>0</v>
      </c>
      <c r="AP23" s="195">
        <f>IFERROR($CQ23*(INDEX(avoidedcosttbl2,$H23,AP$2)+(($H23-ROUNDDOWN($H23,0))*(INDEX(avoidedcosttbl2,ROUNDUP($H23,0),AP$2)-(INDEX(avoidedcosttbl2,ROUNDDOWN($H23,0),AP$2)))))*$O23*1000*'Inputs Yr 2'!AA23,"")</f>
        <v>0</v>
      </c>
      <c r="AQ23" s="195">
        <f>IFERROR($CR23*(INDEX(avoidedcosttbl2,$H23,AQ$2)+(($H23-ROUNDDOWN($H23,0))*(INDEX(avoidedcosttbl2,ROUNDUP($H23,0),AQ$2)-(INDEX(avoidedcosttbl2,ROUNDDOWN($H23,0),AQ$2)))))*$O23*1000*'Inputs Yr 2'!AB23,"")</f>
        <v>0</v>
      </c>
      <c r="AR23" s="195">
        <f>IFERROR($CS23*(INDEX(avoidedcosttbl2,$H23,AR$2)+(($H23-ROUNDDOWN($H23,0))*(INDEX(avoidedcosttbl2,ROUNDUP($H23,0),AR$2)-(INDEX(avoidedcosttbl2,ROUNDDOWN($H23,0),AR$2)))))*$O23*1000*'Inputs Yr 2'!AC23,"")</f>
        <v>0</v>
      </c>
      <c r="AS23" s="195">
        <f>IFERROR($CT23*(INDEX(avoidedcosttbl2,$H23,AS$2)+(($H23-ROUNDDOWN($H23,0))*(INDEX(avoidedcosttbl2,ROUNDUP($H23,0),AS$2)-(INDEX(avoidedcosttbl2,ROUNDDOWN($H23,0),AS$2)))))*$O23*1000*'Inputs Yr 2'!AD23,"")</f>
        <v>0</v>
      </c>
      <c r="AT23" s="196">
        <f t="shared" si="33"/>
        <v>0</v>
      </c>
      <c r="AU23" s="197">
        <f>IFERROR($CQ23*((INDEX(avoidedcosttbl2,$H23,AU$2))+(($H23-ROUNDDOWN($H23,0))*((INDEX(avoidedcosttbl2,ROUNDUP($H23,0),AU$2))-(INDEX(avoidedcosttbl2,ROUNDDOWN($H23,0),AU$2)))))*$O23*1000*'Inputs Yr 2'!AA23,"")</f>
        <v>0</v>
      </c>
      <c r="AV23" s="197">
        <f>IFERROR($CR23*((INDEX(avoidedcosttbl2,$H23,AV$2))+(($H23-ROUNDDOWN($H23,0))*((INDEX(avoidedcosttbl2,ROUNDUP($H23,0),AV$2))-(INDEX(avoidedcosttbl2,ROUNDDOWN($H23,0),AV$2)))))*$O23*1000*'Inputs Yr 2'!AB23,"")</f>
        <v>0</v>
      </c>
      <c r="AW23" s="197">
        <f>IFERROR($CS23*((INDEX(avoidedcosttbl2,$H23,AW$2))+(($H23-ROUNDDOWN($H23,0))*((INDEX(avoidedcosttbl2,ROUNDUP($H23,0),AW$2))-(INDEX(avoidedcosttbl2,ROUNDDOWN($H23,0),AW$2)))))*$O23*1000*'Inputs Yr 2'!AC23,"")</f>
        <v>0</v>
      </c>
      <c r="AX23" s="197">
        <f>IFERROR($CT23*((INDEX(avoidedcosttbl2,$H23,AX$2))+(($H23-ROUNDDOWN($H23,0))*((INDEX(avoidedcosttbl2,ROUNDUP($H23,0),AX$2))-(INDEX(avoidedcosttbl2,ROUNDDOWN($H23,0),AX$2)))))*$O23*1000*'Inputs Yr 2'!AD23,"")</f>
        <v>0</v>
      </c>
      <c r="AY23" s="197">
        <f>IFERROR(((INDEX(avoidedcosttbl2,$H23,AY$2))+(($H23-ROUNDDOWN($H23,0))*((INDEX(avoidedcosttbl2,ROUNDUP($H23,0),AY$2))-(INDEX(avoidedcosttbl2,ROUNDDOWN($H23,0),AY$2)))))*$O23*1000*('Inputs Yr 2'!AC23+'Inputs Yr 2'!AD23),"")</f>
        <v>0</v>
      </c>
      <c r="AZ23" s="197">
        <f>IFERROR(((INDEX(avoidedcosttbl2,$H23,AZ$2))+(($H23-ROUNDDOWN($H23,0))*((INDEX(avoidedcosttbl2,ROUNDUP($H23,0),AZ$2))-(INDEX(avoidedcosttbl2,ROUNDDOWN($H23,0),AZ$2)))))*$O23*1000*('Inputs Yr 2'!AA23+'Inputs Yr 2'!AB23),"")</f>
        <v>0</v>
      </c>
      <c r="BA23" s="198">
        <f t="shared" si="34"/>
        <v>0</v>
      </c>
      <c r="BB23" s="198">
        <f t="shared" si="35"/>
        <v>0</v>
      </c>
      <c r="BC23" s="195">
        <f t="shared" si="10"/>
        <v>0</v>
      </c>
      <c r="BD23" s="195">
        <f t="shared" si="11"/>
        <v>0</v>
      </c>
      <c r="BE23" s="195">
        <f t="shared" si="12"/>
        <v>0</v>
      </c>
      <c r="BF23" s="195">
        <f t="shared" si="13"/>
        <v>0</v>
      </c>
      <c r="BG23" s="195">
        <f t="shared" si="14"/>
        <v>0</v>
      </c>
      <c r="BH23" s="196">
        <f t="shared" si="36"/>
        <v>0</v>
      </c>
      <c r="BI23" s="196">
        <f t="shared" si="37"/>
        <v>0</v>
      </c>
      <c r="BJ23" s="195">
        <f>IFERROR($G23*(IF('Inputs Yr 2'!$AJ23=BJ$4,'Inputs Yr 2'!$AK23,IF('Inputs Yr 2'!$AL23=BJ$4,'Inputs Yr 2'!$AM23,IF('Inputs Yr 2'!$AN23=BJ$4,'Inputs Yr 2'!$AO23,0))))*(INDEX(avoidedcosttbl2,$H23,BJ$2)+(($H23-ROUNDDOWN($H23,0))*(INDEX(avoidedcosttbl2,ROUNDUP($H23,0),BJ$2)-(INDEX(avoidedcosttbl2,ROUNDDOWN($H23,0),BJ$2)))))*'Inputs Yr 2'!P23*'Inputs Yr 2'!Q23*'Inputs Yr 2'!U23,"")</f>
        <v>0</v>
      </c>
      <c r="BK23" s="195">
        <f>IFERROR($G23*(IF('Inputs Yr 2'!$AJ23=BK$4,'Inputs Yr 2'!$AK23,IF('Inputs Yr 2'!$AL23=BK$4,'Inputs Yr 2'!$AM23,IF('Inputs Yr 2'!$AN23=BK$4,'Inputs Yr 2'!$AO23,0))))*(INDEX(avoidedcosttbl2,$H23,BK$2)+(($H23-ROUNDDOWN($H23,0))*(INDEX(avoidedcosttbl2,ROUNDUP($H23,0),BK$2)-(INDEX(avoidedcosttbl2,ROUNDDOWN($H23,0),BK$2)))))*'Inputs Yr 2'!P23*'Inputs Yr 2'!Q23*'Inputs Yr 2'!U23,"")</f>
        <v>34725.831820367493</v>
      </c>
      <c r="BL23" s="195">
        <f>IFERROR($G23*(IF('Inputs Yr 2'!$AJ23=BL$4,'Inputs Yr 2'!$AK23,IF('Inputs Yr 2'!$AL23=BL$4,'Inputs Yr 2'!$AM23,IF('Inputs Yr 2'!$AN23=BL$4,'Inputs Yr 2'!$AO23,0))))*(INDEX(avoidedcosttbl2,$H23,BL$2)+(($H23-ROUNDDOWN($H23,0))*(INDEX(avoidedcosttbl2,ROUNDUP($H23,0),BL$2)-(INDEX(avoidedcosttbl2,ROUNDDOWN($H23,0),BL$2)))))*'Inputs Yr 2'!P23*'Inputs Yr 2'!Q23*'Inputs Yr 2'!U23,"")</f>
        <v>0</v>
      </c>
      <c r="BM23" s="195">
        <f>IFERROR($G23*(IF('Inputs Yr 2'!$AJ23=BM$4,'Inputs Yr 2'!$AK23,IF('Inputs Yr 2'!$AL23=BM$4,'Inputs Yr 2'!$AM23,IF('Inputs Yr 2'!$AN23=BM$4,'Inputs Yr 2'!$AO23,0))))*(INDEX(avoidedcosttbl2,$H23,BM$2)+(($H23-ROUNDDOWN($H23,0))*(INDEX(avoidedcosttbl2,ROUNDUP($H23,0),BM$2)-(INDEX(avoidedcosttbl2,ROUNDDOWN($H23,0),BM$2)))))*'Inputs Yr 2'!P23*'Inputs Yr 2'!Q23*'Inputs Yr 2'!U23,"")</f>
        <v>0</v>
      </c>
      <c r="BN23" s="195">
        <f>IFERROR($G23*(IF('Inputs Yr 2'!$AJ23=BN$4,'Inputs Yr 2'!$AK23,IF('Inputs Yr 2'!$AL23=BN$4,'Inputs Yr 2'!$AM23,IF('Inputs Yr 2'!$AN23=BN$4,'Inputs Yr 2'!$AO23,0))))*(INDEX(avoidedcosttbl2,$H23,BN$2)+(($H23-ROUNDDOWN($H23,0))*(INDEX(avoidedcosttbl2,ROUNDUP($H23,0),BN$2)-(INDEX(avoidedcosttbl2,ROUNDDOWN($H23,0),BN$2)))))*'Inputs Yr 2'!P23*'Inputs Yr 2'!Q23*'Inputs Yr 2'!U23,"")</f>
        <v>0</v>
      </c>
      <c r="BO23" s="195">
        <f>IFERROR($G23*(IF('Inputs Yr 2'!$AJ23=BO$4,'Inputs Yr 2'!$AK23,IF('Inputs Yr 2'!$AL23=BO$4,'Inputs Yr 2'!$AM23,IF('Inputs Yr 2'!$AN23=BO$4,'Inputs Yr 2'!$AO23,0))))*(INDEX(avoidedcosttbl2,$H23,BO$2)+(($H23-ROUNDDOWN($H23,0))*(INDEX(avoidedcosttbl2,ROUNDUP($H23,0),BO$2)-(INDEX(avoidedcosttbl2,ROUNDDOWN($H23,0),BO$2)))))*'Inputs Yr 2'!P23*'Inputs Yr 2'!Q23*'Inputs Yr 2'!U23,"")</f>
        <v>0</v>
      </c>
      <c r="BP23" s="195">
        <f>IFERROR($G23*(IF('Inputs Yr 2'!$AJ23=BP$4,'Inputs Yr 2'!$AK23,IF('Inputs Yr 2'!$AL23=BP$4,'Inputs Yr 2'!$AM23,IF('Inputs Yr 2'!$AN23=BP$4,'Inputs Yr 2'!$AO23,0))))*(INDEX(avoidedcosttbl2,$H23,BP$2)+(($H23-ROUNDDOWN($H23,0))*(INDEX(avoidedcosttbl2,ROUNDUP($H23,0),BP$2)-(INDEX(avoidedcosttbl2,ROUNDDOWN($H23,0),BP$2)))))*'Inputs Yr 2'!P23*'Inputs Yr 2'!Q23*'Inputs Yr 2'!U23,"")</f>
        <v>0</v>
      </c>
      <c r="BQ23" s="230">
        <f t="shared" si="38"/>
        <v>34725.831820367493</v>
      </c>
      <c r="BR23" s="197">
        <f t="shared" si="17"/>
        <v>587.386946962401</v>
      </c>
      <c r="BS23" s="197">
        <f>IFERROR(($G23*IF('Inputs Yr 2'!$AJ23=BM$4,'Inputs Yr 2'!$AK23,IF('Inputs Yr 2'!$AL23=BM$4,'Inputs Yr 2'!$AM23,IF('Inputs Yr 2'!$AN23=BM$4,'Inputs Yr 2'!$AO23,0))))*(INDEX(avoidedcosttbl2,$H23,BS$2)+(($H23-ROUNDDOWN($H23,0))*(INDEX(avoidedcosttbl2,ROUNDUP($H23,0),BS$2)-(INDEX(avoidedcosttbl2,ROUNDDOWN($H23,0),BS$2)))))*'Inputs Yr 2'!P23*'Inputs Yr 2'!Q23*'Inputs Yr 2'!U23,"")</f>
        <v>0</v>
      </c>
      <c r="BT23" s="197">
        <f>IFERROR(($G23*IF('Inputs Yr 2'!$AJ23=BK$4,'Inputs Yr 2'!$AK23,IF('Inputs Yr 2'!$AL23=BK$4,'Inputs Yr 2'!$AM23,IF('Inputs Yr 2'!$AN23=BK$4,'Inputs Yr 2'!$AO23,0))))*(INDEX(avoidedcosttbl2,$H23,BT$2)+(($H23-ROUNDDOWN($H23,0))*(INDEX(avoidedcosttbl2,ROUNDUP($H23,0),BT$2)-(INDEX(avoidedcosttbl2,ROUNDDOWN($H23,0),BT$2)))))*'Inputs Yr 2'!P23*'Inputs Yr 2'!Q23*'Inputs Yr 2'!U23,"")</f>
        <v>2386.0109540986132</v>
      </c>
      <c r="BU23" s="197">
        <f>IFERROR(($G23*IF('Inputs Yr 2'!$AJ23=BL$4,'Inputs Yr 2'!$AK23,IF('Inputs Yr 2'!$AL23=BL$4,'Inputs Yr 2'!$AM23,IF('Inputs Yr 2'!$AN23=BL$4,'Inputs Yr 2'!$AO23,0))))*(INDEX(avoidedcosttbl2,$H23,BU$2)+(($H23-ROUNDDOWN($H23,0))*(INDEX(avoidedcosttbl2,ROUNDUP($H23,0),BU$2)-(INDEX(avoidedcosttbl2,ROUNDDOWN($H23,0),BU$2)))))*'Inputs Yr 2'!P23*'Inputs Yr 2'!Q23*'Inputs Yr 2'!U23,"")</f>
        <v>0</v>
      </c>
      <c r="BV23" s="775">
        <f>IFERROR(($G23*IF('Inputs Yr 2'!$AJ23=BJ$4,'Inputs Yr 2'!$AK23,IF('Inputs Yr 2'!$AL23=BJ$4,'Inputs Yr 2'!$AM23,IF('Inputs Yr 2'!$AN23=BJ$4,'Inputs Yr 2'!$AO23,0))))*(INDEX(avoidedcosttbl2,$H23,BV$2)+(($H23-ROUNDDOWN($H23,0))*(INDEX(avoidedcosttbl2,ROUNDUP($H23,0),BV$2)-(INDEX(avoidedcosttbl2,ROUNDDOWN($H23,0),BV$2)))))*'Inputs Yr 2'!P23*'Inputs Yr 2'!Q23*'Inputs Yr 2'!U23,"")</f>
        <v>0</v>
      </c>
      <c r="BW23" s="197">
        <f>IFERROR(($G23*IF('Inputs Yr 2'!$AJ23=BN$4,'Inputs Yr 2'!$AK23,IF('Inputs Yr 2'!$AL23=BN$4,'Inputs Yr 2'!$AM23,IF('Inputs Yr 2'!$AN23=BN$4,'Inputs Yr 2'!$AO23,0))))*(INDEX(avoidedcosttbl2,$H23,BW$2)+(($H23-ROUNDDOWN($H23,0))*(INDEX(avoidedcosttbl2,ROUNDUP($H23,0),BW$2)-(INDEX(avoidedcosttbl2,ROUNDDOWN($H23,0),BW$2)))))*'Inputs Yr 2'!P23*'Inputs Yr 2'!Q23*'Inputs Yr 2'!U23,"")</f>
        <v>0</v>
      </c>
      <c r="BX23" s="197">
        <f>IFERROR(($G23*IF('Inputs Yr 2'!$AJ23=BO$4,'Inputs Yr 2'!$AK23,IF('Inputs Yr 2'!$AL23=BO$4,'Inputs Yr 2'!$AM23,IF('Inputs Yr 2'!$AN23=BO$4,'Inputs Yr 2'!$AO23,0))))*(INDEX(avoidedcosttbl2,$H23,BX$2)+(($H23-ROUNDDOWN($H23,0))*(INDEX(avoidedcosttbl2,ROUNDUP($H23,0),BX$2)-(INDEX(avoidedcosttbl2,ROUNDDOWN($H23,0),BX$2)))))*'Inputs Yr 2'!P23*'Inputs Yr 2'!Q23*'Inputs Yr 2'!U23,"")</f>
        <v>0</v>
      </c>
      <c r="BY23" s="197">
        <f>IFERROR(($G23*IF('Inputs Yr 2'!$AJ23=BP$4,'Inputs Yr 2'!$AK23,IF('Inputs Yr 2'!$AL23=BP$4,'Inputs Yr 2'!$AM23,IF('Inputs Yr 2'!$AN23=BP$4,'Inputs Yr 2'!$AO23,0))))*(INDEX(avoidedcosttbl2,$H23,BY$2)+(($H23-ROUNDDOWN($H23,0))*(INDEX(avoidedcosttbl2,ROUNDUP($H23,0),BY$2)-(INDEX(avoidedcosttbl2,ROUNDDOWN($H23,0),BY$2)))))*'Inputs Yr 2'!P23*'Inputs Yr 2'!Q23*'Inputs Yr 2'!U23,"")</f>
        <v>0</v>
      </c>
      <c r="BZ23" s="193">
        <f t="shared" si="39"/>
        <v>2973.3979010610142</v>
      </c>
      <c r="CA23" s="193">
        <f t="shared" si="40"/>
        <v>37699.229721428506</v>
      </c>
      <c r="CB23" s="195">
        <f>IFERROR(G23*(IF('Inputs Yr 2'!$AJ23=CB$4,'Inputs Yr 2'!$AK23,IF('Inputs Yr 2'!$AL23=CB$4,'Inputs Yr 2'!$AM23,IF('Inputs Yr 2'!$AN23=CB$4,'Inputs Yr 2'!$AO23,0))))*(INDEX(avoidedcosttbl2,$H23,CB$2)+(($H23-ROUNDDOWN($H23,0))*(INDEX(avoidedcosttbl2,ROUNDUP($H23,0),CB$2)-(INDEX(avoidedcosttbl2,ROUNDDOWN($H23,0),CB$2)))))*'Inputs Yr 2'!P23*'Inputs Yr 2'!Q23*'Inputs Yr 2'!U23,"")</f>
        <v>0</v>
      </c>
      <c r="CC23" s="195">
        <f>IFERROR(H23*(IF('Inputs Yr 2'!$AJ23=CC$4,'Inputs Yr 2'!$AK23,IF('Inputs Yr 2'!$AL23=CC$4,'Inputs Yr 2'!$AM23,IF('Inputs Yr 2'!$AN23=CC$4,'Inputs Yr 2'!$AO23,0))))*(INDEX(avoidedcosttbl2,$H23,CC$2)+(($H23-ROUNDDOWN($H23,0))*(INDEX(avoidedcosttbl2,ROUNDUP($H23,0),CC$2)-(INDEX(avoidedcosttbl2,ROUNDDOWN($H23,0),CC$2)))))*'Inputs Yr 2'!Q23*'Inputs Yr 2'!R23*'Inputs Yr 2'!V23,"")</f>
        <v>0</v>
      </c>
      <c r="CD23" s="195">
        <f>IFERROR(I23*(IF('Inputs Yr 2'!$AJ23=CD$4,'Inputs Yr 2'!$AK23,IF('Inputs Yr 2'!$AL23=CD$4,'Inputs Yr 2'!$AM23,IF('Inputs Yr 2'!$AN23=CD$4,'Inputs Yr 2'!$AO23,0))))*(INDEX(avoidedcosttbl2,$H23,CD$2)+(($H23-ROUNDDOWN($H23,0))*(INDEX(avoidedcosttbl2,ROUNDUP($H23,0),CD$2)-(INDEX(avoidedcosttbl2,ROUNDDOWN($H23,0),CD$2)))))*'Inputs Yr 2'!R23*'Inputs Yr 2'!S23*'Inputs Yr 2'!W23,"")</f>
        <v>0</v>
      </c>
      <c r="CE23" s="213">
        <f t="shared" si="41"/>
        <v>0</v>
      </c>
      <c r="CF23" s="213">
        <f t="shared" si="42"/>
        <v>0</v>
      </c>
      <c r="CG23" s="213">
        <f t="shared" si="43"/>
        <v>0</v>
      </c>
      <c r="CH23" s="698">
        <f t="shared" si="44"/>
        <v>37699.229721428506</v>
      </c>
      <c r="CI23" s="79">
        <f>IFERROR(($G23*'Inputs Yr 2'!$P23*'Inputs Yr 2'!$Q23*(((INDEX(avoidedcosttbl2,$H23,CI$2)+(($H23-ROUNDDOWN($H23,0))*(INDEX(avoidedcosttbl2,ROUNDUP($H23,0),CI$2)-INDEX(avoidedcosttbl2,ROUNDDOWN($H23,0),CI$2))))*'Inputs Yr 2'!AS23))),"")</f>
        <v>0</v>
      </c>
      <c r="CJ23" s="504">
        <f>IFERROR($G23*'Inputs Yr 2'!AT23*'Inputs Yr 2'!$P23*'Inputs Yr 2'!$Q23/((1+realdiscrt1)^-0.5),"")</f>
        <v>0</v>
      </c>
      <c r="CK23" s="79">
        <f>IFERROR((O23*1000*(((INDEX(avoidedcosttbl2,$H23,CK$2)+(($H23-ROUNDDOWN($H23,0))*(INDEX(avoidedcosttbl2,ROUNDUP($H23,0),CK$2)-INDEX(avoidedcosttbl2,ROUNDDOWN($H23,0),CK$2))))*'Inputs Yr 2'!AU23))),"")</f>
        <v>0</v>
      </c>
      <c r="CL23" s="504">
        <f>IFERROR(O23*1000*'Inputs Yr 2'!AV23/((1+realdiscrt1)^-0.5),"")</f>
        <v>0</v>
      </c>
      <c r="CM23" s="79">
        <f>IFERROR((AB23*'Inputs Yr 2'!AW23*(((INDEX(avoidedcosttbl2,$H23,CM$2)+(($H23-ROUNDDOWN($H23,0))*(INDEX(avoidedcosttbl2,ROUNDUP($H23,0),CM$2)-INDEX(avoidedcosttbl2,ROUNDDOWN($H23,0),CM$2)))))))*10,"")</f>
        <v>0</v>
      </c>
      <c r="CN23" s="504">
        <f>IFERROR(10*AB23*'Inputs Yr 2'!AX23/((1+realdiscrt1)^-0.5),"")</f>
        <v>0</v>
      </c>
      <c r="CO23" s="505">
        <f t="shared" si="45"/>
        <v>0</v>
      </c>
      <c r="CP23" s="230">
        <f t="shared" si="46"/>
        <v>37699.229721428506</v>
      </c>
      <c r="CQ23" s="199">
        <f>ROUND(IFERROR(IF(LEFT($A23,1)="C",'Avoided Costs'!$K$13,'Avoided Costs'!$K$12)+1,""),4)</f>
        <v>1.0720000000000001</v>
      </c>
      <c r="CR23" s="199">
        <f>ROUND(IFERROR(IF(LEFT($A23,1)="C",'Avoided Costs'!$L$13,'Avoided Costs'!$L$12)+1,""),4)</f>
        <v>1.04</v>
      </c>
      <c r="CS23" s="199">
        <f>ROUND(IFERROR(IF(LEFT($A23,1)="C",'Avoided Costs'!$M$13,'Avoided Costs'!$M$12)+1,""),4)</f>
        <v>1.0720000000000001</v>
      </c>
      <c r="CT23" s="199">
        <f>ROUND(IFERROR(IF(LEFT($A23,1)="C",'Avoided Costs'!$N$13,'Avoided Costs'!$N$12)+1,""),4)</f>
        <v>1.04</v>
      </c>
      <c r="CU23" s="199">
        <f>ROUND(IFERROR(IF(LEFT($A23,1)="C",'Avoided Costs'!$O$13,'Avoided Costs'!$O$12)+1,""),4)</f>
        <v>1.1120000000000001</v>
      </c>
      <c r="CV23" s="199">
        <f>ROUND(IFERROR(IF(LEFT($A23,1)="C",'Avoided Costs'!$P$13,'Avoided Costs'!$P$12)+1,""),4)</f>
        <v>1.095</v>
      </c>
      <c r="CW23" s="199">
        <f>ROUND(IFERROR(IF(LEFT($A23,1)="C",'Avoided Costs'!$Q$13,'Avoided Costs'!$Q$12)+1,""),4)</f>
        <v>1.1120000000000001</v>
      </c>
      <c r="CX23" s="200">
        <f>ROUND(IFERROR(IF(LEFT($A23,1)="C",'Avoided Costs'!$R$13,'Avoided Costs'!$R$12)+1,""),4)</f>
        <v>1.1120000000000001</v>
      </c>
    </row>
    <row r="24" spans="1:102" ht="12.75" customHeight="1">
      <c r="A24" s="91" t="str">
        <f>IF('Inputs Yr 2'!$B24=0,"",'Inputs Yr 2'!A24)</f>
        <v>A - Residential</v>
      </c>
      <c r="B24" s="91" t="str">
        <f>IF('Inputs Yr 2'!$B24=0,"",'Inputs Yr 2'!B24)</f>
        <v>A1 - Residential Whole House</v>
      </c>
      <c r="C24" s="91" t="str">
        <f>IF('Inputs Yr 2'!$B24=0,"",'Inputs Yr 2'!C24)</f>
        <v>A1b - Residential Multi-Family Retrofit</v>
      </c>
      <c r="D24" s="91" t="str">
        <f>IF('Inputs Yr 2'!$B24=0,"",'Inputs Yr 2'!E24)</f>
        <v>Pipe Wrap (Heating), Gas</v>
      </c>
      <c r="E24" s="93" t="str">
        <f>IF('Inputs Yr 2'!$B24=0,"",'Inputs Yr 2'!F24)</f>
        <v>G16A1b09</v>
      </c>
      <c r="F24" s="93" t="str">
        <f>IF('Inputs Yr 2'!$B24=0,"",'Inputs Yr 2'!G24)</f>
        <v>HVAC</v>
      </c>
      <c r="G24" s="95">
        <f>IF('Inputs Yr 2'!$H24&lt;&gt;0,('Inputs Yr 2'!H24),"")</f>
        <v>367</v>
      </c>
      <c r="H24" s="94">
        <f>IFERROR('Inputs Yr 2'!I24,"")</f>
        <v>15</v>
      </c>
      <c r="I24" s="298">
        <f>IFERROR('Inputs Yr 2'!J24*'Inputs Yr 2'!P24*G24,"")</f>
        <v>3083</v>
      </c>
      <c r="J24" s="298">
        <f>IFERROR('Inputs Yr 2'!K24*G24,"")</f>
        <v>2316</v>
      </c>
      <c r="K24" s="298">
        <f t="shared" si="23"/>
        <v>767</v>
      </c>
      <c r="L24" s="194">
        <f>IFERROR(('Inputs Yr 2'!W24*G24)/1000,"")</f>
        <v>0</v>
      </c>
      <c r="M24" s="194">
        <f>IFERROR(L24*('Inputs Yr 2'!$Q24*'Inputs Yr 2'!$V24*'Inputs Yr 2'!$R24),"")</f>
        <v>0</v>
      </c>
      <c r="N24" s="194">
        <f t="shared" si="24"/>
        <v>0</v>
      </c>
      <c r="O24" s="194">
        <f>IFERROR(M24*'Inputs Yr 2'!P24,"")</f>
        <v>0</v>
      </c>
      <c r="P24" s="194">
        <f t="shared" si="25"/>
        <v>0</v>
      </c>
      <c r="Q24" s="194">
        <f>IFERROR($P24*'Inputs Yr 2'!AA24,"")</f>
        <v>0</v>
      </c>
      <c r="R24" s="194">
        <f>IFERROR($P24*'Inputs Yr 2'!AB24,"")</f>
        <v>0</v>
      </c>
      <c r="S24" s="194">
        <f>IFERROR($P24*'Inputs Yr 2'!AC24,"")</f>
        <v>0</v>
      </c>
      <c r="T24" s="194">
        <f>IFERROR($P24*'Inputs Yr 2'!AD24,"")</f>
        <v>0</v>
      </c>
      <c r="U24" s="194">
        <f>IFERROR(G24*'Inputs Yr 2'!$AE24*'Inputs Yr 2'!$P24*'Inputs Yr 2'!$Q24,"")</f>
        <v>0</v>
      </c>
      <c r="V24" s="194">
        <f>IFERROR($G24*'Inputs Yr 2'!$AE24*'Inputs Yr 2'!$AG24*'Inputs Yr 2'!Q24*'Inputs Yr 2'!$S24,"")</f>
        <v>0</v>
      </c>
      <c r="W24" s="194">
        <f>IFERROR($G24*'Inputs Yr 2'!$AE24*'Inputs Yr 2'!$AG24*'Inputs Yr 2'!P24*'Inputs Yr 2'!Q24*'Inputs Yr 2'!$S24,"")</f>
        <v>0</v>
      </c>
      <c r="X24" s="194">
        <f>IFERROR($G24*'Inputs Yr 2'!$AE24*'Inputs Yr 2'!$AF24*'Inputs Yr 2'!Q24*'Inputs Yr 2'!$T24,"")</f>
        <v>0</v>
      </c>
      <c r="Y24" s="194">
        <f>IFERROR($G24*'Inputs Yr 2'!$AE24*'Inputs Yr 2'!$AF24*'Inputs Yr 2'!P24*'Inputs Yr 2'!Q24*'Inputs Yr 2'!$T24,"")</f>
        <v>0</v>
      </c>
      <c r="Z24" s="257">
        <f>IFERROR($G24*'Inputs Yr 2'!$Q24*'Inputs Yr 2'!$U24*(IF(IFERROR(SEARCH("NG", 'Inputs Yr 2'!$AJ24),0),'Inputs Yr 2'!$AK24,0)+IF(IFERROR(SEARCH("NG", 'Inputs Yr 2'!$AL24),0),'Inputs Yr 2'!$AM24,0)+IF(IFERROR(SEARCH("NG", 'Inputs Yr 2'!$AN24),0),'Inputs Yr 2'!$AO24,0)),0)</f>
        <v>50.616639999999997</v>
      </c>
      <c r="AA24" s="257">
        <f t="shared" si="26"/>
        <v>759.24959999999999</v>
      </c>
      <c r="AB24" s="257">
        <f>IFERROR(Z24*'Inputs Yr 2'!$P24,0)</f>
        <v>50.616639999999997</v>
      </c>
      <c r="AC24" s="257">
        <f t="shared" si="27"/>
        <v>759.24959999999999</v>
      </c>
      <c r="AD24" s="257">
        <f>IFERROR($G24*'Inputs Yr 2'!$Q24*'Inputs Yr 2'!$U24*(IF(IFERROR(SEARCH("Oil", 'Inputs Yr 2'!$AJ24), 0),'Inputs Yr 2'!$AK24,0)+IF(IFERROR(SEARCH("Oil", 'Inputs Yr 2'!$AL24), 0),'Inputs Yr 2'!$AM24,0)+IF(IFERROR(SEARCH("Oil", 'Inputs Yr 2'!$AN24), 0),'Inputs Yr 2'!$AO24,0)),0)</f>
        <v>0</v>
      </c>
      <c r="AE24" s="257">
        <f t="shared" si="28"/>
        <v>0</v>
      </c>
      <c r="AF24" s="257">
        <f>IFERROR(AD24*'Inputs Yr 2'!$P24,0)</f>
        <v>0</v>
      </c>
      <c r="AG24" s="257">
        <f t="shared" si="29"/>
        <v>0</v>
      </c>
      <c r="AH24" s="257">
        <f>IFERROR($G24*'Inputs Yr 2'!$Q24*'Inputs Yr 2'!$U24*(IF('Inputs Yr 2'!$AJ24=CD$4,'Inputs Yr 2'!$AK24,IF('Inputs Yr 2'!$AL24=CD$4,'Inputs Yr 2'!$AM24,IF('Inputs Yr 2'!$AN24=CD$4,'Inputs Yr 2'!$AO24,0)))),0)</f>
        <v>0</v>
      </c>
      <c r="AI24" s="257">
        <f t="shared" si="30"/>
        <v>0</v>
      </c>
      <c r="AJ24" s="257">
        <f>IFERROR(AH24*'Inputs Yr 2'!$P24,0)</f>
        <v>0</v>
      </c>
      <c r="AK24" s="257">
        <f t="shared" si="31"/>
        <v>0</v>
      </c>
      <c r="AL24" s="258">
        <f>IFERROR($G24*'Inputs Yr 2'!$P24*'Inputs Yr 2'!$Q24*'Inputs Yr 2'!AP24,0)</f>
        <v>0</v>
      </c>
      <c r="AM24" s="260">
        <f>IFERROR($G24*'Inputs Yr 2'!$P24*'Inputs Yr 2'!$Q24*'Inputs Yr 2'!AQ24,0)</f>
        <v>0</v>
      </c>
      <c r="AN24" s="258">
        <f>IFERROR($G24*'Inputs Yr 2'!$P24*'Inputs Yr 2'!$Q24*'Inputs Yr 2'!AR24,0)</f>
        <v>0</v>
      </c>
      <c r="AO24" s="257">
        <f t="shared" si="32"/>
        <v>0</v>
      </c>
      <c r="AP24" s="195">
        <f>IFERROR($CQ24*(INDEX(avoidedcosttbl2,$H24,AP$2)+(($H24-ROUNDDOWN($H24,0))*(INDEX(avoidedcosttbl2,ROUNDUP($H24,0),AP$2)-(INDEX(avoidedcosttbl2,ROUNDDOWN($H24,0),AP$2)))))*$O24*1000*'Inputs Yr 2'!AA24,"")</f>
        <v>0</v>
      </c>
      <c r="AQ24" s="195">
        <f>IFERROR($CR24*(INDEX(avoidedcosttbl2,$H24,AQ$2)+(($H24-ROUNDDOWN($H24,0))*(INDEX(avoidedcosttbl2,ROUNDUP($H24,0),AQ$2)-(INDEX(avoidedcosttbl2,ROUNDDOWN($H24,0),AQ$2)))))*$O24*1000*'Inputs Yr 2'!AB24,"")</f>
        <v>0</v>
      </c>
      <c r="AR24" s="195">
        <f>IFERROR($CS24*(INDEX(avoidedcosttbl2,$H24,AR$2)+(($H24-ROUNDDOWN($H24,0))*(INDEX(avoidedcosttbl2,ROUNDUP($H24,0),AR$2)-(INDEX(avoidedcosttbl2,ROUNDDOWN($H24,0),AR$2)))))*$O24*1000*'Inputs Yr 2'!AC24,"")</f>
        <v>0</v>
      </c>
      <c r="AS24" s="195">
        <f>IFERROR($CT24*(INDEX(avoidedcosttbl2,$H24,AS$2)+(($H24-ROUNDDOWN($H24,0))*(INDEX(avoidedcosttbl2,ROUNDUP($H24,0),AS$2)-(INDEX(avoidedcosttbl2,ROUNDDOWN($H24,0),AS$2)))))*$O24*1000*'Inputs Yr 2'!AD24,"")</f>
        <v>0</v>
      </c>
      <c r="AT24" s="196">
        <f t="shared" si="33"/>
        <v>0</v>
      </c>
      <c r="AU24" s="197">
        <f>IFERROR($CQ24*((INDEX(avoidedcosttbl2,$H24,AU$2))+(($H24-ROUNDDOWN($H24,0))*((INDEX(avoidedcosttbl2,ROUNDUP($H24,0),AU$2))-(INDEX(avoidedcosttbl2,ROUNDDOWN($H24,0),AU$2)))))*$O24*1000*'Inputs Yr 2'!AA24,"")</f>
        <v>0</v>
      </c>
      <c r="AV24" s="197">
        <f>IFERROR($CR24*((INDEX(avoidedcosttbl2,$H24,AV$2))+(($H24-ROUNDDOWN($H24,0))*((INDEX(avoidedcosttbl2,ROUNDUP($H24,0),AV$2))-(INDEX(avoidedcosttbl2,ROUNDDOWN($H24,0),AV$2)))))*$O24*1000*'Inputs Yr 2'!AB24,"")</f>
        <v>0</v>
      </c>
      <c r="AW24" s="197">
        <f>IFERROR($CS24*((INDEX(avoidedcosttbl2,$H24,AW$2))+(($H24-ROUNDDOWN($H24,0))*((INDEX(avoidedcosttbl2,ROUNDUP($H24,0),AW$2))-(INDEX(avoidedcosttbl2,ROUNDDOWN($H24,0),AW$2)))))*$O24*1000*'Inputs Yr 2'!AC24,"")</f>
        <v>0</v>
      </c>
      <c r="AX24" s="197">
        <f>IFERROR($CT24*((INDEX(avoidedcosttbl2,$H24,AX$2))+(($H24-ROUNDDOWN($H24,0))*((INDEX(avoidedcosttbl2,ROUNDUP($H24,0),AX$2))-(INDEX(avoidedcosttbl2,ROUNDDOWN($H24,0),AX$2)))))*$O24*1000*'Inputs Yr 2'!AD24,"")</f>
        <v>0</v>
      </c>
      <c r="AY24" s="197">
        <f>IFERROR(((INDEX(avoidedcosttbl2,$H24,AY$2))+(($H24-ROUNDDOWN($H24,0))*((INDEX(avoidedcosttbl2,ROUNDUP($H24,0),AY$2))-(INDEX(avoidedcosttbl2,ROUNDDOWN($H24,0),AY$2)))))*$O24*1000*('Inputs Yr 2'!AC24+'Inputs Yr 2'!AD24),"")</f>
        <v>0</v>
      </c>
      <c r="AZ24" s="197">
        <f>IFERROR(((INDEX(avoidedcosttbl2,$H24,AZ$2))+(($H24-ROUNDDOWN($H24,0))*((INDEX(avoidedcosttbl2,ROUNDUP($H24,0),AZ$2))-(INDEX(avoidedcosttbl2,ROUNDDOWN($H24,0),AZ$2)))))*$O24*1000*('Inputs Yr 2'!AA24+'Inputs Yr 2'!AB24),"")</f>
        <v>0</v>
      </c>
      <c r="BA24" s="198">
        <f t="shared" si="34"/>
        <v>0</v>
      </c>
      <c r="BB24" s="198">
        <f t="shared" si="35"/>
        <v>0</v>
      </c>
      <c r="BC24" s="195">
        <f t="shared" si="10"/>
        <v>0</v>
      </c>
      <c r="BD24" s="195">
        <f t="shared" si="11"/>
        <v>0</v>
      </c>
      <c r="BE24" s="195">
        <f t="shared" si="12"/>
        <v>0</v>
      </c>
      <c r="BF24" s="195">
        <f t="shared" si="13"/>
        <v>0</v>
      </c>
      <c r="BG24" s="195">
        <f t="shared" si="14"/>
        <v>0</v>
      </c>
      <c r="BH24" s="196">
        <f t="shared" si="36"/>
        <v>0</v>
      </c>
      <c r="BI24" s="196">
        <f t="shared" si="37"/>
        <v>0</v>
      </c>
      <c r="BJ24" s="195">
        <f>IFERROR($G24*(IF('Inputs Yr 2'!$AJ24=BJ$4,'Inputs Yr 2'!$AK24,IF('Inputs Yr 2'!$AL24=BJ$4,'Inputs Yr 2'!$AM24,IF('Inputs Yr 2'!$AN24=BJ$4,'Inputs Yr 2'!$AO24,0))))*(INDEX(avoidedcosttbl2,$H24,BJ$2)+(($H24-ROUNDDOWN($H24,0))*(INDEX(avoidedcosttbl2,ROUNDUP($H24,0),BJ$2)-(INDEX(avoidedcosttbl2,ROUNDDOWN($H24,0),BJ$2)))))*'Inputs Yr 2'!P24*'Inputs Yr 2'!Q24*'Inputs Yr 2'!U24,"")</f>
        <v>0</v>
      </c>
      <c r="BK24" s="195">
        <f>IFERROR($G24*(IF('Inputs Yr 2'!$AJ24=BK$4,'Inputs Yr 2'!$AK24,IF('Inputs Yr 2'!$AL24=BK$4,'Inputs Yr 2'!$AM24,IF('Inputs Yr 2'!$AN24=BK$4,'Inputs Yr 2'!$AO24,0))))*(INDEX(avoidedcosttbl2,$H24,BK$2)+(($H24-ROUNDDOWN($H24,0))*(INDEX(avoidedcosttbl2,ROUNDUP($H24,0),BK$2)-(INDEX(avoidedcosttbl2,ROUNDDOWN($H24,0),BK$2)))))*'Inputs Yr 2'!P24*'Inputs Yr 2'!Q24*'Inputs Yr 2'!U24,"")</f>
        <v>0</v>
      </c>
      <c r="BL24" s="195">
        <f>IFERROR($G24*(IF('Inputs Yr 2'!$AJ24=BL$4,'Inputs Yr 2'!$AK24,IF('Inputs Yr 2'!$AL24=BL$4,'Inputs Yr 2'!$AM24,IF('Inputs Yr 2'!$AN24=BL$4,'Inputs Yr 2'!$AO24,0))))*(INDEX(avoidedcosttbl2,$H24,BL$2)+(($H24-ROUNDDOWN($H24,0))*(INDEX(avoidedcosttbl2,ROUNDUP($H24,0),BL$2)-(INDEX(avoidedcosttbl2,ROUNDDOWN($H24,0),BL$2)))))*'Inputs Yr 2'!P24*'Inputs Yr 2'!Q24*'Inputs Yr 2'!U24,"")</f>
        <v>6402.5409843684929</v>
      </c>
      <c r="BM24" s="195">
        <f>IFERROR($G24*(IF('Inputs Yr 2'!$AJ24=BM$4,'Inputs Yr 2'!$AK24,IF('Inputs Yr 2'!$AL24=BM$4,'Inputs Yr 2'!$AM24,IF('Inputs Yr 2'!$AN24=BM$4,'Inputs Yr 2'!$AO24,0))))*(INDEX(avoidedcosttbl2,$H24,BM$2)+(($H24-ROUNDDOWN($H24,0))*(INDEX(avoidedcosttbl2,ROUNDUP($H24,0),BM$2)-(INDEX(avoidedcosttbl2,ROUNDDOWN($H24,0),BM$2)))))*'Inputs Yr 2'!P24*'Inputs Yr 2'!Q24*'Inputs Yr 2'!U24,"")</f>
        <v>0</v>
      </c>
      <c r="BN24" s="195">
        <f>IFERROR($G24*(IF('Inputs Yr 2'!$AJ24=BN$4,'Inputs Yr 2'!$AK24,IF('Inputs Yr 2'!$AL24=BN$4,'Inputs Yr 2'!$AM24,IF('Inputs Yr 2'!$AN24=BN$4,'Inputs Yr 2'!$AO24,0))))*(INDEX(avoidedcosttbl2,$H24,BN$2)+(($H24-ROUNDDOWN($H24,0))*(INDEX(avoidedcosttbl2,ROUNDUP($H24,0),BN$2)-(INDEX(avoidedcosttbl2,ROUNDDOWN($H24,0),BN$2)))))*'Inputs Yr 2'!P24*'Inputs Yr 2'!Q24*'Inputs Yr 2'!U24,"")</f>
        <v>0</v>
      </c>
      <c r="BO24" s="195">
        <f>IFERROR($G24*(IF('Inputs Yr 2'!$AJ24=BO$4,'Inputs Yr 2'!$AK24,IF('Inputs Yr 2'!$AL24=BO$4,'Inputs Yr 2'!$AM24,IF('Inputs Yr 2'!$AN24=BO$4,'Inputs Yr 2'!$AO24,0))))*(INDEX(avoidedcosttbl2,$H24,BO$2)+(($H24-ROUNDDOWN($H24,0))*(INDEX(avoidedcosttbl2,ROUNDUP($H24,0),BO$2)-(INDEX(avoidedcosttbl2,ROUNDDOWN($H24,0),BO$2)))))*'Inputs Yr 2'!P24*'Inputs Yr 2'!Q24*'Inputs Yr 2'!U24,"")</f>
        <v>0</v>
      </c>
      <c r="BP24" s="195">
        <f>IFERROR($G24*(IF('Inputs Yr 2'!$AJ24=BP$4,'Inputs Yr 2'!$AK24,IF('Inputs Yr 2'!$AL24=BP$4,'Inputs Yr 2'!$AM24,IF('Inputs Yr 2'!$AN24=BP$4,'Inputs Yr 2'!$AO24,0))))*(INDEX(avoidedcosttbl2,$H24,BP$2)+(($H24-ROUNDDOWN($H24,0))*(INDEX(avoidedcosttbl2,ROUNDUP($H24,0),BP$2)-(INDEX(avoidedcosttbl2,ROUNDDOWN($H24,0),BP$2)))))*'Inputs Yr 2'!P24*'Inputs Yr 2'!Q24*'Inputs Yr 2'!U24,"")</f>
        <v>0</v>
      </c>
      <c r="BQ24" s="230">
        <f t="shared" si="38"/>
        <v>6402.5409843684929</v>
      </c>
      <c r="BR24" s="197">
        <f t="shared" si="17"/>
        <v>102.91013702599408</v>
      </c>
      <c r="BS24" s="197">
        <f>IFERROR(($G24*IF('Inputs Yr 2'!$AJ24=BM$4,'Inputs Yr 2'!$AK24,IF('Inputs Yr 2'!$AL24=BM$4,'Inputs Yr 2'!$AM24,IF('Inputs Yr 2'!$AN24=BM$4,'Inputs Yr 2'!$AO24,0))))*(INDEX(avoidedcosttbl2,$H24,BS$2)+(($H24-ROUNDDOWN($H24,0))*(INDEX(avoidedcosttbl2,ROUNDUP($H24,0),BS$2)-(INDEX(avoidedcosttbl2,ROUNDDOWN($H24,0),BS$2)))))*'Inputs Yr 2'!P24*'Inputs Yr 2'!Q24*'Inputs Yr 2'!U24,"")</f>
        <v>0</v>
      </c>
      <c r="BT24" s="197">
        <f>IFERROR(($G24*IF('Inputs Yr 2'!$AJ24=BK$4,'Inputs Yr 2'!$AK24,IF('Inputs Yr 2'!$AL24=BK$4,'Inputs Yr 2'!$AM24,IF('Inputs Yr 2'!$AN24=BK$4,'Inputs Yr 2'!$AO24,0))))*(INDEX(avoidedcosttbl2,$H24,BT$2)+(($H24-ROUNDDOWN($H24,0))*(INDEX(avoidedcosttbl2,ROUNDUP($H24,0),BT$2)-(INDEX(avoidedcosttbl2,ROUNDDOWN($H24,0),BT$2)))))*'Inputs Yr 2'!P24*'Inputs Yr 2'!Q24*'Inputs Yr 2'!U24,"")</f>
        <v>0</v>
      </c>
      <c r="BU24" s="197">
        <f>IFERROR(($G24*IF('Inputs Yr 2'!$AJ24=BL$4,'Inputs Yr 2'!$AK24,IF('Inputs Yr 2'!$AL24=BL$4,'Inputs Yr 2'!$AM24,IF('Inputs Yr 2'!$AN24=BL$4,'Inputs Yr 2'!$AO24,0))))*(INDEX(avoidedcosttbl2,$H24,BU$2)+(($H24-ROUNDDOWN($H24,0))*(INDEX(avoidedcosttbl2,ROUNDUP($H24,0),BU$2)-(INDEX(avoidedcosttbl2,ROUNDDOWN($H24,0),BU$2)))))*'Inputs Yr 2'!P24*'Inputs Yr 2'!Q24*'Inputs Yr 2'!U24,"")</f>
        <v>391.88383213425715</v>
      </c>
      <c r="BV24" s="775">
        <f>IFERROR(($G24*IF('Inputs Yr 2'!$AJ24=BJ$4,'Inputs Yr 2'!$AK24,IF('Inputs Yr 2'!$AL24=BJ$4,'Inputs Yr 2'!$AM24,IF('Inputs Yr 2'!$AN24=BJ$4,'Inputs Yr 2'!$AO24,0))))*(INDEX(avoidedcosttbl2,$H24,BV$2)+(($H24-ROUNDDOWN($H24,0))*(INDEX(avoidedcosttbl2,ROUNDUP($H24,0),BV$2)-(INDEX(avoidedcosttbl2,ROUNDDOWN($H24,0),BV$2)))))*'Inputs Yr 2'!P24*'Inputs Yr 2'!Q24*'Inputs Yr 2'!U24,"")</f>
        <v>0</v>
      </c>
      <c r="BW24" s="197">
        <f>IFERROR(($G24*IF('Inputs Yr 2'!$AJ24=BN$4,'Inputs Yr 2'!$AK24,IF('Inputs Yr 2'!$AL24=BN$4,'Inputs Yr 2'!$AM24,IF('Inputs Yr 2'!$AN24=BN$4,'Inputs Yr 2'!$AO24,0))))*(INDEX(avoidedcosttbl2,$H24,BW$2)+(($H24-ROUNDDOWN($H24,0))*(INDEX(avoidedcosttbl2,ROUNDUP($H24,0),BW$2)-(INDEX(avoidedcosttbl2,ROUNDDOWN($H24,0),BW$2)))))*'Inputs Yr 2'!P24*'Inputs Yr 2'!Q24*'Inputs Yr 2'!U24,"")</f>
        <v>0</v>
      </c>
      <c r="BX24" s="197">
        <f>IFERROR(($G24*IF('Inputs Yr 2'!$AJ24=BO$4,'Inputs Yr 2'!$AK24,IF('Inputs Yr 2'!$AL24=BO$4,'Inputs Yr 2'!$AM24,IF('Inputs Yr 2'!$AN24=BO$4,'Inputs Yr 2'!$AO24,0))))*(INDEX(avoidedcosttbl2,$H24,BX$2)+(($H24-ROUNDDOWN($H24,0))*(INDEX(avoidedcosttbl2,ROUNDUP($H24,0),BX$2)-(INDEX(avoidedcosttbl2,ROUNDDOWN($H24,0),BX$2)))))*'Inputs Yr 2'!P24*'Inputs Yr 2'!Q24*'Inputs Yr 2'!U24,"")</f>
        <v>0</v>
      </c>
      <c r="BY24" s="197">
        <f>IFERROR(($G24*IF('Inputs Yr 2'!$AJ24=BP$4,'Inputs Yr 2'!$AK24,IF('Inputs Yr 2'!$AL24=BP$4,'Inputs Yr 2'!$AM24,IF('Inputs Yr 2'!$AN24=BP$4,'Inputs Yr 2'!$AO24,0))))*(INDEX(avoidedcosttbl2,$H24,BY$2)+(($H24-ROUNDDOWN($H24,0))*(INDEX(avoidedcosttbl2,ROUNDUP($H24,0),BY$2)-(INDEX(avoidedcosttbl2,ROUNDDOWN($H24,0),BY$2)))))*'Inputs Yr 2'!P24*'Inputs Yr 2'!Q24*'Inputs Yr 2'!U24,"")</f>
        <v>0</v>
      </c>
      <c r="BZ24" s="193">
        <f t="shared" si="39"/>
        <v>494.79396916025121</v>
      </c>
      <c r="CA24" s="193">
        <f t="shared" si="40"/>
        <v>6897.3349535287443</v>
      </c>
      <c r="CB24" s="195">
        <f>IFERROR(G24*(IF('Inputs Yr 2'!$AJ24=CB$4,'Inputs Yr 2'!$AK24,IF('Inputs Yr 2'!$AL24=CB$4,'Inputs Yr 2'!$AM24,IF('Inputs Yr 2'!$AN24=CB$4,'Inputs Yr 2'!$AO24,0))))*(INDEX(avoidedcosttbl2,$H24,CB$2)+(($H24-ROUNDDOWN($H24,0))*(INDEX(avoidedcosttbl2,ROUNDUP($H24,0),CB$2)-(INDEX(avoidedcosttbl2,ROUNDDOWN($H24,0),CB$2)))))*'Inputs Yr 2'!P24*'Inputs Yr 2'!Q24*'Inputs Yr 2'!U24,"")</f>
        <v>0</v>
      </c>
      <c r="CC24" s="195">
        <f>IFERROR(H24*(IF('Inputs Yr 2'!$AJ24=CC$4,'Inputs Yr 2'!$AK24,IF('Inputs Yr 2'!$AL24=CC$4,'Inputs Yr 2'!$AM24,IF('Inputs Yr 2'!$AN24=CC$4,'Inputs Yr 2'!$AO24,0))))*(INDEX(avoidedcosttbl2,$H24,CC$2)+(($H24-ROUNDDOWN($H24,0))*(INDEX(avoidedcosttbl2,ROUNDUP($H24,0),CC$2)-(INDEX(avoidedcosttbl2,ROUNDDOWN($H24,0),CC$2)))))*'Inputs Yr 2'!Q24*'Inputs Yr 2'!R24*'Inputs Yr 2'!V24,"")</f>
        <v>0</v>
      </c>
      <c r="CD24" s="195">
        <f>IFERROR(I24*(IF('Inputs Yr 2'!$AJ24=CD$4,'Inputs Yr 2'!$AK24,IF('Inputs Yr 2'!$AL24=CD$4,'Inputs Yr 2'!$AM24,IF('Inputs Yr 2'!$AN24=CD$4,'Inputs Yr 2'!$AO24,0))))*(INDEX(avoidedcosttbl2,$H24,CD$2)+(($H24-ROUNDDOWN($H24,0))*(INDEX(avoidedcosttbl2,ROUNDUP($H24,0),CD$2)-(INDEX(avoidedcosttbl2,ROUNDDOWN($H24,0),CD$2)))))*'Inputs Yr 2'!R24*'Inputs Yr 2'!S24*'Inputs Yr 2'!W24,"")</f>
        <v>0</v>
      </c>
      <c r="CE24" s="213">
        <f t="shared" si="41"/>
        <v>0</v>
      </c>
      <c r="CF24" s="213">
        <f t="shared" si="42"/>
        <v>0</v>
      </c>
      <c r="CG24" s="213">
        <f t="shared" si="43"/>
        <v>0</v>
      </c>
      <c r="CH24" s="698">
        <f t="shared" si="44"/>
        <v>6897.3349535287443</v>
      </c>
      <c r="CI24" s="79">
        <f>IFERROR(($G24*'Inputs Yr 2'!$P24*'Inputs Yr 2'!$Q24*(((INDEX(avoidedcosttbl2,$H24,CI$2)+(($H24-ROUNDDOWN($H24,0))*(INDEX(avoidedcosttbl2,ROUNDUP($H24,0),CI$2)-INDEX(avoidedcosttbl2,ROUNDDOWN($H24,0),CI$2))))*'Inputs Yr 2'!AS24))),"")</f>
        <v>0</v>
      </c>
      <c r="CJ24" s="504">
        <f>IFERROR($G24*'Inputs Yr 2'!AT24*'Inputs Yr 2'!$P24*'Inputs Yr 2'!$Q24/((1+realdiscrt1)^-0.5),"")</f>
        <v>0</v>
      </c>
      <c r="CK24" s="79">
        <f>IFERROR((O24*1000*(((INDEX(avoidedcosttbl2,$H24,CK$2)+(($H24-ROUNDDOWN($H24,0))*(INDEX(avoidedcosttbl2,ROUNDUP($H24,0),CK$2)-INDEX(avoidedcosttbl2,ROUNDDOWN($H24,0),CK$2))))*'Inputs Yr 2'!AU24))),"")</f>
        <v>0</v>
      </c>
      <c r="CL24" s="504">
        <f>IFERROR(O24*1000*'Inputs Yr 2'!AV24/((1+realdiscrt1)^-0.5),"")</f>
        <v>0</v>
      </c>
      <c r="CM24" s="79">
        <f>IFERROR((AB24*'Inputs Yr 2'!AW24*(((INDEX(avoidedcosttbl2,$H24,CM$2)+(($H24-ROUNDDOWN($H24,0))*(INDEX(avoidedcosttbl2,ROUNDUP($H24,0),CM$2)-INDEX(avoidedcosttbl2,ROUNDDOWN($H24,0),CM$2)))))))*10,"")</f>
        <v>9919.6463081315014</v>
      </c>
      <c r="CN24" s="504">
        <f>IFERROR(10*AB24*'Inputs Yr 2'!AX24/((1+realdiscrt1)^-0.5),"")</f>
        <v>0</v>
      </c>
      <c r="CO24" s="505">
        <f t="shared" si="45"/>
        <v>9919.6463081315014</v>
      </c>
      <c r="CP24" s="230">
        <f t="shared" si="46"/>
        <v>16816.981261660247</v>
      </c>
      <c r="CQ24" s="199">
        <f>ROUND(IFERROR(IF(LEFT($A24,1)="C",'Avoided Costs'!$K$13,'Avoided Costs'!$K$12)+1,""),4)</f>
        <v>1.0720000000000001</v>
      </c>
      <c r="CR24" s="199">
        <f>ROUND(IFERROR(IF(LEFT($A24,1)="C",'Avoided Costs'!$L$13,'Avoided Costs'!$L$12)+1,""),4)</f>
        <v>1.04</v>
      </c>
      <c r="CS24" s="199">
        <f>ROUND(IFERROR(IF(LEFT($A24,1)="C",'Avoided Costs'!$M$13,'Avoided Costs'!$M$12)+1,""),4)</f>
        <v>1.0720000000000001</v>
      </c>
      <c r="CT24" s="199">
        <f>ROUND(IFERROR(IF(LEFT($A24,1)="C",'Avoided Costs'!$N$13,'Avoided Costs'!$N$12)+1,""),4)</f>
        <v>1.04</v>
      </c>
      <c r="CU24" s="199">
        <f>ROUND(IFERROR(IF(LEFT($A24,1)="C",'Avoided Costs'!$O$13,'Avoided Costs'!$O$12)+1,""),4)</f>
        <v>1.1120000000000001</v>
      </c>
      <c r="CV24" s="199">
        <f>ROUND(IFERROR(IF(LEFT($A24,1)="C",'Avoided Costs'!$P$13,'Avoided Costs'!$P$12)+1,""),4)</f>
        <v>1.095</v>
      </c>
      <c r="CW24" s="199">
        <f>ROUND(IFERROR(IF(LEFT($A24,1)="C",'Avoided Costs'!$Q$13,'Avoided Costs'!$Q$12)+1,""),4)</f>
        <v>1.1120000000000001</v>
      </c>
      <c r="CX24" s="200">
        <f>ROUND(IFERROR(IF(LEFT($A24,1)="C",'Avoided Costs'!$R$13,'Avoided Costs'!$R$12)+1,""),4)</f>
        <v>1.1120000000000001</v>
      </c>
    </row>
    <row r="25" spans="1:102" ht="12.75" customHeight="1">
      <c r="A25" s="91" t="str">
        <f>IF('Inputs Yr 2'!$B25=0,"",'Inputs Yr 2'!A25)</f>
        <v>A - Residential</v>
      </c>
      <c r="B25" s="91" t="str">
        <f>IF('Inputs Yr 2'!$B25=0,"",'Inputs Yr 2'!B25)</f>
        <v>A1 - Residential Whole House</v>
      </c>
      <c r="C25" s="91" t="str">
        <f>IF('Inputs Yr 2'!$B25=0,"",'Inputs Yr 2'!C25)</f>
        <v>A1b - Residential Multi-Family Retrofit</v>
      </c>
      <c r="D25" s="91" t="str">
        <f>IF('Inputs Yr 2'!$B25=0,"",'Inputs Yr 2'!E25)</f>
        <v>Faucet Aerator, Gas</v>
      </c>
      <c r="E25" s="93" t="str">
        <f>IF('Inputs Yr 2'!$B25=0,"",'Inputs Yr 2'!F25)</f>
        <v>G16A1b10</v>
      </c>
      <c r="F25" s="93" t="str">
        <f>IF('Inputs Yr 2'!$B25=0,"",'Inputs Yr 2'!G25)</f>
        <v>Hot Water</v>
      </c>
      <c r="G25" s="95">
        <f>IF('Inputs Yr 2'!$H25&lt;&gt;0,('Inputs Yr 2'!H25),"")</f>
        <v>1774</v>
      </c>
      <c r="H25" s="94">
        <f>IFERROR('Inputs Yr 2'!I25,"")</f>
        <v>7</v>
      </c>
      <c r="I25" s="298">
        <f>IFERROR('Inputs Yr 2'!J25*'Inputs Yr 2'!P25*G25,"")</f>
        <v>5677.6770000000142</v>
      </c>
      <c r="J25" s="298">
        <f>IFERROR('Inputs Yr 2'!K25*G25,"")</f>
        <v>6679.6200000000163</v>
      </c>
      <c r="K25" s="298">
        <f t="shared" si="23"/>
        <v>-1001.943000000002</v>
      </c>
      <c r="L25" s="194">
        <f>IFERROR(('Inputs Yr 2'!W25*G25)/1000,"")</f>
        <v>0</v>
      </c>
      <c r="M25" s="194">
        <f>IFERROR(L25*('Inputs Yr 2'!$Q25*'Inputs Yr 2'!$V25*'Inputs Yr 2'!$R25),"")</f>
        <v>0</v>
      </c>
      <c r="N25" s="194">
        <f t="shared" si="24"/>
        <v>0</v>
      </c>
      <c r="O25" s="194">
        <f>IFERROR(M25*'Inputs Yr 2'!P25,"")</f>
        <v>0</v>
      </c>
      <c r="P25" s="194">
        <f t="shared" si="25"/>
        <v>0</v>
      </c>
      <c r="Q25" s="194">
        <f>IFERROR($P25*'Inputs Yr 2'!AA25,"")</f>
        <v>0</v>
      </c>
      <c r="R25" s="194">
        <f>IFERROR($P25*'Inputs Yr 2'!AB25,"")</f>
        <v>0</v>
      </c>
      <c r="S25" s="194">
        <f>IFERROR($P25*'Inputs Yr 2'!AC25,"")</f>
        <v>0</v>
      </c>
      <c r="T25" s="194">
        <f>IFERROR($P25*'Inputs Yr 2'!AD25,"")</f>
        <v>0</v>
      </c>
      <c r="U25" s="194">
        <f>IFERROR(G25*'Inputs Yr 2'!$AE25*'Inputs Yr 2'!$P25*'Inputs Yr 2'!$Q25,"")</f>
        <v>0</v>
      </c>
      <c r="V25" s="194">
        <f>IFERROR($G25*'Inputs Yr 2'!$AE25*'Inputs Yr 2'!$AG25*'Inputs Yr 2'!Q25*'Inputs Yr 2'!$S25,"")</f>
        <v>0</v>
      </c>
      <c r="W25" s="194">
        <f>IFERROR($G25*'Inputs Yr 2'!$AE25*'Inputs Yr 2'!$AG25*'Inputs Yr 2'!P25*'Inputs Yr 2'!Q25*'Inputs Yr 2'!$S25,"")</f>
        <v>0</v>
      </c>
      <c r="X25" s="194">
        <f>IFERROR($G25*'Inputs Yr 2'!$AE25*'Inputs Yr 2'!$AF25*'Inputs Yr 2'!Q25*'Inputs Yr 2'!$T25,"")</f>
        <v>0</v>
      </c>
      <c r="Y25" s="194">
        <f>IFERROR($G25*'Inputs Yr 2'!$AE25*'Inputs Yr 2'!$AF25*'Inputs Yr 2'!P25*'Inputs Yr 2'!Q25*'Inputs Yr 2'!$T25,"")</f>
        <v>0</v>
      </c>
      <c r="Z25" s="257">
        <f>IFERROR($G25*'Inputs Yr 2'!$Q25*'Inputs Yr 2'!$U25*(IF(IFERROR(SEARCH("NG", 'Inputs Yr 2'!$AJ25),0),'Inputs Yr 2'!$AK25,0)+IF(IFERROR(SEARCH("NG", 'Inputs Yr 2'!$AL25),0),'Inputs Yr 2'!$AM25,0)+IF(IFERROR(SEARCH("NG", 'Inputs Yr 2'!$AN25),0),'Inputs Yr 2'!$AO25,0)),0)</f>
        <v>1525.64</v>
      </c>
      <c r="AA25" s="257">
        <f t="shared" si="26"/>
        <v>10679.480000000001</v>
      </c>
      <c r="AB25" s="257">
        <f>IFERROR(Z25*'Inputs Yr 2'!$P25,0)</f>
        <v>1296.7940000000001</v>
      </c>
      <c r="AC25" s="257">
        <f t="shared" si="27"/>
        <v>9077.5580000000009</v>
      </c>
      <c r="AD25" s="257">
        <f>IFERROR($G25*'Inputs Yr 2'!$Q25*'Inputs Yr 2'!$U25*(IF(IFERROR(SEARCH("Oil", 'Inputs Yr 2'!$AJ25), 0),'Inputs Yr 2'!$AK25,0)+IF(IFERROR(SEARCH("Oil", 'Inputs Yr 2'!$AL25), 0),'Inputs Yr 2'!$AM25,0)+IF(IFERROR(SEARCH("Oil", 'Inputs Yr 2'!$AN25), 0),'Inputs Yr 2'!$AO25,0)),0)</f>
        <v>0</v>
      </c>
      <c r="AE25" s="257">
        <f t="shared" si="28"/>
        <v>0</v>
      </c>
      <c r="AF25" s="257">
        <f>IFERROR(AD25*'Inputs Yr 2'!$P25,0)</f>
        <v>0</v>
      </c>
      <c r="AG25" s="257">
        <f t="shared" si="29"/>
        <v>0</v>
      </c>
      <c r="AH25" s="257">
        <f>IFERROR($G25*'Inputs Yr 2'!$Q25*'Inputs Yr 2'!$U25*(IF('Inputs Yr 2'!$AJ25=CD$4,'Inputs Yr 2'!$AK25,IF('Inputs Yr 2'!$AL25=CD$4,'Inputs Yr 2'!$AM25,IF('Inputs Yr 2'!$AN25=CD$4,'Inputs Yr 2'!$AO25,0)))),0)</f>
        <v>0</v>
      </c>
      <c r="AI25" s="257">
        <f t="shared" si="30"/>
        <v>0</v>
      </c>
      <c r="AJ25" s="257">
        <f>IFERROR(AH25*'Inputs Yr 2'!$P25,0)</f>
        <v>0</v>
      </c>
      <c r="AK25" s="257">
        <f t="shared" si="31"/>
        <v>0</v>
      </c>
      <c r="AL25" s="258">
        <f>IFERROR($G25*'Inputs Yr 2'!$P25*'Inputs Yr 2'!$Q25*'Inputs Yr 2'!AP25,0)</f>
        <v>500622.79999999993</v>
      </c>
      <c r="AM25" s="260">
        <f>IFERROR($G25*'Inputs Yr 2'!$P25*'Inputs Yr 2'!$Q25*'Inputs Yr 2'!AQ25,0)</f>
        <v>0</v>
      </c>
      <c r="AN25" s="258">
        <f>IFERROR($G25*'Inputs Yr 2'!$P25*'Inputs Yr 2'!$Q25*'Inputs Yr 2'!AR25,0)</f>
        <v>0</v>
      </c>
      <c r="AO25" s="257">
        <f t="shared" si="32"/>
        <v>3504359.5999999996</v>
      </c>
      <c r="AP25" s="195">
        <f>IFERROR($CQ25*(INDEX(avoidedcosttbl2,$H25,AP$2)+(($H25-ROUNDDOWN($H25,0))*(INDEX(avoidedcosttbl2,ROUNDUP($H25,0),AP$2)-(INDEX(avoidedcosttbl2,ROUNDDOWN($H25,0),AP$2)))))*$O25*1000*'Inputs Yr 2'!AA25,"")</f>
        <v>0</v>
      </c>
      <c r="AQ25" s="195">
        <f>IFERROR($CR25*(INDEX(avoidedcosttbl2,$H25,AQ$2)+(($H25-ROUNDDOWN($H25,0))*(INDEX(avoidedcosttbl2,ROUNDUP($H25,0),AQ$2)-(INDEX(avoidedcosttbl2,ROUNDDOWN($H25,0),AQ$2)))))*$O25*1000*'Inputs Yr 2'!AB25,"")</f>
        <v>0</v>
      </c>
      <c r="AR25" s="195">
        <f>IFERROR($CS25*(INDEX(avoidedcosttbl2,$H25,AR$2)+(($H25-ROUNDDOWN($H25,0))*(INDEX(avoidedcosttbl2,ROUNDUP($H25,0),AR$2)-(INDEX(avoidedcosttbl2,ROUNDDOWN($H25,0),AR$2)))))*$O25*1000*'Inputs Yr 2'!AC25,"")</f>
        <v>0</v>
      </c>
      <c r="AS25" s="195">
        <f>IFERROR($CT25*(INDEX(avoidedcosttbl2,$H25,AS$2)+(($H25-ROUNDDOWN($H25,0))*(INDEX(avoidedcosttbl2,ROUNDUP($H25,0),AS$2)-(INDEX(avoidedcosttbl2,ROUNDDOWN($H25,0),AS$2)))))*$O25*1000*'Inputs Yr 2'!AD25,"")</f>
        <v>0</v>
      </c>
      <c r="AT25" s="196">
        <f t="shared" si="33"/>
        <v>0</v>
      </c>
      <c r="AU25" s="197">
        <f>IFERROR($CQ25*((INDEX(avoidedcosttbl2,$H25,AU$2))+(($H25-ROUNDDOWN($H25,0))*((INDEX(avoidedcosttbl2,ROUNDUP($H25,0),AU$2))-(INDEX(avoidedcosttbl2,ROUNDDOWN($H25,0),AU$2)))))*$O25*1000*'Inputs Yr 2'!AA25,"")</f>
        <v>0</v>
      </c>
      <c r="AV25" s="197">
        <f>IFERROR($CR25*((INDEX(avoidedcosttbl2,$H25,AV$2))+(($H25-ROUNDDOWN($H25,0))*((INDEX(avoidedcosttbl2,ROUNDUP($H25,0),AV$2))-(INDEX(avoidedcosttbl2,ROUNDDOWN($H25,0),AV$2)))))*$O25*1000*'Inputs Yr 2'!AB25,"")</f>
        <v>0</v>
      </c>
      <c r="AW25" s="197">
        <f>IFERROR($CS25*((INDEX(avoidedcosttbl2,$H25,AW$2))+(($H25-ROUNDDOWN($H25,0))*((INDEX(avoidedcosttbl2,ROUNDUP($H25,0),AW$2))-(INDEX(avoidedcosttbl2,ROUNDDOWN($H25,0),AW$2)))))*$O25*1000*'Inputs Yr 2'!AC25,"")</f>
        <v>0</v>
      </c>
      <c r="AX25" s="197">
        <f>IFERROR($CT25*((INDEX(avoidedcosttbl2,$H25,AX$2))+(($H25-ROUNDDOWN($H25,0))*((INDEX(avoidedcosttbl2,ROUNDUP($H25,0),AX$2))-(INDEX(avoidedcosttbl2,ROUNDDOWN($H25,0),AX$2)))))*$O25*1000*'Inputs Yr 2'!AD25,"")</f>
        <v>0</v>
      </c>
      <c r="AY25" s="197">
        <f>IFERROR(((INDEX(avoidedcosttbl2,$H25,AY$2))+(($H25-ROUNDDOWN($H25,0))*((INDEX(avoidedcosttbl2,ROUNDUP($H25,0),AY$2))-(INDEX(avoidedcosttbl2,ROUNDDOWN($H25,0),AY$2)))))*$O25*1000*('Inputs Yr 2'!AC25+'Inputs Yr 2'!AD25),"")</f>
        <v>0</v>
      </c>
      <c r="AZ25" s="197">
        <f>IFERROR(((INDEX(avoidedcosttbl2,$H25,AZ$2))+(($H25-ROUNDDOWN($H25,0))*((INDEX(avoidedcosttbl2,ROUNDUP($H25,0),AZ$2))-(INDEX(avoidedcosttbl2,ROUNDDOWN($H25,0),AZ$2)))))*$O25*1000*('Inputs Yr 2'!AA25+'Inputs Yr 2'!AB25),"")</f>
        <v>0</v>
      </c>
      <c r="BA25" s="198">
        <f t="shared" si="34"/>
        <v>0</v>
      </c>
      <c r="BB25" s="198">
        <f t="shared" si="35"/>
        <v>0</v>
      </c>
      <c r="BC25" s="195">
        <f t="shared" si="10"/>
        <v>0</v>
      </c>
      <c r="BD25" s="195">
        <f t="shared" si="11"/>
        <v>0</v>
      </c>
      <c r="BE25" s="195">
        <f t="shared" si="12"/>
        <v>0</v>
      </c>
      <c r="BF25" s="195">
        <f t="shared" si="13"/>
        <v>0</v>
      </c>
      <c r="BG25" s="195">
        <f t="shared" si="14"/>
        <v>0</v>
      </c>
      <c r="BH25" s="196">
        <f t="shared" si="36"/>
        <v>0</v>
      </c>
      <c r="BI25" s="196">
        <f t="shared" si="37"/>
        <v>0</v>
      </c>
      <c r="BJ25" s="195">
        <f>IFERROR($G25*(IF('Inputs Yr 2'!$AJ25=BJ$4,'Inputs Yr 2'!$AK25,IF('Inputs Yr 2'!$AL25=BJ$4,'Inputs Yr 2'!$AM25,IF('Inputs Yr 2'!$AN25=BJ$4,'Inputs Yr 2'!$AO25,0))))*(INDEX(avoidedcosttbl2,$H25,BJ$2)+(($H25-ROUNDDOWN($H25,0))*(INDEX(avoidedcosttbl2,ROUNDUP($H25,0),BJ$2)-(INDEX(avoidedcosttbl2,ROUNDDOWN($H25,0),BJ$2)))))*'Inputs Yr 2'!P25*'Inputs Yr 2'!Q25*'Inputs Yr 2'!U25,"")</f>
        <v>0</v>
      </c>
      <c r="BK25" s="195">
        <f>IFERROR($G25*(IF('Inputs Yr 2'!$AJ25=BK$4,'Inputs Yr 2'!$AK25,IF('Inputs Yr 2'!$AL25=BK$4,'Inputs Yr 2'!$AM25,IF('Inputs Yr 2'!$AN25=BK$4,'Inputs Yr 2'!$AO25,0))))*(INDEX(avoidedcosttbl2,$H25,BK$2)+(($H25-ROUNDDOWN($H25,0))*(INDEX(avoidedcosttbl2,ROUNDUP($H25,0),BK$2)-(INDEX(avoidedcosttbl2,ROUNDDOWN($H25,0),BK$2)))))*'Inputs Yr 2'!P25*'Inputs Yr 2'!Q25*'Inputs Yr 2'!U25,"")</f>
        <v>70053.045871452443</v>
      </c>
      <c r="BL25" s="195">
        <f>IFERROR($G25*(IF('Inputs Yr 2'!$AJ25=BL$4,'Inputs Yr 2'!$AK25,IF('Inputs Yr 2'!$AL25=BL$4,'Inputs Yr 2'!$AM25,IF('Inputs Yr 2'!$AN25=BL$4,'Inputs Yr 2'!$AO25,0))))*(INDEX(avoidedcosttbl2,$H25,BL$2)+(($H25-ROUNDDOWN($H25,0))*(INDEX(avoidedcosttbl2,ROUNDUP($H25,0),BL$2)-(INDEX(avoidedcosttbl2,ROUNDDOWN($H25,0),BL$2)))))*'Inputs Yr 2'!P25*'Inputs Yr 2'!Q25*'Inputs Yr 2'!U25,"")</f>
        <v>0</v>
      </c>
      <c r="BM25" s="195">
        <f>IFERROR($G25*(IF('Inputs Yr 2'!$AJ25=BM$4,'Inputs Yr 2'!$AK25,IF('Inputs Yr 2'!$AL25=BM$4,'Inputs Yr 2'!$AM25,IF('Inputs Yr 2'!$AN25=BM$4,'Inputs Yr 2'!$AO25,0))))*(INDEX(avoidedcosttbl2,$H25,BM$2)+(($H25-ROUNDDOWN($H25,0))*(INDEX(avoidedcosttbl2,ROUNDUP($H25,0),BM$2)-(INDEX(avoidedcosttbl2,ROUNDDOWN($H25,0),BM$2)))))*'Inputs Yr 2'!P25*'Inputs Yr 2'!Q25*'Inputs Yr 2'!U25,"")</f>
        <v>0</v>
      </c>
      <c r="BN25" s="195">
        <f>IFERROR($G25*(IF('Inputs Yr 2'!$AJ25=BN$4,'Inputs Yr 2'!$AK25,IF('Inputs Yr 2'!$AL25=BN$4,'Inputs Yr 2'!$AM25,IF('Inputs Yr 2'!$AN25=BN$4,'Inputs Yr 2'!$AO25,0))))*(INDEX(avoidedcosttbl2,$H25,BN$2)+(($H25-ROUNDDOWN($H25,0))*(INDEX(avoidedcosttbl2,ROUNDUP($H25,0),BN$2)-(INDEX(avoidedcosttbl2,ROUNDDOWN($H25,0),BN$2)))))*'Inputs Yr 2'!P25*'Inputs Yr 2'!Q25*'Inputs Yr 2'!U25,"")</f>
        <v>0</v>
      </c>
      <c r="BO25" s="195">
        <f>IFERROR($G25*(IF('Inputs Yr 2'!$AJ25=BO$4,'Inputs Yr 2'!$AK25,IF('Inputs Yr 2'!$AL25=BO$4,'Inputs Yr 2'!$AM25,IF('Inputs Yr 2'!$AN25=BO$4,'Inputs Yr 2'!$AO25,0))))*(INDEX(avoidedcosttbl2,$H25,BO$2)+(($H25-ROUNDDOWN($H25,0))*(INDEX(avoidedcosttbl2,ROUNDUP($H25,0),BO$2)-(INDEX(avoidedcosttbl2,ROUNDDOWN($H25,0),BO$2)))))*'Inputs Yr 2'!P25*'Inputs Yr 2'!Q25*'Inputs Yr 2'!U25,"")</f>
        <v>0</v>
      </c>
      <c r="BP25" s="195">
        <f>IFERROR($G25*(IF('Inputs Yr 2'!$AJ25=BP$4,'Inputs Yr 2'!$AK25,IF('Inputs Yr 2'!$AL25=BP$4,'Inputs Yr 2'!$AM25,IF('Inputs Yr 2'!$AN25=BP$4,'Inputs Yr 2'!$AO25,0))))*(INDEX(avoidedcosttbl2,$H25,BP$2)+(($H25-ROUNDDOWN($H25,0))*(INDEX(avoidedcosttbl2,ROUNDUP($H25,0),BP$2)-(INDEX(avoidedcosttbl2,ROUNDDOWN($H25,0),BP$2)))))*'Inputs Yr 2'!P25*'Inputs Yr 2'!Q25*'Inputs Yr 2'!U25,"")</f>
        <v>0</v>
      </c>
      <c r="BQ25" s="230">
        <f t="shared" si="38"/>
        <v>70053.045871452443</v>
      </c>
      <c r="BR25" s="197">
        <f t="shared" si="17"/>
        <v>1252.0107216331376</v>
      </c>
      <c r="BS25" s="197">
        <f>IFERROR(($G25*IF('Inputs Yr 2'!$AJ25=BM$4,'Inputs Yr 2'!$AK25,IF('Inputs Yr 2'!$AL25=BM$4,'Inputs Yr 2'!$AM25,IF('Inputs Yr 2'!$AN25=BM$4,'Inputs Yr 2'!$AO25,0))))*(INDEX(avoidedcosttbl2,$H25,BS$2)+(($H25-ROUNDDOWN($H25,0))*(INDEX(avoidedcosttbl2,ROUNDUP($H25,0),BS$2)-(INDEX(avoidedcosttbl2,ROUNDDOWN($H25,0),BS$2)))))*'Inputs Yr 2'!P25*'Inputs Yr 2'!Q25*'Inputs Yr 2'!U25,"")</f>
        <v>0</v>
      </c>
      <c r="BT25" s="197">
        <f>IFERROR(($G25*IF('Inputs Yr 2'!$AJ25=BK$4,'Inputs Yr 2'!$AK25,IF('Inputs Yr 2'!$AL25=BK$4,'Inputs Yr 2'!$AM25,IF('Inputs Yr 2'!$AN25=BK$4,'Inputs Yr 2'!$AO25,0))))*(INDEX(avoidedcosttbl2,$H25,BT$2)+(($H25-ROUNDDOWN($H25,0))*(INDEX(avoidedcosttbl2,ROUNDUP($H25,0),BT$2)-(INDEX(avoidedcosttbl2,ROUNDDOWN($H25,0),BT$2)))))*'Inputs Yr 2'!P25*'Inputs Yr 2'!Q25*'Inputs Yr 2'!U25,"")</f>
        <v>9543.5792768348165</v>
      </c>
      <c r="BU25" s="197">
        <f>IFERROR(($G25*IF('Inputs Yr 2'!$AJ25=BL$4,'Inputs Yr 2'!$AK25,IF('Inputs Yr 2'!$AL25=BL$4,'Inputs Yr 2'!$AM25,IF('Inputs Yr 2'!$AN25=BL$4,'Inputs Yr 2'!$AO25,0))))*(INDEX(avoidedcosttbl2,$H25,BU$2)+(($H25-ROUNDDOWN($H25,0))*(INDEX(avoidedcosttbl2,ROUNDUP($H25,0),BU$2)-(INDEX(avoidedcosttbl2,ROUNDDOWN($H25,0),BU$2)))))*'Inputs Yr 2'!P25*'Inputs Yr 2'!Q25*'Inputs Yr 2'!U25,"")</f>
        <v>0</v>
      </c>
      <c r="BV25" s="775">
        <f>IFERROR(($G25*IF('Inputs Yr 2'!$AJ25=BJ$4,'Inputs Yr 2'!$AK25,IF('Inputs Yr 2'!$AL25=BJ$4,'Inputs Yr 2'!$AM25,IF('Inputs Yr 2'!$AN25=BJ$4,'Inputs Yr 2'!$AO25,0))))*(INDEX(avoidedcosttbl2,$H25,BV$2)+(($H25-ROUNDDOWN($H25,0))*(INDEX(avoidedcosttbl2,ROUNDUP($H25,0),BV$2)-(INDEX(avoidedcosttbl2,ROUNDDOWN($H25,0),BV$2)))))*'Inputs Yr 2'!P25*'Inputs Yr 2'!Q25*'Inputs Yr 2'!U25,"")</f>
        <v>0</v>
      </c>
      <c r="BW25" s="197">
        <f>IFERROR(($G25*IF('Inputs Yr 2'!$AJ25=BN$4,'Inputs Yr 2'!$AK25,IF('Inputs Yr 2'!$AL25=BN$4,'Inputs Yr 2'!$AM25,IF('Inputs Yr 2'!$AN25=BN$4,'Inputs Yr 2'!$AO25,0))))*(INDEX(avoidedcosttbl2,$H25,BW$2)+(($H25-ROUNDDOWN($H25,0))*(INDEX(avoidedcosttbl2,ROUNDUP($H25,0),BW$2)-(INDEX(avoidedcosttbl2,ROUNDDOWN($H25,0),BW$2)))))*'Inputs Yr 2'!P25*'Inputs Yr 2'!Q25*'Inputs Yr 2'!U25,"")</f>
        <v>0</v>
      </c>
      <c r="BX25" s="197">
        <f>IFERROR(($G25*IF('Inputs Yr 2'!$AJ25=BO$4,'Inputs Yr 2'!$AK25,IF('Inputs Yr 2'!$AL25=BO$4,'Inputs Yr 2'!$AM25,IF('Inputs Yr 2'!$AN25=BO$4,'Inputs Yr 2'!$AO25,0))))*(INDEX(avoidedcosttbl2,$H25,BX$2)+(($H25-ROUNDDOWN($H25,0))*(INDEX(avoidedcosttbl2,ROUNDUP($H25,0),BX$2)-(INDEX(avoidedcosttbl2,ROUNDDOWN($H25,0),BX$2)))))*'Inputs Yr 2'!P25*'Inputs Yr 2'!Q25*'Inputs Yr 2'!U25,"")</f>
        <v>0</v>
      </c>
      <c r="BY25" s="197">
        <f>IFERROR(($G25*IF('Inputs Yr 2'!$AJ25=BP$4,'Inputs Yr 2'!$AK25,IF('Inputs Yr 2'!$AL25=BP$4,'Inputs Yr 2'!$AM25,IF('Inputs Yr 2'!$AN25=BP$4,'Inputs Yr 2'!$AO25,0))))*(INDEX(avoidedcosttbl2,$H25,BY$2)+(($H25-ROUNDDOWN($H25,0))*(INDEX(avoidedcosttbl2,ROUNDUP($H25,0),BY$2)-(INDEX(avoidedcosttbl2,ROUNDDOWN($H25,0),BY$2)))))*'Inputs Yr 2'!P25*'Inputs Yr 2'!Q25*'Inputs Yr 2'!U25,"")</f>
        <v>0</v>
      </c>
      <c r="BZ25" s="193">
        <f t="shared" si="39"/>
        <v>10795.589998467955</v>
      </c>
      <c r="CA25" s="193">
        <f t="shared" si="40"/>
        <v>80848.635869920399</v>
      </c>
      <c r="CB25" s="195">
        <f>IFERROR(G25*(IF('Inputs Yr 2'!$AJ25=CB$4,'Inputs Yr 2'!$AK25,IF('Inputs Yr 2'!$AL25=CB$4,'Inputs Yr 2'!$AM25,IF('Inputs Yr 2'!$AN25=CB$4,'Inputs Yr 2'!$AO25,0))))*(INDEX(avoidedcosttbl2,$H25,CB$2)+(($H25-ROUNDDOWN($H25,0))*(INDEX(avoidedcosttbl2,ROUNDUP($H25,0),CB$2)-(INDEX(avoidedcosttbl2,ROUNDDOWN($H25,0),CB$2)))))*'Inputs Yr 2'!P25*'Inputs Yr 2'!Q25*'Inputs Yr 2'!U25,"")</f>
        <v>0</v>
      </c>
      <c r="CC25" s="195">
        <f>IFERROR(H25*(IF('Inputs Yr 2'!$AJ25=CC$4,'Inputs Yr 2'!$AK25,IF('Inputs Yr 2'!$AL25=CC$4,'Inputs Yr 2'!$AM25,IF('Inputs Yr 2'!$AN25=CC$4,'Inputs Yr 2'!$AO25,0))))*(INDEX(avoidedcosttbl2,$H25,CC$2)+(($H25-ROUNDDOWN($H25,0))*(INDEX(avoidedcosttbl2,ROUNDUP($H25,0),CC$2)-(INDEX(avoidedcosttbl2,ROUNDDOWN($H25,0),CC$2)))))*'Inputs Yr 2'!Q25*'Inputs Yr 2'!R25*'Inputs Yr 2'!V25,"")</f>
        <v>0</v>
      </c>
      <c r="CD25" s="195">
        <f>IFERROR(I25*(IF('Inputs Yr 2'!$AJ25=CD$4,'Inputs Yr 2'!$AK25,IF('Inputs Yr 2'!$AL25=CD$4,'Inputs Yr 2'!$AM25,IF('Inputs Yr 2'!$AN25=CD$4,'Inputs Yr 2'!$AO25,0))))*(INDEX(avoidedcosttbl2,$H25,CD$2)+(($H25-ROUNDDOWN($H25,0))*(INDEX(avoidedcosttbl2,ROUNDUP($H25,0),CD$2)-(INDEX(avoidedcosttbl2,ROUNDDOWN($H25,0),CD$2)))))*'Inputs Yr 2'!R25*'Inputs Yr 2'!S25*'Inputs Yr 2'!W25,"")</f>
        <v>0</v>
      </c>
      <c r="CE25" s="213">
        <f t="shared" si="41"/>
        <v>37385.902881018941</v>
      </c>
      <c r="CF25" s="213">
        <f t="shared" si="42"/>
        <v>0</v>
      </c>
      <c r="CG25" s="213">
        <f t="shared" si="43"/>
        <v>0</v>
      </c>
      <c r="CH25" s="698">
        <f t="shared" si="44"/>
        <v>118234.53875093933</v>
      </c>
      <c r="CI25" s="79">
        <f>IFERROR(($G25*'Inputs Yr 2'!$P25*'Inputs Yr 2'!$Q25*(((INDEX(avoidedcosttbl2,$H25,CI$2)+(($H25-ROUNDDOWN($H25,0))*(INDEX(avoidedcosttbl2,ROUNDUP($H25,0),CI$2)-INDEX(avoidedcosttbl2,ROUNDDOWN($H25,0),CI$2))))*'Inputs Yr 2'!AS25))),"")</f>
        <v>6028.9523677617735</v>
      </c>
      <c r="CJ25" s="504">
        <f>IFERROR($G25*'Inputs Yr 2'!AT25*'Inputs Yr 2'!$P25*'Inputs Yr 2'!$Q25/((1+realdiscrt1)^-0.5),"")</f>
        <v>0</v>
      </c>
      <c r="CK25" s="79">
        <f>IFERROR((O25*1000*(((INDEX(avoidedcosttbl2,$H25,CK$2)+(($H25-ROUNDDOWN($H25,0))*(INDEX(avoidedcosttbl2,ROUNDUP($H25,0),CK$2)-INDEX(avoidedcosttbl2,ROUNDDOWN($H25,0),CK$2))))*'Inputs Yr 2'!AU25))),"")</f>
        <v>0</v>
      </c>
      <c r="CL25" s="504">
        <f>IFERROR(O25*1000*'Inputs Yr 2'!AV25/((1+realdiscrt1)^-0.5),"")</f>
        <v>0</v>
      </c>
      <c r="CM25" s="79">
        <f>IFERROR((AB25*'Inputs Yr 2'!AW25*(((INDEX(avoidedcosttbl2,$H25,CM$2)+(($H25-ROUNDDOWN($H25,0))*(INDEX(avoidedcosttbl2,ROUNDUP($H25,0),CM$2)-INDEX(avoidedcosttbl2,ROUNDDOWN($H25,0),CM$2)))))))*10,"")</f>
        <v>0</v>
      </c>
      <c r="CN25" s="504">
        <f>IFERROR(10*AB25*'Inputs Yr 2'!AX25/((1+realdiscrt1)^-0.5),"")</f>
        <v>0</v>
      </c>
      <c r="CO25" s="505">
        <f t="shared" si="45"/>
        <v>6028.9523677617735</v>
      </c>
      <c r="CP25" s="230">
        <f t="shared" si="46"/>
        <v>124263.4911187011</v>
      </c>
      <c r="CQ25" s="199">
        <f>ROUND(IFERROR(IF(LEFT($A25,1)="C",'Avoided Costs'!$K$13,'Avoided Costs'!$K$12)+1,""),4)</f>
        <v>1.0720000000000001</v>
      </c>
      <c r="CR25" s="199">
        <f>ROUND(IFERROR(IF(LEFT($A25,1)="C",'Avoided Costs'!$L$13,'Avoided Costs'!$L$12)+1,""),4)</f>
        <v>1.04</v>
      </c>
      <c r="CS25" s="199">
        <f>ROUND(IFERROR(IF(LEFT($A25,1)="C",'Avoided Costs'!$M$13,'Avoided Costs'!$M$12)+1,""),4)</f>
        <v>1.0720000000000001</v>
      </c>
      <c r="CT25" s="199">
        <f>ROUND(IFERROR(IF(LEFT($A25,1)="C",'Avoided Costs'!$N$13,'Avoided Costs'!$N$12)+1,""),4)</f>
        <v>1.04</v>
      </c>
      <c r="CU25" s="199">
        <f>ROUND(IFERROR(IF(LEFT($A25,1)="C",'Avoided Costs'!$O$13,'Avoided Costs'!$O$12)+1,""),4)</f>
        <v>1.1120000000000001</v>
      </c>
      <c r="CV25" s="199">
        <f>ROUND(IFERROR(IF(LEFT($A25,1)="C",'Avoided Costs'!$P$13,'Avoided Costs'!$P$12)+1,""),4)</f>
        <v>1.095</v>
      </c>
      <c r="CW25" s="199">
        <f>ROUND(IFERROR(IF(LEFT($A25,1)="C",'Avoided Costs'!$Q$13,'Avoided Costs'!$Q$12)+1,""),4)</f>
        <v>1.1120000000000001</v>
      </c>
      <c r="CX25" s="200">
        <f>ROUND(IFERROR(IF(LEFT($A25,1)="C",'Avoided Costs'!$R$13,'Avoided Costs'!$R$12)+1,""),4)</f>
        <v>1.1120000000000001</v>
      </c>
    </row>
    <row r="26" spans="1:102" ht="12.75" customHeight="1">
      <c r="A26" s="91" t="str">
        <f>IF('Inputs Yr 2'!$B26=0,"",'Inputs Yr 2'!A26)</f>
        <v>A - Residential</v>
      </c>
      <c r="B26" s="91" t="str">
        <f>IF('Inputs Yr 2'!$B26=0,"",'Inputs Yr 2'!B26)</f>
        <v>A1 - Residential Whole House</v>
      </c>
      <c r="C26" s="91" t="str">
        <f>IF('Inputs Yr 2'!$B26=0,"",'Inputs Yr 2'!C26)</f>
        <v>A1b - Residential Multi-Family Retrofit</v>
      </c>
      <c r="D26" s="91" t="str">
        <f>IF('Inputs Yr 2'!$B26=0,"",'Inputs Yr 2'!E26)</f>
        <v>Low Flow Showerhead, Gas</v>
      </c>
      <c r="E26" s="93" t="str">
        <f>IF('Inputs Yr 2'!$B26=0,"",'Inputs Yr 2'!F26)</f>
        <v>G16A1b11</v>
      </c>
      <c r="F26" s="93" t="str">
        <f>IF('Inputs Yr 2'!$B26=0,"",'Inputs Yr 2'!G26)</f>
        <v>Hot Water</v>
      </c>
      <c r="G26" s="95">
        <f>IF('Inputs Yr 2'!$H26&lt;&gt;0,('Inputs Yr 2'!H26),"")</f>
        <v>2122</v>
      </c>
      <c r="H26" s="94">
        <f>IFERROR('Inputs Yr 2'!I26,"")</f>
        <v>7</v>
      </c>
      <c r="I26" s="298">
        <f>IFERROR('Inputs Yr 2'!J26*'Inputs Yr 2'!P26*G26,"")</f>
        <v>23234.537499999999</v>
      </c>
      <c r="J26" s="298">
        <f>IFERROR('Inputs Yr 2'!K26*G26,"")</f>
        <v>27334.75</v>
      </c>
      <c r="K26" s="298">
        <f t="shared" si="23"/>
        <v>-4100.2125000000015</v>
      </c>
      <c r="L26" s="194">
        <f>IFERROR(('Inputs Yr 2'!W26*G26)/1000,"")</f>
        <v>0</v>
      </c>
      <c r="M26" s="194">
        <f>IFERROR(L26*('Inputs Yr 2'!$Q26*'Inputs Yr 2'!$V26*'Inputs Yr 2'!$R26),"")</f>
        <v>0</v>
      </c>
      <c r="N26" s="194">
        <f t="shared" si="24"/>
        <v>0</v>
      </c>
      <c r="O26" s="194">
        <f>IFERROR(M26*'Inputs Yr 2'!P26,"")</f>
        <v>0</v>
      </c>
      <c r="P26" s="194">
        <f t="shared" si="25"/>
        <v>0</v>
      </c>
      <c r="Q26" s="194">
        <f>IFERROR($P26*'Inputs Yr 2'!AA26,"")</f>
        <v>0</v>
      </c>
      <c r="R26" s="194">
        <f>IFERROR($P26*'Inputs Yr 2'!AB26,"")</f>
        <v>0</v>
      </c>
      <c r="S26" s="194">
        <f>IFERROR($P26*'Inputs Yr 2'!AC26,"")</f>
        <v>0</v>
      </c>
      <c r="T26" s="194">
        <f>IFERROR($P26*'Inputs Yr 2'!AD26,"")</f>
        <v>0</v>
      </c>
      <c r="U26" s="194">
        <f>IFERROR(G26*'Inputs Yr 2'!$AE26*'Inputs Yr 2'!$P26*'Inputs Yr 2'!$Q26,"")</f>
        <v>0</v>
      </c>
      <c r="V26" s="194">
        <f>IFERROR($G26*'Inputs Yr 2'!$AE26*'Inputs Yr 2'!$AG26*'Inputs Yr 2'!Q26*'Inputs Yr 2'!$S26,"")</f>
        <v>0</v>
      </c>
      <c r="W26" s="194">
        <f>IFERROR($G26*'Inputs Yr 2'!$AE26*'Inputs Yr 2'!$AG26*'Inputs Yr 2'!P26*'Inputs Yr 2'!Q26*'Inputs Yr 2'!$S26,"")</f>
        <v>0</v>
      </c>
      <c r="X26" s="194">
        <f>IFERROR($G26*'Inputs Yr 2'!$AE26*'Inputs Yr 2'!$AF26*'Inputs Yr 2'!Q26*'Inputs Yr 2'!$T26,"")</f>
        <v>0</v>
      </c>
      <c r="Y26" s="194">
        <f>IFERROR($G26*'Inputs Yr 2'!$AE26*'Inputs Yr 2'!$AF26*'Inputs Yr 2'!P26*'Inputs Yr 2'!Q26*'Inputs Yr 2'!$T26,"")</f>
        <v>0</v>
      </c>
      <c r="Z26" s="257">
        <f>IFERROR($G26*'Inputs Yr 2'!$Q26*'Inputs Yr 2'!$U26*(IF(IFERROR(SEARCH("NG", 'Inputs Yr 2'!$AJ26),0),'Inputs Yr 2'!$AK26,0)+IF(IFERROR(SEARCH("NG", 'Inputs Yr 2'!$AL26),0),'Inputs Yr 2'!$AM26,0)+IF(IFERROR(SEARCH("NG", 'Inputs Yr 2'!$AN26),0),'Inputs Yr 2'!$AO26,0)),0)</f>
        <v>2419.0800000000004</v>
      </c>
      <c r="AA26" s="257">
        <f t="shared" si="26"/>
        <v>16933.560000000001</v>
      </c>
      <c r="AB26" s="257">
        <f>IFERROR(Z26*'Inputs Yr 2'!$P26,0)</f>
        <v>2056.2180000000003</v>
      </c>
      <c r="AC26" s="257">
        <f t="shared" si="27"/>
        <v>14393.526000000002</v>
      </c>
      <c r="AD26" s="257">
        <f>IFERROR($G26*'Inputs Yr 2'!$Q26*'Inputs Yr 2'!$U26*(IF(IFERROR(SEARCH("Oil", 'Inputs Yr 2'!$AJ26), 0),'Inputs Yr 2'!$AK26,0)+IF(IFERROR(SEARCH("Oil", 'Inputs Yr 2'!$AL26), 0),'Inputs Yr 2'!$AM26,0)+IF(IFERROR(SEARCH("Oil", 'Inputs Yr 2'!$AN26), 0),'Inputs Yr 2'!$AO26,0)),0)</f>
        <v>0</v>
      </c>
      <c r="AE26" s="257">
        <f t="shared" si="28"/>
        <v>0</v>
      </c>
      <c r="AF26" s="257">
        <f>IFERROR(AD26*'Inputs Yr 2'!$P26,0)</f>
        <v>0</v>
      </c>
      <c r="AG26" s="257">
        <f t="shared" si="29"/>
        <v>0</v>
      </c>
      <c r="AH26" s="257">
        <f>IFERROR($G26*'Inputs Yr 2'!$Q26*'Inputs Yr 2'!$U26*(IF('Inputs Yr 2'!$AJ26=CD$4,'Inputs Yr 2'!$AK26,IF('Inputs Yr 2'!$AL26=CD$4,'Inputs Yr 2'!$AM26,IF('Inputs Yr 2'!$AN26=CD$4,'Inputs Yr 2'!$AO26,0)))),0)</f>
        <v>0</v>
      </c>
      <c r="AI26" s="257">
        <f t="shared" si="30"/>
        <v>0</v>
      </c>
      <c r="AJ26" s="257">
        <f>IFERROR(AH26*'Inputs Yr 2'!$P26,0)</f>
        <v>0</v>
      </c>
      <c r="AK26" s="257">
        <f t="shared" si="31"/>
        <v>0</v>
      </c>
      <c r="AL26" s="258">
        <f>IFERROR($G26*'Inputs Yr 2'!$P26*'Inputs Yr 2'!$Q26*'Inputs Yr 2'!AP26,0)</f>
        <v>3905010.5</v>
      </c>
      <c r="AM26" s="260">
        <f>IFERROR($G26*'Inputs Yr 2'!$P26*'Inputs Yr 2'!$Q26*'Inputs Yr 2'!AQ26,0)</f>
        <v>0</v>
      </c>
      <c r="AN26" s="258">
        <f>IFERROR($G26*'Inputs Yr 2'!$P26*'Inputs Yr 2'!$Q26*'Inputs Yr 2'!AR26,0)</f>
        <v>0</v>
      </c>
      <c r="AO26" s="257">
        <f t="shared" si="32"/>
        <v>27335073.5</v>
      </c>
      <c r="AP26" s="195">
        <f>IFERROR($CQ26*(INDEX(avoidedcosttbl2,$H26,AP$2)+(($H26-ROUNDDOWN($H26,0))*(INDEX(avoidedcosttbl2,ROUNDUP($H26,0),AP$2)-(INDEX(avoidedcosttbl2,ROUNDDOWN($H26,0),AP$2)))))*$O26*1000*'Inputs Yr 2'!AA26,"")</f>
        <v>0</v>
      </c>
      <c r="AQ26" s="195">
        <f>IFERROR($CR26*(INDEX(avoidedcosttbl2,$H26,AQ$2)+(($H26-ROUNDDOWN($H26,0))*(INDEX(avoidedcosttbl2,ROUNDUP($H26,0),AQ$2)-(INDEX(avoidedcosttbl2,ROUNDDOWN($H26,0),AQ$2)))))*$O26*1000*'Inputs Yr 2'!AB26,"")</f>
        <v>0</v>
      </c>
      <c r="AR26" s="195">
        <f>IFERROR($CS26*(INDEX(avoidedcosttbl2,$H26,AR$2)+(($H26-ROUNDDOWN($H26,0))*(INDEX(avoidedcosttbl2,ROUNDUP($H26,0),AR$2)-(INDEX(avoidedcosttbl2,ROUNDDOWN($H26,0),AR$2)))))*$O26*1000*'Inputs Yr 2'!AC26,"")</f>
        <v>0</v>
      </c>
      <c r="AS26" s="195">
        <f>IFERROR($CT26*(INDEX(avoidedcosttbl2,$H26,AS$2)+(($H26-ROUNDDOWN($H26,0))*(INDEX(avoidedcosttbl2,ROUNDUP($H26,0),AS$2)-(INDEX(avoidedcosttbl2,ROUNDDOWN($H26,0),AS$2)))))*$O26*1000*'Inputs Yr 2'!AD26,"")</f>
        <v>0</v>
      </c>
      <c r="AT26" s="196">
        <f t="shared" si="33"/>
        <v>0</v>
      </c>
      <c r="AU26" s="197">
        <f>IFERROR($CQ26*((INDEX(avoidedcosttbl2,$H26,AU$2))+(($H26-ROUNDDOWN($H26,0))*((INDEX(avoidedcosttbl2,ROUNDUP($H26,0),AU$2))-(INDEX(avoidedcosttbl2,ROUNDDOWN($H26,0),AU$2)))))*$O26*1000*'Inputs Yr 2'!AA26,"")</f>
        <v>0</v>
      </c>
      <c r="AV26" s="197">
        <f>IFERROR($CR26*((INDEX(avoidedcosttbl2,$H26,AV$2))+(($H26-ROUNDDOWN($H26,0))*((INDEX(avoidedcosttbl2,ROUNDUP($H26,0),AV$2))-(INDEX(avoidedcosttbl2,ROUNDDOWN($H26,0),AV$2)))))*$O26*1000*'Inputs Yr 2'!AB26,"")</f>
        <v>0</v>
      </c>
      <c r="AW26" s="197">
        <f>IFERROR($CS26*((INDEX(avoidedcosttbl2,$H26,AW$2))+(($H26-ROUNDDOWN($H26,0))*((INDEX(avoidedcosttbl2,ROUNDUP($H26,0),AW$2))-(INDEX(avoidedcosttbl2,ROUNDDOWN($H26,0),AW$2)))))*$O26*1000*'Inputs Yr 2'!AC26,"")</f>
        <v>0</v>
      </c>
      <c r="AX26" s="197">
        <f>IFERROR($CT26*((INDEX(avoidedcosttbl2,$H26,AX$2))+(($H26-ROUNDDOWN($H26,0))*((INDEX(avoidedcosttbl2,ROUNDUP($H26,0),AX$2))-(INDEX(avoidedcosttbl2,ROUNDDOWN($H26,0),AX$2)))))*$O26*1000*'Inputs Yr 2'!AD26,"")</f>
        <v>0</v>
      </c>
      <c r="AY26" s="197">
        <f>IFERROR(((INDEX(avoidedcosttbl2,$H26,AY$2))+(($H26-ROUNDDOWN($H26,0))*((INDEX(avoidedcosttbl2,ROUNDUP($H26,0),AY$2))-(INDEX(avoidedcosttbl2,ROUNDDOWN($H26,0),AY$2)))))*$O26*1000*('Inputs Yr 2'!AC26+'Inputs Yr 2'!AD26),"")</f>
        <v>0</v>
      </c>
      <c r="AZ26" s="197">
        <f>IFERROR(((INDEX(avoidedcosttbl2,$H26,AZ$2))+(($H26-ROUNDDOWN($H26,0))*((INDEX(avoidedcosttbl2,ROUNDUP($H26,0),AZ$2))-(INDEX(avoidedcosttbl2,ROUNDDOWN($H26,0),AZ$2)))))*$O26*1000*('Inputs Yr 2'!AA26+'Inputs Yr 2'!AB26),"")</f>
        <v>0</v>
      </c>
      <c r="BA26" s="198">
        <f t="shared" si="34"/>
        <v>0</v>
      </c>
      <c r="BB26" s="198">
        <f t="shared" si="35"/>
        <v>0</v>
      </c>
      <c r="BC26" s="195">
        <f t="shared" si="10"/>
        <v>0</v>
      </c>
      <c r="BD26" s="195">
        <f t="shared" si="11"/>
        <v>0</v>
      </c>
      <c r="BE26" s="195">
        <f t="shared" si="12"/>
        <v>0</v>
      </c>
      <c r="BF26" s="195">
        <f t="shared" si="13"/>
        <v>0</v>
      </c>
      <c r="BG26" s="195">
        <f t="shared" si="14"/>
        <v>0</v>
      </c>
      <c r="BH26" s="196">
        <f t="shared" si="36"/>
        <v>0</v>
      </c>
      <c r="BI26" s="196">
        <f t="shared" si="37"/>
        <v>0</v>
      </c>
      <c r="BJ26" s="195">
        <f>IFERROR($G26*(IF('Inputs Yr 2'!$AJ26=BJ$4,'Inputs Yr 2'!$AK26,IF('Inputs Yr 2'!$AL26=BJ$4,'Inputs Yr 2'!$AM26,IF('Inputs Yr 2'!$AN26=BJ$4,'Inputs Yr 2'!$AO26,0))))*(INDEX(avoidedcosttbl2,$H26,BJ$2)+(($H26-ROUNDDOWN($H26,0))*(INDEX(avoidedcosttbl2,ROUNDUP($H26,0),BJ$2)-(INDEX(avoidedcosttbl2,ROUNDDOWN($H26,0),BJ$2)))))*'Inputs Yr 2'!P26*'Inputs Yr 2'!Q26*'Inputs Yr 2'!U26,"")</f>
        <v>0</v>
      </c>
      <c r="BK26" s="195">
        <f>IFERROR($G26*(IF('Inputs Yr 2'!$AJ26=BK$4,'Inputs Yr 2'!$AK26,IF('Inputs Yr 2'!$AL26=BK$4,'Inputs Yr 2'!$AM26,IF('Inputs Yr 2'!$AN26=BK$4,'Inputs Yr 2'!$AO26,0))))*(INDEX(avoidedcosttbl2,$H26,BK$2)+(($H26-ROUNDDOWN($H26,0))*(INDEX(avoidedcosttbl2,ROUNDUP($H26,0),BK$2)-(INDEX(avoidedcosttbl2,ROUNDDOWN($H26,0),BK$2)))))*'Inputs Yr 2'!P26*'Inputs Yr 2'!Q26*'Inputs Yr 2'!U26,"")</f>
        <v>111077.26738071445</v>
      </c>
      <c r="BL26" s="195">
        <f>IFERROR($G26*(IF('Inputs Yr 2'!$AJ26=BL$4,'Inputs Yr 2'!$AK26,IF('Inputs Yr 2'!$AL26=BL$4,'Inputs Yr 2'!$AM26,IF('Inputs Yr 2'!$AN26=BL$4,'Inputs Yr 2'!$AO26,0))))*(INDEX(avoidedcosttbl2,$H26,BL$2)+(($H26-ROUNDDOWN($H26,0))*(INDEX(avoidedcosttbl2,ROUNDUP($H26,0),BL$2)-(INDEX(avoidedcosttbl2,ROUNDDOWN($H26,0),BL$2)))))*'Inputs Yr 2'!P26*'Inputs Yr 2'!Q26*'Inputs Yr 2'!U26,"")</f>
        <v>0</v>
      </c>
      <c r="BM26" s="195">
        <f>IFERROR($G26*(IF('Inputs Yr 2'!$AJ26=BM$4,'Inputs Yr 2'!$AK26,IF('Inputs Yr 2'!$AL26=BM$4,'Inputs Yr 2'!$AM26,IF('Inputs Yr 2'!$AN26=BM$4,'Inputs Yr 2'!$AO26,0))))*(INDEX(avoidedcosttbl2,$H26,BM$2)+(($H26-ROUNDDOWN($H26,0))*(INDEX(avoidedcosttbl2,ROUNDUP($H26,0),BM$2)-(INDEX(avoidedcosttbl2,ROUNDDOWN($H26,0),BM$2)))))*'Inputs Yr 2'!P26*'Inputs Yr 2'!Q26*'Inputs Yr 2'!U26,"")</f>
        <v>0</v>
      </c>
      <c r="BN26" s="195">
        <f>IFERROR($G26*(IF('Inputs Yr 2'!$AJ26=BN$4,'Inputs Yr 2'!$AK26,IF('Inputs Yr 2'!$AL26=BN$4,'Inputs Yr 2'!$AM26,IF('Inputs Yr 2'!$AN26=BN$4,'Inputs Yr 2'!$AO26,0))))*(INDEX(avoidedcosttbl2,$H26,BN$2)+(($H26-ROUNDDOWN($H26,0))*(INDEX(avoidedcosttbl2,ROUNDUP($H26,0),BN$2)-(INDEX(avoidedcosttbl2,ROUNDDOWN($H26,0),BN$2)))))*'Inputs Yr 2'!P26*'Inputs Yr 2'!Q26*'Inputs Yr 2'!U26,"")</f>
        <v>0</v>
      </c>
      <c r="BO26" s="195">
        <f>IFERROR($G26*(IF('Inputs Yr 2'!$AJ26=BO$4,'Inputs Yr 2'!$AK26,IF('Inputs Yr 2'!$AL26=BO$4,'Inputs Yr 2'!$AM26,IF('Inputs Yr 2'!$AN26=BO$4,'Inputs Yr 2'!$AO26,0))))*(INDEX(avoidedcosttbl2,$H26,BO$2)+(($H26-ROUNDDOWN($H26,0))*(INDEX(avoidedcosttbl2,ROUNDUP($H26,0),BO$2)-(INDEX(avoidedcosttbl2,ROUNDDOWN($H26,0),BO$2)))))*'Inputs Yr 2'!P26*'Inputs Yr 2'!Q26*'Inputs Yr 2'!U26,"")</f>
        <v>0</v>
      </c>
      <c r="BP26" s="195">
        <f>IFERROR($G26*(IF('Inputs Yr 2'!$AJ26=BP$4,'Inputs Yr 2'!$AK26,IF('Inputs Yr 2'!$AL26=BP$4,'Inputs Yr 2'!$AM26,IF('Inputs Yr 2'!$AN26=BP$4,'Inputs Yr 2'!$AO26,0))))*(INDEX(avoidedcosttbl2,$H26,BP$2)+(($H26-ROUNDDOWN($H26,0))*(INDEX(avoidedcosttbl2,ROUNDUP($H26,0),BP$2)-(INDEX(avoidedcosttbl2,ROUNDDOWN($H26,0),BP$2)))))*'Inputs Yr 2'!P26*'Inputs Yr 2'!Q26*'Inputs Yr 2'!U26,"")</f>
        <v>0</v>
      </c>
      <c r="BQ26" s="230">
        <f t="shared" si="38"/>
        <v>111077.26738071445</v>
      </c>
      <c r="BR26" s="197">
        <f t="shared" si="17"/>
        <v>1985.2088936369594</v>
      </c>
      <c r="BS26" s="197">
        <f>IFERROR(($G26*IF('Inputs Yr 2'!$AJ26=BM$4,'Inputs Yr 2'!$AK26,IF('Inputs Yr 2'!$AL26=BM$4,'Inputs Yr 2'!$AM26,IF('Inputs Yr 2'!$AN26=BM$4,'Inputs Yr 2'!$AO26,0))))*(INDEX(avoidedcosttbl2,$H26,BS$2)+(($H26-ROUNDDOWN($H26,0))*(INDEX(avoidedcosttbl2,ROUNDUP($H26,0),BS$2)-(INDEX(avoidedcosttbl2,ROUNDDOWN($H26,0),BS$2)))))*'Inputs Yr 2'!P26*'Inputs Yr 2'!Q26*'Inputs Yr 2'!U26,"")</f>
        <v>0</v>
      </c>
      <c r="BT26" s="197">
        <f>IFERROR(($G26*IF('Inputs Yr 2'!$AJ26=BK$4,'Inputs Yr 2'!$AK26,IF('Inputs Yr 2'!$AL26=BK$4,'Inputs Yr 2'!$AM26,IF('Inputs Yr 2'!$AN26=BK$4,'Inputs Yr 2'!$AO26,0))))*(INDEX(avoidedcosttbl2,$H26,BT$2)+(($H26-ROUNDDOWN($H26,0))*(INDEX(avoidedcosttbl2,ROUNDUP($H26,0),BT$2)-(INDEX(avoidedcosttbl2,ROUNDDOWN($H26,0),BT$2)))))*'Inputs Yr 2'!P26*'Inputs Yr 2'!Q26*'Inputs Yr 2'!U26,"")</f>
        <v>15132.457039016785</v>
      </c>
      <c r="BU26" s="197">
        <f>IFERROR(($G26*IF('Inputs Yr 2'!$AJ26=BL$4,'Inputs Yr 2'!$AK26,IF('Inputs Yr 2'!$AL26=BL$4,'Inputs Yr 2'!$AM26,IF('Inputs Yr 2'!$AN26=BL$4,'Inputs Yr 2'!$AO26,0))))*(INDEX(avoidedcosttbl2,$H26,BU$2)+(($H26-ROUNDDOWN($H26,0))*(INDEX(avoidedcosttbl2,ROUNDUP($H26,0),BU$2)-(INDEX(avoidedcosttbl2,ROUNDDOWN($H26,0),BU$2)))))*'Inputs Yr 2'!P26*'Inputs Yr 2'!Q26*'Inputs Yr 2'!U26,"")</f>
        <v>0</v>
      </c>
      <c r="BV26" s="775">
        <f>IFERROR(($G26*IF('Inputs Yr 2'!$AJ26=BJ$4,'Inputs Yr 2'!$AK26,IF('Inputs Yr 2'!$AL26=BJ$4,'Inputs Yr 2'!$AM26,IF('Inputs Yr 2'!$AN26=BJ$4,'Inputs Yr 2'!$AO26,0))))*(INDEX(avoidedcosttbl2,$H26,BV$2)+(($H26-ROUNDDOWN($H26,0))*(INDEX(avoidedcosttbl2,ROUNDUP($H26,0),BV$2)-(INDEX(avoidedcosttbl2,ROUNDDOWN($H26,0),BV$2)))))*'Inputs Yr 2'!P26*'Inputs Yr 2'!Q26*'Inputs Yr 2'!U26,"")</f>
        <v>0</v>
      </c>
      <c r="BW26" s="197">
        <f>IFERROR(($G26*IF('Inputs Yr 2'!$AJ26=BN$4,'Inputs Yr 2'!$AK26,IF('Inputs Yr 2'!$AL26=BN$4,'Inputs Yr 2'!$AM26,IF('Inputs Yr 2'!$AN26=BN$4,'Inputs Yr 2'!$AO26,0))))*(INDEX(avoidedcosttbl2,$H26,BW$2)+(($H26-ROUNDDOWN($H26,0))*(INDEX(avoidedcosttbl2,ROUNDUP($H26,0),BW$2)-(INDEX(avoidedcosttbl2,ROUNDDOWN($H26,0),BW$2)))))*'Inputs Yr 2'!P26*'Inputs Yr 2'!Q26*'Inputs Yr 2'!U26,"")</f>
        <v>0</v>
      </c>
      <c r="BX26" s="197">
        <f>IFERROR(($G26*IF('Inputs Yr 2'!$AJ26=BO$4,'Inputs Yr 2'!$AK26,IF('Inputs Yr 2'!$AL26=BO$4,'Inputs Yr 2'!$AM26,IF('Inputs Yr 2'!$AN26=BO$4,'Inputs Yr 2'!$AO26,0))))*(INDEX(avoidedcosttbl2,$H26,BX$2)+(($H26-ROUNDDOWN($H26,0))*(INDEX(avoidedcosttbl2,ROUNDUP($H26,0),BX$2)-(INDEX(avoidedcosttbl2,ROUNDDOWN($H26,0),BX$2)))))*'Inputs Yr 2'!P26*'Inputs Yr 2'!Q26*'Inputs Yr 2'!U26,"")</f>
        <v>0</v>
      </c>
      <c r="BY26" s="197">
        <f>IFERROR(($G26*IF('Inputs Yr 2'!$AJ26=BP$4,'Inputs Yr 2'!$AK26,IF('Inputs Yr 2'!$AL26=BP$4,'Inputs Yr 2'!$AM26,IF('Inputs Yr 2'!$AN26=BP$4,'Inputs Yr 2'!$AO26,0))))*(INDEX(avoidedcosttbl2,$H26,BY$2)+(($H26-ROUNDDOWN($H26,0))*(INDEX(avoidedcosttbl2,ROUNDUP($H26,0),BY$2)-(INDEX(avoidedcosttbl2,ROUNDDOWN($H26,0),BY$2)))))*'Inputs Yr 2'!P26*'Inputs Yr 2'!Q26*'Inputs Yr 2'!U26,"")</f>
        <v>0</v>
      </c>
      <c r="BZ26" s="193">
        <f t="shared" si="39"/>
        <v>17117.665932653745</v>
      </c>
      <c r="CA26" s="193">
        <f t="shared" si="40"/>
        <v>128194.93331336819</v>
      </c>
      <c r="CB26" s="195">
        <f>IFERROR(G26*(IF('Inputs Yr 2'!$AJ26=CB$4,'Inputs Yr 2'!$AK26,IF('Inputs Yr 2'!$AL26=CB$4,'Inputs Yr 2'!$AM26,IF('Inputs Yr 2'!$AN26=CB$4,'Inputs Yr 2'!$AO26,0))))*(INDEX(avoidedcosttbl2,$H26,CB$2)+(($H26-ROUNDDOWN($H26,0))*(INDEX(avoidedcosttbl2,ROUNDUP($H26,0),CB$2)-(INDEX(avoidedcosttbl2,ROUNDDOWN($H26,0),CB$2)))))*'Inputs Yr 2'!P26*'Inputs Yr 2'!Q26*'Inputs Yr 2'!U26,"")</f>
        <v>0</v>
      </c>
      <c r="CC26" s="195">
        <f>IFERROR(H26*(IF('Inputs Yr 2'!$AJ26=CC$4,'Inputs Yr 2'!$AK26,IF('Inputs Yr 2'!$AL26=CC$4,'Inputs Yr 2'!$AM26,IF('Inputs Yr 2'!$AN26=CC$4,'Inputs Yr 2'!$AO26,0))))*(INDEX(avoidedcosttbl2,$H26,CC$2)+(($H26-ROUNDDOWN($H26,0))*(INDEX(avoidedcosttbl2,ROUNDUP($H26,0),CC$2)-(INDEX(avoidedcosttbl2,ROUNDDOWN($H26,0),CC$2)))))*'Inputs Yr 2'!Q26*'Inputs Yr 2'!R26*'Inputs Yr 2'!V26,"")</f>
        <v>0</v>
      </c>
      <c r="CD26" s="195">
        <f>IFERROR(I26*(IF('Inputs Yr 2'!$AJ26=CD$4,'Inputs Yr 2'!$AK26,IF('Inputs Yr 2'!$AL26=CD$4,'Inputs Yr 2'!$AM26,IF('Inputs Yr 2'!$AN26=CD$4,'Inputs Yr 2'!$AO26,0))))*(INDEX(avoidedcosttbl2,$H26,CD$2)+(($H26-ROUNDDOWN($H26,0))*(INDEX(avoidedcosttbl2,ROUNDUP($H26,0),CD$2)-(INDEX(avoidedcosttbl2,ROUNDDOWN($H26,0),CD$2)))))*'Inputs Yr 2'!R26*'Inputs Yr 2'!S26*'Inputs Yr 2'!W26,"")</f>
        <v>0</v>
      </c>
      <c r="CE26" s="213">
        <f t="shared" si="41"/>
        <v>291621.44293539814</v>
      </c>
      <c r="CF26" s="213">
        <f t="shared" si="42"/>
        <v>0</v>
      </c>
      <c r="CG26" s="213">
        <f t="shared" si="43"/>
        <v>0</v>
      </c>
      <c r="CH26" s="698">
        <f t="shared" si="44"/>
        <v>419816.37624876632</v>
      </c>
      <c r="CI26" s="79">
        <f>IFERROR(($G26*'Inputs Yr 2'!$P26*'Inputs Yr 2'!$Q26*(((INDEX(avoidedcosttbl2,$H26,CI$2)+(($H26-ROUNDDOWN($H26,0))*(INDEX(avoidedcosttbl2,ROUNDUP($H26,0),CI$2)-INDEX(avoidedcosttbl2,ROUNDDOWN($H26,0),CI$2))))*'Inputs Yr 2'!AS26))),"")</f>
        <v>7211.6329900735536</v>
      </c>
      <c r="CJ26" s="504">
        <f>IFERROR($G26*'Inputs Yr 2'!AT26*'Inputs Yr 2'!$P26*'Inputs Yr 2'!$Q26/((1+realdiscrt1)^-0.5),"")</f>
        <v>0</v>
      </c>
      <c r="CK26" s="79">
        <f>IFERROR((O26*1000*(((INDEX(avoidedcosttbl2,$H26,CK$2)+(($H26-ROUNDDOWN($H26,0))*(INDEX(avoidedcosttbl2,ROUNDUP($H26,0),CK$2)-INDEX(avoidedcosttbl2,ROUNDDOWN($H26,0),CK$2))))*'Inputs Yr 2'!AU26))),"")</f>
        <v>0</v>
      </c>
      <c r="CL26" s="504">
        <f>IFERROR(O26*1000*'Inputs Yr 2'!AV26/((1+realdiscrt1)^-0.5),"")</f>
        <v>0</v>
      </c>
      <c r="CM26" s="79">
        <f>IFERROR((AB26*'Inputs Yr 2'!AW26*(((INDEX(avoidedcosttbl2,$H26,CM$2)+(($H26-ROUNDDOWN($H26,0))*(INDEX(avoidedcosttbl2,ROUNDUP($H26,0),CM$2)-INDEX(avoidedcosttbl2,ROUNDDOWN($H26,0),CM$2)))))))*10,"")</f>
        <v>0</v>
      </c>
      <c r="CN26" s="504">
        <f>IFERROR(10*AB26*'Inputs Yr 2'!AX26/((1+realdiscrt1)^-0.5),"")</f>
        <v>0</v>
      </c>
      <c r="CO26" s="505">
        <f t="shared" si="45"/>
        <v>7211.6329900735536</v>
      </c>
      <c r="CP26" s="230">
        <f t="shared" si="46"/>
        <v>427028.00923883985</v>
      </c>
      <c r="CQ26" s="199">
        <f>ROUND(IFERROR(IF(LEFT($A26,1)="C",'Avoided Costs'!$K$13,'Avoided Costs'!$K$12)+1,""),4)</f>
        <v>1.0720000000000001</v>
      </c>
      <c r="CR26" s="199">
        <f>ROUND(IFERROR(IF(LEFT($A26,1)="C",'Avoided Costs'!$L$13,'Avoided Costs'!$L$12)+1,""),4)</f>
        <v>1.04</v>
      </c>
      <c r="CS26" s="199">
        <f>ROUND(IFERROR(IF(LEFT($A26,1)="C",'Avoided Costs'!$M$13,'Avoided Costs'!$M$12)+1,""),4)</f>
        <v>1.0720000000000001</v>
      </c>
      <c r="CT26" s="199">
        <f>ROUND(IFERROR(IF(LEFT($A26,1)="C",'Avoided Costs'!$N$13,'Avoided Costs'!$N$12)+1,""),4)</f>
        <v>1.04</v>
      </c>
      <c r="CU26" s="199">
        <f>ROUND(IFERROR(IF(LEFT($A26,1)="C",'Avoided Costs'!$O$13,'Avoided Costs'!$O$12)+1,""),4)</f>
        <v>1.1120000000000001</v>
      </c>
      <c r="CV26" s="199">
        <f>ROUND(IFERROR(IF(LEFT($A26,1)="C",'Avoided Costs'!$P$13,'Avoided Costs'!$P$12)+1,""),4)</f>
        <v>1.095</v>
      </c>
      <c r="CW26" s="199">
        <f>ROUND(IFERROR(IF(LEFT($A26,1)="C",'Avoided Costs'!$Q$13,'Avoided Costs'!$Q$12)+1,""),4)</f>
        <v>1.1120000000000001</v>
      </c>
      <c r="CX26" s="200">
        <f>ROUND(IFERROR(IF(LEFT($A26,1)="C",'Avoided Costs'!$R$13,'Avoided Costs'!$R$12)+1,""),4)</f>
        <v>1.1120000000000001</v>
      </c>
    </row>
    <row r="27" spans="1:102" ht="12.75" customHeight="1">
      <c r="A27" s="91" t="str">
        <f>IF('Inputs Yr 2'!$B27=0,"",'Inputs Yr 2'!A27)</f>
        <v>A - Residential</v>
      </c>
      <c r="B27" s="91" t="str">
        <f>IF('Inputs Yr 2'!$B27=0,"",'Inputs Yr 2'!B27)</f>
        <v>A1 - Residential Whole House</v>
      </c>
      <c r="C27" s="91" t="str">
        <f>IF('Inputs Yr 2'!$B27=0,"",'Inputs Yr 2'!C27)</f>
        <v>A1b - Residential Multi-Family Retrofit</v>
      </c>
      <c r="D27" s="91" t="str">
        <f>IF('Inputs Yr 2'!$B27=0,"",'Inputs Yr 2'!E27)</f>
        <v>Low Flow Showerhead with TSV, Gas</v>
      </c>
      <c r="E27" s="93" t="str">
        <f>IF('Inputs Yr 2'!$B27=0,"",'Inputs Yr 2'!F27)</f>
        <v>G16A1b12</v>
      </c>
      <c r="F27" s="93" t="str">
        <f>IF('Inputs Yr 2'!$B27=0,"",'Inputs Yr 2'!G27)</f>
        <v>Hot Water</v>
      </c>
      <c r="G27" s="95">
        <f>IF('Inputs Yr 2'!$H27&lt;&gt;0,('Inputs Yr 2'!H27),"")</f>
        <v>177</v>
      </c>
      <c r="H27" s="94">
        <f>IFERROR('Inputs Yr 2'!I27,"")</f>
        <v>7</v>
      </c>
      <c r="I27" s="298">
        <f>IFERROR('Inputs Yr 2'!J27*'Inputs Yr 2'!P27*G27,"")</f>
        <v>6170.75</v>
      </c>
      <c r="J27" s="298">
        <f>IFERROR('Inputs Yr 2'!K27*G27,"")</f>
        <v>6170.75</v>
      </c>
      <c r="K27" s="298">
        <f t="shared" si="23"/>
        <v>0</v>
      </c>
      <c r="L27" s="194">
        <f>IFERROR(('Inputs Yr 2'!W27*G27)/1000,"")</f>
        <v>0</v>
      </c>
      <c r="M27" s="194">
        <f>IFERROR(L27*('Inputs Yr 2'!$Q27*'Inputs Yr 2'!$V27*'Inputs Yr 2'!$R27),"")</f>
        <v>0</v>
      </c>
      <c r="N27" s="194">
        <f t="shared" si="24"/>
        <v>0</v>
      </c>
      <c r="O27" s="194">
        <f>IFERROR(M27*'Inputs Yr 2'!P27,"")</f>
        <v>0</v>
      </c>
      <c r="P27" s="194">
        <f t="shared" si="25"/>
        <v>0</v>
      </c>
      <c r="Q27" s="194">
        <f>IFERROR($P27*'Inputs Yr 2'!AA27,"")</f>
        <v>0</v>
      </c>
      <c r="R27" s="194">
        <f>IFERROR($P27*'Inputs Yr 2'!AB27,"")</f>
        <v>0</v>
      </c>
      <c r="S27" s="194">
        <f>IFERROR($P27*'Inputs Yr 2'!AC27,"")</f>
        <v>0</v>
      </c>
      <c r="T27" s="194">
        <f>IFERROR($P27*'Inputs Yr 2'!AD27,"")</f>
        <v>0</v>
      </c>
      <c r="U27" s="194">
        <f>IFERROR(G27*'Inputs Yr 2'!$AE27*'Inputs Yr 2'!$P27*'Inputs Yr 2'!$Q27,"")</f>
        <v>0</v>
      </c>
      <c r="V27" s="194">
        <f>IFERROR($G27*'Inputs Yr 2'!$AE27*'Inputs Yr 2'!$AG27*'Inputs Yr 2'!Q27*'Inputs Yr 2'!$S27,"")</f>
        <v>0</v>
      </c>
      <c r="W27" s="194">
        <f>IFERROR($G27*'Inputs Yr 2'!$AE27*'Inputs Yr 2'!$AG27*'Inputs Yr 2'!P27*'Inputs Yr 2'!Q27*'Inputs Yr 2'!$S27,"")</f>
        <v>0</v>
      </c>
      <c r="X27" s="194">
        <f>IFERROR($G27*'Inputs Yr 2'!$AE27*'Inputs Yr 2'!$AF27*'Inputs Yr 2'!Q27*'Inputs Yr 2'!$T27,"")</f>
        <v>0</v>
      </c>
      <c r="Y27" s="194">
        <f>IFERROR($G27*'Inputs Yr 2'!$AE27*'Inputs Yr 2'!$AF27*'Inputs Yr 2'!P27*'Inputs Yr 2'!Q27*'Inputs Yr 2'!$T27,"")</f>
        <v>0</v>
      </c>
      <c r="Z27" s="257">
        <f>IFERROR($G27*'Inputs Yr 2'!$Q27*'Inputs Yr 2'!$U27*(IF(IFERROR(SEARCH("NG", 'Inputs Yr 2'!$AJ27),0),'Inputs Yr 2'!$AK27,0)+IF(IFERROR(SEARCH("NG", 'Inputs Yr 2'!$AL27),0),'Inputs Yr 2'!$AM27,0)+IF(IFERROR(SEARCH("NG", 'Inputs Yr 2'!$AN27),0),'Inputs Yr 2'!$AO27,0)),0)</f>
        <v>293.81999999999994</v>
      </c>
      <c r="AA27" s="257">
        <f t="shared" si="26"/>
        <v>2056.7399999999998</v>
      </c>
      <c r="AB27" s="257">
        <f>IFERROR(Z27*'Inputs Yr 2'!$P27,0)</f>
        <v>293.81999999999994</v>
      </c>
      <c r="AC27" s="257">
        <f t="shared" si="27"/>
        <v>2056.7399999999998</v>
      </c>
      <c r="AD27" s="257">
        <f>IFERROR($G27*'Inputs Yr 2'!$Q27*'Inputs Yr 2'!$U27*(IF(IFERROR(SEARCH("Oil", 'Inputs Yr 2'!$AJ27), 0),'Inputs Yr 2'!$AK27,0)+IF(IFERROR(SEARCH("Oil", 'Inputs Yr 2'!$AL27), 0),'Inputs Yr 2'!$AM27,0)+IF(IFERROR(SEARCH("Oil", 'Inputs Yr 2'!$AN27), 0),'Inputs Yr 2'!$AO27,0)),0)</f>
        <v>0</v>
      </c>
      <c r="AE27" s="257">
        <f t="shared" si="28"/>
        <v>0</v>
      </c>
      <c r="AF27" s="257">
        <f>IFERROR(AD27*'Inputs Yr 2'!$P27,0)</f>
        <v>0</v>
      </c>
      <c r="AG27" s="257">
        <f t="shared" si="29"/>
        <v>0</v>
      </c>
      <c r="AH27" s="257">
        <f>IFERROR($G27*'Inputs Yr 2'!$Q27*'Inputs Yr 2'!$U27*(IF('Inputs Yr 2'!$AJ27=CD$4,'Inputs Yr 2'!$AK27,IF('Inputs Yr 2'!$AL27=CD$4,'Inputs Yr 2'!$AM27,IF('Inputs Yr 2'!$AN27=CD$4,'Inputs Yr 2'!$AO27,0)))),0)</f>
        <v>0</v>
      </c>
      <c r="AI27" s="257">
        <f t="shared" si="30"/>
        <v>0</v>
      </c>
      <c r="AJ27" s="257">
        <f>IFERROR(AH27*'Inputs Yr 2'!$P27,0)</f>
        <v>0</v>
      </c>
      <c r="AK27" s="257">
        <f t="shared" si="31"/>
        <v>0</v>
      </c>
      <c r="AL27" s="258">
        <f>IFERROR($G27*'Inputs Yr 2'!$P27*'Inputs Yr 2'!$Q27*'Inputs Yr 2'!AP27,0)</f>
        <v>481971</v>
      </c>
      <c r="AM27" s="260">
        <f>IFERROR($G27*'Inputs Yr 2'!$P27*'Inputs Yr 2'!$Q27*'Inputs Yr 2'!AQ27,0)</f>
        <v>0</v>
      </c>
      <c r="AN27" s="258">
        <f>IFERROR($G27*'Inputs Yr 2'!$P27*'Inputs Yr 2'!$Q27*'Inputs Yr 2'!AR27,0)</f>
        <v>0</v>
      </c>
      <c r="AO27" s="257">
        <f t="shared" si="32"/>
        <v>3373797</v>
      </c>
      <c r="AP27" s="195">
        <f>IFERROR($CQ27*(INDEX(avoidedcosttbl2,$H27,AP$2)+(($H27-ROUNDDOWN($H27,0))*(INDEX(avoidedcosttbl2,ROUNDUP($H27,0),AP$2)-(INDEX(avoidedcosttbl2,ROUNDDOWN($H27,0),AP$2)))))*$O27*1000*'Inputs Yr 2'!AA27,"")</f>
        <v>0</v>
      </c>
      <c r="AQ27" s="195">
        <f>IFERROR($CR27*(INDEX(avoidedcosttbl2,$H27,AQ$2)+(($H27-ROUNDDOWN($H27,0))*(INDEX(avoidedcosttbl2,ROUNDUP($H27,0),AQ$2)-(INDEX(avoidedcosttbl2,ROUNDDOWN($H27,0),AQ$2)))))*$O27*1000*'Inputs Yr 2'!AB27,"")</f>
        <v>0</v>
      </c>
      <c r="AR27" s="195">
        <f>IFERROR($CS27*(INDEX(avoidedcosttbl2,$H27,AR$2)+(($H27-ROUNDDOWN($H27,0))*(INDEX(avoidedcosttbl2,ROUNDUP($H27,0),AR$2)-(INDEX(avoidedcosttbl2,ROUNDDOWN($H27,0),AR$2)))))*$O27*1000*'Inputs Yr 2'!AC27,"")</f>
        <v>0</v>
      </c>
      <c r="AS27" s="195">
        <f>IFERROR($CT27*(INDEX(avoidedcosttbl2,$H27,AS$2)+(($H27-ROUNDDOWN($H27,0))*(INDEX(avoidedcosttbl2,ROUNDUP($H27,0),AS$2)-(INDEX(avoidedcosttbl2,ROUNDDOWN($H27,0),AS$2)))))*$O27*1000*'Inputs Yr 2'!AD27,"")</f>
        <v>0</v>
      </c>
      <c r="AT27" s="196">
        <f t="shared" si="33"/>
        <v>0</v>
      </c>
      <c r="AU27" s="197">
        <f>IFERROR($CQ27*((INDEX(avoidedcosttbl2,$H27,AU$2))+(($H27-ROUNDDOWN($H27,0))*((INDEX(avoidedcosttbl2,ROUNDUP($H27,0),AU$2))-(INDEX(avoidedcosttbl2,ROUNDDOWN($H27,0),AU$2)))))*$O27*1000*'Inputs Yr 2'!AA27,"")</f>
        <v>0</v>
      </c>
      <c r="AV27" s="197">
        <f>IFERROR($CR27*((INDEX(avoidedcosttbl2,$H27,AV$2))+(($H27-ROUNDDOWN($H27,0))*((INDEX(avoidedcosttbl2,ROUNDUP($H27,0),AV$2))-(INDEX(avoidedcosttbl2,ROUNDDOWN($H27,0),AV$2)))))*$O27*1000*'Inputs Yr 2'!AB27,"")</f>
        <v>0</v>
      </c>
      <c r="AW27" s="197">
        <f>IFERROR($CS27*((INDEX(avoidedcosttbl2,$H27,AW$2))+(($H27-ROUNDDOWN($H27,0))*((INDEX(avoidedcosttbl2,ROUNDUP($H27,0),AW$2))-(INDEX(avoidedcosttbl2,ROUNDDOWN($H27,0),AW$2)))))*$O27*1000*'Inputs Yr 2'!AC27,"")</f>
        <v>0</v>
      </c>
      <c r="AX27" s="197">
        <f>IFERROR($CT27*((INDEX(avoidedcosttbl2,$H27,AX$2))+(($H27-ROUNDDOWN($H27,0))*((INDEX(avoidedcosttbl2,ROUNDUP($H27,0),AX$2))-(INDEX(avoidedcosttbl2,ROUNDDOWN($H27,0),AX$2)))))*$O27*1000*'Inputs Yr 2'!AD27,"")</f>
        <v>0</v>
      </c>
      <c r="AY27" s="197">
        <f>IFERROR(((INDEX(avoidedcosttbl2,$H27,AY$2))+(($H27-ROUNDDOWN($H27,0))*((INDEX(avoidedcosttbl2,ROUNDUP($H27,0),AY$2))-(INDEX(avoidedcosttbl2,ROUNDDOWN($H27,0),AY$2)))))*$O27*1000*('Inputs Yr 2'!AC27+'Inputs Yr 2'!AD27),"")</f>
        <v>0</v>
      </c>
      <c r="AZ27" s="197">
        <f>IFERROR(((INDEX(avoidedcosttbl2,$H27,AZ$2))+(($H27-ROUNDDOWN($H27,0))*((INDEX(avoidedcosttbl2,ROUNDUP($H27,0),AZ$2))-(INDEX(avoidedcosttbl2,ROUNDDOWN($H27,0),AZ$2)))))*$O27*1000*('Inputs Yr 2'!AA27+'Inputs Yr 2'!AB27),"")</f>
        <v>0</v>
      </c>
      <c r="BA27" s="198">
        <f t="shared" si="34"/>
        <v>0</v>
      </c>
      <c r="BB27" s="198">
        <f t="shared" si="35"/>
        <v>0</v>
      </c>
      <c r="BC27" s="195">
        <f t="shared" si="10"/>
        <v>0</v>
      </c>
      <c r="BD27" s="195">
        <f t="shared" si="11"/>
        <v>0</v>
      </c>
      <c r="BE27" s="195">
        <f t="shared" si="12"/>
        <v>0</v>
      </c>
      <c r="BF27" s="195">
        <f t="shared" si="13"/>
        <v>0</v>
      </c>
      <c r="BG27" s="195">
        <f t="shared" si="14"/>
        <v>0</v>
      </c>
      <c r="BH27" s="196">
        <f t="shared" si="36"/>
        <v>0</v>
      </c>
      <c r="BI27" s="196">
        <f t="shared" si="37"/>
        <v>0</v>
      </c>
      <c r="BJ27" s="195">
        <f>IFERROR($G27*(IF('Inputs Yr 2'!$AJ27=BJ$4,'Inputs Yr 2'!$AK27,IF('Inputs Yr 2'!$AL27=BJ$4,'Inputs Yr 2'!$AM27,IF('Inputs Yr 2'!$AN27=BJ$4,'Inputs Yr 2'!$AO27,0))))*(INDEX(avoidedcosttbl2,$H27,BJ$2)+(($H27-ROUNDDOWN($H27,0))*(INDEX(avoidedcosttbl2,ROUNDUP($H27,0),BJ$2)-(INDEX(avoidedcosttbl2,ROUNDDOWN($H27,0),BJ$2)))))*'Inputs Yr 2'!P27*'Inputs Yr 2'!Q27*'Inputs Yr 2'!U27,"")</f>
        <v>0</v>
      </c>
      <c r="BK27" s="195">
        <f>IFERROR($G27*(IF('Inputs Yr 2'!$AJ27=BK$4,'Inputs Yr 2'!$AK27,IF('Inputs Yr 2'!$AL27=BK$4,'Inputs Yr 2'!$AM27,IF('Inputs Yr 2'!$AN27=BK$4,'Inputs Yr 2'!$AO27,0))))*(INDEX(avoidedcosttbl2,$H27,BK$2)+(($H27-ROUNDDOWN($H27,0))*(INDEX(avoidedcosttbl2,ROUNDUP($H27,0),BK$2)-(INDEX(avoidedcosttbl2,ROUNDDOWN($H27,0),BK$2)))))*'Inputs Yr 2'!P27*'Inputs Yr 2'!Q27*'Inputs Yr 2'!U27,"")</f>
        <v>15872.209416414753</v>
      </c>
      <c r="BL27" s="195">
        <f>IFERROR($G27*(IF('Inputs Yr 2'!$AJ27=BL$4,'Inputs Yr 2'!$AK27,IF('Inputs Yr 2'!$AL27=BL$4,'Inputs Yr 2'!$AM27,IF('Inputs Yr 2'!$AN27=BL$4,'Inputs Yr 2'!$AO27,0))))*(INDEX(avoidedcosttbl2,$H27,BL$2)+(($H27-ROUNDDOWN($H27,0))*(INDEX(avoidedcosttbl2,ROUNDUP($H27,0),BL$2)-(INDEX(avoidedcosttbl2,ROUNDDOWN($H27,0),BL$2)))))*'Inputs Yr 2'!P27*'Inputs Yr 2'!Q27*'Inputs Yr 2'!U27,"")</f>
        <v>0</v>
      </c>
      <c r="BM27" s="195">
        <f>IFERROR($G27*(IF('Inputs Yr 2'!$AJ27=BM$4,'Inputs Yr 2'!$AK27,IF('Inputs Yr 2'!$AL27=BM$4,'Inputs Yr 2'!$AM27,IF('Inputs Yr 2'!$AN27=BM$4,'Inputs Yr 2'!$AO27,0))))*(INDEX(avoidedcosttbl2,$H27,BM$2)+(($H27-ROUNDDOWN($H27,0))*(INDEX(avoidedcosttbl2,ROUNDUP($H27,0),BM$2)-(INDEX(avoidedcosttbl2,ROUNDDOWN($H27,0),BM$2)))))*'Inputs Yr 2'!P27*'Inputs Yr 2'!Q27*'Inputs Yr 2'!U27,"")</f>
        <v>0</v>
      </c>
      <c r="BN27" s="195">
        <f>IFERROR($G27*(IF('Inputs Yr 2'!$AJ27=BN$4,'Inputs Yr 2'!$AK27,IF('Inputs Yr 2'!$AL27=BN$4,'Inputs Yr 2'!$AM27,IF('Inputs Yr 2'!$AN27=BN$4,'Inputs Yr 2'!$AO27,0))))*(INDEX(avoidedcosttbl2,$H27,BN$2)+(($H27-ROUNDDOWN($H27,0))*(INDEX(avoidedcosttbl2,ROUNDUP($H27,0),BN$2)-(INDEX(avoidedcosttbl2,ROUNDDOWN($H27,0),BN$2)))))*'Inputs Yr 2'!P27*'Inputs Yr 2'!Q27*'Inputs Yr 2'!U27,"")</f>
        <v>0</v>
      </c>
      <c r="BO27" s="195">
        <f>IFERROR($G27*(IF('Inputs Yr 2'!$AJ27=BO$4,'Inputs Yr 2'!$AK27,IF('Inputs Yr 2'!$AL27=BO$4,'Inputs Yr 2'!$AM27,IF('Inputs Yr 2'!$AN27=BO$4,'Inputs Yr 2'!$AO27,0))))*(INDEX(avoidedcosttbl2,$H27,BO$2)+(($H27-ROUNDDOWN($H27,0))*(INDEX(avoidedcosttbl2,ROUNDUP($H27,0),BO$2)-(INDEX(avoidedcosttbl2,ROUNDDOWN($H27,0),BO$2)))))*'Inputs Yr 2'!P27*'Inputs Yr 2'!Q27*'Inputs Yr 2'!U27,"")</f>
        <v>0</v>
      </c>
      <c r="BP27" s="195">
        <f>IFERROR($G27*(IF('Inputs Yr 2'!$AJ27=BP$4,'Inputs Yr 2'!$AK27,IF('Inputs Yr 2'!$AL27=BP$4,'Inputs Yr 2'!$AM27,IF('Inputs Yr 2'!$AN27=BP$4,'Inputs Yr 2'!$AO27,0))))*(INDEX(avoidedcosttbl2,$H27,BP$2)+(($H27-ROUNDDOWN($H27,0))*(INDEX(avoidedcosttbl2,ROUNDUP($H27,0),BP$2)-(INDEX(avoidedcosttbl2,ROUNDDOWN($H27,0),BP$2)))))*'Inputs Yr 2'!P27*'Inputs Yr 2'!Q27*'Inputs Yr 2'!U27,"")</f>
        <v>0</v>
      </c>
      <c r="BQ27" s="230">
        <f t="shared" si="38"/>
        <v>15872.209416414753</v>
      </c>
      <c r="BR27" s="197">
        <f t="shared" si="17"/>
        <v>283.67326671024728</v>
      </c>
      <c r="BS27" s="197">
        <f>IFERROR(($G27*IF('Inputs Yr 2'!$AJ27=BM$4,'Inputs Yr 2'!$AK27,IF('Inputs Yr 2'!$AL27=BM$4,'Inputs Yr 2'!$AM27,IF('Inputs Yr 2'!$AN27=BM$4,'Inputs Yr 2'!$AO27,0))))*(INDEX(avoidedcosttbl2,$H27,BS$2)+(($H27-ROUNDDOWN($H27,0))*(INDEX(avoidedcosttbl2,ROUNDUP($H27,0),BS$2)-(INDEX(avoidedcosttbl2,ROUNDDOWN($H27,0),BS$2)))))*'Inputs Yr 2'!P27*'Inputs Yr 2'!Q27*'Inputs Yr 2'!U27,"")</f>
        <v>0</v>
      </c>
      <c r="BT27" s="197">
        <f>IFERROR(($G27*IF('Inputs Yr 2'!$AJ27=BK$4,'Inputs Yr 2'!$AK27,IF('Inputs Yr 2'!$AL27=BK$4,'Inputs Yr 2'!$AM27,IF('Inputs Yr 2'!$AN27=BK$4,'Inputs Yr 2'!$AO27,0))))*(INDEX(avoidedcosttbl2,$H27,BT$2)+(($H27-ROUNDDOWN($H27,0))*(INDEX(avoidedcosttbl2,ROUNDUP($H27,0),BT$2)-(INDEX(avoidedcosttbl2,ROUNDDOWN($H27,0),BT$2)))))*'Inputs Yr 2'!P27*'Inputs Yr 2'!Q27*'Inputs Yr 2'!U27,"")</f>
        <v>2162.3283753006299</v>
      </c>
      <c r="BU27" s="197">
        <f>IFERROR(($G27*IF('Inputs Yr 2'!$AJ27=BL$4,'Inputs Yr 2'!$AK27,IF('Inputs Yr 2'!$AL27=BL$4,'Inputs Yr 2'!$AM27,IF('Inputs Yr 2'!$AN27=BL$4,'Inputs Yr 2'!$AO27,0))))*(INDEX(avoidedcosttbl2,$H27,BU$2)+(($H27-ROUNDDOWN($H27,0))*(INDEX(avoidedcosttbl2,ROUNDUP($H27,0),BU$2)-(INDEX(avoidedcosttbl2,ROUNDDOWN($H27,0),BU$2)))))*'Inputs Yr 2'!P27*'Inputs Yr 2'!Q27*'Inputs Yr 2'!U27,"")</f>
        <v>0</v>
      </c>
      <c r="BV27" s="775">
        <f>IFERROR(($G27*IF('Inputs Yr 2'!$AJ27=BJ$4,'Inputs Yr 2'!$AK27,IF('Inputs Yr 2'!$AL27=BJ$4,'Inputs Yr 2'!$AM27,IF('Inputs Yr 2'!$AN27=BJ$4,'Inputs Yr 2'!$AO27,0))))*(INDEX(avoidedcosttbl2,$H27,BV$2)+(($H27-ROUNDDOWN($H27,0))*(INDEX(avoidedcosttbl2,ROUNDUP($H27,0),BV$2)-(INDEX(avoidedcosttbl2,ROUNDDOWN($H27,0),BV$2)))))*'Inputs Yr 2'!P27*'Inputs Yr 2'!Q27*'Inputs Yr 2'!U27,"")</f>
        <v>0</v>
      </c>
      <c r="BW27" s="197">
        <f>IFERROR(($G27*IF('Inputs Yr 2'!$AJ27=BN$4,'Inputs Yr 2'!$AK27,IF('Inputs Yr 2'!$AL27=BN$4,'Inputs Yr 2'!$AM27,IF('Inputs Yr 2'!$AN27=BN$4,'Inputs Yr 2'!$AO27,0))))*(INDEX(avoidedcosttbl2,$H27,BW$2)+(($H27-ROUNDDOWN($H27,0))*(INDEX(avoidedcosttbl2,ROUNDUP($H27,0),BW$2)-(INDEX(avoidedcosttbl2,ROUNDDOWN($H27,0),BW$2)))))*'Inputs Yr 2'!P27*'Inputs Yr 2'!Q27*'Inputs Yr 2'!U27,"")</f>
        <v>0</v>
      </c>
      <c r="BX27" s="197">
        <f>IFERROR(($G27*IF('Inputs Yr 2'!$AJ27=BO$4,'Inputs Yr 2'!$AK27,IF('Inputs Yr 2'!$AL27=BO$4,'Inputs Yr 2'!$AM27,IF('Inputs Yr 2'!$AN27=BO$4,'Inputs Yr 2'!$AO27,0))))*(INDEX(avoidedcosttbl2,$H27,BX$2)+(($H27-ROUNDDOWN($H27,0))*(INDEX(avoidedcosttbl2,ROUNDUP($H27,0),BX$2)-(INDEX(avoidedcosttbl2,ROUNDDOWN($H27,0),BX$2)))))*'Inputs Yr 2'!P27*'Inputs Yr 2'!Q27*'Inputs Yr 2'!U27,"")</f>
        <v>0</v>
      </c>
      <c r="BY27" s="197">
        <f>IFERROR(($G27*IF('Inputs Yr 2'!$AJ27=BP$4,'Inputs Yr 2'!$AK27,IF('Inputs Yr 2'!$AL27=BP$4,'Inputs Yr 2'!$AM27,IF('Inputs Yr 2'!$AN27=BP$4,'Inputs Yr 2'!$AO27,0))))*(INDEX(avoidedcosttbl2,$H27,BY$2)+(($H27-ROUNDDOWN($H27,0))*(INDEX(avoidedcosttbl2,ROUNDUP($H27,0),BY$2)-(INDEX(avoidedcosttbl2,ROUNDDOWN($H27,0),BY$2)))))*'Inputs Yr 2'!P27*'Inputs Yr 2'!Q27*'Inputs Yr 2'!U27,"")</f>
        <v>0</v>
      </c>
      <c r="BZ27" s="193">
        <f t="shared" si="39"/>
        <v>2446.0016420108773</v>
      </c>
      <c r="CA27" s="193">
        <f t="shared" si="40"/>
        <v>18318.21105842563</v>
      </c>
      <c r="CB27" s="195">
        <f>IFERROR(G27*(IF('Inputs Yr 2'!$AJ27=CB$4,'Inputs Yr 2'!$AK27,IF('Inputs Yr 2'!$AL27=CB$4,'Inputs Yr 2'!$AM27,IF('Inputs Yr 2'!$AN27=CB$4,'Inputs Yr 2'!$AO27,0))))*(INDEX(avoidedcosttbl2,$H27,CB$2)+(($H27-ROUNDDOWN($H27,0))*(INDEX(avoidedcosttbl2,ROUNDUP($H27,0),CB$2)-(INDEX(avoidedcosttbl2,ROUNDDOWN($H27,0),CB$2)))))*'Inputs Yr 2'!P27*'Inputs Yr 2'!Q27*'Inputs Yr 2'!U27,"")</f>
        <v>0</v>
      </c>
      <c r="CC27" s="195">
        <f>IFERROR(H27*(IF('Inputs Yr 2'!$AJ27=CC$4,'Inputs Yr 2'!$AK27,IF('Inputs Yr 2'!$AL27=CC$4,'Inputs Yr 2'!$AM27,IF('Inputs Yr 2'!$AN27=CC$4,'Inputs Yr 2'!$AO27,0))))*(INDEX(avoidedcosttbl2,$H27,CC$2)+(($H27-ROUNDDOWN($H27,0))*(INDEX(avoidedcosttbl2,ROUNDUP($H27,0),CC$2)-(INDEX(avoidedcosttbl2,ROUNDDOWN($H27,0),CC$2)))))*'Inputs Yr 2'!Q27*'Inputs Yr 2'!R27*'Inputs Yr 2'!V27,"")</f>
        <v>0</v>
      </c>
      <c r="CD27" s="195">
        <f>IFERROR(I27*(IF('Inputs Yr 2'!$AJ27=CD$4,'Inputs Yr 2'!$AK27,IF('Inputs Yr 2'!$AL27=CD$4,'Inputs Yr 2'!$AM27,IF('Inputs Yr 2'!$AN27=CD$4,'Inputs Yr 2'!$AO27,0))))*(INDEX(avoidedcosttbl2,$H27,CD$2)+(($H27-ROUNDDOWN($H27,0))*(INDEX(avoidedcosttbl2,ROUNDUP($H27,0),CD$2)-(INDEX(avoidedcosttbl2,ROUNDDOWN($H27,0),CD$2)))))*'Inputs Yr 2'!R27*'Inputs Yr 2'!S27*'Inputs Yr 2'!W27,"")</f>
        <v>0</v>
      </c>
      <c r="CE27" s="213">
        <f t="shared" si="41"/>
        <v>35993.009102796721</v>
      </c>
      <c r="CF27" s="213">
        <f t="shared" si="42"/>
        <v>0</v>
      </c>
      <c r="CG27" s="213">
        <f t="shared" si="43"/>
        <v>0</v>
      </c>
      <c r="CH27" s="698">
        <f t="shared" si="44"/>
        <v>54311.220161222351</v>
      </c>
      <c r="CI27" s="79">
        <f>IFERROR(($G27*'Inputs Yr 2'!$P27*'Inputs Yr 2'!$Q27*(((INDEX(avoidedcosttbl2,$H27,CI$2)+(($H27-ROUNDDOWN($H27,0))*(INDEX(avoidedcosttbl2,ROUNDUP($H27,0),CI$2)-INDEX(avoidedcosttbl2,ROUNDDOWN($H27,0),CI$2))))*'Inputs Yr 2'!AS27))),"")</f>
        <v>707.68921619061871</v>
      </c>
      <c r="CJ27" s="504">
        <f>IFERROR($G27*'Inputs Yr 2'!AT27*'Inputs Yr 2'!$P27*'Inputs Yr 2'!$Q27/((1+realdiscrt1)^-0.5),"")</f>
        <v>0</v>
      </c>
      <c r="CK27" s="79">
        <f>IFERROR((O27*1000*(((INDEX(avoidedcosttbl2,$H27,CK$2)+(($H27-ROUNDDOWN($H27,0))*(INDEX(avoidedcosttbl2,ROUNDUP($H27,0),CK$2)-INDEX(avoidedcosttbl2,ROUNDDOWN($H27,0),CK$2))))*'Inputs Yr 2'!AU27))),"")</f>
        <v>0</v>
      </c>
      <c r="CL27" s="504">
        <f>IFERROR(O27*1000*'Inputs Yr 2'!AV27/((1+realdiscrt1)^-0.5),"")</f>
        <v>0</v>
      </c>
      <c r="CM27" s="79">
        <f>IFERROR((AB27*'Inputs Yr 2'!AW27*(((INDEX(avoidedcosttbl2,$H27,CM$2)+(($H27-ROUNDDOWN($H27,0))*(INDEX(avoidedcosttbl2,ROUNDUP($H27,0),CM$2)-INDEX(avoidedcosttbl2,ROUNDDOWN($H27,0),CM$2)))))))*10,"")</f>
        <v>0</v>
      </c>
      <c r="CN27" s="504">
        <f>IFERROR(10*AB27*'Inputs Yr 2'!AX27/((1+realdiscrt1)^-0.5),"")</f>
        <v>0</v>
      </c>
      <c r="CO27" s="505">
        <f t="shared" si="45"/>
        <v>707.68921619061871</v>
      </c>
      <c r="CP27" s="230">
        <f t="shared" si="46"/>
        <v>55018.909377412972</v>
      </c>
      <c r="CQ27" s="199">
        <f>ROUND(IFERROR(IF(LEFT($A27,1)="C",'Avoided Costs'!$K$13,'Avoided Costs'!$K$12)+1,""),4)</f>
        <v>1.0720000000000001</v>
      </c>
      <c r="CR27" s="199">
        <f>ROUND(IFERROR(IF(LEFT($A27,1)="C",'Avoided Costs'!$L$13,'Avoided Costs'!$L$12)+1,""),4)</f>
        <v>1.04</v>
      </c>
      <c r="CS27" s="199">
        <f>ROUND(IFERROR(IF(LEFT($A27,1)="C",'Avoided Costs'!$M$13,'Avoided Costs'!$M$12)+1,""),4)</f>
        <v>1.0720000000000001</v>
      </c>
      <c r="CT27" s="199">
        <f>ROUND(IFERROR(IF(LEFT($A27,1)="C",'Avoided Costs'!$N$13,'Avoided Costs'!$N$12)+1,""),4)</f>
        <v>1.04</v>
      </c>
      <c r="CU27" s="199">
        <f>ROUND(IFERROR(IF(LEFT($A27,1)="C",'Avoided Costs'!$O$13,'Avoided Costs'!$O$12)+1,""),4)</f>
        <v>1.1120000000000001</v>
      </c>
      <c r="CV27" s="199">
        <f>ROUND(IFERROR(IF(LEFT($A27,1)="C",'Avoided Costs'!$P$13,'Avoided Costs'!$P$12)+1,""),4)</f>
        <v>1.095</v>
      </c>
      <c r="CW27" s="199">
        <f>ROUND(IFERROR(IF(LEFT($A27,1)="C",'Avoided Costs'!$Q$13,'Avoided Costs'!$Q$12)+1,""),4)</f>
        <v>1.1120000000000001</v>
      </c>
      <c r="CX27" s="200">
        <f>ROUND(IFERROR(IF(LEFT($A27,1)="C",'Avoided Costs'!$R$13,'Avoided Costs'!$R$12)+1,""),4)</f>
        <v>1.1120000000000001</v>
      </c>
    </row>
    <row r="28" spans="1:102" ht="12.75" customHeight="1">
      <c r="A28" s="91" t="str">
        <f>IF('Inputs Yr 2'!$B28=0,"",'Inputs Yr 2'!A28)</f>
        <v>A - Residential</v>
      </c>
      <c r="B28" s="91" t="str">
        <f>IF('Inputs Yr 2'!$B28=0,"",'Inputs Yr 2'!B28)</f>
        <v>A1 - Residential Whole House</v>
      </c>
      <c r="C28" s="91" t="str">
        <f>IF('Inputs Yr 2'!$B28=0,"",'Inputs Yr 2'!C28)</f>
        <v>A1b - Residential Multi-Family Retrofit</v>
      </c>
      <c r="D28" s="91" t="str">
        <f>IF('Inputs Yr 2'!$B28=0,"",'Inputs Yr 2'!E28)</f>
        <v>Thermostatic Shut Off Valve, Gas</v>
      </c>
      <c r="E28" s="93" t="str">
        <f>IF('Inputs Yr 2'!$B28=0,"",'Inputs Yr 2'!F28)</f>
        <v>G16A1b13</v>
      </c>
      <c r="F28" s="93" t="str">
        <f>IF('Inputs Yr 2'!$B28=0,"",'Inputs Yr 2'!G28)</f>
        <v>Hot Water</v>
      </c>
      <c r="G28" s="95" t="str">
        <f>IF('Inputs Yr 2'!$H28&lt;&gt;0,('Inputs Yr 2'!H28),"")</f>
        <v/>
      </c>
      <c r="H28" s="94">
        <f>IFERROR('Inputs Yr 2'!I28,"")</f>
        <v>0</v>
      </c>
      <c r="I28" s="298" t="str">
        <f>IFERROR('Inputs Yr 2'!J28*'Inputs Yr 2'!P28*G28,"")</f>
        <v/>
      </c>
      <c r="J28" s="298" t="str">
        <f>IFERROR('Inputs Yr 2'!K28*G28,"")</f>
        <v/>
      </c>
      <c r="K28" s="298" t="str">
        <f t="shared" si="23"/>
        <v/>
      </c>
      <c r="L28" s="194" t="str">
        <f>IFERROR(('Inputs Yr 2'!W28*G28)/1000,"")</f>
        <v/>
      </c>
      <c r="M28" s="194" t="str">
        <f>IFERROR(L28*('Inputs Yr 2'!$Q28*'Inputs Yr 2'!$V28*'Inputs Yr 2'!$R28),"")</f>
        <v/>
      </c>
      <c r="N28" s="194" t="str">
        <f t="shared" si="24"/>
        <v/>
      </c>
      <c r="O28" s="194" t="str">
        <f>IFERROR(M28*'Inputs Yr 2'!P28,"")</f>
        <v/>
      </c>
      <c r="P28" s="194" t="str">
        <f t="shared" si="25"/>
        <v/>
      </c>
      <c r="Q28" s="194" t="str">
        <f>IFERROR($P28*'Inputs Yr 2'!AA28,"")</f>
        <v/>
      </c>
      <c r="R28" s="194" t="str">
        <f>IFERROR($P28*'Inputs Yr 2'!AB28,"")</f>
        <v/>
      </c>
      <c r="S28" s="194" t="str">
        <f>IFERROR($P28*'Inputs Yr 2'!AC28,"")</f>
        <v/>
      </c>
      <c r="T28" s="194" t="str">
        <f>IFERROR($P28*'Inputs Yr 2'!AD28,"")</f>
        <v/>
      </c>
      <c r="U28" s="194" t="str">
        <f>IFERROR(G28*'Inputs Yr 2'!$AE28*'Inputs Yr 2'!$P28*'Inputs Yr 2'!$Q28,"")</f>
        <v/>
      </c>
      <c r="V28" s="194" t="str">
        <f>IFERROR($G28*'Inputs Yr 2'!$AE28*'Inputs Yr 2'!$AG28*'Inputs Yr 2'!Q28*'Inputs Yr 2'!$S28,"")</f>
        <v/>
      </c>
      <c r="W28" s="194" t="str">
        <f>IFERROR($G28*'Inputs Yr 2'!$AE28*'Inputs Yr 2'!$AG28*'Inputs Yr 2'!P28*'Inputs Yr 2'!Q28*'Inputs Yr 2'!$S28,"")</f>
        <v/>
      </c>
      <c r="X28" s="194" t="str">
        <f>IFERROR($G28*'Inputs Yr 2'!$AE28*'Inputs Yr 2'!$AF28*'Inputs Yr 2'!Q28*'Inputs Yr 2'!$T28,"")</f>
        <v/>
      </c>
      <c r="Y28" s="194" t="str">
        <f>IFERROR($G28*'Inputs Yr 2'!$AE28*'Inputs Yr 2'!$AF28*'Inputs Yr 2'!P28*'Inputs Yr 2'!Q28*'Inputs Yr 2'!$T28,"")</f>
        <v/>
      </c>
      <c r="Z28" s="257">
        <f>IFERROR($G28*'Inputs Yr 2'!$Q28*'Inputs Yr 2'!$U28*(IF(IFERROR(SEARCH("NG", 'Inputs Yr 2'!$AJ28),0),'Inputs Yr 2'!$AK28,0)+IF(IFERROR(SEARCH("NG", 'Inputs Yr 2'!$AL28),0),'Inputs Yr 2'!$AM28,0)+IF(IFERROR(SEARCH("NG", 'Inputs Yr 2'!$AN28),0),'Inputs Yr 2'!$AO28,0)),0)</f>
        <v>0</v>
      </c>
      <c r="AA28" s="257">
        <f t="shared" si="26"/>
        <v>0</v>
      </c>
      <c r="AB28" s="257">
        <f>IFERROR(Z28*'Inputs Yr 2'!$P28,0)</f>
        <v>0</v>
      </c>
      <c r="AC28" s="257">
        <f t="shared" si="27"/>
        <v>0</v>
      </c>
      <c r="AD28" s="257">
        <f>IFERROR($G28*'Inputs Yr 2'!$Q28*'Inputs Yr 2'!$U28*(IF(IFERROR(SEARCH("Oil", 'Inputs Yr 2'!$AJ28), 0),'Inputs Yr 2'!$AK28,0)+IF(IFERROR(SEARCH("Oil", 'Inputs Yr 2'!$AL28), 0),'Inputs Yr 2'!$AM28,0)+IF(IFERROR(SEARCH("Oil", 'Inputs Yr 2'!$AN28), 0),'Inputs Yr 2'!$AO28,0)),0)</f>
        <v>0</v>
      </c>
      <c r="AE28" s="257">
        <f t="shared" si="28"/>
        <v>0</v>
      </c>
      <c r="AF28" s="257">
        <f>IFERROR(AD28*'Inputs Yr 2'!$P28,0)</f>
        <v>0</v>
      </c>
      <c r="AG28" s="257">
        <f t="shared" si="29"/>
        <v>0</v>
      </c>
      <c r="AH28" s="257">
        <f>IFERROR($G28*'Inputs Yr 2'!$Q28*'Inputs Yr 2'!$U28*(IF('Inputs Yr 2'!$AJ28=CD$4,'Inputs Yr 2'!$AK28,IF('Inputs Yr 2'!$AL28=CD$4,'Inputs Yr 2'!$AM28,IF('Inputs Yr 2'!$AN28=CD$4,'Inputs Yr 2'!$AO28,0)))),0)</f>
        <v>0</v>
      </c>
      <c r="AI28" s="257">
        <f t="shared" si="30"/>
        <v>0</v>
      </c>
      <c r="AJ28" s="257">
        <f>IFERROR(AH28*'Inputs Yr 2'!$P28,0)</f>
        <v>0</v>
      </c>
      <c r="AK28" s="257">
        <f t="shared" si="31"/>
        <v>0</v>
      </c>
      <c r="AL28" s="258">
        <f>IFERROR($G28*'Inputs Yr 2'!$P28*'Inputs Yr 2'!$Q28*'Inputs Yr 2'!AP28,0)</f>
        <v>0</v>
      </c>
      <c r="AM28" s="260">
        <f>IFERROR($G28*'Inputs Yr 2'!$P28*'Inputs Yr 2'!$Q28*'Inputs Yr 2'!AQ28,0)</f>
        <v>0</v>
      </c>
      <c r="AN28" s="258">
        <f>IFERROR($G28*'Inputs Yr 2'!$P28*'Inputs Yr 2'!$Q28*'Inputs Yr 2'!AR28,0)</f>
        <v>0</v>
      </c>
      <c r="AO28" s="257">
        <f t="shared" si="32"/>
        <v>0</v>
      </c>
      <c r="AP28" s="195" t="str">
        <f>IFERROR($CQ28*(INDEX(avoidedcosttbl2,$H28,AP$2)+(($H28-ROUNDDOWN($H28,0))*(INDEX(avoidedcosttbl2,ROUNDUP($H28,0),AP$2)-(INDEX(avoidedcosttbl2,ROUNDDOWN($H28,0),AP$2)))))*$O28*1000*'Inputs Yr 2'!AA28,"")</f>
        <v/>
      </c>
      <c r="AQ28" s="195" t="str">
        <f>IFERROR($CR28*(INDEX(avoidedcosttbl2,$H28,AQ$2)+(($H28-ROUNDDOWN($H28,0))*(INDEX(avoidedcosttbl2,ROUNDUP($H28,0),AQ$2)-(INDEX(avoidedcosttbl2,ROUNDDOWN($H28,0),AQ$2)))))*$O28*1000*'Inputs Yr 2'!AB28,"")</f>
        <v/>
      </c>
      <c r="AR28" s="195" t="str">
        <f>IFERROR($CS28*(INDEX(avoidedcosttbl2,$H28,AR$2)+(($H28-ROUNDDOWN($H28,0))*(INDEX(avoidedcosttbl2,ROUNDUP($H28,0),AR$2)-(INDEX(avoidedcosttbl2,ROUNDDOWN($H28,0),AR$2)))))*$O28*1000*'Inputs Yr 2'!AC28,"")</f>
        <v/>
      </c>
      <c r="AS28" s="195" t="str">
        <f>IFERROR($CT28*(INDEX(avoidedcosttbl2,$H28,AS$2)+(($H28-ROUNDDOWN($H28,0))*(INDEX(avoidedcosttbl2,ROUNDUP($H28,0),AS$2)-(INDEX(avoidedcosttbl2,ROUNDDOWN($H28,0),AS$2)))))*$O28*1000*'Inputs Yr 2'!AD28,"")</f>
        <v/>
      </c>
      <c r="AT28" s="196">
        <f t="shared" si="33"/>
        <v>0</v>
      </c>
      <c r="AU28" s="197" t="str">
        <f>IFERROR($CQ28*((INDEX(avoidedcosttbl2,$H28,AU$2))+(($H28-ROUNDDOWN($H28,0))*((INDEX(avoidedcosttbl2,ROUNDUP($H28,0),AU$2))-(INDEX(avoidedcosttbl2,ROUNDDOWN($H28,0),AU$2)))))*$O28*1000*'Inputs Yr 2'!AA28,"")</f>
        <v/>
      </c>
      <c r="AV28" s="197" t="str">
        <f>IFERROR($CR28*((INDEX(avoidedcosttbl2,$H28,AV$2))+(($H28-ROUNDDOWN($H28,0))*((INDEX(avoidedcosttbl2,ROUNDUP($H28,0),AV$2))-(INDEX(avoidedcosttbl2,ROUNDDOWN($H28,0),AV$2)))))*$O28*1000*'Inputs Yr 2'!AB28,"")</f>
        <v/>
      </c>
      <c r="AW28" s="197" t="str">
        <f>IFERROR($CS28*((INDEX(avoidedcosttbl2,$H28,AW$2))+(($H28-ROUNDDOWN($H28,0))*((INDEX(avoidedcosttbl2,ROUNDUP($H28,0),AW$2))-(INDEX(avoidedcosttbl2,ROUNDDOWN($H28,0),AW$2)))))*$O28*1000*'Inputs Yr 2'!AC28,"")</f>
        <v/>
      </c>
      <c r="AX28" s="197" t="str">
        <f>IFERROR($CT28*((INDEX(avoidedcosttbl2,$H28,AX$2))+(($H28-ROUNDDOWN($H28,0))*((INDEX(avoidedcosttbl2,ROUNDUP($H28,0),AX$2))-(INDEX(avoidedcosttbl2,ROUNDDOWN($H28,0),AX$2)))))*$O28*1000*'Inputs Yr 2'!AD28,"")</f>
        <v/>
      </c>
      <c r="AY28" s="197" t="str">
        <f>IFERROR(((INDEX(avoidedcosttbl2,$H28,AY$2))+(($H28-ROUNDDOWN($H28,0))*((INDEX(avoidedcosttbl2,ROUNDUP($H28,0),AY$2))-(INDEX(avoidedcosttbl2,ROUNDDOWN($H28,0),AY$2)))))*$O28*1000*('Inputs Yr 2'!AC28+'Inputs Yr 2'!AD28),"")</f>
        <v/>
      </c>
      <c r="AZ28" s="197" t="str">
        <f>IFERROR(((INDEX(avoidedcosttbl2,$H28,AZ$2))+(($H28-ROUNDDOWN($H28,0))*((INDEX(avoidedcosttbl2,ROUNDUP($H28,0),AZ$2))-(INDEX(avoidedcosttbl2,ROUNDDOWN($H28,0),AZ$2)))))*$O28*1000*('Inputs Yr 2'!AA28+'Inputs Yr 2'!AB28),"")</f>
        <v/>
      </c>
      <c r="BA28" s="198">
        <f t="shared" si="34"/>
        <v>0</v>
      </c>
      <c r="BB28" s="198">
        <f t="shared" si="35"/>
        <v>0</v>
      </c>
      <c r="BC28" s="195" t="str">
        <f t="shared" si="10"/>
        <v/>
      </c>
      <c r="BD28" s="195" t="str">
        <f t="shared" si="11"/>
        <v/>
      </c>
      <c r="BE28" s="195" t="str">
        <f t="shared" si="12"/>
        <v/>
      </c>
      <c r="BF28" s="195" t="str">
        <f t="shared" si="13"/>
        <v/>
      </c>
      <c r="BG28" s="195" t="str">
        <f t="shared" si="14"/>
        <v/>
      </c>
      <c r="BH28" s="196">
        <f t="shared" si="36"/>
        <v>0</v>
      </c>
      <c r="BI28" s="196">
        <f t="shared" si="37"/>
        <v>0</v>
      </c>
      <c r="BJ28" s="195" t="str">
        <f>IFERROR($G28*(IF('Inputs Yr 2'!$AJ28=BJ$4,'Inputs Yr 2'!$AK28,IF('Inputs Yr 2'!$AL28=BJ$4,'Inputs Yr 2'!$AM28,IF('Inputs Yr 2'!$AN28=BJ$4,'Inputs Yr 2'!$AO28,0))))*(INDEX(avoidedcosttbl2,$H28,BJ$2)+(($H28-ROUNDDOWN($H28,0))*(INDEX(avoidedcosttbl2,ROUNDUP($H28,0),BJ$2)-(INDEX(avoidedcosttbl2,ROUNDDOWN($H28,0),BJ$2)))))*'Inputs Yr 2'!P28*'Inputs Yr 2'!Q28*'Inputs Yr 2'!U28,"")</f>
        <v/>
      </c>
      <c r="BK28" s="195" t="str">
        <f>IFERROR($G28*(IF('Inputs Yr 2'!$AJ28=BK$4,'Inputs Yr 2'!$AK28,IF('Inputs Yr 2'!$AL28=BK$4,'Inputs Yr 2'!$AM28,IF('Inputs Yr 2'!$AN28=BK$4,'Inputs Yr 2'!$AO28,0))))*(INDEX(avoidedcosttbl2,$H28,BK$2)+(($H28-ROUNDDOWN($H28,0))*(INDEX(avoidedcosttbl2,ROUNDUP($H28,0),BK$2)-(INDEX(avoidedcosttbl2,ROUNDDOWN($H28,0),BK$2)))))*'Inputs Yr 2'!P28*'Inputs Yr 2'!Q28*'Inputs Yr 2'!U28,"")</f>
        <v/>
      </c>
      <c r="BL28" s="195" t="str">
        <f>IFERROR($G28*(IF('Inputs Yr 2'!$AJ28=BL$4,'Inputs Yr 2'!$AK28,IF('Inputs Yr 2'!$AL28=BL$4,'Inputs Yr 2'!$AM28,IF('Inputs Yr 2'!$AN28=BL$4,'Inputs Yr 2'!$AO28,0))))*(INDEX(avoidedcosttbl2,$H28,BL$2)+(($H28-ROUNDDOWN($H28,0))*(INDEX(avoidedcosttbl2,ROUNDUP($H28,0),BL$2)-(INDEX(avoidedcosttbl2,ROUNDDOWN($H28,0),BL$2)))))*'Inputs Yr 2'!P28*'Inputs Yr 2'!Q28*'Inputs Yr 2'!U28,"")</f>
        <v/>
      </c>
      <c r="BM28" s="195" t="str">
        <f>IFERROR($G28*(IF('Inputs Yr 2'!$AJ28=BM$4,'Inputs Yr 2'!$AK28,IF('Inputs Yr 2'!$AL28=BM$4,'Inputs Yr 2'!$AM28,IF('Inputs Yr 2'!$AN28=BM$4,'Inputs Yr 2'!$AO28,0))))*(INDEX(avoidedcosttbl2,$H28,BM$2)+(($H28-ROUNDDOWN($H28,0))*(INDEX(avoidedcosttbl2,ROUNDUP($H28,0),BM$2)-(INDEX(avoidedcosttbl2,ROUNDDOWN($H28,0),BM$2)))))*'Inputs Yr 2'!P28*'Inputs Yr 2'!Q28*'Inputs Yr 2'!U28,"")</f>
        <v/>
      </c>
      <c r="BN28" s="195" t="str">
        <f>IFERROR($G28*(IF('Inputs Yr 2'!$AJ28=BN$4,'Inputs Yr 2'!$AK28,IF('Inputs Yr 2'!$AL28=BN$4,'Inputs Yr 2'!$AM28,IF('Inputs Yr 2'!$AN28=BN$4,'Inputs Yr 2'!$AO28,0))))*(INDEX(avoidedcosttbl2,$H28,BN$2)+(($H28-ROUNDDOWN($H28,0))*(INDEX(avoidedcosttbl2,ROUNDUP($H28,0),BN$2)-(INDEX(avoidedcosttbl2,ROUNDDOWN($H28,0),BN$2)))))*'Inputs Yr 2'!P28*'Inputs Yr 2'!Q28*'Inputs Yr 2'!U28,"")</f>
        <v/>
      </c>
      <c r="BO28" s="195" t="str">
        <f>IFERROR($G28*(IF('Inputs Yr 2'!$AJ28=BO$4,'Inputs Yr 2'!$AK28,IF('Inputs Yr 2'!$AL28=BO$4,'Inputs Yr 2'!$AM28,IF('Inputs Yr 2'!$AN28=BO$4,'Inputs Yr 2'!$AO28,0))))*(INDEX(avoidedcosttbl2,$H28,BO$2)+(($H28-ROUNDDOWN($H28,0))*(INDEX(avoidedcosttbl2,ROUNDUP($H28,0),BO$2)-(INDEX(avoidedcosttbl2,ROUNDDOWN($H28,0),BO$2)))))*'Inputs Yr 2'!P28*'Inputs Yr 2'!Q28*'Inputs Yr 2'!U28,"")</f>
        <v/>
      </c>
      <c r="BP28" s="195" t="str">
        <f>IFERROR($G28*(IF('Inputs Yr 2'!$AJ28=BP$4,'Inputs Yr 2'!$AK28,IF('Inputs Yr 2'!$AL28=BP$4,'Inputs Yr 2'!$AM28,IF('Inputs Yr 2'!$AN28=BP$4,'Inputs Yr 2'!$AO28,0))))*(INDEX(avoidedcosttbl2,$H28,BP$2)+(($H28-ROUNDDOWN($H28,0))*(INDEX(avoidedcosttbl2,ROUNDUP($H28,0),BP$2)-(INDEX(avoidedcosttbl2,ROUNDDOWN($H28,0),BP$2)))))*'Inputs Yr 2'!P28*'Inputs Yr 2'!Q28*'Inputs Yr 2'!U28,"")</f>
        <v/>
      </c>
      <c r="BQ28" s="230">
        <f t="shared" si="38"/>
        <v>0</v>
      </c>
      <c r="BR28" s="197" t="str">
        <f t="shared" si="17"/>
        <v/>
      </c>
      <c r="BS28" s="197" t="str">
        <f>IFERROR(($G28*IF('Inputs Yr 2'!$AJ28=BM$4,'Inputs Yr 2'!$AK28,IF('Inputs Yr 2'!$AL28=BM$4,'Inputs Yr 2'!$AM28,IF('Inputs Yr 2'!$AN28=BM$4,'Inputs Yr 2'!$AO28,0))))*(INDEX(avoidedcosttbl2,$H28,BS$2)+(($H28-ROUNDDOWN($H28,0))*(INDEX(avoidedcosttbl2,ROUNDUP($H28,0),BS$2)-(INDEX(avoidedcosttbl2,ROUNDDOWN($H28,0),BS$2)))))*'Inputs Yr 2'!P28*'Inputs Yr 2'!Q28*'Inputs Yr 2'!U28,"")</f>
        <v/>
      </c>
      <c r="BT28" s="197" t="str">
        <f>IFERROR(($G28*IF('Inputs Yr 2'!$AJ28=BK$4,'Inputs Yr 2'!$AK28,IF('Inputs Yr 2'!$AL28=BK$4,'Inputs Yr 2'!$AM28,IF('Inputs Yr 2'!$AN28=BK$4,'Inputs Yr 2'!$AO28,0))))*(INDEX(avoidedcosttbl2,$H28,BT$2)+(($H28-ROUNDDOWN($H28,0))*(INDEX(avoidedcosttbl2,ROUNDUP($H28,0),BT$2)-(INDEX(avoidedcosttbl2,ROUNDDOWN($H28,0),BT$2)))))*'Inputs Yr 2'!P28*'Inputs Yr 2'!Q28*'Inputs Yr 2'!U28,"")</f>
        <v/>
      </c>
      <c r="BU28" s="197" t="str">
        <f>IFERROR(($G28*IF('Inputs Yr 2'!$AJ28=BL$4,'Inputs Yr 2'!$AK28,IF('Inputs Yr 2'!$AL28=BL$4,'Inputs Yr 2'!$AM28,IF('Inputs Yr 2'!$AN28=BL$4,'Inputs Yr 2'!$AO28,0))))*(INDEX(avoidedcosttbl2,$H28,BU$2)+(($H28-ROUNDDOWN($H28,0))*(INDEX(avoidedcosttbl2,ROUNDUP($H28,0),BU$2)-(INDEX(avoidedcosttbl2,ROUNDDOWN($H28,0),BU$2)))))*'Inputs Yr 2'!P28*'Inputs Yr 2'!Q28*'Inputs Yr 2'!U28,"")</f>
        <v/>
      </c>
      <c r="BV28" s="775" t="str">
        <f>IFERROR(($G28*IF('Inputs Yr 2'!$AJ28=BJ$4,'Inputs Yr 2'!$AK28,IF('Inputs Yr 2'!$AL28=BJ$4,'Inputs Yr 2'!$AM28,IF('Inputs Yr 2'!$AN28=BJ$4,'Inputs Yr 2'!$AO28,0))))*(INDEX(avoidedcosttbl2,$H28,BV$2)+(($H28-ROUNDDOWN($H28,0))*(INDEX(avoidedcosttbl2,ROUNDUP($H28,0),BV$2)-(INDEX(avoidedcosttbl2,ROUNDDOWN($H28,0),BV$2)))))*'Inputs Yr 2'!P28*'Inputs Yr 2'!Q28*'Inputs Yr 2'!U28,"")</f>
        <v/>
      </c>
      <c r="BW28" s="197" t="str">
        <f>IFERROR(($G28*IF('Inputs Yr 2'!$AJ28=BN$4,'Inputs Yr 2'!$AK28,IF('Inputs Yr 2'!$AL28=BN$4,'Inputs Yr 2'!$AM28,IF('Inputs Yr 2'!$AN28=BN$4,'Inputs Yr 2'!$AO28,0))))*(INDEX(avoidedcosttbl2,$H28,BW$2)+(($H28-ROUNDDOWN($H28,0))*(INDEX(avoidedcosttbl2,ROUNDUP($H28,0),BW$2)-(INDEX(avoidedcosttbl2,ROUNDDOWN($H28,0),BW$2)))))*'Inputs Yr 2'!P28*'Inputs Yr 2'!Q28*'Inputs Yr 2'!U28,"")</f>
        <v/>
      </c>
      <c r="BX28" s="197" t="str">
        <f>IFERROR(($G28*IF('Inputs Yr 2'!$AJ28=BO$4,'Inputs Yr 2'!$AK28,IF('Inputs Yr 2'!$AL28=BO$4,'Inputs Yr 2'!$AM28,IF('Inputs Yr 2'!$AN28=BO$4,'Inputs Yr 2'!$AO28,0))))*(INDEX(avoidedcosttbl2,$H28,BX$2)+(($H28-ROUNDDOWN($H28,0))*(INDEX(avoidedcosttbl2,ROUNDUP($H28,0),BX$2)-(INDEX(avoidedcosttbl2,ROUNDDOWN($H28,0),BX$2)))))*'Inputs Yr 2'!P28*'Inputs Yr 2'!Q28*'Inputs Yr 2'!U28,"")</f>
        <v/>
      </c>
      <c r="BY28" s="197" t="str">
        <f>IFERROR(($G28*IF('Inputs Yr 2'!$AJ28=BP$4,'Inputs Yr 2'!$AK28,IF('Inputs Yr 2'!$AL28=BP$4,'Inputs Yr 2'!$AM28,IF('Inputs Yr 2'!$AN28=BP$4,'Inputs Yr 2'!$AO28,0))))*(INDEX(avoidedcosttbl2,$H28,BY$2)+(($H28-ROUNDDOWN($H28,0))*(INDEX(avoidedcosttbl2,ROUNDUP($H28,0),BY$2)-(INDEX(avoidedcosttbl2,ROUNDDOWN($H28,0),BY$2)))))*'Inputs Yr 2'!P28*'Inputs Yr 2'!Q28*'Inputs Yr 2'!U28,"")</f>
        <v/>
      </c>
      <c r="BZ28" s="193">
        <f t="shared" si="39"/>
        <v>0</v>
      </c>
      <c r="CA28" s="193">
        <f t="shared" si="40"/>
        <v>0</v>
      </c>
      <c r="CB28" s="195" t="str">
        <f>IFERROR(G28*(IF('Inputs Yr 2'!$AJ28=CB$4,'Inputs Yr 2'!$AK28,IF('Inputs Yr 2'!$AL28=CB$4,'Inputs Yr 2'!$AM28,IF('Inputs Yr 2'!$AN28=CB$4,'Inputs Yr 2'!$AO28,0))))*(INDEX(avoidedcosttbl2,$H28,CB$2)+(($H28-ROUNDDOWN($H28,0))*(INDEX(avoidedcosttbl2,ROUNDUP($H28,0),CB$2)-(INDEX(avoidedcosttbl2,ROUNDDOWN($H28,0),CB$2)))))*'Inputs Yr 2'!P28*'Inputs Yr 2'!Q28*'Inputs Yr 2'!U28,"")</f>
        <v/>
      </c>
      <c r="CC28" s="195" t="str">
        <f>IFERROR(H28*(IF('Inputs Yr 2'!$AJ28=CC$4,'Inputs Yr 2'!$AK28,IF('Inputs Yr 2'!$AL28=CC$4,'Inputs Yr 2'!$AM28,IF('Inputs Yr 2'!$AN28=CC$4,'Inputs Yr 2'!$AO28,0))))*(INDEX(avoidedcosttbl2,$H28,CC$2)+(($H28-ROUNDDOWN($H28,0))*(INDEX(avoidedcosttbl2,ROUNDUP($H28,0),CC$2)-(INDEX(avoidedcosttbl2,ROUNDDOWN($H28,0),CC$2)))))*'Inputs Yr 2'!Q28*'Inputs Yr 2'!R28*'Inputs Yr 2'!V28,"")</f>
        <v/>
      </c>
      <c r="CD28" s="195" t="str">
        <f>IFERROR(I28*(IF('Inputs Yr 2'!$AJ28=CD$4,'Inputs Yr 2'!$AK28,IF('Inputs Yr 2'!$AL28=CD$4,'Inputs Yr 2'!$AM28,IF('Inputs Yr 2'!$AN28=CD$4,'Inputs Yr 2'!$AO28,0))))*(INDEX(avoidedcosttbl2,$H28,CD$2)+(($H28-ROUNDDOWN($H28,0))*(INDEX(avoidedcosttbl2,ROUNDUP($H28,0),CD$2)-(INDEX(avoidedcosttbl2,ROUNDDOWN($H28,0),CD$2)))))*'Inputs Yr 2'!R28*'Inputs Yr 2'!S28*'Inputs Yr 2'!W28,"")</f>
        <v/>
      </c>
      <c r="CE28" s="213" t="str">
        <f t="shared" si="41"/>
        <v/>
      </c>
      <c r="CF28" s="213" t="str">
        <f t="shared" si="42"/>
        <v/>
      </c>
      <c r="CG28" s="213" t="str">
        <f t="shared" si="43"/>
        <v/>
      </c>
      <c r="CH28" s="698">
        <f t="shared" si="44"/>
        <v>0</v>
      </c>
      <c r="CI28" s="79" t="str">
        <f>IFERROR(($G28*'Inputs Yr 2'!$P28*'Inputs Yr 2'!$Q28*(((INDEX(avoidedcosttbl2,$H28,CI$2)+(($H28-ROUNDDOWN($H28,0))*(INDEX(avoidedcosttbl2,ROUNDUP($H28,0),CI$2)-INDEX(avoidedcosttbl2,ROUNDDOWN($H28,0),CI$2))))*'Inputs Yr 2'!AS28))),"")</f>
        <v/>
      </c>
      <c r="CJ28" s="504" t="str">
        <f>IFERROR($G28*'Inputs Yr 2'!AT28*'Inputs Yr 2'!$P28*'Inputs Yr 2'!$Q28/((1+realdiscrt1)^-0.5),"")</f>
        <v/>
      </c>
      <c r="CK28" s="79" t="str">
        <f>IFERROR((O28*1000*(((INDEX(avoidedcosttbl2,$H28,CK$2)+(($H28-ROUNDDOWN($H28,0))*(INDEX(avoidedcosttbl2,ROUNDUP($H28,0),CK$2)-INDEX(avoidedcosttbl2,ROUNDDOWN($H28,0),CK$2))))*'Inputs Yr 2'!AU28))),"")</f>
        <v/>
      </c>
      <c r="CL28" s="504" t="str">
        <f>IFERROR(O28*1000*'Inputs Yr 2'!AV28/((1+realdiscrt1)^-0.5),"")</f>
        <v/>
      </c>
      <c r="CM28" s="79" t="str">
        <f>IFERROR((AB28*'Inputs Yr 2'!AW28*(((INDEX(avoidedcosttbl2,$H28,CM$2)+(($H28-ROUNDDOWN($H28,0))*(INDEX(avoidedcosttbl2,ROUNDUP($H28,0),CM$2)-INDEX(avoidedcosttbl2,ROUNDDOWN($H28,0),CM$2)))))))*10,"")</f>
        <v/>
      </c>
      <c r="CN28" s="504">
        <f>IFERROR(10*AB28*'Inputs Yr 2'!AX28/((1+realdiscrt1)^-0.5),"")</f>
        <v>0</v>
      </c>
      <c r="CO28" s="505">
        <f t="shared" si="45"/>
        <v>0</v>
      </c>
      <c r="CP28" s="230">
        <f t="shared" si="46"/>
        <v>0</v>
      </c>
      <c r="CQ28" s="199">
        <f>ROUND(IFERROR(IF(LEFT($A28,1)="C",'Avoided Costs'!$K$13,'Avoided Costs'!$K$12)+1,""),4)</f>
        <v>1.0720000000000001</v>
      </c>
      <c r="CR28" s="199">
        <f>ROUND(IFERROR(IF(LEFT($A28,1)="C",'Avoided Costs'!$L$13,'Avoided Costs'!$L$12)+1,""),4)</f>
        <v>1.04</v>
      </c>
      <c r="CS28" s="199">
        <f>ROUND(IFERROR(IF(LEFT($A28,1)="C",'Avoided Costs'!$M$13,'Avoided Costs'!$M$12)+1,""),4)</f>
        <v>1.0720000000000001</v>
      </c>
      <c r="CT28" s="199">
        <f>ROUND(IFERROR(IF(LEFT($A28,1)="C",'Avoided Costs'!$N$13,'Avoided Costs'!$N$12)+1,""),4)</f>
        <v>1.04</v>
      </c>
      <c r="CU28" s="199">
        <f>ROUND(IFERROR(IF(LEFT($A28,1)="C",'Avoided Costs'!$O$13,'Avoided Costs'!$O$12)+1,""),4)</f>
        <v>1.1120000000000001</v>
      </c>
      <c r="CV28" s="199">
        <f>ROUND(IFERROR(IF(LEFT($A28,1)="C",'Avoided Costs'!$P$13,'Avoided Costs'!$P$12)+1,""),4)</f>
        <v>1.095</v>
      </c>
      <c r="CW28" s="199">
        <f>ROUND(IFERROR(IF(LEFT($A28,1)="C",'Avoided Costs'!$Q$13,'Avoided Costs'!$Q$12)+1,""),4)</f>
        <v>1.1120000000000001</v>
      </c>
      <c r="CX28" s="200">
        <f>ROUND(IFERROR(IF(LEFT($A28,1)="C",'Avoided Costs'!$R$13,'Avoided Costs'!$R$12)+1,""),4)</f>
        <v>1.1120000000000001</v>
      </c>
    </row>
    <row r="29" spans="1:102" ht="12.75" customHeight="1">
      <c r="A29" s="91" t="str">
        <f>IF('Inputs Yr 2'!$B29=0,"",'Inputs Yr 2'!A29)</f>
        <v>A - Residential</v>
      </c>
      <c r="B29" s="91" t="str">
        <f>IF('Inputs Yr 2'!$B29=0,"",'Inputs Yr 2'!B29)</f>
        <v>A1 - Residential Whole House</v>
      </c>
      <c r="C29" s="91" t="str">
        <f>IF('Inputs Yr 2'!$B29=0,"",'Inputs Yr 2'!C29)</f>
        <v>A1b - Residential Multi-Family Retrofit</v>
      </c>
      <c r="D29" s="91" t="str">
        <f>IF('Inputs Yr 2'!$B29=0,"",'Inputs Yr 2'!E29)</f>
        <v>Demand Circulator, Gas</v>
      </c>
      <c r="E29" s="93" t="str">
        <f>IF('Inputs Yr 2'!$B29=0,"",'Inputs Yr 2'!F29)</f>
        <v>G16A1b14</v>
      </c>
      <c r="F29" s="93" t="str">
        <f>IF('Inputs Yr 2'!$B29=0,"",'Inputs Yr 2'!G29)</f>
        <v>Hot Water</v>
      </c>
      <c r="G29" s="95" t="str">
        <f>IF('Inputs Yr 2'!$H29&lt;&gt;0,('Inputs Yr 2'!H29),"")</f>
        <v/>
      </c>
      <c r="H29" s="94">
        <f>IFERROR('Inputs Yr 2'!I29,"")</f>
        <v>0</v>
      </c>
      <c r="I29" s="298" t="str">
        <f>IFERROR('Inputs Yr 2'!J29*'Inputs Yr 2'!P29*G29,"")</f>
        <v/>
      </c>
      <c r="J29" s="298" t="str">
        <f>IFERROR('Inputs Yr 2'!K29*G29,"")</f>
        <v/>
      </c>
      <c r="K29" s="298" t="str">
        <f t="shared" si="23"/>
        <v/>
      </c>
      <c r="L29" s="194" t="str">
        <f>IFERROR(('Inputs Yr 2'!W29*G29)/1000,"")</f>
        <v/>
      </c>
      <c r="M29" s="194" t="str">
        <f>IFERROR(L29*('Inputs Yr 2'!$Q29*'Inputs Yr 2'!$V29*'Inputs Yr 2'!$R29),"")</f>
        <v/>
      </c>
      <c r="N29" s="194" t="str">
        <f t="shared" si="24"/>
        <v/>
      </c>
      <c r="O29" s="194" t="str">
        <f>IFERROR(M29*'Inputs Yr 2'!P29,"")</f>
        <v/>
      </c>
      <c r="P29" s="194" t="str">
        <f t="shared" si="25"/>
        <v/>
      </c>
      <c r="Q29" s="194" t="str">
        <f>IFERROR($P29*'Inputs Yr 2'!AA29,"")</f>
        <v/>
      </c>
      <c r="R29" s="194" t="str">
        <f>IFERROR($P29*'Inputs Yr 2'!AB29,"")</f>
        <v/>
      </c>
      <c r="S29" s="194" t="str">
        <f>IFERROR($P29*'Inputs Yr 2'!AC29,"")</f>
        <v/>
      </c>
      <c r="T29" s="194" t="str">
        <f>IFERROR($P29*'Inputs Yr 2'!AD29,"")</f>
        <v/>
      </c>
      <c r="U29" s="194" t="str">
        <f>IFERROR(G29*'Inputs Yr 2'!$AE29*'Inputs Yr 2'!$P29*'Inputs Yr 2'!$Q29,"")</f>
        <v/>
      </c>
      <c r="V29" s="194" t="str">
        <f>IFERROR($G29*'Inputs Yr 2'!$AE29*'Inputs Yr 2'!$AG29*'Inputs Yr 2'!Q29*'Inputs Yr 2'!$S29,"")</f>
        <v/>
      </c>
      <c r="W29" s="194" t="str">
        <f>IFERROR($G29*'Inputs Yr 2'!$AE29*'Inputs Yr 2'!$AG29*'Inputs Yr 2'!P29*'Inputs Yr 2'!Q29*'Inputs Yr 2'!$S29,"")</f>
        <v/>
      </c>
      <c r="X29" s="194" t="str">
        <f>IFERROR($G29*'Inputs Yr 2'!$AE29*'Inputs Yr 2'!$AF29*'Inputs Yr 2'!Q29*'Inputs Yr 2'!$T29,"")</f>
        <v/>
      </c>
      <c r="Y29" s="194" t="str">
        <f>IFERROR($G29*'Inputs Yr 2'!$AE29*'Inputs Yr 2'!$AF29*'Inputs Yr 2'!P29*'Inputs Yr 2'!Q29*'Inputs Yr 2'!$T29,"")</f>
        <v/>
      </c>
      <c r="Z29" s="257">
        <f>IFERROR($G29*'Inputs Yr 2'!$Q29*'Inputs Yr 2'!$U29*(IF(IFERROR(SEARCH("NG", 'Inputs Yr 2'!$AJ29),0),'Inputs Yr 2'!$AK29,0)+IF(IFERROR(SEARCH("NG", 'Inputs Yr 2'!$AL29),0),'Inputs Yr 2'!$AM29,0)+IF(IFERROR(SEARCH("NG", 'Inputs Yr 2'!$AN29),0),'Inputs Yr 2'!$AO29,0)),0)</f>
        <v>0</v>
      </c>
      <c r="AA29" s="257">
        <f t="shared" si="26"/>
        <v>0</v>
      </c>
      <c r="AB29" s="257">
        <f>IFERROR(Z29*'Inputs Yr 2'!$P29,0)</f>
        <v>0</v>
      </c>
      <c r="AC29" s="257">
        <f t="shared" si="27"/>
        <v>0</v>
      </c>
      <c r="AD29" s="257">
        <f>IFERROR($G29*'Inputs Yr 2'!$Q29*'Inputs Yr 2'!$U29*(IF(IFERROR(SEARCH("Oil", 'Inputs Yr 2'!$AJ29), 0),'Inputs Yr 2'!$AK29,0)+IF(IFERROR(SEARCH("Oil", 'Inputs Yr 2'!$AL29), 0),'Inputs Yr 2'!$AM29,0)+IF(IFERROR(SEARCH("Oil", 'Inputs Yr 2'!$AN29), 0),'Inputs Yr 2'!$AO29,0)),0)</f>
        <v>0</v>
      </c>
      <c r="AE29" s="257">
        <f t="shared" si="28"/>
        <v>0</v>
      </c>
      <c r="AF29" s="257">
        <f>IFERROR(AD29*'Inputs Yr 2'!$P29,0)</f>
        <v>0</v>
      </c>
      <c r="AG29" s="257">
        <f t="shared" si="29"/>
        <v>0</v>
      </c>
      <c r="AH29" s="257">
        <f>IFERROR($G29*'Inputs Yr 2'!$Q29*'Inputs Yr 2'!$U29*(IF('Inputs Yr 2'!$AJ29=CD$4,'Inputs Yr 2'!$AK29,IF('Inputs Yr 2'!$AL29=CD$4,'Inputs Yr 2'!$AM29,IF('Inputs Yr 2'!$AN29=CD$4,'Inputs Yr 2'!$AO29,0)))),0)</f>
        <v>0</v>
      </c>
      <c r="AI29" s="257">
        <f t="shared" si="30"/>
        <v>0</v>
      </c>
      <c r="AJ29" s="257">
        <f>IFERROR(AH29*'Inputs Yr 2'!$P29,0)</f>
        <v>0</v>
      </c>
      <c r="AK29" s="257">
        <f t="shared" si="31"/>
        <v>0</v>
      </c>
      <c r="AL29" s="258">
        <f>IFERROR($G29*'Inputs Yr 2'!$P29*'Inputs Yr 2'!$Q29*'Inputs Yr 2'!AP29,0)</f>
        <v>0</v>
      </c>
      <c r="AM29" s="260">
        <f>IFERROR($G29*'Inputs Yr 2'!$P29*'Inputs Yr 2'!$Q29*'Inputs Yr 2'!AQ29,0)</f>
        <v>0</v>
      </c>
      <c r="AN29" s="258">
        <f>IFERROR($G29*'Inputs Yr 2'!$P29*'Inputs Yr 2'!$Q29*'Inputs Yr 2'!AR29,0)</f>
        <v>0</v>
      </c>
      <c r="AO29" s="257">
        <f t="shared" si="32"/>
        <v>0</v>
      </c>
      <c r="AP29" s="195" t="str">
        <f>IFERROR($CQ29*(INDEX(avoidedcosttbl2,$H29,AP$2)+(($H29-ROUNDDOWN($H29,0))*(INDEX(avoidedcosttbl2,ROUNDUP($H29,0),AP$2)-(INDEX(avoidedcosttbl2,ROUNDDOWN($H29,0),AP$2)))))*$O29*1000*'Inputs Yr 2'!AA29,"")</f>
        <v/>
      </c>
      <c r="AQ29" s="195" t="str">
        <f>IFERROR($CR29*(INDEX(avoidedcosttbl2,$H29,AQ$2)+(($H29-ROUNDDOWN($H29,0))*(INDEX(avoidedcosttbl2,ROUNDUP($H29,0),AQ$2)-(INDEX(avoidedcosttbl2,ROUNDDOWN($H29,0),AQ$2)))))*$O29*1000*'Inputs Yr 2'!AB29,"")</f>
        <v/>
      </c>
      <c r="AR29" s="195" t="str">
        <f>IFERROR($CS29*(INDEX(avoidedcosttbl2,$H29,AR$2)+(($H29-ROUNDDOWN($H29,0))*(INDEX(avoidedcosttbl2,ROUNDUP($H29,0),AR$2)-(INDEX(avoidedcosttbl2,ROUNDDOWN($H29,0),AR$2)))))*$O29*1000*'Inputs Yr 2'!AC29,"")</f>
        <v/>
      </c>
      <c r="AS29" s="195" t="str">
        <f>IFERROR($CT29*(INDEX(avoidedcosttbl2,$H29,AS$2)+(($H29-ROUNDDOWN($H29,0))*(INDEX(avoidedcosttbl2,ROUNDUP($H29,0),AS$2)-(INDEX(avoidedcosttbl2,ROUNDDOWN($H29,0),AS$2)))))*$O29*1000*'Inputs Yr 2'!AD29,"")</f>
        <v/>
      </c>
      <c r="AT29" s="196">
        <f t="shared" si="33"/>
        <v>0</v>
      </c>
      <c r="AU29" s="197" t="str">
        <f>IFERROR($CQ29*((INDEX(avoidedcosttbl2,$H29,AU$2))+(($H29-ROUNDDOWN($H29,0))*((INDEX(avoidedcosttbl2,ROUNDUP($H29,0),AU$2))-(INDEX(avoidedcosttbl2,ROUNDDOWN($H29,0),AU$2)))))*$O29*1000*'Inputs Yr 2'!AA29,"")</f>
        <v/>
      </c>
      <c r="AV29" s="197" t="str">
        <f>IFERROR($CR29*((INDEX(avoidedcosttbl2,$H29,AV$2))+(($H29-ROUNDDOWN($H29,0))*((INDEX(avoidedcosttbl2,ROUNDUP($H29,0),AV$2))-(INDEX(avoidedcosttbl2,ROUNDDOWN($H29,0),AV$2)))))*$O29*1000*'Inputs Yr 2'!AB29,"")</f>
        <v/>
      </c>
      <c r="AW29" s="197" t="str">
        <f>IFERROR($CS29*((INDEX(avoidedcosttbl2,$H29,AW$2))+(($H29-ROUNDDOWN($H29,0))*((INDEX(avoidedcosttbl2,ROUNDUP($H29,0),AW$2))-(INDEX(avoidedcosttbl2,ROUNDDOWN($H29,0),AW$2)))))*$O29*1000*'Inputs Yr 2'!AC29,"")</f>
        <v/>
      </c>
      <c r="AX29" s="197" t="str">
        <f>IFERROR($CT29*((INDEX(avoidedcosttbl2,$H29,AX$2))+(($H29-ROUNDDOWN($H29,0))*((INDEX(avoidedcosttbl2,ROUNDUP($H29,0),AX$2))-(INDEX(avoidedcosttbl2,ROUNDDOWN($H29,0),AX$2)))))*$O29*1000*'Inputs Yr 2'!AD29,"")</f>
        <v/>
      </c>
      <c r="AY29" s="197" t="str">
        <f>IFERROR(((INDEX(avoidedcosttbl2,$H29,AY$2))+(($H29-ROUNDDOWN($H29,0))*((INDEX(avoidedcosttbl2,ROUNDUP($H29,0),AY$2))-(INDEX(avoidedcosttbl2,ROUNDDOWN($H29,0),AY$2)))))*$O29*1000*('Inputs Yr 2'!AC29+'Inputs Yr 2'!AD29),"")</f>
        <v/>
      </c>
      <c r="AZ29" s="197" t="str">
        <f>IFERROR(((INDEX(avoidedcosttbl2,$H29,AZ$2))+(($H29-ROUNDDOWN($H29,0))*((INDEX(avoidedcosttbl2,ROUNDUP($H29,0),AZ$2))-(INDEX(avoidedcosttbl2,ROUNDDOWN($H29,0),AZ$2)))))*$O29*1000*('Inputs Yr 2'!AA29+'Inputs Yr 2'!AB29),"")</f>
        <v/>
      </c>
      <c r="BA29" s="198">
        <f t="shared" si="34"/>
        <v>0</v>
      </c>
      <c r="BB29" s="198">
        <f t="shared" si="35"/>
        <v>0</v>
      </c>
      <c r="BC29" s="195" t="str">
        <f t="shared" si="10"/>
        <v/>
      </c>
      <c r="BD29" s="195" t="str">
        <f t="shared" si="11"/>
        <v/>
      </c>
      <c r="BE29" s="195" t="str">
        <f t="shared" si="12"/>
        <v/>
      </c>
      <c r="BF29" s="195" t="str">
        <f t="shared" si="13"/>
        <v/>
      </c>
      <c r="BG29" s="195" t="str">
        <f t="shared" si="14"/>
        <v/>
      </c>
      <c r="BH29" s="196">
        <f t="shared" si="36"/>
        <v>0</v>
      </c>
      <c r="BI29" s="196">
        <f t="shared" si="37"/>
        <v>0</v>
      </c>
      <c r="BJ29" s="195" t="str">
        <f>IFERROR($G29*(IF('Inputs Yr 2'!$AJ29=BJ$4,'Inputs Yr 2'!$AK29,IF('Inputs Yr 2'!$AL29=BJ$4,'Inputs Yr 2'!$AM29,IF('Inputs Yr 2'!$AN29=BJ$4,'Inputs Yr 2'!$AO29,0))))*(INDEX(avoidedcosttbl2,$H29,BJ$2)+(($H29-ROUNDDOWN($H29,0))*(INDEX(avoidedcosttbl2,ROUNDUP($H29,0),BJ$2)-(INDEX(avoidedcosttbl2,ROUNDDOWN($H29,0),BJ$2)))))*'Inputs Yr 2'!P29*'Inputs Yr 2'!Q29*'Inputs Yr 2'!U29,"")</f>
        <v/>
      </c>
      <c r="BK29" s="195" t="str">
        <f>IFERROR($G29*(IF('Inputs Yr 2'!$AJ29=BK$4,'Inputs Yr 2'!$AK29,IF('Inputs Yr 2'!$AL29=BK$4,'Inputs Yr 2'!$AM29,IF('Inputs Yr 2'!$AN29=BK$4,'Inputs Yr 2'!$AO29,0))))*(INDEX(avoidedcosttbl2,$H29,BK$2)+(($H29-ROUNDDOWN($H29,0))*(INDEX(avoidedcosttbl2,ROUNDUP($H29,0),BK$2)-(INDEX(avoidedcosttbl2,ROUNDDOWN($H29,0),BK$2)))))*'Inputs Yr 2'!P29*'Inputs Yr 2'!Q29*'Inputs Yr 2'!U29,"")</f>
        <v/>
      </c>
      <c r="BL29" s="195" t="str">
        <f>IFERROR($G29*(IF('Inputs Yr 2'!$AJ29=BL$4,'Inputs Yr 2'!$AK29,IF('Inputs Yr 2'!$AL29=BL$4,'Inputs Yr 2'!$AM29,IF('Inputs Yr 2'!$AN29=BL$4,'Inputs Yr 2'!$AO29,0))))*(INDEX(avoidedcosttbl2,$H29,BL$2)+(($H29-ROUNDDOWN($H29,0))*(INDEX(avoidedcosttbl2,ROUNDUP($H29,0),BL$2)-(INDEX(avoidedcosttbl2,ROUNDDOWN($H29,0),BL$2)))))*'Inputs Yr 2'!P29*'Inputs Yr 2'!Q29*'Inputs Yr 2'!U29,"")</f>
        <v/>
      </c>
      <c r="BM29" s="195" t="str">
        <f>IFERROR($G29*(IF('Inputs Yr 2'!$AJ29=BM$4,'Inputs Yr 2'!$AK29,IF('Inputs Yr 2'!$AL29=BM$4,'Inputs Yr 2'!$AM29,IF('Inputs Yr 2'!$AN29=BM$4,'Inputs Yr 2'!$AO29,0))))*(INDEX(avoidedcosttbl2,$H29,BM$2)+(($H29-ROUNDDOWN($H29,0))*(INDEX(avoidedcosttbl2,ROUNDUP($H29,0),BM$2)-(INDEX(avoidedcosttbl2,ROUNDDOWN($H29,0),BM$2)))))*'Inputs Yr 2'!P29*'Inputs Yr 2'!Q29*'Inputs Yr 2'!U29,"")</f>
        <v/>
      </c>
      <c r="BN29" s="195" t="str">
        <f>IFERROR($G29*(IF('Inputs Yr 2'!$AJ29=BN$4,'Inputs Yr 2'!$AK29,IF('Inputs Yr 2'!$AL29=BN$4,'Inputs Yr 2'!$AM29,IF('Inputs Yr 2'!$AN29=BN$4,'Inputs Yr 2'!$AO29,0))))*(INDEX(avoidedcosttbl2,$H29,BN$2)+(($H29-ROUNDDOWN($H29,0))*(INDEX(avoidedcosttbl2,ROUNDUP($H29,0),BN$2)-(INDEX(avoidedcosttbl2,ROUNDDOWN($H29,0),BN$2)))))*'Inputs Yr 2'!P29*'Inputs Yr 2'!Q29*'Inputs Yr 2'!U29,"")</f>
        <v/>
      </c>
      <c r="BO29" s="195" t="str">
        <f>IFERROR($G29*(IF('Inputs Yr 2'!$AJ29=BO$4,'Inputs Yr 2'!$AK29,IF('Inputs Yr 2'!$AL29=BO$4,'Inputs Yr 2'!$AM29,IF('Inputs Yr 2'!$AN29=BO$4,'Inputs Yr 2'!$AO29,0))))*(INDEX(avoidedcosttbl2,$H29,BO$2)+(($H29-ROUNDDOWN($H29,0))*(INDEX(avoidedcosttbl2,ROUNDUP($H29,0),BO$2)-(INDEX(avoidedcosttbl2,ROUNDDOWN($H29,0),BO$2)))))*'Inputs Yr 2'!P29*'Inputs Yr 2'!Q29*'Inputs Yr 2'!U29,"")</f>
        <v/>
      </c>
      <c r="BP29" s="195" t="str">
        <f>IFERROR($G29*(IF('Inputs Yr 2'!$AJ29=BP$4,'Inputs Yr 2'!$AK29,IF('Inputs Yr 2'!$AL29=BP$4,'Inputs Yr 2'!$AM29,IF('Inputs Yr 2'!$AN29=BP$4,'Inputs Yr 2'!$AO29,0))))*(INDEX(avoidedcosttbl2,$H29,BP$2)+(($H29-ROUNDDOWN($H29,0))*(INDEX(avoidedcosttbl2,ROUNDUP($H29,0),BP$2)-(INDEX(avoidedcosttbl2,ROUNDDOWN($H29,0),BP$2)))))*'Inputs Yr 2'!P29*'Inputs Yr 2'!Q29*'Inputs Yr 2'!U29,"")</f>
        <v/>
      </c>
      <c r="BQ29" s="230">
        <f t="shared" si="38"/>
        <v>0</v>
      </c>
      <c r="BR29" s="197" t="str">
        <f t="shared" si="17"/>
        <v/>
      </c>
      <c r="BS29" s="197" t="str">
        <f>IFERROR(($G29*IF('Inputs Yr 2'!$AJ29=BM$4,'Inputs Yr 2'!$AK29,IF('Inputs Yr 2'!$AL29=BM$4,'Inputs Yr 2'!$AM29,IF('Inputs Yr 2'!$AN29=BM$4,'Inputs Yr 2'!$AO29,0))))*(INDEX(avoidedcosttbl2,$H29,BS$2)+(($H29-ROUNDDOWN($H29,0))*(INDEX(avoidedcosttbl2,ROUNDUP($H29,0),BS$2)-(INDEX(avoidedcosttbl2,ROUNDDOWN($H29,0),BS$2)))))*'Inputs Yr 2'!P29*'Inputs Yr 2'!Q29*'Inputs Yr 2'!U29,"")</f>
        <v/>
      </c>
      <c r="BT29" s="197" t="str">
        <f>IFERROR(($G29*IF('Inputs Yr 2'!$AJ29=BK$4,'Inputs Yr 2'!$AK29,IF('Inputs Yr 2'!$AL29=BK$4,'Inputs Yr 2'!$AM29,IF('Inputs Yr 2'!$AN29=BK$4,'Inputs Yr 2'!$AO29,0))))*(INDEX(avoidedcosttbl2,$H29,BT$2)+(($H29-ROUNDDOWN($H29,0))*(INDEX(avoidedcosttbl2,ROUNDUP($H29,0),BT$2)-(INDEX(avoidedcosttbl2,ROUNDDOWN($H29,0),BT$2)))))*'Inputs Yr 2'!P29*'Inputs Yr 2'!Q29*'Inputs Yr 2'!U29,"")</f>
        <v/>
      </c>
      <c r="BU29" s="197" t="str">
        <f>IFERROR(($G29*IF('Inputs Yr 2'!$AJ29=BL$4,'Inputs Yr 2'!$AK29,IF('Inputs Yr 2'!$AL29=BL$4,'Inputs Yr 2'!$AM29,IF('Inputs Yr 2'!$AN29=BL$4,'Inputs Yr 2'!$AO29,0))))*(INDEX(avoidedcosttbl2,$H29,BU$2)+(($H29-ROUNDDOWN($H29,0))*(INDEX(avoidedcosttbl2,ROUNDUP($H29,0),BU$2)-(INDEX(avoidedcosttbl2,ROUNDDOWN($H29,0),BU$2)))))*'Inputs Yr 2'!P29*'Inputs Yr 2'!Q29*'Inputs Yr 2'!U29,"")</f>
        <v/>
      </c>
      <c r="BV29" s="775" t="str">
        <f>IFERROR(($G29*IF('Inputs Yr 2'!$AJ29=BJ$4,'Inputs Yr 2'!$AK29,IF('Inputs Yr 2'!$AL29=BJ$4,'Inputs Yr 2'!$AM29,IF('Inputs Yr 2'!$AN29=BJ$4,'Inputs Yr 2'!$AO29,0))))*(INDEX(avoidedcosttbl2,$H29,BV$2)+(($H29-ROUNDDOWN($H29,0))*(INDEX(avoidedcosttbl2,ROUNDUP($H29,0),BV$2)-(INDEX(avoidedcosttbl2,ROUNDDOWN($H29,0),BV$2)))))*'Inputs Yr 2'!P29*'Inputs Yr 2'!Q29*'Inputs Yr 2'!U29,"")</f>
        <v/>
      </c>
      <c r="BW29" s="197" t="str">
        <f>IFERROR(($G29*IF('Inputs Yr 2'!$AJ29=BN$4,'Inputs Yr 2'!$AK29,IF('Inputs Yr 2'!$AL29=BN$4,'Inputs Yr 2'!$AM29,IF('Inputs Yr 2'!$AN29=BN$4,'Inputs Yr 2'!$AO29,0))))*(INDEX(avoidedcosttbl2,$H29,BW$2)+(($H29-ROUNDDOWN($H29,0))*(INDEX(avoidedcosttbl2,ROUNDUP($H29,0),BW$2)-(INDEX(avoidedcosttbl2,ROUNDDOWN($H29,0),BW$2)))))*'Inputs Yr 2'!P29*'Inputs Yr 2'!Q29*'Inputs Yr 2'!U29,"")</f>
        <v/>
      </c>
      <c r="BX29" s="197" t="str">
        <f>IFERROR(($G29*IF('Inputs Yr 2'!$AJ29=BO$4,'Inputs Yr 2'!$AK29,IF('Inputs Yr 2'!$AL29=BO$4,'Inputs Yr 2'!$AM29,IF('Inputs Yr 2'!$AN29=BO$4,'Inputs Yr 2'!$AO29,0))))*(INDEX(avoidedcosttbl2,$H29,BX$2)+(($H29-ROUNDDOWN($H29,0))*(INDEX(avoidedcosttbl2,ROUNDUP($H29,0),BX$2)-(INDEX(avoidedcosttbl2,ROUNDDOWN($H29,0),BX$2)))))*'Inputs Yr 2'!P29*'Inputs Yr 2'!Q29*'Inputs Yr 2'!U29,"")</f>
        <v/>
      </c>
      <c r="BY29" s="197" t="str">
        <f>IFERROR(($G29*IF('Inputs Yr 2'!$AJ29=BP$4,'Inputs Yr 2'!$AK29,IF('Inputs Yr 2'!$AL29=BP$4,'Inputs Yr 2'!$AM29,IF('Inputs Yr 2'!$AN29=BP$4,'Inputs Yr 2'!$AO29,0))))*(INDEX(avoidedcosttbl2,$H29,BY$2)+(($H29-ROUNDDOWN($H29,0))*(INDEX(avoidedcosttbl2,ROUNDUP($H29,0),BY$2)-(INDEX(avoidedcosttbl2,ROUNDDOWN($H29,0),BY$2)))))*'Inputs Yr 2'!P29*'Inputs Yr 2'!Q29*'Inputs Yr 2'!U29,"")</f>
        <v/>
      </c>
      <c r="BZ29" s="193">
        <f t="shared" si="39"/>
        <v>0</v>
      </c>
      <c r="CA29" s="193">
        <f t="shared" si="40"/>
        <v>0</v>
      </c>
      <c r="CB29" s="195" t="str">
        <f>IFERROR(G29*(IF('Inputs Yr 2'!$AJ29=CB$4,'Inputs Yr 2'!$AK29,IF('Inputs Yr 2'!$AL29=CB$4,'Inputs Yr 2'!$AM29,IF('Inputs Yr 2'!$AN29=CB$4,'Inputs Yr 2'!$AO29,0))))*(INDEX(avoidedcosttbl2,$H29,CB$2)+(($H29-ROUNDDOWN($H29,0))*(INDEX(avoidedcosttbl2,ROUNDUP($H29,0),CB$2)-(INDEX(avoidedcosttbl2,ROUNDDOWN($H29,0),CB$2)))))*'Inputs Yr 2'!P29*'Inputs Yr 2'!Q29*'Inputs Yr 2'!U29,"")</f>
        <v/>
      </c>
      <c r="CC29" s="195" t="str">
        <f>IFERROR(H29*(IF('Inputs Yr 2'!$AJ29=CC$4,'Inputs Yr 2'!$AK29,IF('Inputs Yr 2'!$AL29=CC$4,'Inputs Yr 2'!$AM29,IF('Inputs Yr 2'!$AN29=CC$4,'Inputs Yr 2'!$AO29,0))))*(INDEX(avoidedcosttbl2,$H29,CC$2)+(($H29-ROUNDDOWN($H29,0))*(INDEX(avoidedcosttbl2,ROUNDUP($H29,0),CC$2)-(INDEX(avoidedcosttbl2,ROUNDDOWN($H29,0),CC$2)))))*'Inputs Yr 2'!Q29*'Inputs Yr 2'!R29*'Inputs Yr 2'!V29,"")</f>
        <v/>
      </c>
      <c r="CD29" s="195" t="str">
        <f>IFERROR(I29*(IF('Inputs Yr 2'!$AJ29=CD$4,'Inputs Yr 2'!$AK29,IF('Inputs Yr 2'!$AL29=CD$4,'Inputs Yr 2'!$AM29,IF('Inputs Yr 2'!$AN29=CD$4,'Inputs Yr 2'!$AO29,0))))*(INDEX(avoidedcosttbl2,$H29,CD$2)+(($H29-ROUNDDOWN($H29,0))*(INDEX(avoidedcosttbl2,ROUNDUP($H29,0),CD$2)-(INDEX(avoidedcosttbl2,ROUNDDOWN($H29,0),CD$2)))))*'Inputs Yr 2'!R29*'Inputs Yr 2'!S29*'Inputs Yr 2'!W29,"")</f>
        <v/>
      </c>
      <c r="CE29" s="213" t="str">
        <f t="shared" si="41"/>
        <v/>
      </c>
      <c r="CF29" s="213" t="str">
        <f t="shared" si="42"/>
        <v/>
      </c>
      <c r="CG29" s="213" t="str">
        <f t="shared" si="43"/>
        <v/>
      </c>
      <c r="CH29" s="698">
        <f t="shared" si="44"/>
        <v>0</v>
      </c>
      <c r="CI29" s="79" t="str">
        <f>IFERROR(($G29*'Inputs Yr 2'!$P29*'Inputs Yr 2'!$Q29*(((INDEX(avoidedcosttbl2,$H29,CI$2)+(($H29-ROUNDDOWN($H29,0))*(INDEX(avoidedcosttbl2,ROUNDUP($H29,0),CI$2)-INDEX(avoidedcosttbl2,ROUNDDOWN($H29,0),CI$2))))*'Inputs Yr 2'!AS29))),"")</f>
        <v/>
      </c>
      <c r="CJ29" s="504" t="str">
        <f>IFERROR($G29*'Inputs Yr 2'!AT29*'Inputs Yr 2'!$P29*'Inputs Yr 2'!$Q29/((1+realdiscrt1)^-0.5),"")</f>
        <v/>
      </c>
      <c r="CK29" s="79" t="str">
        <f>IFERROR((O29*1000*(((INDEX(avoidedcosttbl2,$H29,CK$2)+(($H29-ROUNDDOWN($H29,0))*(INDEX(avoidedcosttbl2,ROUNDUP($H29,0),CK$2)-INDEX(avoidedcosttbl2,ROUNDDOWN($H29,0),CK$2))))*'Inputs Yr 2'!AU29))),"")</f>
        <v/>
      </c>
      <c r="CL29" s="504" t="str">
        <f>IFERROR(O29*1000*'Inputs Yr 2'!AV29/((1+realdiscrt1)^-0.5),"")</f>
        <v/>
      </c>
      <c r="CM29" s="79" t="str">
        <f>IFERROR((AB29*'Inputs Yr 2'!AW29*(((INDEX(avoidedcosttbl2,$H29,CM$2)+(($H29-ROUNDDOWN($H29,0))*(INDEX(avoidedcosttbl2,ROUNDUP($H29,0),CM$2)-INDEX(avoidedcosttbl2,ROUNDDOWN($H29,0),CM$2)))))))*10,"")</f>
        <v/>
      </c>
      <c r="CN29" s="504">
        <f>IFERROR(10*AB29*'Inputs Yr 2'!AX29/((1+realdiscrt1)^-0.5),"")</f>
        <v>0</v>
      </c>
      <c r="CO29" s="505">
        <f t="shared" si="45"/>
        <v>0</v>
      </c>
      <c r="CP29" s="230">
        <f t="shared" si="46"/>
        <v>0</v>
      </c>
      <c r="CQ29" s="199">
        <f>ROUND(IFERROR(IF(LEFT($A29,1)="C",'Avoided Costs'!$K$13,'Avoided Costs'!$K$12)+1,""),4)</f>
        <v>1.0720000000000001</v>
      </c>
      <c r="CR29" s="199">
        <f>ROUND(IFERROR(IF(LEFT($A29,1)="C",'Avoided Costs'!$L$13,'Avoided Costs'!$L$12)+1,""),4)</f>
        <v>1.04</v>
      </c>
      <c r="CS29" s="199">
        <f>ROUND(IFERROR(IF(LEFT($A29,1)="C",'Avoided Costs'!$M$13,'Avoided Costs'!$M$12)+1,""),4)</f>
        <v>1.0720000000000001</v>
      </c>
      <c r="CT29" s="199">
        <f>ROUND(IFERROR(IF(LEFT($A29,1)="C",'Avoided Costs'!$N$13,'Avoided Costs'!$N$12)+1,""),4)</f>
        <v>1.04</v>
      </c>
      <c r="CU29" s="199">
        <f>ROUND(IFERROR(IF(LEFT($A29,1)="C",'Avoided Costs'!$O$13,'Avoided Costs'!$O$12)+1,""),4)</f>
        <v>1.1120000000000001</v>
      </c>
      <c r="CV29" s="199">
        <f>ROUND(IFERROR(IF(LEFT($A29,1)="C",'Avoided Costs'!$P$13,'Avoided Costs'!$P$12)+1,""),4)</f>
        <v>1.095</v>
      </c>
      <c r="CW29" s="199">
        <f>ROUND(IFERROR(IF(LEFT($A29,1)="C",'Avoided Costs'!$Q$13,'Avoided Costs'!$Q$12)+1,""),4)</f>
        <v>1.1120000000000001</v>
      </c>
      <c r="CX29" s="200">
        <f>ROUND(IFERROR(IF(LEFT($A29,1)="C",'Avoided Costs'!$R$13,'Avoided Costs'!$R$12)+1,""),4)</f>
        <v>1.1120000000000001</v>
      </c>
    </row>
    <row r="30" spans="1:102" ht="12.75" customHeight="1">
      <c r="A30" s="91" t="str">
        <f>IF('Inputs Yr 2'!$B30=0,"",'Inputs Yr 2'!A30)</f>
        <v>A - Residential</v>
      </c>
      <c r="B30" s="91" t="str">
        <f>IF('Inputs Yr 2'!$B30=0,"",'Inputs Yr 2'!B30)</f>
        <v>A1 - Residential Whole House</v>
      </c>
      <c r="C30" s="91" t="str">
        <f>IF('Inputs Yr 2'!$B30=0,"",'Inputs Yr 2'!C30)</f>
        <v>A1b - Residential Multi-Family Retrofit</v>
      </c>
      <c r="D30" s="91" t="str">
        <f>IF('Inputs Yr 2'!$B30=0,"",'Inputs Yr 2'!E30)</f>
        <v>Programmable Thermostat, Gas</v>
      </c>
      <c r="E30" s="93" t="str">
        <f>IF('Inputs Yr 2'!$B30=0,"",'Inputs Yr 2'!F30)</f>
        <v>G16A1b15</v>
      </c>
      <c r="F30" s="93" t="str">
        <f>IF('Inputs Yr 2'!$B30=0,"",'Inputs Yr 2'!G30)</f>
        <v>HVAC</v>
      </c>
      <c r="G30" s="95">
        <f>IF('Inputs Yr 2'!$H30&lt;&gt;0,('Inputs Yr 2'!H30),"")</f>
        <v>1042</v>
      </c>
      <c r="H30" s="94">
        <f>IFERROR('Inputs Yr 2'!I30,"")</f>
        <v>10</v>
      </c>
      <c r="I30" s="298">
        <f>IFERROR('Inputs Yr 2'!J30*'Inputs Yr 2'!P30*G30,"")</f>
        <v>75617.53</v>
      </c>
      <c r="J30" s="298">
        <f>IFERROR('Inputs Yr 2'!K30*G30,"")</f>
        <v>99496.75</v>
      </c>
      <c r="K30" s="298">
        <f t="shared" si="23"/>
        <v>-23879.22</v>
      </c>
      <c r="L30" s="194">
        <f>IFERROR(('Inputs Yr 2'!W30*G30)/1000,"")</f>
        <v>0</v>
      </c>
      <c r="M30" s="194">
        <f>IFERROR(L30*('Inputs Yr 2'!$Q30*'Inputs Yr 2'!$V30*'Inputs Yr 2'!$R30),"")</f>
        <v>0</v>
      </c>
      <c r="N30" s="194">
        <f t="shared" si="24"/>
        <v>0</v>
      </c>
      <c r="O30" s="194">
        <f>IFERROR(M30*'Inputs Yr 2'!P30,"")</f>
        <v>0</v>
      </c>
      <c r="P30" s="194">
        <f t="shared" si="25"/>
        <v>0</v>
      </c>
      <c r="Q30" s="194">
        <f>IFERROR($P30*'Inputs Yr 2'!AA30,"")</f>
        <v>0</v>
      </c>
      <c r="R30" s="194">
        <f>IFERROR($P30*'Inputs Yr 2'!AB30,"")</f>
        <v>0</v>
      </c>
      <c r="S30" s="194">
        <f>IFERROR($P30*'Inputs Yr 2'!AC30,"")</f>
        <v>0</v>
      </c>
      <c r="T30" s="194">
        <f>IFERROR($P30*'Inputs Yr 2'!AD30,"")</f>
        <v>0</v>
      </c>
      <c r="U30" s="194">
        <f>IFERROR(G30*'Inputs Yr 2'!$AE30*'Inputs Yr 2'!$P30*'Inputs Yr 2'!$Q30,"")</f>
        <v>0</v>
      </c>
      <c r="V30" s="194">
        <f>IFERROR($G30*'Inputs Yr 2'!$AE30*'Inputs Yr 2'!$AG30*'Inputs Yr 2'!Q30*'Inputs Yr 2'!$S30,"")</f>
        <v>0</v>
      </c>
      <c r="W30" s="194">
        <f>IFERROR($G30*'Inputs Yr 2'!$AE30*'Inputs Yr 2'!$AG30*'Inputs Yr 2'!P30*'Inputs Yr 2'!Q30*'Inputs Yr 2'!$S30,"")</f>
        <v>0</v>
      </c>
      <c r="X30" s="194">
        <f>IFERROR($G30*'Inputs Yr 2'!$AE30*'Inputs Yr 2'!$AF30*'Inputs Yr 2'!Q30*'Inputs Yr 2'!$T30,"")</f>
        <v>0</v>
      </c>
      <c r="Y30" s="194">
        <f>IFERROR($G30*'Inputs Yr 2'!$AE30*'Inputs Yr 2'!$AF30*'Inputs Yr 2'!P30*'Inputs Yr 2'!Q30*'Inputs Yr 2'!$T30,"")</f>
        <v>0</v>
      </c>
      <c r="Z30" s="257">
        <f>IFERROR($G30*'Inputs Yr 2'!$Q30*'Inputs Yr 2'!$U30*(IF(IFERROR(SEARCH("NG", 'Inputs Yr 2'!$AJ30),0),'Inputs Yr 2'!$AK30,0)+IF(IFERROR(SEARCH("NG", 'Inputs Yr 2'!$AL30),0),'Inputs Yr 2'!$AM30,0)+IF(IFERROR(SEARCH("NG", 'Inputs Yr 2'!$AN30),0),'Inputs Yr 2'!$AO30,0)),0)</f>
        <v>2396.6</v>
      </c>
      <c r="AA30" s="257">
        <f t="shared" si="26"/>
        <v>23966</v>
      </c>
      <c r="AB30" s="257">
        <f>IFERROR(Z30*'Inputs Yr 2'!$P30,0)</f>
        <v>1821.4159999999999</v>
      </c>
      <c r="AC30" s="257">
        <f t="shared" si="27"/>
        <v>18214.16</v>
      </c>
      <c r="AD30" s="257">
        <f>IFERROR($G30*'Inputs Yr 2'!$Q30*'Inputs Yr 2'!$U30*(IF(IFERROR(SEARCH("Oil", 'Inputs Yr 2'!$AJ30), 0),'Inputs Yr 2'!$AK30,0)+IF(IFERROR(SEARCH("Oil", 'Inputs Yr 2'!$AL30), 0),'Inputs Yr 2'!$AM30,0)+IF(IFERROR(SEARCH("Oil", 'Inputs Yr 2'!$AN30), 0),'Inputs Yr 2'!$AO30,0)),0)</f>
        <v>0</v>
      </c>
      <c r="AE30" s="257">
        <f t="shared" si="28"/>
        <v>0</v>
      </c>
      <c r="AF30" s="257">
        <f>IFERROR(AD30*'Inputs Yr 2'!$P30,0)</f>
        <v>0</v>
      </c>
      <c r="AG30" s="257">
        <f t="shared" si="29"/>
        <v>0</v>
      </c>
      <c r="AH30" s="257">
        <f>IFERROR($G30*'Inputs Yr 2'!$Q30*'Inputs Yr 2'!$U30*(IF('Inputs Yr 2'!$AJ30=CD$4,'Inputs Yr 2'!$AK30,IF('Inputs Yr 2'!$AL30=CD$4,'Inputs Yr 2'!$AM30,IF('Inputs Yr 2'!$AN30=CD$4,'Inputs Yr 2'!$AO30,0)))),0)</f>
        <v>0</v>
      </c>
      <c r="AI30" s="257">
        <f t="shared" si="30"/>
        <v>0</v>
      </c>
      <c r="AJ30" s="257">
        <f>IFERROR(AH30*'Inputs Yr 2'!$P30,0)</f>
        <v>0</v>
      </c>
      <c r="AK30" s="257">
        <f t="shared" si="31"/>
        <v>0</v>
      </c>
      <c r="AL30" s="258">
        <f>IFERROR($G30*'Inputs Yr 2'!$P30*'Inputs Yr 2'!$Q30*'Inputs Yr 2'!AP30,0)</f>
        <v>0</v>
      </c>
      <c r="AM30" s="260">
        <f>IFERROR($G30*'Inputs Yr 2'!$P30*'Inputs Yr 2'!$Q30*'Inputs Yr 2'!AQ30,0)</f>
        <v>0</v>
      </c>
      <c r="AN30" s="258">
        <f>IFERROR($G30*'Inputs Yr 2'!$P30*'Inputs Yr 2'!$Q30*'Inputs Yr 2'!AR30,0)</f>
        <v>0</v>
      </c>
      <c r="AO30" s="257">
        <f t="shared" si="32"/>
        <v>0</v>
      </c>
      <c r="AP30" s="195">
        <f>IFERROR($CQ30*(INDEX(avoidedcosttbl2,$H30,AP$2)+(($H30-ROUNDDOWN($H30,0))*(INDEX(avoidedcosttbl2,ROUNDUP($H30,0),AP$2)-(INDEX(avoidedcosttbl2,ROUNDDOWN($H30,0),AP$2)))))*$O30*1000*'Inputs Yr 2'!AA30,"")</f>
        <v>0</v>
      </c>
      <c r="AQ30" s="195">
        <f>IFERROR($CR30*(INDEX(avoidedcosttbl2,$H30,AQ$2)+(($H30-ROUNDDOWN($H30,0))*(INDEX(avoidedcosttbl2,ROUNDUP($H30,0),AQ$2)-(INDEX(avoidedcosttbl2,ROUNDDOWN($H30,0),AQ$2)))))*$O30*1000*'Inputs Yr 2'!AB30,"")</f>
        <v>0</v>
      </c>
      <c r="AR30" s="195">
        <f>IFERROR($CS30*(INDEX(avoidedcosttbl2,$H30,AR$2)+(($H30-ROUNDDOWN($H30,0))*(INDEX(avoidedcosttbl2,ROUNDUP($H30,0),AR$2)-(INDEX(avoidedcosttbl2,ROUNDDOWN($H30,0),AR$2)))))*$O30*1000*'Inputs Yr 2'!AC30,"")</f>
        <v>0</v>
      </c>
      <c r="AS30" s="195">
        <f>IFERROR($CT30*(INDEX(avoidedcosttbl2,$H30,AS$2)+(($H30-ROUNDDOWN($H30,0))*(INDEX(avoidedcosttbl2,ROUNDUP($H30,0),AS$2)-(INDEX(avoidedcosttbl2,ROUNDDOWN($H30,0),AS$2)))))*$O30*1000*'Inputs Yr 2'!AD30,"")</f>
        <v>0</v>
      </c>
      <c r="AT30" s="196">
        <f t="shared" si="33"/>
        <v>0</v>
      </c>
      <c r="AU30" s="197">
        <f>IFERROR($CQ30*((INDEX(avoidedcosttbl2,$H30,AU$2))+(($H30-ROUNDDOWN($H30,0))*((INDEX(avoidedcosttbl2,ROUNDUP($H30,0),AU$2))-(INDEX(avoidedcosttbl2,ROUNDDOWN($H30,0),AU$2)))))*$O30*1000*'Inputs Yr 2'!AA30,"")</f>
        <v>0</v>
      </c>
      <c r="AV30" s="197">
        <f>IFERROR($CR30*((INDEX(avoidedcosttbl2,$H30,AV$2))+(($H30-ROUNDDOWN($H30,0))*((INDEX(avoidedcosttbl2,ROUNDUP($H30,0),AV$2))-(INDEX(avoidedcosttbl2,ROUNDDOWN($H30,0),AV$2)))))*$O30*1000*'Inputs Yr 2'!AB30,"")</f>
        <v>0</v>
      </c>
      <c r="AW30" s="197">
        <f>IFERROR($CS30*((INDEX(avoidedcosttbl2,$H30,AW$2))+(($H30-ROUNDDOWN($H30,0))*((INDEX(avoidedcosttbl2,ROUNDUP($H30,0),AW$2))-(INDEX(avoidedcosttbl2,ROUNDDOWN($H30,0),AW$2)))))*$O30*1000*'Inputs Yr 2'!AC30,"")</f>
        <v>0</v>
      </c>
      <c r="AX30" s="197">
        <f>IFERROR($CT30*((INDEX(avoidedcosttbl2,$H30,AX$2))+(($H30-ROUNDDOWN($H30,0))*((INDEX(avoidedcosttbl2,ROUNDUP($H30,0),AX$2))-(INDEX(avoidedcosttbl2,ROUNDDOWN($H30,0),AX$2)))))*$O30*1000*'Inputs Yr 2'!AD30,"")</f>
        <v>0</v>
      </c>
      <c r="AY30" s="197">
        <f>IFERROR(((INDEX(avoidedcosttbl2,$H30,AY$2))+(($H30-ROUNDDOWN($H30,0))*((INDEX(avoidedcosttbl2,ROUNDUP($H30,0),AY$2))-(INDEX(avoidedcosttbl2,ROUNDDOWN($H30,0),AY$2)))))*$O30*1000*('Inputs Yr 2'!AC30+'Inputs Yr 2'!AD30),"")</f>
        <v>0</v>
      </c>
      <c r="AZ30" s="197">
        <f>IFERROR(((INDEX(avoidedcosttbl2,$H30,AZ$2))+(($H30-ROUNDDOWN($H30,0))*((INDEX(avoidedcosttbl2,ROUNDUP($H30,0),AZ$2))-(INDEX(avoidedcosttbl2,ROUNDDOWN($H30,0),AZ$2)))))*$O30*1000*('Inputs Yr 2'!AA30+'Inputs Yr 2'!AB30),"")</f>
        <v>0</v>
      </c>
      <c r="BA30" s="198">
        <f t="shared" si="34"/>
        <v>0</v>
      </c>
      <c r="BB30" s="198">
        <f t="shared" si="35"/>
        <v>0</v>
      </c>
      <c r="BC30" s="195">
        <f t="shared" si="10"/>
        <v>0</v>
      </c>
      <c r="BD30" s="195">
        <f t="shared" si="11"/>
        <v>0</v>
      </c>
      <c r="BE30" s="195">
        <f t="shared" si="12"/>
        <v>0</v>
      </c>
      <c r="BF30" s="195">
        <f t="shared" si="13"/>
        <v>0</v>
      </c>
      <c r="BG30" s="195">
        <f t="shared" si="14"/>
        <v>0</v>
      </c>
      <c r="BH30" s="196">
        <f t="shared" si="36"/>
        <v>0</v>
      </c>
      <c r="BI30" s="196">
        <f t="shared" si="37"/>
        <v>0</v>
      </c>
      <c r="BJ30" s="195">
        <f>IFERROR($G30*(IF('Inputs Yr 2'!$AJ30=BJ$4,'Inputs Yr 2'!$AK30,IF('Inputs Yr 2'!$AL30=BJ$4,'Inputs Yr 2'!$AM30,IF('Inputs Yr 2'!$AN30=BJ$4,'Inputs Yr 2'!$AO30,0))))*(INDEX(avoidedcosttbl2,$H30,BJ$2)+(($H30-ROUNDDOWN($H30,0))*(INDEX(avoidedcosttbl2,ROUNDUP($H30,0),BJ$2)-(INDEX(avoidedcosttbl2,ROUNDDOWN($H30,0),BJ$2)))))*'Inputs Yr 2'!P30*'Inputs Yr 2'!Q30*'Inputs Yr 2'!U30,"")</f>
        <v>0</v>
      </c>
      <c r="BK30" s="195">
        <f>IFERROR($G30*(IF('Inputs Yr 2'!$AJ30=BK$4,'Inputs Yr 2'!$AK30,IF('Inputs Yr 2'!$AL30=BK$4,'Inputs Yr 2'!$AM30,IF('Inputs Yr 2'!$AN30=BK$4,'Inputs Yr 2'!$AO30,0))))*(INDEX(avoidedcosttbl2,$H30,BK$2)+(($H30-ROUNDDOWN($H30,0))*(INDEX(avoidedcosttbl2,ROUNDUP($H30,0),BK$2)-(INDEX(avoidedcosttbl2,ROUNDDOWN($H30,0),BK$2)))))*'Inputs Yr 2'!P30*'Inputs Yr 2'!Q30*'Inputs Yr 2'!U30,"")</f>
        <v>0</v>
      </c>
      <c r="BL30" s="195">
        <f>IFERROR($G30*(IF('Inputs Yr 2'!$AJ30=BL$4,'Inputs Yr 2'!$AK30,IF('Inputs Yr 2'!$AL30=BL$4,'Inputs Yr 2'!$AM30,IF('Inputs Yr 2'!$AN30=BL$4,'Inputs Yr 2'!$AO30,0))))*(INDEX(avoidedcosttbl2,$H30,BL$2)+(($H30-ROUNDDOWN($H30,0))*(INDEX(avoidedcosttbl2,ROUNDUP($H30,0),BL$2)-(INDEX(avoidedcosttbl2,ROUNDDOWN($H30,0),BL$2)))))*'Inputs Yr 2'!P30*'Inputs Yr 2'!Q30*'Inputs Yr 2'!U30,"")</f>
        <v>150125.90196506318</v>
      </c>
      <c r="BM30" s="195">
        <f>IFERROR($G30*(IF('Inputs Yr 2'!$AJ30=BM$4,'Inputs Yr 2'!$AK30,IF('Inputs Yr 2'!$AL30=BM$4,'Inputs Yr 2'!$AM30,IF('Inputs Yr 2'!$AN30=BM$4,'Inputs Yr 2'!$AO30,0))))*(INDEX(avoidedcosttbl2,$H30,BM$2)+(($H30-ROUNDDOWN($H30,0))*(INDEX(avoidedcosttbl2,ROUNDUP($H30,0),BM$2)-(INDEX(avoidedcosttbl2,ROUNDDOWN($H30,0),BM$2)))))*'Inputs Yr 2'!P30*'Inputs Yr 2'!Q30*'Inputs Yr 2'!U30,"")</f>
        <v>0</v>
      </c>
      <c r="BN30" s="195">
        <f>IFERROR($G30*(IF('Inputs Yr 2'!$AJ30=BN$4,'Inputs Yr 2'!$AK30,IF('Inputs Yr 2'!$AL30=BN$4,'Inputs Yr 2'!$AM30,IF('Inputs Yr 2'!$AN30=BN$4,'Inputs Yr 2'!$AO30,0))))*(INDEX(avoidedcosttbl2,$H30,BN$2)+(($H30-ROUNDDOWN($H30,0))*(INDEX(avoidedcosttbl2,ROUNDUP($H30,0),BN$2)-(INDEX(avoidedcosttbl2,ROUNDDOWN($H30,0),BN$2)))))*'Inputs Yr 2'!P30*'Inputs Yr 2'!Q30*'Inputs Yr 2'!U30,"")</f>
        <v>0</v>
      </c>
      <c r="BO30" s="195">
        <f>IFERROR($G30*(IF('Inputs Yr 2'!$AJ30=BO$4,'Inputs Yr 2'!$AK30,IF('Inputs Yr 2'!$AL30=BO$4,'Inputs Yr 2'!$AM30,IF('Inputs Yr 2'!$AN30=BO$4,'Inputs Yr 2'!$AO30,0))))*(INDEX(avoidedcosttbl2,$H30,BO$2)+(($H30-ROUNDDOWN($H30,0))*(INDEX(avoidedcosttbl2,ROUNDUP($H30,0),BO$2)-(INDEX(avoidedcosttbl2,ROUNDDOWN($H30,0),BO$2)))))*'Inputs Yr 2'!P30*'Inputs Yr 2'!Q30*'Inputs Yr 2'!U30,"")</f>
        <v>0</v>
      </c>
      <c r="BP30" s="195">
        <f>IFERROR($G30*(IF('Inputs Yr 2'!$AJ30=BP$4,'Inputs Yr 2'!$AK30,IF('Inputs Yr 2'!$AL30=BP$4,'Inputs Yr 2'!$AM30,IF('Inputs Yr 2'!$AN30=BP$4,'Inputs Yr 2'!$AO30,0))))*(INDEX(avoidedcosttbl2,$H30,BP$2)+(($H30-ROUNDDOWN($H30,0))*(INDEX(avoidedcosttbl2,ROUNDUP($H30,0),BP$2)-(INDEX(avoidedcosttbl2,ROUNDDOWN($H30,0),BP$2)))))*'Inputs Yr 2'!P30*'Inputs Yr 2'!Q30*'Inputs Yr 2'!U30,"")</f>
        <v>0</v>
      </c>
      <c r="BQ30" s="230">
        <f t="shared" si="38"/>
        <v>150125.90196506318</v>
      </c>
      <c r="BR30" s="197">
        <f t="shared" si="17"/>
        <v>2495.7776708800279</v>
      </c>
      <c r="BS30" s="197">
        <f>IFERROR(($G30*IF('Inputs Yr 2'!$AJ30=BM$4,'Inputs Yr 2'!$AK30,IF('Inputs Yr 2'!$AL30=BM$4,'Inputs Yr 2'!$AM30,IF('Inputs Yr 2'!$AN30=BM$4,'Inputs Yr 2'!$AO30,0))))*(INDEX(avoidedcosttbl2,$H30,BS$2)+(($H30-ROUNDDOWN($H30,0))*(INDEX(avoidedcosttbl2,ROUNDUP($H30,0),BS$2)-(INDEX(avoidedcosttbl2,ROUNDDOWN($H30,0),BS$2)))))*'Inputs Yr 2'!P30*'Inputs Yr 2'!Q30*'Inputs Yr 2'!U30,"")</f>
        <v>0</v>
      </c>
      <c r="BT30" s="197">
        <f>IFERROR(($G30*IF('Inputs Yr 2'!$AJ30=BK$4,'Inputs Yr 2'!$AK30,IF('Inputs Yr 2'!$AL30=BK$4,'Inputs Yr 2'!$AM30,IF('Inputs Yr 2'!$AN30=BK$4,'Inputs Yr 2'!$AO30,0))))*(INDEX(avoidedcosttbl2,$H30,BT$2)+(($H30-ROUNDDOWN($H30,0))*(INDEX(avoidedcosttbl2,ROUNDUP($H30,0),BT$2)-(INDEX(avoidedcosttbl2,ROUNDDOWN($H30,0),BT$2)))))*'Inputs Yr 2'!P30*'Inputs Yr 2'!Q30*'Inputs Yr 2'!U30,"")</f>
        <v>0</v>
      </c>
      <c r="BU30" s="197">
        <f>IFERROR(($G30*IF('Inputs Yr 2'!$AJ30=BL$4,'Inputs Yr 2'!$AK30,IF('Inputs Yr 2'!$AL30=BL$4,'Inputs Yr 2'!$AM30,IF('Inputs Yr 2'!$AN30=BL$4,'Inputs Yr 2'!$AO30,0))))*(INDEX(avoidedcosttbl2,$H30,BU$2)+(($H30-ROUNDDOWN($H30,0))*(INDEX(avoidedcosttbl2,ROUNDUP($H30,0),BU$2)-(INDEX(avoidedcosttbl2,ROUNDDOWN($H30,0),BU$2)))))*'Inputs Yr 2'!P30*'Inputs Yr 2'!Q30*'Inputs Yr 2'!U30,"")</f>
        <v>13359.492206892968</v>
      </c>
      <c r="BV30" s="775">
        <f>IFERROR(($G30*IF('Inputs Yr 2'!$AJ30=BJ$4,'Inputs Yr 2'!$AK30,IF('Inputs Yr 2'!$AL30=BJ$4,'Inputs Yr 2'!$AM30,IF('Inputs Yr 2'!$AN30=BJ$4,'Inputs Yr 2'!$AO30,0))))*(INDEX(avoidedcosttbl2,$H30,BV$2)+(($H30-ROUNDDOWN($H30,0))*(INDEX(avoidedcosttbl2,ROUNDUP($H30,0),BV$2)-(INDEX(avoidedcosttbl2,ROUNDDOWN($H30,0),BV$2)))))*'Inputs Yr 2'!P30*'Inputs Yr 2'!Q30*'Inputs Yr 2'!U30,"")</f>
        <v>0</v>
      </c>
      <c r="BW30" s="197">
        <f>IFERROR(($G30*IF('Inputs Yr 2'!$AJ30=BN$4,'Inputs Yr 2'!$AK30,IF('Inputs Yr 2'!$AL30=BN$4,'Inputs Yr 2'!$AM30,IF('Inputs Yr 2'!$AN30=BN$4,'Inputs Yr 2'!$AO30,0))))*(INDEX(avoidedcosttbl2,$H30,BW$2)+(($H30-ROUNDDOWN($H30,0))*(INDEX(avoidedcosttbl2,ROUNDUP($H30,0),BW$2)-(INDEX(avoidedcosttbl2,ROUNDDOWN($H30,0),BW$2)))))*'Inputs Yr 2'!P30*'Inputs Yr 2'!Q30*'Inputs Yr 2'!U30,"")</f>
        <v>0</v>
      </c>
      <c r="BX30" s="197">
        <f>IFERROR(($G30*IF('Inputs Yr 2'!$AJ30=BO$4,'Inputs Yr 2'!$AK30,IF('Inputs Yr 2'!$AL30=BO$4,'Inputs Yr 2'!$AM30,IF('Inputs Yr 2'!$AN30=BO$4,'Inputs Yr 2'!$AO30,0))))*(INDEX(avoidedcosttbl2,$H30,BX$2)+(($H30-ROUNDDOWN($H30,0))*(INDEX(avoidedcosttbl2,ROUNDUP($H30,0),BX$2)-(INDEX(avoidedcosttbl2,ROUNDDOWN($H30,0),BX$2)))))*'Inputs Yr 2'!P30*'Inputs Yr 2'!Q30*'Inputs Yr 2'!U30,"")</f>
        <v>0</v>
      </c>
      <c r="BY30" s="197">
        <f>IFERROR(($G30*IF('Inputs Yr 2'!$AJ30=BP$4,'Inputs Yr 2'!$AK30,IF('Inputs Yr 2'!$AL30=BP$4,'Inputs Yr 2'!$AM30,IF('Inputs Yr 2'!$AN30=BP$4,'Inputs Yr 2'!$AO30,0))))*(INDEX(avoidedcosttbl2,$H30,BY$2)+(($H30-ROUNDDOWN($H30,0))*(INDEX(avoidedcosttbl2,ROUNDUP($H30,0),BY$2)-(INDEX(avoidedcosttbl2,ROUNDDOWN($H30,0),BY$2)))))*'Inputs Yr 2'!P30*'Inputs Yr 2'!Q30*'Inputs Yr 2'!U30,"")</f>
        <v>0</v>
      </c>
      <c r="BZ30" s="193">
        <f t="shared" si="39"/>
        <v>15855.269877772997</v>
      </c>
      <c r="CA30" s="193">
        <f t="shared" si="40"/>
        <v>165981.17184283619</v>
      </c>
      <c r="CB30" s="195">
        <f>IFERROR(G30*(IF('Inputs Yr 2'!$AJ30=CB$4,'Inputs Yr 2'!$AK30,IF('Inputs Yr 2'!$AL30=CB$4,'Inputs Yr 2'!$AM30,IF('Inputs Yr 2'!$AN30=CB$4,'Inputs Yr 2'!$AO30,0))))*(INDEX(avoidedcosttbl2,$H30,CB$2)+(($H30-ROUNDDOWN($H30,0))*(INDEX(avoidedcosttbl2,ROUNDUP($H30,0),CB$2)-(INDEX(avoidedcosttbl2,ROUNDDOWN($H30,0),CB$2)))))*'Inputs Yr 2'!P30*'Inputs Yr 2'!Q30*'Inputs Yr 2'!U30,"")</f>
        <v>0</v>
      </c>
      <c r="CC30" s="195">
        <f>IFERROR(H30*(IF('Inputs Yr 2'!$AJ30=CC$4,'Inputs Yr 2'!$AK30,IF('Inputs Yr 2'!$AL30=CC$4,'Inputs Yr 2'!$AM30,IF('Inputs Yr 2'!$AN30=CC$4,'Inputs Yr 2'!$AO30,0))))*(INDEX(avoidedcosttbl2,$H30,CC$2)+(($H30-ROUNDDOWN($H30,0))*(INDEX(avoidedcosttbl2,ROUNDUP($H30,0),CC$2)-(INDEX(avoidedcosttbl2,ROUNDDOWN($H30,0),CC$2)))))*'Inputs Yr 2'!Q30*'Inputs Yr 2'!R30*'Inputs Yr 2'!V30,"")</f>
        <v>0</v>
      </c>
      <c r="CD30" s="195">
        <f>IFERROR(I30*(IF('Inputs Yr 2'!$AJ30=CD$4,'Inputs Yr 2'!$AK30,IF('Inputs Yr 2'!$AL30=CD$4,'Inputs Yr 2'!$AM30,IF('Inputs Yr 2'!$AN30=CD$4,'Inputs Yr 2'!$AO30,0))))*(INDEX(avoidedcosttbl2,$H30,CD$2)+(($H30-ROUNDDOWN($H30,0))*(INDEX(avoidedcosttbl2,ROUNDUP($H30,0),CD$2)-(INDEX(avoidedcosttbl2,ROUNDDOWN($H30,0),CD$2)))))*'Inputs Yr 2'!R30*'Inputs Yr 2'!S30*'Inputs Yr 2'!W30,"")</f>
        <v>0</v>
      </c>
      <c r="CE30" s="213">
        <f t="shared" si="41"/>
        <v>0</v>
      </c>
      <c r="CF30" s="213">
        <f t="shared" si="42"/>
        <v>0</v>
      </c>
      <c r="CG30" s="213">
        <f t="shared" si="43"/>
        <v>0</v>
      </c>
      <c r="CH30" s="698">
        <f t="shared" si="44"/>
        <v>165981.17184283619</v>
      </c>
      <c r="CI30" s="79">
        <f>IFERROR(($G30*'Inputs Yr 2'!$P30*'Inputs Yr 2'!$Q30*(((INDEX(avoidedcosttbl2,$H30,CI$2)+(($H30-ROUNDDOWN($H30,0))*(INDEX(avoidedcosttbl2,ROUNDUP($H30,0),CI$2)-INDEX(avoidedcosttbl2,ROUNDDOWN($H30,0),CI$2))))*'Inputs Yr 2'!AS30))),"")</f>
        <v>111181.93349649721</v>
      </c>
      <c r="CJ30" s="504">
        <f>IFERROR($G30*'Inputs Yr 2'!AT30*'Inputs Yr 2'!$P30*'Inputs Yr 2'!$Q30/((1+realdiscrt1)^-0.5),"")</f>
        <v>0</v>
      </c>
      <c r="CK30" s="79">
        <f>IFERROR((O30*1000*(((INDEX(avoidedcosttbl2,$H30,CK$2)+(($H30-ROUNDDOWN($H30,0))*(INDEX(avoidedcosttbl2,ROUNDUP($H30,0),CK$2)-INDEX(avoidedcosttbl2,ROUNDDOWN($H30,0),CK$2))))*'Inputs Yr 2'!AU30))),"")</f>
        <v>0</v>
      </c>
      <c r="CL30" s="504">
        <f>IFERROR(O30*1000*'Inputs Yr 2'!AV30/((1+realdiscrt1)^-0.5),"")</f>
        <v>0</v>
      </c>
      <c r="CM30" s="79">
        <f>IFERROR((AB30*'Inputs Yr 2'!AW30*(((INDEX(avoidedcosttbl2,$H30,CM$2)+(($H30-ROUNDDOWN($H30,0))*(INDEX(avoidedcosttbl2,ROUNDUP($H30,0),CM$2)-INDEX(avoidedcosttbl2,ROUNDDOWN($H30,0),CM$2)))))))*10,"")</f>
        <v>0</v>
      </c>
      <c r="CN30" s="504">
        <f>IFERROR(10*AB30*'Inputs Yr 2'!AX30/((1+realdiscrt1)^-0.5),"")</f>
        <v>0</v>
      </c>
      <c r="CO30" s="505">
        <f t="shared" si="45"/>
        <v>111181.93349649721</v>
      </c>
      <c r="CP30" s="230">
        <f t="shared" si="46"/>
        <v>277163.10533933342</v>
      </c>
      <c r="CQ30" s="199">
        <f>ROUND(IFERROR(IF(LEFT($A30,1)="C",'Avoided Costs'!$K$13,'Avoided Costs'!$K$12)+1,""),4)</f>
        <v>1.0720000000000001</v>
      </c>
      <c r="CR30" s="199">
        <f>ROUND(IFERROR(IF(LEFT($A30,1)="C",'Avoided Costs'!$L$13,'Avoided Costs'!$L$12)+1,""),4)</f>
        <v>1.04</v>
      </c>
      <c r="CS30" s="199">
        <f>ROUND(IFERROR(IF(LEFT($A30,1)="C",'Avoided Costs'!$M$13,'Avoided Costs'!$M$12)+1,""),4)</f>
        <v>1.0720000000000001</v>
      </c>
      <c r="CT30" s="199">
        <f>ROUND(IFERROR(IF(LEFT($A30,1)="C",'Avoided Costs'!$N$13,'Avoided Costs'!$N$12)+1,""),4)</f>
        <v>1.04</v>
      </c>
      <c r="CU30" s="199">
        <f>ROUND(IFERROR(IF(LEFT($A30,1)="C",'Avoided Costs'!$O$13,'Avoided Costs'!$O$12)+1,""),4)</f>
        <v>1.1120000000000001</v>
      </c>
      <c r="CV30" s="199">
        <f>ROUND(IFERROR(IF(LEFT($A30,1)="C",'Avoided Costs'!$P$13,'Avoided Costs'!$P$12)+1,""),4)</f>
        <v>1.095</v>
      </c>
      <c r="CW30" s="199">
        <f>ROUND(IFERROR(IF(LEFT($A30,1)="C",'Avoided Costs'!$Q$13,'Avoided Costs'!$Q$12)+1,""),4)</f>
        <v>1.1120000000000001</v>
      </c>
      <c r="CX30" s="200">
        <f>ROUND(IFERROR(IF(LEFT($A30,1)="C",'Avoided Costs'!$R$13,'Avoided Costs'!$R$12)+1,""),4)</f>
        <v>1.1120000000000001</v>
      </c>
    </row>
    <row r="31" spans="1:102" ht="12.75" customHeight="1">
      <c r="A31" s="91" t="str">
        <f>IF('Inputs Yr 2'!$B31=0,"",'Inputs Yr 2'!A31)</f>
        <v>A - Residential</v>
      </c>
      <c r="B31" s="91" t="str">
        <f>IF('Inputs Yr 2'!$B31=0,"",'Inputs Yr 2'!B31)</f>
        <v>A1 - Residential Whole House</v>
      </c>
      <c r="C31" s="91" t="str">
        <f>IF('Inputs Yr 2'!$B31=0,"",'Inputs Yr 2'!C31)</f>
        <v>A1b - Residential Multi-Family Retrofit</v>
      </c>
      <c r="D31" s="91" t="str">
        <f>IF('Inputs Yr 2'!$B31=0,"",'Inputs Yr 2'!E31)</f>
        <v>Programmable Thermostat, Gas (with cooling)</v>
      </c>
      <c r="E31" s="93" t="str">
        <f>IF('Inputs Yr 2'!$B31=0,"",'Inputs Yr 2'!F31)</f>
        <v>G16A1b16</v>
      </c>
      <c r="F31" s="93" t="str">
        <f>IF('Inputs Yr 2'!$B31=0,"",'Inputs Yr 2'!G31)</f>
        <v>HVAC</v>
      </c>
      <c r="G31" s="95" t="str">
        <f>IF('Inputs Yr 2'!$H31&lt;&gt;0,('Inputs Yr 2'!H31),"")</f>
        <v/>
      </c>
      <c r="H31" s="94">
        <f>IFERROR('Inputs Yr 2'!I31,"")</f>
        <v>0</v>
      </c>
      <c r="I31" s="298" t="str">
        <f>IFERROR('Inputs Yr 2'!J31*'Inputs Yr 2'!P31*G31,"")</f>
        <v/>
      </c>
      <c r="J31" s="298" t="str">
        <f>IFERROR('Inputs Yr 2'!K31*G31,"")</f>
        <v/>
      </c>
      <c r="K31" s="298" t="str">
        <f t="shared" si="23"/>
        <v/>
      </c>
      <c r="L31" s="194" t="str">
        <f>IFERROR(('Inputs Yr 2'!W31*G31)/1000,"")</f>
        <v/>
      </c>
      <c r="M31" s="194" t="str">
        <f>IFERROR(L31*('Inputs Yr 2'!$Q31*'Inputs Yr 2'!$V31*'Inputs Yr 2'!$R31),"")</f>
        <v/>
      </c>
      <c r="N31" s="194" t="str">
        <f t="shared" si="24"/>
        <v/>
      </c>
      <c r="O31" s="194" t="str">
        <f>IFERROR(M31*'Inputs Yr 2'!P31,"")</f>
        <v/>
      </c>
      <c r="P31" s="194" t="str">
        <f t="shared" si="25"/>
        <v/>
      </c>
      <c r="Q31" s="194" t="str">
        <f>IFERROR($P31*'Inputs Yr 2'!AA31,"")</f>
        <v/>
      </c>
      <c r="R31" s="194" t="str">
        <f>IFERROR($P31*'Inputs Yr 2'!AB31,"")</f>
        <v/>
      </c>
      <c r="S31" s="194" t="str">
        <f>IFERROR($P31*'Inputs Yr 2'!AC31,"")</f>
        <v/>
      </c>
      <c r="T31" s="194" t="str">
        <f>IFERROR($P31*'Inputs Yr 2'!AD31,"")</f>
        <v/>
      </c>
      <c r="U31" s="194" t="str">
        <f>IFERROR(G31*'Inputs Yr 2'!$AE31*'Inputs Yr 2'!$P31*'Inputs Yr 2'!$Q31,"")</f>
        <v/>
      </c>
      <c r="V31" s="194" t="str">
        <f>IFERROR($G31*'Inputs Yr 2'!$AE31*'Inputs Yr 2'!$AG31*'Inputs Yr 2'!Q31*'Inputs Yr 2'!$S31,"")</f>
        <v/>
      </c>
      <c r="W31" s="194" t="str">
        <f>IFERROR($G31*'Inputs Yr 2'!$AE31*'Inputs Yr 2'!$AG31*'Inputs Yr 2'!P31*'Inputs Yr 2'!Q31*'Inputs Yr 2'!$S31,"")</f>
        <v/>
      </c>
      <c r="X31" s="194" t="str">
        <f>IFERROR($G31*'Inputs Yr 2'!$AE31*'Inputs Yr 2'!$AF31*'Inputs Yr 2'!Q31*'Inputs Yr 2'!$T31,"")</f>
        <v/>
      </c>
      <c r="Y31" s="194" t="str">
        <f>IFERROR($G31*'Inputs Yr 2'!$AE31*'Inputs Yr 2'!$AF31*'Inputs Yr 2'!P31*'Inputs Yr 2'!Q31*'Inputs Yr 2'!$T31,"")</f>
        <v/>
      </c>
      <c r="Z31" s="257">
        <f>IFERROR($G31*'Inputs Yr 2'!$Q31*'Inputs Yr 2'!$U31*(IF(IFERROR(SEARCH("NG", 'Inputs Yr 2'!$AJ31),0),'Inputs Yr 2'!$AK31,0)+IF(IFERROR(SEARCH("NG", 'Inputs Yr 2'!$AL31),0),'Inputs Yr 2'!$AM31,0)+IF(IFERROR(SEARCH("NG", 'Inputs Yr 2'!$AN31),0),'Inputs Yr 2'!$AO31,0)),0)</f>
        <v>0</v>
      </c>
      <c r="AA31" s="257">
        <f t="shared" si="26"/>
        <v>0</v>
      </c>
      <c r="AB31" s="257">
        <f>IFERROR(Z31*'Inputs Yr 2'!$P31,0)</f>
        <v>0</v>
      </c>
      <c r="AC31" s="257">
        <f t="shared" si="27"/>
        <v>0</v>
      </c>
      <c r="AD31" s="257">
        <f>IFERROR($G31*'Inputs Yr 2'!$Q31*'Inputs Yr 2'!$U31*(IF(IFERROR(SEARCH("Oil", 'Inputs Yr 2'!$AJ31), 0),'Inputs Yr 2'!$AK31,0)+IF(IFERROR(SEARCH("Oil", 'Inputs Yr 2'!$AL31), 0),'Inputs Yr 2'!$AM31,0)+IF(IFERROR(SEARCH("Oil", 'Inputs Yr 2'!$AN31), 0),'Inputs Yr 2'!$AO31,0)),0)</f>
        <v>0</v>
      </c>
      <c r="AE31" s="257">
        <f t="shared" si="28"/>
        <v>0</v>
      </c>
      <c r="AF31" s="257">
        <f>IFERROR(AD31*'Inputs Yr 2'!$P31,0)</f>
        <v>0</v>
      </c>
      <c r="AG31" s="257">
        <f t="shared" si="29"/>
        <v>0</v>
      </c>
      <c r="AH31" s="257">
        <f>IFERROR($G31*'Inputs Yr 2'!$Q31*'Inputs Yr 2'!$U31*(IF('Inputs Yr 2'!$AJ31=CD$4,'Inputs Yr 2'!$AK31,IF('Inputs Yr 2'!$AL31=CD$4,'Inputs Yr 2'!$AM31,IF('Inputs Yr 2'!$AN31=CD$4,'Inputs Yr 2'!$AO31,0)))),0)</f>
        <v>0</v>
      </c>
      <c r="AI31" s="257">
        <f t="shared" si="30"/>
        <v>0</v>
      </c>
      <c r="AJ31" s="257">
        <f>IFERROR(AH31*'Inputs Yr 2'!$P31,0)</f>
        <v>0</v>
      </c>
      <c r="AK31" s="257">
        <f t="shared" si="31"/>
        <v>0</v>
      </c>
      <c r="AL31" s="258">
        <f>IFERROR($G31*'Inputs Yr 2'!$P31*'Inputs Yr 2'!$Q31*'Inputs Yr 2'!AP31,0)</f>
        <v>0</v>
      </c>
      <c r="AM31" s="260">
        <f>IFERROR($G31*'Inputs Yr 2'!$P31*'Inputs Yr 2'!$Q31*'Inputs Yr 2'!AQ31,0)</f>
        <v>0</v>
      </c>
      <c r="AN31" s="258">
        <f>IFERROR($G31*'Inputs Yr 2'!$P31*'Inputs Yr 2'!$Q31*'Inputs Yr 2'!AR31,0)</f>
        <v>0</v>
      </c>
      <c r="AO31" s="257">
        <f t="shared" si="32"/>
        <v>0</v>
      </c>
      <c r="AP31" s="195" t="str">
        <f>IFERROR($CQ31*(INDEX(avoidedcosttbl2,$H31,AP$2)+(($H31-ROUNDDOWN($H31,0))*(INDEX(avoidedcosttbl2,ROUNDUP($H31,0),AP$2)-(INDEX(avoidedcosttbl2,ROUNDDOWN($H31,0),AP$2)))))*$O31*1000*'Inputs Yr 2'!AA31,"")</f>
        <v/>
      </c>
      <c r="AQ31" s="195" t="str">
        <f>IFERROR($CR31*(INDEX(avoidedcosttbl2,$H31,AQ$2)+(($H31-ROUNDDOWN($H31,0))*(INDEX(avoidedcosttbl2,ROUNDUP($H31,0),AQ$2)-(INDEX(avoidedcosttbl2,ROUNDDOWN($H31,0),AQ$2)))))*$O31*1000*'Inputs Yr 2'!AB31,"")</f>
        <v/>
      </c>
      <c r="AR31" s="195" t="str">
        <f>IFERROR($CS31*(INDEX(avoidedcosttbl2,$H31,AR$2)+(($H31-ROUNDDOWN($H31,0))*(INDEX(avoidedcosttbl2,ROUNDUP($H31,0),AR$2)-(INDEX(avoidedcosttbl2,ROUNDDOWN($H31,0),AR$2)))))*$O31*1000*'Inputs Yr 2'!AC31,"")</f>
        <v/>
      </c>
      <c r="AS31" s="195" t="str">
        <f>IFERROR($CT31*(INDEX(avoidedcosttbl2,$H31,AS$2)+(($H31-ROUNDDOWN($H31,0))*(INDEX(avoidedcosttbl2,ROUNDUP($H31,0),AS$2)-(INDEX(avoidedcosttbl2,ROUNDDOWN($H31,0),AS$2)))))*$O31*1000*'Inputs Yr 2'!AD31,"")</f>
        <v/>
      </c>
      <c r="AT31" s="196">
        <f t="shared" si="33"/>
        <v>0</v>
      </c>
      <c r="AU31" s="197" t="str">
        <f>IFERROR($CQ31*((INDEX(avoidedcosttbl2,$H31,AU$2))+(($H31-ROUNDDOWN($H31,0))*((INDEX(avoidedcosttbl2,ROUNDUP($H31,0),AU$2))-(INDEX(avoidedcosttbl2,ROUNDDOWN($H31,0),AU$2)))))*$O31*1000*'Inputs Yr 2'!AA31,"")</f>
        <v/>
      </c>
      <c r="AV31" s="197" t="str">
        <f>IFERROR($CR31*((INDEX(avoidedcosttbl2,$H31,AV$2))+(($H31-ROUNDDOWN($H31,0))*((INDEX(avoidedcosttbl2,ROUNDUP($H31,0),AV$2))-(INDEX(avoidedcosttbl2,ROUNDDOWN($H31,0),AV$2)))))*$O31*1000*'Inputs Yr 2'!AB31,"")</f>
        <v/>
      </c>
      <c r="AW31" s="197" t="str">
        <f>IFERROR($CS31*((INDEX(avoidedcosttbl2,$H31,AW$2))+(($H31-ROUNDDOWN($H31,0))*((INDEX(avoidedcosttbl2,ROUNDUP($H31,0),AW$2))-(INDEX(avoidedcosttbl2,ROUNDDOWN($H31,0),AW$2)))))*$O31*1000*'Inputs Yr 2'!AC31,"")</f>
        <v/>
      </c>
      <c r="AX31" s="197" t="str">
        <f>IFERROR($CT31*((INDEX(avoidedcosttbl2,$H31,AX$2))+(($H31-ROUNDDOWN($H31,0))*((INDEX(avoidedcosttbl2,ROUNDUP($H31,0),AX$2))-(INDEX(avoidedcosttbl2,ROUNDDOWN($H31,0),AX$2)))))*$O31*1000*'Inputs Yr 2'!AD31,"")</f>
        <v/>
      </c>
      <c r="AY31" s="197" t="str">
        <f>IFERROR(((INDEX(avoidedcosttbl2,$H31,AY$2))+(($H31-ROUNDDOWN($H31,0))*((INDEX(avoidedcosttbl2,ROUNDUP($H31,0),AY$2))-(INDEX(avoidedcosttbl2,ROUNDDOWN($H31,0),AY$2)))))*$O31*1000*('Inputs Yr 2'!AC31+'Inputs Yr 2'!AD31),"")</f>
        <v/>
      </c>
      <c r="AZ31" s="197" t="str">
        <f>IFERROR(((INDEX(avoidedcosttbl2,$H31,AZ$2))+(($H31-ROUNDDOWN($H31,0))*((INDEX(avoidedcosttbl2,ROUNDUP($H31,0),AZ$2))-(INDEX(avoidedcosttbl2,ROUNDDOWN($H31,0),AZ$2)))))*$O31*1000*('Inputs Yr 2'!AA31+'Inputs Yr 2'!AB31),"")</f>
        <v/>
      </c>
      <c r="BA31" s="198">
        <f t="shared" si="34"/>
        <v>0</v>
      </c>
      <c r="BB31" s="198">
        <f t="shared" si="35"/>
        <v>0</v>
      </c>
      <c r="BC31" s="195" t="str">
        <f t="shared" si="10"/>
        <v/>
      </c>
      <c r="BD31" s="195" t="str">
        <f t="shared" si="11"/>
        <v/>
      </c>
      <c r="BE31" s="195" t="str">
        <f t="shared" si="12"/>
        <v/>
      </c>
      <c r="BF31" s="195" t="str">
        <f t="shared" si="13"/>
        <v/>
      </c>
      <c r="BG31" s="195" t="str">
        <f t="shared" si="14"/>
        <v/>
      </c>
      <c r="BH31" s="196">
        <f t="shared" si="36"/>
        <v>0</v>
      </c>
      <c r="BI31" s="196">
        <f t="shared" si="37"/>
        <v>0</v>
      </c>
      <c r="BJ31" s="195" t="str">
        <f>IFERROR($G31*(IF('Inputs Yr 2'!$AJ31=BJ$4,'Inputs Yr 2'!$AK31,IF('Inputs Yr 2'!$AL31=BJ$4,'Inputs Yr 2'!$AM31,IF('Inputs Yr 2'!$AN31=BJ$4,'Inputs Yr 2'!$AO31,0))))*(INDEX(avoidedcosttbl2,$H31,BJ$2)+(($H31-ROUNDDOWN($H31,0))*(INDEX(avoidedcosttbl2,ROUNDUP($H31,0),BJ$2)-(INDEX(avoidedcosttbl2,ROUNDDOWN($H31,0),BJ$2)))))*'Inputs Yr 2'!P31*'Inputs Yr 2'!Q31*'Inputs Yr 2'!U31,"")</f>
        <v/>
      </c>
      <c r="BK31" s="195" t="str">
        <f>IFERROR($G31*(IF('Inputs Yr 2'!$AJ31=BK$4,'Inputs Yr 2'!$AK31,IF('Inputs Yr 2'!$AL31=BK$4,'Inputs Yr 2'!$AM31,IF('Inputs Yr 2'!$AN31=BK$4,'Inputs Yr 2'!$AO31,0))))*(INDEX(avoidedcosttbl2,$H31,BK$2)+(($H31-ROUNDDOWN($H31,0))*(INDEX(avoidedcosttbl2,ROUNDUP($H31,0),BK$2)-(INDEX(avoidedcosttbl2,ROUNDDOWN($H31,0),BK$2)))))*'Inputs Yr 2'!P31*'Inputs Yr 2'!Q31*'Inputs Yr 2'!U31,"")</f>
        <v/>
      </c>
      <c r="BL31" s="195" t="str">
        <f>IFERROR($G31*(IF('Inputs Yr 2'!$AJ31=BL$4,'Inputs Yr 2'!$AK31,IF('Inputs Yr 2'!$AL31=BL$4,'Inputs Yr 2'!$AM31,IF('Inputs Yr 2'!$AN31=BL$4,'Inputs Yr 2'!$AO31,0))))*(INDEX(avoidedcosttbl2,$H31,BL$2)+(($H31-ROUNDDOWN($H31,0))*(INDEX(avoidedcosttbl2,ROUNDUP($H31,0),BL$2)-(INDEX(avoidedcosttbl2,ROUNDDOWN($H31,0),BL$2)))))*'Inputs Yr 2'!P31*'Inputs Yr 2'!Q31*'Inputs Yr 2'!U31,"")</f>
        <v/>
      </c>
      <c r="BM31" s="195" t="str">
        <f>IFERROR($G31*(IF('Inputs Yr 2'!$AJ31=BM$4,'Inputs Yr 2'!$AK31,IF('Inputs Yr 2'!$AL31=BM$4,'Inputs Yr 2'!$AM31,IF('Inputs Yr 2'!$AN31=BM$4,'Inputs Yr 2'!$AO31,0))))*(INDEX(avoidedcosttbl2,$H31,BM$2)+(($H31-ROUNDDOWN($H31,0))*(INDEX(avoidedcosttbl2,ROUNDUP($H31,0),BM$2)-(INDEX(avoidedcosttbl2,ROUNDDOWN($H31,0),BM$2)))))*'Inputs Yr 2'!P31*'Inputs Yr 2'!Q31*'Inputs Yr 2'!U31,"")</f>
        <v/>
      </c>
      <c r="BN31" s="195" t="str">
        <f>IFERROR($G31*(IF('Inputs Yr 2'!$AJ31=BN$4,'Inputs Yr 2'!$AK31,IF('Inputs Yr 2'!$AL31=BN$4,'Inputs Yr 2'!$AM31,IF('Inputs Yr 2'!$AN31=BN$4,'Inputs Yr 2'!$AO31,0))))*(INDEX(avoidedcosttbl2,$H31,BN$2)+(($H31-ROUNDDOWN($H31,0))*(INDEX(avoidedcosttbl2,ROUNDUP($H31,0),BN$2)-(INDEX(avoidedcosttbl2,ROUNDDOWN($H31,0),BN$2)))))*'Inputs Yr 2'!P31*'Inputs Yr 2'!Q31*'Inputs Yr 2'!U31,"")</f>
        <v/>
      </c>
      <c r="BO31" s="195" t="str">
        <f>IFERROR($G31*(IF('Inputs Yr 2'!$AJ31=BO$4,'Inputs Yr 2'!$AK31,IF('Inputs Yr 2'!$AL31=BO$4,'Inputs Yr 2'!$AM31,IF('Inputs Yr 2'!$AN31=BO$4,'Inputs Yr 2'!$AO31,0))))*(INDEX(avoidedcosttbl2,$H31,BO$2)+(($H31-ROUNDDOWN($H31,0))*(INDEX(avoidedcosttbl2,ROUNDUP($H31,0),BO$2)-(INDEX(avoidedcosttbl2,ROUNDDOWN($H31,0),BO$2)))))*'Inputs Yr 2'!P31*'Inputs Yr 2'!Q31*'Inputs Yr 2'!U31,"")</f>
        <v/>
      </c>
      <c r="BP31" s="195" t="str">
        <f>IFERROR($G31*(IF('Inputs Yr 2'!$AJ31=BP$4,'Inputs Yr 2'!$AK31,IF('Inputs Yr 2'!$AL31=BP$4,'Inputs Yr 2'!$AM31,IF('Inputs Yr 2'!$AN31=BP$4,'Inputs Yr 2'!$AO31,0))))*(INDEX(avoidedcosttbl2,$H31,BP$2)+(($H31-ROUNDDOWN($H31,0))*(INDEX(avoidedcosttbl2,ROUNDUP($H31,0),BP$2)-(INDEX(avoidedcosttbl2,ROUNDDOWN($H31,0),BP$2)))))*'Inputs Yr 2'!P31*'Inputs Yr 2'!Q31*'Inputs Yr 2'!U31,"")</f>
        <v/>
      </c>
      <c r="BQ31" s="230">
        <f t="shared" si="38"/>
        <v>0</v>
      </c>
      <c r="BR31" s="197" t="str">
        <f t="shared" si="17"/>
        <v/>
      </c>
      <c r="BS31" s="197" t="str">
        <f>IFERROR(($G31*IF('Inputs Yr 2'!$AJ31=BM$4,'Inputs Yr 2'!$AK31,IF('Inputs Yr 2'!$AL31=BM$4,'Inputs Yr 2'!$AM31,IF('Inputs Yr 2'!$AN31=BM$4,'Inputs Yr 2'!$AO31,0))))*(INDEX(avoidedcosttbl2,$H31,BS$2)+(($H31-ROUNDDOWN($H31,0))*(INDEX(avoidedcosttbl2,ROUNDUP($H31,0),BS$2)-(INDEX(avoidedcosttbl2,ROUNDDOWN($H31,0),BS$2)))))*'Inputs Yr 2'!P31*'Inputs Yr 2'!Q31*'Inputs Yr 2'!U31,"")</f>
        <v/>
      </c>
      <c r="BT31" s="197" t="str">
        <f>IFERROR(($G31*IF('Inputs Yr 2'!$AJ31=BK$4,'Inputs Yr 2'!$AK31,IF('Inputs Yr 2'!$AL31=BK$4,'Inputs Yr 2'!$AM31,IF('Inputs Yr 2'!$AN31=BK$4,'Inputs Yr 2'!$AO31,0))))*(INDEX(avoidedcosttbl2,$H31,BT$2)+(($H31-ROUNDDOWN($H31,0))*(INDEX(avoidedcosttbl2,ROUNDUP($H31,0),BT$2)-(INDEX(avoidedcosttbl2,ROUNDDOWN($H31,0),BT$2)))))*'Inputs Yr 2'!P31*'Inputs Yr 2'!Q31*'Inputs Yr 2'!U31,"")</f>
        <v/>
      </c>
      <c r="BU31" s="197" t="str">
        <f>IFERROR(($G31*IF('Inputs Yr 2'!$AJ31=BL$4,'Inputs Yr 2'!$AK31,IF('Inputs Yr 2'!$AL31=BL$4,'Inputs Yr 2'!$AM31,IF('Inputs Yr 2'!$AN31=BL$4,'Inputs Yr 2'!$AO31,0))))*(INDEX(avoidedcosttbl2,$H31,BU$2)+(($H31-ROUNDDOWN($H31,0))*(INDEX(avoidedcosttbl2,ROUNDUP($H31,0),BU$2)-(INDEX(avoidedcosttbl2,ROUNDDOWN($H31,0),BU$2)))))*'Inputs Yr 2'!P31*'Inputs Yr 2'!Q31*'Inputs Yr 2'!U31,"")</f>
        <v/>
      </c>
      <c r="BV31" s="775" t="str">
        <f>IFERROR(($G31*IF('Inputs Yr 2'!$AJ31=BJ$4,'Inputs Yr 2'!$AK31,IF('Inputs Yr 2'!$AL31=BJ$4,'Inputs Yr 2'!$AM31,IF('Inputs Yr 2'!$AN31=BJ$4,'Inputs Yr 2'!$AO31,0))))*(INDEX(avoidedcosttbl2,$H31,BV$2)+(($H31-ROUNDDOWN($H31,0))*(INDEX(avoidedcosttbl2,ROUNDUP($H31,0),BV$2)-(INDEX(avoidedcosttbl2,ROUNDDOWN($H31,0),BV$2)))))*'Inputs Yr 2'!P31*'Inputs Yr 2'!Q31*'Inputs Yr 2'!U31,"")</f>
        <v/>
      </c>
      <c r="BW31" s="197" t="str">
        <f>IFERROR(($G31*IF('Inputs Yr 2'!$AJ31=BN$4,'Inputs Yr 2'!$AK31,IF('Inputs Yr 2'!$AL31=BN$4,'Inputs Yr 2'!$AM31,IF('Inputs Yr 2'!$AN31=BN$4,'Inputs Yr 2'!$AO31,0))))*(INDEX(avoidedcosttbl2,$H31,BW$2)+(($H31-ROUNDDOWN($H31,0))*(INDEX(avoidedcosttbl2,ROUNDUP($H31,0),BW$2)-(INDEX(avoidedcosttbl2,ROUNDDOWN($H31,0),BW$2)))))*'Inputs Yr 2'!P31*'Inputs Yr 2'!Q31*'Inputs Yr 2'!U31,"")</f>
        <v/>
      </c>
      <c r="BX31" s="197" t="str">
        <f>IFERROR(($G31*IF('Inputs Yr 2'!$AJ31=BO$4,'Inputs Yr 2'!$AK31,IF('Inputs Yr 2'!$AL31=BO$4,'Inputs Yr 2'!$AM31,IF('Inputs Yr 2'!$AN31=BO$4,'Inputs Yr 2'!$AO31,0))))*(INDEX(avoidedcosttbl2,$H31,BX$2)+(($H31-ROUNDDOWN($H31,0))*(INDEX(avoidedcosttbl2,ROUNDUP($H31,0),BX$2)-(INDEX(avoidedcosttbl2,ROUNDDOWN($H31,0),BX$2)))))*'Inputs Yr 2'!P31*'Inputs Yr 2'!Q31*'Inputs Yr 2'!U31,"")</f>
        <v/>
      </c>
      <c r="BY31" s="197" t="str">
        <f>IFERROR(($G31*IF('Inputs Yr 2'!$AJ31=BP$4,'Inputs Yr 2'!$AK31,IF('Inputs Yr 2'!$AL31=BP$4,'Inputs Yr 2'!$AM31,IF('Inputs Yr 2'!$AN31=BP$4,'Inputs Yr 2'!$AO31,0))))*(INDEX(avoidedcosttbl2,$H31,BY$2)+(($H31-ROUNDDOWN($H31,0))*(INDEX(avoidedcosttbl2,ROUNDUP($H31,0),BY$2)-(INDEX(avoidedcosttbl2,ROUNDDOWN($H31,0),BY$2)))))*'Inputs Yr 2'!P31*'Inputs Yr 2'!Q31*'Inputs Yr 2'!U31,"")</f>
        <v/>
      </c>
      <c r="BZ31" s="193">
        <f t="shared" si="39"/>
        <v>0</v>
      </c>
      <c r="CA31" s="193">
        <f t="shared" si="40"/>
        <v>0</v>
      </c>
      <c r="CB31" s="195" t="str">
        <f>IFERROR(G31*(IF('Inputs Yr 2'!$AJ31=CB$4,'Inputs Yr 2'!$AK31,IF('Inputs Yr 2'!$AL31=CB$4,'Inputs Yr 2'!$AM31,IF('Inputs Yr 2'!$AN31=CB$4,'Inputs Yr 2'!$AO31,0))))*(INDEX(avoidedcosttbl2,$H31,CB$2)+(($H31-ROUNDDOWN($H31,0))*(INDEX(avoidedcosttbl2,ROUNDUP($H31,0),CB$2)-(INDEX(avoidedcosttbl2,ROUNDDOWN($H31,0),CB$2)))))*'Inputs Yr 2'!P31*'Inputs Yr 2'!Q31*'Inputs Yr 2'!U31,"")</f>
        <v/>
      </c>
      <c r="CC31" s="195" t="str">
        <f>IFERROR(H31*(IF('Inputs Yr 2'!$AJ31=CC$4,'Inputs Yr 2'!$AK31,IF('Inputs Yr 2'!$AL31=CC$4,'Inputs Yr 2'!$AM31,IF('Inputs Yr 2'!$AN31=CC$4,'Inputs Yr 2'!$AO31,0))))*(INDEX(avoidedcosttbl2,$H31,CC$2)+(($H31-ROUNDDOWN($H31,0))*(INDEX(avoidedcosttbl2,ROUNDUP($H31,0),CC$2)-(INDEX(avoidedcosttbl2,ROUNDDOWN($H31,0),CC$2)))))*'Inputs Yr 2'!Q31*'Inputs Yr 2'!R31*'Inputs Yr 2'!V31,"")</f>
        <v/>
      </c>
      <c r="CD31" s="195" t="str">
        <f>IFERROR(I31*(IF('Inputs Yr 2'!$AJ31=CD$4,'Inputs Yr 2'!$AK31,IF('Inputs Yr 2'!$AL31=CD$4,'Inputs Yr 2'!$AM31,IF('Inputs Yr 2'!$AN31=CD$4,'Inputs Yr 2'!$AO31,0))))*(INDEX(avoidedcosttbl2,$H31,CD$2)+(($H31-ROUNDDOWN($H31,0))*(INDEX(avoidedcosttbl2,ROUNDUP($H31,0),CD$2)-(INDEX(avoidedcosttbl2,ROUNDDOWN($H31,0),CD$2)))))*'Inputs Yr 2'!R31*'Inputs Yr 2'!S31*'Inputs Yr 2'!W31,"")</f>
        <v/>
      </c>
      <c r="CE31" s="213" t="str">
        <f t="shared" si="41"/>
        <v/>
      </c>
      <c r="CF31" s="213" t="str">
        <f t="shared" si="42"/>
        <v/>
      </c>
      <c r="CG31" s="213" t="str">
        <f t="shared" si="43"/>
        <v/>
      </c>
      <c r="CH31" s="698">
        <f t="shared" si="44"/>
        <v>0</v>
      </c>
      <c r="CI31" s="79" t="str">
        <f>IFERROR(($G31*'Inputs Yr 2'!$P31*'Inputs Yr 2'!$Q31*(((INDEX(avoidedcosttbl2,$H31,CI$2)+(($H31-ROUNDDOWN($H31,0))*(INDEX(avoidedcosttbl2,ROUNDUP($H31,0),CI$2)-INDEX(avoidedcosttbl2,ROUNDDOWN($H31,0),CI$2))))*'Inputs Yr 2'!AS31))),"")</f>
        <v/>
      </c>
      <c r="CJ31" s="504" t="str">
        <f>IFERROR($G31*'Inputs Yr 2'!AT31*'Inputs Yr 2'!$P31*'Inputs Yr 2'!$Q31/((1+realdiscrt1)^-0.5),"")</f>
        <v/>
      </c>
      <c r="CK31" s="79" t="str">
        <f>IFERROR((O31*1000*(((INDEX(avoidedcosttbl2,$H31,CK$2)+(($H31-ROUNDDOWN($H31,0))*(INDEX(avoidedcosttbl2,ROUNDUP($H31,0),CK$2)-INDEX(avoidedcosttbl2,ROUNDDOWN($H31,0),CK$2))))*'Inputs Yr 2'!AU31))),"")</f>
        <v/>
      </c>
      <c r="CL31" s="504" t="str">
        <f>IFERROR(O31*1000*'Inputs Yr 2'!AV31/((1+realdiscrt1)^-0.5),"")</f>
        <v/>
      </c>
      <c r="CM31" s="79" t="str">
        <f>IFERROR((AB31*'Inputs Yr 2'!AW31*(((INDEX(avoidedcosttbl2,$H31,CM$2)+(($H31-ROUNDDOWN($H31,0))*(INDEX(avoidedcosttbl2,ROUNDUP($H31,0),CM$2)-INDEX(avoidedcosttbl2,ROUNDDOWN($H31,0),CM$2)))))))*10,"")</f>
        <v/>
      </c>
      <c r="CN31" s="504">
        <f>IFERROR(10*AB31*'Inputs Yr 2'!AX31/((1+realdiscrt1)^-0.5),"")</f>
        <v>0</v>
      </c>
      <c r="CO31" s="505">
        <f t="shared" si="45"/>
        <v>0</v>
      </c>
      <c r="CP31" s="230">
        <f t="shared" si="46"/>
        <v>0</v>
      </c>
      <c r="CQ31" s="199">
        <f>ROUND(IFERROR(IF(LEFT($A31,1)="C",'Avoided Costs'!$K$13,'Avoided Costs'!$K$12)+1,""),4)</f>
        <v>1.0720000000000001</v>
      </c>
      <c r="CR31" s="199">
        <f>ROUND(IFERROR(IF(LEFT($A31,1)="C",'Avoided Costs'!$L$13,'Avoided Costs'!$L$12)+1,""),4)</f>
        <v>1.04</v>
      </c>
      <c r="CS31" s="199">
        <f>ROUND(IFERROR(IF(LEFT($A31,1)="C",'Avoided Costs'!$M$13,'Avoided Costs'!$M$12)+1,""),4)</f>
        <v>1.0720000000000001</v>
      </c>
      <c r="CT31" s="199">
        <f>ROUND(IFERROR(IF(LEFT($A31,1)="C",'Avoided Costs'!$N$13,'Avoided Costs'!$N$12)+1,""),4)</f>
        <v>1.04</v>
      </c>
      <c r="CU31" s="199">
        <f>ROUND(IFERROR(IF(LEFT($A31,1)="C",'Avoided Costs'!$O$13,'Avoided Costs'!$O$12)+1,""),4)</f>
        <v>1.1120000000000001</v>
      </c>
      <c r="CV31" s="199">
        <f>ROUND(IFERROR(IF(LEFT($A31,1)="C",'Avoided Costs'!$P$13,'Avoided Costs'!$P$12)+1,""),4)</f>
        <v>1.095</v>
      </c>
      <c r="CW31" s="199">
        <f>ROUND(IFERROR(IF(LEFT($A31,1)="C",'Avoided Costs'!$Q$13,'Avoided Costs'!$Q$12)+1,""),4)</f>
        <v>1.1120000000000001</v>
      </c>
      <c r="CX31" s="200">
        <f>ROUND(IFERROR(IF(LEFT($A31,1)="C",'Avoided Costs'!$R$13,'Avoided Costs'!$R$12)+1,""),4)</f>
        <v>1.1120000000000001</v>
      </c>
    </row>
    <row r="32" spans="1:102" ht="12.75" customHeight="1">
      <c r="A32" s="91" t="str">
        <f>IF('Inputs Yr 2'!$B32=0,"",'Inputs Yr 2'!A32)</f>
        <v>A - Residential</v>
      </c>
      <c r="B32" s="91" t="str">
        <f>IF('Inputs Yr 2'!$B32=0,"",'Inputs Yr 2'!B32)</f>
        <v>A1 - Residential Whole House</v>
      </c>
      <c r="C32" s="91" t="str">
        <f>IF('Inputs Yr 2'!$B32=0,"",'Inputs Yr 2'!C32)</f>
        <v>A1b - Residential Multi-Family Retrofit</v>
      </c>
      <c r="D32" s="91" t="str">
        <f>IF('Inputs Yr 2'!$B32=0,"",'Inputs Yr 2'!E32)</f>
        <v>Wi-Fi Thermostat</v>
      </c>
      <c r="E32" s="93" t="str">
        <f>IF('Inputs Yr 2'!$B32=0,"",'Inputs Yr 2'!F32)</f>
        <v>G16A1b17</v>
      </c>
      <c r="F32" s="93" t="str">
        <f>IF('Inputs Yr 2'!$B32=0,"",'Inputs Yr 2'!G32)</f>
        <v>HVAC</v>
      </c>
      <c r="G32" s="95" t="str">
        <f>IF('Inputs Yr 2'!$H32&lt;&gt;0,('Inputs Yr 2'!H32),"")</f>
        <v/>
      </c>
      <c r="H32" s="94">
        <f>IFERROR('Inputs Yr 2'!I32,"")</f>
        <v>0</v>
      </c>
      <c r="I32" s="298" t="str">
        <f>IFERROR('Inputs Yr 2'!J32*'Inputs Yr 2'!P32*G32,"")</f>
        <v/>
      </c>
      <c r="J32" s="298" t="str">
        <f>IFERROR('Inputs Yr 2'!K32*G32,"")</f>
        <v/>
      </c>
      <c r="K32" s="298" t="str">
        <f t="shared" si="23"/>
        <v/>
      </c>
      <c r="L32" s="194" t="str">
        <f>IFERROR(('Inputs Yr 2'!W32*G32)/1000,"")</f>
        <v/>
      </c>
      <c r="M32" s="194" t="str">
        <f>IFERROR(L32*('Inputs Yr 2'!$Q32*'Inputs Yr 2'!$V32*'Inputs Yr 2'!$R32),"")</f>
        <v/>
      </c>
      <c r="N32" s="194" t="str">
        <f t="shared" si="24"/>
        <v/>
      </c>
      <c r="O32" s="194" t="str">
        <f>IFERROR(M32*'Inputs Yr 2'!P32,"")</f>
        <v/>
      </c>
      <c r="P32" s="194" t="str">
        <f t="shared" si="25"/>
        <v/>
      </c>
      <c r="Q32" s="194" t="str">
        <f>IFERROR($P32*'Inputs Yr 2'!AA32,"")</f>
        <v/>
      </c>
      <c r="R32" s="194" t="str">
        <f>IFERROR($P32*'Inputs Yr 2'!AB32,"")</f>
        <v/>
      </c>
      <c r="S32" s="194" t="str">
        <f>IFERROR($P32*'Inputs Yr 2'!AC32,"")</f>
        <v/>
      </c>
      <c r="T32" s="194" t="str">
        <f>IFERROR($P32*'Inputs Yr 2'!AD32,"")</f>
        <v/>
      </c>
      <c r="U32" s="194" t="str">
        <f>IFERROR(G32*'Inputs Yr 2'!$AE32*'Inputs Yr 2'!$P32*'Inputs Yr 2'!$Q32,"")</f>
        <v/>
      </c>
      <c r="V32" s="194" t="str">
        <f>IFERROR($G32*'Inputs Yr 2'!$AE32*'Inputs Yr 2'!$AG32*'Inputs Yr 2'!Q32*'Inputs Yr 2'!$S32,"")</f>
        <v/>
      </c>
      <c r="W32" s="194" t="str">
        <f>IFERROR($G32*'Inputs Yr 2'!$AE32*'Inputs Yr 2'!$AG32*'Inputs Yr 2'!P32*'Inputs Yr 2'!Q32*'Inputs Yr 2'!$S32,"")</f>
        <v/>
      </c>
      <c r="X32" s="194" t="str">
        <f>IFERROR($G32*'Inputs Yr 2'!$AE32*'Inputs Yr 2'!$AF32*'Inputs Yr 2'!Q32*'Inputs Yr 2'!$T32,"")</f>
        <v/>
      </c>
      <c r="Y32" s="194" t="str">
        <f>IFERROR($G32*'Inputs Yr 2'!$AE32*'Inputs Yr 2'!$AF32*'Inputs Yr 2'!P32*'Inputs Yr 2'!Q32*'Inputs Yr 2'!$T32,"")</f>
        <v/>
      </c>
      <c r="Z32" s="257">
        <f>IFERROR($G32*'Inputs Yr 2'!$Q32*'Inputs Yr 2'!$U32*(IF(IFERROR(SEARCH("NG", 'Inputs Yr 2'!$AJ32),0),'Inputs Yr 2'!$AK32,0)+IF(IFERROR(SEARCH("NG", 'Inputs Yr 2'!$AL32),0),'Inputs Yr 2'!$AM32,0)+IF(IFERROR(SEARCH("NG", 'Inputs Yr 2'!$AN32),0),'Inputs Yr 2'!$AO32,0)),0)</f>
        <v>0</v>
      </c>
      <c r="AA32" s="257">
        <f t="shared" si="26"/>
        <v>0</v>
      </c>
      <c r="AB32" s="257">
        <f>IFERROR(Z32*'Inputs Yr 2'!$P32,0)</f>
        <v>0</v>
      </c>
      <c r="AC32" s="257">
        <f t="shared" si="27"/>
        <v>0</v>
      </c>
      <c r="AD32" s="257">
        <f>IFERROR($G32*'Inputs Yr 2'!$Q32*'Inputs Yr 2'!$U32*(IF(IFERROR(SEARCH("Oil", 'Inputs Yr 2'!$AJ32), 0),'Inputs Yr 2'!$AK32,0)+IF(IFERROR(SEARCH("Oil", 'Inputs Yr 2'!$AL32), 0),'Inputs Yr 2'!$AM32,0)+IF(IFERROR(SEARCH("Oil", 'Inputs Yr 2'!$AN32), 0),'Inputs Yr 2'!$AO32,0)),0)</f>
        <v>0</v>
      </c>
      <c r="AE32" s="257">
        <f t="shared" si="28"/>
        <v>0</v>
      </c>
      <c r="AF32" s="257">
        <f>IFERROR(AD32*'Inputs Yr 2'!$P32,0)</f>
        <v>0</v>
      </c>
      <c r="AG32" s="257">
        <f t="shared" si="29"/>
        <v>0</v>
      </c>
      <c r="AH32" s="257">
        <f>IFERROR($G32*'Inputs Yr 2'!$Q32*'Inputs Yr 2'!$U32*(IF('Inputs Yr 2'!$AJ32=CD$4,'Inputs Yr 2'!$AK32,IF('Inputs Yr 2'!$AL32=CD$4,'Inputs Yr 2'!$AM32,IF('Inputs Yr 2'!$AN32=CD$4,'Inputs Yr 2'!$AO32,0)))),0)</f>
        <v>0</v>
      </c>
      <c r="AI32" s="257">
        <f t="shared" si="30"/>
        <v>0</v>
      </c>
      <c r="AJ32" s="257">
        <f>IFERROR(AH32*'Inputs Yr 2'!$P32,0)</f>
        <v>0</v>
      </c>
      <c r="AK32" s="257">
        <f t="shared" si="31"/>
        <v>0</v>
      </c>
      <c r="AL32" s="258">
        <f>IFERROR($G32*'Inputs Yr 2'!$P32*'Inputs Yr 2'!$Q32*'Inputs Yr 2'!AP32,0)</f>
        <v>0</v>
      </c>
      <c r="AM32" s="260">
        <f>IFERROR($G32*'Inputs Yr 2'!$P32*'Inputs Yr 2'!$Q32*'Inputs Yr 2'!AQ32,0)</f>
        <v>0</v>
      </c>
      <c r="AN32" s="258">
        <f>IFERROR($G32*'Inputs Yr 2'!$P32*'Inputs Yr 2'!$Q32*'Inputs Yr 2'!AR32,0)</f>
        <v>0</v>
      </c>
      <c r="AO32" s="257">
        <f t="shared" si="32"/>
        <v>0</v>
      </c>
      <c r="AP32" s="195" t="str">
        <f>IFERROR($CQ32*(INDEX(avoidedcosttbl2,$H32,AP$2)+(($H32-ROUNDDOWN($H32,0))*(INDEX(avoidedcosttbl2,ROUNDUP($H32,0),AP$2)-(INDEX(avoidedcosttbl2,ROUNDDOWN($H32,0),AP$2)))))*$O32*1000*'Inputs Yr 2'!AA32,"")</f>
        <v/>
      </c>
      <c r="AQ32" s="195" t="str">
        <f>IFERROR($CR32*(INDEX(avoidedcosttbl2,$H32,AQ$2)+(($H32-ROUNDDOWN($H32,0))*(INDEX(avoidedcosttbl2,ROUNDUP($H32,0),AQ$2)-(INDEX(avoidedcosttbl2,ROUNDDOWN($H32,0),AQ$2)))))*$O32*1000*'Inputs Yr 2'!AB32,"")</f>
        <v/>
      </c>
      <c r="AR32" s="195" t="str">
        <f>IFERROR($CS32*(INDEX(avoidedcosttbl2,$H32,AR$2)+(($H32-ROUNDDOWN($H32,0))*(INDEX(avoidedcosttbl2,ROUNDUP($H32,0),AR$2)-(INDEX(avoidedcosttbl2,ROUNDDOWN($H32,0),AR$2)))))*$O32*1000*'Inputs Yr 2'!AC32,"")</f>
        <v/>
      </c>
      <c r="AS32" s="195" t="str">
        <f>IFERROR($CT32*(INDEX(avoidedcosttbl2,$H32,AS$2)+(($H32-ROUNDDOWN($H32,0))*(INDEX(avoidedcosttbl2,ROUNDUP($H32,0),AS$2)-(INDEX(avoidedcosttbl2,ROUNDDOWN($H32,0),AS$2)))))*$O32*1000*'Inputs Yr 2'!AD32,"")</f>
        <v/>
      </c>
      <c r="AT32" s="196">
        <f t="shared" si="33"/>
        <v>0</v>
      </c>
      <c r="AU32" s="197" t="str">
        <f>IFERROR($CQ32*((INDEX(avoidedcosttbl2,$H32,AU$2))+(($H32-ROUNDDOWN($H32,0))*((INDEX(avoidedcosttbl2,ROUNDUP($H32,0),AU$2))-(INDEX(avoidedcosttbl2,ROUNDDOWN($H32,0),AU$2)))))*$O32*1000*'Inputs Yr 2'!AA32,"")</f>
        <v/>
      </c>
      <c r="AV32" s="197" t="str">
        <f>IFERROR($CR32*((INDEX(avoidedcosttbl2,$H32,AV$2))+(($H32-ROUNDDOWN($H32,0))*((INDEX(avoidedcosttbl2,ROUNDUP($H32,0),AV$2))-(INDEX(avoidedcosttbl2,ROUNDDOWN($H32,0),AV$2)))))*$O32*1000*'Inputs Yr 2'!AB32,"")</f>
        <v/>
      </c>
      <c r="AW32" s="197" t="str">
        <f>IFERROR($CS32*((INDEX(avoidedcosttbl2,$H32,AW$2))+(($H32-ROUNDDOWN($H32,0))*((INDEX(avoidedcosttbl2,ROUNDUP($H32,0),AW$2))-(INDEX(avoidedcosttbl2,ROUNDDOWN($H32,0),AW$2)))))*$O32*1000*'Inputs Yr 2'!AC32,"")</f>
        <v/>
      </c>
      <c r="AX32" s="197" t="str">
        <f>IFERROR($CT32*((INDEX(avoidedcosttbl2,$H32,AX$2))+(($H32-ROUNDDOWN($H32,0))*((INDEX(avoidedcosttbl2,ROUNDUP($H32,0),AX$2))-(INDEX(avoidedcosttbl2,ROUNDDOWN($H32,0),AX$2)))))*$O32*1000*'Inputs Yr 2'!AD32,"")</f>
        <v/>
      </c>
      <c r="AY32" s="197" t="str">
        <f>IFERROR(((INDEX(avoidedcosttbl2,$H32,AY$2))+(($H32-ROUNDDOWN($H32,0))*((INDEX(avoidedcosttbl2,ROUNDUP($H32,0),AY$2))-(INDEX(avoidedcosttbl2,ROUNDDOWN($H32,0),AY$2)))))*$O32*1000*('Inputs Yr 2'!AC32+'Inputs Yr 2'!AD32),"")</f>
        <v/>
      </c>
      <c r="AZ32" s="197" t="str">
        <f>IFERROR(((INDEX(avoidedcosttbl2,$H32,AZ$2))+(($H32-ROUNDDOWN($H32,0))*((INDEX(avoidedcosttbl2,ROUNDUP($H32,0),AZ$2))-(INDEX(avoidedcosttbl2,ROUNDDOWN($H32,0),AZ$2)))))*$O32*1000*('Inputs Yr 2'!AA32+'Inputs Yr 2'!AB32),"")</f>
        <v/>
      </c>
      <c r="BA32" s="198">
        <f t="shared" si="34"/>
        <v>0</v>
      </c>
      <c r="BB32" s="198">
        <f t="shared" si="35"/>
        <v>0</v>
      </c>
      <c r="BC32" s="195" t="str">
        <f t="shared" si="10"/>
        <v/>
      </c>
      <c r="BD32" s="195" t="str">
        <f t="shared" si="11"/>
        <v/>
      </c>
      <c r="BE32" s="195" t="str">
        <f t="shared" si="12"/>
        <v/>
      </c>
      <c r="BF32" s="195" t="str">
        <f t="shared" si="13"/>
        <v/>
      </c>
      <c r="BG32" s="195" t="str">
        <f t="shared" si="14"/>
        <v/>
      </c>
      <c r="BH32" s="196">
        <f t="shared" si="36"/>
        <v>0</v>
      </c>
      <c r="BI32" s="196">
        <f t="shared" si="37"/>
        <v>0</v>
      </c>
      <c r="BJ32" s="195" t="str">
        <f>IFERROR($G32*(IF('Inputs Yr 2'!$AJ32=BJ$4,'Inputs Yr 2'!$AK32,IF('Inputs Yr 2'!$AL32=BJ$4,'Inputs Yr 2'!$AM32,IF('Inputs Yr 2'!$AN32=BJ$4,'Inputs Yr 2'!$AO32,0))))*(INDEX(avoidedcosttbl2,$H32,BJ$2)+(($H32-ROUNDDOWN($H32,0))*(INDEX(avoidedcosttbl2,ROUNDUP($H32,0),BJ$2)-(INDEX(avoidedcosttbl2,ROUNDDOWN($H32,0),BJ$2)))))*'Inputs Yr 2'!P32*'Inputs Yr 2'!Q32*'Inputs Yr 2'!U32,"")</f>
        <v/>
      </c>
      <c r="BK32" s="195" t="str">
        <f>IFERROR($G32*(IF('Inputs Yr 2'!$AJ32=BK$4,'Inputs Yr 2'!$AK32,IF('Inputs Yr 2'!$AL32=BK$4,'Inputs Yr 2'!$AM32,IF('Inputs Yr 2'!$AN32=BK$4,'Inputs Yr 2'!$AO32,0))))*(INDEX(avoidedcosttbl2,$H32,BK$2)+(($H32-ROUNDDOWN($H32,0))*(INDEX(avoidedcosttbl2,ROUNDUP($H32,0),BK$2)-(INDEX(avoidedcosttbl2,ROUNDDOWN($H32,0),BK$2)))))*'Inputs Yr 2'!P32*'Inputs Yr 2'!Q32*'Inputs Yr 2'!U32,"")</f>
        <v/>
      </c>
      <c r="BL32" s="195" t="str">
        <f>IFERROR($G32*(IF('Inputs Yr 2'!$AJ32=BL$4,'Inputs Yr 2'!$AK32,IF('Inputs Yr 2'!$AL32=BL$4,'Inputs Yr 2'!$AM32,IF('Inputs Yr 2'!$AN32=BL$4,'Inputs Yr 2'!$AO32,0))))*(INDEX(avoidedcosttbl2,$H32,BL$2)+(($H32-ROUNDDOWN($H32,0))*(INDEX(avoidedcosttbl2,ROUNDUP($H32,0),BL$2)-(INDEX(avoidedcosttbl2,ROUNDDOWN($H32,0),BL$2)))))*'Inputs Yr 2'!P32*'Inputs Yr 2'!Q32*'Inputs Yr 2'!U32,"")</f>
        <v/>
      </c>
      <c r="BM32" s="195" t="str">
        <f>IFERROR($G32*(IF('Inputs Yr 2'!$AJ32=BM$4,'Inputs Yr 2'!$AK32,IF('Inputs Yr 2'!$AL32=BM$4,'Inputs Yr 2'!$AM32,IF('Inputs Yr 2'!$AN32=BM$4,'Inputs Yr 2'!$AO32,0))))*(INDEX(avoidedcosttbl2,$H32,BM$2)+(($H32-ROUNDDOWN($H32,0))*(INDEX(avoidedcosttbl2,ROUNDUP($H32,0),BM$2)-(INDEX(avoidedcosttbl2,ROUNDDOWN($H32,0),BM$2)))))*'Inputs Yr 2'!P32*'Inputs Yr 2'!Q32*'Inputs Yr 2'!U32,"")</f>
        <v/>
      </c>
      <c r="BN32" s="195" t="str">
        <f>IFERROR($G32*(IF('Inputs Yr 2'!$AJ32=BN$4,'Inputs Yr 2'!$AK32,IF('Inputs Yr 2'!$AL32=BN$4,'Inputs Yr 2'!$AM32,IF('Inputs Yr 2'!$AN32=BN$4,'Inputs Yr 2'!$AO32,0))))*(INDEX(avoidedcosttbl2,$H32,BN$2)+(($H32-ROUNDDOWN($H32,0))*(INDEX(avoidedcosttbl2,ROUNDUP($H32,0),BN$2)-(INDEX(avoidedcosttbl2,ROUNDDOWN($H32,0),BN$2)))))*'Inputs Yr 2'!P32*'Inputs Yr 2'!Q32*'Inputs Yr 2'!U32,"")</f>
        <v/>
      </c>
      <c r="BO32" s="195" t="str">
        <f>IFERROR($G32*(IF('Inputs Yr 2'!$AJ32=BO$4,'Inputs Yr 2'!$AK32,IF('Inputs Yr 2'!$AL32=BO$4,'Inputs Yr 2'!$AM32,IF('Inputs Yr 2'!$AN32=BO$4,'Inputs Yr 2'!$AO32,0))))*(INDEX(avoidedcosttbl2,$H32,BO$2)+(($H32-ROUNDDOWN($H32,0))*(INDEX(avoidedcosttbl2,ROUNDUP($H32,0),BO$2)-(INDEX(avoidedcosttbl2,ROUNDDOWN($H32,0),BO$2)))))*'Inputs Yr 2'!P32*'Inputs Yr 2'!Q32*'Inputs Yr 2'!U32,"")</f>
        <v/>
      </c>
      <c r="BP32" s="195" t="str">
        <f>IFERROR($G32*(IF('Inputs Yr 2'!$AJ32=BP$4,'Inputs Yr 2'!$AK32,IF('Inputs Yr 2'!$AL32=BP$4,'Inputs Yr 2'!$AM32,IF('Inputs Yr 2'!$AN32=BP$4,'Inputs Yr 2'!$AO32,0))))*(INDEX(avoidedcosttbl2,$H32,BP$2)+(($H32-ROUNDDOWN($H32,0))*(INDEX(avoidedcosttbl2,ROUNDUP($H32,0),BP$2)-(INDEX(avoidedcosttbl2,ROUNDDOWN($H32,0),BP$2)))))*'Inputs Yr 2'!P32*'Inputs Yr 2'!Q32*'Inputs Yr 2'!U32,"")</f>
        <v/>
      </c>
      <c r="BQ32" s="230">
        <f t="shared" si="38"/>
        <v>0</v>
      </c>
      <c r="BR32" s="197" t="str">
        <f t="shared" si="17"/>
        <v/>
      </c>
      <c r="BS32" s="197" t="str">
        <f>IFERROR(($G32*IF('Inputs Yr 2'!$AJ32=BM$4,'Inputs Yr 2'!$AK32,IF('Inputs Yr 2'!$AL32=BM$4,'Inputs Yr 2'!$AM32,IF('Inputs Yr 2'!$AN32=BM$4,'Inputs Yr 2'!$AO32,0))))*(INDEX(avoidedcosttbl2,$H32,BS$2)+(($H32-ROUNDDOWN($H32,0))*(INDEX(avoidedcosttbl2,ROUNDUP($H32,0),BS$2)-(INDEX(avoidedcosttbl2,ROUNDDOWN($H32,0),BS$2)))))*'Inputs Yr 2'!P32*'Inputs Yr 2'!Q32*'Inputs Yr 2'!U32,"")</f>
        <v/>
      </c>
      <c r="BT32" s="197" t="str">
        <f>IFERROR(($G32*IF('Inputs Yr 2'!$AJ32=BK$4,'Inputs Yr 2'!$AK32,IF('Inputs Yr 2'!$AL32=BK$4,'Inputs Yr 2'!$AM32,IF('Inputs Yr 2'!$AN32=BK$4,'Inputs Yr 2'!$AO32,0))))*(INDEX(avoidedcosttbl2,$H32,BT$2)+(($H32-ROUNDDOWN($H32,0))*(INDEX(avoidedcosttbl2,ROUNDUP($H32,0),BT$2)-(INDEX(avoidedcosttbl2,ROUNDDOWN($H32,0),BT$2)))))*'Inputs Yr 2'!P32*'Inputs Yr 2'!Q32*'Inputs Yr 2'!U32,"")</f>
        <v/>
      </c>
      <c r="BU32" s="197" t="str">
        <f>IFERROR(($G32*IF('Inputs Yr 2'!$AJ32=BL$4,'Inputs Yr 2'!$AK32,IF('Inputs Yr 2'!$AL32=BL$4,'Inputs Yr 2'!$AM32,IF('Inputs Yr 2'!$AN32=BL$4,'Inputs Yr 2'!$AO32,0))))*(INDEX(avoidedcosttbl2,$H32,BU$2)+(($H32-ROUNDDOWN($H32,0))*(INDEX(avoidedcosttbl2,ROUNDUP($H32,0),BU$2)-(INDEX(avoidedcosttbl2,ROUNDDOWN($H32,0),BU$2)))))*'Inputs Yr 2'!P32*'Inputs Yr 2'!Q32*'Inputs Yr 2'!U32,"")</f>
        <v/>
      </c>
      <c r="BV32" s="775" t="str">
        <f>IFERROR(($G32*IF('Inputs Yr 2'!$AJ32=BJ$4,'Inputs Yr 2'!$AK32,IF('Inputs Yr 2'!$AL32=BJ$4,'Inputs Yr 2'!$AM32,IF('Inputs Yr 2'!$AN32=BJ$4,'Inputs Yr 2'!$AO32,0))))*(INDEX(avoidedcosttbl2,$H32,BV$2)+(($H32-ROUNDDOWN($H32,0))*(INDEX(avoidedcosttbl2,ROUNDUP($H32,0),BV$2)-(INDEX(avoidedcosttbl2,ROUNDDOWN($H32,0),BV$2)))))*'Inputs Yr 2'!P32*'Inputs Yr 2'!Q32*'Inputs Yr 2'!U32,"")</f>
        <v/>
      </c>
      <c r="BW32" s="197" t="str">
        <f>IFERROR(($G32*IF('Inputs Yr 2'!$AJ32=BN$4,'Inputs Yr 2'!$AK32,IF('Inputs Yr 2'!$AL32=BN$4,'Inputs Yr 2'!$AM32,IF('Inputs Yr 2'!$AN32=BN$4,'Inputs Yr 2'!$AO32,0))))*(INDEX(avoidedcosttbl2,$H32,BW$2)+(($H32-ROUNDDOWN($H32,0))*(INDEX(avoidedcosttbl2,ROUNDUP($H32,0),BW$2)-(INDEX(avoidedcosttbl2,ROUNDDOWN($H32,0),BW$2)))))*'Inputs Yr 2'!P32*'Inputs Yr 2'!Q32*'Inputs Yr 2'!U32,"")</f>
        <v/>
      </c>
      <c r="BX32" s="197" t="str">
        <f>IFERROR(($G32*IF('Inputs Yr 2'!$AJ32=BO$4,'Inputs Yr 2'!$AK32,IF('Inputs Yr 2'!$AL32=BO$4,'Inputs Yr 2'!$AM32,IF('Inputs Yr 2'!$AN32=BO$4,'Inputs Yr 2'!$AO32,0))))*(INDEX(avoidedcosttbl2,$H32,BX$2)+(($H32-ROUNDDOWN($H32,0))*(INDEX(avoidedcosttbl2,ROUNDUP($H32,0),BX$2)-(INDEX(avoidedcosttbl2,ROUNDDOWN($H32,0),BX$2)))))*'Inputs Yr 2'!P32*'Inputs Yr 2'!Q32*'Inputs Yr 2'!U32,"")</f>
        <v/>
      </c>
      <c r="BY32" s="197" t="str">
        <f>IFERROR(($G32*IF('Inputs Yr 2'!$AJ32=BP$4,'Inputs Yr 2'!$AK32,IF('Inputs Yr 2'!$AL32=BP$4,'Inputs Yr 2'!$AM32,IF('Inputs Yr 2'!$AN32=BP$4,'Inputs Yr 2'!$AO32,0))))*(INDEX(avoidedcosttbl2,$H32,BY$2)+(($H32-ROUNDDOWN($H32,0))*(INDEX(avoidedcosttbl2,ROUNDUP($H32,0),BY$2)-(INDEX(avoidedcosttbl2,ROUNDDOWN($H32,0),BY$2)))))*'Inputs Yr 2'!P32*'Inputs Yr 2'!Q32*'Inputs Yr 2'!U32,"")</f>
        <v/>
      </c>
      <c r="BZ32" s="193">
        <f t="shared" si="39"/>
        <v>0</v>
      </c>
      <c r="CA32" s="193">
        <f t="shared" si="40"/>
        <v>0</v>
      </c>
      <c r="CB32" s="195" t="str">
        <f>IFERROR(G32*(IF('Inputs Yr 2'!$AJ32=CB$4,'Inputs Yr 2'!$AK32,IF('Inputs Yr 2'!$AL32=CB$4,'Inputs Yr 2'!$AM32,IF('Inputs Yr 2'!$AN32=CB$4,'Inputs Yr 2'!$AO32,0))))*(INDEX(avoidedcosttbl2,$H32,CB$2)+(($H32-ROUNDDOWN($H32,0))*(INDEX(avoidedcosttbl2,ROUNDUP($H32,0),CB$2)-(INDEX(avoidedcosttbl2,ROUNDDOWN($H32,0),CB$2)))))*'Inputs Yr 2'!P32*'Inputs Yr 2'!Q32*'Inputs Yr 2'!U32,"")</f>
        <v/>
      </c>
      <c r="CC32" s="195" t="str">
        <f>IFERROR(H32*(IF('Inputs Yr 2'!$AJ32=CC$4,'Inputs Yr 2'!$AK32,IF('Inputs Yr 2'!$AL32=CC$4,'Inputs Yr 2'!$AM32,IF('Inputs Yr 2'!$AN32=CC$4,'Inputs Yr 2'!$AO32,0))))*(INDEX(avoidedcosttbl2,$H32,CC$2)+(($H32-ROUNDDOWN($H32,0))*(INDEX(avoidedcosttbl2,ROUNDUP($H32,0),CC$2)-(INDEX(avoidedcosttbl2,ROUNDDOWN($H32,0),CC$2)))))*'Inputs Yr 2'!Q32*'Inputs Yr 2'!R32*'Inputs Yr 2'!V32,"")</f>
        <v/>
      </c>
      <c r="CD32" s="195" t="str">
        <f>IFERROR(I32*(IF('Inputs Yr 2'!$AJ32=CD$4,'Inputs Yr 2'!$AK32,IF('Inputs Yr 2'!$AL32=CD$4,'Inputs Yr 2'!$AM32,IF('Inputs Yr 2'!$AN32=CD$4,'Inputs Yr 2'!$AO32,0))))*(INDEX(avoidedcosttbl2,$H32,CD$2)+(($H32-ROUNDDOWN($H32,0))*(INDEX(avoidedcosttbl2,ROUNDUP($H32,0),CD$2)-(INDEX(avoidedcosttbl2,ROUNDDOWN($H32,0),CD$2)))))*'Inputs Yr 2'!R32*'Inputs Yr 2'!S32*'Inputs Yr 2'!W32,"")</f>
        <v/>
      </c>
      <c r="CE32" s="213" t="str">
        <f t="shared" si="41"/>
        <v/>
      </c>
      <c r="CF32" s="213" t="str">
        <f t="shared" si="42"/>
        <v/>
      </c>
      <c r="CG32" s="213" t="str">
        <f t="shared" si="43"/>
        <v/>
      </c>
      <c r="CH32" s="698">
        <f t="shared" si="44"/>
        <v>0</v>
      </c>
      <c r="CI32" s="79" t="str">
        <f>IFERROR(($G32*'Inputs Yr 2'!$P32*'Inputs Yr 2'!$Q32*(((INDEX(avoidedcosttbl2,$H32,CI$2)+(($H32-ROUNDDOWN($H32,0))*(INDEX(avoidedcosttbl2,ROUNDUP($H32,0),CI$2)-INDEX(avoidedcosttbl2,ROUNDDOWN($H32,0),CI$2))))*'Inputs Yr 2'!AS32))),"")</f>
        <v/>
      </c>
      <c r="CJ32" s="504" t="str">
        <f>IFERROR($G32*'Inputs Yr 2'!AT32*'Inputs Yr 2'!$P32*'Inputs Yr 2'!$Q32/((1+realdiscrt1)^-0.5),"")</f>
        <v/>
      </c>
      <c r="CK32" s="79" t="str">
        <f>IFERROR((O32*1000*(((INDEX(avoidedcosttbl2,$H32,CK$2)+(($H32-ROUNDDOWN($H32,0))*(INDEX(avoidedcosttbl2,ROUNDUP($H32,0),CK$2)-INDEX(avoidedcosttbl2,ROUNDDOWN($H32,0),CK$2))))*'Inputs Yr 2'!AU32))),"")</f>
        <v/>
      </c>
      <c r="CL32" s="504" t="str">
        <f>IFERROR(O32*1000*'Inputs Yr 2'!AV32/((1+realdiscrt1)^-0.5),"")</f>
        <v/>
      </c>
      <c r="CM32" s="79" t="str">
        <f>IFERROR((AB32*'Inputs Yr 2'!AW32*(((INDEX(avoidedcosttbl2,$H32,CM$2)+(($H32-ROUNDDOWN($H32,0))*(INDEX(avoidedcosttbl2,ROUNDUP($H32,0),CM$2)-INDEX(avoidedcosttbl2,ROUNDDOWN($H32,0),CM$2)))))))*10,"")</f>
        <v/>
      </c>
      <c r="CN32" s="504">
        <f>IFERROR(10*AB32*'Inputs Yr 2'!AX32/((1+realdiscrt1)^-0.5),"")</f>
        <v>0</v>
      </c>
      <c r="CO32" s="505">
        <f t="shared" si="45"/>
        <v>0</v>
      </c>
      <c r="CP32" s="230">
        <f t="shared" si="46"/>
        <v>0</v>
      </c>
      <c r="CQ32" s="199">
        <f>ROUND(IFERROR(IF(LEFT($A32,1)="C",'Avoided Costs'!$K$13,'Avoided Costs'!$K$12)+1,""),4)</f>
        <v>1.0720000000000001</v>
      </c>
      <c r="CR32" s="199">
        <f>ROUND(IFERROR(IF(LEFT($A32,1)="C",'Avoided Costs'!$L$13,'Avoided Costs'!$L$12)+1,""),4)</f>
        <v>1.04</v>
      </c>
      <c r="CS32" s="199">
        <f>ROUND(IFERROR(IF(LEFT($A32,1)="C",'Avoided Costs'!$M$13,'Avoided Costs'!$M$12)+1,""),4)</f>
        <v>1.0720000000000001</v>
      </c>
      <c r="CT32" s="199">
        <f>ROUND(IFERROR(IF(LEFT($A32,1)="C",'Avoided Costs'!$N$13,'Avoided Costs'!$N$12)+1,""),4)</f>
        <v>1.04</v>
      </c>
      <c r="CU32" s="199">
        <f>ROUND(IFERROR(IF(LEFT($A32,1)="C",'Avoided Costs'!$O$13,'Avoided Costs'!$O$12)+1,""),4)</f>
        <v>1.1120000000000001</v>
      </c>
      <c r="CV32" s="199">
        <f>ROUND(IFERROR(IF(LEFT($A32,1)="C",'Avoided Costs'!$P$13,'Avoided Costs'!$P$12)+1,""),4)</f>
        <v>1.095</v>
      </c>
      <c r="CW32" s="199">
        <f>ROUND(IFERROR(IF(LEFT($A32,1)="C",'Avoided Costs'!$Q$13,'Avoided Costs'!$Q$12)+1,""),4)</f>
        <v>1.1120000000000001</v>
      </c>
      <c r="CX32" s="200">
        <f>ROUND(IFERROR(IF(LEFT($A32,1)="C",'Avoided Costs'!$R$13,'Avoided Costs'!$R$12)+1,""),4)</f>
        <v>1.1120000000000001</v>
      </c>
    </row>
    <row r="33" spans="1:102" ht="12.75" customHeight="1">
      <c r="A33" s="91" t="str">
        <f>IF('Inputs Yr 2'!$B33=0,"",'Inputs Yr 2'!A33)</f>
        <v>A - Residential</v>
      </c>
      <c r="B33" s="91" t="str">
        <f>IF('Inputs Yr 2'!$B33=0,"",'Inputs Yr 2'!B33)</f>
        <v>A1 - Residential Whole House</v>
      </c>
      <c r="C33" s="91" t="str">
        <f>IF('Inputs Yr 2'!$B33=0,"",'Inputs Yr 2'!C33)</f>
        <v>A1b - Residential Multi-Family Retrofit</v>
      </c>
      <c r="D33" s="91" t="str">
        <f>IF('Inputs Yr 2'!$B33=0,"",'Inputs Yr 2'!E33)</f>
        <v>Wi-Fi Thermostat (also controls elec cooling)</v>
      </c>
      <c r="E33" s="93" t="str">
        <f>IF('Inputs Yr 2'!$B33=0,"",'Inputs Yr 2'!F33)</f>
        <v>G16A1b18</v>
      </c>
      <c r="F33" s="93" t="str">
        <f>IF('Inputs Yr 2'!$B33=0,"",'Inputs Yr 2'!G33)</f>
        <v>HVAC</v>
      </c>
      <c r="G33" s="95">
        <f>IF('Inputs Yr 2'!$H33&lt;&gt;0,('Inputs Yr 2'!H33),"")</f>
        <v>1</v>
      </c>
      <c r="H33" s="94">
        <f>IFERROR('Inputs Yr 2'!I33,"")</f>
        <v>15</v>
      </c>
      <c r="I33" s="298">
        <f>IFERROR('Inputs Yr 2'!J33*'Inputs Yr 2'!P33*G33,"")</f>
        <v>300</v>
      </c>
      <c r="J33" s="298">
        <f>IFERROR('Inputs Yr 2'!K33*G33,"")</f>
        <v>300</v>
      </c>
      <c r="K33" s="298">
        <f t="shared" si="23"/>
        <v>0</v>
      </c>
      <c r="L33" s="194">
        <f>IFERROR(('Inputs Yr 2'!W33*G33)/1000,"")</f>
        <v>7.4799999999999991E-2</v>
      </c>
      <c r="M33" s="194">
        <f>IFERROR(L33*('Inputs Yr 2'!$Q33*'Inputs Yr 2'!$V33*'Inputs Yr 2'!$R33),"")</f>
        <v>7.4799999999999991E-2</v>
      </c>
      <c r="N33" s="194">
        <f t="shared" si="24"/>
        <v>1.1219999999999999</v>
      </c>
      <c r="O33" s="194">
        <f>IFERROR(M33*'Inputs Yr 2'!P33,"")</f>
        <v>7.4799999999999991E-2</v>
      </c>
      <c r="P33" s="194">
        <f t="shared" si="25"/>
        <v>1.1219999999999999</v>
      </c>
      <c r="Q33" s="194">
        <f>IFERROR($P33*'Inputs Yr 2'!AA33,"")</f>
        <v>1.1219999999999999E-2</v>
      </c>
      <c r="R33" s="194">
        <f>IFERROR($P33*'Inputs Yr 2'!AB33,"")</f>
        <v>4.4879999999999996E-2</v>
      </c>
      <c r="S33" s="194">
        <f>IFERROR($P33*'Inputs Yr 2'!AC33,"")</f>
        <v>0.59465999999999997</v>
      </c>
      <c r="T33" s="194">
        <f>IFERROR($P33*'Inputs Yr 2'!AD33,"")</f>
        <v>0.47123999999999994</v>
      </c>
      <c r="U33" s="194">
        <f>IFERROR(G33*'Inputs Yr 2'!$AE33*'Inputs Yr 2'!$P33*'Inputs Yr 2'!$Q33,"")</f>
        <v>0.155</v>
      </c>
      <c r="V33" s="194">
        <f>IFERROR($G33*'Inputs Yr 2'!$AE33*'Inputs Yr 2'!$AG33*'Inputs Yr 2'!Q33*'Inputs Yr 2'!$S33,"")</f>
        <v>0</v>
      </c>
      <c r="W33" s="194">
        <f>IFERROR($G33*'Inputs Yr 2'!$AE33*'Inputs Yr 2'!$AG33*'Inputs Yr 2'!P33*'Inputs Yr 2'!Q33*'Inputs Yr 2'!$S33,"")</f>
        <v>0</v>
      </c>
      <c r="X33" s="194">
        <f>IFERROR($G33*'Inputs Yr 2'!$AE33*'Inputs Yr 2'!$AF33*'Inputs Yr 2'!Q33*'Inputs Yr 2'!$T33,"")</f>
        <v>0.155</v>
      </c>
      <c r="Y33" s="194">
        <f>IFERROR($G33*'Inputs Yr 2'!$AE33*'Inputs Yr 2'!$AF33*'Inputs Yr 2'!P33*'Inputs Yr 2'!Q33*'Inputs Yr 2'!$T33,"")</f>
        <v>0.155</v>
      </c>
      <c r="Z33" s="257">
        <f>IFERROR($G33*'Inputs Yr 2'!$Q33*'Inputs Yr 2'!$U33*(IF(IFERROR(SEARCH("NG", 'Inputs Yr 2'!$AJ33),0),'Inputs Yr 2'!$AK33,0)+IF(IFERROR(SEARCH("NG", 'Inputs Yr 2'!$AL33),0),'Inputs Yr 2'!$AM33,0)+IF(IFERROR(SEARCH("NG", 'Inputs Yr 2'!$AN33),0),'Inputs Yr 2'!$AO33,0)),0)</f>
        <v>4.7</v>
      </c>
      <c r="AA33" s="257">
        <f t="shared" si="26"/>
        <v>70.5</v>
      </c>
      <c r="AB33" s="257">
        <f>IFERROR(Z33*'Inputs Yr 2'!$P33,0)</f>
        <v>4.7</v>
      </c>
      <c r="AC33" s="257">
        <f t="shared" si="27"/>
        <v>70.5</v>
      </c>
      <c r="AD33" s="257">
        <f>IFERROR($G33*'Inputs Yr 2'!$Q33*'Inputs Yr 2'!$U33*(IF(IFERROR(SEARCH("Oil", 'Inputs Yr 2'!$AJ33), 0),'Inputs Yr 2'!$AK33,0)+IF(IFERROR(SEARCH("Oil", 'Inputs Yr 2'!$AL33), 0),'Inputs Yr 2'!$AM33,0)+IF(IFERROR(SEARCH("Oil", 'Inputs Yr 2'!$AN33), 0),'Inputs Yr 2'!$AO33,0)),0)</f>
        <v>0</v>
      </c>
      <c r="AE33" s="257">
        <f t="shared" si="28"/>
        <v>0</v>
      </c>
      <c r="AF33" s="257">
        <f>IFERROR(AD33*'Inputs Yr 2'!$P33,0)</f>
        <v>0</v>
      </c>
      <c r="AG33" s="257">
        <f t="shared" si="29"/>
        <v>0</v>
      </c>
      <c r="AH33" s="257">
        <f>IFERROR($G33*'Inputs Yr 2'!$Q33*'Inputs Yr 2'!$U33*(IF('Inputs Yr 2'!$AJ33=CD$4,'Inputs Yr 2'!$AK33,IF('Inputs Yr 2'!$AL33=CD$4,'Inputs Yr 2'!$AM33,IF('Inputs Yr 2'!$AN33=CD$4,'Inputs Yr 2'!$AO33,0)))),0)</f>
        <v>0</v>
      </c>
      <c r="AI33" s="257">
        <f t="shared" si="30"/>
        <v>0</v>
      </c>
      <c r="AJ33" s="257">
        <f>IFERROR(AH33*'Inputs Yr 2'!$P33,0)</f>
        <v>0</v>
      </c>
      <c r="AK33" s="257">
        <f t="shared" si="31"/>
        <v>0</v>
      </c>
      <c r="AL33" s="258">
        <f>IFERROR($G33*'Inputs Yr 2'!$P33*'Inputs Yr 2'!$Q33*'Inputs Yr 2'!AP33,0)</f>
        <v>0</v>
      </c>
      <c r="AM33" s="260">
        <f>IFERROR($G33*'Inputs Yr 2'!$P33*'Inputs Yr 2'!$Q33*'Inputs Yr 2'!AQ33,0)</f>
        <v>0</v>
      </c>
      <c r="AN33" s="258">
        <f>IFERROR($G33*'Inputs Yr 2'!$P33*'Inputs Yr 2'!$Q33*'Inputs Yr 2'!AR33,0)</f>
        <v>0</v>
      </c>
      <c r="AO33" s="257">
        <f t="shared" si="32"/>
        <v>0</v>
      </c>
      <c r="AP33" s="195">
        <f>IFERROR($CQ33*(INDEX(avoidedcosttbl2,$H33,AP$2)+(($H33-ROUNDDOWN($H33,0))*(INDEX(avoidedcosttbl2,ROUNDUP($H33,0),AP$2)-(INDEX(avoidedcosttbl2,ROUNDDOWN($H33,0),AP$2)))))*$O33*1000*'Inputs Yr 2'!AA33,"")</f>
        <v>0.94244329939465843</v>
      </c>
      <c r="AQ33" s="195">
        <f>IFERROR($CR33*(INDEX(avoidedcosttbl2,$H33,AQ$2)+(($H33-ROUNDDOWN($H33,0))*(INDEX(avoidedcosttbl2,ROUNDUP($H33,0),AQ$2)-(INDEX(avoidedcosttbl2,ROUNDDOWN($H33,0),AQ$2)))))*$O33*1000*'Inputs Yr 2'!AB33,"")</f>
        <v>3.3730047131677363</v>
      </c>
      <c r="AR33" s="195">
        <f>IFERROR($CS33*(INDEX(avoidedcosttbl2,$H33,AR$2)+(($H33-ROUNDDOWN($H33,0))*(INDEX(avoidedcosttbl2,ROUNDUP($H33,0),AR$2)-(INDEX(avoidedcosttbl2,ROUNDDOWN($H33,0),AR$2)))))*$O33*1000*'Inputs Yr 2'!AC33,"")</f>
        <v>48.629351025349713</v>
      </c>
      <c r="AS33" s="195">
        <f>IFERROR($CT33*(INDEX(avoidedcosttbl2,$H33,AS$2)+(($H33-ROUNDDOWN($H33,0))*(INDEX(avoidedcosttbl2,ROUNDUP($H33,0),AS$2)-(INDEX(avoidedcosttbl2,ROUNDDOWN($H33,0),AS$2)))))*$O33*1000*'Inputs Yr 2'!AD33,"")</f>
        <v>30.178281058387693</v>
      </c>
      <c r="AT33" s="196">
        <f t="shared" si="33"/>
        <v>83.123080096299802</v>
      </c>
      <c r="AU33" s="197">
        <f>IFERROR($CQ33*((INDEX(avoidedcosttbl2,$H33,AU$2))+(($H33-ROUNDDOWN($H33,0))*((INDEX(avoidedcosttbl2,ROUNDUP($H33,0),AU$2))-(INDEX(avoidedcosttbl2,ROUNDDOWN($H33,0),AU$2)))))*$O33*1000*'Inputs Yr 2'!AA33,"")</f>
        <v>2.4403246756788746E-2</v>
      </c>
      <c r="AV33" s="197">
        <f>IFERROR($CR33*((INDEX(avoidedcosttbl2,$H33,AV$2))+(($H33-ROUNDDOWN($H33,0))*((INDEX(avoidedcosttbl2,ROUNDUP($H33,0),AV$2))-(INDEX(avoidedcosttbl2,ROUNDDOWN($H33,0),AV$2)))))*$O33*1000*'Inputs Yr 2'!AB33,"")</f>
        <v>4.6961908128938266E-2</v>
      </c>
      <c r="AW33" s="197">
        <f>IFERROR($CS33*((INDEX(avoidedcosttbl2,$H33,AW$2))+(($H33-ROUNDDOWN($H33,0))*((INDEX(avoidedcosttbl2,ROUNDUP($H33,0),AW$2))-(INDEX(avoidedcosttbl2,ROUNDDOWN($H33,0),AW$2)))))*$O33*1000*'Inputs Yr 2'!AC33,"")</f>
        <v>1.5272244253123228</v>
      </c>
      <c r="AX33" s="197">
        <f>IFERROR($CT33*((INDEX(avoidedcosttbl2,$H33,AX$2))+(($H33-ROUNDDOWN($H33,0))*((INDEX(avoidedcosttbl2,ROUNDUP($H33,0),AX$2))-(INDEX(avoidedcosttbl2,ROUNDDOWN($H33,0),AX$2)))))*$O33*1000*'Inputs Yr 2'!AD33,"")</f>
        <v>0.39707704161036428</v>
      </c>
      <c r="AY33" s="197">
        <f>IFERROR(((INDEX(avoidedcosttbl2,$H33,AY$2))+(($H33-ROUNDDOWN($H33,0))*((INDEX(avoidedcosttbl2,ROUNDUP($H33,0),AY$2))-(INDEX(avoidedcosttbl2,ROUNDDOWN($H33,0),AY$2)))))*$O33*1000*('Inputs Yr 2'!AC33+'Inputs Yr 2'!AD33),"")</f>
        <v>3.3495579717570156</v>
      </c>
      <c r="AZ33" s="197">
        <f>IFERROR(((INDEX(avoidedcosttbl2,$H33,AZ$2))+(($H33-ROUNDDOWN($H33,0))*((INDEX(avoidedcosttbl2,ROUNDUP($H33,0),AZ$2))-(INDEX(avoidedcosttbl2,ROUNDDOWN($H33,0),AZ$2)))))*$O33*1000*('Inputs Yr 2'!AA33+'Inputs Yr 2'!AB33),"")</f>
        <v>0.24777972127379139</v>
      </c>
      <c r="BA33" s="198">
        <f t="shared" si="34"/>
        <v>5.593004314839221</v>
      </c>
      <c r="BB33" s="198">
        <f t="shared" si="35"/>
        <v>88.716084411139022</v>
      </c>
      <c r="BC33" s="195">
        <f t="shared" si="10"/>
        <v>401.78705608055157</v>
      </c>
      <c r="BD33" s="195">
        <f t="shared" si="11"/>
        <v>0</v>
      </c>
      <c r="BE33" s="195">
        <f t="shared" si="12"/>
        <v>0</v>
      </c>
      <c r="BF33" s="195">
        <f t="shared" si="13"/>
        <v>26.872491886253194</v>
      </c>
      <c r="BG33" s="195">
        <f t="shared" si="14"/>
        <v>210.91840827451773</v>
      </c>
      <c r="BH33" s="196">
        <f t="shared" si="36"/>
        <v>639.57795624132245</v>
      </c>
      <c r="BI33" s="196">
        <f t="shared" si="37"/>
        <v>728.29404065246149</v>
      </c>
      <c r="BJ33" s="195">
        <f>IFERROR($G33*(IF('Inputs Yr 2'!$AJ33=BJ$4,'Inputs Yr 2'!$AK33,IF('Inputs Yr 2'!$AL33=BJ$4,'Inputs Yr 2'!$AM33,IF('Inputs Yr 2'!$AN33=BJ$4,'Inputs Yr 2'!$AO33,0))))*(INDEX(avoidedcosttbl2,$H33,BJ$2)+(($H33-ROUNDDOWN($H33,0))*(INDEX(avoidedcosttbl2,ROUNDUP($H33,0),BJ$2)-(INDEX(avoidedcosttbl2,ROUNDDOWN($H33,0),BJ$2)))))*'Inputs Yr 2'!P33*'Inputs Yr 2'!Q33*'Inputs Yr 2'!U33,"")</f>
        <v>0</v>
      </c>
      <c r="BK33" s="195">
        <f>IFERROR($G33*(IF('Inputs Yr 2'!$AJ33=BK$4,'Inputs Yr 2'!$AK33,IF('Inputs Yr 2'!$AL33=BK$4,'Inputs Yr 2'!$AM33,IF('Inputs Yr 2'!$AN33=BK$4,'Inputs Yr 2'!$AO33,0))))*(INDEX(avoidedcosttbl2,$H33,BK$2)+(($H33-ROUNDDOWN($H33,0))*(INDEX(avoidedcosttbl2,ROUNDUP($H33,0),BK$2)-(INDEX(avoidedcosttbl2,ROUNDDOWN($H33,0),BK$2)))))*'Inputs Yr 2'!P33*'Inputs Yr 2'!Q33*'Inputs Yr 2'!U33,"")</f>
        <v>0</v>
      </c>
      <c r="BL33" s="195">
        <f>IFERROR($G33*(IF('Inputs Yr 2'!$AJ33=BL$4,'Inputs Yr 2'!$AK33,IF('Inputs Yr 2'!$AL33=BL$4,'Inputs Yr 2'!$AM33,IF('Inputs Yr 2'!$AN33=BL$4,'Inputs Yr 2'!$AO33,0))))*(INDEX(avoidedcosttbl2,$H33,BL$2)+(($H33-ROUNDDOWN($H33,0))*(INDEX(avoidedcosttbl2,ROUNDUP($H33,0),BL$2)-(INDEX(avoidedcosttbl2,ROUNDDOWN($H33,0),BL$2)))))*'Inputs Yr 2'!P33*'Inputs Yr 2'!Q33*'Inputs Yr 2'!U33,"")</f>
        <v>594.50691761705082</v>
      </c>
      <c r="BM33" s="195">
        <f>IFERROR($G33*(IF('Inputs Yr 2'!$AJ33=BM$4,'Inputs Yr 2'!$AK33,IF('Inputs Yr 2'!$AL33=BM$4,'Inputs Yr 2'!$AM33,IF('Inputs Yr 2'!$AN33=BM$4,'Inputs Yr 2'!$AO33,0))))*(INDEX(avoidedcosttbl2,$H33,BM$2)+(($H33-ROUNDDOWN($H33,0))*(INDEX(avoidedcosttbl2,ROUNDUP($H33,0),BM$2)-(INDEX(avoidedcosttbl2,ROUNDDOWN($H33,0),BM$2)))))*'Inputs Yr 2'!P33*'Inputs Yr 2'!Q33*'Inputs Yr 2'!U33,"")</f>
        <v>0</v>
      </c>
      <c r="BN33" s="195">
        <f>IFERROR($G33*(IF('Inputs Yr 2'!$AJ33=BN$4,'Inputs Yr 2'!$AK33,IF('Inputs Yr 2'!$AL33=BN$4,'Inputs Yr 2'!$AM33,IF('Inputs Yr 2'!$AN33=BN$4,'Inputs Yr 2'!$AO33,0))))*(INDEX(avoidedcosttbl2,$H33,BN$2)+(($H33-ROUNDDOWN($H33,0))*(INDEX(avoidedcosttbl2,ROUNDUP($H33,0),BN$2)-(INDEX(avoidedcosttbl2,ROUNDDOWN($H33,0),BN$2)))))*'Inputs Yr 2'!P33*'Inputs Yr 2'!Q33*'Inputs Yr 2'!U33,"")</f>
        <v>0</v>
      </c>
      <c r="BO33" s="195">
        <f>IFERROR($G33*(IF('Inputs Yr 2'!$AJ33=BO$4,'Inputs Yr 2'!$AK33,IF('Inputs Yr 2'!$AL33=BO$4,'Inputs Yr 2'!$AM33,IF('Inputs Yr 2'!$AN33=BO$4,'Inputs Yr 2'!$AO33,0))))*(INDEX(avoidedcosttbl2,$H33,BO$2)+(($H33-ROUNDDOWN($H33,0))*(INDEX(avoidedcosttbl2,ROUNDUP($H33,0),BO$2)-(INDEX(avoidedcosttbl2,ROUNDDOWN($H33,0),BO$2)))))*'Inputs Yr 2'!P33*'Inputs Yr 2'!Q33*'Inputs Yr 2'!U33,"")</f>
        <v>0</v>
      </c>
      <c r="BP33" s="195">
        <f>IFERROR($G33*(IF('Inputs Yr 2'!$AJ33=BP$4,'Inputs Yr 2'!$AK33,IF('Inputs Yr 2'!$AL33=BP$4,'Inputs Yr 2'!$AM33,IF('Inputs Yr 2'!$AN33=BP$4,'Inputs Yr 2'!$AO33,0))))*(INDEX(avoidedcosttbl2,$H33,BP$2)+(($H33-ROUNDDOWN($H33,0))*(INDEX(avoidedcosttbl2,ROUNDUP($H33,0),BP$2)-(INDEX(avoidedcosttbl2,ROUNDDOWN($H33,0),BP$2)))))*'Inputs Yr 2'!P33*'Inputs Yr 2'!Q33*'Inputs Yr 2'!U33,"")</f>
        <v>0</v>
      </c>
      <c r="BQ33" s="230">
        <f t="shared" si="38"/>
        <v>594.50691761705082</v>
      </c>
      <c r="BR33" s="197">
        <f t="shared" si="17"/>
        <v>9.555704290568718</v>
      </c>
      <c r="BS33" s="197">
        <f>IFERROR(($G33*IF('Inputs Yr 2'!$AJ33=BM$4,'Inputs Yr 2'!$AK33,IF('Inputs Yr 2'!$AL33=BM$4,'Inputs Yr 2'!$AM33,IF('Inputs Yr 2'!$AN33=BM$4,'Inputs Yr 2'!$AO33,0))))*(INDEX(avoidedcosttbl2,$H33,BS$2)+(($H33-ROUNDDOWN($H33,0))*(INDEX(avoidedcosttbl2,ROUNDUP($H33,0),BS$2)-(INDEX(avoidedcosttbl2,ROUNDDOWN($H33,0),BS$2)))))*'Inputs Yr 2'!P33*'Inputs Yr 2'!Q33*'Inputs Yr 2'!U33,"")</f>
        <v>0</v>
      </c>
      <c r="BT33" s="197">
        <f>IFERROR(($G33*IF('Inputs Yr 2'!$AJ33=BK$4,'Inputs Yr 2'!$AK33,IF('Inputs Yr 2'!$AL33=BK$4,'Inputs Yr 2'!$AM33,IF('Inputs Yr 2'!$AN33=BK$4,'Inputs Yr 2'!$AO33,0))))*(INDEX(avoidedcosttbl2,$H33,BT$2)+(($H33-ROUNDDOWN($H33,0))*(INDEX(avoidedcosttbl2,ROUNDUP($H33,0),BT$2)-(INDEX(avoidedcosttbl2,ROUNDDOWN($H33,0),BT$2)))))*'Inputs Yr 2'!P33*'Inputs Yr 2'!Q33*'Inputs Yr 2'!U33,"")</f>
        <v>0</v>
      </c>
      <c r="BU33" s="197">
        <f>IFERROR(($G33*IF('Inputs Yr 2'!$AJ33=BL$4,'Inputs Yr 2'!$AK33,IF('Inputs Yr 2'!$AL33=BL$4,'Inputs Yr 2'!$AM33,IF('Inputs Yr 2'!$AN33=BL$4,'Inputs Yr 2'!$AO33,0))))*(INDEX(avoidedcosttbl2,$H33,BU$2)+(($H33-ROUNDDOWN($H33,0))*(INDEX(avoidedcosttbl2,ROUNDUP($H33,0),BU$2)-(INDEX(avoidedcosttbl2,ROUNDDOWN($H33,0),BU$2)))))*'Inputs Yr 2'!P33*'Inputs Yr 2'!Q33*'Inputs Yr 2'!U33,"")</f>
        <v>36.388310465313552</v>
      </c>
      <c r="BV33" s="775">
        <f>IFERROR(($G33*IF('Inputs Yr 2'!$AJ33=BJ$4,'Inputs Yr 2'!$AK33,IF('Inputs Yr 2'!$AL33=BJ$4,'Inputs Yr 2'!$AM33,IF('Inputs Yr 2'!$AN33=BJ$4,'Inputs Yr 2'!$AO33,0))))*(INDEX(avoidedcosttbl2,$H33,BV$2)+(($H33-ROUNDDOWN($H33,0))*(INDEX(avoidedcosttbl2,ROUNDUP($H33,0),BV$2)-(INDEX(avoidedcosttbl2,ROUNDDOWN($H33,0),BV$2)))))*'Inputs Yr 2'!P33*'Inputs Yr 2'!Q33*'Inputs Yr 2'!U33,"")</f>
        <v>0</v>
      </c>
      <c r="BW33" s="197">
        <f>IFERROR(($G33*IF('Inputs Yr 2'!$AJ33=BN$4,'Inputs Yr 2'!$AK33,IF('Inputs Yr 2'!$AL33=BN$4,'Inputs Yr 2'!$AM33,IF('Inputs Yr 2'!$AN33=BN$4,'Inputs Yr 2'!$AO33,0))))*(INDEX(avoidedcosttbl2,$H33,BW$2)+(($H33-ROUNDDOWN($H33,0))*(INDEX(avoidedcosttbl2,ROUNDUP($H33,0),BW$2)-(INDEX(avoidedcosttbl2,ROUNDDOWN($H33,0),BW$2)))))*'Inputs Yr 2'!P33*'Inputs Yr 2'!Q33*'Inputs Yr 2'!U33,"")</f>
        <v>0</v>
      </c>
      <c r="BX33" s="197">
        <f>IFERROR(($G33*IF('Inputs Yr 2'!$AJ33=BO$4,'Inputs Yr 2'!$AK33,IF('Inputs Yr 2'!$AL33=BO$4,'Inputs Yr 2'!$AM33,IF('Inputs Yr 2'!$AN33=BO$4,'Inputs Yr 2'!$AO33,0))))*(INDEX(avoidedcosttbl2,$H33,BX$2)+(($H33-ROUNDDOWN($H33,0))*(INDEX(avoidedcosttbl2,ROUNDUP($H33,0),BX$2)-(INDEX(avoidedcosttbl2,ROUNDDOWN($H33,0),BX$2)))))*'Inputs Yr 2'!P33*'Inputs Yr 2'!Q33*'Inputs Yr 2'!U33,"")</f>
        <v>0</v>
      </c>
      <c r="BY33" s="197">
        <f>IFERROR(($G33*IF('Inputs Yr 2'!$AJ33=BP$4,'Inputs Yr 2'!$AK33,IF('Inputs Yr 2'!$AL33=BP$4,'Inputs Yr 2'!$AM33,IF('Inputs Yr 2'!$AN33=BP$4,'Inputs Yr 2'!$AO33,0))))*(INDEX(avoidedcosttbl2,$H33,BY$2)+(($H33-ROUNDDOWN($H33,0))*(INDEX(avoidedcosttbl2,ROUNDUP($H33,0),BY$2)-(INDEX(avoidedcosttbl2,ROUNDDOWN($H33,0),BY$2)))))*'Inputs Yr 2'!P33*'Inputs Yr 2'!Q33*'Inputs Yr 2'!U33,"")</f>
        <v>0</v>
      </c>
      <c r="BZ33" s="193">
        <f t="shared" si="39"/>
        <v>45.944014755882272</v>
      </c>
      <c r="CA33" s="193">
        <f t="shared" si="40"/>
        <v>640.45093237293304</v>
      </c>
      <c r="CB33" s="195">
        <f>IFERROR(G33*(IF('Inputs Yr 2'!$AJ33=CB$4,'Inputs Yr 2'!$AK33,IF('Inputs Yr 2'!$AL33=CB$4,'Inputs Yr 2'!$AM33,IF('Inputs Yr 2'!$AN33=CB$4,'Inputs Yr 2'!$AO33,0))))*(INDEX(avoidedcosttbl2,$H33,CB$2)+(($H33-ROUNDDOWN($H33,0))*(INDEX(avoidedcosttbl2,ROUNDUP($H33,0),CB$2)-(INDEX(avoidedcosttbl2,ROUNDDOWN($H33,0),CB$2)))))*'Inputs Yr 2'!P33*'Inputs Yr 2'!Q33*'Inputs Yr 2'!U33,"")</f>
        <v>0</v>
      </c>
      <c r="CC33" s="195">
        <f>IFERROR(H33*(IF('Inputs Yr 2'!$AJ33=CC$4,'Inputs Yr 2'!$AK33,IF('Inputs Yr 2'!$AL33=CC$4,'Inputs Yr 2'!$AM33,IF('Inputs Yr 2'!$AN33=CC$4,'Inputs Yr 2'!$AO33,0))))*(INDEX(avoidedcosttbl2,$H33,CC$2)+(($H33-ROUNDDOWN($H33,0))*(INDEX(avoidedcosttbl2,ROUNDUP($H33,0),CC$2)-(INDEX(avoidedcosttbl2,ROUNDDOWN($H33,0),CC$2)))))*'Inputs Yr 2'!Q33*'Inputs Yr 2'!R33*'Inputs Yr 2'!V33,"")</f>
        <v>0</v>
      </c>
      <c r="CD33" s="195">
        <f>IFERROR(I33*(IF('Inputs Yr 2'!$AJ33=CD$4,'Inputs Yr 2'!$AK33,IF('Inputs Yr 2'!$AL33=CD$4,'Inputs Yr 2'!$AM33,IF('Inputs Yr 2'!$AN33=CD$4,'Inputs Yr 2'!$AO33,0))))*(INDEX(avoidedcosttbl2,$H33,CD$2)+(($H33-ROUNDDOWN($H33,0))*(INDEX(avoidedcosttbl2,ROUNDUP($H33,0),CD$2)-(INDEX(avoidedcosttbl2,ROUNDDOWN($H33,0),CD$2)))))*'Inputs Yr 2'!R33*'Inputs Yr 2'!S33*'Inputs Yr 2'!W33,"")</f>
        <v>0</v>
      </c>
      <c r="CE33" s="213">
        <f t="shared" si="41"/>
        <v>0</v>
      </c>
      <c r="CF33" s="213">
        <f t="shared" si="42"/>
        <v>0</v>
      </c>
      <c r="CG33" s="213">
        <f t="shared" si="43"/>
        <v>0</v>
      </c>
      <c r="CH33" s="698">
        <f t="shared" si="44"/>
        <v>640.45093237293304</v>
      </c>
      <c r="CI33" s="79">
        <f>IFERROR(($G33*'Inputs Yr 2'!$P33*'Inputs Yr 2'!$Q33*(((INDEX(avoidedcosttbl2,$H33,CI$2)+(($H33-ROUNDDOWN($H33,0))*(INDEX(avoidedcosttbl2,ROUNDUP($H33,0),CI$2)-INDEX(avoidedcosttbl2,ROUNDDOWN($H33,0),CI$2))))*'Inputs Yr 2'!AS33))),"")</f>
        <v>208.31522264686231</v>
      </c>
      <c r="CJ33" s="504">
        <f>IFERROR($G33*'Inputs Yr 2'!AT33*'Inputs Yr 2'!$P33*'Inputs Yr 2'!$Q33/((1+realdiscrt1)^-0.5),"")</f>
        <v>0</v>
      </c>
      <c r="CK33" s="79">
        <f>IFERROR((O33*1000*(((INDEX(avoidedcosttbl2,$H33,CK$2)+(($H33-ROUNDDOWN($H33,0))*(INDEX(avoidedcosttbl2,ROUNDUP($H33,0),CK$2)-INDEX(avoidedcosttbl2,ROUNDDOWN($H33,0),CK$2))))*'Inputs Yr 2'!AU33))),"")</f>
        <v>0</v>
      </c>
      <c r="CL33" s="504">
        <f>IFERROR(O33*1000*'Inputs Yr 2'!AV33/((1+realdiscrt1)^-0.5),"")</f>
        <v>0</v>
      </c>
      <c r="CM33" s="79">
        <f>IFERROR((AB33*'Inputs Yr 2'!AW33*(((INDEX(avoidedcosttbl2,$H33,CM$2)+(($H33-ROUNDDOWN($H33,0))*(INDEX(avoidedcosttbl2,ROUNDUP($H33,0),CM$2)-INDEX(avoidedcosttbl2,ROUNDDOWN($H33,0),CM$2)))))))*10,"")</f>
        <v>0</v>
      </c>
      <c r="CN33" s="504">
        <f>IFERROR(10*AB33*'Inputs Yr 2'!AX33/((1+realdiscrt1)^-0.5),"")</f>
        <v>0</v>
      </c>
      <c r="CO33" s="505">
        <f t="shared" si="45"/>
        <v>208.31522264686231</v>
      </c>
      <c r="CP33" s="230">
        <f t="shared" si="46"/>
        <v>1577.0601956722569</v>
      </c>
      <c r="CQ33" s="199">
        <f>ROUND(IFERROR(IF(LEFT($A33,1)="C",'Avoided Costs'!$K$13,'Avoided Costs'!$K$12)+1,""),4)</f>
        <v>1.0720000000000001</v>
      </c>
      <c r="CR33" s="199">
        <f>ROUND(IFERROR(IF(LEFT($A33,1)="C",'Avoided Costs'!$L$13,'Avoided Costs'!$L$12)+1,""),4)</f>
        <v>1.04</v>
      </c>
      <c r="CS33" s="199">
        <f>ROUND(IFERROR(IF(LEFT($A33,1)="C",'Avoided Costs'!$M$13,'Avoided Costs'!$M$12)+1,""),4)</f>
        <v>1.0720000000000001</v>
      </c>
      <c r="CT33" s="199">
        <f>ROUND(IFERROR(IF(LEFT($A33,1)="C",'Avoided Costs'!$N$13,'Avoided Costs'!$N$12)+1,""),4)</f>
        <v>1.04</v>
      </c>
      <c r="CU33" s="199">
        <f>ROUND(IFERROR(IF(LEFT($A33,1)="C",'Avoided Costs'!$O$13,'Avoided Costs'!$O$12)+1,""),4)</f>
        <v>1.1120000000000001</v>
      </c>
      <c r="CV33" s="199">
        <f>ROUND(IFERROR(IF(LEFT($A33,1)="C",'Avoided Costs'!$P$13,'Avoided Costs'!$P$12)+1,""),4)</f>
        <v>1.095</v>
      </c>
      <c r="CW33" s="199">
        <f>ROUND(IFERROR(IF(LEFT($A33,1)="C",'Avoided Costs'!$Q$13,'Avoided Costs'!$Q$12)+1,""),4)</f>
        <v>1.1120000000000001</v>
      </c>
      <c r="CX33" s="200">
        <f>ROUND(IFERROR(IF(LEFT($A33,1)="C",'Avoided Costs'!$R$13,'Avoided Costs'!$R$12)+1,""),4)</f>
        <v>1.1120000000000001</v>
      </c>
    </row>
    <row r="34" spans="1:102" ht="12.75" customHeight="1">
      <c r="A34" s="91" t="str">
        <f>IF('Inputs Yr 2'!$B34=0,"",'Inputs Yr 2'!A34)</f>
        <v>A - Residential</v>
      </c>
      <c r="B34" s="91" t="str">
        <f>IF('Inputs Yr 2'!$B34=0,"",'Inputs Yr 2'!B34)</f>
        <v>A1 - Residential Whole House</v>
      </c>
      <c r="C34" s="91" t="str">
        <f>IF('Inputs Yr 2'!$B34=0,"",'Inputs Yr 2'!C34)</f>
        <v>A1b - Residential Multi-Family Retrofit</v>
      </c>
      <c r="D34" s="91" t="str">
        <f>IF('Inputs Yr 2'!$B34=0,"",'Inputs Yr 2'!E34)</f>
        <v xml:space="preserve">Water Heating </v>
      </c>
      <c r="E34" s="93" t="str">
        <f>IF('Inputs Yr 2'!$B34=0,"",'Inputs Yr 2'!F34)</f>
        <v>G16A1b19</v>
      </c>
      <c r="F34" s="93" t="str">
        <f>IF('Inputs Yr 2'!$B34=0,"",'Inputs Yr 2'!G34)</f>
        <v>Hot Water</v>
      </c>
      <c r="G34" s="95" t="str">
        <f>IF('Inputs Yr 2'!$H34&lt;&gt;0,('Inputs Yr 2'!H34),"")</f>
        <v/>
      </c>
      <c r="H34" s="94">
        <f>IFERROR('Inputs Yr 2'!I34,"")</f>
        <v>0</v>
      </c>
      <c r="I34" s="298" t="str">
        <f>IFERROR('Inputs Yr 2'!J34*'Inputs Yr 2'!P34*G34,"")</f>
        <v/>
      </c>
      <c r="J34" s="298" t="str">
        <f>IFERROR('Inputs Yr 2'!K34*G34,"")</f>
        <v/>
      </c>
      <c r="K34" s="298" t="str">
        <f t="shared" si="23"/>
        <v/>
      </c>
      <c r="L34" s="194" t="str">
        <f>IFERROR(('Inputs Yr 2'!W34*G34)/1000,"")</f>
        <v/>
      </c>
      <c r="M34" s="194" t="str">
        <f>IFERROR(L34*('Inputs Yr 2'!$Q34*'Inputs Yr 2'!$V34*'Inputs Yr 2'!$R34),"")</f>
        <v/>
      </c>
      <c r="N34" s="194" t="str">
        <f t="shared" si="24"/>
        <v/>
      </c>
      <c r="O34" s="194" t="str">
        <f>IFERROR(M34*'Inputs Yr 2'!P34,"")</f>
        <v/>
      </c>
      <c r="P34" s="194" t="str">
        <f t="shared" si="25"/>
        <v/>
      </c>
      <c r="Q34" s="194" t="str">
        <f>IFERROR($P34*'Inputs Yr 2'!AA34,"")</f>
        <v/>
      </c>
      <c r="R34" s="194" t="str">
        <f>IFERROR($P34*'Inputs Yr 2'!AB34,"")</f>
        <v/>
      </c>
      <c r="S34" s="194" t="str">
        <f>IFERROR($P34*'Inputs Yr 2'!AC34,"")</f>
        <v/>
      </c>
      <c r="T34" s="194" t="str">
        <f>IFERROR($P34*'Inputs Yr 2'!AD34,"")</f>
        <v/>
      </c>
      <c r="U34" s="194" t="str">
        <f>IFERROR(G34*'Inputs Yr 2'!$AE34*'Inputs Yr 2'!$P34*'Inputs Yr 2'!$Q34,"")</f>
        <v/>
      </c>
      <c r="V34" s="194" t="str">
        <f>IFERROR($G34*'Inputs Yr 2'!$AE34*'Inputs Yr 2'!$AG34*'Inputs Yr 2'!Q34*'Inputs Yr 2'!$S34,"")</f>
        <v/>
      </c>
      <c r="W34" s="194" t="str">
        <f>IFERROR($G34*'Inputs Yr 2'!$AE34*'Inputs Yr 2'!$AG34*'Inputs Yr 2'!P34*'Inputs Yr 2'!Q34*'Inputs Yr 2'!$S34,"")</f>
        <v/>
      </c>
      <c r="X34" s="194" t="str">
        <f>IFERROR($G34*'Inputs Yr 2'!$AE34*'Inputs Yr 2'!$AF34*'Inputs Yr 2'!Q34*'Inputs Yr 2'!$T34,"")</f>
        <v/>
      </c>
      <c r="Y34" s="194" t="str">
        <f>IFERROR($G34*'Inputs Yr 2'!$AE34*'Inputs Yr 2'!$AF34*'Inputs Yr 2'!P34*'Inputs Yr 2'!Q34*'Inputs Yr 2'!$T34,"")</f>
        <v/>
      </c>
      <c r="Z34" s="257">
        <f>IFERROR($G34*'Inputs Yr 2'!$Q34*'Inputs Yr 2'!$U34*(IF(IFERROR(SEARCH("NG", 'Inputs Yr 2'!$AJ34),0),'Inputs Yr 2'!$AK34,0)+IF(IFERROR(SEARCH("NG", 'Inputs Yr 2'!$AL34),0),'Inputs Yr 2'!$AM34,0)+IF(IFERROR(SEARCH("NG", 'Inputs Yr 2'!$AN34),0),'Inputs Yr 2'!$AO34,0)),0)</f>
        <v>0</v>
      </c>
      <c r="AA34" s="257">
        <f t="shared" si="26"/>
        <v>0</v>
      </c>
      <c r="AB34" s="257">
        <f>IFERROR(Z34*'Inputs Yr 2'!$P34,0)</f>
        <v>0</v>
      </c>
      <c r="AC34" s="257">
        <f t="shared" si="27"/>
        <v>0</v>
      </c>
      <c r="AD34" s="257">
        <f>IFERROR($G34*'Inputs Yr 2'!$Q34*'Inputs Yr 2'!$U34*(IF(IFERROR(SEARCH("Oil", 'Inputs Yr 2'!$AJ34), 0),'Inputs Yr 2'!$AK34,0)+IF(IFERROR(SEARCH("Oil", 'Inputs Yr 2'!$AL34), 0),'Inputs Yr 2'!$AM34,0)+IF(IFERROR(SEARCH("Oil", 'Inputs Yr 2'!$AN34), 0),'Inputs Yr 2'!$AO34,0)),0)</f>
        <v>0</v>
      </c>
      <c r="AE34" s="257">
        <f t="shared" si="28"/>
        <v>0</v>
      </c>
      <c r="AF34" s="257">
        <f>IFERROR(AD34*'Inputs Yr 2'!$P34,0)</f>
        <v>0</v>
      </c>
      <c r="AG34" s="257">
        <f t="shared" si="29"/>
        <v>0</v>
      </c>
      <c r="AH34" s="257">
        <f>IFERROR($G34*'Inputs Yr 2'!$Q34*'Inputs Yr 2'!$U34*(IF('Inputs Yr 2'!$AJ34=CD$4,'Inputs Yr 2'!$AK34,IF('Inputs Yr 2'!$AL34=CD$4,'Inputs Yr 2'!$AM34,IF('Inputs Yr 2'!$AN34=CD$4,'Inputs Yr 2'!$AO34,0)))),0)</f>
        <v>0</v>
      </c>
      <c r="AI34" s="257">
        <f t="shared" si="30"/>
        <v>0</v>
      </c>
      <c r="AJ34" s="257">
        <f>IFERROR(AH34*'Inputs Yr 2'!$P34,0)</f>
        <v>0</v>
      </c>
      <c r="AK34" s="257">
        <f t="shared" si="31"/>
        <v>0</v>
      </c>
      <c r="AL34" s="258">
        <f>IFERROR($G34*'Inputs Yr 2'!$P34*'Inputs Yr 2'!$Q34*'Inputs Yr 2'!AP34,0)</f>
        <v>0</v>
      </c>
      <c r="AM34" s="260">
        <f>IFERROR($G34*'Inputs Yr 2'!$P34*'Inputs Yr 2'!$Q34*'Inputs Yr 2'!AQ34,0)</f>
        <v>0</v>
      </c>
      <c r="AN34" s="258">
        <f>IFERROR($G34*'Inputs Yr 2'!$P34*'Inputs Yr 2'!$Q34*'Inputs Yr 2'!AR34,0)</f>
        <v>0</v>
      </c>
      <c r="AO34" s="257">
        <f t="shared" si="32"/>
        <v>0</v>
      </c>
      <c r="AP34" s="195" t="str">
        <f>IFERROR($CQ34*(INDEX(avoidedcosttbl2,$H34,AP$2)+(($H34-ROUNDDOWN($H34,0))*(INDEX(avoidedcosttbl2,ROUNDUP($H34,0),AP$2)-(INDEX(avoidedcosttbl2,ROUNDDOWN($H34,0),AP$2)))))*$O34*1000*'Inputs Yr 2'!AA34,"")</f>
        <v/>
      </c>
      <c r="AQ34" s="195" t="str">
        <f>IFERROR($CR34*(INDEX(avoidedcosttbl2,$H34,AQ$2)+(($H34-ROUNDDOWN($H34,0))*(INDEX(avoidedcosttbl2,ROUNDUP($H34,0),AQ$2)-(INDEX(avoidedcosttbl2,ROUNDDOWN($H34,0),AQ$2)))))*$O34*1000*'Inputs Yr 2'!AB34,"")</f>
        <v/>
      </c>
      <c r="AR34" s="195" t="str">
        <f>IFERROR($CS34*(INDEX(avoidedcosttbl2,$H34,AR$2)+(($H34-ROUNDDOWN($H34,0))*(INDEX(avoidedcosttbl2,ROUNDUP($H34,0),AR$2)-(INDEX(avoidedcosttbl2,ROUNDDOWN($H34,0),AR$2)))))*$O34*1000*'Inputs Yr 2'!AC34,"")</f>
        <v/>
      </c>
      <c r="AS34" s="195" t="str">
        <f>IFERROR($CT34*(INDEX(avoidedcosttbl2,$H34,AS$2)+(($H34-ROUNDDOWN($H34,0))*(INDEX(avoidedcosttbl2,ROUNDUP($H34,0),AS$2)-(INDEX(avoidedcosttbl2,ROUNDDOWN($H34,0),AS$2)))))*$O34*1000*'Inputs Yr 2'!AD34,"")</f>
        <v/>
      </c>
      <c r="AT34" s="196">
        <f t="shared" si="33"/>
        <v>0</v>
      </c>
      <c r="AU34" s="197" t="str">
        <f>IFERROR($CQ34*((INDEX(avoidedcosttbl2,$H34,AU$2))+(($H34-ROUNDDOWN($H34,0))*((INDEX(avoidedcosttbl2,ROUNDUP($H34,0),AU$2))-(INDEX(avoidedcosttbl2,ROUNDDOWN($H34,0),AU$2)))))*$O34*1000*'Inputs Yr 2'!AA34,"")</f>
        <v/>
      </c>
      <c r="AV34" s="197" t="str">
        <f>IFERROR($CR34*((INDEX(avoidedcosttbl2,$H34,AV$2))+(($H34-ROUNDDOWN($H34,0))*((INDEX(avoidedcosttbl2,ROUNDUP($H34,0),AV$2))-(INDEX(avoidedcosttbl2,ROUNDDOWN($H34,0),AV$2)))))*$O34*1000*'Inputs Yr 2'!AB34,"")</f>
        <v/>
      </c>
      <c r="AW34" s="197" t="str">
        <f>IFERROR($CS34*((INDEX(avoidedcosttbl2,$H34,AW$2))+(($H34-ROUNDDOWN($H34,0))*((INDEX(avoidedcosttbl2,ROUNDUP($H34,0),AW$2))-(INDEX(avoidedcosttbl2,ROUNDDOWN($H34,0),AW$2)))))*$O34*1000*'Inputs Yr 2'!AC34,"")</f>
        <v/>
      </c>
      <c r="AX34" s="197" t="str">
        <f>IFERROR($CT34*((INDEX(avoidedcosttbl2,$H34,AX$2))+(($H34-ROUNDDOWN($H34,0))*((INDEX(avoidedcosttbl2,ROUNDUP($H34,0),AX$2))-(INDEX(avoidedcosttbl2,ROUNDDOWN($H34,0),AX$2)))))*$O34*1000*'Inputs Yr 2'!AD34,"")</f>
        <v/>
      </c>
      <c r="AY34" s="197" t="str">
        <f>IFERROR(((INDEX(avoidedcosttbl2,$H34,AY$2))+(($H34-ROUNDDOWN($H34,0))*((INDEX(avoidedcosttbl2,ROUNDUP($H34,0),AY$2))-(INDEX(avoidedcosttbl2,ROUNDDOWN($H34,0),AY$2)))))*$O34*1000*('Inputs Yr 2'!AC34+'Inputs Yr 2'!AD34),"")</f>
        <v/>
      </c>
      <c r="AZ34" s="197" t="str">
        <f>IFERROR(((INDEX(avoidedcosttbl2,$H34,AZ$2))+(($H34-ROUNDDOWN($H34,0))*((INDEX(avoidedcosttbl2,ROUNDUP($H34,0),AZ$2))-(INDEX(avoidedcosttbl2,ROUNDDOWN($H34,0),AZ$2)))))*$O34*1000*('Inputs Yr 2'!AA34+'Inputs Yr 2'!AB34),"")</f>
        <v/>
      </c>
      <c r="BA34" s="198">
        <f t="shared" si="34"/>
        <v>0</v>
      </c>
      <c r="BB34" s="198">
        <f t="shared" si="35"/>
        <v>0</v>
      </c>
      <c r="BC34" s="195" t="str">
        <f t="shared" si="10"/>
        <v/>
      </c>
      <c r="BD34" s="195" t="str">
        <f t="shared" si="11"/>
        <v/>
      </c>
      <c r="BE34" s="195" t="str">
        <f t="shared" si="12"/>
        <v/>
      </c>
      <c r="BF34" s="195" t="str">
        <f t="shared" si="13"/>
        <v/>
      </c>
      <c r="BG34" s="195" t="str">
        <f t="shared" si="14"/>
        <v/>
      </c>
      <c r="BH34" s="196">
        <f t="shared" si="36"/>
        <v>0</v>
      </c>
      <c r="BI34" s="196">
        <f t="shared" si="37"/>
        <v>0</v>
      </c>
      <c r="BJ34" s="195" t="str">
        <f>IFERROR($G34*(IF('Inputs Yr 2'!$AJ34=BJ$4,'Inputs Yr 2'!$AK34,IF('Inputs Yr 2'!$AL34=BJ$4,'Inputs Yr 2'!$AM34,IF('Inputs Yr 2'!$AN34=BJ$4,'Inputs Yr 2'!$AO34,0))))*(INDEX(avoidedcosttbl2,$H34,BJ$2)+(($H34-ROUNDDOWN($H34,0))*(INDEX(avoidedcosttbl2,ROUNDUP($H34,0),BJ$2)-(INDEX(avoidedcosttbl2,ROUNDDOWN($H34,0),BJ$2)))))*'Inputs Yr 2'!P34*'Inputs Yr 2'!Q34*'Inputs Yr 2'!U34,"")</f>
        <v/>
      </c>
      <c r="BK34" s="195" t="str">
        <f>IFERROR($G34*(IF('Inputs Yr 2'!$AJ34=BK$4,'Inputs Yr 2'!$AK34,IF('Inputs Yr 2'!$AL34=BK$4,'Inputs Yr 2'!$AM34,IF('Inputs Yr 2'!$AN34=BK$4,'Inputs Yr 2'!$AO34,0))))*(INDEX(avoidedcosttbl2,$H34,BK$2)+(($H34-ROUNDDOWN($H34,0))*(INDEX(avoidedcosttbl2,ROUNDUP($H34,0),BK$2)-(INDEX(avoidedcosttbl2,ROUNDDOWN($H34,0),BK$2)))))*'Inputs Yr 2'!P34*'Inputs Yr 2'!Q34*'Inputs Yr 2'!U34,"")</f>
        <v/>
      </c>
      <c r="BL34" s="195" t="str">
        <f>IFERROR($G34*(IF('Inputs Yr 2'!$AJ34=BL$4,'Inputs Yr 2'!$AK34,IF('Inputs Yr 2'!$AL34=BL$4,'Inputs Yr 2'!$AM34,IF('Inputs Yr 2'!$AN34=BL$4,'Inputs Yr 2'!$AO34,0))))*(INDEX(avoidedcosttbl2,$H34,BL$2)+(($H34-ROUNDDOWN($H34,0))*(INDEX(avoidedcosttbl2,ROUNDUP($H34,0),BL$2)-(INDEX(avoidedcosttbl2,ROUNDDOWN($H34,0),BL$2)))))*'Inputs Yr 2'!P34*'Inputs Yr 2'!Q34*'Inputs Yr 2'!U34,"")</f>
        <v/>
      </c>
      <c r="BM34" s="195" t="str">
        <f>IFERROR($G34*(IF('Inputs Yr 2'!$AJ34=BM$4,'Inputs Yr 2'!$AK34,IF('Inputs Yr 2'!$AL34=BM$4,'Inputs Yr 2'!$AM34,IF('Inputs Yr 2'!$AN34=BM$4,'Inputs Yr 2'!$AO34,0))))*(INDEX(avoidedcosttbl2,$H34,BM$2)+(($H34-ROUNDDOWN($H34,0))*(INDEX(avoidedcosttbl2,ROUNDUP($H34,0),BM$2)-(INDEX(avoidedcosttbl2,ROUNDDOWN($H34,0),BM$2)))))*'Inputs Yr 2'!P34*'Inputs Yr 2'!Q34*'Inputs Yr 2'!U34,"")</f>
        <v/>
      </c>
      <c r="BN34" s="195" t="str">
        <f>IFERROR($G34*(IF('Inputs Yr 2'!$AJ34=BN$4,'Inputs Yr 2'!$AK34,IF('Inputs Yr 2'!$AL34=BN$4,'Inputs Yr 2'!$AM34,IF('Inputs Yr 2'!$AN34=BN$4,'Inputs Yr 2'!$AO34,0))))*(INDEX(avoidedcosttbl2,$H34,BN$2)+(($H34-ROUNDDOWN($H34,0))*(INDEX(avoidedcosttbl2,ROUNDUP($H34,0),BN$2)-(INDEX(avoidedcosttbl2,ROUNDDOWN($H34,0),BN$2)))))*'Inputs Yr 2'!P34*'Inputs Yr 2'!Q34*'Inputs Yr 2'!U34,"")</f>
        <v/>
      </c>
      <c r="BO34" s="195" t="str">
        <f>IFERROR($G34*(IF('Inputs Yr 2'!$AJ34=BO$4,'Inputs Yr 2'!$AK34,IF('Inputs Yr 2'!$AL34=BO$4,'Inputs Yr 2'!$AM34,IF('Inputs Yr 2'!$AN34=BO$4,'Inputs Yr 2'!$AO34,0))))*(INDEX(avoidedcosttbl2,$H34,BO$2)+(($H34-ROUNDDOWN($H34,0))*(INDEX(avoidedcosttbl2,ROUNDUP($H34,0),BO$2)-(INDEX(avoidedcosttbl2,ROUNDDOWN($H34,0),BO$2)))))*'Inputs Yr 2'!P34*'Inputs Yr 2'!Q34*'Inputs Yr 2'!U34,"")</f>
        <v/>
      </c>
      <c r="BP34" s="195" t="str">
        <f>IFERROR($G34*(IF('Inputs Yr 2'!$AJ34=BP$4,'Inputs Yr 2'!$AK34,IF('Inputs Yr 2'!$AL34=BP$4,'Inputs Yr 2'!$AM34,IF('Inputs Yr 2'!$AN34=BP$4,'Inputs Yr 2'!$AO34,0))))*(INDEX(avoidedcosttbl2,$H34,BP$2)+(($H34-ROUNDDOWN($H34,0))*(INDEX(avoidedcosttbl2,ROUNDUP($H34,0),BP$2)-(INDEX(avoidedcosttbl2,ROUNDDOWN($H34,0),BP$2)))))*'Inputs Yr 2'!P34*'Inputs Yr 2'!Q34*'Inputs Yr 2'!U34,"")</f>
        <v/>
      </c>
      <c r="BQ34" s="230">
        <f t="shared" si="38"/>
        <v>0</v>
      </c>
      <c r="BR34" s="197" t="str">
        <f t="shared" si="17"/>
        <v/>
      </c>
      <c r="BS34" s="197" t="str">
        <f>IFERROR(($G34*IF('Inputs Yr 2'!$AJ34=BM$4,'Inputs Yr 2'!$AK34,IF('Inputs Yr 2'!$AL34=BM$4,'Inputs Yr 2'!$AM34,IF('Inputs Yr 2'!$AN34=BM$4,'Inputs Yr 2'!$AO34,0))))*(INDEX(avoidedcosttbl2,$H34,BS$2)+(($H34-ROUNDDOWN($H34,0))*(INDEX(avoidedcosttbl2,ROUNDUP($H34,0),BS$2)-(INDEX(avoidedcosttbl2,ROUNDDOWN($H34,0),BS$2)))))*'Inputs Yr 2'!P34*'Inputs Yr 2'!Q34*'Inputs Yr 2'!U34,"")</f>
        <v/>
      </c>
      <c r="BT34" s="197" t="str">
        <f>IFERROR(($G34*IF('Inputs Yr 2'!$AJ34=BK$4,'Inputs Yr 2'!$AK34,IF('Inputs Yr 2'!$AL34=BK$4,'Inputs Yr 2'!$AM34,IF('Inputs Yr 2'!$AN34=BK$4,'Inputs Yr 2'!$AO34,0))))*(INDEX(avoidedcosttbl2,$H34,BT$2)+(($H34-ROUNDDOWN($H34,0))*(INDEX(avoidedcosttbl2,ROUNDUP($H34,0),BT$2)-(INDEX(avoidedcosttbl2,ROUNDDOWN($H34,0),BT$2)))))*'Inputs Yr 2'!P34*'Inputs Yr 2'!Q34*'Inputs Yr 2'!U34,"")</f>
        <v/>
      </c>
      <c r="BU34" s="197" t="str">
        <f>IFERROR(($G34*IF('Inputs Yr 2'!$AJ34=BL$4,'Inputs Yr 2'!$AK34,IF('Inputs Yr 2'!$AL34=BL$4,'Inputs Yr 2'!$AM34,IF('Inputs Yr 2'!$AN34=BL$4,'Inputs Yr 2'!$AO34,0))))*(INDEX(avoidedcosttbl2,$H34,BU$2)+(($H34-ROUNDDOWN($H34,0))*(INDEX(avoidedcosttbl2,ROUNDUP($H34,0),BU$2)-(INDEX(avoidedcosttbl2,ROUNDDOWN($H34,0),BU$2)))))*'Inputs Yr 2'!P34*'Inputs Yr 2'!Q34*'Inputs Yr 2'!U34,"")</f>
        <v/>
      </c>
      <c r="BV34" s="775" t="str">
        <f>IFERROR(($G34*IF('Inputs Yr 2'!$AJ34=BJ$4,'Inputs Yr 2'!$AK34,IF('Inputs Yr 2'!$AL34=BJ$4,'Inputs Yr 2'!$AM34,IF('Inputs Yr 2'!$AN34=BJ$4,'Inputs Yr 2'!$AO34,0))))*(INDEX(avoidedcosttbl2,$H34,BV$2)+(($H34-ROUNDDOWN($H34,0))*(INDEX(avoidedcosttbl2,ROUNDUP($H34,0),BV$2)-(INDEX(avoidedcosttbl2,ROUNDDOWN($H34,0),BV$2)))))*'Inputs Yr 2'!P34*'Inputs Yr 2'!Q34*'Inputs Yr 2'!U34,"")</f>
        <v/>
      </c>
      <c r="BW34" s="197" t="str">
        <f>IFERROR(($G34*IF('Inputs Yr 2'!$AJ34=BN$4,'Inputs Yr 2'!$AK34,IF('Inputs Yr 2'!$AL34=BN$4,'Inputs Yr 2'!$AM34,IF('Inputs Yr 2'!$AN34=BN$4,'Inputs Yr 2'!$AO34,0))))*(INDEX(avoidedcosttbl2,$H34,BW$2)+(($H34-ROUNDDOWN($H34,0))*(INDEX(avoidedcosttbl2,ROUNDUP($H34,0),BW$2)-(INDEX(avoidedcosttbl2,ROUNDDOWN($H34,0),BW$2)))))*'Inputs Yr 2'!P34*'Inputs Yr 2'!Q34*'Inputs Yr 2'!U34,"")</f>
        <v/>
      </c>
      <c r="BX34" s="197" t="str">
        <f>IFERROR(($G34*IF('Inputs Yr 2'!$AJ34=BO$4,'Inputs Yr 2'!$AK34,IF('Inputs Yr 2'!$AL34=BO$4,'Inputs Yr 2'!$AM34,IF('Inputs Yr 2'!$AN34=BO$4,'Inputs Yr 2'!$AO34,0))))*(INDEX(avoidedcosttbl2,$H34,BX$2)+(($H34-ROUNDDOWN($H34,0))*(INDEX(avoidedcosttbl2,ROUNDUP($H34,0),BX$2)-(INDEX(avoidedcosttbl2,ROUNDDOWN($H34,0),BX$2)))))*'Inputs Yr 2'!P34*'Inputs Yr 2'!Q34*'Inputs Yr 2'!U34,"")</f>
        <v/>
      </c>
      <c r="BY34" s="197" t="str">
        <f>IFERROR(($G34*IF('Inputs Yr 2'!$AJ34=BP$4,'Inputs Yr 2'!$AK34,IF('Inputs Yr 2'!$AL34=BP$4,'Inputs Yr 2'!$AM34,IF('Inputs Yr 2'!$AN34=BP$4,'Inputs Yr 2'!$AO34,0))))*(INDEX(avoidedcosttbl2,$H34,BY$2)+(($H34-ROUNDDOWN($H34,0))*(INDEX(avoidedcosttbl2,ROUNDUP($H34,0),BY$2)-(INDEX(avoidedcosttbl2,ROUNDDOWN($H34,0),BY$2)))))*'Inputs Yr 2'!P34*'Inputs Yr 2'!Q34*'Inputs Yr 2'!U34,"")</f>
        <v/>
      </c>
      <c r="BZ34" s="193">
        <f t="shared" si="39"/>
        <v>0</v>
      </c>
      <c r="CA34" s="193">
        <f t="shared" si="40"/>
        <v>0</v>
      </c>
      <c r="CB34" s="195" t="str">
        <f>IFERROR(G34*(IF('Inputs Yr 2'!$AJ34=CB$4,'Inputs Yr 2'!$AK34,IF('Inputs Yr 2'!$AL34=CB$4,'Inputs Yr 2'!$AM34,IF('Inputs Yr 2'!$AN34=CB$4,'Inputs Yr 2'!$AO34,0))))*(INDEX(avoidedcosttbl2,$H34,CB$2)+(($H34-ROUNDDOWN($H34,0))*(INDEX(avoidedcosttbl2,ROUNDUP($H34,0),CB$2)-(INDEX(avoidedcosttbl2,ROUNDDOWN($H34,0),CB$2)))))*'Inputs Yr 2'!P34*'Inputs Yr 2'!Q34*'Inputs Yr 2'!U34,"")</f>
        <v/>
      </c>
      <c r="CC34" s="195" t="str">
        <f>IFERROR(H34*(IF('Inputs Yr 2'!$AJ34=CC$4,'Inputs Yr 2'!$AK34,IF('Inputs Yr 2'!$AL34=CC$4,'Inputs Yr 2'!$AM34,IF('Inputs Yr 2'!$AN34=CC$4,'Inputs Yr 2'!$AO34,0))))*(INDEX(avoidedcosttbl2,$H34,CC$2)+(($H34-ROUNDDOWN($H34,0))*(INDEX(avoidedcosttbl2,ROUNDUP($H34,0),CC$2)-(INDEX(avoidedcosttbl2,ROUNDDOWN($H34,0),CC$2)))))*'Inputs Yr 2'!Q34*'Inputs Yr 2'!R34*'Inputs Yr 2'!V34,"")</f>
        <v/>
      </c>
      <c r="CD34" s="195" t="str">
        <f>IFERROR(I34*(IF('Inputs Yr 2'!$AJ34=CD$4,'Inputs Yr 2'!$AK34,IF('Inputs Yr 2'!$AL34=CD$4,'Inputs Yr 2'!$AM34,IF('Inputs Yr 2'!$AN34=CD$4,'Inputs Yr 2'!$AO34,0))))*(INDEX(avoidedcosttbl2,$H34,CD$2)+(($H34-ROUNDDOWN($H34,0))*(INDEX(avoidedcosttbl2,ROUNDUP($H34,0),CD$2)-(INDEX(avoidedcosttbl2,ROUNDDOWN($H34,0),CD$2)))))*'Inputs Yr 2'!R34*'Inputs Yr 2'!S34*'Inputs Yr 2'!W34,"")</f>
        <v/>
      </c>
      <c r="CE34" s="213" t="str">
        <f t="shared" si="41"/>
        <v/>
      </c>
      <c r="CF34" s="213" t="str">
        <f t="shared" si="42"/>
        <v/>
      </c>
      <c r="CG34" s="213" t="str">
        <f t="shared" si="43"/>
        <v/>
      </c>
      <c r="CH34" s="698">
        <f t="shared" si="44"/>
        <v>0</v>
      </c>
      <c r="CI34" s="79" t="str">
        <f>IFERROR(($G34*'Inputs Yr 2'!$P34*'Inputs Yr 2'!$Q34*(((INDEX(avoidedcosttbl2,$H34,CI$2)+(($H34-ROUNDDOWN($H34,0))*(INDEX(avoidedcosttbl2,ROUNDUP($H34,0),CI$2)-INDEX(avoidedcosttbl2,ROUNDDOWN($H34,0),CI$2))))*'Inputs Yr 2'!AS34))),"")</f>
        <v/>
      </c>
      <c r="CJ34" s="504" t="str">
        <f>IFERROR($G34*'Inputs Yr 2'!AT34*'Inputs Yr 2'!$P34*'Inputs Yr 2'!$Q34/((1+realdiscrt1)^-0.5),"")</f>
        <v/>
      </c>
      <c r="CK34" s="79" t="str">
        <f>IFERROR((O34*1000*(((INDEX(avoidedcosttbl2,$H34,CK$2)+(($H34-ROUNDDOWN($H34,0))*(INDEX(avoidedcosttbl2,ROUNDUP($H34,0),CK$2)-INDEX(avoidedcosttbl2,ROUNDDOWN($H34,0),CK$2))))*'Inputs Yr 2'!AU34))),"")</f>
        <v/>
      </c>
      <c r="CL34" s="504" t="str">
        <f>IFERROR(O34*1000*'Inputs Yr 2'!AV34/((1+realdiscrt1)^-0.5),"")</f>
        <v/>
      </c>
      <c r="CM34" s="79" t="str">
        <f>IFERROR((AB34*'Inputs Yr 2'!AW34*(((INDEX(avoidedcosttbl2,$H34,CM$2)+(($H34-ROUNDDOWN($H34,0))*(INDEX(avoidedcosttbl2,ROUNDUP($H34,0),CM$2)-INDEX(avoidedcosttbl2,ROUNDDOWN($H34,0),CM$2)))))))*10,"")</f>
        <v/>
      </c>
      <c r="CN34" s="504">
        <f>IFERROR(10*AB34*'Inputs Yr 2'!AX34/((1+realdiscrt1)^-0.5),"")</f>
        <v>0</v>
      </c>
      <c r="CO34" s="505">
        <f t="shared" si="45"/>
        <v>0</v>
      </c>
      <c r="CP34" s="230">
        <f t="shared" si="46"/>
        <v>0</v>
      </c>
      <c r="CQ34" s="199">
        <f>ROUND(IFERROR(IF(LEFT($A34,1)="C",'Avoided Costs'!$K$13,'Avoided Costs'!$K$12)+1,""),4)</f>
        <v>1.0720000000000001</v>
      </c>
      <c r="CR34" s="199">
        <f>ROUND(IFERROR(IF(LEFT($A34,1)="C",'Avoided Costs'!$L$13,'Avoided Costs'!$L$12)+1,""),4)</f>
        <v>1.04</v>
      </c>
      <c r="CS34" s="199">
        <f>ROUND(IFERROR(IF(LEFT($A34,1)="C",'Avoided Costs'!$M$13,'Avoided Costs'!$M$12)+1,""),4)</f>
        <v>1.0720000000000001</v>
      </c>
      <c r="CT34" s="199">
        <f>ROUND(IFERROR(IF(LEFT($A34,1)="C",'Avoided Costs'!$N$13,'Avoided Costs'!$N$12)+1,""),4)</f>
        <v>1.04</v>
      </c>
      <c r="CU34" s="199">
        <f>ROUND(IFERROR(IF(LEFT($A34,1)="C",'Avoided Costs'!$O$13,'Avoided Costs'!$O$12)+1,""),4)</f>
        <v>1.1120000000000001</v>
      </c>
      <c r="CV34" s="199">
        <f>ROUND(IFERROR(IF(LEFT($A34,1)="C",'Avoided Costs'!$P$13,'Avoided Costs'!$P$12)+1,""),4)</f>
        <v>1.095</v>
      </c>
      <c r="CW34" s="199">
        <f>ROUND(IFERROR(IF(LEFT($A34,1)="C",'Avoided Costs'!$Q$13,'Avoided Costs'!$Q$12)+1,""),4)</f>
        <v>1.1120000000000001</v>
      </c>
      <c r="CX34" s="200">
        <f>ROUND(IFERROR(IF(LEFT($A34,1)="C",'Avoided Costs'!$R$13,'Avoided Costs'!$R$12)+1,""),4)</f>
        <v>1.1120000000000001</v>
      </c>
    </row>
    <row r="35" spans="1:102" ht="12.75" customHeight="1">
      <c r="A35" s="91" t="str">
        <f>IF('Inputs Yr 2'!$B35=0,"",'Inputs Yr 2'!A35)</f>
        <v>A - Residential</v>
      </c>
      <c r="B35" s="91" t="str">
        <f>IF('Inputs Yr 2'!$B35=0,"",'Inputs Yr 2'!B35)</f>
        <v>A1 - Residential Whole House</v>
      </c>
      <c r="C35" s="91" t="str">
        <f>IF('Inputs Yr 2'!$B35=0,"",'Inputs Yr 2'!C35)</f>
        <v>A1b - Residential Multi-Family Retrofit</v>
      </c>
      <c r="D35" s="91" t="str">
        <f>IF('Inputs Yr 2'!$B35=0,"",'Inputs Yr 2'!E35)</f>
        <v>CFL Bulb (Carryover)</v>
      </c>
      <c r="E35" s="93" t="str">
        <f>IF('Inputs Yr 2'!$B35=0,"",'Inputs Yr 2'!F35)</f>
        <v>G16A1b20</v>
      </c>
      <c r="F35" s="93" t="str">
        <f>IF('Inputs Yr 2'!$B35=0,"",'Inputs Yr 2'!G35)</f>
        <v>Lighting</v>
      </c>
      <c r="G35" s="95" t="str">
        <f>IF('Inputs Yr 2'!$H35&lt;&gt;0,('Inputs Yr 2'!H35),"")</f>
        <v/>
      </c>
      <c r="H35" s="94">
        <f>IFERROR('Inputs Yr 2'!I35,"")</f>
        <v>0</v>
      </c>
      <c r="I35" s="298" t="str">
        <f>IFERROR('Inputs Yr 2'!J35*'Inputs Yr 2'!P35*G35,"")</f>
        <v/>
      </c>
      <c r="J35" s="298" t="str">
        <f>IFERROR('Inputs Yr 2'!K35*G35,"")</f>
        <v/>
      </c>
      <c r="K35" s="298" t="str">
        <f t="shared" si="23"/>
        <v/>
      </c>
      <c r="L35" s="194" t="str">
        <f>IFERROR(('Inputs Yr 2'!W35*G35)/1000,"")</f>
        <v/>
      </c>
      <c r="M35" s="194" t="str">
        <f>IFERROR(L35*('Inputs Yr 2'!$Q35*'Inputs Yr 2'!$V35*'Inputs Yr 2'!$R35),"")</f>
        <v/>
      </c>
      <c r="N35" s="194" t="str">
        <f t="shared" si="24"/>
        <v/>
      </c>
      <c r="O35" s="194" t="str">
        <f>IFERROR(M35*'Inputs Yr 2'!P35,"")</f>
        <v/>
      </c>
      <c r="P35" s="194" t="str">
        <f t="shared" si="25"/>
        <v/>
      </c>
      <c r="Q35" s="194" t="str">
        <f>IFERROR($P35*'Inputs Yr 2'!AA35,"")</f>
        <v/>
      </c>
      <c r="R35" s="194" t="str">
        <f>IFERROR($P35*'Inputs Yr 2'!AB35,"")</f>
        <v/>
      </c>
      <c r="S35" s="194" t="str">
        <f>IFERROR($P35*'Inputs Yr 2'!AC35,"")</f>
        <v/>
      </c>
      <c r="T35" s="194" t="str">
        <f>IFERROR($P35*'Inputs Yr 2'!AD35,"")</f>
        <v/>
      </c>
      <c r="U35" s="194" t="str">
        <f>IFERROR(G35*'Inputs Yr 2'!$AE35*'Inputs Yr 2'!$P35*'Inputs Yr 2'!$Q35,"")</f>
        <v/>
      </c>
      <c r="V35" s="194" t="str">
        <f>IFERROR($G35*'Inputs Yr 2'!$AE35*'Inputs Yr 2'!$AG35*'Inputs Yr 2'!Q35*'Inputs Yr 2'!$S35,"")</f>
        <v/>
      </c>
      <c r="W35" s="194" t="str">
        <f>IFERROR($G35*'Inputs Yr 2'!$AE35*'Inputs Yr 2'!$AG35*'Inputs Yr 2'!P35*'Inputs Yr 2'!Q35*'Inputs Yr 2'!$S35,"")</f>
        <v/>
      </c>
      <c r="X35" s="194" t="str">
        <f>IFERROR($G35*'Inputs Yr 2'!$AE35*'Inputs Yr 2'!$AF35*'Inputs Yr 2'!Q35*'Inputs Yr 2'!$T35,"")</f>
        <v/>
      </c>
      <c r="Y35" s="194" t="str">
        <f>IFERROR($G35*'Inputs Yr 2'!$AE35*'Inputs Yr 2'!$AF35*'Inputs Yr 2'!P35*'Inputs Yr 2'!Q35*'Inputs Yr 2'!$T35,"")</f>
        <v/>
      </c>
      <c r="Z35" s="257">
        <f>IFERROR($G35*'Inputs Yr 2'!$Q35*'Inputs Yr 2'!$U35*(IF(IFERROR(SEARCH("NG", 'Inputs Yr 2'!$AJ35),0),'Inputs Yr 2'!$AK35,0)+IF(IFERROR(SEARCH("NG", 'Inputs Yr 2'!$AL35),0),'Inputs Yr 2'!$AM35,0)+IF(IFERROR(SEARCH("NG", 'Inputs Yr 2'!$AN35),0),'Inputs Yr 2'!$AO35,0)),0)</f>
        <v>0</v>
      </c>
      <c r="AA35" s="257">
        <f t="shared" si="26"/>
        <v>0</v>
      </c>
      <c r="AB35" s="257">
        <f>IFERROR(Z35*'Inputs Yr 2'!$P35,0)</f>
        <v>0</v>
      </c>
      <c r="AC35" s="257">
        <f t="shared" si="27"/>
        <v>0</v>
      </c>
      <c r="AD35" s="257">
        <f>IFERROR($G35*'Inputs Yr 2'!$Q35*'Inputs Yr 2'!$U35*(IF(IFERROR(SEARCH("Oil", 'Inputs Yr 2'!$AJ35), 0),'Inputs Yr 2'!$AK35,0)+IF(IFERROR(SEARCH("Oil", 'Inputs Yr 2'!$AL35), 0),'Inputs Yr 2'!$AM35,0)+IF(IFERROR(SEARCH("Oil", 'Inputs Yr 2'!$AN35), 0),'Inputs Yr 2'!$AO35,0)),0)</f>
        <v>0</v>
      </c>
      <c r="AE35" s="257">
        <f t="shared" si="28"/>
        <v>0</v>
      </c>
      <c r="AF35" s="257">
        <f>IFERROR(AD35*'Inputs Yr 2'!$P35,0)</f>
        <v>0</v>
      </c>
      <c r="AG35" s="257">
        <f t="shared" si="29"/>
        <v>0</v>
      </c>
      <c r="AH35" s="257">
        <f>IFERROR($G35*'Inputs Yr 2'!$Q35*'Inputs Yr 2'!$U35*(IF('Inputs Yr 2'!$AJ35=CD$4,'Inputs Yr 2'!$AK35,IF('Inputs Yr 2'!$AL35=CD$4,'Inputs Yr 2'!$AM35,IF('Inputs Yr 2'!$AN35=CD$4,'Inputs Yr 2'!$AO35,0)))),0)</f>
        <v>0</v>
      </c>
      <c r="AI35" s="257">
        <f t="shared" si="30"/>
        <v>0</v>
      </c>
      <c r="AJ35" s="257">
        <f>IFERROR(AH35*'Inputs Yr 2'!$P35,0)</f>
        <v>0</v>
      </c>
      <c r="AK35" s="257">
        <f t="shared" si="31"/>
        <v>0</v>
      </c>
      <c r="AL35" s="258">
        <f>IFERROR($G35*'Inputs Yr 2'!$P35*'Inputs Yr 2'!$Q35*'Inputs Yr 2'!AP35,0)</f>
        <v>0</v>
      </c>
      <c r="AM35" s="260">
        <f>IFERROR($G35*'Inputs Yr 2'!$P35*'Inputs Yr 2'!$Q35*'Inputs Yr 2'!AQ35,0)</f>
        <v>0</v>
      </c>
      <c r="AN35" s="258">
        <f>IFERROR($G35*'Inputs Yr 2'!$P35*'Inputs Yr 2'!$Q35*'Inputs Yr 2'!AR35,0)</f>
        <v>0</v>
      </c>
      <c r="AO35" s="257">
        <f t="shared" si="32"/>
        <v>0</v>
      </c>
      <c r="AP35" s="195" t="str">
        <f>IFERROR($CQ35*(INDEX(avoidedcosttbl2,$H35,AP$2)+(($H35-ROUNDDOWN($H35,0))*(INDEX(avoidedcosttbl2,ROUNDUP($H35,0),AP$2)-(INDEX(avoidedcosttbl2,ROUNDDOWN($H35,0),AP$2)))))*$O35*1000*'Inputs Yr 2'!AA35,"")</f>
        <v/>
      </c>
      <c r="AQ35" s="195" t="str">
        <f>IFERROR($CR35*(INDEX(avoidedcosttbl2,$H35,AQ$2)+(($H35-ROUNDDOWN($H35,0))*(INDEX(avoidedcosttbl2,ROUNDUP($H35,0),AQ$2)-(INDEX(avoidedcosttbl2,ROUNDDOWN($H35,0),AQ$2)))))*$O35*1000*'Inputs Yr 2'!AB35,"")</f>
        <v/>
      </c>
      <c r="AR35" s="195" t="str">
        <f>IFERROR($CS35*(INDEX(avoidedcosttbl2,$H35,AR$2)+(($H35-ROUNDDOWN($H35,0))*(INDEX(avoidedcosttbl2,ROUNDUP($H35,0),AR$2)-(INDEX(avoidedcosttbl2,ROUNDDOWN($H35,0),AR$2)))))*$O35*1000*'Inputs Yr 2'!AC35,"")</f>
        <v/>
      </c>
      <c r="AS35" s="195" t="str">
        <f>IFERROR($CT35*(INDEX(avoidedcosttbl2,$H35,AS$2)+(($H35-ROUNDDOWN($H35,0))*(INDEX(avoidedcosttbl2,ROUNDUP($H35,0),AS$2)-(INDEX(avoidedcosttbl2,ROUNDDOWN($H35,0),AS$2)))))*$O35*1000*'Inputs Yr 2'!AD35,"")</f>
        <v/>
      </c>
      <c r="AT35" s="196">
        <f t="shared" si="33"/>
        <v>0</v>
      </c>
      <c r="AU35" s="197" t="str">
        <f>IFERROR($CQ35*((INDEX(avoidedcosttbl2,$H35,AU$2))+(($H35-ROUNDDOWN($H35,0))*((INDEX(avoidedcosttbl2,ROUNDUP($H35,0),AU$2))-(INDEX(avoidedcosttbl2,ROUNDDOWN($H35,0),AU$2)))))*$O35*1000*'Inputs Yr 2'!AA35,"")</f>
        <v/>
      </c>
      <c r="AV35" s="197" t="str">
        <f>IFERROR($CR35*((INDEX(avoidedcosttbl2,$H35,AV$2))+(($H35-ROUNDDOWN($H35,0))*((INDEX(avoidedcosttbl2,ROUNDUP($H35,0),AV$2))-(INDEX(avoidedcosttbl2,ROUNDDOWN($H35,0),AV$2)))))*$O35*1000*'Inputs Yr 2'!AB35,"")</f>
        <v/>
      </c>
      <c r="AW35" s="197" t="str">
        <f>IFERROR($CS35*((INDEX(avoidedcosttbl2,$H35,AW$2))+(($H35-ROUNDDOWN($H35,0))*((INDEX(avoidedcosttbl2,ROUNDUP($H35,0),AW$2))-(INDEX(avoidedcosttbl2,ROUNDDOWN($H35,0),AW$2)))))*$O35*1000*'Inputs Yr 2'!AC35,"")</f>
        <v/>
      </c>
      <c r="AX35" s="197" t="str">
        <f>IFERROR($CT35*((INDEX(avoidedcosttbl2,$H35,AX$2))+(($H35-ROUNDDOWN($H35,0))*((INDEX(avoidedcosttbl2,ROUNDUP($H35,0),AX$2))-(INDEX(avoidedcosttbl2,ROUNDDOWN($H35,0),AX$2)))))*$O35*1000*'Inputs Yr 2'!AD35,"")</f>
        <v/>
      </c>
      <c r="AY35" s="197" t="str">
        <f>IFERROR(((INDEX(avoidedcosttbl2,$H35,AY$2))+(($H35-ROUNDDOWN($H35,0))*((INDEX(avoidedcosttbl2,ROUNDUP($H35,0),AY$2))-(INDEX(avoidedcosttbl2,ROUNDDOWN($H35,0),AY$2)))))*$O35*1000*('Inputs Yr 2'!AC35+'Inputs Yr 2'!AD35),"")</f>
        <v/>
      </c>
      <c r="AZ35" s="197" t="str">
        <f>IFERROR(((INDEX(avoidedcosttbl2,$H35,AZ$2))+(($H35-ROUNDDOWN($H35,0))*((INDEX(avoidedcosttbl2,ROUNDUP($H35,0),AZ$2))-(INDEX(avoidedcosttbl2,ROUNDDOWN($H35,0),AZ$2)))))*$O35*1000*('Inputs Yr 2'!AA35+'Inputs Yr 2'!AB35),"")</f>
        <v/>
      </c>
      <c r="BA35" s="198">
        <f t="shared" si="34"/>
        <v>0</v>
      </c>
      <c r="BB35" s="198">
        <f t="shared" si="35"/>
        <v>0</v>
      </c>
      <c r="BC35" s="195" t="str">
        <f t="shared" si="10"/>
        <v/>
      </c>
      <c r="BD35" s="195" t="str">
        <f t="shared" si="11"/>
        <v/>
      </c>
      <c r="BE35" s="195" t="str">
        <f t="shared" si="12"/>
        <v/>
      </c>
      <c r="BF35" s="195" t="str">
        <f t="shared" si="13"/>
        <v/>
      </c>
      <c r="BG35" s="195" t="str">
        <f t="shared" si="14"/>
        <v/>
      </c>
      <c r="BH35" s="196">
        <f t="shared" si="36"/>
        <v>0</v>
      </c>
      <c r="BI35" s="196">
        <f t="shared" si="37"/>
        <v>0</v>
      </c>
      <c r="BJ35" s="195" t="str">
        <f>IFERROR($G35*(IF('Inputs Yr 2'!$AJ35=BJ$4,'Inputs Yr 2'!$AK35,IF('Inputs Yr 2'!$AL35=BJ$4,'Inputs Yr 2'!$AM35,IF('Inputs Yr 2'!$AN35=BJ$4,'Inputs Yr 2'!$AO35,0))))*(INDEX(avoidedcosttbl2,$H35,BJ$2)+(($H35-ROUNDDOWN($H35,0))*(INDEX(avoidedcosttbl2,ROUNDUP($H35,0),BJ$2)-(INDEX(avoidedcosttbl2,ROUNDDOWN($H35,0),BJ$2)))))*'Inputs Yr 2'!P35*'Inputs Yr 2'!Q35*'Inputs Yr 2'!U35,"")</f>
        <v/>
      </c>
      <c r="BK35" s="195" t="str">
        <f>IFERROR($G35*(IF('Inputs Yr 2'!$AJ35=BK$4,'Inputs Yr 2'!$AK35,IF('Inputs Yr 2'!$AL35=BK$4,'Inputs Yr 2'!$AM35,IF('Inputs Yr 2'!$AN35=BK$4,'Inputs Yr 2'!$AO35,0))))*(INDEX(avoidedcosttbl2,$H35,BK$2)+(($H35-ROUNDDOWN($H35,0))*(INDEX(avoidedcosttbl2,ROUNDUP($H35,0),BK$2)-(INDEX(avoidedcosttbl2,ROUNDDOWN($H35,0),BK$2)))))*'Inputs Yr 2'!P35*'Inputs Yr 2'!Q35*'Inputs Yr 2'!U35,"")</f>
        <v/>
      </c>
      <c r="BL35" s="195" t="str">
        <f>IFERROR($G35*(IF('Inputs Yr 2'!$AJ35=BL$4,'Inputs Yr 2'!$AK35,IF('Inputs Yr 2'!$AL35=BL$4,'Inputs Yr 2'!$AM35,IF('Inputs Yr 2'!$AN35=BL$4,'Inputs Yr 2'!$AO35,0))))*(INDEX(avoidedcosttbl2,$H35,BL$2)+(($H35-ROUNDDOWN($H35,0))*(INDEX(avoidedcosttbl2,ROUNDUP($H35,0),BL$2)-(INDEX(avoidedcosttbl2,ROUNDDOWN($H35,0),BL$2)))))*'Inputs Yr 2'!P35*'Inputs Yr 2'!Q35*'Inputs Yr 2'!U35,"")</f>
        <v/>
      </c>
      <c r="BM35" s="195" t="str">
        <f>IFERROR($G35*(IF('Inputs Yr 2'!$AJ35=BM$4,'Inputs Yr 2'!$AK35,IF('Inputs Yr 2'!$AL35=BM$4,'Inputs Yr 2'!$AM35,IF('Inputs Yr 2'!$AN35=BM$4,'Inputs Yr 2'!$AO35,0))))*(INDEX(avoidedcosttbl2,$H35,BM$2)+(($H35-ROUNDDOWN($H35,0))*(INDEX(avoidedcosttbl2,ROUNDUP($H35,0),BM$2)-(INDEX(avoidedcosttbl2,ROUNDDOWN($H35,0),BM$2)))))*'Inputs Yr 2'!P35*'Inputs Yr 2'!Q35*'Inputs Yr 2'!U35,"")</f>
        <v/>
      </c>
      <c r="BN35" s="195" t="str">
        <f>IFERROR($G35*(IF('Inputs Yr 2'!$AJ35=BN$4,'Inputs Yr 2'!$AK35,IF('Inputs Yr 2'!$AL35=BN$4,'Inputs Yr 2'!$AM35,IF('Inputs Yr 2'!$AN35=BN$4,'Inputs Yr 2'!$AO35,0))))*(INDEX(avoidedcosttbl2,$H35,BN$2)+(($H35-ROUNDDOWN($H35,0))*(INDEX(avoidedcosttbl2,ROUNDUP($H35,0),BN$2)-(INDEX(avoidedcosttbl2,ROUNDDOWN($H35,0),BN$2)))))*'Inputs Yr 2'!P35*'Inputs Yr 2'!Q35*'Inputs Yr 2'!U35,"")</f>
        <v/>
      </c>
      <c r="BO35" s="195" t="str">
        <f>IFERROR($G35*(IF('Inputs Yr 2'!$AJ35=BO$4,'Inputs Yr 2'!$AK35,IF('Inputs Yr 2'!$AL35=BO$4,'Inputs Yr 2'!$AM35,IF('Inputs Yr 2'!$AN35=BO$4,'Inputs Yr 2'!$AO35,0))))*(INDEX(avoidedcosttbl2,$H35,BO$2)+(($H35-ROUNDDOWN($H35,0))*(INDEX(avoidedcosttbl2,ROUNDUP($H35,0),BO$2)-(INDEX(avoidedcosttbl2,ROUNDDOWN($H35,0),BO$2)))))*'Inputs Yr 2'!P35*'Inputs Yr 2'!Q35*'Inputs Yr 2'!U35,"")</f>
        <v/>
      </c>
      <c r="BP35" s="195" t="str">
        <f>IFERROR($G35*(IF('Inputs Yr 2'!$AJ35=BP$4,'Inputs Yr 2'!$AK35,IF('Inputs Yr 2'!$AL35=BP$4,'Inputs Yr 2'!$AM35,IF('Inputs Yr 2'!$AN35=BP$4,'Inputs Yr 2'!$AO35,0))))*(INDEX(avoidedcosttbl2,$H35,BP$2)+(($H35-ROUNDDOWN($H35,0))*(INDEX(avoidedcosttbl2,ROUNDUP($H35,0),BP$2)-(INDEX(avoidedcosttbl2,ROUNDDOWN($H35,0),BP$2)))))*'Inputs Yr 2'!P35*'Inputs Yr 2'!Q35*'Inputs Yr 2'!U35,"")</f>
        <v/>
      </c>
      <c r="BQ35" s="230">
        <f t="shared" si="38"/>
        <v>0</v>
      </c>
      <c r="BR35" s="197" t="str">
        <f t="shared" si="17"/>
        <v/>
      </c>
      <c r="BS35" s="197" t="str">
        <f>IFERROR(($G35*IF('Inputs Yr 2'!$AJ35=BM$4,'Inputs Yr 2'!$AK35,IF('Inputs Yr 2'!$AL35=BM$4,'Inputs Yr 2'!$AM35,IF('Inputs Yr 2'!$AN35=BM$4,'Inputs Yr 2'!$AO35,0))))*(INDEX(avoidedcosttbl2,$H35,BS$2)+(($H35-ROUNDDOWN($H35,0))*(INDEX(avoidedcosttbl2,ROUNDUP($H35,0),BS$2)-(INDEX(avoidedcosttbl2,ROUNDDOWN($H35,0),BS$2)))))*'Inputs Yr 2'!P35*'Inputs Yr 2'!Q35*'Inputs Yr 2'!U35,"")</f>
        <v/>
      </c>
      <c r="BT35" s="197" t="str">
        <f>IFERROR(($G35*IF('Inputs Yr 2'!$AJ35=BK$4,'Inputs Yr 2'!$AK35,IF('Inputs Yr 2'!$AL35=BK$4,'Inputs Yr 2'!$AM35,IF('Inputs Yr 2'!$AN35=BK$4,'Inputs Yr 2'!$AO35,0))))*(INDEX(avoidedcosttbl2,$H35,BT$2)+(($H35-ROUNDDOWN($H35,0))*(INDEX(avoidedcosttbl2,ROUNDUP($H35,0),BT$2)-(INDEX(avoidedcosttbl2,ROUNDDOWN($H35,0),BT$2)))))*'Inputs Yr 2'!P35*'Inputs Yr 2'!Q35*'Inputs Yr 2'!U35,"")</f>
        <v/>
      </c>
      <c r="BU35" s="197" t="str">
        <f>IFERROR(($G35*IF('Inputs Yr 2'!$AJ35=BL$4,'Inputs Yr 2'!$AK35,IF('Inputs Yr 2'!$AL35=BL$4,'Inputs Yr 2'!$AM35,IF('Inputs Yr 2'!$AN35=BL$4,'Inputs Yr 2'!$AO35,0))))*(INDEX(avoidedcosttbl2,$H35,BU$2)+(($H35-ROUNDDOWN($H35,0))*(INDEX(avoidedcosttbl2,ROUNDUP($H35,0),BU$2)-(INDEX(avoidedcosttbl2,ROUNDDOWN($H35,0),BU$2)))))*'Inputs Yr 2'!P35*'Inputs Yr 2'!Q35*'Inputs Yr 2'!U35,"")</f>
        <v/>
      </c>
      <c r="BV35" s="775" t="str">
        <f>IFERROR(($G35*IF('Inputs Yr 2'!$AJ35=BJ$4,'Inputs Yr 2'!$AK35,IF('Inputs Yr 2'!$AL35=BJ$4,'Inputs Yr 2'!$AM35,IF('Inputs Yr 2'!$AN35=BJ$4,'Inputs Yr 2'!$AO35,0))))*(INDEX(avoidedcosttbl2,$H35,BV$2)+(($H35-ROUNDDOWN($H35,0))*(INDEX(avoidedcosttbl2,ROUNDUP($H35,0),BV$2)-(INDEX(avoidedcosttbl2,ROUNDDOWN($H35,0),BV$2)))))*'Inputs Yr 2'!P35*'Inputs Yr 2'!Q35*'Inputs Yr 2'!U35,"")</f>
        <v/>
      </c>
      <c r="BW35" s="197" t="str">
        <f>IFERROR(($G35*IF('Inputs Yr 2'!$AJ35=BN$4,'Inputs Yr 2'!$AK35,IF('Inputs Yr 2'!$AL35=BN$4,'Inputs Yr 2'!$AM35,IF('Inputs Yr 2'!$AN35=BN$4,'Inputs Yr 2'!$AO35,0))))*(INDEX(avoidedcosttbl2,$H35,BW$2)+(($H35-ROUNDDOWN($H35,0))*(INDEX(avoidedcosttbl2,ROUNDUP($H35,0),BW$2)-(INDEX(avoidedcosttbl2,ROUNDDOWN($H35,0),BW$2)))))*'Inputs Yr 2'!P35*'Inputs Yr 2'!Q35*'Inputs Yr 2'!U35,"")</f>
        <v/>
      </c>
      <c r="BX35" s="197" t="str">
        <f>IFERROR(($G35*IF('Inputs Yr 2'!$AJ35=BO$4,'Inputs Yr 2'!$AK35,IF('Inputs Yr 2'!$AL35=BO$4,'Inputs Yr 2'!$AM35,IF('Inputs Yr 2'!$AN35=BO$4,'Inputs Yr 2'!$AO35,0))))*(INDEX(avoidedcosttbl2,$H35,BX$2)+(($H35-ROUNDDOWN($H35,0))*(INDEX(avoidedcosttbl2,ROUNDUP($H35,0),BX$2)-(INDEX(avoidedcosttbl2,ROUNDDOWN($H35,0),BX$2)))))*'Inputs Yr 2'!P35*'Inputs Yr 2'!Q35*'Inputs Yr 2'!U35,"")</f>
        <v/>
      </c>
      <c r="BY35" s="197" t="str">
        <f>IFERROR(($G35*IF('Inputs Yr 2'!$AJ35=BP$4,'Inputs Yr 2'!$AK35,IF('Inputs Yr 2'!$AL35=BP$4,'Inputs Yr 2'!$AM35,IF('Inputs Yr 2'!$AN35=BP$4,'Inputs Yr 2'!$AO35,0))))*(INDEX(avoidedcosttbl2,$H35,BY$2)+(($H35-ROUNDDOWN($H35,0))*(INDEX(avoidedcosttbl2,ROUNDUP($H35,0),BY$2)-(INDEX(avoidedcosttbl2,ROUNDDOWN($H35,0),BY$2)))))*'Inputs Yr 2'!P35*'Inputs Yr 2'!Q35*'Inputs Yr 2'!U35,"")</f>
        <v/>
      </c>
      <c r="BZ35" s="193">
        <f t="shared" si="39"/>
        <v>0</v>
      </c>
      <c r="CA35" s="193">
        <f t="shared" si="40"/>
        <v>0</v>
      </c>
      <c r="CB35" s="195" t="str">
        <f>IFERROR(G35*(IF('Inputs Yr 2'!$AJ35=CB$4,'Inputs Yr 2'!$AK35,IF('Inputs Yr 2'!$AL35=CB$4,'Inputs Yr 2'!$AM35,IF('Inputs Yr 2'!$AN35=CB$4,'Inputs Yr 2'!$AO35,0))))*(INDEX(avoidedcosttbl2,$H35,CB$2)+(($H35-ROUNDDOWN($H35,0))*(INDEX(avoidedcosttbl2,ROUNDUP($H35,0),CB$2)-(INDEX(avoidedcosttbl2,ROUNDDOWN($H35,0),CB$2)))))*'Inputs Yr 2'!P35*'Inputs Yr 2'!Q35*'Inputs Yr 2'!U35,"")</f>
        <v/>
      </c>
      <c r="CC35" s="195" t="str">
        <f>IFERROR(H35*(IF('Inputs Yr 2'!$AJ35=CC$4,'Inputs Yr 2'!$AK35,IF('Inputs Yr 2'!$AL35=CC$4,'Inputs Yr 2'!$AM35,IF('Inputs Yr 2'!$AN35=CC$4,'Inputs Yr 2'!$AO35,0))))*(INDEX(avoidedcosttbl2,$H35,CC$2)+(($H35-ROUNDDOWN($H35,0))*(INDEX(avoidedcosttbl2,ROUNDUP($H35,0),CC$2)-(INDEX(avoidedcosttbl2,ROUNDDOWN($H35,0),CC$2)))))*'Inputs Yr 2'!Q35*'Inputs Yr 2'!R35*'Inputs Yr 2'!V35,"")</f>
        <v/>
      </c>
      <c r="CD35" s="195" t="str">
        <f>IFERROR(I35*(IF('Inputs Yr 2'!$AJ35=CD$4,'Inputs Yr 2'!$AK35,IF('Inputs Yr 2'!$AL35=CD$4,'Inputs Yr 2'!$AM35,IF('Inputs Yr 2'!$AN35=CD$4,'Inputs Yr 2'!$AO35,0))))*(INDEX(avoidedcosttbl2,$H35,CD$2)+(($H35-ROUNDDOWN($H35,0))*(INDEX(avoidedcosttbl2,ROUNDUP($H35,0),CD$2)-(INDEX(avoidedcosttbl2,ROUNDDOWN($H35,0),CD$2)))))*'Inputs Yr 2'!R35*'Inputs Yr 2'!S35*'Inputs Yr 2'!W35,"")</f>
        <v/>
      </c>
      <c r="CE35" s="213" t="str">
        <f t="shared" si="41"/>
        <v/>
      </c>
      <c r="CF35" s="213" t="str">
        <f t="shared" si="42"/>
        <v/>
      </c>
      <c r="CG35" s="213" t="str">
        <f t="shared" si="43"/>
        <v/>
      </c>
      <c r="CH35" s="698">
        <f t="shared" si="44"/>
        <v>0</v>
      </c>
      <c r="CI35" s="79" t="str">
        <f>IFERROR(($G35*'Inputs Yr 2'!$P35*'Inputs Yr 2'!$Q35*(((INDEX(avoidedcosttbl2,$H35,CI$2)+(($H35-ROUNDDOWN($H35,0))*(INDEX(avoidedcosttbl2,ROUNDUP($H35,0),CI$2)-INDEX(avoidedcosttbl2,ROUNDDOWN($H35,0),CI$2))))*'Inputs Yr 2'!AS35))),"")</f>
        <v/>
      </c>
      <c r="CJ35" s="504" t="str">
        <f>IFERROR($G35*'Inputs Yr 2'!AT35*'Inputs Yr 2'!$P35*'Inputs Yr 2'!$Q35/((1+realdiscrt1)^-0.5),"")</f>
        <v/>
      </c>
      <c r="CK35" s="79" t="str">
        <f>IFERROR((O35*1000*(((INDEX(avoidedcosttbl2,$H35,CK$2)+(($H35-ROUNDDOWN($H35,0))*(INDEX(avoidedcosttbl2,ROUNDUP($H35,0),CK$2)-INDEX(avoidedcosttbl2,ROUNDDOWN($H35,0),CK$2))))*'Inputs Yr 2'!AU35))),"")</f>
        <v/>
      </c>
      <c r="CL35" s="504" t="str">
        <f>IFERROR(O35*1000*'Inputs Yr 2'!AV35/((1+realdiscrt1)^-0.5),"")</f>
        <v/>
      </c>
      <c r="CM35" s="79" t="str">
        <f>IFERROR((AB35*'Inputs Yr 2'!AW35*(((INDEX(avoidedcosttbl2,$H35,CM$2)+(($H35-ROUNDDOWN($H35,0))*(INDEX(avoidedcosttbl2,ROUNDUP($H35,0),CM$2)-INDEX(avoidedcosttbl2,ROUNDDOWN($H35,0),CM$2)))))))*10,"")</f>
        <v/>
      </c>
      <c r="CN35" s="504">
        <f>IFERROR(10*AB35*'Inputs Yr 2'!AX35/((1+realdiscrt1)^-0.5),"")</f>
        <v>0</v>
      </c>
      <c r="CO35" s="505">
        <f t="shared" si="45"/>
        <v>0</v>
      </c>
      <c r="CP35" s="230">
        <f t="shared" si="46"/>
        <v>0</v>
      </c>
      <c r="CQ35" s="199">
        <f>ROUND(IFERROR(IF(LEFT($A35,1)="C",'Avoided Costs'!$K$13,'Avoided Costs'!$K$12)+1,""),4)</f>
        <v>1.0720000000000001</v>
      </c>
      <c r="CR35" s="199">
        <f>ROUND(IFERROR(IF(LEFT($A35,1)="C",'Avoided Costs'!$L$13,'Avoided Costs'!$L$12)+1,""),4)</f>
        <v>1.04</v>
      </c>
      <c r="CS35" s="199">
        <f>ROUND(IFERROR(IF(LEFT($A35,1)="C",'Avoided Costs'!$M$13,'Avoided Costs'!$M$12)+1,""),4)</f>
        <v>1.0720000000000001</v>
      </c>
      <c r="CT35" s="199">
        <f>ROUND(IFERROR(IF(LEFT($A35,1)="C",'Avoided Costs'!$N$13,'Avoided Costs'!$N$12)+1,""),4)</f>
        <v>1.04</v>
      </c>
      <c r="CU35" s="199">
        <f>ROUND(IFERROR(IF(LEFT($A35,1)="C",'Avoided Costs'!$O$13,'Avoided Costs'!$O$12)+1,""),4)</f>
        <v>1.1120000000000001</v>
      </c>
      <c r="CV35" s="199">
        <f>ROUND(IFERROR(IF(LEFT($A35,1)="C",'Avoided Costs'!$P$13,'Avoided Costs'!$P$12)+1,""),4)</f>
        <v>1.095</v>
      </c>
      <c r="CW35" s="199">
        <f>ROUND(IFERROR(IF(LEFT($A35,1)="C",'Avoided Costs'!$Q$13,'Avoided Costs'!$Q$12)+1,""),4)</f>
        <v>1.1120000000000001</v>
      </c>
      <c r="CX35" s="200">
        <f>ROUND(IFERROR(IF(LEFT($A35,1)="C",'Avoided Costs'!$R$13,'Avoided Costs'!$R$12)+1,""),4)</f>
        <v>1.1120000000000001</v>
      </c>
    </row>
    <row r="36" spans="1:102" ht="12.75" customHeight="1">
      <c r="A36" s="91" t="str">
        <f>IF('Inputs Yr 2'!$B36=0,"",'Inputs Yr 2'!A36)</f>
        <v>A - Residential</v>
      </c>
      <c r="B36" s="91" t="str">
        <f>IF('Inputs Yr 2'!$B36=0,"",'Inputs Yr 2'!B36)</f>
        <v>A1 - Residential Whole House</v>
      </c>
      <c r="C36" s="91" t="str">
        <f>IF('Inputs Yr 2'!$B36=0,"",'Inputs Yr 2'!C36)</f>
        <v>A1b - Residential Multi-Family Retrofit</v>
      </c>
      <c r="D36" s="91" t="str">
        <f>IF('Inputs Yr 2'!$B36=0,"",'Inputs Yr 2'!E36)</f>
        <v>LED Bulb</v>
      </c>
      <c r="E36" s="93" t="str">
        <f>IF('Inputs Yr 2'!$B36=0,"",'Inputs Yr 2'!F36)</f>
        <v>G17A1b21</v>
      </c>
      <c r="F36" s="93" t="str">
        <f>IF('Inputs Yr 2'!$B36=0,"",'Inputs Yr 2'!G36)</f>
        <v>Lighting</v>
      </c>
      <c r="G36" s="95" t="str">
        <f>IF('Inputs Yr 2'!$H36&lt;&gt;0,('Inputs Yr 2'!H36),"")</f>
        <v/>
      </c>
      <c r="H36" s="94">
        <f>IFERROR('Inputs Yr 2'!I36,"")</f>
        <v>0</v>
      </c>
      <c r="I36" s="298" t="str">
        <f>IFERROR('Inputs Yr 2'!J36*'Inputs Yr 2'!P36*G36,"")</f>
        <v/>
      </c>
      <c r="J36" s="298" t="str">
        <f>IFERROR('Inputs Yr 2'!K36*G36,"")</f>
        <v/>
      </c>
      <c r="K36" s="298" t="str">
        <f t="shared" si="23"/>
        <v/>
      </c>
      <c r="L36" s="194" t="str">
        <f>IFERROR(('Inputs Yr 2'!W36*G36)/1000,"")</f>
        <v/>
      </c>
      <c r="M36" s="194" t="str">
        <f>IFERROR(L36*('Inputs Yr 2'!$Q36*'Inputs Yr 2'!$V36*'Inputs Yr 2'!$R36),"")</f>
        <v/>
      </c>
      <c r="N36" s="194" t="str">
        <f t="shared" si="24"/>
        <v/>
      </c>
      <c r="O36" s="194" t="str">
        <f>IFERROR(M36*'Inputs Yr 2'!P36,"")</f>
        <v/>
      </c>
      <c r="P36" s="194" t="str">
        <f t="shared" si="25"/>
        <v/>
      </c>
      <c r="Q36" s="194" t="str">
        <f>IFERROR($P36*'Inputs Yr 2'!AA36,"")</f>
        <v/>
      </c>
      <c r="R36" s="194" t="str">
        <f>IFERROR($P36*'Inputs Yr 2'!AB36,"")</f>
        <v/>
      </c>
      <c r="S36" s="194" t="str">
        <f>IFERROR($P36*'Inputs Yr 2'!AC36,"")</f>
        <v/>
      </c>
      <c r="T36" s="194" t="str">
        <f>IFERROR($P36*'Inputs Yr 2'!AD36,"")</f>
        <v/>
      </c>
      <c r="U36" s="194" t="str">
        <f>IFERROR(G36*'Inputs Yr 2'!$AE36*'Inputs Yr 2'!$P36*'Inputs Yr 2'!$Q36,"")</f>
        <v/>
      </c>
      <c r="V36" s="194" t="str">
        <f>IFERROR($G36*'Inputs Yr 2'!$AE36*'Inputs Yr 2'!$AG36*'Inputs Yr 2'!Q36*'Inputs Yr 2'!$S36,"")</f>
        <v/>
      </c>
      <c r="W36" s="194" t="str">
        <f>IFERROR($G36*'Inputs Yr 2'!$AE36*'Inputs Yr 2'!$AG36*'Inputs Yr 2'!P36*'Inputs Yr 2'!Q36*'Inputs Yr 2'!$S36,"")</f>
        <v/>
      </c>
      <c r="X36" s="194" t="str">
        <f>IFERROR($G36*'Inputs Yr 2'!$AE36*'Inputs Yr 2'!$AF36*'Inputs Yr 2'!Q36*'Inputs Yr 2'!$T36,"")</f>
        <v/>
      </c>
      <c r="Y36" s="194" t="str">
        <f>IFERROR($G36*'Inputs Yr 2'!$AE36*'Inputs Yr 2'!$AF36*'Inputs Yr 2'!P36*'Inputs Yr 2'!Q36*'Inputs Yr 2'!$T36,"")</f>
        <v/>
      </c>
      <c r="Z36" s="257">
        <f>IFERROR($G36*'Inputs Yr 2'!$Q36*'Inputs Yr 2'!$U36*(IF(IFERROR(SEARCH("NG", 'Inputs Yr 2'!$AJ36),0),'Inputs Yr 2'!$AK36,0)+IF(IFERROR(SEARCH("NG", 'Inputs Yr 2'!$AL36),0),'Inputs Yr 2'!$AM36,0)+IF(IFERROR(SEARCH("NG", 'Inputs Yr 2'!$AN36),0),'Inputs Yr 2'!$AO36,0)),0)</f>
        <v>0</v>
      </c>
      <c r="AA36" s="257">
        <f t="shared" si="26"/>
        <v>0</v>
      </c>
      <c r="AB36" s="257">
        <f>IFERROR(Z36*'Inputs Yr 2'!$P36,0)</f>
        <v>0</v>
      </c>
      <c r="AC36" s="257">
        <f t="shared" si="27"/>
        <v>0</v>
      </c>
      <c r="AD36" s="257">
        <f>IFERROR($G36*'Inputs Yr 2'!$Q36*'Inputs Yr 2'!$U36*(IF(IFERROR(SEARCH("Oil", 'Inputs Yr 2'!$AJ36), 0),'Inputs Yr 2'!$AK36,0)+IF(IFERROR(SEARCH("Oil", 'Inputs Yr 2'!$AL36), 0),'Inputs Yr 2'!$AM36,0)+IF(IFERROR(SEARCH("Oil", 'Inputs Yr 2'!$AN36), 0),'Inputs Yr 2'!$AO36,0)),0)</f>
        <v>0</v>
      </c>
      <c r="AE36" s="257">
        <f t="shared" si="28"/>
        <v>0</v>
      </c>
      <c r="AF36" s="257">
        <f>IFERROR(AD36*'Inputs Yr 2'!$P36,0)</f>
        <v>0</v>
      </c>
      <c r="AG36" s="257">
        <f t="shared" si="29"/>
        <v>0</v>
      </c>
      <c r="AH36" s="257">
        <f>IFERROR($G36*'Inputs Yr 2'!$Q36*'Inputs Yr 2'!$U36*(IF('Inputs Yr 2'!$AJ36=CD$4,'Inputs Yr 2'!$AK36,IF('Inputs Yr 2'!$AL36=CD$4,'Inputs Yr 2'!$AM36,IF('Inputs Yr 2'!$AN36=CD$4,'Inputs Yr 2'!$AO36,0)))),0)</f>
        <v>0</v>
      </c>
      <c r="AI36" s="257">
        <f t="shared" si="30"/>
        <v>0</v>
      </c>
      <c r="AJ36" s="257">
        <f>IFERROR(AH36*'Inputs Yr 2'!$P36,0)</f>
        <v>0</v>
      </c>
      <c r="AK36" s="257">
        <f t="shared" si="31"/>
        <v>0</v>
      </c>
      <c r="AL36" s="258">
        <f>IFERROR($G36*'Inputs Yr 2'!$P36*'Inputs Yr 2'!$Q36*'Inputs Yr 2'!AP36,0)</f>
        <v>0</v>
      </c>
      <c r="AM36" s="260">
        <f>IFERROR($G36*'Inputs Yr 2'!$P36*'Inputs Yr 2'!$Q36*'Inputs Yr 2'!AQ36,0)</f>
        <v>0</v>
      </c>
      <c r="AN36" s="258">
        <f>IFERROR($G36*'Inputs Yr 2'!$P36*'Inputs Yr 2'!$Q36*'Inputs Yr 2'!AR36,0)</f>
        <v>0</v>
      </c>
      <c r="AO36" s="257">
        <f t="shared" si="32"/>
        <v>0</v>
      </c>
      <c r="AP36" s="195" t="str">
        <f>IFERROR($CQ36*(INDEX(avoidedcosttbl2,$H36,AP$2)+(($H36-ROUNDDOWN($H36,0))*(INDEX(avoidedcosttbl2,ROUNDUP($H36,0),AP$2)-(INDEX(avoidedcosttbl2,ROUNDDOWN($H36,0),AP$2)))))*$O36*1000*'Inputs Yr 2'!AA36,"")</f>
        <v/>
      </c>
      <c r="AQ36" s="195" t="str">
        <f>IFERROR($CR36*(INDEX(avoidedcosttbl2,$H36,AQ$2)+(($H36-ROUNDDOWN($H36,0))*(INDEX(avoidedcosttbl2,ROUNDUP($H36,0),AQ$2)-(INDEX(avoidedcosttbl2,ROUNDDOWN($H36,0),AQ$2)))))*$O36*1000*'Inputs Yr 2'!AB36,"")</f>
        <v/>
      </c>
      <c r="AR36" s="195" t="str">
        <f>IFERROR($CS36*(INDEX(avoidedcosttbl2,$H36,AR$2)+(($H36-ROUNDDOWN($H36,0))*(INDEX(avoidedcosttbl2,ROUNDUP($H36,0),AR$2)-(INDEX(avoidedcosttbl2,ROUNDDOWN($H36,0),AR$2)))))*$O36*1000*'Inputs Yr 2'!AC36,"")</f>
        <v/>
      </c>
      <c r="AS36" s="195" t="str">
        <f>IFERROR($CT36*(INDEX(avoidedcosttbl2,$H36,AS$2)+(($H36-ROUNDDOWN($H36,0))*(INDEX(avoidedcosttbl2,ROUNDUP($H36,0),AS$2)-(INDEX(avoidedcosttbl2,ROUNDDOWN($H36,0),AS$2)))))*$O36*1000*'Inputs Yr 2'!AD36,"")</f>
        <v/>
      </c>
      <c r="AT36" s="196">
        <f t="shared" si="33"/>
        <v>0</v>
      </c>
      <c r="AU36" s="197" t="str">
        <f>IFERROR($CQ36*((INDEX(avoidedcosttbl2,$H36,AU$2))+(($H36-ROUNDDOWN($H36,0))*((INDEX(avoidedcosttbl2,ROUNDUP($H36,0),AU$2))-(INDEX(avoidedcosttbl2,ROUNDDOWN($H36,0),AU$2)))))*$O36*1000*'Inputs Yr 2'!AA36,"")</f>
        <v/>
      </c>
      <c r="AV36" s="197" t="str">
        <f>IFERROR($CR36*((INDEX(avoidedcosttbl2,$H36,AV$2))+(($H36-ROUNDDOWN($H36,0))*((INDEX(avoidedcosttbl2,ROUNDUP($H36,0),AV$2))-(INDEX(avoidedcosttbl2,ROUNDDOWN($H36,0),AV$2)))))*$O36*1000*'Inputs Yr 2'!AB36,"")</f>
        <v/>
      </c>
      <c r="AW36" s="197" t="str">
        <f>IFERROR($CS36*((INDEX(avoidedcosttbl2,$H36,AW$2))+(($H36-ROUNDDOWN($H36,0))*((INDEX(avoidedcosttbl2,ROUNDUP($H36,0),AW$2))-(INDEX(avoidedcosttbl2,ROUNDDOWN($H36,0),AW$2)))))*$O36*1000*'Inputs Yr 2'!AC36,"")</f>
        <v/>
      </c>
      <c r="AX36" s="197" t="str">
        <f>IFERROR($CT36*((INDEX(avoidedcosttbl2,$H36,AX$2))+(($H36-ROUNDDOWN($H36,0))*((INDEX(avoidedcosttbl2,ROUNDUP($H36,0),AX$2))-(INDEX(avoidedcosttbl2,ROUNDDOWN($H36,0),AX$2)))))*$O36*1000*'Inputs Yr 2'!AD36,"")</f>
        <v/>
      </c>
      <c r="AY36" s="197" t="str">
        <f>IFERROR(((INDEX(avoidedcosttbl2,$H36,AY$2))+(($H36-ROUNDDOWN($H36,0))*((INDEX(avoidedcosttbl2,ROUNDUP($H36,0),AY$2))-(INDEX(avoidedcosttbl2,ROUNDDOWN($H36,0),AY$2)))))*$O36*1000*('Inputs Yr 2'!AC36+'Inputs Yr 2'!AD36),"")</f>
        <v/>
      </c>
      <c r="AZ36" s="197" t="str">
        <f>IFERROR(((INDEX(avoidedcosttbl2,$H36,AZ$2))+(($H36-ROUNDDOWN($H36,0))*((INDEX(avoidedcosttbl2,ROUNDUP($H36,0),AZ$2))-(INDEX(avoidedcosttbl2,ROUNDDOWN($H36,0),AZ$2)))))*$O36*1000*('Inputs Yr 2'!AA36+'Inputs Yr 2'!AB36),"")</f>
        <v/>
      </c>
      <c r="BA36" s="198">
        <f t="shared" si="34"/>
        <v>0</v>
      </c>
      <c r="BB36" s="198">
        <f t="shared" si="35"/>
        <v>0</v>
      </c>
      <c r="BC36" s="195" t="str">
        <f t="shared" si="10"/>
        <v/>
      </c>
      <c r="BD36" s="195" t="str">
        <f t="shared" si="11"/>
        <v/>
      </c>
      <c r="BE36" s="195" t="str">
        <f t="shared" si="12"/>
        <v/>
      </c>
      <c r="BF36" s="195" t="str">
        <f t="shared" si="13"/>
        <v/>
      </c>
      <c r="BG36" s="195" t="str">
        <f t="shared" si="14"/>
        <v/>
      </c>
      <c r="BH36" s="196">
        <f t="shared" si="36"/>
        <v>0</v>
      </c>
      <c r="BI36" s="196">
        <f t="shared" si="37"/>
        <v>0</v>
      </c>
      <c r="BJ36" s="195" t="str">
        <f>IFERROR($G36*(IF('Inputs Yr 2'!$AJ36=BJ$4,'Inputs Yr 2'!$AK36,IF('Inputs Yr 2'!$AL36=BJ$4,'Inputs Yr 2'!$AM36,IF('Inputs Yr 2'!$AN36=BJ$4,'Inputs Yr 2'!$AO36,0))))*(INDEX(avoidedcosttbl2,$H36,BJ$2)+(($H36-ROUNDDOWN($H36,0))*(INDEX(avoidedcosttbl2,ROUNDUP($H36,0),BJ$2)-(INDEX(avoidedcosttbl2,ROUNDDOWN($H36,0),BJ$2)))))*'Inputs Yr 2'!P36*'Inputs Yr 2'!Q36*'Inputs Yr 2'!U36,"")</f>
        <v/>
      </c>
      <c r="BK36" s="195" t="str">
        <f>IFERROR($G36*(IF('Inputs Yr 2'!$AJ36=BK$4,'Inputs Yr 2'!$AK36,IF('Inputs Yr 2'!$AL36=BK$4,'Inputs Yr 2'!$AM36,IF('Inputs Yr 2'!$AN36=BK$4,'Inputs Yr 2'!$AO36,0))))*(INDEX(avoidedcosttbl2,$H36,BK$2)+(($H36-ROUNDDOWN($H36,0))*(INDEX(avoidedcosttbl2,ROUNDUP($H36,0),BK$2)-(INDEX(avoidedcosttbl2,ROUNDDOWN($H36,0),BK$2)))))*'Inputs Yr 2'!P36*'Inputs Yr 2'!Q36*'Inputs Yr 2'!U36,"")</f>
        <v/>
      </c>
      <c r="BL36" s="195" t="str">
        <f>IFERROR($G36*(IF('Inputs Yr 2'!$AJ36=BL$4,'Inputs Yr 2'!$AK36,IF('Inputs Yr 2'!$AL36=BL$4,'Inputs Yr 2'!$AM36,IF('Inputs Yr 2'!$AN36=BL$4,'Inputs Yr 2'!$AO36,0))))*(INDEX(avoidedcosttbl2,$H36,BL$2)+(($H36-ROUNDDOWN($H36,0))*(INDEX(avoidedcosttbl2,ROUNDUP($H36,0),BL$2)-(INDEX(avoidedcosttbl2,ROUNDDOWN($H36,0),BL$2)))))*'Inputs Yr 2'!P36*'Inputs Yr 2'!Q36*'Inputs Yr 2'!U36,"")</f>
        <v/>
      </c>
      <c r="BM36" s="195" t="str">
        <f>IFERROR($G36*(IF('Inputs Yr 2'!$AJ36=BM$4,'Inputs Yr 2'!$AK36,IF('Inputs Yr 2'!$AL36=BM$4,'Inputs Yr 2'!$AM36,IF('Inputs Yr 2'!$AN36=BM$4,'Inputs Yr 2'!$AO36,0))))*(INDEX(avoidedcosttbl2,$H36,BM$2)+(($H36-ROUNDDOWN($H36,0))*(INDEX(avoidedcosttbl2,ROUNDUP($H36,0),BM$2)-(INDEX(avoidedcosttbl2,ROUNDDOWN($H36,0),BM$2)))))*'Inputs Yr 2'!P36*'Inputs Yr 2'!Q36*'Inputs Yr 2'!U36,"")</f>
        <v/>
      </c>
      <c r="BN36" s="195" t="str">
        <f>IFERROR($G36*(IF('Inputs Yr 2'!$AJ36=BN$4,'Inputs Yr 2'!$AK36,IF('Inputs Yr 2'!$AL36=BN$4,'Inputs Yr 2'!$AM36,IF('Inputs Yr 2'!$AN36=BN$4,'Inputs Yr 2'!$AO36,0))))*(INDEX(avoidedcosttbl2,$H36,BN$2)+(($H36-ROUNDDOWN($H36,0))*(INDEX(avoidedcosttbl2,ROUNDUP($H36,0),BN$2)-(INDEX(avoidedcosttbl2,ROUNDDOWN($H36,0),BN$2)))))*'Inputs Yr 2'!P36*'Inputs Yr 2'!Q36*'Inputs Yr 2'!U36,"")</f>
        <v/>
      </c>
      <c r="BO36" s="195" t="str">
        <f>IFERROR($G36*(IF('Inputs Yr 2'!$AJ36=BO$4,'Inputs Yr 2'!$AK36,IF('Inputs Yr 2'!$AL36=BO$4,'Inputs Yr 2'!$AM36,IF('Inputs Yr 2'!$AN36=BO$4,'Inputs Yr 2'!$AO36,0))))*(INDEX(avoidedcosttbl2,$H36,BO$2)+(($H36-ROUNDDOWN($H36,0))*(INDEX(avoidedcosttbl2,ROUNDUP($H36,0),BO$2)-(INDEX(avoidedcosttbl2,ROUNDDOWN($H36,0),BO$2)))))*'Inputs Yr 2'!P36*'Inputs Yr 2'!Q36*'Inputs Yr 2'!U36,"")</f>
        <v/>
      </c>
      <c r="BP36" s="195" t="str">
        <f>IFERROR($G36*(IF('Inputs Yr 2'!$AJ36=BP$4,'Inputs Yr 2'!$AK36,IF('Inputs Yr 2'!$AL36=BP$4,'Inputs Yr 2'!$AM36,IF('Inputs Yr 2'!$AN36=BP$4,'Inputs Yr 2'!$AO36,0))))*(INDEX(avoidedcosttbl2,$H36,BP$2)+(($H36-ROUNDDOWN($H36,0))*(INDEX(avoidedcosttbl2,ROUNDUP($H36,0),BP$2)-(INDEX(avoidedcosttbl2,ROUNDDOWN($H36,0),BP$2)))))*'Inputs Yr 2'!P36*'Inputs Yr 2'!Q36*'Inputs Yr 2'!U36,"")</f>
        <v/>
      </c>
      <c r="BQ36" s="230">
        <f t="shared" si="38"/>
        <v>0</v>
      </c>
      <c r="BR36" s="197" t="str">
        <f t="shared" si="17"/>
        <v/>
      </c>
      <c r="BS36" s="197" t="str">
        <f>IFERROR(($G36*IF('Inputs Yr 2'!$AJ36=BM$4,'Inputs Yr 2'!$AK36,IF('Inputs Yr 2'!$AL36=BM$4,'Inputs Yr 2'!$AM36,IF('Inputs Yr 2'!$AN36=BM$4,'Inputs Yr 2'!$AO36,0))))*(INDEX(avoidedcosttbl2,$H36,BS$2)+(($H36-ROUNDDOWN($H36,0))*(INDEX(avoidedcosttbl2,ROUNDUP($H36,0),BS$2)-(INDEX(avoidedcosttbl2,ROUNDDOWN($H36,0),BS$2)))))*'Inputs Yr 2'!P36*'Inputs Yr 2'!Q36*'Inputs Yr 2'!U36,"")</f>
        <v/>
      </c>
      <c r="BT36" s="197" t="str">
        <f>IFERROR(($G36*IF('Inputs Yr 2'!$AJ36=BK$4,'Inputs Yr 2'!$AK36,IF('Inputs Yr 2'!$AL36=BK$4,'Inputs Yr 2'!$AM36,IF('Inputs Yr 2'!$AN36=BK$4,'Inputs Yr 2'!$AO36,0))))*(INDEX(avoidedcosttbl2,$H36,BT$2)+(($H36-ROUNDDOWN($H36,0))*(INDEX(avoidedcosttbl2,ROUNDUP($H36,0),BT$2)-(INDEX(avoidedcosttbl2,ROUNDDOWN($H36,0),BT$2)))))*'Inputs Yr 2'!P36*'Inputs Yr 2'!Q36*'Inputs Yr 2'!U36,"")</f>
        <v/>
      </c>
      <c r="BU36" s="197" t="str">
        <f>IFERROR(($G36*IF('Inputs Yr 2'!$AJ36=BL$4,'Inputs Yr 2'!$AK36,IF('Inputs Yr 2'!$AL36=BL$4,'Inputs Yr 2'!$AM36,IF('Inputs Yr 2'!$AN36=BL$4,'Inputs Yr 2'!$AO36,0))))*(INDEX(avoidedcosttbl2,$H36,BU$2)+(($H36-ROUNDDOWN($H36,0))*(INDEX(avoidedcosttbl2,ROUNDUP($H36,0),BU$2)-(INDEX(avoidedcosttbl2,ROUNDDOWN($H36,0),BU$2)))))*'Inputs Yr 2'!P36*'Inputs Yr 2'!Q36*'Inputs Yr 2'!U36,"")</f>
        <v/>
      </c>
      <c r="BV36" s="775" t="str">
        <f>IFERROR(($G36*IF('Inputs Yr 2'!$AJ36=BJ$4,'Inputs Yr 2'!$AK36,IF('Inputs Yr 2'!$AL36=BJ$4,'Inputs Yr 2'!$AM36,IF('Inputs Yr 2'!$AN36=BJ$4,'Inputs Yr 2'!$AO36,0))))*(INDEX(avoidedcosttbl2,$H36,BV$2)+(($H36-ROUNDDOWN($H36,0))*(INDEX(avoidedcosttbl2,ROUNDUP($H36,0),BV$2)-(INDEX(avoidedcosttbl2,ROUNDDOWN($H36,0),BV$2)))))*'Inputs Yr 2'!P36*'Inputs Yr 2'!Q36*'Inputs Yr 2'!U36,"")</f>
        <v/>
      </c>
      <c r="BW36" s="197" t="str">
        <f>IFERROR(($G36*IF('Inputs Yr 2'!$AJ36=BN$4,'Inputs Yr 2'!$AK36,IF('Inputs Yr 2'!$AL36=BN$4,'Inputs Yr 2'!$AM36,IF('Inputs Yr 2'!$AN36=BN$4,'Inputs Yr 2'!$AO36,0))))*(INDEX(avoidedcosttbl2,$H36,BW$2)+(($H36-ROUNDDOWN($H36,0))*(INDEX(avoidedcosttbl2,ROUNDUP($H36,0),BW$2)-(INDEX(avoidedcosttbl2,ROUNDDOWN($H36,0),BW$2)))))*'Inputs Yr 2'!P36*'Inputs Yr 2'!Q36*'Inputs Yr 2'!U36,"")</f>
        <v/>
      </c>
      <c r="BX36" s="197" t="str">
        <f>IFERROR(($G36*IF('Inputs Yr 2'!$AJ36=BO$4,'Inputs Yr 2'!$AK36,IF('Inputs Yr 2'!$AL36=BO$4,'Inputs Yr 2'!$AM36,IF('Inputs Yr 2'!$AN36=BO$4,'Inputs Yr 2'!$AO36,0))))*(INDEX(avoidedcosttbl2,$H36,BX$2)+(($H36-ROUNDDOWN($H36,0))*(INDEX(avoidedcosttbl2,ROUNDUP($H36,0),BX$2)-(INDEX(avoidedcosttbl2,ROUNDDOWN($H36,0),BX$2)))))*'Inputs Yr 2'!P36*'Inputs Yr 2'!Q36*'Inputs Yr 2'!U36,"")</f>
        <v/>
      </c>
      <c r="BY36" s="197" t="str">
        <f>IFERROR(($G36*IF('Inputs Yr 2'!$AJ36=BP$4,'Inputs Yr 2'!$AK36,IF('Inputs Yr 2'!$AL36=BP$4,'Inputs Yr 2'!$AM36,IF('Inputs Yr 2'!$AN36=BP$4,'Inputs Yr 2'!$AO36,0))))*(INDEX(avoidedcosttbl2,$H36,BY$2)+(($H36-ROUNDDOWN($H36,0))*(INDEX(avoidedcosttbl2,ROUNDUP($H36,0),BY$2)-(INDEX(avoidedcosttbl2,ROUNDDOWN($H36,0),BY$2)))))*'Inputs Yr 2'!P36*'Inputs Yr 2'!Q36*'Inputs Yr 2'!U36,"")</f>
        <v/>
      </c>
      <c r="BZ36" s="193">
        <f t="shared" si="39"/>
        <v>0</v>
      </c>
      <c r="CA36" s="193">
        <f t="shared" si="40"/>
        <v>0</v>
      </c>
      <c r="CB36" s="195" t="str">
        <f>IFERROR(G36*(IF('Inputs Yr 2'!$AJ36=CB$4,'Inputs Yr 2'!$AK36,IF('Inputs Yr 2'!$AL36=CB$4,'Inputs Yr 2'!$AM36,IF('Inputs Yr 2'!$AN36=CB$4,'Inputs Yr 2'!$AO36,0))))*(INDEX(avoidedcosttbl2,$H36,CB$2)+(($H36-ROUNDDOWN($H36,0))*(INDEX(avoidedcosttbl2,ROUNDUP($H36,0),CB$2)-(INDEX(avoidedcosttbl2,ROUNDDOWN($H36,0),CB$2)))))*'Inputs Yr 2'!P36*'Inputs Yr 2'!Q36*'Inputs Yr 2'!U36,"")</f>
        <v/>
      </c>
      <c r="CC36" s="195" t="str">
        <f>IFERROR(H36*(IF('Inputs Yr 2'!$AJ36=CC$4,'Inputs Yr 2'!$AK36,IF('Inputs Yr 2'!$AL36=CC$4,'Inputs Yr 2'!$AM36,IF('Inputs Yr 2'!$AN36=CC$4,'Inputs Yr 2'!$AO36,0))))*(INDEX(avoidedcosttbl2,$H36,CC$2)+(($H36-ROUNDDOWN($H36,0))*(INDEX(avoidedcosttbl2,ROUNDUP($H36,0),CC$2)-(INDEX(avoidedcosttbl2,ROUNDDOWN($H36,0),CC$2)))))*'Inputs Yr 2'!Q36*'Inputs Yr 2'!R36*'Inputs Yr 2'!V36,"")</f>
        <v/>
      </c>
      <c r="CD36" s="195" t="str">
        <f>IFERROR(I36*(IF('Inputs Yr 2'!$AJ36=CD$4,'Inputs Yr 2'!$AK36,IF('Inputs Yr 2'!$AL36=CD$4,'Inputs Yr 2'!$AM36,IF('Inputs Yr 2'!$AN36=CD$4,'Inputs Yr 2'!$AO36,0))))*(INDEX(avoidedcosttbl2,$H36,CD$2)+(($H36-ROUNDDOWN($H36,0))*(INDEX(avoidedcosttbl2,ROUNDUP($H36,0),CD$2)-(INDEX(avoidedcosttbl2,ROUNDDOWN($H36,0),CD$2)))))*'Inputs Yr 2'!R36*'Inputs Yr 2'!S36*'Inputs Yr 2'!W36,"")</f>
        <v/>
      </c>
      <c r="CE36" s="213" t="str">
        <f t="shared" si="41"/>
        <v/>
      </c>
      <c r="CF36" s="213" t="str">
        <f t="shared" si="42"/>
        <v/>
      </c>
      <c r="CG36" s="213" t="str">
        <f t="shared" si="43"/>
        <v/>
      </c>
      <c r="CH36" s="698">
        <f t="shared" si="44"/>
        <v>0</v>
      </c>
      <c r="CI36" s="79" t="str">
        <f>IFERROR(($G36*'Inputs Yr 2'!$P36*'Inputs Yr 2'!$Q36*(((INDEX(avoidedcosttbl2,$H36,CI$2)+(($H36-ROUNDDOWN($H36,0))*(INDEX(avoidedcosttbl2,ROUNDUP($H36,0),CI$2)-INDEX(avoidedcosttbl2,ROUNDDOWN($H36,0),CI$2))))*'Inputs Yr 2'!AS36))),"")</f>
        <v/>
      </c>
      <c r="CJ36" s="504" t="str">
        <f>IFERROR($G36*'Inputs Yr 2'!AT36*'Inputs Yr 2'!$P36*'Inputs Yr 2'!$Q36/((1+realdiscrt1)^-0.5),"")</f>
        <v/>
      </c>
      <c r="CK36" s="79" t="str">
        <f>IFERROR((O36*1000*(((INDEX(avoidedcosttbl2,$H36,CK$2)+(($H36-ROUNDDOWN($H36,0))*(INDEX(avoidedcosttbl2,ROUNDUP($H36,0),CK$2)-INDEX(avoidedcosttbl2,ROUNDDOWN($H36,0),CK$2))))*'Inputs Yr 2'!AU36))),"")</f>
        <v/>
      </c>
      <c r="CL36" s="504" t="str">
        <f>IFERROR(O36*1000*'Inputs Yr 2'!AV36/((1+realdiscrt1)^-0.5),"")</f>
        <v/>
      </c>
      <c r="CM36" s="79" t="str">
        <f>IFERROR((AB36*'Inputs Yr 2'!AW36*(((INDEX(avoidedcosttbl2,$H36,CM$2)+(($H36-ROUNDDOWN($H36,0))*(INDEX(avoidedcosttbl2,ROUNDUP($H36,0),CM$2)-INDEX(avoidedcosttbl2,ROUNDDOWN($H36,0),CM$2)))))))*10,"")</f>
        <v/>
      </c>
      <c r="CN36" s="504">
        <f>IFERROR(10*AB36*'Inputs Yr 2'!AX36/((1+realdiscrt1)^-0.5),"")</f>
        <v>0</v>
      </c>
      <c r="CO36" s="505">
        <f t="shared" si="45"/>
        <v>0</v>
      </c>
      <c r="CP36" s="230">
        <f t="shared" si="46"/>
        <v>0</v>
      </c>
      <c r="CQ36" s="199">
        <f>ROUND(IFERROR(IF(LEFT($A36,1)="C",'Avoided Costs'!$K$13,'Avoided Costs'!$K$12)+1,""),4)</f>
        <v>1.0720000000000001</v>
      </c>
      <c r="CR36" s="199">
        <f>ROUND(IFERROR(IF(LEFT($A36,1)="C",'Avoided Costs'!$L$13,'Avoided Costs'!$L$12)+1,""),4)</f>
        <v>1.04</v>
      </c>
      <c r="CS36" s="199">
        <f>ROUND(IFERROR(IF(LEFT($A36,1)="C",'Avoided Costs'!$M$13,'Avoided Costs'!$M$12)+1,""),4)</f>
        <v>1.0720000000000001</v>
      </c>
      <c r="CT36" s="199">
        <f>ROUND(IFERROR(IF(LEFT($A36,1)="C",'Avoided Costs'!$N$13,'Avoided Costs'!$N$12)+1,""),4)</f>
        <v>1.04</v>
      </c>
      <c r="CU36" s="199">
        <f>ROUND(IFERROR(IF(LEFT($A36,1)="C",'Avoided Costs'!$O$13,'Avoided Costs'!$O$12)+1,""),4)</f>
        <v>1.1120000000000001</v>
      </c>
      <c r="CV36" s="199">
        <f>ROUND(IFERROR(IF(LEFT($A36,1)="C",'Avoided Costs'!$P$13,'Avoided Costs'!$P$12)+1,""),4)</f>
        <v>1.095</v>
      </c>
      <c r="CW36" s="199">
        <f>ROUND(IFERROR(IF(LEFT($A36,1)="C",'Avoided Costs'!$Q$13,'Avoided Costs'!$Q$12)+1,""),4)</f>
        <v>1.1120000000000001</v>
      </c>
      <c r="CX36" s="200">
        <f>ROUND(IFERROR(IF(LEFT($A36,1)="C",'Avoided Costs'!$R$13,'Avoided Costs'!$R$12)+1,""),4)</f>
        <v>1.1120000000000001</v>
      </c>
    </row>
    <row r="37" spans="1:102" ht="12.75" customHeight="1">
      <c r="A37" s="91" t="str">
        <f>IF('Inputs Yr 2'!$B37=0,"",'Inputs Yr 2'!A37)</f>
        <v>A - Residential</v>
      </c>
      <c r="B37" s="91" t="str">
        <f>IF('Inputs Yr 2'!$B37=0,"",'Inputs Yr 2'!B37)</f>
        <v>A1 - Residential Whole House</v>
      </c>
      <c r="C37" s="91" t="str">
        <f>IF('Inputs Yr 2'!$B37=0,"",'Inputs Yr 2'!C37)</f>
        <v>A1b - Residential Multi-Family Retrofit</v>
      </c>
      <c r="D37" s="91" t="str">
        <f>IF('Inputs Yr 2'!$B37=0,"",'Inputs Yr 2'!E37)</f>
        <v>Controls - Custom</v>
      </c>
      <c r="E37" s="93" t="str">
        <f>IF('Inputs Yr 2'!$B37=0,"",'Inputs Yr 2'!F37)</f>
        <v>G16A1b22</v>
      </c>
      <c r="F37" s="93" t="str">
        <f>IF('Inputs Yr 2'!$B37=0,"",'Inputs Yr 2'!G37)</f>
        <v>HVAC</v>
      </c>
      <c r="G37" s="95">
        <f>IF('Inputs Yr 2'!$H37&lt;&gt;0,('Inputs Yr 2'!H37),"")</f>
        <v>1</v>
      </c>
      <c r="H37" s="94">
        <f>IFERROR('Inputs Yr 2'!I37,"")</f>
        <v>15</v>
      </c>
      <c r="I37" s="298">
        <f>IFERROR('Inputs Yr 2'!J37*'Inputs Yr 2'!P37*G37,"")</f>
        <v>6000</v>
      </c>
      <c r="J37" s="298">
        <f>IFERROR('Inputs Yr 2'!K37*G37,"")</f>
        <v>4500</v>
      </c>
      <c r="K37" s="298">
        <f t="shared" si="23"/>
        <v>1500</v>
      </c>
      <c r="L37" s="194">
        <f>IFERROR(('Inputs Yr 2'!W37*G37)/1000,"")</f>
        <v>0</v>
      </c>
      <c r="M37" s="194">
        <f>IFERROR(L37*('Inputs Yr 2'!$Q37*'Inputs Yr 2'!$V37*'Inputs Yr 2'!$R37),"")</f>
        <v>0</v>
      </c>
      <c r="N37" s="194">
        <f t="shared" si="24"/>
        <v>0</v>
      </c>
      <c r="O37" s="194">
        <f>IFERROR(M37*'Inputs Yr 2'!P37,"")</f>
        <v>0</v>
      </c>
      <c r="P37" s="194">
        <f t="shared" si="25"/>
        <v>0</v>
      </c>
      <c r="Q37" s="194">
        <f>IFERROR($P37*'Inputs Yr 2'!AA37,"")</f>
        <v>0</v>
      </c>
      <c r="R37" s="194">
        <f>IFERROR($P37*'Inputs Yr 2'!AB37,"")</f>
        <v>0</v>
      </c>
      <c r="S37" s="194">
        <f>IFERROR($P37*'Inputs Yr 2'!AC37,"")</f>
        <v>0</v>
      </c>
      <c r="T37" s="194">
        <f>IFERROR($P37*'Inputs Yr 2'!AD37,"")</f>
        <v>0</v>
      </c>
      <c r="U37" s="194">
        <f>IFERROR(G37*'Inputs Yr 2'!$AE37*'Inputs Yr 2'!$P37*'Inputs Yr 2'!$Q37,"")</f>
        <v>0</v>
      </c>
      <c r="V37" s="194">
        <f>IFERROR($G37*'Inputs Yr 2'!$AE37*'Inputs Yr 2'!$AG37*'Inputs Yr 2'!Q37*'Inputs Yr 2'!$S37,"")</f>
        <v>0</v>
      </c>
      <c r="W37" s="194">
        <f>IFERROR($G37*'Inputs Yr 2'!$AE37*'Inputs Yr 2'!$AG37*'Inputs Yr 2'!P37*'Inputs Yr 2'!Q37*'Inputs Yr 2'!$S37,"")</f>
        <v>0</v>
      </c>
      <c r="X37" s="194">
        <f>IFERROR($G37*'Inputs Yr 2'!$AE37*'Inputs Yr 2'!$AF37*'Inputs Yr 2'!Q37*'Inputs Yr 2'!$T37,"")</f>
        <v>0</v>
      </c>
      <c r="Y37" s="194">
        <f>IFERROR($G37*'Inputs Yr 2'!$AE37*'Inputs Yr 2'!$AF37*'Inputs Yr 2'!P37*'Inputs Yr 2'!Q37*'Inputs Yr 2'!$T37,"")</f>
        <v>0</v>
      </c>
      <c r="Z37" s="257">
        <f>IFERROR($G37*'Inputs Yr 2'!$Q37*'Inputs Yr 2'!$U37*(IF(IFERROR(SEARCH("NG", 'Inputs Yr 2'!$AJ37),0),'Inputs Yr 2'!$AK37,0)+IF(IFERROR(SEARCH("NG", 'Inputs Yr 2'!$AL37),0),'Inputs Yr 2'!$AM37,0)+IF(IFERROR(SEARCH("NG", 'Inputs Yr 2'!$AN37),0),'Inputs Yr 2'!$AO37,0)),0)</f>
        <v>30.600999999999999</v>
      </c>
      <c r="AA37" s="257">
        <f t="shared" si="26"/>
        <v>459.01499999999999</v>
      </c>
      <c r="AB37" s="257">
        <f>IFERROR(Z37*'Inputs Yr 2'!$P37,0)</f>
        <v>30.600999999999999</v>
      </c>
      <c r="AC37" s="257">
        <f t="shared" si="27"/>
        <v>459.01499999999999</v>
      </c>
      <c r="AD37" s="257">
        <f>IFERROR($G37*'Inputs Yr 2'!$Q37*'Inputs Yr 2'!$U37*(IF(IFERROR(SEARCH("Oil", 'Inputs Yr 2'!$AJ37), 0),'Inputs Yr 2'!$AK37,0)+IF(IFERROR(SEARCH("Oil", 'Inputs Yr 2'!$AL37), 0),'Inputs Yr 2'!$AM37,0)+IF(IFERROR(SEARCH("Oil", 'Inputs Yr 2'!$AN37), 0),'Inputs Yr 2'!$AO37,0)),0)</f>
        <v>0</v>
      </c>
      <c r="AE37" s="257">
        <f t="shared" si="28"/>
        <v>0</v>
      </c>
      <c r="AF37" s="257">
        <f>IFERROR(AD37*'Inputs Yr 2'!$P37,0)</f>
        <v>0</v>
      </c>
      <c r="AG37" s="257">
        <f t="shared" si="29"/>
        <v>0</v>
      </c>
      <c r="AH37" s="257">
        <f>IFERROR($G37*'Inputs Yr 2'!$Q37*'Inputs Yr 2'!$U37*(IF('Inputs Yr 2'!$AJ37=CD$4,'Inputs Yr 2'!$AK37,IF('Inputs Yr 2'!$AL37=CD$4,'Inputs Yr 2'!$AM37,IF('Inputs Yr 2'!$AN37=CD$4,'Inputs Yr 2'!$AO37,0)))),0)</f>
        <v>0</v>
      </c>
      <c r="AI37" s="257">
        <f t="shared" si="30"/>
        <v>0</v>
      </c>
      <c r="AJ37" s="257">
        <f>IFERROR(AH37*'Inputs Yr 2'!$P37,0)</f>
        <v>0</v>
      </c>
      <c r="AK37" s="257">
        <f t="shared" si="31"/>
        <v>0</v>
      </c>
      <c r="AL37" s="258">
        <f>IFERROR($G37*'Inputs Yr 2'!$P37*'Inputs Yr 2'!$Q37*'Inputs Yr 2'!AP37,0)</f>
        <v>0</v>
      </c>
      <c r="AM37" s="260">
        <f>IFERROR($G37*'Inputs Yr 2'!$P37*'Inputs Yr 2'!$Q37*'Inputs Yr 2'!AQ37,0)</f>
        <v>0</v>
      </c>
      <c r="AN37" s="258">
        <f>IFERROR($G37*'Inputs Yr 2'!$P37*'Inputs Yr 2'!$Q37*'Inputs Yr 2'!AR37,0)</f>
        <v>0</v>
      </c>
      <c r="AO37" s="257">
        <f t="shared" si="32"/>
        <v>0</v>
      </c>
      <c r="AP37" s="195">
        <f>IFERROR($CQ37*(INDEX(avoidedcosttbl2,$H37,AP$2)+(($H37-ROUNDDOWN($H37,0))*(INDEX(avoidedcosttbl2,ROUNDUP($H37,0),AP$2)-(INDEX(avoidedcosttbl2,ROUNDDOWN($H37,0),AP$2)))))*$O37*1000*'Inputs Yr 2'!AA37,"")</f>
        <v>0</v>
      </c>
      <c r="AQ37" s="195">
        <f>IFERROR($CR37*(INDEX(avoidedcosttbl2,$H37,AQ$2)+(($H37-ROUNDDOWN($H37,0))*(INDEX(avoidedcosttbl2,ROUNDUP($H37,0),AQ$2)-(INDEX(avoidedcosttbl2,ROUNDDOWN($H37,0),AQ$2)))))*$O37*1000*'Inputs Yr 2'!AB37,"")</f>
        <v>0</v>
      </c>
      <c r="AR37" s="195">
        <f>IFERROR($CS37*(INDEX(avoidedcosttbl2,$H37,AR$2)+(($H37-ROUNDDOWN($H37,0))*(INDEX(avoidedcosttbl2,ROUNDUP($H37,0),AR$2)-(INDEX(avoidedcosttbl2,ROUNDDOWN($H37,0),AR$2)))))*$O37*1000*'Inputs Yr 2'!AC37,"")</f>
        <v>0</v>
      </c>
      <c r="AS37" s="195">
        <f>IFERROR($CT37*(INDEX(avoidedcosttbl2,$H37,AS$2)+(($H37-ROUNDDOWN($H37,0))*(INDEX(avoidedcosttbl2,ROUNDUP($H37,0),AS$2)-(INDEX(avoidedcosttbl2,ROUNDDOWN($H37,0),AS$2)))))*$O37*1000*'Inputs Yr 2'!AD37,"")</f>
        <v>0</v>
      </c>
      <c r="AT37" s="196">
        <f t="shared" si="33"/>
        <v>0</v>
      </c>
      <c r="AU37" s="197">
        <f>IFERROR($CQ37*((INDEX(avoidedcosttbl2,$H37,AU$2))+(($H37-ROUNDDOWN($H37,0))*((INDEX(avoidedcosttbl2,ROUNDUP($H37,0),AU$2))-(INDEX(avoidedcosttbl2,ROUNDDOWN($H37,0),AU$2)))))*$O37*1000*'Inputs Yr 2'!AA37,"")</f>
        <v>0</v>
      </c>
      <c r="AV37" s="197">
        <f>IFERROR($CR37*((INDEX(avoidedcosttbl2,$H37,AV$2))+(($H37-ROUNDDOWN($H37,0))*((INDEX(avoidedcosttbl2,ROUNDUP($H37,0),AV$2))-(INDEX(avoidedcosttbl2,ROUNDDOWN($H37,0),AV$2)))))*$O37*1000*'Inputs Yr 2'!AB37,"")</f>
        <v>0</v>
      </c>
      <c r="AW37" s="197">
        <f>IFERROR($CS37*((INDEX(avoidedcosttbl2,$H37,AW$2))+(($H37-ROUNDDOWN($H37,0))*((INDEX(avoidedcosttbl2,ROUNDUP($H37,0),AW$2))-(INDEX(avoidedcosttbl2,ROUNDDOWN($H37,0),AW$2)))))*$O37*1000*'Inputs Yr 2'!AC37,"")</f>
        <v>0</v>
      </c>
      <c r="AX37" s="197">
        <f>IFERROR($CT37*((INDEX(avoidedcosttbl2,$H37,AX$2))+(($H37-ROUNDDOWN($H37,0))*((INDEX(avoidedcosttbl2,ROUNDUP($H37,0),AX$2))-(INDEX(avoidedcosttbl2,ROUNDDOWN($H37,0),AX$2)))))*$O37*1000*'Inputs Yr 2'!AD37,"")</f>
        <v>0</v>
      </c>
      <c r="AY37" s="197">
        <f>IFERROR(((INDEX(avoidedcosttbl2,$H37,AY$2))+(($H37-ROUNDDOWN($H37,0))*((INDEX(avoidedcosttbl2,ROUNDUP($H37,0),AY$2))-(INDEX(avoidedcosttbl2,ROUNDDOWN($H37,0),AY$2)))))*$O37*1000*('Inputs Yr 2'!AC37+'Inputs Yr 2'!AD37),"")</f>
        <v>0</v>
      </c>
      <c r="AZ37" s="197">
        <f>IFERROR(((INDEX(avoidedcosttbl2,$H37,AZ$2))+(($H37-ROUNDDOWN($H37,0))*((INDEX(avoidedcosttbl2,ROUNDUP($H37,0),AZ$2))-(INDEX(avoidedcosttbl2,ROUNDDOWN($H37,0),AZ$2)))))*$O37*1000*('Inputs Yr 2'!AA37+'Inputs Yr 2'!AB37),"")</f>
        <v>0</v>
      </c>
      <c r="BA37" s="198">
        <f t="shared" si="34"/>
        <v>0</v>
      </c>
      <c r="BB37" s="198">
        <f t="shared" si="35"/>
        <v>0</v>
      </c>
      <c r="BC37" s="195">
        <f t="shared" si="10"/>
        <v>0</v>
      </c>
      <c r="BD37" s="195">
        <f t="shared" si="11"/>
        <v>0</v>
      </c>
      <c r="BE37" s="195">
        <f t="shared" si="12"/>
        <v>0</v>
      </c>
      <c r="BF37" s="195">
        <f t="shared" si="13"/>
        <v>0</v>
      </c>
      <c r="BG37" s="195">
        <f t="shared" si="14"/>
        <v>0</v>
      </c>
      <c r="BH37" s="196">
        <f t="shared" si="36"/>
        <v>0</v>
      </c>
      <c r="BI37" s="196">
        <f t="shared" si="37"/>
        <v>0</v>
      </c>
      <c r="BJ37" s="195">
        <f>IFERROR($G37*(IF('Inputs Yr 2'!$AJ37=BJ$4,'Inputs Yr 2'!$AK37,IF('Inputs Yr 2'!$AL37=BJ$4,'Inputs Yr 2'!$AM37,IF('Inputs Yr 2'!$AN37=BJ$4,'Inputs Yr 2'!$AO37,0))))*(INDEX(avoidedcosttbl2,$H37,BJ$2)+(($H37-ROUNDDOWN($H37,0))*(INDEX(avoidedcosttbl2,ROUNDUP($H37,0),BJ$2)-(INDEX(avoidedcosttbl2,ROUNDDOWN($H37,0),BJ$2)))))*'Inputs Yr 2'!P37*'Inputs Yr 2'!Q37*'Inputs Yr 2'!U37,"")</f>
        <v>0</v>
      </c>
      <c r="BK37" s="195">
        <f>IFERROR($G37*(IF('Inputs Yr 2'!$AJ37=BK$4,'Inputs Yr 2'!$AK37,IF('Inputs Yr 2'!$AL37=BK$4,'Inputs Yr 2'!$AM37,IF('Inputs Yr 2'!$AN37=BK$4,'Inputs Yr 2'!$AO37,0))))*(INDEX(avoidedcosttbl2,$H37,BK$2)+(($H37-ROUNDDOWN($H37,0))*(INDEX(avoidedcosttbl2,ROUNDUP($H37,0),BK$2)-(INDEX(avoidedcosttbl2,ROUNDDOWN($H37,0),BK$2)))))*'Inputs Yr 2'!P37*'Inputs Yr 2'!Q37*'Inputs Yr 2'!U37,"")</f>
        <v>0</v>
      </c>
      <c r="BL37" s="195">
        <f>IFERROR($G37*(IF('Inputs Yr 2'!$AJ37=BL$4,'Inputs Yr 2'!$AK37,IF('Inputs Yr 2'!$AL37=BL$4,'Inputs Yr 2'!$AM37,IF('Inputs Yr 2'!$AN37=BL$4,'Inputs Yr 2'!$AO37,0))))*(INDEX(avoidedcosttbl2,$H37,BL$2)+(($H37-ROUNDDOWN($H37,0))*(INDEX(avoidedcosttbl2,ROUNDUP($H37,0),BL$2)-(INDEX(avoidedcosttbl2,ROUNDDOWN($H37,0),BL$2)))))*'Inputs Yr 2'!P37*'Inputs Yr 2'!Q37*'Inputs Yr 2'!U37,"")</f>
        <v>3870.745997021143</v>
      </c>
      <c r="BM37" s="195">
        <f>IFERROR($G37*(IF('Inputs Yr 2'!$AJ37=BM$4,'Inputs Yr 2'!$AK37,IF('Inputs Yr 2'!$AL37=BM$4,'Inputs Yr 2'!$AM37,IF('Inputs Yr 2'!$AN37=BM$4,'Inputs Yr 2'!$AO37,0))))*(INDEX(avoidedcosttbl2,$H37,BM$2)+(($H37-ROUNDDOWN($H37,0))*(INDEX(avoidedcosttbl2,ROUNDUP($H37,0),BM$2)-(INDEX(avoidedcosttbl2,ROUNDDOWN($H37,0),BM$2)))))*'Inputs Yr 2'!P37*'Inputs Yr 2'!Q37*'Inputs Yr 2'!U37,"")</f>
        <v>0</v>
      </c>
      <c r="BN37" s="195">
        <f>IFERROR($G37*(IF('Inputs Yr 2'!$AJ37=BN$4,'Inputs Yr 2'!$AK37,IF('Inputs Yr 2'!$AL37=BN$4,'Inputs Yr 2'!$AM37,IF('Inputs Yr 2'!$AN37=BN$4,'Inputs Yr 2'!$AO37,0))))*(INDEX(avoidedcosttbl2,$H37,BN$2)+(($H37-ROUNDDOWN($H37,0))*(INDEX(avoidedcosttbl2,ROUNDUP($H37,0),BN$2)-(INDEX(avoidedcosttbl2,ROUNDDOWN($H37,0),BN$2)))))*'Inputs Yr 2'!P37*'Inputs Yr 2'!Q37*'Inputs Yr 2'!U37,"")</f>
        <v>0</v>
      </c>
      <c r="BO37" s="195">
        <f>IFERROR($G37*(IF('Inputs Yr 2'!$AJ37=BO$4,'Inputs Yr 2'!$AK37,IF('Inputs Yr 2'!$AL37=BO$4,'Inputs Yr 2'!$AM37,IF('Inputs Yr 2'!$AN37=BO$4,'Inputs Yr 2'!$AO37,0))))*(INDEX(avoidedcosttbl2,$H37,BO$2)+(($H37-ROUNDDOWN($H37,0))*(INDEX(avoidedcosttbl2,ROUNDUP($H37,0),BO$2)-(INDEX(avoidedcosttbl2,ROUNDDOWN($H37,0),BO$2)))))*'Inputs Yr 2'!P37*'Inputs Yr 2'!Q37*'Inputs Yr 2'!U37,"")</f>
        <v>0</v>
      </c>
      <c r="BP37" s="195">
        <f>IFERROR($G37*(IF('Inputs Yr 2'!$AJ37=BP$4,'Inputs Yr 2'!$AK37,IF('Inputs Yr 2'!$AL37=BP$4,'Inputs Yr 2'!$AM37,IF('Inputs Yr 2'!$AN37=BP$4,'Inputs Yr 2'!$AO37,0))))*(INDEX(avoidedcosttbl2,$H37,BP$2)+(($H37-ROUNDDOWN($H37,0))*(INDEX(avoidedcosttbl2,ROUNDUP($H37,0),BP$2)-(INDEX(avoidedcosttbl2,ROUNDDOWN($H37,0),BP$2)))))*'Inputs Yr 2'!P37*'Inputs Yr 2'!Q37*'Inputs Yr 2'!U37,"")</f>
        <v>0</v>
      </c>
      <c r="BQ37" s="230">
        <f t="shared" si="38"/>
        <v>3870.745997021143</v>
      </c>
      <c r="BR37" s="197">
        <f t="shared" si="17"/>
        <v>62.215767445892197</v>
      </c>
      <c r="BS37" s="197">
        <f>IFERROR(($G37*IF('Inputs Yr 2'!$AJ37=BM$4,'Inputs Yr 2'!$AK37,IF('Inputs Yr 2'!$AL37=BM$4,'Inputs Yr 2'!$AM37,IF('Inputs Yr 2'!$AN37=BM$4,'Inputs Yr 2'!$AO37,0))))*(INDEX(avoidedcosttbl2,$H37,BS$2)+(($H37-ROUNDDOWN($H37,0))*(INDEX(avoidedcosttbl2,ROUNDUP($H37,0),BS$2)-(INDEX(avoidedcosttbl2,ROUNDDOWN($H37,0),BS$2)))))*'Inputs Yr 2'!P37*'Inputs Yr 2'!Q37*'Inputs Yr 2'!U37,"")</f>
        <v>0</v>
      </c>
      <c r="BT37" s="197">
        <f>IFERROR(($G37*IF('Inputs Yr 2'!$AJ37=BK$4,'Inputs Yr 2'!$AK37,IF('Inputs Yr 2'!$AL37=BK$4,'Inputs Yr 2'!$AM37,IF('Inputs Yr 2'!$AN37=BK$4,'Inputs Yr 2'!$AO37,0))))*(INDEX(avoidedcosttbl2,$H37,BT$2)+(($H37-ROUNDDOWN($H37,0))*(INDEX(avoidedcosttbl2,ROUNDUP($H37,0),BT$2)-(INDEX(avoidedcosttbl2,ROUNDDOWN($H37,0),BT$2)))))*'Inputs Yr 2'!P37*'Inputs Yr 2'!Q37*'Inputs Yr 2'!U37,"")</f>
        <v>0</v>
      </c>
      <c r="BU37" s="197">
        <f>IFERROR(($G37*IF('Inputs Yr 2'!$AJ37=BL$4,'Inputs Yr 2'!$AK37,IF('Inputs Yr 2'!$AL37=BL$4,'Inputs Yr 2'!$AM37,IF('Inputs Yr 2'!$AN37=BL$4,'Inputs Yr 2'!$AO37,0))))*(INDEX(avoidedcosttbl2,$H37,BU$2)+(($H37-ROUNDDOWN($H37,0))*(INDEX(avoidedcosttbl2,ROUNDUP($H37,0),BU$2)-(INDEX(avoidedcosttbl2,ROUNDDOWN($H37,0),BU$2)))))*'Inputs Yr 2'!P37*'Inputs Yr 2'!Q37*'Inputs Yr 2'!U37,"")</f>
        <v>236.91886990405533</v>
      </c>
      <c r="BV37" s="775">
        <f>IFERROR(($G37*IF('Inputs Yr 2'!$AJ37=BJ$4,'Inputs Yr 2'!$AK37,IF('Inputs Yr 2'!$AL37=BJ$4,'Inputs Yr 2'!$AM37,IF('Inputs Yr 2'!$AN37=BJ$4,'Inputs Yr 2'!$AO37,0))))*(INDEX(avoidedcosttbl2,$H37,BV$2)+(($H37-ROUNDDOWN($H37,0))*(INDEX(avoidedcosttbl2,ROUNDUP($H37,0),BV$2)-(INDEX(avoidedcosttbl2,ROUNDDOWN($H37,0),BV$2)))))*'Inputs Yr 2'!P37*'Inputs Yr 2'!Q37*'Inputs Yr 2'!U37,"")</f>
        <v>0</v>
      </c>
      <c r="BW37" s="197">
        <f>IFERROR(($G37*IF('Inputs Yr 2'!$AJ37=BN$4,'Inputs Yr 2'!$AK37,IF('Inputs Yr 2'!$AL37=BN$4,'Inputs Yr 2'!$AM37,IF('Inputs Yr 2'!$AN37=BN$4,'Inputs Yr 2'!$AO37,0))))*(INDEX(avoidedcosttbl2,$H37,BW$2)+(($H37-ROUNDDOWN($H37,0))*(INDEX(avoidedcosttbl2,ROUNDUP($H37,0),BW$2)-(INDEX(avoidedcosttbl2,ROUNDDOWN($H37,0),BW$2)))))*'Inputs Yr 2'!P37*'Inputs Yr 2'!Q37*'Inputs Yr 2'!U37,"")</f>
        <v>0</v>
      </c>
      <c r="BX37" s="197">
        <f>IFERROR(($G37*IF('Inputs Yr 2'!$AJ37=BO$4,'Inputs Yr 2'!$AK37,IF('Inputs Yr 2'!$AL37=BO$4,'Inputs Yr 2'!$AM37,IF('Inputs Yr 2'!$AN37=BO$4,'Inputs Yr 2'!$AO37,0))))*(INDEX(avoidedcosttbl2,$H37,BX$2)+(($H37-ROUNDDOWN($H37,0))*(INDEX(avoidedcosttbl2,ROUNDUP($H37,0),BX$2)-(INDEX(avoidedcosttbl2,ROUNDDOWN($H37,0),BX$2)))))*'Inputs Yr 2'!P37*'Inputs Yr 2'!Q37*'Inputs Yr 2'!U37,"")</f>
        <v>0</v>
      </c>
      <c r="BY37" s="197">
        <f>IFERROR(($G37*IF('Inputs Yr 2'!$AJ37=BP$4,'Inputs Yr 2'!$AK37,IF('Inputs Yr 2'!$AL37=BP$4,'Inputs Yr 2'!$AM37,IF('Inputs Yr 2'!$AN37=BP$4,'Inputs Yr 2'!$AO37,0))))*(INDEX(avoidedcosttbl2,$H37,BY$2)+(($H37-ROUNDDOWN($H37,0))*(INDEX(avoidedcosttbl2,ROUNDUP($H37,0),BY$2)-(INDEX(avoidedcosttbl2,ROUNDDOWN($H37,0),BY$2)))))*'Inputs Yr 2'!P37*'Inputs Yr 2'!Q37*'Inputs Yr 2'!U37,"")</f>
        <v>0</v>
      </c>
      <c r="BZ37" s="193">
        <f t="shared" si="39"/>
        <v>299.13463734994752</v>
      </c>
      <c r="CA37" s="193">
        <f t="shared" si="40"/>
        <v>4169.8806343710903</v>
      </c>
      <c r="CB37" s="195">
        <f>IFERROR(G37*(IF('Inputs Yr 2'!$AJ37=CB$4,'Inputs Yr 2'!$AK37,IF('Inputs Yr 2'!$AL37=CB$4,'Inputs Yr 2'!$AM37,IF('Inputs Yr 2'!$AN37=CB$4,'Inputs Yr 2'!$AO37,0))))*(INDEX(avoidedcosttbl2,$H37,CB$2)+(($H37-ROUNDDOWN($H37,0))*(INDEX(avoidedcosttbl2,ROUNDUP($H37,0),CB$2)-(INDEX(avoidedcosttbl2,ROUNDDOWN($H37,0),CB$2)))))*'Inputs Yr 2'!P37*'Inputs Yr 2'!Q37*'Inputs Yr 2'!U37,"")</f>
        <v>0</v>
      </c>
      <c r="CC37" s="195">
        <f>IFERROR(H37*(IF('Inputs Yr 2'!$AJ37=CC$4,'Inputs Yr 2'!$AK37,IF('Inputs Yr 2'!$AL37=CC$4,'Inputs Yr 2'!$AM37,IF('Inputs Yr 2'!$AN37=CC$4,'Inputs Yr 2'!$AO37,0))))*(INDEX(avoidedcosttbl2,$H37,CC$2)+(($H37-ROUNDDOWN($H37,0))*(INDEX(avoidedcosttbl2,ROUNDUP($H37,0),CC$2)-(INDEX(avoidedcosttbl2,ROUNDDOWN($H37,0),CC$2)))))*'Inputs Yr 2'!Q37*'Inputs Yr 2'!R37*'Inputs Yr 2'!V37,"")</f>
        <v>0</v>
      </c>
      <c r="CD37" s="195">
        <f>IFERROR(I37*(IF('Inputs Yr 2'!$AJ37=CD$4,'Inputs Yr 2'!$AK37,IF('Inputs Yr 2'!$AL37=CD$4,'Inputs Yr 2'!$AM37,IF('Inputs Yr 2'!$AN37=CD$4,'Inputs Yr 2'!$AO37,0))))*(INDEX(avoidedcosttbl2,$H37,CD$2)+(($H37-ROUNDDOWN($H37,0))*(INDEX(avoidedcosttbl2,ROUNDUP($H37,0),CD$2)-(INDEX(avoidedcosttbl2,ROUNDDOWN($H37,0),CD$2)))))*'Inputs Yr 2'!R37*'Inputs Yr 2'!S37*'Inputs Yr 2'!W37,"")</f>
        <v>0</v>
      </c>
      <c r="CE37" s="213">
        <f t="shared" si="41"/>
        <v>0</v>
      </c>
      <c r="CF37" s="213">
        <f t="shared" si="42"/>
        <v>0</v>
      </c>
      <c r="CG37" s="213">
        <f t="shared" si="43"/>
        <v>0</v>
      </c>
      <c r="CH37" s="698">
        <f t="shared" si="44"/>
        <v>4169.8806343710903</v>
      </c>
      <c r="CI37" s="79">
        <f>IFERROR(($G37*'Inputs Yr 2'!$P37*'Inputs Yr 2'!$Q37*(((INDEX(avoidedcosttbl2,$H37,CI$2)+(($H37-ROUNDDOWN($H37,0))*(INDEX(avoidedcosttbl2,ROUNDUP($H37,0),CI$2)-INDEX(avoidedcosttbl2,ROUNDDOWN($H37,0),CI$2))))*'Inputs Yr 2'!AS37))),"")</f>
        <v>0</v>
      </c>
      <c r="CJ37" s="504">
        <f>IFERROR($G37*'Inputs Yr 2'!AT37*'Inputs Yr 2'!$P37*'Inputs Yr 2'!$Q37/((1+realdiscrt1)^-0.5),"")</f>
        <v>0</v>
      </c>
      <c r="CK37" s="79">
        <f>IFERROR((O37*1000*(((INDEX(avoidedcosttbl2,$H37,CK$2)+(($H37-ROUNDDOWN($H37,0))*(INDEX(avoidedcosttbl2,ROUNDUP($H37,0),CK$2)-INDEX(avoidedcosttbl2,ROUNDDOWN($H37,0),CK$2))))*'Inputs Yr 2'!AU37))),"")</f>
        <v>0</v>
      </c>
      <c r="CL37" s="504">
        <f>IFERROR(O37*1000*'Inputs Yr 2'!AV37/((1+realdiscrt1)^-0.5),"")</f>
        <v>0</v>
      </c>
      <c r="CM37" s="79">
        <f>IFERROR((AB37*'Inputs Yr 2'!AW37*(((INDEX(avoidedcosttbl2,$H37,CM$2)+(($H37-ROUNDDOWN($H37,0))*(INDEX(avoidedcosttbl2,ROUNDUP($H37,0),CM$2)-INDEX(avoidedcosttbl2,ROUNDDOWN($H37,0),CM$2)))))))*10,"")</f>
        <v>0</v>
      </c>
      <c r="CN37" s="504">
        <f>IFERROR(10*AB37*'Inputs Yr 2'!AX37/((1+realdiscrt1)^-0.5),"")</f>
        <v>0</v>
      </c>
      <c r="CO37" s="505">
        <f t="shared" si="45"/>
        <v>0</v>
      </c>
      <c r="CP37" s="230">
        <f t="shared" si="46"/>
        <v>4169.8806343710903</v>
      </c>
      <c r="CQ37" s="199">
        <f>ROUND(IFERROR(IF(LEFT($A37,1)="C",'Avoided Costs'!$K$13,'Avoided Costs'!$K$12)+1,""),4)</f>
        <v>1.0720000000000001</v>
      </c>
      <c r="CR37" s="199">
        <f>ROUND(IFERROR(IF(LEFT($A37,1)="C",'Avoided Costs'!$L$13,'Avoided Costs'!$L$12)+1,""),4)</f>
        <v>1.04</v>
      </c>
      <c r="CS37" s="199">
        <f>ROUND(IFERROR(IF(LEFT($A37,1)="C",'Avoided Costs'!$M$13,'Avoided Costs'!$M$12)+1,""),4)</f>
        <v>1.0720000000000001</v>
      </c>
      <c r="CT37" s="199">
        <f>ROUND(IFERROR(IF(LEFT($A37,1)="C",'Avoided Costs'!$N$13,'Avoided Costs'!$N$12)+1,""),4)</f>
        <v>1.04</v>
      </c>
      <c r="CU37" s="199">
        <f>ROUND(IFERROR(IF(LEFT($A37,1)="C",'Avoided Costs'!$O$13,'Avoided Costs'!$O$12)+1,""),4)</f>
        <v>1.1120000000000001</v>
      </c>
      <c r="CV37" s="199">
        <f>ROUND(IFERROR(IF(LEFT($A37,1)="C",'Avoided Costs'!$P$13,'Avoided Costs'!$P$12)+1,""),4)</f>
        <v>1.095</v>
      </c>
      <c r="CW37" s="199">
        <f>ROUND(IFERROR(IF(LEFT($A37,1)="C",'Avoided Costs'!$Q$13,'Avoided Costs'!$Q$12)+1,""),4)</f>
        <v>1.1120000000000001</v>
      </c>
      <c r="CX37" s="200">
        <f>ROUND(IFERROR(IF(LEFT($A37,1)="C",'Avoided Costs'!$R$13,'Avoided Costs'!$R$12)+1,""),4)</f>
        <v>1.1120000000000001</v>
      </c>
    </row>
    <row r="38" spans="1:102" ht="12.75" customHeight="1">
      <c r="A38" s="91" t="str">
        <f>IF('Inputs Yr 2'!$B38=0,"",'Inputs Yr 2'!A38)</f>
        <v>A - Residential</v>
      </c>
      <c r="B38" s="91" t="str">
        <f>IF('Inputs Yr 2'!$B38=0,"",'Inputs Yr 2'!B38)</f>
        <v>A1 - Residential Whole House</v>
      </c>
      <c r="C38" s="91" t="str">
        <f>IF('Inputs Yr 2'!$B38=0,"",'Inputs Yr 2'!C38)</f>
        <v>A1b - Residential Multi-Family Retrofit</v>
      </c>
      <c r="D38" s="91" t="str">
        <f>IF('Inputs Yr 2'!$B38=0,"",'Inputs Yr 2'!E38)</f>
        <v>Custom non-Lighting</v>
      </c>
      <c r="E38" s="93" t="str">
        <f>IF('Inputs Yr 2'!$B38=0,"",'Inputs Yr 2'!F38)</f>
        <v>G16A1b23</v>
      </c>
      <c r="F38" s="93" t="str">
        <f>IF('Inputs Yr 2'!$B38=0,"",'Inputs Yr 2'!G38)</f>
        <v>Hot Water</v>
      </c>
      <c r="G38" s="95">
        <f>IF('Inputs Yr 2'!$H38&lt;&gt;0,('Inputs Yr 2'!H38),"")</f>
        <v>170</v>
      </c>
      <c r="H38" s="94">
        <f>IFERROR('Inputs Yr 2'!I38,"")</f>
        <v>15</v>
      </c>
      <c r="I38" s="298">
        <f>IFERROR('Inputs Yr 2'!J38*'Inputs Yr 2'!P38*G38,"")</f>
        <v>1445</v>
      </c>
      <c r="J38" s="298">
        <f>IFERROR('Inputs Yr 2'!K38*G38,"")</f>
        <v>1083.75</v>
      </c>
      <c r="K38" s="298">
        <f t="shared" si="23"/>
        <v>361.25</v>
      </c>
      <c r="L38" s="194">
        <f>IFERROR(('Inputs Yr 2'!W38*G38)/1000,"")</f>
        <v>0</v>
      </c>
      <c r="M38" s="194">
        <f>IFERROR(L38*('Inputs Yr 2'!$Q38*'Inputs Yr 2'!$V38*'Inputs Yr 2'!$R38),"")</f>
        <v>0</v>
      </c>
      <c r="N38" s="194">
        <f t="shared" si="24"/>
        <v>0</v>
      </c>
      <c r="O38" s="194">
        <f>IFERROR(M38*'Inputs Yr 2'!P38,"")</f>
        <v>0</v>
      </c>
      <c r="P38" s="194">
        <f t="shared" si="25"/>
        <v>0</v>
      </c>
      <c r="Q38" s="194">
        <f>IFERROR($P38*'Inputs Yr 2'!AA38,"")</f>
        <v>0</v>
      </c>
      <c r="R38" s="194">
        <f>IFERROR($P38*'Inputs Yr 2'!AB38,"")</f>
        <v>0</v>
      </c>
      <c r="S38" s="194">
        <f>IFERROR($P38*'Inputs Yr 2'!AC38,"")</f>
        <v>0</v>
      </c>
      <c r="T38" s="194">
        <f>IFERROR($P38*'Inputs Yr 2'!AD38,"")</f>
        <v>0</v>
      </c>
      <c r="U38" s="194">
        <f>IFERROR(G38*'Inputs Yr 2'!$AE38*'Inputs Yr 2'!$P38*'Inputs Yr 2'!$Q38,"")</f>
        <v>0</v>
      </c>
      <c r="V38" s="194">
        <f>IFERROR($G38*'Inputs Yr 2'!$AE38*'Inputs Yr 2'!$AG38*'Inputs Yr 2'!Q38*'Inputs Yr 2'!$S38,"")</f>
        <v>0</v>
      </c>
      <c r="W38" s="194">
        <f>IFERROR($G38*'Inputs Yr 2'!$AE38*'Inputs Yr 2'!$AG38*'Inputs Yr 2'!P38*'Inputs Yr 2'!Q38*'Inputs Yr 2'!$S38,"")</f>
        <v>0</v>
      </c>
      <c r="X38" s="194">
        <f>IFERROR($G38*'Inputs Yr 2'!$AE38*'Inputs Yr 2'!$AF38*'Inputs Yr 2'!Q38*'Inputs Yr 2'!$T38,"")</f>
        <v>0</v>
      </c>
      <c r="Y38" s="194">
        <f>IFERROR($G38*'Inputs Yr 2'!$AE38*'Inputs Yr 2'!$AF38*'Inputs Yr 2'!P38*'Inputs Yr 2'!Q38*'Inputs Yr 2'!$T38,"")</f>
        <v>0</v>
      </c>
      <c r="Z38" s="257">
        <f>IFERROR($G38*'Inputs Yr 2'!$Q38*'Inputs Yr 2'!$U38*(IF(IFERROR(SEARCH("NG", 'Inputs Yr 2'!$AJ38),0),'Inputs Yr 2'!$AK38,0)+IF(IFERROR(SEARCH("NG", 'Inputs Yr 2'!$AL38),0),'Inputs Yr 2'!$AM38,0)+IF(IFERROR(SEARCH("NG", 'Inputs Yr 2'!$AN38),0),'Inputs Yr 2'!$AO38,0)),0)</f>
        <v>34.738600000000005</v>
      </c>
      <c r="AA38" s="257">
        <f t="shared" si="26"/>
        <v>521.07900000000006</v>
      </c>
      <c r="AB38" s="257">
        <f>IFERROR(Z38*'Inputs Yr 2'!$P38,0)</f>
        <v>34.738600000000005</v>
      </c>
      <c r="AC38" s="257">
        <f t="shared" si="27"/>
        <v>521.07900000000006</v>
      </c>
      <c r="AD38" s="257">
        <f>IFERROR($G38*'Inputs Yr 2'!$Q38*'Inputs Yr 2'!$U38*(IF(IFERROR(SEARCH("Oil", 'Inputs Yr 2'!$AJ38), 0),'Inputs Yr 2'!$AK38,0)+IF(IFERROR(SEARCH("Oil", 'Inputs Yr 2'!$AL38), 0),'Inputs Yr 2'!$AM38,0)+IF(IFERROR(SEARCH("Oil", 'Inputs Yr 2'!$AN38), 0),'Inputs Yr 2'!$AO38,0)),0)</f>
        <v>0</v>
      </c>
      <c r="AE38" s="257">
        <f t="shared" si="28"/>
        <v>0</v>
      </c>
      <c r="AF38" s="257">
        <f>IFERROR(AD38*'Inputs Yr 2'!$P38,0)</f>
        <v>0</v>
      </c>
      <c r="AG38" s="257">
        <f t="shared" si="29"/>
        <v>0</v>
      </c>
      <c r="AH38" s="257">
        <f>IFERROR($G38*'Inputs Yr 2'!$Q38*'Inputs Yr 2'!$U38*(IF('Inputs Yr 2'!$AJ38=CD$4,'Inputs Yr 2'!$AK38,IF('Inputs Yr 2'!$AL38=CD$4,'Inputs Yr 2'!$AM38,IF('Inputs Yr 2'!$AN38=CD$4,'Inputs Yr 2'!$AO38,0)))),0)</f>
        <v>0</v>
      </c>
      <c r="AI38" s="257">
        <f t="shared" si="30"/>
        <v>0</v>
      </c>
      <c r="AJ38" s="257">
        <f>IFERROR(AH38*'Inputs Yr 2'!$P38,0)</f>
        <v>0</v>
      </c>
      <c r="AK38" s="257">
        <f t="shared" si="31"/>
        <v>0</v>
      </c>
      <c r="AL38" s="258">
        <f>IFERROR($G38*'Inputs Yr 2'!$P38*'Inputs Yr 2'!$Q38*'Inputs Yr 2'!AP38,0)</f>
        <v>0</v>
      </c>
      <c r="AM38" s="260">
        <f>IFERROR($G38*'Inputs Yr 2'!$P38*'Inputs Yr 2'!$Q38*'Inputs Yr 2'!AQ38,0)</f>
        <v>0</v>
      </c>
      <c r="AN38" s="258">
        <f>IFERROR($G38*'Inputs Yr 2'!$P38*'Inputs Yr 2'!$Q38*'Inputs Yr 2'!AR38,0)</f>
        <v>0</v>
      </c>
      <c r="AO38" s="257">
        <f t="shared" si="32"/>
        <v>0</v>
      </c>
      <c r="AP38" s="195">
        <f>IFERROR($CQ38*(INDEX(avoidedcosttbl2,$H38,AP$2)+(($H38-ROUNDDOWN($H38,0))*(INDEX(avoidedcosttbl2,ROUNDUP($H38,0),AP$2)-(INDEX(avoidedcosttbl2,ROUNDDOWN($H38,0),AP$2)))))*$O38*1000*'Inputs Yr 2'!AA38,"")</f>
        <v>0</v>
      </c>
      <c r="AQ38" s="195">
        <f>IFERROR($CR38*(INDEX(avoidedcosttbl2,$H38,AQ$2)+(($H38-ROUNDDOWN($H38,0))*(INDEX(avoidedcosttbl2,ROUNDUP($H38,0),AQ$2)-(INDEX(avoidedcosttbl2,ROUNDDOWN($H38,0),AQ$2)))))*$O38*1000*'Inputs Yr 2'!AB38,"")</f>
        <v>0</v>
      </c>
      <c r="AR38" s="195">
        <f>IFERROR($CS38*(INDEX(avoidedcosttbl2,$H38,AR$2)+(($H38-ROUNDDOWN($H38,0))*(INDEX(avoidedcosttbl2,ROUNDUP($H38,0),AR$2)-(INDEX(avoidedcosttbl2,ROUNDDOWN($H38,0),AR$2)))))*$O38*1000*'Inputs Yr 2'!AC38,"")</f>
        <v>0</v>
      </c>
      <c r="AS38" s="195">
        <f>IFERROR($CT38*(INDEX(avoidedcosttbl2,$H38,AS$2)+(($H38-ROUNDDOWN($H38,0))*(INDEX(avoidedcosttbl2,ROUNDUP($H38,0),AS$2)-(INDEX(avoidedcosttbl2,ROUNDDOWN($H38,0),AS$2)))))*$O38*1000*'Inputs Yr 2'!AD38,"")</f>
        <v>0</v>
      </c>
      <c r="AT38" s="196">
        <f t="shared" si="33"/>
        <v>0</v>
      </c>
      <c r="AU38" s="197">
        <f>IFERROR($CQ38*((INDEX(avoidedcosttbl2,$H38,AU$2))+(($H38-ROUNDDOWN($H38,0))*((INDEX(avoidedcosttbl2,ROUNDUP($H38,0),AU$2))-(INDEX(avoidedcosttbl2,ROUNDDOWN($H38,0),AU$2)))))*$O38*1000*'Inputs Yr 2'!AA38,"")</f>
        <v>0</v>
      </c>
      <c r="AV38" s="197">
        <f>IFERROR($CR38*((INDEX(avoidedcosttbl2,$H38,AV$2))+(($H38-ROUNDDOWN($H38,0))*((INDEX(avoidedcosttbl2,ROUNDUP($H38,0),AV$2))-(INDEX(avoidedcosttbl2,ROUNDDOWN($H38,0),AV$2)))))*$O38*1000*'Inputs Yr 2'!AB38,"")</f>
        <v>0</v>
      </c>
      <c r="AW38" s="197">
        <f>IFERROR($CS38*((INDEX(avoidedcosttbl2,$H38,AW$2))+(($H38-ROUNDDOWN($H38,0))*((INDEX(avoidedcosttbl2,ROUNDUP($H38,0),AW$2))-(INDEX(avoidedcosttbl2,ROUNDDOWN($H38,0),AW$2)))))*$O38*1000*'Inputs Yr 2'!AC38,"")</f>
        <v>0</v>
      </c>
      <c r="AX38" s="197">
        <f>IFERROR($CT38*((INDEX(avoidedcosttbl2,$H38,AX$2))+(($H38-ROUNDDOWN($H38,0))*((INDEX(avoidedcosttbl2,ROUNDUP($H38,0),AX$2))-(INDEX(avoidedcosttbl2,ROUNDDOWN($H38,0),AX$2)))))*$O38*1000*'Inputs Yr 2'!AD38,"")</f>
        <v>0</v>
      </c>
      <c r="AY38" s="197">
        <f>IFERROR(((INDEX(avoidedcosttbl2,$H38,AY$2))+(($H38-ROUNDDOWN($H38,0))*((INDEX(avoidedcosttbl2,ROUNDUP($H38,0),AY$2))-(INDEX(avoidedcosttbl2,ROUNDDOWN($H38,0),AY$2)))))*$O38*1000*('Inputs Yr 2'!AC38+'Inputs Yr 2'!AD38),"")</f>
        <v>0</v>
      </c>
      <c r="AZ38" s="197">
        <f>IFERROR(((INDEX(avoidedcosttbl2,$H38,AZ$2))+(($H38-ROUNDDOWN($H38,0))*((INDEX(avoidedcosttbl2,ROUNDUP($H38,0),AZ$2))-(INDEX(avoidedcosttbl2,ROUNDDOWN($H38,0),AZ$2)))))*$O38*1000*('Inputs Yr 2'!AA38+'Inputs Yr 2'!AB38),"")</f>
        <v>0</v>
      </c>
      <c r="BA38" s="198">
        <f t="shared" si="34"/>
        <v>0</v>
      </c>
      <c r="BB38" s="198">
        <f t="shared" si="35"/>
        <v>0</v>
      </c>
      <c r="BC38" s="195">
        <f t="shared" si="10"/>
        <v>0</v>
      </c>
      <c r="BD38" s="195">
        <f t="shared" si="11"/>
        <v>0</v>
      </c>
      <c r="BE38" s="195">
        <f t="shared" si="12"/>
        <v>0</v>
      </c>
      <c r="BF38" s="195">
        <f t="shared" si="13"/>
        <v>0</v>
      </c>
      <c r="BG38" s="195">
        <f t="shared" si="14"/>
        <v>0</v>
      </c>
      <c r="BH38" s="196">
        <f t="shared" si="36"/>
        <v>0</v>
      </c>
      <c r="BI38" s="196">
        <f t="shared" si="37"/>
        <v>0</v>
      </c>
      <c r="BJ38" s="195">
        <f>IFERROR($G38*(IF('Inputs Yr 2'!$AJ38=BJ$4,'Inputs Yr 2'!$AK38,IF('Inputs Yr 2'!$AL38=BJ$4,'Inputs Yr 2'!$AM38,IF('Inputs Yr 2'!$AN38=BJ$4,'Inputs Yr 2'!$AO38,0))))*(INDEX(avoidedcosttbl2,$H38,BJ$2)+(($H38-ROUNDDOWN($H38,0))*(INDEX(avoidedcosttbl2,ROUNDUP($H38,0),BJ$2)-(INDEX(avoidedcosttbl2,ROUNDDOWN($H38,0),BJ$2)))))*'Inputs Yr 2'!P38*'Inputs Yr 2'!Q38*'Inputs Yr 2'!U38,"")</f>
        <v>0</v>
      </c>
      <c r="BK38" s="195">
        <f>IFERROR($G38*(IF('Inputs Yr 2'!$AJ38=BK$4,'Inputs Yr 2'!$AK38,IF('Inputs Yr 2'!$AL38=BK$4,'Inputs Yr 2'!$AM38,IF('Inputs Yr 2'!$AN38=BK$4,'Inputs Yr 2'!$AO38,0))))*(INDEX(avoidedcosttbl2,$H38,BK$2)+(($H38-ROUNDDOWN($H38,0))*(INDEX(avoidedcosttbl2,ROUNDUP($H38,0),BK$2)-(INDEX(avoidedcosttbl2,ROUNDDOWN($H38,0),BK$2)))))*'Inputs Yr 2'!P38*'Inputs Yr 2'!Q38*'Inputs Yr 2'!U38,"")</f>
        <v>0</v>
      </c>
      <c r="BL38" s="195">
        <f>IFERROR($G38*(IF('Inputs Yr 2'!$AJ38=BL$4,'Inputs Yr 2'!$AK38,IF('Inputs Yr 2'!$AL38=BL$4,'Inputs Yr 2'!$AM38,IF('Inputs Yr 2'!$AN38=BL$4,'Inputs Yr 2'!$AO38,0))))*(INDEX(avoidedcosttbl2,$H38,BL$2)+(($H38-ROUNDDOWN($H38,0))*(INDEX(avoidedcosttbl2,ROUNDUP($H38,0),BL$2)-(INDEX(avoidedcosttbl2,ROUNDDOWN($H38,0),BL$2)))))*'Inputs Yr 2'!P38*'Inputs Yr 2'!Q38*'Inputs Yr 2'!U38,"")</f>
        <v>4394.1144698578055</v>
      </c>
      <c r="BM38" s="195">
        <f>IFERROR($G38*(IF('Inputs Yr 2'!$AJ38=BM$4,'Inputs Yr 2'!$AK38,IF('Inputs Yr 2'!$AL38=BM$4,'Inputs Yr 2'!$AM38,IF('Inputs Yr 2'!$AN38=BM$4,'Inputs Yr 2'!$AO38,0))))*(INDEX(avoidedcosttbl2,$H38,BM$2)+(($H38-ROUNDDOWN($H38,0))*(INDEX(avoidedcosttbl2,ROUNDUP($H38,0),BM$2)-(INDEX(avoidedcosttbl2,ROUNDDOWN($H38,0),BM$2)))))*'Inputs Yr 2'!P38*'Inputs Yr 2'!Q38*'Inputs Yr 2'!U38,"")</f>
        <v>0</v>
      </c>
      <c r="BN38" s="195">
        <f>IFERROR($G38*(IF('Inputs Yr 2'!$AJ38=BN$4,'Inputs Yr 2'!$AK38,IF('Inputs Yr 2'!$AL38=BN$4,'Inputs Yr 2'!$AM38,IF('Inputs Yr 2'!$AN38=BN$4,'Inputs Yr 2'!$AO38,0))))*(INDEX(avoidedcosttbl2,$H38,BN$2)+(($H38-ROUNDDOWN($H38,0))*(INDEX(avoidedcosttbl2,ROUNDUP($H38,0),BN$2)-(INDEX(avoidedcosttbl2,ROUNDDOWN($H38,0),BN$2)))))*'Inputs Yr 2'!P38*'Inputs Yr 2'!Q38*'Inputs Yr 2'!U38,"")</f>
        <v>0</v>
      </c>
      <c r="BO38" s="195">
        <f>IFERROR($G38*(IF('Inputs Yr 2'!$AJ38=BO$4,'Inputs Yr 2'!$AK38,IF('Inputs Yr 2'!$AL38=BO$4,'Inputs Yr 2'!$AM38,IF('Inputs Yr 2'!$AN38=BO$4,'Inputs Yr 2'!$AO38,0))))*(INDEX(avoidedcosttbl2,$H38,BO$2)+(($H38-ROUNDDOWN($H38,0))*(INDEX(avoidedcosttbl2,ROUNDUP($H38,0),BO$2)-(INDEX(avoidedcosttbl2,ROUNDDOWN($H38,0),BO$2)))))*'Inputs Yr 2'!P38*'Inputs Yr 2'!Q38*'Inputs Yr 2'!U38,"")</f>
        <v>0</v>
      </c>
      <c r="BP38" s="195">
        <f>IFERROR($G38*(IF('Inputs Yr 2'!$AJ38=BP$4,'Inputs Yr 2'!$AK38,IF('Inputs Yr 2'!$AL38=BP$4,'Inputs Yr 2'!$AM38,IF('Inputs Yr 2'!$AN38=BP$4,'Inputs Yr 2'!$AO38,0))))*(INDEX(avoidedcosttbl2,$H38,BP$2)+(($H38-ROUNDDOWN($H38,0))*(INDEX(avoidedcosttbl2,ROUNDUP($H38,0),BP$2)-(INDEX(avoidedcosttbl2,ROUNDDOWN($H38,0),BP$2)))))*'Inputs Yr 2'!P38*'Inputs Yr 2'!Q38*'Inputs Yr 2'!U38,"")</f>
        <v>0</v>
      </c>
      <c r="BQ38" s="230">
        <f t="shared" si="38"/>
        <v>4394.1144698578055</v>
      </c>
      <c r="BR38" s="197">
        <f t="shared" si="17"/>
        <v>70.628040227308617</v>
      </c>
      <c r="BS38" s="197">
        <f>IFERROR(($G38*IF('Inputs Yr 2'!$AJ38=BM$4,'Inputs Yr 2'!$AK38,IF('Inputs Yr 2'!$AL38=BM$4,'Inputs Yr 2'!$AM38,IF('Inputs Yr 2'!$AN38=BM$4,'Inputs Yr 2'!$AO38,0))))*(INDEX(avoidedcosttbl2,$H38,BS$2)+(($H38-ROUNDDOWN($H38,0))*(INDEX(avoidedcosttbl2,ROUNDUP($H38,0),BS$2)-(INDEX(avoidedcosttbl2,ROUNDDOWN($H38,0),BS$2)))))*'Inputs Yr 2'!P38*'Inputs Yr 2'!Q38*'Inputs Yr 2'!U38,"")</f>
        <v>0</v>
      </c>
      <c r="BT38" s="197">
        <f>IFERROR(($G38*IF('Inputs Yr 2'!$AJ38=BK$4,'Inputs Yr 2'!$AK38,IF('Inputs Yr 2'!$AL38=BK$4,'Inputs Yr 2'!$AM38,IF('Inputs Yr 2'!$AN38=BK$4,'Inputs Yr 2'!$AO38,0))))*(INDEX(avoidedcosttbl2,$H38,BT$2)+(($H38-ROUNDDOWN($H38,0))*(INDEX(avoidedcosttbl2,ROUNDUP($H38,0),BT$2)-(INDEX(avoidedcosttbl2,ROUNDDOWN($H38,0),BT$2)))))*'Inputs Yr 2'!P38*'Inputs Yr 2'!Q38*'Inputs Yr 2'!U38,"")</f>
        <v>0</v>
      </c>
      <c r="BU38" s="197">
        <f>IFERROR(($G38*IF('Inputs Yr 2'!$AJ38=BL$4,'Inputs Yr 2'!$AK38,IF('Inputs Yr 2'!$AL38=BL$4,'Inputs Yr 2'!$AM38,IF('Inputs Yr 2'!$AN38=BL$4,'Inputs Yr 2'!$AO38,0))))*(INDEX(avoidedcosttbl2,$H38,BU$2)+(($H38-ROUNDDOWN($H38,0))*(INDEX(avoidedcosttbl2,ROUNDUP($H38,0),BU$2)-(INDEX(avoidedcosttbl2,ROUNDDOWN($H38,0),BU$2)))))*'Inputs Yr 2'!P38*'Inputs Yr 2'!Q38*'Inputs Yr 2'!U38,"")</f>
        <v>268.95297062347697</v>
      </c>
      <c r="BV38" s="775">
        <f>IFERROR(($G38*IF('Inputs Yr 2'!$AJ38=BJ$4,'Inputs Yr 2'!$AK38,IF('Inputs Yr 2'!$AL38=BJ$4,'Inputs Yr 2'!$AM38,IF('Inputs Yr 2'!$AN38=BJ$4,'Inputs Yr 2'!$AO38,0))))*(INDEX(avoidedcosttbl2,$H38,BV$2)+(($H38-ROUNDDOWN($H38,0))*(INDEX(avoidedcosttbl2,ROUNDUP($H38,0),BV$2)-(INDEX(avoidedcosttbl2,ROUNDDOWN($H38,0),BV$2)))))*'Inputs Yr 2'!P38*'Inputs Yr 2'!Q38*'Inputs Yr 2'!U38,"")</f>
        <v>0</v>
      </c>
      <c r="BW38" s="197">
        <f>IFERROR(($G38*IF('Inputs Yr 2'!$AJ38=BN$4,'Inputs Yr 2'!$AK38,IF('Inputs Yr 2'!$AL38=BN$4,'Inputs Yr 2'!$AM38,IF('Inputs Yr 2'!$AN38=BN$4,'Inputs Yr 2'!$AO38,0))))*(INDEX(avoidedcosttbl2,$H38,BW$2)+(($H38-ROUNDDOWN($H38,0))*(INDEX(avoidedcosttbl2,ROUNDUP($H38,0),BW$2)-(INDEX(avoidedcosttbl2,ROUNDDOWN($H38,0),BW$2)))))*'Inputs Yr 2'!P38*'Inputs Yr 2'!Q38*'Inputs Yr 2'!U38,"")</f>
        <v>0</v>
      </c>
      <c r="BX38" s="197">
        <f>IFERROR(($G38*IF('Inputs Yr 2'!$AJ38=BO$4,'Inputs Yr 2'!$AK38,IF('Inputs Yr 2'!$AL38=BO$4,'Inputs Yr 2'!$AM38,IF('Inputs Yr 2'!$AN38=BO$4,'Inputs Yr 2'!$AO38,0))))*(INDEX(avoidedcosttbl2,$H38,BX$2)+(($H38-ROUNDDOWN($H38,0))*(INDEX(avoidedcosttbl2,ROUNDUP($H38,0),BX$2)-(INDEX(avoidedcosttbl2,ROUNDDOWN($H38,0),BX$2)))))*'Inputs Yr 2'!P38*'Inputs Yr 2'!Q38*'Inputs Yr 2'!U38,"")</f>
        <v>0</v>
      </c>
      <c r="BY38" s="197">
        <f>IFERROR(($G38*IF('Inputs Yr 2'!$AJ38=BP$4,'Inputs Yr 2'!$AK38,IF('Inputs Yr 2'!$AL38=BP$4,'Inputs Yr 2'!$AM38,IF('Inputs Yr 2'!$AN38=BP$4,'Inputs Yr 2'!$AO38,0))))*(INDEX(avoidedcosttbl2,$H38,BY$2)+(($H38-ROUNDDOWN($H38,0))*(INDEX(avoidedcosttbl2,ROUNDUP($H38,0),BY$2)-(INDEX(avoidedcosttbl2,ROUNDDOWN($H38,0),BY$2)))))*'Inputs Yr 2'!P38*'Inputs Yr 2'!Q38*'Inputs Yr 2'!U38,"")</f>
        <v>0</v>
      </c>
      <c r="BZ38" s="193">
        <f t="shared" si="39"/>
        <v>339.58101085078556</v>
      </c>
      <c r="CA38" s="193">
        <f t="shared" si="40"/>
        <v>4733.6954807085913</v>
      </c>
      <c r="CB38" s="195">
        <f>IFERROR(G38*(IF('Inputs Yr 2'!$AJ38=CB$4,'Inputs Yr 2'!$AK38,IF('Inputs Yr 2'!$AL38=CB$4,'Inputs Yr 2'!$AM38,IF('Inputs Yr 2'!$AN38=CB$4,'Inputs Yr 2'!$AO38,0))))*(INDEX(avoidedcosttbl2,$H38,CB$2)+(($H38-ROUNDDOWN($H38,0))*(INDEX(avoidedcosttbl2,ROUNDUP($H38,0),CB$2)-(INDEX(avoidedcosttbl2,ROUNDDOWN($H38,0),CB$2)))))*'Inputs Yr 2'!P38*'Inputs Yr 2'!Q38*'Inputs Yr 2'!U38,"")</f>
        <v>0</v>
      </c>
      <c r="CC38" s="195">
        <f>IFERROR(H38*(IF('Inputs Yr 2'!$AJ38=CC$4,'Inputs Yr 2'!$AK38,IF('Inputs Yr 2'!$AL38=CC$4,'Inputs Yr 2'!$AM38,IF('Inputs Yr 2'!$AN38=CC$4,'Inputs Yr 2'!$AO38,0))))*(INDEX(avoidedcosttbl2,$H38,CC$2)+(($H38-ROUNDDOWN($H38,0))*(INDEX(avoidedcosttbl2,ROUNDUP($H38,0),CC$2)-(INDEX(avoidedcosttbl2,ROUNDDOWN($H38,0),CC$2)))))*'Inputs Yr 2'!Q38*'Inputs Yr 2'!R38*'Inputs Yr 2'!V38,"")</f>
        <v>0</v>
      </c>
      <c r="CD38" s="195">
        <f>IFERROR(I38*(IF('Inputs Yr 2'!$AJ38=CD$4,'Inputs Yr 2'!$AK38,IF('Inputs Yr 2'!$AL38=CD$4,'Inputs Yr 2'!$AM38,IF('Inputs Yr 2'!$AN38=CD$4,'Inputs Yr 2'!$AO38,0))))*(INDEX(avoidedcosttbl2,$H38,CD$2)+(($H38-ROUNDDOWN($H38,0))*(INDEX(avoidedcosttbl2,ROUNDUP($H38,0),CD$2)-(INDEX(avoidedcosttbl2,ROUNDDOWN($H38,0),CD$2)))))*'Inputs Yr 2'!R38*'Inputs Yr 2'!S38*'Inputs Yr 2'!W38,"")</f>
        <v>0</v>
      </c>
      <c r="CE38" s="213">
        <f t="shared" si="41"/>
        <v>0</v>
      </c>
      <c r="CF38" s="213">
        <f t="shared" si="42"/>
        <v>0</v>
      </c>
      <c r="CG38" s="213">
        <f t="shared" si="43"/>
        <v>0</v>
      </c>
      <c r="CH38" s="698">
        <f t="shared" si="44"/>
        <v>4733.6954807085913</v>
      </c>
      <c r="CI38" s="79">
        <f>IFERROR(($G38*'Inputs Yr 2'!$P38*'Inputs Yr 2'!$Q38*(((INDEX(avoidedcosttbl2,$H38,CI$2)+(($H38-ROUNDDOWN($H38,0))*(INDEX(avoidedcosttbl2,ROUNDUP($H38,0),CI$2)-INDEX(avoidedcosttbl2,ROUNDDOWN($H38,0),CI$2))))*'Inputs Yr 2'!AS38))),"")</f>
        <v>0</v>
      </c>
      <c r="CJ38" s="504">
        <f>IFERROR($G38*'Inputs Yr 2'!AT38*'Inputs Yr 2'!$P38*'Inputs Yr 2'!$Q38/((1+realdiscrt1)^-0.5),"")</f>
        <v>0</v>
      </c>
      <c r="CK38" s="79">
        <f>IFERROR((O38*1000*(((INDEX(avoidedcosttbl2,$H38,CK$2)+(($H38-ROUNDDOWN($H38,0))*(INDEX(avoidedcosttbl2,ROUNDUP($H38,0),CK$2)-INDEX(avoidedcosttbl2,ROUNDDOWN($H38,0),CK$2))))*'Inputs Yr 2'!AU38))),"")</f>
        <v>0</v>
      </c>
      <c r="CL38" s="504">
        <f>IFERROR(O38*1000*'Inputs Yr 2'!AV38/((1+realdiscrt1)^-0.5),"")</f>
        <v>0</v>
      </c>
      <c r="CM38" s="79">
        <f>IFERROR((AB38*'Inputs Yr 2'!AW38*(((INDEX(avoidedcosttbl2,$H38,CM$2)+(($H38-ROUNDDOWN($H38,0))*(INDEX(avoidedcosttbl2,ROUNDUP($H38,0),CM$2)-INDEX(avoidedcosttbl2,ROUNDDOWN($H38,0),CM$2)))))))*10,"")</f>
        <v>0</v>
      </c>
      <c r="CN38" s="504">
        <f>IFERROR(10*AB38*'Inputs Yr 2'!AX38/((1+realdiscrt1)^-0.5),"")</f>
        <v>0</v>
      </c>
      <c r="CO38" s="505">
        <f t="shared" si="45"/>
        <v>0</v>
      </c>
      <c r="CP38" s="230">
        <f t="shared" si="46"/>
        <v>4733.6954807085913</v>
      </c>
      <c r="CQ38" s="199">
        <f>ROUND(IFERROR(IF(LEFT($A38,1)="C",'Avoided Costs'!$K$13,'Avoided Costs'!$K$12)+1,""),4)</f>
        <v>1.0720000000000001</v>
      </c>
      <c r="CR38" s="199">
        <f>ROUND(IFERROR(IF(LEFT($A38,1)="C",'Avoided Costs'!$L$13,'Avoided Costs'!$L$12)+1,""),4)</f>
        <v>1.04</v>
      </c>
      <c r="CS38" s="199">
        <f>ROUND(IFERROR(IF(LEFT($A38,1)="C",'Avoided Costs'!$M$13,'Avoided Costs'!$M$12)+1,""),4)</f>
        <v>1.0720000000000001</v>
      </c>
      <c r="CT38" s="199">
        <f>ROUND(IFERROR(IF(LEFT($A38,1)="C",'Avoided Costs'!$N$13,'Avoided Costs'!$N$12)+1,""),4)</f>
        <v>1.04</v>
      </c>
      <c r="CU38" s="199">
        <f>ROUND(IFERROR(IF(LEFT($A38,1)="C",'Avoided Costs'!$O$13,'Avoided Costs'!$O$12)+1,""),4)</f>
        <v>1.1120000000000001</v>
      </c>
      <c r="CV38" s="199">
        <f>ROUND(IFERROR(IF(LEFT($A38,1)="C",'Avoided Costs'!$P$13,'Avoided Costs'!$P$12)+1,""),4)</f>
        <v>1.095</v>
      </c>
      <c r="CW38" s="199">
        <f>ROUND(IFERROR(IF(LEFT($A38,1)="C",'Avoided Costs'!$Q$13,'Avoided Costs'!$Q$12)+1,""),4)</f>
        <v>1.1120000000000001</v>
      </c>
      <c r="CX38" s="200">
        <f>ROUND(IFERROR(IF(LEFT($A38,1)="C",'Avoided Costs'!$R$13,'Avoided Costs'!$R$12)+1,""),4)</f>
        <v>1.1120000000000001</v>
      </c>
    </row>
    <row r="39" spans="1:102" ht="12.75" customHeight="1">
      <c r="A39" s="91" t="str">
        <f>IF('Inputs Yr 2'!$B39=0,"",'Inputs Yr 2'!A39)</f>
        <v>A - Residential</v>
      </c>
      <c r="B39" s="91" t="str">
        <f>IF('Inputs Yr 2'!$B39=0,"",'Inputs Yr 2'!B39)</f>
        <v>A1 - Residential Whole House</v>
      </c>
      <c r="C39" s="91" t="str">
        <f>IF('Inputs Yr 2'!$B39=0,"",'Inputs Yr 2'!C39)</f>
        <v>A1b - Residential Multi-Family Retrofit</v>
      </c>
      <c r="D39" s="91" t="str">
        <f>IF('Inputs Yr 2'!$B39=0,"",'Inputs Yr 2'!E39)</f>
        <v>Rebate Cost Adjustment* (pre-wx, etc.)</v>
      </c>
      <c r="E39" s="93">
        <f>IF('Inputs Yr 2'!$B39=0,"",'Inputs Yr 2'!F39)</f>
        <v>0</v>
      </c>
      <c r="F39" s="93">
        <f>IF('Inputs Yr 2'!$B39=0,"",'Inputs Yr 2'!G39)</f>
        <v>0</v>
      </c>
      <c r="G39" s="95" t="str">
        <f>IF('Inputs Yr 2'!$H39&lt;&gt;0,('Inputs Yr 2'!H39),"")</f>
        <v/>
      </c>
      <c r="H39" s="94">
        <f>IFERROR('Inputs Yr 2'!I39,"")</f>
        <v>0</v>
      </c>
      <c r="I39" s="298" t="str">
        <f>IFERROR('Inputs Yr 2'!J39*'Inputs Yr 2'!P39*G39,"")</f>
        <v/>
      </c>
      <c r="J39" s="298" t="str">
        <f>IFERROR('Inputs Yr 2'!K39*G39,"")</f>
        <v/>
      </c>
      <c r="K39" s="298" t="str">
        <f t="shared" si="23"/>
        <v/>
      </c>
      <c r="L39" s="194" t="str">
        <f>IFERROR(('Inputs Yr 2'!W39*G39)/1000,"")</f>
        <v/>
      </c>
      <c r="M39" s="194" t="str">
        <f>IFERROR(L39*('Inputs Yr 2'!$Q39*'Inputs Yr 2'!$V39*'Inputs Yr 2'!$R39),"")</f>
        <v/>
      </c>
      <c r="N39" s="194" t="str">
        <f t="shared" si="24"/>
        <v/>
      </c>
      <c r="O39" s="194" t="str">
        <f>IFERROR(M39*'Inputs Yr 2'!P39,"")</f>
        <v/>
      </c>
      <c r="P39" s="194" t="str">
        <f t="shared" si="25"/>
        <v/>
      </c>
      <c r="Q39" s="194" t="str">
        <f>IFERROR($P39*'Inputs Yr 2'!AA39,"")</f>
        <v/>
      </c>
      <c r="R39" s="194" t="str">
        <f>IFERROR($P39*'Inputs Yr 2'!AB39,"")</f>
        <v/>
      </c>
      <c r="S39" s="194" t="str">
        <f>IFERROR($P39*'Inputs Yr 2'!AC39,"")</f>
        <v/>
      </c>
      <c r="T39" s="194" t="str">
        <f>IFERROR($P39*'Inputs Yr 2'!AD39,"")</f>
        <v/>
      </c>
      <c r="U39" s="194" t="str">
        <f>IFERROR(G39*'Inputs Yr 2'!$AE39*'Inputs Yr 2'!$P39*'Inputs Yr 2'!$Q39,"")</f>
        <v/>
      </c>
      <c r="V39" s="194" t="str">
        <f>IFERROR($G39*'Inputs Yr 2'!$AE39*'Inputs Yr 2'!$AG39*'Inputs Yr 2'!Q39*'Inputs Yr 2'!$S39,"")</f>
        <v/>
      </c>
      <c r="W39" s="194" t="str">
        <f>IFERROR($G39*'Inputs Yr 2'!$AE39*'Inputs Yr 2'!$AG39*'Inputs Yr 2'!P39*'Inputs Yr 2'!Q39*'Inputs Yr 2'!$S39,"")</f>
        <v/>
      </c>
      <c r="X39" s="194" t="str">
        <f>IFERROR($G39*'Inputs Yr 2'!$AE39*'Inputs Yr 2'!$AF39*'Inputs Yr 2'!Q39*'Inputs Yr 2'!$T39,"")</f>
        <v/>
      </c>
      <c r="Y39" s="194" t="str">
        <f>IFERROR($G39*'Inputs Yr 2'!$AE39*'Inputs Yr 2'!$AF39*'Inputs Yr 2'!P39*'Inputs Yr 2'!Q39*'Inputs Yr 2'!$T39,"")</f>
        <v/>
      </c>
      <c r="Z39" s="257">
        <f>IFERROR($G39*'Inputs Yr 2'!$Q39*'Inputs Yr 2'!$U39*(IF(IFERROR(SEARCH("NG", 'Inputs Yr 2'!$AJ39),0),'Inputs Yr 2'!$AK39,0)+IF(IFERROR(SEARCH("NG", 'Inputs Yr 2'!$AL39),0),'Inputs Yr 2'!$AM39,0)+IF(IFERROR(SEARCH("NG", 'Inputs Yr 2'!$AN39),0),'Inputs Yr 2'!$AO39,0)),0)</f>
        <v>0</v>
      </c>
      <c r="AA39" s="257">
        <f t="shared" si="26"/>
        <v>0</v>
      </c>
      <c r="AB39" s="257">
        <f>IFERROR(Z39*'Inputs Yr 2'!$P39,0)</f>
        <v>0</v>
      </c>
      <c r="AC39" s="257">
        <f t="shared" si="27"/>
        <v>0</v>
      </c>
      <c r="AD39" s="257">
        <f>IFERROR($G39*'Inputs Yr 2'!$Q39*'Inputs Yr 2'!$U39*(IF(IFERROR(SEARCH("Oil", 'Inputs Yr 2'!$AJ39), 0),'Inputs Yr 2'!$AK39,0)+IF(IFERROR(SEARCH("Oil", 'Inputs Yr 2'!$AL39), 0),'Inputs Yr 2'!$AM39,0)+IF(IFERROR(SEARCH("Oil", 'Inputs Yr 2'!$AN39), 0),'Inputs Yr 2'!$AO39,0)),0)</f>
        <v>0</v>
      </c>
      <c r="AE39" s="257">
        <f t="shared" si="28"/>
        <v>0</v>
      </c>
      <c r="AF39" s="257">
        <f>IFERROR(AD39*'Inputs Yr 2'!$P39,0)</f>
        <v>0</v>
      </c>
      <c r="AG39" s="257">
        <f t="shared" si="29"/>
        <v>0</v>
      </c>
      <c r="AH39" s="257">
        <f>IFERROR($G39*'Inputs Yr 2'!$Q39*'Inputs Yr 2'!$U39*(IF('Inputs Yr 2'!$AJ39=CD$4,'Inputs Yr 2'!$AK39,IF('Inputs Yr 2'!$AL39=CD$4,'Inputs Yr 2'!$AM39,IF('Inputs Yr 2'!$AN39=CD$4,'Inputs Yr 2'!$AO39,0)))),0)</f>
        <v>0</v>
      </c>
      <c r="AI39" s="257">
        <f t="shared" si="30"/>
        <v>0</v>
      </c>
      <c r="AJ39" s="257">
        <f>IFERROR(AH39*'Inputs Yr 2'!$P39,0)</f>
        <v>0</v>
      </c>
      <c r="AK39" s="257">
        <f t="shared" si="31"/>
        <v>0</v>
      </c>
      <c r="AL39" s="258">
        <f>IFERROR($G39*'Inputs Yr 2'!$P39*'Inputs Yr 2'!$Q39*'Inputs Yr 2'!AP39,0)</f>
        <v>0</v>
      </c>
      <c r="AM39" s="260">
        <f>IFERROR($G39*'Inputs Yr 2'!$P39*'Inputs Yr 2'!$Q39*'Inputs Yr 2'!AQ39,0)</f>
        <v>0</v>
      </c>
      <c r="AN39" s="258">
        <f>IFERROR($G39*'Inputs Yr 2'!$P39*'Inputs Yr 2'!$Q39*'Inputs Yr 2'!AR39,0)</f>
        <v>0</v>
      </c>
      <c r="AO39" s="257">
        <f t="shared" si="32"/>
        <v>0</v>
      </c>
      <c r="AP39" s="195" t="str">
        <f>IFERROR($CQ39*(INDEX(avoidedcosttbl2,$H39,AP$2)+(($H39-ROUNDDOWN($H39,0))*(INDEX(avoidedcosttbl2,ROUNDUP($H39,0),AP$2)-(INDEX(avoidedcosttbl2,ROUNDDOWN($H39,0),AP$2)))))*$O39*1000*'Inputs Yr 2'!AA39,"")</f>
        <v/>
      </c>
      <c r="AQ39" s="195" t="str">
        <f>IFERROR($CR39*(INDEX(avoidedcosttbl2,$H39,AQ$2)+(($H39-ROUNDDOWN($H39,0))*(INDEX(avoidedcosttbl2,ROUNDUP($H39,0),AQ$2)-(INDEX(avoidedcosttbl2,ROUNDDOWN($H39,0),AQ$2)))))*$O39*1000*'Inputs Yr 2'!AB39,"")</f>
        <v/>
      </c>
      <c r="AR39" s="195" t="str">
        <f>IFERROR($CS39*(INDEX(avoidedcosttbl2,$H39,AR$2)+(($H39-ROUNDDOWN($H39,0))*(INDEX(avoidedcosttbl2,ROUNDUP($H39,0),AR$2)-(INDEX(avoidedcosttbl2,ROUNDDOWN($H39,0),AR$2)))))*$O39*1000*'Inputs Yr 2'!AC39,"")</f>
        <v/>
      </c>
      <c r="AS39" s="195" t="str">
        <f>IFERROR($CT39*(INDEX(avoidedcosttbl2,$H39,AS$2)+(($H39-ROUNDDOWN($H39,0))*(INDEX(avoidedcosttbl2,ROUNDUP($H39,0),AS$2)-(INDEX(avoidedcosttbl2,ROUNDDOWN($H39,0),AS$2)))))*$O39*1000*'Inputs Yr 2'!AD39,"")</f>
        <v/>
      </c>
      <c r="AT39" s="196">
        <f t="shared" si="33"/>
        <v>0</v>
      </c>
      <c r="AU39" s="197" t="str">
        <f>IFERROR($CQ39*((INDEX(avoidedcosttbl2,$H39,AU$2))+(($H39-ROUNDDOWN($H39,0))*((INDEX(avoidedcosttbl2,ROUNDUP($H39,0),AU$2))-(INDEX(avoidedcosttbl2,ROUNDDOWN($H39,0),AU$2)))))*$O39*1000*'Inputs Yr 2'!AA39,"")</f>
        <v/>
      </c>
      <c r="AV39" s="197" t="str">
        <f>IFERROR($CR39*((INDEX(avoidedcosttbl2,$H39,AV$2))+(($H39-ROUNDDOWN($H39,0))*((INDEX(avoidedcosttbl2,ROUNDUP($H39,0),AV$2))-(INDEX(avoidedcosttbl2,ROUNDDOWN($H39,0),AV$2)))))*$O39*1000*'Inputs Yr 2'!AB39,"")</f>
        <v/>
      </c>
      <c r="AW39" s="197" t="str">
        <f>IFERROR($CS39*((INDEX(avoidedcosttbl2,$H39,AW$2))+(($H39-ROUNDDOWN($H39,0))*((INDEX(avoidedcosttbl2,ROUNDUP($H39,0),AW$2))-(INDEX(avoidedcosttbl2,ROUNDDOWN($H39,0),AW$2)))))*$O39*1000*'Inputs Yr 2'!AC39,"")</f>
        <v/>
      </c>
      <c r="AX39" s="197" t="str">
        <f>IFERROR($CT39*((INDEX(avoidedcosttbl2,$H39,AX$2))+(($H39-ROUNDDOWN($H39,0))*((INDEX(avoidedcosttbl2,ROUNDUP($H39,0),AX$2))-(INDEX(avoidedcosttbl2,ROUNDDOWN($H39,0),AX$2)))))*$O39*1000*'Inputs Yr 2'!AD39,"")</f>
        <v/>
      </c>
      <c r="AY39" s="197" t="str">
        <f>IFERROR(((INDEX(avoidedcosttbl2,$H39,AY$2))+(($H39-ROUNDDOWN($H39,0))*((INDEX(avoidedcosttbl2,ROUNDUP($H39,0),AY$2))-(INDEX(avoidedcosttbl2,ROUNDDOWN($H39,0),AY$2)))))*$O39*1000*('Inputs Yr 2'!AC39+'Inputs Yr 2'!AD39),"")</f>
        <v/>
      </c>
      <c r="AZ39" s="197" t="str">
        <f>IFERROR(((INDEX(avoidedcosttbl2,$H39,AZ$2))+(($H39-ROUNDDOWN($H39,0))*((INDEX(avoidedcosttbl2,ROUNDUP($H39,0),AZ$2))-(INDEX(avoidedcosttbl2,ROUNDDOWN($H39,0),AZ$2)))))*$O39*1000*('Inputs Yr 2'!AA39+'Inputs Yr 2'!AB39),"")</f>
        <v/>
      </c>
      <c r="BA39" s="198">
        <f t="shared" si="34"/>
        <v>0</v>
      </c>
      <c r="BB39" s="198">
        <f t="shared" si="35"/>
        <v>0</v>
      </c>
      <c r="BC39" s="195" t="str">
        <f t="shared" si="10"/>
        <v/>
      </c>
      <c r="BD39" s="195" t="str">
        <f t="shared" si="11"/>
        <v/>
      </c>
      <c r="BE39" s="195" t="str">
        <f t="shared" si="12"/>
        <v/>
      </c>
      <c r="BF39" s="195" t="str">
        <f t="shared" si="13"/>
        <v/>
      </c>
      <c r="BG39" s="195" t="str">
        <f t="shared" si="14"/>
        <v/>
      </c>
      <c r="BH39" s="196">
        <f t="shared" si="36"/>
        <v>0</v>
      </c>
      <c r="BI39" s="196">
        <f t="shared" si="37"/>
        <v>0</v>
      </c>
      <c r="BJ39" s="195" t="str">
        <f>IFERROR($G39*(IF('Inputs Yr 2'!$AJ39=BJ$4,'Inputs Yr 2'!$AK39,IF('Inputs Yr 2'!$AL39=BJ$4,'Inputs Yr 2'!$AM39,IF('Inputs Yr 2'!$AN39=BJ$4,'Inputs Yr 2'!$AO39,0))))*(INDEX(avoidedcosttbl2,$H39,BJ$2)+(($H39-ROUNDDOWN($H39,0))*(INDEX(avoidedcosttbl2,ROUNDUP($H39,0),BJ$2)-(INDEX(avoidedcosttbl2,ROUNDDOWN($H39,0),BJ$2)))))*'Inputs Yr 2'!P39*'Inputs Yr 2'!Q39*'Inputs Yr 2'!U39,"")</f>
        <v/>
      </c>
      <c r="BK39" s="195" t="str">
        <f>IFERROR($G39*(IF('Inputs Yr 2'!$AJ39=BK$4,'Inputs Yr 2'!$AK39,IF('Inputs Yr 2'!$AL39=BK$4,'Inputs Yr 2'!$AM39,IF('Inputs Yr 2'!$AN39=BK$4,'Inputs Yr 2'!$AO39,0))))*(INDEX(avoidedcosttbl2,$H39,BK$2)+(($H39-ROUNDDOWN($H39,0))*(INDEX(avoidedcosttbl2,ROUNDUP($H39,0),BK$2)-(INDEX(avoidedcosttbl2,ROUNDDOWN($H39,0),BK$2)))))*'Inputs Yr 2'!P39*'Inputs Yr 2'!Q39*'Inputs Yr 2'!U39,"")</f>
        <v/>
      </c>
      <c r="BL39" s="195" t="str">
        <f>IFERROR($G39*(IF('Inputs Yr 2'!$AJ39=BL$4,'Inputs Yr 2'!$AK39,IF('Inputs Yr 2'!$AL39=BL$4,'Inputs Yr 2'!$AM39,IF('Inputs Yr 2'!$AN39=BL$4,'Inputs Yr 2'!$AO39,0))))*(INDEX(avoidedcosttbl2,$H39,BL$2)+(($H39-ROUNDDOWN($H39,0))*(INDEX(avoidedcosttbl2,ROUNDUP($H39,0),BL$2)-(INDEX(avoidedcosttbl2,ROUNDDOWN($H39,0),BL$2)))))*'Inputs Yr 2'!P39*'Inputs Yr 2'!Q39*'Inputs Yr 2'!U39,"")</f>
        <v/>
      </c>
      <c r="BM39" s="195" t="str">
        <f>IFERROR($G39*(IF('Inputs Yr 2'!$AJ39=BM$4,'Inputs Yr 2'!$AK39,IF('Inputs Yr 2'!$AL39=BM$4,'Inputs Yr 2'!$AM39,IF('Inputs Yr 2'!$AN39=BM$4,'Inputs Yr 2'!$AO39,0))))*(INDEX(avoidedcosttbl2,$H39,BM$2)+(($H39-ROUNDDOWN($H39,0))*(INDEX(avoidedcosttbl2,ROUNDUP($H39,0),BM$2)-(INDEX(avoidedcosttbl2,ROUNDDOWN($H39,0),BM$2)))))*'Inputs Yr 2'!P39*'Inputs Yr 2'!Q39*'Inputs Yr 2'!U39,"")</f>
        <v/>
      </c>
      <c r="BN39" s="195" t="str">
        <f>IFERROR($G39*(IF('Inputs Yr 2'!$AJ39=BN$4,'Inputs Yr 2'!$AK39,IF('Inputs Yr 2'!$AL39=BN$4,'Inputs Yr 2'!$AM39,IF('Inputs Yr 2'!$AN39=BN$4,'Inputs Yr 2'!$AO39,0))))*(INDEX(avoidedcosttbl2,$H39,BN$2)+(($H39-ROUNDDOWN($H39,0))*(INDEX(avoidedcosttbl2,ROUNDUP($H39,0),BN$2)-(INDEX(avoidedcosttbl2,ROUNDDOWN($H39,0),BN$2)))))*'Inputs Yr 2'!P39*'Inputs Yr 2'!Q39*'Inputs Yr 2'!U39,"")</f>
        <v/>
      </c>
      <c r="BO39" s="195" t="str">
        <f>IFERROR($G39*(IF('Inputs Yr 2'!$AJ39=BO$4,'Inputs Yr 2'!$AK39,IF('Inputs Yr 2'!$AL39=BO$4,'Inputs Yr 2'!$AM39,IF('Inputs Yr 2'!$AN39=BO$4,'Inputs Yr 2'!$AO39,0))))*(INDEX(avoidedcosttbl2,$H39,BO$2)+(($H39-ROUNDDOWN($H39,0))*(INDEX(avoidedcosttbl2,ROUNDUP($H39,0),BO$2)-(INDEX(avoidedcosttbl2,ROUNDDOWN($H39,0),BO$2)))))*'Inputs Yr 2'!P39*'Inputs Yr 2'!Q39*'Inputs Yr 2'!U39,"")</f>
        <v/>
      </c>
      <c r="BP39" s="195" t="str">
        <f>IFERROR($G39*(IF('Inputs Yr 2'!$AJ39=BP$4,'Inputs Yr 2'!$AK39,IF('Inputs Yr 2'!$AL39=BP$4,'Inputs Yr 2'!$AM39,IF('Inputs Yr 2'!$AN39=BP$4,'Inputs Yr 2'!$AO39,0))))*(INDEX(avoidedcosttbl2,$H39,BP$2)+(($H39-ROUNDDOWN($H39,0))*(INDEX(avoidedcosttbl2,ROUNDUP($H39,0),BP$2)-(INDEX(avoidedcosttbl2,ROUNDDOWN($H39,0),BP$2)))))*'Inputs Yr 2'!P39*'Inputs Yr 2'!Q39*'Inputs Yr 2'!U39,"")</f>
        <v/>
      </c>
      <c r="BQ39" s="230">
        <f t="shared" si="38"/>
        <v>0</v>
      </c>
      <c r="BR39" s="197" t="str">
        <f t="shared" si="17"/>
        <v/>
      </c>
      <c r="BS39" s="197" t="str">
        <f>IFERROR(($G39*IF('Inputs Yr 2'!$AJ39=BM$4,'Inputs Yr 2'!$AK39,IF('Inputs Yr 2'!$AL39=BM$4,'Inputs Yr 2'!$AM39,IF('Inputs Yr 2'!$AN39=BM$4,'Inputs Yr 2'!$AO39,0))))*(INDEX(avoidedcosttbl2,$H39,BS$2)+(($H39-ROUNDDOWN($H39,0))*(INDEX(avoidedcosttbl2,ROUNDUP($H39,0),BS$2)-(INDEX(avoidedcosttbl2,ROUNDDOWN($H39,0),BS$2)))))*'Inputs Yr 2'!P39*'Inputs Yr 2'!Q39*'Inputs Yr 2'!U39,"")</f>
        <v/>
      </c>
      <c r="BT39" s="197" t="str">
        <f>IFERROR(($G39*IF('Inputs Yr 2'!$AJ39=BK$4,'Inputs Yr 2'!$AK39,IF('Inputs Yr 2'!$AL39=BK$4,'Inputs Yr 2'!$AM39,IF('Inputs Yr 2'!$AN39=BK$4,'Inputs Yr 2'!$AO39,0))))*(INDEX(avoidedcosttbl2,$H39,BT$2)+(($H39-ROUNDDOWN($H39,0))*(INDEX(avoidedcosttbl2,ROUNDUP($H39,0),BT$2)-(INDEX(avoidedcosttbl2,ROUNDDOWN($H39,0),BT$2)))))*'Inputs Yr 2'!P39*'Inputs Yr 2'!Q39*'Inputs Yr 2'!U39,"")</f>
        <v/>
      </c>
      <c r="BU39" s="197" t="str">
        <f>IFERROR(($G39*IF('Inputs Yr 2'!$AJ39=BL$4,'Inputs Yr 2'!$AK39,IF('Inputs Yr 2'!$AL39=BL$4,'Inputs Yr 2'!$AM39,IF('Inputs Yr 2'!$AN39=BL$4,'Inputs Yr 2'!$AO39,0))))*(INDEX(avoidedcosttbl2,$H39,BU$2)+(($H39-ROUNDDOWN($H39,0))*(INDEX(avoidedcosttbl2,ROUNDUP($H39,0),BU$2)-(INDEX(avoidedcosttbl2,ROUNDDOWN($H39,0),BU$2)))))*'Inputs Yr 2'!P39*'Inputs Yr 2'!Q39*'Inputs Yr 2'!U39,"")</f>
        <v/>
      </c>
      <c r="BV39" s="775" t="str">
        <f>IFERROR(($G39*IF('Inputs Yr 2'!$AJ39=BJ$4,'Inputs Yr 2'!$AK39,IF('Inputs Yr 2'!$AL39=BJ$4,'Inputs Yr 2'!$AM39,IF('Inputs Yr 2'!$AN39=BJ$4,'Inputs Yr 2'!$AO39,0))))*(INDEX(avoidedcosttbl2,$H39,BV$2)+(($H39-ROUNDDOWN($H39,0))*(INDEX(avoidedcosttbl2,ROUNDUP($H39,0),BV$2)-(INDEX(avoidedcosttbl2,ROUNDDOWN($H39,0),BV$2)))))*'Inputs Yr 2'!P39*'Inputs Yr 2'!Q39*'Inputs Yr 2'!U39,"")</f>
        <v/>
      </c>
      <c r="BW39" s="197" t="str">
        <f>IFERROR(($G39*IF('Inputs Yr 2'!$AJ39=BN$4,'Inputs Yr 2'!$AK39,IF('Inputs Yr 2'!$AL39=BN$4,'Inputs Yr 2'!$AM39,IF('Inputs Yr 2'!$AN39=BN$4,'Inputs Yr 2'!$AO39,0))))*(INDEX(avoidedcosttbl2,$H39,BW$2)+(($H39-ROUNDDOWN($H39,0))*(INDEX(avoidedcosttbl2,ROUNDUP($H39,0),BW$2)-(INDEX(avoidedcosttbl2,ROUNDDOWN($H39,0),BW$2)))))*'Inputs Yr 2'!P39*'Inputs Yr 2'!Q39*'Inputs Yr 2'!U39,"")</f>
        <v/>
      </c>
      <c r="BX39" s="197" t="str">
        <f>IFERROR(($G39*IF('Inputs Yr 2'!$AJ39=BO$4,'Inputs Yr 2'!$AK39,IF('Inputs Yr 2'!$AL39=BO$4,'Inputs Yr 2'!$AM39,IF('Inputs Yr 2'!$AN39=BO$4,'Inputs Yr 2'!$AO39,0))))*(INDEX(avoidedcosttbl2,$H39,BX$2)+(($H39-ROUNDDOWN($H39,0))*(INDEX(avoidedcosttbl2,ROUNDUP($H39,0),BX$2)-(INDEX(avoidedcosttbl2,ROUNDDOWN($H39,0),BX$2)))))*'Inputs Yr 2'!P39*'Inputs Yr 2'!Q39*'Inputs Yr 2'!U39,"")</f>
        <v/>
      </c>
      <c r="BY39" s="197" t="str">
        <f>IFERROR(($G39*IF('Inputs Yr 2'!$AJ39=BP$4,'Inputs Yr 2'!$AK39,IF('Inputs Yr 2'!$AL39=BP$4,'Inputs Yr 2'!$AM39,IF('Inputs Yr 2'!$AN39=BP$4,'Inputs Yr 2'!$AO39,0))))*(INDEX(avoidedcosttbl2,$H39,BY$2)+(($H39-ROUNDDOWN($H39,0))*(INDEX(avoidedcosttbl2,ROUNDUP($H39,0),BY$2)-(INDEX(avoidedcosttbl2,ROUNDDOWN($H39,0),BY$2)))))*'Inputs Yr 2'!P39*'Inputs Yr 2'!Q39*'Inputs Yr 2'!U39,"")</f>
        <v/>
      </c>
      <c r="BZ39" s="193">
        <f t="shared" si="39"/>
        <v>0</v>
      </c>
      <c r="CA39" s="193">
        <f t="shared" si="40"/>
        <v>0</v>
      </c>
      <c r="CB39" s="195" t="str">
        <f>IFERROR(G39*(IF('Inputs Yr 2'!$AJ39=CB$4,'Inputs Yr 2'!$AK39,IF('Inputs Yr 2'!$AL39=CB$4,'Inputs Yr 2'!$AM39,IF('Inputs Yr 2'!$AN39=CB$4,'Inputs Yr 2'!$AO39,0))))*(INDEX(avoidedcosttbl2,$H39,CB$2)+(($H39-ROUNDDOWN($H39,0))*(INDEX(avoidedcosttbl2,ROUNDUP($H39,0),CB$2)-(INDEX(avoidedcosttbl2,ROUNDDOWN($H39,0),CB$2)))))*'Inputs Yr 2'!P39*'Inputs Yr 2'!Q39*'Inputs Yr 2'!U39,"")</f>
        <v/>
      </c>
      <c r="CC39" s="195" t="str">
        <f>IFERROR(H39*(IF('Inputs Yr 2'!$AJ39=CC$4,'Inputs Yr 2'!$AK39,IF('Inputs Yr 2'!$AL39=CC$4,'Inputs Yr 2'!$AM39,IF('Inputs Yr 2'!$AN39=CC$4,'Inputs Yr 2'!$AO39,0))))*(INDEX(avoidedcosttbl2,$H39,CC$2)+(($H39-ROUNDDOWN($H39,0))*(INDEX(avoidedcosttbl2,ROUNDUP($H39,0),CC$2)-(INDEX(avoidedcosttbl2,ROUNDDOWN($H39,0),CC$2)))))*'Inputs Yr 2'!Q39*'Inputs Yr 2'!R39*'Inputs Yr 2'!V39,"")</f>
        <v/>
      </c>
      <c r="CD39" s="195" t="str">
        <f>IFERROR(I39*(IF('Inputs Yr 2'!$AJ39=CD$4,'Inputs Yr 2'!$AK39,IF('Inputs Yr 2'!$AL39=CD$4,'Inputs Yr 2'!$AM39,IF('Inputs Yr 2'!$AN39=CD$4,'Inputs Yr 2'!$AO39,0))))*(INDEX(avoidedcosttbl2,$H39,CD$2)+(($H39-ROUNDDOWN($H39,0))*(INDEX(avoidedcosttbl2,ROUNDUP($H39,0),CD$2)-(INDEX(avoidedcosttbl2,ROUNDDOWN($H39,0),CD$2)))))*'Inputs Yr 2'!R39*'Inputs Yr 2'!S39*'Inputs Yr 2'!W39,"")</f>
        <v/>
      </c>
      <c r="CE39" s="213" t="str">
        <f t="shared" si="41"/>
        <v/>
      </c>
      <c r="CF39" s="213" t="str">
        <f t="shared" si="42"/>
        <v/>
      </c>
      <c r="CG39" s="213" t="str">
        <f t="shared" si="43"/>
        <v/>
      </c>
      <c r="CH39" s="698">
        <f t="shared" si="44"/>
        <v>0</v>
      </c>
      <c r="CI39" s="79" t="str">
        <f>IFERROR(($G39*'Inputs Yr 2'!$P39*'Inputs Yr 2'!$Q39*(((INDEX(avoidedcosttbl2,$H39,CI$2)+(($H39-ROUNDDOWN($H39,0))*(INDEX(avoidedcosttbl2,ROUNDUP($H39,0),CI$2)-INDEX(avoidedcosttbl2,ROUNDDOWN($H39,0),CI$2))))*'Inputs Yr 2'!AS39))),"")</f>
        <v/>
      </c>
      <c r="CJ39" s="504" t="str">
        <f>IFERROR($G39*'Inputs Yr 2'!AT39*'Inputs Yr 2'!$P39*'Inputs Yr 2'!$Q39/((1+realdiscrt1)^-0.5),"")</f>
        <v/>
      </c>
      <c r="CK39" s="79" t="str">
        <f>IFERROR((O39*1000*(((INDEX(avoidedcosttbl2,$H39,CK$2)+(($H39-ROUNDDOWN($H39,0))*(INDEX(avoidedcosttbl2,ROUNDUP($H39,0),CK$2)-INDEX(avoidedcosttbl2,ROUNDDOWN($H39,0),CK$2))))*'Inputs Yr 2'!AU39))),"")</f>
        <v/>
      </c>
      <c r="CL39" s="504" t="str">
        <f>IFERROR(O39*1000*'Inputs Yr 2'!AV39/((1+realdiscrt1)^-0.5),"")</f>
        <v/>
      </c>
      <c r="CM39" s="79" t="str">
        <f>IFERROR((AB39*'Inputs Yr 2'!AW39*(((INDEX(avoidedcosttbl2,$H39,CM$2)+(($H39-ROUNDDOWN($H39,0))*(INDEX(avoidedcosttbl2,ROUNDUP($H39,0),CM$2)-INDEX(avoidedcosttbl2,ROUNDDOWN($H39,0),CM$2)))))))*10,"")</f>
        <v/>
      </c>
      <c r="CN39" s="504">
        <f>IFERROR(10*AB39*'Inputs Yr 2'!AX39/((1+realdiscrt1)^-0.5),"")</f>
        <v>0</v>
      </c>
      <c r="CO39" s="505">
        <f t="shared" si="45"/>
        <v>0</v>
      </c>
      <c r="CP39" s="230">
        <f t="shared" si="46"/>
        <v>0</v>
      </c>
      <c r="CQ39" s="199">
        <f>ROUND(IFERROR(IF(LEFT($A39,1)="C",'Avoided Costs'!$K$13,'Avoided Costs'!$K$12)+1,""),4)</f>
        <v>1.0720000000000001</v>
      </c>
      <c r="CR39" s="199">
        <f>ROUND(IFERROR(IF(LEFT($A39,1)="C",'Avoided Costs'!$L$13,'Avoided Costs'!$L$12)+1,""),4)</f>
        <v>1.04</v>
      </c>
      <c r="CS39" s="199">
        <f>ROUND(IFERROR(IF(LEFT($A39,1)="C",'Avoided Costs'!$M$13,'Avoided Costs'!$M$12)+1,""),4)</f>
        <v>1.0720000000000001</v>
      </c>
      <c r="CT39" s="199">
        <f>ROUND(IFERROR(IF(LEFT($A39,1)="C",'Avoided Costs'!$N$13,'Avoided Costs'!$N$12)+1,""),4)</f>
        <v>1.04</v>
      </c>
      <c r="CU39" s="199">
        <f>ROUND(IFERROR(IF(LEFT($A39,1)="C",'Avoided Costs'!$O$13,'Avoided Costs'!$O$12)+1,""),4)</f>
        <v>1.1120000000000001</v>
      </c>
      <c r="CV39" s="199">
        <f>ROUND(IFERROR(IF(LEFT($A39,1)="C",'Avoided Costs'!$P$13,'Avoided Costs'!$P$12)+1,""),4)</f>
        <v>1.095</v>
      </c>
      <c r="CW39" s="199">
        <f>ROUND(IFERROR(IF(LEFT($A39,1)="C",'Avoided Costs'!$Q$13,'Avoided Costs'!$Q$12)+1,""),4)</f>
        <v>1.1120000000000001</v>
      </c>
      <c r="CX39" s="200">
        <f>ROUND(IFERROR(IF(LEFT($A39,1)="C",'Avoided Costs'!$R$13,'Avoided Costs'!$R$12)+1,""),4)</f>
        <v>1.1120000000000001</v>
      </c>
    </row>
    <row r="40" spans="1:102" ht="12.75" customHeight="1">
      <c r="A40" s="91" t="str">
        <f>IF('Inputs Yr 2'!$B40=0,"",'Inputs Yr 2'!A40)</f>
        <v>A - Residential</v>
      </c>
      <c r="B40" s="91" t="str">
        <f>IF('Inputs Yr 2'!$B40=0,"",'Inputs Yr 2'!B40)</f>
        <v>A1 - Residential Whole House</v>
      </c>
      <c r="C40" s="91" t="str">
        <f>IF('Inputs Yr 2'!$B40=0,"",'Inputs Yr 2'!C40)</f>
        <v>A1b - Residential Multi-Family Retrofit</v>
      </c>
      <c r="D40" s="91" t="str">
        <f>IF('Inputs Yr 2'!$B40=0,"",'Inputs Yr 2'!E40)</f>
        <v>Custom/Future</v>
      </c>
      <c r="E40" s="93">
        <f>IF('Inputs Yr 2'!$B40=0,"",'Inputs Yr 2'!F40)</f>
        <v>0</v>
      </c>
      <c r="F40" s="93">
        <f>IF('Inputs Yr 2'!$B40=0,"",'Inputs Yr 2'!G40)</f>
        <v>0</v>
      </c>
      <c r="G40" s="95" t="str">
        <f>IF('Inputs Yr 2'!$H40&lt;&gt;0,('Inputs Yr 2'!H40),"")</f>
        <v/>
      </c>
      <c r="H40" s="94">
        <f>IFERROR('Inputs Yr 2'!I40,"")</f>
        <v>0</v>
      </c>
      <c r="I40" s="298" t="str">
        <f>IFERROR('Inputs Yr 2'!J40*'Inputs Yr 2'!P40*G40,"")</f>
        <v/>
      </c>
      <c r="J40" s="298" t="str">
        <f>IFERROR('Inputs Yr 2'!K40*G40,"")</f>
        <v/>
      </c>
      <c r="K40" s="298" t="str">
        <f t="shared" si="23"/>
        <v/>
      </c>
      <c r="L40" s="194" t="str">
        <f>IFERROR(('Inputs Yr 2'!W40*G40)/1000,"")</f>
        <v/>
      </c>
      <c r="M40" s="194" t="str">
        <f>IFERROR(L40*('Inputs Yr 2'!$Q40*'Inputs Yr 2'!$V40*'Inputs Yr 2'!$R40),"")</f>
        <v/>
      </c>
      <c r="N40" s="194" t="str">
        <f t="shared" si="24"/>
        <v/>
      </c>
      <c r="O40" s="194" t="str">
        <f>IFERROR(M40*'Inputs Yr 2'!P40,"")</f>
        <v/>
      </c>
      <c r="P40" s="194" t="str">
        <f t="shared" si="25"/>
        <v/>
      </c>
      <c r="Q40" s="194" t="str">
        <f>IFERROR($P40*'Inputs Yr 2'!AA40,"")</f>
        <v/>
      </c>
      <c r="R40" s="194" t="str">
        <f>IFERROR($P40*'Inputs Yr 2'!AB40,"")</f>
        <v/>
      </c>
      <c r="S40" s="194" t="str">
        <f>IFERROR($P40*'Inputs Yr 2'!AC40,"")</f>
        <v/>
      </c>
      <c r="T40" s="194" t="str">
        <f>IFERROR($P40*'Inputs Yr 2'!AD40,"")</f>
        <v/>
      </c>
      <c r="U40" s="194" t="str">
        <f>IFERROR(G40*'Inputs Yr 2'!$AE40*'Inputs Yr 2'!$P40*'Inputs Yr 2'!$Q40,"")</f>
        <v/>
      </c>
      <c r="V40" s="194" t="str">
        <f>IFERROR($G40*'Inputs Yr 2'!$AE40*'Inputs Yr 2'!$AG40*'Inputs Yr 2'!Q40*'Inputs Yr 2'!$S40,"")</f>
        <v/>
      </c>
      <c r="W40" s="194" t="str">
        <f>IFERROR($G40*'Inputs Yr 2'!$AE40*'Inputs Yr 2'!$AG40*'Inputs Yr 2'!P40*'Inputs Yr 2'!Q40*'Inputs Yr 2'!$S40,"")</f>
        <v/>
      </c>
      <c r="X40" s="194" t="str">
        <f>IFERROR($G40*'Inputs Yr 2'!$AE40*'Inputs Yr 2'!$AF40*'Inputs Yr 2'!Q40*'Inputs Yr 2'!$T40,"")</f>
        <v/>
      </c>
      <c r="Y40" s="194" t="str">
        <f>IFERROR($G40*'Inputs Yr 2'!$AE40*'Inputs Yr 2'!$AF40*'Inputs Yr 2'!P40*'Inputs Yr 2'!Q40*'Inputs Yr 2'!$T40,"")</f>
        <v/>
      </c>
      <c r="Z40" s="257">
        <f>IFERROR($G40*'Inputs Yr 2'!$Q40*'Inputs Yr 2'!$U40*(IF(IFERROR(SEARCH("NG", 'Inputs Yr 2'!$AJ40),0),'Inputs Yr 2'!$AK40,0)+IF(IFERROR(SEARCH("NG", 'Inputs Yr 2'!$AL40),0),'Inputs Yr 2'!$AM40,0)+IF(IFERROR(SEARCH("NG", 'Inputs Yr 2'!$AN40),0),'Inputs Yr 2'!$AO40,0)),0)</f>
        <v>0</v>
      </c>
      <c r="AA40" s="257">
        <f t="shared" si="26"/>
        <v>0</v>
      </c>
      <c r="AB40" s="257">
        <f>IFERROR(Z40*'Inputs Yr 2'!$P40,0)</f>
        <v>0</v>
      </c>
      <c r="AC40" s="257">
        <f t="shared" si="27"/>
        <v>0</v>
      </c>
      <c r="AD40" s="257">
        <f>IFERROR($G40*'Inputs Yr 2'!$Q40*'Inputs Yr 2'!$U40*(IF(IFERROR(SEARCH("Oil", 'Inputs Yr 2'!$AJ40), 0),'Inputs Yr 2'!$AK40,0)+IF(IFERROR(SEARCH("Oil", 'Inputs Yr 2'!$AL40), 0),'Inputs Yr 2'!$AM40,0)+IF(IFERROR(SEARCH("Oil", 'Inputs Yr 2'!$AN40), 0),'Inputs Yr 2'!$AO40,0)),0)</f>
        <v>0</v>
      </c>
      <c r="AE40" s="257">
        <f t="shared" si="28"/>
        <v>0</v>
      </c>
      <c r="AF40" s="257">
        <f>IFERROR(AD40*'Inputs Yr 2'!$P40,0)</f>
        <v>0</v>
      </c>
      <c r="AG40" s="257">
        <f t="shared" si="29"/>
        <v>0</v>
      </c>
      <c r="AH40" s="257">
        <f>IFERROR($G40*'Inputs Yr 2'!$Q40*'Inputs Yr 2'!$U40*(IF('Inputs Yr 2'!$AJ40=CD$4,'Inputs Yr 2'!$AK40,IF('Inputs Yr 2'!$AL40=CD$4,'Inputs Yr 2'!$AM40,IF('Inputs Yr 2'!$AN40=CD$4,'Inputs Yr 2'!$AO40,0)))),0)</f>
        <v>0</v>
      </c>
      <c r="AI40" s="257">
        <f t="shared" si="30"/>
        <v>0</v>
      </c>
      <c r="AJ40" s="257">
        <f>IFERROR(AH40*'Inputs Yr 2'!$P40,0)</f>
        <v>0</v>
      </c>
      <c r="AK40" s="257">
        <f t="shared" si="31"/>
        <v>0</v>
      </c>
      <c r="AL40" s="258">
        <f>IFERROR($G40*'Inputs Yr 2'!$P40*'Inputs Yr 2'!$Q40*'Inputs Yr 2'!AP40,0)</f>
        <v>0</v>
      </c>
      <c r="AM40" s="260">
        <f>IFERROR($G40*'Inputs Yr 2'!$P40*'Inputs Yr 2'!$Q40*'Inputs Yr 2'!AQ40,0)</f>
        <v>0</v>
      </c>
      <c r="AN40" s="258">
        <f>IFERROR($G40*'Inputs Yr 2'!$P40*'Inputs Yr 2'!$Q40*'Inputs Yr 2'!AR40,0)</f>
        <v>0</v>
      </c>
      <c r="AO40" s="257">
        <f t="shared" si="32"/>
        <v>0</v>
      </c>
      <c r="AP40" s="195" t="str">
        <f>IFERROR($CQ40*(INDEX(avoidedcosttbl2,$H40,AP$2)+(($H40-ROUNDDOWN($H40,0))*(INDEX(avoidedcosttbl2,ROUNDUP($H40,0),AP$2)-(INDEX(avoidedcosttbl2,ROUNDDOWN($H40,0),AP$2)))))*$O40*1000*'Inputs Yr 2'!AA40,"")</f>
        <v/>
      </c>
      <c r="AQ40" s="195" t="str">
        <f>IFERROR($CR40*(INDEX(avoidedcosttbl2,$H40,AQ$2)+(($H40-ROUNDDOWN($H40,0))*(INDEX(avoidedcosttbl2,ROUNDUP($H40,0),AQ$2)-(INDEX(avoidedcosttbl2,ROUNDDOWN($H40,0),AQ$2)))))*$O40*1000*'Inputs Yr 2'!AB40,"")</f>
        <v/>
      </c>
      <c r="AR40" s="195" t="str">
        <f>IFERROR($CS40*(INDEX(avoidedcosttbl2,$H40,AR$2)+(($H40-ROUNDDOWN($H40,0))*(INDEX(avoidedcosttbl2,ROUNDUP($H40,0),AR$2)-(INDEX(avoidedcosttbl2,ROUNDDOWN($H40,0),AR$2)))))*$O40*1000*'Inputs Yr 2'!AC40,"")</f>
        <v/>
      </c>
      <c r="AS40" s="195" t="str">
        <f>IFERROR($CT40*(INDEX(avoidedcosttbl2,$H40,AS$2)+(($H40-ROUNDDOWN($H40,0))*(INDEX(avoidedcosttbl2,ROUNDUP($H40,0),AS$2)-(INDEX(avoidedcosttbl2,ROUNDDOWN($H40,0),AS$2)))))*$O40*1000*'Inputs Yr 2'!AD40,"")</f>
        <v/>
      </c>
      <c r="AT40" s="196">
        <f t="shared" si="33"/>
        <v>0</v>
      </c>
      <c r="AU40" s="197" t="str">
        <f>IFERROR($CQ40*((INDEX(avoidedcosttbl2,$H40,AU$2))+(($H40-ROUNDDOWN($H40,0))*((INDEX(avoidedcosttbl2,ROUNDUP($H40,0),AU$2))-(INDEX(avoidedcosttbl2,ROUNDDOWN($H40,0),AU$2)))))*$O40*1000*'Inputs Yr 2'!AA40,"")</f>
        <v/>
      </c>
      <c r="AV40" s="197" t="str">
        <f>IFERROR($CR40*((INDEX(avoidedcosttbl2,$H40,AV$2))+(($H40-ROUNDDOWN($H40,0))*((INDEX(avoidedcosttbl2,ROUNDUP($H40,0),AV$2))-(INDEX(avoidedcosttbl2,ROUNDDOWN($H40,0),AV$2)))))*$O40*1000*'Inputs Yr 2'!AB40,"")</f>
        <v/>
      </c>
      <c r="AW40" s="197" t="str">
        <f>IFERROR($CS40*((INDEX(avoidedcosttbl2,$H40,AW$2))+(($H40-ROUNDDOWN($H40,0))*((INDEX(avoidedcosttbl2,ROUNDUP($H40,0),AW$2))-(INDEX(avoidedcosttbl2,ROUNDDOWN($H40,0),AW$2)))))*$O40*1000*'Inputs Yr 2'!AC40,"")</f>
        <v/>
      </c>
      <c r="AX40" s="197" t="str">
        <f>IFERROR($CT40*((INDEX(avoidedcosttbl2,$H40,AX$2))+(($H40-ROUNDDOWN($H40,0))*((INDEX(avoidedcosttbl2,ROUNDUP($H40,0),AX$2))-(INDEX(avoidedcosttbl2,ROUNDDOWN($H40,0),AX$2)))))*$O40*1000*'Inputs Yr 2'!AD40,"")</f>
        <v/>
      </c>
      <c r="AY40" s="197" t="str">
        <f>IFERROR(((INDEX(avoidedcosttbl2,$H40,AY$2))+(($H40-ROUNDDOWN($H40,0))*((INDEX(avoidedcosttbl2,ROUNDUP($H40,0),AY$2))-(INDEX(avoidedcosttbl2,ROUNDDOWN($H40,0),AY$2)))))*$O40*1000*('Inputs Yr 2'!AC40+'Inputs Yr 2'!AD40),"")</f>
        <v/>
      </c>
      <c r="AZ40" s="197" t="str">
        <f>IFERROR(((INDEX(avoidedcosttbl2,$H40,AZ$2))+(($H40-ROUNDDOWN($H40,0))*((INDEX(avoidedcosttbl2,ROUNDUP($H40,0),AZ$2))-(INDEX(avoidedcosttbl2,ROUNDDOWN($H40,0),AZ$2)))))*$O40*1000*('Inputs Yr 2'!AA40+'Inputs Yr 2'!AB40),"")</f>
        <v/>
      </c>
      <c r="BA40" s="198">
        <f t="shared" si="34"/>
        <v>0</v>
      </c>
      <c r="BB40" s="198">
        <f t="shared" si="35"/>
        <v>0</v>
      </c>
      <c r="BC40" s="195" t="str">
        <f t="shared" si="10"/>
        <v/>
      </c>
      <c r="BD40" s="195" t="str">
        <f t="shared" si="11"/>
        <v/>
      </c>
      <c r="BE40" s="195" t="str">
        <f t="shared" si="12"/>
        <v/>
      </c>
      <c r="BF40" s="195" t="str">
        <f t="shared" si="13"/>
        <v/>
      </c>
      <c r="BG40" s="195" t="str">
        <f t="shared" si="14"/>
        <v/>
      </c>
      <c r="BH40" s="196">
        <f t="shared" si="36"/>
        <v>0</v>
      </c>
      <c r="BI40" s="196">
        <f t="shared" si="37"/>
        <v>0</v>
      </c>
      <c r="BJ40" s="195" t="str">
        <f>IFERROR($G40*(IF('Inputs Yr 2'!$AJ40=BJ$4,'Inputs Yr 2'!$AK40,IF('Inputs Yr 2'!$AL40=BJ$4,'Inputs Yr 2'!$AM40,IF('Inputs Yr 2'!$AN40=BJ$4,'Inputs Yr 2'!$AO40,0))))*(INDEX(avoidedcosttbl2,$H40,BJ$2)+(($H40-ROUNDDOWN($H40,0))*(INDEX(avoidedcosttbl2,ROUNDUP($H40,0),BJ$2)-(INDEX(avoidedcosttbl2,ROUNDDOWN($H40,0),BJ$2)))))*'Inputs Yr 2'!P40*'Inputs Yr 2'!Q40*'Inputs Yr 2'!U40,"")</f>
        <v/>
      </c>
      <c r="BK40" s="195" t="str">
        <f>IFERROR($G40*(IF('Inputs Yr 2'!$AJ40=BK$4,'Inputs Yr 2'!$AK40,IF('Inputs Yr 2'!$AL40=BK$4,'Inputs Yr 2'!$AM40,IF('Inputs Yr 2'!$AN40=BK$4,'Inputs Yr 2'!$AO40,0))))*(INDEX(avoidedcosttbl2,$H40,BK$2)+(($H40-ROUNDDOWN($H40,0))*(INDEX(avoidedcosttbl2,ROUNDUP($H40,0),BK$2)-(INDEX(avoidedcosttbl2,ROUNDDOWN($H40,0),BK$2)))))*'Inputs Yr 2'!P40*'Inputs Yr 2'!Q40*'Inputs Yr 2'!U40,"")</f>
        <v/>
      </c>
      <c r="BL40" s="195" t="str">
        <f>IFERROR($G40*(IF('Inputs Yr 2'!$AJ40=BL$4,'Inputs Yr 2'!$AK40,IF('Inputs Yr 2'!$AL40=BL$4,'Inputs Yr 2'!$AM40,IF('Inputs Yr 2'!$AN40=BL$4,'Inputs Yr 2'!$AO40,0))))*(INDEX(avoidedcosttbl2,$H40,BL$2)+(($H40-ROUNDDOWN($H40,0))*(INDEX(avoidedcosttbl2,ROUNDUP($H40,0),BL$2)-(INDEX(avoidedcosttbl2,ROUNDDOWN($H40,0),BL$2)))))*'Inputs Yr 2'!P40*'Inputs Yr 2'!Q40*'Inputs Yr 2'!U40,"")</f>
        <v/>
      </c>
      <c r="BM40" s="195" t="str">
        <f>IFERROR($G40*(IF('Inputs Yr 2'!$AJ40=BM$4,'Inputs Yr 2'!$AK40,IF('Inputs Yr 2'!$AL40=BM$4,'Inputs Yr 2'!$AM40,IF('Inputs Yr 2'!$AN40=BM$4,'Inputs Yr 2'!$AO40,0))))*(INDEX(avoidedcosttbl2,$H40,BM$2)+(($H40-ROUNDDOWN($H40,0))*(INDEX(avoidedcosttbl2,ROUNDUP($H40,0),BM$2)-(INDEX(avoidedcosttbl2,ROUNDDOWN($H40,0),BM$2)))))*'Inputs Yr 2'!P40*'Inputs Yr 2'!Q40*'Inputs Yr 2'!U40,"")</f>
        <v/>
      </c>
      <c r="BN40" s="195" t="str">
        <f>IFERROR($G40*(IF('Inputs Yr 2'!$AJ40=BN$4,'Inputs Yr 2'!$AK40,IF('Inputs Yr 2'!$AL40=BN$4,'Inputs Yr 2'!$AM40,IF('Inputs Yr 2'!$AN40=BN$4,'Inputs Yr 2'!$AO40,0))))*(INDEX(avoidedcosttbl2,$H40,BN$2)+(($H40-ROUNDDOWN($H40,0))*(INDEX(avoidedcosttbl2,ROUNDUP($H40,0),BN$2)-(INDEX(avoidedcosttbl2,ROUNDDOWN($H40,0),BN$2)))))*'Inputs Yr 2'!P40*'Inputs Yr 2'!Q40*'Inputs Yr 2'!U40,"")</f>
        <v/>
      </c>
      <c r="BO40" s="195" t="str">
        <f>IFERROR($G40*(IF('Inputs Yr 2'!$AJ40=BO$4,'Inputs Yr 2'!$AK40,IF('Inputs Yr 2'!$AL40=BO$4,'Inputs Yr 2'!$AM40,IF('Inputs Yr 2'!$AN40=BO$4,'Inputs Yr 2'!$AO40,0))))*(INDEX(avoidedcosttbl2,$H40,BO$2)+(($H40-ROUNDDOWN($H40,0))*(INDEX(avoidedcosttbl2,ROUNDUP($H40,0),BO$2)-(INDEX(avoidedcosttbl2,ROUNDDOWN($H40,0),BO$2)))))*'Inputs Yr 2'!P40*'Inputs Yr 2'!Q40*'Inputs Yr 2'!U40,"")</f>
        <v/>
      </c>
      <c r="BP40" s="195" t="str">
        <f>IFERROR($G40*(IF('Inputs Yr 2'!$AJ40=BP$4,'Inputs Yr 2'!$AK40,IF('Inputs Yr 2'!$AL40=BP$4,'Inputs Yr 2'!$AM40,IF('Inputs Yr 2'!$AN40=BP$4,'Inputs Yr 2'!$AO40,0))))*(INDEX(avoidedcosttbl2,$H40,BP$2)+(($H40-ROUNDDOWN($H40,0))*(INDEX(avoidedcosttbl2,ROUNDUP($H40,0),BP$2)-(INDEX(avoidedcosttbl2,ROUNDDOWN($H40,0),BP$2)))))*'Inputs Yr 2'!P40*'Inputs Yr 2'!Q40*'Inputs Yr 2'!U40,"")</f>
        <v/>
      </c>
      <c r="BQ40" s="230">
        <f t="shared" si="38"/>
        <v>0</v>
      </c>
      <c r="BR40" s="197" t="str">
        <f t="shared" si="17"/>
        <v/>
      </c>
      <c r="BS40" s="197" t="str">
        <f>IFERROR(($G40*IF('Inputs Yr 2'!$AJ40=BM$4,'Inputs Yr 2'!$AK40,IF('Inputs Yr 2'!$AL40=BM$4,'Inputs Yr 2'!$AM40,IF('Inputs Yr 2'!$AN40=BM$4,'Inputs Yr 2'!$AO40,0))))*(INDEX(avoidedcosttbl2,$H40,BS$2)+(($H40-ROUNDDOWN($H40,0))*(INDEX(avoidedcosttbl2,ROUNDUP($H40,0),BS$2)-(INDEX(avoidedcosttbl2,ROUNDDOWN($H40,0),BS$2)))))*'Inputs Yr 2'!P40*'Inputs Yr 2'!Q40*'Inputs Yr 2'!U40,"")</f>
        <v/>
      </c>
      <c r="BT40" s="197" t="str">
        <f>IFERROR(($G40*IF('Inputs Yr 2'!$AJ40=BK$4,'Inputs Yr 2'!$AK40,IF('Inputs Yr 2'!$AL40=BK$4,'Inputs Yr 2'!$AM40,IF('Inputs Yr 2'!$AN40=BK$4,'Inputs Yr 2'!$AO40,0))))*(INDEX(avoidedcosttbl2,$H40,BT$2)+(($H40-ROUNDDOWN($H40,0))*(INDEX(avoidedcosttbl2,ROUNDUP($H40,0),BT$2)-(INDEX(avoidedcosttbl2,ROUNDDOWN($H40,0),BT$2)))))*'Inputs Yr 2'!P40*'Inputs Yr 2'!Q40*'Inputs Yr 2'!U40,"")</f>
        <v/>
      </c>
      <c r="BU40" s="197" t="str">
        <f>IFERROR(($G40*IF('Inputs Yr 2'!$AJ40=BL$4,'Inputs Yr 2'!$AK40,IF('Inputs Yr 2'!$AL40=BL$4,'Inputs Yr 2'!$AM40,IF('Inputs Yr 2'!$AN40=BL$4,'Inputs Yr 2'!$AO40,0))))*(INDEX(avoidedcosttbl2,$H40,BU$2)+(($H40-ROUNDDOWN($H40,0))*(INDEX(avoidedcosttbl2,ROUNDUP($H40,0),BU$2)-(INDEX(avoidedcosttbl2,ROUNDDOWN($H40,0),BU$2)))))*'Inputs Yr 2'!P40*'Inputs Yr 2'!Q40*'Inputs Yr 2'!U40,"")</f>
        <v/>
      </c>
      <c r="BV40" s="775" t="str">
        <f>IFERROR(($G40*IF('Inputs Yr 2'!$AJ40=BJ$4,'Inputs Yr 2'!$AK40,IF('Inputs Yr 2'!$AL40=BJ$4,'Inputs Yr 2'!$AM40,IF('Inputs Yr 2'!$AN40=BJ$4,'Inputs Yr 2'!$AO40,0))))*(INDEX(avoidedcosttbl2,$H40,BV$2)+(($H40-ROUNDDOWN($H40,0))*(INDEX(avoidedcosttbl2,ROUNDUP($H40,0),BV$2)-(INDEX(avoidedcosttbl2,ROUNDDOWN($H40,0),BV$2)))))*'Inputs Yr 2'!P40*'Inputs Yr 2'!Q40*'Inputs Yr 2'!U40,"")</f>
        <v/>
      </c>
      <c r="BW40" s="197" t="str">
        <f>IFERROR(($G40*IF('Inputs Yr 2'!$AJ40=BN$4,'Inputs Yr 2'!$AK40,IF('Inputs Yr 2'!$AL40=BN$4,'Inputs Yr 2'!$AM40,IF('Inputs Yr 2'!$AN40=BN$4,'Inputs Yr 2'!$AO40,0))))*(INDEX(avoidedcosttbl2,$H40,BW$2)+(($H40-ROUNDDOWN($H40,0))*(INDEX(avoidedcosttbl2,ROUNDUP($H40,0),BW$2)-(INDEX(avoidedcosttbl2,ROUNDDOWN($H40,0),BW$2)))))*'Inputs Yr 2'!P40*'Inputs Yr 2'!Q40*'Inputs Yr 2'!U40,"")</f>
        <v/>
      </c>
      <c r="BX40" s="197" t="str">
        <f>IFERROR(($G40*IF('Inputs Yr 2'!$AJ40=BO$4,'Inputs Yr 2'!$AK40,IF('Inputs Yr 2'!$AL40=BO$4,'Inputs Yr 2'!$AM40,IF('Inputs Yr 2'!$AN40=BO$4,'Inputs Yr 2'!$AO40,0))))*(INDEX(avoidedcosttbl2,$H40,BX$2)+(($H40-ROUNDDOWN($H40,0))*(INDEX(avoidedcosttbl2,ROUNDUP($H40,0),BX$2)-(INDEX(avoidedcosttbl2,ROUNDDOWN($H40,0),BX$2)))))*'Inputs Yr 2'!P40*'Inputs Yr 2'!Q40*'Inputs Yr 2'!U40,"")</f>
        <v/>
      </c>
      <c r="BY40" s="197" t="str">
        <f>IFERROR(($G40*IF('Inputs Yr 2'!$AJ40=BP$4,'Inputs Yr 2'!$AK40,IF('Inputs Yr 2'!$AL40=BP$4,'Inputs Yr 2'!$AM40,IF('Inputs Yr 2'!$AN40=BP$4,'Inputs Yr 2'!$AO40,0))))*(INDEX(avoidedcosttbl2,$H40,BY$2)+(($H40-ROUNDDOWN($H40,0))*(INDEX(avoidedcosttbl2,ROUNDUP($H40,0),BY$2)-(INDEX(avoidedcosttbl2,ROUNDDOWN($H40,0),BY$2)))))*'Inputs Yr 2'!P40*'Inputs Yr 2'!Q40*'Inputs Yr 2'!U40,"")</f>
        <v/>
      </c>
      <c r="BZ40" s="193">
        <f t="shared" si="39"/>
        <v>0</v>
      </c>
      <c r="CA40" s="193">
        <f t="shared" si="40"/>
        <v>0</v>
      </c>
      <c r="CB40" s="195" t="str">
        <f>IFERROR(G40*(IF('Inputs Yr 2'!$AJ40=CB$4,'Inputs Yr 2'!$AK40,IF('Inputs Yr 2'!$AL40=CB$4,'Inputs Yr 2'!$AM40,IF('Inputs Yr 2'!$AN40=CB$4,'Inputs Yr 2'!$AO40,0))))*(INDEX(avoidedcosttbl2,$H40,CB$2)+(($H40-ROUNDDOWN($H40,0))*(INDEX(avoidedcosttbl2,ROUNDUP($H40,0),CB$2)-(INDEX(avoidedcosttbl2,ROUNDDOWN($H40,0),CB$2)))))*'Inputs Yr 2'!P40*'Inputs Yr 2'!Q40*'Inputs Yr 2'!U40,"")</f>
        <v/>
      </c>
      <c r="CC40" s="195" t="str">
        <f>IFERROR(H40*(IF('Inputs Yr 2'!$AJ40=CC$4,'Inputs Yr 2'!$AK40,IF('Inputs Yr 2'!$AL40=CC$4,'Inputs Yr 2'!$AM40,IF('Inputs Yr 2'!$AN40=CC$4,'Inputs Yr 2'!$AO40,0))))*(INDEX(avoidedcosttbl2,$H40,CC$2)+(($H40-ROUNDDOWN($H40,0))*(INDEX(avoidedcosttbl2,ROUNDUP($H40,0),CC$2)-(INDEX(avoidedcosttbl2,ROUNDDOWN($H40,0),CC$2)))))*'Inputs Yr 2'!Q40*'Inputs Yr 2'!R40*'Inputs Yr 2'!V40,"")</f>
        <v/>
      </c>
      <c r="CD40" s="195" t="str">
        <f>IFERROR(I40*(IF('Inputs Yr 2'!$AJ40=CD$4,'Inputs Yr 2'!$AK40,IF('Inputs Yr 2'!$AL40=CD$4,'Inputs Yr 2'!$AM40,IF('Inputs Yr 2'!$AN40=CD$4,'Inputs Yr 2'!$AO40,0))))*(INDEX(avoidedcosttbl2,$H40,CD$2)+(($H40-ROUNDDOWN($H40,0))*(INDEX(avoidedcosttbl2,ROUNDUP($H40,0),CD$2)-(INDEX(avoidedcosttbl2,ROUNDDOWN($H40,0),CD$2)))))*'Inputs Yr 2'!R40*'Inputs Yr 2'!S40*'Inputs Yr 2'!W40,"")</f>
        <v/>
      </c>
      <c r="CE40" s="213" t="str">
        <f t="shared" si="41"/>
        <v/>
      </c>
      <c r="CF40" s="213" t="str">
        <f t="shared" si="42"/>
        <v/>
      </c>
      <c r="CG40" s="213" t="str">
        <f t="shared" si="43"/>
        <v/>
      </c>
      <c r="CH40" s="698">
        <f t="shared" si="44"/>
        <v>0</v>
      </c>
      <c r="CI40" s="79" t="str">
        <f>IFERROR(($G40*'Inputs Yr 2'!$P40*'Inputs Yr 2'!$Q40*(((INDEX(avoidedcosttbl2,$H40,CI$2)+(($H40-ROUNDDOWN($H40,0))*(INDEX(avoidedcosttbl2,ROUNDUP($H40,0),CI$2)-INDEX(avoidedcosttbl2,ROUNDDOWN($H40,0),CI$2))))*'Inputs Yr 2'!AS40))),"")</f>
        <v/>
      </c>
      <c r="CJ40" s="504" t="str">
        <f>IFERROR($G40*'Inputs Yr 2'!AT40*'Inputs Yr 2'!$P40*'Inputs Yr 2'!$Q40/((1+realdiscrt1)^-0.5),"")</f>
        <v/>
      </c>
      <c r="CK40" s="79" t="str">
        <f>IFERROR((O40*1000*(((INDEX(avoidedcosttbl2,$H40,CK$2)+(($H40-ROUNDDOWN($H40,0))*(INDEX(avoidedcosttbl2,ROUNDUP($H40,0),CK$2)-INDEX(avoidedcosttbl2,ROUNDDOWN($H40,0),CK$2))))*'Inputs Yr 2'!AU40))),"")</f>
        <v/>
      </c>
      <c r="CL40" s="504" t="str">
        <f>IFERROR(O40*1000*'Inputs Yr 2'!AV40/((1+realdiscrt1)^-0.5),"")</f>
        <v/>
      </c>
      <c r="CM40" s="79" t="str">
        <f>IFERROR((AB40*'Inputs Yr 2'!AW40*(((INDEX(avoidedcosttbl2,$H40,CM$2)+(($H40-ROUNDDOWN($H40,0))*(INDEX(avoidedcosttbl2,ROUNDUP($H40,0),CM$2)-INDEX(avoidedcosttbl2,ROUNDDOWN($H40,0),CM$2)))))))*10,"")</f>
        <v/>
      </c>
      <c r="CN40" s="504">
        <f>IFERROR(10*AB40*'Inputs Yr 2'!AX40/((1+realdiscrt1)^-0.5),"")</f>
        <v>0</v>
      </c>
      <c r="CO40" s="505">
        <f t="shared" si="45"/>
        <v>0</v>
      </c>
      <c r="CP40" s="230">
        <f t="shared" si="46"/>
        <v>0</v>
      </c>
      <c r="CQ40" s="199">
        <f>ROUND(IFERROR(IF(LEFT($A40,1)="C",'Avoided Costs'!$K$13,'Avoided Costs'!$K$12)+1,""),4)</f>
        <v>1.0720000000000001</v>
      </c>
      <c r="CR40" s="199">
        <f>ROUND(IFERROR(IF(LEFT($A40,1)="C",'Avoided Costs'!$L$13,'Avoided Costs'!$L$12)+1,""),4)</f>
        <v>1.04</v>
      </c>
      <c r="CS40" s="199">
        <f>ROUND(IFERROR(IF(LEFT($A40,1)="C",'Avoided Costs'!$M$13,'Avoided Costs'!$M$12)+1,""),4)</f>
        <v>1.0720000000000001</v>
      </c>
      <c r="CT40" s="199">
        <f>ROUND(IFERROR(IF(LEFT($A40,1)="C",'Avoided Costs'!$N$13,'Avoided Costs'!$N$12)+1,""),4)</f>
        <v>1.04</v>
      </c>
      <c r="CU40" s="199">
        <f>ROUND(IFERROR(IF(LEFT($A40,1)="C",'Avoided Costs'!$O$13,'Avoided Costs'!$O$12)+1,""),4)</f>
        <v>1.1120000000000001</v>
      </c>
      <c r="CV40" s="199">
        <f>ROUND(IFERROR(IF(LEFT($A40,1)="C",'Avoided Costs'!$P$13,'Avoided Costs'!$P$12)+1,""),4)</f>
        <v>1.095</v>
      </c>
      <c r="CW40" s="199">
        <f>ROUND(IFERROR(IF(LEFT($A40,1)="C",'Avoided Costs'!$Q$13,'Avoided Costs'!$Q$12)+1,""),4)</f>
        <v>1.1120000000000001</v>
      </c>
      <c r="CX40" s="200">
        <f>ROUND(IFERROR(IF(LEFT($A40,1)="C",'Avoided Costs'!$R$13,'Avoided Costs'!$R$12)+1,""),4)</f>
        <v>1.1120000000000001</v>
      </c>
    </row>
    <row r="41" spans="1:102" ht="12.75" customHeight="1">
      <c r="A41" s="91" t="str">
        <f>IF('Inputs Yr 2'!$B41=0,"",'Inputs Yr 2'!A41)</f>
        <v>A - Residential</v>
      </c>
      <c r="B41" s="91" t="str">
        <f>IF('Inputs Yr 2'!$B41=0,"",'Inputs Yr 2'!B41)</f>
        <v>A1 - Residential Whole House</v>
      </c>
      <c r="C41" s="91" t="str">
        <f>IF('Inputs Yr 2'!$B41=0,"",'Inputs Yr 2'!C41)</f>
        <v>A1b - Residential Multi-Family Retrofit</v>
      </c>
      <c r="D41" s="91" t="str">
        <f>IF('Inputs Yr 2'!$B41=0,"",'Inputs Yr 2'!E41)</f>
        <v>Custom/Future</v>
      </c>
      <c r="E41" s="93">
        <f>IF('Inputs Yr 2'!$B41=0,"",'Inputs Yr 2'!F41)</f>
        <v>0</v>
      </c>
      <c r="F41" s="93">
        <f>IF('Inputs Yr 2'!$B41=0,"",'Inputs Yr 2'!G41)</f>
        <v>0</v>
      </c>
      <c r="G41" s="95" t="str">
        <f>IF('Inputs Yr 2'!$H41&lt;&gt;0,('Inputs Yr 2'!H41),"")</f>
        <v/>
      </c>
      <c r="H41" s="94">
        <f>IFERROR('Inputs Yr 2'!I41,"")</f>
        <v>0</v>
      </c>
      <c r="I41" s="298" t="str">
        <f>IFERROR('Inputs Yr 2'!J41*'Inputs Yr 2'!P41*G41,"")</f>
        <v/>
      </c>
      <c r="J41" s="298" t="str">
        <f>IFERROR('Inputs Yr 2'!K41*G41,"")</f>
        <v/>
      </c>
      <c r="K41" s="298" t="str">
        <f t="shared" si="23"/>
        <v/>
      </c>
      <c r="L41" s="194" t="str">
        <f>IFERROR(('Inputs Yr 2'!W41*G41)/1000,"")</f>
        <v/>
      </c>
      <c r="M41" s="194" t="str">
        <f>IFERROR(L41*('Inputs Yr 2'!$Q41*'Inputs Yr 2'!$V41*'Inputs Yr 2'!$R41),"")</f>
        <v/>
      </c>
      <c r="N41" s="194" t="str">
        <f t="shared" si="24"/>
        <v/>
      </c>
      <c r="O41" s="194" t="str">
        <f>IFERROR(M41*'Inputs Yr 2'!P41,"")</f>
        <v/>
      </c>
      <c r="P41" s="194" t="str">
        <f t="shared" si="25"/>
        <v/>
      </c>
      <c r="Q41" s="194" t="str">
        <f>IFERROR($P41*'Inputs Yr 2'!AA41,"")</f>
        <v/>
      </c>
      <c r="R41" s="194" t="str">
        <f>IFERROR($P41*'Inputs Yr 2'!AB41,"")</f>
        <v/>
      </c>
      <c r="S41" s="194" t="str">
        <f>IFERROR($P41*'Inputs Yr 2'!AC41,"")</f>
        <v/>
      </c>
      <c r="T41" s="194" t="str">
        <f>IFERROR($P41*'Inputs Yr 2'!AD41,"")</f>
        <v/>
      </c>
      <c r="U41" s="194" t="str">
        <f>IFERROR(G41*'Inputs Yr 2'!$AE41*'Inputs Yr 2'!$P41*'Inputs Yr 2'!$Q41,"")</f>
        <v/>
      </c>
      <c r="V41" s="194" t="str">
        <f>IFERROR($G41*'Inputs Yr 2'!$AE41*'Inputs Yr 2'!$AG41*'Inputs Yr 2'!Q41*'Inputs Yr 2'!$S41,"")</f>
        <v/>
      </c>
      <c r="W41" s="194" t="str">
        <f>IFERROR($G41*'Inputs Yr 2'!$AE41*'Inputs Yr 2'!$AG41*'Inputs Yr 2'!P41*'Inputs Yr 2'!Q41*'Inputs Yr 2'!$S41,"")</f>
        <v/>
      </c>
      <c r="X41" s="194" t="str">
        <f>IFERROR($G41*'Inputs Yr 2'!$AE41*'Inputs Yr 2'!$AF41*'Inputs Yr 2'!Q41*'Inputs Yr 2'!$T41,"")</f>
        <v/>
      </c>
      <c r="Y41" s="194" t="str">
        <f>IFERROR($G41*'Inputs Yr 2'!$AE41*'Inputs Yr 2'!$AF41*'Inputs Yr 2'!P41*'Inputs Yr 2'!Q41*'Inputs Yr 2'!$T41,"")</f>
        <v/>
      </c>
      <c r="Z41" s="257">
        <f>IFERROR($G41*'Inputs Yr 2'!$Q41*'Inputs Yr 2'!$U41*(IF(IFERROR(SEARCH("NG", 'Inputs Yr 2'!$AJ41),0),'Inputs Yr 2'!$AK41,0)+IF(IFERROR(SEARCH("NG", 'Inputs Yr 2'!$AL41),0),'Inputs Yr 2'!$AM41,0)+IF(IFERROR(SEARCH("NG", 'Inputs Yr 2'!$AN41),0),'Inputs Yr 2'!$AO41,0)),0)</f>
        <v>0</v>
      </c>
      <c r="AA41" s="257">
        <f t="shared" si="26"/>
        <v>0</v>
      </c>
      <c r="AB41" s="257">
        <f>IFERROR(Z41*'Inputs Yr 2'!$P41,0)</f>
        <v>0</v>
      </c>
      <c r="AC41" s="257">
        <f t="shared" si="27"/>
        <v>0</v>
      </c>
      <c r="AD41" s="257">
        <f>IFERROR($G41*'Inputs Yr 2'!$Q41*'Inputs Yr 2'!$U41*(IF(IFERROR(SEARCH("Oil", 'Inputs Yr 2'!$AJ41), 0),'Inputs Yr 2'!$AK41,0)+IF(IFERROR(SEARCH("Oil", 'Inputs Yr 2'!$AL41), 0),'Inputs Yr 2'!$AM41,0)+IF(IFERROR(SEARCH("Oil", 'Inputs Yr 2'!$AN41), 0),'Inputs Yr 2'!$AO41,0)),0)</f>
        <v>0</v>
      </c>
      <c r="AE41" s="257">
        <f t="shared" si="28"/>
        <v>0</v>
      </c>
      <c r="AF41" s="257">
        <f>IFERROR(AD41*'Inputs Yr 2'!$P41,0)</f>
        <v>0</v>
      </c>
      <c r="AG41" s="257">
        <f t="shared" si="29"/>
        <v>0</v>
      </c>
      <c r="AH41" s="257">
        <f>IFERROR($G41*'Inputs Yr 2'!$Q41*'Inputs Yr 2'!$U41*(IF('Inputs Yr 2'!$AJ41=CD$4,'Inputs Yr 2'!$AK41,IF('Inputs Yr 2'!$AL41=CD$4,'Inputs Yr 2'!$AM41,IF('Inputs Yr 2'!$AN41=CD$4,'Inputs Yr 2'!$AO41,0)))),0)</f>
        <v>0</v>
      </c>
      <c r="AI41" s="257">
        <f t="shared" si="30"/>
        <v>0</v>
      </c>
      <c r="AJ41" s="257">
        <f>IFERROR(AH41*'Inputs Yr 2'!$P41,0)</f>
        <v>0</v>
      </c>
      <c r="AK41" s="257">
        <f t="shared" si="31"/>
        <v>0</v>
      </c>
      <c r="AL41" s="258">
        <f>IFERROR($G41*'Inputs Yr 2'!$P41*'Inputs Yr 2'!$Q41*'Inputs Yr 2'!AP41,0)</f>
        <v>0</v>
      </c>
      <c r="AM41" s="260">
        <f>IFERROR($G41*'Inputs Yr 2'!$P41*'Inputs Yr 2'!$Q41*'Inputs Yr 2'!AQ41,0)</f>
        <v>0</v>
      </c>
      <c r="AN41" s="258">
        <f>IFERROR($G41*'Inputs Yr 2'!$P41*'Inputs Yr 2'!$Q41*'Inputs Yr 2'!AR41,0)</f>
        <v>0</v>
      </c>
      <c r="AO41" s="257">
        <f t="shared" si="32"/>
        <v>0</v>
      </c>
      <c r="AP41" s="195" t="str">
        <f>IFERROR($CQ41*(INDEX(avoidedcosttbl2,$H41,AP$2)+(($H41-ROUNDDOWN($H41,0))*(INDEX(avoidedcosttbl2,ROUNDUP($H41,0),AP$2)-(INDEX(avoidedcosttbl2,ROUNDDOWN($H41,0),AP$2)))))*$O41*1000*'Inputs Yr 2'!AA41,"")</f>
        <v/>
      </c>
      <c r="AQ41" s="195" t="str">
        <f>IFERROR($CR41*(INDEX(avoidedcosttbl2,$H41,AQ$2)+(($H41-ROUNDDOWN($H41,0))*(INDEX(avoidedcosttbl2,ROUNDUP($H41,0),AQ$2)-(INDEX(avoidedcosttbl2,ROUNDDOWN($H41,0),AQ$2)))))*$O41*1000*'Inputs Yr 2'!AB41,"")</f>
        <v/>
      </c>
      <c r="AR41" s="195" t="str">
        <f>IFERROR($CS41*(INDEX(avoidedcosttbl2,$H41,AR$2)+(($H41-ROUNDDOWN($H41,0))*(INDEX(avoidedcosttbl2,ROUNDUP($H41,0),AR$2)-(INDEX(avoidedcosttbl2,ROUNDDOWN($H41,0),AR$2)))))*$O41*1000*'Inputs Yr 2'!AC41,"")</f>
        <v/>
      </c>
      <c r="AS41" s="195" t="str">
        <f>IFERROR($CT41*(INDEX(avoidedcosttbl2,$H41,AS$2)+(($H41-ROUNDDOWN($H41,0))*(INDEX(avoidedcosttbl2,ROUNDUP($H41,0),AS$2)-(INDEX(avoidedcosttbl2,ROUNDDOWN($H41,0),AS$2)))))*$O41*1000*'Inputs Yr 2'!AD41,"")</f>
        <v/>
      </c>
      <c r="AT41" s="196">
        <f t="shared" si="33"/>
        <v>0</v>
      </c>
      <c r="AU41" s="197" t="str">
        <f>IFERROR($CQ41*((INDEX(avoidedcosttbl2,$H41,AU$2))+(($H41-ROUNDDOWN($H41,0))*((INDEX(avoidedcosttbl2,ROUNDUP($H41,0),AU$2))-(INDEX(avoidedcosttbl2,ROUNDDOWN($H41,0),AU$2)))))*$O41*1000*'Inputs Yr 2'!AA41,"")</f>
        <v/>
      </c>
      <c r="AV41" s="197" t="str">
        <f>IFERROR($CR41*((INDEX(avoidedcosttbl2,$H41,AV$2))+(($H41-ROUNDDOWN($H41,0))*((INDEX(avoidedcosttbl2,ROUNDUP($H41,0),AV$2))-(INDEX(avoidedcosttbl2,ROUNDDOWN($H41,0),AV$2)))))*$O41*1000*'Inputs Yr 2'!AB41,"")</f>
        <v/>
      </c>
      <c r="AW41" s="197" t="str">
        <f>IFERROR($CS41*((INDEX(avoidedcosttbl2,$H41,AW$2))+(($H41-ROUNDDOWN($H41,0))*((INDEX(avoidedcosttbl2,ROUNDUP($H41,0),AW$2))-(INDEX(avoidedcosttbl2,ROUNDDOWN($H41,0),AW$2)))))*$O41*1000*'Inputs Yr 2'!AC41,"")</f>
        <v/>
      </c>
      <c r="AX41" s="197" t="str">
        <f>IFERROR($CT41*((INDEX(avoidedcosttbl2,$H41,AX$2))+(($H41-ROUNDDOWN($H41,0))*((INDEX(avoidedcosttbl2,ROUNDUP($H41,0),AX$2))-(INDEX(avoidedcosttbl2,ROUNDDOWN($H41,0),AX$2)))))*$O41*1000*'Inputs Yr 2'!AD41,"")</f>
        <v/>
      </c>
      <c r="AY41" s="197" t="str">
        <f>IFERROR(((INDEX(avoidedcosttbl2,$H41,AY$2))+(($H41-ROUNDDOWN($H41,0))*((INDEX(avoidedcosttbl2,ROUNDUP($H41,0),AY$2))-(INDEX(avoidedcosttbl2,ROUNDDOWN($H41,0),AY$2)))))*$O41*1000*('Inputs Yr 2'!AC41+'Inputs Yr 2'!AD41),"")</f>
        <v/>
      </c>
      <c r="AZ41" s="197" t="str">
        <f>IFERROR(((INDEX(avoidedcosttbl2,$H41,AZ$2))+(($H41-ROUNDDOWN($H41,0))*((INDEX(avoidedcosttbl2,ROUNDUP($H41,0),AZ$2))-(INDEX(avoidedcosttbl2,ROUNDDOWN($H41,0),AZ$2)))))*$O41*1000*('Inputs Yr 2'!AA41+'Inputs Yr 2'!AB41),"")</f>
        <v/>
      </c>
      <c r="BA41" s="198">
        <f t="shared" si="34"/>
        <v>0</v>
      </c>
      <c r="BB41" s="198">
        <f t="shared" si="35"/>
        <v>0</v>
      </c>
      <c r="BC41" s="195" t="str">
        <f t="shared" si="10"/>
        <v/>
      </c>
      <c r="BD41" s="195" t="str">
        <f t="shared" si="11"/>
        <v/>
      </c>
      <c r="BE41" s="195" t="str">
        <f t="shared" si="12"/>
        <v/>
      </c>
      <c r="BF41" s="195" t="str">
        <f t="shared" si="13"/>
        <v/>
      </c>
      <c r="BG41" s="195" t="str">
        <f t="shared" si="14"/>
        <v/>
      </c>
      <c r="BH41" s="196">
        <f t="shared" si="36"/>
        <v>0</v>
      </c>
      <c r="BI41" s="196">
        <f t="shared" si="37"/>
        <v>0</v>
      </c>
      <c r="BJ41" s="195" t="str">
        <f>IFERROR($G41*(IF('Inputs Yr 2'!$AJ41=BJ$4,'Inputs Yr 2'!$AK41,IF('Inputs Yr 2'!$AL41=BJ$4,'Inputs Yr 2'!$AM41,IF('Inputs Yr 2'!$AN41=BJ$4,'Inputs Yr 2'!$AO41,0))))*(INDEX(avoidedcosttbl2,$H41,BJ$2)+(($H41-ROUNDDOWN($H41,0))*(INDEX(avoidedcosttbl2,ROUNDUP($H41,0),BJ$2)-(INDEX(avoidedcosttbl2,ROUNDDOWN($H41,0),BJ$2)))))*'Inputs Yr 2'!P41*'Inputs Yr 2'!Q41*'Inputs Yr 2'!U41,"")</f>
        <v/>
      </c>
      <c r="BK41" s="195" t="str">
        <f>IFERROR($G41*(IF('Inputs Yr 2'!$AJ41=BK$4,'Inputs Yr 2'!$AK41,IF('Inputs Yr 2'!$AL41=BK$4,'Inputs Yr 2'!$AM41,IF('Inputs Yr 2'!$AN41=BK$4,'Inputs Yr 2'!$AO41,0))))*(INDEX(avoidedcosttbl2,$H41,BK$2)+(($H41-ROUNDDOWN($H41,0))*(INDEX(avoidedcosttbl2,ROUNDUP($H41,0),BK$2)-(INDEX(avoidedcosttbl2,ROUNDDOWN($H41,0),BK$2)))))*'Inputs Yr 2'!P41*'Inputs Yr 2'!Q41*'Inputs Yr 2'!U41,"")</f>
        <v/>
      </c>
      <c r="BL41" s="195" t="str">
        <f>IFERROR($G41*(IF('Inputs Yr 2'!$AJ41=BL$4,'Inputs Yr 2'!$AK41,IF('Inputs Yr 2'!$AL41=BL$4,'Inputs Yr 2'!$AM41,IF('Inputs Yr 2'!$AN41=BL$4,'Inputs Yr 2'!$AO41,0))))*(INDEX(avoidedcosttbl2,$H41,BL$2)+(($H41-ROUNDDOWN($H41,0))*(INDEX(avoidedcosttbl2,ROUNDUP($H41,0),BL$2)-(INDEX(avoidedcosttbl2,ROUNDDOWN($H41,0),BL$2)))))*'Inputs Yr 2'!P41*'Inputs Yr 2'!Q41*'Inputs Yr 2'!U41,"")</f>
        <v/>
      </c>
      <c r="BM41" s="195" t="str">
        <f>IFERROR($G41*(IF('Inputs Yr 2'!$AJ41=BM$4,'Inputs Yr 2'!$AK41,IF('Inputs Yr 2'!$AL41=BM$4,'Inputs Yr 2'!$AM41,IF('Inputs Yr 2'!$AN41=BM$4,'Inputs Yr 2'!$AO41,0))))*(INDEX(avoidedcosttbl2,$H41,BM$2)+(($H41-ROUNDDOWN($H41,0))*(INDEX(avoidedcosttbl2,ROUNDUP($H41,0),BM$2)-(INDEX(avoidedcosttbl2,ROUNDDOWN($H41,0),BM$2)))))*'Inputs Yr 2'!P41*'Inputs Yr 2'!Q41*'Inputs Yr 2'!U41,"")</f>
        <v/>
      </c>
      <c r="BN41" s="195" t="str">
        <f>IFERROR($G41*(IF('Inputs Yr 2'!$AJ41=BN$4,'Inputs Yr 2'!$AK41,IF('Inputs Yr 2'!$AL41=BN$4,'Inputs Yr 2'!$AM41,IF('Inputs Yr 2'!$AN41=BN$4,'Inputs Yr 2'!$AO41,0))))*(INDEX(avoidedcosttbl2,$H41,BN$2)+(($H41-ROUNDDOWN($H41,0))*(INDEX(avoidedcosttbl2,ROUNDUP($H41,0),BN$2)-(INDEX(avoidedcosttbl2,ROUNDDOWN($H41,0),BN$2)))))*'Inputs Yr 2'!P41*'Inputs Yr 2'!Q41*'Inputs Yr 2'!U41,"")</f>
        <v/>
      </c>
      <c r="BO41" s="195" t="str">
        <f>IFERROR($G41*(IF('Inputs Yr 2'!$AJ41=BO$4,'Inputs Yr 2'!$AK41,IF('Inputs Yr 2'!$AL41=BO$4,'Inputs Yr 2'!$AM41,IF('Inputs Yr 2'!$AN41=BO$4,'Inputs Yr 2'!$AO41,0))))*(INDEX(avoidedcosttbl2,$H41,BO$2)+(($H41-ROUNDDOWN($H41,0))*(INDEX(avoidedcosttbl2,ROUNDUP($H41,0),BO$2)-(INDEX(avoidedcosttbl2,ROUNDDOWN($H41,0),BO$2)))))*'Inputs Yr 2'!P41*'Inputs Yr 2'!Q41*'Inputs Yr 2'!U41,"")</f>
        <v/>
      </c>
      <c r="BP41" s="195" t="str">
        <f>IFERROR($G41*(IF('Inputs Yr 2'!$AJ41=BP$4,'Inputs Yr 2'!$AK41,IF('Inputs Yr 2'!$AL41=BP$4,'Inputs Yr 2'!$AM41,IF('Inputs Yr 2'!$AN41=BP$4,'Inputs Yr 2'!$AO41,0))))*(INDEX(avoidedcosttbl2,$H41,BP$2)+(($H41-ROUNDDOWN($H41,0))*(INDEX(avoidedcosttbl2,ROUNDUP($H41,0),BP$2)-(INDEX(avoidedcosttbl2,ROUNDDOWN($H41,0),BP$2)))))*'Inputs Yr 2'!P41*'Inputs Yr 2'!Q41*'Inputs Yr 2'!U41,"")</f>
        <v/>
      </c>
      <c r="BQ41" s="230">
        <f t="shared" si="38"/>
        <v>0</v>
      </c>
      <c r="BR41" s="197" t="str">
        <f t="shared" si="17"/>
        <v/>
      </c>
      <c r="BS41" s="197" t="str">
        <f>IFERROR(($G41*IF('Inputs Yr 2'!$AJ41=BM$4,'Inputs Yr 2'!$AK41,IF('Inputs Yr 2'!$AL41=BM$4,'Inputs Yr 2'!$AM41,IF('Inputs Yr 2'!$AN41=BM$4,'Inputs Yr 2'!$AO41,0))))*(INDEX(avoidedcosttbl2,$H41,BS$2)+(($H41-ROUNDDOWN($H41,0))*(INDEX(avoidedcosttbl2,ROUNDUP($H41,0),BS$2)-(INDEX(avoidedcosttbl2,ROUNDDOWN($H41,0),BS$2)))))*'Inputs Yr 2'!P41*'Inputs Yr 2'!Q41*'Inputs Yr 2'!U41,"")</f>
        <v/>
      </c>
      <c r="BT41" s="197" t="str">
        <f>IFERROR(($G41*IF('Inputs Yr 2'!$AJ41=BK$4,'Inputs Yr 2'!$AK41,IF('Inputs Yr 2'!$AL41=BK$4,'Inputs Yr 2'!$AM41,IF('Inputs Yr 2'!$AN41=BK$4,'Inputs Yr 2'!$AO41,0))))*(INDEX(avoidedcosttbl2,$H41,BT$2)+(($H41-ROUNDDOWN($H41,0))*(INDEX(avoidedcosttbl2,ROUNDUP($H41,0),BT$2)-(INDEX(avoidedcosttbl2,ROUNDDOWN($H41,0),BT$2)))))*'Inputs Yr 2'!P41*'Inputs Yr 2'!Q41*'Inputs Yr 2'!U41,"")</f>
        <v/>
      </c>
      <c r="BU41" s="197" t="str">
        <f>IFERROR(($G41*IF('Inputs Yr 2'!$AJ41=BL$4,'Inputs Yr 2'!$AK41,IF('Inputs Yr 2'!$AL41=BL$4,'Inputs Yr 2'!$AM41,IF('Inputs Yr 2'!$AN41=BL$4,'Inputs Yr 2'!$AO41,0))))*(INDEX(avoidedcosttbl2,$H41,BU$2)+(($H41-ROUNDDOWN($H41,0))*(INDEX(avoidedcosttbl2,ROUNDUP($H41,0),BU$2)-(INDEX(avoidedcosttbl2,ROUNDDOWN($H41,0),BU$2)))))*'Inputs Yr 2'!P41*'Inputs Yr 2'!Q41*'Inputs Yr 2'!U41,"")</f>
        <v/>
      </c>
      <c r="BV41" s="775" t="str">
        <f>IFERROR(($G41*IF('Inputs Yr 2'!$AJ41=BJ$4,'Inputs Yr 2'!$AK41,IF('Inputs Yr 2'!$AL41=BJ$4,'Inputs Yr 2'!$AM41,IF('Inputs Yr 2'!$AN41=BJ$4,'Inputs Yr 2'!$AO41,0))))*(INDEX(avoidedcosttbl2,$H41,BV$2)+(($H41-ROUNDDOWN($H41,0))*(INDEX(avoidedcosttbl2,ROUNDUP($H41,0),BV$2)-(INDEX(avoidedcosttbl2,ROUNDDOWN($H41,0),BV$2)))))*'Inputs Yr 2'!P41*'Inputs Yr 2'!Q41*'Inputs Yr 2'!U41,"")</f>
        <v/>
      </c>
      <c r="BW41" s="197" t="str">
        <f>IFERROR(($G41*IF('Inputs Yr 2'!$AJ41=BN$4,'Inputs Yr 2'!$AK41,IF('Inputs Yr 2'!$AL41=BN$4,'Inputs Yr 2'!$AM41,IF('Inputs Yr 2'!$AN41=BN$4,'Inputs Yr 2'!$AO41,0))))*(INDEX(avoidedcosttbl2,$H41,BW$2)+(($H41-ROUNDDOWN($H41,0))*(INDEX(avoidedcosttbl2,ROUNDUP($H41,0),BW$2)-(INDEX(avoidedcosttbl2,ROUNDDOWN($H41,0),BW$2)))))*'Inputs Yr 2'!P41*'Inputs Yr 2'!Q41*'Inputs Yr 2'!U41,"")</f>
        <v/>
      </c>
      <c r="BX41" s="197" t="str">
        <f>IFERROR(($G41*IF('Inputs Yr 2'!$AJ41=BO$4,'Inputs Yr 2'!$AK41,IF('Inputs Yr 2'!$AL41=BO$4,'Inputs Yr 2'!$AM41,IF('Inputs Yr 2'!$AN41=BO$4,'Inputs Yr 2'!$AO41,0))))*(INDEX(avoidedcosttbl2,$H41,BX$2)+(($H41-ROUNDDOWN($H41,0))*(INDEX(avoidedcosttbl2,ROUNDUP($H41,0),BX$2)-(INDEX(avoidedcosttbl2,ROUNDDOWN($H41,0),BX$2)))))*'Inputs Yr 2'!P41*'Inputs Yr 2'!Q41*'Inputs Yr 2'!U41,"")</f>
        <v/>
      </c>
      <c r="BY41" s="197" t="str">
        <f>IFERROR(($G41*IF('Inputs Yr 2'!$AJ41=BP$4,'Inputs Yr 2'!$AK41,IF('Inputs Yr 2'!$AL41=BP$4,'Inputs Yr 2'!$AM41,IF('Inputs Yr 2'!$AN41=BP$4,'Inputs Yr 2'!$AO41,0))))*(INDEX(avoidedcosttbl2,$H41,BY$2)+(($H41-ROUNDDOWN($H41,0))*(INDEX(avoidedcosttbl2,ROUNDUP($H41,0),BY$2)-(INDEX(avoidedcosttbl2,ROUNDDOWN($H41,0),BY$2)))))*'Inputs Yr 2'!P41*'Inputs Yr 2'!Q41*'Inputs Yr 2'!U41,"")</f>
        <v/>
      </c>
      <c r="BZ41" s="193">
        <f t="shared" si="39"/>
        <v>0</v>
      </c>
      <c r="CA41" s="193">
        <f t="shared" si="40"/>
        <v>0</v>
      </c>
      <c r="CB41" s="195" t="str">
        <f>IFERROR(G41*(IF('Inputs Yr 2'!$AJ41=CB$4,'Inputs Yr 2'!$AK41,IF('Inputs Yr 2'!$AL41=CB$4,'Inputs Yr 2'!$AM41,IF('Inputs Yr 2'!$AN41=CB$4,'Inputs Yr 2'!$AO41,0))))*(INDEX(avoidedcosttbl2,$H41,CB$2)+(($H41-ROUNDDOWN($H41,0))*(INDEX(avoidedcosttbl2,ROUNDUP($H41,0),CB$2)-(INDEX(avoidedcosttbl2,ROUNDDOWN($H41,0),CB$2)))))*'Inputs Yr 2'!P41*'Inputs Yr 2'!Q41*'Inputs Yr 2'!U41,"")</f>
        <v/>
      </c>
      <c r="CC41" s="195" t="str">
        <f>IFERROR(H41*(IF('Inputs Yr 2'!$AJ41=CC$4,'Inputs Yr 2'!$AK41,IF('Inputs Yr 2'!$AL41=CC$4,'Inputs Yr 2'!$AM41,IF('Inputs Yr 2'!$AN41=CC$4,'Inputs Yr 2'!$AO41,0))))*(INDEX(avoidedcosttbl2,$H41,CC$2)+(($H41-ROUNDDOWN($H41,0))*(INDEX(avoidedcosttbl2,ROUNDUP($H41,0),CC$2)-(INDEX(avoidedcosttbl2,ROUNDDOWN($H41,0),CC$2)))))*'Inputs Yr 2'!Q41*'Inputs Yr 2'!R41*'Inputs Yr 2'!V41,"")</f>
        <v/>
      </c>
      <c r="CD41" s="195" t="str">
        <f>IFERROR(I41*(IF('Inputs Yr 2'!$AJ41=CD$4,'Inputs Yr 2'!$AK41,IF('Inputs Yr 2'!$AL41=CD$4,'Inputs Yr 2'!$AM41,IF('Inputs Yr 2'!$AN41=CD$4,'Inputs Yr 2'!$AO41,0))))*(INDEX(avoidedcosttbl2,$H41,CD$2)+(($H41-ROUNDDOWN($H41,0))*(INDEX(avoidedcosttbl2,ROUNDUP($H41,0),CD$2)-(INDEX(avoidedcosttbl2,ROUNDDOWN($H41,0),CD$2)))))*'Inputs Yr 2'!R41*'Inputs Yr 2'!S41*'Inputs Yr 2'!W41,"")</f>
        <v/>
      </c>
      <c r="CE41" s="213" t="str">
        <f t="shared" si="41"/>
        <v/>
      </c>
      <c r="CF41" s="213" t="str">
        <f t="shared" si="42"/>
        <v/>
      </c>
      <c r="CG41" s="213" t="str">
        <f t="shared" si="43"/>
        <v/>
      </c>
      <c r="CH41" s="698">
        <f t="shared" si="44"/>
        <v>0</v>
      </c>
      <c r="CI41" s="79" t="str">
        <f>IFERROR(($G41*'Inputs Yr 2'!$P41*'Inputs Yr 2'!$Q41*(((INDEX(avoidedcosttbl2,$H41,CI$2)+(($H41-ROUNDDOWN($H41,0))*(INDEX(avoidedcosttbl2,ROUNDUP($H41,0),CI$2)-INDEX(avoidedcosttbl2,ROUNDDOWN($H41,0),CI$2))))*'Inputs Yr 2'!AS41))),"")</f>
        <v/>
      </c>
      <c r="CJ41" s="504" t="str">
        <f>IFERROR($G41*'Inputs Yr 2'!AT41*'Inputs Yr 2'!$P41*'Inputs Yr 2'!$Q41/((1+realdiscrt1)^-0.5),"")</f>
        <v/>
      </c>
      <c r="CK41" s="79" t="str">
        <f>IFERROR((O41*1000*(((INDEX(avoidedcosttbl2,$H41,CK$2)+(($H41-ROUNDDOWN($H41,0))*(INDEX(avoidedcosttbl2,ROUNDUP($H41,0),CK$2)-INDEX(avoidedcosttbl2,ROUNDDOWN($H41,0),CK$2))))*'Inputs Yr 2'!AU41))),"")</f>
        <v/>
      </c>
      <c r="CL41" s="504" t="str">
        <f>IFERROR(O41*1000*'Inputs Yr 2'!AV41/((1+realdiscrt1)^-0.5),"")</f>
        <v/>
      </c>
      <c r="CM41" s="79" t="str">
        <f>IFERROR((AB41*'Inputs Yr 2'!AW41*(((INDEX(avoidedcosttbl2,$H41,CM$2)+(($H41-ROUNDDOWN($H41,0))*(INDEX(avoidedcosttbl2,ROUNDUP($H41,0),CM$2)-INDEX(avoidedcosttbl2,ROUNDDOWN($H41,0),CM$2)))))))*10,"")</f>
        <v/>
      </c>
      <c r="CN41" s="504">
        <f>IFERROR(10*AB41*'Inputs Yr 2'!AX41/((1+realdiscrt1)^-0.5),"")</f>
        <v>0</v>
      </c>
      <c r="CO41" s="505">
        <f t="shared" si="45"/>
        <v>0</v>
      </c>
      <c r="CP41" s="230">
        <f t="shared" si="46"/>
        <v>0</v>
      </c>
      <c r="CQ41" s="199">
        <f>ROUND(IFERROR(IF(LEFT($A41,1)="C",'Avoided Costs'!$K$13,'Avoided Costs'!$K$12)+1,""),4)</f>
        <v>1.0720000000000001</v>
      </c>
      <c r="CR41" s="199">
        <f>ROUND(IFERROR(IF(LEFT($A41,1)="C",'Avoided Costs'!$L$13,'Avoided Costs'!$L$12)+1,""),4)</f>
        <v>1.04</v>
      </c>
      <c r="CS41" s="199">
        <f>ROUND(IFERROR(IF(LEFT($A41,1)="C",'Avoided Costs'!$M$13,'Avoided Costs'!$M$12)+1,""),4)</f>
        <v>1.0720000000000001</v>
      </c>
      <c r="CT41" s="199">
        <f>ROUND(IFERROR(IF(LEFT($A41,1)="C",'Avoided Costs'!$N$13,'Avoided Costs'!$N$12)+1,""),4)</f>
        <v>1.04</v>
      </c>
      <c r="CU41" s="199">
        <f>ROUND(IFERROR(IF(LEFT($A41,1)="C",'Avoided Costs'!$O$13,'Avoided Costs'!$O$12)+1,""),4)</f>
        <v>1.1120000000000001</v>
      </c>
      <c r="CV41" s="199">
        <f>ROUND(IFERROR(IF(LEFT($A41,1)="C",'Avoided Costs'!$P$13,'Avoided Costs'!$P$12)+1,""),4)</f>
        <v>1.095</v>
      </c>
      <c r="CW41" s="199">
        <f>ROUND(IFERROR(IF(LEFT($A41,1)="C",'Avoided Costs'!$Q$13,'Avoided Costs'!$Q$12)+1,""),4)</f>
        <v>1.1120000000000001</v>
      </c>
      <c r="CX41" s="200">
        <f>ROUND(IFERROR(IF(LEFT($A41,1)="C",'Avoided Costs'!$R$13,'Avoided Costs'!$R$12)+1,""),4)</f>
        <v>1.1120000000000001</v>
      </c>
    </row>
    <row r="42" spans="1:102" ht="12.75" customHeight="1">
      <c r="A42" s="91" t="str">
        <f>IF('Inputs Yr 2'!$B42=0,"",'Inputs Yr 2'!A42)</f>
        <v>A - Residential</v>
      </c>
      <c r="B42" s="91" t="str">
        <f>IF('Inputs Yr 2'!$B42=0,"",'Inputs Yr 2'!B42)</f>
        <v>A1 - Residential Whole House</v>
      </c>
      <c r="C42" s="91" t="str">
        <f>IF('Inputs Yr 2'!$B42=0,"",'Inputs Yr 2'!C42)</f>
        <v>A1c - Residential Home Energy Services - Measures</v>
      </c>
      <c r="D42" s="91" t="str">
        <f>IF('Inputs Yr 2'!$B42=0,"",'Inputs Yr 2'!E42)</f>
        <v>Insulation, Gas</v>
      </c>
      <c r="E42" s="93" t="str">
        <f>IF('Inputs Yr 2'!$B42=0,"",'Inputs Yr 2'!F42)</f>
        <v>G16A1c01</v>
      </c>
      <c r="F42" s="93" t="str">
        <f>IF('Inputs Yr 2'!$B42=0,"",'Inputs Yr 2'!G42)</f>
        <v>Envelope</v>
      </c>
      <c r="G42" s="95">
        <f>IF('Inputs Yr 2'!$H42&lt;&gt;0,('Inputs Yr 2'!H42),"")</f>
        <v>6480</v>
      </c>
      <c r="H42" s="94">
        <f>IFERROR('Inputs Yr 2'!I42,"")</f>
        <v>25</v>
      </c>
      <c r="I42" s="298">
        <f>IFERROR('Inputs Yr 2'!J42*'Inputs Yr 2'!P42*G42,"")</f>
        <v>16758449.48639999</v>
      </c>
      <c r="J42" s="298">
        <f>IFERROR('Inputs Yr 2'!K42*G42,"")</f>
        <v>10784554.159999995</v>
      </c>
      <c r="K42" s="298">
        <f t="shared" si="23"/>
        <v>5973895.326399995</v>
      </c>
      <c r="L42" s="194">
        <f>IFERROR(('Inputs Yr 2'!W42*G42)/1000,"")</f>
        <v>1354.32</v>
      </c>
      <c r="M42" s="194">
        <f>IFERROR(L42*('Inputs Yr 2'!$Q42*'Inputs Yr 2'!$V42*'Inputs Yr 2'!$R42),"")</f>
        <v>1354.32</v>
      </c>
      <c r="N42" s="194">
        <f t="shared" si="24"/>
        <v>33858</v>
      </c>
      <c r="O42" s="194">
        <f>IFERROR(M42*'Inputs Yr 2'!P42,"")</f>
        <v>1665.8136</v>
      </c>
      <c r="P42" s="194">
        <f t="shared" si="25"/>
        <v>41645.339999999997</v>
      </c>
      <c r="Q42" s="194">
        <f>IFERROR($P42*'Inputs Yr 2'!AA42,"")</f>
        <v>10827.788399999999</v>
      </c>
      <c r="R42" s="194">
        <f>IFERROR($P42*'Inputs Yr 2'!AB42,"")</f>
        <v>17907.496199999998</v>
      </c>
      <c r="S42" s="194">
        <f>IFERROR($P42*'Inputs Yr 2'!AC42,"")</f>
        <v>7079.7078000000001</v>
      </c>
      <c r="T42" s="194">
        <f>IFERROR($P42*'Inputs Yr 2'!AD42,"")</f>
        <v>5830.3476000000001</v>
      </c>
      <c r="U42" s="194">
        <f>IFERROR(G42*'Inputs Yr 2'!$AE42*'Inputs Yr 2'!$P42*'Inputs Yr 2'!$Q42,"")</f>
        <v>1187.5896</v>
      </c>
      <c r="V42" s="194">
        <f>IFERROR($G42*'Inputs Yr 2'!$AE42*'Inputs Yr 2'!$AG42*'Inputs Yr 2'!Q42*'Inputs Yr 2'!$S42,"")</f>
        <v>492.41520000000003</v>
      </c>
      <c r="W42" s="194">
        <f>IFERROR($G42*'Inputs Yr 2'!$AE42*'Inputs Yr 2'!$AG42*'Inputs Yr 2'!P42*'Inputs Yr 2'!Q42*'Inputs Yr 2'!$S42,"")</f>
        <v>605.67069600000002</v>
      </c>
      <c r="X42" s="194">
        <f>IFERROR($G42*'Inputs Yr 2'!$AE42*'Inputs Yr 2'!$AF42*'Inputs Yr 2'!Q42*'Inputs Yr 2'!$T42,"")</f>
        <v>965.52</v>
      </c>
      <c r="Y42" s="194">
        <f>IFERROR($G42*'Inputs Yr 2'!$AE42*'Inputs Yr 2'!$AF42*'Inputs Yr 2'!P42*'Inputs Yr 2'!Q42*'Inputs Yr 2'!$T42,"")</f>
        <v>1187.5896</v>
      </c>
      <c r="Z42" s="257">
        <f>IFERROR($G42*'Inputs Yr 2'!$Q42*'Inputs Yr 2'!$U42*(IF(IFERROR(SEARCH("NG", 'Inputs Yr 2'!$AJ42),0),'Inputs Yr 2'!$AK42,0)+IF(IFERROR(SEARCH("NG", 'Inputs Yr 2'!$AL42),0),'Inputs Yr 2'!$AM42,0)+IF(IFERROR(SEARCH("NG", 'Inputs Yr 2'!$AN42),0),'Inputs Yr 2'!$AO42,0)),0)</f>
        <v>72547.751880487805</v>
      </c>
      <c r="AA42" s="257">
        <f t="shared" si="26"/>
        <v>1813693.7970121952</v>
      </c>
      <c r="AB42" s="257">
        <f>IFERROR(Z42*'Inputs Yr 2'!$P42,0)</f>
        <v>89233.734813000003</v>
      </c>
      <c r="AC42" s="257">
        <f t="shared" si="27"/>
        <v>2230843.370325</v>
      </c>
      <c r="AD42" s="257">
        <f>IFERROR($G42*'Inputs Yr 2'!$Q42*'Inputs Yr 2'!$U42*(IF(IFERROR(SEARCH("Oil", 'Inputs Yr 2'!$AJ42), 0),'Inputs Yr 2'!$AK42,0)+IF(IFERROR(SEARCH("Oil", 'Inputs Yr 2'!$AL42), 0),'Inputs Yr 2'!$AM42,0)+IF(IFERROR(SEARCH("Oil", 'Inputs Yr 2'!$AN42), 0),'Inputs Yr 2'!$AO42,0)),0)</f>
        <v>0</v>
      </c>
      <c r="AE42" s="257">
        <f t="shared" si="28"/>
        <v>0</v>
      </c>
      <c r="AF42" s="257">
        <f>IFERROR(AD42*'Inputs Yr 2'!$P42,0)</f>
        <v>0</v>
      </c>
      <c r="AG42" s="257">
        <f t="shared" si="29"/>
        <v>0</v>
      </c>
      <c r="AH42" s="257">
        <f>IFERROR($G42*'Inputs Yr 2'!$Q42*'Inputs Yr 2'!$U42*(IF('Inputs Yr 2'!$AJ42=CD$4,'Inputs Yr 2'!$AK42,IF('Inputs Yr 2'!$AL42=CD$4,'Inputs Yr 2'!$AM42,IF('Inputs Yr 2'!$AN42=CD$4,'Inputs Yr 2'!$AO42,0)))),0)</f>
        <v>0</v>
      </c>
      <c r="AI42" s="257">
        <f t="shared" si="30"/>
        <v>0</v>
      </c>
      <c r="AJ42" s="257">
        <f>IFERROR(AH42*'Inputs Yr 2'!$P42,0)</f>
        <v>0</v>
      </c>
      <c r="AK42" s="257">
        <f t="shared" si="31"/>
        <v>0</v>
      </c>
      <c r="AL42" s="258">
        <f>IFERROR($G42*'Inputs Yr 2'!$P42*'Inputs Yr 2'!$Q42*'Inputs Yr 2'!AP42,0)</f>
        <v>0</v>
      </c>
      <c r="AM42" s="260">
        <f>IFERROR($G42*'Inputs Yr 2'!$P42*'Inputs Yr 2'!$Q42*'Inputs Yr 2'!AQ42,0)</f>
        <v>0</v>
      </c>
      <c r="AN42" s="258">
        <f>IFERROR($G42*'Inputs Yr 2'!$P42*'Inputs Yr 2'!$Q42*'Inputs Yr 2'!AR42,0)</f>
        <v>0</v>
      </c>
      <c r="AO42" s="257">
        <f t="shared" si="32"/>
        <v>0</v>
      </c>
      <c r="AP42" s="195">
        <f>IFERROR($CQ42*(INDEX(avoidedcosttbl2,$H42,AP$2)+(($H42-ROUNDDOWN($H42,0))*(INDEX(avoidedcosttbl2,ROUNDUP($H42,0),AP$2)-(INDEX(avoidedcosttbl2,ROUNDDOWN($H42,0),AP$2)))))*$O42*1000*'Inputs Yr 2'!AA42,"")</f>
        <v>1074983.4111909168</v>
      </c>
      <c r="AQ42" s="195">
        <f>IFERROR($CR42*(INDEX(avoidedcosttbl2,$H42,AQ$2)+(($H42-ROUNDDOWN($H42,0))*(INDEX(avoidedcosttbl2,ROUNDUP($H42,0),AQ$2)-(INDEX(avoidedcosttbl2,ROUNDDOWN($H42,0),AQ$2)))))*$O42*1000*'Inputs Yr 2'!AB42,"")</f>
        <v>1590901.4080478875</v>
      </c>
      <c r="AR42" s="195">
        <f>IFERROR($CS42*(INDEX(avoidedcosttbl2,$H42,AR$2)+(($H42-ROUNDDOWN($H42,0))*(INDEX(avoidedcosttbl2,ROUNDUP($H42,0),AR$2)-(INDEX(avoidedcosttbl2,ROUNDDOWN($H42,0),AR$2)))))*$O42*1000*'Inputs Yr 2'!AC42,"")</f>
        <v>750629.68652586802</v>
      </c>
      <c r="AS42" s="195">
        <f>IFERROR($CT42*(INDEX(avoidedcosttbl2,$H42,AS$2)+(($H42-ROUNDDOWN($H42,0))*(INDEX(avoidedcosttbl2,ROUNDUP($H42,0),AS$2)-(INDEX(avoidedcosttbl2,ROUNDDOWN($H42,0),AS$2)))))*$O42*1000*'Inputs Yr 2'!AD42,"")</f>
        <v>458337.37262064469</v>
      </c>
      <c r="AT42" s="196">
        <f t="shared" si="33"/>
        <v>3874851.878385317</v>
      </c>
      <c r="AU42" s="197">
        <f>IFERROR($CQ42*((INDEX(avoidedcosttbl2,$H42,AU$2))+(($H42-ROUNDDOWN($H42,0))*((INDEX(avoidedcosttbl2,ROUNDUP($H42,0),AU$2))-(INDEX(avoidedcosttbl2,ROUNDDOWN($H42,0),AU$2)))))*$O42*1000*'Inputs Yr 2'!AA42,"")</f>
        <v>14130.117227566569</v>
      </c>
      <c r="AV42" s="197">
        <f>IFERROR($CR42*((INDEX(avoidedcosttbl2,$H42,AV$2))+(($H42-ROUNDDOWN($H42,0))*((INDEX(avoidedcosttbl2,ROUNDUP($H42,0),AV$2))-(INDEX(avoidedcosttbl2,ROUNDDOWN($H42,0),AV$2)))))*$O42*1000*'Inputs Yr 2'!AB42,"")</f>
        <v>11242.916996841057</v>
      </c>
      <c r="AW42" s="197">
        <f>IFERROR($CS42*((INDEX(avoidedcosttbl2,$H42,AW$2))+(($H42-ROUNDDOWN($H42,0))*((INDEX(avoidedcosttbl2,ROUNDUP($H42,0),AW$2))-(INDEX(avoidedcosttbl2,ROUNDDOWN($H42,0),AW$2)))))*$O42*1000*'Inputs Yr 2'!AC42,"")</f>
        <v>10909.396303333844</v>
      </c>
      <c r="AX42" s="197">
        <f>IFERROR($CT42*((INDEX(avoidedcosttbl2,$H42,AX$2))+(($H42-ROUNDDOWN($H42,0))*((INDEX(avoidedcosttbl2,ROUNDUP($H42,0),AX$2))-(INDEX(avoidedcosttbl2,ROUNDDOWN($H42,0),AX$2)))))*$O42*1000*'Inputs Yr 2'!AD42,"")</f>
        <v>2947.6663821849861</v>
      </c>
      <c r="AY42" s="197">
        <f>IFERROR(((INDEX(avoidedcosttbl2,$H42,AY$2))+(($H42-ROUNDDOWN($H42,0))*((INDEX(avoidedcosttbl2,ROUNDUP($H42,0),AY$2))-(INDEX(avoidedcosttbl2,ROUNDDOWN($H42,0),AY$2)))))*$O42*1000*('Inputs Yr 2'!AC42+'Inputs Yr 2'!AD42),"")</f>
        <v>30186.978678779447</v>
      </c>
      <c r="AZ42" s="197">
        <f>IFERROR(((INDEX(avoidedcosttbl2,$H42,AZ$2))+(($H42-ROUNDDOWN($H42,0))*((INDEX(avoidedcosttbl2,ROUNDUP($H42,0),AZ$2))-(INDEX(avoidedcosttbl2,ROUNDDOWN($H42,0),AZ$2)))))*$O42*1000*('Inputs Yr 2'!AA42+'Inputs Yr 2'!AB42),"")</f>
        <v>90166.847318519227</v>
      </c>
      <c r="BA42" s="198">
        <f t="shared" si="34"/>
        <v>159583.92290722515</v>
      </c>
      <c r="BB42" s="198">
        <f t="shared" si="35"/>
        <v>4034435.8012925424</v>
      </c>
      <c r="BC42" s="195">
        <f t="shared" si="10"/>
        <v>5336219.5991992783</v>
      </c>
      <c r="BD42" s="195">
        <f t="shared" si="11"/>
        <v>0</v>
      </c>
      <c r="BE42" s="195">
        <f t="shared" si="12"/>
        <v>0</v>
      </c>
      <c r="BF42" s="195">
        <f t="shared" si="13"/>
        <v>335812.88560024142</v>
      </c>
      <c r="BG42" s="195">
        <f t="shared" si="14"/>
        <v>2635748.095438397</v>
      </c>
      <c r="BH42" s="196">
        <f t="shared" si="36"/>
        <v>8307780.5802379176</v>
      </c>
      <c r="BI42" s="196">
        <f t="shared" si="37"/>
        <v>12342216.38153046</v>
      </c>
      <c r="BJ42" s="195">
        <f>IFERROR($G42*(IF('Inputs Yr 2'!$AJ42=BJ$4,'Inputs Yr 2'!$AK42,IF('Inputs Yr 2'!$AL42=BJ$4,'Inputs Yr 2'!$AM42,IF('Inputs Yr 2'!$AN42=BJ$4,'Inputs Yr 2'!$AO42,0))))*(INDEX(avoidedcosttbl2,$H42,BJ$2)+(($H42-ROUNDDOWN($H42,0))*(INDEX(avoidedcosttbl2,ROUNDUP($H42,0),BJ$2)-(INDEX(avoidedcosttbl2,ROUNDDOWN($H42,0),BJ$2)))))*'Inputs Yr 2'!P42*'Inputs Yr 2'!Q42*'Inputs Yr 2'!U42,"")</f>
        <v>0</v>
      </c>
      <c r="BK42" s="195">
        <f>IFERROR($G42*(IF('Inputs Yr 2'!$AJ42=BK$4,'Inputs Yr 2'!$AK42,IF('Inputs Yr 2'!$AL42=BK$4,'Inputs Yr 2'!$AM42,IF('Inputs Yr 2'!$AN42=BK$4,'Inputs Yr 2'!$AO42,0))))*(INDEX(avoidedcosttbl2,$H42,BK$2)+(($H42-ROUNDDOWN($H42,0))*(INDEX(avoidedcosttbl2,ROUNDUP($H42,0),BK$2)-(INDEX(avoidedcosttbl2,ROUNDDOWN($H42,0),BK$2)))))*'Inputs Yr 2'!P42*'Inputs Yr 2'!Q42*'Inputs Yr 2'!U42,"")</f>
        <v>0</v>
      </c>
      <c r="BL42" s="195">
        <f>IFERROR($G42*(IF('Inputs Yr 2'!$AJ42=BL$4,'Inputs Yr 2'!$AK42,IF('Inputs Yr 2'!$AL42=BL$4,'Inputs Yr 2'!$AM42,IF('Inputs Yr 2'!$AN42=BL$4,'Inputs Yr 2'!$AO42,0))))*(INDEX(avoidedcosttbl2,$H42,BL$2)+(($H42-ROUNDDOWN($H42,0))*(INDEX(avoidedcosttbl2,ROUNDUP($H42,0),BL$2)-(INDEX(avoidedcosttbl2,ROUNDDOWN($H42,0),BL$2)))))*'Inputs Yr 2'!P42*'Inputs Yr 2'!Q42*'Inputs Yr 2'!U42,"")</f>
        <v>19853350.783854131</v>
      </c>
      <c r="BM42" s="195">
        <f>IFERROR($G42*(IF('Inputs Yr 2'!$AJ42=BM$4,'Inputs Yr 2'!$AK42,IF('Inputs Yr 2'!$AL42=BM$4,'Inputs Yr 2'!$AM42,IF('Inputs Yr 2'!$AN42=BM$4,'Inputs Yr 2'!$AO42,0))))*(INDEX(avoidedcosttbl2,$H42,BM$2)+(($H42-ROUNDDOWN($H42,0))*(INDEX(avoidedcosttbl2,ROUNDUP($H42,0),BM$2)-(INDEX(avoidedcosttbl2,ROUNDDOWN($H42,0),BM$2)))))*'Inputs Yr 2'!P42*'Inputs Yr 2'!Q42*'Inputs Yr 2'!U42,"")</f>
        <v>0</v>
      </c>
      <c r="BN42" s="195">
        <f>IFERROR($G42*(IF('Inputs Yr 2'!$AJ42=BN$4,'Inputs Yr 2'!$AK42,IF('Inputs Yr 2'!$AL42=BN$4,'Inputs Yr 2'!$AM42,IF('Inputs Yr 2'!$AN42=BN$4,'Inputs Yr 2'!$AO42,0))))*(INDEX(avoidedcosttbl2,$H42,BN$2)+(($H42-ROUNDDOWN($H42,0))*(INDEX(avoidedcosttbl2,ROUNDUP($H42,0),BN$2)-(INDEX(avoidedcosttbl2,ROUNDDOWN($H42,0),BN$2)))))*'Inputs Yr 2'!P42*'Inputs Yr 2'!Q42*'Inputs Yr 2'!U42,"")</f>
        <v>0</v>
      </c>
      <c r="BO42" s="195">
        <f>IFERROR($G42*(IF('Inputs Yr 2'!$AJ42=BO$4,'Inputs Yr 2'!$AK42,IF('Inputs Yr 2'!$AL42=BO$4,'Inputs Yr 2'!$AM42,IF('Inputs Yr 2'!$AN42=BO$4,'Inputs Yr 2'!$AO42,0))))*(INDEX(avoidedcosttbl2,$H42,BO$2)+(($H42-ROUNDDOWN($H42,0))*(INDEX(avoidedcosttbl2,ROUNDUP($H42,0),BO$2)-(INDEX(avoidedcosttbl2,ROUNDDOWN($H42,0),BO$2)))))*'Inputs Yr 2'!P42*'Inputs Yr 2'!Q42*'Inputs Yr 2'!U42,"")</f>
        <v>0</v>
      </c>
      <c r="BP42" s="195">
        <f>IFERROR($G42*(IF('Inputs Yr 2'!$AJ42=BP$4,'Inputs Yr 2'!$AK42,IF('Inputs Yr 2'!$AL42=BP$4,'Inputs Yr 2'!$AM42,IF('Inputs Yr 2'!$AN42=BP$4,'Inputs Yr 2'!$AO42,0))))*(INDEX(avoidedcosttbl2,$H42,BP$2)+(($H42-ROUNDDOWN($H42,0))*(INDEX(avoidedcosttbl2,ROUNDUP($H42,0),BP$2)-(INDEX(avoidedcosttbl2,ROUNDDOWN($H42,0),BP$2)))))*'Inputs Yr 2'!P42*'Inputs Yr 2'!Q42*'Inputs Yr 2'!U42,"")</f>
        <v>0</v>
      </c>
      <c r="BQ42" s="230">
        <f t="shared" si="38"/>
        <v>19853350.783854131</v>
      </c>
      <c r="BR42" s="197">
        <f t="shared" si="17"/>
        <v>295902.50571253209</v>
      </c>
      <c r="BS42" s="197">
        <f>IFERROR(($G42*IF('Inputs Yr 2'!$AJ42=BM$4,'Inputs Yr 2'!$AK42,IF('Inputs Yr 2'!$AL42=BM$4,'Inputs Yr 2'!$AM42,IF('Inputs Yr 2'!$AN42=BM$4,'Inputs Yr 2'!$AO42,0))))*(INDEX(avoidedcosttbl2,$H42,BS$2)+(($H42-ROUNDDOWN($H42,0))*(INDEX(avoidedcosttbl2,ROUNDUP($H42,0),BS$2)-(INDEX(avoidedcosttbl2,ROUNDDOWN($H42,0),BS$2)))))*'Inputs Yr 2'!P42*'Inputs Yr 2'!Q42*'Inputs Yr 2'!U42,"")</f>
        <v>0</v>
      </c>
      <c r="BT42" s="197">
        <f>IFERROR(($G42*IF('Inputs Yr 2'!$AJ42=BK$4,'Inputs Yr 2'!$AK42,IF('Inputs Yr 2'!$AL42=BK$4,'Inputs Yr 2'!$AM42,IF('Inputs Yr 2'!$AN42=BK$4,'Inputs Yr 2'!$AO42,0))))*(INDEX(avoidedcosttbl2,$H42,BT$2)+(($H42-ROUNDDOWN($H42,0))*(INDEX(avoidedcosttbl2,ROUNDUP($H42,0),BT$2)-(INDEX(avoidedcosttbl2,ROUNDDOWN($H42,0),BT$2)))))*'Inputs Yr 2'!P42*'Inputs Yr 2'!Q42*'Inputs Yr 2'!U42,"")</f>
        <v>0</v>
      </c>
      <c r="BU42" s="197">
        <f>IFERROR(($G42*IF('Inputs Yr 2'!$AJ42=BL$4,'Inputs Yr 2'!$AK42,IF('Inputs Yr 2'!$AL42=BL$4,'Inputs Yr 2'!$AM42,IF('Inputs Yr 2'!$AN42=BL$4,'Inputs Yr 2'!$AO42,0))))*(INDEX(avoidedcosttbl2,$H42,BU$2)+(($H42-ROUNDDOWN($H42,0))*(INDEX(avoidedcosttbl2,ROUNDUP($H42,0),BU$2)-(INDEX(avoidedcosttbl2,ROUNDDOWN($H42,0),BU$2)))))*'Inputs Yr 2'!P42*'Inputs Yr 2'!Q42*'Inputs Yr 2'!U42,"")</f>
        <v>761099.9614366598</v>
      </c>
      <c r="BV42" s="775">
        <f>IFERROR(($G42*IF('Inputs Yr 2'!$AJ42=BJ$4,'Inputs Yr 2'!$AK42,IF('Inputs Yr 2'!$AL42=BJ$4,'Inputs Yr 2'!$AM42,IF('Inputs Yr 2'!$AN42=BJ$4,'Inputs Yr 2'!$AO42,0))))*(INDEX(avoidedcosttbl2,$H42,BV$2)+(($H42-ROUNDDOWN($H42,0))*(INDEX(avoidedcosttbl2,ROUNDUP($H42,0),BV$2)-(INDEX(avoidedcosttbl2,ROUNDDOWN($H42,0),BV$2)))))*'Inputs Yr 2'!P42*'Inputs Yr 2'!Q42*'Inputs Yr 2'!U42,"")</f>
        <v>0</v>
      </c>
      <c r="BW42" s="197">
        <f>IFERROR(($G42*IF('Inputs Yr 2'!$AJ42=BN$4,'Inputs Yr 2'!$AK42,IF('Inputs Yr 2'!$AL42=BN$4,'Inputs Yr 2'!$AM42,IF('Inputs Yr 2'!$AN42=BN$4,'Inputs Yr 2'!$AO42,0))))*(INDEX(avoidedcosttbl2,$H42,BW$2)+(($H42-ROUNDDOWN($H42,0))*(INDEX(avoidedcosttbl2,ROUNDUP($H42,0),BW$2)-(INDEX(avoidedcosttbl2,ROUNDDOWN($H42,0),BW$2)))))*'Inputs Yr 2'!P42*'Inputs Yr 2'!Q42*'Inputs Yr 2'!U42,"")</f>
        <v>0</v>
      </c>
      <c r="BX42" s="197">
        <f>IFERROR(($G42*IF('Inputs Yr 2'!$AJ42=BO$4,'Inputs Yr 2'!$AK42,IF('Inputs Yr 2'!$AL42=BO$4,'Inputs Yr 2'!$AM42,IF('Inputs Yr 2'!$AN42=BO$4,'Inputs Yr 2'!$AO42,0))))*(INDEX(avoidedcosttbl2,$H42,BX$2)+(($H42-ROUNDDOWN($H42,0))*(INDEX(avoidedcosttbl2,ROUNDUP($H42,0),BX$2)-(INDEX(avoidedcosttbl2,ROUNDDOWN($H42,0),BX$2)))))*'Inputs Yr 2'!P42*'Inputs Yr 2'!Q42*'Inputs Yr 2'!U42,"")</f>
        <v>0</v>
      </c>
      <c r="BY42" s="197">
        <f>IFERROR(($G42*IF('Inputs Yr 2'!$AJ42=BP$4,'Inputs Yr 2'!$AK42,IF('Inputs Yr 2'!$AL42=BP$4,'Inputs Yr 2'!$AM42,IF('Inputs Yr 2'!$AN42=BP$4,'Inputs Yr 2'!$AO42,0))))*(INDEX(avoidedcosttbl2,$H42,BY$2)+(($H42-ROUNDDOWN($H42,0))*(INDEX(avoidedcosttbl2,ROUNDUP($H42,0),BY$2)-(INDEX(avoidedcosttbl2,ROUNDDOWN($H42,0),BY$2)))))*'Inputs Yr 2'!P42*'Inputs Yr 2'!Q42*'Inputs Yr 2'!U42,"")</f>
        <v>0</v>
      </c>
      <c r="BZ42" s="193">
        <f t="shared" si="39"/>
        <v>1057002.467149192</v>
      </c>
      <c r="CA42" s="193">
        <f t="shared" si="40"/>
        <v>20910353.251003321</v>
      </c>
      <c r="CB42" s="195">
        <f>IFERROR(G42*(IF('Inputs Yr 2'!$AJ42=CB$4,'Inputs Yr 2'!$AK42,IF('Inputs Yr 2'!$AL42=CB$4,'Inputs Yr 2'!$AM42,IF('Inputs Yr 2'!$AN42=CB$4,'Inputs Yr 2'!$AO42,0))))*(INDEX(avoidedcosttbl2,$H42,CB$2)+(($H42-ROUNDDOWN($H42,0))*(INDEX(avoidedcosttbl2,ROUNDUP($H42,0),CB$2)-(INDEX(avoidedcosttbl2,ROUNDDOWN($H42,0),CB$2)))))*'Inputs Yr 2'!P42*'Inputs Yr 2'!Q42*'Inputs Yr 2'!U42,"")</f>
        <v>0</v>
      </c>
      <c r="CC42" s="195">
        <f>IFERROR(H42*(IF('Inputs Yr 2'!$AJ42=CC$4,'Inputs Yr 2'!$AK42,IF('Inputs Yr 2'!$AL42=CC$4,'Inputs Yr 2'!$AM42,IF('Inputs Yr 2'!$AN42=CC$4,'Inputs Yr 2'!$AO42,0))))*(INDEX(avoidedcosttbl2,$H42,CC$2)+(($H42-ROUNDDOWN($H42,0))*(INDEX(avoidedcosttbl2,ROUNDUP($H42,0),CC$2)-(INDEX(avoidedcosttbl2,ROUNDDOWN($H42,0),CC$2)))))*'Inputs Yr 2'!Q42*'Inputs Yr 2'!R42*'Inputs Yr 2'!V42,"")</f>
        <v>0</v>
      </c>
      <c r="CD42" s="195">
        <f>IFERROR(I42*(IF('Inputs Yr 2'!$AJ42=CD$4,'Inputs Yr 2'!$AK42,IF('Inputs Yr 2'!$AL42=CD$4,'Inputs Yr 2'!$AM42,IF('Inputs Yr 2'!$AN42=CD$4,'Inputs Yr 2'!$AO42,0))))*(INDEX(avoidedcosttbl2,$H42,CD$2)+(($H42-ROUNDDOWN($H42,0))*(INDEX(avoidedcosttbl2,ROUNDUP($H42,0),CD$2)-(INDEX(avoidedcosttbl2,ROUNDDOWN($H42,0),CD$2)))))*'Inputs Yr 2'!R42*'Inputs Yr 2'!S42*'Inputs Yr 2'!W42,"")</f>
        <v>0</v>
      </c>
      <c r="CE42" s="213">
        <f t="shared" si="41"/>
        <v>0</v>
      </c>
      <c r="CF42" s="213">
        <f t="shared" si="42"/>
        <v>0</v>
      </c>
      <c r="CG42" s="213">
        <f t="shared" si="43"/>
        <v>0</v>
      </c>
      <c r="CH42" s="698">
        <f t="shared" si="44"/>
        <v>20910353.251003321</v>
      </c>
      <c r="CI42" s="79">
        <f>IFERROR(($G42*'Inputs Yr 2'!$P42*'Inputs Yr 2'!$Q42*(((INDEX(avoidedcosttbl2,$H42,CI$2)+(($H42-ROUNDDOWN($H42,0))*(INDEX(avoidedcosttbl2,ROUNDUP($H42,0),CI$2)-INDEX(avoidedcosttbl2,ROUNDDOWN($H42,0),CI$2))))*'Inputs Yr 2'!AS42))),"")</f>
        <v>8928055.8859143779</v>
      </c>
      <c r="CJ42" s="504">
        <f>IFERROR($G42*'Inputs Yr 2'!AT42*'Inputs Yr 2'!$P42*'Inputs Yr 2'!$Q42/((1+realdiscrt1)^-0.5),"")</f>
        <v>0</v>
      </c>
      <c r="CK42" s="79">
        <f>IFERROR((O42*1000*(((INDEX(avoidedcosttbl2,$H42,CK$2)+(($H42-ROUNDDOWN($H42,0))*(INDEX(avoidedcosttbl2,ROUNDUP($H42,0),CK$2)-INDEX(avoidedcosttbl2,ROUNDDOWN($H42,0),CK$2))))*'Inputs Yr 2'!AU42))),"")</f>
        <v>0</v>
      </c>
      <c r="CL42" s="504">
        <f>IFERROR(O42*1000*'Inputs Yr 2'!AV42/((1+realdiscrt1)^-0.5),"")</f>
        <v>0</v>
      </c>
      <c r="CM42" s="79">
        <f>IFERROR((AB42*'Inputs Yr 2'!AW42*(((INDEX(avoidedcosttbl2,$H42,CM$2)+(($H42-ROUNDDOWN($H42,0))*(INDEX(avoidedcosttbl2,ROUNDUP($H42,0),CM$2)-INDEX(avoidedcosttbl2,ROUNDDOWN($H42,0),CM$2)))))))*10,"")</f>
        <v>0</v>
      </c>
      <c r="CN42" s="504">
        <f>IFERROR(10*AB42*'Inputs Yr 2'!AX42/((1+realdiscrt1)^-0.5),"")</f>
        <v>0</v>
      </c>
      <c r="CO42" s="505">
        <f t="shared" si="45"/>
        <v>8928055.8859143779</v>
      </c>
      <c r="CP42" s="230">
        <f t="shared" si="46"/>
        <v>42180625.518448159</v>
      </c>
      <c r="CQ42" s="199">
        <f>ROUND(IFERROR(IF(LEFT($A42,1)="C",'Avoided Costs'!$K$13,'Avoided Costs'!$K$12)+1,""),4)</f>
        <v>1.0720000000000001</v>
      </c>
      <c r="CR42" s="199">
        <f>ROUND(IFERROR(IF(LEFT($A42,1)="C",'Avoided Costs'!$L$13,'Avoided Costs'!$L$12)+1,""),4)</f>
        <v>1.04</v>
      </c>
      <c r="CS42" s="199">
        <f>ROUND(IFERROR(IF(LEFT($A42,1)="C",'Avoided Costs'!$M$13,'Avoided Costs'!$M$12)+1,""),4)</f>
        <v>1.0720000000000001</v>
      </c>
      <c r="CT42" s="199">
        <f>ROUND(IFERROR(IF(LEFT($A42,1)="C",'Avoided Costs'!$N$13,'Avoided Costs'!$N$12)+1,""),4)</f>
        <v>1.04</v>
      </c>
      <c r="CU42" s="199">
        <f>ROUND(IFERROR(IF(LEFT($A42,1)="C",'Avoided Costs'!$O$13,'Avoided Costs'!$O$12)+1,""),4)</f>
        <v>1.1120000000000001</v>
      </c>
      <c r="CV42" s="199">
        <f>ROUND(IFERROR(IF(LEFT($A42,1)="C",'Avoided Costs'!$P$13,'Avoided Costs'!$P$12)+1,""),4)</f>
        <v>1.095</v>
      </c>
      <c r="CW42" s="199">
        <f>ROUND(IFERROR(IF(LEFT($A42,1)="C",'Avoided Costs'!$Q$13,'Avoided Costs'!$Q$12)+1,""),4)</f>
        <v>1.1120000000000001</v>
      </c>
      <c r="CX42" s="200">
        <f>ROUND(IFERROR(IF(LEFT($A42,1)="C",'Avoided Costs'!$R$13,'Avoided Costs'!$R$12)+1,""),4)</f>
        <v>1.1120000000000001</v>
      </c>
    </row>
    <row r="43" spans="1:102" ht="12.75" customHeight="1">
      <c r="A43" s="91" t="str">
        <f>IF('Inputs Yr 2'!$B43=0,"",'Inputs Yr 2'!A43)</f>
        <v>A - Residential</v>
      </c>
      <c r="B43" s="91" t="str">
        <f>IF('Inputs Yr 2'!$B43=0,"",'Inputs Yr 2'!B43)</f>
        <v>A1 - Residential Whole House</v>
      </c>
      <c r="C43" s="91" t="str">
        <f>IF('Inputs Yr 2'!$B43=0,"",'Inputs Yr 2'!C43)</f>
        <v>A1c - Residential Home Energy Services - Measures</v>
      </c>
      <c r="D43" s="91" t="str">
        <f>IF('Inputs Yr 2'!$B43=0,"",'Inputs Yr 2'!E43)</f>
        <v>Air Sealing, Gas</v>
      </c>
      <c r="E43" s="93" t="str">
        <f>IF('Inputs Yr 2'!$B43=0,"",'Inputs Yr 2'!F43)</f>
        <v>G16A1c02</v>
      </c>
      <c r="F43" s="93" t="str">
        <f>IF('Inputs Yr 2'!$B43=0,"",'Inputs Yr 2'!G43)</f>
        <v>Envelope</v>
      </c>
      <c r="G43" s="95">
        <f>IF('Inputs Yr 2'!$H43&lt;&gt;0,('Inputs Yr 2'!H43),"")</f>
        <v>5578</v>
      </c>
      <c r="H43" s="94">
        <f>IFERROR('Inputs Yr 2'!I43,"")</f>
        <v>15</v>
      </c>
      <c r="I43" s="298">
        <f>IFERROR('Inputs Yr 2'!J43*'Inputs Yr 2'!P43*G43,"")</f>
        <v>5395897.9199999999</v>
      </c>
      <c r="J43" s="298">
        <f>IFERROR('Inputs Yr 2'!K43*G43,"")</f>
        <v>4215545.25</v>
      </c>
      <c r="K43" s="298">
        <f t="shared" si="23"/>
        <v>1180352.67</v>
      </c>
      <c r="L43" s="194">
        <f>IFERROR(('Inputs Yr 2'!W43*G43)/1000,"")</f>
        <v>0</v>
      </c>
      <c r="M43" s="194">
        <f>IFERROR(L43*('Inputs Yr 2'!$Q43*'Inputs Yr 2'!$V43*'Inputs Yr 2'!$R43),"")</f>
        <v>0</v>
      </c>
      <c r="N43" s="194">
        <f t="shared" si="24"/>
        <v>0</v>
      </c>
      <c r="O43" s="194">
        <f>IFERROR(M43*'Inputs Yr 2'!P43,"")</f>
        <v>0</v>
      </c>
      <c r="P43" s="194">
        <f t="shared" si="25"/>
        <v>0</v>
      </c>
      <c r="Q43" s="194">
        <f>IFERROR($P43*'Inputs Yr 2'!AA43,"")</f>
        <v>0</v>
      </c>
      <c r="R43" s="194">
        <f>IFERROR($P43*'Inputs Yr 2'!AB43,"")</f>
        <v>0</v>
      </c>
      <c r="S43" s="194">
        <f>IFERROR($P43*'Inputs Yr 2'!AC43,"")</f>
        <v>0</v>
      </c>
      <c r="T43" s="194">
        <f>IFERROR($P43*'Inputs Yr 2'!AD43,"")</f>
        <v>0</v>
      </c>
      <c r="U43" s="194">
        <f>IFERROR(G43*'Inputs Yr 2'!$AE43*'Inputs Yr 2'!$P43*'Inputs Yr 2'!$Q43,"")</f>
        <v>0</v>
      </c>
      <c r="V43" s="194">
        <f>IFERROR($G43*'Inputs Yr 2'!$AE43*'Inputs Yr 2'!$AG43*'Inputs Yr 2'!Q43*'Inputs Yr 2'!$S43,"")</f>
        <v>0</v>
      </c>
      <c r="W43" s="194">
        <f>IFERROR($G43*'Inputs Yr 2'!$AE43*'Inputs Yr 2'!$AG43*'Inputs Yr 2'!P43*'Inputs Yr 2'!Q43*'Inputs Yr 2'!$S43,"")</f>
        <v>0</v>
      </c>
      <c r="X43" s="194">
        <f>IFERROR($G43*'Inputs Yr 2'!$AE43*'Inputs Yr 2'!$AF43*'Inputs Yr 2'!Q43*'Inputs Yr 2'!$T43,"")</f>
        <v>0</v>
      </c>
      <c r="Y43" s="194">
        <f>IFERROR($G43*'Inputs Yr 2'!$AE43*'Inputs Yr 2'!$AF43*'Inputs Yr 2'!P43*'Inputs Yr 2'!Q43*'Inputs Yr 2'!$T43,"")</f>
        <v>0</v>
      </c>
      <c r="Z43" s="257">
        <f>IFERROR($G43*'Inputs Yr 2'!$Q43*'Inputs Yr 2'!$U43*(IF(IFERROR(SEARCH("NG", 'Inputs Yr 2'!$AJ43),0),'Inputs Yr 2'!$AK43,0)+IF(IFERROR(SEARCH("NG", 'Inputs Yr 2'!$AL43),0),'Inputs Yr 2'!$AM43,0)+IF(IFERROR(SEARCH("NG", 'Inputs Yr 2'!$AN43),0),'Inputs Yr 2'!$AO43,0)),0)</f>
        <v>21485.830151562499</v>
      </c>
      <c r="AA43" s="257">
        <f t="shared" si="26"/>
        <v>322287.45227343746</v>
      </c>
      <c r="AB43" s="257">
        <f>IFERROR(Z43*'Inputs Yr 2'!$P43,0)</f>
        <v>27501.862593999998</v>
      </c>
      <c r="AC43" s="257">
        <f t="shared" si="27"/>
        <v>412527.93890999997</v>
      </c>
      <c r="AD43" s="257">
        <f>IFERROR($G43*'Inputs Yr 2'!$Q43*'Inputs Yr 2'!$U43*(IF(IFERROR(SEARCH("Oil", 'Inputs Yr 2'!$AJ43), 0),'Inputs Yr 2'!$AK43,0)+IF(IFERROR(SEARCH("Oil", 'Inputs Yr 2'!$AL43), 0),'Inputs Yr 2'!$AM43,0)+IF(IFERROR(SEARCH("Oil", 'Inputs Yr 2'!$AN43), 0),'Inputs Yr 2'!$AO43,0)),0)</f>
        <v>0</v>
      </c>
      <c r="AE43" s="257">
        <f t="shared" si="28"/>
        <v>0</v>
      </c>
      <c r="AF43" s="257">
        <f>IFERROR(AD43*'Inputs Yr 2'!$P43,0)</f>
        <v>0</v>
      </c>
      <c r="AG43" s="257">
        <f t="shared" si="29"/>
        <v>0</v>
      </c>
      <c r="AH43" s="257">
        <f>IFERROR($G43*'Inputs Yr 2'!$Q43*'Inputs Yr 2'!$U43*(IF('Inputs Yr 2'!$AJ43=CD$4,'Inputs Yr 2'!$AK43,IF('Inputs Yr 2'!$AL43=CD$4,'Inputs Yr 2'!$AM43,IF('Inputs Yr 2'!$AN43=CD$4,'Inputs Yr 2'!$AO43,0)))),0)</f>
        <v>0</v>
      </c>
      <c r="AI43" s="257">
        <f t="shared" si="30"/>
        <v>0</v>
      </c>
      <c r="AJ43" s="257">
        <f>IFERROR(AH43*'Inputs Yr 2'!$P43,0)</f>
        <v>0</v>
      </c>
      <c r="AK43" s="257">
        <f t="shared" si="31"/>
        <v>0</v>
      </c>
      <c r="AL43" s="258">
        <f>IFERROR($G43*'Inputs Yr 2'!$P43*'Inputs Yr 2'!$Q43*'Inputs Yr 2'!AP43,0)</f>
        <v>0</v>
      </c>
      <c r="AM43" s="260">
        <f>IFERROR($G43*'Inputs Yr 2'!$P43*'Inputs Yr 2'!$Q43*'Inputs Yr 2'!AQ43,0)</f>
        <v>0</v>
      </c>
      <c r="AN43" s="258">
        <f>IFERROR($G43*'Inputs Yr 2'!$P43*'Inputs Yr 2'!$Q43*'Inputs Yr 2'!AR43,0)</f>
        <v>0</v>
      </c>
      <c r="AO43" s="257">
        <f t="shared" si="32"/>
        <v>0</v>
      </c>
      <c r="AP43" s="195">
        <f>IFERROR($CQ43*(INDEX(avoidedcosttbl2,$H43,AP$2)+(($H43-ROUNDDOWN($H43,0))*(INDEX(avoidedcosttbl2,ROUNDUP($H43,0),AP$2)-(INDEX(avoidedcosttbl2,ROUNDDOWN($H43,0),AP$2)))))*$O43*1000*'Inputs Yr 2'!AA43,"")</f>
        <v>0</v>
      </c>
      <c r="AQ43" s="195">
        <f>IFERROR($CR43*(INDEX(avoidedcosttbl2,$H43,AQ$2)+(($H43-ROUNDDOWN($H43,0))*(INDEX(avoidedcosttbl2,ROUNDUP($H43,0),AQ$2)-(INDEX(avoidedcosttbl2,ROUNDDOWN($H43,0),AQ$2)))))*$O43*1000*'Inputs Yr 2'!AB43,"")</f>
        <v>0</v>
      </c>
      <c r="AR43" s="195">
        <f>IFERROR($CS43*(INDEX(avoidedcosttbl2,$H43,AR$2)+(($H43-ROUNDDOWN($H43,0))*(INDEX(avoidedcosttbl2,ROUNDUP($H43,0),AR$2)-(INDEX(avoidedcosttbl2,ROUNDDOWN($H43,0),AR$2)))))*$O43*1000*'Inputs Yr 2'!AC43,"")</f>
        <v>0</v>
      </c>
      <c r="AS43" s="195">
        <f>IFERROR($CT43*(INDEX(avoidedcosttbl2,$H43,AS$2)+(($H43-ROUNDDOWN($H43,0))*(INDEX(avoidedcosttbl2,ROUNDUP($H43,0),AS$2)-(INDEX(avoidedcosttbl2,ROUNDDOWN($H43,0),AS$2)))))*$O43*1000*'Inputs Yr 2'!AD43,"")</f>
        <v>0</v>
      </c>
      <c r="AT43" s="196">
        <f t="shared" si="33"/>
        <v>0</v>
      </c>
      <c r="AU43" s="197">
        <f>IFERROR($CQ43*((INDEX(avoidedcosttbl2,$H43,AU$2))+(($H43-ROUNDDOWN($H43,0))*((INDEX(avoidedcosttbl2,ROUNDUP($H43,0),AU$2))-(INDEX(avoidedcosttbl2,ROUNDDOWN($H43,0),AU$2)))))*$O43*1000*'Inputs Yr 2'!AA43,"")</f>
        <v>0</v>
      </c>
      <c r="AV43" s="197">
        <f>IFERROR($CR43*((INDEX(avoidedcosttbl2,$H43,AV$2))+(($H43-ROUNDDOWN($H43,0))*((INDEX(avoidedcosttbl2,ROUNDUP($H43,0),AV$2))-(INDEX(avoidedcosttbl2,ROUNDDOWN($H43,0),AV$2)))))*$O43*1000*'Inputs Yr 2'!AB43,"")</f>
        <v>0</v>
      </c>
      <c r="AW43" s="197">
        <f>IFERROR($CS43*((INDEX(avoidedcosttbl2,$H43,AW$2))+(($H43-ROUNDDOWN($H43,0))*((INDEX(avoidedcosttbl2,ROUNDUP($H43,0),AW$2))-(INDEX(avoidedcosttbl2,ROUNDDOWN($H43,0),AW$2)))))*$O43*1000*'Inputs Yr 2'!AC43,"")</f>
        <v>0</v>
      </c>
      <c r="AX43" s="197">
        <f>IFERROR($CT43*((INDEX(avoidedcosttbl2,$H43,AX$2))+(($H43-ROUNDDOWN($H43,0))*((INDEX(avoidedcosttbl2,ROUNDUP($H43,0),AX$2))-(INDEX(avoidedcosttbl2,ROUNDDOWN($H43,0),AX$2)))))*$O43*1000*'Inputs Yr 2'!AD43,"")</f>
        <v>0</v>
      </c>
      <c r="AY43" s="197">
        <f>IFERROR(((INDEX(avoidedcosttbl2,$H43,AY$2))+(($H43-ROUNDDOWN($H43,0))*((INDEX(avoidedcosttbl2,ROUNDUP($H43,0),AY$2))-(INDEX(avoidedcosttbl2,ROUNDDOWN($H43,0),AY$2)))))*$O43*1000*('Inputs Yr 2'!AC43+'Inputs Yr 2'!AD43),"")</f>
        <v>0</v>
      </c>
      <c r="AZ43" s="197">
        <f>IFERROR(((INDEX(avoidedcosttbl2,$H43,AZ$2))+(($H43-ROUNDDOWN($H43,0))*((INDEX(avoidedcosttbl2,ROUNDUP($H43,0),AZ$2))-(INDEX(avoidedcosttbl2,ROUNDDOWN($H43,0),AZ$2)))))*$O43*1000*('Inputs Yr 2'!AA43+'Inputs Yr 2'!AB43),"")</f>
        <v>0</v>
      </c>
      <c r="BA43" s="198">
        <f t="shared" si="34"/>
        <v>0</v>
      </c>
      <c r="BB43" s="198">
        <f t="shared" si="35"/>
        <v>0</v>
      </c>
      <c r="BC43" s="195">
        <f t="shared" si="10"/>
        <v>0</v>
      </c>
      <c r="BD43" s="195">
        <f t="shared" si="11"/>
        <v>0</v>
      </c>
      <c r="BE43" s="195">
        <f t="shared" si="12"/>
        <v>0</v>
      </c>
      <c r="BF43" s="195">
        <f t="shared" si="13"/>
        <v>0</v>
      </c>
      <c r="BG43" s="195">
        <f t="shared" si="14"/>
        <v>0</v>
      </c>
      <c r="BH43" s="196">
        <f t="shared" si="36"/>
        <v>0</v>
      </c>
      <c r="BI43" s="196">
        <f t="shared" si="37"/>
        <v>0</v>
      </c>
      <c r="BJ43" s="195">
        <f>IFERROR($G43*(IF('Inputs Yr 2'!$AJ43=BJ$4,'Inputs Yr 2'!$AK43,IF('Inputs Yr 2'!$AL43=BJ$4,'Inputs Yr 2'!$AM43,IF('Inputs Yr 2'!$AN43=BJ$4,'Inputs Yr 2'!$AO43,0))))*(INDEX(avoidedcosttbl2,$H43,BJ$2)+(($H43-ROUNDDOWN($H43,0))*(INDEX(avoidedcosttbl2,ROUNDUP($H43,0),BJ$2)-(INDEX(avoidedcosttbl2,ROUNDDOWN($H43,0),BJ$2)))))*'Inputs Yr 2'!P43*'Inputs Yr 2'!Q43*'Inputs Yr 2'!U43,"")</f>
        <v>0</v>
      </c>
      <c r="BK43" s="195">
        <f>IFERROR($G43*(IF('Inputs Yr 2'!$AJ43=BK$4,'Inputs Yr 2'!$AK43,IF('Inputs Yr 2'!$AL43=BK$4,'Inputs Yr 2'!$AM43,IF('Inputs Yr 2'!$AN43=BK$4,'Inputs Yr 2'!$AO43,0))))*(INDEX(avoidedcosttbl2,$H43,BK$2)+(($H43-ROUNDDOWN($H43,0))*(INDEX(avoidedcosttbl2,ROUNDUP($H43,0),BK$2)-(INDEX(avoidedcosttbl2,ROUNDDOWN($H43,0),BK$2)))))*'Inputs Yr 2'!P43*'Inputs Yr 2'!Q43*'Inputs Yr 2'!U43,"")</f>
        <v>0</v>
      </c>
      <c r="BL43" s="195">
        <f>IFERROR($G43*(IF('Inputs Yr 2'!$AJ43=BL$4,'Inputs Yr 2'!$AK43,IF('Inputs Yr 2'!$AL43=BL$4,'Inputs Yr 2'!$AM43,IF('Inputs Yr 2'!$AN43=BL$4,'Inputs Yr 2'!$AO43,0))))*(INDEX(avoidedcosttbl2,$H43,BL$2)+(($H43-ROUNDDOWN($H43,0))*(INDEX(avoidedcosttbl2,ROUNDUP($H43,0),BL$2)-(INDEX(avoidedcosttbl2,ROUNDDOWN($H43,0),BL$2)))))*'Inputs Yr 2'!P43*'Inputs Yr 2'!Q43*'Inputs Yr 2'!U43,"")</f>
        <v>3478733.523295023</v>
      </c>
      <c r="BM43" s="195">
        <f>IFERROR($G43*(IF('Inputs Yr 2'!$AJ43=BM$4,'Inputs Yr 2'!$AK43,IF('Inputs Yr 2'!$AL43=BM$4,'Inputs Yr 2'!$AM43,IF('Inputs Yr 2'!$AN43=BM$4,'Inputs Yr 2'!$AO43,0))))*(INDEX(avoidedcosttbl2,$H43,BM$2)+(($H43-ROUNDDOWN($H43,0))*(INDEX(avoidedcosttbl2,ROUNDUP($H43,0),BM$2)-(INDEX(avoidedcosttbl2,ROUNDDOWN($H43,0),BM$2)))))*'Inputs Yr 2'!P43*'Inputs Yr 2'!Q43*'Inputs Yr 2'!U43,"")</f>
        <v>0</v>
      </c>
      <c r="BN43" s="195">
        <f>IFERROR($G43*(IF('Inputs Yr 2'!$AJ43=BN$4,'Inputs Yr 2'!$AK43,IF('Inputs Yr 2'!$AL43=BN$4,'Inputs Yr 2'!$AM43,IF('Inputs Yr 2'!$AN43=BN$4,'Inputs Yr 2'!$AO43,0))))*(INDEX(avoidedcosttbl2,$H43,BN$2)+(($H43-ROUNDDOWN($H43,0))*(INDEX(avoidedcosttbl2,ROUNDUP($H43,0),BN$2)-(INDEX(avoidedcosttbl2,ROUNDDOWN($H43,0),BN$2)))))*'Inputs Yr 2'!P43*'Inputs Yr 2'!Q43*'Inputs Yr 2'!U43,"")</f>
        <v>0</v>
      </c>
      <c r="BO43" s="195">
        <f>IFERROR($G43*(IF('Inputs Yr 2'!$AJ43=BO$4,'Inputs Yr 2'!$AK43,IF('Inputs Yr 2'!$AL43=BO$4,'Inputs Yr 2'!$AM43,IF('Inputs Yr 2'!$AN43=BO$4,'Inputs Yr 2'!$AO43,0))))*(INDEX(avoidedcosttbl2,$H43,BO$2)+(($H43-ROUNDDOWN($H43,0))*(INDEX(avoidedcosttbl2,ROUNDUP($H43,0),BO$2)-(INDEX(avoidedcosttbl2,ROUNDDOWN($H43,0),BO$2)))))*'Inputs Yr 2'!P43*'Inputs Yr 2'!Q43*'Inputs Yr 2'!U43,"")</f>
        <v>0</v>
      </c>
      <c r="BP43" s="195">
        <f>IFERROR($G43*(IF('Inputs Yr 2'!$AJ43=BP$4,'Inputs Yr 2'!$AK43,IF('Inputs Yr 2'!$AL43=BP$4,'Inputs Yr 2'!$AM43,IF('Inputs Yr 2'!$AN43=BP$4,'Inputs Yr 2'!$AO43,0))))*(INDEX(avoidedcosttbl2,$H43,BP$2)+(($H43-ROUNDDOWN($H43,0))*(INDEX(avoidedcosttbl2,ROUNDUP($H43,0),BP$2)-(INDEX(avoidedcosttbl2,ROUNDDOWN($H43,0),BP$2)))))*'Inputs Yr 2'!P43*'Inputs Yr 2'!Q43*'Inputs Yr 2'!U43,"")</f>
        <v>0</v>
      </c>
      <c r="BQ43" s="230">
        <f t="shared" si="38"/>
        <v>3478733.523295023</v>
      </c>
      <c r="BR43" s="197">
        <f t="shared" si="17"/>
        <v>55914.822635769604</v>
      </c>
      <c r="BS43" s="197">
        <f>IFERROR(($G43*IF('Inputs Yr 2'!$AJ43=BM$4,'Inputs Yr 2'!$AK43,IF('Inputs Yr 2'!$AL43=BM$4,'Inputs Yr 2'!$AM43,IF('Inputs Yr 2'!$AN43=BM$4,'Inputs Yr 2'!$AO43,0))))*(INDEX(avoidedcosttbl2,$H43,BS$2)+(($H43-ROUNDDOWN($H43,0))*(INDEX(avoidedcosttbl2,ROUNDUP($H43,0),BS$2)-(INDEX(avoidedcosttbl2,ROUNDDOWN($H43,0),BS$2)))))*'Inputs Yr 2'!P43*'Inputs Yr 2'!Q43*'Inputs Yr 2'!U43,"")</f>
        <v>0</v>
      </c>
      <c r="BT43" s="197">
        <f>IFERROR(($G43*IF('Inputs Yr 2'!$AJ43=BK$4,'Inputs Yr 2'!$AK43,IF('Inputs Yr 2'!$AL43=BK$4,'Inputs Yr 2'!$AM43,IF('Inputs Yr 2'!$AN43=BK$4,'Inputs Yr 2'!$AO43,0))))*(INDEX(avoidedcosttbl2,$H43,BT$2)+(($H43-ROUNDDOWN($H43,0))*(INDEX(avoidedcosttbl2,ROUNDUP($H43,0),BT$2)-(INDEX(avoidedcosttbl2,ROUNDDOWN($H43,0),BT$2)))))*'Inputs Yr 2'!P43*'Inputs Yr 2'!Q43*'Inputs Yr 2'!U43,"")</f>
        <v>0</v>
      </c>
      <c r="BU43" s="197">
        <f>IFERROR(($G43*IF('Inputs Yr 2'!$AJ43=BL$4,'Inputs Yr 2'!$AK43,IF('Inputs Yr 2'!$AL43=BL$4,'Inputs Yr 2'!$AM43,IF('Inputs Yr 2'!$AN43=BL$4,'Inputs Yr 2'!$AO43,0))))*(INDEX(avoidedcosttbl2,$H43,BU$2)+(($H43-ROUNDDOWN($H43,0))*(INDEX(avoidedcosttbl2,ROUNDUP($H43,0),BU$2)-(INDEX(avoidedcosttbl2,ROUNDDOWN($H43,0),BU$2)))))*'Inputs Yr 2'!P43*'Inputs Yr 2'!Q43*'Inputs Yr 2'!U43,"")</f>
        <v>212924.7477542267</v>
      </c>
      <c r="BV43" s="775">
        <f>IFERROR(($G43*IF('Inputs Yr 2'!$AJ43=BJ$4,'Inputs Yr 2'!$AK43,IF('Inputs Yr 2'!$AL43=BJ$4,'Inputs Yr 2'!$AM43,IF('Inputs Yr 2'!$AN43=BJ$4,'Inputs Yr 2'!$AO43,0))))*(INDEX(avoidedcosttbl2,$H43,BV$2)+(($H43-ROUNDDOWN($H43,0))*(INDEX(avoidedcosttbl2,ROUNDUP($H43,0),BV$2)-(INDEX(avoidedcosttbl2,ROUNDDOWN($H43,0),BV$2)))))*'Inputs Yr 2'!P43*'Inputs Yr 2'!Q43*'Inputs Yr 2'!U43,"")</f>
        <v>0</v>
      </c>
      <c r="BW43" s="197">
        <f>IFERROR(($G43*IF('Inputs Yr 2'!$AJ43=BN$4,'Inputs Yr 2'!$AK43,IF('Inputs Yr 2'!$AL43=BN$4,'Inputs Yr 2'!$AM43,IF('Inputs Yr 2'!$AN43=BN$4,'Inputs Yr 2'!$AO43,0))))*(INDEX(avoidedcosttbl2,$H43,BW$2)+(($H43-ROUNDDOWN($H43,0))*(INDEX(avoidedcosttbl2,ROUNDUP($H43,0),BW$2)-(INDEX(avoidedcosttbl2,ROUNDDOWN($H43,0),BW$2)))))*'Inputs Yr 2'!P43*'Inputs Yr 2'!Q43*'Inputs Yr 2'!U43,"")</f>
        <v>0</v>
      </c>
      <c r="BX43" s="197">
        <f>IFERROR(($G43*IF('Inputs Yr 2'!$AJ43=BO$4,'Inputs Yr 2'!$AK43,IF('Inputs Yr 2'!$AL43=BO$4,'Inputs Yr 2'!$AM43,IF('Inputs Yr 2'!$AN43=BO$4,'Inputs Yr 2'!$AO43,0))))*(INDEX(avoidedcosttbl2,$H43,BX$2)+(($H43-ROUNDDOWN($H43,0))*(INDEX(avoidedcosttbl2,ROUNDUP($H43,0),BX$2)-(INDEX(avoidedcosttbl2,ROUNDDOWN($H43,0),BX$2)))))*'Inputs Yr 2'!P43*'Inputs Yr 2'!Q43*'Inputs Yr 2'!U43,"")</f>
        <v>0</v>
      </c>
      <c r="BY43" s="197">
        <f>IFERROR(($G43*IF('Inputs Yr 2'!$AJ43=BP$4,'Inputs Yr 2'!$AK43,IF('Inputs Yr 2'!$AL43=BP$4,'Inputs Yr 2'!$AM43,IF('Inputs Yr 2'!$AN43=BP$4,'Inputs Yr 2'!$AO43,0))))*(INDEX(avoidedcosttbl2,$H43,BY$2)+(($H43-ROUNDDOWN($H43,0))*(INDEX(avoidedcosttbl2,ROUNDUP($H43,0),BY$2)-(INDEX(avoidedcosttbl2,ROUNDDOWN($H43,0),BY$2)))))*'Inputs Yr 2'!P43*'Inputs Yr 2'!Q43*'Inputs Yr 2'!U43,"")</f>
        <v>0</v>
      </c>
      <c r="BZ43" s="193">
        <f t="shared" si="39"/>
        <v>268839.57038999628</v>
      </c>
      <c r="CA43" s="193">
        <f t="shared" si="40"/>
        <v>3747573.0936850193</v>
      </c>
      <c r="CB43" s="195">
        <f>IFERROR(G43*(IF('Inputs Yr 2'!$AJ43=CB$4,'Inputs Yr 2'!$AK43,IF('Inputs Yr 2'!$AL43=CB$4,'Inputs Yr 2'!$AM43,IF('Inputs Yr 2'!$AN43=CB$4,'Inputs Yr 2'!$AO43,0))))*(INDEX(avoidedcosttbl2,$H43,CB$2)+(($H43-ROUNDDOWN($H43,0))*(INDEX(avoidedcosttbl2,ROUNDUP($H43,0),CB$2)-(INDEX(avoidedcosttbl2,ROUNDDOWN($H43,0),CB$2)))))*'Inputs Yr 2'!P43*'Inputs Yr 2'!Q43*'Inputs Yr 2'!U43,"")</f>
        <v>0</v>
      </c>
      <c r="CC43" s="195">
        <f>IFERROR(H43*(IF('Inputs Yr 2'!$AJ43=CC$4,'Inputs Yr 2'!$AK43,IF('Inputs Yr 2'!$AL43=CC$4,'Inputs Yr 2'!$AM43,IF('Inputs Yr 2'!$AN43=CC$4,'Inputs Yr 2'!$AO43,0))))*(INDEX(avoidedcosttbl2,$H43,CC$2)+(($H43-ROUNDDOWN($H43,0))*(INDEX(avoidedcosttbl2,ROUNDUP($H43,0),CC$2)-(INDEX(avoidedcosttbl2,ROUNDDOWN($H43,0),CC$2)))))*'Inputs Yr 2'!Q43*'Inputs Yr 2'!R43*'Inputs Yr 2'!V43,"")</f>
        <v>0</v>
      </c>
      <c r="CD43" s="195">
        <f>IFERROR(I43*(IF('Inputs Yr 2'!$AJ43=CD$4,'Inputs Yr 2'!$AK43,IF('Inputs Yr 2'!$AL43=CD$4,'Inputs Yr 2'!$AM43,IF('Inputs Yr 2'!$AN43=CD$4,'Inputs Yr 2'!$AO43,0))))*(INDEX(avoidedcosttbl2,$H43,CD$2)+(($H43-ROUNDDOWN($H43,0))*(INDEX(avoidedcosttbl2,ROUNDUP($H43,0),CD$2)-(INDEX(avoidedcosttbl2,ROUNDDOWN($H43,0),CD$2)))))*'Inputs Yr 2'!R43*'Inputs Yr 2'!S43*'Inputs Yr 2'!W43,"")</f>
        <v>0</v>
      </c>
      <c r="CE43" s="213">
        <f t="shared" si="41"/>
        <v>0</v>
      </c>
      <c r="CF43" s="213">
        <f t="shared" si="42"/>
        <v>0</v>
      </c>
      <c r="CG43" s="213">
        <f t="shared" si="43"/>
        <v>0</v>
      </c>
      <c r="CH43" s="698">
        <f t="shared" si="44"/>
        <v>3747573.0936850193</v>
      </c>
      <c r="CI43" s="79">
        <f>IFERROR(($G43*'Inputs Yr 2'!$P43*'Inputs Yr 2'!$Q43*(((INDEX(avoidedcosttbl2,$H43,CI$2)+(($H43-ROUNDDOWN($H43,0))*(INDEX(avoidedcosttbl2,ROUNDUP($H43,0),CI$2)-INDEX(avoidedcosttbl2,ROUNDDOWN($H43,0),CI$2))))*'Inputs Yr 2'!AS43))),"")</f>
        <v>1998318.0687519254</v>
      </c>
      <c r="CJ43" s="504">
        <f>IFERROR($G43*'Inputs Yr 2'!AT43*'Inputs Yr 2'!$P43*'Inputs Yr 2'!$Q43/((1+realdiscrt1)^-0.5),"")</f>
        <v>0</v>
      </c>
      <c r="CK43" s="79">
        <f>IFERROR((O43*1000*(((INDEX(avoidedcosttbl2,$H43,CK$2)+(($H43-ROUNDDOWN($H43,0))*(INDEX(avoidedcosttbl2,ROUNDUP($H43,0),CK$2)-INDEX(avoidedcosttbl2,ROUNDDOWN($H43,0),CK$2))))*'Inputs Yr 2'!AU43))),"")</f>
        <v>0</v>
      </c>
      <c r="CL43" s="504">
        <f>IFERROR(O43*1000*'Inputs Yr 2'!AV43/((1+realdiscrt1)^-0.5),"")</f>
        <v>0</v>
      </c>
      <c r="CM43" s="79">
        <f>IFERROR((AB43*'Inputs Yr 2'!AW43*(((INDEX(avoidedcosttbl2,$H43,CM$2)+(($H43-ROUNDDOWN($H43,0))*(INDEX(avoidedcosttbl2,ROUNDUP($H43,0),CM$2)-INDEX(avoidedcosttbl2,ROUNDDOWN($H43,0),CM$2)))))))*10,"")</f>
        <v>0</v>
      </c>
      <c r="CN43" s="504">
        <f>IFERROR(10*AB43*'Inputs Yr 2'!AX43/((1+realdiscrt1)^-0.5),"")</f>
        <v>0</v>
      </c>
      <c r="CO43" s="505">
        <f t="shared" si="45"/>
        <v>1998318.0687519254</v>
      </c>
      <c r="CP43" s="230">
        <f t="shared" si="46"/>
        <v>5745891.1624369444</v>
      </c>
      <c r="CQ43" s="199">
        <f>ROUND(IFERROR(IF(LEFT($A43,1)="C",'Avoided Costs'!$K$13,'Avoided Costs'!$K$12)+1,""),4)</f>
        <v>1.0720000000000001</v>
      </c>
      <c r="CR43" s="199">
        <f>ROUND(IFERROR(IF(LEFT($A43,1)="C",'Avoided Costs'!$L$13,'Avoided Costs'!$L$12)+1,""),4)</f>
        <v>1.04</v>
      </c>
      <c r="CS43" s="199">
        <f>ROUND(IFERROR(IF(LEFT($A43,1)="C",'Avoided Costs'!$M$13,'Avoided Costs'!$M$12)+1,""),4)</f>
        <v>1.0720000000000001</v>
      </c>
      <c r="CT43" s="199">
        <f>ROUND(IFERROR(IF(LEFT($A43,1)="C",'Avoided Costs'!$N$13,'Avoided Costs'!$N$12)+1,""),4)</f>
        <v>1.04</v>
      </c>
      <c r="CU43" s="199">
        <f>ROUND(IFERROR(IF(LEFT($A43,1)="C",'Avoided Costs'!$O$13,'Avoided Costs'!$O$12)+1,""),4)</f>
        <v>1.1120000000000001</v>
      </c>
      <c r="CV43" s="199">
        <f>ROUND(IFERROR(IF(LEFT($A43,1)="C",'Avoided Costs'!$P$13,'Avoided Costs'!$P$12)+1,""),4)</f>
        <v>1.095</v>
      </c>
      <c r="CW43" s="199">
        <f>ROUND(IFERROR(IF(LEFT($A43,1)="C",'Avoided Costs'!$Q$13,'Avoided Costs'!$Q$12)+1,""),4)</f>
        <v>1.1120000000000001</v>
      </c>
      <c r="CX43" s="200">
        <f>ROUND(IFERROR(IF(LEFT($A43,1)="C",'Avoided Costs'!$R$13,'Avoided Costs'!$R$12)+1,""),4)</f>
        <v>1.1120000000000001</v>
      </c>
    </row>
    <row r="44" spans="1:102" ht="12.75" customHeight="1">
      <c r="A44" s="91" t="str">
        <f>IF('Inputs Yr 2'!$B44=0,"",'Inputs Yr 2'!A44)</f>
        <v>A - Residential</v>
      </c>
      <c r="B44" s="91" t="str">
        <f>IF('Inputs Yr 2'!$B44=0,"",'Inputs Yr 2'!B44)</f>
        <v>A1 - Residential Whole House</v>
      </c>
      <c r="C44" s="91" t="str">
        <f>IF('Inputs Yr 2'!$B44=0,"",'Inputs Yr 2'!C44)</f>
        <v>A1c - Residential Home Energy Services - Measures</v>
      </c>
      <c r="D44" s="91" t="str">
        <f>IF('Inputs Yr 2'!$B44=0,"",'Inputs Yr 2'!E44)</f>
        <v>Duct Seal, Gas</v>
      </c>
      <c r="E44" s="93" t="str">
        <f>IF('Inputs Yr 2'!$B44=0,"",'Inputs Yr 2'!F44)</f>
        <v>G16A1c03</v>
      </c>
      <c r="F44" s="93" t="str">
        <f>IF('Inputs Yr 2'!$B44=0,"",'Inputs Yr 2'!G44)</f>
        <v>HVAC</v>
      </c>
      <c r="G44" s="95">
        <f>IF('Inputs Yr 2'!$H44&lt;&gt;0,('Inputs Yr 2'!H44),"")</f>
        <v>52</v>
      </c>
      <c r="H44" s="94">
        <f>IFERROR('Inputs Yr 2'!I44,"")</f>
        <v>20</v>
      </c>
      <c r="I44" s="298">
        <f>IFERROR('Inputs Yr 2'!J44*'Inputs Yr 2'!P44*G44,"")</f>
        <v>16802.440000000002</v>
      </c>
      <c r="J44" s="298">
        <f>IFERROR('Inputs Yr 2'!K44*G44,"")</f>
        <v>16802.440000000002</v>
      </c>
      <c r="K44" s="298">
        <f t="shared" si="23"/>
        <v>0</v>
      </c>
      <c r="L44" s="194">
        <f>IFERROR(('Inputs Yr 2'!W44*G44)/1000,"")</f>
        <v>0</v>
      </c>
      <c r="M44" s="194">
        <f>IFERROR(L44*('Inputs Yr 2'!$Q44*'Inputs Yr 2'!$V44*'Inputs Yr 2'!$R44),"")</f>
        <v>0</v>
      </c>
      <c r="N44" s="194">
        <f t="shared" si="24"/>
        <v>0</v>
      </c>
      <c r="O44" s="194">
        <f>IFERROR(M44*'Inputs Yr 2'!P44,"")</f>
        <v>0</v>
      </c>
      <c r="P44" s="194">
        <f t="shared" si="25"/>
        <v>0</v>
      </c>
      <c r="Q44" s="194">
        <f>IFERROR($P44*'Inputs Yr 2'!AA44,"")</f>
        <v>0</v>
      </c>
      <c r="R44" s="194">
        <f>IFERROR($P44*'Inputs Yr 2'!AB44,"")</f>
        <v>0</v>
      </c>
      <c r="S44" s="194">
        <f>IFERROR($P44*'Inputs Yr 2'!AC44,"")</f>
        <v>0</v>
      </c>
      <c r="T44" s="194">
        <f>IFERROR($P44*'Inputs Yr 2'!AD44,"")</f>
        <v>0</v>
      </c>
      <c r="U44" s="194">
        <f>IFERROR(G44*'Inputs Yr 2'!$AE44*'Inputs Yr 2'!$P44*'Inputs Yr 2'!$Q44,"")</f>
        <v>0</v>
      </c>
      <c r="V44" s="194">
        <f>IFERROR($G44*'Inputs Yr 2'!$AE44*'Inputs Yr 2'!$AG44*'Inputs Yr 2'!Q44*'Inputs Yr 2'!$S44,"")</f>
        <v>0</v>
      </c>
      <c r="W44" s="194">
        <f>IFERROR($G44*'Inputs Yr 2'!$AE44*'Inputs Yr 2'!$AG44*'Inputs Yr 2'!P44*'Inputs Yr 2'!Q44*'Inputs Yr 2'!$S44,"")</f>
        <v>0</v>
      </c>
      <c r="X44" s="194">
        <f>IFERROR($G44*'Inputs Yr 2'!$AE44*'Inputs Yr 2'!$AF44*'Inputs Yr 2'!Q44*'Inputs Yr 2'!$T44,"")</f>
        <v>0</v>
      </c>
      <c r="Y44" s="194">
        <f>IFERROR($G44*'Inputs Yr 2'!$AE44*'Inputs Yr 2'!$AF44*'Inputs Yr 2'!P44*'Inputs Yr 2'!Q44*'Inputs Yr 2'!$T44,"")</f>
        <v>0</v>
      </c>
      <c r="Z44" s="257">
        <f>IFERROR($G44*'Inputs Yr 2'!$Q44*'Inputs Yr 2'!$U44*(IF(IFERROR(SEARCH("NG", 'Inputs Yr 2'!$AJ44),0),'Inputs Yr 2'!$AK44,0)+IF(IFERROR(SEARCH("NG", 'Inputs Yr 2'!$AL44),0),'Inputs Yr 2'!$AM44,0)+IF(IFERROR(SEARCH("NG", 'Inputs Yr 2'!$AN44),0),'Inputs Yr 2'!$AO44,0)),0)</f>
        <v>97.070808</v>
      </c>
      <c r="AA44" s="257">
        <f t="shared" si="26"/>
        <v>1941.41616</v>
      </c>
      <c r="AB44" s="257">
        <f>IFERROR(Z44*'Inputs Yr 2'!$P44,0)</f>
        <v>97.070808</v>
      </c>
      <c r="AC44" s="257">
        <f t="shared" si="27"/>
        <v>1941.41616</v>
      </c>
      <c r="AD44" s="257">
        <f>IFERROR($G44*'Inputs Yr 2'!$Q44*'Inputs Yr 2'!$U44*(IF(IFERROR(SEARCH("Oil", 'Inputs Yr 2'!$AJ44), 0),'Inputs Yr 2'!$AK44,0)+IF(IFERROR(SEARCH("Oil", 'Inputs Yr 2'!$AL44), 0),'Inputs Yr 2'!$AM44,0)+IF(IFERROR(SEARCH("Oil", 'Inputs Yr 2'!$AN44), 0),'Inputs Yr 2'!$AO44,0)),0)</f>
        <v>0</v>
      </c>
      <c r="AE44" s="257">
        <f t="shared" si="28"/>
        <v>0</v>
      </c>
      <c r="AF44" s="257">
        <f>IFERROR(AD44*'Inputs Yr 2'!$P44,0)</f>
        <v>0</v>
      </c>
      <c r="AG44" s="257">
        <f t="shared" si="29"/>
        <v>0</v>
      </c>
      <c r="AH44" s="257">
        <f>IFERROR($G44*'Inputs Yr 2'!$Q44*'Inputs Yr 2'!$U44*(IF('Inputs Yr 2'!$AJ44=CD$4,'Inputs Yr 2'!$AK44,IF('Inputs Yr 2'!$AL44=CD$4,'Inputs Yr 2'!$AM44,IF('Inputs Yr 2'!$AN44=CD$4,'Inputs Yr 2'!$AO44,0)))),0)</f>
        <v>0</v>
      </c>
      <c r="AI44" s="257">
        <f t="shared" si="30"/>
        <v>0</v>
      </c>
      <c r="AJ44" s="257">
        <f>IFERROR(AH44*'Inputs Yr 2'!$P44,0)</f>
        <v>0</v>
      </c>
      <c r="AK44" s="257">
        <f t="shared" si="31"/>
        <v>0</v>
      </c>
      <c r="AL44" s="258">
        <f>IFERROR($G44*'Inputs Yr 2'!$P44*'Inputs Yr 2'!$Q44*'Inputs Yr 2'!AP44,0)</f>
        <v>0</v>
      </c>
      <c r="AM44" s="260">
        <f>IFERROR($G44*'Inputs Yr 2'!$P44*'Inputs Yr 2'!$Q44*'Inputs Yr 2'!AQ44,0)</f>
        <v>0</v>
      </c>
      <c r="AN44" s="258">
        <f>IFERROR($G44*'Inputs Yr 2'!$P44*'Inputs Yr 2'!$Q44*'Inputs Yr 2'!AR44,0)</f>
        <v>0</v>
      </c>
      <c r="AO44" s="257">
        <f t="shared" si="32"/>
        <v>0</v>
      </c>
      <c r="AP44" s="195">
        <f>IFERROR($CQ44*(INDEX(avoidedcosttbl2,$H44,AP$2)+(($H44-ROUNDDOWN($H44,0))*(INDEX(avoidedcosttbl2,ROUNDUP($H44,0),AP$2)-(INDEX(avoidedcosttbl2,ROUNDDOWN($H44,0),AP$2)))))*$O44*1000*'Inputs Yr 2'!AA44,"")</f>
        <v>0</v>
      </c>
      <c r="AQ44" s="195">
        <f>IFERROR($CR44*(INDEX(avoidedcosttbl2,$H44,AQ$2)+(($H44-ROUNDDOWN($H44,0))*(INDEX(avoidedcosttbl2,ROUNDUP($H44,0),AQ$2)-(INDEX(avoidedcosttbl2,ROUNDDOWN($H44,0),AQ$2)))))*$O44*1000*'Inputs Yr 2'!AB44,"")</f>
        <v>0</v>
      </c>
      <c r="AR44" s="195">
        <f>IFERROR($CS44*(INDEX(avoidedcosttbl2,$H44,AR$2)+(($H44-ROUNDDOWN($H44,0))*(INDEX(avoidedcosttbl2,ROUNDUP($H44,0),AR$2)-(INDEX(avoidedcosttbl2,ROUNDDOWN($H44,0),AR$2)))))*$O44*1000*'Inputs Yr 2'!AC44,"")</f>
        <v>0</v>
      </c>
      <c r="AS44" s="195">
        <f>IFERROR($CT44*(INDEX(avoidedcosttbl2,$H44,AS$2)+(($H44-ROUNDDOWN($H44,0))*(INDEX(avoidedcosttbl2,ROUNDUP($H44,0),AS$2)-(INDEX(avoidedcosttbl2,ROUNDDOWN($H44,0),AS$2)))))*$O44*1000*'Inputs Yr 2'!AD44,"")</f>
        <v>0</v>
      </c>
      <c r="AT44" s="196">
        <f t="shared" si="33"/>
        <v>0</v>
      </c>
      <c r="AU44" s="197">
        <f>IFERROR($CQ44*((INDEX(avoidedcosttbl2,$H44,AU$2))+(($H44-ROUNDDOWN($H44,0))*((INDEX(avoidedcosttbl2,ROUNDUP($H44,0),AU$2))-(INDEX(avoidedcosttbl2,ROUNDDOWN($H44,0),AU$2)))))*$O44*1000*'Inputs Yr 2'!AA44,"")</f>
        <v>0</v>
      </c>
      <c r="AV44" s="197">
        <f>IFERROR($CR44*((INDEX(avoidedcosttbl2,$H44,AV$2))+(($H44-ROUNDDOWN($H44,0))*((INDEX(avoidedcosttbl2,ROUNDUP($H44,0),AV$2))-(INDEX(avoidedcosttbl2,ROUNDDOWN($H44,0),AV$2)))))*$O44*1000*'Inputs Yr 2'!AB44,"")</f>
        <v>0</v>
      </c>
      <c r="AW44" s="197">
        <f>IFERROR($CS44*((INDEX(avoidedcosttbl2,$H44,AW$2))+(($H44-ROUNDDOWN($H44,0))*((INDEX(avoidedcosttbl2,ROUNDUP($H44,0),AW$2))-(INDEX(avoidedcosttbl2,ROUNDDOWN($H44,0),AW$2)))))*$O44*1000*'Inputs Yr 2'!AC44,"")</f>
        <v>0</v>
      </c>
      <c r="AX44" s="197">
        <f>IFERROR($CT44*((INDEX(avoidedcosttbl2,$H44,AX$2))+(($H44-ROUNDDOWN($H44,0))*((INDEX(avoidedcosttbl2,ROUNDUP($H44,0),AX$2))-(INDEX(avoidedcosttbl2,ROUNDDOWN($H44,0),AX$2)))))*$O44*1000*'Inputs Yr 2'!AD44,"")</f>
        <v>0</v>
      </c>
      <c r="AY44" s="197">
        <f>IFERROR(((INDEX(avoidedcosttbl2,$H44,AY$2))+(($H44-ROUNDDOWN($H44,0))*((INDEX(avoidedcosttbl2,ROUNDUP($H44,0),AY$2))-(INDEX(avoidedcosttbl2,ROUNDDOWN($H44,0),AY$2)))))*$O44*1000*('Inputs Yr 2'!AC44+'Inputs Yr 2'!AD44),"")</f>
        <v>0</v>
      </c>
      <c r="AZ44" s="197">
        <f>IFERROR(((INDEX(avoidedcosttbl2,$H44,AZ$2))+(($H44-ROUNDDOWN($H44,0))*((INDEX(avoidedcosttbl2,ROUNDUP($H44,0),AZ$2))-(INDEX(avoidedcosttbl2,ROUNDDOWN($H44,0),AZ$2)))))*$O44*1000*('Inputs Yr 2'!AA44+'Inputs Yr 2'!AB44),"")</f>
        <v>0</v>
      </c>
      <c r="BA44" s="198">
        <f t="shared" si="34"/>
        <v>0</v>
      </c>
      <c r="BB44" s="198">
        <f t="shared" si="35"/>
        <v>0</v>
      </c>
      <c r="BC44" s="195">
        <f t="shared" si="10"/>
        <v>0</v>
      </c>
      <c r="BD44" s="195">
        <f t="shared" si="11"/>
        <v>0</v>
      </c>
      <c r="BE44" s="195">
        <f t="shared" si="12"/>
        <v>0</v>
      </c>
      <c r="BF44" s="195">
        <f t="shared" si="13"/>
        <v>0</v>
      </c>
      <c r="BG44" s="195">
        <f t="shared" si="14"/>
        <v>0</v>
      </c>
      <c r="BH44" s="196">
        <f t="shared" si="36"/>
        <v>0</v>
      </c>
      <c r="BI44" s="196">
        <f t="shared" si="37"/>
        <v>0</v>
      </c>
      <c r="BJ44" s="195">
        <f>IFERROR($G44*(IF('Inputs Yr 2'!$AJ44=BJ$4,'Inputs Yr 2'!$AK44,IF('Inputs Yr 2'!$AL44=BJ$4,'Inputs Yr 2'!$AM44,IF('Inputs Yr 2'!$AN44=BJ$4,'Inputs Yr 2'!$AO44,0))))*(INDEX(avoidedcosttbl2,$H44,BJ$2)+(($H44-ROUNDDOWN($H44,0))*(INDEX(avoidedcosttbl2,ROUNDUP($H44,0),BJ$2)-(INDEX(avoidedcosttbl2,ROUNDDOWN($H44,0),BJ$2)))))*'Inputs Yr 2'!P44*'Inputs Yr 2'!Q44*'Inputs Yr 2'!U44,"")</f>
        <v>0</v>
      </c>
      <c r="BK44" s="195">
        <f>IFERROR($G44*(IF('Inputs Yr 2'!$AJ44=BK$4,'Inputs Yr 2'!$AK44,IF('Inputs Yr 2'!$AL44=BK$4,'Inputs Yr 2'!$AM44,IF('Inputs Yr 2'!$AN44=BK$4,'Inputs Yr 2'!$AO44,0))))*(INDEX(avoidedcosttbl2,$H44,BK$2)+(($H44-ROUNDDOWN($H44,0))*(INDEX(avoidedcosttbl2,ROUNDUP($H44,0),BK$2)-(INDEX(avoidedcosttbl2,ROUNDDOWN($H44,0),BK$2)))))*'Inputs Yr 2'!P44*'Inputs Yr 2'!Q44*'Inputs Yr 2'!U44,"")</f>
        <v>0</v>
      </c>
      <c r="BL44" s="195">
        <f>IFERROR($G44*(IF('Inputs Yr 2'!$AJ44=BL$4,'Inputs Yr 2'!$AK44,IF('Inputs Yr 2'!$AL44=BL$4,'Inputs Yr 2'!$AM44,IF('Inputs Yr 2'!$AN44=BL$4,'Inputs Yr 2'!$AO44,0))))*(INDEX(avoidedcosttbl2,$H44,BL$2)+(($H44-ROUNDDOWN($H44,0))*(INDEX(avoidedcosttbl2,ROUNDUP($H44,0),BL$2)-(INDEX(avoidedcosttbl2,ROUNDDOWN($H44,0),BL$2)))))*'Inputs Yr 2'!P44*'Inputs Yr 2'!Q44*'Inputs Yr 2'!U44,"")</f>
        <v>16824.150101712043</v>
      </c>
      <c r="BM44" s="195">
        <f>IFERROR($G44*(IF('Inputs Yr 2'!$AJ44=BM$4,'Inputs Yr 2'!$AK44,IF('Inputs Yr 2'!$AL44=BM$4,'Inputs Yr 2'!$AM44,IF('Inputs Yr 2'!$AN44=BM$4,'Inputs Yr 2'!$AO44,0))))*(INDEX(avoidedcosttbl2,$H44,BM$2)+(($H44-ROUNDDOWN($H44,0))*(INDEX(avoidedcosttbl2,ROUNDUP($H44,0),BM$2)-(INDEX(avoidedcosttbl2,ROUNDDOWN($H44,0),BM$2)))))*'Inputs Yr 2'!P44*'Inputs Yr 2'!Q44*'Inputs Yr 2'!U44,"")</f>
        <v>0</v>
      </c>
      <c r="BN44" s="195">
        <f>IFERROR($G44*(IF('Inputs Yr 2'!$AJ44=BN$4,'Inputs Yr 2'!$AK44,IF('Inputs Yr 2'!$AL44=BN$4,'Inputs Yr 2'!$AM44,IF('Inputs Yr 2'!$AN44=BN$4,'Inputs Yr 2'!$AO44,0))))*(INDEX(avoidedcosttbl2,$H44,BN$2)+(($H44-ROUNDDOWN($H44,0))*(INDEX(avoidedcosttbl2,ROUNDUP($H44,0),BN$2)-(INDEX(avoidedcosttbl2,ROUNDDOWN($H44,0),BN$2)))))*'Inputs Yr 2'!P44*'Inputs Yr 2'!Q44*'Inputs Yr 2'!U44,"")</f>
        <v>0</v>
      </c>
      <c r="BO44" s="195">
        <f>IFERROR($G44*(IF('Inputs Yr 2'!$AJ44=BO$4,'Inputs Yr 2'!$AK44,IF('Inputs Yr 2'!$AL44=BO$4,'Inputs Yr 2'!$AM44,IF('Inputs Yr 2'!$AN44=BO$4,'Inputs Yr 2'!$AO44,0))))*(INDEX(avoidedcosttbl2,$H44,BO$2)+(($H44-ROUNDDOWN($H44,0))*(INDEX(avoidedcosttbl2,ROUNDUP($H44,0),BO$2)-(INDEX(avoidedcosttbl2,ROUNDDOWN($H44,0),BO$2)))))*'Inputs Yr 2'!P44*'Inputs Yr 2'!Q44*'Inputs Yr 2'!U44,"")</f>
        <v>0</v>
      </c>
      <c r="BP44" s="195">
        <f>IFERROR($G44*(IF('Inputs Yr 2'!$AJ44=BP$4,'Inputs Yr 2'!$AK44,IF('Inputs Yr 2'!$AL44=BP$4,'Inputs Yr 2'!$AM44,IF('Inputs Yr 2'!$AN44=BP$4,'Inputs Yr 2'!$AO44,0))))*(INDEX(avoidedcosttbl2,$H44,BP$2)+(($H44-ROUNDDOWN($H44,0))*(INDEX(avoidedcosttbl2,ROUNDUP($H44,0),BP$2)-(INDEX(avoidedcosttbl2,ROUNDDOWN($H44,0),BP$2)))))*'Inputs Yr 2'!P44*'Inputs Yr 2'!Q44*'Inputs Yr 2'!U44,"")</f>
        <v>0</v>
      </c>
      <c r="BQ44" s="230">
        <f t="shared" si="38"/>
        <v>16824.150101712043</v>
      </c>
      <c r="BR44" s="197">
        <f t="shared" si="17"/>
        <v>260.30739017042077</v>
      </c>
      <c r="BS44" s="197">
        <f>IFERROR(($G44*IF('Inputs Yr 2'!$AJ44=BM$4,'Inputs Yr 2'!$AK44,IF('Inputs Yr 2'!$AL44=BM$4,'Inputs Yr 2'!$AM44,IF('Inputs Yr 2'!$AN44=BM$4,'Inputs Yr 2'!$AO44,0))))*(INDEX(avoidedcosttbl2,$H44,BS$2)+(($H44-ROUNDDOWN($H44,0))*(INDEX(avoidedcosttbl2,ROUNDUP($H44,0),BS$2)-(INDEX(avoidedcosttbl2,ROUNDDOWN($H44,0),BS$2)))))*'Inputs Yr 2'!P44*'Inputs Yr 2'!Q44*'Inputs Yr 2'!U44,"")</f>
        <v>0</v>
      </c>
      <c r="BT44" s="197">
        <f>IFERROR(($G44*IF('Inputs Yr 2'!$AJ44=BK$4,'Inputs Yr 2'!$AK44,IF('Inputs Yr 2'!$AL44=BK$4,'Inputs Yr 2'!$AM44,IF('Inputs Yr 2'!$AN44=BK$4,'Inputs Yr 2'!$AO44,0))))*(INDEX(avoidedcosttbl2,$H44,BT$2)+(($H44-ROUNDDOWN($H44,0))*(INDEX(avoidedcosttbl2,ROUNDUP($H44,0),BT$2)-(INDEX(avoidedcosttbl2,ROUNDDOWN($H44,0),BT$2)))))*'Inputs Yr 2'!P44*'Inputs Yr 2'!Q44*'Inputs Yr 2'!U44,"")</f>
        <v>0</v>
      </c>
      <c r="BU44" s="197">
        <f>IFERROR(($G44*IF('Inputs Yr 2'!$AJ44=BL$4,'Inputs Yr 2'!$AK44,IF('Inputs Yr 2'!$AL44=BL$4,'Inputs Yr 2'!$AM44,IF('Inputs Yr 2'!$AN44=BL$4,'Inputs Yr 2'!$AO44,0))))*(INDEX(avoidedcosttbl2,$H44,BU$2)+(($H44-ROUNDDOWN($H44,0))*(INDEX(avoidedcosttbl2,ROUNDUP($H44,0),BU$2)-(INDEX(avoidedcosttbl2,ROUNDDOWN($H44,0),BU$2)))))*'Inputs Yr 2'!P44*'Inputs Yr 2'!Q44*'Inputs Yr 2'!U44,"")</f>
        <v>790.16207735088392</v>
      </c>
      <c r="BV44" s="775">
        <f>IFERROR(($G44*IF('Inputs Yr 2'!$AJ44=BJ$4,'Inputs Yr 2'!$AK44,IF('Inputs Yr 2'!$AL44=BJ$4,'Inputs Yr 2'!$AM44,IF('Inputs Yr 2'!$AN44=BJ$4,'Inputs Yr 2'!$AO44,0))))*(INDEX(avoidedcosttbl2,$H44,BV$2)+(($H44-ROUNDDOWN($H44,0))*(INDEX(avoidedcosttbl2,ROUNDUP($H44,0),BV$2)-(INDEX(avoidedcosttbl2,ROUNDDOWN($H44,0),BV$2)))))*'Inputs Yr 2'!P44*'Inputs Yr 2'!Q44*'Inputs Yr 2'!U44,"")</f>
        <v>0</v>
      </c>
      <c r="BW44" s="197">
        <f>IFERROR(($G44*IF('Inputs Yr 2'!$AJ44=BN$4,'Inputs Yr 2'!$AK44,IF('Inputs Yr 2'!$AL44=BN$4,'Inputs Yr 2'!$AM44,IF('Inputs Yr 2'!$AN44=BN$4,'Inputs Yr 2'!$AO44,0))))*(INDEX(avoidedcosttbl2,$H44,BW$2)+(($H44-ROUNDDOWN($H44,0))*(INDEX(avoidedcosttbl2,ROUNDUP($H44,0),BW$2)-(INDEX(avoidedcosttbl2,ROUNDDOWN($H44,0),BW$2)))))*'Inputs Yr 2'!P44*'Inputs Yr 2'!Q44*'Inputs Yr 2'!U44,"")</f>
        <v>0</v>
      </c>
      <c r="BX44" s="197">
        <f>IFERROR(($G44*IF('Inputs Yr 2'!$AJ44=BO$4,'Inputs Yr 2'!$AK44,IF('Inputs Yr 2'!$AL44=BO$4,'Inputs Yr 2'!$AM44,IF('Inputs Yr 2'!$AN44=BO$4,'Inputs Yr 2'!$AO44,0))))*(INDEX(avoidedcosttbl2,$H44,BX$2)+(($H44-ROUNDDOWN($H44,0))*(INDEX(avoidedcosttbl2,ROUNDUP($H44,0),BX$2)-(INDEX(avoidedcosttbl2,ROUNDDOWN($H44,0),BX$2)))))*'Inputs Yr 2'!P44*'Inputs Yr 2'!Q44*'Inputs Yr 2'!U44,"")</f>
        <v>0</v>
      </c>
      <c r="BY44" s="197">
        <f>IFERROR(($G44*IF('Inputs Yr 2'!$AJ44=BP$4,'Inputs Yr 2'!$AK44,IF('Inputs Yr 2'!$AL44=BP$4,'Inputs Yr 2'!$AM44,IF('Inputs Yr 2'!$AN44=BP$4,'Inputs Yr 2'!$AO44,0))))*(INDEX(avoidedcosttbl2,$H44,BY$2)+(($H44-ROUNDDOWN($H44,0))*(INDEX(avoidedcosttbl2,ROUNDUP($H44,0),BY$2)-(INDEX(avoidedcosttbl2,ROUNDDOWN($H44,0),BY$2)))))*'Inputs Yr 2'!P44*'Inputs Yr 2'!Q44*'Inputs Yr 2'!U44,"")</f>
        <v>0</v>
      </c>
      <c r="BZ44" s="193">
        <f t="shared" si="39"/>
        <v>1050.4694675213048</v>
      </c>
      <c r="CA44" s="193">
        <f t="shared" si="40"/>
        <v>17874.619569233346</v>
      </c>
      <c r="CB44" s="195">
        <f>IFERROR(G44*(IF('Inputs Yr 2'!$AJ44=CB$4,'Inputs Yr 2'!$AK44,IF('Inputs Yr 2'!$AL44=CB$4,'Inputs Yr 2'!$AM44,IF('Inputs Yr 2'!$AN44=CB$4,'Inputs Yr 2'!$AO44,0))))*(INDEX(avoidedcosttbl2,$H44,CB$2)+(($H44-ROUNDDOWN($H44,0))*(INDEX(avoidedcosttbl2,ROUNDUP($H44,0),CB$2)-(INDEX(avoidedcosttbl2,ROUNDDOWN($H44,0),CB$2)))))*'Inputs Yr 2'!P44*'Inputs Yr 2'!Q44*'Inputs Yr 2'!U44,"")</f>
        <v>0</v>
      </c>
      <c r="CC44" s="195">
        <f>IFERROR(H44*(IF('Inputs Yr 2'!$AJ44=CC$4,'Inputs Yr 2'!$AK44,IF('Inputs Yr 2'!$AL44=CC$4,'Inputs Yr 2'!$AM44,IF('Inputs Yr 2'!$AN44=CC$4,'Inputs Yr 2'!$AO44,0))))*(INDEX(avoidedcosttbl2,$H44,CC$2)+(($H44-ROUNDDOWN($H44,0))*(INDEX(avoidedcosttbl2,ROUNDUP($H44,0),CC$2)-(INDEX(avoidedcosttbl2,ROUNDDOWN($H44,0),CC$2)))))*'Inputs Yr 2'!Q44*'Inputs Yr 2'!R44*'Inputs Yr 2'!V44,"")</f>
        <v>0</v>
      </c>
      <c r="CD44" s="195">
        <f>IFERROR(I44*(IF('Inputs Yr 2'!$AJ44=CD$4,'Inputs Yr 2'!$AK44,IF('Inputs Yr 2'!$AL44=CD$4,'Inputs Yr 2'!$AM44,IF('Inputs Yr 2'!$AN44=CD$4,'Inputs Yr 2'!$AO44,0))))*(INDEX(avoidedcosttbl2,$H44,CD$2)+(($H44-ROUNDDOWN($H44,0))*(INDEX(avoidedcosttbl2,ROUNDUP($H44,0),CD$2)-(INDEX(avoidedcosttbl2,ROUNDDOWN($H44,0),CD$2)))))*'Inputs Yr 2'!R44*'Inputs Yr 2'!S44*'Inputs Yr 2'!W44,"")</f>
        <v>0</v>
      </c>
      <c r="CE44" s="213">
        <f t="shared" si="41"/>
        <v>0</v>
      </c>
      <c r="CF44" s="213">
        <f t="shared" si="42"/>
        <v>0</v>
      </c>
      <c r="CG44" s="213">
        <f t="shared" si="43"/>
        <v>0</v>
      </c>
      <c r="CH44" s="698">
        <f t="shared" si="44"/>
        <v>17874.619569233346</v>
      </c>
      <c r="CI44" s="79">
        <f>IFERROR(($G44*'Inputs Yr 2'!$P44*'Inputs Yr 2'!$Q44*(((INDEX(avoidedcosttbl2,$H44,CI$2)+(($H44-ROUNDDOWN($H44,0))*(INDEX(avoidedcosttbl2,ROUNDUP($H44,0),CI$2)-INDEX(avoidedcosttbl2,ROUNDDOWN($H44,0),CI$2))))*'Inputs Yr 2'!AS44))),"")</f>
        <v>228.99884684512134</v>
      </c>
      <c r="CJ44" s="504">
        <f>IFERROR($G44*'Inputs Yr 2'!AT44*'Inputs Yr 2'!$P44*'Inputs Yr 2'!$Q44/((1+realdiscrt1)^-0.5),"")</f>
        <v>0</v>
      </c>
      <c r="CK44" s="79">
        <f>IFERROR((O44*1000*(((INDEX(avoidedcosttbl2,$H44,CK$2)+(($H44-ROUNDDOWN($H44,0))*(INDEX(avoidedcosttbl2,ROUNDUP($H44,0),CK$2)-INDEX(avoidedcosttbl2,ROUNDDOWN($H44,0),CK$2))))*'Inputs Yr 2'!AU44))),"")</f>
        <v>0</v>
      </c>
      <c r="CL44" s="504">
        <f>IFERROR(O44*1000*'Inputs Yr 2'!AV44/((1+realdiscrt1)^-0.5),"")</f>
        <v>0</v>
      </c>
      <c r="CM44" s="79">
        <f>IFERROR((AB44*'Inputs Yr 2'!AW44*(((INDEX(avoidedcosttbl2,$H44,CM$2)+(($H44-ROUNDDOWN($H44,0))*(INDEX(avoidedcosttbl2,ROUNDUP($H44,0),CM$2)-INDEX(avoidedcosttbl2,ROUNDDOWN($H44,0),CM$2)))))))*10,"")</f>
        <v>0</v>
      </c>
      <c r="CN44" s="504">
        <f>IFERROR(10*AB44*'Inputs Yr 2'!AX44/((1+realdiscrt1)^-0.5),"")</f>
        <v>0</v>
      </c>
      <c r="CO44" s="505">
        <f t="shared" si="45"/>
        <v>228.99884684512134</v>
      </c>
      <c r="CP44" s="230">
        <f t="shared" si="46"/>
        <v>18103.618416078469</v>
      </c>
      <c r="CQ44" s="199">
        <f>ROUND(IFERROR(IF(LEFT($A44,1)="C",'Avoided Costs'!$K$13,'Avoided Costs'!$K$12)+1,""),4)</f>
        <v>1.0720000000000001</v>
      </c>
      <c r="CR44" s="199">
        <f>ROUND(IFERROR(IF(LEFT($A44,1)="C",'Avoided Costs'!$L$13,'Avoided Costs'!$L$12)+1,""),4)</f>
        <v>1.04</v>
      </c>
      <c r="CS44" s="199">
        <f>ROUND(IFERROR(IF(LEFT($A44,1)="C",'Avoided Costs'!$M$13,'Avoided Costs'!$M$12)+1,""),4)</f>
        <v>1.0720000000000001</v>
      </c>
      <c r="CT44" s="199">
        <f>ROUND(IFERROR(IF(LEFT($A44,1)="C",'Avoided Costs'!$N$13,'Avoided Costs'!$N$12)+1,""),4)</f>
        <v>1.04</v>
      </c>
      <c r="CU44" s="199">
        <f>ROUND(IFERROR(IF(LEFT($A44,1)="C",'Avoided Costs'!$O$13,'Avoided Costs'!$O$12)+1,""),4)</f>
        <v>1.1120000000000001</v>
      </c>
      <c r="CV44" s="199">
        <f>ROUND(IFERROR(IF(LEFT($A44,1)="C",'Avoided Costs'!$P$13,'Avoided Costs'!$P$12)+1,""),4)</f>
        <v>1.095</v>
      </c>
      <c r="CW44" s="199">
        <f>ROUND(IFERROR(IF(LEFT($A44,1)="C",'Avoided Costs'!$Q$13,'Avoided Costs'!$Q$12)+1,""),4)</f>
        <v>1.1120000000000001</v>
      </c>
      <c r="CX44" s="200">
        <f>ROUND(IFERROR(IF(LEFT($A44,1)="C",'Avoided Costs'!$R$13,'Avoided Costs'!$R$12)+1,""),4)</f>
        <v>1.1120000000000001</v>
      </c>
    </row>
    <row r="45" spans="1:102" ht="12.75" customHeight="1">
      <c r="A45" s="91" t="str">
        <f>IF('Inputs Yr 2'!$B45=0,"",'Inputs Yr 2'!A45)</f>
        <v>A - Residential</v>
      </c>
      <c r="B45" s="91" t="str">
        <f>IF('Inputs Yr 2'!$B45=0,"",'Inputs Yr 2'!B45)</f>
        <v>A1 - Residential Whole House</v>
      </c>
      <c r="C45" s="91" t="str">
        <f>IF('Inputs Yr 2'!$B45=0,"",'Inputs Yr 2'!C45)</f>
        <v>A1c - Residential Home Energy Services - Measures</v>
      </c>
      <c r="D45" s="91" t="str">
        <f>IF('Inputs Yr 2'!$B45=0,"",'Inputs Yr 2'!E45)</f>
        <v>Duct Insulation, Gas</v>
      </c>
      <c r="E45" s="93" t="str">
        <f>IF('Inputs Yr 2'!$B45=0,"",'Inputs Yr 2'!F45)</f>
        <v>G16A1c04</v>
      </c>
      <c r="F45" s="93" t="str">
        <f>IF('Inputs Yr 2'!$B45=0,"",'Inputs Yr 2'!G45)</f>
        <v>HVAC</v>
      </c>
      <c r="G45" s="95">
        <f>IF('Inputs Yr 2'!$H45&lt;&gt;0,('Inputs Yr 2'!H45),"")</f>
        <v>13</v>
      </c>
      <c r="H45" s="94">
        <f>IFERROR('Inputs Yr 2'!I45,"")</f>
        <v>20</v>
      </c>
      <c r="I45" s="298">
        <f>IFERROR('Inputs Yr 2'!J45*'Inputs Yr 2'!P45*G45,"")</f>
        <v>5386.69</v>
      </c>
      <c r="J45" s="298">
        <f>IFERROR('Inputs Yr 2'!K45*G45,"")</f>
        <v>5386.69</v>
      </c>
      <c r="K45" s="298">
        <f t="shared" si="23"/>
        <v>0</v>
      </c>
      <c r="L45" s="194">
        <f>IFERROR(('Inputs Yr 2'!W45*G45)/1000,"")</f>
        <v>0</v>
      </c>
      <c r="M45" s="194">
        <f>IFERROR(L45*('Inputs Yr 2'!$Q45*'Inputs Yr 2'!$V45*'Inputs Yr 2'!$R45),"")</f>
        <v>0</v>
      </c>
      <c r="N45" s="194">
        <f t="shared" si="24"/>
        <v>0</v>
      </c>
      <c r="O45" s="194">
        <f>IFERROR(M45*'Inputs Yr 2'!P45,"")</f>
        <v>0</v>
      </c>
      <c r="P45" s="194">
        <f t="shared" si="25"/>
        <v>0</v>
      </c>
      <c r="Q45" s="194">
        <f>IFERROR($P45*'Inputs Yr 2'!AA45,"")</f>
        <v>0</v>
      </c>
      <c r="R45" s="194">
        <f>IFERROR($P45*'Inputs Yr 2'!AB45,"")</f>
        <v>0</v>
      </c>
      <c r="S45" s="194">
        <f>IFERROR($P45*'Inputs Yr 2'!AC45,"")</f>
        <v>0</v>
      </c>
      <c r="T45" s="194">
        <f>IFERROR($P45*'Inputs Yr 2'!AD45,"")</f>
        <v>0</v>
      </c>
      <c r="U45" s="194">
        <f>IFERROR(G45*'Inputs Yr 2'!$AE45*'Inputs Yr 2'!$P45*'Inputs Yr 2'!$Q45,"")</f>
        <v>0</v>
      </c>
      <c r="V45" s="194">
        <f>IFERROR($G45*'Inputs Yr 2'!$AE45*'Inputs Yr 2'!$AG45*'Inputs Yr 2'!Q45*'Inputs Yr 2'!$S45,"")</f>
        <v>0</v>
      </c>
      <c r="W45" s="194">
        <f>IFERROR($G45*'Inputs Yr 2'!$AE45*'Inputs Yr 2'!$AG45*'Inputs Yr 2'!P45*'Inputs Yr 2'!Q45*'Inputs Yr 2'!$S45,"")</f>
        <v>0</v>
      </c>
      <c r="X45" s="194">
        <f>IFERROR($G45*'Inputs Yr 2'!$AE45*'Inputs Yr 2'!$AF45*'Inputs Yr 2'!Q45*'Inputs Yr 2'!$T45,"")</f>
        <v>0</v>
      </c>
      <c r="Y45" s="194">
        <f>IFERROR($G45*'Inputs Yr 2'!$AE45*'Inputs Yr 2'!$AF45*'Inputs Yr 2'!P45*'Inputs Yr 2'!Q45*'Inputs Yr 2'!$T45,"")</f>
        <v>0</v>
      </c>
      <c r="Z45" s="257">
        <f>IFERROR($G45*'Inputs Yr 2'!$Q45*'Inputs Yr 2'!$U45*(IF(IFERROR(SEARCH("NG", 'Inputs Yr 2'!$AJ45),0),'Inputs Yr 2'!$AK45,0)+IF(IFERROR(SEARCH("NG", 'Inputs Yr 2'!$AL45),0),'Inputs Yr 2'!$AM45,0)+IF(IFERROR(SEARCH("NG", 'Inputs Yr 2'!$AN45),0),'Inputs Yr 2'!$AO45,0)),0)</f>
        <v>49.999999999999993</v>
      </c>
      <c r="AA45" s="257">
        <f t="shared" si="26"/>
        <v>999.99999999999989</v>
      </c>
      <c r="AB45" s="257">
        <f>IFERROR(Z45*'Inputs Yr 2'!$P45,0)</f>
        <v>49.999999999999993</v>
      </c>
      <c r="AC45" s="257">
        <f t="shared" si="27"/>
        <v>999.99999999999989</v>
      </c>
      <c r="AD45" s="257">
        <f>IFERROR($G45*'Inputs Yr 2'!$Q45*'Inputs Yr 2'!$U45*(IF(IFERROR(SEARCH("Oil", 'Inputs Yr 2'!$AJ45), 0),'Inputs Yr 2'!$AK45,0)+IF(IFERROR(SEARCH("Oil", 'Inputs Yr 2'!$AL45), 0),'Inputs Yr 2'!$AM45,0)+IF(IFERROR(SEARCH("Oil", 'Inputs Yr 2'!$AN45), 0),'Inputs Yr 2'!$AO45,0)),0)</f>
        <v>0</v>
      </c>
      <c r="AE45" s="257">
        <f t="shared" si="28"/>
        <v>0</v>
      </c>
      <c r="AF45" s="257">
        <f>IFERROR(AD45*'Inputs Yr 2'!$P45,0)</f>
        <v>0</v>
      </c>
      <c r="AG45" s="257">
        <f t="shared" si="29"/>
        <v>0</v>
      </c>
      <c r="AH45" s="257">
        <f>IFERROR($G45*'Inputs Yr 2'!$Q45*'Inputs Yr 2'!$U45*(IF('Inputs Yr 2'!$AJ45=CD$4,'Inputs Yr 2'!$AK45,IF('Inputs Yr 2'!$AL45=CD$4,'Inputs Yr 2'!$AM45,IF('Inputs Yr 2'!$AN45=CD$4,'Inputs Yr 2'!$AO45,0)))),0)</f>
        <v>0</v>
      </c>
      <c r="AI45" s="257">
        <f t="shared" si="30"/>
        <v>0</v>
      </c>
      <c r="AJ45" s="257">
        <f>IFERROR(AH45*'Inputs Yr 2'!$P45,0)</f>
        <v>0</v>
      </c>
      <c r="AK45" s="257">
        <f t="shared" si="31"/>
        <v>0</v>
      </c>
      <c r="AL45" s="258">
        <f>IFERROR($G45*'Inputs Yr 2'!$P45*'Inputs Yr 2'!$Q45*'Inputs Yr 2'!AP45,0)</f>
        <v>0</v>
      </c>
      <c r="AM45" s="260">
        <f>IFERROR($G45*'Inputs Yr 2'!$P45*'Inputs Yr 2'!$Q45*'Inputs Yr 2'!AQ45,0)</f>
        <v>0</v>
      </c>
      <c r="AN45" s="258">
        <f>IFERROR($G45*'Inputs Yr 2'!$P45*'Inputs Yr 2'!$Q45*'Inputs Yr 2'!AR45,0)</f>
        <v>0</v>
      </c>
      <c r="AO45" s="257">
        <f t="shared" si="32"/>
        <v>0</v>
      </c>
      <c r="AP45" s="195">
        <f>IFERROR($CQ45*(INDEX(avoidedcosttbl2,$H45,AP$2)+(($H45-ROUNDDOWN($H45,0))*(INDEX(avoidedcosttbl2,ROUNDUP($H45,0),AP$2)-(INDEX(avoidedcosttbl2,ROUNDDOWN($H45,0),AP$2)))))*$O45*1000*'Inputs Yr 2'!AA45,"")</f>
        <v>0</v>
      </c>
      <c r="AQ45" s="195">
        <f>IFERROR($CR45*(INDEX(avoidedcosttbl2,$H45,AQ$2)+(($H45-ROUNDDOWN($H45,0))*(INDEX(avoidedcosttbl2,ROUNDUP($H45,0),AQ$2)-(INDEX(avoidedcosttbl2,ROUNDDOWN($H45,0),AQ$2)))))*$O45*1000*'Inputs Yr 2'!AB45,"")</f>
        <v>0</v>
      </c>
      <c r="AR45" s="195">
        <f>IFERROR($CS45*(INDEX(avoidedcosttbl2,$H45,AR$2)+(($H45-ROUNDDOWN($H45,0))*(INDEX(avoidedcosttbl2,ROUNDUP($H45,0),AR$2)-(INDEX(avoidedcosttbl2,ROUNDDOWN($H45,0),AR$2)))))*$O45*1000*'Inputs Yr 2'!AC45,"")</f>
        <v>0</v>
      </c>
      <c r="AS45" s="195">
        <f>IFERROR($CT45*(INDEX(avoidedcosttbl2,$H45,AS$2)+(($H45-ROUNDDOWN($H45,0))*(INDEX(avoidedcosttbl2,ROUNDUP($H45,0),AS$2)-(INDEX(avoidedcosttbl2,ROUNDDOWN($H45,0),AS$2)))))*$O45*1000*'Inputs Yr 2'!AD45,"")</f>
        <v>0</v>
      </c>
      <c r="AT45" s="196">
        <f t="shared" si="33"/>
        <v>0</v>
      </c>
      <c r="AU45" s="197">
        <f>IFERROR($CQ45*((INDEX(avoidedcosttbl2,$H45,AU$2))+(($H45-ROUNDDOWN($H45,0))*((INDEX(avoidedcosttbl2,ROUNDUP($H45,0),AU$2))-(INDEX(avoidedcosttbl2,ROUNDDOWN($H45,0),AU$2)))))*$O45*1000*'Inputs Yr 2'!AA45,"")</f>
        <v>0</v>
      </c>
      <c r="AV45" s="197">
        <f>IFERROR($CR45*((INDEX(avoidedcosttbl2,$H45,AV$2))+(($H45-ROUNDDOWN($H45,0))*((INDEX(avoidedcosttbl2,ROUNDUP($H45,0),AV$2))-(INDEX(avoidedcosttbl2,ROUNDDOWN($H45,0),AV$2)))))*$O45*1000*'Inputs Yr 2'!AB45,"")</f>
        <v>0</v>
      </c>
      <c r="AW45" s="197">
        <f>IFERROR($CS45*((INDEX(avoidedcosttbl2,$H45,AW$2))+(($H45-ROUNDDOWN($H45,0))*((INDEX(avoidedcosttbl2,ROUNDUP($H45,0),AW$2))-(INDEX(avoidedcosttbl2,ROUNDDOWN($H45,0),AW$2)))))*$O45*1000*'Inputs Yr 2'!AC45,"")</f>
        <v>0</v>
      </c>
      <c r="AX45" s="197">
        <f>IFERROR($CT45*((INDEX(avoidedcosttbl2,$H45,AX$2))+(($H45-ROUNDDOWN($H45,0))*((INDEX(avoidedcosttbl2,ROUNDUP($H45,0),AX$2))-(INDEX(avoidedcosttbl2,ROUNDDOWN($H45,0),AX$2)))))*$O45*1000*'Inputs Yr 2'!AD45,"")</f>
        <v>0</v>
      </c>
      <c r="AY45" s="197">
        <f>IFERROR(((INDEX(avoidedcosttbl2,$H45,AY$2))+(($H45-ROUNDDOWN($H45,0))*((INDEX(avoidedcosttbl2,ROUNDUP($H45,0),AY$2))-(INDEX(avoidedcosttbl2,ROUNDDOWN($H45,0),AY$2)))))*$O45*1000*('Inputs Yr 2'!AC45+'Inputs Yr 2'!AD45),"")</f>
        <v>0</v>
      </c>
      <c r="AZ45" s="197">
        <f>IFERROR(((INDEX(avoidedcosttbl2,$H45,AZ$2))+(($H45-ROUNDDOWN($H45,0))*((INDEX(avoidedcosttbl2,ROUNDUP($H45,0),AZ$2))-(INDEX(avoidedcosttbl2,ROUNDDOWN($H45,0),AZ$2)))))*$O45*1000*('Inputs Yr 2'!AA45+'Inputs Yr 2'!AB45),"")</f>
        <v>0</v>
      </c>
      <c r="BA45" s="198">
        <f t="shared" si="34"/>
        <v>0</v>
      </c>
      <c r="BB45" s="198">
        <f t="shared" si="35"/>
        <v>0</v>
      </c>
      <c r="BC45" s="195">
        <f t="shared" si="10"/>
        <v>0</v>
      </c>
      <c r="BD45" s="195">
        <f t="shared" si="11"/>
        <v>0</v>
      </c>
      <c r="BE45" s="195">
        <f t="shared" si="12"/>
        <v>0</v>
      </c>
      <c r="BF45" s="195">
        <f t="shared" si="13"/>
        <v>0</v>
      </c>
      <c r="BG45" s="195">
        <f t="shared" si="14"/>
        <v>0</v>
      </c>
      <c r="BH45" s="196">
        <f t="shared" si="36"/>
        <v>0</v>
      </c>
      <c r="BI45" s="196">
        <f t="shared" si="37"/>
        <v>0</v>
      </c>
      <c r="BJ45" s="195">
        <f>IFERROR($G45*(IF('Inputs Yr 2'!$AJ45=BJ$4,'Inputs Yr 2'!$AK45,IF('Inputs Yr 2'!$AL45=BJ$4,'Inputs Yr 2'!$AM45,IF('Inputs Yr 2'!$AN45=BJ$4,'Inputs Yr 2'!$AO45,0))))*(INDEX(avoidedcosttbl2,$H45,BJ$2)+(($H45-ROUNDDOWN($H45,0))*(INDEX(avoidedcosttbl2,ROUNDUP($H45,0),BJ$2)-(INDEX(avoidedcosttbl2,ROUNDDOWN($H45,0),BJ$2)))))*'Inputs Yr 2'!P45*'Inputs Yr 2'!Q45*'Inputs Yr 2'!U45,"")</f>
        <v>0</v>
      </c>
      <c r="BK45" s="195">
        <f>IFERROR($G45*(IF('Inputs Yr 2'!$AJ45=BK$4,'Inputs Yr 2'!$AK45,IF('Inputs Yr 2'!$AL45=BK$4,'Inputs Yr 2'!$AM45,IF('Inputs Yr 2'!$AN45=BK$4,'Inputs Yr 2'!$AO45,0))))*(INDEX(avoidedcosttbl2,$H45,BK$2)+(($H45-ROUNDDOWN($H45,0))*(INDEX(avoidedcosttbl2,ROUNDUP($H45,0),BK$2)-(INDEX(avoidedcosttbl2,ROUNDDOWN($H45,0),BK$2)))))*'Inputs Yr 2'!P45*'Inputs Yr 2'!Q45*'Inputs Yr 2'!U45,"")</f>
        <v>0</v>
      </c>
      <c r="BL45" s="195">
        <f>IFERROR($G45*(IF('Inputs Yr 2'!$AJ45=BL$4,'Inputs Yr 2'!$AK45,IF('Inputs Yr 2'!$AL45=BL$4,'Inputs Yr 2'!$AM45,IF('Inputs Yr 2'!$AN45=BL$4,'Inputs Yr 2'!$AO45,0))))*(INDEX(avoidedcosttbl2,$H45,BL$2)+(($H45-ROUNDDOWN($H45,0))*(INDEX(avoidedcosttbl2,ROUNDUP($H45,0),BL$2)-(INDEX(avoidedcosttbl2,ROUNDDOWN($H45,0),BL$2)))))*'Inputs Yr 2'!P45*'Inputs Yr 2'!Q45*'Inputs Yr 2'!U45,"")</f>
        <v>8665.9163801912728</v>
      </c>
      <c r="BM45" s="195">
        <f>IFERROR($G45*(IF('Inputs Yr 2'!$AJ45=BM$4,'Inputs Yr 2'!$AK45,IF('Inputs Yr 2'!$AL45=BM$4,'Inputs Yr 2'!$AM45,IF('Inputs Yr 2'!$AN45=BM$4,'Inputs Yr 2'!$AO45,0))))*(INDEX(avoidedcosttbl2,$H45,BM$2)+(($H45-ROUNDDOWN($H45,0))*(INDEX(avoidedcosttbl2,ROUNDUP($H45,0),BM$2)-(INDEX(avoidedcosttbl2,ROUNDDOWN($H45,0),BM$2)))))*'Inputs Yr 2'!P45*'Inputs Yr 2'!Q45*'Inputs Yr 2'!U45,"")</f>
        <v>0</v>
      </c>
      <c r="BN45" s="195">
        <f>IFERROR($G45*(IF('Inputs Yr 2'!$AJ45=BN$4,'Inputs Yr 2'!$AK45,IF('Inputs Yr 2'!$AL45=BN$4,'Inputs Yr 2'!$AM45,IF('Inputs Yr 2'!$AN45=BN$4,'Inputs Yr 2'!$AO45,0))))*(INDEX(avoidedcosttbl2,$H45,BN$2)+(($H45-ROUNDDOWN($H45,0))*(INDEX(avoidedcosttbl2,ROUNDUP($H45,0),BN$2)-(INDEX(avoidedcosttbl2,ROUNDDOWN($H45,0),BN$2)))))*'Inputs Yr 2'!P45*'Inputs Yr 2'!Q45*'Inputs Yr 2'!U45,"")</f>
        <v>0</v>
      </c>
      <c r="BO45" s="195">
        <f>IFERROR($G45*(IF('Inputs Yr 2'!$AJ45=BO$4,'Inputs Yr 2'!$AK45,IF('Inputs Yr 2'!$AL45=BO$4,'Inputs Yr 2'!$AM45,IF('Inputs Yr 2'!$AN45=BO$4,'Inputs Yr 2'!$AO45,0))))*(INDEX(avoidedcosttbl2,$H45,BO$2)+(($H45-ROUNDDOWN($H45,0))*(INDEX(avoidedcosttbl2,ROUNDUP($H45,0),BO$2)-(INDEX(avoidedcosttbl2,ROUNDDOWN($H45,0),BO$2)))))*'Inputs Yr 2'!P45*'Inputs Yr 2'!Q45*'Inputs Yr 2'!U45,"")</f>
        <v>0</v>
      </c>
      <c r="BP45" s="195">
        <f>IFERROR($G45*(IF('Inputs Yr 2'!$AJ45=BP$4,'Inputs Yr 2'!$AK45,IF('Inputs Yr 2'!$AL45=BP$4,'Inputs Yr 2'!$AM45,IF('Inputs Yr 2'!$AN45=BP$4,'Inputs Yr 2'!$AO45,0))))*(INDEX(avoidedcosttbl2,$H45,BP$2)+(($H45-ROUNDDOWN($H45,0))*(INDEX(avoidedcosttbl2,ROUNDUP($H45,0),BP$2)-(INDEX(avoidedcosttbl2,ROUNDDOWN($H45,0),BP$2)))))*'Inputs Yr 2'!P45*'Inputs Yr 2'!Q45*'Inputs Yr 2'!U45,"")</f>
        <v>0</v>
      </c>
      <c r="BQ45" s="230">
        <f t="shared" si="38"/>
        <v>8665.9163801912728</v>
      </c>
      <c r="BR45" s="197">
        <f t="shared" si="17"/>
        <v>134.08119059358233</v>
      </c>
      <c r="BS45" s="197">
        <f>IFERROR(($G45*IF('Inputs Yr 2'!$AJ45=BM$4,'Inputs Yr 2'!$AK45,IF('Inputs Yr 2'!$AL45=BM$4,'Inputs Yr 2'!$AM45,IF('Inputs Yr 2'!$AN45=BM$4,'Inputs Yr 2'!$AO45,0))))*(INDEX(avoidedcosttbl2,$H45,BS$2)+(($H45-ROUNDDOWN($H45,0))*(INDEX(avoidedcosttbl2,ROUNDUP($H45,0),BS$2)-(INDEX(avoidedcosttbl2,ROUNDDOWN($H45,0),BS$2)))))*'Inputs Yr 2'!P45*'Inputs Yr 2'!Q45*'Inputs Yr 2'!U45,"")</f>
        <v>0</v>
      </c>
      <c r="BT45" s="197">
        <f>IFERROR(($G45*IF('Inputs Yr 2'!$AJ45=BK$4,'Inputs Yr 2'!$AK45,IF('Inputs Yr 2'!$AL45=BK$4,'Inputs Yr 2'!$AM45,IF('Inputs Yr 2'!$AN45=BK$4,'Inputs Yr 2'!$AO45,0))))*(INDEX(avoidedcosttbl2,$H45,BT$2)+(($H45-ROUNDDOWN($H45,0))*(INDEX(avoidedcosttbl2,ROUNDUP($H45,0),BT$2)-(INDEX(avoidedcosttbl2,ROUNDDOWN($H45,0),BT$2)))))*'Inputs Yr 2'!P45*'Inputs Yr 2'!Q45*'Inputs Yr 2'!U45,"")</f>
        <v>0</v>
      </c>
      <c r="BU45" s="197">
        <f>IFERROR(($G45*IF('Inputs Yr 2'!$AJ45=BL$4,'Inputs Yr 2'!$AK45,IF('Inputs Yr 2'!$AL45=BL$4,'Inputs Yr 2'!$AM45,IF('Inputs Yr 2'!$AN45=BL$4,'Inputs Yr 2'!$AO45,0))))*(INDEX(avoidedcosttbl2,$H45,BU$2)+(($H45-ROUNDDOWN($H45,0))*(INDEX(avoidedcosttbl2,ROUNDUP($H45,0),BU$2)-(INDEX(avoidedcosttbl2,ROUNDDOWN($H45,0),BU$2)))))*'Inputs Yr 2'!P45*'Inputs Yr 2'!Q45*'Inputs Yr 2'!U45,"")</f>
        <v>407.00293612003509</v>
      </c>
      <c r="BV45" s="775">
        <f>IFERROR(($G45*IF('Inputs Yr 2'!$AJ45=BJ$4,'Inputs Yr 2'!$AK45,IF('Inputs Yr 2'!$AL45=BJ$4,'Inputs Yr 2'!$AM45,IF('Inputs Yr 2'!$AN45=BJ$4,'Inputs Yr 2'!$AO45,0))))*(INDEX(avoidedcosttbl2,$H45,BV$2)+(($H45-ROUNDDOWN($H45,0))*(INDEX(avoidedcosttbl2,ROUNDUP($H45,0),BV$2)-(INDEX(avoidedcosttbl2,ROUNDDOWN($H45,0),BV$2)))))*'Inputs Yr 2'!P45*'Inputs Yr 2'!Q45*'Inputs Yr 2'!U45,"")</f>
        <v>0</v>
      </c>
      <c r="BW45" s="197">
        <f>IFERROR(($G45*IF('Inputs Yr 2'!$AJ45=BN$4,'Inputs Yr 2'!$AK45,IF('Inputs Yr 2'!$AL45=BN$4,'Inputs Yr 2'!$AM45,IF('Inputs Yr 2'!$AN45=BN$4,'Inputs Yr 2'!$AO45,0))))*(INDEX(avoidedcosttbl2,$H45,BW$2)+(($H45-ROUNDDOWN($H45,0))*(INDEX(avoidedcosttbl2,ROUNDUP($H45,0),BW$2)-(INDEX(avoidedcosttbl2,ROUNDDOWN($H45,0),BW$2)))))*'Inputs Yr 2'!P45*'Inputs Yr 2'!Q45*'Inputs Yr 2'!U45,"")</f>
        <v>0</v>
      </c>
      <c r="BX45" s="197">
        <f>IFERROR(($G45*IF('Inputs Yr 2'!$AJ45=BO$4,'Inputs Yr 2'!$AK45,IF('Inputs Yr 2'!$AL45=BO$4,'Inputs Yr 2'!$AM45,IF('Inputs Yr 2'!$AN45=BO$4,'Inputs Yr 2'!$AO45,0))))*(INDEX(avoidedcosttbl2,$H45,BX$2)+(($H45-ROUNDDOWN($H45,0))*(INDEX(avoidedcosttbl2,ROUNDUP($H45,0),BX$2)-(INDEX(avoidedcosttbl2,ROUNDDOWN($H45,0),BX$2)))))*'Inputs Yr 2'!P45*'Inputs Yr 2'!Q45*'Inputs Yr 2'!U45,"")</f>
        <v>0</v>
      </c>
      <c r="BY45" s="197">
        <f>IFERROR(($G45*IF('Inputs Yr 2'!$AJ45=BP$4,'Inputs Yr 2'!$AK45,IF('Inputs Yr 2'!$AL45=BP$4,'Inputs Yr 2'!$AM45,IF('Inputs Yr 2'!$AN45=BP$4,'Inputs Yr 2'!$AO45,0))))*(INDEX(avoidedcosttbl2,$H45,BY$2)+(($H45-ROUNDDOWN($H45,0))*(INDEX(avoidedcosttbl2,ROUNDUP($H45,0),BY$2)-(INDEX(avoidedcosttbl2,ROUNDDOWN($H45,0),BY$2)))))*'Inputs Yr 2'!P45*'Inputs Yr 2'!Q45*'Inputs Yr 2'!U45,"")</f>
        <v>0</v>
      </c>
      <c r="BZ45" s="193">
        <f t="shared" si="39"/>
        <v>541.08412671361748</v>
      </c>
      <c r="CA45" s="193">
        <f t="shared" si="40"/>
        <v>9207.0005069048893</v>
      </c>
      <c r="CB45" s="195">
        <f>IFERROR(G45*(IF('Inputs Yr 2'!$AJ45=CB$4,'Inputs Yr 2'!$AK45,IF('Inputs Yr 2'!$AL45=CB$4,'Inputs Yr 2'!$AM45,IF('Inputs Yr 2'!$AN45=CB$4,'Inputs Yr 2'!$AO45,0))))*(INDEX(avoidedcosttbl2,$H45,CB$2)+(($H45-ROUNDDOWN($H45,0))*(INDEX(avoidedcosttbl2,ROUNDUP($H45,0),CB$2)-(INDEX(avoidedcosttbl2,ROUNDDOWN($H45,0),CB$2)))))*'Inputs Yr 2'!P45*'Inputs Yr 2'!Q45*'Inputs Yr 2'!U45,"")</f>
        <v>0</v>
      </c>
      <c r="CC45" s="195">
        <f>IFERROR(H45*(IF('Inputs Yr 2'!$AJ45=CC$4,'Inputs Yr 2'!$AK45,IF('Inputs Yr 2'!$AL45=CC$4,'Inputs Yr 2'!$AM45,IF('Inputs Yr 2'!$AN45=CC$4,'Inputs Yr 2'!$AO45,0))))*(INDEX(avoidedcosttbl2,$H45,CC$2)+(($H45-ROUNDDOWN($H45,0))*(INDEX(avoidedcosttbl2,ROUNDUP($H45,0),CC$2)-(INDEX(avoidedcosttbl2,ROUNDDOWN($H45,0),CC$2)))))*'Inputs Yr 2'!Q45*'Inputs Yr 2'!R45*'Inputs Yr 2'!V45,"")</f>
        <v>0</v>
      </c>
      <c r="CD45" s="195">
        <f>IFERROR(I45*(IF('Inputs Yr 2'!$AJ45=CD$4,'Inputs Yr 2'!$AK45,IF('Inputs Yr 2'!$AL45=CD$4,'Inputs Yr 2'!$AM45,IF('Inputs Yr 2'!$AN45=CD$4,'Inputs Yr 2'!$AO45,0))))*(INDEX(avoidedcosttbl2,$H45,CD$2)+(($H45-ROUNDDOWN($H45,0))*(INDEX(avoidedcosttbl2,ROUNDUP($H45,0),CD$2)-(INDEX(avoidedcosttbl2,ROUNDDOWN($H45,0),CD$2)))))*'Inputs Yr 2'!R45*'Inputs Yr 2'!S45*'Inputs Yr 2'!W45,"")</f>
        <v>0</v>
      </c>
      <c r="CE45" s="213">
        <f t="shared" si="41"/>
        <v>0</v>
      </c>
      <c r="CF45" s="213">
        <f t="shared" si="42"/>
        <v>0</v>
      </c>
      <c r="CG45" s="213">
        <f t="shared" si="43"/>
        <v>0</v>
      </c>
      <c r="CH45" s="698">
        <f t="shared" si="44"/>
        <v>9207.0005069048893</v>
      </c>
      <c r="CI45" s="79">
        <f>IFERROR(($G45*'Inputs Yr 2'!$P45*'Inputs Yr 2'!$Q45*(((INDEX(avoidedcosttbl2,$H45,CI$2)+(($H45-ROUNDDOWN($H45,0))*(INDEX(avoidedcosttbl2,ROUNDUP($H45,0),CI$2)-INDEX(avoidedcosttbl2,ROUNDDOWN($H45,0),CI$2))))*'Inputs Yr 2'!AS45))),"")</f>
        <v>0</v>
      </c>
      <c r="CJ45" s="504">
        <f>IFERROR($G45*'Inputs Yr 2'!AT45*'Inputs Yr 2'!$P45*'Inputs Yr 2'!$Q45/((1+realdiscrt1)^-0.5),"")</f>
        <v>0</v>
      </c>
      <c r="CK45" s="79">
        <f>IFERROR((O45*1000*(((INDEX(avoidedcosttbl2,$H45,CK$2)+(($H45-ROUNDDOWN($H45,0))*(INDEX(avoidedcosttbl2,ROUNDUP($H45,0),CK$2)-INDEX(avoidedcosttbl2,ROUNDDOWN($H45,0),CK$2))))*'Inputs Yr 2'!AU45))),"")</f>
        <v>0</v>
      </c>
      <c r="CL45" s="504">
        <f>IFERROR(O45*1000*'Inputs Yr 2'!AV45/((1+realdiscrt1)^-0.5),"")</f>
        <v>0</v>
      </c>
      <c r="CM45" s="79">
        <f>IFERROR((AB45*'Inputs Yr 2'!AW45*(((INDEX(avoidedcosttbl2,$H45,CM$2)+(($H45-ROUNDDOWN($H45,0))*(INDEX(avoidedcosttbl2,ROUNDUP($H45,0),CM$2)-INDEX(avoidedcosttbl2,ROUNDDOWN($H45,0),CM$2)))))))*10,"")</f>
        <v>0</v>
      </c>
      <c r="CN45" s="504">
        <f>IFERROR(10*AB45*'Inputs Yr 2'!AX45/((1+realdiscrt1)^-0.5),"")</f>
        <v>0</v>
      </c>
      <c r="CO45" s="505">
        <f t="shared" si="45"/>
        <v>0</v>
      </c>
      <c r="CP45" s="230">
        <f t="shared" si="46"/>
        <v>9207.0005069048893</v>
      </c>
      <c r="CQ45" s="199">
        <f>ROUND(IFERROR(IF(LEFT($A45,1)="C",'Avoided Costs'!$K$13,'Avoided Costs'!$K$12)+1,""),4)</f>
        <v>1.0720000000000001</v>
      </c>
      <c r="CR45" s="199">
        <f>ROUND(IFERROR(IF(LEFT($A45,1)="C",'Avoided Costs'!$L$13,'Avoided Costs'!$L$12)+1,""),4)</f>
        <v>1.04</v>
      </c>
      <c r="CS45" s="199">
        <f>ROUND(IFERROR(IF(LEFT($A45,1)="C",'Avoided Costs'!$M$13,'Avoided Costs'!$M$12)+1,""),4)</f>
        <v>1.0720000000000001</v>
      </c>
      <c r="CT45" s="199">
        <f>ROUND(IFERROR(IF(LEFT($A45,1)="C",'Avoided Costs'!$N$13,'Avoided Costs'!$N$12)+1,""),4)</f>
        <v>1.04</v>
      </c>
      <c r="CU45" s="199">
        <f>ROUND(IFERROR(IF(LEFT($A45,1)="C",'Avoided Costs'!$O$13,'Avoided Costs'!$O$12)+1,""),4)</f>
        <v>1.1120000000000001</v>
      </c>
      <c r="CV45" s="199">
        <f>ROUND(IFERROR(IF(LEFT($A45,1)="C",'Avoided Costs'!$P$13,'Avoided Costs'!$P$12)+1,""),4)</f>
        <v>1.095</v>
      </c>
      <c r="CW45" s="199">
        <f>ROUND(IFERROR(IF(LEFT($A45,1)="C",'Avoided Costs'!$Q$13,'Avoided Costs'!$Q$12)+1,""),4)</f>
        <v>1.1120000000000001</v>
      </c>
      <c r="CX45" s="200">
        <f>ROUND(IFERROR(IF(LEFT($A45,1)="C",'Avoided Costs'!$R$13,'Avoided Costs'!$R$12)+1,""),4)</f>
        <v>1.1120000000000001</v>
      </c>
    </row>
    <row r="46" spans="1:102" ht="12.75" customHeight="1">
      <c r="A46" s="91" t="str">
        <f>IF('Inputs Yr 2'!$B46=0,"",'Inputs Yr 2'!A46)</f>
        <v>A - Residential</v>
      </c>
      <c r="B46" s="91" t="str">
        <f>IF('Inputs Yr 2'!$B46=0,"",'Inputs Yr 2'!B46)</f>
        <v>A1 - Residential Whole House</v>
      </c>
      <c r="C46" s="91" t="str">
        <f>IF('Inputs Yr 2'!$B46=0,"",'Inputs Yr 2'!C46)</f>
        <v>A1c - Residential Home Energy Services - Measures</v>
      </c>
      <c r="D46" s="91" t="str">
        <f>IF('Inputs Yr 2'!$B46=0,"",'Inputs Yr 2'!E46)</f>
        <v>Pipe Wrap (Water Heating), Gas</v>
      </c>
      <c r="E46" s="93" t="str">
        <f>IF('Inputs Yr 2'!$B46=0,"",'Inputs Yr 2'!F46)</f>
        <v>G16A1c05</v>
      </c>
      <c r="F46" s="93" t="str">
        <f>IF('Inputs Yr 2'!$B46=0,"",'Inputs Yr 2'!G46)</f>
        <v>Hot Water</v>
      </c>
      <c r="G46" s="95">
        <f>IF('Inputs Yr 2'!$H46&lt;&gt;0,('Inputs Yr 2'!H46),"")</f>
        <v>883</v>
      </c>
      <c r="H46" s="94">
        <f>IFERROR('Inputs Yr 2'!I46,"")</f>
        <v>15</v>
      </c>
      <c r="I46" s="298">
        <f>IFERROR('Inputs Yr 2'!J46*'Inputs Yr 2'!P46*G46,"")</f>
        <v>3090.5</v>
      </c>
      <c r="J46" s="298">
        <f>IFERROR('Inputs Yr 2'!K46*G46,"")</f>
        <v>3090.5</v>
      </c>
      <c r="K46" s="298">
        <f t="shared" si="23"/>
        <v>0</v>
      </c>
      <c r="L46" s="194">
        <f>IFERROR(('Inputs Yr 2'!W46*G46)/1000,"")</f>
        <v>0</v>
      </c>
      <c r="M46" s="194">
        <f>IFERROR(L46*('Inputs Yr 2'!$Q46*'Inputs Yr 2'!$V46*'Inputs Yr 2'!$R46),"")</f>
        <v>0</v>
      </c>
      <c r="N46" s="194">
        <f t="shared" si="24"/>
        <v>0</v>
      </c>
      <c r="O46" s="194">
        <f>IFERROR(M46*'Inputs Yr 2'!P46,"")</f>
        <v>0</v>
      </c>
      <c r="P46" s="194">
        <f t="shared" si="25"/>
        <v>0</v>
      </c>
      <c r="Q46" s="194">
        <f>IFERROR($P46*'Inputs Yr 2'!AA46,"")</f>
        <v>0</v>
      </c>
      <c r="R46" s="194">
        <f>IFERROR($P46*'Inputs Yr 2'!AB46,"")</f>
        <v>0</v>
      </c>
      <c r="S46" s="194">
        <f>IFERROR($P46*'Inputs Yr 2'!AC46,"")</f>
        <v>0</v>
      </c>
      <c r="T46" s="194">
        <f>IFERROR($P46*'Inputs Yr 2'!AD46,"")</f>
        <v>0</v>
      </c>
      <c r="U46" s="194">
        <f>IFERROR(G46*'Inputs Yr 2'!$AE46*'Inputs Yr 2'!$P46*'Inputs Yr 2'!$Q46,"")</f>
        <v>0</v>
      </c>
      <c r="V46" s="194">
        <f>IFERROR($G46*'Inputs Yr 2'!$AE46*'Inputs Yr 2'!$AG46*'Inputs Yr 2'!Q46*'Inputs Yr 2'!$S46,"")</f>
        <v>0</v>
      </c>
      <c r="W46" s="194">
        <f>IFERROR($G46*'Inputs Yr 2'!$AE46*'Inputs Yr 2'!$AG46*'Inputs Yr 2'!P46*'Inputs Yr 2'!Q46*'Inputs Yr 2'!$S46,"")</f>
        <v>0</v>
      </c>
      <c r="X46" s="194">
        <f>IFERROR($G46*'Inputs Yr 2'!$AE46*'Inputs Yr 2'!$AF46*'Inputs Yr 2'!Q46*'Inputs Yr 2'!$T46,"")</f>
        <v>0</v>
      </c>
      <c r="Y46" s="194">
        <f>IFERROR($G46*'Inputs Yr 2'!$AE46*'Inputs Yr 2'!$AF46*'Inputs Yr 2'!P46*'Inputs Yr 2'!Q46*'Inputs Yr 2'!$T46,"")</f>
        <v>0</v>
      </c>
      <c r="Z46" s="257">
        <f>IFERROR($G46*'Inputs Yr 2'!$Q46*'Inputs Yr 2'!$U46*(IF(IFERROR(SEARCH("NG", 'Inputs Yr 2'!$AJ46),0),'Inputs Yr 2'!$AK46,0)+IF(IFERROR(SEARCH("NG", 'Inputs Yr 2'!$AL46),0),'Inputs Yr 2'!$AM46,0)+IF(IFERROR(SEARCH("NG", 'Inputs Yr 2'!$AN46),0),'Inputs Yr 2'!$AO46,0)),0)</f>
        <v>264.89999999999998</v>
      </c>
      <c r="AA46" s="257">
        <f t="shared" si="26"/>
        <v>3973.4999999999995</v>
      </c>
      <c r="AB46" s="257">
        <f>IFERROR(Z46*'Inputs Yr 2'!$P46,0)</f>
        <v>264.89999999999998</v>
      </c>
      <c r="AC46" s="257">
        <f t="shared" si="27"/>
        <v>3973.4999999999995</v>
      </c>
      <c r="AD46" s="257">
        <f>IFERROR($G46*'Inputs Yr 2'!$Q46*'Inputs Yr 2'!$U46*(IF(IFERROR(SEARCH("Oil", 'Inputs Yr 2'!$AJ46), 0),'Inputs Yr 2'!$AK46,0)+IF(IFERROR(SEARCH("Oil", 'Inputs Yr 2'!$AL46), 0),'Inputs Yr 2'!$AM46,0)+IF(IFERROR(SEARCH("Oil", 'Inputs Yr 2'!$AN46), 0),'Inputs Yr 2'!$AO46,0)),0)</f>
        <v>0</v>
      </c>
      <c r="AE46" s="257">
        <f t="shared" si="28"/>
        <v>0</v>
      </c>
      <c r="AF46" s="257">
        <f>IFERROR(AD46*'Inputs Yr 2'!$P46,0)</f>
        <v>0</v>
      </c>
      <c r="AG46" s="257">
        <f t="shared" si="29"/>
        <v>0</v>
      </c>
      <c r="AH46" s="257">
        <f>IFERROR($G46*'Inputs Yr 2'!$Q46*'Inputs Yr 2'!$U46*(IF('Inputs Yr 2'!$AJ46=CD$4,'Inputs Yr 2'!$AK46,IF('Inputs Yr 2'!$AL46=CD$4,'Inputs Yr 2'!$AM46,IF('Inputs Yr 2'!$AN46=CD$4,'Inputs Yr 2'!$AO46,0)))),0)</f>
        <v>0</v>
      </c>
      <c r="AI46" s="257">
        <f t="shared" si="30"/>
        <v>0</v>
      </c>
      <c r="AJ46" s="257">
        <f>IFERROR(AH46*'Inputs Yr 2'!$P46,0)</f>
        <v>0</v>
      </c>
      <c r="AK46" s="257">
        <f t="shared" si="31"/>
        <v>0</v>
      </c>
      <c r="AL46" s="258">
        <f>IFERROR($G46*'Inputs Yr 2'!$P46*'Inputs Yr 2'!$Q46*'Inputs Yr 2'!AP46,0)</f>
        <v>0</v>
      </c>
      <c r="AM46" s="260">
        <f>IFERROR($G46*'Inputs Yr 2'!$P46*'Inputs Yr 2'!$Q46*'Inputs Yr 2'!AQ46,0)</f>
        <v>0</v>
      </c>
      <c r="AN46" s="258">
        <f>IFERROR($G46*'Inputs Yr 2'!$P46*'Inputs Yr 2'!$Q46*'Inputs Yr 2'!AR46,0)</f>
        <v>0</v>
      </c>
      <c r="AO46" s="257">
        <f t="shared" si="32"/>
        <v>0</v>
      </c>
      <c r="AP46" s="195">
        <f>IFERROR($CQ46*(INDEX(avoidedcosttbl2,$H46,AP$2)+(($H46-ROUNDDOWN($H46,0))*(INDEX(avoidedcosttbl2,ROUNDUP($H46,0),AP$2)-(INDEX(avoidedcosttbl2,ROUNDDOWN($H46,0),AP$2)))))*$O46*1000*'Inputs Yr 2'!AA46,"")</f>
        <v>0</v>
      </c>
      <c r="AQ46" s="195">
        <f>IFERROR($CR46*(INDEX(avoidedcosttbl2,$H46,AQ$2)+(($H46-ROUNDDOWN($H46,0))*(INDEX(avoidedcosttbl2,ROUNDUP($H46,0),AQ$2)-(INDEX(avoidedcosttbl2,ROUNDDOWN($H46,0),AQ$2)))))*$O46*1000*'Inputs Yr 2'!AB46,"")</f>
        <v>0</v>
      </c>
      <c r="AR46" s="195">
        <f>IFERROR($CS46*(INDEX(avoidedcosttbl2,$H46,AR$2)+(($H46-ROUNDDOWN($H46,0))*(INDEX(avoidedcosttbl2,ROUNDUP($H46,0),AR$2)-(INDEX(avoidedcosttbl2,ROUNDDOWN($H46,0),AR$2)))))*$O46*1000*'Inputs Yr 2'!AC46,"")</f>
        <v>0</v>
      </c>
      <c r="AS46" s="195">
        <f>IFERROR($CT46*(INDEX(avoidedcosttbl2,$H46,AS$2)+(($H46-ROUNDDOWN($H46,0))*(INDEX(avoidedcosttbl2,ROUNDUP($H46,0),AS$2)-(INDEX(avoidedcosttbl2,ROUNDDOWN($H46,0),AS$2)))))*$O46*1000*'Inputs Yr 2'!AD46,"")</f>
        <v>0</v>
      </c>
      <c r="AT46" s="196">
        <f t="shared" si="33"/>
        <v>0</v>
      </c>
      <c r="AU46" s="197">
        <f>IFERROR($CQ46*((INDEX(avoidedcosttbl2,$H46,AU$2))+(($H46-ROUNDDOWN($H46,0))*((INDEX(avoidedcosttbl2,ROUNDUP($H46,0),AU$2))-(INDEX(avoidedcosttbl2,ROUNDDOWN($H46,0),AU$2)))))*$O46*1000*'Inputs Yr 2'!AA46,"")</f>
        <v>0</v>
      </c>
      <c r="AV46" s="197">
        <f>IFERROR($CR46*((INDEX(avoidedcosttbl2,$H46,AV$2))+(($H46-ROUNDDOWN($H46,0))*((INDEX(avoidedcosttbl2,ROUNDUP($H46,0),AV$2))-(INDEX(avoidedcosttbl2,ROUNDDOWN($H46,0),AV$2)))))*$O46*1000*'Inputs Yr 2'!AB46,"")</f>
        <v>0</v>
      </c>
      <c r="AW46" s="197">
        <f>IFERROR($CS46*((INDEX(avoidedcosttbl2,$H46,AW$2))+(($H46-ROUNDDOWN($H46,0))*((INDEX(avoidedcosttbl2,ROUNDUP($H46,0),AW$2))-(INDEX(avoidedcosttbl2,ROUNDDOWN($H46,0),AW$2)))))*$O46*1000*'Inputs Yr 2'!AC46,"")</f>
        <v>0</v>
      </c>
      <c r="AX46" s="197">
        <f>IFERROR($CT46*((INDEX(avoidedcosttbl2,$H46,AX$2))+(($H46-ROUNDDOWN($H46,0))*((INDEX(avoidedcosttbl2,ROUNDUP($H46,0),AX$2))-(INDEX(avoidedcosttbl2,ROUNDDOWN($H46,0),AX$2)))))*$O46*1000*'Inputs Yr 2'!AD46,"")</f>
        <v>0</v>
      </c>
      <c r="AY46" s="197">
        <f>IFERROR(((INDEX(avoidedcosttbl2,$H46,AY$2))+(($H46-ROUNDDOWN($H46,0))*((INDEX(avoidedcosttbl2,ROUNDUP($H46,0),AY$2))-(INDEX(avoidedcosttbl2,ROUNDDOWN($H46,0),AY$2)))))*$O46*1000*('Inputs Yr 2'!AC46+'Inputs Yr 2'!AD46),"")</f>
        <v>0</v>
      </c>
      <c r="AZ46" s="197">
        <f>IFERROR(((INDEX(avoidedcosttbl2,$H46,AZ$2))+(($H46-ROUNDDOWN($H46,0))*((INDEX(avoidedcosttbl2,ROUNDUP($H46,0),AZ$2))-(INDEX(avoidedcosttbl2,ROUNDDOWN($H46,0),AZ$2)))))*$O46*1000*('Inputs Yr 2'!AA46+'Inputs Yr 2'!AB46),"")</f>
        <v>0</v>
      </c>
      <c r="BA46" s="198">
        <f t="shared" si="34"/>
        <v>0</v>
      </c>
      <c r="BB46" s="198">
        <f t="shared" si="35"/>
        <v>0</v>
      </c>
      <c r="BC46" s="195">
        <f t="shared" si="10"/>
        <v>0</v>
      </c>
      <c r="BD46" s="195">
        <f t="shared" si="11"/>
        <v>0</v>
      </c>
      <c r="BE46" s="195">
        <f t="shared" si="12"/>
        <v>0</v>
      </c>
      <c r="BF46" s="195">
        <f t="shared" si="13"/>
        <v>0</v>
      </c>
      <c r="BG46" s="195">
        <f t="shared" si="14"/>
        <v>0</v>
      </c>
      <c r="BH46" s="196">
        <f t="shared" si="36"/>
        <v>0</v>
      </c>
      <c r="BI46" s="196">
        <f t="shared" si="37"/>
        <v>0</v>
      </c>
      <c r="BJ46" s="195">
        <f>IFERROR($G46*(IF('Inputs Yr 2'!$AJ46=BJ$4,'Inputs Yr 2'!$AK46,IF('Inputs Yr 2'!$AL46=BJ$4,'Inputs Yr 2'!$AM46,IF('Inputs Yr 2'!$AN46=BJ$4,'Inputs Yr 2'!$AO46,0))))*(INDEX(avoidedcosttbl2,$H46,BJ$2)+(($H46-ROUNDDOWN($H46,0))*(INDEX(avoidedcosttbl2,ROUNDUP($H46,0),BJ$2)-(INDEX(avoidedcosttbl2,ROUNDDOWN($H46,0),BJ$2)))))*'Inputs Yr 2'!P46*'Inputs Yr 2'!Q46*'Inputs Yr 2'!U46,"")</f>
        <v>0</v>
      </c>
      <c r="BK46" s="195">
        <f>IFERROR($G46*(IF('Inputs Yr 2'!$AJ46=BK$4,'Inputs Yr 2'!$AK46,IF('Inputs Yr 2'!$AL46=BK$4,'Inputs Yr 2'!$AM46,IF('Inputs Yr 2'!$AN46=BK$4,'Inputs Yr 2'!$AO46,0))))*(INDEX(avoidedcosttbl2,$H46,BK$2)+(($H46-ROUNDDOWN($H46,0))*(INDEX(avoidedcosttbl2,ROUNDUP($H46,0),BK$2)-(INDEX(avoidedcosttbl2,ROUNDDOWN($H46,0),BK$2)))))*'Inputs Yr 2'!P46*'Inputs Yr 2'!Q46*'Inputs Yr 2'!U46,"")</f>
        <v>31840.154638942913</v>
      </c>
      <c r="BL46" s="195">
        <f>IFERROR($G46*(IF('Inputs Yr 2'!$AJ46=BL$4,'Inputs Yr 2'!$AK46,IF('Inputs Yr 2'!$AL46=BL$4,'Inputs Yr 2'!$AM46,IF('Inputs Yr 2'!$AN46=BL$4,'Inputs Yr 2'!$AO46,0))))*(INDEX(avoidedcosttbl2,$H46,BL$2)+(($H46-ROUNDDOWN($H46,0))*(INDEX(avoidedcosttbl2,ROUNDUP($H46,0),BL$2)-(INDEX(avoidedcosttbl2,ROUNDDOWN($H46,0),BL$2)))))*'Inputs Yr 2'!P46*'Inputs Yr 2'!Q46*'Inputs Yr 2'!U46,"")</f>
        <v>0</v>
      </c>
      <c r="BM46" s="195">
        <f>IFERROR($G46*(IF('Inputs Yr 2'!$AJ46=BM$4,'Inputs Yr 2'!$AK46,IF('Inputs Yr 2'!$AL46=BM$4,'Inputs Yr 2'!$AM46,IF('Inputs Yr 2'!$AN46=BM$4,'Inputs Yr 2'!$AO46,0))))*(INDEX(avoidedcosttbl2,$H46,BM$2)+(($H46-ROUNDDOWN($H46,0))*(INDEX(avoidedcosttbl2,ROUNDUP($H46,0),BM$2)-(INDEX(avoidedcosttbl2,ROUNDDOWN($H46,0),BM$2)))))*'Inputs Yr 2'!P46*'Inputs Yr 2'!Q46*'Inputs Yr 2'!U46,"")</f>
        <v>0</v>
      </c>
      <c r="BN46" s="195">
        <f>IFERROR($G46*(IF('Inputs Yr 2'!$AJ46=BN$4,'Inputs Yr 2'!$AK46,IF('Inputs Yr 2'!$AL46=BN$4,'Inputs Yr 2'!$AM46,IF('Inputs Yr 2'!$AN46=BN$4,'Inputs Yr 2'!$AO46,0))))*(INDEX(avoidedcosttbl2,$H46,BN$2)+(($H46-ROUNDDOWN($H46,0))*(INDEX(avoidedcosttbl2,ROUNDUP($H46,0),BN$2)-(INDEX(avoidedcosttbl2,ROUNDDOWN($H46,0),BN$2)))))*'Inputs Yr 2'!P46*'Inputs Yr 2'!Q46*'Inputs Yr 2'!U46,"")</f>
        <v>0</v>
      </c>
      <c r="BO46" s="195">
        <f>IFERROR($G46*(IF('Inputs Yr 2'!$AJ46=BO$4,'Inputs Yr 2'!$AK46,IF('Inputs Yr 2'!$AL46=BO$4,'Inputs Yr 2'!$AM46,IF('Inputs Yr 2'!$AN46=BO$4,'Inputs Yr 2'!$AO46,0))))*(INDEX(avoidedcosttbl2,$H46,BO$2)+(($H46-ROUNDDOWN($H46,0))*(INDEX(avoidedcosttbl2,ROUNDUP($H46,0),BO$2)-(INDEX(avoidedcosttbl2,ROUNDDOWN($H46,0),BO$2)))))*'Inputs Yr 2'!P46*'Inputs Yr 2'!Q46*'Inputs Yr 2'!U46,"")</f>
        <v>0</v>
      </c>
      <c r="BP46" s="195">
        <f>IFERROR($G46*(IF('Inputs Yr 2'!$AJ46=BP$4,'Inputs Yr 2'!$AK46,IF('Inputs Yr 2'!$AL46=BP$4,'Inputs Yr 2'!$AM46,IF('Inputs Yr 2'!$AN46=BP$4,'Inputs Yr 2'!$AO46,0))))*(INDEX(avoidedcosttbl2,$H46,BP$2)+(($H46-ROUNDDOWN($H46,0))*(INDEX(avoidedcosttbl2,ROUNDUP($H46,0),BP$2)-(INDEX(avoidedcosttbl2,ROUNDDOWN($H46,0),BP$2)))))*'Inputs Yr 2'!P46*'Inputs Yr 2'!Q46*'Inputs Yr 2'!U46,"")</f>
        <v>0</v>
      </c>
      <c r="BQ46" s="230">
        <f t="shared" si="38"/>
        <v>31840.154638942913</v>
      </c>
      <c r="BR46" s="197">
        <f t="shared" si="17"/>
        <v>538.57575884503262</v>
      </c>
      <c r="BS46" s="197">
        <f>IFERROR(($G46*IF('Inputs Yr 2'!$AJ46=BM$4,'Inputs Yr 2'!$AK46,IF('Inputs Yr 2'!$AL46=BM$4,'Inputs Yr 2'!$AM46,IF('Inputs Yr 2'!$AN46=BM$4,'Inputs Yr 2'!$AO46,0))))*(INDEX(avoidedcosttbl2,$H46,BS$2)+(($H46-ROUNDDOWN($H46,0))*(INDEX(avoidedcosttbl2,ROUNDUP($H46,0),BS$2)-(INDEX(avoidedcosttbl2,ROUNDDOWN($H46,0),BS$2)))))*'Inputs Yr 2'!P46*'Inputs Yr 2'!Q46*'Inputs Yr 2'!U46,"")</f>
        <v>0</v>
      </c>
      <c r="BT46" s="197">
        <f>IFERROR(($G46*IF('Inputs Yr 2'!$AJ46=BK$4,'Inputs Yr 2'!$AK46,IF('Inputs Yr 2'!$AL46=BK$4,'Inputs Yr 2'!$AM46,IF('Inputs Yr 2'!$AN46=BK$4,'Inputs Yr 2'!$AO46,0))))*(INDEX(avoidedcosttbl2,$H46,BT$2)+(($H46-ROUNDDOWN($H46,0))*(INDEX(avoidedcosttbl2,ROUNDUP($H46,0),BT$2)-(INDEX(avoidedcosttbl2,ROUNDDOWN($H46,0),BT$2)))))*'Inputs Yr 2'!P46*'Inputs Yr 2'!Q46*'Inputs Yr 2'!U46,"")</f>
        <v>2187.7361539300223</v>
      </c>
      <c r="BU46" s="197">
        <f>IFERROR(($G46*IF('Inputs Yr 2'!$AJ46=BL$4,'Inputs Yr 2'!$AK46,IF('Inputs Yr 2'!$AL46=BL$4,'Inputs Yr 2'!$AM46,IF('Inputs Yr 2'!$AN46=BL$4,'Inputs Yr 2'!$AO46,0))))*(INDEX(avoidedcosttbl2,$H46,BU$2)+(($H46-ROUNDDOWN($H46,0))*(INDEX(avoidedcosttbl2,ROUNDUP($H46,0),BU$2)-(INDEX(avoidedcosttbl2,ROUNDDOWN($H46,0),BU$2)))))*'Inputs Yr 2'!P46*'Inputs Yr 2'!Q46*'Inputs Yr 2'!U46,"")</f>
        <v>0</v>
      </c>
      <c r="BV46" s="775">
        <f>IFERROR(($G46*IF('Inputs Yr 2'!$AJ46=BJ$4,'Inputs Yr 2'!$AK46,IF('Inputs Yr 2'!$AL46=BJ$4,'Inputs Yr 2'!$AM46,IF('Inputs Yr 2'!$AN46=BJ$4,'Inputs Yr 2'!$AO46,0))))*(INDEX(avoidedcosttbl2,$H46,BV$2)+(($H46-ROUNDDOWN($H46,0))*(INDEX(avoidedcosttbl2,ROUNDUP($H46,0),BV$2)-(INDEX(avoidedcosttbl2,ROUNDDOWN($H46,0),BV$2)))))*'Inputs Yr 2'!P46*'Inputs Yr 2'!Q46*'Inputs Yr 2'!U46,"")</f>
        <v>0</v>
      </c>
      <c r="BW46" s="197">
        <f>IFERROR(($G46*IF('Inputs Yr 2'!$AJ46=BN$4,'Inputs Yr 2'!$AK46,IF('Inputs Yr 2'!$AL46=BN$4,'Inputs Yr 2'!$AM46,IF('Inputs Yr 2'!$AN46=BN$4,'Inputs Yr 2'!$AO46,0))))*(INDEX(avoidedcosttbl2,$H46,BW$2)+(($H46-ROUNDDOWN($H46,0))*(INDEX(avoidedcosttbl2,ROUNDUP($H46,0),BW$2)-(INDEX(avoidedcosttbl2,ROUNDDOWN($H46,0),BW$2)))))*'Inputs Yr 2'!P46*'Inputs Yr 2'!Q46*'Inputs Yr 2'!U46,"")</f>
        <v>0</v>
      </c>
      <c r="BX46" s="197">
        <f>IFERROR(($G46*IF('Inputs Yr 2'!$AJ46=BO$4,'Inputs Yr 2'!$AK46,IF('Inputs Yr 2'!$AL46=BO$4,'Inputs Yr 2'!$AM46,IF('Inputs Yr 2'!$AN46=BO$4,'Inputs Yr 2'!$AO46,0))))*(INDEX(avoidedcosttbl2,$H46,BX$2)+(($H46-ROUNDDOWN($H46,0))*(INDEX(avoidedcosttbl2,ROUNDUP($H46,0),BX$2)-(INDEX(avoidedcosttbl2,ROUNDDOWN($H46,0),BX$2)))))*'Inputs Yr 2'!P46*'Inputs Yr 2'!Q46*'Inputs Yr 2'!U46,"")</f>
        <v>0</v>
      </c>
      <c r="BY46" s="197">
        <f>IFERROR(($G46*IF('Inputs Yr 2'!$AJ46=BP$4,'Inputs Yr 2'!$AK46,IF('Inputs Yr 2'!$AL46=BP$4,'Inputs Yr 2'!$AM46,IF('Inputs Yr 2'!$AN46=BP$4,'Inputs Yr 2'!$AO46,0))))*(INDEX(avoidedcosttbl2,$H46,BY$2)+(($H46-ROUNDDOWN($H46,0))*(INDEX(avoidedcosttbl2,ROUNDUP($H46,0),BY$2)-(INDEX(avoidedcosttbl2,ROUNDDOWN($H46,0),BY$2)))))*'Inputs Yr 2'!P46*'Inputs Yr 2'!Q46*'Inputs Yr 2'!U46,"")</f>
        <v>0</v>
      </c>
      <c r="BZ46" s="193">
        <f t="shared" si="39"/>
        <v>2726.3119127750551</v>
      </c>
      <c r="CA46" s="193">
        <f t="shared" si="40"/>
        <v>34566.466551717967</v>
      </c>
      <c r="CB46" s="195">
        <f>IFERROR(G46*(IF('Inputs Yr 2'!$AJ46=CB$4,'Inputs Yr 2'!$AK46,IF('Inputs Yr 2'!$AL46=CB$4,'Inputs Yr 2'!$AM46,IF('Inputs Yr 2'!$AN46=CB$4,'Inputs Yr 2'!$AO46,0))))*(INDEX(avoidedcosttbl2,$H46,CB$2)+(($H46-ROUNDDOWN($H46,0))*(INDEX(avoidedcosttbl2,ROUNDUP($H46,0),CB$2)-(INDEX(avoidedcosttbl2,ROUNDDOWN($H46,0),CB$2)))))*'Inputs Yr 2'!P46*'Inputs Yr 2'!Q46*'Inputs Yr 2'!U46,"")</f>
        <v>0</v>
      </c>
      <c r="CC46" s="195">
        <f>IFERROR(H46*(IF('Inputs Yr 2'!$AJ46=CC$4,'Inputs Yr 2'!$AK46,IF('Inputs Yr 2'!$AL46=CC$4,'Inputs Yr 2'!$AM46,IF('Inputs Yr 2'!$AN46=CC$4,'Inputs Yr 2'!$AO46,0))))*(INDEX(avoidedcosttbl2,$H46,CC$2)+(($H46-ROUNDDOWN($H46,0))*(INDEX(avoidedcosttbl2,ROUNDUP($H46,0),CC$2)-(INDEX(avoidedcosttbl2,ROUNDDOWN($H46,0),CC$2)))))*'Inputs Yr 2'!Q46*'Inputs Yr 2'!R46*'Inputs Yr 2'!V46,"")</f>
        <v>0</v>
      </c>
      <c r="CD46" s="195">
        <f>IFERROR(I46*(IF('Inputs Yr 2'!$AJ46=CD$4,'Inputs Yr 2'!$AK46,IF('Inputs Yr 2'!$AL46=CD$4,'Inputs Yr 2'!$AM46,IF('Inputs Yr 2'!$AN46=CD$4,'Inputs Yr 2'!$AO46,0))))*(INDEX(avoidedcosttbl2,$H46,CD$2)+(($H46-ROUNDDOWN($H46,0))*(INDEX(avoidedcosttbl2,ROUNDUP($H46,0),CD$2)-(INDEX(avoidedcosttbl2,ROUNDDOWN($H46,0),CD$2)))))*'Inputs Yr 2'!R46*'Inputs Yr 2'!S46*'Inputs Yr 2'!W46,"")</f>
        <v>0</v>
      </c>
      <c r="CE46" s="213">
        <f t="shared" si="41"/>
        <v>0</v>
      </c>
      <c r="CF46" s="213">
        <f t="shared" si="42"/>
        <v>0</v>
      </c>
      <c r="CG46" s="213">
        <f t="shared" si="43"/>
        <v>0</v>
      </c>
      <c r="CH46" s="698">
        <f t="shared" si="44"/>
        <v>34566.466551717967</v>
      </c>
      <c r="CI46" s="79">
        <f>IFERROR(($G46*'Inputs Yr 2'!$P46*'Inputs Yr 2'!$Q46*(((INDEX(avoidedcosttbl2,$H46,CI$2)+(($H46-ROUNDDOWN($H46,0))*(INDEX(avoidedcosttbl2,ROUNDUP($H46,0),CI$2)-INDEX(avoidedcosttbl2,ROUNDDOWN($H46,0),CI$2))))*'Inputs Yr 2'!AS46))),"")</f>
        <v>0</v>
      </c>
      <c r="CJ46" s="504">
        <f>IFERROR($G46*'Inputs Yr 2'!AT46*'Inputs Yr 2'!$P46*'Inputs Yr 2'!$Q46/((1+realdiscrt1)^-0.5),"")</f>
        <v>0</v>
      </c>
      <c r="CK46" s="79">
        <f>IFERROR((O46*1000*(((INDEX(avoidedcosttbl2,$H46,CK$2)+(($H46-ROUNDDOWN($H46,0))*(INDEX(avoidedcosttbl2,ROUNDUP($H46,0),CK$2)-INDEX(avoidedcosttbl2,ROUNDDOWN($H46,0),CK$2))))*'Inputs Yr 2'!AU46))),"")</f>
        <v>0</v>
      </c>
      <c r="CL46" s="504">
        <f>IFERROR(O46*1000*'Inputs Yr 2'!AV46/((1+realdiscrt1)^-0.5),"")</f>
        <v>0</v>
      </c>
      <c r="CM46" s="79">
        <f>IFERROR((AB46*'Inputs Yr 2'!AW46*(((INDEX(avoidedcosttbl2,$H46,CM$2)+(($H46-ROUNDDOWN($H46,0))*(INDEX(avoidedcosttbl2,ROUNDUP($H46,0),CM$2)-INDEX(avoidedcosttbl2,ROUNDDOWN($H46,0),CM$2)))))))*10,"")</f>
        <v>0</v>
      </c>
      <c r="CN46" s="504">
        <f>IFERROR(10*AB46*'Inputs Yr 2'!AX46/((1+realdiscrt1)^-0.5),"")</f>
        <v>0</v>
      </c>
      <c r="CO46" s="505">
        <f t="shared" si="45"/>
        <v>0</v>
      </c>
      <c r="CP46" s="230">
        <f t="shared" si="46"/>
        <v>34566.466551717967</v>
      </c>
      <c r="CQ46" s="199">
        <f>ROUND(IFERROR(IF(LEFT($A46,1)="C",'Avoided Costs'!$K$13,'Avoided Costs'!$K$12)+1,""),4)</f>
        <v>1.0720000000000001</v>
      </c>
      <c r="CR46" s="199">
        <f>ROUND(IFERROR(IF(LEFT($A46,1)="C",'Avoided Costs'!$L$13,'Avoided Costs'!$L$12)+1,""),4)</f>
        <v>1.04</v>
      </c>
      <c r="CS46" s="199">
        <f>ROUND(IFERROR(IF(LEFT($A46,1)="C",'Avoided Costs'!$M$13,'Avoided Costs'!$M$12)+1,""),4)</f>
        <v>1.0720000000000001</v>
      </c>
      <c r="CT46" s="199">
        <f>ROUND(IFERROR(IF(LEFT($A46,1)="C",'Avoided Costs'!$N$13,'Avoided Costs'!$N$12)+1,""),4)</f>
        <v>1.04</v>
      </c>
      <c r="CU46" s="199">
        <f>ROUND(IFERROR(IF(LEFT($A46,1)="C",'Avoided Costs'!$O$13,'Avoided Costs'!$O$12)+1,""),4)</f>
        <v>1.1120000000000001</v>
      </c>
      <c r="CV46" s="199">
        <f>ROUND(IFERROR(IF(LEFT($A46,1)="C",'Avoided Costs'!$P$13,'Avoided Costs'!$P$12)+1,""),4)</f>
        <v>1.095</v>
      </c>
      <c r="CW46" s="199">
        <f>ROUND(IFERROR(IF(LEFT($A46,1)="C",'Avoided Costs'!$Q$13,'Avoided Costs'!$Q$12)+1,""),4)</f>
        <v>1.1120000000000001</v>
      </c>
      <c r="CX46" s="200">
        <f>ROUND(IFERROR(IF(LEFT($A46,1)="C",'Avoided Costs'!$R$13,'Avoided Costs'!$R$12)+1,""),4)</f>
        <v>1.1120000000000001</v>
      </c>
    </row>
    <row r="47" spans="1:102" ht="12.75" customHeight="1">
      <c r="A47" s="91" t="str">
        <f>IF('Inputs Yr 2'!$B47=0,"",'Inputs Yr 2'!A47)</f>
        <v>A - Residential</v>
      </c>
      <c r="B47" s="91" t="str">
        <f>IF('Inputs Yr 2'!$B47=0,"",'Inputs Yr 2'!B47)</f>
        <v>A1 - Residential Whole House</v>
      </c>
      <c r="C47" s="91" t="str">
        <f>IF('Inputs Yr 2'!$B47=0,"",'Inputs Yr 2'!C47)</f>
        <v>A1c - Residential Home Energy Services - Measures</v>
      </c>
      <c r="D47" s="91" t="str">
        <f>IF('Inputs Yr 2'!$B47=0,"",'Inputs Yr 2'!E47)</f>
        <v>Pipe Wrap (Heating), Gas</v>
      </c>
      <c r="E47" s="93" t="str">
        <f>IF('Inputs Yr 2'!$B47=0,"",'Inputs Yr 2'!F47)</f>
        <v>G16A1c06</v>
      </c>
      <c r="F47" s="93" t="str">
        <f>IF('Inputs Yr 2'!$B47=0,"",'Inputs Yr 2'!G47)</f>
        <v>HVAC</v>
      </c>
      <c r="G47" s="95" t="str">
        <f>IF('Inputs Yr 2'!$H47&lt;&gt;0,('Inputs Yr 2'!H47),"")</f>
        <v/>
      </c>
      <c r="H47" s="94">
        <f>IFERROR('Inputs Yr 2'!I47,"")</f>
        <v>0</v>
      </c>
      <c r="I47" s="298" t="str">
        <f>IFERROR('Inputs Yr 2'!J47*'Inputs Yr 2'!P47*G47,"")</f>
        <v/>
      </c>
      <c r="J47" s="298" t="str">
        <f>IFERROR('Inputs Yr 2'!K47*G47,"")</f>
        <v/>
      </c>
      <c r="K47" s="298" t="str">
        <f t="shared" si="23"/>
        <v/>
      </c>
      <c r="L47" s="194" t="str">
        <f>IFERROR(('Inputs Yr 2'!W47*G47)/1000,"")</f>
        <v/>
      </c>
      <c r="M47" s="194" t="str">
        <f>IFERROR(L47*('Inputs Yr 2'!$Q47*'Inputs Yr 2'!$V47*'Inputs Yr 2'!$R47),"")</f>
        <v/>
      </c>
      <c r="N47" s="194" t="str">
        <f t="shared" si="24"/>
        <v/>
      </c>
      <c r="O47" s="194" t="str">
        <f>IFERROR(M47*'Inputs Yr 2'!P47,"")</f>
        <v/>
      </c>
      <c r="P47" s="194" t="str">
        <f t="shared" si="25"/>
        <v/>
      </c>
      <c r="Q47" s="194" t="str">
        <f>IFERROR($P47*'Inputs Yr 2'!AA47,"")</f>
        <v/>
      </c>
      <c r="R47" s="194" t="str">
        <f>IFERROR($P47*'Inputs Yr 2'!AB47,"")</f>
        <v/>
      </c>
      <c r="S47" s="194" t="str">
        <f>IFERROR($P47*'Inputs Yr 2'!AC47,"")</f>
        <v/>
      </c>
      <c r="T47" s="194" t="str">
        <f>IFERROR($P47*'Inputs Yr 2'!AD47,"")</f>
        <v/>
      </c>
      <c r="U47" s="194" t="str">
        <f>IFERROR(G47*'Inputs Yr 2'!$AE47*'Inputs Yr 2'!$P47*'Inputs Yr 2'!$Q47,"")</f>
        <v/>
      </c>
      <c r="V47" s="194" t="str">
        <f>IFERROR($G47*'Inputs Yr 2'!$AE47*'Inputs Yr 2'!$AG47*'Inputs Yr 2'!Q47*'Inputs Yr 2'!$S47,"")</f>
        <v/>
      </c>
      <c r="W47" s="194" t="str">
        <f>IFERROR($G47*'Inputs Yr 2'!$AE47*'Inputs Yr 2'!$AG47*'Inputs Yr 2'!P47*'Inputs Yr 2'!Q47*'Inputs Yr 2'!$S47,"")</f>
        <v/>
      </c>
      <c r="X47" s="194" t="str">
        <f>IFERROR($G47*'Inputs Yr 2'!$AE47*'Inputs Yr 2'!$AF47*'Inputs Yr 2'!Q47*'Inputs Yr 2'!$T47,"")</f>
        <v/>
      </c>
      <c r="Y47" s="194" t="str">
        <f>IFERROR($G47*'Inputs Yr 2'!$AE47*'Inputs Yr 2'!$AF47*'Inputs Yr 2'!P47*'Inputs Yr 2'!Q47*'Inputs Yr 2'!$T47,"")</f>
        <v/>
      </c>
      <c r="Z47" s="257">
        <f>IFERROR($G47*'Inputs Yr 2'!$Q47*'Inputs Yr 2'!$U47*(IF(IFERROR(SEARCH("NG", 'Inputs Yr 2'!$AJ47),0),'Inputs Yr 2'!$AK47,0)+IF(IFERROR(SEARCH("NG", 'Inputs Yr 2'!$AL47),0),'Inputs Yr 2'!$AM47,0)+IF(IFERROR(SEARCH("NG", 'Inputs Yr 2'!$AN47),0),'Inputs Yr 2'!$AO47,0)),0)</f>
        <v>0</v>
      </c>
      <c r="AA47" s="257">
        <f t="shared" si="26"/>
        <v>0</v>
      </c>
      <c r="AB47" s="257">
        <f>IFERROR(Z47*'Inputs Yr 2'!$P47,0)</f>
        <v>0</v>
      </c>
      <c r="AC47" s="257">
        <f t="shared" si="27"/>
        <v>0</v>
      </c>
      <c r="AD47" s="257">
        <f>IFERROR($G47*'Inputs Yr 2'!$Q47*'Inputs Yr 2'!$U47*(IF(IFERROR(SEARCH("Oil", 'Inputs Yr 2'!$AJ47), 0),'Inputs Yr 2'!$AK47,0)+IF(IFERROR(SEARCH("Oil", 'Inputs Yr 2'!$AL47), 0),'Inputs Yr 2'!$AM47,0)+IF(IFERROR(SEARCH("Oil", 'Inputs Yr 2'!$AN47), 0),'Inputs Yr 2'!$AO47,0)),0)</f>
        <v>0</v>
      </c>
      <c r="AE47" s="257">
        <f t="shared" si="28"/>
        <v>0</v>
      </c>
      <c r="AF47" s="257">
        <f>IFERROR(AD47*'Inputs Yr 2'!$P47,0)</f>
        <v>0</v>
      </c>
      <c r="AG47" s="257">
        <f t="shared" si="29"/>
        <v>0</v>
      </c>
      <c r="AH47" s="257">
        <f>IFERROR($G47*'Inputs Yr 2'!$Q47*'Inputs Yr 2'!$U47*(IF('Inputs Yr 2'!$AJ47=CD$4,'Inputs Yr 2'!$AK47,IF('Inputs Yr 2'!$AL47=CD$4,'Inputs Yr 2'!$AM47,IF('Inputs Yr 2'!$AN47=CD$4,'Inputs Yr 2'!$AO47,0)))),0)</f>
        <v>0</v>
      </c>
      <c r="AI47" s="257">
        <f t="shared" si="30"/>
        <v>0</v>
      </c>
      <c r="AJ47" s="257">
        <f>IFERROR(AH47*'Inputs Yr 2'!$P47,0)</f>
        <v>0</v>
      </c>
      <c r="AK47" s="257">
        <f t="shared" si="31"/>
        <v>0</v>
      </c>
      <c r="AL47" s="258">
        <f>IFERROR($G47*'Inputs Yr 2'!$P47*'Inputs Yr 2'!$Q47*'Inputs Yr 2'!AP47,0)</f>
        <v>0</v>
      </c>
      <c r="AM47" s="260">
        <f>IFERROR($G47*'Inputs Yr 2'!$P47*'Inputs Yr 2'!$Q47*'Inputs Yr 2'!AQ47,0)</f>
        <v>0</v>
      </c>
      <c r="AN47" s="258">
        <f>IFERROR($G47*'Inputs Yr 2'!$P47*'Inputs Yr 2'!$Q47*'Inputs Yr 2'!AR47,0)</f>
        <v>0</v>
      </c>
      <c r="AO47" s="257">
        <f t="shared" si="32"/>
        <v>0</v>
      </c>
      <c r="AP47" s="195" t="str">
        <f>IFERROR($CQ47*(INDEX(avoidedcosttbl2,$H47,AP$2)+(($H47-ROUNDDOWN($H47,0))*(INDEX(avoidedcosttbl2,ROUNDUP($H47,0),AP$2)-(INDEX(avoidedcosttbl2,ROUNDDOWN($H47,0),AP$2)))))*$O47*1000*'Inputs Yr 2'!AA47,"")</f>
        <v/>
      </c>
      <c r="AQ47" s="195" t="str">
        <f>IFERROR($CR47*(INDEX(avoidedcosttbl2,$H47,AQ$2)+(($H47-ROUNDDOWN($H47,0))*(INDEX(avoidedcosttbl2,ROUNDUP($H47,0),AQ$2)-(INDEX(avoidedcosttbl2,ROUNDDOWN($H47,0),AQ$2)))))*$O47*1000*'Inputs Yr 2'!AB47,"")</f>
        <v/>
      </c>
      <c r="AR47" s="195" t="str">
        <f>IFERROR($CS47*(INDEX(avoidedcosttbl2,$H47,AR$2)+(($H47-ROUNDDOWN($H47,0))*(INDEX(avoidedcosttbl2,ROUNDUP($H47,0),AR$2)-(INDEX(avoidedcosttbl2,ROUNDDOWN($H47,0),AR$2)))))*$O47*1000*'Inputs Yr 2'!AC47,"")</f>
        <v/>
      </c>
      <c r="AS47" s="195" t="str">
        <f>IFERROR($CT47*(INDEX(avoidedcosttbl2,$H47,AS$2)+(($H47-ROUNDDOWN($H47,0))*(INDEX(avoidedcosttbl2,ROUNDUP($H47,0),AS$2)-(INDEX(avoidedcosttbl2,ROUNDDOWN($H47,0),AS$2)))))*$O47*1000*'Inputs Yr 2'!AD47,"")</f>
        <v/>
      </c>
      <c r="AT47" s="196">
        <f t="shared" si="33"/>
        <v>0</v>
      </c>
      <c r="AU47" s="197" t="str">
        <f>IFERROR($CQ47*((INDEX(avoidedcosttbl2,$H47,AU$2))+(($H47-ROUNDDOWN($H47,0))*((INDEX(avoidedcosttbl2,ROUNDUP($H47,0),AU$2))-(INDEX(avoidedcosttbl2,ROUNDDOWN($H47,0),AU$2)))))*$O47*1000*'Inputs Yr 2'!AA47,"")</f>
        <v/>
      </c>
      <c r="AV47" s="197" t="str">
        <f>IFERROR($CR47*((INDEX(avoidedcosttbl2,$H47,AV$2))+(($H47-ROUNDDOWN($H47,0))*((INDEX(avoidedcosttbl2,ROUNDUP($H47,0),AV$2))-(INDEX(avoidedcosttbl2,ROUNDDOWN($H47,0),AV$2)))))*$O47*1000*'Inputs Yr 2'!AB47,"")</f>
        <v/>
      </c>
      <c r="AW47" s="197" t="str">
        <f>IFERROR($CS47*((INDEX(avoidedcosttbl2,$H47,AW$2))+(($H47-ROUNDDOWN($H47,0))*((INDEX(avoidedcosttbl2,ROUNDUP($H47,0),AW$2))-(INDEX(avoidedcosttbl2,ROUNDDOWN($H47,0),AW$2)))))*$O47*1000*'Inputs Yr 2'!AC47,"")</f>
        <v/>
      </c>
      <c r="AX47" s="197" t="str">
        <f>IFERROR($CT47*((INDEX(avoidedcosttbl2,$H47,AX$2))+(($H47-ROUNDDOWN($H47,0))*((INDEX(avoidedcosttbl2,ROUNDUP($H47,0),AX$2))-(INDEX(avoidedcosttbl2,ROUNDDOWN($H47,0),AX$2)))))*$O47*1000*'Inputs Yr 2'!AD47,"")</f>
        <v/>
      </c>
      <c r="AY47" s="197" t="str">
        <f>IFERROR(((INDEX(avoidedcosttbl2,$H47,AY$2))+(($H47-ROUNDDOWN($H47,0))*((INDEX(avoidedcosttbl2,ROUNDUP($H47,0),AY$2))-(INDEX(avoidedcosttbl2,ROUNDDOWN($H47,0),AY$2)))))*$O47*1000*('Inputs Yr 2'!AC47+'Inputs Yr 2'!AD47),"")</f>
        <v/>
      </c>
      <c r="AZ47" s="197" t="str">
        <f>IFERROR(((INDEX(avoidedcosttbl2,$H47,AZ$2))+(($H47-ROUNDDOWN($H47,0))*((INDEX(avoidedcosttbl2,ROUNDUP($H47,0),AZ$2))-(INDEX(avoidedcosttbl2,ROUNDDOWN($H47,0),AZ$2)))))*$O47*1000*('Inputs Yr 2'!AA47+'Inputs Yr 2'!AB47),"")</f>
        <v/>
      </c>
      <c r="BA47" s="198">
        <f t="shared" si="34"/>
        <v>0</v>
      </c>
      <c r="BB47" s="198">
        <f t="shared" si="35"/>
        <v>0</v>
      </c>
      <c r="BC47" s="195" t="str">
        <f t="shared" si="10"/>
        <v/>
      </c>
      <c r="BD47" s="195" t="str">
        <f t="shared" si="11"/>
        <v/>
      </c>
      <c r="BE47" s="195" t="str">
        <f t="shared" si="12"/>
        <v/>
      </c>
      <c r="BF47" s="195" t="str">
        <f t="shared" si="13"/>
        <v/>
      </c>
      <c r="BG47" s="195" t="str">
        <f t="shared" si="14"/>
        <v/>
      </c>
      <c r="BH47" s="196">
        <f t="shared" si="36"/>
        <v>0</v>
      </c>
      <c r="BI47" s="196">
        <f t="shared" si="37"/>
        <v>0</v>
      </c>
      <c r="BJ47" s="195" t="str">
        <f>IFERROR($G47*(IF('Inputs Yr 2'!$AJ47=BJ$4,'Inputs Yr 2'!$AK47,IF('Inputs Yr 2'!$AL47=BJ$4,'Inputs Yr 2'!$AM47,IF('Inputs Yr 2'!$AN47=BJ$4,'Inputs Yr 2'!$AO47,0))))*(INDEX(avoidedcosttbl2,$H47,BJ$2)+(($H47-ROUNDDOWN($H47,0))*(INDEX(avoidedcosttbl2,ROUNDUP($H47,0),BJ$2)-(INDEX(avoidedcosttbl2,ROUNDDOWN($H47,0),BJ$2)))))*'Inputs Yr 2'!P47*'Inputs Yr 2'!Q47*'Inputs Yr 2'!U47,"")</f>
        <v/>
      </c>
      <c r="BK47" s="195" t="str">
        <f>IFERROR($G47*(IF('Inputs Yr 2'!$AJ47=BK$4,'Inputs Yr 2'!$AK47,IF('Inputs Yr 2'!$AL47=BK$4,'Inputs Yr 2'!$AM47,IF('Inputs Yr 2'!$AN47=BK$4,'Inputs Yr 2'!$AO47,0))))*(INDEX(avoidedcosttbl2,$H47,BK$2)+(($H47-ROUNDDOWN($H47,0))*(INDEX(avoidedcosttbl2,ROUNDUP($H47,0),BK$2)-(INDEX(avoidedcosttbl2,ROUNDDOWN($H47,0),BK$2)))))*'Inputs Yr 2'!P47*'Inputs Yr 2'!Q47*'Inputs Yr 2'!U47,"")</f>
        <v/>
      </c>
      <c r="BL47" s="195" t="str">
        <f>IFERROR($G47*(IF('Inputs Yr 2'!$AJ47=BL$4,'Inputs Yr 2'!$AK47,IF('Inputs Yr 2'!$AL47=BL$4,'Inputs Yr 2'!$AM47,IF('Inputs Yr 2'!$AN47=BL$4,'Inputs Yr 2'!$AO47,0))))*(INDEX(avoidedcosttbl2,$H47,BL$2)+(($H47-ROUNDDOWN($H47,0))*(INDEX(avoidedcosttbl2,ROUNDUP($H47,0),BL$2)-(INDEX(avoidedcosttbl2,ROUNDDOWN($H47,0),BL$2)))))*'Inputs Yr 2'!P47*'Inputs Yr 2'!Q47*'Inputs Yr 2'!U47,"")</f>
        <v/>
      </c>
      <c r="BM47" s="195" t="str">
        <f>IFERROR($G47*(IF('Inputs Yr 2'!$AJ47=BM$4,'Inputs Yr 2'!$AK47,IF('Inputs Yr 2'!$AL47=BM$4,'Inputs Yr 2'!$AM47,IF('Inputs Yr 2'!$AN47=BM$4,'Inputs Yr 2'!$AO47,0))))*(INDEX(avoidedcosttbl2,$H47,BM$2)+(($H47-ROUNDDOWN($H47,0))*(INDEX(avoidedcosttbl2,ROUNDUP($H47,0),BM$2)-(INDEX(avoidedcosttbl2,ROUNDDOWN($H47,0),BM$2)))))*'Inputs Yr 2'!P47*'Inputs Yr 2'!Q47*'Inputs Yr 2'!U47,"")</f>
        <v/>
      </c>
      <c r="BN47" s="195" t="str">
        <f>IFERROR($G47*(IF('Inputs Yr 2'!$AJ47=BN$4,'Inputs Yr 2'!$AK47,IF('Inputs Yr 2'!$AL47=BN$4,'Inputs Yr 2'!$AM47,IF('Inputs Yr 2'!$AN47=BN$4,'Inputs Yr 2'!$AO47,0))))*(INDEX(avoidedcosttbl2,$H47,BN$2)+(($H47-ROUNDDOWN($H47,0))*(INDEX(avoidedcosttbl2,ROUNDUP($H47,0),BN$2)-(INDEX(avoidedcosttbl2,ROUNDDOWN($H47,0),BN$2)))))*'Inputs Yr 2'!P47*'Inputs Yr 2'!Q47*'Inputs Yr 2'!U47,"")</f>
        <v/>
      </c>
      <c r="BO47" s="195" t="str">
        <f>IFERROR($G47*(IF('Inputs Yr 2'!$AJ47=BO$4,'Inputs Yr 2'!$AK47,IF('Inputs Yr 2'!$AL47=BO$4,'Inputs Yr 2'!$AM47,IF('Inputs Yr 2'!$AN47=BO$4,'Inputs Yr 2'!$AO47,0))))*(INDEX(avoidedcosttbl2,$H47,BO$2)+(($H47-ROUNDDOWN($H47,0))*(INDEX(avoidedcosttbl2,ROUNDUP($H47,0),BO$2)-(INDEX(avoidedcosttbl2,ROUNDDOWN($H47,0),BO$2)))))*'Inputs Yr 2'!P47*'Inputs Yr 2'!Q47*'Inputs Yr 2'!U47,"")</f>
        <v/>
      </c>
      <c r="BP47" s="195" t="str">
        <f>IFERROR($G47*(IF('Inputs Yr 2'!$AJ47=BP$4,'Inputs Yr 2'!$AK47,IF('Inputs Yr 2'!$AL47=BP$4,'Inputs Yr 2'!$AM47,IF('Inputs Yr 2'!$AN47=BP$4,'Inputs Yr 2'!$AO47,0))))*(INDEX(avoidedcosttbl2,$H47,BP$2)+(($H47-ROUNDDOWN($H47,0))*(INDEX(avoidedcosttbl2,ROUNDUP($H47,0),BP$2)-(INDEX(avoidedcosttbl2,ROUNDDOWN($H47,0),BP$2)))))*'Inputs Yr 2'!P47*'Inputs Yr 2'!Q47*'Inputs Yr 2'!U47,"")</f>
        <v/>
      </c>
      <c r="BQ47" s="230">
        <f t="shared" si="38"/>
        <v>0</v>
      </c>
      <c r="BR47" s="197" t="str">
        <f t="shared" si="17"/>
        <v/>
      </c>
      <c r="BS47" s="197" t="str">
        <f>IFERROR(($G47*IF('Inputs Yr 2'!$AJ47=BM$4,'Inputs Yr 2'!$AK47,IF('Inputs Yr 2'!$AL47=BM$4,'Inputs Yr 2'!$AM47,IF('Inputs Yr 2'!$AN47=BM$4,'Inputs Yr 2'!$AO47,0))))*(INDEX(avoidedcosttbl2,$H47,BS$2)+(($H47-ROUNDDOWN($H47,0))*(INDEX(avoidedcosttbl2,ROUNDUP($H47,0),BS$2)-(INDEX(avoidedcosttbl2,ROUNDDOWN($H47,0),BS$2)))))*'Inputs Yr 2'!P47*'Inputs Yr 2'!Q47*'Inputs Yr 2'!U47,"")</f>
        <v/>
      </c>
      <c r="BT47" s="197" t="str">
        <f>IFERROR(($G47*IF('Inputs Yr 2'!$AJ47=BK$4,'Inputs Yr 2'!$AK47,IF('Inputs Yr 2'!$AL47=BK$4,'Inputs Yr 2'!$AM47,IF('Inputs Yr 2'!$AN47=BK$4,'Inputs Yr 2'!$AO47,0))))*(INDEX(avoidedcosttbl2,$H47,BT$2)+(($H47-ROUNDDOWN($H47,0))*(INDEX(avoidedcosttbl2,ROUNDUP($H47,0),BT$2)-(INDEX(avoidedcosttbl2,ROUNDDOWN($H47,0),BT$2)))))*'Inputs Yr 2'!P47*'Inputs Yr 2'!Q47*'Inputs Yr 2'!U47,"")</f>
        <v/>
      </c>
      <c r="BU47" s="197" t="str">
        <f>IFERROR(($G47*IF('Inputs Yr 2'!$AJ47=BL$4,'Inputs Yr 2'!$AK47,IF('Inputs Yr 2'!$AL47=BL$4,'Inputs Yr 2'!$AM47,IF('Inputs Yr 2'!$AN47=BL$4,'Inputs Yr 2'!$AO47,0))))*(INDEX(avoidedcosttbl2,$H47,BU$2)+(($H47-ROUNDDOWN($H47,0))*(INDEX(avoidedcosttbl2,ROUNDUP($H47,0),BU$2)-(INDEX(avoidedcosttbl2,ROUNDDOWN($H47,0),BU$2)))))*'Inputs Yr 2'!P47*'Inputs Yr 2'!Q47*'Inputs Yr 2'!U47,"")</f>
        <v/>
      </c>
      <c r="BV47" s="775" t="str">
        <f>IFERROR(($G47*IF('Inputs Yr 2'!$AJ47=BJ$4,'Inputs Yr 2'!$AK47,IF('Inputs Yr 2'!$AL47=BJ$4,'Inputs Yr 2'!$AM47,IF('Inputs Yr 2'!$AN47=BJ$4,'Inputs Yr 2'!$AO47,0))))*(INDEX(avoidedcosttbl2,$H47,BV$2)+(($H47-ROUNDDOWN($H47,0))*(INDEX(avoidedcosttbl2,ROUNDUP($H47,0),BV$2)-(INDEX(avoidedcosttbl2,ROUNDDOWN($H47,0),BV$2)))))*'Inputs Yr 2'!P47*'Inputs Yr 2'!Q47*'Inputs Yr 2'!U47,"")</f>
        <v/>
      </c>
      <c r="BW47" s="197" t="str">
        <f>IFERROR(($G47*IF('Inputs Yr 2'!$AJ47=BN$4,'Inputs Yr 2'!$AK47,IF('Inputs Yr 2'!$AL47=BN$4,'Inputs Yr 2'!$AM47,IF('Inputs Yr 2'!$AN47=BN$4,'Inputs Yr 2'!$AO47,0))))*(INDEX(avoidedcosttbl2,$H47,BW$2)+(($H47-ROUNDDOWN($H47,0))*(INDEX(avoidedcosttbl2,ROUNDUP($H47,0),BW$2)-(INDEX(avoidedcosttbl2,ROUNDDOWN($H47,0),BW$2)))))*'Inputs Yr 2'!P47*'Inputs Yr 2'!Q47*'Inputs Yr 2'!U47,"")</f>
        <v/>
      </c>
      <c r="BX47" s="197" t="str">
        <f>IFERROR(($G47*IF('Inputs Yr 2'!$AJ47=BO$4,'Inputs Yr 2'!$AK47,IF('Inputs Yr 2'!$AL47=BO$4,'Inputs Yr 2'!$AM47,IF('Inputs Yr 2'!$AN47=BO$4,'Inputs Yr 2'!$AO47,0))))*(INDEX(avoidedcosttbl2,$H47,BX$2)+(($H47-ROUNDDOWN($H47,0))*(INDEX(avoidedcosttbl2,ROUNDUP($H47,0),BX$2)-(INDEX(avoidedcosttbl2,ROUNDDOWN($H47,0),BX$2)))))*'Inputs Yr 2'!P47*'Inputs Yr 2'!Q47*'Inputs Yr 2'!U47,"")</f>
        <v/>
      </c>
      <c r="BY47" s="197" t="str">
        <f>IFERROR(($G47*IF('Inputs Yr 2'!$AJ47=BP$4,'Inputs Yr 2'!$AK47,IF('Inputs Yr 2'!$AL47=BP$4,'Inputs Yr 2'!$AM47,IF('Inputs Yr 2'!$AN47=BP$4,'Inputs Yr 2'!$AO47,0))))*(INDEX(avoidedcosttbl2,$H47,BY$2)+(($H47-ROUNDDOWN($H47,0))*(INDEX(avoidedcosttbl2,ROUNDUP($H47,0),BY$2)-(INDEX(avoidedcosttbl2,ROUNDDOWN($H47,0),BY$2)))))*'Inputs Yr 2'!P47*'Inputs Yr 2'!Q47*'Inputs Yr 2'!U47,"")</f>
        <v/>
      </c>
      <c r="BZ47" s="193">
        <f t="shared" si="39"/>
        <v>0</v>
      </c>
      <c r="CA47" s="193">
        <f t="shared" si="40"/>
        <v>0</v>
      </c>
      <c r="CB47" s="195" t="str">
        <f>IFERROR(G47*(IF('Inputs Yr 2'!$AJ47=CB$4,'Inputs Yr 2'!$AK47,IF('Inputs Yr 2'!$AL47=CB$4,'Inputs Yr 2'!$AM47,IF('Inputs Yr 2'!$AN47=CB$4,'Inputs Yr 2'!$AO47,0))))*(INDEX(avoidedcosttbl2,$H47,CB$2)+(($H47-ROUNDDOWN($H47,0))*(INDEX(avoidedcosttbl2,ROUNDUP($H47,0),CB$2)-(INDEX(avoidedcosttbl2,ROUNDDOWN($H47,0),CB$2)))))*'Inputs Yr 2'!P47*'Inputs Yr 2'!Q47*'Inputs Yr 2'!U47,"")</f>
        <v/>
      </c>
      <c r="CC47" s="195" t="str">
        <f>IFERROR(H47*(IF('Inputs Yr 2'!$AJ47=CC$4,'Inputs Yr 2'!$AK47,IF('Inputs Yr 2'!$AL47=CC$4,'Inputs Yr 2'!$AM47,IF('Inputs Yr 2'!$AN47=CC$4,'Inputs Yr 2'!$AO47,0))))*(INDEX(avoidedcosttbl2,$H47,CC$2)+(($H47-ROUNDDOWN($H47,0))*(INDEX(avoidedcosttbl2,ROUNDUP($H47,0),CC$2)-(INDEX(avoidedcosttbl2,ROUNDDOWN($H47,0),CC$2)))))*'Inputs Yr 2'!Q47*'Inputs Yr 2'!R47*'Inputs Yr 2'!V47,"")</f>
        <v/>
      </c>
      <c r="CD47" s="195" t="str">
        <f>IFERROR(I47*(IF('Inputs Yr 2'!$AJ47=CD$4,'Inputs Yr 2'!$AK47,IF('Inputs Yr 2'!$AL47=CD$4,'Inputs Yr 2'!$AM47,IF('Inputs Yr 2'!$AN47=CD$4,'Inputs Yr 2'!$AO47,0))))*(INDEX(avoidedcosttbl2,$H47,CD$2)+(($H47-ROUNDDOWN($H47,0))*(INDEX(avoidedcosttbl2,ROUNDUP($H47,0),CD$2)-(INDEX(avoidedcosttbl2,ROUNDDOWN($H47,0),CD$2)))))*'Inputs Yr 2'!R47*'Inputs Yr 2'!S47*'Inputs Yr 2'!W47,"")</f>
        <v/>
      </c>
      <c r="CE47" s="213" t="str">
        <f t="shared" si="41"/>
        <v/>
      </c>
      <c r="CF47" s="213" t="str">
        <f t="shared" si="42"/>
        <v/>
      </c>
      <c r="CG47" s="213" t="str">
        <f t="shared" si="43"/>
        <v/>
      </c>
      <c r="CH47" s="698">
        <f t="shared" si="44"/>
        <v>0</v>
      </c>
      <c r="CI47" s="79" t="str">
        <f>IFERROR(($G47*'Inputs Yr 2'!$P47*'Inputs Yr 2'!$Q47*(((INDEX(avoidedcosttbl2,$H47,CI$2)+(($H47-ROUNDDOWN($H47,0))*(INDEX(avoidedcosttbl2,ROUNDUP($H47,0),CI$2)-INDEX(avoidedcosttbl2,ROUNDDOWN($H47,0),CI$2))))*'Inputs Yr 2'!AS47))),"")</f>
        <v/>
      </c>
      <c r="CJ47" s="504" t="str">
        <f>IFERROR($G47*'Inputs Yr 2'!AT47*'Inputs Yr 2'!$P47*'Inputs Yr 2'!$Q47/((1+realdiscrt1)^-0.5),"")</f>
        <v/>
      </c>
      <c r="CK47" s="79" t="str">
        <f>IFERROR((O47*1000*(((INDEX(avoidedcosttbl2,$H47,CK$2)+(($H47-ROUNDDOWN($H47,0))*(INDEX(avoidedcosttbl2,ROUNDUP($H47,0),CK$2)-INDEX(avoidedcosttbl2,ROUNDDOWN($H47,0),CK$2))))*'Inputs Yr 2'!AU47))),"")</f>
        <v/>
      </c>
      <c r="CL47" s="504" t="str">
        <f>IFERROR(O47*1000*'Inputs Yr 2'!AV47/((1+realdiscrt1)^-0.5),"")</f>
        <v/>
      </c>
      <c r="CM47" s="79" t="str">
        <f>IFERROR((AB47*'Inputs Yr 2'!AW47*(((INDEX(avoidedcosttbl2,$H47,CM$2)+(($H47-ROUNDDOWN($H47,0))*(INDEX(avoidedcosttbl2,ROUNDUP($H47,0),CM$2)-INDEX(avoidedcosttbl2,ROUNDDOWN($H47,0),CM$2)))))))*10,"")</f>
        <v/>
      </c>
      <c r="CN47" s="504">
        <f>IFERROR(10*AB47*'Inputs Yr 2'!AX47/((1+realdiscrt1)^-0.5),"")</f>
        <v>0</v>
      </c>
      <c r="CO47" s="505">
        <f t="shared" si="45"/>
        <v>0</v>
      </c>
      <c r="CP47" s="230">
        <f t="shared" si="46"/>
        <v>0</v>
      </c>
      <c r="CQ47" s="199">
        <f>ROUND(IFERROR(IF(LEFT($A47,1)="C",'Avoided Costs'!$K$13,'Avoided Costs'!$K$12)+1,""),4)</f>
        <v>1.0720000000000001</v>
      </c>
      <c r="CR47" s="199">
        <f>ROUND(IFERROR(IF(LEFT($A47,1)="C",'Avoided Costs'!$L$13,'Avoided Costs'!$L$12)+1,""),4)</f>
        <v>1.04</v>
      </c>
      <c r="CS47" s="199">
        <f>ROUND(IFERROR(IF(LEFT($A47,1)="C",'Avoided Costs'!$M$13,'Avoided Costs'!$M$12)+1,""),4)</f>
        <v>1.0720000000000001</v>
      </c>
      <c r="CT47" s="199">
        <f>ROUND(IFERROR(IF(LEFT($A47,1)="C",'Avoided Costs'!$N$13,'Avoided Costs'!$N$12)+1,""),4)</f>
        <v>1.04</v>
      </c>
      <c r="CU47" s="199">
        <f>ROUND(IFERROR(IF(LEFT($A47,1)="C",'Avoided Costs'!$O$13,'Avoided Costs'!$O$12)+1,""),4)</f>
        <v>1.1120000000000001</v>
      </c>
      <c r="CV47" s="199">
        <f>ROUND(IFERROR(IF(LEFT($A47,1)="C",'Avoided Costs'!$P$13,'Avoided Costs'!$P$12)+1,""),4)</f>
        <v>1.095</v>
      </c>
      <c r="CW47" s="199">
        <f>ROUND(IFERROR(IF(LEFT($A47,1)="C",'Avoided Costs'!$Q$13,'Avoided Costs'!$Q$12)+1,""),4)</f>
        <v>1.1120000000000001</v>
      </c>
      <c r="CX47" s="200">
        <f>ROUND(IFERROR(IF(LEFT($A47,1)="C",'Avoided Costs'!$R$13,'Avoided Costs'!$R$12)+1,""),4)</f>
        <v>1.1120000000000001</v>
      </c>
    </row>
    <row r="48" spans="1:102" ht="12.75" customHeight="1">
      <c r="A48" s="91" t="str">
        <f>IF('Inputs Yr 2'!$B48=0,"",'Inputs Yr 2'!A48)</f>
        <v>A - Residential</v>
      </c>
      <c r="B48" s="91" t="str">
        <f>IF('Inputs Yr 2'!$B48=0,"",'Inputs Yr 2'!B48)</f>
        <v>A1 - Residential Whole House</v>
      </c>
      <c r="C48" s="91" t="str">
        <f>IF('Inputs Yr 2'!$B48=0,"",'Inputs Yr 2'!C48)</f>
        <v>A1c - Residential Home Energy Services - Measures</v>
      </c>
      <c r="D48" s="91" t="str">
        <f>IF('Inputs Yr 2'!$B48=0,"",'Inputs Yr 2'!E48)</f>
        <v>Faucet Aerator, Gas</v>
      </c>
      <c r="E48" s="93" t="str">
        <f>IF('Inputs Yr 2'!$B48=0,"",'Inputs Yr 2'!F48)</f>
        <v>G16A1c07</v>
      </c>
      <c r="F48" s="93" t="str">
        <f>IF('Inputs Yr 2'!$B48=0,"",'Inputs Yr 2'!G48)</f>
        <v>Hot Water</v>
      </c>
      <c r="G48" s="95">
        <f>IF('Inputs Yr 2'!$H48&lt;&gt;0,('Inputs Yr 2'!H48),"")</f>
        <v>11922</v>
      </c>
      <c r="H48" s="94">
        <f>IFERROR('Inputs Yr 2'!I48,"")</f>
        <v>7</v>
      </c>
      <c r="I48" s="298">
        <f>IFERROR('Inputs Yr 2'!J48*'Inputs Yr 2'!P48*G48,"")</f>
        <v>24836</v>
      </c>
      <c r="J48" s="298">
        <f>IFERROR('Inputs Yr 2'!K48*G48,"")</f>
        <v>24836</v>
      </c>
      <c r="K48" s="298">
        <f t="shared" si="23"/>
        <v>0</v>
      </c>
      <c r="L48" s="194">
        <f>IFERROR(('Inputs Yr 2'!W48*G48)/1000,"")</f>
        <v>0</v>
      </c>
      <c r="M48" s="194">
        <f>IFERROR(L48*('Inputs Yr 2'!$Q48*'Inputs Yr 2'!$V48*'Inputs Yr 2'!$R48),"")</f>
        <v>0</v>
      </c>
      <c r="N48" s="194">
        <f t="shared" si="24"/>
        <v>0</v>
      </c>
      <c r="O48" s="194">
        <f>IFERROR(M48*'Inputs Yr 2'!P48,"")</f>
        <v>0</v>
      </c>
      <c r="P48" s="194">
        <f t="shared" si="25"/>
        <v>0</v>
      </c>
      <c r="Q48" s="194">
        <f>IFERROR($P48*'Inputs Yr 2'!AA48,"")</f>
        <v>0</v>
      </c>
      <c r="R48" s="194">
        <f>IFERROR($P48*'Inputs Yr 2'!AB48,"")</f>
        <v>0</v>
      </c>
      <c r="S48" s="194">
        <f>IFERROR($P48*'Inputs Yr 2'!AC48,"")</f>
        <v>0</v>
      </c>
      <c r="T48" s="194">
        <f>IFERROR($P48*'Inputs Yr 2'!AD48,"")</f>
        <v>0</v>
      </c>
      <c r="U48" s="194">
        <f>IFERROR(G48*'Inputs Yr 2'!$AE48*'Inputs Yr 2'!$P48*'Inputs Yr 2'!$Q48,"")</f>
        <v>0</v>
      </c>
      <c r="V48" s="194">
        <f>IFERROR($G48*'Inputs Yr 2'!$AE48*'Inputs Yr 2'!$AG48*'Inputs Yr 2'!Q48*'Inputs Yr 2'!$S48,"")</f>
        <v>0</v>
      </c>
      <c r="W48" s="194">
        <f>IFERROR($G48*'Inputs Yr 2'!$AE48*'Inputs Yr 2'!$AG48*'Inputs Yr 2'!P48*'Inputs Yr 2'!Q48*'Inputs Yr 2'!$S48,"")</f>
        <v>0</v>
      </c>
      <c r="X48" s="194">
        <f>IFERROR($G48*'Inputs Yr 2'!$AE48*'Inputs Yr 2'!$AF48*'Inputs Yr 2'!Q48*'Inputs Yr 2'!$T48,"")</f>
        <v>0</v>
      </c>
      <c r="Y48" s="194">
        <f>IFERROR($G48*'Inputs Yr 2'!$AE48*'Inputs Yr 2'!$AF48*'Inputs Yr 2'!P48*'Inputs Yr 2'!Q48*'Inputs Yr 2'!$T48,"")</f>
        <v>0</v>
      </c>
      <c r="Z48" s="257">
        <f>IFERROR($G48*'Inputs Yr 2'!$Q48*'Inputs Yr 2'!$U48*(IF(IFERROR(SEARCH("NG", 'Inputs Yr 2'!$AJ48),0),'Inputs Yr 2'!$AK48,0)+IF(IFERROR(SEARCH("NG", 'Inputs Yr 2'!$AL48),0),'Inputs Yr 2'!$AM48,0)+IF(IFERROR(SEARCH("NG", 'Inputs Yr 2'!$AN48),0),'Inputs Yr 2'!$AO48,0)),0)</f>
        <v>2384.4</v>
      </c>
      <c r="AA48" s="257">
        <f t="shared" si="26"/>
        <v>16690.8</v>
      </c>
      <c r="AB48" s="257">
        <f>IFERROR(Z48*'Inputs Yr 2'!$P48,0)</f>
        <v>2384.4</v>
      </c>
      <c r="AC48" s="257">
        <f t="shared" si="27"/>
        <v>16690.8</v>
      </c>
      <c r="AD48" s="257">
        <f>IFERROR($G48*'Inputs Yr 2'!$Q48*'Inputs Yr 2'!$U48*(IF(IFERROR(SEARCH("Oil", 'Inputs Yr 2'!$AJ48), 0),'Inputs Yr 2'!$AK48,0)+IF(IFERROR(SEARCH("Oil", 'Inputs Yr 2'!$AL48), 0),'Inputs Yr 2'!$AM48,0)+IF(IFERROR(SEARCH("Oil", 'Inputs Yr 2'!$AN48), 0),'Inputs Yr 2'!$AO48,0)),0)</f>
        <v>0</v>
      </c>
      <c r="AE48" s="257">
        <f t="shared" si="28"/>
        <v>0</v>
      </c>
      <c r="AF48" s="257">
        <f>IFERROR(AD48*'Inputs Yr 2'!$P48,0)</f>
        <v>0</v>
      </c>
      <c r="AG48" s="257">
        <f t="shared" si="29"/>
        <v>0</v>
      </c>
      <c r="AH48" s="257">
        <f>IFERROR($G48*'Inputs Yr 2'!$Q48*'Inputs Yr 2'!$U48*(IF('Inputs Yr 2'!$AJ48=CD$4,'Inputs Yr 2'!$AK48,IF('Inputs Yr 2'!$AL48=CD$4,'Inputs Yr 2'!$AM48,IF('Inputs Yr 2'!$AN48=CD$4,'Inputs Yr 2'!$AO48,0)))),0)</f>
        <v>0</v>
      </c>
      <c r="AI48" s="257">
        <f t="shared" si="30"/>
        <v>0</v>
      </c>
      <c r="AJ48" s="257">
        <f>IFERROR(AH48*'Inputs Yr 2'!$P48,0)</f>
        <v>0</v>
      </c>
      <c r="AK48" s="257">
        <f t="shared" si="31"/>
        <v>0</v>
      </c>
      <c r="AL48" s="258">
        <f>IFERROR($G48*'Inputs Yr 2'!$P48*'Inputs Yr 2'!$Q48*'Inputs Yr 2'!AP48,0)</f>
        <v>3958104</v>
      </c>
      <c r="AM48" s="260">
        <f>IFERROR($G48*'Inputs Yr 2'!$P48*'Inputs Yr 2'!$Q48*'Inputs Yr 2'!AQ48,0)</f>
        <v>0</v>
      </c>
      <c r="AN48" s="258">
        <f>IFERROR($G48*'Inputs Yr 2'!$P48*'Inputs Yr 2'!$Q48*'Inputs Yr 2'!AR48,0)</f>
        <v>0</v>
      </c>
      <c r="AO48" s="257">
        <f t="shared" si="32"/>
        <v>27706728</v>
      </c>
      <c r="AP48" s="195">
        <f>IFERROR($CQ48*(INDEX(avoidedcosttbl2,$H48,AP$2)+(($H48-ROUNDDOWN($H48,0))*(INDEX(avoidedcosttbl2,ROUNDUP($H48,0),AP$2)-(INDEX(avoidedcosttbl2,ROUNDDOWN($H48,0),AP$2)))))*$O48*1000*'Inputs Yr 2'!AA48,"")</f>
        <v>0</v>
      </c>
      <c r="AQ48" s="195">
        <f>IFERROR($CR48*(INDEX(avoidedcosttbl2,$H48,AQ$2)+(($H48-ROUNDDOWN($H48,0))*(INDEX(avoidedcosttbl2,ROUNDUP($H48,0),AQ$2)-(INDEX(avoidedcosttbl2,ROUNDDOWN($H48,0),AQ$2)))))*$O48*1000*'Inputs Yr 2'!AB48,"")</f>
        <v>0</v>
      </c>
      <c r="AR48" s="195">
        <f>IFERROR($CS48*(INDEX(avoidedcosttbl2,$H48,AR$2)+(($H48-ROUNDDOWN($H48,0))*(INDEX(avoidedcosttbl2,ROUNDUP($H48,0),AR$2)-(INDEX(avoidedcosttbl2,ROUNDDOWN($H48,0),AR$2)))))*$O48*1000*'Inputs Yr 2'!AC48,"")</f>
        <v>0</v>
      </c>
      <c r="AS48" s="195">
        <f>IFERROR($CT48*(INDEX(avoidedcosttbl2,$H48,AS$2)+(($H48-ROUNDDOWN($H48,0))*(INDEX(avoidedcosttbl2,ROUNDUP($H48,0),AS$2)-(INDEX(avoidedcosttbl2,ROUNDDOWN($H48,0),AS$2)))))*$O48*1000*'Inputs Yr 2'!AD48,"")</f>
        <v>0</v>
      </c>
      <c r="AT48" s="196">
        <f t="shared" si="33"/>
        <v>0</v>
      </c>
      <c r="AU48" s="197">
        <f>IFERROR($CQ48*((INDEX(avoidedcosttbl2,$H48,AU$2))+(($H48-ROUNDDOWN($H48,0))*((INDEX(avoidedcosttbl2,ROUNDUP($H48,0),AU$2))-(INDEX(avoidedcosttbl2,ROUNDDOWN($H48,0),AU$2)))))*$O48*1000*'Inputs Yr 2'!AA48,"")</f>
        <v>0</v>
      </c>
      <c r="AV48" s="197">
        <f>IFERROR($CR48*((INDEX(avoidedcosttbl2,$H48,AV$2))+(($H48-ROUNDDOWN($H48,0))*((INDEX(avoidedcosttbl2,ROUNDUP($H48,0),AV$2))-(INDEX(avoidedcosttbl2,ROUNDDOWN($H48,0),AV$2)))))*$O48*1000*'Inputs Yr 2'!AB48,"")</f>
        <v>0</v>
      </c>
      <c r="AW48" s="197">
        <f>IFERROR($CS48*((INDEX(avoidedcosttbl2,$H48,AW$2))+(($H48-ROUNDDOWN($H48,0))*((INDEX(avoidedcosttbl2,ROUNDUP($H48,0),AW$2))-(INDEX(avoidedcosttbl2,ROUNDDOWN($H48,0),AW$2)))))*$O48*1000*'Inputs Yr 2'!AC48,"")</f>
        <v>0</v>
      </c>
      <c r="AX48" s="197">
        <f>IFERROR($CT48*((INDEX(avoidedcosttbl2,$H48,AX$2))+(($H48-ROUNDDOWN($H48,0))*((INDEX(avoidedcosttbl2,ROUNDUP($H48,0),AX$2))-(INDEX(avoidedcosttbl2,ROUNDDOWN($H48,0),AX$2)))))*$O48*1000*'Inputs Yr 2'!AD48,"")</f>
        <v>0</v>
      </c>
      <c r="AY48" s="197">
        <f>IFERROR(((INDEX(avoidedcosttbl2,$H48,AY$2))+(($H48-ROUNDDOWN($H48,0))*((INDEX(avoidedcosttbl2,ROUNDUP($H48,0),AY$2))-(INDEX(avoidedcosttbl2,ROUNDDOWN($H48,0),AY$2)))))*$O48*1000*('Inputs Yr 2'!AC48+'Inputs Yr 2'!AD48),"")</f>
        <v>0</v>
      </c>
      <c r="AZ48" s="197">
        <f>IFERROR(((INDEX(avoidedcosttbl2,$H48,AZ$2))+(($H48-ROUNDDOWN($H48,0))*((INDEX(avoidedcosttbl2,ROUNDUP($H48,0),AZ$2))-(INDEX(avoidedcosttbl2,ROUNDDOWN($H48,0),AZ$2)))))*$O48*1000*('Inputs Yr 2'!AA48+'Inputs Yr 2'!AB48),"")</f>
        <v>0</v>
      </c>
      <c r="BA48" s="198">
        <f t="shared" si="34"/>
        <v>0</v>
      </c>
      <c r="BB48" s="198">
        <f t="shared" si="35"/>
        <v>0</v>
      </c>
      <c r="BC48" s="195">
        <f t="shared" si="10"/>
        <v>0</v>
      </c>
      <c r="BD48" s="195">
        <f t="shared" si="11"/>
        <v>0</v>
      </c>
      <c r="BE48" s="195">
        <f t="shared" si="12"/>
        <v>0</v>
      </c>
      <c r="BF48" s="195">
        <f t="shared" si="13"/>
        <v>0</v>
      </c>
      <c r="BG48" s="195">
        <f t="shared" si="14"/>
        <v>0</v>
      </c>
      <c r="BH48" s="196">
        <f t="shared" si="36"/>
        <v>0</v>
      </c>
      <c r="BI48" s="196">
        <f t="shared" si="37"/>
        <v>0</v>
      </c>
      <c r="BJ48" s="195">
        <f>IFERROR($G48*(IF('Inputs Yr 2'!$AJ48=BJ$4,'Inputs Yr 2'!$AK48,IF('Inputs Yr 2'!$AL48=BJ$4,'Inputs Yr 2'!$AM48,IF('Inputs Yr 2'!$AN48=BJ$4,'Inputs Yr 2'!$AO48,0))))*(INDEX(avoidedcosttbl2,$H48,BJ$2)+(($H48-ROUNDDOWN($H48,0))*(INDEX(avoidedcosttbl2,ROUNDUP($H48,0),BJ$2)-(INDEX(avoidedcosttbl2,ROUNDDOWN($H48,0),BJ$2)))))*'Inputs Yr 2'!P48*'Inputs Yr 2'!Q48*'Inputs Yr 2'!U48,"")</f>
        <v>0</v>
      </c>
      <c r="BK48" s="195">
        <f>IFERROR($G48*(IF('Inputs Yr 2'!$AJ48=BK$4,'Inputs Yr 2'!$AK48,IF('Inputs Yr 2'!$AL48=BK$4,'Inputs Yr 2'!$AM48,IF('Inputs Yr 2'!$AN48=BK$4,'Inputs Yr 2'!$AO48,0))))*(INDEX(avoidedcosttbl2,$H48,BK$2)+(($H48-ROUNDDOWN($H48,0))*(INDEX(avoidedcosttbl2,ROUNDUP($H48,0),BK$2)-(INDEX(avoidedcosttbl2,ROUNDDOWN($H48,0),BK$2)))))*'Inputs Yr 2'!P48*'Inputs Yr 2'!Q48*'Inputs Yr 2'!U48,"")</f>
        <v>128805.71823735398</v>
      </c>
      <c r="BL48" s="195">
        <f>IFERROR($G48*(IF('Inputs Yr 2'!$AJ48=BL$4,'Inputs Yr 2'!$AK48,IF('Inputs Yr 2'!$AL48=BL$4,'Inputs Yr 2'!$AM48,IF('Inputs Yr 2'!$AN48=BL$4,'Inputs Yr 2'!$AO48,0))))*(INDEX(avoidedcosttbl2,$H48,BL$2)+(($H48-ROUNDDOWN($H48,0))*(INDEX(avoidedcosttbl2,ROUNDUP($H48,0),BL$2)-(INDEX(avoidedcosttbl2,ROUNDDOWN($H48,0),BL$2)))))*'Inputs Yr 2'!P48*'Inputs Yr 2'!Q48*'Inputs Yr 2'!U48,"")</f>
        <v>0</v>
      </c>
      <c r="BM48" s="195">
        <f>IFERROR($G48*(IF('Inputs Yr 2'!$AJ48=BM$4,'Inputs Yr 2'!$AK48,IF('Inputs Yr 2'!$AL48=BM$4,'Inputs Yr 2'!$AM48,IF('Inputs Yr 2'!$AN48=BM$4,'Inputs Yr 2'!$AO48,0))))*(INDEX(avoidedcosttbl2,$H48,BM$2)+(($H48-ROUNDDOWN($H48,0))*(INDEX(avoidedcosttbl2,ROUNDUP($H48,0),BM$2)-(INDEX(avoidedcosttbl2,ROUNDDOWN($H48,0),BM$2)))))*'Inputs Yr 2'!P48*'Inputs Yr 2'!Q48*'Inputs Yr 2'!U48,"")</f>
        <v>0</v>
      </c>
      <c r="BN48" s="195">
        <f>IFERROR($G48*(IF('Inputs Yr 2'!$AJ48=BN$4,'Inputs Yr 2'!$AK48,IF('Inputs Yr 2'!$AL48=BN$4,'Inputs Yr 2'!$AM48,IF('Inputs Yr 2'!$AN48=BN$4,'Inputs Yr 2'!$AO48,0))))*(INDEX(avoidedcosttbl2,$H48,BN$2)+(($H48-ROUNDDOWN($H48,0))*(INDEX(avoidedcosttbl2,ROUNDUP($H48,0),BN$2)-(INDEX(avoidedcosttbl2,ROUNDDOWN($H48,0),BN$2)))))*'Inputs Yr 2'!P48*'Inputs Yr 2'!Q48*'Inputs Yr 2'!U48,"")</f>
        <v>0</v>
      </c>
      <c r="BO48" s="195">
        <f>IFERROR($G48*(IF('Inputs Yr 2'!$AJ48=BO$4,'Inputs Yr 2'!$AK48,IF('Inputs Yr 2'!$AL48=BO$4,'Inputs Yr 2'!$AM48,IF('Inputs Yr 2'!$AN48=BO$4,'Inputs Yr 2'!$AO48,0))))*(INDEX(avoidedcosttbl2,$H48,BO$2)+(($H48-ROUNDDOWN($H48,0))*(INDEX(avoidedcosttbl2,ROUNDUP($H48,0),BO$2)-(INDEX(avoidedcosttbl2,ROUNDDOWN($H48,0),BO$2)))))*'Inputs Yr 2'!P48*'Inputs Yr 2'!Q48*'Inputs Yr 2'!U48,"")</f>
        <v>0</v>
      </c>
      <c r="BP48" s="195">
        <f>IFERROR($G48*(IF('Inputs Yr 2'!$AJ48=BP$4,'Inputs Yr 2'!$AK48,IF('Inputs Yr 2'!$AL48=BP$4,'Inputs Yr 2'!$AM48,IF('Inputs Yr 2'!$AN48=BP$4,'Inputs Yr 2'!$AO48,0))))*(INDEX(avoidedcosttbl2,$H48,BP$2)+(($H48-ROUNDDOWN($H48,0))*(INDEX(avoidedcosttbl2,ROUNDUP($H48,0),BP$2)-(INDEX(avoidedcosttbl2,ROUNDDOWN($H48,0),BP$2)))))*'Inputs Yr 2'!P48*'Inputs Yr 2'!Q48*'Inputs Yr 2'!U48,"")</f>
        <v>0</v>
      </c>
      <c r="BQ48" s="230">
        <f t="shared" si="38"/>
        <v>128805.71823735398</v>
      </c>
      <c r="BR48" s="197">
        <f t="shared" si="17"/>
        <v>2302.0575084878965</v>
      </c>
      <c r="BS48" s="197">
        <f>IFERROR(($G48*IF('Inputs Yr 2'!$AJ48=BM$4,'Inputs Yr 2'!$AK48,IF('Inputs Yr 2'!$AL48=BM$4,'Inputs Yr 2'!$AM48,IF('Inputs Yr 2'!$AN48=BM$4,'Inputs Yr 2'!$AO48,0))))*(INDEX(avoidedcosttbl2,$H48,BS$2)+(($H48-ROUNDDOWN($H48,0))*(INDEX(avoidedcosttbl2,ROUNDUP($H48,0),BS$2)-(INDEX(avoidedcosttbl2,ROUNDDOWN($H48,0),BS$2)))))*'Inputs Yr 2'!P48*'Inputs Yr 2'!Q48*'Inputs Yr 2'!U48,"")</f>
        <v>0</v>
      </c>
      <c r="BT48" s="197">
        <f>IFERROR(($G48*IF('Inputs Yr 2'!$AJ48=BK$4,'Inputs Yr 2'!$AK48,IF('Inputs Yr 2'!$AL48=BK$4,'Inputs Yr 2'!$AM48,IF('Inputs Yr 2'!$AN48=BK$4,'Inputs Yr 2'!$AO48,0))))*(INDEX(avoidedcosttbl2,$H48,BT$2)+(($H48-ROUNDDOWN($H48,0))*(INDEX(avoidedcosttbl2,ROUNDUP($H48,0),BT$2)-(INDEX(avoidedcosttbl2,ROUNDDOWN($H48,0),BT$2)))))*'Inputs Yr 2'!P48*'Inputs Yr 2'!Q48*'Inputs Yr 2'!U48,"")</f>
        <v>17547.667885327148</v>
      </c>
      <c r="BU48" s="197">
        <f>IFERROR(($G48*IF('Inputs Yr 2'!$AJ48=BL$4,'Inputs Yr 2'!$AK48,IF('Inputs Yr 2'!$AL48=BL$4,'Inputs Yr 2'!$AM48,IF('Inputs Yr 2'!$AN48=BL$4,'Inputs Yr 2'!$AO48,0))))*(INDEX(avoidedcosttbl2,$H48,BU$2)+(($H48-ROUNDDOWN($H48,0))*(INDEX(avoidedcosttbl2,ROUNDUP($H48,0),BU$2)-(INDEX(avoidedcosttbl2,ROUNDDOWN($H48,0),BU$2)))))*'Inputs Yr 2'!P48*'Inputs Yr 2'!Q48*'Inputs Yr 2'!U48,"")</f>
        <v>0</v>
      </c>
      <c r="BV48" s="775">
        <f>IFERROR(($G48*IF('Inputs Yr 2'!$AJ48=BJ$4,'Inputs Yr 2'!$AK48,IF('Inputs Yr 2'!$AL48=BJ$4,'Inputs Yr 2'!$AM48,IF('Inputs Yr 2'!$AN48=BJ$4,'Inputs Yr 2'!$AO48,0))))*(INDEX(avoidedcosttbl2,$H48,BV$2)+(($H48-ROUNDDOWN($H48,0))*(INDEX(avoidedcosttbl2,ROUNDUP($H48,0),BV$2)-(INDEX(avoidedcosttbl2,ROUNDDOWN($H48,0),BV$2)))))*'Inputs Yr 2'!P48*'Inputs Yr 2'!Q48*'Inputs Yr 2'!U48,"")</f>
        <v>0</v>
      </c>
      <c r="BW48" s="197">
        <f>IFERROR(($G48*IF('Inputs Yr 2'!$AJ48=BN$4,'Inputs Yr 2'!$AK48,IF('Inputs Yr 2'!$AL48=BN$4,'Inputs Yr 2'!$AM48,IF('Inputs Yr 2'!$AN48=BN$4,'Inputs Yr 2'!$AO48,0))))*(INDEX(avoidedcosttbl2,$H48,BW$2)+(($H48-ROUNDDOWN($H48,0))*(INDEX(avoidedcosttbl2,ROUNDUP($H48,0),BW$2)-(INDEX(avoidedcosttbl2,ROUNDDOWN($H48,0),BW$2)))))*'Inputs Yr 2'!P48*'Inputs Yr 2'!Q48*'Inputs Yr 2'!U48,"")</f>
        <v>0</v>
      </c>
      <c r="BX48" s="197">
        <f>IFERROR(($G48*IF('Inputs Yr 2'!$AJ48=BO$4,'Inputs Yr 2'!$AK48,IF('Inputs Yr 2'!$AL48=BO$4,'Inputs Yr 2'!$AM48,IF('Inputs Yr 2'!$AN48=BO$4,'Inputs Yr 2'!$AO48,0))))*(INDEX(avoidedcosttbl2,$H48,BX$2)+(($H48-ROUNDDOWN($H48,0))*(INDEX(avoidedcosttbl2,ROUNDUP($H48,0),BX$2)-(INDEX(avoidedcosttbl2,ROUNDDOWN($H48,0),BX$2)))))*'Inputs Yr 2'!P48*'Inputs Yr 2'!Q48*'Inputs Yr 2'!U48,"")</f>
        <v>0</v>
      </c>
      <c r="BY48" s="197">
        <f>IFERROR(($G48*IF('Inputs Yr 2'!$AJ48=BP$4,'Inputs Yr 2'!$AK48,IF('Inputs Yr 2'!$AL48=BP$4,'Inputs Yr 2'!$AM48,IF('Inputs Yr 2'!$AN48=BP$4,'Inputs Yr 2'!$AO48,0))))*(INDEX(avoidedcosttbl2,$H48,BY$2)+(($H48-ROUNDDOWN($H48,0))*(INDEX(avoidedcosttbl2,ROUNDUP($H48,0),BY$2)-(INDEX(avoidedcosttbl2,ROUNDDOWN($H48,0),BY$2)))))*'Inputs Yr 2'!P48*'Inputs Yr 2'!Q48*'Inputs Yr 2'!U48,"")</f>
        <v>0</v>
      </c>
      <c r="BZ48" s="193">
        <f t="shared" si="39"/>
        <v>19849.725393815046</v>
      </c>
      <c r="CA48" s="193">
        <f t="shared" si="40"/>
        <v>148655.44363116904</v>
      </c>
      <c r="CB48" s="195">
        <f>IFERROR(G48*(IF('Inputs Yr 2'!$AJ48=CB$4,'Inputs Yr 2'!$AK48,IF('Inputs Yr 2'!$AL48=CB$4,'Inputs Yr 2'!$AM48,IF('Inputs Yr 2'!$AN48=CB$4,'Inputs Yr 2'!$AO48,0))))*(INDEX(avoidedcosttbl2,$H48,CB$2)+(($H48-ROUNDDOWN($H48,0))*(INDEX(avoidedcosttbl2,ROUNDUP($H48,0),CB$2)-(INDEX(avoidedcosttbl2,ROUNDDOWN($H48,0),CB$2)))))*'Inputs Yr 2'!P48*'Inputs Yr 2'!Q48*'Inputs Yr 2'!U48,"")</f>
        <v>0</v>
      </c>
      <c r="CC48" s="195">
        <f>IFERROR(H48*(IF('Inputs Yr 2'!$AJ48=CC$4,'Inputs Yr 2'!$AK48,IF('Inputs Yr 2'!$AL48=CC$4,'Inputs Yr 2'!$AM48,IF('Inputs Yr 2'!$AN48=CC$4,'Inputs Yr 2'!$AO48,0))))*(INDEX(avoidedcosttbl2,$H48,CC$2)+(($H48-ROUNDDOWN($H48,0))*(INDEX(avoidedcosttbl2,ROUNDUP($H48,0),CC$2)-(INDEX(avoidedcosttbl2,ROUNDDOWN($H48,0),CC$2)))))*'Inputs Yr 2'!Q48*'Inputs Yr 2'!R48*'Inputs Yr 2'!V48,"")</f>
        <v>0</v>
      </c>
      <c r="CD48" s="195">
        <f>IFERROR(I48*(IF('Inputs Yr 2'!$AJ48=CD$4,'Inputs Yr 2'!$AK48,IF('Inputs Yr 2'!$AL48=CD$4,'Inputs Yr 2'!$AM48,IF('Inputs Yr 2'!$AN48=CD$4,'Inputs Yr 2'!$AO48,0))))*(INDEX(avoidedcosttbl2,$H48,CD$2)+(($H48-ROUNDDOWN($H48,0))*(INDEX(avoidedcosttbl2,ROUNDUP($H48,0),CD$2)-(INDEX(avoidedcosttbl2,ROUNDDOWN($H48,0),CD$2)))))*'Inputs Yr 2'!R48*'Inputs Yr 2'!S48*'Inputs Yr 2'!W48,"")</f>
        <v>0</v>
      </c>
      <c r="CE48" s="213">
        <f t="shared" si="41"/>
        <v>295586.4010527939</v>
      </c>
      <c r="CF48" s="213">
        <f t="shared" si="42"/>
        <v>0</v>
      </c>
      <c r="CG48" s="213">
        <f t="shared" si="43"/>
        <v>0</v>
      </c>
      <c r="CH48" s="698">
        <f t="shared" si="44"/>
        <v>444241.84468396293</v>
      </c>
      <c r="CI48" s="79">
        <f>IFERROR(($G48*'Inputs Yr 2'!$P48*'Inputs Yr 2'!$Q48*(((INDEX(avoidedcosttbl2,$H48,CI$2)+(($H48-ROUNDDOWN($H48,0))*(INDEX(avoidedcosttbl2,ROUNDUP($H48,0),CI$2)-INDEX(avoidedcosttbl2,ROUNDDOWN($H48,0),CI$2))))*'Inputs Yr 2'!AS48))),"")</f>
        <v>0</v>
      </c>
      <c r="CJ48" s="504">
        <f>IFERROR($G48*'Inputs Yr 2'!AT48*'Inputs Yr 2'!$P48*'Inputs Yr 2'!$Q48/((1+realdiscrt1)^-0.5),"")</f>
        <v>0</v>
      </c>
      <c r="CK48" s="79">
        <f>IFERROR((O48*1000*(((INDEX(avoidedcosttbl2,$H48,CK$2)+(($H48-ROUNDDOWN($H48,0))*(INDEX(avoidedcosttbl2,ROUNDUP($H48,0),CK$2)-INDEX(avoidedcosttbl2,ROUNDDOWN($H48,0),CK$2))))*'Inputs Yr 2'!AU48))),"")</f>
        <v>0</v>
      </c>
      <c r="CL48" s="504">
        <f>IFERROR(O48*1000*'Inputs Yr 2'!AV48/((1+realdiscrt1)^-0.5),"")</f>
        <v>0</v>
      </c>
      <c r="CM48" s="79">
        <f>IFERROR((AB48*'Inputs Yr 2'!AW48*(((INDEX(avoidedcosttbl2,$H48,CM$2)+(($H48-ROUNDDOWN($H48,0))*(INDEX(avoidedcosttbl2,ROUNDUP($H48,0),CM$2)-INDEX(avoidedcosttbl2,ROUNDDOWN($H48,0),CM$2)))))))*10,"")</f>
        <v>0</v>
      </c>
      <c r="CN48" s="504">
        <f>IFERROR(10*AB48*'Inputs Yr 2'!AX48/((1+realdiscrt1)^-0.5),"")</f>
        <v>0</v>
      </c>
      <c r="CO48" s="505">
        <f t="shared" si="45"/>
        <v>0</v>
      </c>
      <c r="CP48" s="230">
        <f t="shared" si="46"/>
        <v>444241.84468396293</v>
      </c>
      <c r="CQ48" s="199">
        <f>ROUND(IFERROR(IF(LEFT($A48,1)="C",'Avoided Costs'!$K$13,'Avoided Costs'!$K$12)+1,""),4)</f>
        <v>1.0720000000000001</v>
      </c>
      <c r="CR48" s="199">
        <f>ROUND(IFERROR(IF(LEFT($A48,1)="C",'Avoided Costs'!$L$13,'Avoided Costs'!$L$12)+1,""),4)</f>
        <v>1.04</v>
      </c>
      <c r="CS48" s="199">
        <f>ROUND(IFERROR(IF(LEFT($A48,1)="C",'Avoided Costs'!$M$13,'Avoided Costs'!$M$12)+1,""),4)</f>
        <v>1.0720000000000001</v>
      </c>
      <c r="CT48" s="199">
        <f>ROUND(IFERROR(IF(LEFT($A48,1)="C",'Avoided Costs'!$N$13,'Avoided Costs'!$N$12)+1,""),4)</f>
        <v>1.04</v>
      </c>
      <c r="CU48" s="199">
        <f>ROUND(IFERROR(IF(LEFT($A48,1)="C",'Avoided Costs'!$O$13,'Avoided Costs'!$O$12)+1,""),4)</f>
        <v>1.1120000000000001</v>
      </c>
      <c r="CV48" s="199">
        <f>ROUND(IFERROR(IF(LEFT($A48,1)="C",'Avoided Costs'!$P$13,'Avoided Costs'!$P$12)+1,""),4)</f>
        <v>1.095</v>
      </c>
      <c r="CW48" s="199">
        <f>ROUND(IFERROR(IF(LEFT($A48,1)="C",'Avoided Costs'!$Q$13,'Avoided Costs'!$Q$12)+1,""),4)</f>
        <v>1.1120000000000001</v>
      </c>
      <c r="CX48" s="200">
        <f>ROUND(IFERROR(IF(LEFT($A48,1)="C",'Avoided Costs'!$R$13,'Avoided Costs'!$R$12)+1,""),4)</f>
        <v>1.1120000000000001</v>
      </c>
    </row>
    <row r="49" spans="1:102" ht="12.75" customHeight="1">
      <c r="A49" s="91" t="str">
        <f>IF('Inputs Yr 2'!$B49=0,"",'Inputs Yr 2'!A49)</f>
        <v>A - Residential</v>
      </c>
      <c r="B49" s="91" t="str">
        <f>IF('Inputs Yr 2'!$B49=0,"",'Inputs Yr 2'!B49)</f>
        <v>A1 - Residential Whole House</v>
      </c>
      <c r="C49" s="91" t="str">
        <f>IF('Inputs Yr 2'!$B49=0,"",'Inputs Yr 2'!C49)</f>
        <v>A1c - Residential Home Energy Services - Measures</v>
      </c>
      <c r="D49" s="91" t="str">
        <f>IF('Inputs Yr 2'!$B49=0,"",'Inputs Yr 2'!E49)</f>
        <v>Low Flow Showerhead, Gas</v>
      </c>
      <c r="E49" s="93" t="str">
        <f>IF('Inputs Yr 2'!$B49=0,"",'Inputs Yr 2'!F49)</f>
        <v>G16A1c08</v>
      </c>
      <c r="F49" s="93" t="str">
        <f>IF('Inputs Yr 2'!$B49=0,"",'Inputs Yr 2'!G49)</f>
        <v>Hot Water</v>
      </c>
      <c r="G49" s="95">
        <f>IF('Inputs Yr 2'!$H49&lt;&gt;0,('Inputs Yr 2'!H49),"")</f>
        <v>9433</v>
      </c>
      <c r="H49" s="94">
        <f>IFERROR('Inputs Yr 2'!I49,"")</f>
        <v>7</v>
      </c>
      <c r="I49" s="298">
        <f>IFERROR('Inputs Yr 2'!J49*'Inputs Yr 2'!P49*G49,"")</f>
        <v>96007.000000000015</v>
      </c>
      <c r="J49" s="298">
        <f>IFERROR('Inputs Yr 2'!K49*G49,"")</f>
        <v>96007.000000000015</v>
      </c>
      <c r="K49" s="298">
        <f t="shared" si="23"/>
        <v>0</v>
      </c>
      <c r="L49" s="194">
        <f>IFERROR(('Inputs Yr 2'!W49*G49)/1000,"")</f>
        <v>0</v>
      </c>
      <c r="M49" s="194">
        <f>IFERROR(L49*('Inputs Yr 2'!$Q49*'Inputs Yr 2'!$V49*'Inputs Yr 2'!$R49),"")</f>
        <v>0</v>
      </c>
      <c r="N49" s="194">
        <f t="shared" si="24"/>
        <v>0</v>
      </c>
      <c r="O49" s="194">
        <f>IFERROR(M49*'Inputs Yr 2'!P49,"")</f>
        <v>0</v>
      </c>
      <c r="P49" s="194">
        <f t="shared" si="25"/>
        <v>0</v>
      </c>
      <c r="Q49" s="194">
        <f>IFERROR($P49*'Inputs Yr 2'!AA49,"")</f>
        <v>0</v>
      </c>
      <c r="R49" s="194">
        <f>IFERROR($P49*'Inputs Yr 2'!AB49,"")</f>
        <v>0</v>
      </c>
      <c r="S49" s="194">
        <f>IFERROR($P49*'Inputs Yr 2'!AC49,"")</f>
        <v>0</v>
      </c>
      <c r="T49" s="194">
        <f>IFERROR($P49*'Inputs Yr 2'!AD49,"")</f>
        <v>0</v>
      </c>
      <c r="U49" s="194">
        <f>IFERROR(G49*'Inputs Yr 2'!$AE49*'Inputs Yr 2'!$P49*'Inputs Yr 2'!$Q49,"")</f>
        <v>0</v>
      </c>
      <c r="V49" s="194">
        <f>IFERROR($G49*'Inputs Yr 2'!$AE49*'Inputs Yr 2'!$AG49*'Inputs Yr 2'!Q49*'Inputs Yr 2'!$S49,"")</f>
        <v>0</v>
      </c>
      <c r="W49" s="194">
        <f>IFERROR($G49*'Inputs Yr 2'!$AE49*'Inputs Yr 2'!$AG49*'Inputs Yr 2'!P49*'Inputs Yr 2'!Q49*'Inputs Yr 2'!$S49,"")</f>
        <v>0</v>
      </c>
      <c r="X49" s="194">
        <f>IFERROR($G49*'Inputs Yr 2'!$AE49*'Inputs Yr 2'!$AF49*'Inputs Yr 2'!Q49*'Inputs Yr 2'!$T49,"")</f>
        <v>0</v>
      </c>
      <c r="Y49" s="194">
        <f>IFERROR($G49*'Inputs Yr 2'!$AE49*'Inputs Yr 2'!$AF49*'Inputs Yr 2'!P49*'Inputs Yr 2'!Q49*'Inputs Yr 2'!$T49,"")</f>
        <v>0</v>
      </c>
      <c r="Z49" s="257">
        <f>IFERROR($G49*'Inputs Yr 2'!$Q49*'Inputs Yr 2'!$U49*(IF(IFERROR(SEARCH("NG", 'Inputs Yr 2'!$AJ49),0),'Inputs Yr 2'!$AK49,0)+IF(IFERROR(SEARCH("NG", 'Inputs Yr 2'!$AL49),0),'Inputs Yr 2'!$AM49,0)+IF(IFERROR(SEARCH("NG", 'Inputs Yr 2'!$AN49),0),'Inputs Yr 2'!$AO49,0)),0)</f>
        <v>11319.6</v>
      </c>
      <c r="AA49" s="257">
        <f t="shared" si="26"/>
        <v>79237.2</v>
      </c>
      <c r="AB49" s="257">
        <f>IFERROR(Z49*'Inputs Yr 2'!$P49,0)</f>
        <v>11319.6</v>
      </c>
      <c r="AC49" s="257">
        <f t="shared" si="27"/>
        <v>79237.2</v>
      </c>
      <c r="AD49" s="257">
        <f>IFERROR($G49*'Inputs Yr 2'!$Q49*'Inputs Yr 2'!$U49*(IF(IFERROR(SEARCH("Oil", 'Inputs Yr 2'!$AJ49), 0),'Inputs Yr 2'!$AK49,0)+IF(IFERROR(SEARCH("Oil", 'Inputs Yr 2'!$AL49), 0),'Inputs Yr 2'!$AM49,0)+IF(IFERROR(SEARCH("Oil", 'Inputs Yr 2'!$AN49), 0),'Inputs Yr 2'!$AO49,0)),0)</f>
        <v>0</v>
      </c>
      <c r="AE49" s="257">
        <f t="shared" si="28"/>
        <v>0</v>
      </c>
      <c r="AF49" s="257">
        <f>IFERROR(AD49*'Inputs Yr 2'!$P49,0)</f>
        <v>0</v>
      </c>
      <c r="AG49" s="257">
        <f t="shared" si="29"/>
        <v>0</v>
      </c>
      <c r="AH49" s="257">
        <f>IFERROR($G49*'Inputs Yr 2'!$Q49*'Inputs Yr 2'!$U49*(IF('Inputs Yr 2'!$AJ49=CD$4,'Inputs Yr 2'!$AK49,IF('Inputs Yr 2'!$AL49=CD$4,'Inputs Yr 2'!$AM49,IF('Inputs Yr 2'!$AN49=CD$4,'Inputs Yr 2'!$AO49,0)))),0)</f>
        <v>0</v>
      </c>
      <c r="AI49" s="257">
        <f t="shared" si="30"/>
        <v>0</v>
      </c>
      <c r="AJ49" s="257">
        <f>IFERROR(AH49*'Inputs Yr 2'!$P49,0)</f>
        <v>0</v>
      </c>
      <c r="AK49" s="257">
        <f t="shared" si="31"/>
        <v>0</v>
      </c>
      <c r="AL49" s="258">
        <f>IFERROR($G49*'Inputs Yr 2'!$P49*'Inputs Yr 2'!$Q49*'Inputs Yr 2'!AP49,0)</f>
        <v>22648633</v>
      </c>
      <c r="AM49" s="260">
        <f>IFERROR($G49*'Inputs Yr 2'!$P49*'Inputs Yr 2'!$Q49*'Inputs Yr 2'!AQ49,0)</f>
        <v>0</v>
      </c>
      <c r="AN49" s="258">
        <f>IFERROR($G49*'Inputs Yr 2'!$P49*'Inputs Yr 2'!$Q49*'Inputs Yr 2'!AR49,0)</f>
        <v>0</v>
      </c>
      <c r="AO49" s="257">
        <f t="shared" si="32"/>
        <v>158540431</v>
      </c>
      <c r="AP49" s="195">
        <f>IFERROR($CQ49*(INDEX(avoidedcosttbl2,$H49,AP$2)+(($H49-ROUNDDOWN($H49,0))*(INDEX(avoidedcosttbl2,ROUNDUP($H49,0),AP$2)-(INDEX(avoidedcosttbl2,ROUNDDOWN($H49,0),AP$2)))))*$O49*1000*'Inputs Yr 2'!AA49,"")</f>
        <v>0</v>
      </c>
      <c r="AQ49" s="195">
        <f>IFERROR($CR49*(INDEX(avoidedcosttbl2,$H49,AQ$2)+(($H49-ROUNDDOWN($H49,0))*(INDEX(avoidedcosttbl2,ROUNDUP($H49,0),AQ$2)-(INDEX(avoidedcosttbl2,ROUNDDOWN($H49,0),AQ$2)))))*$O49*1000*'Inputs Yr 2'!AB49,"")</f>
        <v>0</v>
      </c>
      <c r="AR49" s="195">
        <f>IFERROR($CS49*(INDEX(avoidedcosttbl2,$H49,AR$2)+(($H49-ROUNDDOWN($H49,0))*(INDEX(avoidedcosttbl2,ROUNDUP($H49,0),AR$2)-(INDEX(avoidedcosttbl2,ROUNDDOWN($H49,0),AR$2)))))*$O49*1000*'Inputs Yr 2'!AC49,"")</f>
        <v>0</v>
      </c>
      <c r="AS49" s="195">
        <f>IFERROR($CT49*(INDEX(avoidedcosttbl2,$H49,AS$2)+(($H49-ROUNDDOWN($H49,0))*(INDEX(avoidedcosttbl2,ROUNDUP($H49,0),AS$2)-(INDEX(avoidedcosttbl2,ROUNDDOWN($H49,0),AS$2)))))*$O49*1000*'Inputs Yr 2'!AD49,"")</f>
        <v>0</v>
      </c>
      <c r="AT49" s="196">
        <f t="shared" si="33"/>
        <v>0</v>
      </c>
      <c r="AU49" s="197">
        <f>IFERROR($CQ49*((INDEX(avoidedcosttbl2,$H49,AU$2))+(($H49-ROUNDDOWN($H49,0))*((INDEX(avoidedcosttbl2,ROUNDUP($H49,0),AU$2))-(INDEX(avoidedcosttbl2,ROUNDDOWN($H49,0),AU$2)))))*$O49*1000*'Inputs Yr 2'!AA49,"")</f>
        <v>0</v>
      </c>
      <c r="AV49" s="197">
        <f>IFERROR($CR49*((INDEX(avoidedcosttbl2,$H49,AV$2))+(($H49-ROUNDDOWN($H49,0))*((INDEX(avoidedcosttbl2,ROUNDUP($H49,0),AV$2))-(INDEX(avoidedcosttbl2,ROUNDDOWN($H49,0),AV$2)))))*$O49*1000*'Inputs Yr 2'!AB49,"")</f>
        <v>0</v>
      </c>
      <c r="AW49" s="197">
        <f>IFERROR($CS49*((INDEX(avoidedcosttbl2,$H49,AW$2))+(($H49-ROUNDDOWN($H49,0))*((INDEX(avoidedcosttbl2,ROUNDUP($H49,0),AW$2))-(INDEX(avoidedcosttbl2,ROUNDDOWN($H49,0),AW$2)))))*$O49*1000*'Inputs Yr 2'!AC49,"")</f>
        <v>0</v>
      </c>
      <c r="AX49" s="197">
        <f>IFERROR($CT49*((INDEX(avoidedcosttbl2,$H49,AX$2))+(($H49-ROUNDDOWN($H49,0))*((INDEX(avoidedcosttbl2,ROUNDUP($H49,0),AX$2))-(INDEX(avoidedcosttbl2,ROUNDDOWN($H49,0),AX$2)))))*$O49*1000*'Inputs Yr 2'!AD49,"")</f>
        <v>0</v>
      </c>
      <c r="AY49" s="197">
        <f>IFERROR(((INDEX(avoidedcosttbl2,$H49,AY$2))+(($H49-ROUNDDOWN($H49,0))*((INDEX(avoidedcosttbl2,ROUNDUP($H49,0),AY$2))-(INDEX(avoidedcosttbl2,ROUNDDOWN($H49,0),AY$2)))))*$O49*1000*('Inputs Yr 2'!AC49+'Inputs Yr 2'!AD49),"")</f>
        <v>0</v>
      </c>
      <c r="AZ49" s="197">
        <f>IFERROR(((INDEX(avoidedcosttbl2,$H49,AZ$2))+(($H49-ROUNDDOWN($H49,0))*((INDEX(avoidedcosttbl2,ROUNDUP($H49,0),AZ$2))-(INDEX(avoidedcosttbl2,ROUNDDOWN($H49,0),AZ$2)))))*$O49*1000*('Inputs Yr 2'!AA49+'Inputs Yr 2'!AB49),"")</f>
        <v>0</v>
      </c>
      <c r="BA49" s="198">
        <f t="shared" si="34"/>
        <v>0</v>
      </c>
      <c r="BB49" s="198">
        <f t="shared" si="35"/>
        <v>0</v>
      </c>
      <c r="BC49" s="195">
        <f t="shared" si="10"/>
        <v>0</v>
      </c>
      <c r="BD49" s="195">
        <f t="shared" si="11"/>
        <v>0</v>
      </c>
      <c r="BE49" s="195">
        <f t="shared" si="12"/>
        <v>0</v>
      </c>
      <c r="BF49" s="195">
        <f t="shared" si="13"/>
        <v>0</v>
      </c>
      <c r="BG49" s="195">
        <f t="shared" si="14"/>
        <v>0</v>
      </c>
      <c r="BH49" s="196">
        <f t="shared" si="36"/>
        <v>0</v>
      </c>
      <c r="BI49" s="196">
        <f t="shared" si="37"/>
        <v>0</v>
      </c>
      <c r="BJ49" s="195">
        <f>IFERROR($G49*(IF('Inputs Yr 2'!$AJ49=BJ$4,'Inputs Yr 2'!$AK49,IF('Inputs Yr 2'!$AL49=BJ$4,'Inputs Yr 2'!$AM49,IF('Inputs Yr 2'!$AN49=BJ$4,'Inputs Yr 2'!$AO49,0))))*(INDEX(avoidedcosttbl2,$H49,BJ$2)+(($H49-ROUNDDOWN($H49,0))*(INDEX(avoidedcosttbl2,ROUNDUP($H49,0),BJ$2)-(INDEX(avoidedcosttbl2,ROUNDDOWN($H49,0),BJ$2)))))*'Inputs Yr 2'!P49*'Inputs Yr 2'!Q49*'Inputs Yr 2'!U49,"")</f>
        <v>0</v>
      </c>
      <c r="BK49" s="195">
        <f>IFERROR($G49*(IF('Inputs Yr 2'!$AJ49=BK$4,'Inputs Yr 2'!$AK49,IF('Inputs Yr 2'!$AL49=BK$4,'Inputs Yr 2'!$AM49,IF('Inputs Yr 2'!$AN49=BK$4,'Inputs Yr 2'!$AO49,0))))*(INDEX(avoidedcosttbl2,$H49,BK$2)+(($H49-ROUNDDOWN($H49,0))*(INDEX(avoidedcosttbl2,ROUNDUP($H49,0),BK$2)-(INDEX(avoidedcosttbl2,ROUNDDOWN($H49,0),BK$2)))))*'Inputs Yr 2'!P49*'Inputs Yr 2'!Q49*'Inputs Yr 2'!U49,"")</f>
        <v>611486.83449066943</v>
      </c>
      <c r="BL49" s="195">
        <f>IFERROR($G49*(IF('Inputs Yr 2'!$AJ49=BL$4,'Inputs Yr 2'!$AK49,IF('Inputs Yr 2'!$AL49=BL$4,'Inputs Yr 2'!$AM49,IF('Inputs Yr 2'!$AN49=BL$4,'Inputs Yr 2'!$AO49,0))))*(INDEX(avoidedcosttbl2,$H49,BL$2)+(($H49-ROUNDDOWN($H49,0))*(INDEX(avoidedcosttbl2,ROUNDUP($H49,0),BL$2)-(INDEX(avoidedcosttbl2,ROUNDDOWN($H49,0),BL$2)))))*'Inputs Yr 2'!P49*'Inputs Yr 2'!Q49*'Inputs Yr 2'!U49,"")</f>
        <v>0</v>
      </c>
      <c r="BM49" s="195">
        <f>IFERROR($G49*(IF('Inputs Yr 2'!$AJ49=BM$4,'Inputs Yr 2'!$AK49,IF('Inputs Yr 2'!$AL49=BM$4,'Inputs Yr 2'!$AM49,IF('Inputs Yr 2'!$AN49=BM$4,'Inputs Yr 2'!$AO49,0))))*(INDEX(avoidedcosttbl2,$H49,BM$2)+(($H49-ROUNDDOWN($H49,0))*(INDEX(avoidedcosttbl2,ROUNDUP($H49,0),BM$2)-(INDEX(avoidedcosttbl2,ROUNDDOWN($H49,0),BM$2)))))*'Inputs Yr 2'!P49*'Inputs Yr 2'!Q49*'Inputs Yr 2'!U49,"")</f>
        <v>0</v>
      </c>
      <c r="BN49" s="195">
        <f>IFERROR($G49*(IF('Inputs Yr 2'!$AJ49=BN$4,'Inputs Yr 2'!$AK49,IF('Inputs Yr 2'!$AL49=BN$4,'Inputs Yr 2'!$AM49,IF('Inputs Yr 2'!$AN49=BN$4,'Inputs Yr 2'!$AO49,0))))*(INDEX(avoidedcosttbl2,$H49,BN$2)+(($H49-ROUNDDOWN($H49,0))*(INDEX(avoidedcosttbl2,ROUNDUP($H49,0),BN$2)-(INDEX(avoidedcosttbl2,ROUNDDOWN($H49,0),BN$2)))))*'Inputs Yr 2'!P49*'Inputs Yr 2'!Q49*'Inputs Yr 2'!U49,"")</f>
        <v>0</v>
      </c>
      <c r="BO49" s="195">
        <f>IFERROR($G49*(IF('Inputs Yr 2'!$AJ49=BO$4,'Inputs Yr 2'!$AK49,IF('Inputs Yr 2'!$AL49=BO$4,'Inputs Yr 2'!$AM49,IF('Inputs Yr 2'!$AN49=BO$4,'Inputs Yr 2'!$AO49,0))))*(INDEX(avoidedcosttbl2,$H49,BO$2)+(($H49-ROUNDDOWN($H49,0))*(INDEX(avoidedcosttbl2,ROUNDUP($H49,0),BO$2)-(INDEX(avoidedcosttbl2,ROUNDDOWN($H49,0),BO$2)))))*'Inputs Yr 2'!P49*'Inputs Yr 2'!Q49*'Inputs Yr 2'!U49,"")</f>
        <v>0</v>
      </c>
      <c r="BP49" s="195">
        <f>IFERROR($G49*(IF('Inputs Yr 2'!$AJ49=BP$4,'Inputs Yr 2'!$AK49,IF('Inputs Yr 2'!$AL49=BP$4,'Inputs Yr 2'!$AM49,IF('Inputs Yr 2'!$AN49=BP$4,'Inputs Yr 2'!$AO49,0))))*(INDEX(avoidedcosttbl2,$H49,BP$2)+(($H49-ROUNDDOWN($H49,0))*(INDEX(avoidedcosttbl2,ROUNDUP($H49,0),BP$2)-(INDEX(avoidedcosttbl2,ROUNDDOWN($H49,0),BP$2)))))*'Inputs Yr 2'!P49*'Inputs Yr 2'!Q49*'Inputs Yr 2'!U49,"")</f>
        <v>0</v>
      </c>
      <c r="BQ49" s="230">
        <f t="shared" si="38"/>
        <v>611486.83449066943</v>
      </c>
      <c r="BR49" s="197">
        <f t="shared" si="17"/>
        <v>10928.690728518533</v>
      </c>
      <c r="BS49" s="197">
        <f>IFERROR(($G49*IF('Inputs Yr 2'!$AJ49=BM$4,'Inputs Yr 2'!$AK49,IF('Inputs Yr 2'!$AL49=BM$4,'Inputs Yr 2'!$AM49,IF('Inputs Yr 2'!$AN49=BM$4,'Inputs Yr 2'!$AO49,0))))*(INDEX(avoidedcosttbl2,$H49,BS$2)+(($H49-ROUNDDOWN($H49,0))*(INDEX(avoidedcosttbl2,ROUNDUP($H49,0),BS$2)-(INDEX(avoidedcosttbl2,ROUNDDOWN($H49,0),BS$2)))))*'Inputs Yr 2'!P49*'Inputs Yr 2'!Q49*'Inputs Yr 2'!U49,"")</f>
        <v>0</v>
      </c>
      <c r="BT49" s="197">
        <f>IFERROR(($G49*IF('Inputs Yr 2'!$AJ49=BK$4,'Inputs Yr 2'!$AK49,IF('Inputs Yr 2'!$AL49=BK$4,'Inputs Yr 2'!$AM49,IF('Inputs Yr 2'!$AN49=BK$4,'Inputs Yr 2'!$AO49,0))))*(INDEX(avoidedcosttbl2,$H49,BT$2)+(($H49-ROUNDDOWN($H49,0))*(INDEX(avoidedcosttbl2,ROUNDUP($H49,0),BT$2)-(INDEX(avoidedcosttbl2,ROUNDDOWN($H49,0),BT$2)))))*'Inputs Yr 2'!P49*'Inputs Yr 2'!Q49*'Inputs Yr 2'!U49,"")</f>
        <v>83305.058461142922</v>
      </c>
      <c r="BU49" s="197">
        <f>IFERROR(($G49*IF('Inputs Yr 2'!$AJ49=BL$4,'Inputs Yr 2'!$AK49,IF('Inputs Yr 2'!$AL49=BL$4,'Inputs Yr 2'!$AM49,IF('Inputs Yr 2'!$AN49=BL$4,'Inputs Yr 2'!$AO49,0))))*(INDEX(avoidedcosttbl2,$H49,BU$2)+(($H49-ROUNDDOWN($H49,0))*(INDEX(avoidedcosttbl2,ROUNDUP($H49,0),BU$2)-(INDEX(avoidedcosttbl2,ROUNDDOWN($H49,0),BU$2)))))*'Inputs Yr 2'!P49*'Inputs Yr 2'!Q49*'Inputs Yr 2'!U49,"")</f>
        <v>0</v>
      </c>
      <c r="BV49" s="775">
        <f>IFERROR(($G49*IF('Inputs Yr 2'!$AJ49=BJ$4,'Inputs Yr 2'!$AK49,IF('Inputs Yr 2'!$AL49=BJ$4,'Inputs Yr 2'!$AM49,IF('Inputs Yr 2'!$AN49=BJ$4,'Inputs Yr 2'!$AO49,0))))*(INDEX(avoidedcosttbl2,$H49,BV$2)+(($H49-ROUNDDOWN($H49,0))*(INDEX(avoidedcosttbl2,ROUNDUP($H49,0),BV$2)-(INDEX(avoidedcosttbl2,ROUNDDOWN($H49,0),BV$2)))))*'Inputs Yr 2'!P49*'Inputs Yr 2'!Q49*'Inputs Yr 2'!U49,"")</f>
        <v>0</v>
      </c>
      <c r="BW49" s="197">
        <f>IFERROR(($G49*IF('Inputs Yr 2'!$AJ49=BN$4,'Inputs Yr 2'!$AK49,IF('Inputs Yr 2'!$AL49=BN$4,'Inputs Yr 2'!$AM49,IF('Inputs Yr 2'!$AN49=BN$4,'Inputs Yr 2'!$AO49,0))))*(INDEX(avoidedcosttbl2,$H49,BW$2)+(($H49-ROUNDDOWN($H49,0))*(INDEX(avoidedcosttbl2,ROUNDUP($H49,0),BW$2)-(INDEX(avoidedcosttbl2,ROUNDDOWN($H49,0),BW$2)))))*'Inputs Yr 2'!P49*'Inputs Yr 2'!Q49*'Inputs Yr 2'!U49,"")</f>
        <v>0</v>
      </c>
      <c r="BX49" s="197">
        <f>IFERROR(($G49*IF('Inputs Yr 2'!$AJ49=BO$4,'Inputs Yr 2'!$AK49,IF('Inputs Yr 2'!$AL49=BO$4,'Inputs Yr 2'!$AM49,IF('Inputs Yr 2'!$AN49=BO$4,'Inputs Yr 2'!$AO49,0))))*(INDEX(avoidedcosttbl2,$H49,BX$2)+(($H49-ROUNDDOWN($H49,0))*(INDEX(avoidedcosttbl2,ROUNDUP($H49,0),BX$2)-(INDEX(avoidedcosttbl2,ROUNDDOWN($H49,0),BX$2)))))*'Inputs Yr 2'!P49*'Inputs Yr 2'!Q49*'Inputs Yr 2'!U49,"")</f>
        <v>0</v>
      </c>
      <c r="BY49" s="197">
        <f>IFERROR(($G49*IF('Inputs Yr 2'!$AJ49=BP$4,'Inputs Yr 2'!$AK49,IF('Inputs Yr 2'!$AL49=BP$4,'Inputs Yr 2'!$AM49,IF('Inputs Yr 2'!$AN49=BP$4,'Inputs Yr 2'!$AO49,0))))*(INDEX(avoidedcosttbl2,$H49,BY$2)+(($H49-ROUNDDOWN($H49,0))*(INDEX(avoidedcosttbl2,ROUNDUP($H49,0),BY$2)-(INDEX(avoidedcosttbl2,ROUNDDOWN($H49,0),BY$2)))))*'Inputs Yr 2'!P49*'Inputs Yr 2'!Q49*'Inputs Yr 2'!U49,"")</f>
        <v>0</v>
      </c>
      <c r="BZ49" s="193">
        <f t="shared" si="39"/>
        <v>94233.749189661452</v>
      </c>
      <c r="CA49" s="193">
        <f t="shared" si="40"/>
        <v>705720.58368033089</v>
      </c>
      <c r="CB49" s="195">
        <f>IFERROR(G49*(IF('Inputs Yr 2'!$AJ49=CB$4,'Inputs Yr 2'!$AK49,IF('Inputs Yr 2'!$AL49=CB$4,'Inputs Yr 2'!$AM49,IF('Inputs Yr 2'!$AN49=CB$4,'Inputs Yr 2'!$AO49,0))))*(INDEX(avoidedcosttbl2,$H49,CB$2)+(($H49-ROUNDDOWN($H49,0))*(INDEX(avoidedcosttbl2,ROUNDUP($H49,0),CB$2)-(INDEX(avoidedcosttbl2,ROUNDDOWN($H49,0),CB$2)))))*'Inputs Yr 2'!P49*'Inputs Yr 2'!Q49*'Inputs Yr 2'!U49,"")</f>
        <v>0</v>
      </c>
      <c r="CC49" s="195">
        <f>IFERROR(H49*(IF('Inputs Yr 2'!$AJ49=CC$4,'Inputs Yr 2'!$AK49,IF('Inputs Yr 2'!$AL49=CC$4,'Inputs Yr 2'!$AM49,IF('Inputs Yr 2'!$AN49=CC$4,'Inputs Yr 2'!$AO49,0))))*(INDEX(avoidedcosttbl2,$H49,CC$2)+(($H49-ROUNDDOWN($H49,0))*(INDEX(avoidedcosttbl2,ROUNDUP($H49,0),CC$2)-(INDEX(avoidedcosttbl2,ROUNDDOWN($H49,0),CC$2)))))*'Inputs Yr 2'!Q49*'Inputs Yr 2'!R49*'Inputs Yr 2'!V49,"")</f>
        <v>0</v>
      </c>
      <c r="CD49" s="195">
        <f>IFERROR(I49*(IF('Inputs Yr 2'!$AJ49=CD$4,'Inputs Yr 2'!$AK49,IF('Inputs Yr 2'!$AL49=CD$4,'Inputs Yr 2'!$AM49,IF('Inputs Yr 2'!$AN49=CD$4,'Inputs Yr 2'!$AO49,0))))*(INDEX(avoidedcosttbl2,$H49,CD$2)+(($H49-ROUNDDOWN($H49,0))*(INDEX(avoidedcosttbl2,ROUNDUP($H49,0),CD$2)-(INDEX(avoidedcosttbl2,ROUNDDOWN($H49,0),CD$2)))))*'Inputs Yr 2'!R49*'Inputs Yr 2'!S49*'Inputs Yr 2'!W49,"")</f>
        <v>0</v>
      </c>
      <c r="CE49" s="213">
        <f t="shared" si="41"/>
        <v>1691372.4139728372</v>
      </c>
      <c r="CF49" s="213">
        <f t="shared" si="42"/>
        <v>0</v>
      </c>
      <c r="CG49" s="213">
        <f t="shared" si="43"/>
        <v>0</v>
      </c>
      <c r="CH49" s="698">
        <f t="shared" si="44"/>
        <v>2397092.9976531682</v>
      </c>
      <c r="CI49" s="79">
        <f>IFERROR(($G49*'Inputs Yr 2'!$P49*'Inputs Yr 2'!$Q49*(((INDEX(avoidedcosttbl2,$H49,CI$2)+(($H49-ROUNDDOWN($H49,0))*(INDEX(avoidedcosttbl2,ROUNDUP($H49,0),CI$2)-INDEX(avoidedcosttbl2,ROUNDDOWN($H49,0),CI$2))))*'Inputs Yr 2'!AS49))),"")</f>
        <v>0</v>
      </c>
      <c r="CJ49" s="504">
        <f>IFERROR($G49*'Inputs Yr 2'!AT49*'Inputs Yr 2'!$P49*'Inputs Yr 2'!$Q49/((1+realdiscrt1)^-0.5),"")</f>
        <v>283.61189466670822</v>
      </c>
      <c r="CK49" s="79">
        <f>IFERROR((O49*1000*(((INDEX(avoidedcosttbl2,$H49,CK$2)+(($H49-ROUNDDOWN($H49,0))*(INDEX(avoidedcosttbl2,ROUNDUP($H49,0),CK$2)-INDEX(avoidedcosttbl2,ROUNDDOWN($H49,0),CK$2))))*'Inputs Yr 2'!AU49))),"")</f>
        <v>0</v>
      </c>
      <c r="CL49" s="504">
        <f>IFERROR(O49*1000*'Inputs Yr 2'!AV49/((1+realdiscrt1)^-0.5),"")</f>
        <v>0</v>
      </c>
      <c r="CM49" s="79">
        <f>IFERROR((AB49*'Inputs Yr 2'!AW49*(((INDEX(avoidedcosttbl2,$H49,CM$2)+(($H49-ROUNDDOWN($H49,0))*(INDEX(avoidedcosttbl2,ROUNDUP($H49,0),CM$2)-INDEX(avoidedcosttbl2,ROUNDDOWN($H49,0),CM$2)))))))*10,"")</f>
        <v>0</v>
      </c>
      <c r="CN49" s="504">
        <f>IFERROR(10*AB49*'Inputs Yr 2'!AX49/((1+realdiscrt1)^-0.5),"")</f>
        <v>0</v>
      </c>
      <c r="CO49" s="505">
        <f t="shared" si="45"/>
        <v>283.61189466670822</v>
      </c>
      <c r="CP49" s="230">
        <f t="shared" si="46"/>
        <v>2397376.6095478348</v>
      </c>
      <c r="CQ49" s="199">
        <f>ROUND(IFERROR(IF(LEFT($A49,1)="C",'Avoided Costs'!$K$13,'Avoided Costs'!$K$12)+1,""),4)</f>
        <v>1.0720000000000001</v>
      </c>
      <c r="CR49" s="199">
        <f>ROUND(IFERROR(IF(LEFT($A49,1)="C",'Avoided Costs'!$L$13,'Avoided Costs'!$L$12)+1,""),4)</f>
        <v>1.04</v>
      </c>
      <c r="CS49" s="199">
        <f>ROUND(IFERROR(IF(LEFT($A49,1)="C",'Avoided Costs'!$M$13,'Avoided Costs'!$M$12)+1,""),4)</f>
        <v>1.0720000000000001</v>
      </c>
      <c r="CT49" s="199">
        <f>ROUND(IFERROR(IF(LEFT($A49,1)="C",'Avoided Costs'!$N$13,'Avoided Costs'!$N$12)+1,""),4)</f>
        <v>1.04</v>
      </c>
      <c r="CU49" s="199">
        <f>ROUND(IFERROR(IF(LEFT($A49,1)="C",'Avoided Costs'!$O$13,'Avoided Costs'!$O$12)+1,""),4)</f>
        <v>1.1120000000000001</v>
      </c>
      <c r="CV49" s="199">
        <f>ROUND(IFERROR(IF(LEFT($A49,1)="C",'Avoided Costs'!$P$13,'Avoided Costs'!$P$12)+1,""),4)</f>
        <v>1.095</v>
      </c>
      <c r="CW49" s="199">
        <f>ROUND(IFERROR(IF(LEFT($A49,1)="C",'Avoided Costs'!$Q$13,'Avoided Costs'!$Q$12)+1,""),4)</f>
        <v>1.1120000000000001</v>
      </c>
      <c r="CX49" s="200">
        <f>ROUND(IFERROR(IF(LEFT($A49,1)="C",'Avoided Costs'!$R$13,'Avoided Costs'!$R$12)+1,""),4)</f>
        <v>1.1120000000000001</v>
      </c>
    </row>
    <row r="50" spans="1:102" ht="12.75" customHeight="1">
      <c r="A50" s="91" t="str">
        <f>IF('Inputs Yr 2'!$B50=0,"",'Inputs Yr 2'!A50)</f>
        <v>A - Residential</v>
      </c>
      <c r="B50" s="91" t="str">
        <f>IF('Inputs Yr 2'!$B50=0,"",'Inputs Yr 2'!B50)</f>
        <v>A1 - Residential Whole House</v>
      </c>
      <c r="C50" s="91" t="str">
        <f>IF('Inputs Yr 2'!$B50=0,"",'Inputs Yr 2'!C50)</f>
        <v>A1c - Residential Home Energy Services - Measures</v>
      </c>
      <c r="D50" s="91" t="str">
        <f>IF('Inputs Yr 2'!$B50=0,"",'Inputs Yr 2'!E50)</f>
        <v>Programmable Thermostat, Gas</v>
      </c>
      <c r="E50" s="93" t="str">
        <f>IF('Inputs Yr 2'!$B50=0,"",'Inputs Yr 2'!F50)</f>
        <v>G16A1c09</v>
      </c>
      <c r="F50" s="93" t="str">
        <f>IF('Inputs Yr 2'!$B50=0,"",'Inputs Yr 2'!G50)</f>
        <v>HVAC</v>
      </c>
      <c r="G50" s="95">
        <f>IF('Inputs Yr 2'!$H50&lt;&gt;0,('Inputs Yr 2'!H50),"")</f>
        <v>10635</v>
      </c>
      <c r="H50" s="94">
        <f>IFERROR('Inputs Yr 2'!I50,"")</f>
        <v>15</v>
      </c>
      <c r="I50" s="298">
        <f>IFERROR('Inputs Yr 2'!J50*'Inputs Yr 2'!P50*G50,"")</f>
        <v>329105.98000000004</v>
      </c>
      <c r="J50" s="298">
        <f>IFERROR('Inputs Yr 2'!K50*G50,"")</f>
        <v>369782.00000000006</v>
      </c>
      <c r="K50" s="298">
        <f t="shared" si="23"/>
        <v>-40676.020000000019</v>
      </c>
      <c r="L50" s="194">
        <f>IFERROR(('Inputs Yr 2'!W50*G50)/1000,"")</f>
        <v>0</v>
      </c>
      <c r="M50" s="194">
        <f>IFERROR(L50*('Inputs Yr 2'!$Q50*'Inputs Yr 2'!$V50*'Inputs Yr 2'!$R50),"")</f>
        <v>0</v>
      </c>
      <c r="N50" s="194">
        <f t="shared" si="24"/>
        <v>0</v>
      </c>
      <c r="O50" s="194">
        <f>IFERROR(M50*'Inputs Yr 2'!P50,"")</f>
        <v>0</v>
      </c>
      <c r="P50" s="194">
        <f t="shared" si="25"/>
        <v>0</v>
      </c>
      <c r="Q50" s="194">
        <f>IFERROR($P50*'Inputs Yr 2'!AA50,"")</f>
        <v>0</v>
      </c>
      <c r="R50" s="194">
        <f>IFERROR($P50*'Inputs Yr 2'!AB50,"")</f>
        <v>0</v>
      </c>
      <c r="S50" s="194">
        <f>IFERROR($P50*'Inputs Yr 2'!AC50,"")</f>
        <v>0</v>
      </c>
      <c r="T50" s="194">
        <f>IFERROR($P50*'Inputs Yr 2'!AD50,"")</f>
        <v>0</v>
      </c>
      <c r="U50" s="194">
        <f>IFERROR(G50*'Inputs Yr 2'!$AE50*'Inputs Yr 2'!$P50*'Inputs Yr 2'!$Q50,"")</f>
        <v>0</v>
      </c>
      <c r="V50" s="194">
        <f>IFERROR($G50*'Inputs Yr 2'!$AE50*'Inputs Yr 2'!$AG50*'Inputs Yr 2'!Q50*'Inputs Yr 2'!$S50,"")</f>
        <v>0</v>
      </c>
      <c r="W50" s="194">
        <f>IFERROR($G50*'Inputs Yr 2'!$AE50*'Inputs Yr 2'!$AG50*'Inputs Yr 2'!P50*'Inputs Yr 2'!Q50*'Inputs Yr 2'!$S50,"")</f>
        <v>0</v>
      </c>
      <c r="X50" s="194">
        <f>IFERROR($G50*'Inputs Yr 2'!$AE50*'Inputs Yr 2'!$AF50*'Inputs Yr 2'!Q50*'Inputs Yr 2'!$T50,"")</f>
        <v>0</v>
      </c>
      <c r="Y50" s="194">
        <f>IFERROR($G50*'Inputs Yr 2'!$AE50*'Inputs Yr 2'!$AF50*'Inputs Yr 2'!P50*'Inputs Yr 2'!Q50*'Inputs Yr 2'!$T50,"")</f>
        <v>0</v>
      </c>
      <c r="Z50" s="257">
        <f>IFERROR($G50*'Inputs Yr 2'!$Q50*'Inputs Yr 2'!$U50*(IF(IFERROR(SEARCH("NG", 'Inputs Yr 2'!$AJ50),0),'Inputs Yr 2'!$AK50,0)+IF(IFERROR(SEARCH("NG", 'Inputs Yr 2'!$AL50),0),'Inputs Yr 2'!$AM50,0)+IF(IFERROR(SEARCH("NG", 'Inputs Yr 2'!$AN50),0),'Inputs Yr 2'!$AO50,0)),0)</f>
        <v>34032</v>
      </c>
      <c r="AA50" s="257">
        <f t="shared" si="26"/>
        <v>510480</v>
      </c>
      <c r="AB50" s="257">
        <f>IFERROR(Z50*'Inputs Yr 2'!$P50,0)</f>
        <v>30288.48</v>
      </c>
      <c r="AC50" s="257">
        <f t="shared" si="27"/>
        <v>454327.2</v>
      </c>
      <c r="AD50" s="257">
        <f>IFERROR($G50*'Inputs Yr 2'!$Q50*'Inputs Yr 2'!$U50*(IF(IFERROR(SEARCH("Oil", 'Inputs Yr 2'!$AJ50), 0),'Inputs Yr 2'!$AK50,0)+IF(IFERROR(SEARCH("Oil", 'Inputs Yr 2'!$AL50), 0),'Inputs Yr 2'!$AM50,0)+IF(IFERROR(SEARCH("Oil", 'Inputs Yr 2'!$AN50), 0),'Inputs Yr 2'!$AO50,0)),0)</f>
        <v>0</v>
      </c>
      <c r="AE50" s="257">
        <f t="shared" si="28"/>
        <v>0</v>
      </c>
      <c r="AF50" s="257">
        <f>IFERROR(AD50*'Inputs Yr 2'!$P50,0)</f>
        <v>0</v>
      </c>
      <c r="AG50" s="257">
        <f t="shared" si="29"/>
        <v>0</v>
      </c>
      <c r="AH50" s="257">
        <f>IFERROR($G50*'Inputs Yr 2'!$Q50*'Inputs Yr 2'!$U50*(IF('Inputs Yr 2'!$AJ50=CD$4,'Inputs Yr 2'!$AK50,IF('Inputs Yr 2'!$AL50=CD$4,'Inputs Yr 2'!$AM50,IF('Inputs Yr 2'!$AN50=CD$4,'Inputs Yr 2'!$AO50,0)))),0)</f>
        <v>0</v>
      </c>
      <c r="AI50" s="257">
        <f t="shared" si="30"/>
        <v>0</v>
      </c>
      <c r="AJ50" s="257">
        <f>IFERROR(AH50*'Inputs Yr 2'!$P50,0)</f>
        <v>0</v>
      </c>
      <c r="AK50" s="257">
        <f t="shared" si="31"/>
        <v>0</v>
      </c>
      <c r="AL50" s="258">
        <f>IFERROR($G50*'Inputs Yr 2'!$P50*'Inputs Yr 2'!$Q50*'Inputs Yr 2'!AP50,0)</f>
        <v>0</v>
      </c>
      <c r="AM50" s="260">
        <f>IFERROR($G50*'Inputs Yr 2'!$P50*'Inputs Yr 2'!$Q50*'Inputs Yr 2'!AQ50,0)</f>
        <v>0</v>
      </c>
      <c r="AN50" s="258">
        <f>IFERROR($G50*'Inputs Yr 2'!$P50*'Inputs Yr 2'!$Q50*'Inputs Yr 2'!AR50,0)</f>
        <v>0</v>
      </c>
      <c r="AO50" s="257">
        <f t="shared" si="32"/>
        <v>0</v>
      </c>
      <c r="AP50" s="195">
        <f>IFERROR($CQ50*(INDEX(avoidedcosttbl2,$H50,AP$2)+(($H50-ROUNDDOWN($H50,0))*(INDEX(avoidedcosttbl2,ROUNDUP($H50,0),AP$2)-(INDEX(avoidedcosttbl2,ROUNDDOWN($H50,0),AP$2)))))*$O50*1000*'Inputs Yr 2'!AA50,"")</f>
        <v>0</v>
      </c>
      <c r="AQ50" s="195">
        <f>IFERROR($CR50*(INDEX(avoidedcosttbl2,$H50,AQ$2)+(($H50-ROUNDDOWN($H50,0))*(INDEX(avoidedcosttbl2,ROUNDUP($H50,0),AQ$2)-(INDEX(avoidedcosttbl2,ROUNDDOWN($H50,0),AQ$2)))))*$O50*1000*'Inputs Yr 2'!AB50,"")</f>
        <v>0</v>
      </c>
      <c r="AR50" s="195">
        <f>IFERROR($CS50*(INDEX(avoidedcosttbl2,$H50,AR$2)+(($H50-ROUNDDOWN($H50,0))*(INDEX(avoidedcosttbl2,ROUNDUP($H50,0),AR$2)-(INDEX(avoidedcosttbl2,ROUNDDOWN($H50,0),AR$2)))))*$O50*1000*'Inputs Yr 2'!AC50,"")</f>
        <v>0</v>
      </c>
      <c r="AS50" s="195">
        <f>IFERROR($CT50*(INDEX(avoidedcosttbl2,$H50,AS$2)+(($H50-ROUNDDOWN($H50,0))*(INDEX(avoidedcosttbl2,ROUNDUP($H50,0),AS$2)-(INDEX(avoidedcosttbl2,ROUNDDOWN($H50,0),AS$2)))))*$O50*1000*'Inputs Yr 2'!AD50,"")</f>
        <v>0</v>
      </c>
      <c r="AT50" s="196">
        <f t="shared" si="33"/>
        <v>0</v>
      </c>
      <c r="AU50" s="197">
        <f>IFERROR($CQ50*((INDEX(avoidedcosttbl2,$H50,AU$2))+(($H50-ROUNDDOWN($H50,0))*((INDEX(avoidedcosttbl2,ROUNDUP($H50,0),AU$2))-(INDEX(avoidedcosttbl2,ROUNDDOWN($H50,0),AU$2)))))*$O50*1000*'Inputs Yr 2'!AA50,"")</f>
        <v>0</v>
      </c>
      <c r="AV50" s="197">
        <f>IFERROR($CR50*((INDEX(avoidedcosttbl2,$H50,AV$2))+(($H50-ROUNDDOWN($H50,0))*((INDEX(avoidedcosttbl2,ROUNDUP($H50,0),AV$2))-(INDEX(avoidedcosttbl2,ROUNDDOWN($H50,0),AV$2)))))*$O50*1000*'Inputs Yr 2'!AB50,"")</f>
        <v>0</v>
      </c>
      <c r="AW50" s="197">
        <f>IFERROR($CS50*((INDEX(avoidedcosttbl2,$H50,AW$2))+(($H50-ROUNDDOWN($H50,0))*((INDEX(avoidedcosttbl2,ROUNDUP($H50,0),AW$2))-(INDEX(avoidedcosttbl2,ROUNDDOWN($H50,0),AW$2)))))*$O50*1000*'Inputs Yr 2'!AC50,"")</f>
        <v>0</v>
      </c>
      <c r="AX50" s="197">
        <f>IFERROR($CT50*((INDEX(avoidedcosttbl2,$H50,AX$2))+(($H50-ROUNDDOWN($H50,0))*((INDEX(avoidedcosttbl2,ROUNDUP($H50,0),AX$2))-(INDEX(avoidedcosttbl2,ROUNDDOWN($H50,0),AX$2)))))*$O50*1000*'Inputs Yr 2'!AD50,"")</f>
        <v>0</v>
      </c>
      <c r="AY50" s="197">
        <f>IFERROR(((INDEX(avoidedcosttbl2,$H50,AY$2))+(($H50-ROUNDDOWN($H50,0))*((INDEX(avoidedcosttbl2,ROUNDUP($H50,0),AY$2))-(INDEX(avoidedcosttbl2,ROUNDDOWN($H50,0),AY$2)))))*$O50*1000*('Inputs Yr 2'!AC50+'Inputs Yr 2'!AD50),"")</f>
        <v>0</v>
      </c>
      <c r="AZ50" s="197">
        <f>IFERROR(((INDEX(avoidedcosttbl2,$H50,AZ$2))+(($H50-ROUNDDOWN($H50,0))*((INDEX(avoidedcosttbl2,ROUNDUP($H50,0),AZ$2))-(INDEX(avoidedcosttbl2,ROUNDDOWN($H50,0),AZ$2)))))*$O50*1000*('Inputs Yr 2'!AA50+'Inputs Yr 2'!AB50),"")</f>
        <v>0</v>
      </c>
      <c r="BA50" s="198">
        <f t="shared" si="34"/>
        <v>0</v>
      </c>
      <c r="BB50" s="198">
        <f t="shared" si="35"/>
        <v>0</v>
      </c>
      <c r="BC50" s="195">
        <f t="shared" si="10"/>
        <v>0</v>
      </c>
      <c r="BD50" s="195">
        <f t="shared" si="11"/>
        <v>0</v>
      </c>
      <c r="BE50" s="195">
        <f t="shared" si="12"/>
        <v>0</v>
      </c>
      <c r="BF50" s="195">
        <f t="shared" si="13"/>
        <v>0</v>
      </c>
      <c r="BG50" s="195">
        <f t="shared" si="14"/>
        <v>0</v>
      </c>
      <c r="BH50" s="196">
        <f t="shared" si="36"/>
        <v>0</v>
      </c>
      <c r="BI50" s="196">
        <f t="shared" si="37"/>
        <v>0</v>
      </c>
      <c r="BJ50" s="195">
        <f>IFERROR($G50*(IF('Inputs Yr 2'!$AJ50=BJ$4,'Inputs Yr 2'!$AK50,IF('Inputs Yr 2'!$AL50=BJ$4,'Inputs Yr 2'!$AM50,IF('Inputs Yr 2'!$AN50=BJ$4,'Inputs Yr 2'!$AO50,0))))*(INDEX(avoidedcosttbl2,$H50,BJ$2)+(($H50-ROUNDDOWN($H50,0))*(INDEX(avoidedcosttbl2,ROUNDUP($H50,0),BJ$2)-(INDEX(avoidedcosttbl2,ROUNDDOWN($H50,0),BJ$2)))))*'Inputs Yr 2'!P50*'Inputs Yr 2'!Q50*'Inputs Yr 2'!U50,"")</f>
        <v>0</v>
      </c>
      <c r="BK50" s="195">
        <f>IFERROR($G50*(IF('Inputs Yr 2'!$AJ50=BK$4,'Inputs Yr 2'!$AK50,IF('Inputs Yr 2'!$AL50=BK$4,'Inputs Yr 2'!$AM50,IF('Inputs Yr 2'!$AN50=BK$4,'Inputs Yr 2'!$AO50,0))))*(INDEX(avoidedcosttbl2,$H50,BK$2)+(($H50-ROUNDDOWN($H50,0))*(INDEX(avoidedcosttbl2,ROUNDUP($H50,0),BK$2)-(INDEX(avoidedcosttbl2,ROUNDDOWN($H50,0),BK$2)))))*'Inputs Yr 2'!P50*'Inputs Yr 2'!Q50*'Inputs Yr 2'!U50,"")</f>
        <v>0</v>
      </c>
      <c r="BL50" s="195">
        <f>IFERROR($G50*(IF('Inputs Yr 2'!$AJ50=BL$4,'Inputs Yr 2'!$AK50,IF('Inputs Yr 2'!$AL50=BL$4,'Inputs Yr 2'!$AM50,IF('Inputs Yr 2'!$AN50=BL$4,'Inputs Yr 2'!$AO50,0))))*(INDEX(avoidedcosttbl2,$H50,BL$2)+(($H50-ROUNDDOWN($H50,0))*(INDEX(avoidedcosttbl2,ROUNDUP($H50,0),BL$2)-(INDEX(avoidedcosttbl2,ROUNDDOWN($H50,0),BL$2)))))*'Inputs Yr 2'!P50*'Inputs Yr 2'!Q50*'Inputs Yr 2'!U50,"")</f>
        <v>3831215.0817246153</v>
      </c>
      <c r="BM50" s="195">
        <f>IFERROR($G50*(IF('Inputs Yr 2'!$AJ50=BM$4,'Inputs Yr 2'!$AK50,IF('Inputs Yr 2'!$AL50=BM$4,'Inputs Yr 2'!$AM50,IF('Inputs Yr 2'!$AN50=BM$4,'Inputs Yr 2'!$AO50,0))))*(INDEX(avoidedcosttbl2,$H50,BM$2)+(($H50-ROUNDDOWN($H50,0))*(INDEX(avoidedcosttbl2,ROUNDUP($H50,0),BM$2)-(INDEX(avoidedcosttbl2,ROUNDDOWN($H50,0),BM$2)))))*'Inputs Yr 2'!P50*'Inputs Yr 2'!Q50*'Inputs Yr 2'!U50,"")</f>
        <v>0</v>
      </c>
      <c r="BN50" s="195">
        <f>IFERROR($G50*(IF('Inputs Yr 2'!$AJ50=BN$4,'Inputs Yr 2'!$AK50,IF('Inputs Yr 2'!$AL50=BN$4,'Inputs Yr 2'!$AM50,IF('Inputs Yr 2'!$AN50=BN$4,'Inputs Yr 2'!$AO50,0))))*(INDEX(avoidedcosttbl2,$H50,BN$2)+(($H50-ROUNDDOWN($H50,0))*(INDEX(avoidedcosttbl2,ROUNDUP($H50,0),BN$2)-(INDEX(avoidedcosttbl2,ROUNDDOWN($H50,0),BN$2)))))*'Inputs Yr 2'!P50*'Inputs Yr 2'!Q50*'Inputs Yr 2'!U50,"")</f>
        <v>0</v>
      </c>
      <c r="BO50" s="195">
        <f>IFERROR($G50*(IF('Inputs Yr 2'!$AJ50=BO$4,'Inputs Yr 2'!$AK50,IF('Inputs Yr 2'!$AL50=BO$4,'Inputs Yr 2'!$AM50,IF('Inputs Yr 2'!$AN50=BO$4,'Inputs Yr 2'!$AO50,0))))*(INDEX(avoidedcosttbl2,$H50,BO$2)+(($H50-ROUNDDOWN($H50,0))*(INDEX(avoidedcosttbl2,ROUNDUP($H50,0),BO$2)-(INDEX(avoidedcosttbl2,ROUNDDOWN($H50,0),BO$2)))))*'Inputs Yr 2'!P50*'Inputs Yr 2'!Q50*'Inputs Yr 2'!U50,"")</f>
        <v>0</v>
      </c>
      <c r="BP50" s="195">
        <f>IFERROR($G50*(IF('Inputs Yr 2'!$AJ50=BP$4,'Inputs Yr 2'!$AK50,IF('Inputs Yr 2'!$AL50=BP$4,'Inputs Yr 2'!$AM50,IF('Inputs Yr 2'!$AN50=BP$4,'Inputs Yr 2'!$AO50,0))))*(INDEX(avoidedcosttbl2,$H50,BP$2)+(($H50-ROUNDDOWN($H50,0))*(INDEX(avoidedcosttbl2,ROUNDUP($H50,0),BP$2)-(INDEX(avoidedcosttbl2,ROUNDDOWN($H50,0),BP$2)))))*'Inputs Yr 2'!P50*'Inputs Yr 2'!Q50*'Inputs Yr 2'!U50,"")</f>
        <v>0</v>
      </c>
      <c r="BQ50" s="230">
        <f t="shared" si="38"/>
        <v>3831215.0817246153</v>
      </c>
      <c r="BR50" s="197">
        <f t="shared" si="17"/>
        <v>61580.374104426555</v>
      </c>
      <c r="BS50" s="197">
        <f>IFERROR(($G50*IF('Inputs Yr 2'!$AJ50=BM$4,'Inputs Yr 2'!$AK50,IF('Inputs Yr 2'!$AL50=BM$4,'Inputs Yr 2'!$AM50,IF('Inputs Yr 2'!$AN50=BM$4,'Inputs Yr 2'!$AO50,0))))*(INDEX(avoidedcosttbl2,$H50,BS$2)+(($H50-ROUNDDOWN($H50,0))*(INDEX(avoidedcosttbl2,ROUNDUP($H50,0),BS$2)-(INDEX(avoidedcosttbl2,ROUNDDOWN($H50,0),BS$2)))))*'Inputs Yr 2'!P50*'Inputs Yr 2'!Q50*'Inputs Yr 2'!U50,"")</f>
        <v>0</v>
      </c>
      <c r="BT50" s="197">
        <f>IFERROR(($G50*IF('Inputs Yr 2'!$AJ50=BK$4,'Inputs Yr 2'!$AK50,IF('Inputs Yr 2'!$AL50=BK$4,'Inputs Yr 2'!$AM50,IF('Inputs Yr 2'!$AN50=BK$4,'Inputs Yr 2'!$AO50,0))))*(INDEX(avoidedcosttbl2,$H50,BT$2)+(($H50-ROUNDDOWN($H50,0))*(INDEX(avoidedcosttbl2,ROUNDUP($H50,0),BT$2)-(INDEX(avoidedcosttbl2,ROUNDDOWN($H50,0),BT$2)))))*'Inputs Yr 2'!P50*'Inputs Yr 2'!Q50*'Inputs Yr 2'!U50,"")</f>
        <v>0</v>
      </c>
      <c r="BU50" s="197">
        <f>IFERROR(($G50*IF('Inputs Yr 2'!$AJ50=BL$4,'Inputs Yr 2'!$AK50,IF('Inputs Yr 2'!$AL50=BL$4,'Inputs Yr 2'!$AM50,IF('Inputs Yr 2'!$AN50=BL$4,'Inputs Yr 2'!$AO50,0))))*(INDEX(avoidedcosttbl2,$H50,BU$2)+(($H50-ROUNDDOWN($H50,0))*(INDEX(avoidedcosttbl2,ROUNDUP($H50,0),BU$2)-(INDEX(avoidedcosttbl2,ROUNDDOWN($H50,0),BU$2)))))*'Inputs Yr 2'!P50*'Inputs Yr 2'!Q50*'Inputs Yr 2'!U50,"")</f>
        <v>234499.27952392347</v>
      </c>
      <c r="BV50" s="775">
        <f>IFERROR(($G50*IF('Inputs Yr 2'!$AJ50=BJ$4,'Inputs Yr 2'!$AK50,IF('Inputs Yr 2'!$AL50=BJ$4,'Inputs Yr 2'!$AM50,IF('Inputs Yr 2'!$AN50=BJ$4,'Inputs Yr 2'!$AO50,0))))*(INDEX(avoidedcosttbl2,$H50,BV$2)+(($H50-ROUNDDOWN($H50,0))*(INDEX(avoidedcosttbl2,ROUNDUP($H50,0),BV$2)-(INDEX(avoidedcosttbl2,ROUNDDOWN($H50,0),BV$2)))))*'Inputs Yr 2'!P50*'Inputs Yr 2'!Q50*'Inputs Yr 2'!U50,"")</f>
        <v>0</v>
      </c>
      <c r="BW50" s="197">
        <f>IFERROR(($G50*IF('Inputs Yr 2'!$AJ50=BN$4,'Inputs Yr 2'!$AK50,IF('Inputs Yr 2'!$AL50=BN$4,'Inputs Yr 2'!$AM50,IF('Inputs Yr 2'!$AN50=BN$4,'Inputs Yr 2'!$AO50,0))))*(INDEX(avoidedcosttbl2,$H50,BW$2)+(($H50-ROUNDDOWN($H50,0))*(INDEX(avoidedcosttbl2,ROUNDUP($H50,0),BW$2)-(INDEX(avoidedcosttbl2,ROUNDDOWN($H50,0),BW$2)))))*'Inputs Yr 2'!P50*'Inputs Yr 2'!Q50*'Inputs Yr 2'!U50,"")</f>
        <v>0</v>
      </c>
      <c r="BX50" s="197">
        <f>IFERROR(($G50*IF('Inputs Yr 2'!$AJ50=BO$4,'Inputs Yr 2'!$AK50,IF('Inputs Yr 2'!$AL50=BO$4,'Inputs Yr 2'!$AM50,IF('Inputs Yr 2'!$AN50=BO$4,'Inputs Yr 2'!$AO50,0))))*(INDEX(avoidedcosttbl2,$H50,BX$2)+(($H50-ROUNDDOWN($H50,0))*(INDEX(avoidedcosttbl2,ROUNDUP($H50,0),BX$2)-(INDEX(avoidedcosttbl2,ROUNDDOWN($H50,0),BX$2)))))*'Inputs Yr 2'!P50*'Inputs Yr 2'!Q50*'Inputs Yr 2'!U50,"")</f>
        <v>0</v>
      </c>
      <c r="BY50" s="197">
        <f>IFERROR(($G50*IF('Inputs Yr 2'!$AJ50=BP$4,'Inputs Yr 2'!$AK50,IF('Inputs Yr 2'!$AL50=BP$4,'Inputs Yr 2'!$AM50,IF('Inputs Yr 2'!$AN50=BP$4,'Inputs Yr 2'!$AO50,0))))*(INDEX(avoidedcosttbl2,$H50,BY$2)+(($H50-ROUNDDOWN($H50,0))*(INDEX(avoidedcosttbl2,ROUNDUP($H50,0),BY$2)-(INDEX(avoidedcosttbl2,ROUNDDOWN($H50,0),BY$2)))))*'Inputs Yr 2'!P50*'Inputs Yr 2'!Q50*'Inputs Yr 2'!U50,"")</f>
        <v>0</v>
      </c>
      <c r="BZ50" s="193">
        <f t="shared" si="39"/>
        <v>296079.65362835</v>
      </c>
      <c r="CA50" s="193">
        <f t="shared" si="40"/>
        <v>4127294.7353529651</v>
      </c>
      <c r="CB50" s="195">
        <f>IFERROR(G50*(IF('Inputs Yr 2'!$AJ50=CB$4,'Inputs Yr 2'!$AK50,IF('Inputs Yr 2'!$AL50=CB$4,'Inputs Yr 2'!$AM50,IF('Inputs Yr 2'!$AN50=CB$4,'Inputs Yr 2'!$AO50,0))))*(INDEX(avoidedcosttbl2,$H50,CB$2)+(($H50-ROUNDDOWN($H50,0))*(INDEX(avoidedcosttbl2,ROUNDUP($H50,0),CB$2)-(INDEX(avoidedcosttbl2,ROUNDDOWN($H50,0),CB$2)))))*'Inputs Yr 2'!P50*'Inputs Yr 2'!Q50*'Inputs Yr 2'!U50,"")</f>
        <v>0</v>
      </c>
      <c r="CC50" s="195">
        <f>IFERROR(H50*(IF('Inputs Yr 2'!$AJ50=CC$4,'Inputs Yr 2'!$AK50,IF('Inputs Yr 2'!$AL50=CC$4,'Inputs Yr 2'!$AM50,IF('Inputs Yr 2'!$AN50=CC$4,'Inputs Yr 2'!$AO50,0))))*(INDEX(avoidedcosttbl2,$H50,CC$2)+(($H50-ROUNDDOWN($H50,0))*(INDEX(avoidedcosttbl2,ROUNDUP($H50,0),CC$2)-(INDEX(avoidedcosttbl2,ROUNDDOWN($H50,0),CC$2)))))*'Inputs Yr 2'!Q50*'Inputs Yr 2'!R50*'Inputs Yr 2'!V50,"")</f>
        <v>0</v>
      </c>
      <c r="CD50" s="195">
        <f>IFERROR(I50*(IF('Inputs Yr 2'!$AJ50=CD$4,'Inputs Yr 2'!$AK50,IF('Inputs Yr 2'!$AL50=CD$4,'Inputs Yr 2'!$AM50,IF('Inputs Yr 2'!$AN50=CD$4,'Inputs Yr 2'!$AO50,0))))*(INDEX(avoidedcosttbl2,$H50,CD$2)+(($H50-ROUNDDOWN($H50,0))*(INDEX(avoidedcosttbl2,ROUNDUP($H50,0),CD$2)-(INDEX(avoidedcosttbl2,ROUNDDOWN($H50,0),CD$2)))))*'Inputs Yr 2'!R50*'Inputs Yr 2'!S50*'Inputs Yr 2'!W50,"")</f>
        <v>0</v>
      </c>
      <c r="CE50" s="213">
        <f t="shared" si="41"/>
        <v>0</v>
      </c>
      <c r="CF50" s="213">
        <f t="shared" si="42"/>
        <v>0</v>
      </c>
      <c r="CG50" s="213">
        <f t="shared" si="43"/>
        <v>0</v>
      </c>
      <c r="CH50" s="698">
        <f t="shared" si="44"/>
        <v>4127294.7353529651</v>
      </c>
      <c r="CI50" s="79">
        <f>IFERROR(($G50*'Inputs Yr 2'!$P50*'Inputs Yr 2'!$Q50*(((INDEX(avoidedcosttbl2,$H50,CI$2)+(($H50-ROUNDDOWN($H50,0))*(INDEX(avoidedcosttbl2,ROUNDUP($H50,0),CI$2)-INDEX(avoidedcosttbl2,ROUNDDOWN($H50,0),CI$2))))*'Inputs Yr 2'!AS50))),"")</f>
        <v>440498.25052330078</v>
      </c>
      <c r="CJ50" s="504">
        <f>IFERROR($G50*'Inputs Yr 2'!AT50*'Inputs Yr 2'!$P50*'Inputs Yr 2'!$Q50/((1+realdiscrt1)^-0.5),"")</f>
        <v>0</v>
      </c>
      <c r="CK50" s="79">
        <f>IFERROR((O50*1000*(((INDEX(avoidedcosttbl2,$H50,CK$2)+(($H50-ROUNDDOWN($H50,0))*(INDEX(avoidedcosttbl2,ROUNDUP($H50,0),CK$2)-INDEX(avoidedcosttbl2,ROUNDDOWN($H50,0),CK$2))))*'Inputs Yr 2'!AU50))),"")</f>
        <v>0</v>
      </c>
      <c r="CL50" s="504">
        <f>IFERROR(O50*1000*'Inputs Yr 2'!AV50/((1+realdiscrt1)^-0.5),"")</f>
        <v>0</v>
      </c>
      <c r="CM50" s="79">
        <f>IFERROR((AB50*'Inputs Yr 2'!AW50*(((INDEX(avoidedcosttbl2,$H50,CM$2)+(($H50-ROUNDDOWN($H50,0))*(INDEX(avoidedcosttbl2,ROUNDUP($H50,0),CM$2)-INDEX(avoidedcosttbl2,ROUNDDOWN($H50,0),CM$2)))))))*10,"")</f>
        <v>0</v>
      </c>
      <c r="CN50" s="504">
        <f>IFERROR(10*AB50*'Inputs Yr 2'!AX50/((1+realdiscrt1)^-0.5),"")</f>
        <v>0</v>
      </c>
      <c r="CO50" s="505">
        <f t="shared" si="45"/>
        <v>440498.25052330078</v>
      </c>
      <c r="CP50" s="230">
        <f t="shared" si="46"/>
        <v>4567792.9858762659</v>
      </c>
      <c r="CQ50" s="199">
        <f>ROUND(IFERROR(IF(LEFT($A50,1)="C",'Avoided Costs'!$K$13,'Avoided Costs'!$K$12)+1,""),4)</f>
        <v>1.0720000000000001</v>
      </c>
      <c r="CR50" s="199">
        <f>ROUND(IFERROR(IF(LEFT($A50,1)="C",'Avoided Costs'!$L$13,'Avoided Costs'!$L$12)+1,""),4)</f>
        <v>1.04</v>
      </c>
      <c r="CS50" s="199">
        <f>ROUND(IFERROR(IF(LEFT($A50,1)="C",'Avoided Costs'!$M$13,'Avoided Costs'!$M$12)+1,""),4)</f>
        <v>1.0720000000000001</v>
      </c>
      <c r="CT50" s="199">
        <f>ROUND(IFERROR(IF(LEFT($A50,1)="C",'Avoided Costs'!$N$13,'Avoided Costs'!$N$12)+1,""),4)</f>
        <v>1.04</v>
      </c>
      <c r="CU50" s="199">
        <f>ROUND(IFERROR(IF(LEFT($A50,1)="C",'Avoided Costs'!$O$13,'Avoided Costs'!$O$12)+1,""),4)</f>
        <v>1.1120000000000001</v>
      </c>
      <c r="CV50" s="199">
        <f>ROUND(IFERROR(IF(LEFT($A50,1)="C",'Avoided Costs'!$P$13,'Avoided Costs'!$P$12)+1,""),4)</f>
        <v>1.095</v>
      </c>
      <c r="CW50" s="199">
        <f>ROUND(IFERROR(IF(LEFT($A50,1)="C",'Avoided Costs'!$Q$13,'Avoided Costs'!$Q$12)+1,""),4)</f>
        <v>1.1120000000000001</v>
      </c>
      <c r="CX50" s="200">
        <f>ROUND(IFERROR(IF(LEFT($A50,1)="C",'Avoided Costs'!$R$13,'Avoided Costs'!$R$12)+1,""),4)</f>
        <v>1.1120000000000001</v>
      </c>
    </row>
    <row r="51" spans="1:102" ht="12.75" customHeight="1">
      <c r="A51" s="91" t="str">
        <f>IF('Inputs Yr 2'!$B51=0,"",'Inputs Yr 2'!A51)</f>
        <v>A - Residential</v>
      </c>
      <c r="B51" s="91" t="str">
        <f>IF('Inputs Yr 2'!$B51=0,"",'Inputs Yr 2'!B51)</f>
        <v>A1 - Residential Whole House</v>
      </c>
      <c r="C51" s="91" t="str">
        <f>IF('Inputs Yr 2'!$B51=0,"",'Inputs Yr 2'!C51)</f>
        <v>A1c - Residential Home Energy Services - Measures</v>
      </c>
      <c r="D51" s="91" t="str">
        <f>IF('Inputs Yr 2'!$B51=0,"",'Inputs Yr 2'!E51)</f>
        <v>Wi-Fi Thermostat</v>
      </c>
      <c r="E51" s="93" t="str">
        <f>IF('Inputs Yr 2'!$B51=0,"",'Inputs Yr 2'!F51)</f>
        <v>G16A1c10</v>
      </c>
      <c r="F51" s="93" t="str">
        <f>IF('Inputs Yr 2'!$B51=0,"",'Inputs Yr 2'!G51)</f>
        <v>HVAC</v>
      </c>
      <c r="G51" s="95">
        <f>IF('Inputs Yr 2'!$H51&lt;&gt;0,('Inputs Yr 2'!H51),"")</f>
        <v>1802</v>
      </c>
      <c r="H51" s="94">
        <f>IFERROR('Inputs Yr 2'!I51,"")</f>
        <v>15</v>
      </c>
      <c r="I51" s="298">
        <f>IFERROR('Inputs Yr 2'!J51*'Inputs Yr 2'!P51*G51,"")</f>
        <v>129945.73713610588</v>
      </c>
      <c r="J51" s="298">
        <f>IFERROR('Inputs Yr 2'!K51*G51,"")</f>
        <v>103367.30164461247</v>
      </c>
      <c r="K51" s="298">
        <f t="shared" si="23"/>
        <v>26578.435491493408</v>
      </c>
      <c r="L51" s="194">
        <f>IFERROR(('Inputs Yr 2'!W51*G51)/1000,"")</f>
        <v>0</v>
      </c>
      <c r="M51" s="194">
        <f>IFERROR(L51*('Inputs Yr 2'!$Q51*'Inputs Yr 2'!$V51*'Inputs Yr 2'!$R51),"")</f>
        <v>0</v>
      </c>
      <c r="N51" s="194">
        <f t="shared" si="24"/>
        <v>0</v>
      </c>
      <c r="O51" s="194">
        <f>IFERROR(M51*'Inputs Yr 2'!P51,"")</f>
        <v>0</v>
      </c>
      <c r="P51" s="194">
        <f t="shared" si="25"/>
        <v>0</v>
      </c>
      <c r="Q51" s="194">
        <f>IFERROR($P51*'Inputs Yr 2'!AA51,"")</f>
        <v>0</v>
      </c>
      <c r="R51" s="194">
        <f>IFERROR($P51*'Inputs Yr 2'!AB51,"")</f>
        <v>0</v>
      </c>
      <c r="S51" s="194">
        <f>IFERROR($P51*'Inputs Yr 2'!AC51,"")</f>
        <v>0</v>
      </c>
      <c r="T51" s="194">
        <f>IFERROR($P51*'Inputs Yr 2'!AD51,"")</f>
        <v>0</v>
      </c>
      <c r="U51" s="194">
        <f>IFERROR(G51*'Inputs Yr 2'!$AE51*'Inputs Yr 2'!$P51*'Inputs Yr 2'!$Q51,"")</f>
        <v>0</v>
      </c>
      <c r="V51" s="194">
        <f>IFERROR($G51*'Inputs Yr 2'!$AE51*'Inputs Yr 2'!$AG51*'Inputs Yr 2'!Q51*'Inputs Yr 2'!$S51,"")</f>
        <v>0</v>
      </c>
      <c r="W51" s="194">
        <f>IFERROR($G51*'Inputs Yr 2'!$AE51*'Inputs Yr 2'!$AG51*'Inputs Yr 2'!P51*'Inputs Yr 2'!Q51*'Inputs Yr 2'!$S51,"")</f>
        <v>0</v>
      </c>
      <c r="X51" s="194">
        <f>IFERROR($G51*'Inputs Yr 2'!$AE51*'Inputs Yr 2'!$AF51*'Inputs Yr 2'!Q51*'Inputs Yr 2'!$T51,"")</f>
        <v>0</v>
      </c>
      <c r="Y51" s="194">
        <f>IFERROR($G51*'Inputs Yr 2'!$AE51*'Inputs Yr 2'!$AF51*'Inputs Yr 2'!P51*'Inputs Yr 2'!Q51*'Inputs Yr 2'!$T51,"")</f>
        <v>0</v>
      </c>
      <c r="Z51" s="257">
        <f>IFERROR($G51*'Inputs Yr 2'!$Q51*'Inputs Yr 2'!$U51*(IF(IFERROR(SEARCH("NG", 'Inputs Yr 2'!$AJ51),0),'Inputs Yr 2'!$AK51,0)+IF(IFERROR(SEARCH("NG", 'Inputs Yr 2'!$AL51),0),'Inputs Yr 2'!$AM51,0)+IF(IFERROR(SEARCH("NG", 'Inputs Yr 2'!$AN51),0),'Inputs Yr 2'!$AO51,0)),0)</f>
        <v>11893.199999999999</v>
      </c>
      <c r="AA51" s="257">
        <f t="shared" si="26"/>
        <v>178397.99999999997</v>
      </c>
      <c r="AB51" s="257">
        <f>IFERROR(Z51*'Inputs Yr 2'!$P51,0)</f>
        <v>11893.199999999999</v>
      </c>
      <c r="AC51" s="257">
        <f t="shared" si="27"/>
        <v>178397.99999999997</v>
      </c>
      <c r="AD51" s="257">
        <f>IFERROR($G51*'Inputs Yr 2'!$Q51*'Inputs Yr 2'!$U51*(IF(IFERROR(SEARCH("Oil", 'Inputs Yr 2'!$AJ51), 0),'Inputs Yr 2'!$AK51,0)+IF(IFERROR(SEARCH("Oil", 'Inputs Yr 2'!$AL51), 0),'Inputs Yr 2'!$AM51,0)+IF(IFERROR(SEARCH("Oil", 'Inputs Yr 2'!$AN51), 0),'Inputs Yr 2'!$AO51,0)),0)</f>
        <v>0</v>
      </c>
      <c r="AE51" s="257">
        <f t="shared" si="28"/>
        <v>0</v>
      </c>
      <c r="AF51" s="257">
        <f>IFERROR(AD51*'Inputs Yr 2'!$P51,0)</f>
        <v>0</v>
      </c>
      <c r="AG51" s="257">
        <f t="shared" si="29"/>
        <v>0</v>
      </c>
      <c r="AH51" s="257">
        <f>IFERROR($G51*'Inputs Yr 2'!$Q51*'Inputs Yr 2'!$U51*(IF('Inputs Yr 2'!$AJ51=CD$4,'Inputs Yr 2'!$AK51,IF('Inputs Yr 2'!$AL51=CD$4,'Inputs Yr 2'!$AM51,IF('Inputs Yr 2'!$AN51=CD$4,'Inputs Yr 2'!$AO51,0)))),0)</f>
        <v>0</v>
      </c>
      <c r="AI51" s="257">
        <f t="shared" si="30"/>
        <v>0</v>
      </c>
      <c r="AJ51" s="257">
        <f>IFERROR(AH51*'Inputs Yr 2'!$P51,0)</f>
        <v>0</v>
      </c>
      <c r="AK51" s="257">
        <f t="shared" si="31"/>
        <v>0</v>
      </c>
      <c r="AL51" s="258">
        <f>IFERROR($G51*'Inputs Yr 2'!$P51*'Inputs Yr 2'!$Q51*'Inputs Yr 2'!AP51,0)</f>
        <v>0</v>
      </c>
      <c r="AM51" s="260">
        <f>IFERROR($G51*'Inputs Yr 2'!$P51*'Inputs Yr 2'!$Q51*'Inputs Yr 2'!AQ51,0)</f>
        <v>0</v>
      </c>
      <c r="AN51" s="258">
        <f>IFERROR($G51*'Inputs Yr 2'!$P51*'Inputs Yr 2'!$Q51*'Inputs Yr 2'!AR51,0)</f>
        <v>0</v>
      </c>
      <c r="AO51" s="257">
        <f t="shared" si="32"/>
        <v>0</v>
      </c>
      <c r="AP51" s="195">
        <f>IFERROR($CQ51*(INDEX(avoidedcosttbl2,$H51,AP$2)+(($H51-ROUNDDOWN($H51,0))*(INDEX(avoidedcosttbl2,ROUNDUP($H51,0),AP$2)-(INDEX(avoidedcosttbl2,ROUNDDOWN($H51,0),AP$2)))))*$O51*1000*'Inputs Yr 2'!AA51,"")</f>
        <v>0</v>
      </c>
      <c r="AQ51" s="195">
        <f>IFERROR($CR51*(INDEX(avoidedcosttbl2,$H51,AQ$2)+(($H51-ROUNDDOWN($H51,0))*(INDEX(avoidedcosttbl2,ROUNDUP($H51,0),AQ$2)-(INDEX(avoidedcosttbl2,ROUNDDOWN($H51,0),AQ$2)))))*$O51*1000*'Inputs Yr 2'!AB51,"")</f>
        <v>0</v>
      </c>
      <c r="AR51" s="195">
        <f>IFERROR($CS51*(INDEX(avoidedcosttbl2,$H51,AR$2)+(($H51-ROUNDDOWN($H51,0))*(INDEX(avoidedcosttbl2,ROUNDUP($H51,0),AR$2)-(INDEX(avoidedcosttbl2,ROUNDDOWN($H51,0),AR$2)))))*$O51*1000*'Inputs Yr 2'!AC51,"")</f>
        <v>0</v>
      </c>
      <c r="AS51" s="195">
        <f>IFERROR($CT51*(INDEX(avoidedcosttbl2,$H51,AS$2)+(($H51-ROUNDDOWN($H51,0))*(INDEX(avoidedcosttbl2,ROUNDUP($H51,0),AS$2)-(INDEX(avoidedcosttbl2,ROUNDDOWN($H51,0),AS$2)))))*$O51*1000*'Inputs Yr 2'!AD51,"")</f>
        <v>0</v>
      </c>
      <c r="AT51" s="196">
        <f t="shared" si="33"/>
        <v>0</v>
      </c>
      <c r="AU51" s="197">
        <f>IFERROR($CQ51*((INDEX(avoidedcosttbl2,$H51,AU$2))+(($H51-ROUNDDOWN($H51,0))*((INDEX(avoidedcosttbl2,ROUNDUP($H51,0),AU$2))-(INDEX(avoidedcosttbl2,ROUNDDOWN($H51,0),AU$2)))))*$O51*1000*'Inputs Yr 2'!AA51,"")</f>
        <v>0</v>
      </c>
      <c r="AV51" s="197">
        <f>IFERROR($CR51*((INDEX(avoidedcosttbl2,$H51,AV$2))+(($H51-ROUNDDOWN($H51,0))*((INDEX(avoidedcosttbl2,ROUNDUP($H51,0),AV$2))-(INDEX(avoidedcosttbl2,ROUNDDOWN($H51,0),AV$2)))))*$O51*1000*'Inputs Yr 2'!AB51,"")</f>
        <v>0</v>
      </c>
      <c r="AW51" s="197">
        <f>IFERROR($CS51*((INDEX(avoidedcosttbl2,$H51,AW$2))+(($H51-ROUNDDOWN($H51,0))*((INDEX(avoidedcosttbl2,ROUNDUP($H51,0),AW$2))-(INDEX(avoidedcosttbl2,ROUNDDOWN($H51,0),AW$2)))))*$O51*1000*'Inputs Yr 2'!AC51,"")</f>
        <v>0</v>
      </c>
      <c r="AX51" s="197">
        <f>IFERROR($CT51*((INDEX(avoidedcosttbl2,$H51,AX$2))+(($H51-ROUNDDOWN($H51,0))*((INDEX(avoidedcosttbl2,ROUNDUP($H51,0),AX$2))-(INDEX(avoidedcosttbl2,ROUNDDOWN($H51,0),AX$2)))))*$O51*1000*'Inputs Yr 2'!AD51,"")</f>
        <v>0</v>
      </c>
      <c r="AY51" s="197">
        <f>IFERROR(((INDEX(avoidedcosttbl2,$H51,AY$2))+(($H51-ROUNDDOWN($H51,0))*((INDEX(avoidedcosttbl2,ROUNDUP($H51,0),AY$2))-(INDEX(avoidedcosttbl2,ROUNDDOWN($H51,0),AY$2)))))*$O51*1000*('Inputs Yr 2'!AC51+'Inputs Yr 2'!AD51),"")</f>
        <v>0</v>
      </c>
      <c r="AZ51" s="197">
        <f>IFERROR(((INDEX(avoidedcosttbl2,$H51,AZ$2))+(($H51-ROUNDDOWN($H51,0))*((INDEX(avoidedcosttbl2,ROUNDUP($H51,0),AZ$2))-(INDEX(avoidedcosttbl2,ROUNDDOWN($H51,0),AZ$2)))))*$O51*1000*('Inputs Yr 2'!AA51+'Inputs Yr 2'!AB51),"")</f>
        <v>0</v>
      </c>
      <c r="BA51" s="198">
        <f t="shared" si="34"/>
        <v>0</v>
      </c>
      <c r="BB51" s="198">
        <f t="shared" si="35"/>
        <v>0</v>
      </c>
      <c r="BC51" s="195">
        <f t="shared" si="10"/>
        <v>0</v>
      </c>
      <c r="BD51" s="195">
        <f t="shared" si="11"/>
        <v>0</v>
      </c>
      <c r="BE51" s="195">
        <f t="shared" si="12"/>
        <v>0</v>
      </c>
      <c r="BF51" s="195">
        <f t="shared" si="13"/>
        <v>0</v>
      </c>
      <c r="BG51" s="195">
        <f t="shared" si="14"/>
        <v>0</v>
      </c>
      <c r="BH51" s="196">
        <f t="shared" si="36"/>
        <v>0</v>
      </c>
      <c r="BI51" s="196">
        <f t="shared" si="37"/>
        <v>0</v>
      </c>
      <c r="BJ51" s="195">
        <f>IFERROR($G51*(IF('Inputs Yr 2'!$AJ51=BJ$4,'Inputs Yr 2'!$AK51,IF('Inputs Yr 2'!$AL51=BJ$4,'Inputs Yr 2'!$AM51,IF('Inputs Yr 2'!$AN51=BJ$4,'Inputs Yr 2'!$AO51,0))))*(INDEX(avoidedcosttbl2,$H51,BJ$2)+(($H51-ROUNDDOWN($H51,0))*(INDEX(avoidedcosttbl2,ROUNDUP($H51,0),BJ$2)-(INDEX(avoidedcosttbl2,ROUNDDOWN($H51,0),BJ$2)))))*'Inputs Yr 2'!P51*'Inputs Yr 2'!Q51*'Inputs Yr 2'!U51,"")</f>
        <v>0</v>
      </c>
      <c r="BK51" s="195">
        <f>IFERROR($G51*(IF('Inputs Yr 2'!$AJ51=BK$4,'Inputs Yr 2'!$AK51,IF('Inputs Yr 2'!$AL51=BK$4,'Inputs Yr 2'!$AM51,IF('Inputs Yr 2'!$AN51=BK$4,'Inputs Yr 2'!$AO51,0))))*(INDEX(avoidedcosttbl2,$H51,BK$2)+(($H51-ROUNDDOWN($H51,0))*(INDEX(avoidedcosttbl2,ROUNDUP($H51,0),BK$2)-(INDEX(avoidedcosttbl2,ROUNDDOWN($H51,0),BK$2)))))*'Inputs Yr 2'!P51*'Inputs Yr 2'!Q51*'Inputs Yr 2'!U51,"")</f>
        <v>0</v>
      </c>
      <c r="BL51" s="195">
        <f>IFERROR($G51*(IF('Inputs Yr 2'!$AJ51=BL$4,'Inputs Yr 2'!$AK51,IF('Inputs Yr 2'!$AL51=BL$4,'Inputs Yr 2'!$AM51,IF('Inputs Yr 2'!$AN51=BL$4,'Inputs Yr 2'!$AO51,0))))*(INDEX(avoidedcosttbl2,$H51,BL$2)+(($H51-ROUNDDOWN($H51,0))*(INDEX(avoidedcosttbl2,ROUNDUP($H51,0),BL$2)-(INDEX(avoidedcosttbl2,ROUNDDOWN($H51,0),BL$2)))))*'Inputs Yr 2'!P51*'Inputs Yr 2'!Q51*'Inputs Yr 2'!U51,"")</f>
        <v>1504380.7814049164</v>
      </c>
      <c r="BM51" s="195">
        <f>IFERROR($G51*(IF('Inputs Yr 2'!$AJ51=BM$4,'Inputs Yr 2'!$AK51,IF('Inputs Yr 2'!$AL51=BM$4,'Inputs Yr 2'!$AM51,IF('Inputs Yr 2'!$AN51=BM$4,'Inputs Yr 2'!$AO51,0))))*(INDEX(avoidedcosttbl2,$H51,BM$2)+(($H51-ROUNDDOWN($H51,0))*(INDEX(avoidedcosttbl2,ROUNDUP($H51,0),BM$2)-(INDEX(avoidedcosttbl2,ROUNDDOWN($H51,0),BM$2)))))*'Inputs Yr 2'!P51*'Inputs Yr 2'!Q51*'Inputs Yr 2'!U51,"")</f>
        <v>0</v>
      </c>
      <c r="BN51" s="195">
        <f>IFERROR($G51*(IF('Inputs Yr 2'!$AJ51=BN$4,'Inputs Yr 2'!$AK51,IF('Inputs Yr 2'!$AL51=BN$4,'Inputs Yr 2'!$AM51,IF('Inputs Yr 2'!$AN51=BN$4,'Inputs Yr 2'!$AO51,0))))*(INDEX(avoidedcosttbl2,$H51,BN$2)+(($H51-ROUNDDOWN($H51,0))*(INDEX(avoidedcosttbl2,ROUNDUP($H51,0),BN$2)-(INDEX(avoidedcosttbl2,ROUNDDOWN($H51,0),BN$2)))))*'Inputs Yr 2'!P51*'Inputs Yr 2'!Q51*'Inputs Yr 2'!U51,"")</f>
        <v>0</v>
      </c>
      <c r="BO51" s="195">
        <f>IFERROR($G51*(IF('Inputs Yr 2'!$AJ51=BO$4,'Inputs Yr 2'!$AK51,IF('Inputs Yr 2'!$AL51=BO$4,'Inputs Yr 2'!$AM51,IF('Inputs Yr 2'!$AN51=BO$4,'Inputs Yr 2'!$AO51,0))))*(INDEX(avoidedcosttbl2,$H51,BO$2)+(($H51-ROUNDDOWN($H51,0))*(INDEX(avoidedcosttbl2,ROUNDUP($H51,0),BO$2)-(INDEX(avoidedcosttbl2,ROUNDDOWN($H51,0),BO$2)))))*'Inputs Yr 2'!P51*'Inputs Yr 2'!Q51*'Inputs Yr 2'!U51,"")</f>
        <v>0</v>
      </c>
      <c r="BP51" s="195">
        <f>IFERROR($G51*(IF('Inputs Yr 2'!$AJ51=BP$4,'Inputs Yr 2'!$AK51,IF('Inputs Yr 2'!$AL51=BP$4,'Inputs Yr 2'!$AM51,IF('Inputs Yr 2'!$AN51=BP$4,'Inputs Yr 2'!$AO51,0))))*(INDEX(avoidedcosttbl2,$H51,BP$2)+(($H51-ROUNDDOWN($H51,0))*(INDEX(avoidedcosttbl2,ROUNDUP($H51,0),BP$2)-(INDEX(avoidedcosttbl2,ROUNDDOWN($H51,0),BP$2)))))*'Inputs Yr 2'!P51*'Inputs Yr 2'!Q51*'Inputs Yr 2'!U51,"")</f>
        <v>0</v>
      </c>
      <c r="BQ51" s="230">
        <f t="shared" si="38"/>
        <v>1504380.7814049164</v>
      </c>
      <c r="BR51" s="197">
        <f t="shared" si="17"/>
        <v>24180.404737998269</v>
      </c>
      <c r="BS51" s="197">
        <f>IFERROR(($G51*IF('Inputs Yr 2'!$AJ51=BM$4,'Inputs Yr 2'!$AK51,IF('Inputs Yr 2'!$AL51=BM$4,'Inputs Yr 2'!$AM51,IF('Inputs Yr 2'!$AN51=BM$4,'Inputs Yr 2'!$AO51,0))))*(INDEX(avoidedcosttbl2,$H51,BS$2)+(($H51-ROUNDDOWN($H51,0))*(INDEX(avoidedcosttbl2,ROUNDUP($H51,0),BS$2)-(INDEX(avoidedcosttbl2,ROUNDDOWN($H51,0),BS$2)))))*'Inputs Yr 2'!P51*'Inputs Yr 2'!Q51*'Inputs Yr 2'!U51,"")</f>
        <v>0</v>
      </c>
      <c r="BT51" s="197">
        <f>IFERROR(($G51*IF('Inputs Yr 2'!$AJ51=BK$4,'Inputs Yr 2'!$AK51,IF('Inputs Yr 2'!$AL51=BK$4,'Inputs Yr 2'!$AM51,IF('Inputs Yr 2'!$AN51=BK$4,'Inputs Yr 2'!$AO51,0))))*(INDEX(avoidedcosttbl2,$H51,BT$2)+(($H51-ROUNDDOWN($H51,0))*(INDEX(avoidedcosttbl2,ROUNDUP($H51,0),BT$2)-(INDEX(avoidedcosttbl2,ROUNDDOWN($H51,0),BT$2)))))*'Inputs Yr 2'!P51*'Inputs Yr 2'!Q51*'Inputs Yr 2'!U51,"")</f>
        <v>0</v>
      </c>
      <c r="BU51" s="197">
        <f>IFERROR(($G51*IF('Inputs Yr 2'!$AJ51=BL$4,'Inputs Yr 2'!$AK51,IF('Inputs Yr 2'!$AL51=BL$4,'Inputs Yr 2'!$AM51,IF('Inputs Yr 2'!$AN51=BL$4,'Inputs Yr 2'!$AO51,0))))*(INDEX(avoidedcosttbl2,$H51,BU$2)+(($H51-ROUNDDOWN($H51,0))*(INDEX(avoidedcosttbl2,ROUNDUP($H51,0),BU$2)-(INDEX(avoidedcosttbl2,ROUNDDOWN($H51,0),BU$2)))))*'Inputs Yr 2'!P51*'Inputs Yr 2'!Q51*'Inputs Yr 2'!U51,"")</f>
        <v>92079.458303418534</v>
      </c>
      <c r="BV51" s="775">
        <f>IFERROR(($G51*IF('Inputs Yr 2'!$AJ51=BJ$4,'Inputs Yr 2'!$AK51,IF('Inputs Yr 2'!$AL51=BJ$4,'Inputs Yr 2'!$AM51,IF('Inputs Yr 2'!$AN51=BJ$4,'Inputs Yr 2'!$AO51,0))))*(INDEX(avoidedcosttbl2,$H51,BV$2)+(($H51-ROUNDDOWN($H51,0))*(INDEX(avoidedcosttbl2,ROUNDUP($H51,0),BV$2)-(INDEX(avoidedcosttbl2,ROUNDDOWN($H51,0),BV$2)))))*'Inputs Yr 2'!P51*'Inputs Yr 2'!Q51*'Inputs Yr 2'!U51,"")</f>
        <v>0</v>
      </c>
      <c r="BW51" s="197">
        <f>IFERROR(($G51*IF('Inputs Yr 2'!$AJ51=BN$4,'Inputs Yr 2'!$AK51,IF('Inputs Yr 2'!$AL51=BN$4,'Inputs Yr 2'!$AM51,IF('Inputs Yr 2'!$AN51=BN$4,'Inputs Yr 2'!$AO51,0))))*(INDEX(avoidedcosttbl2,$H51,BW$2)+(($H51-ROUNDDOWN($H51,0))*(INDEX(avoidedcosttbl2,ROUNDUP($H51,0),BW$2)-(INDEX(avoidedcosttbl2,ROUNDDOWN($H51,0),BW$2)))))*'Inputs Yr 2'!P51*'Inputs Yr 2'!Q51*'Inputs Yr 2'!U51,"")</f>
        <v>0</v>
      </c>
      <c r="BX51" s="197">
        <f>IFERROR(($G51*IF('Inputs Yr 2'!$AJ51=BO$4,'Inputs Yr 2'!$AK51,IF('Inputs Yr 2'!$AL51=BO$4,'Inputs Yr 2'!$AM51,IF('Inputs Yr 2'!$AN51=BO$4,'Inputs Yr 2'!$AO51,0))))*(INDEX(avoidedcosttbl2,$H51,BX$2)+(($H51-ROUNDDOWN($H51,0))*(INDEX(avoidedcosttbl2,ROUNDUP($H51,0),BX$2)-(INDEX(avoidedcosttbl2,ROUNDDOWN($H51,0),BX$2)))))*'Inputs Yr 2'!P51*'Inputs Yr 2'!Q51*'Inputs Yr 2'!U51,"")</f>
        <v>0</v>
      </c>
      <c r="BY51" s="197">
        <f>IFERROR(($G51*IF('Inputs Yr 2'!$AJ51=BP$4,'Inputs Yr 2'!$AK51,IF('Inputs Yr 2'!$AL51=BP$4,'Inputs Yr 2'!$AM51,IF('Inputs Yr 2'!$AN51=BP$4,'Inputs Yr 2'!$AO51,0))))*(INDEX(avoidedcosttbl2,$H51,BY$2)+(($H51-ROUNDDOWN($H51,0))*(INDEX(avoidedcosttbl2,ROUNDUP($H51,0),BY$2)-(INDEX(avoidedcosttbl2,ROUNDDOWN($H51,0),BY$2)))))*'Inputs Yr 2'!P51*'Inputs Yr 2'!Q51*'Inputs Yr 2'!U51,"")</f>
        <v>0</v>
      </c>
      <c r="BZ51" s="193">
        <f t="shared" si="39"/>
        <v>116259.8630414168</v>
      </c>
      <c r="CA51" s="193">
        <f t="shared" si="40"/>
        <v>1620640.6444463332</v>
      </c>
      <c r="CB51" s="195">
        <f>IFERROR(G51*(IF('Inputs Yr 2'!$AJ51=CB$4,'Inputs Yr 2'!$AK51,IF('Inputs Yr 2'!$AL51=CB$4,'Inputs Yr 2'!$AM51,IF('Inputs Yr 2'!$AN51=CB$4,'Inputs Yr 2'!$AO51,0))))*(INDEX(avoidedcosttbl2,$H51,CB$2)+(($H51-ROUNDDOWN($H51,0))*(INDEX(avoidedcosttbl2,ROUNDUP($H51,0),CB$2)-(INDEX(avoidedcosttbl2,ROUNDDOWN($H51,0),CB$2)))))*'Inputs Yr 2'!P51*'Inputs Yr 2'!Q51*'Inputs Yr 2'!U51,"")</f>
        <v>0</v>
      </c>
      <c r="CC51" s="195">
        <f>IFERROR(H51*(IF('Inputs Yr 2'!$AJ51=CC$4,'Inputs Yr 2'!$AK51,IF('Inputs Yr 2'!$AL51=CC$4,'Inputs Yr 2'!$AM51,IF('Inputs Yr 2'!$AN51=CC$4,'Inputs Yr 2'!$AO51,0))))*(INDEX(avoidedcosttbl2,$H51,CC$2)+(($H51-ROUNDDOWN($H51,0))*(INDEX(avoidedcosttbl2,ROUNDUP($H51,0),CC$2)-(INDEX(avoidedcosttbl2,ROUNDDOWN($H51,0),CC$2)))))*'Inputs Yr 2'!Q51*'Inputs Yr 2'!R51*'Inputs Yr 2'!V51,"")</f>
        <v>0</v>
      </c>
      <c r="CD51" s="195">
        <f>IFERROR(I51*(IF('Inputs Yr 2'!$AJ51=CD$4,'Inputs Yr 2'!$AK51,IF('Inputs Yr 2'!$AL51=CD$4,'Inputs Yr 2'!$AM51,IF('Inputs Yr 2'!$AN51=CD$4,'Inputs Yr 2'!$AO51,0))))*(INDEX(avoidedcosttbl2,$H51,CD$2)+(($H51-ROUNDDOWN($H51,0))*(INDEX(avoidedcosttbl2,ROUNDUP($H51,0),CD$2)-(INDEX(avoidedcosttbl2,ROUNDDOWN($H51,0),CD$2)))))*'Inputs Yr 2'!R51*'Inputs Yr 2'!S51*'Inputs Yr 2'!W51,"")</f>
        <v>0</v>
      </c>
      <c r="CE51" s="213">
        <f t="shared" si="41"/>
        <v>0</v>
      </c>
      <c r="CF51" s="213">
        <f t="shared" si="42"/>
        <v>0</v>
      </c>
      <c r="CG51" s="213">
        <f t="shared" si="43"/>
        <v>0</v>
      </c>
      <c r="CH51" s="698">
        <f t="shared" si="44"/>
        <v>1620640.6444463332</v>
      </c>
      <c r="CI51" s="79">
        <f>IFERROR(($G51*'Inputs Yr 2'!$P51*'Inputs Yr 2'!$Q51*(((INDEX(avoidedcosttbl2,$H51,CI$2)+(($H51-ROUNDDOWN($H51,0))*(INDEX(avoidedcosttbl2,ROUNDUP($H51,0),CI$2)-INDEX(avoidedcosttbl2,ROUNDDOWN($H51,0),CI$2))))*'Inputs Yr 2'!AS51))),"")</f>
        <v>83863.208448147998</v>
      </c>
      <c r="CJ51" s="504">
        <f>IFERROR($G51*'Inputs Yr 2'!AT51*'Inputs Yr 2'!$P51*'Inputs Yr 2'!$Q51/((1+realdiscrt1)^-0.5),"")</f>
        <v>0</v>
      </c>
      <c r="CK51" s="79">
        <f>IFERROR((O51*1000*(((INDEX(avoidedcosttbl2,$H51,CK$2)+(($H51-ROUNDDOWN($H51,0))*(INDEX(avoidedcosttbl2,ROUNDUP($H51,0),CK$2)-INDEX(avoidedcosttbl2,ROUNDDOWN($H51,0),CK$2))))*'Inputs Yr 2'!AU51))),"")</f>
        <v>0</v>
      </c>
      <c r="CL51" s="504">
        <f>IFERROR(O51*1000*'Inputs Yr 2'!AV51/((1+realdiscrt1)^-0.5),"")</f>
        <v>0</v>
      </c>
      <c r="CM51" s="79">
        <f>IFERROR((AB51*'Inputs Yr 2'!AW51*(((INDEX(avoidedcosttbl2,$H51,CM$2)+(($H51-ROUNDDOWN($H51,0))*(INDEX(avoidedcosttbl2,ROUNDUP($H51,0),CM$2)-INDEX(avoidedcosttbl2,ROUNDDOWN($H51,0),CM$2)))))))*10,"")</f>
        <v>0</v>
      </c>
      <c r="CN51" s="504">
        <f>IFERROR(10*AB51*'Inputs Yr 2'!AX51/((1+realdiscrt1)^-0.5),"")</f>
        <v>0</v>
      </c>
      <c r="CO51" s="505">
        <f t="shared" si="45"/>
        <v>83863.208448147998</v>
      </c>
      <c r="CP51" s="230">
        <f t="shared" si="46"/>
        <v>1704503.8528944813</v>
      </c>
      <c r="CQ51" s="199">
        <f>ROUND(IFERROR(IF(LEFT($A51,1)="C",'Avoided Costs'!$K$13,'Avoided Costs'!$K$12)+1,""),4)</f>
        <v>1.0720000000000001</v>
      </c>
      <c r="CR51" s="199">
        <f>ROUND(IFERROR(IF(LEFT($A51,1)="C",'Avoided Costs'!$L$13,'Avoided Costs'!$L$12)+1,""),4)</f>
        <v>1.04</v>
      </c>
      <c r="CS51" s="199">
        <f>ROUND(IFERROR(IF(LEFT($A51,1)="C",'Avoided Costs'!$M$13,'Avoided Costs'!$M$12)+1,""),4)</f>
        <v>1.0720000000000001</v>
      </c>
      <c r="CT51" s="199">
        <f>ROUND(IFERROR(IF(LEFT($A51,1)="C",'Avoided Costs'!$N$13,'Avoided Costs'!$N$12)+1,""),4)</f>
        <v>1.04</v>
      </c>
      <c r="CU51" s="199">
        <f>ROUND(IFERROR(IF(LEFT($A51,1)="C",'Avoided Costs'!$O$13,'Avoided Costs'!$O$12)+1,""),4)</f>
        <v>1.1120000000000001</v>
      </c>
      <c r="CV51" s="199">
        <f>ROUND(IFERROR(IF(LEFT($A51,1)="C",'Avoided Costs'!$P$13,'Avoided Costs'!$P$12)+1,""),4)</f>
        <v>1.095</v>
      </c>
      <c r="CW51" s="199">
        <f>ROUND(IFERROR(IF(LEFT($A51,1)="C",'Avoided Costs'!$Q$13,'Avoided Costs'!$Q$12)+1,""),4)</f>
        <v>1.1120000000000001</v>
      </c>
      <c r="CX51" s="200">
        <f>ROUND(IFERROR(IF(LEFT($A51,1)="C",'Avoided Costs'!$R$13,'Avoided Costs'!$R$12)+1,""),4)</f>
        <v>1.1120000000000001</v>
      </c>
    </row>
    <row r="52" spans="1:102" ht="12.75" customHeight="1">
      <c r="A52" s="91" t="str">
        <f>IF('Inputs Yr 2'!$B52=0,"",'Inputs Yr 2'!A52)</f>
        <v>A - Residential</v>
      </c>
      <c r="B52" s="91" t="str">
        <f>IF('Inputs Yr 2'!$B52=0,"",'Inputs Yr 2'!B52)</f>
        <v>A1 - Residential Whole House</v>
      </c>
      <c r="C52" s="91" t="str">
        <f>IF('Inputs Yr 2'!$B52=0,"",'Inputs Yr 2'!C52)</f>
        <v>A1c - Residential Home Energy Services - Measures</v>
      </c>
      <c r="D52" s="91" t="str">
        <f>IF('Inputs Yr 2'!$B52=0,"",'Inputs Yr 2'!E52)</f>
        <v>Wi-Fi Thermostat (also Control elec cooling)</v>
      </c>
      <c r="E52" s="93" t="str">
        <f>IF('Inputs Yr 2'!$B52=0,"",'Inputs Yr 2'!F52)</f>
        <v>G16A1c11</v>
      </c>
      <c r="F52" s="93" t="str">
        <f>IF('Inputs Yr 2'!$B52=0,"",'Inputs Yr 2'!G52)</f>
        <v>HVAC</v>
      </c>
      <c r="G52" s="95">
        <f>IF('Inputs Yr 2'!$H52&lt;&gt;0,('Inputs Yr 2'!H52),"")</f>
        <v>288</v>
      </c>
      <c r="H52" s="94">
        <f>IFERROR('Inputs Yr 2'!I52,"")</f>
        <v>15</v>
      </c>
      <c r="I52" s="298">
        <f>IFERROR('Inputs Yr 2'!J52*'Inputs Yr 2'!P52*G52,"")</f>
        <v>20768.242117202273</v>
      </c>
      <c r="J52" s="298">
        <f>IFERROR('Inputs Yr 2'!K52*G52,"")</f>
        <v>16520.41224952741</v>
      </c>
      <c r="K52" s="298">
        <f t="shared" si="23"/>
        <v>4247.8298676748636</v>
      </c>
      <c r="L52" s="194">
        <f>IFERROR(('Inputs Yr 2'!W52*G52)/1000,"")</f>
        <v>29.952000000000002</v>
      </c>
      <c r="M52" s="194">
        <f>IFERROR(L52*('Inputs Yr 2'!$Q52*'Inputs Yr 2'!$V52*'Inputs Yr 2'!$R52),"")</f>
        <v>29.952000000000002</v>
      </c>
      <c r="N52" s="194">
        <f t="shared" si="24"/>
        <v>449.28000000000003</v>
      </c>
      <c r="O52" s="194">
        <f>IFERROR(M52*'Inputs Yr 2'!P52,"")</f>
        <v>29.952000000000002</v>
      </c>
      <c r="P52" s="194">
        <f t="shared" si="25"/>
        <v>449.28000000000003</v>
      </c>
      <c r="Q52" s="194">
        <f>IFERROR($P52*'Inputs Yr 2'!AA52,"")</f>
        <v>4.4928000000000008</v>
      </c>
      <c r="R52" s="194">
        <f>IFERROR($P52*'Inputs Yr 2'!AB52,"")</f>
        <v>17.971200000000003</v>
      </c>
      <c r="S52" s="194">
        <f>IFERROR($P52*'Inputs Yr 2'!AC52,"")</f>
        <v>242.61120000000003</v>
      </c>
      <c r="T52" s="194">
        <f>IFERROR($P52*'Inputs Yr 2'!AD52,"")</f>
        <v>184.20480000000001</v>
      </c>
      <c r="U52" s="194">
        <f>IFERROR(G52*'Inputs Yr 2'!$AE52*'Inputs Yr 2'!$P52*'Inputs Yr 2'!$Q52,"")</f>
        <v>66.240000000000009</v>
      </c>
      <c r="V52" s="194">
        <f>IFERROR($G52*'Inputs Yr 2'!$AE52*'Inputs Yr 2'!$AG52*'Inputs Yr 2'!Q52*'Inputs Yr 2'!$S52,"")</f>
        <v>0</v>
      </c>
      <c r="W52" s="194">
        <f>IFERROR($G52*'Inputs Yr 2'!$AE52*'Inputs Yr 2'!$AG52*'Inputs Yr 2'!P52*'Inputs Yr 2'!Q52*'Inputs Yr 2'!$S52,"")</f>
        <v>0</v>
      </c>
      <c r="X52" s="194">
        <f>IFERROR($G52*'Inputs Yr 2'!$AE52*'Inputs Yr 2'!$AF52*'Inputs Yr 2'!Q52*'Inputs Yr 2'!$T52,"")</f>
        <v>66.240000000000009</v>
      </c>
      <c r="Y52" s="194">
        <f>IFERROR($G52*'Inputs Yr 2'!$AE52*'Inputs Yr 2'!$AF52*'Inputs Yr 2'!P52*'Inputs Yr 2'!Q52*'Inputs Yr 2'!$T52,"")</f>
        <v>66.240000000000009</v>
      </c>
      <c r="Z52" s="257">
        <f>IFERROR($G52*'Inputs Yr 2'!$Q52*'Inputs Yr 2'!$U52*(IF(IFERROR(SEARCH("NG", 'Inputs Yr 2'!$AJ52),0),'Inputs Yr 2'!$AK52,0)+IF(IFERROR(SEARCH("NG", 'Inputs Yr 2'!$AL52),0),'Inputs Yr 2'!$AM52,0)+IF(IFERROR(SEARCH("NG", 'Inputs Yr 2'!$AN52),0),'Inputs Yr 2'!$AO52,0)),0)</f>
        <v>1900.8</v>
      </c>
      <c r="AA52" s="257">
        <f t="shared" si="26"/>
        <v>28512</v>
      </c>
      <c r="AB52" s="257">
        <f>IFERROR(Z52*'Inputs Yr 2'!$P52,0)</f>
        <v>1900.8</v>
      </c>
      <c r="AC52" s="257">
        <f t="shared" si="27"/>
        <v>28512</v>
      </c>
      <c r="AD52" s="257">
        <f>IFERROR($G52*'Inputs Yr 2'!$Q52*'Inputs Yr 2'!$U52*(IF(IFERROR(SEARCH("Oil", 'Inputs Yr 2'!$AJ52), 0),'Inputs Yr 2'!$AK52,0)+IF(IFERROR(SEARCH("Oil", 'Inputs Yr 2'!$AL52), 0),'Inputs Yr 2'!$AM52,0)+IF(IFERROR(SEARCH("Oil", 'Inputs Yr 2'!$AN52), 0),'Inputs Yr 2'!$AO52,0)),0)</f>
        <v>0</v>
      </c>
      <c r="AE52" s="257">
        <f t="shared" si="28"/>
        <v>0</v>
      </c>
      <c r="AF52" s="257">
        <f>IFERROR(AD52*'Inputs Yr 2'!$P52,0)</f>
        <v>0</v>
      </c>
      <c r="AG52" s="257">
        <f t="shared" si="29"/>
        <v>0</v>
      </c>
      <c r="AH52" s="257">
        <f>IFERROR($G52*'Inputs Yr 2'!$Q52*'Inputs Yr 2'!$U52*(IF('Inputs Yr 2'!$AJ52=CD$4,'Inputs Yr 2'!$AK52,IF('Inputs Yr 2'!$AL52=CD$4,'Inputs Yr 2'!$AM52,IF('Inputs Yr 2'!$AN52=CD$4,'Inputs Yr 2'!$AO52,0)))),0)</f>
        <v>0</v>
      </c>
      <c r="AI52" s="257">
        <f t="shared" si="30"/>
        <v>0</v>
      </c>
      <c r="AJ52" s="257">
        <f>IFERROR(AH52*'Inputs Yr 2'!$P52,0)</f>
        <v>0</v>
      </c>
      <c r="AK52" s="257">
        <f t="shared" si="31"/>
        <v>0</v>
      </c>
      <c r="AL52" s="258">
        <f>IFERROR($G52*'Inputs Yr 2'!$P52*'Inputs Yr 2'!$Q52*'Inputs Yr 2'!AP52,0)</f>
        <v>0</v>
      </c>
      <c r="AM52" s="260">
        <f>IFERROR($G52*'Inputs Yr 2'!$P52*'Inputs Yr 2'!$Q52*'Inputs Yr 2'!AQ52,0)</f>
        <v>0</v>
      </c>
      <c r="AN52" s="258">
        <f>IFERROR($G52*'Inputs Yr 2'!$P52*'Inputs Yr 2'!$Q52*'Inputs Yr 2'!AR52,0)</f>
        <v>0</v>
      </c>
      <c r="AO52" s="257">
        <f t="shared" si="32"/>
        <v>0</v>
      </c>
      <c r="AP52" s="195">
        <f>IFERROR($CQ52*(INDEX(avoidedcosttbl2,$H52,AP$2)+(($H52-ROUNDDOWN($H52,0))*(INDEX(avoidedcosttbl2,ROUNDUP($H52,0),AP$2)-(INDEX(avoidedcosttbl2,ROUNDDOWN($H52,0),AP$2)))))*$O52*1000*'Inputs Yr 2'!AA52,"")</f>
        <v>377.38050405706969</v>
      </c>
      <c r="AQ52" s="195">
        <f>IFERROR($CR52*(INDEX(avoidedcosttbl2,$H52,AQ$2)+(($H52-ROUNDDOWN($H52,0))*(INDEX(avoidedcosttbl2,ROUNDUP($H52,0),AQ$2)-(INDEX(avoidedcosttbl2,ROUNDDOWN($H52,0),AQ$2)))))*$O52*1000*'Inputs Yr 2'!AB52,"")</f>
        <v>1350.6448819358295</v>
      </c>
      <c r="AR52" s="195">
        <f>IFERROR($CS52*(INDEX(avoidedcosttbl2,$H52,AR$2)+(($H52-ROUNDDOWN($H52,0))*(INDEX(avoidedcosttbl2,ROUNDUP($H52,0),AR$2)-(INDEX(avoidedcosttbl2,ROUNDDOWN($H52,0),AR$2)))))*$O52*1000*'Inputs Yr 2'!AC52,"")</f>
        <v>19839.95090889134</v>
      </c>
      <c r="AS52" s="195">
        <f>IFERROR($CT52*(INDEX(avoidedcosttbl2,$H52,AS$2)+(($H52-ROUNDDOWN($H52,0))*(INDEX(avoidedcosttbl2,ROUNDUP($H52,0),AS$2)-(INDEX(avoidedcosttbl2,ROUNDDOWN($H52,0),AS$2)))))*$O52*1000*'Inputs Yr 2'!AD52,"")</f>
        <v>11796.503324641573</v>
      </c>
      <c r="AT52" s="196">
        <f t="shared" si="33"/>
        <v>33364.47961952581</v>
      </c>
      <c r="AU52" s="197">
        <f>IFERROR($CQ52*((INDEX(avoidedcosttbl2,$H52,AU$2))+(($H52-ROUNDDOWN($H52,0))*((INDEX(avoidedcosttbl2,ROUNDUP($H52,0),AU$2))-(INDEX(avoidedcosttbl2,ROUNDDOWN($H52,0),AU$2)))))*$O52*1000*'Inputs Yr 2'!AA52,"")</f>
        <v>9.7717385943761581</v>
      </c>
      <c r="AV52" s="197">
        <f>IFERROR($CR52*((INDEX(avoidedcosttbl2,$H52,AV$2))+(($H52-ROUNDDOWN($H52,0))*((INDEX(avoidedcosttbl2,ROUNDUP($H52,0),AV$2))-(INDEX(avoidedcosttbl2,ROUNDDOWN($H52,0),AV$2)))))*$O52*1000*'Inputs Yr 2'!AB52,"")</f>
        <v>18.804853907459343</v>
      </c>
      <c r="AW52" s="197">
        <f>IFERROR($CS52*((INDEX(avoidedcosttbl2,$H52,AW$2))+(($H52-ROUNDDOWN($H52,0))*((INDEX(avoidedcosttbl2,ROUNDUP($H52,0),AW$2))-(INDEX(avoidedcosttbl2,ROUNDDOWN($H52,0),AW$2)))))*$O52*1000*'Inputs Yr 2'!AC52,"")</f>
        <v>623.08167775591619</v>
      </c>
      <c r="AX52" s="197">
        <f>IFERROR($CT52*((INDEX(avoidedcosttbl2,$H52,AX$2))+(($H52-ROUNDDOWN($H52,0))*((INDEX(avoidedcosttbl2,ROUNDUP($H52,0),AX$2))-(INDEX(avoidedcosttbl2,ROUNDDOWN($H52,0),AX$2)))))*$O52*1000*'Inputs Yr 2'!AD52,"")</f>
        <v>155.21495848066553</v>
      </c>
      <c r="AY52" s="197">
        <f>IFERROR(((INDEX(avoidedcosttbl2,$H52,AY$2))+(($H52-ROUNDDOWN($H52,0))*((INDEX(avoidedcosttbl2,ROUNDUP($H52,0),AY$2))-(INDEX(avoidedcosttbl2,ROUNDDOWN($H52,0),AY$2)))))*$O52*1000*('Inputs Yr 2'!AC52+'Inputs Yr 2'!AD52),"")</f>
        <v>1341.2561546800284</v>
      </c>
      <c r="AZ52" s="197">
        <f>IFERROR(((INDEX(avoidedcosttbl2,$H52,AZ$2))+(($H52-ROUNDDOWN($H52,0))*((INDEX(avoidedcosttbl2,ROUNDUP($H52,0),AZ$2))-(INDEX(avoidedcosttbl2,ROUNDDOWN($H52,0),AZ$2)))))*$O52*1000*('Inputs Yr 2'!AA52+'Inputs Yr 2'!AB52),"")</f>
        <v>99.217890529312839</v>
      </c>
      <c r="BA52" s="198">
        <f t="shared" si="34"/>
        <v>2247.3472739477584</v>
      </c>
      <c r="BB52" s="198">
        <f t="shared" si="35"/>
        <v>35611.826893473568</v>
      </c>
      <c r="BC52" s="195">
        <f t="shared" si="10"/>
        <v>171705.64254694027</v>
      </c>
      <c r="BD52" s="195">
        <f t="shared" si="11"/>
        <v>0</v>
      </c>
      <c r="BE52" s="195">
        <f t="shared" si="12"/>
        <v>0</v>
      </c>
      <c r="BF52" s="195">
        <f t="shared" si="13"/>
        <v>11484.08943577685</v>
      </c>
      <c r="BG52" s="195">
        <f t="shared" si="14"/>
        <v>90137.002349058428</v>
      </c>
      <c r="BH52" s="196">
        <f t="shared" si="36"/>
        <v>273326.73433177557</v>
      </c>
      <c r="BI52" s="196">
        <f t="shared" si="37"/>
        <v>308938.56122524914</v>
      </c>
      <c r="BJ52" s="195">
        <f>IFERROR($G52*(IF('Inputs Yr 2'!$AJ52=BJ$4,'Inputs Yr 2'!$AK52,IF('Inputs Yr 2'!$AL52=BJ$4,'Inputs Yr 2'!$AM52,IF('Inputs Yr 2'!$AN52=BJ$4,'Inputs Yr 2'!$AO52,0))))*(INDEX(avoidedcosttbl2,$H52,BJ$2)+(($H52-ROUNDDOWN($H52,0))*(INDEX(avoidedcosttbl2,ROUNDUP($H52,0),BJ$2)-(INDEX(avoidedcosttbl2,ROUNDDOWN($H52,0),BJ$2)))))*'Inputs Yr 2'!P52*'Inputs Yr 2'!Q52*'Inputs Yr 2'!U52,"")</f>
        <v>0</v>
      </c>
      <c r="BK52" s="195">
        <f>IFERROR($G52*(IF('Inputs Yr 2'!$AJ52=BK$4,'Inputs Yr 2'!$AK52,IF('Inputs Yr 2'!$AL52=BK$4,'Inputs Yr 2'!$AM52,IF('Inputs Yr 2'!$AN52=BK$4,'Inputs Yr 2'!$AO52,0))))*(INDEX(avoidedcosttbl2,$H52,BK$2)+(($H52-ROUNDDOWN($H52,0))*(INDEX(avoidedcosttbl2,ROUNDUP($H52,0),BK$2)-(INDEX(avoidedcosttbl2,ROUNDDOWN($H52,0),BK$2)))))*'Inputs Yr 2'!P52*'Inputs Yr 2'!Q52*'Inputs Yr 2'!U52,"")</f>
        <v>0</v>
      </c>
      <c r="BL52" s="195">
        <f>IFERROR($G52*(IF('Inputs Yr 2'!$AJ52=BL$4,'Inputs Yr 2'!$AK52,IF('Inputs Yr 2'!$AL52=BL$4,'Inputs Yr 2'!$AM52,IF('Inputs Yr 2'!$AN52=BL$4,'Inputs Yr 2'!$AO52,0))))*(INDEX(avoidedcosttbl2,$H52,BL$2)+(($H52-ROUNDDOWN($H52,0))*(INDEX(avoidedcosttbl2,ROUNDUP($H52,0),BL$2)-(INDEX(avoidedcosttbl2,ROUNDDOWN($H52,0),BL$2)))))*'Inputs Yr 2'!P52*'Inputs Yr 2'!Q52*'Inputs Yr 2'!U52,"")</f>
        <v>240433.7763843596</v>
      </c>
      <c r="BM52" s="195">
        <f>IFERROR($G52*(IF('Inputs Yr 2'!$AJ52=BM$4,'Inputs Yr 2'!$AK52,IF('Inputs Yr 2'!$AL52=BM$4,'Inputs Yr 2'!$AM52,IF('Inputs Yr 2'!$AN52=BM$4,'Inputs Yr 2'!$AO52,0))))*(INDEX(avoidedcosttbl2,$H52,BM$2)+(($H52-ROUNDDOWN($H52,0))*(INDEX(avoidedcosttbl2,ROUNDUP($H52,0),BM$2)-(INDEX(avoidedcosttbl2,ROUNDDOWN($H52,0),BM$2)))))*'Inputs Yr 2'!P52*'Inputs Yr 2'!Q52*'Inputs Yr 2'!U52,"")</f>
        <v>0</v>
      </c>
      <c r="BN52" s="195">
        <f>IFERROR($G52*(IF('Inputs Yr 2'!$AJ52=BN$4,'Inputs Yr 2'!$AK52,IF('Inputs Yr 2'!$AL52=BN$4,'Inputs Yr 2'!$AM52,IF('Inputs Yr 2'!$AN52=BN$4,'Inputs Yr 2'!$AO52,0))))*(INDEX(avoidedcosttbl2,$H52,BN$2)+(($H52-ROUNDDOWN($H52,0))*(INDEX(avoidedcosttbl2,ROUNDUP($H52,0),BN$2)-(INDEX(avoidedcosttbl2,ROUNDDOWN($H52,0),BN$2)))))*'Inputs Yr 2'!P52*'Inputs Yr 2'!Q52*'Inputs Yr 2'!U52,"")</f>
        <v>0</v>
      </c>
      <c r="BO52" s="195">
        <f>IFERROR($G52*(IF('Inputs Yr 2'!$AJ52=BO$4,'Inputs Yr 2'!$AK52,IF('Inputs Yr 2'!$AL52=BO$4,'Inputs Yr 2'!$AM52,IF('Inputs Yr 2'!$AN52=BO$4,'Inputs Yr 2'!$AO52,0))))*(INDEX(avoidedcosttbl2,$H52,BO$2)+(($H52-ROUNDDOWN($H52,0))*(INDEX(avoidedcosttbl2,ROUNDUP($H52,0),BO$2)-(INDEX(avoidedcosttbl2,ROUNDDOWN($H52,0),BO$2)))))*'Inputs Yr 2'!P52*'Inputs Yr 2'!Q52*'Inputs Yr 2'!U52,"")</f>
        <v>0</v>
      </c>
      <c r="BP52" s="195">
        <f>IFERROR($G52*(IF('Inputs Yr 2'!$AJ52=BP$4,'Inputs Yr 2'!$AK52,IF('Inputs Yr 2'!$AL52=BP$4,'Inputs Yr 2'!$AM52,IF('Inputs Yr 2'!$AN52=BP$4,'Inputs Yr 2'!$AO52,0))))*(INDEX(avoidedcosttbl2,$H52,BP$2)+(($H52-ROUNDDOWN($H52,0))*(INDEX(avoidedcosttbl2,ROUNDUP($H52,0),BP$2)-(INDEX(avoidedcosttbl2,ROUNDDOWN($H52,0),BP$2)))))*'Inputs Yr 2'!P52*'Inputs Yr 2'!Q52*'Inputs Yr 2'!U52,"")</f>
        <v>0</v>
      </c>
      <c r="BQ52" s="230">
        <f t="shared" si="38"/>
        <v>240433.7763843596</v>
      </c>
      <c r="BR52" s="197">
        <f t="shared" si="17"/>
        <v>3864.5707905346849</v>
      </c>
      <c r="BS52" s="197">
        <f>IFERROR(($G52*IF('Inputs Yr 2'!$AJ52=BM$4,'Inputs Yr 2'!$AK52,IF('Inputs Yr 2'!$AL52=BM$4,'Inputs Yr 2'!$AM52,IF('Inputs Yr 2'!$AN52=BM$4,'Inputs Yr 2'!$AO52,0))))*(INDEX(avoidedcosttbl2,$H52,BS$2)+(($H52-ROUNDDOWN($H52,0))*(INDEX(avoidedcosttbl2,ROUNDUP($H52,0),BS$2)-(INDEX(avoidedcosttbl2,ROUNDDOWN($H52,0),BS$2)))))*'Inputs Yr 2'!P52*'Inputs Yr 2'!Q52*'Inputs Yr 2'!U52,"")</f>
        <v>0</v>
      </c>
      <c r="BT52" s="197">
        <f>IFERROR(($G52*IF('Inputs Yr 2'!$AJ52=BK$4,'Inputs Yr 2'!$AK52,IF('Inputs Yr 2'!$AL52=BK$4,'Inputs Yr 2'!$AM52,IF('Inputs Yr 2'!$AN52=BK$4,'Inputs Yr 2'!$AO52,0))))*(INDEX(avoidedcosttbl2,$H52,BT$2)+(($H52-ROUNDDOWN($H52,0))*(INDEX(avoidedcosttbl2,ROUNDUP($H52,0),BT$2)-(INDEX(avoidedcosttbl2,ROUNDDOWN($H52,0),BT$2)))))*'Inputs Yr 2'!P52*'Inputs Yr 2'!Q52*'Inputs Yr 2'!U52,"")</f>
        <v>0</v>
      </c>
      <c r="BU52" s="197">
        <f>IFERROR(($G52*IF('Inputs Yr 2'!$AJ52=BL$4,'Inputs Yr 2'!$AK52,IF('Inputs Yr 2'!$AL52=BL$4,'Inputs Yr 2'!$AM52,IF('Inputs Yr 2'!$AN52=BL$4,'Inputs Yr 2'!$AO52,0))))*(INDEX(avoidedcosttbl2,$H52,BU$2)+(($H52-ROUNDDOWN($H52,0))*(INDEX(avoidedcosttbl2,ROUNDUP($H52,0),BU$2)-(INDEX(avoidedcosttbl2,ROUNDDOWN($H52,0),BU$2)))))*'Inputs Yr 2'!P52*'Inputs Yr 2'!Q52*'Inputs Yr 2'!U52,"")</f>
        <v>14716.361815418724</v>
      </c>
      <c r="BV52" s="775">
        <f>IFERROR(($G52*IF('Inputs Yr 2'!$AJ52=BJ$4,'Inputs Yr 2'!$AK52,IF('Inputs Yr 2'!$AL52=BJ$4,'Inputs Yr 2'!$AM52,IF('Inputs Yr 2'!$AN52=BJ$4,'Inputs Yr 2'!$AO52,0))))*(INDEX(avoidedcosttbl2,$H52,BV$2)+(($H52-ROUNDDOWN($H52,0))*(INDEX(avoidedcosttbl2,ROUNDUP($H52,0),BV$2)-(INDEX(avoidedcosttbl2,ROUNDDOWN($H52,0),BV$2)))))*'Inputs Yr 2'!P52*'Inputs Yr 2'!Q52*'Inputs Yr 2'!U52,"")</f>
        <v>0</v>
      </c>
      <c r="BW52" s="197">
        <f>IFERROR(($G52*IF('Inputs Yr 2'!$AJ52=BN$4,'Inputs Yr 2'!$AK52,IF('Inputs Yr 2'!$AL52=BN$4,'Inputs Yr 2'!$AM52,IF('Inputs Yr 2'!$AN52=BN$4,'Inputs Yr 2'!$AO52,0))))*(INDEX(avoidedcosttbl2,$H52,BW$2)+(($H52-ROUNDDOWN($H52,0))*(INDEX(avoidedcosttbl2,ROUNDUP($H52,0),BW$2)-(INDEX(avoidedcosttbl2,ROUNDDOWN($H52,0),BW$2)))))*'Inputs Yr 2'!P52*'Inputs Yr 2'!Q52*'Inputs Yr 2'!U52,"")</f>
        <v>0</v>
      </c>
      <c r="BX52" s="197">
        <f>IFERROR(($G52*IF('Inputs Yr 2'!$AJ52=BO$4,'Inputs Yr 2'!$AK52,IF('Inputs Yr 2'!$AL52=BO$4,'Inputs Yr 2'!$AM52,IF('Inputs Yr 2'!$AN52=BO$4,'Inputs Yr 2'!$AO52,0))))*(INDEX(avoidedcosttbl2,$H52,BX$2)+(($H52-ROUNDDOWN($H52,0))*(INDEX(avoidedcosttbl2,ROUNDUP($H52,0),BX$2)-(INDEX(avoidedcosttbl2,ROUNDDOWN($H52,0),BX$2)))))*'Inputs Yr 2'!P52*'Inputs Yr 2'!Q52*'Inputs Yr 2'!U52,"")</f>
        <v>0</v>
      </c>
      <c r="BY52" s="197">
        <f>IFERROR(($G52*IF('Inputs Yr 2'!$AJ52=BP$4,'Inputs Yr 2'!$AK52,IF('Inputs Yr 2'!$AL52=BP$4,'Inputs Yr 2'!$AM52,IF('Inputs Yr 2'!$AN52=BP$4,'Inputs Yr 2'!$AO52,0))))*(INDEX(avoidedcosttbl2,$H52,BY$2)+(($H52-ROUNDDOWN($H52,0))*(INDEX(avoidedcosttbl2,ROUNDUP($H52,0),BY$2)-(INDEX(avoidedcosttbl2,ROUNDDOWN($H52,0),BY$2)))))*'Inputs Yr 2'!P52*'Inputs Yr 2'!Q52*'Inputs Yr 2'!U52,"")</f>
        <v>0</v>
      </c>
      <c r="BZ52" s="193">
        <f t="shared" si="39"/>
        <v>18580.932605953411</v>
      </c>
      <c r="CA52" s="193">
        <f t="shared" si="40"/>
        <v>259014.70899031303</v>
      </c>
      <c r="CB52" s="195">
        <f>IFERROR(G52*(IF('Inputs Yr 2'!$AJ52=CB$4,'Inputs Yr 2'!$AK52,IF('Inputs Yr 2'!$AL52=CB$4,'Inputs Yr 2'!$AM52,IF('Inputs Yr 2'!$AN52=CB$4,'Inputs Yr 2'!$AO52,0))))*(INDEX(avoidedcosttbl2,$H52,CB$2)+(($H52-ROUNDDOWN($H52,0))*(INDEX(avoidedcosttbl2,ROUNDUP($H52,0),CB$2)-(INDEX(avoidedcosttbl2,ROUNDDOWN($H52,0),CB$2)))))*'Inputs Yr 2'!P52*'Inputs Yr 2'!Q52*'Inputs Yr 2'!U52,"")</f>
        <v>0</v>
      </c>
      <c r="CC52" s="195">
        <f>IFERROR(H52*(IF('Inputs Yr 2'!$AJ52=CC$4,'Inputs Yr 2'!$AK52,IF('Inputs Yr 2'!$AL52=CC$4,'Inputs Yr 2'!$AM52,IF('Inputs Yr 2'!$AN52=CC$4,'Inputs Yr 2'!$AO52,0))))*(INDEX(avoidedcosttbl2,$H52,CC$2)+(($H52-ROUNDDOWN($H52,0))*(INDEX(avoidedcosttbl2,ROUNDUP($H52,0),CC$2)-(INDEX(avoidedcosttbl2,ROUNDDOWN($H52,0),CC$2)))))*'Inputs Yr 2'!Q52*'Inputs Yr 2'!R52*'Inputs Yr 2'!V52,"")</f>
        <v>0</v>
      </c>
      <c r="CD52" s="195">
        <f>IFERROR(I52*(IF('Inputs Yr 2'!$AJ52=CD$4,'Inputs Yr 2'!$AK52,IF('Inputs Yr 2'!$AL52=CD$4,'Inputs Yr 2'!$AM52,IF('Inputs Yr 2'!$AN52=CD$4,'Inputs Yr 2'!$AO52,0))))*(INDEX(avoidedcosttbl2,$H52,CD$2)+(($H52-ROUNDDOWN($H52,0))*(INDEX(avoidedcosttbl2,ROUNDUP($H52,0),CD$2)-(INDEX(avoidedcosttbl2,ROUNDDOWN($H52,0),CD$2)))))*'Inputs Yr 2'!R52*'Inputs Yr 2'!S52*'Inputs Yr 2'!W52,"")</f>
        <v>0</v>
      </c>
      <c r="CE52" s="213">
        <f t="shared" si="41"/>
        <v>0</v>
      </c>
      <c r="CF52" s="213">
        <f t="shared" si="42"/>
        <v>0</v>
      </c>
      <c r="CG52" s="213">
        <f t="shared" si="43"/>
        <v>0</v>
      </c>
      <c r="CH52" s="698">
        <f t="shared" si="44"/>
        <v>259014.70899031303</v>
      </c>
      <c r="CI52" s="79">
        <f>IFERROR(($G52*'Inputs Yr 2'!$P52*'Inputs Yr 2'!$Q52*(((INDEX(avoidedcosttbl2,$H52,CI$2)+(($H52-ROUNDDOWN($H52,0))*(INDEX(avoidedcosttbl2,ROUNDUP($H52,0),CI$2)-INDEX(avoidedcosttbl2,ROUNDDOWN($H52,0),CI$2))))*'Inputs Yr 2'!AS52))),"")</f>
        <v>13403.22088405473</v>
      </c>
      <c r="CJ52" s="504">
        <f>IFERROR($G52*'Inputs Yr 2'!AT52*'Inputs Yr 2'!$P52*'Inputs Yr 2'!$Q52/((1+realdiscrt1)^-0.5),"")</f>
        <v>0</v>
      </c>
      <c r="CK52" s="79">
        <f>IFERROR((O52*1000*(((INDEX(avoidedcosttbl2,$H52,CK$2)+(($H52-ROUNDDOWN($H52,0))*(INDEX(avoidedcosttbl2,ROUNDUP($H52,0),CK$2)-INDEX(avoidedcosttbl2,ROUNDDOWN($H52,0),CK$2))))*'Inputs Yr 2'!AU52))),"")</f>
        <v>0</v>
      </c>
      <c r="CL52" s="504">
        <f>IFERROR(O52*1000*'Inputs Yr 2'!AV52/((1+realdiscrt1)^-0.5),"")</f>
        <v>0</v>
      </c>
      <c r="CM52" s="79">
        <f>IFERROR((AB52*'Inputs Yr 2'!AW52*(((INDEX(avoidedcosttbl2,$H52,CM$2)+(($H52-ROUNDDOWN($H52,0))*(INDEX(avoidedcosttbl2,ROUNDUP($H52,0),CM$2)-INDEX(avoidedcosttbl2,ROUNDDOWN($H52,0),CM$2)))))))*10,"")</f>
        <v>0</v>
      </c>
      <c r="CN52" s="504">
        <f>IFERROR(10*AB52*'Inputs Yr 2'!AX52/((1+realdiscrt1)^-0.5),"")</f>
        <v>0</v>
      </c>
      <c r="CO52" s="505">
        <f t="shared" si="45"/>
        <v>13403.22088405473</v>
      </c>
      <c r="CP52" s="230">
        <f t="shared" si="46"/>
        <v>581356.49109961698</v>
      </c>
      <c r="CQ52" s="199">
        <f>ROUND(IFERROR(IF(LEFT($A52,1)="C",'Avoided Costs'!$K$13,'Avoided Costs'!$K$12)+1,""),4)</f>
        <v>1.0720000000000001</v>
      </c>
      <c r="CR52" s="199">
        <f>ROUND(IFERROR(IF(LEFT($A52,1)="C",'Avoided Costs'!$L$13,'Avoided Costs'!$L$12)+1,""),4)</f>
        <v>1.04</v>
      </c>
      <c r="CS52" s="199">
        <f>ROUND(IFERROR(IF(LEFT($A52,1)="C",'Avoided Costs'!$M$13,'Avoided Costs'!$M$12)+1,""),4)</f>
        <v>1.0720000000000001</v>
      </c>
      <c r="CT52" s="199">
        <f>ROUND(IFERROR(IF(LEFT($A52,1)="C",'Avoided Costs'!$N$13,'Avoided Costs'!$N$12)+1,""),4)</f>
        <v>1.04</v>
      </c>
      <c r="CU52" s="199">
        <f>ROUND(IFERROR(IF(LEFT($A52,1)="C",'Avoided Costs'!$O$13,'Avoided Costs'!$O$12)+1,""),4)</f>
        <v>1.1120000000000001</v>
      </c>
      <c r="CV52" s="199">
        <f>ROUND(IFERROR(IF(LEFT($A52,1)="C",'Avoided Costs'!$P$13,'Avoided Costs'!$P$12)+1,""),4)</f>
        <v>1.095</v>
      </c>
      <c r="CW52" s="199">
        <f>ROUND(IFERROR(IF(LEFT($A52,1)="C",'Avoided Costs'!$Q$13,'Avoided Costs'!$Q$12)+1,""),4)</f>
        <v>1.1120000000000001</v>
      </c>
      <c r="CX52" s="200">
        <f>ROUND(IFERROR(IF(LEFT($A52,1)="C",'Avoided Costs'!$R$13,'Avoided Costs'!$R$12)+1,""),4)</f>
        <v>1.1120000000000001</v>
      </c>
    </row>
    <row r="53" spans="1:102" ht="12.75" customHeight="1">
      <c r="A53" s="91" t="str">
        <f>IF('Inputs Yr 2'!$B53=0,"",'Inputs Yr 2'!A53)</f>
        <v>A - Residential</v>
      </c>
      <c r="B53" s="91" t="str">
        <f>IF('Inputs Yr 2'!$B53=0,"",'Inputs Yr 2'!B53)</f>
        <v>A1 - Residential Whole House</v>
      </c>
      <c r="C53" s="91" t="str">
        <f>IF('Inputs Yr 2'!$B53=0,"",'Inputs Yr 2'!C53)</f>
        <v>A1c - Residential Home Energy Services - Measures</v>
      </c>
      <c r="D53" s="91" t="str">
        <f>IF('Inputs Yr 2'!$B53=0,"",'Inputs Yr 2'!E53)</f>
        <v>Wifi Thermostat – cooling only</v>
      </c>
      <c r="E53" s="93" t="str">
        <f>IF('Inputs Yr 2'!$B53=0,"",'Inputs Yr 2'!F53)</f>
        <v>G16A1c38</v>
      </c>
      <c r="F53" s="93" t="str">
        <f>IF('Inputs Yr 2'!$B53=0,"",'Inputs Yr 2'!G53)</f>
        <v>HVAC</v>
      </c>
      <c r="G53" s="95">
        <f>IF('Inputs Yr 2'!$H53&lt;&gt;0,('Inputs Yr 2'!H53),"")</f>
        <v>26</v>
      </c>
      <c r="H53" s="94">
        <f>IFERROR('Inputs Yr 2'!I53,"")</f>
        <v>15</v>
      </c>
      <c r="I53" s="298">
        <f>IFERROR('Inputs Yr 2'!J53*'Inputs Yr 2'!P53*G53,"")</f>
        <v>1874.9107466918717</v>
      </c>
      <c r="J53" s="298">
        <f>IFERROR('Inputs Yr 2'!K53*G53,"")</f>
        <v>1491.4261058601132</v>
      </c>
      <c r="K53" s="298">
        <f t="shared" si="23"/>
        <v>383.4846408317585</v>
      </c>
      <c r="L53" s="194">
        <f>IFERROR(('Inputs Yr 2'!W53*G53)/1000,"")</f>
        <v>2.7040000000000002</v>
      </c>
      <c r="M53" s="194">
        <f>IFERROR(L53*('Inputs Yr 2'!$Q53*'Inputs Yr 2'!$V53*'Inputs Yr 2'!$R53),"")</f>
        <v>2.7040000000000002</v>
      </c>
      <c r="N53" s="194">
        <f t="shared" si="24"/>
        <v>40.56</v>
      </c>
      <c r="O53" s="194">
        <f>IFERROR(M53*'Inputs Yr 2'!P53,"")</f>
        <v>2.7040000000000002</v>
      </c>
      <c r="P53" s="194">
        <f t="shared" si="25"/>
        <v>40.56</v>
      </c>
      <c r="Q53" s="194">
        <f>IFERROR($P53*'Inputs Yr 2'!AA53,"")</f>
        <v>0.40560000000000002</v>
      </c>
      <c r="R53" s="194">
        <f>IFERROR($P53*'Inputs Yr 2'!AB53,"")</f>
        <v>1.6224000000000001</v>
      </c>
      <c r="S53" s="194">
        <f>IFERROR($P53*'Inputs Yr 2'!AC53,"")</f>
        <v>21.902400000000004</v>
      </c>
      <c r="T53" s="194">
        <f>IFERROR($P53*'Inputs Yr 2'!AD53,"")</f>
        <v>16.6296</v>
      </c>
      <c r="U53" s="194">
        <f>IFERROR(G53*'Inputs Yr 2'!$AE53*'Inputs Yr 2'!$P53*'Inputs Yr 2'!$Q53,"")</f>
        <v>5.98</v>
      </c>
      <c r="V53" s="194">
        <f>IFERROR($G53*'Inputs Yr 2'!$AE53*'Inputs Yr 2'!$AG53*'Inputs Yr 2'!Q53*'Inputs Yr 2'!$S53,"")</f>
        <v>0</v>
      </c>
      <c r="W53" s="194">
        <f>IFERROR($G53*'Inputs Yr 2'!$AE53*'Inputs Yr 2'!$AG53*'Inputs Yr 2'!P53*'Inputs Yr 2'!Q53*'Inputs Yr 2'!$S53,"")</f>
        <v>0</v>
      </c>
      <c r="X53" s="194">
        <f>IFERROR($G53*'Inputs Yr 2'!$AE53*'Inputs Yr 2'!$AF53*'Inputs Yr 2'!Q53*'Inputs Yr 2'!$T53,"")</f>
        <v>5.98</v>
      </c>
      <c r="Y53" s="194">
        <f>IFERROR($G53*'Inputs Yr 2'!$AE53*'Inputs Yr 2'!$AF53*'Inputs Yr 2'!P53*'Inputs Yr 2'!Q53*'Inputs Yr 2'!$T53,"")</f>
        <v>5.98</v>
      </c>
      <c r="Z53" s="257">
        <f>IFERROR($G53*'Inputs Yr 2'!$Q53*'Inputs Yr 2'!$U53*(IF(IFERROR(SEARCH("NG", 'Inputs Yr 2'!$AJ53),0),'Inputs Yr 2'!$AK53,0)+IF(IFERROR(SEARCH("NG", 'Inputs Yr 2'!$AL53),0),'Inputs Yr 2'!$AM53,0)+IF(IFERROR(SEARCH("NG", 'Inputs Yr 2'!$AN53),0),'Inputs Yr 2'!$AO53,0)),0)</f>
        <v>0</v>
      </c>
      <c r="AA53" s="257">
        <f t="shared" si="26"/>
        <v>0</v>
      </c>
      <c r="AB53" s="257">
        <f>IFERROR(Z53*'Inputs Yr 2'!$P53,0)</f>
        <v>0</v>
      </c>
      <c r="AC53" s="257">
        <f t="shared" si="27"/>
        <v>0</v>
      </c>
      <c r="AD53" s="257">
        <f>IFERROR($G53*'Inputs Yr 2'!$Q53*'Inputs Yr 2'!$U53*(IF(IFERROR(SEARCH("Oil", 'Inputs Yr 2'!$AJ53), 0),'Inputs Yr 2'!$AK53,0)+IF(IFERROR(SEARCH("Oil", 'Inputs Yr 2'!$AL53), 0),'Inputs Yr 2'!$AM53,0)+IF(IFERROR(SEARCH("Oil", 'Inputs Yr 2'!$AN53), 0),'Inputs Yr 2'!$AO53,0)),0)</f>
        <v>0</v>
      </c>
      <c r="AE53" s="257">
        <f t="shared" si="28"/>
        <v>0</v>
      </c>
      <c r="AF53" s="257">
        <f>IFERROR(AD53*'Inputs Yr 2'!$P53,0)</f>
        <v>0</v>
      </c>
      <c r="AG53" s="257">
        <f t="shared" si="29"/>
        <v>0</v>
      </c>
      <c r="AH53" s="257">
        <f>IFERROR($G53*'Inputs Yr 2'!$Q53*'Inputs Yr 2'!$U53*(IF('Inputs Yr 2'!$AJ53=CD$4,'Inputs Yr 2'!$AK53,IF('Inputs Yr 2'!$AL53=CD$4,'Inputs Yr 2'!$AM53,IF('Inputs Yr 2'!$AN53=CD$4,'Inputs Yr 2'!$AO53,0)))),0)</f>
        <v>0</v>
      </c>
      <c r="AI53" s="257">
        <f t="shared" si="30"/>
        <v>0</v>
      </c>
      <c r="AJ53" s="257">
        <f>IFERROR(AH53*'Inputs Yr 2'!$P53,0)</f>
        <v>0</v>
      </c>
      <c r="AK53" s="257">
        <f t="shared" si="31"/>
        <v>0</v>
      </c>
      <c r="AL53" s="258">
        <f>IFERROR($G53*'Inputs Yr 2'!$P53*'Inputs Yr 2'!$Q53*'Inputs Yr 2'!AP53,0)</f>
        <v>0</v>
      </c>
      <c r="AM53" s="260">
        <f>IFERROR($G53*'Inputs Yr 2'!$P53*'Inputs Yr 2'!$Q53*'Inputs Yr 2'!AQ53,0)</f>
        <v>0</v>
      </c>
      <c r="AN53" s="258">
        <f>IFERROR($G53*'Inputs Yr 2'!$P53*'Inputs Yr 2'!$Q53*'Inputs Yr 2'!AR53,0)</f>
        <v>0</v>
      </c>
      <c r="AO53" s="257">
        <f t="shared" si="32"/>
        <v>0</v>
      </c>
      <c r="AP53" s="195">
        <f>IFERROR($CQ53*(INDEX(avoidedcosttbl2,$H53,AP$2)+(($H53-ROUNDDOWN($H53,0))*(INDEX(avoidedcosttbl2,ROUNDUP($H53,0),AP$2)-(INDEX(avoidedcosttbl2,ROUNDDOWN($H53,0),AP$2)))))*$O53*1000*'Inputs Yr 2'!AA53,"")</f>
        <v>34.069073282929907</v>
      </c>
      <c r="AQ53" s="195">
        <f>IFERROR($CR53*(INDEX(avoidedcosttbl2,$H53,AQ$2)+(($H53-ROUNDDOWN($H53,0))*(INDEX(avoidedcosttbl2,ROUNDUP($H53,0),AQ$2)-(INDEX(avoidedcosttbl2,ROUNDDOWN($H53,0),AQ$2)))))*$O53*1000*'Inputs Yr 2'!AB53,"")</f>
        <v>121.93321850809571</v>
      </c>
      <c r="AR53" s="195">
        <f>IFERROR($CS53*(INDEX(avoidedcosttbl2,$H53,AR$2)+(($H53-ROUNDDOWN($H53,0))*(INDEX(avoidedcosttbl2,ROUNDUP($H53,0),AR$2)-(INDEX(avoidedcosttbl2,ROUNDDOWN($H53,0),AR$2)))))*$O53*1000*'Inputs Yr 2'!AC53,"")</f>
        <v>1791.1066792749127</v>
      </c>
      <c r="AS53" s="195">
        <f>IFERROR($CT53*(INDEX(avoidedcosttbl2,$H53,AS$2)+(($H53-ROUNDDOWN($H53,0))*(INDEX(avoidedcosttbl2,ROUNDUP($H53,0),AS$2)-(INDEX(avoidedcosttbl2,ROUNDDOWN($H53,0),AS$2)))))*$O53*1000*'Inputs Yr 2'!AD53,"")</f>
        <v>1064.9621056968087</v>
      </c>
      <c r="AT53" s="196">
        <f t="shared" si="33"/>
        <v>3012.071076762747</v>
      </c>
      <c r="AU53" s="197">
        <f>IFERROR($CQ53*((INDEX(avoidedcosttbl2,$H53,AU$2))+(($H53-ROUNDDOWN($H53,0))*((INDEX(avoidedcosttbl2,ROUNDUP($H53,0),AU$2))-(INDEX(avoidedcosttbl2,ROUNDDOWN($H53,0),AU$2)))))*$O53*1000*'Inputs Yr 2'!AA53,"")</f>
        <v>0.88217084532562551</v>
      </c>
      <c r="AV53" s="197">
        <f>IFERROR($CR53*((INDEX(avoidedcosttbl2,$H53,AV$2))+(($H53-ROUNDDOWN($H53,0))*((INDEX(avoidedcosttbl2,ROUNDUP($H53,0),AV$2))-(INDEX(avoidedcosttbl2,ROUNDDOWN($H53,0),AV$2)))))*$O53*1000*'Inputs Yr 2'!AB53,"")</f>
        <v>1.6976604222011908</v>
      </c>
      <c r="AW53" s="197">
        <f>IFERROR($CS53*((INDEX(avoidedcosttbl2,$H53,AW$2))+(($H53-ROUNDDOWN($H53,0))*((INDEX(avoidedcosttbl2,ROUNDUP($H53,0),AW$2))-(INDEX(avoidedcosttbl2,ROUNDDOWN($H53,0),AW$2)))))*$O53*1000*'Inputs Yr 2'!AC53,"")</f>
        <v>56.250429241853546</v>
      </c>
      <c r="AX53" s="197">
        <f>IFERROR($CT53*((INDEX(avoidedcosttbl2,$H53,AX$2))+(($H53-ROUNDDOWN($H53,0))*((INDEX(avoidedcosttbl2,ROUNDUP($H53,0),AX$2))-(INDEX(avoidedcosttbl2,ROUNDDOWN($H53,0),AX$2)))))*$O53*1000*'Inputs Yr 2'!AD53,"")</f>
        <v>14.012461529504529</v>
      </c>
      <c r="AY53" s="197">
        <f>IFERROR(((INDEX(avoidedcosttbl2,$H53,AY$2))+(($H53-ROUNDDOWN($H53,0))*((INDEX(avoidedcosttbl2,ROUNDUP($H53,0),AY$2))-(INDEX(avoidedcosttbl2,ROUNDDOWN($H53,0),AY$2)))))*$O53*1000*('Inputs Yr 2'!AC53+'Inputs Yr 2'!AD53),"")</f>
        <v>121.08562507528036</v>
      </c>
      <c r="AZ53" s="197">
        <f>IFERROR(((INDEX(avoidedcosttbl2,$H53,AZ$2))+(($H53-ROUNDDOWN($H53,0))*((INDEX(avoidedcosttbl2,ROUNDUP($H53,0),AZ$2))-(INDEX(avoidedcosttbl2,ROUNDDOWN($H53,0),AZ$2)))))*$O53*1000*('Inputs Yr 2'!AA53+'Inputs Yr 2'!AB53),"")</f>
        <v>8.9571706727851872</v>
      </c>
      <c r="BA53" s="198">
        <f t="shared" si="34"/>
        <v>202.88551778695046</v>
      </c>
      <c r="BB53" s="198">
        <f t="shared" si="35"/>
        <v>3214.9565945496975</v>
      </c>
      <c r="BC53" s="195">
        <f t="shared" si="10"/>
        <v>15501.203841043218</v>
      </c>
      <c r="BD53" s="195">
        <f t="shared" si="11"/>
        <v>0</v>
      </c>
      <c r="BE53" s="195">
        <f t="shared" si="12"/>
        <v>0</v>
      </c>
      <c r="BF53" s="195">
        <f t="shared" si="13"/>
        <v>1036.7580740631879</v>
      </c>
      <c r="BG53" s="195">
        <f t="shared" si="14"/>
        <v>8137.3682676233302</v>
      </c>
      <c r="BH53" s="196">
        <f t="shared" si="36"/>
        <v>24675.330182729736</v>
      </c>
      <c r="BI53" s="196">
        <f t="shared" si="37"/>
        <v>27890.286777279434</v>
      </c>
      <c r="BJ53" s="195">
        <f>IFERROR($G53*(IF('Inputs Yr 2'!$AJ53=BJ$4,'Inputs Yr 2'!$AK53,IF('Inputs Yr 2'!$AL53=BJ$4,'Inputs Yr 2'!$AM53,IF('Inputs Yr 2'!$AN53=BJ$4,'Inputs Yr 2'!$AO53,0))))*(INDEX(avoidedcosttbl2,$H53,BJ$2)+(($H53-ROUNDDOWN($H53,0))*(INDEX(avoidedcosttbl2,ROUNDUP($H53,0),BJ$2)-(INDEX(avoidedcosttbl2,ROUNDDOWN($H53,0),BJ$2)))))*'Inputs Yr 2'!P53*'Inputs Yr 2'!Q53*'Inputs Yr 2'!U53,"")</f>
        <v>0</v>
      </c>
      <c r="BK53" s="195">
        <f>IFERROR($G53*(IF('Inputs Yr 2'!$AJ53=BK$4,'Inputs Yr 2'!$AK53,IF('Inputs Yr 2'!$AL53=BK$4,'Inputs Yr 2'!$AM53,IF('Inputs Yr 2'!$AN53=BK$4,'Inputs Yr 2'!$AO53,0))))*(INDEX(avoidedcosttbl2,$H53,BK$2)+(($H53-ROUNDDOWN($H53,0))*(INDEX(avoidedcosttbl2,ROUNDUP($H53,0),BK$2)-(INDEX(avoidedcosttbl2,ROUNDDOWN($H53,0),BK$2)))))*'Inputs Yr 2'!P53*'Inputs Yr 2'!Q53*'Inputs Yr 2'!U53,"")</f>
        <v>0</v>
      </c>
      <c r="BL53" s="195">
        <f>IFERROR($G53*(IF('Inputs Yr 2'!$AJ53=BL$4,'Inputs Yr 2'!$AK53,IF('Inputs Yr 2'!$AL53=BL$4,'Inputs Yr 2'!$AM53,IF('Inputs Yr 2'!$AN53=BL$4,'Inputs Yr 2'!$AO53,0))))*(INDEX(avoidedcosttbl2,$H53,BL$2)+(($H53-ROUNDDOWN($H53,0))*(INDEX(avoidedcosttbl2,ROUNDUP($H53,0),BL$2)-(INDEX(avoidedcosttbl2,ROUNDDOWN($H53,0),BL$2)))))*'Inputs Yr 2'!P53*'Inputs Yr 2'!Q53*'Inputs Yr 2'!U53,"")</f>
        <v>0</v>
      </c>
      <c r="BM53" s="195">
        <f>IFERROR($G53*(IF('Inputs Yr 2'!$AJ53=BM$4,'Inputs Yr 2'!$AK53,IF('Inputs Yr 2'!$AL53=BM$4,'Inputs Yr 2'!$AM53,IF('Inputs Yr 2'!$AN53=BM$4,'Inputs Yr 2'!$AO53,0))))*(INDEX(avoidedcosttbl2,$H53,BM$2)+(($H53-ROUNDDOWN($H53,0))*(INDEX(avoidedcosttbl2,ROUNDUP($H53,0),BM$2)-(INDEX(avoidedcosttbl2,ROUNDDOWN($H53,0),BM$2)))))*'Inputs Yr 2'!P53*'Inputs Yr 2'!Q53*'Inputs Yr 2'!U53,"")</f>
        <v>0</v>
      </c>
      <c r="BN53" s="195">
        <f>IFERROR($G53*(IF('Inputs Yr 2'!$AJ53=BN$4,'Inputs Yr 2'!$AK53,IF('Inputs Yr 2'!$AL53=BN$4,'Inputs Yr 2'!$AM53,IF('Inputs Yr 2'!$AN53=BN$4,'Inputs Yr 2'!$AO53,0))))*(INDEX(avoidedcosttbl2,$H53,BN$2)+(($H53-ROUNDDOWN($H53,0))*(INDEX(avoidedcosttbl2,ROUNDUP($H53,0),BN$2)-(INDEX(avoidedcosttbl2,ROUNDDOWN($H53,0),BN$2)))))*'Inputs Yr 2'!P53*'Inputs Yr 2'!Q53*'Inputs Yr 2'!U53,"")</f>
        <v>0</v>
      </c>
      <c r="BO53" s="195">
        <f>IFERROR($G53*(IF('Inputs Yr 2'!$AJ53=BO$4,'Inputs Yr 2'!$AK53,IF('Inputs Yr 2'!$AL53=BO$4,'Inputs Yr 2'!$AM53,IF('Inputs Yr 2'!$AN53=BO$4,'Inputs Yr 2'!$AO53,0))))*(INDEX(avoidedcosttbl2,$H53,BO$2)+(($H53-ROUNDDOWN($H53,0))*(INDEX(avoidedcosttbl2,ROUNDUP($H53,0),BO$2)-(INDEX(avoidedcosttbl2,ROUNDDOWN($H53,0),BO$2)))))*'Inputs Yr 2'!P53*'Inputs Yr 2'!Q53*'Inputs Yr 2'!U53,"")</f>
        <v>0</v>
      </c>
      <c r="BP53" s="195">
        <f>IFERROR($G53*(IF('Inputs Yr 2'!$AJ53=BP$4,'Inputs Yr 2'!$AK53,IF('Inputs Yr 2'!$AL53=BP$4,'Inputs Yr 2'!$AM53,IF('Inputs Yr 2'!$AN53=BP$4,'Inputs Yr 2'!$AO53,0))))*(INDEX(avoidedcosttbl2,$H53,BP$2)+(($H53-ROUNDDOWN($H53,0))*(INDEX(avoidedcosttbl2,ROUNDUP($H53,0),BP$2)-(INDEX(avoidedcosttbl2,ROUNDDOWN($H53,0),BP$2)))))*'Inputs Yr 2'!P53*'Inputs Yr 2'!Q53*'Inputs Yr 2'!U53,"")</f>
        <v>0</v>
      </c>
      <c r="BQ53" s="230">
        <f t="shared" si="38"/>
        <v>0</v>
      </c>
      <c r="BR53" s="197">
        <f t="shared" si="17"/>
        <v>0</v>
      </c>
      <c r="BS53" s="197">
        <f>IFERROR(($G53*IF('Inputs Yr 2'!$AJ53=BM$4,'Inputs Yr 2'!$AK53,IF('Inputs Yr 2'!$AL53=BM$4,'Inputs Yr 2'!$AM53,IF('Inputs Yr 2'!$AN53=BM$4,'Inputs Yr 2'!$AO53,0))))*(INDEX(avoidedcosttbl2,$H53,BS$2)+(($H53-ROUNDDOWN($H53,0))*(INDEX(avoidedcosttbl2,ROUNDUP($H53,0),BS$2)-(INDEX(avoidedcosttbl2,ROUNDDOWN($H53,0),BS$2)))))*'Inputs Yr 2'!P53*'Inputs Yr 2'!Q53*'Inputs Yr 2'!U53,"")</f>
        <v>0</v>
      </c>
      <c r="BT53" s="197">
        <f>IFERROR(($G53*IF('Inputs Yr 2'!$AJ53=BK$4,'Inputs Yr 2'!$AK53,IF('Inputs Yr 2'!$AL53=BK$4,'Inputs Yr 2'!$AM53,IF('Inputs Yr 2'!$AN53=BK$4,'Inputs Yr 2'!$AO53,0))))*(INDEX(avoidedcosttbl2,$H53,BT$2)+(($H53-ROUNDDOWN($H53,0))*(INDEX(avoidedcosttbl2,ROUNDUP($H53,0),BT$2)-(INDEX(avoidedcosttbl2,ROUNDDOWN($H53,0),BT$2)))))*'Inputs Yr 2'!P53*'Inputs Yr 2'!Q53*'Inputs Yr 2'!U53,"")</f>
        <v>0</v>
      </c>
      <c r="BU53" s="197">
        <f>IFERROR(($G53*IF('Inputs Yr 2'!$AJ53=BL$4,'Inputs Yr 2'!$AK53,IF('Inputs Yr 2'!$AL53=BL$4,'Inputs Yr 2'!$AM53,IF('Inputs Yr 2'!$AN53=BL$4,'Inputs Yr 2'!$AO53,0))))*(INDEX(avoidedcosttbl2,$H53,BU$2)+(($H53-ROUNDDOWN($H53,0))*(INDEX(avoidedcosttbl2,ROUNDUP($H53,0),BU$2)-(INDEX(avoidedcosttbl2,ROUNDDOWN($H53,0),BU$2)))))*'Inputs Yr 2'!P53*'Inputs Yr 2'!Q53*'Inputs Yr 2'!U53,"")</f>
        <v>0</v>
      </c>
      <c r="BV53" s="775">
        <f>IFERROR(($G53*IF('Inputs Yr 2'!$AJ53=BJ$4,'Inputs Yr 2'!$AK53,IF('Inputs Yr 2'!$AL53=BJ$4,'Inputs Yr 2'!$AM53,IF('Inputs Yr 2'!$AN53=BJ$4,'Inputs Yr 2'!$AO53,0))))*(INDEX(avoidedcosttbl2,$H53,BV$2)+(($H53-ROUNDDOWN($H53,0))*(INDEX(avoidedcosttbl2,ROUNDUP($H53,0),BV$2)-(INDEX(avoidedcosttbl2,ROUNDDOWN($H53,0),BV$2)))))*'Inputs Yr 2'!P53*'Inputs Yr 2'!Q53*'Inputs Yr 2'!U53,"")</f>
        <v>0</v>
      </c>
      <c r="BW53" s="197">
        <f>IFERROR(($G53*IF('Inputs Yr 2'!$AJ53=BN$4,'Inputs Yr 2'!$AK53,IF('Inputs Yr 2'!$AL53=BN$4,'Inputs Yr 2'!$AM53,IF('Inputs Yr 2'!$AN53=BN$4,'Inputs Yr 2'!$AO53,0))))*(INDEX(avoidedcosttbl2,$H53,BW$2)+(($H53-ROUNDDOWN($H53,0))*(INDEX(avoidedcosttbl2,ROUNDUP($H53,0),BW$2)-(INDEX(avoidedcosttbl2,ROUNDDOWN($H53,0),BW$2)))))*'Inputs Yr 2'!P53*'Inputs Yr 2'!Q53*'Inputs Yr 2'!U53,"")</f>
        <v>0</v>
      </c>
      <c r="BX53" s="197">
        <f>IFERROR(($G53*IF('Inputs Yr 2'!$AJ53=BO$4,'Inputs Yr 2'!$AK53,IF('Inputs Yr 2'!$AL53=BO$4,'Inputs Yr 2'!$AM53,IF('Inputs Yr 2'!$AN53=BO$4,'Inputs Yr 2'!$AO53,0))))*(INDEX(avoidedcosttbl2,$H53,BX$2)+(($H53-ROUNDDOWN($H53,0))*(INDEX(avoidedcosttbl2,ROUNDUP($H53,0),BX$2)-(INDEX(avoidedcosttbl2,ROUNDDOWN($H53,0),BX$2)))))*'Inputs Yr 2'!P53*'Inputs Yr 2'!Q53*'Inputs Yr 2'!U53,"")</f>
        <v>0</v>
      </c>
      <c r="BY53" s="197">
        <f>IFERROR(($G53*IF('Inputs Yr 2'!$AJ53=BP$4,'Inputs Yr 2'!$AK53,IF('Inputs Yr 2'!$AL53=BP$4,'Inputs Yr 2'!$AM53,IF('Inputs Yr 2'!$AN53=BP$4,'Inputs Yr 2'!$AO53,0))))*(INDEX(avoidedcosttbl2,$H53,BY$2)+(($H53-ROUNDDOWN($H53,0))*(INDEX(avoidedcosttbl2,ROUNDUP($H53,0),BY$2)-(INDEX(avoidedcosttbl2,ROUNDDOWN($H53,0),BY$2)))))*'Inputs Yr 2'!P53*'Inputs Yr 2'!Q53*'Inputs Yr 2'!U53,"")</f>
        <v>0</v>
      </c>
      <c r="BZ53" s="193">
        <f t="shared" si="39"/>
        <v>0</v>
      </c>
      <c r="CA53" s="193">
        <f t="shared" si="40"/>
        <v>0</v>
      </c>
      <c r="CB53" s="195">
        <f>IFERROR(G53*(IF('Inputs Yr 2'!$AJ53=CB$4,'Inputs Yr 2'!$AK53,IF('Inputs Yr 2'!$AL53=CB$4,'Inputs Yr 2'!$AM53,IF('Inputs Yr 2'!$AN53=CB$4,'Inputs Yr 2'!$AO53,0))))*(INDEX(avoidedcosttbl2,$H53,CB$2)+(($H53-ROUNDDOWN($H53,0))*(INDEX(avoidedcosttbl2,ROUNDUP($H53,0),CB$2)-(INDEX(avoidedcosttbl2,ROUNDDOWN($H53,0),CB$2)))))*'Inputs Yr 2'!P53*'Inputs Yr 2'!Q53*'Inputs Yr 2'!U53,"")</f>
        <v>0</v>
      </c>
      <c r="CC53" s="195">
        <f>IFERROR(H53*(IF('Inputs Yr 2'!$AJ53=CC$4,'Inputs Yr 2'!$AK53,IF('Inputs Yr 2'!$AL53=CC$4,'Inputs Yr 2'!$AM53,IF('Inputs Yr 2'!$AN53=CC$4,'Inputs Yr 2'!$AO53,0))))*(INDEX(avoidedcosttbl2,$H53,CC$2)+(($H53-ROUNDDOWN($H53,0))*(INDEX(avoidedcosttbl2,ROUNDUP($H53,0),CC$2)-(INDEX(avoidedcosttbl2,ROUNDDOWN($H53,0),CC$2)))))*'Inputs Yr 2'!Q53*'Inputs Yr 2'!R53*'Inputs Yr 2'!V53,"")</f>
        <v>0</v>
      </c>
      <c r="CD53" s="195">
        <f>IFERROR(I53*(IF('Inputs Yr 2'!$AJ53=CD$4,'Inputs Yr 2'!$AK53,IF('Inputs Yr 2'!$AL53=CD$4,'Inputs Yr 2'!$AM53,IF('Inputs Yr 2'!$AN53=CD$4,'Inputs Yr 2'!$AO53,0))))*(INDEX(avoidedcosttbl2,$H53,CD$2)+(($H53-ROUNDDOWN($H53,0))*(INDEX(avoidedcosttbl2,ROUNDUP($H53,0),CD$2)-(INDEX(avoidedcosttbl2,ROUNDDOWN($H53,0),CD$2)))))*'Inputs Yr 2'!R53*'Inputs Yr 2'!S53*'Inputs Yr 2'!W53,"")</f>
        <v>0</v>
      </c>
      <c r="CE53" s="213">
        <f t="shared" si="41"/>
        <v>0</v>
      </c>
      <c r="CF53" s="213">
        <f t="shared" si="42"/>
        <v>0</v>
      </c>
      <c r="CG53" s="213">
        <f t="shared" si="43"/>
        <v>0</v>
      </c>
      <c r="CH53" s="698">
        <f t="shared" si="44"/>
        <v>0</v>
      </c>
      <c r="CI53" s="79">
        <f>IFERROR(($G53*'Inputs Yr 2'!$P53*'Inputs Yr 2'!$Q53*(((INDEX(avoidedcosttbl2,$H53,CI$2)+(($H53-ROUNDDOWN($H53,0))*(INDEX(avoidedcosttbl2,ROUNDUP($H53,0),CI$2)-INDEX(avoidedcosttbl2,ROUNDDOWN($H53,0),CI$2))))*'Inputs Yr 2'!AS53))),"")</f>
        <v>1210.0129964771631</v>
      </c>
      <c r="CJ53" s="504">
        <f>IFERROR($G53*'Inputs Yr 2'!AT53*'Inputs Yr 2'!$P53*'Inputs Yr 2'!$Q53/((1+realdiscrt1)^-0.5),"")</f>
        <v>0</v>
      </c>
      <c r="CK53" s="79">
        <f>IFERROR((O53*1000*(((INDEX(avoidedcosttbl2,$H53,CK$2)+(($H53-ROUNDDOWN($H53,0))*(INDEX(avoidedcosttbl2,ROUNDUP($H53,0),CK$2)-INDEX(avoidedcosttbl2,ROUNDDOWN($H53,0),CK$2))))*'Inputs Yr 2'!AU53))),"")</f>
        <v>0</v>
      </c>
      <c r="CL53" s="504">
        <f>IFERROR(O53*1000*'Inputs Yr 2'!AV53/((1+realdiscrt1)^-0.5),"")</f>
        <v>0</v>
      </c>
      <c r="CM53" s="79">
        <f>IFERROR((AB53*'Inputs Yr 2'!AW53*(((INDEX(avoidedcosttbl2,$H53,CM$2)+(($H53-ROUNDDOWN($H53,0))*(INDEX(avoidedcosttbl2,ROUNDUP($H53,0),CM$2)-INDEX(avoidedcosttbl2,ROUNDDOWN($H53,0),CM$2)))))))*10,"")</f>
        <v>0</v>
      </c>
      <c r="CN53" s="504">
        <f>IFERROR(10*AB53*'Inputs Yr 2'!AX53/((1+realdiscrt1)^-0.5),"")</f>
        <v>0</v>
      </c>
      <c r="CO53" s="505">
        <f t="shared" si="45"/>
        <v>1210.0129964771631</v>
      </c>
      <c r="CP53" s="230">
        <f t="shared" si="46"/>
        <v>29100.299773756597</v>
      </c>
      <c r="CQ53" s="199">
        <f>ROUND(IFERROR(IF(LEFT($A53,1)="C",'Avoided Costs'!$K$13,'Avoided Costs'!$K$12)+1,""),4)</f>
        <v>1.0720000000000001</v>
      </c>
      <c r="CR53" s="199">
        <f>ROUND(IFERROR(IF(LEFT($A53,1)="C",'Avoided Costs'!$L$13,'Avoided Costs'!$L$12)+1,""),4)</f>
        <v>1.04</v>
      </c>
      <c r="CS53" s="199">
        <f>ROUND(IFERROR(IF(LEFT($A53,1)="C",'Avoided Costs'!$M$13,'Avoided Costs'!$M$12)+1,""),4)</f>
        <v>1.0720000000000001</v>
      </c>
      <c r="CT53" s="199">
        <f>ROUND(IFERROR(IF(LEFT($A53,1)="C",'Avoided Costs'!$N$13,'Avoided Costs'!$N$12)+1,""),4)</f>
        <v>1.04</v>
      </c>
      <c r="CU53" s="199">
        <f>ROUND(IFERROR(IF(LEFT($A53,1)="C",'Avoided Costs'!$O$13,'Avoided Costs'!$O$12)+1,""),4)</f>
        <v>1.1120000000000001</v>
      </c>
      <c r="CV53" s="199">
        <f>ROUND(IFERROR(IF(LEFT($A53,1)="C",'Avoided Costs'!$P$13,'Avoided Costs'!$P$12)+1,""),4)</f>
        <v>1.095</v>
      </c>
      <c r="CW53" s="199">
        <f>ROUND(IFERROR(IF(LEFT($A53,1)="C",'Avoided Costs'!$Q$13,'Avoided Costs'!$Q$12)+1,""),4)</f>
        <v>1.1120000000000001</v>
      </c>
      <c r="CX53" s="200">
        <f>ROUND(IFERROR(IF(LEFT($A53,1)="C",'Avoided Costs'!$R$13,'Avoided Costs'!$R$12)+1,""),4)</f>
        <v>1.1120000000000001</v>
      </c>
    </row>
    <row r="54" spans="1:102" ht="12.75" customHeight="1">
      <c r="A54" s="91" t="str">
        <f>IF('Inputs Yr 2'!$B54=0,"",'Inputs Yr 2'!A54)</f>
        <v>A - Residential</v>
      </c>
      <c r="B54" s="91" t="str">
        <f>IF('Inputs Yr 2'!$B54=0,"",'Inputs Yr 2'!B54)</f>
        <v>A1 - Residential Whole House</v>
      </c>
      <c r="C54" s="91" t="str">
        <f>IF('Inputs Yr 2'!$B54=0,"",'Inputs Yr 2'!C54)</f>
        <v>A1c - Residential Home Energy Services - Measures</v>
      </c>
      <c r="D54" s="91" t="str">
        <f>IF('Inputs Yr 2'!$B54=0,"",'Inputs Yr 2'!E54)</f>
        <v>CFL Bulb (Carryover)</v>
      </c>
      <c r="E54" s="93" t="str">
        <f>IF('Inputs Yr 2'!$B54=0,"",'Inputs Yr 2'!F54)</f>
        <v>G16A1c12</v>
      </c>
      <c r="F54" s="93" t="str">
        <f>IF('Inputs Yr 2'!$B54=0,"",'Inputs Yr 2'!G54)</f>
        <v>Lighting</v>
      </c>
      <c r="G54" s="95">
        <f>IF('Inputs Yr 2'!$H54&lt;&gt;0,('Inputs Yr 2'!H54),"")</f>
        <v>338</v>
      </c>
      <c r="H54" s="94">
        <f>IFERROR('Inputs Yr 2'!I54,"")</f>
        <v>5</v>
      </c>
      <c r="I54" s="298">
        <f>IFERROR('Inputs Yr 2'!J54*'Inputs Yr 2'!P54*G54,"")</f>
        <v>1967.0395999999996</v>
      </c>
      <c r="J54" s="298">
        <f>IFERROR('Inputs Yr 2'!K54*G54,"")</f>
        <v>2588.2099999999996</v>
      </c>
      <c r="K54" s="298">
        <f t="shared" si="23"/>
        <v>-621.17039999999997</v>
      </c>
      <c r="L54" s="194">
        <f>IFERROR(('Inputs Yr 2'!W54*G54)/1000,"")</f>
        <v>14.432600000000001</v>
      </c>
      <c r="M54" s="194">
        <f>IFERROR(L54*('Inputs Yr 2'!$Q54*'Inputs Yr 2'!$V54*'Inputs Yr 2'!$R54),"")</f>
        <v>14.432600000000001</v>
      </c>
      <c r="N54" s="194">
        <f t="shared" si="24"/>
        <v>72.163000000000011</v>
      </c>
      <c r="O54" s="194">
        <f>IFERROR(M54*'Inputs Yr 2'!P54,"")</f>
        <v>10.968776</v>
      </c>
      <c r="P54" s="194">
        <f t="shared" si="25"/>
        <v>54.843879999999999</v>
      </c>
      <c r="Q54" s="194">
        <f>IFERROR($P54*'Inputs Yr 2'!AA54,"")</f>
        <v>23.582868399999999</v>
      </c>
      <c r="R54" s="194">
        <f>IFERROR($P54*'Inputs Yr 2'!AB54,"")</f>
        <v>13.162531199999998</v>
      </c>
      <c r="S54" s="194">
        <f>IFERROR($P54*'Inputs Yr 2'!AC54,"")</f>
        <v>11.5172148</v>
      </c>
      <c r="T54" s="194">
        <f>IFERROR($P54*'Inputs Yr 2'!AD54,"")</f>
        <v>6.5812655999999992</v>
      </c>
      <c r="U54" s="194">
        <f>IFERROR(G54*'Inputs Yr 2'!$AE54*'Inputs Yr 2'!$P54*'Inputs Yr 2'!$Q54,"")</f>
        <v>10.788960000000001</v>
      </c>
      <c r="V54" s="194">
        <f>IFERROR($G54*'Inputs Yr 2'!$AE54*'Inputs Yr 2'!$AG54*'Inputs Yr 2'!Q54*'Inputs Yr 2'!$S54,"")</f>
        <v>2.2713600000000005</v>
      </c>
      <c r="W54" s="194">
        <f>IFERROR($G54*'Inputs Yr 2'!$AE54*'Inputs Yr 2'!$AG54*'Inputs Yr 2'!P54*'Inputs Yr 2'!Q54*'Inputs Yr 2'!$S54,"")</f>
        <v>1.7262336000000005</v>
      </c>
      <c r="X54" s="194">
        <f>IFERROR($G54*'Inputs Yr 2'!$AE54*'Inputs Yr 2'!$AF54*'Inputs Yr 2'!Q54*'Inputs Yr 2'!$T54,"")</f>
        <v>1.8454800000000002</v>
      </c>
      <c r="Y54" s="194">
        <f>IFERROR($G54*'Inputs Yr 2'!$AE54*'Inputs Yr 2'!$AF54*'Inputs Yr 2'!P54*'Inputs Yr 2'!Q54*'Inputs Yr 2'!$T54,"")</f>
        <v>1.4025648000000002</v>
      </c>
      <c r="Z54" s="257">
        <f>IFERROR($G54*'Inputs Yr 2'!$Q54*'Inputs Yr 2'!$U54*(IF(IFERROR(SEARCH("NG", 'Inputs Yr 2'!$AJ54),0),'Inputs Yr 2'!$AK54,0)+IF(IFERROR(SEARCH("NG", 'Inputs Yr 2'!$AL54),0),'Inputs Yr 2'!$AM54,0)+IF(IFERROR(SEARCH("NG", 'Inputs Yr 2'!$AN54),0),'Inputs Yr 2'!$AO54,0)),0)</f>
        <v>0</v>
      </c>
      <c r="AA54" s="257">
        <f t="shared" si="26"/>
        <v>0</v>
      </c>
      <c r="AB54" s="257">
        <f>IFERROR(Z54*'Inputs Yr 2'!$P54,0)</f>
        <v>0</v>
      </c>
      <c r="AC54" s="257">
        <f t="shared" si="27"/>
        <v>0</v>
      </c>
      <c r="AD54" s="257">
        <f>IFERROR($G54*'Inputs Yr 2'!$Q54*'Inputs Yr 2'!$U54*(IF(IFERROR(SEARCH("Oil", 'Inputs Yr 2'!$AJ54), 0),'Inputs Yr 2'!$AK54,0)+IF(IFERROR(SEARCH("Oil", 'Inputs Yr 2'!$AL54), 0),'Inputs Yr 2'!$AM54,0)+IF(IFERROR(SEARCH("Oil", 'Inputs Yr 2'!$AN54), 0),'Inputs Yr 2'!$AO54,0)),0)</f>
        <v>0</v>
      </c>
      <c r="AE54" s="257">
        <f t="shared" si="28"/>
        <v>0</v>
      </c>
      <c r="AF54" s="257">
        <f>IFERROR(AD54*'Inputs Yr 2'!$P54,0)</f>
        <v>0</v>
      </c>
      <c r="AG54" s="257">
        <f t="shared" si="29"/>
        <v>0</v>
      </c>
      <c r="AH54" s="257">
        <f>IFERROR($G54*'Inputs Yr 2'!$Q54*'Inputs Yr 2'!$U54*(IF('Inputs Yr 2'!$AJ54=CD$4,'Inputs Yr 2'!$AK54,IF('Inputs Yr 2'!$AL54=CD$4,'Inputs Yr 2'!$AM54,IF('Inputs Yr 2'!$AN54=CD$4,'Inputs Yr 2'!$AO54,0)))),0)</f>
        <v>0</v>
      </c>
      <c r="AI54" s="257">
        <f t="shared" si="30"/>
        <v>0</v>
      </c>
      <c r="AJ54" s="257">
        <f>IFERROR(AH54*'Inputs Yr 2'!$P54,0)</f>
        <v>0</v>
      </c>
      <c r="AK54" s="257">
        <f t="shared" si="31"/>
        <v>0</v>
      </c>
      <c r="AL54" s="258">
        <f>IFERROR($G54*'Inputs Yr 2'!$P54*'Inputs Yr 2'!$Q54*'Inputs Yr 2'!AP54,0)</f>
        <v>0</v>
      </c>
      <c r="AM54" s="260">
        <f>IFERROR($G54*'Inputs Yr 2'!$P54*'Inputs Yr 2'!$Q54*'Inputs Yr 2'!AQ54,0)</f>
        <v>0</v>
      </c>
      <c r="AN54" s="258">
        <f>IFERROR($G54*'Inputs Yr 2'!$P54*'Inputs Yr 2'!$Q54*'Inputs Yr 2'!AR54,0)</f>
        <v>0</v>
      </c>
      <c r="AO54" s="257">
        <f t="shared" si="32"/>
        <v>0</v>
      </c>
      <c r="AP54" s="195">
        <f>IFERROR($CQ54*(INDEX(avoidedcosttbl2,$H54,AP$2)+(($H54-ROUNDDOWN($H54,0))*(INDEX(avoidedcosttbl2,ROUNDUP($H54,0),AP$2)-(INDEX(avoidedcosttbl2,ROUNDDOWN($H54,0),AP$2)))))*$O54*1000*'Inputs Yr 2'!AA54,"")</f>
        <v>1751.494869956985</v>
      </c>
      <c r="AQ54" s="195">
        <f>IFERROR($CR54*(INDEX(avoidedcosttbl2,$H54,AQ$2)+(($H54-ROUNDDOWN($H54,0))*(INDEX(avoidedcosttbl2,ROUNDUP($H54,0),AQ$2)-(INDEX(avoidedcosttbl2,ROUNDDOWN($H54,0),AQ$2)))))*$O54*1000*'Inputs Yr 2'!AB54,"")</f>
        <v>873.99557319084772</v>
      </c>
      <c r="AR54" s="195">
        <f>IFERROR($CS54*(INDEX(avoidedcosttbl2,$H54,AR$2)+(($H54-ROUNDDOWN($H54,0))*(INDEX(avoidedcosttbl2,ROUNDUP($H54,0),AR$2)-(INDEX(avoidedcosttbl2,ROUNDDOWN($H54,0),AR$2)))))*$O54*1000*'Inputs Yr 2'!AC54,"")</f>
        <v>763.86133636491115</v>
      </c>
      <c r="AS54" s="195">
        <f>IFERROR($CT54*(INDEX(avoidedcosttbl2,$H54,AS$2)+(($H54-ROUNDDOWN($H54,0))*(INDEX(avoidedcosttbl2,ROUNDUP($H54,0),AS$2)-(INDEX(avoidedcosttbl2,ROUNDDOWN($H54,0),AS$2)))))*$O54*1000*'Inputs Yr 2'!AD54,"")</f>
        <v>344.79053417666654</v>
      </c>
      <c r="AT54" s="196">
        <f t="shared" si="33"/>
        <v>3734.14231368941</v>
      </c>
      <c r="AU54" s="197">
        <f>IFERROR($CQ54*((INDEX(avoidedcosttbl2,$H54,AU$2))+(($H54-ROUNDDOWN($H54,0))*((INDEX(avoidedcosttbl2,ROUNDUP($H54,0),AU$2))-(INDEX(avoidedcosttbl2,ROUNDDOWN($H54,0),AU$2)))))*$O54*1000*'Inputs Yr 2'!AA54,"")</f>
        <v>153.87661946472616</v>
      </c>
      <c r="AV54" s="197">
        <f>IFERROR($CR54*((INDEX(avoidedcosttbl2,$H54,AV$2))+(($H54-ROUNDDOWN($H54,0))*((INDEX(avoidedcosttbl2,ROUNDUP($H54,0),AV$2))-(INDEX(avoidedcosttbl2,ROUNDDOWN($H54,0),AV$2)))))*$O54*1000*'Inputs Yr 2'!AB54,"")</f>
        <v>41.319357015954779</v>
      </c>
      <c r="AW54" s="197">
        <f>IFERROR($CS54*((INDEX(avoidedcosttbl2,$H54,AW$2))+(($H54-ROUNDDOWN($H54,0))*((INDEX(avoidedcosttbl2,ROUNDUP($H54,0),AW$2))-(INDEX(avoidedcosttbl2,ROUNDDOWN($H54,0),AW$2)))))*$O54*1000*'Inputs Yr 2'!AC54,"")</f>
        <v>88.736614640947352</v>
      </c>
      <c r="AX54" s="197">
        <f>IFERROR($CT54*((INDEX(avoidedcosttbl2,$H54,AX$2))+(($H54-ROUNDDOWN($H54,0))*((INDEX(avoidedcosttbl2,ROUNDUP($H54,0),AX$2))-(INDEX(avoidedcosttbl2,ROUNDDOWN($H54,0),AX$2)))))*$O54*1000*'Inputs Yr 2'!AD54,"")</f>
        <v>16.636551276420036</v>
      </c>
      <c r="AY54" s="197">
        <f>IFERROR(((INDEX(avoidedcosttbl2,$H54,AY$2))+(($H54-ROUNDDOWN($H54,0))*((INDEX(avoidedcosttbl2,ROUNDUP($H54,0),AY$2))-(INDEX(avoidedcosttbl2,ROUNDDOWN($H54,0),AY$2)))))*$O54*1000*('Inputs Yr 2'!AC54+'Inputs Yr 2'!AD54),"")</f>
        <v>127.61757223968625</v>
      </c>
      <c r="AZ54" s="197">
        <f>IFERROR(((INDEX(avoidedcosttbl2,$H54,AZ$2))+(($H54-ROUNDDOWN($H54,0))*((INDEX(avoidedcosttbl2,ROUNDUP($H54,0),AZ$2))-(INDEX(avoidedcosttbl2,ROUNDDOWN($H54,0),AZ$2)))))*$O54*1000*('Inputs Yr 2'!AA54+'Inputs Yr 2'!AB54),"")</f>
        <v>392.98154781552512</v>
      </c>
      <c r="BA54" s="198">
        <f t="shared" si="34"/>
        <v>821.16826245325979</v>
      </c>
      <c r="BB54" s="198">
        <f t="shared" si="35"/>
        <v>4555.3105761426696</v>
      </c>
      <c r="BC54" s="195">
        <f t="shared" si="10"/>
        <v>893.64193643754868</v>
      </c>
      <c r="BD54" s="195">
        <f t="shared" si="11"/>
        <v>0</v>
      </c>
      <c r="BE54" s="195">
        <f t="shared" si="12"/>
        <v>0</v>
      </c>
      <c r="BF54" s="195">
        <f t="shared" si="13"/>
        <v>82.840304519675172</v>
      </c>
      <c r="BG54" s="195">
        <f t="shared" si="14"/>
        <v>650.2018958355111</v>
      </c>
      <c r="BH54" s="196">
        <f t="shared" si="36"/>
        <v>1626.684136792735</v>
      </c>
      <c r="BI54" s="196">
        <f t="shared" si="37"/>
        <v>6181.9947129354041</v>
      </c>
      <c r="BJ54" s="195">
        <f>IFERROR($G54*(IF('Inputs Yr 2'!$AJ54=BJ$4,'Inputs Yr 2'!$AK54,IF('Inputs Yr 2'!$AL54=BJ$4,'Inputs Yr 2'!$AM54,IF('Inputs Yr 2'!$AN54=BJ$4,'Inputs Yr 2'!$AO54,0))))*(INDEX(avoidedcosttbl2,$H54,BJ$2)+(($H54-ROUNDDOWN($H54,0))*(INDEX(avoidedcosttbl2,ROUNDUP($H54,0),BJ$2)-(INDEX(avoidedcosttbl2,ROUNDDOWN($H54,0),BJ$2)))))*'Inputs Yr 2'!P54*'Inputs Yr 2'!Q54*'Inputs Yr 2'!U54,"")</f>
        <v>0</v>
      </c>
      <c r="BK54" s="195">
        <f>IFERROR($G54*(IF('Inputs Yr 2'!$AJ54=BK$4,'Inputs Yr 2'!$AK54,IF('Inputs Yr 2'!$AL54=BK$4,'Inputs Yr 2'!$AM54,IF('Inputs Yr 2'!$AN54=BK$4,'Inputs Yr 2'!$AO54,0))))*(INDEX(avoidedcosttbl2,$H54,BK$2)+(($H54-ROUNDDOWN($H54,0))*(INDEX(avoidedcosttbl2,ROUNDUP($H54,0),BK$2)-(INDEX(avoidedcosttbl2,ROUNDDOWN($H54,0),BK$2)))))*'Inputs Yr 2'!P54*'Inputs Yr 2'!Q54*'Inputs Yr 2'!U54,"")</f>
        <v>0</v>
      </c>
      <c r="BL54" s="195">
        <f>IFERROR($G54*(IF('Inputs Yr 2'!$AJ54=BL$4,'Inputs Yr 2'!$AK54,IF('Inputs Yr 2'!$AL54=BL$4,'Inputs Yr 2'!$AM54,IF('Inputs Yr 2'!$AN54=BL$4,'Inputs Yr 2'!$AO54,0))))*(INDEX(avoidedcosttbl2,$H54,BL$2)+(($H54-ROUNDDOWN($H54,0))*(INDEX(avoidedcosttbl2,ROUNDUP($H54,0),BL$2)-(INDEX(avoidedcosttbl2,ROUNDDOWN($H54,0),BL$2)))))*'Inputs Yr 2'!P54*'Inputs Yr 2'!Q54*'Inputs Yr 2'!U54,"")</f>
        <v>0</v>
      </c>
      <c r="BM54" s="195">
        <f>IFERROR($G54*(IF('Inputs Yr 2'!$AJ54=BM$4,'Inputs Yr 2'!$AK54,IF('Inputs Yr 2'!$AL54=BM$4,'Inputs Yr 2'!$AM54,IF('Inputs Yr 2'!$AN54=BM$4,'Inputs Yr 2'!$AO54,0))))*(INDEX(avoidedcosttbl2,$H54,BM$2)+(($H54-ROUNDDOWN($H54,0))*(INDEX(avoidedcosttbl2,ROUNDUP($H54,0),BM$2)-(INDEX(avoidedcosttbl2,ROUNDDOWN($H54,0),BM$2)))))*'Inputs Yr 2'!P54*'Inputs Yr 2'!Q54*'Inputs Yr 2'!U54,"")</f>
        <v>0</v>
      </c>
      <c r="BN54" s="195">
        <f>IFERROR($G54*(IF('Inputs Yr 2'!$AJ54=BN$4,'Inputs Yr 2'!$AK54,IF('Inputs Yr 2'!$AL54=BN$4,'Inputs Yr 2'!$AM54,IF('Inputs Yr 2'!$AN54=BN$4,'Inputs Yr 2'!$AO54,0))))*(INDEX(avoidedcosttbl2,$H54,BN$2)+(($H54-ROUNDDOWN($H54,0))*(INDEX(avoidedcosttbl2,ROUNDUP($H54,0),BN$2)-(INDEX(avoidedcosttbl2,ROUNDDOWN($H54,0),BN$2)))))*'Inputs Yr 2'!P54*'Inputs Yr 2'!Q54*'Inputs Yr 2'!U54,"")</f>
        <v>0</v>
      </c>
      <c r="BO54" s="195">
        <f>IFERROR($G54*(IF('Inputs Yr 2'!$AJ54=BO$4,'Inputs Yr 2'!$AK54,IF('Inputs Yr 2'!$AL54=BO$4,'Inputs Yr 2'!$AM54,IF('Inputs Yr 2'!$AN54=BO$4,'Inputs Yr 2'!$AO54,0))))*(INDEX(avoidedcosttbl2,$H54,BO$2)+(($H54-ROUNDDOWN($H54,0))*(INDEX(avoidedcosttbl2,ROUNDUP($H54,0),BO$2)-(INDEX(avoidedcosttbl2,ROUNDDOWN($H54,0),BO$2)))))*'Inputs Yr 2'!P54*'Inputs Yr 2'!Q54*'Inputs Yr 2'!U54,"")</f>
        <v>0</v>
      </c>
      <c r="BP54" s="195">
        <f>IFERROR($G54*(IF('Inputs Yr 2'!$AJ54=BP$4,'Inputs Yr 2'!$AK54,IF('Inputs Yr 2'!$AL54=BP$4,'Inputs Yr 2'!$AM54,IF('Inputs Yr 2'!$AN54=BP$4,'Inputs Yr 2'!$AO54,0))))*(INDEX(avoidedcosttbl2,$H54,BP$2)+(($H54-ROUNDDOWN($H54,0))*(INDEX(avoidedcosttbl2,ROUNDUP($H54,0),BP$2)-(INDEX(avoidedcosttbl2,ROUNDDOWN($H54,0),BP$2)))))*'Inputs Yr 2'!P54*'Inputs Yr 2'!Q54*'Inputs Yr 2'!U54,"")</f>
        <v>0</v>
      </c>
      <c r="BQ54" s="230">
        <f t="shared" si="38"/>
        <v>0</v>
      </c>
      <c r="BR54" s="197">
        <f t="shared" si="17"/>
        <v>0</v>
      </c>
      <c r="BS54" s="197">
        <f>IFERROR(($G54*IF('Inputs Yr 2'!$AJ54=BM$4,'Inputs Yr 2'!$AK54,IF('Inputs Yr 2'!$AL54=BM$4,'Inputs Yr 2'!$AM54,IF('Inputs Yr 2'!$AN54=BM$4,'Inputs Yr 2'!$AO54,0))))*(INDEX(avoidedcosttbl2,$H54,BS$2)+(($H54-ROUNDDOWN($H54,0))*(INDEX(avoidedcosttbl2,ROUNDUP($H54,0),BS$2)-(INDEX(avoidedcosttbl2,ROUNDDOWN($H54,0),BS$2)))))*'Inputs Yr 2'!P54*'Inputs Yr 2'!Q54*'Inputs Yr 2'!U54,"")</f>
        <v>0</v>
      </c>
      <c r="BT54" s="197">
        <f>IFERROR(($G54*IF('Inputs Yr 2'!$AJ54=BK$4,'Inputs Yr 2'!$AK54,IF('Inputs Yr 2'!$AL54=BK$4,'Inputs Yr 2'!$AM54,IF('Inputs Yr 2'!$AN54=BK$4,'Inputs Yr 2'!$AO54,0))))*(INDEX(avoidedcosttbl2,$H54,BT$2)+(($H54-ROUNDDOWN($H54,0))*(INDEX(avoidedcosttbl2,ROUNDUP($H54,0),BT$2)-(INDEX(avoidedcosttbl2,ROUNDDOWN($H54,0),BT$2)))))*'Inputs Yr 2'!P54*'Inputs Yr 2'!Q54*'Inputs Yr 2'!U54,"")</f>
        <v>0</v>
      </c>
      <c r="BU54" s="197">
        <f>IFERROR(($G54*IF('Inputs Yr 2'!$AJ54=BL$4,'Inputs Yr 2'!$AK54,IF('Inputs Yr 2'!$AL54=BL$4,'Inputs Yr 2'!$AM54,IF('Inputs Yr 2'!$AN54=BL$4,'Inputs Yr 2'!$AO54,0))))*(INDEX(avoidedcosttbl2,$H54,BU$2)+(($H54-ROUNDDOWN($H54,0))*(INDEX(avoidedcosttbl2,ROUNDUP($H54,0),BU$2)-(INDEX(avoidedcosttbl2,ROUNDDOWN($H54,0),BU$2)))))*'Inputs Yr 2'!P54*'Inputs Yr 2'!Q54*'Inputs Yr 2'!U54,"")</f>
        <v>0</v>
      </c>
      <c r="BV54" s="775">
        <f>IFERROR(($G54*IF('Inputs Yr 2'!$AJ54=BJ$4,'Inputs Yr 2'!$AK54,IF('Inputs Yr 2'!$AL54=BJ$4,'Inputs Yr 2'!$AM54,IF('Inputs Yr 2'!$AN54=BJ$4,'Inputs Yr 2'!$AO54,0))))*(INDEX(avoidedcosttbl2,$H54,BV$2)+(($H54-ROUNDDOWN($H54,0))*(INDEX(avoidedcosttbl2,ROUNDUP($H54,0),BV$2)-(INDEX(avoidedcosttbl2,ROUNDDOWN($H54,0),BV$2)))))*'Inputs Yr 2'!P54*'Inputs Yr 2'!Q54*'Inputs Yr 2'!U54,"")</f>
        <v>0</v>
      </c>
      <c r="BW54" s="197">
        <f>IFERROR(($G54*IF('Inputs Yr 2'!$AJ54=BN$4,'Inputs Yr 2'!$AK54,IF('Inputs Yr 2'!$AL54=BN$4,'Inputs Yr 2'!$AM54,IF('Inputs Yr 2'!$AN54=BN$4,'Inputs Yr 2'!$AO54,0))))*(INDEX(avoidedcosttbl2,$H54,BW$2)+(($H54-ROUNDDOWN($H54,0))*(INDEX(avoidedcosttbl2,ROUNDUP($H54,0),BW$2)-(INDEX(avoidedcosttbl2,ROUNDDOWN($H54,0),BW$2)))))*'Inputs Yr 2'!P54*'Inputs Yr 2'!Q54*'Inputs Yr 2'!U54,"")</f>
        <v>0</v>
      </c>
      <c r="BX54" s="197">
        <f>IFERROR(($G54*IF('Inputs Yr 2'!$AJ54=BO$4,'Inputs Yr 2'!$AK54,IF('Inputs Yr 2'!$AL54=BO$4,'Inputs Yr 2'!$AM54,IF('Inputs Yr 2'!$AN54=BO$4,'Inputs Yr 2'!$AO54,0))))*(INDEX(avoidedcosttbl2,$H54,BX$2)+(($H54-ROUNDDOWN($H54,0))*(INDEX(avoidedcosttbl2,ROUNDUP($H54,0),BX$2)-(INDEX(avoidedcosttbl2,ROUNDDOWN($H54,0),BX$2)))))*'Inputs Yr 2'!P54*'Inputs Yr 2'!Q54*'Inputs Yr 2'!U54,"")</f>
        <v>0</v>
      </c>
      <c r="BY54" s="197">
        <f>IFERROR(($G54*IF('Inputs Yr 2'!$AJ54=BP$4,'Inputs Yr 2'!$AK54,IF('Inputs Yr 2'!$AL54=BP$4,'Inputs Yr 2'!$AM54,IF('Inputs Yr 2'!$AN54=BP$4,'Inputs Yr 2'!$AO54,0))))*(INDEX(avoidedcosttbl2,$H54,BY$2)+(($H54-ROUNDDOWN($H54,0))*(INDEX(avoidedcosttbl2,ROUNDUP($H54,0),BY$2)-(INDEX(avoidedcosttbl2,ROUNDDOWN($H54,0),BY$2)))))*'Inputs Yr 2'!P54*'Inputs Yr 2'!Q54*'Inputs Yr 2'!U54,"")</f>
        <v>0</v>
      </c>
      <c r="BZ54" s="193">
        <f t="shared" si="39"/>
        <v>0</v>
      </c>
      <c r="CA54" s="193">
        <f t="shared" si="40"/>
        <v>0</v>
      </c>
      <c r="CB54" s="195">
        <f>IFERROR(G54*(IF('Inputs Yr 2'!$AJ54=CB$4,'Inputs Yr 2'!$AK54,IF('Inputs Yr 2'!$AL54=CB$4,'Inputs Yr 2'!$AM54,IF('Inputs Yr 2'!$AN54=CB$4,'Inputs Yr 2'!$AO54,0))))*(INDEX(avoidedcosttbl2,$H54,CB$2)+(($H54-ROUNDDOWN($H54,0))*(INDEX(avoidedcosttbl2,ROUNDUP($H54,0),CB$2)-(INDEX(avoidedcosttbl2,ROUNDDOWN($H54,0),CB$2)))))*'Inputs Yr 2'!P54*'Inputs Yr 2'!Q54*'Inputs Yr 2'!U54,"")</f>
        <v>0</v>
      </c>
      <c r="CC54" s="195">
        <f>IFERROR(H54*(IF('Inputs Yr 2'!$AJ54=CC$4,'Inputs Yr 2'!$AK54,IF('Inputs Yr 2'!$AL54=CC$4,'Inputs Yr 2'!$AM54,IF('Inputs Yr 2'!$AN54=CC$4,'Inputs Yr 2'!$AO54,0))))*(INDEX(avoidedcosttbl2,$H54,CC$2)+(($H54-ROUNDDOWN($H54,0))*(INDEX(avoidedcosttbl2,ROUNDUP($H54,0),CC$2)-(INDEX(avoidedcosttbl2,ROUNDDOWN($H54,0),CC$2)))))*'Inputs Yr 2'!Q54*'Inputs Yr 2'!R54*'Inputs Yr 2'!V54,"")</f>
        <v>0</v>
      </c>
      <c r="CD54" s="195">
        <f>IFERROR(I54*(IF('Inputs Yr 2'!$AJ54=CD$4,'Inputs Yr 2'!$AK54,IF('Inputs Yr 2'!$AL54=CD$4,'Inputs Yr 2'!$AM54,IF('Inputs Yr 2'!$AN54=CD$4,'Inputs Yr 2'!$AO54,0))))*(INDEX(avoidedcosttbl2,$H54,CD$2)+(($H54-ROUNDDOWN($H54,0))*(INDEX(avoidedcosttbl2,ROUNDUP($H54,0),CD$2)-(INDEX(avoidedcosttbl2,ROUNDDOWN($H54,0),CD$2)))))*'Inputs Yr 2'!R54*'Inputs Yr 2'!S54*'Inputs Yr 2'!W54,"")</f>
        <v>0</v>
      </c>
      <c r="CE54" s="213">
        <f t="shared" si="41"/>
        <v>0</v>
      </c>
      <c r="CF54" s="213">
        <f t="shared" si="42"/>
        <v>0</v>
      </c>
      <c r="CG54" s="213">
        <f t="shared" si="43"/>
        <v>0</v>
      </c>
      <c r="CH54" s="698">
        <f t="shared" si="44"/>
        <v>0</v>
      </c>
      <c r="CI54" s="79">
        <f>IFERROR(($G54*'Inputs Yr 2'!$P54*'Inputs Yr 2'!$Q54*(((INDEX(avoidedcosttbl2,$H54,CI$2)+(($H54-ROUNDDOWN($H54,0))*(INDEX(avoidedcosttbl2,ROUNDUP($H54,0),CI$2)-INDEX(avoidedcosttbl2,ROUNDDOWN($H54,0),CI$2))))*'Inputs Yr 2'!AS54))),"")</f>
        <v>0</v>
      </c>
      <c r="CJ54" s="504">
        <f>IFERROR($G54*'Inputs Yr 2'!AT54*'Inputs Yr 2'!$P54*'Inputs Yr 2'!$Q54/((1+realdiscrt1)^-0.5),"")</f>
        <v>772.33354714283894</v>
      </c>
      <c r="CK54" s="79">
        <f>IFERROR((O54*1000*(((INDEX(avoidedcosttbl2,$H54,CK$2)+(($H54-ROUNDDOWN($H54,0))*(INDEX(avoidedcosttbl2,ROUNDUP($H54,0),CK$2)-INDEX(avoidedcosttbl2,ROUNDDOWN($H54,0),CK$2))))*'Inputs Yr 2'!AU54))),"")</f>
        <v>0</v>
      </c>
      <c r="CL54" s="504">
        <f>IFERROR(O54*1000*'Inputs Yr 2'!AV54/((1+realdiscrt1)^-0.5),"")</f>
        <v>0</v>
      </c>
      <c r="CM54" s="79">
        <f>IFERROR((AB54*'Inputs Yr 2'!AW54*(((INDEX(avoidedcosttbl2,$H54,CM$2)+(($H54-ROUNDDOWN($H54,0))*(INDEX(avoidedcosttbl2,ROUNDUP($H54,0),CM$2)-INDEX(avoidedcosttbl2,ROUNDDOWN($H54,0),CM$2)))))))*10,"")</f>
        <v>0</v>
      </c>
      <c r="CN54" s="504">
        <f>IFERROR(10*AB54*'Inputs Yr 2'!AX54/((1+realdiscrt1)^-0.5),"")</f>
        <v>0</v>
      </c>
      <c r="CO54" s="505">
        <f t="shared" si="45"/>
        <v>772.33354714283894</v>
      </c>
      <c r="CP54" s="230">
        <f t="shared" si="46"/>
        <v>6954.3282600782431</v>
      </c>
      <c r="CQ54" s="199">
        <f>ROUND(IFERROR(IF(LEFT($A54,1)="C",'Avoided Costs'!$K$13,'Avoided Costs'!$K$12)+1,""),4)</f>
        <v>1.0720000000000001</v>
      </c>
      <c r="CR54" s="199">
        <f>ROUND(IFERROR(IF(LEFT($A54,1)="C",'Avoided Costs'!$L$13,'Avoided Costs'!$L$12)+1,""),4)</f>
        <v>1.04</v>
      </c>
      <c r="CS54" s="199">
        <f>ROUND(IFERROR(IF(LEFT($A54,1)="C",'Avoided Costs'!$M$13,'Avoided Costs'!$M$12)+1,""),4)</f>
        <v>1.0720000000000001</v>
      </c>
      <c r="CT54" s="199">
        <f>ROUND(IFERROR(IF(LEFT($A54,1)="C",'Avoided Costs'!$N$13,'Avoided Costs'!$N$12)+1,""),4)</f>
        <v>1.04</v>
      </c>
      <c r="CU54" s="199">
        <f>ROUND(IFERROR(IF(LEFT($A54,1)="C",'Avoided Costs'!$O$13,'Avoided Costs'!$O$12)+1,""),4)</f>
        <v>1.1120000000000001</v>
      </c>
      <c r="CV54" s="199">
        <f>ROUND(IFERROR(IF(LEFT($A54,1)="C",'Avoided Costs'!$P$13,'Avoided Costs'!$P$12)+1,""),4)</f>
        <v>1.095</v>
      </c>
      <c r="CW54" s="199">
        <f>ROUND(IFERROR(IF(LEFT($A54,1)="C",'Avoided Costs'!$Q$13,'Avoided Costs'!$Q$12)+1,""),4)</f>
        <v>1.1120000000000001</v>
      </c>
      <c r="CX54" s="200">
        <f>ROUND(IFERROR(IF(LEFT($A54,1)="C",'Avoided Costs'!$R$13,'Avoided Costs'!$R$12)+1,""),4)</f>
        <v>1.1120000000000001</v>
      </c>
    </row>
    <row r="55" spans="1:102" ht="12.75" customHeight="1">
      <c r="A55" s="91" t="str">
        <f>IF('Inputs Yr 2'!$B55=0,"",'Inputs Yr 2'!A55)</f>
        <v>A - Residential</v>
      </c>
      <c r="B55" s="91" t="str">
        <f>IF('Inputs Yr 2'!$B55=0,"",'Inputs Yr 2'!B55)</f>
        <v>A1 - Residential Whole House</v>
      </c>
      <c r="C55" s="91" t="str">
        <f>IF('Inputs Yr 2'!$B55=0,"",'Inputs Yr 2'!C55)</f>
        <v>A1c - Residential Home Energy Services - Measures</v>
      </c>
      <c r="D55" s="91" t="str">
        <f>IF('Inputs Yr 2'!$B55=0,"",'Inputs Yr 2'!E55)</f>
        <v>LED Bulb</v>
      </c>
      <c r="E55" s="93" t="str">
        <f>IF('Inputs Yr 2'!$B55=0,"",'Inputs Yr 2'!F55)</f>
        <v>G17A1c13</v>
      </c>
      <c r="F55" s="93" t="str">
        <f>IF('Inputs Yr 2'!$B55=0,"",'Inputs Yr 2'!G55)</f>
        <v>Lighting</v>
      </c>
      <c r="G55" s="95">
        <f>IF('Inputs Yr 2'!$H55&lt;&gt;0,('Inputs Yr 2'!H55),"")</f>
        <v>78768</v>
      </c>
      <c r="H55" s="94">
        <f>IFERROR('Inputs Yr 2'!I55,"")</f>
        <v>7</v>
      </c>
      <c r="I55" s="298">
        <f>IFERROR('Inputs Yr 2'!J55*'Inputs Yr 2'!P55*G55,"")</f>
        <v>601891.00599999982</v>
      </c>
      <c r="J55" s="298">
        <f>IFERROR('Inputs Yr 2'!K55*G55,"")</f>
        <v>633569.47999999986</v>
      </c>
      <c r="K55" s="298">
        <f t="shared" si="23"/>
        <v>-31678.474000000046</v>
      </c>
      <c r="L55" s="194">
        <f>IFERROR(('Inputs Yr 2'!W55*G55)/1000,"")</f>
        <v>2938.0463999999997</v>
      </c>
      <c r="M55" s="194">
        <f>IFERROR(L55*('Inputs Yr 2'!$Q55*'Inputs Yr 2'!$V55*'Inputs Yr 2'!$R55),"")</f>
        <v>2938.0463999999997</v>
      </c>
      <c r="N55" s="194">
        <f t="shared" si="24"/>
        <v>20566.324799999999</v>
      </c>
      <c r="O55" s="194">
        <f>IFERROR(M55*'Inputs Yr 2'!P55,"")</f>
        <v>2791.1440799999996</v>
      </c>
      <c r="P55" s="194">
        <f t="shared" si="25"/>
        <v>19538.008559999998</v>
      </c>
      <c r="Q55" s="194">
        <f>IFERROR($P55*'Inputs Yr 2'!AA55,"")</f>
        <v>8401.3436807999988</v>
      </c>
      <c r="R55" s="194">
        <f>IFERROR($P55*'Inputs Yr 2'!AB55,"")</f>
        <v>4689.1220543999998</v>
      </c>
      <c r="S55" s="194">
        <f>IFERROR($P55*'Inputs Yr 2'!AC55,"")</f>
        <v>4102.9817975999995</v>
      </c>
      <c r="T55" s="194">
        <f>IFERROR($P55*'Inputs Yr 2'!AD55,"")</f>
        <v>2344.5610271999999</v>
      </c>
      <c r="U55" s="194">
        <f>IFERROR(G55*'Inputs Yr 2'!$AE55*'Inputs Yr 2'!$P55*'Inputs Yr 2'!$Q55,"")</f>
        <v>2993.1840000000002</v>
      </c>
      <c r="V55" s="194">
        <f>IFERROR($G55*'Inputs Yr 2'!$AE55*'Inputs Yr 2'!$AG55*'Inputs Yr 2'!Q55*'Inputs Yr 2'!$S55,"")</f>
        <v>504.11520000000007</v>
      </c>
      <c r="W55" s="194">
        <f>IFERROR($G55*'Inputs Yr 2'!$AE55*'Inputs Yr 2'!$AG55*'Inputs Yr 2'!P55*'Inputs Yr 2'!Q55*'Inputs Yr 2'!$S55,"")</f>
        <v>478.90944000000007</v>
      </c>
      <c r="X55" s="194">
        <f>IFERROR($G55*'Inputs Yr 2'!$AE55*'Inputs Yr 2'!$AF55*'Inputs Yr 2'!Q55*'Inputs Yr 2'!$T55,"")</f>
        <v>409.59360000000004</v>
      </c>
      <c r="Y55" s="194">
        <f>IFERROR($G55*'Inputs Yr 2'!$AE55*'Inputs Yr 2'!$AF55*'Inputs Yr 2'!P55*'Inputs Yr 2'!Q55*'Inputs Yr 2'!$T55,"")</f>
        <v>389.11392000000001</v>
      </c>
      <c r="Z55" s="257">
        <f>IFERROR($G55*'Inputs Yr 2'!$Q55*'Inputs Yr 2'!$U55*(IF(IFERROR(SEARCH("NG", 'Inputs Yr 2'!$AJ55),0),'Inputs Yr 2'!$AK55,0)+IF(IFERROR(SEARCH("NG", 'Inputs Yr 2'!$AL55),0),'Inputs Yr 2'!$AM55,0)+IF(IFERROR(SEARCH("NG", 'Inputs Yr 2'!$AN55),0),'Inputs Yr 2'!$AO55,0)),0)</f>
        <v>0</v>
      </c>
      <c r="AA55" s="257">
        <f t="shared" si="26"/>
        <v>0</v>
      </c>
      <c r="AB55" s="257">
        <f>IFERROR(Z55*'Inputs Yr 2'!$P55,0)</f>
        <v>0</v>
      </c>
      <c r="AC55" s="257">
        <f t="shared" si="27"/>
        <v>0</v>
      </c>
      <c r="AD55" s="257">
        <f>IFERROR($G55*'Inputs Yr 2'!$Q55*'Inputs Yr 2'!$U55*(IF(IFERROR(SEARCH("Oil", 'Inputs Yr 2'!$AJ55), 0),'Inputs Yr 2'!$AK55,0)+IF(IFERROR(SEARCH("Oil", 'Inputs Yr 2'!$AL55), 0),'Inputs Yr 2'!$AM55,0)+IF(IFERROR(SEARCH("Oil", 'Inputs Yr 2'!$AN55), 0),'Inputs Yr 2'!$AO55,0)),0)</f>
        <v>0</v>
      </c>
      <c r="AE55" s="257">
        <f t="shared" si="28"/>
        <v>0</v>
      </c>
      <c r="AF55" s="257">
        <f>IFERROR(AD55*'Inputs Yr 2'!$P55,0)</f>
        <v>0</v>
      </c>
      <c r="AG55" s="257">
        <f t="shared" si="29"/>
        <v>0</v>
      </c>
      <c r="AH55" s="257">
        <f>IFERROR($G55*'Inputs Yr 2'!$Q55*'Inputs Yr 2'!$U55*(IF('Inputs Yr 2'!$AJ55=CD$4,'Inputs Yr 2'!$AK55,IF('Inputs Yr 2'!$AL55=CD$4,'Inputs Yr 2'!$AM55,IF('Inputs Yr 2'!$AN55=CD$4,'Inputs Yr 2'!$AO55,0)))),0)</f>
        <v>0</v>
      </c>
      <c r="AI55" s="257">
        <f t="shared" si="30"/>
        <v>0</v>
      </c>
      <c r="AJ55" s="257">
        <f>IFERROR(AH55*'Inputs Yr 2'!$P55,0)</f>
        <v>0</v>
      </c>
      <c r="AK55" s="257">
        <f t="shared" si="31"/>
        <v>0</v>
      </c>
      <c r="AL55" s="258">
        <f>IFERROR($G55*'Inputs Yr 2'!$P55*'Inputs Yr 2'!$Q55*'Inputs Yr 2'!AP55,0)</f>
        <v>0</v>
      </c>
      <c r="AM55" s="260">
        <f>IFERROR($G55*'Inputs Yr 2'!$P55*'Inputs Yr 2'!$Q55*'Inputs Yr 2'!AQ55,0)</f>
        <v>0</v>
      </c>
      <c r="AN55" s="258">
        <f>IFERROR($G55*'Inputs Yr 2'!$P55*'Inputs Yr 2'!$Q55*'Inputs Yr 2'!AR55,0)</f>
        <v>0</v>
      </c>
      <c r="AO55" s="257">
        <f t="shared" si="32"/>
        <v>0</v>
      </c>
      <c r="AP55" s="195">
        <f>IFERROR($CQ55*(INDEX(avoidedcosttbl2,$H55,AP$2)+(($H55-ROUNDDOWN($H55,0))*(INDEX(avoidedcosttbl2,ROUNDUP($H55,0),AP$2)-(INDEX(avoidedcosttbl2,ROUNDDOWN($H55,0),AP$2)))))*$O55*1000*'Inputs Yr 2'!AA55,"")</f>
        <v>632889.01433261472</v>
      </c>
      <c r="AQ55" s="195">
        <f>IFERROR($CR55*(INDEX(avoidedcosttbl2,$H55,AQ$2)+(($H55-ROUNDDOWN($H55,0))*(INDEX(avoidedcosttbl2,ROUNDUP($H55,0),AQ$2)-(INDEX(avoidedcosttbl2,ROUNDDOWN($H55,0),AQ$2)))))*$O55*1000*'Inputs Yr 2'!AB55,"")</f>
        <v>315944.28772276023</v>
      </c>
      <c r="AR55" s="195">
        <f>IFERROR($CS55*(INDEX(avoidedcosttbl2,$H55,AR$2)+(($H55-ROUNDDOWN($H55,0))*(INDEX(avoidedcosttbl2,ROUNDUP($H55,0),AR$2)-(INDEX(avoidedcosttbl2,ROUNDDOWN($H55,0),AR$2)))))*$O55*1000*'Inputs Yr 2'!AC55,"")</f>
        <v>282325.92247609323</v>
      </c>
      <c r="AS55" s="195">
        <f>IFERROR($CT55*(INDEX(avoidedcosttbl2,$H55,AS$2)+(($H55-ROUNDDOWN($H55,0))*(INDEX(avoidedcosttbl2,ROUNDUP($H55,0),AS$2)-(INDEX(avoidedcosttbl2,ROUNDDOWN($H55,0),AS$2)))))*$O55*1000*'Inputs Yr 2'!AD55,"")</f>
        <v>127553.48373425211</v>
      </c>
      <c r="AT55" s="196">
        <f t="shared" si="33"/>
        <v>1358712.7082657204</v>
      </c>
      <c r="AU55" s="197">
        <f>IFERROR($CQ55*((INDEX(avoidedcosttbl2,$H55,AU$2))+(($H55-ROUNDDOWN($H55,0))*((INDEX(avoidedcosttbl2,ROUNDUP($H55,0),AU$2))-(INDEX(avoidedcosttbl2,ROUNDDOWN($H55,0),AU$2)))))*$O55*1000*'Inputs Yr 2'!AA55,"")</f>
        <v>39155.856174780412</v>
      </c>
      <c r="AV55" s="197">
        <f>IFERROR($CR55*((INDEX(avoidedcosttbl2,$H55,AV$2))+(($H55-ROUNDDOWN($H55,0))*((INDEX(avoidedcosttbl2,ROUNDUP($H55,0),AV$2))-(INDEX(avoidedcosttbl2,ROUNDDOWN($H55,0),AV$2)))))*$O55*1000*'Inputs Yr 2'!AB55,"")</f>
        <v>10514.234106384216</v>
      </c>
      <c r="AW55" s="197">
        <f>IFERROR($CS55*((INDEX(avoidedcosttbl2,$H55,AW$2))+(($H55-ROUNDDOWN($H55,0))*((INDEX(avoidedcosttbl2,ROUNDUP($H55,0),AW$2))-(INDEX(avoidedcosttbl2,ROUNDDOWN($H55,0),AW$2)))))*$O55*1000*'Inputs Yr 2'!AC55,"")</f>
        <v>22580.156312274172</v>
      </c>
      <c r="AX55" s="197">
        <f>IFERROR($CT55*((INDEX(avoidedcosttbl2,$H55,AX$2))+(($H55-ROUNDDOWN($H55,0))*((INDEX(avoidedcosttbl2,ROUNDUP($H55,0),AX$2))-(INDEX(avoidedcosttbl2,ROUNDDOWN($H55,0),AX$2)))))*$O55*1000*'Inputs Yr 2'!AD55,"")</f>
        <v>4233.381336878082</v>
      </c>
      <c r="AY55" s="197">
        <f>IFERROR(((INDEX(avoidedcosttbl2,$H55,AY$2))+(($H55-ROUNDDOWN($H55,0))*((INDEX(avoidedcosttbl2,ROUNDUP($H55,0),AY$2))-(INDEX(avoidedcosttbl2,ROUNDDOWN($H55,0),AY$2)))))*$O55*1000*('Inputs Yr 2'!AC55+'Inputs Yr 2'!AD55),"")</f>
        <v>34711.010025424817</v>
      </c>
      <c r="AZ55" s="197">
        <f>IFERROR(((INDEX(avoidedcosttbl2,$H55,AZ$2))+(($H55-ROUNDDOWN($H55,0))*((INDEX(avoidedcosttbl2,ROUNDUP($H55,0),AZ$2))-(INDEX(avoidedcosttbl2,ROUNDDOWN($H55,0),AZ$2)))))*$O55*1000*('Inputs Yr 2'!AA55+'Inputs Yr 2'!AB55),"")</f>
        <v>104875.8643981685</v>
      </c>
      <c r="BA55" s="198">
        <f t="shared" si="34"/>
        <v>216070.50235391018</v>
      </c>
      <c r="BB55" s="198">
        <f t="shared" si="35"/>
        <v>1574783.2106196305</v>
      </c>
      <c r="BC55" s="195">
        <f t="shared" si="10"/>
        <v>396503.77527988609</v>
      </c>
      <c r="BD55" s="195">
        <f t="shared" si="11"/>
        <v>0</v>
      </c>
      <c r="BE55" s="195">
        <f t="shared" si="12"/>
        <v>0</v>
      </c>
      <c r="BF55" s="195">
        <f t="shared" si="13"/>
        <v>32035.036371094862</v>
      </c>
      <c r="BG55" s="195">
        <f t="shared" si="14"/>
        <v>251438.49364651163</v>
      </c>
      <c r="BH55" s="196">
        <f t="shared" si="36"/>
        <v>679977.30529749254</v>
      </c>
      <c r="BI55" s="196">
        <f t="shared" si="37"/>
        <v>2254760.5159171233</v>
      </c>
      <c r="BJ55" s="195">
        <f>IFERROR($G55*(IF('Inputs Yr 2'!$AJ55=BJ$4,'Inputs Yr 2'!$AK55,IF('Inputs Yr 2'!$AL55=BJ$4,'Inputs Yr 2'!$AM55,IF('Inputs Yr 2'!$AN55=BJ$4,'Inputs Yr 2'!$AO55,0))))*(INDEX(avoidedcosttbl2,$H55,BJ$2)+(($H55-ROUNDDOWN($H55,0))*(INDEX(avoidedcosttbl2,ROUNDUP($H55,0),BJ$2)-(INDEX(avoidedcosttbl2,ROUNDDOWN($H55,0),BJ$2)))))*'Inputs Yr 2'!P55*'Inputs Yr 2'!Q55*'Inputs Yr 2'!U55,"")</f>
        <v>0</v>
      </c>
      <c r="BK55" s="195">
        <f>IFERROR($G55*(IF('Inputs Yr 2'!$AJ55=BK$4,'Inputs Yr 2'!$AK55,IF('Inputs Yr 2'!$AL55=BK$4,'Inputs Yr 2'!$AM55,IF('Inputs Yr 2'!$AN55=BK$4,'Inputs Yr 2'!$AO55,0))))*(INDEX(avoidedcosttbl2,$H55,BK$2)+(($H55-ROUNDDOWN($H55,0))*(INDEX(avoidedcosttbl2,ROUNDUP($H55,0),BK$2)-(INDEX(avoidedcosttbl2,ROUNDDOWN($H55,0),BK$2)))))*'Inputs Yr 2'!P55*'Inputs Yr 2'!Q55*'Inputs Yr 2'!U55,"")</f>
        <v>0</v>
      </c>
      <c r="BL55" s="195">
        <f>IFERROR($G55*(IF('Inputs Yr 2'!$AJ55=BL$4,'Inputs Yr 2'!$AK55,IF('Inputs Yr 2'!$AL55=BL$4,'Inputs Yr 2'!$AM55,IF('Inputs Yr 2'!$AN55=BL$4,'Inputs Yr 2'!$AO55,0))))*(INDEX(avoidedcosttbl2,$H55,BL$2)+(($H55-ROUNDDOWN($H55,0))*(INDEX(avoidedcosttbl2,ROUNDUP($H55,0),BL$2)-(INDEX(avoidedcosttbl2,ROUNDDOWN($H55,0),BL$2)))))*'Inputs Yr 2'!P55*'Inputs Yr 2'!Q55*'Inputs Yr 2'!U55,"")</f>
        <v>0</v>
      </c>
      <c r="BM55" s="195">
        <f>IFERROR($G55*(IF('Inputs Yr 2'!$AJ55=BM$4,'Inputs Yr 2'!$AK55,IF('Inputs Yr 2'!$AL55=BM$4,'Inputs Yr 2'!$AM55,IF('Inputs Yr 2'!$AN55=BM$4,'Inputs Yr 2'!$AO55,0))))*(INDEX(avoidedcosttbl2,$H55,BM$2)+(($H55-ROUNDDOWN($H55,0))*(INDEX(avoidedcosttbl2,ROUNDUP($H55,0),BM$2)-(INDEX(avoidedcosttbl2,ROUNDDOWN($H55,0),BM$2)))))*'Inputs Yr 2'!P55*'Inputs Yr 2'!Q55*'Inputs Yr 2'!U55,"")</f>
        <v>0</v>
      </c>
      <c r="BN55" s="195">
        <f>IFERROR($G55*(IF('Inputs Yr 2'!$AJ55=BN$4,'Inputs Yr 2'!$AK55,IF('Inputs Yr 2'!$AL55=BN$4,'Inputs Yr 2'!$AM55,IF('Inputs Yr 2'!$AN55=BN$4,'Inputs Yr 2'!$AO55,0))))*(INDEX(avoidedcosttbl2,$H55,BN$2)+(($H55-ROUNDDOWN($H55,0))*(INDEX(avoidedcosttbl2,ROUNDUP($H55,0),BN$2)-(INDEX(avoidedcosttbl2,ROUNDDOWN($H55,0),BN$2)))))*'Inputs Yr 2'!P55*'Inputs Yr 2'!Q55*'Inputs Yr 2'!U55,"")</f>
        <v>0</v>
      </c>
      <c r="BO55" s="195">
        <f>IFERROR($G55*(IF('Inputs Yr 2'!$AJ55=BO$4,'Inputs Yr 2'!$AK55,IF('Inputs Yr 2'!$AL55=BO$4,'Inputs Yr 2'!$AM55,IF('Inputs Yr 2'!$AN55=BO$4,'Inputs Yr 2'!$AO55,0))))*(INDEX(avoidedcosttbl2,$H55,BO$2)+(($H55-ROUNDDOWN($H55,0))*(INDEX(avoidedcosttbl2,ROUNDUP($H55,0),BO$2)-(INDEX(avoidedcosttbl2,ROUNDDOWN($H55,0),BO$2)))))*'Inputs Yr 2'!P55*'Inputs Yr 2'!Q55*'Inputs Yr 2'!U55,"")</f>
        <v>0</v>
      </c>
      <c r="BP55" s="195">
        <f>IFERROR($G55*(IF('Inputs Yr 2'!$AJ55=BP$4,'Inputs Yr 2'!$AK55,IF('Inputs Yr 2'!$AL55=BP$4,'Inputs Yr 2'!$AM55,IF('Inputs Yr 2'!$AN55=BP$4,'Inputs Yr 2'!$AO55,0))))*(INDEX(avoidedcosttbl2,$H55,BP$2)+(($H55-ROUNDDOWN($H55,0))*(INDEX(avoidedcosttbl2,ROUNDUP($H55,0),BP$2)-(INDEX(avoidedcosttbl2,ROUNDDOWN($H55,0),BP$2)))))*'Inputs Yr 2'!P55*'Inputs Yr 2'!Q55*'Inputs Yr 2'!U55,"")</f>
        <v>0</v>
      </c>
      <c r="BQ55" s="230">
        <f t="shared" si="38"/>
        <v>0</v>
      </c>
      <c r="BR55" s="197">
        <f t="shared" si="17"/>
        <v>0</v>
      </c>
      <c r="BS55" s="197">
        <f>IFERROR(($G55*IF('Inputs Yr 2'!$AJ55=BM$4,'Inputs Yr 2'!$AK55,IF('Inputs Yr 2'!$AL55=BM$4,'Inputs Yr 2'!$AM55,IF('Inputs Yr 2'!$AN55=BM$4,'Inputs Yr 2'!$AO55,0))))*(INDEX(avoidedcosttbl2,$H55,BS$2)+(($H55-ROUNDDOWN($H55,0))*(INDEX(avoidedcosttbl2,ROUNDUP($H55,0),BS$2)-(INDEX(avoidedcosttbl2,ROUNDDOWN($H55,0),BS$2)))))*'Inputs Yr 2'!P55*'Inputs Yr 2'!Q55*'Inputs Yr 2'!U55,"")</f>
        <v>0</v>
      </c>
      <c r="BT55" s="197">
        <f>IFERROR(($G55*IF('Inputs Yr 2'!$AJ55=BK$4,'Inputs Yr 2'!$AK55,IF('Inputs Yr 2'!$AL55=BK$4,'Inputs Yr 2'!$AM55,IF('Inputs Yr 2'!$AN55=BK$4,'Inputs Yr 2'!$AO55,0))))*(INDEX(avoidedcosttbl2,$H55,BT$2)+(($H55-ROUNDDOWN($H55,0))*(INDEX(avoidedcosttbl2,ROUNDUP($H55,0),BT$2)-(INDEX(avoidedcosttbl2,ROUNDDOWN($H55,0),BT$2)))))*'Inputs Yr 2'!P55*'Inputs Yr 2'!Q55*'Inputs Yr 2'!U55,"")</f>
        <v>0</v>
      </c>
      <c r="BU55" s="197">
        <f>IFERROR(($G55*IF('Inputs Yr 2'!$AJ55=BL$4,'Inputs Yr 2'!$AK55,IF('Inputs Yr 2'!$AL55=BL$4,'Inputs Yr 2'!$AM55,IF('Inputs Yr 2'!$AN55=BL$4,'Inputs Yr 2'!$AO55,0))))*(INDEX(avoidedcosttbl2,$H55,BU$2)+(($H55-ROUNDDOWN($H55,0))*(INDEX(avoidedcosttbl2,ROUNDUP($H55,0),BU$2)-(INDEX(avoidedcosttbl2,ROUNDDOWN($H55,0),BU$2)))))*'Inputs Yr 2'!P55*'Inputs Yr 2'!Q55*'Inputs Yr 2'!U55,"")</f>
        <v>0</v>
      </c>
      <c r="BV55" s="775">
        <f>IFERROR(($G55*IF('Inputs Yr 2'!$AJ55=BJ$4,'Inputs Yr 2'!$AK55,IF('Inputs Yr 2'!$AL55=BJ$4,'Inputs Yr 2'!$AM55,IF('Inputs Yr 2'!$AN55=BJ$4,'Inputs Yr 2'!$AO55,0))))*(INDEX(avoidedcosttbl2,$H55,BV$2)+(($H55-ROUNDDOWN($H55,0))*(INDEX(avoidedcosttbl2,ROUNDUP($H55,0),BV$2)-(INDEX(avoidedcosttbl2,ROUNDDOWN($H55,0),BV$2)))))*'Inputs Yr 2'!P55*'Inputs Yr 2'!Q55*'Inputs Yr 2'!U55,"")</f>
        <v>0</v>
      </c>
      <c r="BW55" s="197">
        <f>IFERROR(($G55*IF('Inputs Yr 2'!$AJ55=BN$4,'Inputs Yr 2'!$AK55,IF('Inputs Yr 2'!$AL55=BN$4,'Inputs Yr 2'!$AM55,IF('Inputs Yr 2'!$AN55=BN$4,'Inputs Yr 2'!$AO55,0))))*(INDEX(avoidedcosttbl2,$H55,BW$2)+(($H55-ROUNDDOWN($H55,0))*(INDEX(avoidedcosttbl2,ROUNDUP($H55,0),BW$2)-(INDEX(avoidedcosttbl2,ROUNDDOWN($H55,0),BW$2)))))*'Inputs Yr 2'!P55*'Inputs Yr 2'!Q55*'Inputs Yr 2'!U55,"")</f>
        <v>0</v>
      </c>
      <c r="BX55" s="197">
        <f>IFERROR(($G55*IF('Inputs Yr 2'!$AJ55=BO$4,'Inputs Yr 2'!$AK55,IF('Inputs Yr 2'!$AL55=BO$4,'Inputs Yr 2'!$AM55,IF('Inputs Yr 2'!$AN55=BO$4,'Inputs Yr 2'!$AO55,0))))*(INDEX(avoidedcosttbl2,$H55,BX$2)+(($H55-ROUNDDOWN($H55,0))*(INDEX(avoidedcosttbl2,ROUNDUP($H55,0),BX$2)-(INDEX(avoidedcosttbl2,ROUNDDOWN($H55,0),BX$2)))))*'Inputs Yr 2'!P55*'Inputs Yr 2'!Q55*'Inputs Yr 2'!U55,"")</f>
        <v>0</v>
      </c>
      <c r="BY55" s="197">
        <f>IFERROR(($G55*IF('Inputs Yr 2'!$AJ55=BP$4,'Inputs Yr 2'!$AK55,IF('Inputs Yr 2'!$AL55=BP$4,'Inputs Yr 2'!$AM55,IF('Inputs Yr 2'!$AN55=BP$4,'Inputs Yr 2'!$AO55,0))))*(INDEX(avoidedcosttbl2,$H55,BY$2)+(($H55-ROUNDDOWN($H55,0))*(INDEX(avoidedcosttbl2,ROUNDUP($H55,0),BY$2)-(INDEX(avoidedcosttbl2,ROUNDDOWN($H55,0),BY$2)))))*'Inputs Yr 2'!P55*'Inputs Yr 2'!Q55*'Inputs Yr 2'!U55,"")</f>
        <v>0</v>
      </c>
      <c r="BZ55" s="193">
        <f t="shared" si="39"/>
        <v>0</v>
      </c>
      <c r="CA55" s="193">
        <f t="shared" si="40"/>
        <v>0</v>
      </c>
      <c r="CB55" s="195">
        <f>IFERROR(G55*(IF('Inputs Yr 2'!$AJ55=CB$4,'Inputs Yr 2'!$AK55,IF('Inputs Yr 2'!$AL55=CB$4,'Inputs Yr 2'!$AM55,IF('Inputs Yr 2'!$AN55=CB$4,'Inputs Yr 2'!$AO55,0))))*(INDEX(avoidedcosttbl2,$H55,CB$2)+(($H55-ROUNDDOWN($H55,0))*(INDEX(avoidedcosttbl2,ROUNDUP($H55,0),CB$2)-(INDEX(avoidedcosttbl2,ROUNDDOWN($H55,0),CB$2)))))*'Inputs Yr 2'!P55*'Inputs Yr 2'!Q55*'Inputs Yr 2'!U55,"")</f>
        <v>0</v>
      </c>
      <c r="CC55" s="195">
        <f>IFERROR(H55*(IF('Inputs Yr 2'!$AJ55=CC$4,'Inputs Yr 2'!$AK55,IF('Inputs Yr 2'!$AL55=CC$4,'Inputs Yr 2'!$AM55,IF('Inputs Yr 2'!$AN55=CC$4,'Inputs Yr 2'!$AO55,0))))*(INDEX(avoidedcosttbl2,$H55,CC$2)+(($H55-ROUNDDOWN($H55,0))*(INDEX(avoidedcosttbl2,ROUNDUP($H55,0),CC$2)-(INDEX(avoidedcosttbl2,ROUNDDOWN($H55,0),CC$2)))))*'Inputs Yr 2'!Q55*'Inputs Yr 2'!R55*'Inputs Yr 2'!V55,"")</f>
        <v>0</v>
      </c>
      <c r="CD55" s="195">
        <f>IFERROR(I55*(IF('Inputs Yr 2'!$AJ55=CD$4,'Inputs Yr 2'!$AK55,IF('Inputs Yr 2'!$AL55=CD$4,'Inputs Yr 2'!$AM55,IF('Inputs Yr 2'!$AN55=CD$4,'Inputs Yr 2'!$AO55,0))))*(INDEX(avoidedcosttbl2,$H55,CD$2)+(($H55-ROUNDDOWN($H55,0))*(INDEX(avoidedcosttbl2,ROUNDUP($H55,0),CD$2)-(INDEX(avoidedcosttbl2,ROUNDDOWN($H55,0),CD$2)))))*'Inputs Yr 2'!R55*'Inputs Yr 2'!S55*'Inputs Yr 2'!W55,"")</f>
        <v>0</v>
      </c>
      <c r="CE55" s="213">
        <f t="shared" si="41"/>
        <v>0</v>
      </c>
      <c r="CF55" s="213">
        <f t="shared" si="42"/>
        <v>0</v>
      </c>
      <c r="CG55" s="213">
        <f t="shared" si="43"/>
        <v>0</v>
      </c>
      <c r="CH55" s="698">
        <f t="shared" si="44"/>
        <v>0</v>
      </c>
      <c r="CI55" s="79">
        <f>IFERROR(($G55*'Inputs Yr 2'!$P55*'Inputs Yr 2'!$Q55*(((INDEX(avoidedcosttbl2,$H55,CI$2)+(($H55-ROUNDDOWN($H55,0))*(INDEX(avoidedcosttbl2,ROUNDUP($H55,0),CI$2)-INDEX(avoidedcosttbl2,ROUNDDOWN($H55,0),CI$2))))*'Inputs Yr 2'!AS55))),"")</f>
        <v>0</v>
      </c>
      <c r="CJ55" s="504">
        <f>IFERROR($G55*'Inputs Yr 2'!AT55*'Inputs Yr 2'!$P55*'Inputs Yr 2'!$Q55/((1+realdiscrt1)^-0.5),"")</f>
        <v>224982.13328900569</v>
      </c>
      <c r="CK55" s="79">
        <f>IFERROR((O55*1000*(((INDEX(avoidedcosttbl2,$H55,CK$2)+(($H55-ROUNDDOWN($H55,0))*(INDEX(avoidedcosttbl2,ROUNDUP($H55,0),CK$2)-INDEX(avoidedcosttbl2,ROUNDDOWN($H55,0),CK$2))))*'Inputs Yr 2'!AU55))),"")</f>
        <v>0</v>
      </c>
      <c r="CL55" s="504">
        <f>IFERROR(O55*1000*'Inputs Yr 2'!AV55/((1+realdiscrt1)^-0.5),"")</f>
        <v>0</v>
      </c>
      <c r="CM55" s="79">
        <f>IFERROR((AB55*'Inputs Yr 2'!AW55*(((INDEX(avoidedcosttbl2,$H55,CM$2)+(($H55-ROUNDDOWN($H55,0))*(INDEX(avoidedcosttbl2,ROUNDUP($H55,0),CM$2)-INDEX(avoidedcosttbl2,ROUNDDOWN($H55,0),CM$2)))))))*10,"")</f>
        <v>0</v>
      </c>
      <c r="CN55" s="504">
        <f>IFERROR(10*AB55*'Inputs Yr 2'!AX55/((1+realdiscrt1)^-0.5),"")</f>
        <v>0</v>
      </c>
      <c r="CO55" s="505">
        <f t="shared" si="45"/>
        <v>224982.13328900569</v>
      </c>
      <c r="CP55" s="230">
        <f t="shared" si="46"/>
        <v>2479742.6492061289</v>
      </c>
      <c r="CQ55" s="199">
        <f>ROUND(IFERROR(IF(LEFT($A55,1)="C",'Avoided Costs'!$K$13,'Avoided Costs'!$K$12)+1,""),4)</f>
        <v>1.0720000000000001</v>
      </c>
      <c r="CR55" s="199">
        <f>ROUND(IFERROR(IF(LEFT($A55,1)="C",'Avoided Costs'!$L$13,'Avoided Costs'!$L$12)+1,""),4)</f>
        <v>1.04</v>
      </c>
      <c r="CS55" s="199">
        <f>ROUND(IFERROR(IF(LEFT($A55,1)="C",'Avoided Costs'!$M$13,'Avoided Costs'!$M$12)+1,""),4)</f>
        <v>1.0720000000000001</v>
      </c>
      <c r="CT55" s="199">
        <f>ROUND(IFERROR(IF(LEFT($A55,1)="C",'Avoided Costs'!$N$13,'Avoided Costs'!$N$12)+1,""),4)</f>
        <v>1.04</v>
      </c>
      <c r="CU55" s="199">
        <f>ROUND(IFERROR(IF(LEFT($A55,1)="C",'Avoided Costs'!$O$13,'Avoided Costs'!$O$12)+1,""),4)</f>
        <v>1.1120000000000001</v>
      </c>
      <c r="CV55" s="199">
        <f>ROUND(IFERROR(IF(LEFT($A55,1)="C",'Avoided Costs'!$P$13,'Avoided Costs'!$P$12)+1,""),4)</f>
        <v>1.095</v>
      </c>
      <c r="CW55" s="199">
        <f>ROUND(IFERROR(IF(LEFT($A55,1)="C",'Avoided Costs'!$Q$13,'Avoided Costs'!$Q$12)+1,""),4)</f>
        <v>1.1120000000000001</v>
      </c>
      <c r="CX55" s="200">
        <f>ROUND(IFERROR(IF(LEFT($A55,1)="C",'Avoided Costs'!$R$13,'Avoided Costs'!$R$12)+1,""),4)</f>
        <v>1.1120000000000001</v>
      </c>
    </row>
    <row r="56" spans="1:102" ht="12.75" customHeight="1">
      <c r="A56" s="91" t="str">
        <f>IF('Inputs Yr 2'!$B56=0,"",'Inputs Yr 2'!A56)</f>
        <v>A - Residential</v>
      </c>
      <c r="B56" s="91" t="str">
        <f>IF('Inputs Yr 2'!$B56=0,"",'Inputs Yr 2'!B56)</f>
        <v>A1 - Residential Whole House</v>
      </c>
      <c r="C56" s="91" t="str">
        <f>IF('Inputs Yr 2'!$B56=0,"",'Inputs Yr 2'!C56)</f>
        <v>A1c - Residential Home Energy Services - Measures</v>
      </c>
      <c r="D56" s="91" t="str">
        <f>IF('Inputs Yr 2'!$B56=0,"",'Inputs Yr 2'!E56)</f>
        <v>LED Bulb (Specialty)</v>
      </c>
      <c r="E56" s="93" t="str">
        <f>IF('Inputs Yr 2'!$B56=0,"",'Inputs Yr 2'!F56)</f>
        <v>G17A1c36</v>
      </c>
      <c r="F56" s="93" t="str">
        <f>IF('Inputs Yr 2'!$B56=0,"",'Inputs Yr 2'!G56)</f>
        <v>Lighting</v>
      </c>
      <c r="G56" s="95">
        <f>IF('Inputs Yr 2'!$H56&lt;&gt;0,('Inputs Yr 2'!H56),"")</f>
        <v>19757</v>
      </c>
      <c r="H56" s="94">
        <f>IFERROR('Inputs Yr 2'!I56,"")</f>
        <v>7</v>
      </c>
      <c r="I56" s="298">
        <f>IFERROR('Inputs Yr 2'!J56*'Inputs Yr 2'!P56*G56,"")</f>
        <v>332211.40000000002</v>
      </c>
      <c r="J56" s="298">
        <f>IFERROR('Inputs Yr 2'!K56*G56,"")</f>
        <v>332211.40000000002</v>
      </c>
      <c r="K56" s="298">
        <f t="shared" si="23"/>
        <v>0</v>
      </c>
      <c r="L56" s="194">
        <f>IFERROR(('Inputs Yr 2'!W56*G56)/1000,"")</f>
        <v>780.40150000000006</v>
      </c>
      <c r="M56" s="194">
        <f>IFERROR(L56*('Inputs Yr 2'!$Q56*'Inputs Yr 2'!$V56*'Inputs Yr 2'!$R56),"")</f>
        <v>780.40150000000006</v>
      </c>
      <c r="N56" s="194">
        <f t="shared" si="24"/>
        <v>5462.8105000000005</v>
      </c>
      <c r="O56" s="194">
        <f>IFERROR(M56*'Inputs Yr 2'!P56,"")</f>
        <v>780.40150000000006</v>
      </c>
      <c r="P56" s="194">
        <f t="shared" si="25"/>
        <v>5462.8105000000005</v>
      </c>
      <c r="Q56" s="194">
        <f>IFERROR($P56*'Inputs Yr 2'!AA56,"")</f>
        <v>2349.008515</v>
      </c>
      <c r="R56" s="194">
        <f>IFERROR($P56*'Inputs Yr 2'!AB56,"")</f>
        <v>1311.0745200000001</v>
      </c>
      <c r="S56" s="194">
        <f>IFERROR($P56*'Inputs Yr 2'!AC56,"")</f>
        <v>1147.1902050000001</v>
      </c>
      <c r="T56" s="194">
        <f>IFERROR($P56*'Inputs Yr 2'!AD56,"")</f>
        <v>655.53726000000006</v>
      </c>
      <c r="U56" s="194">
        <f>IFERROR(G56*'Inputs Yr 2'!$AE56*'Inputs Yr 2'!$P56*'Inputs Yr 2'!$Q56,"")</f>
        <v>790.28</v>
      </c>
      <c r="V56" s="194">
        <f>IFERROR($G56*'Inputs Yr 2'!$AE56*'Inputs Yr 2'!$AG56*'Inputs Yr 2'!Q56*'Inputs Yr 2'!$S56,"")</f>
        <v>126.4448</v>
      </c>
      <c r="W56" s="194">
        <f>IFERROR($G56*'Inputs Yr 2'!$AE56*'Inputs Yr 2'!$AG56*'Inputs Yr 2'!P56*'Inputs Yr 2'!Q56*'Inputs Yr 2'!$S56,"")</f>
        <v>126.4448</v>
      </c>
      <c r="X56" s="194">
        <f>IFERROR($G56*'Inputs Yr 2'!$AE56*'Inputs Yr 2'!$AF56*'Inputs Yr 2'!Q56*'Inputs Yr 2'!$T56,"")</f>
        <v>102.7364</v>
      </c>
      <c r="Y56" s="194">
        <f>IFERROR($G56*'Inputs Yr 2'!$AE56*'Inputs Yr 2'!$AF56*'Inputs Yr 2'!P56*'Inputs Yr 2'!Q56*'Inputs Yr 2'!$T56,"")</f>
        <v>102.7364</v>
      </c>
      <c r="Z56" s="257">
        <f>IFERROR($G56*'Inputs Yr 2'!$Q56*'Inputs Yr 2'!$U56*(IF(IFERROR(SEARCH("NG", 'Inputs Yr 2'!$AJ56),0),'Inputs Yr 2'!$AK56,0)+IF(IFERROR(SEARCH("NG", 'Inputs Yr 2'!$AL56),0),'Inputs Yr 2'!$AM56,0)+IF(IFERROR(SEARCH("NG", 'Inputs Yr 2'!$AN56),0),'Inputs Yr 2'!$AO56,0)),0)</f>
        <v>0</v>
      </c>
      <c r="AA56" s="257">
        <f t="shared" si="26"/>
        <v>0</v>
      </c>
      <c r="AB56" s="257">
        <f>IFERROR(Z56*'Inputs Yr 2'!$P56,0)</f>
        <v>0</v>
      </c>
      <c r="AC56" s="257">
        <f t="shared" si="27"/>
        <v>0</v>
      </c>
      <c r="AD56" s="257">
        <f>IFERROR($G56*'Inputs Yr 2'!$Q56*'Inputs Yr 2'!$U56*(IF(IFERROR(SEARCH("Oil", 'Inputs Yr 2'!$AJ56), 0),'Inputs Yr 2'!$AK56,0)+IF(IFERROR(SEARCH("Oil", 'Inputs Yr 2'!$AL56), 0),'Inputs Yr 2'!$AM56,0)+IF(IFERROR(SEARCH("Oil", 'Inputs Yr 2'!$AN56), 0),'Inputs Yr 2'!$AO56,0)),0)</f>
        <v>0</v>
      </c>
      <c r="AE56" s="257">
        <f t="shared" si="28"/>
        <v>0</v>
      </c>
      <c r="AF56" s="257">
        <f>IFERROR(AD56*'Inputs Yr 2'!$P56,0)</f>
        <v>0</v>
      </c>
      <c r="AG56" s="257">
        <f t="shared" si="29"/>
        <v>0</v>
      </c>
      <c r="AH56" s="257">
        <f>IFERROR($G56*'Inputs Yr 2'!$Q56*'Inputs Yr 2'!$U56*(IF('Inputs Yr 2'!$AJ56=CD$4,'Inputs Yr 2'!$AK56,IF('Inputs Yr 2'!$AL56=CD$4,'Inputs Yr 2'!$AM56,IF('Inputs Yr 2'!$AN56=CD$4,'Inputs Yr 2'!$AO56,0)))),0)</f>
        <v>0</v>
      </c>
      <c r="AI56" s="257">
        <f t="shared" si="30"/>
        <v>0</v>
      </c>
      <c r="AJ56" s="257">
        <f>IFERROR(AH56*'Inputs Yr 2'!$P56,0)</f>
        <v>0</v>
      </c>
      <c r="AK56" s="257">
        <f t="shared" si="31"/>
        <v>0</v>
      </c>
      <c r="AL56" s="258">
        <f>IFERROR($G56*'Inputs Yr 2'!$P56*'Inputs Yr 2'!$Q56*'Inputs Yr 2'!AP56,0)</f>
        <v>0</v>
      </c>
      <c r="AM56" s="260">
        <f>IFERROR($G56*'Inputs Yr 2'!$P56*'Inputs Yr 2'!$Q56*'Inputs Yr 2'!AQ56,0)</f>
        <v>0</v>
      </c>
      <c r="AN56" s="258">
        <f>IFERROR($G56*'Inputs Yr 2'!$P56*'Inputs Yr 2'!$Q56*'Inputs Yr 2'!AR56,0)</f>
        <v>0</v>
      </c>
      <c r="AO56" s="257">
        <f t="shared" si="32"/>
        <v>0</v>
      </c>
      <c r="AP56" s="195">
        <f>IFERROR($CQ56*(INDEX(avoidedcosttbl2,$H56,AP$2)+(($H56-ROUNDDOWN($H56,0))*(INDEX(avoidedcosttbl2,ROUNDUP($H56,0),AP$2)-(INDEX(avoidedcosttbl2,ROUNDDOWN($H56,0),AP$2)))))*$O56*1000*'Inputs Yr 2'!AA56,"")</f>
        <v>176955.22766373784</v>
      </c>
      <c r="AQ56" s="195">
        <f>IFERROR($CR56*(INDEX(avoidedcosttbl2,$H56,AQ$2)+(($H56-ROUNDDOWN($H56,0))*(INDEX(avoidedcosttbl2,ROUNDUP($H56,0),AQ$2)-(INDEX(avoidedcosttbl2,ROUNDDOWN($H56,0),AQ$2)))))*$O56*1000*'Inputs Yr 2'!AB56,"")</f>
        <v>88337.752902843262</v>
      </c>
      <c r="AR56" s="195">
        <f>IFERROR($CS56*(INDEX(avoidedcosttbl2,$H56,AR$2)+(($H56-ROUNDDOWN($H56,0))*(INDEX(avoidedcosttbl2,ROUNDUP($H56,0),AR$2)-(INDEX(avoidedcosttbl2,ROUNDDOWN($H56,0),AR$2)))))*$O56*1000*'Inputs Yr 2'!AC56,"")</f>
        <v>78938.086703581022</v>
      </c>
      <c r="AS56" s="195">
        <f>IFERROR($CT56*(INDEX(avoidedcosttbl2,$H56,AS$2)+(($H56-ROUNDDOWN($H56,0))*(INDEX(avoidedcosttbl2,ROUNDUP($H56,0),AS$2)-(INDEX(avoidedcosttbl2,ROUNDDOWN($H56,0),AS$2)))))*$O56*1000*'Inputs Yr 2'!AD56,"")</f>
        <v>35663.845069737843</v>
      </c>
      <c r="AT56" s="196">
        <f t="shared" si="33"/>
        <v>379894.91233990004</v>
      </c>
      <c r="AU56" s="197">
        <f>IFERROR($CQ56*((INDEX(avoidedcosttbl2,$H56,AU$2))+(($H56-ROUNDDOWN($H56,0))*((INDEX(avoidedcosttbl2,ROUNDUP($H56,0),AU$2))-(INDEX(avoidedcosttbl2,ROUNDDOWN($H56,0),AU$2)))))*$O56*1000*'Inputs Yr 2'!AA56,"")</f>
        <v>10947.943931501703</v>
      </c>
      <c r="AV56" s="197">
        <f>IFERROR($CR56*((INDEX(avoidedcosttbl2,$H56,AV$2))+(($H56-ROUNDDOWN($H56,0))*((INDEX(avoidedcosttbl2,ROUNDUP($H56,0),AV$2))-(INDEX(avoidedcosttbl2,ROUNDDOWN($H56,0),AV$2)))))*$O56*1000*'Inputs Yr 2'!AB56,"")</f>
        <v>2939.7708727287927</v>
      </c>
      <c r="AW56" s="197">
        <f>IFERROR($CS56*((INDEX(avoidedcosttbl2,$H56,AW$2))+(($H56-ROUNDDOWN($H56,0))*((INDEX(avoidedcosttbl2,ROUNDUP($H56,0),AW$2))-(INDEX(avoidedcosttbl2,ROUNDDOWN($H56,0),AW$2)))))*$O56*1000*'Inputs Yr 2'!AC56,"")</f>
        <v>6313.3924123090192</v>
      </c>
      <c r="AX56" s="197">
        <f>IFERROR($CT56*((INDEX(avoidedcosttbl2,$H56,AX$2))+(($H56-ROUNDDOWN($H56,0))*((INDEX(avoidedcosttbl2,ROUNDUP($H56,0),AX$2))-(INDEX(avoidedcosttbl2,ROUNDDOWN($H56,0),AX$2)))))*$O56*1000*'Inputs Yr 2'!AD56,"")</f>
        <v>1183.6498047681082</v>
      </c>
      <c r="AY56" s="197">
        <f>IFERROR(((INDEX(avoidedcosttbl2,$H56,AY$2))+(($H56-ROUNDDOWN($H56,0))*((INDEX(avoidedcosttbl2,ROUNDUP($H56,0),AY$2))-(INDEX(avoidedcosttbl2,ROUNDDOWN($H56,0),AY$2)))))*$O56*1000*('Inputs Yr 2'!AC56+'Inputs Yr 2'!AD56),"")</f>
        <v>9705.1687458415163</v>
      </c>
      <c r="AZ56" s="197">
        <f>IFERROR(((INDEX(avoidedcosttbl2,$H56,AZ$2))+(($H56-ROUNDDOWN($H56,0))*((INDEX(avoidedcosttbl2,ROUNDUP($H56,0),AZ$2))-(INDEX(avoidedcosttbl2,ROUNDDOWN($H56,0),AZ$2)))))*$O56*1000*('Inputs Yr 2'!AA56+'Inputs Yr 2'!AB56),"")</f>
        <v>29323.20207924462</v>
      </c>
      <c r="BA56" s="198">
        <f t="shared" si="34"/>
        <v>60413.127846393756</v>
      </c>
      <c r="BB56" s="198">
        <f t="shared" si="35"/>
        <v>440308.04018629377</v>
      </c>
      <c r="BC56" s="195">
        <f t="shared" si="10"/>
        <v>104687.51788336046</v>
      </c>
      <c r="BD56" s="195">
        <f t="shared" si="11"/>
        <v>0</v>
      </c>
      <c r="BE56" s="195">
        <f t="shared" si="12"/>
        <v>0</v>
      </c>
      <c r="BF56" s="195">
        <f t="shared" si="13"/>
        <v>8458.0996501881764</v>
      </c>
      <c r="BG56" s="195">
        <f t="shared" si="14"/>
        <v>66386.434231562511</v>
      </c>
      <c r="BH56" s="196">
        <f t="shared" si="36"/>
        <v>179532.05176511116</v>
      </c>
      <c r="BI56" s="196">
        <f t="shared" si="37"/>
        <v>619840.09195140493</v>
      </c>
      <c r="BJ56" s="195">
        <f>IFERROR($G56*(IF('Inputs Yr 2'!$AJ56=BJ$4,'Inputs Yr 2'!$AK56,IF('Inputs Yr 2'!$AL56=BJ$4,'Inputs Yr 2'!$AM56,IF('Inputs Yr 2'!$AN56=BJ$4,'Inputs Yr 2'!$AO56,0))))*(INDEX(avoidedcosttbl2,$H56,BJ$2)+(($H56-ROUNDDOWN($H56,0))*(INDEX(avoidedcosttbl2,ROUNDUP($H56,0),BJ$2)-(INDEX(avoidedcosttbl2,ROUNDDOWN($H56,0),BJ$2)))))*'Inputs Yr 2'!P56*'Inputs Yr 2'!Q56*'Inputs Yr 2'!U56,"")</f>
        <v>0</v>
      </c>
      <c r="BK56" s="195">
        <f>IFERROR($G56*(IF('Inputs Yr 2'!$AJ56=BK$4,'Inputs Yr 2'!$AK56,IF('Inputs Yr 2'!$AL56=BK$4,'Inputs Yr 2'!$AM56,IF('Inputs Yr 2'!$AN56=BK$4,'Inputs Yr 2'!$AO56,0))))*(INDEX(avoidedcosttbl2,$H56,BK$2)+(($H56-ROUNDDOWN($H56,0))*(INDEX(avoidedcosttbl2,ROUNDUP($H56,0),BK$2)-(INDEX(avoidedcosttbl2,ROUNDDOWN($H56,0),BK$2)))))*'Inputs Yr 2'!P56*'Inputs Yr 2'!Q56*'Inputs Yr 2'!U56,"")</f>
        <v>0</v>
      </c>
      <c r="BL56" s="195">
        <f>IFERROR($G56*(IF('Inputs Yr 2'!$AJ56=BL$4,'Inputs Yr 2'!$AK56,IF('Inputs Yr 2'!$AL56=BL$4,'Inputs Yr 2'!$AM56,IF('Inputs Yr 2'!$AN56=BL$4,'Inputs Yr 2'!$AO56,0))))*(INDEX(avoidedcosttbl2,$H56,BL$2)+(($H56-ROUNDDOWN($H56,0))*(INDEX(avoidedcosttbl2,ROUNDUP($H56,0),BL$2)-(INDEX(avoidedcosttbl2,ROUNDDOWN($H56,0),BL$2)))))*'Inputs Yr 2'!P56*'Inputs Yr 2'!Q56*'Inputs Yr 2'!U56,"")</f>
        <v>0</v>
      </c>
      <c r="BM56" s="195">
        <f>IFERROR($G56*(IF('Inputs Yr 2'!$AJ56=BM$4,'Inputs Yr 2'!$AK56,IF('Inputs Yr 2'!$AL56=BM$4,'Inputs Yr 2'!$AM56,IF('Inputs Yr 2'!$AN56=BM$4,'Inputs Yr 2'!$AO56,0))))*(INDEX(avoidedcosttbl2,$H56,BM$2)+(($H56-ROUNDDOWN($H56,0))*(INDEX(avoidedcosttbl2,ROUNDUP($H56,0),BM$2)-(INDEX(avoidedcosttbl2,ROUNDDOWN($H56,0),BM$2)))))*'Inputs Yr 2'!P56*'Inputs Yr 2'!Q56*'Inputs Yr 2'!U56,"")</f>
        <v>0</v>
      </c>
      <c r="BN56" s="195">
        <f>IFERROR($G56*(IF('Inputs Yr 2'!$AJ56=BN$4,'Inputs Yr 2'!$AK56,IF('Inputs Yr 2'!$AL56=BN$4,'Inputs Yr 2'!$AM56,IF('Inputs Yr 2'!$AN56=BN$4,'Inputs Yr 2'!$AO56,0))))*(INDEX(avoidedcosttbl2,$H56,BN$2)+(($H56-ROUNDDOWN($H56,0))*(INDEX(avoidedcosttbl2,ROUNDUP($H56,0),BN$2)-(INDEX(avoidedcosttbl2,ROUNDDOWN($H56,0),BN$2)))))*'Inputs Yr 2'!P56*'Inputs Yr 2'!Q56*'Inputs Yr 2'!U56,"")</f>
        <v>0</v>
      </c>
      <c r="BO56" s="195">
        <f>IFERROR($G56*(IF('Inputs Yr 2'!$AJ56=BO$4,'Inputs Yr 2'!$AK56,IF('Inputs Yr 2'!$AL56=BO$4,'Inputs Yr 2'!$AM56,IF('Inputs Yr 2'!$AN56=BO$4,'Inputs Yr 2'!$AO56,0))))*(INDEX(avoidedcosttbl2,$H56,BO$2)+(($H56-ROUNDDOWN($H56,0))*(INDEX(avoidedcosttbl2,ROUNDUP($H56,0),BO$2)-(INDEX(avoidedcosttbl2,ROUNDDOWN($H56,0),BO$2)))))*'Inputs Yr 2'!P56*'Inputs Yr 2'!Q56*'Inputs Yr 2'!U56,"")</f>
        <v>0</v>
      </c>
      <c r="BP56" s="195">
        <f>IFERROR($G56*(IF('Inputs Yr 2'!$AJ56=BP$4,'Inputs Yr 2'!$AK56,IF('Inputs Yr 2'!$AL56=BP$4,'Inputs Yr 2'!$AM56,IF('Inputs Yr 2'!$AN56=BP$4,'Inputs Yr 2'!$AO56,0))))*(INDEX(avoidedcosttbl2,$H56,BP$2)+(($H56-ROUNDDOWN($H56,0))*(INDEX(avoidedcosttbl2,ROUNDUP($H56,0),BP$2)-(INDEX(avoidedcosttbl2,ROUNDDOWN($H56,0),BP$2)))))*'Inputs Yr 2'!P56*'Inputs Yr 2'!Q56*'Inputs Yr 2'!U56,"")</f>
        <v>0</v>
      </c>
      <c r="BQ56" s="230">
        <f t="shared" si="38"/>
        <v>0</v>
      </c>
      <c r="BR56" s="197">
        <f t="shared" si="17"/>
        <v>0</v>
      </c>
      <c r="BS56" s="197">
        <f>IFERROR(($G56*IF('Inputs Yr 2'!$AJ56=BM$4,'Inputs Yr 2'!$AK56,IF('Inputs Yr 2'!$AL56=BM$4,'Inputs Yr 2'!$AM56,IF('Inputs Yr 2'!$AN56=BM$4,'Inputs Yr 2'!$AO56,0))))*(INDEX(avoidedcosttbl2,$H56,BS$2)+(($H56-ROUNDDOWN($H56,0))*(INDEX(avoidedcosttbl2,ROUNDUP($H56,0),BS$2)-(INDEX(avoidedcosttbl2,ROUNDDOWN($H56,0),BS$2)))))*'Inputs Yr 2'!P56*'Inputs Yr 2'!Q56*'Inputs Yr 2'!U56,"")</f>
        <v>0</v>
      </c>
      <c r="BT56" s="197">
        <f>IFERROR(($G56*IF('Inputs Yr 2'!$AJ56=BK$4,'Inputs Yr 2'!$AK56,IF('Inputs Yr 2'!$AL56=BK$4,'Inputs Yr 2'!$AM56,IF('Inputs Yr 2'!$AN56=BK$4,'Inputs Yr 2'!$AO56,0))))*(INDEX(avoidedcosttbl2,$H56,BT$2)+(($H56-ROUNDDOWN($H56,0))*(INDEX(avoidedcosttbl2,ROUNDUP($H56,0),BT$2)-(INDEX(avoidedcosttbl2,ROUNDDOWN($H56,0),BT$2)))))*'Inputs Yr 2'!P56*'Inputs Yr 2'!Q56*'Inputs Yr 2'!U56,"")</f>
        <v>0</v>
      </c>
      <c r="BU56" s="197">
        <f>IFERROR(($G56*IF('Inputs Yr 2'!$AJ56=BL$4,'Inputs Yr 2'!$AK56,IF('Inputs Yr 2'!$AL56=BL$4,'Inputs Yr 2'!$AM56,IF('Inputs Yr 2'!$AN56=BL$4,'Inputs Yr 2'!$AO56,0))))*(INDEX(avoidedcosttbl2,$H56,BU$2)+(($H56-ROUNDDOWN($H56,0))*(INDEX(avoidedcosttbl2,ROUNDUP($H56,0),BU$2)-(INDEX(avoidedcosttbl2,ROUNDDOWN($H56,0),BU$2)))))*'Inputs Yr 2'!P56*'Inputs Yr 2'!Q56*'Inputs Yr 2'!U56,"")</f>
        <v>0</v>
      </c>
      <c r="BV56" s="775">
        <f>IFERROR(($G56*IF('Inputs Yr 2'!$AJ56=BJ$4,'Inputs Yr 2'!$AK56,IF('Inputs Yr 2'!$AL56=BJ$4,'Inputs Yr 2'!$AM56,IF('Inputs Yr 2'!$AN56=BJ$4,'Inputs Yr 2'!$AO56,0))))*(INDEX(avoidedcosttbl2,$H56,BV$2)+(($H56-ROUNDDOWN($H56,0))*(INDEX(avoidedcosttbl2,ROUNDUP($H56,0),BV$2)-(INDEX(avoidedcosttbl2,ROUNDDOWN($H56,0),BV$2)))))*'Inputs Yr 2'!P56*'Inputs Yr 2'!Q56*'Inputs Yr 2'!U56,"")</f>
        <v>0</v>
      </c>
      <c r="BW56" s="197">
        <f>IFERROR(($G56*IF('Inputs Yr 2'!$AJ56=BN$4,'Inputs Yr 2'!$AK56,IF('Inputs Yr 2'!$AL56=BN$4,'Inputs Yr 2'!$AM56,IF('Inputs Yr 2'!$AN56=BN$4,'Inputs Yr 2'!$AO56,0))))*(INDEX(avoidedcosttbl2,$H56,BW$2)+(($H56-ROUNDDOWN($H56,0))*(INDEX(avoidedcosttbl2,ROUNDUP($H56,0),BW$2)-(INDEX(avoidedcosttbl2,ROUNDDOWN($H56,0),BW$2)))))*'Inputs Yr 2'!P56*'Inputs Yr 2'!Q56*'Inputs Yr 2'!U56,"")</f>
        <v>0</v>
      </c>
      <c r="BX56" s="197">
        <f>IFERROR(($G56*IF('Inputs Yr 2'!$AJ56=BO$4,'Inputs Yr 2'!$AK56,IF('Inputs Yr 2'!$AL56=BO$4,'Inputs Yr 2'!$AM56,IF('Inputs Yr 2'!$AN56=BO$4,'Inputs Yr 2'!$AO56,0))))*(INDEX(avoidedcosttbl2,$H56,BX$2)+(($H56-ROUNDDOWN($H56,0))*(INDEX(avoidedcosttbl2,ROUNDUP($H56,0),BX$2)-(INDEX(avoidedcosttbl2,ROUNDDOWN($H56,0),BX$2)))))*'Inputs Yr 2'!P56*'Inputs Yr 2'!Q56*'Inputs Yr 2'!U56,"")</f>
        <v>0</v>
      </c>
      <c r="BY56" s="197">
        <f>IFERROR(($G56*IF('Inputs Yr 2'!$AJ56=BP$4,'Inputs Yr 2'!$AK56,IF('Inputs Yr 2'!$AL56=BP$4,'Inputs Yr 2'!$AM56,IF('Inputs Yr 2'!$AN56=BP$4,'Inputs Yr 2'!$AO56,0))))*(INDEX(avoidedcosttbl2,$H56,BY$2)+(($H56-ROUNDDOWN($H56,0))*(INDEX(avoidedcosttbl2,ROUNDUP($H56,0),BY$2)-(INDEX(avoidedcosttbl2,ROUNDDOWN($H56,0),BY$2)))))*'Inputs Yr 2'!P56*'Inputs Yr 2'!Q56*'Inputs Yr 2'!U56,"")</f>
        <v>0</v>
      </c>
      <c r="BZ56" s="193">
        <f t="shared" si="39"/>
        <v>0</v>
      </c>
      <c r="CA56" s="193">
        <f t="shared" si="40"/>
        <v>0</v>
      </c>
      <c r="CB56" s="195">
        <f>IFERROR(G56*(IF('Inputs Yr 2'!$AJ56=CB$4,'Inputs Yr 2'!$AK56,IF('Inputs Yr 2'!$AL56=CB$4,'Inputs Yr 2'!$AM56,IF('Inputs Yr 2'!$AN56=CB$4,'Inputs Yr 2'!$AO56,0))))*(INDEX(avoidedcosttbl2,$H56,CB$2)+(($H56-ROUNDDOWN($H56,0))*(INDEX(avoidedcosttbl2,ROUNDUP($H56,0),CB$2)-(INDEX(avoidedcosttbl2,ROUNDDOWN($H56,0),CB$2)))))*'Inputs Yr 2'!P56*'Inputs Yr 2'!Q56*'Inputs Yr 2'!U56,"")</f>
        <v>0</v>
      </c>
      <c r="CC56" s="195">
        <f>IFERROR(H56*(IF('Inputs Yr 2'!$AJ56=CC$4,'Inputs Yr 2'!$AK56,IF('Inputs Yr 2'!$AL56=CC$4,'Inputs Yr 2'!$AM56,IF('Inputs Yr 2'!$AN56=CC$4,'Inputs Yr 2'!$AO56,0))))*(INDEX(avoidedcosttbl2,$H56,CC$2)+(($H56-ROUNDDOWN($H56,0))*(INDEX(avoidedcosttbl2,ROUNDUP($H56,0),CC$2)-(INDEX(avoidedcosttbl2,ROUNDDOWN($H56,0),CC$2)))))*'Inputs Yr 2'!Q56*'Inputs Yr 2'!R56*'Inputs Yr 2'!V56,"")</f>
        <v>0</v>
      </c>
      <c r="CD56" s="195">
        <f>IFERROR(I56*(IF('Inputs Yr 2'!$AJ56=CD$4,'Inputs Yr 2'!$AK56,IF('Inputs Yr 2'!$AL56=CD$4,'Inputs Yr 2'!$AM56,IF('Inputs Yr 2'!$AN56=CD$4,'Inputs Yr 2'!$AO56,0))))*(INDEX(avoidedcosttbl2,$H56,CD$2)+(($H56-ROUNDDOWN($H56,0))*(INDEX(avoidedcosttbl2,ROUNDUP($H56,0),CD$2)-(INDEX(avoidedcosttbl2,ROUNDDOWN($H56,0),CD$2)))))*'Inputs Yr 2'!R56*'Inputs Yr 2'!S56*'Inputs Yr 2'!W56,"")</f>
        <v>0</v>
      </c>
      <c r="CE56" s="213">
        <f t="shared" si="41"/>
        <v>0</v>
      </c>
      <c r="CF56" s="213">
        <f t="shared" si="42"/>
        <v>0</v>
      </c>
      <c r="CG56" s="213">
        <f t="shared" si="43"/>
        <v>0</v>
      </c>
      <c r="CH56" s="698">
        <f t="shared" si="44"/>
        <v>0</v>
      </c>
      <c r="CI56" s="79">
        <f>IFERROR(($G56*'Inputs Yr 2'!$P56*'Inputs Yr 2'!$Q56*(((INDEX(avoidedcosttbl2,$H56,CI$2)+(($H56-ROUNDDOWN($H56,0))*(INDEX(avoidedcosttbl2,ROUNDUP($H56,0),CI$2)-INDEX(avoidedcosttbl2,ROUNDDOWN($H56,0),CI$2))))*'Inputs Yr 2'!AS56))),"")</f>
        <v>0</v>
      </c>
      <c r="CJ56" s="504">
        <f>IFERROR($G56*'Inputs Yr 2'!AT56*'Inputs Yr 2'!$P56*'Inputs Yr 2'!$Q56/((1+realdiscrt1)^-0.5),"")</f>
        <v>59401.253078873677</v>
      </c>
      <c r="CK56" s="79">
        <f>IFERROR((O56*1000*(((INDEX(avoidedcosttbl2,$H56,CK$2)+(($H56-ROUNDDOWN($H56,0))*(INDEX(avoidedcosttbl2,ROUNDUP($H56,0),CK$2)-INDEX(avoidedcosttbl2,ROUNDDOWN($H56,0),CK$2))))*'Inputs Yr 2'!AU56))),"")</f>
        <v>0</v>
      </c>
      <c r="CL56" s="504">
        <f>IFERROR(O56*1000*'Inputs Yr 2'!AV56/((1+realdiscrt1)^-0.5),"")</f>
        <v>0</v>
      </c>
      <c r="CM56" s="79">
        <f>IFERROR((AB56*'Inputs Yr 2'!AW56*(((INDEX(avoidedcosttbl2,$H56,CM$2)+(($H56-ROUNDDOWN($H56,0))*(INDEX(avoidedcosttbl2,ROUNDUP($H56,0),CM$2)-INDEX(avoidedcosttbl2,ROUNDDOWN($H56,0),CM$2)))))))*10,"")</f>
        <v>0</v>
      </c>
      <c r="CN56" s="504">
        <f>IFERROR(10*AB56*'Inputs Yr 2'!AX56/((1+realdiscrt1)^-0.5),"")</f>
        <v>0</v>
      </c>
      <c r="CO56" s="505">
        <f t="shared" si="45"/>
        <v>59401.253078873677</v>
      </c>
      <c r="CP56" s="230">
        <f t="shared" si="46"/>
        <v>679241.34503027867</v>
      </c>
      <c r="CQ56" s="199">
        <f>ROUND(IFERROR(IF(LEFT($A56,1)="C",'Avoided Costs'!$K$13,'Avoided Costs'!$K$12)+1,""),4)</f>
        <v>1.0720000000000001</v>
      </c>
      <c r="CR56" s="199">
        <f>ROUND(IFERROR(IF(LEFT($A56,1)="C",'Avoided Costs'!$L$13,'Avoided Costs'!$L$12)+1,""),4)</f>
        <v>1.04</v>
      </c>
      <c r="CS56" s="199">
        <f>ROUND(IFERROR(IF(LEFT($A56,1)="C",'Avoided Costs'!$M$13,'Avoided Costs'!$M$12)+1,""),4)</f>
        <v>1.0720000000000001</v>
      </c>
      <c r="CT56" s="199">
        <f>ROUND(IFERROR(IF(LEFT($A56,1)="C",'Avoided Costs'!$N$13,'Avoided Costs'!$N$12)+1,""),4)</f>
        <v>1.04</v>
      </c>
      <c r="CU56" s="199">
        <f>ROUND(IFERROR(IF(LEFT($A56,1)="C",'Avoided Costs'!$O$13,'Avoided Costs'!$O$12)+1,""),4)</f>
        <v>1.1120000000000001</v>
      </c>
      <c r="CV56" s="199">
        <f>ROUND(IFERROR(IF(LEFT($A56,1)="C",'Avoided Costs'!$P$13,'Avoided Costs'!$P$12)+1,""),4)</f>
        <v>1.095</v>
      </c>
      <c r="CW56" s="199">
        <f>ROUND(IFERROR(IF(LEFT($A56,1)="C",'Avoided Costs'!$Q$13,'Avoided Costs'!$Q$12)+1,""),4)</f>
        <v>1.1120000000000001</v>
      </c>
      <c r="CX56" s="200">
        <f>ROUND(IFERROR(IF(LEFT($A56,1)="C",'Avoided Costs'!$R$13,'Avoided Costs'!$R$12)+1,""),4)</f>
        <v>1.1120000000000001</v>
      </c>
    </row>
    <row r="57" spans="1:102" ht="12.75" customHeight="1">
      <c r="A57" s="91" t="str">
        <f>IF('Inputs Yr 2'!$B57=0,"",'Inputs Yr 2'!A57)</f>
        <v>A - Residential</v>
      </c>
      <c r="B57" s="91" t="str">
        <f>IF('Inputs Yr 2'!$B57=0,"",'Inputs Yr 2'!B57)</f>
        <v>A1 - Residential Whole House</v>
      </c>
      <c r="C57" s="91" t="str">
        <f>IF('Inputs Yr 2'!$B57=0,"",'Inputs Yr 2'!C57)</f>
        <v>A1c - Residential Home Energy Services - Measures</v>
      </c>
      <c r="D57" s="91" t="str">
        <f>IF('Inputs Yr 2'!$B57=0,"",'Inputs Yr 2'!E57)</f>
        <v>LED Bulb (Reflectors)</v>
      </c>
      <c r="E57" s="93" t="str">
        <f>IF('Inputs Yr 2'!$B57=0,"",'Inputs Yr 2'!F57)</f>
        <v>G17A1c37</v>
      </c>
      <c r="F57" s="93" t="str">
        <f>IF('Inputs Yr 2'!$B57=0,"",'Inputs Yr 2'!G57)</f>
        <v>Lighting</v>
      </c>
      <c r="G57" s="95">
        <f>IF('Inputs Yr 2'!$H57&lt;&gt;0,('Inputs Yr 2'!H57),"")</f>
        <v>35393</v>
      </c>
      <c r="H57" s="94">
        <f>IFERROR('Inputs Yr 2'!I57,"")</f>
        <v>7</v>
      </c>
      <c r="I57" s="298">
        <f>IFERROR('Inputs Yr 2'!J57*'Inputs Yr 2'!P57*G57,"")</f>
        <v>149588.84999999998</v>
      </c>
      <c r="J57" s="298">
        <f>IFERROR('Inputs Yr 2'!K57*G57,"")</f>
        <v>149588.84999999998</v>
      </c>
      <c r="K57" s="298">
        <f t="shared" si="23"/>
        <v>0</v>
      </c>
      <c r="L57" s="194">
        <f>IFERROR(('Inputs Yr 2'!W57*G57)/1000,"")</f>
        <v>1812.1216000000002</v>
      </c>
      <c r="M57" s="194">
        <f>IFERROR(L57*('Inputs Yr 2'!$Q57*'Inputs Yr 2'!$V57*'Inputs Yr 2'!$R57),"")</f>
        <v>1812.1216000000002</v>
      </c>
      <c r="N57" s="194">
        <f t="shared" si="24"/>
        <v>12684.851200000001</v>
      </c>
      <c r="O57" s="194">
        <f>IFERROR(M57*'Inputs Yr 2'!P57,"")</f>
        <v>1812.1216000000002</v>
      </c>
      <c r="P57" s="194">
        <f t="shared" si="25"/>
        <v>12684.851200000001</v>
      </c>
      <c r="Q57" s="194">
        <f>IFERROR($P57*'Inputs Yr 2'!AA57,"")</f>
        <v>5454.4860160000007</v>
      </c>
      <c r="R57" s="194">
        <f>IFERROR($P57*'Inputs Yr 2'!AB57,"")</f>
        <v>3044.3642880000002</v>
      </c>
      <c r="S57" s="194">
        <f>IFERROR($P57*'Inputs Yr 2'!AC57,"")</f>
        <v>2663.8187520000001</v>
      </c>
      <c r="T57" s="194">
        <f>IFERROR($P57*'Inputs Yr 2'!AD57,"")</f>
        <v>1522.1821440000001</v>
      </c>
      <c r="U57" s="194">
        <f>IFERROR(G57*'Inputs Yr 2'!$AE57*'Inputs Yr 2'!$P57*'Inputs Yr 2'!$Q57,"")</f>
        <v>1769.65</v>
      </c>
      <c r="V57" s="194">
        <f>IFERROR($G57*'Inputs Yr 2'!$AE57*'Inputs Yr 2'!$AG57*'Inputs Yr 2'!Q57*'Inputs Yr 2'!$S57,"")</f>
        <v>283.14400000000001</v>
      </c>
      <c r="W57" s="194">
        <f>IFERROR($G57*'Inputs Yr 2'!$AE57*'Inputs Yr 2'!$AG57*'Inputs Yr 2'!P57*'Inputs Yr 2'!Q57*'Inputs Yr 2'!$S57,"")</f>
        <v>283.14400000000001</v>
      </c>
      <c r="X57" s="194">
        <f>IFERROR($G57*'Inputs Yr 2'!$AE57*'Inputs Yr 2'!$AF57*'Inputs Yr 2'!Q57*'Inputs Yr 2'!$T57,"")</f>
        <v>230.05450000000002</v>
      </c>
      <c r="Y57" s="194">
        <f>IFERROR($G57*'Inputs Yr 2'!$AE57*'Inputs Yr 2'!$AF57*'Inputs Yr 2'!P57*'Inputs Yr 2'!Q57*'Inputs Yr 2'!$T57,"")</f>
        <v>230.05450000000002</v>
      </c>
      <c r="Z57" s="257">
        <f>IFERROR($G57*'Inputs Yr 2'!$Q57*'Inputs Yr 2'!$U57*(IF(IFERROR(SEARCH("NG", 'Inputs Yr 2'!$AJ57),0),'Inputs Yr 2'!$AK57,0)+IF(IFERROR(SEARCH("NG", 'Inputs Yr 2'!$AL57),0),'Inputs Yr 2'!$AM57,0)+IF(IFERROR(SEARCH("NG", 'Inputs Yr 2'!$AN57),0),'Inputs Yr 2'!$AO57,0)),0)</f>
        <v>0</v>
      </c>
      <c r="AA57" s="257">
        <f t="shared" si="26"/>
        <v>0</v>
      </c>
      <c r="AB57" s="257">
        <f>IFERROR(Z57*'Inputs Yr 2'!$P57,0)</f>
        <v>0</v>
      </c>
      <c r="AC57" s="257">
        <f t="shared" si="27"/>
        <v>0</v>
      </c>
      <c r="AD57" s="257">
        <f>IFERROR($G57*'Inputs Yr 2'!$Q57*'Inputs Yr 2'!$U57*(IF(IFERROR(SEARCH("Oil", 'Inputs Yr 2'!$AJ57), 0),'Inputs Yr 2'!$AK57,0)+IF(IFERROR(SEARCH("Oil", 'Inputs Yr 2'!$AL57), 0),'Inputs Yr 2'!$AM57,0)+IF(IFERROR(SEARCH("Oil", 'Inputs Yr 2'!$AN57), 0),'Inputs Yr 2'!$AO57,0)),0)</f>
        <v>0</v>
      </c>
      <c r="AE57" s="257">
        <f t="shared" si="28"/>
        <v>0</v>
      </c>
      <c r="AF57" s="257">
        <f>IFERROR(AD57*'Inputs Yr 2'!$P57,0)</f>
        <v>0</v>
      </c>
      <c r="AG57" s="257">
        <f t="shared" si="29"/>
        <v>0</v>
      </c>
      <c r="AH57" s="257">
        <f>IFERROR($G57*'Inputs Yr 2'!$Q57*'Inputs Yr 2'!$U57*(IF('Inputs Yr 2'!$AJ57=CD$4,'Inputs Yr 2'!$AK57,IF('Inputs Yr 2'!$AL57=CD$4,'Inputs Yr 2'!$AM57,IF('Inputs Yr 2'!$AN57=CD$4,'Inputs Yr 2'!$AO57,0)))),0)</f>
        <v>0</v>
      </c>
      <c r="AI57" s="257">
        <f t="shared" si="30"/>
        <v>0</v>
      </c>
      <c r="AJ57" s="257">
        <f>IFERROR(AH57*'Inputs Yr 2'!$P57,0)</f>
        <v>0</v>
      </c>
      <c r="AK57" s="257">
        <f t="shared" si="31"/>
        <v>0</v>
      </c>
      <c r="AL57" s="258">
        <f>IFERROR($G57*'Inputs Yr 2'!$P57*'Inputs Yr 2'!$Q57*'Inputs Yr 2'!AP57,0)</f>
        <v>0</v>
      </c>
      <c r="AM57" s="260">
        <f>IFERROR($G57*'Inputs Yr 2'!$P57*'Inputs Yr 2'!$Q57*'Inputs Yr 2'!AQ57,0)</f>
        <v>0</v>
      </c>
      <c r="AN57" s="258">
        <f>IFERROR($G57*'Inputs Yr 2'!$P57*'Inputs Yr 2'!$Q57*'Inputs Yr 2'!AR57,0)</f>
        <v>0</v>
      </c>
      <c r="AO57" s="257">
        <f t="shared" si="32"/>
        <v>0</v>
      </c>
      <c r="AP57" s="195">
        <f>IFERROR($CQ57*(INDEX(avoidedcosttbl2,$H57,AP$2)+(($H57-ROUNDDOWN($H57,0))*(INDEX(avoidedcosttbl2,ROUNDUP($H57,0),AP$2)-(INDEX(avoidedcosttbl2,ROUNDDOWN($H57,0),AP$2)))))*$O57*1000*'Inputs Yr 2'!AA57,"")</f>
        <v>410896.68623442791</v>
      </c>
      <c r="AQ57" s="195">
        <f>IFERROR($CR57*(INDEX(avoidedcosttbl2,$H57,AQ$2)+(($H57-ROUNDDOWN($H57,0))*(INDEX(avoidedcosttbl2,ROUNDUP($H57,0),AQ$2)-(INDEX(avoidedcosttbl2,ROUNDDOWN($H57,0),AQ$2)))))*$O57*1000*'Inputs Yr 2'!AB57,"")</f>
        <v>205123.58078592233</v>
      </c>
      <c r="AR57" s="195">
        <f>IFERROR($CS57*(INDEX(avoidedcosttbl2,$H57,AR$2)+(($H57-ROUNDDOWN($H57,0))*(INDEX(avoidedcosttbl2,ROUNDUP($H57,0),AR$2)-(INDEX(avoidedcosttbl2,ROUNDDOWN($H57,0),AR$2)))))*$O57*1000*'Inputs Yr 2'!AC57,"")</f>
        <v>183297.20275810847</v>
      </c>
      <c r="AS57" s="195">
        <f>IFERROR($CT57*(INDEX(avoidedcosttbl2,$H57,AS$2)+(($H57-ROUNDDOWN($H57,0))*(INDEX(avoidedcosttbl2,ROUNDUP($H57,0),AS$2)-(INDEX(avoidedcosttbl2,ROUNDDOWN($H57,0),AS$2)))))*$O57*1000*'Inputs Yr 2'!AD57,"")</f>
        <v>82812.78801991725</v>
      </c>
      <c r="AT57" s="196">
        <f t="shared" si="33"/>
        <v>882130.25779837591</v>
      </c>
      <c r="AU57" s="197">
        <f>IFERROR($CQ57*((INDEX(avoidedcosttbl2,$H57,AU$2))+(($H57-ROUNDDOWN($H57,0))*((INDEX(avoidedcosttbl2,ROUNDUP($H57,0),AU$2))-(INDEX(avoidedcosttbl2,ROUNDDOWN($H57,0),AU$2)))))*$O57*1000*'Inputs Yr 2'!AA57,"")</f>
        <v>25421.537085542706</v>
      </c>
      <c r="AV57" s="197">
        <f>IFERROR($CR57*((INDEX(avoidedcosttbl2,$H57,AV$2))+(($H57-ROUNDDOWN($H57,0))*((INDEX(avoidedcosttbl2,ROUNDUP($H57,0),AV$2))-(INDEX(avoidedcosttbl2,ROUNDDOWN($H57,0),AV$2)))))*$O57*1000*'Inputs Yr 2'!AB57,"")</f>
        <v>6826.2584035559848</v>
      </c>
      <c r="AW57" s="197">
        <f>IFERROR($CS57*((INDEX(avoidedcosttbl2,$H57,AW$2))+(($H57-ROUNDDOWN($H57,0))*((INDEX(avoidedcosttbl2,ROUNDUP($H57,0),AW$2))-(INDEX(avoidedcosttbl2,ROUNDDOWN($H57,0),AW$2)))))*$O57*1000*'Inputs Yr 2'!AC57,"")</f>
        <v>14659.934353818231</v>
      </c>
      <c r="AX57" s="197">
        <f>IFERROR($CT57*((INDEX(avoidedcosttbl2,$H57,AX$2))+(($H57-ROUNDDOWN($H57,0))*((INDEX(avoidedcosttbl2,ROUNDUP($H57,0),AX$2))-(INDEX(avoidedcosttbl2,ROUNDDOWN($H57,0),AX$2)))))*$O57*1000*'Inputs Yr 2'!AD57,"")</f>
        <v>2748.4793123233003</v>
      </c>
      <c r="AY57" s="197">
        <f>IFERROR(((INDEX(avoidedcosttbl2,$H57,AY$2))+(($H57-ROUNDDOWN($H57,0))*((INDEX(avoidedcosttbl2,ROUNDUP($H57,0),AY$2))-(INDEX(avoidedcosttbl2,ROUNDDOWN($H57,0),AY$2)))))*$O57*1000*('Inputs Yr 2'!AC57+'Inputs Yr 2'!AD57),"")</f>
        <v>22535.766417650815</v>
      </c>
      <c r="AZ57" s="197">
        <f>IFERROR(((INDEX(avoidedcosttbl2,$H57,AZ$2))+(($H57-ROUNDDOWN($H57,0))*((INDEX(avoidedcosttbl2,ROUNDUP($H57,0),AZ$2))-(INDEX(avoidedcosttbl2,ROUNDDOWN($H57,0),AZ$2)))))*$O57*1000*('Inputs Yr 2'!AA57+'Inputs Yr 2'!AB57),"")</f>
        <v>68089.576799844814</v>
      </c>
      <c r="BA57" s="198">
        <f t="shared" si="34"/>
        <v>140281.55237273587</v>
      </c>
      <c r="BB57" s="198">
        <f t="shared" si="35"/>
        <v>1022411.8101711117</v>
      </c>
      <c r="BC57" s="195">
        <f t="shared" si="10"/>
        <v>234423.57901286738</v>
      </c>
      <c r="BD57" s="195">
        <f t="shared" si="11"/>
        <v>0</v>
      </c>
      <c r="BE57" s="195">
        <f t="shared" si="12"/>
        <v>0</v>
      </c>
      <c r="BF57" s="195">
        <f t="shared" si="13"/>
        <v>18939.965639970022</v>
      </c>
      <c r="BG57" s="195">
        <f t="shared" si="14"/>
        <v>148657.12575022093</v>
      </c>
      <c r="BH57" s="196">
        <f t="shared" si="36"/>
        <v>402020.67040305835</v>
      </c>
      <c r="BI57" s="196">
        <f t="shared" si="37"/>
        <v>1424432.4805741701</v>
      </c>
      <c r="BJ57" s="195">
        <f>IFERROR($G57*(IF('Inputs Yr 2'!$AJ57=BJ$4,'Inputs Yr 2'!$AK57,IF('Inputs Yr 2'!$AL57=BJ$4,'Inputs Yr 2'!$AM57,IF('Inputs Yr 2'!$AN57=BJ$4,'Inputs Yr 2'!$AO57,0))))*(INDEX(avoidedcosttbl2,$H57,BJ$2)+(($H57-ROUNDDOWN($H57,0))*(INDEX(avoidedcosttbl2,ROUNDUP($H57,0),BJ$2)-(INDEX(avoidedcosttbl2,ROUNDDOWN($H57,0),BJ$2)))))*'Inputs Yr 2'!P57*'Inputs Yr 2'!Q57*'Inputs Yr 2'!U57,"")</f>
        <v>0</v>
      </c>
      <c r="BK57" s="195">
        <f>IFERROR($G57*(IF('Inputs Yr 2'!$AJ57=BK$4,'Inputs Yr 2'!$AK57,IF('Inputs Yr 2'!$AL57=BK$4,'Inputs Yr 2'!$AM57,IF('Inputs Yr 2'!$AN57=BK$4,'Inputs Yr 2'!$AO57,0))))*(INDEX(avoidedcosttbl2,$H57,BK$2)+(($H57-ROUNDDOWN($H57,0))*(INDEX(avoidedcosttbl2,ROUNDUP($H57,0),BK$2)-(INDEX(avoidedcosttbl2,ROUNDDOWN($H57,0),BK$2)))))*'Inputs Yr 2'!P57*'Inputs Yr 2'!Q57*'Inputs Yr 2'!U57,"")</f>
        <v>0</v>
      </c>
      <c r="BL57" s="195">
        <f>IFERROR($G57*(IF('Inputs Yr 2'!$AJ57=BL$4,'Inputs Yr 2'!$AK57,IF('Inputs Yr 2'!$AL57=BL$4,'Inputs Yr 2'!$AM57,IF('Inputs Yr 2'!$AN57=BL$4,'Inputs Yr 2'!$AO57,0))))*(INDEX(avoidedcosttbl2,$H57,BL$2)+(($H57-ROUNDDOWN($H57,0))*(INDEX(avoidedcosttbl2,ROUNDUP($H57,0),BL$2)-(INDEX(avoidedcosttbl2,ROUNDDOWN($H57,0),BL$2)))))*'Inputs Yr 2'!P57*'Inputs Yr 2'!Q57*'Inputs Yr 2'!U57,"")</f>
        <v>0</v>
      </c>
      <c r="BM57" s="195">
        <f>IFERROR($G57*(IF('Inputs Yr 2'!$AJ57=BM$4,'Inputs Yr 2'!$AK57,IF('Inputs Yr 2'!$AL57=BM$4,'Inputs Yr 2'!$AM57,IF('Inputs Yr 2'!$AN57=BM$4,'Inputs Yr 2'!$AO57,0))))*(INDEX(avoidedcosttbl2,$H57,BM$2)+(($H57-ROUNDDOWN($H57,0))*(INDEX(avoidedcosttbl2,ROUNDUP($H57,0),BM$2)-(INDEX(avoidedcosttbl2,ROUNDDOWN($H57,0),BM$2)))))*'Inputs Yr 2'!P57*'Inputs Yr 2'!Q57*'Inputs Yr 2'!U57,"")</f>
        <v>0</v>
      </c>
      <c r="BN57" s="195">
        <f>IFERROR($G57*(IF('Inputs Yr 2'!$AJ57=BN$4,'Inputs Yr 2'!$AK57,IF('Inputs Yr 2'!$AL57=BN$4,'Inputs Yr 2'!$AM57,IF('Inputs Yr 2'!$AN57=BN$4,'Inputs Yr 2'!$AO57,0))))*(INDEX(avoidedcosttbl2,$H57,BN$2)+(($H57-ROUNDDOWN($H57,0))*(INDEX(avoidedcosttbl2,ROUNDUP($H57,0),BN$2)-(INDEX(avoidedcosttbl2,ROUNDDOWN($H57,0),BN$2)))))*'Inputs Yr 2'!P57*'Inputs Yr 2'!Q57*'Inputs Yr 2'!U57,"")</f>
        <v>0</v>
      </c>
      <c r="BO57" s="195">
        <f>IFERROR($G57*(IF('Inputs Yr 2'!$AJ57=BO$4,'Inputs Yr 2'!$AK57,IF('Inputs Yr 2'!$AL57=BO$4,'Inputs Yr 2'!$AM57,IF('Inputs Yr 2'!$AN57=BO$4,'Inputs Yr 2'!$AO57,0))))*(INDEX(avoidedcosttbl2,$H57,BO$2)+(($H57-ROUNDDOWN($H57,0))*(INDEX(avoidedcosttbl2,ROUNDUP($H57,0),BO$2)-(INDEX(avoidedcosttbl2,ROUNDDOWN($H57,0),BO$2)))))*'Inputs Yr 2'!P57*'Inputs Yr 2'!Q57*'Inputs Yr 2'!U57,"")</f>
        <v>0</v>
      </c>
      <c r="BP57" s="195">
        <f>IFERROR($G57*(IF('Inputs Yr 2'!$AJ57=BP$4,'Inputs Yr 2'!$AK57,IF('Inputs Yr 2'!$AL57=BP$4,'Inputs Yr 2'!$AM57,IF('Inputs Yr 2'!$AN57=BP$4,'Inputs Yr 2'!$AO57,0))))*(INDEX(avoidedcosttbl2,$H57,BP$2)+(($H57-ROUNDDOWN($H57,0))*(INDEX(avoidedcosttbl2,ROUNDUP($H57,0),BP$2)-(INDEX(avoidedcosttbl2,ROUNDDOWN($H57,0),BP$2)))))*'Inputs Yr 2'!P57*'Inputs Yr 2'!Q57*'Inputs Yr 2'!U57,"")</f>
        <v>0</v>
      </c>
      <c r="BQ57" s="230">
        <f t="shared" si="38"/>
        <v>0</v>
      </c>
      <c r="BR57" s="197">
        <f t="shared" si="17"/>
        <v>0</v>
      </c>
      <c r="BS57" s="197">
        <f>IFERROR(($G57*IF('Inputs Yr 2'!$AJ57=BM$4,'Inputs Yr 2'!$AK57,IF('Inputs Yr 2'!$AL57=BM$4,'Inputs Yr 2'!$AM57,IF('Inputs Yr 2'!$AN57=BM$4,'Inputs Yr 2'!$AO57,0))))*(INDEX(avoidedcosttbl2,$H57,BS$2)+(($H57-ROUNDDOWN($H57,0))*(INDEX(avoidedcosttbl2,ROUNDUP($H57,0),BS$2)-(INDEX(avoidedcosttbl2,ROUNDDOWN($H57,0),BS$2)))))*'Inputs Yr 2'!P57*'Inputs Yr 2'!Q57*'Inputs Yr 2'!U57,"")</f>
        <v>0</v>
      </c>
      <c r="BT57" s="197">
        <f>IFERROR(($G57*IF('Inputs Yr 2'!$AJ57=BK$4,'Inputs Yr 2'!$AK57,IF('Inputs Yr 2'!$AL57=BK$4,'Inputs Yr 2'!$AM57,IF('Inputs Yr 2'!$AN57=BK$4,'Inputs Yr 2'!$AO57,0))))*(INDEX(avoidedcosttbl2,$H57,BT$2)+(($H57-ROUNDDOWN($H57,0))*(INDEX(avoidedcosttbl2,ROUNDUP($H57,0),BT$2)-(INDEX(avoidedcosttbl2,ROUNDDOWN($H57,0),BT$2)))))*'Inputs Yr 2'!P57*'Inputs Yr 2'!Q57*'Inputs Yr 2'!U57,"")</f>
        <v>0</v>
      </c>
      <c r="BU57" s="197">
        <f>IFERROR(($G57*IF('Inputs Yr 2'!$AJ57=BL$4,'Inputs Yr 2'!$AK57,IF('Inputs Yr 2'!$AL57=BL$4,'Inputs Yr 2'!$AM57,IF('Inputs Yr 2'!$AN57=BL$4,'Inputs Yr 2'!$AO57,0))))*(INDEX(avoidedcosttbl2,$H57,BU$2)+(($H57-ROUNDDOWN($H57,0))*(INDEX(avoidedcosttbl2,ROUNDUP($H57,0),BU$2)-(INDEX(avoidedcosttbl2,ROUNDDOWN($H57,0),BU$2)))))*'Inputs Yr 2'!P57*'Inputs Yr 2'!Q57*'Inputs Yr 2'!U57,"")</f>
        <v>0</v>
      </c>
      <c r="BV57" s="775">
        <f>IFERROR(($G57*IF('Inputs Yr 2'!$AJ57=BJ$4,'Inputs Yr 2'!$AK57,IF('Inputs Yr 2'!$AL57=BJ$4,'Inputs Yr 2'!$AM57,IF('Inputs Yr 2'!$AN57=BJ$4,'Inputs Yr 2'!$AO57,0))))*(INDEX(avoidedcosttbl2,$H57,BV$2)+(($H57-ROUNDDOWN($H57,0))*(INDEX(avoidedcosttbl2,ROUNDUP($H57,0),BV$2)-(INDEX(avoidedcosttbl2,ROUNDDOWN($H57,0),BV$2)))))*'Inputs Yr 2'!P57*'Inputs Yr 2'!Q57*'Inputs Yr 2'!U57,"")</f>
        <v>0</v>
      </c>
      <c r="BW57" s="197">
        <f>IFERROR(($G57*IF('Inputs Yr 2'!$AJ57=BN$4,'Inputs Yr 2'!$AK57,IF('Inputs Yr 2'!$AL57=BN$4,'Inputs Yr 2'!$AM57,IF('Inputs Yr 2'!$AN57=BN$4,'Inputs Yr 2'!$AO57,0))))*(INDEX(avoidedcosttbl2,$H57,BW$2)+(($H57-ROUNDDOWN($H57,0))*(INDEX(avoidedcosttbl2,ROUNDUP($H57,0),BW$2)-(INDEX(avoidedcosttbl2,ROUNDDOWN($H57,0),BW$2)))))*'Inputs Yr 2'!P57*'Inputs Yr 2'!Q57*'Inputs Yr 2'!U57,"")</f>
        <v>0</v>
      </c>
      <c r="BX57" s="197">
        <f>IFERROR(($G57*IF('Inputs Yr 2'!$AJ57=BO$4,'Inputs Yr 2'!$AK57,IF('Inputs Yr 2'!$AL57=BO$4,'Inputs Yr 2'!$AM57,IF('Inputs Yr 2'!$AN57=BO$4,'Inputs Yr 2'!$AO57,0))))*(INDEX(avoidedcosttbl2,$H57,BX$2)+(($H57-ROUNDDOWN($H57,0))*(INDEX(avoidedcosttbl2,ROUNDUP($H57,0),BX$2)-(INDEX(avoidedcosttbl2,ROUNDDOWN($H57,0),BX$2)))))*'Inputs Yr 2'!P57*'Inputs Yr 2'!Q57*'Inputs Yr 2'!U57,"")</f>
        <v>0</v>
      </c>
      <c r="BY57" s="197">
        <f>IFERROR(($G57*IF('Inputs Yr 2'!$AJ57=BP$4,'Inputs Yr 2'!$AK57,IF('Inputs Yr 2'!$AL57=BP$4,'Inputs Yr 2'!$AM57,IF('Inputs Yr 2'!$AN57=BP$4,'Inputs Yr 2'!$AO57,0))))*(INDEX(avoidedcosttbl2,$H57,BY$2)+(($H57-ROUNDDOWN($H57,0))*(INDEX(avoidedcosttbl2,ROUNDUP($H57,0),BY$2)-(INDEX(avoidedcosttbl2,ROUNDDOWN($H57,0),BY$2)))))*'Inputs Yr 2'!P57*'Inputs Yr 2'!Q57*'Inputs Yr 2'!U57,"")</f>
        <v>0</v>
      </c>
      <c r="BZ57" s="193">
        <f t="shared" si="39"/>
        <v>0</v>
      </c>
      <c r="CA57" s="193">
        <f t="shared" si="40"/>
        <v>0</v>
      </c>
      <c r="CB57" s="195">
        <f>IFERROR(G57*(IF('Inputs Yr 2'!$AJ57=CB$4,'Inputs Yr 2'!$AK57,IF('Inputs Yr 2'!$AL57=CB$4,'Inputs Yr 2'!$AM57,IF('Inputs Yr 2'!$AN57=CB$4,'Inputs Yr 2'!$AO57,0))))*(INDEX(avoidedcosttbl2,$H57,CB$2)+(($H57-ROUNDDOWN($H57,0))*(INDEX(avoidedcosttbl2,ROUNDUP($H57,0),CB$2)-(INDEX(avoidedcosttbl2,ROUNDDOWN($H57,0),CB$2)))))*'Inputs Yr 2'!P57*'Inputs Yr 2'!Q57*'Inputs Yr 2'!U57,"")</f>
        <v>0</v>
      </c>
      <c r="CC57" s="195">
        <f>IFERROR(H57*(IF('Inputs Yr 2'!$AJ57=CC$4,'Inputs Yr 2'!$AK57,IF('Inputs Yr 2'!$AL57=CC$4,'Inputs Yr 2'!$AM57,IF('Inputs Yr 2'!$AN57=CC$4,'Inputs Yr 2'!$AO57,0))))*(INDEX(avoidedcosttbl2,$H57,CC$2)+(($H57-ROUNDDOWN($H57,0))*(INDEX(avoidedcosttbl2,ROUNDUP($H57,0),CC$2)-(INDEX(avoidedcosttbl2,ROUNDDOWN($H57,0),CC$2)))))*'Inputs Yr 2'!Q57*'Inputs Yr 2'!R57*'Inputs Yr 2'!V57,"")</f>
        <v>0</v>
      </c>
      <c r="CD57" s="195">
        <f>IFERROR(I57*(IF('Inputs Yr 2'!$AJ57=CD$4,'Inputs Yr 2'!$AK57,IF('Inputs Yr 2'!$AL57=CD$4,'Inputs Yr 2'!$AM57,IF('Inputs Yr 2'!$AN57=CD$4,'Inputs Yr 2'!$AO57,0))))*(INDEX(avoidedcosttbl2,$H57,CD$2)+(($H57-ROUNDDOWN($H57,0))*(INDEX(avoidedcosttbl2,ROUNDUP($H57,0),CD$2)-(INDEX(avoidedcosttbl2,ROUNDDOWN($H57,0),CD$2)))))*'Inputs Yr 2'!R57*'Inputs Yr 2'!S57*'Inputs Yr 2'!W57,"")</f>
        <v>0</v>
      </c>
      <c r="CE57" s="213">
        <f t="shared" si="41"/>
        <v>0</v>
      </c>
      <c r="CF57" s="213">
        <f t="shared" si="42"/>
        <v>0</v>
      </c>
      <c r="CG57" s="213">
        <f t="shared" si="43"/>
        <v>0</v>
      </c>
      <c r="CH57" s="698">
        <f t="shared" si="44"/>
        <v>0</v>
      </c>
      <c r="CI57" s="79">
        <f>IFERROR(($G57*'Inputs Yr 2'!$P57*'Inputs Yr 2'!$Q57*(((INDEX(avoidedcosttbl2,$H57,CI$2)+(($H57-ROUNDDOWN($H57,0))*(INDEX(avoidedcosttbl2,ROUNDUP($H57,0),CI$2)-INDEX(avoidedcosttbl2,ROUNDDOWN($H57,0),CI$2))))*'Inputs Yr 2'!AS57))),"")</f>
        <v>0</v>
      </c>
      <c r="CJ57" s="504">
        <f>IFERROR($G57*'Inputs Yr 2'!AT57*'Inputs Yr 2'!$P57*'Inputs Yr 2'!$Q57/((1+realdiscrt1)^-0.5),"")</f>
        <v>106412.3374105672</v>
      </c>
      <c r="CK57" s="79">
        <f>IFERROR((O57*1000*(((INDEX(avoidedcosttbl2,$H57,CK$2)+(($H57-ROUNDDOWN($H57,0))*(INDEX(avoidedcosttbl2,ROUNDUP($H57,0),CK$2)-INDEX(avoidedcosttbl2,ROUNDDOWN($H57,0),CK$2))))*'Inputs Yr 2'!AU57))),"")</f>
        <v>0</v>
      </c>
      <c r="CL57" s="504">
        <f>IFERROR(O57*1000*'Inputs Yr 2'!AV57/((1+realdiscrt1)^-0.5),"")</f>
        <v>0</v>
      </c>
      <c r="CM57" s="79">
        <f>IFERROR((AB57*'Inputs Yr 2'!AW57*(((INDEX(avoidedcosttbl2,$H57,CM$2)+(($H57-ROUNDDOWN($H57,0))*(INDEX(avoidedcosttbl2,ROUNDUP($H57,0),CM$2)-INDEX(avoidedcosttbl2,ROUNDDOWN($H57,0),CM$2)))))))*10,"")</f>
        <v>0</v>
      </c>
      <c r="CN57" s="504">
        <f>IFERROR(10*AB57*'Inputs Yr 2'!AX57/((1+realdiscrt1)^-0.5),"")</f>
        <v>0</v>
      </c>
      <c r="CO57" s="505">
        <f t="shared" si="45"/>
        <v>106412.3374105672</v>
      </c>
      <c r="CP57" s="230">
        <f t="shared" si="46"/>
        <v>1530844.8179847372</v>
      </c>
      <c r="CQ57" s="199">
        <f>ROUND(IFERROR(IF(LEFT($A57,1)="C",'Avoided Costs'!$K$13,'Avoided Costs'!$K$12)+1,""),4)</f>
        <v>1.0720000000000001</v>
      </c>
      <c r="CR57" s="199">
        <f>ROUND(IFERROR(IF(LEFT($A57,1)="C",'Avoided Costs'!$L$13,'Avoided Costs'!$L$12)+1,""),4)</f>
        <v>1.04</v>
      </c>
      <c r="CS57" s="199">
        <f>ROUND(IFERROR(IF(LEFT($A57,1)="C",'Avoided Costs'!$M$13,'Avoided Costs'!$M$12)+1,""),4)</f>
        <v>1.0720000000000001</v>
      </c>
      <c r="CT57" s="199">
        <f>ROUND(IFERROR(IF(LEFT($A57,1)="C",'Avoided Costs'!$N$13,'Avoided Costs'!$N$12)+1,""),4)</f>
        <v>1.04</v>
      </c>
      <c r="CU57" s="199">
        <f>ROUND(IFERROR(IF(LEFT($A57,1)="C",'Avoided Costs'!$O$13,'Avoided Costs'!$O$12)+1,""),4)</f>
        <v>1.1120000000000001</v>
      </c>
      <c r="CV57" s="199">
        <f>ROUND(IFERROR(IF(LEFT($A57,1)="C",'Avoided Costs'!$P$13,'Avoided Costs'!$P$12)+1,""),4)</f>
        <v>1.095</v>
      </c>
      <c r="CW57" s="199">
        <f>ROUND(IFERROR(IF(LEFT($A57,1)="C",'Avoided Costs'!$Q$13,'Avoided Costs'!$Q$12)+1,""),4)</f>
        <v>1.1120000000000001</v>
      </c>
      <c r="CX57" s="200">
        <f>ROUND(IFERROR(IF(LEFT($A57,1)="C",'Avoided Costs'!$R$13,'Avoided Costs'!$R$12)+1,""),4)</f>
        <v>1.1120000000000001</v>
      </c>
    </row>
    <row r="58" spans="1:102" ht="12.75" customHeight="1">
      <c r="A58" s="91" t="str">
        <f>IF('Inputs Yr 2'!$B58=0,"",'Inputs Yr 2'!A58)</f>
        <v>A - Residential</v>
      </c>
      <c r="B58" s="91" t="str">
        <f>IF('Inputs Yr 2'!$B58=0,"",'Inputs Yr 2'!B58)</f>
        <v>A1 - Residential Whole House</v>
      </c>
      <c r="C58" s="91" t="str">
        <f>IF('Inputs Yr 2'!$B58=0,"",'Inputs Yr 2'!C58)</f>
        <v>A1c - Residential Home Energy Services - Measures</v>
      </c>
      <c r="D58" s="91" t="str">
        <f>IF('Inputs Yr 2'!$B58=0,"",'Inputs Yr 2'!E58)</f>
        <v>Early Retirement Boiler, Forced Hot Water (EE)</v>
      </c>
      <c r="E58" s="93" t="str">
        <f>IF('Inputs Yr 2'!$B58=0,"",'Inputs Yr 2'!F58)</f>
        <v>G16A1c14</v>
      </c>
      <c r="F58" s="93" t="str">
        <f>IF('Inputs Yr 2'!$B58=0,"",'Inputs Yr 2'!G58)</f>
        <v>HVAC</v>
      </c>
      <c r="G58" s="95">
        <f>IF('Inputs Yr 2'!$H58&lt;&gt;0,('Inputs Yr 2'!H58),"")</f>
        <v>1127</v>
      </c>
      <c r="H58" s="94">
        <f>IFERROR('Inputs Yr 2'!I58,"")</f>
        <v>20</v>
      </c>
      <c r="I58" s="298">
        <f>IFERROR('Inputs Yr 2'!J58*'Inputs Yr 2'!P58*G58,"")</f>
        <v>4505746</v>
      </c>
      <c r="J58" s="298">
        <f>IFERROR('Inputs Yr 2'!K58*G58,"")</f>
        <v>3425000</v>
      </c>
      <c r="K58" s="298">
        <f t="shared" si="23"/>
        <v>1080746</v>
      </c>
      <c r="L58" s="194">
        <f>IFERROR(('Inputs Yr 2'!W58*G58)/1000,"")</f>
        <v>0</v>
      </c>
      <c r="M58" s="194">
        <f>IFERROR(L58*('Inputs Yr 2'!$Q58*'Inputs Yr 2'!$V58*'Inputs Yr 2'!$R58),"")</f>
        <v>0</v>
      </c>
      <c r="N58" s="194">
        <f t="shared" si="24"/>
        <v>0</v>
      </c>
      <c r="O58" s="194">
        <f>IFERROR(M58*'Inputs Yr 2'!P58,"")</f>
        <v>0</v>
      </c>
      <c r="P58" s="194">
        <f t="shared" si="25"/>
        <v>0</v>
      </c>
      <c r="Q58" s="194">
        <f>IFERROR($P58*'Inputs Yr 2'!AA58,"")</f>
        <v>0</v>
      </c>
      <c r="R58" s="194">
        <f>IFERROR($P58*'Inputs Yr 2'!AB58,"")</f>
        <v>0</v>
      </c>
      <c r="S58" s="194">
        <f>IFERROR($P58*'Inputs Yr 2'!AC58,"")</f>
        <v>0</v>
      </c>
      <c r="T58" s="194">
        <f>IFERROR($P58*'Inputs Yr 2'!AD58,"")</f>
        <v>0</v>
      </c>
      <c r="U58" s="194">
        <f>IFERROR(G58*'Inputs Yr 2'!$AE58*'Inputs Yr 2'!$P58*'Inputs Yr 2'!$Q58,"")</f>
        <v>0</v>
      </c>
      <c r="V58" s="194">
        <f>IFERROR($G58*'Inputs Yr 2'!$AE58*'Inputs Yr 2'!$AG58*'Inputs Yr 2'!Q58*'Inputs Yr 2'!$S58,"")</f>
        <v>0</v>
      </c>
      <c r="W58" s="194">
        <f>IFERROR($G58*'Inputs Yr 2'!$AE58*'Inputs Yr 2'!$AG58*'Inputs Yr 2'!P58*'Inputs Yr 2'!Q58*'Inputs Yr 2'!$S58,"")</f>
        <v>0</v>
      </c>
      <c r="X58" s="194">
        <f>IFERROR($G58*'Inputs Yr 2'!$AE58*'Inputs Yr 2'!$AF58*'Inputs Yr 2'!Q58*'Inputs Yr 2'!$T58,"")</f>
        <v>0</v>
      </c>
      <c r="Y58" s="194">
        <f>IFERROR($G58*'Inputs Yr 2'!$AE58*'Inputs Yr 2'!$AF58*'Inputs Yr 2'!P58*'Inputs Yr 2'!Q58*'Inputs Yr 2'!$T58,"")</f>
        <v>0</v>
      </c>
      <c r="Z58" s="257">
        <f>IFERROR($G58*'Inputs Yr 2'!$Q58*'Inputs Yr 2'!$U58*(IF(IFERROR(SEARCH("NG", 'Inputs Yr 2'!$AJ58),0),'Inputs Yr 2'!$AK58,0)+IF(IFERROR(SEARCH("NG", 'Inputs Yr 2'!$AL58),0),'Inputs Yr 2'!$AM58,0)+IF(IFERROR(SEARCH("NG", 'Inputs Yr 2'!$AN58),0),'Inputs Yr 2'!$AO58,0)),0)</f>
        <v>12847.800000000001</v>
      </c>
      <c r="AA58" s="257">
        <f t="shared" si="26"/>
        <v>256956.00000000003</v>
      </c>
      <c r="AB58" s="257">
        <f>IFERROR(Z58*'Inputs Yr 2'!$P58,0)</f>
        <v>12847.800000000001</v>
      </c>
      <c r="AC58" s="257">
        <f t="shared" si="27"/>
        <v>256956.00000000003</v>
      </c>
      <c r="AD58" s="257">
        <f>IFERROR($G58*'Inputs Yr 2'!$Q58*'Inputs Yr 2'!$U58*(IF(IFERROR(SEARCH("Oil", 'Inputs Yr 2'!$AJ58), 0),'Inputs Yr 2'!$AK58,0)+IF(IFERROR(SEARCH("Oil", 'Inputs Yr 2'!$AL58), 0),'Inputs Yr 2'!$AM58,0)+IF(IFERROR(SEARCH("Oil", 'Inputs Yr 2'!$AN58), 0),'Inputs Yr 2'!$AO58,0)),0)</f>
        <v>0</v>
      </c>
      <c r="AE58" s="257">
        <f t="shared" si="28"/>
        <v>0</v>
      </c>
      <c r="AF58" s="257">
        <f>IFERROR(AD58*'Inputs Yr 2'!$P58,0)</f>
        <v>0</v>
      </c>
      <c r="AG58" s="257">
        <f t="shared" si="29"/>
        <v>0</v>
      </c>
      <c r="AH58" s="257">
        <f>IFERROR($G58*'Inputs Yr 2'!$Q58*'Inputs Yr 2'!$U58*(IF('Inputs Yr 2'!$AJ58=CD$4,'Inputs Yr 2'!$AK58,IF('Inputs Yr 2'!$AL58=CD$4,'Inputs Yr 2'!$AM58,IF('Inputs Yr 2'!$AN58=CD$4,'Inputs Yr 2'!$AO58,0)))),0)</f>
        <v>0</v>
      </c>
      <c r="AI58" s="257">
        <f t="shared" si="30"/>
        <v>0</v>
      </c>
      <c r="AJ58" s="257">
        <f>IFERROR(AH58*'Inputs Yr 2'!$P58,0)</f>
        <v>0</v>
      </c>
      <c r="AK58" s="257">
        <f t="shared" si="31"/>
        <v>0</v>
      </c>
      <c r="AL58" s="258">
        <f>IFERROR($G58*'Inputs Yr 2'!$P58*'Inputs Yr 2'!$Q58*'Inputs Yr 2'!AP58,0)</f>
        <v>0</v>
      </c>
      <c r="AM58" s="260">
        <f>IFERROR($G58*'Inputs Yr 2'!$P58*'Inputs Yr 2'!$Q58*'Inputs Yr 2'!AQ58,0)</f>
        <v>0</v>
      </c>
      <c r="AN58" s="258">
        <f>IFERROR($G58*'Inputs Yr 2'!$P58*'Inputs Yr 2'!$Q58*'Inputs Yr 2'!AR58,0)</f>
        <v>0</v>
      </c>
      <c r="AO58" s="257">
        <f t="shared" si="32"/>
        <v>0</v>
      </c>
      <c r="AP58" s="195">
        <f>IFERROR($CQ58*(INDEX(avoidedcosttbl2,$H58,AP$2)+(($H58-ROUNDDOWN($H58,0))*(INDEX(avoidedcosttbl2,ROUNDUP($H58,0),AP$2)-(INDEX(avoidedcosttbl2,ROUNDDOWN($H58,0),AP$2)))))*$O58*1000*'Inputs Yr 2'!AA58,"")</f>
        <v>0</v>
      </c>
      <c r="AQ58" s="195">
        <f>IFERROR($CR58*(INDEX(avoidedcosttbl2,$H58,AQ$2)+(($H58-ROUNDDOWN($H58,0))*(INDEX(avoidedcosttbl2,ROUNDUP($H58,0),AQ$2)-(INDEX(avoidedcosttbl2,ROUNDDOWN($H58,0),AQ$2)))))*$O58*1000*'Inputs Yr 2'!AB58,"")</f>
        <v>0</v>
      </c>
      <c r="AR58" s="195">
        <f>IFERROR($CS58*(INDEX(avoidedcosttbl2,$H58,AR$2)+(($H58-ROUNDDOWN($H58,0))*(INDEX(avoidedcosttbl2,ROUNDUP($H58,0),AR$2)-(INDEX(avoidedcosttbl2,ROUNDDOWN($H58,0),AR$2)))))*$O58*1000*'Inputs Yr 2'!AC58,"")</f>
        <v>0</v>
      </c>
      <c r="AS58" s="195">
        <f>IFERROR($CT58*(INDEX(avoidedcosttbl2,$H58,AS$2)+(($H58-ROUNDDOWN($H58,0))*(INDEX(avoidedcosttbl2,ROUNDUP($H58,0),AS$2)-(INDEX(avoidedcosttbl2,ROUNDDOWN($H58,0),AS$2)))))*$O58*1000*'Inputs Yr 2'!AD58,"")</f>
        <v>0</v>
      </c>
      <c r="AT58" s="196">
        <f t="shared" si="33"/>
        <v>0</v>
      </c>
      <c r="AU58" s="197">
        <f>IFERROR($CQ58*((INDEX(avoidedcosttbl2,$H58,AU$2))+(($H58-ROUNDDOWN($H58,0))*((INDEX(avoidedcosttbl2,ROUNDUP($H58,0),AU$2))-(INDEX(avoidedcosttbl2,ROUNDDOWN($H58,0),AU$2)))))*$O58*1000*'Inputs Yr 2'!AA58,"")</f>
        <v>0</v>
      </c>
      <c r="AV58" s="197">
        <f>IFERROR($CR58*((INDEX(avoidedcosttbl2,$H58,AV$2))+(($H58-ROUNDDOWN($H58,0))*((INDEX(avoidedcosttbl2,ROUNDUP($H58,0),AV$2))-(INDEX(avoidedcosttbl2,ROUNDDOWN($H58,0),AV$2)))))*$O58*1000*'Inputs Yr 2'!AB58,"")</f>
        <v>0</v>
      </c>
      <c r="AW58" s="197">
        <f>IFERROR($CS58*((INDEX(avoidedcosttbl2,$H58,AW$2))+(($H58-ROUNDDOWN($H58,0))*((INDEX(avoidedcosttbl2,ROUNDUP($H58,0),AW$2))-(INDEX(avoidedcosttbl2,ROUNDDOWN($H58,0),AW$2)))))*$O58*1000*'Inputs Yr 2'!AC58,"")</f>
        <v>0</v>
      </c>
      <c r="AX58" s="197">
        <f>IFERROR($CT58*((INDEX(avoidedcosttbl2,$H58,AX$2))+(($H58-ROUNDDOWN($H58,0))*((INDEX(avoidedcosttbl2,ROUNDUP($H58,0),AX$2))-(INDEX(avoidedcosttbl2,ROUNDDOWN($H58,0),AX$2)))))*$O58*1000*'Inputs Yr 2'!AD58,"")</f>
        <v>0</v>
      </c>
      <c r="AY58" s="197">
        <f>IFERROR(((INDEX(avoidedcosttbl2,$H58,AY$2))+(($H58-ROUNDDOWN($H58,0))*((INDEX(avoidedcosttbl2,ROUNDUP($H58,0),AY$2))-(INDEX(avoidedcosttbl2,ROUNDDOWN($H58,0),AY$2)))))*$O58*1000*('Inputs Yr 2'!AC58+'Inputs Yr 2'!AD58),"")</f>
        <v>0</v>
      </c>
      <c r="AZ58" s="197">
        <f>IFERROR(((INDEX(avoidedcosttbl2,$H58,AZ$2))+(($H58-ROUNDDOWN($H58,0))*((INDEX(avoidedcosttbl2,ROUNDUP($H58,0),AZ$2))-(INDEX(avoidedcosttbl2,ROUNDDOWN($H58,0),AZ$2)))))*$O58*1000*('Inputs Yr 2'!AA58+'Inputs Yr 2'!AB58),"")</f>
        <v>0</v>
      </c>
      <c r="BA58" s="198">
        <f t="shared" si="34"/>
        <v>0</v>
      </c>
      <c r="BB58" s="198">
        <f t="shared" si="35"/>
        <v>0</v>
      </c>
      <c r="BC58" s="195">
        <f t="shared" si="10"/>
        <v>0</v>
      </c>
      <c r="BD58" s="195">
        <f t="shared" si="11"/>
        <v>0</v>
      </c>
      <c r="BE58" s="195">
        <f t="shared" si="12"/>
        <v>0</v>
      </c>
      <c r="BF58" s="195">
        <f t="shared" si="13"/>
        <v>0</v>
      </c>
      <c r="BG58" s="195">
        <f t="shared" si="14"/>
        <v>0</v>
      </c>
      <c r="BH58" s="196">
        <f t="shared" si="36"/>
        <v>0</v>
      </c>
      <c r="BI58" s="196">
        <f t="shared" si="37"/>
        <v>0</v>
      </c>
      <c r="BJ58" s="195">
        <f>IFERROR($G58*(IF('Inputs Yr 2'!$AJ58=BJ$4,'Inputs Yr 2'!$AK58,IF('Inputs Yr 2'!$AL58=BJ$4,'Inputs Yr 2'!$AM58,IF('Inputs Yr 2'!$AN58=BJ$4,'Inputs Yr 2'!$AO58,0))))*(INDEX(avoidedcosttbl2,$H58,BJ$2)+(($H58-ROUNDDOWN($H58,0))*(INDEX(avoidedcosttbl2,ROUNDUP($H58,0),BJ$2)-(INDEX(avoidedcosttbl2,ROUNDDOWN($H58,0),BJ$2)))))*'Inputs Yr 2'!P58*'Inputs Yr 2'!Q58*'Inputs Yr 2'!U58,"")</f>
        <v>0</v>
      </c>
      <c r="BK58" s="195">
        <f>IFERROR($G58*(IF('Inputs Yr 2'!$AJ58=BK$4,'Inputs Yr 2'!$AK58,IF('Inputs Yr 2'!$AL58=BK$4,'Inputs Yr 2'!$AM58,IF('Inputs Yr 2'!$AN58=BK$4,'Inputs Yr 2'!$AO58,0))))*(INDEX(avoidedcosttbl2,$H58,BK$2)+(($H58-ROUNDDOWN($H58,0))*(INDEX(avoidedcosttbl2,ROUNDUP($H58,0),BK$2)-(INDEX(avoidedcosttbl2,ROUNDDOWN($H58,0),BK$2)))))*'Inputs Yr 2'!P58*'Inputs Yr 2'!Q58*'Inputs Yr 2'!U58,"")</f>
        <v>0</v>
      </c>
      <c r="BL58" s="195">
        <f>IFERROR($G58*(IF('Inputs Yr 2'!$AJ58=BL$4,'Inputs Yr 2'!$AK58,IF('Inputs Yr 2'!$AL58=BL$4,'Inputs Yr 2'!$AM58,IF('Inputs Yr 2'!$AN58=BL$4,'Inputs Yr 2'!$AO58,0))))*(INDEX(avoidedcosttbl2,$H58,BL$2)+(($H58-ROUNDDOWN($H58,0))*(INDEX(avoidedcosttbl2,ROUNDUP($H58,0),BL$2)-(INDEX(avoidedcosttbl2,ROUNDDOWN($H58,0),BL$2)))))*'Inputs Yr 2'!P58*'Inputs Yr 2'!Q58*'Inputs Yr 2'!U58,"")</f>
        <v>2226759.2093884293</v>
      </c>
      <c r="BM58" s="195">
        <f>IFERROR($G58*(IF('Inputs Yr 2'!$AJ58=BM$4,'Inputs Yr 2'!$AK58,IF('Inputs Yr 2'!$AL58=BM$4,'Inputs Yr 2'!$AM58,IF('Inputs Yr 2'!$AN58=BM$4,'Inputs Yr 2'!$AO58,0))))*(INDEX(avoidedcosttbl2,$H58,BM$2)+(($H58-ROUNDDOWN($H58,0))*(INDEX(avoidedcosttbl2,ROUNDUP($H58,0),BM$2)-(INDEX(avoidedcosttbl2,ROUNDDOWN($H58,0),BM$2)))))*'Inputs Yr 2'!P58*'Inputs Yr 2'!Q58*'Inputs Yr 2'!U58,"")</f>
        <v>0</v>
      </c>
      <c r="BN58" s="195">
        <f>IFERROR($G58*(IF('Inputs Yr 2'!$AJ58=BN$4,'Inputs Yr 2'!$AK58,IF('Inputs Yr 2'!$AL58=BN$4,'Inputs Yr 2'!$AM58,IF('Inputs Yr 2'!$AN58=BN$4,'Inputs Yr 2'!$AO58,0))))*(INDEX(avoidedcosttbl2,$H58,BN$2)+(($H58-ROUNDDOWN($H58,0))*(INDEX(avoidedcosttbl2,ROUNDUP($H58,0),BN$2)-(INDEX(avoidedcosttbl2,ROUNDDOWN($H58,0),BN$2)))))*'Inputs Yr 2'!P58*'Inputs Yr 2'!Q58*'Inputs Yr 2'!U58,"")</f>
        <v>0</v>
      </c>
      <c r="BO58" s="195">
        <f>IFERROR($G58*(IF('Inputs Yr 2'!$AJ58=BO$4,'Inputs Yr 2'!$AK58,IF('Inputs Yr 2'!$AL58=BO$4,'Inputs Yr 2'!$AM58,IF('Inputs Yr 2'!$AN58=BO$4,'Inputs Yr 2'!$AO58,0))))*(INDEX(avoidedcosttbl2,$H58,BO$2)+(($H58-ROUNDDOWN($H58,0))*(INDEX(avoidedcosttbl2,ROUNDUP($H58,0),BO$2)-(INDEX(avoidedcosttbl2,ROUNDDOWN($H58,0),BO$2)))))*'Inputs Yr 2'!P58*'Inputs Yr 2'!Q58*'Inputs Yr 2'!U58,"")</f>
        <v>0</v>
      </c>
      <c r="BP58" s="195">
        <f>IFERROR($G58*(IF('Inputs Yr 2'!$AJ58=BP$4,'Inputs Yr 2'!$AK58,IF('Inputs Yr 2'!$AL58=BP$4,'Inputs Yr 2'!$AM58,IF('Inputs Yr 2'!$AN58=BP$4,'Inputs Yr 2'!$AO58,0))))*(INDEX(avoidedcosttbl2,$H58,BP$2)+(($H58-ROUNDDOWN($H58,0))*(INDEX(avoidedcosttbl2,ROUNDUP($H58,0),BP$2)-(INDEX(avoidedcosttbl2,ROUNDDOWN($H58,0),BP$2)))))*'Inputs Yr 2'!P58*'Inputs Yr 2'!Q58*'Inputs Yr 2'!U58,"")</f>
        <v>0</v>
      </c>
      <c r="BQ58" s="230">
        <f t="shared" si="38"/>
        <v>2226759.2093884293</v>
      </c>
      <c r="BR58" s="197">
        <f t="shared" si="17"/>
        <v>34452.966410164547</v>
      </c>
      <c r="BS58" s="197">
        <f>IFERROR(($G58*IF('Inputs Yr 2'!$AJ58=BM$4,'Inputs Yr 2'!$AK58,IF('Inputs Yr 2'!$AL58=BM$4,'Inputs Yr 2'!$AM58,IF('Inputs Yr 2'!$AN58=BM$4,'Inputs Yr 2'!$AO58,0))))*(INDEX(avoidedcosttbl2,$H58,BS$2)+(($H58-ROUNDDOWN($H58,0))*(INDEX(avoidedcosttbl2,ROUNDUP($H58,0),BS$2)-(INDEX(avoidedcosttbl2,ROUNDDOWN($H58,0),BS$2)))))*'Inputs Yr 2'!P58*'Inputs Yr 2'!Q58*'Inputs Yr 2'!U58,"")</f>
        <v>0</v>
      </c>
      <c r="BT58" s="197">
        <f>IFERROR(($G58*IF('Inputs Yr 2'!$AJ58=BK$4,'Inputs Yr 2'!$AK58,IF('Inputs Yr 2'!$AL58=BK$4,'Inputs Yr 2'!$AM58,IF('Inputs Yr 2'!$AN58=BK$4,'Inputs Yr 2'!$AO58,0))))*(INDEX(avoidedcosttbl2,$H58,BT$2)+(($H58-ROUNDDOWN($H58,0))*(INDEX(avoidedcosttbl2,ROUNDUP($H58,0),BT$2)-(INDEX(avoidedcosttbl2,ROUNDDOWN($H58,0),BT$2)))))*'Inputs Yr 2'!P58*'Inputs Yr 2'!Q58*'Inputs Yr 2'!U58,"")</f>
        <v>0</v>
      </c>
      <c r="BU58" s="197">
        <f>IFERROR(($G58*IF('Inputs Yr 2'!$AJ58=BL$4,'Inputs Yr 2'!$AK58,IF('Inputs Yr 2'!$AL58=BL$4,'Inputs Yr 2'!$AM58,IF('Inputs Yr 2'!$AN58=BL$4,'Inputs Yr 2'!$AO58,0))))*(INDEX(avoidedcosttbl2,$H58,BU$2)+(($H58-ROUNDDOWN($H58,0))*(INDEX(avoidedcosttbl2,ROUNDUP($H58,0),BU$2)-(INDEX(avoidedcosttbl2,ROUNDDOWN($H58,0),BU$2)))))*'Inputs Yr 2'!P58*'Inputs Yr 2'!Q58*'Inputs Yr 2'!U58,"")</f>
        <v>104581.84645365976</v>
      </c>
      <c r="BV58" s="775">
        <f>IFERROR(($G58*IF('Inputs Yr 2'!$AJ58=BJ$4,'Inputs Yr 2'!$AK58,IF('Inputs Yr 2'!$AL58=BJ$4,'Inputs Yr 2'!$AM58,IF('Inputs Yr 2'!$AN58=BJ$4,'Inputs Yr 2'!$AO58,0))))*(INDEX(avoidedcosttbl2,$H58,BV$2)+(($H58-ROUNDDOWN($H58,0))*(INDEX(avoidedcosttbl2,ROUNDUP($H58,0),BV$2)-(INDEX(avoidedcosttbl2,ROUNDDOWN($H58,0),BV$2)))))*'Inputs Yr 2'!P58*'Inputs Yr 2'!Q58*'Inputs Yr 2'!U58,"")</f>
        <v>0</v>
      </c>
      <c r="BW58" s="197">
        <f>IFERROR(($G58*IF('Inputs Yr 2'!$AJ58=BN$4,'Inputs Yr 2'!$AK58,IF('Inputs Yr 2'!$AL58=BN$4,'Inputs Yr 2'!$AM58,IF('Inputs Yr 2'!$AN58=BN$4,'Inputs Yr 2'!$AO58,0))))*(INDEX(avoidedcosttbl2,$H58,BW$2)+(($H58-ROUNDDOWN($H58,0))*(INDEX(avoidedcosttbl2,ROUNDUP($H58,0),BW$2)-(INDEX(avoidedcosttbl2,ROUNDDOWN($H58,0),BW$2)))))*'Inputs Yr 2'!P58*'Inputs Yr 2'!Q58*'Inputs Yr 2'!U58,"")</f>
        <v>0</v>
      </c>
      <c r="BX58" s="197">
        <f>IFERROR(($G58*IF('Inputs Yr 2'!$AJ58=BO$4,'Inputs Yr 2'!$AK58,IF('Inputs Yr 2'!$AL58=BO$4,'Inputs Yr 2'!$AM58,IF('Inputs Yr 2'!$AN58=BO$4,'Inputs Yr 2'!$AO58,0))))*(INDEX(avoidedcosttbl2,$H58,BX$2)+(($H58-ROUNDDOWN($H58,0))*(INDEX(avoidedcosttbl2,ROUNDUP($H58,0),BX$2)-(INDEX(avoidedcosttbl2,ROUNDDOWN($H58,0),BX$2)))))*'Inputs Yr 2'!P58*'Inputs Yr 2'!Q58*'Inputs Yr 2'!U58,"")</f>
        <v>0</v>
      </c>
      <c r="BY58" s="197">
        <f>IFERROR(($G58*IF('Inputs Yr 2'!$AJ58=BP$4,'Inputs Yr 2'!$AK58,IF('Inputs Yr 2'!$AL58=BP$4,'Inputs Yr 2'!$AM58,IF('Inputs Yr 2'!$AN58=BP$4,'Inputs Yr 2'!$AO58,0))))*(INDEX(avoidedcosttbl2,$H58,BY$2)+(($H58-ROUNDDOWN($H58,0))*(INDEX(avoidedcosttbl2,ROUNDUP($H58,0),BY$2)-(INDEX(avoidedcosttbl2,ROUNDDOWN($H58,0),BY$2)))))*'Inputs Yr 2'!P58*'Inputs Yr 2'!Q58*'Inputs Yr 2'!U58,"")</f>
        <v>0</v>
      </c>
      <c r="BZ58" s="193">
        <f t="shared" si="39"/>
        <v>139034.81286382431</v>
      </c>
      <c r="CA58" s="193">
        <f t="shared" si="40"/>
        <v>2365794.0222522537</v>
      </c>
      <c r="CB58" s="195">
        <f>IFERROR(G58*(IF('Inputs Yr 2'!$AJ58=CB$4,'Inputs Yr 2'!$AK58,IF('Inputs Yr 2'!$AL58=CB$4,'Inputs Yr 2'!$AM58,IF('Inputs Yr 2'!$AN58=CB$4,'Inputs Yr 2'!$AO58,0))))*(INDEX(avoidedcosttbl2,$H58,CB$2)+(($H58-ROUNDDOWN($H58,0))*(INDEX(avoidedcosttbl2,ROUNDUP($H58,0),CB$2)-(INDEX(avoidedcosttbl2,ROUNDDOWN($H58,0),CB$2)))))*'Inputs Yr 2'!P58*'Inputs Yr 2'!Q58*'Inputs Yr 2'!U58,"")</f>
        <v>0</v>
      </c>
      <c r="CC58" s="195">
        <f>IFERROR(H58*(IF('Inputs Yr 2'!$AJ58=CC$4,'Inputs Yr 2'!$AK58,IF('Inputs Yr 2'!$AL58=CC$4,'Inputs Yr 2'!$AM58,IF('Inputs Yr 2'!$AN58=CC$4,'Inputs Yr 2'!$AO58,0))))*(INDEX(avoidedcosttbl2,$H58,CC$2)+(($H58-ROUNDDOWN($H58,0))*(INDEX(avoidedcosttbl2,ROUNDUP($H58,0),CC$2)-(INDEX(avoidedcosttbl2,ROUNDDOWN($H58,0),CC$2)))))*'Inputs Yr 2'!Q58*'Inputs Yr 2'!R58*'Inputs Yr 2'!V58,"")</f>
        <v>0</v>
      </c>
      <c r="CD58" s="195">
        <f>IFERROR(I58*(IF('Inputs Yr 2'!$AJ58=CD$4,'Inputs Yr 2'!$AK58,IF('Inputs Yr 2'!$AL58=CD$4,'Inputs Yr 2'!$AM58,IF('Inputs Yr 2'!$AN58=CD$4,'Inputs Yr 2'!$AO58,0))))*(INDEX(avoidedcosttbl2,$H58,CD$2)+(($H58-ROUNDDOWN($H58,0))*(INDEX(avoidedcosttbl2,ROUNDUP($H58,0),CD$2)-(INDEX(avoidedcosttbl2,ROUNDDOWN($H58,0),CD$2)))))*'Inputs Yr 2'!R58*'Inputs Yr 2'!S58*'Inputs Yr 2'!W58,"")</f>
        <v>0</v>
      </c>
      <c r="CE58" s="213">
        <f t="shared" si="41"/>
        <v>0</v>
      </c>
      <c r="CF58" s="213">
        <f t="shared" si="42"/>
        <v>0</v>
      </c>
      <c r="CG58" s="213">
        <f t="shared" si="43"/>
        <v>0</v>
      </c>
      <c r="CH58" s="698">
        <f t="shared" si="44"/>
        <v>2365794.0222522537</v>
      </c>
      <c r="CI58" s="79">
        <f>IFERROR(($G58*'Inputs Yr 2'!$P58*'Inputs Yr 2'!$Q58*(((INDEX(avoidedcosttbl2,$H58,CI$2)+(($H58-ROUNDDOWN($H58,0))*(INDEX(avoidedcosttbl2,ROUNDUP($H58,0),CI$2)-INDEX(avoidedcosttbl2,ROUNDDOWN($H58,0),CI$2))))*'Inputs Yr 2'!AS58))),"")</f>
        <v>665488.26422783372</v>
      </c>
      <c r="CJ58" s="504">
        <f>IFERROR($G58*'Inputs Yr 2'!AT58*'Inputs Yr 2'!$P58*'Inputs Yr 2'!$Q58/((1+realdiscrt1)^-0.5),"")</f>
        <v>0</v>
      </c>
      <c r="CK58" s="79">
        <f>IFERROR((O58*1000*(((INDEX(avoidedcosttbl2,$H58,CK$2)+(($H58-ROUNDDOWN($H58,0))*(INDEX(avoidedcosttbl2,ROUNDUP($H58,0),CK$2)-INDEX(avoidedcosttbl2,ROUNDDOWN($H58,0),CK$2))))*'Inputs Yr 2'!AU58))),"")</f>
        <v>0</v>
      </c>
      <c r="CL58" s="504">
        <f>IFERROR(O58*1000*'Inputs Yr 2'!AV58/((1+realdiscrt1)^-0.5),"")</f>
        <v>0</v>
      </c>
      <c r="CM58" s="79">
        <f>IFERROR((AB58*'Inputs Yr 2'!AW58*(((INDEX(avoidedcosttbl2,$H58,CM$2)+(($H58-ROUNDDOWN($H58,0))*(INDEX(avoidedcosttbl2,ROUNDUP($H58,0),CM$2)-INDEX(avoidedcosttbl2,ROUNDDOWN($H58,0),CM$2)))))))*10,"")</f>
        <v>0</v>
      </c>
      <c r="CN58" s="504">
        <f>IFERROR(10*AB58*'Inputs Yr 2'!AX58/((1+realdiscrt1)^-0.5),"")</f>
        <v>0</v>
      </c>
      <c r="CO58" s="505">
        <f t="shared" si="45"/>
        <v>665488.26422783372</v>
      </c>
      <c r="CP58" s="230">
        <f t="shared" si="46"/>
        <v>3031282.2864800873</v>
      </c>
      <c r="CQ58" s="199">
        <f>ROUND(IFERROR(IF(LEFT($A58,1)="C",'Avoided Costs'!$K$13,'Avoided Costs'!$K$12)+1,""),4)</f>
        <v>1.0720000000000001</v>
      </c>
      <c r="CR58" s="199">
        <f>ROUND(IFERROR(IF(LEFT($A58,1)="C",'Avoided Costs'!$L$13,'Avoided Costs'!$L$12)+1,""),4)</f>
        <v>1.04</v>
      </c>
      <c r="CS58" s="199">
        <f>ROUND(IFERROR(IF(LEFT($A58,1)="C",'Avoided Costs'!$M$13,'Avoided Costs'!$M$12)+1,""),4)</f>
        <v>1.0720000000000001</v>
      </c>
      <c r="CT58" s="199">
        <f>ROUND(IFERROR(IF(LEFT($A58,1)="C",'Avoided Costs'!$N$13,'Avoided Costs'!$N$12)+1,""),4)</f>
        <v>1.04</v>
      </c>
      <c r="CU58" s="199">
        <f>ROUND(IFERROR(IF(LEFT($A58,1)="C",'Avoided Costs'!$O$13,'Avoided Costs'!$O$12)+1,""),4)</f>
        <v>1.1120000000000001</v>
      </c>
      <c r="CV58" s="199">
        <f>ROUND(IFERROR(IF(LEFT($A58,1)="C",'Avoided Costs'!$P$13,'Avoided Costs'!$P$12)+1,""),4)</f>
        <v>1.095</v>
      </c>
      <c r="CW58" s="199">
        <f>ROUND(IFERROR(IF(LEFT($A58,1)="C",'Avoided Costs'!$Q$13,'Avoided Costs'!$Q$12)+1,""),4)</f>
        <v>1.1120000000000001</v>
      </c>
      <c r="CX58" s="200">
        <f>ROUND(IFERROR(IF(LEFT($A58,1)="C",'Avoided Costs'!$R$13,'Avoided Costs'!$R$12)+1,""),4)</f>
        <v>1.1120000000000001</v>
      </c>
    </row>
    <row r="59" spans="1:102" ht="12.75" customHeight="1">
      <c r="A59" s="91" t="str">
        <f>IF('Inputs Yr 2'!$B59=0,"",'Inputs Yr 2'!A59)</f>
        <v>A - Residential</v>
      </c>
      <c r="B59" s="91" t="str">
        <f>IF('Inputs Yr 2'!$B59=0,"",'Inputs Yr 2'!B59)</f>
        <v>A1 - Residential Whole House</v>
      </c>
      <c r="C59" s="91" t="str">
        <f>IF('Inputs Yr 2'!$B59=0,"",'Inputs Yr 2'!C59)</f>
        <v>A1c - Residential Home Energy Services - Measures</v>
      </c>
      <c r="D59" s="91" t="str">
        <f>IF('Inputs Yr 2'!$B59=0,"",'Inputs Yr 2'!E59)</f>
        <v>Early Retirement Boiler, Forced Hot Water (Retire)</v>
      </c>
      <c r="E59" s="93" t="str">
        <f>IF('Inputs Yr 2'!$B59=0,"",'Inputs Yr 2'!F59)</f>
        <v>G16A1c15</v>
      </c>
      <c r="F59" s="93" t="str">
        <f>IF('Inputs Yr 2'!$B59=0,"",'Inputs Yr 2'!G59)</f>
        <v>HVAC</v>
      </c>
      <c r="G59" s="95">
        <f>IF('Inputs Yr 2'!$H59&lt;&gt;0,('Inputs Yr 2'!H59),"")</f>
        <v>1127</v>
      </c>
      <c r="H59" s="94">
        <f>IFERROR('Inputs Yr 2'!I59,"")</f>
        <v>10</v>
      </c>
      <c r="I59" s="298">
        <f>IFERROR('Inputs Yr 2'!J59*'Inputs Yr 2'!P59*G59,"")</f>
        <v>0</v>
      </c>
      <c r="J59" s="298">
        <f>IFERROR('Inputs Yr 2'!K59*G59,"")</f>
        <v>0</v>
      </c>
      <c r="K59" s="298">
        <f t="shared" si="23"/>
        <v>0</v>
      </c>
      <c r="L59" s="194">
        <f>IFERROR(('Inputs Yr 2'!W59*G59)/1000,"")</f>
        <v>0</v>
      </c>
      <c r="M59" s="194">
        <f>IFERROR(L59*('Inputs Yr 2'!$Q59*'Inputs Yr 2'!$V59*'Inputs Yr 2'!$R59),"")</f>
        <v>0</v>
      </c>
      <c r="N59" s="194">
        <f t="shared" si="24"/>
        <v>0</v>
      </c>
      <c r="O59" s="194">
        <f>IFERROR(M59*'Inputs Yr 2'!P59,"")</f>
        <v>0</v>
      </c>
      <c r="P59" s="194">
        <f t="shared" si="25"/>
        <v>0</v>
      </c>
      <c r="Q59" s="194">
        <f>IFERROR($P59*'Inputs Yr 2'!AA59,"")</f>
        <v>0</v>
      </c>
      <c r="R59" s="194">
        <f>IFERROR($P59*'Inputs Yr 2'!AB59,"")</f>
        <v>0</v>
      </c>
      <c r="S59" s="194">
        <f>IFERROR($P59*'Inputs Yr 2'!AC59,"")</f>
        <v>0</v>
      </c>
      <c r="T59" s="194">
        <f>IFERROR($P59*'Inputs Yr 2'!AD59,"")</f>
        <v>0</v>
      </c>
      <c r="U59" s="194">
        <f>IFERROR(G59*'Inputs Yr 2'!$AE59*'Inputs Yr 2'!$P59*'Inputs Yr 2'!$Q59,"")</f>
        <v>0</v>
      </c>
      <c r="V59" s="194">
        <f>IFERROR($G59*'Inputs Yr 2'!$AE59*'Inputs Yr 2'!$AG59*'Inputs Yr 2'!Q59*'Inputs Yr 2'!$S59,"")</f>
        <v>0</v>
      </c>
      <c r="W59" s="194">
        <f>IFERROR($G59*'Inputs Yr 2'!$AE59*'Inputs Yr 2'!$AG59*'Inputs Yr 2'!P59*'Inputs Yr 2'!Q59*'Inputs Yr 2'!$S59,"")</f>
        <v>0</v>
      </c>
      <c r="X59" s="194">
        <f>IFERROR($G59*'Inputs Yr 2'!$AE59*'Inputs Yr 2'!$AF59*'Inputs Yr 2'!Q59*'Inputs Yr 2'!$T59,"")</f>
        <v>0</v>
      </c>
      <c r="Y59" s="194">
        <f>IFERROR($G59*'Inputs Yr 2'!$AE59*'Inputs Yr 2'!$AF59*'Inputs Yr 2'!P59*'Inputs Yr 2'!Q59*'Inputs Yr 2'!$T59,"")</f>
        <v>0</v>
      </c>
      <c r="Z59" s="257">
        <f>IFERROR($G59*'Inputs Yr 2'!$Q59*'Inputs Yr 2'!$U59*(IF(IFERROR(SEARCH("NG", 'Inputs Yr 2'!$AJ59),0),'Inputs Yr 2'!$AK59,0)+IF(IFERROR(SEARCH("NG", 'Inputs Yr 2'!$AL59),0),'Inputs Yr 2'!$AM59,0)+IF(IFERROR(SEARCH("NG", 'Inputs Yr 2'!$AN59),0),'Inputs Yr 2'!$AO59,0)),0)</f>
        <v>7889</v>
      </c>
      <c r="AA59" s="257">
        <f t="shared" si="26"/>
        <v>78890</v>
      </c>
      <c r="AB59" s="257">
        <f>IFERROR(Z59*'Inputs Yr 2'!$P59,0)</f>
        <v>7889</v>
      </c>
      <c r="AC59" s="257">
        <f t="shared" si="27"/>
        <v>78890</v>
      </c>
      <c r="AD59" s="257">
        <f>IFERROR($G59*'Inputs Yr 2'!$Q59*'Inputs Yr 2'!$U59*(IF(IFERROR(SEARCH("Oil", 'Inputs Yr 2'!$AJ59), 0),'Inputs Yr 2'!$AK59,0)+IF(IFERROR(SEARCH("Oil", 'Inputs Yr 2'!$AL59), 0),'Inputs Yr 2'!$AM59,0)+IF(IFERROR(SEARCH("Oil", 'Inputs Yr 2'!$AN59), 0),'Inputs Yr 2'!$AO59,0)),0)</f>
        <v>0</v>
      </c>
      <c r="AE59" s="257">
        <f t="shared" si="28"/>
        <v>0</v>
      </c>
      <c r="AF59" s="257">
        <f>IFERROR(AD59*'Inputs Yr 2'!$P59,0)</f>
        <v>0</v>
      </c>
      <c r="AG59" s="257">
        <f t="shared" si="29"/>
        <v>0</v>
      </c>
      <c r="AH59" s="257">
        <f>IFERROR($G59*'Inputs Yr 2'!$Q59*'Inputs Yr 2'!$U59*(IF('Inputs Yr 2'!$AJ59=CD$4,'Inputs Yr 2'!$AK59,IF('Inputs Yr 2'!$AL59=CD$4,'Inputs Yr 2'!$AM59,IF('Inputs Yr 2'!$AN59=CD$4,'Inputs Yr 2'!$AO59,0)))),0)</f>
        <v>0</v>
      </c>
      <c r="AI59" s="257">
        <f t="shared" si="30"/>
        <v>0</v>
      </c>
      <c r="AJ59" s="257">
        <f>IFERROR(AH59*'Inputs Yr 2'!$P59,0)</f>
        <v>0</v>
      </c>
      <c r="AK59" s="257">
        <f t="shared" si="31"/>
        <v>0</v>
      </c>
      <c r="AL59" s="258">
        <f>IFERROR($G59*'Inputs Yr 2'!$P59*'Inputs Yr 2'!$Q59*'Inputs Yr 2'!AP59,0)</f>
        <v>0</v>
      </c>
      <c r="AM59" s="260">
        <f>IFERROR($G59*'Inputs Yr 2'!$P59*'Inputs Yr 2'!$Q59*'Inputs Yr 2'!AQ59,0)</f>
        <v>0</v>
      </c>
      <c r="AN59" s="258">
        <f>IFERROR($G59*'Inputs Yr 2'!$P59*'Inputs Yr 2'!$Q59*'Inputs Yr 2'!AR59,0)</f>
        <v>0</v>
      </c>
      <c r="AO59" s="257">
        <f t="shared" si="32"/>
        <v>0</v>
      </c>
      <c r="AP59" s="195">
        <f>IFERROR($CQ59*(INDEX(avoidedcosttbl2,$H59,AP$2)+(($H59-ROUNDDOWN($H59,0))*(INDEX(avoidedcosttbl2,ROUNDUP($H59,0),AP$2)-(INDEX(avoidedcosttbl2,ROUNDDOWN($H59,0),AP$2)))))*$O59*1000*'Inputs Yr 2'!AA59,"")</f>
        <v>0</v>
      </c>
      <c r="AQ59" s="195">
        <f>IFERROR($CR59*(INDEX(avoidedcosttbl2,$H59,AQ$2)+(($H59-ROUNDDOWN($H59,0))*(INDEX(avoidedcosttbl2,ROUNDUP($H59,0),AQ$2)-(INDEX(avoidedcosttbl2,ROUNDDOWN($H59,0),AQ$2)))))*$O59*1000*'Inputs Yr 2'!AB59,"")</f>
        <v>0</v>
      </c>
      <c r="AR59" s="195">
        <f>IFERROR($CS59*(INDEX(avoidedcosttbl2,$H59,AR$2)+(($H59-ROUNDDOWN($H59,0))*(INDEX(avoidedcosttbl2,ROUNDUP($H59,0),AR$2)-(INDEX(avoidedcosttbl2,ROUNDDOWN($H59,0),AR$2)))))*$O59*1000*'Inputs Yr 2'!AC59,"")</f>
        <v>0</v>
      </c>
      <c r="AS59" s="195">
        <f>IFERROR($CT59*(INDEX(avoidedcosttbl2,$H59,AS$2)+(($H59-ROUNDDOWN($H59,0))*(INDEX(avoidedcosttbl2,ROUNDUP($H59,0),AS$2)-(INDEX(avoidedcosttbl2,ROUNDDOWN($H59,0),AS$2)))))*$O59*1000*'Inputs Yr 2'!AD59,"")</f>
        <v>0</v>
      </c>
      <c r="AT59" s="196">
        <f t="shared" si="33"/>
        <v>0</v>
      </c>
      <c r="AU59" s="197">
        <f>IFERROR($CQ59*((INDEX(avoidedcosttbl2,$H59,AU$2))+(($H59-ROUNDDOWN($H59,0))*((INDEX(avoidedcosttbl2,ROUNDUP($H59,0),AU$2))-(INDEX(avoidedcosttbl2,ROUNDDOWN($H59,0),AU$2)))))*$O59*1000*'Inputs Yr 2'!AA59,"")</f>
        <v>0</v>
      </c>
      <c r="AV59" s="197">
        <f>IFERROR($CR59*((INDEX(avoidedcosttbl2,$H59,AV$2))+(($H59-ROUNDDOWN($H59,0))*((INDEX(avoidedcosttbl2,ROUNDUP($H59,0),AV$2))-(INDEX(avoidedcosttbl2,ROUNDDOWN($H59,0),AV$2)))))*$O59*1000*'Inputs Yr 2'!AB59,"")</f>
        <v>0</v>
      </c>
      <c r="AW59" s="197">
        <f>IFERROR($CS59*((INDEX(avoidedcosttbl2,$H59,AW$2))+(($H59-ROUNDDOWN($H59,0))*((INDEX(avoidedcosttbl2,ROUNDUP($H59,0),AW$2))-(INDEX(avoidedcosttbl2,ROUNDDOWN($H59,0),AW$2)))))*$O59*1000*'Inputs Yr 2'!AC59,"")</f>
        <v>0</v>
      </c>
      <c r="AX59" s="197">
        <f>IFERROR($CT59*((INDEX(avoidedcosttbl2,$H59,AX$2))+(($H59-ROUNDDOWN($H59,0))*((INDEX(avoidedcosttbl2,ROUNDUP($H59,0),AX$2))-(INDEX(avoidedcosttbl2,ROUNDDOWN($H59,0),AX$2)))))*$O59*1000*'Inputs Yr 2'!AD59,"")</f>
        <v>0</v>
      </c>
      <c r="AY59" s="197">
        <f>IFERROR(((INDEX(avoidedcosttbl2,$H59,AY$2))+(($H59-ROUNDDOWN($H59,0))*((INDEX(avoidedcosttbl2,ROUNDUP($H59,0),AY$2))-(INDEX(avoidedcosttbl2,ROUNDDOWN($H59,0),AY$2)))))*$O59*1000*('Inputs Yr 2'!AC59+'Inputs Yr 2'!AD59),"")</f>
        <v>0</v>
      </c>
      <c r="AZ59" s="197">
        <f>IFERROR(((INDEX(avoidedcosttbl2,$H59,AZ$2))+(($H59-ROUNDDOWN($H59,0))*((INDEX(avoidedcosttbl2,ROUNDUP($H59,0),AZ$2))-(INDEX(avoidedcosttbl2,ROUNDDOWN($H59,0),AZ$2)))))*$O59*1000*('Inputs Yr 2'!AA59+'Inputs Yr 2'!AB59),"")</f>
        <v>0</v>
      </c>
      <c r="BA59" s="198">
        <f t="shared" si="34"/>
        <v>0</v>
      </c>
      <c r="BB59" s="198">
        <f t="shared" si="35"/>
        <v>0</v>
      </c>
      <c r="BC59" s="195">
        <f t="shared" si="10"/>
        <v>0</v>
      </c>
      <c r="BD59" s="195">
        <f t="shared" si="11"/>
        <v>0</v>
      </c>
      <c r="BE59" s="195">
        <f t="shared" si="12"/>
        <v>0</v>
      </c>
      <c r="BF59" s="195">
        <f t="shared" si="13"/>
        <v>0</v>
      </c>
      <c r="BG59" s="195">
        <f t="shared" si="14"/>
        <v>0</v>
      </c>
      <c r="BH59" s="196">
        <f t="shared" si="36"/>
        <v>0</v>
      </c>
      <c r="BI59" s="196">
        <f t="shared" si="37"/>
        <v>0</v>
      </c>
      <c r="BJ59" s="195">
        <f>IFERROR($G59*(IF('Inputs Yr 2'!$AJ59=BJ$4,'Inputs Yr 2'!$AK59,IF('Inputs Yr 2'!$AL59=BJ$4,'Inputs Yr 2'!$AM59,IF('Inputs Yr 2'!$AN59=BJ$4,'Inputs Yr 2'!$AO59,0))))*(INDEX(avoidedcosttbl2,$H59,BJ$2)+(($H59-ROUNDDOWN($H59,0))*(INDEX(avoidedcosttbl2,ROUNDUP($H59,0),BJ$2)-(INDEX(avoidedcosttbl2,ROUNDDOWN($H59,0),BJ$2)))))*'Inputs Yr 2'!P59*'Inputs Yr 2'!Q59*'Inputs Yr 2'!U59,"")</f>
        <v>0</v>
      </c>
      <c r="BK59" s="195">
        <f>IFERROR($G59*(IF('Inputs Yr 2'!$AJ59=BK$4,'Inputs Yr 2'!$AK59,IF('Inputs Yr 2'!$AL59=BK$4,'Inputs Yr 2'!$AM59,IF('Inputs Yr 2'!$AN59=BK$4,'Inputs Yr 2'!$AO59,0))))*(INDEX(avoidedcosttbl2,$H59,BK$2)+(($H59-ROUNDDOWN($H59,0))*(INDEX(avoidedcosttbl2,ROUNDUP($H59,0),BK$2)-(INDEX(avoidedcosttbl2,ROUNDDOWN($H59,0),BK$2)))))*'Inputs Yr 2'!P59*'Inputs Yr 2'!Q59*'Inputs Yr 2'!U59,"")</f>
        <v>0</v>
      </c>
      <c r="BL59" s="195">
        <f>IFERROR($G59*(IF('Inputs Yr 2'!$AJ59=BL$4,'Inputs Yr 2'!$AK59,IF('Inputs Yr 2'!$AL59=BL$4,'Inputs Yr 2'!$AM59,IF('Inputs Yr 2'!$AN59=BL$4,'Inputs Yr 2'!$AO59,0))))*(INDEX(avoidedcosttbl2,$H59,BL$2)+(($H59-ROUNDDOWN($H59,0))*(INDEX(avoidedcosttbl2,ROUNDUP($H59,0),BL$2)-(INDEX(avoidedcosttbl2,ROUNDDOWN($H59,0),BL$2)))))*'Inputs Yr 2'!P59*'Inputs Yr 2'!Q59*'Inputs Yr 2'!U59,"")</f>
        <v>650232.14938398672</v>
      </c>
      <c r="BM59" s="195">
        <f>IFERROR($G59*(IF('Inputs Yr 2'!$AJ59=BM$4,'Inputs Yr 2'!$AK59,IF('Inputs Yr 2'!$AL59=BM$4,'Inputs Yr 2'!$AM59,IF('Inputs Yr 2'!$AN59=BM$4,'Inputs Yr 2'!$AO59,0))))*(INDEX(avoidedcosttbl2,$H59,BM$2)+(($H59-ROUNDDOWN($H59,0))*(INDEX(avoidedcosttbl2,ROUNDUP($H59,0),BM$2)-(INDEX(avoidedcosttbl2,ROUNDDOWN($H59,0),BM$2)))))*'Inputs Yr 2'!P59*'Inputs Yr 2'!Q59*'Inputs Yr 2'!U59,"")</f>
        <v>0</v>
      </c>
      <c r="BN59" s="195">
        <f>IFERROR($G59*(IF('Inputs Yr 2'!$AJ59=BN$4,'Inputs Yr 2'!$AK59,IF('Inputs Yr 2'!$AL59=BN$4,'Inputs Yr 2'!$AM59,IF('Inputs Yr 2'!$AN59=BN$4,'Inputs Yr 2'!$AO59,0))))*(INDEX(avoidedcosttbl2,$H59,BN$2)+(($H59-ROUNDDOWN($H59,0))*(INDEX(avoidedcosttbl2,ROUNDUP($H59,0),BN$2)-(INDEX(avoidedcosttbl2,ROUNDDOWN($H59,0),BN$2)))))*'Inputs Yr 2'!P59*'Inputs Yr 2'!Q59*'Inputs Yr 2'!U59,"")</f>
        <v>0</v>
      </c>
      <c r="BO59" s="195">
        <f>IFERROR($G59*(IF('Inputs Yr 2'!$AJ59=BO$4,'Inputs Yr 2'!$AK59,IF('Inputs Yr 2'!$AL59=BO$4,'Inputs Yr 2'!$AM59,IF('Inputs Yr 2'!$AN59=BO$4,'Inputs Yr 2'!$AO59,0))))*(INDEX(avoidedcosttbl2,$H59,BO$2)+(($H59-ROUNDDOWN($H59,0))*(INDEX(avoidedcosttbl2,ROUNDUP($H59,0),BO$2)-(INDEX(avoidedcosttbl2,ROUNDDOWN($H59,0),BO$2)))))*'Inputs Yr 2'!P59*'Inputs Yr 2'!Q59*'Inputs Yr 2'!U59,"")</f>
        <v>0</v>
      </c>
      <c r="BP59" s="195">
        <f>IFERROR($G59*(IF('Inputs Yr 2'!$AJ59=BP$4,'Inputs Yr 2'!$AK59,IF('Inputs Yr 2'!$AL59=BP$4,'Inputs Yr 2'!$AM59,IF('Inputs Yr 2'!$AN59=BP$4,'Inputs Yr 2'!$AO59,0))))*(INDEX(avoidedcosttbl2,$H59,BP$2)+(($H59-ROUNDDOWN($H59,0))*(INDEX(avoidedcosttbl2,ROUNDUP($H59,0),BP$2)-(INDEX(avoidedcosttbl2,ROUNDDOWN($H59,0),BP$2)))))*'Inputs Yr 2'!P59*'Inputs Yr 2'!Q59*'Inputs Yr 2'!U59,"")</f>
        <v>0</v>
      </c>
      <c r="BQ59" s="230">
        <f t="shared" si="38"/>
        <v>650232.14938398672</v>
      </c>
      <c r="BR59" s="197">
        <f t="shared" si="17"/>
        <v>10809.826006564421</v>
      </c>
      <c r="BS59" s="197">
        <f>IFERROR(($G59*IF('Inputs Yr 2'!$AJ59=BM$4,'Inputs Yr 2'!$AK59,IF('Inputs Yr 2'!$AL59=BM$4,'Inputs Yr 2'!$AM59,IF('Inputs Yr 2'!$AN59=BM$4,'Inputs Yr 2'!$AO59,0))))*(INDEX(avoidedcosttbl2,$H59,BS$2)+(($H59-ROUNDDOWN($H59,0))*(INDEX(avoidedcosttbl2,ROUNDUP($H59,0),BS$2)-(INDEX(avoidedcosttbl2,ROUNDDOWN($H59,0),BS$2)))))*'Inputs Yr 2'!P59*'Inputs Yr 2'!Q59*'Inputs Yr 2'!U59,"")</f>
        <v>0</v>
      </c>
      <c r="BT59" s="197">
        <f>IFERROR(($G59*IF('Inputs Yr 2'!$AJ59=BK$4,'Inputs Yr 2'!$AK59,IF('Inputs Yr 2'!$AL59=BK$4,'Inputs Yr 2'!$AM59,IF('Inputs Yr 2'!$AN59=BK$4,'Inputs Yr 2'!$AO59,0))))*(INDEX(avoidedcosttbl2,$H59,BT$2)+(($H59-ROUNDDOWN($H59,0))*(INDEX(avoidedcosttbl2,ROUNDUP($H59,0),BT$2)-(INDEX(avoidedcosttbl2,ROUNDDOWN($H59,0),BT$2)))))*'Inputs Yr 2'!P59*'Inputs Yr 2'!Q59*'Inputs Yr 2'!U59,"")</f>
        <v>0</v>
      </c>
      <c r="BU59" s="197">
        <f>IFERROR(($G59*IF('Inputs Yr 2'!$AJ59=BL$4,'Inputs Yr 2'!$AK59,IF('Inputs Yr 2'!$AL59=BL$4,'Inputs Yr 2'!$AM59,IF('Inputs Yr 2'!$AN59=BL$4,'Inputs Yr 2'!$AO59,0))))*(INDEX(avoidedcosttbl2,$H59,BU$2)+(($H59-ROUNDDOWN($H59,0))*(INDEX(avoidedcosttbl2,ROUNDUP($H59,0),BU$2)-(INDEX(avoidedcosttbl2,ROUNDDOWN($H59,0),BU$2)))))*'Inputs Yr 2'!P59*'Inputs Yr 2'!Q59*'Inputs Yr 2'!U59,"")</f>
        <v>57863.241576981112</v>
      </c>
      <c r="BV59" s="775">
        <f>IFERROR(($G59*IF('Inputs Yr 2'!$AJ59=BJ$4,'Inputs Yr 2'!$AK59,IF('Inputs Yr 2'!$AL59=BJ$4,'Inputs Yr 2'!$AM59,IF('Inputs Yr 2'!$AN59=BJ$4,'Inputs Yr 2'!$AO59,0))))*(INDEX(avoidedcosttbl2,$H59,BV$2)+(($H59-ROUNDDOWN($H59,0))*(INDEX(avoidedcosttbl2,ROUNDUP($H59,0),BV$2)-(INDEX(avoidedcosttbl2,ROUNDDOWN($H59,0),BV$2)))))*'Inputs Yr 2'!P59*'Inputs Yr 2'!Q59*'Inputs Yr 2'!U59,"")</f>
        <v>0</v>
      </c>
      <c r="BW59" s="197">
        <f>IFERROR(($G59*IF('Inputs Yr 2'!$AJ59=BN$4,'Inputs Yr 2'!$AK59,IF('Inputs Yr 2'!$AL59=BN$4,'Inputs Yr 2'!$AM59,IF('Inputs Yr 2'!$AN59=BN$4,'Inputs Yr 2'!$AO59,0))))*(INDEX(avoidedcosttbl2,$H59,BW$2)+(($H59-ROUNDDOWN($H59,0))*(INDEX(avoidedcosttbl2,ROUNDUP($H59,0),BW$2)-(INDEX(avoidedcosttbl2,ROUNDDOWN($H59,0),BW$2)))))*'Inputs Yr 2'!P59*'Inputs Yr 2'!Q59*'Inputs Yr 2'!U59,"")</f>
        <v>0</v>
      </c>
      <c r="BX59" s="197">
        <f>IFERROR(($G59*IF('Inputs Yr 2'!$AJ59=BO$4,'Inputs Yr 2'!$AK59,IF('Inputs Yr 2'!$AL59=BO$4,'Inputs Yr 2'!$AM59,IF('Inputs Yr 2'!$AN59=BO$4,'Inputs Yr 2'!$AO59,0))))*(INDEX(avoidedcosttbl2,$H59,BX$2)+(($H59-ROUNDDOWN($H59,0))*(INDEX(avoidedcosttbl2,ROUNDUP($H59,0),BX$2)-(INDEX(avoidedcosttbl2,ROUNDDOWN($H59,0),BX$2)))))*'Inputs Yr 2'!P59*'Inputs Yr 2'!Q59*'Inputs Yr 2'!U59,"")</f>
        <v>0</v>
      </c>
      <c r="BY59" s="197">
        <f>IFERROR(($G59*IF('Inputs Yr 2'!$AJ59=BP$4,'Inputs Yr 2'!$AK59,IF('Inputs Yr 2'!$AL59=BP$4,'Inputs Yr 2'!$AM59,IF('Inputs Yr 2'!$AN59=BP$4,'Inputs Yr 2'!$AO59,0))))*(INDEX(avoidedcosttbl2,$H59,BY$2)+(($H59-ROUNDDOWN($H59,0))*(INDEX(avoidedcosttbl2,ROUNDUP($H59,0),BY$2)-(INDEX(avoidedcosttbl2,ROUNDDOWN($H59,0),BY$2)))))*'Inputs Yr 2'!P59*'Inputs Yr 2'!Q59*'Inputs Yr 2'!U59,"")</f>
        <v>0</v>
      </c>
      <c r="BZ59" s="193">
        <f t="shared" si="39"/>
        <v>68673.067583545533</v>
      </c>
      <c r="CA59" s="193">
        <f t="shared" si="40"/>
        <v>718905.21696753229</v>
      </c>
      <c r="CB59" s="195">
        <f>IFERROR(G59*(IF('Inputs Yr 2'!$AJ59=CB$4,'Inputs Yr 2'!$AK59,IF('Inputs Yr 2'!$AL59=CB$4,'Inputs Yr 2'!$AM59,IF('Inputs Yr 2'!$AN59=CB$4,'Inputs Yr 2'!$AO59,0))))*(INDEX(avoidedcosttbl2,$H59,CB$2)+(($H59-ROUNDDOWN($H59,0))*(INDEX(avoidedcosttbl2,ROUNDUP($H59,0),CB$2)-(INDEX(avoidedcosttbl2,ROUNDDOWN($H59,0),CB$2)))))*'Inputs Yr 2'!P59*'Inputs Yr 2'!Q59*'Inputs Yr 2'!U59,"")</f>
        <v>0</v>
      </c>
      <c r="CC59" s="195">
        <f>IFERROR(H59*(IF('Inputs Yr 2'!$AJ59=CC$4,'Inputs Yr 2'!$AK59,IF('Inputs Yr 2'!$AL59=CC$4,'Inputs Yr 2'!$AM59,IF('Inputs Yr 2'!$AN59=CC$4,'Inputs Yr 2'!$AO59,0))))*(INDEX(avoidedcosttbl2,$H59,CC$2)+(($H59-ROUNDDOWN($H59,0))*(INDEX(avoidedcosttbl2,ROUNDUP($H59,0),CC$2)-(INDEX(avoidedcosttbl2,ROUNDDOWN($H59,0),CC$2)))))*'Inputs Yr 2'!Q59*'Inputs Yr 2'!R59*'Inputs Yr 2'!V59,"")</f>
        <v>0</v>
      </c>
      <c r="CD59" s="195">
        <f>IFERROR(I59*(IF('Inputs Yr 2'!$AJ59=CD$4,'Inputs Yr 2'!$AK59,IF('Inputs Yr 2'!$AL59=CD$4,'Inputs Yr 2'!$AM59,IF('Inputs Yr 2'!$AN59=CD$4,'Inputs Yr 2'!$AO59,0))))*(INDEX(avoidedcosttbl2,$H59,CD$2)+(($H59-ROUNDDOWN($H59,0))*(INDEX(avoidedcosttbl2,ROUNDUP($H59,0),CD$2)-(INDEX(avoidedcosttbl2,ROUNDDOWN($H59,0),CD$2)))))*'Inputs Yr 2'!R59*'Inputs Yr 2'!S59*'Inputs Yr 2'!W59,"")</f>
        <v>0</v>
      </c>
      <c r="CE59" s="213">
        <f t="shared" si="41"/>
        <v>0</v>
      </c>
      <c r="CF59" s="213">
        <f t="shared" si="42"/>
        <v>0</v>
      </c>
      <c r="CG59" s="213">
        <f t="shared" si="43"/>
        <v>0</v>
      </c>
      <c r="CH59" s="698">
        <f t="shared" si="44"/>
        <v>718905.21696753229</v>
      </c>
      <c r="CI59" s="79">
        <f>IFERROR(($G59*'Inputs Yr 2'!$P59*'Inputs Yr 2'!$Q59*(((INDEX(avoidedcosttbl2,$H59,CI$2)+(($H59-ROUNDDOWN($H59,0))*(INDEX(avoidedcosttbl2,ROUNDUP($H59,0),CI$2)-INDEX(avoidedcosttbl2,ROUNDDOWN($H59,0),CI$2))))*'Inputs Yr 2'!AS59))),"")</f>
        <v>1534512.9338254852</v>
      </c>
      <c r="CJ59" s="504">
        <f>IFERROR($G59*'Inputs Yr 2'!AT59*'Inputs Yr 2'!$P59*'Inputs Yr 2'!$Q59/((1+realdiscrt1)^-0.5),"")</f>
        <v>0</v>
      </c>
      <c r="CK59" s="79">
        <f>IFERROR((O59*1000*(((INDEX(avoidedcosttbl2,$H59,CK$2)+(($H59-ROUNDDOWN($H59,0))*(INDEX(avoidedcosttbl2,ROUNDUP($H59,0),CK$2)-INDEX(avoidedcosttbl2,ROUNDDOWN($H59,0),CK$2))))*'Inputs Yr 2'!AU59))),"")</f>
        <v>0</v>
      </c>
      <c r="CL59" s="504">
        <f>IFERROR(O59*1000*'Inputs Yr 2'!AV59/((1+realdiscrt1)^-0.5),"")</f>
        <v>0</v>
      </c>
      <c r="CM59" s="79">
        <f>IFERROR((AB59*'Inputs Yr 2'!AW59*(((INDEX(avoidedcosttbl2,$H59,CM$2)+(($H59-ROUNDDOWN($H59,0))*(INDEX(avoidedcosttbl2,ROUNDUP($H59,0),CM$2)-INDEX(avoidedcosttbl2,ROUNDDOWN($H59,0),CM$2)))))))*10,"")</f>
        <v>0</v>
      </c>
      <c r="CN59" s="504">
        <f>IFERROR(10*AB59*'Inputs Yr 2'!AX59/((1+realdiscrt1)^-0.5),"")</f>
        <v>0</v>
      </c>
      <c r="CO59" s="505">
        <f t="shared" si="45"/>
        <v>1534512.9338254852</v>
      </c>
      <c r="CP59" s="230">
        <f t="shared" si="46"/>
        <v>2253418.1507930174</v>
      </c>
      <c r="CQ59" s="199">
        <f>ROUND(IFERROR(IF(LEFT($A59,1)="C",'Avoided Costs'!$K$13,'Avoided Costs'!$K$12)+1,""),4)</f>
        <v>1.0720000000000001</v>
      </c>
      <c r="CR59" s="199">
        <f>ROUND(IFERROR(IF(LEFT($A59,1)="C",'Avoided Costs'!$L$13,'Avoided Costs'!$L$12)+1,""),4)</f>
        <v>1.04</v>
      </c>
      <c r="CS59" s="199">
        <f>ROUND(IFERROR(IF(LEFT($A59,1)="C",'Avoided Costs'!$M$13,'Avoided Costs'!$M$12)+1,""),4)</f>
        <v>1.0720000000000001</v>
      </c>
      <c r="CT59" s="199">
        <f>ROUND(IFERROR(IF(LEFT($A59,1)="C",'Avoided Costs'!$N$13,'Avoided Costs'!$N$12)+1,""),4)</f>
        <v>1.04</v>
      </c>
      <c r="CU59" s="199">
        <f>ROUND(IFERROR(IF(LEFT($A59,1)="C",'Avoided Costs'!$O$13,'Avoided Costs'!$O$12)+1,""),4)</f>
        <v>1.1120000000000001</v>
      </c>
      <c r="CV59" s="199">
        <f>ROUND(IFERROR(IF(LEFT($A59,1)="C",'Avoided Costs'!$P$13,'Avoided Costs'!$P$12)+1,""),4)</f>
        <v>1.095</v>
      </c>
      <c r="CW59" s="199">
        <f>ROUND(IFERROR(IF(LEFT($A59,1)="C",'Avoided Costs'!$Q$13,'Avoided Costs'!$Q$12)+1,""),4)</f>
        <v>1.1120000000000001</v>
      </c>
      <c r="CX59" s="200">
        <f>ROUND(IFERROR(IF(LEFT($A59,1)="C",'Avoided Costs'!$R$13,'Avoided Costs'!$R$12)+1,""),4)</f>
        <v>1.1120000000000001</v>
      </c>
    </row>
    <row r="60" spans="1:102" ht="12.75" customHeight="1">
      <c r="A60" s="91" t="str">
        <f>IF('Inputs Yr 2'!$B60=0,"",'Inputs Yr 2'!A60)</f>
        <v>A - Residential</v>
      </c>
      <c r="B60" s="91" t="str">
        <f>IF('Inputs Yr 2'!$B60=0,"",'Inputs Yr 2'!B60)</f>
        <v>A1 - Residential Whole House</v>
      </c>
      <c r="C60" s="91" t="str">
        <f>IF('Inputs Yr 2'!$B60=0,"",'Inputs Yr 2'!C60)</f>
        <v>A1c - Residential Home Energy Services - Measures</v>
      </c>
      <c r="D60" s="91" t="str">
        <f>IF('Inputs Yr 2'!$B60=0,"",'Inputs Yr 2'!E60)</f>
        <v>Early Retirement Boiler, Steam (EE)</v>
      </c>
      <c r="E60" s="93" t="str">
        <f>IF('Inputs Yr 2'!$B60=0,"",'Inputs Yr 2'!F60)</f>
        <v>G16A1c16</v>
      </c>
      <c r="F60" s="93" t="str">
        <f>IF('Inputs Yr 2'!$B60=0,"",'Inputs Yr 2'!G60)</f>
        <v>HVAC</v>
      </c>
      <c r="G60" s="95">
        <f>IF('Inputs Yr 2'!$H60&lt;&gt;0,('Inputs Yr 2'!H60),"")</f>
        <v>132</v>
      </c>
      <c r="H60" s="94">
        <f>IFERROR('Inputs Yr 2'!I60,"")</f>
        <v>20</v>
      </c>
      <c r="I60" s="298">
        <f>IFERROR('Inputs Yr 2'!J60*'Inputs Yr 2'!P60*G60,"")</f>
        <v>270072</v>
      </c>
      <c r="J60" s="298">
        <f>IFERROR('Inputs Yr 2'!K60*G60,"")</f>
        <v>250800</v>
      </c>
      <c r="K60" s="298">
        <f t="shared" si="23"/>
        <v>19272</v>
      </c>
      <c r="L60" s="194">
        <f>IFERROR(('Inputs Yr 2'!W60*G60)/1000,"")</f>
        <v>0</v>
      </c>
      <c r="M60" s="194">
        <f>IFERROR(L60*('Inputs Yr 2'!$Q60*'Inputs Yr 2'!$V60*'Inputs Yr 2'!$R60),"")</f>
        <v>0</v>
      </c>
      <c r="N60" s="194">
        <f t="shared" si="24"/>
        <v>0</v>
      </c>
      <c r="O60" s="194">
        <f>IFERROR(M60*'Inputs Yr 2'!P60,"")</f>
        <v>0</v>
      </c>
      <c r="P60" s="194">
        <f t="shared" si="25"/>
        <v>0</v>
      </c>
      <c r="Q60" s="194">
        <f>IFERROR($P60*'Inputs Yr 2'!AA60,"")</f>
        <v>0</v>
      </c>
      <c r="R60" s="194">
        <f>IFERROR($P60*'Inputs Yr 2'!AB60,"")</f>
        <v>0</v>
      </c>
      <c r="S60" s="194">
        <f>IFERROR($P60*'Inputs Yr 2'!AC60,"")</f>
        <v>0</v>
      </c>
      <c r="T60" s="194">
        <f>IFERROR($P60*'Inputs Yr 2'!AD60,"")</f>
        <v>0</v>
      </c>
      <c r="U60" s="194">
        <f>IFERROR(G60*'Inputs Yr 2'!$AE60*'Inputs Yr 2'!$P60*'Inputs Yr 2'!$Q60,"")</f>
        <v>0</v>
      </c>
      <c r="V60" s="194">
        <f>IFERROR($G60*'Inputs Yr 2'!$AE60*'Inputs Yr 2'!$AG60*'Inputs Yr 2'!Q60*'Inputs Yr 2'!$S60,"")</f>
        <v>0</v>
      </c>
      <c r="W60" s="194">
        <f>IFERROR($G60*'Inputs Yr 2'!$AE60*'Inputs Yr 2'!$AG60*'Inputs Yr 2'!P60*'Inputs Yr 2'!Q60*'Inputs Yr 2'!$S60,"")</f>
        <v>0</v>
      </c>
      <c r="X60" s="194">
        <f>IFERROR($G60*'Inputs Yr 2'!$AE60*'Inputs Yr 2'!$AF60*'Inputs Yr 2'!Q60*'Inputs Yr 2'!$T60,"")</f>
        <v>0</v>
      </c>
      <c r="Y60" s="194">
        <f>IFERROR($G60*'Inputs Yr 2'!$AE60*'Inputs Yr 2'!$AF60*'Inputs Yr 2'!P60*'Inputs Yr 2'!Q60*'Inputs Yr 2'!$T60,"")</f>
        <v>0</v>
      </c>
      <c r="Z60" s="257">
        <f>IFERROR($G60*'Inputs Yr 2'!$Q60*'Inputs Yr 2'!$U60*(IF(IFERROR(SEARCH("NG", 'Inputs Yr 2'!$AJ60),0),'Inputs Yr 2'!$AK60,0)+IF(IFERROR(SEARCH("NG", 'Inputs Yr 2'!$AL60),0),'Inputs Yr 2'!$AM60,0)+IF(IFERROR(SEARCH("NG", 'Inputs Yr 2'!$AN60),0),'Inputs Yr 2'!$AO60,0)),0)</f>
        <v>382.8</v>
      </c>
      <c r="AA60" s="257">
        <f t="shared" si="26"/>
        <v>7656</v>
      </c>
      <c r="AB60" s="257">
        <f>IFERROR(Z60*'Inputs Yr 2'!$P60,0)</f>
        <v>382.8</v>
      </c>
      <c r="AC60" s="257">
        <f t="shared" si="27"/>
        <v>7656</v>
      </c>
      <c r="AD60" s="257">
        <f>IFERROR($G60*'Inputs Yr 2'!$Q60*'Inputs Yr 2'!$U60*(IF(IFERROR(SEARCH("Oil", 'Inputs Yr 2'!$AJ60), 0),'Inputs Yr 2'!$AK60,0)+IF(IFERROR(SEARCH("Oil", 'Inputs Yr 2'!$AL60), 0),'Inputs Yr 2'!$AM60,0)+IF(IFERROR(SEARCH("Oil", 'Inputs Yr 2'!$AN60), 0),'Inputs Yr 2'!$AO60,0)),0)</f>
        <v>0</v>
      </c>
      <c r="AE60" s="257">
        <f t="shared" si="28"/>
        <v>0</v>
      </c>
      <c r="AF60" s="257">
        <f>IFERROR(AD60*'Inputs Yr 2'!$P60,0)</f>
        <v>0</v>
      </c>
      <c r="AG60" s="257">
        <f t="shared" si="29"/>
        <v>0</v>
      </c>
      <c r="AH60" s="257">
        <f>IFERROR($G60*'Inputs Yr 2'!$Q60*'Inputs Yr 2'!$U60*(IF('Inputs Yr 2'!$AJ60=CD$4,'Inputs Yr 2'!$AK60,IF('Inputs Yr 2'!$AL60=CD$4,'Inputs Yr 2'!$AM60,IF('Inputs Yr 2'!$AN60=CD$4,'Inputs Yr 2'!$AO60,0)))),0)</f>
        <v>0</v>
      </c>
      <c r="AI60" s="257">
        <f t="shared" si="30"/>
        <v>0</v>
      </c>
      <c r="AJ60" s="257">
        <f>IFERROR(AH60*'Inputs Yr 2'!$P60,0)</f>
        <v>0</v>
      </c>
      <c r="AK60" s="257">
        <f t="shared" si="31"/>
        <v>0</v>
      </c>
      <c r="AL60" s="258">
        <f>IFERROR($G60*'Inputs Yr 2'!$P60*'Inputs Yr 2'!$Q60*'Inputs Yr 2'!AP60,0)</f>
        <v>0</v>
      </c>
      <c r="AM60" s="260">
        <f>IFERROR($G60*'Inputs Yr 2'!$P60*'Inputs Yr 2'!$Q60*'Inputs Yr 2'!AQ60,0)</f>
        <v>0</v>
      </c>
      <c r="AN60" s="258">
        <f>IFERROR($G60*'Inputs Yr 2'!$P60*'Inputs Yr 2'!$Q60*'Inputs Yr 2'!AR60,0)</f>
        <v>0</v>
      </c>
      <c r="AO60" s="257">
        <f t="shared" si="32"/>
        <v>0</v>
      </c>
      <c r="AP60" s="195">
        <f>IFERROR($CQ60*(INDEX(avoidedcosttbl2,$H60,AP$2)+(($H60-ROUNDDOWN($H60,0))*(INDEX(avoidedcosttbl2,ROUNDUP($H60,0),AP$2)-(INDEX(avoidedcosttbl2,ROUNDDOWN($H60,0),AP$2)))))*$O60*1000*'Inputs Yr 2'!AA60,"")</f>
        <v>0</v>
      </c>
      <c r="AQ60" s="195">
        <f>IFERROR($CR60*(INDEX(avoidedcosttbl2,$H60,AQ$2)+(($H60-ROUNDDOWN($H60,0))*(INDEX(avoidedcosttbl2,ROUNDUP($H60,0),AQ$2)-(INDEX(avoidedcosttbl2,ROUNDDOWN($H60,0),AQ$2)))))*$O60*1000*'Inputs Yr 2'!AB60,"")</f>
        <v>0</v>
      </c>
      <c r="AR60" s="195">
        <f>IFERROR($CS60*(INDEX(avoidedcosttbl2,$H60,AR$2)+(($H60-ROUNDDOWN($H60,0))*(INDEX(avoidedcosttbl2,ROUNDUP($H60,0),AR$2)-(INDEX(avoidedcosttbl2,ROUNDDOWN($H60,0),AR$2)))))*$O60*1000*'Inputs Yr 2'!AC60,"")</f>
        <v>0</v>
      </c>
      <c r="AS60" s="195">
        <f>IFERROR($CT60*(INDEX(avoidedcosttbl2,$H60,AS$2)+(($H60-ROUNDDOWN($H60,0))*(INDEX(avoidedcosttbl2,ROUNDUP($H60,0),AS$2)-(INDEX(avoidedcosttbl2,ROUNDDOWN($H60,0),AS$2)))))*$O60*1000*'Inputs Yr 2'!AD60,"")</f>
        <v>0</v>
      </c>
      <c r="AT60" s="196">
        <f t="shared" si="33"/>
        <v>0</v>
      </c>
      <c r="AU60" s="197">
        <f>IFERROR($CQ60*((INDEX(avoidedcosttbl2,$H60,AU$2))+(($H60-ROUNDDOWN($H60,0))*((INDEX(avoidedcosttbl2,ROUNDUP($H60,0),AU$2))-(INDEX(avoidedcosttbl2,ROUNDDOWN($H60,0),AU$2)))))*$O60*1000*'Inputs Yr 2'!AA60,"")</f>
        <v>0</v>
      </c>
      <c r="AV60" s="197">
        <f>IFERROR($CR60*((INDEX(avoidedcosttbl2,$H60,AV$2))+(($H60-ROUNDDOWN($H60,0))*((INDEX(avoidedcosttbl2,ROUNDUP($H60,0),AV$2))-(INDEX(avoidedcosttbl2,ROUNDDOWN($H60,0),AV$2)))))*$O60*1000*'Inputs Yr 2'!AB60,"")</f>
        <v>0</v>
      </c>
      <c r="AW60" s="197">
        <f>IFERROR($CS60*((INDEX(avoidedcosttbl2,$H60,AW$2))+(($H60-ROUNDDOWN($H60,0))*((INDEX(avoidedcosttbl2,ROUNDUP($H60,0),AW$2))-(INDEX(avoidedcosttbl2,ROUNDDOWN($H60,0),AW$2)))))*$O60*1000*'Inputs Yr 2'!AC60,"")</f>
        <v>0</v>
      </c>
      <c r="AX60" s="197">
        <f>IFERROR($CT60*((INDEX(avoidedcosttbl2,$H60,AX$2))+(($H60-ROUNDDOWN($H60,0))*((INDEX(avoidedcosttbl2,ROUNDUP($H60,0),AX$2))-(INDEX(avoidedcosttbl2,ROUNDDOWN($H60,0),AX$2)))))*$O60*1000*'Inputs Yr 2'!AD60,"")</f>
        <v>0</v>
      </c>
      <c r="AY60" s="197">
        <f>IFERROR(((INDEX(avoidedcosttbl2,$H60,AY$2))+(($H60-ROUNDDOWN($H60,0))*((INDEX(avoidedcosttbl2,ROUNDUP($H60,0),AY$2))-(INDEX(avoidedcosttbl2,ROUNDDOWN($H60,0),AY$2)))))*$O60*1000*('Inputs Yr 2'!AC60+'Inputs Yr 2'!AD60),"")</f>
        <v>0</v>
      </c>
      <c r="AZ60" s="197">
        <f>IFERROR(((INDEX(avoidedcosttbl2,$H60,AZ$2))+(($H60-ROUNDDOWN($H60,0))*((INDEX(avoidedcosttbl2,ROUNDUP($H60,0),AZ$2))-(INDEX(avoidedcosttbl2,ROUNDDOWN($H60,0),AZ$2)))))*$O60*1000*('Inputs Yr 2'!AA60+'Inputs Yr 2'!AB60),"")</f>
        <v>0</v>
      </c>
      <c r="BA60" s="198">
        <f t="shared" si="34"/>
        <v>0</v>
      </c>
      <c r="BB60" s="198">
        <f t="shared" si="35"/>
        <v>0</v>
      </c>
      <c r="BC60" s="195">
        <f t="shared" si="10"/>
        <v>0</v>
      </c>
      <c r="BD60" s="195">
        <f t="shared" si="11"/>
        <v>0</v>
      </c>
      <c r="BE60" s="195">
        <f t="shared" si="12"/>
        <v>0</v>
      </c>
      <c r="BF60" s="195">
        <f t="shared" si="13"/>
        <v>0</v>
      </c>
      <c r="BG60" s="195">
        <f t="shared" si="14"/>
        <v>0</v>
      </c>
      <c r="BH60" s="196">
        <f t="shared" si="36"/>
        <v>0</v>
      </c>
      <c r="BI60" s="196">
        <f t="shared" si="37"/>
        <v>0</v>
      </c>
      <c r="BJ60" s="195">
        <f>IFERROR($G60*(IF('Inputs Yr 2'!$AJ60=BJ$4,'Inputs Yr 2'!$AK60,IF('Inputs Yr 2'!$AL60=BJ$4,'Inputs Yr 2'!$AM60,IF('Inputs Yr 2'!$AN60=BJ$4,'Inputs Yr 2'!$AO60,0))))*(INDEX(avoidedcosttbl2,$H60,BJ$2)+(($H60-ROUNDDOWN($H60,0))*(INDEX(avoidedcosttbl2,ROUNDUP($H60,0),BJ$2)-(INDEX(avoidedcosttbl2,ROUNDDOWN($H60,0),BJ$2)))))*'Inputs Yr 2'!P60*'Inputs Yr 2'!Q60*'Inputs Yr 2'!U60,"")</f>
        <v>0</v>
      </c>
      <c r="BK60" s="195">
        <f>IFERROR($G60*(IF('Inputs Yr 2'!$AJ60=BK$4,'Inputs Yr 2'!$AK60,IF('Inputs Yr 2'!$AL60=BK$4,'Inputs Yr 2'!$AM60,IF('Inputs Yr 2'!$AN60=BK$4,'Inputs Yr 2'!$AO60,0))))*(INDEX(avoidedcosttbl2,$H60,BK$2)+(($H60-ROUNDDOWN($H60,0))*(INDEX(avoidedcosttbl2,ROUNDUP($H60,0),BK$2)-(INDEX(avoidedcosttbl2,ROUNDDOWN($H60,0),BK$2)))))*'Inputs Yr 2'!P60*'Inputs Yr 2'!Q60*'Inputs Yr 2'!U60,"")</f>
        <v>0</v>
      </c>
      <c r="BL60" s="195">
        <f>IFERROR($G60*(IF('Inputs Yr 2'!$AJ60=BL$4,'Inputs Yr 2'!$AK60,IF('Inputs Yr 2'!$AL60=BL$4,'Inputs Yr 2'!$AM60,IF('Inputs Yr 2'!$AN60=BL$4,'Inputs Yr 2'!$AO60,0))))*(INDEX(avoidedcosttbl2,$H60,BL$2)+(($H60-ROUNDDOWN($H60,0))*(INDEX(avoidedcosttbl2,ROUNDUP($H60,0),BL$2)-(INDEX(avoidedcosttbl2,ROUNDDOWN($H60,0),BL$2)))))*'Inputs Yr 2'!P60*'Inputs Yr 2'!Q60*'Inputs Yr 2'!U60,"")</f>
        <v>66346.25580674439</v>
      </c>
      <c r="BM60" s="195">
        <f>IFERROR($G60*(IF('Inputs Yr 2'!$AJ60=BM$4,'Inputs Yr 2'!$AK60,IF('Inputs Yr 2'!$AL60=BM$4,'Inputs Yr 2'!$AM60,IF('Inputs Yr 2'!$AN60=BM$4,'Inputs Yr 2'!$AO60,0))))*(INDEX(avoidedcosttbl2,$H60,BM$2)+(($H60-ROUNDDOWN($H60,0))*(INDEX(avoidedcosttbl2,ROUNDUP($H60,0),BM$2)-(INDEX(avoidedcosttbl2,ROUNDDOWN($H60,0),BM$2)))))*'Inputs Yr 2'!P60*'Inputs Yr 2'!Q60*'Inputs Yr 2'!U60,"")</f>
        <v>0</v>
      </c>
      <c r="BN60" s="195">
        <f>IFERROR($G60*(IF('Inputs Yr 2'!$AJ60=BN$4,'Inputs Yr 2'!$AK60,IF('Inputs Yr 2'!$AL60=BN$4,'Inputs Yr 2'!$AM60,IF('Inputs Yr 2'!$AN60=BN$4,'Inputs Yr 2'!$AO60,0))))*(INDEX(avoidedcosttbl2,$H60,BN$2)+(($H60-ROUNDDOWN($H60,0))*(INDEX(avoidedcosttbl2,ROUNDUP($H60,0),BN$2)-(INDEX(avoidedcosttbl2,ROUNDDOWN($H60,0),BN$2)))))*'Inputs Yr 2'!P60*'Inputs Yr 2'!Q60*'Inputs Yr 2'!U60,"")</f>
        <v>0</v>
      </c>
      <c r="BO60" s="195">
        <f>IFERROR($G60*(IF('Inputs Yr 2'!$AJ60=BO$4,'Inputs Yr 2'!$AK60,IF('Inputs Yr 2'!$AL60=BO$4,'Inputs Yr 2'!$AM60,IF('Inputs Yr 2'!$AN60=BO$4,'Inputs Yr 2'!$AO60,0))))*(INDEX(avoidedcosttbl2,$H60,BO$2)+(($H60-ROUNDDOWN($H60,0))*(INDEX(avoidedcosttbl2,ROUNDUP($H60,0),BO$2)-(INDEX(avoidedcosttbl2,ROUNDDOWN($H60,0),BO$2)))))*'Inputs Yr 2'!P60*'Inputs Yr 2'!Q60*'Inputs Yr 2'!U60,"")</f>
        <v>0</v>
      </c>
      <c r="BP60" s="195">
        <f>IFERROR($G60*(IF('Inputs Yr 2'!$AJ60=BP$4,'Inputs Yr 2'!$AK60,IF('Inputs Yr 2'!$AL60=BP$4,'Inputs Yr 2'!$AM60,IF('Inputs Yr 2'!$AN60=BP$4,'Inputs Yr 2'!$AO60,0))))*(INDEX(avoidedcosttbl2,$H60,BP$2)+(($H60-ROUNDDOWN($H60,0))*(INDEX(avoidedcosttbl2,ROUNDUP($H60,0),BP$2)-(INDEX(avoidedcosttbl2,ROUNDDOWN($H60,0),BP$2)))))*'Inputs Yr 2'!P60*'Inputs Yr 2'!Q60*'Inputs Yr 2'!U60,"")</f>
        <v>0</v>
      </c>
      <c r="BQ60" s="230">
        <f t="shared" si="38"/>
        <v>66346.25580674439</v>
      </c>
      <c r="BR60" s="197">
        <f t="shared" si="17"/>
        <v>1026.5255951844665</v>
      </c>
      <c r="BS60" s="197">
        <f>IFERROR(($G60*IF('Inputs Yr 2'!$AJ60=BM$4,'Inputs Yr 2'!$AK60,IF('Inputs Yr 2'!$AL60=BM$4,'Inputs Yr 2'!$AM60,IF('Inputs Yr 2'!$AN60=BM$4,'Inputs Yr 2'!$AO60,0))))*(INDEX(avoidedcosttbl2,$H60,BS$2)+(($H60-ROUNDDOWN($H60,0))*(INDEX(avoidedcosttbl2,ROUNDUP($H60,0),BS$2)-(INDEX(avoidedcosttbl2,ROUNDDOWN($H60,0),BS$2)))))*'Inputs Yr 2'!P60*'Inputs Yr 2'!Q60*'Inputs Yr 2'!U60,"")</f>
        <v>0</v>
      </c>
      <c r="BT60" s="197">
        <f>IFERROR(($G60*IF('Inputs Yr 2'!$AJ60=BK$4,'Inputs Yr 2'!$AK60,IF('Inputs Yr 2'!$AL60=BK$4,'Inputs Yr 2'!$AM60,IF('Inputs Yr 2'!$AN60=BK$4,'Inputs Yr 2'!$AO60,0))))*(INDEX(avoidedcosttbl2,$H60,BT$2)+(($H60-ROUNDDOWN($H60,0))*(INDEX(avoidedcosttbl2,ROUNDUP($H60,0),BT$2)-(INDEX(avoidedcosttbl2,ROUNDDOWN($H60,0),BT$2)))))*'Inputs Yr 2'!P60*'Inputs Yr 2'!Q60*'Inputs Yr 2'!U60,"")</f>
        <v>0</v>
      </c>
      <c r="BU60" s="197">
        <f>IFERROR(($G60*IF('Inputs Yr 2'!$AJ60=BL$4,'Inputs Yr 2'!$AK60,IF('Inputs Yr 2'!$AL60=BL$4,'Inputs Yr 2'!$AM60,IF('Inputs Yr 2'!$AN60=BL$4,'Inputs Yr 2'!$AO60,0))))*(INDEX(avoidedcosttbl2,$H60,BU$2)+(($H60-ROUNDDOWN($H60,0))*(INDEX(avoidedcosttbl2,ROUNDUP($H60,0),BU$2)-(INDEX(avoidedcosttbl2,ROUNDDOWN($H60,0),BU$2)))))*'Inputs Yr 2'!P60*'Inputs Yr 2'!Q60*'Inputs Yr 2'!U60,"")</f>
        <v>3116.0144789349893</v>
      </c>
      <c r="BV60" s="775">
        <f>IFERROR(($G60*IF('Inputs Yr 2'!$AJ60=BJ$4,'Inputs Yr 2'!$AK60,IF('Inputs Yr 2'!$AL60=BJ$4,'Inputs Yr 2'!$AM60,IF('Inputs Yr 2'!$AN60=BJ$4,'Inputs Yr 2'!$AO60,0))))*(INDEX(avoidedcosttbl2,$H60,BV$2)+(($H60-ROUNDDOWN($H60,0))*(INDEX(avoidedcosttbl2,ROUNDUP($H60,0),BV$2)-(INDEX(avoidedcosttbl2,ROUNDDOWN($H60,0),BV$2)))))*'Inputs Yr 2'!P60*'Inputs Yr 2'!Q60*'Inputs Yr 2'!U60,"")</f>
        <v>0</v>
      </c>
      <c r="BW60" s="197">
        <f>IFERROR(($G60*IF('Inputs Yr 2'!$AJ60=BN$4,'Inputs Yr 2'!$AK60,IF('Inputs Yr 2'!$AL60=BN$4,'Inputs Yr 2'!$AM60,IF('Inputs Yr 2'!$AN60=BN$4,'Inputs Yr 2'!$AO60,0))))*(INDEX(avoidedcosttbl2,$H60,BW$2)+(($H60-ROUNDDOWN($H60,0))*(INDEX(avoidedcosttbl2,ROUNDUP($H60,0),BW$2)-(INDEX(avoidedcosttbl2,ROUNDDOWN($H60,0),BW$2)))))*'Inputs Yr 2'!P60*'Inputs Yr 2'!Q60*'Inputs Yr 2'!U60,"")</f>
        <v>0</v>
      </c>
      <c r="BX60" s="197">
        <f>IFERROR(($G60*IF('Inputs Yr 2'!$AJ60=BO$4,'Inputs Yr 2'!$AK60,IF('Inputs Yr 2'!$AL60=BO$4,'Inputs Yr 2'!$AM60,IF('Inputs Yr 2'!$AN60=BO$4,'Inputs Yr 2'!$AO60,0))))*(INDEX(avoidedcosttbl2,$H60,BX$2)+(($H60-ROUNDDOWN($H60,0))*(INDEX(avoidedcosttbl2,ROUNDUP($H60,0),BX$2)-(INDEX(avoidedcosttbl2,ROUNDDOWN($H60,0),BX$2)))))*'Inputs Yr 2'!P60*'Inputs Yr 2'!Q60*'Inputs Yr 2'!U60,"")</f>
        <v>0</v>
      </c>
      <c r="BY60" s="197">
        <f>IFERROR(($G60*IF('Inputs Yr 2'!$AJ60=BP$4,'Inputs Yr 2'!$AK60,IF('Inputs Yr 2'!$AL60=BP$4,'Inputs Yr 2'!$AM60,IF('Inputs Yr 2'!$AN60=BP$4,'Inputs Yr 2'!$AO60,0))))*(INDEX(avoidedcosttbl2,$H60,BY$2)+(($H60-ROUNDDOWN($H60,0))*(INDEX(avoidedcosttbl2,ROUNDUP($H60,0),BY$2)-(INDEX(avoidedcosttbl2,ROUNDDOWN($H60,0),BY$2)))))*'Inputs Yr 2'!P60*'Inputs Yr 2'!Q60*'Inputs Yr 2'!U60,"")</f>
        <v>0</v>
      </c>
      <c r="BZ60" s="193">
        <f t="shared" si="39"/>
        <v>4142.5400741194553</v>
      </c>
      <c r="CA60" s="193">
        <f t="shared" si="40"/>
        <v>70488.79588086385</v>
      </c>
      <c r="CB60" s="195">
        <f>IFERROR(G60*(IF('Inputs Yr 2'!$AJ60=CB$4,'Inputs Yr 2'!$AK60,IF('Inputs Yr 2'!$AL60=CB$4,'Inputs Yr 2'!$AM60,IF('Inputs Yr 2'!$AN60=CB$4,'Inputs Yr 2'!$AO60,0))))*(INDEX(avoidedcosttbl2,$H60,CB$2)+(($H60-ROUNDDOWN($H60,0))*(INDEX(avoidedcosttbl2,ROUNDUP($H60,0),CB$2)-(INDEX(avoidedcosttbl2,ROUNDDOWN($H60,0),CB$2)))))*'Inputs Yr 2'!P60*'Inputs Yr 2'!Q60*'Inputs Yr 2'!U60,"")</f>
        <v>0</v>
      </c>
      <c r="CC60" s="195">
        <f>IFERROR(H60*(IF('Inputs Yr 2'!$AJ60=CC$4,'Inputs Yr 2'!$AK60,IF('Inputs Yr 2'!$AL60=CC$4,'Inputs Yr 2'!$AM60,IF('Inputs Yr 2'!$AN60=CC$4,'Inputs Yr 2'!$AO60,0))))*(INDEX(avoidedcosttbl2,$H60,CC$2)+(($H60-ROUNDDOWN($H60,0))*(INDEX(avoidedcosttbl2,ROUNDUP($H60,0),CC$2)-(INDEX(avoidedcosttbl2,ROUNDDOWN($H60,0),CC$2)))))*'Inputs Yr 2'!Q60*'Inputs Yr 2'!R60*'Inputs Yr 2'!V60,"")</f>
        <v>0</v>
      </c>
      <c r="CD60" s="195">
        <f>IFERROR(I60*(IF('Inputs Yr 2'!$AJ60=CD$4,'Inputs Yr 2'!$AK60,IF('Inputs Yr 2'!$AL60=CD$4,'Inputs Yr 2'!$AM60,IF('Inputs Yr 2'!$AN60=CD$4,'Inputs Yr 2'!$AO60,0))))*(INDEX(avoidedcosttbl2,$H60,CD$2)+(($H60-ROUNDDOWN($H60,0))*(INDEX(avoidedcosttbl2,ROUNDUP($H60,0),CD$2)-(INDEX(avoidedcosttbl2,ROUNDDOWN($H60,0),CD$2)))))*'Inputs Yr 2'!R60*'Inputs Yr 2'!S60*'Inputs Yr 2'!W60,"")</f>
        <v>0</v>
      </c>
      <c r="CE60" s="213">
        <f t="shared" si="41"/>
        <v>0</v>
      </c>
      <c r="CF60" s="213">
        <f t="shared" si="42"/>
        <v>0</v>
      </c>
      <c r="CG60" s="213">
        <f t="shared" si="43"/>
        <v>0</v>
      </c>
      <c r="CH60" s="698">
        <f t="shared" si="44"/>
        <v>70488.79588086385</v>
      </c>
      <c r="CI60" s="79">
        <f>IFERROR(($G60*'Inputs Yr 2'!$P60*'Inputs Yr 2'!$Q60*(((INDEX(avoidedcosttbl2,$H60,CI$2)+(($H60-ROUNDDOWN($H60,0))*(INDEX(avoidedcosttbl2,ROUNDUP($H60,0),CI$2)-INDEX(avoidedcosttbl2,ROUNDDOWN($H60,0),CI$2))))*'Inputs Yr 2'!AS60))),"")</f>
        <v>77945.386759604298</v>
      </c>
      <c r="CJ60" s="504">
        <f>IFERROR($G60*'Inputs Yr 2'!AT60*'Inputs Yr 2'!$P60*'Inputs Yr 2'!$Q60/((1+realdiscrt1)^-0.5),"")</f>
        <v>0</v>
      </c>
      <c r="CK60" s="79">
        <f>IFERROR((O60*1000*(((INDEX(avoidedcosttbl2,$H60,CK$2)+(($H60-ROUNDDOWN($H60,0))*(INDEX(avoidedcosttbl2,ROUNDUP($H60,0),CK$2)-INDEX(avoidedcosttbl2,ROUNDDOWN($H60,0),CK$2))))*'Inputs Yr 2'!AU60))),"")</f>
        <v>0</v>
      </c>
      <c r="CL60" s="504">
        <f>IFERROR(O60*1000*'Inputs Yr 2'!AV60/((1+realdiscrt1)^-0.5),"")</f>
        <v>0</v>
      </c>
      <c r="CM60" s="79">
        <f>IFERROR((AB60*'Inputs Yr 2'!AW60*(((INDEX(avoidedcosttbl2,$H60,CM$2)+(($H60-ROUNDDOWN($H60,0))*(INDEX(avoidedcosttbl2,ROUNDUP($H60,0),CM$2)-INDEX(avoidedcosttbl2,ROUNDDOWN($H60,0),CM$2)))))))*10,"")</f>
        <v>0</v>
      </c>
      <c r="CN60" s="504">
        <f>IFERROR(10*AB60*'Inputs Yr 2'!AX60/((1+realdiscrt1)^-0.5),"")</f>
        <v>0</v>
      </c>
      <c r="CO60" s="505">
        <f t="shared" si="45"/>
        <v>77945.386759604298</v>
      </c>
      <c r="CP60" s="230">
        <f t="shared" si="46"/>
        <v>148434.18264046815</v>
      </c>
      <c r="CQ60" s="199">
        <f>ROUND(IFERROR(IF(LEFT($A60,1)="C",'Avoided Costs'!$K$13,'Avoided Costs'!$K$12)+1,""),4)</f>
        <v>1.0720000000000001</v>
      </c>
      <c r="CR60" s="199">
        <f>ROUND(IFERROR(IF(LEFT($A60,1)="C",'Avoided Costs'!$L$13,'Avoided Costs'!$L$12)+1,""),4)</f>
        <v>1.04</v>
      </c>
      <c r="CS60" s="199">
        <f>ROUND(IFERROR(IF(LEFT($A60,1)="C",'Avoided Costs'!$M$13,'Avoided Costs'!$M$12)+1,""),4)</f>
        <v>1.0720000000000001</v>
      </c>
      <c r="CT60" s="199">
        <f>ROUND(IFERROR(IF(LEFT($A60,1)="C",'Avoided Costs'!$N$13,'Avoided Costs'!$N$12)+1,""),4)</f>
        <v>1.04</v>
      </c>
      <c r="CU60" s="199">
        <f>ROUND(IFERROR(IF(LEFT($A60,1)="C",'Avoided Costs'!$O$13,'Avoided Costs'!$O$12)+1,""),4)</f>
        <v>1.1120000000000001</v>
      </c>
      <c r="CV60" s="199">
        <f>ROUND(IFERROR(IF(LEFT($A60,1)="C",'Avoided Costs'!$P$13,'Avoided Costs'!$P$12)+1,""),4)</f>
        <v>1.095</v>
      </c>
      <c r="CW60" s="199">
        <f>ROUND(IFERROR(IF(LEFT($A60,1)="C",'Avoided Costs'!$Q$13,'Avoided Costs'!$Q$12)+1,""),4)</f>
        <v>1.1120000000000001</v>
      </c>
      <c r="CX60" s="200">
        <f>ROUND(IFERROR(IF(LEFT($A60,1)="C",'Avoided Costs'!$R$13,'Avoided Costs'!$R$12)+1,""),4)</f>
        <v>1.1120000000000001</v>
      </c>
    </row>
    <row r="61" spans="1:102" ht="12.75" customHeight="1">
      <c r="A61" s="91" t="str">
        <f>IF('Inputs Yr 2'!$B61=0,"",'Inputs Yr 2'!A61)</f>
        <v>A - Residential</v>
      </c>
      <c r="B61" s="91" t="str">
        <f>IF('Inputs Yr 2'!$B61=0,"",'Inputs Yr 2'!B61)</f>
        <v>A1 - Residential Whole House</v>
      </c>
      <c r="C61" s="91" t="str">
        <f>IF('Inputs Yr 2'!$B61=0,"",'Inputs Yr 2'!C61)</f>
        <v>A1c - Residential Home Energy Services - Measures</v>
      </c>
      <c r="D61" s="91" t="str">
        <f>IF('Inputs Yr 2'!$B61=0,"",'Inputs Yr 2'!E61)</f>
        <v>Early Retirement Boiler, Steam (Retire)</v>
      </c>
      <c r="E61" s="93" t="str">
        <f>IF('Inputs Yr 2'!$B61=0,"",'Inputs Yr 2'!F61)</f>
        <v>G16A1c17</v>
      </c>
      <c r="F61" s="93" t="str">
        <f>IF('Inputs Yr 2'!$B61=0,"",'Inputs Yr 2'!G61)</f>
        <v>HVAC</v>
      </c>
      <c r="G61" s="95">
        <f>IF('Inputs Yr 2'!$H61&lt;&gt;0,('Inputs Yr 2'!H61),"")</f>
        <v>132</v>
      </c>
      <c r="H61" s="94">
        <f>IFERROR('Inputs Yr 2'!I61,"")</f>
        <v>10</v>
      </c>
      <c r="I61" s="298">
        <f>IFERROR('Inputs Yr 2'!J61*'Inputs Yr 2'!P61*G61,"")</f>
        <v>0</v>
      </c>
      <c r="J61" s="298">
        <f>IFERROR('Inputs Yr 2'!K61*G61,"")</f>
        <v>0</v>
      </c>
      <c r="K61" s="298">
        <f t="shared" si="23"/>
        <v>0</v>
      </c>
      <c r="L61" s="194">
        <f>IFERROR(('Inputs Yr 2'!W61*G61)/1000,"")</f>
        <v>0</v>
      </c>
      <c r="M61" s="194">
        <f>IFERROR(L61*('Inputs Yr 2'!$Q61*'Inputs Yr 2'!$V61*'Inputs Yr 2'!$R61),"")</f>
        <v>0</v>
      </c>
      <c r="N61" s="194">
        <f t="shared" si="24"/>
        <v>0</v>
      </c>
      <c r="O61" s="194">
        <f>IFERROR(M61*'Inputs Yr 2'!P61,"")</f>
        <v>0</v>
      </c>
      <c r="P61" s="194">
        <f t="shared" si="25"/>
        <v>0</v>
      </c>
      <c r="Q61" s="194">
        <f>IFERROR($P61*'Inputs Yr 2'!AA61,"")</f>
        <v>0</v>
      </c>
      <c r="R61" s="194">
        <f>IFERROR($P61*'Inputs Yr 2'!AB61,"")</f>
        <v>0</v>
      </c>
      <c r="S61" s="194">
        <f>IFERROR($P61*'Inputs Yr 2'!AC61,"")</f>
        <v>0</v>
      </c>
      <c r="T61" s="194">
        <f>IFERROR($P61*'Inputs Yr 2'!AD61,"")</f>
        <v>0</v>
      </c>
      <c r="U61" s="194">
        <f>IFERROR(G61*'Inputs Yr 2'!$AE61*'Inputs Yr 2'!$P61*'Inputs Yr 2'!$Q61,"")</f>
        <v>0</v>
      </c>
      <c r="V61" s="194">
        <f>IFERROR($G61*'Inputs Yr 2'!$AE61*'Inputs Yr 2'!$AG61*'Inputs Yr 2'!Q61*'Inputs Yr 2'!$S61,"")</f>
        <v>0</v>
      </c>
      <c r="W61" s="194">
        <f>IFERROR($G61*'Inputs Yr 2'!$AE61*'Inputs Yr 2'!$AG61*'Inputs Yr 2'!P61*'Inputs Yr 2'!Q61*'Inputs Yr 2'!$S61,"")</f>
        <v>0</v>
      </c>
      <c r="X61" s="194">
        <f>IFERROR($G61*'Inputs Yr 2'!$AE61*'Inputs Yr 2'!$AF61*'Inputs Yr 2'!Q61*'Inputs Yr 2'!$T61,"")</f>
        <v>0</v>
      </c>
      <c r="Y61" s="194">
        <f>IFERROR($G61*'Inputs Yr 2'!$AE61*'Inputs Yr 2'!$AF61*'Inputs Yr 2'!P61*'Inputs Yr 2'!Q61*'Inputs Yr 2'!$T61,"")</f>
        <v>0</v>
      </c>
      <c r="Z61" s="257">
        <f>IFERROR($G61*'Inputs Yr 2'!$Q61*'Inputs Yr 2'!$U61*(IF(IFERROR(SEARCH("NG", 'Inputs Yr 2'!$AJ61),0),'Inputs Yr 2'!$AK61,0)+IF(IFERROR(SEARCH("NG", 'Inputs Yr 2'!$AL61),0),'Inputs Yr 2'!$AM61,0)+IF(IFERROR(SEARCH("NG", 'Inputs Yr 2'!$AN61),0),'Inputs Yr 2'!$AO61,0)),0)</f>
        <v>1056</v>
      </c>
      <c r="AA61" s="257">
        <f t="shared" si="26"/>
        <v>10560</v>
      </c>
      <c r="AB61" s="257">
        <f>IFERROR(Z61*'Inputs Yr 2'!$P61,0)</f>
        <v>1056</v>
      </c>
      <c r="AC61" s="257">
        <f t="shared" si="27"/>
        <v>10560</v>
      </c>
      <c r="AD61" s="257">
        <f>IFERROR($G61*'Inputs Yr 2'!$Q61*'Inputs Yr 2'!$U61*(IF(IFERROR(SEARCH("Oil", 'Inputs Yr 2'!$AJ61), 0),'Inputs Yr 2'!$AK61,0)+IF(IFERROR(SEARCH("Oil", 'Inputs Yr 2'!$AL61), 0),'Inputs Yr 2'!$AM61,0)+IF(IFERROR(SEARCH("Oil", 'Inputs Yr 2'!$AN61), 0),'Inputs Yr 2'!$AO61,0)),0)</f>
        <v>0</v>
      </c>
      <c r="AE61" s="257">
        <f t="shared" si="28"/>
        <v>0</v>
      </c>
      <c r="AF61" s="257">
        <f>IFERROR(AD61*'Inputs Yr 2'!$P61,0)</f>
        <v>0</v>
      </c>
      <c r="AG61" s="257">
        <f t="shared" si="29"/>
        <v>0</v>
      </c>
      <c r="AH61" s="257">
        <f>IFERROR($G61*'Inputs Yr 2'!$Q61*'Inputs Yr 2'!$U61*(IF('Inputs Yr 2'!$AJ61=CD$4,'Inputs Yr 2'!$AK61,IF('Inputs Yr 2'!$AL61=CD$4,'Inputs Yr 2'!$AM61,IF('Inputs Yr 2'!$AN61=CD$4,'Inputs Yr 2'!$AO61,0)))),0)</f>
        <v>0</v>
      </c>
      <c r="AI61" s="257">
        <f t="shared" si="30"/>
        <v>0</v>
      </c>
      <c r="AJ61" s="257">
        <f>IFERROR(AH61*'Inputs Yr 2'!$P61,0)</f>
        <v>0</v>
      </c>
      <c r="AK61" s="257">
        <f t="shared" si="31"/>
        <v>0</v>
      </c>
      <c r="AL61" s="258">
        <f>IFERROR($G61*'Inputs Yr 2'!$P61*'Inputs Yr 2'!$Q61*'Inputs Yr 2'!AP61,0)</f>
        <v>0</v>
      </c>
      <c r="AM61" s="260">
        <f>IFERROR($G61*'Inputs Yr 2'!$P61*'Inputs Yr 2'!$Q61*'Inputs Yr 2'!AQ61,0)</f>
        <v>0</v>
      </c>
      <c r="AN61" s="258">
        <f>IFERROR($G61*'Inputs Yr 2'!$P61*'Inputs Yr 2'!$Q61*'Inputs Yr 2'!AR61,0)</f>
        <v>0</v>
      </c>
      <c r="AO61" s="257">
        <f t="shared" si="32"/>
        <v>0</v>
      </c>
      <c r="AP61" s="195">
        <f>IFERROR($CQ61*(INDEX(avoidedcosttbl2,$H61,AP$2)+(($H61-ROUNDDOWN($H61,0))*(INDEX(avoidedcosttbl2,ROUNDUP($H61,0),AP$2)-(INDEX(avoidedcosttbl2,ROUNDDOWN($H61,0),AP$2)))))*$O61*1000*'Inputs Yr 2'!AA61,"")</f>
        <v>0</v>
      </c>
      <c r="AQ61" s="195">
        <f>IFERROR($CR61*(INDEX(avoidedcosttbl2,$H61,AQ$2)+(($H61-ROUNDDOWN($H61,0))*(INDEX(avoidedcosttbl2,ROUNDUP($H61,0),AQ$2)-(INDEX(avoidedcosttbl2,ROUNDDOWN($H61,0),AQ$2)))))*$O61*1000*'Inputs Yr 2'!AB61,"")</f>
        <v>0</v>
      </c>
      <c r="AR61" s="195">
        <f>IFERROR($CS61*(INDEX(avoidedcosttbl2,$H61,AR$2)+(($H61-ROUNDDOWN($H61,0))*(INDEX(avoidedcosttbl2,ROUNDUP($H61,0),AR$2)-(INDEX(avoidedcosttbl2,ROUNDDOWN($H61,0),AR$2)))))*$O61*1000*'Inputs Yr 2'!AC61,"")</f>
        <v>0</v>
      </c>
      <c r="AS61" s="195">
        <f>IFERROR($CT61*(INDEX(avoidedcosttbl2,$H61,AS$2)+(($H61-ROUNDDOWN($H61,0))*(INDEX(avoidedcosttbl2,ROUNDUP($H61,0),AS$2)-(INDEX(avoidedcosttbl2,ROUNDDOWN($H61,0),AS$2)))))*$O61*1000*'Inputs Yr 2'!AD61,"")</f>
        <v>0</v>
      </c>
      <c r="AT61" s="196">
        <f t="shared" si="33"/>
        <v>0</v>
      </c>
      <c r="AU61" s="197">
        <f>IFERROR($CQ61*((INDEX(avoidedcosttbl2,$H61,AU$2))+(($H61-ROUNDDOWN($H61,0))*((INDEX(avoidedcosttbl2,ROUNDUP($H61,0),AU$2))-(INDEX(avoidedcosttbl2,ROUNDDOWN($H61,0),AU$2)))))*$O61*1000*'Inputs Yr 2'!AA61,"")</f>
        <v>0</v>
      </c>
      <c r="AV61" s="197">
        <f>IFERROR($CR61*((INDEX(avoidedcosttbl2,$H61,AV$2))+(($H61-ROUNDDOWN($H61,0))*((INDEX(avoidedcosttbl2,ROUNDUP($H61,0),AV$2))-(INDEX(avoidedcosttbl2,ROUNDDOWN($H61,0),AV$2)))))*$O61*1000*'Inputs Yr 2'!AB61,"")</f>
        <v>0</v>
      </c>
      <c r="AW61" s="197">
        <f>IFERROR($CS61*((INDEX(avoidedcosttbl2,$H61,AW$2))+(($H61-ROUNDDOWN($H61,0))*((INDEX(avoidedcosttbl2,ROUNDUP($H61,0),AW$2))-(INDEX(avoidedcosttbl2,ROUNDDOWN($H61,0),AW$2)))))*$O61*1000*'Inputs Yr 2'!AC61,"")</f>
        <v>0</v>
      </c>
      <c r="AX61" s="197">
        <f>IFERROR($CT61*((INDEX(avoidedcosttbl2,$H61,AX$2))+(($H61-ROUNDDOWN($H61,0))*((INDEX(avoidedcosttbl2,ROUNDUP($H61,0),AX$2))-(INDEX(avoidedcosttbl2,ROUNDDOWN($H61,0),AX$2)))))*$O61*1000*'Inputs Yr 2'!AD61,"")</f>
        <v>0</v>
      </c>
      <c r="AY61" s="197">
        <f>IFERROR(((INDEX(avoidedcosttbl2,$H61,AY$2))+(($H61-ROUNDDOWN($H61,0))*((INDEX(avoidedcosttbl2,ROUNDUP($H61,0),AY$2))-(INDEX(avoidedcosttbl2,ROUNDDOWN($H61,0),AY$2)))))*$O61*1000*('Inputs Yr 2'!AC61+'Inputs Yr 2'!AD61),"")</f>
        <v>0</v>
      </c>
      <c r="AZ61" s="197">
        <f>IFERROR(((INDEX(avoidedcosttbl2,$H61,AZ$2))+(($H61-ROUNDDOWN($H61,0))*((INDEX(avoidedcosttbl2,ROUNDUP($H61,0),AZ$2))-(INDEX(avoidedcosttbl2,ROUNDDOWN($H61,0),AZ$2)))))*$O61*1000*('Inputs Yr 2'!AA61+'Inputs Yr 2'!AB61),"")</f>
        <v>0</v>
      </c>
      <c r="BA61" s="198">
        <f t="shared" si="34"/>
        <v>0</v>
      </c>
      <c r="BB61" s="198">
        <f t="shared" si="35"/>
        <v>0</v>
      </c>
      <c r="BC61" s="195">
        <f t="shared" si="10"/>
        <v>0</v>
      </c>
      <c r="BD61" s="195">
        <f t="shared" si="11"/>
        <v>0</v>
      </c>
      <c r="BE61" s="195">
        <f t="shared" si="12"/>
        <v>0</v>
      </c>
      <c r="BF61" s="195">
        <f t="shared" si="13"/>
        <v>0</v>
      </c>
      <c r="BG61" s="195">
        <f t="shared" si="14"/>
        <v>0</v>
      </c>
      <c r="BH61" s="196">
        <f t="shared" si="36"/>
        <v>0</v>
      </c>
      <c r="BI61" s="196">
        <f t="shared" si="37"/>
        <v>0</v>
      </c>
      <c r="BJ61" s="195">
        <f>IFERROR($G61*(IF('Inputs Yr 2'!$AJ61=BJ$4,'Inputs Yr 2'!$AK61,IF('Inputs Yr 2'!$AL61=BJ$4,'Inputs Yr 2'!$AM61,IF('Inputs Yr 2'!$AN61=BJ$4,'Inputs Yr 2'!$AO61,0))))*(INDEX(avoidedcosttbl2,$H61,BJ$2)+(($H61-ROUNDDOWN($H61,0))*(INDEX(avoidedcosttbl2,ROUNDUP($H61,0),BJ$2)-(INDEX(avoidedcosttbl2,ROUNDDOWN($H61,0),BJ$2)))))*'Inputs Yr 2'!P61*'Inputs Yr 2'!Q61*'Inputs Yr 2'!U61,"")</f>
        <v>0</v>
      </c>
      <c r="BK61" s="195">
        <f>IFERROR($G61*(IF('Inputs Yr 2'!$AJ61=BK$4,'Inputs Yr 2'!$AK61,IF('Inputs Yr 2'!$AL61=BK$4,'Inputs Yr 2'!$AM61,IF('Inputs Yr 2'!$AN61=BK$4,'Inputs Yr 2'!$AO61,0))))*(INDEX(avoidedcosttbl2,$H61,BK$2)+(($H61-ROUNDDOWN($H61,0))*(INDEX(avoidedcosttbl2,ROUNDUP($H61,0),BK$2)-(INDEX(avoidedcosttbl2,ROUNDDOWN($H61,0),BK$2)))))*'Inputs Yr 2'!P61*'Inputs Yr 2'!Q61*'Inputs Yr 2'!U61,"")</f>
        <v>0</v>
      </c>
      <c r="BL61" s="195">
        <f>IFERROR($G61*(IF('Inputs Yr 2'!$AJ61=BL$4,'Inputs Yr 2'!$AK61,IF('Inputs Yr 2'!$AL61=BL$4,'Inputs Yr 2'!$AM61,IF('Inputs Yr 2'!$AN61=BL$4,'Inputs Yr 2'!$AO61,0))))*(INDEX(avoidedcosttbl2,$H61,BL$2)+(($H61-ROUNDDOWN($H61,0))*(INDEX(avoidedcosttbl2,ROUNDUP($H61,0),BL$2)-(INDEX(avoidedcosttbl2,ROUNDDOWN($H61,0),BL$2)))))*'Inputs Yr 2'!P61*'Inputs Yr 2'!Q61*'Inputs Yr 2'!U61,"")</f>
        <v>87038.300133032069</v>
      </c>
      <c r="BM61" s="195">
        <f>IFERROR($G61*(IF('Inputs Yr 2'!$AJ61=BM$4,'Inputs Yr 2'!$AK61,IF('Inputs Yr 2'!$AL61=BM$4,'Inputs Yr 2'!$AM61,IF('Inputs Yr 2'!$AN61=BM$4,'Inputs Yr 2'!$AO61,0))))*(INDEX(avoidedcosttbl2,$H61,BM$2)+(($H61-ROUNDDOWN($H61,0))*(INDEX(avoidedcosttbl2,ROUNDUP($H61,0),BM$2)-(INDEX(avoidedcosttbl2,ROUNDDOWN($H61,0),BM$2)))))*'Inputs Yr 2'!P61*'Inputs Yr 2'!Q61*'Inputs Yr 2'!U61,"")</f>
        <v>0</v>
      </c>
      <c r="BN61" s="195">
        <f>IFERROR($G61*(IF('Inputs Yr 2'!$AJ61=BN$4,'Inputs Yr 2'!$AK61,IF('Inputs Yr 2'!$AL61=BN$4,'Inputs Yr 2'!$AM61,IF('Inputs Yr 2'!$AN61=BN$4,'Inputs Yr 2'!$AO61,0))))*(INDEX(avoidedcosttbl2,$H61,BN$2)+(($H61-ROUNDDOWN($H61,0))*(INDEX(avoidedcosttbl2,ROUNDUP($H61,0),BN$2)-(INDEX(avoidedcosttbl2,ROUNDDOWN($H61,0),BN$2)))))*'Inputs Yr 2'!P61*'Inputs Yr 2'!Q61*'Inputs Yr 2'!U61,"")</f>
        <v>0</v>
      </c>
      <c r="BO61" s="195">
        <f>IFERROR($G61*(IF('Inputs Yr 2'!$AJ61=BO$4,'Inputs Yr 2'!$AK61,IF('Inputs Yr 2'!$AL61=BO$4,'Inputs Yr 2'!$AM61,IF('Inputs Yr 2'!$AN61=BO$4,'Inputs Yr 2'!$AO61,0))))*(INDEX(avoidedcosttbl2,$H61,BO$2)+(($H61-ROUNDDOWN($H61,0))*(INDEX(avoidedcosttbl2,ROUNDUP($H61,0),BO$2)-(INDEX(avoidedcosttbl2,ROUNDDOWN($H61,0),BO$2)))))*'Inputs Yr 2'!P61*'Inputs Yr 2'!Q61*'Inputs Yr 2'!U61,"")</f>
        <v>0</v>
      </c>
      <c r="BP61" s="195">
        <f>IFERROR($G61*(IF('Inputs Yr 2'!$AJ61=BP$4,'Inputs Yr 2'!$AK61,IF('Inputs Yr 2'!$AL61=BP$4,'Inputs Yr 2'!$AM61,IF('Inputs Yr 2'!$AN61=BP$4,'Inputs Yr 2'!$AO61,0))))*(INDEX(avoidedcosttbl2,$H61,BP$2)+(($H61-ROUNDDOWN($H61,0))*(INDEX(avoidedcosttbl2,ROUNDUP($H61,0),BP$2)-(INDEX(avoidedcosttbl2,ROUNDDOWN($H61,0),BP$2)))))*'Inputs Yr 2'!P61*'Inputs Yr 2'!Q61*'Inputs Yr 2'!U61,"")</f>
        <v>0</v>
      </c>
      <c r="BQ61" s="230">
        <f t="shared" si="38"/>
        <v>87038.300133032069</v>
      </c>
      <c r="BR61" s="197">
        <f t="shared" si="17"/>
        <v>1446.9737942618872</v>
      </c>
      <c r="BS61" s="197">
        <f>IFERROR(($G61*IF('Inputs Yr 2'!$AJ61=BM$4,'Inputs Yr 2'!$AK61,IF('Inputs Yr 2'!$AL61=BM$4,'Inputs Yr 2'!$AM61,IF('Inputs Yr 2'!$AN61=BM$4,'Inputs Yr 2'!$AO61,0))))*(INDEX(avoidedcosttbl2,$H61,BS$2)+(($H61-ROUNDDOWN($H61,0))*(INDEX(avoidedcosttbl2,ROUNDUP($H61,0),BS$2)-(INDEX(avoidedcosttbl2,ROUNDDOWN($H61,0),BS$2)))))*'Inputs Yr 2'!P61*'Inputs Yr 2'!Q61*'Inputs Yr 2'!U61,"")</f>
        <v>0</v>
      </c>
      <c r="BT61" s="197">
        <f>IFERROR(($G61*IF('Inputs Yr 2'!$AJ61=BK$4,'Inputs Yr 2'!$AK61,IF('Inputs Yr 2'!$AL61=BK$4,'Inputs Yr 2'!$AM61,IF('Inputs Yr 2'!$AN61=BK$4,'Inputs Yr 2'!$AO61,0))))*(INDEX(avoidedcosttbl2,$H61,BT$2)+(($H61-ROUNDDOWN($H61,0))*(INDEX(avoidedcosttbl2,ROUNDUP($H61,0),BT$2)-(INDEX(avoidedcosttbl2,ROUNDDOWN($H61,0),BT$2)))))*'Inputs Yr 2'!P61*'Inputs Yr 2'!Q61*'Inputs Yr 2'!U61,"")</f>
        <v>0</v>
      </c>
      <c r="BU61" s="197">
        <f>IFERROR(($G61*IF('Inputs Yr 2'!$AJ61=BL$4,'Inputs Yr 2'!$AK61,IF('Inputs Yr 2'!$AL61=BL$4,'Inputs Yr 2'!$AM61,IF('Inputs Yr 2'!$AN61=BL$4,'Inputs Yr 2'!$AO61,0))))*(INDEX(avoidedcosttbl2,$H61,BU$2)+(($H61-ROUNDDOWN($H61,0))*(INDEX(avoidedcosttbl2,ROUNDUP($H61,0),BU$2)-(INDEX(avoidedcosttbl2,ROUNDDOWN($H61,0),BU$2)))))*'Inputs Yr 2'!P61*'Inputs Yr 2'!Q61*'Inputs Yr 2'!U61,"")</f>
        <v>7745.4155286211244</v>
      </c>
      <c r="BV61" s="775">
        <f>IFERROR(($G61*IF('Inputs Yr 2'!$AJ61=BJ$4,'Inputs Yr 2'!$AK61,IF('Inputs Yr 2'!$AL61=BJ$4,'Inputs Yr 2'!$AM61,IF('Inputs Yr 2'!$AN61=BJ$4,'Inputs Yr 2'!$AO61,0))))*(INDEX(avoidedcosttbl2,$H61,BV$2)+(($H61-ROUNDDOWN($H61,0))*(INDEX(avoidedcosttbl2,ROUNDUP($H61,0),BV$2)-(INDEX(avoidedcosttbl2,ROUNDDOWN($H61,0),BV$2)))))*'Inputs Yr 2'!P61*'Inputs Yr 2'!Q61*'Inputs Yr 2'!U61,"")</f>
        <v>0</v>
      </c>
      <c r="BW61" s="197">
        <f>IFERROR(($G61*IF('Inputs Yr 2'!$AJ61=BN$4,'Inputs Yr 2'!$AK61,IF('Inputs Yr 2'!$AL61=BN$4,'Inputs Yr 2'!$AM61,IF('Inputs Yr 2'!$AN61=BN$4,'Inputs Yr 2'!$AO61,0))))*(INDEX(avoidedcosttbl2,$H61,BW$2)+(($H61-ROUNDDOWN($H61,0))*(INDEX(avoidedcosttbl2,ROUNDUP($H61,0),BW$2)-(INDEX(avoidedcosttbl2,ROUNDDOWN($H61,0),BW$2)))))*'Inputs Yr 2'!P61*'Inputs Yr 2'!Q61*'Inputs Yr 2'!U61,"")</f>
        <v>0</v>
      </c>
      <c r="BX61" s="197">
        <f>IFERROR(($G61*IF('Inputs Yr 2'!$AJ61=BO$4,'Inputs Yr 2'!$AK61,IF('Inputs Yr 2'!$AL61=BO$4,'Inputs Yr 2'!$AM61,IF('Inputs Yr 2'!$AN61=BO$4,'Inputs Yr 2'!$AO61,0))))*(INDEX(avoidedcosttbl2,$H61,BX$2)+(($H61-ROUNDDOWN($H61,0))*(INDEX(avoidedcosttbl2,ROUNDUP($H61,0),BX$2)-(INDEX(avoidedcosttbl2,ROUNDDOWN($H61,0),BX$2)))))*'Inputs Yr 2'!P61*'Inputs Yr 2'!Q61*'Inputs Yr 2'!U61,"")</f>
        <v>0</v>
      </c>
      <c r="BY61" s="197">
        <f>IFERROR(($G61*IF('Inputs Yr 2'!$AJ61=BP$4,'Inputs Yr 2'!$AK61,IF('Inputs Yr 2'!$AL61=BP$4,'Inputs Yr 2'!$AM61,IF('Inputs Yr 2'!$AN61=BP$4,'Inputs Yr 2'!$AO61,0))))*(INDEX(avoidedcosttbl2,$H61,BY$2)+(($H61-ROUNDDOWN($H61,0))*(INDEX(avoidedcosttbl2,ROUNDUP($H61,0),BY$2)-(INDEX(avoidedcosttbl2,ROUNDDOWN($H61,0),BY$2)))))*'Inputs Yr 2'!P61*'Inputs Yr 2'!Q61*'Inputs Yr 2'!U61,"")</f>
        <v>0</v>
      </c>
      <c r="BZ61" s="193">
        <f t="shared" si="39"/>
        <v>9192.3893228830111</v>
      </c>
      <c r="CA61" s="193">
        <f t="shared" si="40"/>
        <v>96230.689455915082</v>
      </c>
      <c r="CB61" s="195">
        <f>IFERROR(G61*(IF('Inputs Yr 2'!$AJ61=CB$4,'Inputs Yr 2'!$AK61,IF('Inputs Yr 2'!$AL61=CB$4,'Inputs Yr 2'!$AM61,IF('Inputs Yr 2'!$AN61=CB$4,'Inputs Yr 2'!$AO61,0))))*(INDEX(avoidedcosttbl2,$H61,CB$2)+(($H61-ROUNDDOWN($H61,0))*(INDEX(avoidedcosttbl2,ROUNDUP($H61,0),CB$2)-(INDEX(avoidedcosttbl2,ROUNDDOWN($H61,0),CB$2)))))*'Inputs Yr 2'!P61*'Inputs Yr 2'!Q61*'Inputs Yr 2'!U61,"")</f>
        <v>0</v>
      </c>
      <c r="CC61" s="195">
        <f>IFERROR(H61*(IF('Inputs Yr 2'!$AJ61=CC$4,'Inputs Yr 2'!$AK61,IF('Inputs Yr 2'!$AL61=CC$4,'Inputs Yr 2'!$AM61,IF('Inputs Yr 2'!$AN61=CC$4,'Inputs Yr 2'!$AO61,0))))*(INDEX(avoidedcosttbl2,$H61,CC$2)+(($H61-ROUNDDOWN($H61,0))*(INDEX(avoidedcosttbl2,ROUNDUP($H61,0),CC$2)-(INDEX(avoidedcosttbl2,ROUNDDOWN($H61,0),CC$2)))))*'Inputs Yr 2'!Q61*'Inputs Yr 2'!R61*'Inputs Yr 2'!V61,"")</f>
        <v>0</v>
      </c>
      <c r="CD61" s="195">
        <f>IFERROR(I61*(IF('Inputs Yr 2'!$AJ61=CD$4,'Inputs Yr 2'!$AK61,IF('Inputs Yr 2'!$AL61=CD$4,'Inputs Yr 2'!$AM61,IF('Inputs Yr 2'!$AN61=CD$4,'Inputs Yr 2'!$AO61,0))))*(INDEX(avoidedcosttbl2,$H61,CD$2)+(($H61-ROUNDDOWN($H61,0))*(INDEX(avoidedcosttbl2,ROUNDUP($H61,0),CD$2)-(INDEX(avoidedcosttbl2,ROUNDDOWN($H61,0),CD$2)))))*'Inputs Yr 2'!R61*'Inputs Yr 2'!S61*'Inputs Yr 2'!W61,"")</f>
        <v>0</v>
      </c>
      <c r="CE61" s="213">
        <f t="shared" si="41"/>
        <v>0</v>
      </c>
      <c r="CF61" s="213">
        <f t="shared" si="42"/>
        <v>0</v>
      </c>
      <c r="CG61" s="213">
        <f t="shared" si="43"/>
        <v>0</v>
      </c>
      <c r="CH61" s="698">
        <f t="shared" si="44"/>
        <v>96230.689455915082</v>
      </c>
      <c r="CI61" s="79">
        <f>IFERROR(($G61*'Inputs Yr 2'!$P61*'Inputs Yr 2'!$Q61*(((INDEX(avoidedcosttbl2,$H61,CI$2)+(($H61-ROUNDDOWN($H61,0))*(INDEX(avoidedcosttbl2,ROUNDUP($H61,0),CI$2)-INDEX(avoidedcosttbl2,ROUNDDOWN($H61,0),CI$2))))*'Inputs Yr 2'!AS61))),"")</f>
        <v>179729.99757317128</v>
      </c>
      <c r="CJ61" s="504">
        <f>IFERROR($G61*'Inputs Yr 2'!AT61*'Inputs Yr 2'!$P61*'Inputs Yr 2'!$Q61/((1+realdiscrt1)^-0.5),"")</f>
        <v>0</v>
      </c>
      <c r="CK61" s="79">
        <f>IFERROR((O61*1000*(((INDEX(avoidedcosttbl2,$H61,CK$2)+(($H61-ROUNDDOWN($H61,0))*(INDEX(avoidedcosttbl2,ROUNDUP($H61,0),CK$2)-INDEX(avoidedcosttbl2,ROUNDDOWN($H61,0),CK$2))))*'Inputs Yr 2'!AU61))),"")</f>
        <v>0</v>
      </c>
      <c r="CL61" s="504">
        <f>IFERROR(O61*1000*'Inputs Yr 2'!AV61/((1+realdiscrt1)^-0.5),"")</f>
        <v>0</v>
      </c>
      <c r="CM61" s="79">
        <f>IFERROR((AB61*'Inputs Yr 2'!AW61*(((INDEX(avoidedcosttbl2,$H61,CM$2)+(($H61-ROUNDDOWN($H61,0))*(INDEX(avoidedcosttbl2,ROUNDUP($H61,0),CM$2)-INDEX(avoidedcosttbl2,ROUNDDOWN($H61,0),CM$2)))))))*10,"")</f>
        <v>0</v>
      </c>
      <c r="CN61" s="504">
        <f>IFERROR(10*AB61*'Inputs Yr 2'!AX61/((1+realdiscrt1)^-0.5),"")</f>
        <v>0</v>
      </c>
      <c r="CO61" s="505">
        <f t="shared" si="45"/>
        <v>179729.99757317128</v>
      </c>
      <c r="CP61" s="230">
        <f t="shared" si="46"/>
        <v>275960.68702908634</v>
      </c>
      <c r="CQ61" s="199">
        <f>ROUND(IFERROR(IF(LEFT($A61,1)="C",'Avoided Costs'!$K$13,'Avoided Costs'!$K$12)+1,""),4)</f>
        <v>1.0720000000000001</v>
      </c>
      <c r="CR61" s="199">
        <f>ROUND(IFERROR(IF(LEFT($A61,1)="C",'Avoided Costs'!$L$13,'Avoided Costs'!$L$12)+1,""),4)</f>
        <v>1.04</v>
      </c>
      <c r="CS61" s="199">
        <f>ROUND(IFERROR(IF(LEFT($A61,1)="C",'Avoided Costs'!$M$13,'Avoided Costs'!$M$12)+1,""),4)</f>
        <v>1.0720000000000001</v>
      </c>
      <c r="CT61" s="199">
        <f>ROUND(IFERROR(IF(LEFT($A61,1)="C",'Avoided Costs'!$N$13,'Avoided Costs'!$N$12)+1,""),4)</f>
        <v>1.04</v>
      </c>
      <c r="CU61" s="199">
        <f>ROUND(IFERROR(IF(LEFT($A61,1)="C",'Avoided Costs'!$O$13,'Avoided Costs'!$O$12)+1,""),4)</f>
        <v>1.1120000000000001</v>
      </c>
      <c r="CV61" s="199">
        <f>ROUND(IFERROR(IF(LEFT($A61,1)="C",'Avoided Costs'!$P$13,'Avoided Costs'!$P$12)+1,""),4)</f>
        <v>1.095</v>
      </c>
      <c r="CW61" s="199">
        <f>ROUND(IFERROR(IF(LEFT($A61,1)="C",'Avoided Costs'!$Q$13,'Avoided Costs'!$Q$12)+1,""),4)</f>
        <v>1.1120000000000001</v>
      </c>
      <c r="CX61" s="200">
        <f>ROUND(IFERROR(IF(LEFT($A61,1)="C",'Avoided Costs'!$R$13,'Avoided Costs'!$R$12)+1,""),4)</f>
        <v>1.1120000000000001</v>
      </c>
    </row>
    <row r="62" spans="1:102" ht="12.75" customHeight="1">
      <c r="A62" s="91" t="str">
        <f>IF('Inputs Yr 2'!$B62=0,"",'Inputs Yr 2'!A62)</f>
        <v>A - Residential</v>
      </c>
      <c r="B62" s="91" t="str">
        <f>IF('Inputs Yr 2'!$B62=0,"",'Inputs Yr 2'!B62)</f>
        <v>A1 - Residential Whole House</v>
      </c>
      <c r="C62" s="91" t="str">
        <f>IF('Inputs Yr 2'!$B62=0,"",'Inputs Yr 2'!C62)</f>
        <v>A1c - Residential Home Energy Services - Measures</v>
      </c>
      <c r="D62" s="91" t="str">
        <f>IF('Inputs Yr 2'!$B62=0,"",'Inputs Yr 2'!E62)</f>
        <v>Early Retirement Furnace, (EE)</v>
      </c>
      <c r="E62" s="93" t="str">
        <f>IF('Inputs Yr 2'!$B62=0,"",'Inputs Yr 2'!F62)</f>
        <v>G16A1c18</v>
      </c>
      <c r="F62" s="93" t="str">
        <f>IF('Inputs Yr 2'!$B62=0,"",'Inputs Yr 2'!G62)</f>
        <v>HVAC</v>
      </c>
      <c r="G62" s="95">
        <f>IF('Inputs Yr 2'!$H62&lt;&gt;0,('Inputs Yr 2'!H62),"")</f>
        <v>1073</v>
      </c>
      <c r="H62" s="94">
        <f>IFERROR('Inputs Yr 2'!I62,"")</f>
        <v>18</v>
      </c>
      <c r="I62" s="298">
        <f>IFERROR('Inputs Yr 2'!J62*'Inputs Yr 2'!P62*G62,"")</f>
        <v>2071963</v>
      </c>
      <c r="J62" s="298">
        <f>IFERROR('Inputs Yr 2'!K62*G62,"")</f>
        <v>1073000</v>
      </c>
      <c r="K62" s="298">
        <f t="shared" si="23"/>
        <v>998963</v>
      </c>
      <c r="L62" s="194">
        <f>IFERROR(('Inputs Yr 2'!W62*G62)/1000,"")</f>
        <v>0</v>
      </c>
      <c r="M62" s="194">
        <f>IFERROR(L62*('Inputs Yr 2'!$Q62*'Inputs Yr 2'!$V62*'Inputs Yr 2'!$R62),"")</f>
        <v>0</v>
      </c>
      <c r="N62" s="194">
        <f t="shared" si="24"/>
        <v>0</v>
      </c>
      <c r="O62" s="194">
        <f>IFERROR(M62*'Inputs Yr 2'!P62,"")</f>
        <v>0</v>
      </c>
      <c r="P62" s="194">
        <f t="shared" si="25"/>
        <v>0</v>
      </c>
      <c r="Q62" s="194">
        <f>IFERROR($P62*'Inputs Yr 2'!AA62,"")</f>
        <v>0</v>
      </c>
      <c r="R62" s="194">
        <f>IFERROR($P62*'Inputs Yr 2'!AB62,"")</f>
        <v>0</v>
      </c>
      <c r="S62" s="194">
        <f>IFERROR($P62*'Inputs Yr 2'!AC62,"")</f>
        <v>0</v>
      </c>
      <c r="T62" s="194">
        <f>IFERROR($P62*'Inputs Yr 2'!AD62,"")</f>
        <v>0</v>
      </c>
      <c r="U62" s="194">
        <f>IFERROR(G62*'Inputs Yr 2'!$AE62*'Inputs Yr 2'!$P62*'Inputs Yr 2'!$Q62,"")</f>
        <v>0</v>
      </c>
      <c r="V62" s="194">
        <f>IFERROR($G62*'Inputs Yr 2'!$AE62*'Inputs Yr 2'!$AG62*'Inputs Yr 2'!Q62*'Inputs Yr 2'!$S62,"")</f>
        <v>0</v>
      </c>
      <c r="W62" s="194">
        <f>IFERROR($G62*'Inputs Yr 2'!$AE62*'Inputs Yr 2'!$AG62*'Inputs Yr 2'!P62*'Inputs Yr 2'!Q62*'Inputs Yr 2'!$S62,"")</f>
        <v>0</v>
      </c>
      <c r="X62" s="194">
        <f>IFERROR($G62*'Inputs Yr 2'!$AE62*'Inputs Yr 2'!$AF62*'Inputs Yr 2'!Q62*'Inputs Yr 2'!$T62,"")</f>
        <v>0</v>
      </c>
      <c r="Y62" s="194">
        <f>IFERROR($G62*'Inputs Yr 2'!$AE62*'Inputs Yr 2'!$AF62*'Inputs Yr 2'!P62*'Inputs Yr 2'!Q62*'Inputs Yr 2'!$T62,"")</f>
        <v>0</v>
      </c>
      <c r="Z62" s="257">
        <f>IFERROR($G62*'Inputs Yr 2'!$Q62*'Inputs Yr 2'!$U62*(IF(IFERROR(SEARCH("NG", 'Inputs Yr 2'!$AJ62),0),'Inputs Yr 2'!$AK62,0)+IF(IFERROR(SEARCH("NG", 'Inputs Yr 2'!$AL62),0),'Inputs Yr 2'!$AM62,0)+IF(IFERROR(SEARCH("NG", 'Inputs Yr 2'!$AN62),0),'Inputs Yr 2'!$AO62,0)),0)</f>
        <v>7725.6</v>
      </c>
      <c r="AA62" s="257">
        <f t="shared" si="26"/>
        <v>139060.80000000002</v>
      </c>
      <c r="AB62" s="257">
        <f>IFERROR(Z62*'Inputs Yr 2'!$P62,0)</f>
        <v>7725.6</v>
      </c>
      <c r="AC62" s="257">
        <f t="shared" si="27"/>
        <v>139060.80000000002</v>
      </c>
      <c r="AD62" s="257">
        <f>IFERROR($G62*'Inputs Yr 2'!$Q62*'Inputs Yr 2'!$U62*(IF(IFERROR(SEARCH("Oil", 'Inputs Yr 2'!$AJ62), 0),'Inputs Yr 2'!$AK62,0)+IF(IFERROR(SEARCH("Oil", 'Inputs Yr 2'!$AL62), 0),'Inputs Yr 2'!$AM62,0)+IF(IFERROR(SEARCH("Oil", 'Inputs Yr 2'!$AN62), 0),'Inputs Yr 2'!$AO62,0)),0)</f>
        <v>0</v>
      </c>
      <c r="AE62" s="257">
        <f t="shared" si="28"/>
        <v>0</v>
      </c>
      <c r="AF62" s="257">
        <f>IFERROR(AD62*'Inputs Yr 2'!$P62,0)</f>
        <v>0</v>
      </c>
      <c r="AG62" s="257">
        <f t="shared" si="29"/>
        <v>0</v>
      </c>
      <c r="AH62" s="257">
        <f>IFERROR($G62*'Inputs Yr 2'!$Q62*'Inputs Yr 2'!$U62*(IF('Inputs Yr 2'!$AJ62=CD$4,'Inputs Yr 2'!$AK62,IF('Inputs Yr 2'!$AL62=CD$4,'Inputs Yr 2'!$AM62,IF('Inputs Yr 2'!$AN62=CD$4,'Inputs Yr 2'!$AO62,0)))),0)</f>
        <v>0</v>
      </c>
      <c r="AI62" s="257">
        <f t="shared" si="30"/>
        <v>0</v>
      </c>
      <c r="AJ62" s="257">
        <f>IFERROR(AH62*'Inputs Yr 2'!$P62,0)</f>
        <v>0</v>
      </c>
      <c r="AK62" s="257">
        <f t="shared" si="31"/>
        <v>0</v>
      </c>
      <c r="AL62" s="258">
        <f>IFERROR($G62*'Inputs Yr 2'!$P62*'Inputs Yr 2'!$Q62*'Inputs Yr 2'!AP62,0)</f>
        <v>0</v>
      </c>
      <c r="AM62" s="260">
        <f>IFERROR($G62*'Inputs Yr 2'!$P62*'Inputs Yr 2'!$Q62*'Inputs Yr 2'!AQ62,0)</f>
        <v>0</v>
      </c>
      <c r="AN62" s="258">
        <f>IFERROR($G62*'Inputs Yr 2'!$P62*'Inputs Yr 2'!$Q62*'Inputs Yr 2'!AR62,0)</f>
        <v>0</v>
      </c>
      <c r="AO62" s="257">
        <f t="shared" si="32"/>
        <v>0</v>
      </c>
      <c r="AP62" s="195">
        <f>IFERROR($CQ62*(INDEX(avoidedcosttbl2,$H62,AP$2)+(($H62-ROUNDDOWN($H62,0))*(INDEX(avoidedcosttbl2,ROUNDUP($H62,0),AP$2)-(INDEX(avoidedcosttbl2,ROUNDDOWN($H62,0),AP$2)))))*$O62*1000*'Inputs Yr 2'!AA62,"")</f>
        <v>0</v>
      </c>
      <c r="AQ62" s="195">
        <f>IFERROR($CR62*(INDEX(avoidedcosttbl2,$H62,AQ$2)+(($H62-ROUNDDOWN($H62,0))*(INDEX(avoidedcosttbl2,ROUNDUP($H62,0),AQ$2)-(INDEX(avoidedcosttbl2,ROUNDDOWN($H62,0),AQ$2)))))*$O62*1000*'Inputs Yr 2'!AB62,"")</f>
        <v>0</v>
      </c>
      <c r="AR62" s="195">
        <f>IFERROR($CS62*(INDEX(avoidedcosttbl2,$H62,AR$2)+(($H62-ROUNDDOWN($H62,0))*(INDEX(avoidedcosttbl2,ROUNDUP($H62,0),AR$2)-(INDEX(avoidedcosttbl2,ROUNDDOWN($H62,0),AR$2)))))*$O62*1000*'Inputs Yr 2'!AC62,"")</f>
        <v>0</v>
      </c>
      <c r="AS62" s="195">
        <f>IFERROR($CT62*(INDEX(avoidedcosttbl2,$H62,AS$2)+(($H62-ROUNDDOWN($H62,0))*(INDEX(avoidedcosttbl2,ROUNDUP($H62,0),AS$2)-(INDEX(avoidedcosttbl2,ROUNDDOWN($H62,0),AS$2)))))*$O62*1000*'Inputs Yr 2'!AD62,"")</f>
        <v>0</v>
      </c>
      <c r="AT62" s="196">
        <f t="shared" si="33"/>
        <v>0</v>
      </c>
      <c r="AU62" s="197">
        <f>IFERROR($CQ62*((INDEX(avoidedcosttbl2,$H62,AU$2))+(($H62-ROUNDDOWN($H62,0))*((INDEX(avoidedcosttbl2,ROUNDUP($H62,0),AU$2))-(INDEX(avoidedcosttbl2,ROUNDDOWN($H62,0),AU$2)))))*$O62*1000*'Inputs Yr 2'!AA62,"")</f>
        <v>0</v>
      </c>
      <c r="AV62" s="197">
        <f>IFERROR($CR62*((INDEX(avoidedcosttbl2,$H62,AV$2))+(($H62-ROUNDDOWN($H62,0))*((INDEX(avoidedcosttbl2,ROUNDUP($H62,0),AV$2))-(INDEX(avoidedcosttbl2,ROUNDDOWN($H62,0),AV$2)))))*$O62*1000*'Inputs Yr 2'!AB62,"")</f>
        <v>0</v>
      </c>
      <c r="AW62" s="197">
        <f>IFERROR($CS62*((INDEX(avoidedcosttbl2,$H62,AW$2))+(($H62-ROUNDDOWN($H62,0))*((INDEX(avoidedcosttbl2,ROUNDUP($H62,0),AW$2))-(INDEX(avoidedcosttbl2,ROUNDDOWN($H62,0),AW$2)))))*$O62*1000*'Inputs Yr 2'!AC62,"")</f>
        <v>0</v>
      </c>
      <c r="AX62" s="197">
        <f>IFERROR($CT62*((INDEX(avoidedcosttbl2,$H62,AX$2))+(($H62-ROUNDDOWN($H62,0))*((INDEX(avoidedcosttbl2,ROUNDUP($H62,0),AX$2))-(INDEX(avoidedcosttbl2,ROUNDDOWN($H62,0),AX$2)))))*$O62*1000*'Inputs Yr 2'!AD62,"")</f>
        <v>0</v>
      </c>
      <c r="AY62" s="197">
        <f>IFERROR(((INDEX(avoidedcosttbl2,$H62,AY$2))+(($H62-ROUNDDOWN($H62,0))*((INDEX(avoidedcosttbl2,ROUNDUP($H62,0),AY$2))-(INDEX(avoidedcosttbl2,ROUNDDOWN($H62,0),AY$2)))))*$O62*1000*('Inputs Yr 2'!AC62+'Inputs Yr 2'!AD62),"")</f>
        <v>0</v>
      </c>
      <c r="AZ62" s="197">
        <f>IFERROR(((INDEX(avoidedcosttbl2,$H62,AZ$2))+(($H62-ROUNDDOWN($H62,0))*((INDEX(avoidedcosttbl2,ROUNDUP($H62,0),AZ$2))-(INDEX(avoidedcosttbl2,ROUNDDOWN($H62,0),AZ$2)))))*$O62*1000*('Inputs Yr 2'!AA62+'Inputs Yr 2'!AB62),"")</f>
        <v>0</v>
      </c>
      <c r="BA62" s="198">
        <f t="shared" si="34"/>
        <v>0</v>
      </c>
      <c r="BB62" s="198">
        <f t="shared" si="35"/>
        <v>0</v>
      </c>
      <c r="BC62" s="195">
        <f t="shared" si="10"/>
        <v>0</v>
      </c>
      <c r="BD62" s="195">
        <f t="shared" si="11"/>
        <v>0</v>
      </c>
      <c r="BE62" s="195">
        <f t="shared" si="12"/>
        <v>0</v>
      </c>
      <c r="BF62" s="195">
        <f t="shared" si="13"/>
        <v>0</v>
      </c>
      <c r="BG62" s="195">
        <f t="shared" si="14"/>
        <v>0</v>
      </c>
      <c r="BH62" s="196">
        <f t="shared" si="36"/>
        <v>0</v>
      </c>
      <c r="BI62" s="196">
        <f t="shared" si="37"/>
        <v>0</v>
      </c>
      <c r="BJ62" s="195">
        <f>IFERROR($G62*(IF('Inputs Yr 2'!$AJ62=BJ$4,'Inputs Yr 2'!$AK62,IF('Inputs Yr 2'!$AL62=BJ$4,'Inputs Yr 2'!$AM62,IF('Inputs Yr 2'!$AN62=BJ$4,'Inputs Yr 2'!$AO62,0))))*(INDEX(avoidedcosttbl2,$H62,BJ$2)+(($H62-ROUNDDOWN($H62,0))*(INDEX(avoidedcosttbl2,ROUNDUP($H62,0),BJ$2)-(INDEX(avoidedcosttbl2,ROUNDDOWN($H62,0),BJ$2)))))*'Inputs Yr 2'!P62*'Inputs Yr 2'!Q62*'Inputs Yr 2'!U62,"")</f>
        <v>0</v>
      </c>
      <c r="BK62" s="195">
        <f>IFERROR($G62*(IF('Inputs Yr 2'!$AJ62=BK$4,'Inputs Yr 2'!$AK62,IF('Inputs Yr 2'!$AL62=BK$4,'Inputs Yr 2'!$AM62,IF('Inputs Yr 2'!$AN62=BK$4,'Inputs Yr 2'!$AO62,0))))*(INDEX(avoidedcosttbl2,$H62,BK$2)+(($H62-ROUNDDOWN($H62,0))*(INDEX(avoidedcosttbl2,ROUNDUP($H62,0),BK$2)-(INDEX(avoidedcosttbl2,ROUNDDOWN($H62,0),BK$2)))))*'Inputs Yr 2'!P62*'Inputs Yr 2'!Q62*'Inputs Yr 2'!U62,"")</f>
        <v>0</v>
      </c>
      <c r="BL62" s="195">
        <f>IFERROR($G62*(IF('Inputs Yr 2'!$AJ62=BL$4,'Inputs Yr 2'!$AK62,IF('Inputs Yr 2'!$AL62=BL$4,'Inputs Yr 2'!$AM62,IF('Inputs Yr 2'!$AN62=BL$4,'Inputs Yr 2'!$AO62,0))))*(INDEX(avoidedcosttbl2,$H62,BL$2)+(($H62-ROUNDDOWN($H62,0))*(INDEX(avoidedcosttbl2,ROUNDUP($H62,0),BL$2)-(INDEX(avoidedcosttbl2,ROUNDDOWN($H62,0),BL$2)))))*'Inputs Yr 2'!P62*'Inputs Yr 2'!Q62*'Inputs Yr 2'!U62,"")</f>
        <v>1192158.5578263672</v>
      </c>
      <c r="BM62" s="195">
        <f>IFERROR($G62*(IF('Inputs Yr 2'!$AJ62=BM$4,'Inputs Yr 2'!$AK62,IF('Inputs Yr 2'!$AL62=BM$4,'Inputs Yr 2'!$AM62,IF('Inputs Yr 2'!$AN62=BM$4,'Inputs Yr 2'!$AO62,0))))*(INDEX(avoidedcosttbl2,$H62,BM$2)+(($H62-ROUNDDOWN($H62,0))*(INDEX(avoidedcosttbl2,ROUNDUP($H62,0),BM$2)-(INDEX(avoidedcosttbl2,ROUNDDOWN($H62,0),BM$2)))))*'Inputs Yr 2'!P62*'Inputs Yr 2'!Q62*'Inputs Yr 2'!U62,"")</f>
        <v>0</v>
      </c>
      <c r="BN62" s="195">
        <f>IFERROR($G62*(IF('Inputs Yr 2'!$AJ62=BN$4,'Inputs Yr 2'!$AK62,IF('Inputs Yr 2'!$AL62=BN$4,'Inputs Yr 2'!$AM62,IF('Inputs Yr 2'!$AN62=BN$4,'Inputs Yr 2'!$AO62,0))))*(INDEX(avoidedcosttbl2,$H62,BN$2)+(($H62-ROUNDDOWN($H62,0))*(INDEX(avoidedcosttbl2,ROUNDUP($H62,0),BN$2)-(INDEX(avoidedcosttbl2,ROUNDDOWN($H62,0),BN$2)))))*'Inputs Yr 2'!P62*'Inputs Yr 2'!Q62*'Inputs Yr 2'!U62,"")</f>
        <v>0</v>
      </c>
      <c r="BO62" s="195">
        <f>IFERROR($G62*(IF('Inputs Yr 2'!$AJ62=BO$4,'Inputs Yr 2'!$AK62,IF('Inputs Yr 2'!$AL62=BO$4,'Inputs Yr 2'!$AM62,IF('Inputs Yr 2'!$AN62=BO$4,'Inputs Yr 2'!$AO62,0))))*(INDEX(avoidedcosttbl2,$H62,BO$2)+(($H62-ROUNDDOWN($H62,0))*(INDEX(avoidedcosttbl2,ROUNDUP($H62,0),BO$2)-(INDEX(avoidedcosttbl2,ROUNDDOWN($H62,0),BO$2)))))*'Inputs Yr 2'!P62*'Inputs Yr 2'!Q62*'Inputs Yr 2'!U62,"")</f>
        <v>0</v>
      </c>
      <c r="BP62" s="195">
        <f>IFERROR($G62*(IF('Inputs Yr 2'!$AJ62=BP$4,'Inputs Yr 2'!$AK62,IF('Inputs Yr 2'!$AL62=BP$4,'Inputs Yr 2'!$AM62,IF('Inputs Yr 2'!$AN62=BP$4,'Inputs Yr 2'!$AO62,0))))*(INDEX(avoidedcosttbl2,$H62,BP$2)+(($H62-ROUNDDOWN($H62,0))*(INDEX(avoidedcosttbl2,ROUNDUP($H62,0),BP$2)-(INDEX(avoidedcosttbl2,ROUNDDOWN($H62,0),BP$2)))))*'Inputs Yr 2'!P62*'Inputs Yr 2'!Q62*'Inputs Yr 2'!U62,"")</f>
        <v>0</v>
      </c>
      <c r="BQ62" s="230">
        <f t="shared" si="38"/>
        <v>1192158.5578263672</v>
      </c>
      <c r="BR62" s="197">
        <f t="shared" si="17"/>
        <v>18726.33463445825</v>
      </c>
      <c r="BS62" s="197">
        <f>IFERROR(($G62*IF('Inputs Yr 2'!$AJ62=BM$4,'Inputs Yr 2'!$AK62,IF('Inputs Yr 2'!$AL62=BM$4,'Inputs Yr 2'!$AM62,IF('Inputs Yr 2'!$AN62=BM$4,'Inputs Yr 2'!$AO62,0))))*(INDEX(avoidedcosttbl2,$H62,BS$2)+(($H62-ROUNDDOWN($H62,0))*(INDEX(avoidedcosttbl2,ROUNDUP($H62,0),BS$2)-(INDEX(avoidedcosttbl2,ROUNDDOWN($H62,0),BS$2)))))*'Inputs Yr 2'!P62*'Inputs Yr 2'!Q62*'Inputs Yr 2'!U62,"")</f>
        <v>0</v>
      </c>
      <c r="BT62" s="197">
        <f>IFERROR(($G62*IF('Inputs Yr 2'!$AJ62=BK$4,'Inputs Yr 2'!$AK62,IF('Inputs Yr 2'!$AL62=BK$4,'Inputs Yr 2'!$AM62,IF('Inputs Yr 2'!$AN62=BK$4,'Inputs Yr 2'!$AO62,0))))*(INDEX(avoidedcosttbl2,$H62,BT$2)+(($H62-ROUNDDOWN($H62,0))*(INDEX(avoidedcosttbl2,ROUNDUP($H62,0),BT$2)-(INDEX(avoidedcosttbl2,ROUNDDOWN($H62,0),BT$2)))))*'Inputs Yr 2'!P62*'Inputs Yr 2'!Q62*'Inputs Yr 2'!U62,"")</f>
        <v>0</v>
      </c>
      <c r="BU62" s="197">
        <f>IFERROR(($G62*IF('Inputs Yr 2'!$AJ62=BL$4,'Inputs Yr 2'!$AK62,IF('Inputs Yr 2'!$AL62=BL$4,'Inputs Yr 2'!$AM62,IF('Inputs Yr 2'!$AN62=BL$4,'Inputs Yr 2'!$AO62,0))))*(INDEX(avoidedcosttbl2,$H62,BU$2)+(($H62-ROUNDDOWN($H62,0))*(INDEX(avoidedcosttbl2,ROUNDUP($H62,0),BU$2)-(INDEX(avoidedcosttbl2,ROUNDDOWN($H62,0),BU$2)))))*'Inputs Yr 2'!P62*'Inputs Yr 2'!Q62*'Inputs Yr 2'!U62,"")</f>
        <v>61665.430194864995</v>
      </c>
      <c r="BV62" s="775">
        <f>IFERROR(($G62*IF('Inputs Yr 2'!$AJ62=BJ$4,'Inputs Yr 2'!$AK62,IF('Inputs Yr 2'!$AL62=BJ$4,'Inputs Yr 2'!$AM62,IF('Inputs Yr 2'!$AN62=BJ$4,'Inputs Yr 2'!$AO62,0))))*(INDEX(avoidedcosttbl2,$H62,BV$2)+(($H62-ROUNDDOWN($H62,0))*(INDEX(avoidedcosttbl2,ROUNDUP($H62,0),BV$2)-(INDEX(avoidedcosttbl2,ROUNDDOWN($H62,0),BV$2)))))*'Inputs Yr 2'!P62*'Inputs Yr 2'!Q62*'Inputs Yr 2'!U62,"")</f>
        <v>0</v>
      </c>
      <c r="BW62" s="197">
        <f>IFERROR(($G62*IF('Inputs Yr 2'!$AJ62=BN$4,'Inputs Yr 2'!$AK62,IF('Inputs Yr 2'!$AL62=BN$4,'Inputs Yr 2'!$AM62,IF('Inputs Yr 2'!$AN62=BN$4,'Inputs Yr 2'!$AO62,0))))*(INDEX(avoidedcosttbl2,$H62,BW$2)+(($H62-ROUNDDOWN($H62,0))*(INDEX(avoidedcosttbl2,ROUNDUP($H62,0),BW$2)-(INDEX(avoidedcosttbl2,ROUNDDOWN($H62,0),BW$2)))))*'Inputs Yr 2'!P62*'Inputs Yr 2'!Q62*'Inputs Yr 2'!U62,"")</f>
        <v>0</v>
      </c>
      <c r="BX62" s="197">
        <f>IFERROR(($G62*IF('Inputs Yr 2'!$AJ62=BO$4,'Inputs Yr 2'!$AK62,IF('Inputs Yr 2'!$AL62=BO$4,'Inputs Yr 2'!$AM62,IF('Inputs Yr 2'!$AN62=BO$4,'Inputs Yr 2'!$AO62,0))))*(INDEX(avoidedcosttbl2,$H62,BX$2)+(($H62-ROUNDDOWN($H62,0))*(INDEX(avoidedcosttbl2,ROUNDUP($H62,0),BX$2)-(INDEX(avoidedcosttbl2,ROUNDDOWN($H62,0),BX$2)))))*'Inputs Yr 2'!P62*'Inputs Yr 2'!Q62*'Inputs Yr 2'!U62,"")</f>
        <v>0</v>
      </c>
      <c r="BY62" s="197">
        <f>IFERROR(($G62*IF('Inputs Yr 2'!$AJ62=BP$4,'Inputs Yr 2'!$AK62,IF('Inputs Yr 2'!$AL62=BP$4,'Inputs Yr 2'!$AM62,IF('Inputs Yr 2'!$AN62=BP$4,'Inputs Yr 2'!$AO62,0))))*(INDEX(avoidedcosttbl2,$H62,BY$2)+(($H62-ROUNDDOWN($H62,0))*(INDEX(avoidedcosttbl2,ROUNDUP($H62,0),BY$2)-(INDEX(avoidedcosttbl2,ROUNDDOWN($H62,0),BY$2)))))*'Inputs Yr 2'!P62*'Inputs Yr 2'!Q62*'Inputs Yr 2'!U62,"")</f>
        <v>0</v>
      </c>
      <c r="BZ62" s="193">
        <f t="shared" si="39"/>
        <v>80391.764829323249</v>
      </c>
      <c r="CA62" s="193">
        <f t="shared" si="40"/>
        <v>1272550.3226556904</v>
      </c>
      <c r="CB62" s="195">
        <f>IFERROR(G62*(IF('Inputs Yr 2'!$AJ62=CB$4,'Inputs Yr 2'!$AK62,IF('Inputs Yr 2'!$AL62=CB$4,'Inputs Yr 2'!$AM62,IF('Inputs Yr 2'!$AN62=CB$4,'Inputs Yr 2'!$AO62,0))))*(INDEX(avoidedcosttbl2,$H62,CB$2)+(($H62-ROUNDDOWN($H62,0))*(INDEX(avoidedcosttbl2,ROUNDUP($H62,0),CB$2)-(INDEX(avoidedcosttbl2,ROUNDDOWN($H62,0),CB$2)))))*'Inputs Yr 2'!P62*'Inputs Yr 2'!Q62*'Inputs Yr 2'!U62,"")</f>
        <v>0</v>
      </c>
      <c r="CC62" s="195">
        <f>IFERROR(H62*(IF('Inputs Yr 2'!$AJ62=CC$4,'Inputs Yr 2'!$AK62,IF('Inputs Yr 2'!$AL62=CC$4,'Inputs Yr 2'!$AM62,IF('Inputs Yr 2'!$AN62=CC$4,'Inputs Yr 2'!$AO62,0))))*(INDEX(avoidedcosttbl2,$H62,CC$2)+(($H62-ROUNDDOWN($H62,0))*(INDEX(avoidedcosttbl2,ROUNDUP($H62,0),CC$2)-(INDEX(avoidedcosttbl2,ROUNDDOWN($H62,0),CC$2)))))*'Inputs Yr 2'!Q62*'Inputs Yr 2'!R62*'Inputs Yr 2'!V62,"")</f>
        <v>0</v>
      </c>
      <c r="CD62" s="195">
        <f>IFERROR(I62*(IF('Inputs Yr 2'!$AJ62=CD$4,'Inputs Yr 2'!$AK62,IF('Inputs Yr 2'!$AL62=CD$4,'Inputs Yr 2'!$AM62,IF('Inputs Yr 2'!$AN62=CD$4,'Inputs Yr 2'!$AO62,0))))*(INDEX(avoidedcosttbl2,$H62,CD$2)+(($H62-ROUNDDOWN($H62,0))*(INDEX(avoidedcosttbl2,ROUNDUP($H62,0),CD$2)-(INDEX(avoidedcosttbl2,ROUNDDOWN($H62,0),CD$2)))))*'Inputs Yr 2'!R62*'Inputs Yr 2'!S62*'Inputs Yr 2'!W62,"")</f>
        <v>0</v>
      </c>
      <c r="CE62" s="213">
        <f t="shared" si="41"/>
        <v>0</v>
      </c>
      <c r="CF62" s="213">
        <f t="shared" si="42"/>
        <v>0</v>
      </c>
      <c r="CG62" s="213">
        <f t="shared" si="43"/>
        <v>0</v>
      </c>
      <c r="CH62" s="698">
        <f t="shared" si="44"/>
        <v>1272550.3226556904</v>
      </c>
      <c r="CI62" s="79">
        <f>IFERROR(($G62*'Inputs Yr 2'!$P62*'Inputs Yr 2'!$Q62*(((INDEX(avoidedcosttbl2,$H62,CI$2)+(($H62-ROUNDDOWN($H62,0))*(INDEX(avoidedcosttbl2,ROUNDUP($H62,0),CI$2)-INDEX(avoidedcosttbl2,ROUNDDOWN($H62,0),CI$2))))*'Inputs Yr 2'!AS62))),"")</f>
        <v>572715.47117931163</v>
      </c>
      <c r="CJ62" s="504">
        <f>IFERROR($G62*'Inputs Yr 2'!AT62*'Inputs Yr 2'!$P62*'Inputs Yr 2'!$Q62/((1+realdiscrt1)^-0.5),"")</f>
        <v>0</v>
      </c>
      <c r="CK62" s="79">
        <f>IFERROR((O62*1000*(((INDEX(avoidedcosttbl2,$H62,CK$2)+(($H62-ROUNDDOWN($H62,0))*(INDEX(avoidedcosttbl2,ROUNDUP($H62,0),CK$2)-INDEX(avoidedcosttbl2,ROUNDDOWN($H62,0),CK$2))))*'Inputs Yr 2'!AU62))),"")</f>
        <v>0</v>
      </c>
      <c r="CL62" s="504">
        <f>IFERROR(O62*1000*'Inputs Yr 2'!AV62/((1+realdiscrt1)^-0.5),"")</f>
        <v>0</v>
      </c>
      <c r="CM62" s="79">
        <f>IFERROR((AB62*'Inputs Yr 2'!AW62*(((INDEX(avoidedcosttbl2,$H62,CM$2)+(($H62-ROUNDDOWN($H62,0))*(INDEX(avoidedcosttbl2,ROUNDUP($H62,0),CM$2)-INDEX(avoidedcosttbl2,ROUNDDOWN($H62,0),CM$2)))))))*10,"")</f>
        <v>0</v>
      </c>
      <c r="CN62" s="504">
        <f>IFERROR(10*AB62*'Inputs Yr 2'!AX62/((1+realdiscrt1)^-0.5),"")</f>
        <v>0</v>
      </c>
      <c r="CO62" s="505">
        <f t="shared" si="45"/>
        <v>572715.47117931163</v>
      </c>
      <c r="CP62" s="230">
        <f t="shared" si="46"/>
        <v>1845265.793835002</v>
      </c>
      <c r="CQ62" s="199">
        <f>ROUND(IFERROR(IF(LEFT($A62,1)="C",'Avoided Costs'!$K$13,'Avoided Costs'!$K$12)+1,""),4)</f>
        <v>1.0720000000000001</v>
      </c>
      <c r="CR62" s="199">
        <f>ROUND(IFERROR(IF(LEFT($A62,1)="C",'Avoided Costs'!$L$13,'Avoided Costs'!$L$12)+1,""),4)</f>
        <v>1.04</v>
      </c>
      <c r="CS62" s="199">
        <f>ROUND(IFERROR(IF(LEFT($A62,1)="C",'Avoided Costs'!$M$13,'Avoided Costs'!$M$12)+1,""),4)</f>
        <v>1.0720000000000001</v>
      </c>
      <c r="CT62" s="199">
        <f>ROUND(IFERROR(IF(LEFT($A62,1)="C",'Avoided Costs'!$N$13,'Avoided Costs'!$N$12)+1,""),4)</f>
        <v>1.04</v>
      </c>
      <c r="CU62" s="199">
        <f>ROUND(IFERROR(IF(LEFT($A62,1)="C",'Avoided Costs'!$O$13,'Avoided Costs'!$O$12)+1,""),4)</f>
        <v>1.1120000000000001</v>
      </c>
      <c r="CV62" s="199">
        <f>ROUND(IFERROR(IF(LEFT($A62,1)="C",'Avoided Costs'!$P$13,'Avoided Costs'!$P$12)+1,""),4)</f>
        <v>1.095</v>
      </c>
      <c r="CW62" s="199">
        <f>ROUND(IFERROR(IF(LEFT($A62,1)="C",'Avoided Costs'!$Q$13,'Avoided Costs'!$Q$12)+1,""),4)</f>
        <v>1.1120000000000001</v>
      </c>
      <c r="CX62" s="200">
        <f>ROUND(IFERROR(IF(LEFT($A62,1)="C",'Avoided Costs'!$R$13,'Avoided Costs'!$R$12)+1,""),4)</f>
        <v>1.1120000000000001</v>
      </c>
    </row>
    <row r="63" spans="1:102" ht="12.75" customHeight="1">
      <c r="A63" s="91" t="str">
        <f>IF('Inputs Yr 2'!$B63=0,"",'Inputs Yr 2'!A63)</f>
        <v>A - Residential</v>
      </c>
      <c r="B63" s="91" t="str">
        <f>IF('Inputs Yr 2'!$B63=0,"",'Inputs Yr 2'!B63)</f>
        <v>A1 - Residential Whole House</v>
      </c>
      <c r="C63" s="91" t="str">
        <f>IF('Inputs Yr 2'!$B63=0,"",'Inputs Yr 2'!C63)</f>
        <v>A1c - Residential Home Energy Services - Measures</v>
      </c>
      <c r="D63" s="91" t="str">
        <f>IF('Inputs Yr 2'!$B63=0,"",'Inputs Yr 2'!E63)</f>
        <v>Early Retirement Furnace, (Retire)</v>
      </c>
      <c r="E63" s="93" t="str">
        <f>IF('Inputs Yr 2'!$B63=0,"",'Inputs Yr 2'!F63)</f>
        <v>G16A1c19</v>
      </c>
      <c r="F63" s="93" t="str">
        <f>IF('Inputs Yr 2'!$B63=0,"",'Inputs Yr 2'!G63)</f>
        <v>HVAC</v>
      </c>
      <c r="G63" s="95">
        <f>IF('Inputs Yr 2'!$H63&lt;&gt;0,('Inputs Yr 2'!H63),"")</f>
        <v>1073</v>
      </c>
      <c r="H63" s="94">
        <f>IFERROR('Inputs Yr 2'!I63,"")</f>
        <v>6</v>
      </c>
      <c r="I63" s="298">
        <f>IFERROR('Inputs Yr 2'!J63*'Inputs Yr 2'!P63*G63,"")</f>
        <v>0</v>
      </c>
      <c r="J63" s="298">
        <f>IFERROR('Inputs Yr 2'!K63*G63,"")</f>
        <v>0</v>
      </c>
      <c r="K63" s="298">
        <f t="shared" si="23"/>
        <v>0</v>
      </c>
      <c r="L63" s="194">
        <f>IFERROR(('Inputs Yr 2'!W63*G63)/1000,"")</f>
        <v>0</v>
      </c>
      <c r="M63" s="194">
        <f>IFERROR(L63*('Inputs Yr 2'!$Q63*'Inputs Yr 2'!$V63*'Inputs Yr 2'!$R63),"")</f>
        <v>0</v>
      </c>
      <c r="N63" s="194">
        <f t="shared" si="24"/>
        <v>0</v>
      </c>
      <c r="O63" s="194">
        <f>IFERROR(M63*'Inputs Yr 2'!P63,"")</f>
        <v>0</v>
      </c>
      <c r="P63" s="194">
        <f t="shared" si="25"/>
        <v>0</v>
      </c>
      <c r="Q63" s="194">
        <f>IFERROR($P63*'Inputs Yr 2'!AA63,"")</f>
        <v>0</v>
      </c>
      <c r="R63" s="194">
        <f>IFERROR($P63*'Inputs Yr 2'!AB63,"")</f>
        <v>0</v>
      </c>
      <c r="S63" s="194">
        <f>IFERROR($P63*'Inputs Yr 2'!AC63,"")</f>
        <v>0</v>
      </c>
      <c r="T63" s="194">
        <f>IFERROR($P63*'Inputs Yr 2'!AD63,"")</f>
        <v>0</v>
      </c>
      <c r="U63" s="194">
        <f>IFERROR(G63*'Inputs Yr 2'!$AE63*'Inputs Yr 2'!$P63*'Inputs Yr 2'!$Q63,"")</f>
        <v>0</v>
      </c>
      <c r="V63" s="194">
        <f>IFERROR($G63*'Inputs Yr 2'!$AE63*'Inputs Yr 2'!$AG63*'Inputs Yr 2'!Q63*'Inputs Yr 2'!$S63,"")</f>
        <v>0</v>
      </c>
      <c r="W63" s="194">
        <f>IFERROR($G63*'Inputs Yr 2'!$AE63*'Inputs Yr 2'!$AG63*'Inputs Yr 2'!P63*'Inputs Yr 2'!Q63*'Inputs Yr 2'!$S63,"")</f>
        <v>0</v>
      </c>
      <c r="X63" s="194">
        <f>IFERROR($G63*'Inputs Yr 2'!$AE63*'Inputs Yr 2'!$AF63*'Inputs Yr 2'!Q63*'Inputs Yr 2'!$T63,"")</f>
        <v>0</v>
      </c>
      <c r="Y63" s="194">
        <f>IFERROR($G63*'Inputs Yr 2'!$AE63*'Inputs Yr 2'!$AF63*'Inputs Yr 2'!P63*'Inputs Yr 2'!Q63*'Inputs Yr 2'!$T63,"")</f>
        <v>0</v>
      </c>
      <c r="Z63" s="257">
        <f>IFERROR($G63*'Inputs Yr 2'!$Q63*'Inputs Yr 2'!$U63*(IF(IFERROR(SEARCH("NG", 'Inputs Yr 2'!$AJ63),0),'Inputs Yr 2'!$AK63,0)+IF(IFERROR(SEARCH("NG", 'Inputs Yr 2'!$AL63),0),'Inputs Yr 2'!$AM63,0)+IF(IFERROR(SEARCH("NG", 'Inputs Yr 2'!$AN63),0),'Inputs Yr 2'!$AO63,0)),0)</f>
        <v>6652.6</v>
      </c>
      <c r="AA63" s="257">
        <f t="shared" si="26"/>
        <v>39915.600000000006</v>
      </c>
      <c r="AB63" s="257">
        <f>IFERROR(Z63*'Inputs Yr 2'!$P63,0)</f>
        <v>6652.6</v>
      </c>
      <c r="AC63" s="257">
        <f t="shared" si="27"/>
        <v>39915.600000000006</v>
      </c>
      <c r="AD63" s="257">
        <f>IFERROR($G63*'Inputs Yr 2'!$Q63*'Inputs Yr 2'!$U63*(IF(IFERROR(SEARCH("Oil", 'Inputs Yr 2'!$AJ63), 0),'Inputs Yr 2'!$AK63,0)+IF(IFERROR(SEARCH("Oil", 'Inputs Yr 2'!$AL63), 0),'Inputs Yr 2'!$AM63,0)+IF(IFERROR(SEARCH("Oil", 'Inputs Yr 2'!$AN63), 0),'Inputs Yr 2'!$AO63,0)),0)</f>
        <v>0</v>
      </c>
      <c r="AE63" s="257">
        <f t="shared" si="28"/>
        <v>0</v>
      </c>
      <c r="AF63" s="257">
        <f>IFERROR(AD63*'Inputs Yr 2'!$P63,0)</f>
        <v>0</v>
      </c>
      <c r="AG63" s="257">
        <f t="shared" si="29"/>
        <v>0</v>
      </c>
      <c r="AH63" s="257">
        <f>IFERROR($G63*'Inputs Yr 2'!$Q63*'Inputs Yr 2'!$U63*(IF('Inputs Yr 2'!$AJ63=CD$4,'Inputs Yr 2'!$AK63,IF('Inputs Yr 2'!$AL63=CD$4,'Inputs Yr 2'!$AM63,IF('Inputs Yr 2'!$AN63=CD$4,'Inputs Yr 2'!$AO63,0)))),0)</f>
        <v>0</v>
      </c>
      <c r="AI63" s="257">
        <f t="shared" si="30"/>
        <v>0</v>
      </c>
      <c r="AJ63" s="257">
        <f>IFERROR(AH63*'Inputs Yr 2'!$P63,0)</f>
        <v>0</v>
      </c>
      <c r="AK63" s="257">
        <f t="shared" si="31"/>
        <v>0</v>
      </c>
      <c r="AL63" s="258">
        <f>IFERROR($G63*'Inputs Yr 2'!$P63*'Inputs Yr 2'!$Q63*'Inputs Yr 2'!AP63,0)</f>
        <v>0</v>
      </c>
      <c r="AM63" s="260">
        <f>IFERROR($G63*'Inputs Yr 2'!$P63*'Inputs Yr 2'!$Q63*'Inputs Yr 2'!AQ63,0)</f>
        <v>0</v>
      </c>
      <c r="AN63" s="258">
        <f>IFERROR($G63*'Inputs Yr 2'!$P63*'Inputs Yr 2'!$Q63*'Inputs Yr 2'!AR63,0)</f>
        <v>0</v>
      </c>
      <c r="AO63" s="257">
        <f t="shared" si="32"/>
        <v>0</v>
      </c>
      <c r="AP63" s="195">
        <f>IFERROR($CQ63*(INDEX(avoidedcosttbl2,$H63,AP$2)+(($H63-ROUNDDOWN($H63,0))*(INDEX(avoidedcosttbl2,ROUNDUP($H63,0),AP$2)-(INDEX(avoidedcosttbl2,ROUNDDOWN($H63,0),AP$2)))))*$O63*1000*'Inputs Yr 2'!AA63,"")</f>
        <v>0</v>
      </c>
      <c r="AQ63" s="195">
        <f>IFERROR($CR63*(INDEX(avoidedcosttbl2,$H63,AQ$2)+(($H63-ROUNDDOWN($H63,0))*(INDEX(avoidedcosttbl2,ROUNDUP($H63,0),AQ$2)-(INDEX(avoidedcosttbl2,ROUNDDOWN($H63,0),AQ$2)))))*$O63*1000*'Inputs Yr 2'!AB63,"")</f>
        <v>0</v>
      </c>
      <c r="AR63" s="195">
        <f>IFERROR($CS63*(INDEX(avoidedcosttbl2,$H63,AR$2)+(($H63-ROUNDDOWN($H63,0))*(INDEX(avoidedcosttbl2,ROUNDUP($H63,0),AR$2)-(INDEX(avoidedcosttbl2,ROUNDDOWN($H63,0),AR$2)))))*$O63*1000*'Inputs Yr 2'!AC63,"")</f>
        <v>0</v>
      </c>
      <c r="AS63" s="195">
        <f>IFERROR($CT63*(INDEX(avoidedcosttbl2,$H63,AS$2)+(($H63-ROUNDDOWN($H63,0))*(INDEX(avoidedcosttbl2,ROUNDUP($H63,0),AS$2)-(INDEX(avoidedcosttbl2,ROUNDDOWN($H63,0),AS$2)))))*$O63*1000*'Inputs Yr 2'!AD63,"")</f>
        <v>0</v>
      </c>
      <c r="AT63" s="196">
        <f t="shared" si="33"/>
        <v>0</v>
      </c>
      <c r="AU63" s="197">
        <f>IFERROR($CQ63*((INDEX(avoidedcosttbl2,$H63,AU$2))+(($H63-ROUNDDOWN($H63,0))*((INDEX(avoidedcosttbl2,ROUNDUP($H63,0),AU$2))-(INDEX(avoidedcosttbl2,ROUNDDOWN($H63,0),AU$2)))))*$O63*1000*'Inputs Yr 2'!AA63,"")</f>
        <v>0</v>
      </c>
      <c r="AV63" s="197">
        <f>IFERROR($CR63*((INDEX(avoidedcosttbl2,$H63,AV$2))+(($H63-ROUNDDOWN($H63,0))*((INDEX(avoidedcosttbl2,ROUNDUP($H63,0),AV$2))-(INDEX(avoidedcosttbl2,ROUNDDOWN($H63,0),AV$2)))))*$O63*1000*'Inputs Yr 2'!AB63,"")</f>
        <v>0</v>
      </c>
      <c r="AW63" s="197">
        <f>IFERROR($CS63*((INDEX(avoidedcosttbl2,$H63,AW$2))+(($H63-ROUNDDOWN($H63,0))*((INDEX(avoidedcosttbl2,ROUNDUP($H63,0),AW$2))-(INDEX(avoidedcosttbl2,ROUNDDOWN($H63,0),AW$2)))))*$O63*1000*'Inputs Yr 2'!AC63,"")</f>
        <v>0</v>
      </c>
      <c r="AX63" s="197">
        <f>IFERROR($CT63*((INDEX(avoidedcosttbl2,$H63,AX$2))+(($H63-ROUNDDOWN($H63,0))*((INDEX(avoidedcosttbl2,ROUNDUP($H63,0),AX$2))-(INDEX(avoidedcosttbl2,ROUNDDOWN($H63,0),AX$2)))))*$O63*1000*'Inputs Yr 2'!AD63,"")</f>
        <v>0</v>
      </c>
      <c r="AY63" s="197">
        <f>IFERROR(((INDEX(avoidedcosttbl2,$H63,AY$2))+(($H63-ROUNDDOWN($H63,0))*((INDEX(avoidedcosttbl2,ROUNDUP($H63,0),AY$2))-(INDEX(avoidedcosttbl2,ROUNDDOWN($H63,0),AY$2)))))*$O63*1000*('Inputs Yr 2'!AC63+'Inputs Yr 2'!AD63),"")</f>
        <v>0</v>
      </c>
      <c r="AZ63" s="197">
        <f>IFERROR(((INDEX(avoidedcosttbl2,$H63,AZ$2))+(($H63-ROUNDDOWN($H63,0))*((INDEX(avoidedcosttbl2,ROUNDUP($H63,0),AZ$2))-(INDEX(avoidedcosttbl2,ROUNDDOWN($H63,0),AZ$2)))))*$O63*1000*('Inputs Yr 2'!AA63+'Inputs Yr 2'!AB63),"")</f>
        <v>0</v>
      </c>
      <c r="BA63" s="198">
        <f t="shared" si="34"/>
        <v>0</v>
      </c>
      <c r="BB63" s="198">
        <f t="shared" si="35"/>
        <v>0</v>
      </c>
      <c r="BC63" s="195">
        <f t="shared" si="10"/>
        <v>0</v>
      </c>
      <c r="BD63" s="195">
        <f t="shared" si="11"/>
        <v>0</v>
      </c>
      <c r="BE63" s="195">
        <f t="shared" si="12"/>
        <v>0</v>
      </c>
      <c r="BF63" s="195">
        <f t="shared" si="13"/>
        <v>0</v>
      </c>
      <c r="BG63" s="195">
        <f t="shared" si="14"/>
        <v>0</v>
      </c>
      <c r="BH63" s="196">
        <f t="shared" si="36"/>
        <v>0</v>
      </c>
      <c r="BI63" s="196">
        <f t="shared" si="37"/>
        <v>0</v>
      </c>
      <c r="BJ63" s="195">
        <f>IFERROR($G63*(IF('Inputs Yr 2'!$AJ63=BJ$4,'Inputs Yr 2'!$AK63,IF('Inputs Yr 2'!$AL63=BJ$4,'Inputs Yr 2'!$AM63,IF('Inputs Yr 2'!$AN63=BJ$4,'Inputs Yr 2'!$AO63,0))))*(INDEX(avoidedcosttbl2,$H63,BJ$2)+(($H63-ROUNDDOWN($H63,0))*(INDEX(avoidedcosttbl2,ROUNDUP($H63,0),BJ$2)-(INDEX(avoidedcosttbl2,ROUNDDOWN($H63,0),BJ$2)))))*'Inputs Yr 2'!P63*'Inputs Yr 2'!Q63*'Inputs Yr 2'!U63,"")</f>
        <v>0</v>
      </c>
      <c r="BK63" s="195">
        <f>IFERROR($G63*(IF('Inputs Yr 2'!$AJ63=BK$4,'Inputs Yr 2'!$AK63,IF('Inputs Yr 2'!$AL63=BK$4,'Inputs Yr 2'!$AM63,IF('Inputs Yr 2'!$AN63=BK$4,'Inputs Yr 2'!$AO63,0))))*(INDEX(avoidedcosttbl2,$H63,BK$2)+(($H63-ROUNDDOWN($H63,0))*(INDEX(avoidedcosttbl2,ROUNDUP($H63,0),BK$2)-(INDEX(avoidedcosttbl2,ROUNDDOWN($H63,0),BK$2)))))*'Inputs Yr 2'!P63*'Inputs Yr 2'!Q63*'Inputs Yr 2'!U63,"")</f>
        <v>0</v>
      </c>
      <c r="BL63" s="195">
        <f>IFERROR($G63*(IF('Inputs Yr 2'!$AJ63=BL$4,'Inputs Yr 2'!$AK63,IF('Inputs Yr 2'!$AL63=BL$4,'Inputs Yr 2'!$AM63,IF('Inputs Yr 2'!$AN63=BL$4,'Inputs Yr 2'!$AO63,0))))*(INDEX(avoidedcosttbl2,$H63,BL$2)+(($H63-ROUNDDOWN($H63,0))*(INDEX(avoidedcosttbl2,ROUNDUP($H63,0),BL$2)-(INDEX(avoidedcosttbl2,ROUNDDOWN($H63,0),BL$2)))))*'Inputs Yr 2'!P63*'Inputs Yr 2'!Q63*'Inputs Yr 2'!U63,"")</f>
        <v>324922.01973616309</v>
      </c>
      <c r="BM63" s="195">
        <f>IFERROR($G63*(IF('Inputs Yr 2'!$AJ63=BM$4,'Inputs Yr 2'!$AK63,IF('Inputs Yr 2'!$AL63=BM$4,'Inputs Yr 2'!$AM63,IF('Inputs Yr 2'!$AN63=BM$4,'Inputs Yr 2'!$AO63,0))))*(INDEX(avoidedcosttbl2,$H63,BM$2)+(($H63-ROUNDDOWN($H63,0))*(INDEX(avoidedcosttbl2,ROUNDUP($H63,0),BM$2)-(INDEX(avoidedcosttbl2,ROUNDDOWN($H63,0),BM$2)))))*'Inputs Yr 2'!P63*'Inputs Yr 2'!Q63*'Inputs Yr 2'!U63,"")</f>
        <v>0</v>
      </c>
      <c r="BN63" s="195">
        <f>IFERROR($G63*(IF('Inputs Yr 2'!$AJ63=BN$4,'Inputs Yr 2'!$AK63,IF('Inputs Yr 2'!$AL63=BN$4,'Inputs Yr 2'!$AM63,IF('Inputs Yr 2'!$AN63=BN$4,'Inputs Yr 2'!$AO63,0))))*(INDEX(avoidedcosttbl2,$H63,BN$2)+(($H63-ROUNDDOWN($H63,0))*(INDEX(avoidedcosttbl2,ROUNDUP($H63,0),BN$2)-(INDEX(avoidedcosttbl2,ROUNDDOWN($H63,0),BN$2)))))*'Inputs Yr 2'!P63*'Inputs Yr 2'!Q63*'Inputs Yr 2'!U63,"")</f>
        <v>0</v>
      </c>
      <c r="BO63" s="195">
        <f>IFERROR($G63*(IF('Inputs Yr 2'!$AJ63=BO$4,'Inputs Yr 2'!$AK63,IF('Inputs Yr 2'!$AL63=BO$4,'Inputs Yr 2'!$AM63,IF('Inputs Yr 2'!$AN63=BO$4,'Inputs Yr 2'!$AO63,0))))*(INDEX(avoidedcosttbl2,$H63,BO$2)+(($H63-ROUNDDOWN($H63,0))*(INDEX(avoidedcosttbl2,ROUNDUP($H63,0),BO$2)-(INDEX(avoidedcosttbl2,ROUNDDOWN($H63,0),BO$2)))))*'Inputs Yr 2'!P63*'Inputs Yr 2'!Q63*'Inputs Yr 2'!U63,"")</f>
        <v>0</v>
      </c>
      <c r="BP63" s="195">
        <f>IFERROR($G63*(IF('Inputs Yr 2'!$AJ63=BP$4,'Inputs Yr 2'!$AK63,IF('Inputs Yr 2'!$AL63=BP$4,'Inputs Yr 2'!$AM63,IF('Inputs Yr 2'!$AN63=BP$4,'Inputs Yr 2'!$AO63,0))))*(INDEX(avoidedcosttbl2,$H63,BP$2)+(($H63-ROUNDDOWN($H63,0))*(INDEX(avoidedcosttbl2,ROUNDUP($H63,0),BP$2)-(INDEX(avoidedcosttbl2,ROUNDDOWN($H63,0),BP$2)))))*'Inputs Yr 2'!P63*'Inputs Yr 2'!Q63*'Inputs Yr 2'!U63,"")</f>
        <v>0</v>
      </c>
      <c r="BQ63" s="230">
        <f t="shared" si="38"/>
        <v>324922.01973616309</v>
      </c>
      <c r="BR63" s="197">
        <f t="shared" si="17"/>
        <v>5517.3494951196981</v>
      </c>
      <c r="BS63" s="197">
        <f>IFERROR(($G63*IF('Inputs Yr 2'!$AJ63=BM$4,'Inputs Yr 2'!$AK63,IF('Inputs Yr 2'!$AL63=BM$4,'Inputs Yr 2'!$AM63,IF('Inputs Yr 2'!$AN63=BM$4,'Inputs Yr 2'!$AO63,0))))*(INDEX(avoidedcosttbl2,$H63,BS$2)+(($H63-ROUNDDOWN($H63,0))*(INDEX(avoidedcosttbl2,ROUNDUP($H63,0),BS$2)-(INDEX(avoidedcosttbl2,ROUNDDOWN($H63,0),BS$2)))))*'Inputs Yr 2'!P63*'Inputs Yr 2'!Q63*'Inputs Yr 2'!U63,"")</f>
        <v>0</v>
      </c>
      <c r="BT63" s="197">
        <f>IFERROR(($G63*IF('Inputs Yr 2'!$AJ63=BK$4,'Inputs Yr 2'!$AK63,IF('Inputs Yr 2'!$AL63=BK$4,'Inputs Yr 2'!$AM63,IF('Inputs Yr 2'!$AN63=BK$4,'Inputs Yr 2'!$AO63,0))))*(INDEX(avoidedcosttbl2,$H63,BT$2)+(($H63-ROUNDDOWN($H63,0))*(INDEX(avoidedcosttbl2,ROUNDUP($H63,0),BT$2)-(INDEX(avoidedcosttbl2,ROUNDDOWN($H63,0),BT$2)))))*'Inputs Yr 2'!P63*'Inputs Yr 2'!Q63*'Inputs Yr 2'!U63,"")</f>
        <v>0</v>
      </c>
      <c r="BU63" s="197">
        <f>IFERROR(($G63*IF('Inputs Yr 2'!$AJ63=BL$4,'Inputs Yr 2'!$AK63,IF('Inputs Yr 2'!$AL63=BL$4,'Inputs Yr 2'!$AM63,IF('Inputs Yr 2'!$AN63=BL$4,'Inputs Yr 2'!$AO63,0))))*(INDEX(avoidedcosttbl2,$H63,BU$2)+(($H63-ROUNDDOWN($H63,0))*(INDEX(avoidedcosttbl2,ROUNDUP($H63,0),BU$2)-(INDEX(avoidedcosttbl2,ROUNDDOWN($H63,0),BU$2)))))*'Inputs Yr 2'!P63*'Inputs Yr 2'!Q63*'Inputs Yr 2'!U63,"")</f>
        <v>46566.45193636723</v>
      </c>
      <c r="BV63" s="775">
        <f>IFERROR(($G63*IF('Inputs Yr 2'!$AJ63=BJ$4,'Inputs Yr 2'!$AK63,IF('Inputs Yr 2'!$AL63=BJ$4,'Inputs Yr 2'!$AM63,IF('Inputs Yr 2'!$AN63=BJ$4,'Inputs Yr 2'!$AO63,0))))*(INDEX(avoidedcosttbl2,$H63,BV$2)+(($H63-ROUNDDOWN($H63,0))*(INDEX(avoidedcosttbl2,ROUNDUP($H63,0),BV$2)-(INDEX(avoidedcosttbl2,ROUNDDOWN($H63,0),BV$2)))))*'Inputs Yr 2'!P63*'Inputs Yr 2'!Q63*'Inputs Yr 2'!U63,"")</f>
        <v>0</v>
      </c>
      <c r="BW63" s="197">
        <f>IFERROR(($G63*IF('Inputs Yr 2'!$AJ63=BN$4,'Inputs Yr 2'!$AK63,IF('Inputs Yr 2'!$AL63=BN$4,'Inputs Yr 2'!$AM63,IF('Inputs Yr 2'!$AN63=BN$4,'Inputs Yr 2'!$AO63,0))))*(INDEX(avoidedcosttbl2,$H63,BW$2)+(($H63-ROUNDDOWN($H63,0))*(INDEX(avoidedcosttbl2,ROUNDUP($H63,0),BW$2)-(INDEX(avoidedcosttbl2,ROUNDDOWN($H63,0),BW$2)))))*'Inputs Yr 2'!P63*'Inputs Yr 2'!Q63*'Inputs Yr 2'!U63,"")</f>
        <v>0</v>
      </c>
      <c r="BX63" s="197">
        <f>IFERROR(($G63*IF('Inputs Yr 2'!$AJ63=BO$4,'Inputs Yr 2'!$AK63,IF('Inputs Yr 2'!$AL63=BO$4,'Inputs Yr 2'!$AM63,IF('Inputs Yr 2'!$AN63=BO$4,'Inputs Yr 2'!$AO63,0))))*(INDEX(avoidedcosttbl2,$H63,BX$2)+(($H63-ROUNDDOWN($H63,0))*(INDEX(avoidedcosttbl2,ROUNDUP($H63,0),BX$2)-(INDEX(avoidedcosttbl2,ROUNDDOWN($H63,0),BX$2)))))*'Inputs Yr 2'!P63*'Inputs Yr 2'!Q63*'Inputs Yr 2'!U63,"")</f>
        <v>0</v>
      </c>
      <c r="BY63" s="197">
        <f>IFERROR(($G63*IF('Inputs Yr 2'!$AJ63=BP$4,'Inputs Yr 2'!$AK63,IF('Inputs Yr 2'!$AL63=BP$4,'Inputs Yr 2'!$AM63,IF('Inputs Yr 2'!$AN63=BP$4,'Inputs Yr 2'!$AO63,0))))*(INDEX(avoidedcosttbl2,$H63,BY$2)+(($H63-ROUNDDOWN($H63,0))*(INDEX(avoidedcosttbl2,ROUNDUP($H63,0),BY$2)-(INDEX(avoidedcosttbl2,ROUNDDOWN($H63,0),BY$2)))))*'Inputs Yr 2'!P63*'Inputs Yr 2'!Q63*'Inputs Yr 2'!U63,"")</f>
        <v>0</v>
      </c>
      <c r="BZ63" s="193">
        <f t="shared" si="39"/>
        <v>52083.801431486929</v>
      </c>
      <c r="CA63" s="193">
        <f t="shared" si="40"/>
        <v>377005.82116764999</v>
      </c>
      <c r="CB63" s="195">
        <f>IFERROR(G63*(IF('Inputs Yr 2'!$AJ63=CB$4,'Inputs Yr 2'!$AK63,IF('Inputs Yr 2'!$AL63=CB$4,'Inputs Yr 2'!$AM63,IF('Inputs Yr 2'!$AN63=CB$4,'Inputs Yr 2'!$AO63,0))))*(INDEX(avoidedcosttbl2,$H63,CB$2)+(($H63-ROUNDDOWN($H63,0))*(INDEX(avoidedcosttbl2,ROUNDUP($H63,0),CB$2)-(INDEX(avoidedcosttbl2,ROUNDDOWN($H63,0),CB$2)))))*'Inputs Yr 2'!P63*'Inputs Yr 2'!Q63*'Inputs Yr 2'!U63,"")</f>
        <v>0</v>
      </c>
      <c r="CC63" s="195">
        <f>IFERROR(H63*(IF('Inputs Yr 2'!$AJ63=CC$4,'Inputs Yr 2'!$AK63,IF('Inputs Yr 2'!$AL63=CC$4,'Inputs Yr 2'!$AM63,IF('Inputs Yr 2'!$AN63=CC$4,'Inputs Yr 2'!$AO63,0))))*(INDEX(avoidedcosttbl2,$H63,CC$2)+(($H63-ROUNDDOWN($H63,0))*(INDEX(avoidedcosttbl2,ROUNDUP($H63,0),CC$2)-(INDEX(avoidedcosttbl2,ROUNDDOWN($H63,0),CC$2)))))*'Inputs Yr 2'!Q63*'Inputs Yr 2'!R63*'Inputs Yr 2'!V63,"")</f>
        <v>0</v>
      </c>
      <c r="CD63" s="195">
        <f>IFERROR(I63*(IF('Inputs Yr 2'!$AJ63=CD$4,'Inputs Yr 2'!$AK63,IF('Inputs Yr 2'!$AL63=CD$4,'Inputs Yr 2'!$AM63,IF('Inputs Yr 2'!$AN63=CD$4,'Inputs Yr 2'!$AO63,0))))*(INDEX(avoidedcosttbl2,$H63,CD$2)+(($H63-ROUNDDOWN($H63,0))*(INDEX(avoidedcosttbl2,ROUNDUP($H63,0),CD$2)-(INDEX(avoidedcosttbl2,ROUNDDOWN($H63,0),CD$2)))))*'Inputs Yr 2'!R63*'Inputs Yr 2'!S63*'Inputs Yr 2'!W63,"")</f>
        <v>0</v>
      </c>
      <c r="CE63" s="213">
        <f t="shared" si="41"/>
        <v>0</v>
      </c>
      <c r="CF63" s="213">
        <f t="shared" si="42"/>
        <v>0</v>
      </c>
      <c r="CG63" s="213">
        <f t="shared" si="43"/>
        <v>0</v>
      </c>
      <c r="CH63" s="698">
        <f t="shared" si="44"/>
        <v>377005.82116764999</v>
      </c>
      <c r="CI63" s="79">
        <f>IFERROR(($G63*'Inputs Yr 2'!$P63*'Inputs Yr 2'!$Q63*(((INDEX(avoidedcosttbl2,$H63,CI$2)+(($H63-ROUNDDOWN($H63,0))*(INDEX(avoidedcosttbl2,ROUNDUP($H63,0),CI$2)-INDEX(avoidedcosttbl2,ROUNDDOWN($H63,0),CI$2))))*'Inputs Yr 2'!AS63))),"")</f>
        <v>884277.74533315771</v>
      </c>
      <c r="CJ63" s="504">
        <f>IFERROR($G63*'Inputs Yr 2'!AT63*'Inputs Yr 2'!$P63*'Inputs Yr 2'!$Q63/((1+realdiscrt1)^-0.5),"")</f>
        <v>0</v>
      </c>
      <c r="CK63" s="79">
        <f>IFERROR((O63*1000*(((INDEX(avoidedcosttbl2,$H63,CK$2)+(($H63-ROUNDDOWN($H63,0))*(INDEX(avoidedcosttbl2,ROUNDUP($H63,0),CK$2)-INDEX(avoidedcosttbl2,ROUNDDOWN($H63,0),CK$2))))*'Inputs Yr 2'!AU63))),"")</f>
        <v>0</v>
      </c>
      <c r="CL63" s="504">
        <f>IFERROR(O63*1000*'Inputs Yr 2'!AV63/((1+realdiscrt1)^-0.5),"")</f>
        <v>0</v>
      </c>
      <c r="CM63" s="79">
        <f>IFERROR((AB63*'Inputs Yr 2'!AW63*(((INDEX(avoidedcosttbl2,$H63,CM$2)+(($H63-ROUNDDOWN($H63,0))*(INDEX(avoidedcosttbl2,ROUNDUP($H63,0),CM$2)-INDEX(avoidedcosttbl2,ROUNDDOWN($H63,0),CM$2)))))))*10,"")</f>
        <v>0</v>
      </c>
      <c r="CN63" s="504">
        <f>IFERROR(10*AB63*'Inputs Yr 2'!AX63/((1+realdiscrt1)^-0.5),"")</f>
        <v>0</v>
      </c>
      <c r="CO63" s="505">
        <f t="shared" si="45"/>
        <v>884277.74533315771</v>
      </c>
      <c r="CP63" s="230">
        <f t="shared" si="46"/>
        <v>1261283.5665008076</v>
      </c>
      <c r="CQ63" s="199">
        <f>ROUND(IFERROR(IF(LEFT($A63,1)="C",'Avoided Costs'!$K$13,'Avoided Costs'!$K$12)+1,""),4)</f>
        <v>1.0720000000000001</v>
      </c>
      <c r="CR63" s="199">
        <f>ROUND(IFERROR(IF(LEFT($A63,1)="C",'Avoided Costs'!$L$13,'Avoided Costs'!$L$12)+1,""),4)</f>
        <v>1.04</v>
      </c>
      <c r="CS63" s="199">
        <f>ROUND(IFERROR(IF(LEFT($A63,1)="C",'Avoided Costs'!$M$13,'Avoided Costs'!$M$12)+1,""),4)</f>
        <v>1.0720000000000001</v>
      </c>
      <c r="CT63" s="199">
        <f>ROUND(IFERROR(IF(LEFT($A63,1)="C",'Avoided Costs'!$N$13,'Avoided Costs'!$N$12)+1,""),4)</f>
        <v>1.04</v>
      </c>
      <c r="CU63" s="199">
        <f>ROUND(IFERROR(IF(LEFT($A63,1)="C",'Avoided Costs'!$O$13,'Avoided Costs'!$O$12)+1,""),4)</f>
        <v>1.1120000000000001</v>
      </c>
      <c r="CV63" s="199">
        <f>ROUND(IFERROR(IF(LEFT($A63,1)="C",'Avoided Costs'!$P$13,'Avoided Costs'!$P$12)+1,""),4)</f>
        <v>1.095</v>
      </c>
      <c r="CW63" s="199">
        <f>ROUND(IFERROR(IF(LEFT($A63,1)="C",'Avoided Costs'!$Q$13,'Avoided Costs'!$Q$12)+1,""),4)</f>
        <v>1.1120000000000001</v>
      </c>
      <c r="CX63" s="200">
        <f>ROUND(IFERROR(IF(LEFT($A63,1)="C",'Avoided Costs'!$R$13,'Avoided Costs'!$R$12)+1,""),4)</f>
        <v>1.1120000000000001</v>
      </c>
    </row>
    <row r="64" spans="1:102" ht="12.75" customHeight="1">
      <c r="A64" s="91" t="str">
        <f>IF('Inputs Yr 2'!$B64=0,"",'Inputs Yr 2'!A64)</f>
        <v>A - Residential</v>
      </c>
      <c r="B64" s="91" t="str">
        <f>IF('Inputs Yr 2'!$B64=0,"",'Inputs Yr 2'!B64)</f>
        <v>A1 - Residential Whole House</v>
      </c>
      <c r="C64" s="91" t="str">
        <f>IF('Inputs Yr 2'!$B64=0,"",'Inputs Yr 2'!C64)</f>
        <v>A1c - Residential Home Energy Services - Measures</v>
      </c>
      <c r="D64" s="91" t="str">
        <f>IF('Inputs Yr 2'!$B64=0,"",'Inputs Yr 2'!E64)</f>
        <v>Smart Strip</v>
      </c>
      <c r="E64" s="93" t="str">
        <f>IF('Inputs Yr 2'!$B64=0,"",'Inputs Yr 2'!F64)</f>
        <v>G16A1c27</v>
      </c>
      <c r="F64" s="93" t="str">
        <f>IF('Inputs Yr 2'!$B64=0,"",'Inputs Yr 2'!G64)</f>
        <v>Process</v>
      </c>
      <c r="G64" s="95">
        <f>IF('Inputs Yr 2'!$H64&lt;&gt;0,('Inputs Yr 2'!H64),"")</f>
        <v>5726</v>
      </c>
      <c r="H64" s="94">
        <f>IFERROR('Inputs Yr 2'!I64,"")</f>
        <v>5</v>
      </c>
      <c r="I64" s="298">
        <f>IFERROR('Inputs Yr 2'!J64*'Inputs Yr 2'!P64*G64,"")</f>
        <v>119661.75999999999</v>
      </c>
      <c r="J64" s="298">
        <f>IFERROR('Inputs Yr 2'!K64*G64,"")</f>
        <v>119661.75999999999</v>
      </c>
      <c r="K64" s="298">
        <f t="shared" si="23"/>
        <v>0</v>
      </c>
      <c r="L64" s="194">
        <f>IFERROR(('Inputs Yr 2'!W64*G64)/1000,"")</f>
        <v>430.02259999999995</v>
      </c>
      <c r="M64" s="194">
        <f>IFERROR(L64*('Inputs Yr 2'!$Q64*'Inputs Yr 2'!$V64*'Inputs Yr 2'!$R64),"")</f>
        <v>326.81717599999996</v>
      </c>
      <c r="N64" s="194">
        <f t="shared" si="24"/>
        <v>1634.0858799999999</v>
      </c>
      <c r="O64" s="194">
        <f>IFERROR(M64*'Inputs Yr 2'!P64,"")</f>
        <v>326.81717599999996</v>
      </c>
      <c r="P64" s="194">
        <f t="shared" si="25"/>
        <v>1634.0858799999999</v>
      </c>
      <c r="Q64" s="194">
        <f>IFERROR($P64*'Inputs Yr 2'!AA64,"")</f>
        <v>588.2709167999999</v>
      </c>
      <c r="R64" s="194">
        <f>IFERROR($P64*'Inputs Yr 2'!AB64,"")</f>
        <v>522.90748159999998</v>
      </c>
      <c r="S64" s="194">
        <f>IFERROR($P64*'Inputs Yr 2'!AC64,"")</f>
        <v>261.45374079999999</v>
      </c>
      <c r="T64" s="194">
        <f>IFERROR($P64*'Inputs Yr 2'!AD64,"")</f>
        <v>261.45374079999999</v>
      </c>
      <c r="U64" s="194">
        <f>IFERROR(G64*'Inputs Yr 2'!$AE64*'Inputs Yr 2'!$P64*'Inputs Yr 2'!$Q64,"")</f>
        <v>69.628159999999994</v>
      </c>
      <c r="V64" s="194">
        <f>IFERROR($G64*'Inputs Yr 2'!$AE64*'Inputs Yr 2'!$AG64*'Inputs Yr 2'!Q64*'Inputs Yr 2'!$S64,"")</f>
        <v>69.628159999999994</v>
      </c>
      <c r="W64" s="194">
        <f>IFERROR($G64*'Inputs Yr 2'!$AE64*'Inputs Yr 2'!$AG64*'Inputs Yr 2'!P64*'Inputs Yr 2'!Q64*'Inputs Yr 2'!$S64,"")</f>
        <v>69.628159999999994</v>
      </c>
      <c r="X64" s="194">
        <f>IFERROR($G64*'Inputs Yr 2'!$AE64*'Inputs Yr 2'!$AF64*'Inputs Yr 2'!Q64*'Inputs Yr 2'!$T64,"")</f>
        <v>50.828556799999994</v>
      </c>
      <c r="Y64" s="194">
        <f>IFERROR($G64*'Inputs Yr 2'!$AE64*'Inputs Yr 2'!$AF64*'Inputs Yr 2'!P64*'Inputs Yr 2'!Q64*'Inputs Yr 2'!$T64,"")</f>
        <v>50.828556799999994</v>
      </c>
      <c r="Z64" s="257">
        <f>IFERROR($G64*'Inputs Yr 2'!$Q64*'Inputs Yr 2'!$U64*(IF(IFERROR(SEARCH("NG", 'Inputs Yr 2'!$AJ64),0),'Inputs Yr 2'!$AK64,0)+IF(IFERROR(SEARCH("NG", 'Inputs Yr 2'!$AL64),0),'Inputs Yr 2'!$AM64,0)+IF(IFERROR(SEARCH("NG", 'Inputs Yr 2'!$AN64),0),'Inputs Yr 2'!$AO64,0)),0)</f>
        <v>0</v>
      </c>
      <c r="AA64" s="257">
        <f t="shared" si="26"/>
        <v>0</v>
      </c>
      <c r="AB64" s="257">
        <f>IFERROR(Z64*'Inputs Yr 2'!$P64,0)</f>
        <v>0</v>
      </c>
      <c r="AC64" s="257">
        <f t="shared" si="27"/>
        <v>0</v>
      </c>
      <c r="AD64" s="257">
        <f>IFERROR($G64*'Inputs Yr 2'!$Q64*'Inputs Yr 2'!$U64*(IF(IFERROR(SEARCH("Oil", 'Inputs Yr 2'!$AJ64), 0),'Inputs Yr 2'!$AK64,0)+IF(IFERROR(SEARCH("Oil", 'Inputs Yr 2'!$AL64), 0),'Inputs Yr 2'!$AM64,0)+IF(IFERROR(SEARCH("Oil", 'Inputs Yr 2'!$AN64), 0),'Inputs Yr 2'!$AO64,0)),0)</f>
        <v>0</v>
      </c>
      <c r="AE64" s="257">
        <f t="shared" si="28"/>
        <v>0</v>
      </c>
      <c r="AF64" s="257">
        <f>IFERROR(AD64*'Inputs Yr 2'!$P64,0)</f>
        <v>0</v>
      </c>
      <c r="AG64" s="257">
        <f t="shared" si="29"/>
        <v>0</v>
      </c>
      <c r="AH64" s="257">
        <f>IFERROR($G64*'Inputs Yr 2'!$Q64*'Inputs Yr 2'!$U64*(IF('Inputs Yr 2'!$AJ64=CD$4,'Inputs Yr 2'!$AK64,IF('Inputs Yr 2'!$AL64=CD$4,'Inputs Yr 2'!$AM64,IF('Inputs Yr 2'!$AN64=CD$4,'Inputs Yr 2'!$AO64,0)))),0)</f>
        <v>0</v>
      </c>
      <c r="AI64" s="257">
        <f t="shared" si="30"/>
        <v>0</v>
      </c>
      <c r="AJ64" s="257">
        <f>IFERROR(AH64*'Inputs Yr 2'!$P64,0)</f>
        <v>0</v>
      </c>
      <c r="AK64" s="257">
        <f t="shared" si="31"/>
        <v>0</v>
      </c>
      <c r="AL64" s="258">
        <f>IFERROR($G64*'Inputs Yr 2'!$P64*'Inputs Yr 2'!$Q64*'Inputs Yr 2'!AP64,0)</f>
        <v>0</v>
      </c>
      <c r="AM64" s="260">
        <f>IFERROR($G64*'Inputs Yr 2'!$P64*'Inputs Yr 2'!$Q64*'Inputs Yr 2'!AQ64,0)</f>
        <v>0</v>
      </c>
      <c r="AN64" s="258">
        <f>IFERROR($G64*'Inputs Yr 2'!$P64*'Inputs Yr 2'!$Q64*'Inputs Yr 2'!AR64,0)</f>
        <v>0</v>
      </c>
      <c r="AO64" s="257">
        <f t="shared" si="32"/>
        <v>0</v>
      </c>
      <c r="AP64" s="195">
        <f>IFERROR($CQ64*(INDEX(avoidedcosttbl2,$H64,AP$2)+(($H64-ROUNDDOWN($H64,0))*(INDEX(avoidedcosttbl2,ROUNDUP($H64,0),AP$2)-(INDEX(avoidedcosttbl2,ROUNDDOWN($H64,0),AP$2)))))*$O64*1000*'Inputs Yr 2'!AA64,"")</f>
        <v>43690.762100851658</v>
      </c>
      <c r="AQ64" s="195">
        <f>IFERROR($CR64*(INDEX(avoidedcosttbl2,$H64,AQ$2)+(($H64-ROUNDDOWN($H64,0))*(INDEX(avoidedcosttbl2,ROUNDUP($H64,0),AQ$2)-(INDEX(avoidedcosttbl2,ROUNDDOWN($H64,0),AQ$2)))))*$O64*1000*'Inputs Yr 2'!AB64,"")</f>
        <v>34721.195882656262</v>
      </c>
      <c r="AR64" s="195">
        <f>IFERROR($CS64*(INDEX(avoidedcosttbl2,$H64,AR$2)+(($H64-ROUNDDOWN($H64,0))*(INDEX(avoidedcosttbl2,ROUNDUP($H64,0),AR$2)-(INDEX(avoidedcosttbl2,ROUNDDOWN($H64,0),AR$2)))))*$O64*1000*'Inputs Yr 2'!AC64,"")</f>
        <v>17340.512208306915</v>
      </c>
      <c r="AS64" s="195">
        <f>IFERROR($CT64*(INDEX(avoidedcosttbl2,$H64,AS$2)+(($H64-ROUNDDOWN($H64,0))*(INDEX(avoidedcosttbl2,ROUNDUP($H64,0),AS$2)-(INDEX(avoidedcosttbl2,ROUNDDOWN($H64,0),AS$2)))))*$O64*1000*'Inputs Yr 2'!AD64,"")</f>
        <v>13697.483194253657</v>
      </c>
      <c r="AT64" s="196">
        <f t="shared" si="33"/>
        <v>109449.95338606849</v>
      </c>
      <c r="AU64" s="197">
        <f>IFERROR($CQ64*((INDEX(avoidedcosttbl2,$H64,AU$2))+(($H64-ROUNDDOWN($H64,0))*((INDEX(avoidedcosttbl2,ROUNDUP($H64,0),AU$2))-(INDEX(avoidedcosttbl2,ROUNDDOWN($H64,0),AU$2)))))*$O64*1000*'Inputs Yr 2'!AA64,"")</f>
        <v>3838.4278990675784</v>
      </c>
      <c r="AV64" s="197">
        <f>IFERROR($CR64*((INDEX(avoidedcosttbl2,$H64,AV$2))+(($H64-ROUNDDOWN($H64,0))*((INDEX(avoidedcosttbl2,ROUNDUP($H64,0),AV$2))-(INDEX(avoidedcosttbl2,ROUNDDOWN($H64,0),AV$2)))))*$O64*1000*'Inputs Yr 2'!AB64,"")</f>
        <v>1641.492855002251</v>
      </c>
      <c r="AW64" s="197">
        <f>IFERROR($CS64*((INDEX(avoidedcosttbl2,$H64,AW$2))+(($H64-ROUNDDOWN($H64,0))*((INDEX(avoidedcosttbl2,ROUNDUP($H64,0),AW$2))-(INDEX(avoidedcosttbl2,ROUNDDOWN($H64,0),AW$2)))))*$O64*1000*'Inputs Yr 2'!AC64,"")</f>
        <v>2014.4210424731966</v>
      </c>
      <c r="AX64" s="197">
        <f>IFERROR($CT64*((INDEX(avoidedcosttbl2,$H64,AX$2))+(($H64-ROUNDDOWN($H64,0))*((INDEX(avoidedcosttbl2,ROUNDUP($H64,0),AX$2))-(INDEX(avoidedcosttbl2,ROUNDDOWN($H64,0),AX$2)))))*$O64*1000*'Inputs Yr 2'!AD64,"")</f>
        <v>660.91977282166408</v>
      </c>
      <c r="AY64" s="197">
        <f>IFERROR(((INDEX(avoidedcosttbl2,$H64,AY$2))+(($H64-ROUNDDOWN($H64,0))*((INDEX(avoidedcosttbl2,ROUNDUP($H64,0),AY$2))-(INDEX(avoidedcosttbl2,ROUNDDOWN($H64,0),AY$2)))))*$O64*1000*('Inputs Yr 2'!AC64+'Inputs Yr 2'!AD64),"")</f>
        <v>3687.1705155843038</v>
      </c>
      <c r="AZ64" s="197">
        <f>IFERROR(((INDEX(avoidedcosttbl2,$H64,AZ$2))+(($H64-ROUNDDOWN($H64,0))*((INDEX(avoidedcosttbl2,ROUNDUP($H64,0),AZ$2))-(INDEX(avoidedcosttbl2,ROUNDDOWN($H64,0),AZ$2)))))*$O64*1000*('Inputs Yr 2'!AA64+'Inputs Yr 2'!AB64),"")</f>
        <v>11883.735424186494</v>
      </c>
      <c r="BA64" s="198">
        <f t="shared" si="34"/>
        <v>23726.167509135488</v>
      </c>
      <c r="BB64" s="198">
        <f t="shared" si="35"/>
        <v>133176.12089520399</v>
      </c>
      <c r="BC64" s="195">
        <f t="shared" si="10"/>
        <v>32385.334299761354</v>
      </c>
      <c r="BD64" s="195">
        <f t="shared" si="11"/>
        <v>0</v>
      </c>
      <c r="BE64" s="195">
        <f t="shared" si="12"/>
        <v>0</v>
      </c>
      <c r="BF64" s="195">
        <f t="shared" si="13"/>
        <v>3002.1095093842405</v>
      </c>
      <c r="BG64" s="195">
        <f t="shared" si="14"/>
        <v>23563.135189149871</v>
      </c>
      <c r="BH64" s="196">
        <f t="shared" si="36"/>
        <v>58950.578998295467</v>
      </c>
      <c r="BI64" s="196">
        <f t="shared" si="37"/>
        <v>192126.69989349946</v>
      </c>
      <c r="BJ64" s="195">
        <f>IFERROR($G64*(IF('Inputs Yr 2'!$AJ64=BJ$4,'Inputs Yr 2'!$AK64,IF('Inputs Yr 2'!$AL64=BJ$4,'Inputs Yr 2'!$AM64,IF('Inputs Yr 2'!$AN64=BJ$4,'Inputs Yr 2'!$AO64,0))))*(INDEX(avoidedcosttbl2,$H64,BJ$2)+(($H64-ROUNDDOWN($H64,0))*(INDEX(avoidedcosttbl2,ROUNDUP($H64,0),BJ$2)-(INDEX(avoidedcosttbl2,ROUNDDOWN($H64,0),BJ$2)))))*'Inputs Yr 2'!P64*'Inputs Yr 2'!Q64*'Inputs Yr 2'!U64,"")</f>
        <v>0</v>
      </c>
      <c r="BK64" s="195">
        <f>IFERROR($G64*(IF('Inputs Yr 2'!$AJ64=BK$4,'Inputs Yr 2'!$AK64,IF('Inputs Yr 2'!$AL64=BK$4,'Inputs Yr 2'!$AM64,IF('Inputs Yr 2'!$AN64=BK$4,'Inputs Yr 2'!$AO64,0))))*(INDEX(avoidedcosttbl2,$H64,BK$2)+(($H64-ROUNDDOWN($H64,0))*(INDEX(avoidedcosttbl2,ROUNDUP($H64,0),BK$2)-(INDEX(avoidedcosttbl2,ROUNDDOWN($H64,0),BK$2)))))*'Inputs Yr 2'!P64*'Inputs Yr 2'!Q64*'Inputs Yr 2'!U64,"")</f>
        <v>0</v>
      </c>
      <c r="BL64" s="195">
        <f>IFERROR($G64*(IF('Inputs Yr 2'!$AJ64=BL$4,'Inputs Yr 2'!$AK64,IF('Inputs Yr 2'!$AL64=BL$4,'Inputs Yr 2'!$AM64,IF('Inputs Yr 2'!$AN64=BL$4,'Inputs Yr 2'!$AO64,0))))*(INDEX(avoidedcosttbl2,$H64,BL$2)+(($H64-ROUNDDOWN($H64,0))*(INDEX(avoidedcosttbl2,ROUNDUP($H64,0),BL$2)-(INDEX(avoidedcosttbl2,ROUNDDOWN($H64,0),BL$2)))))*'Inputs Yr 2'!P64*'Inputs Yr 2'!Q64*'Inputs Yr 2'!U64,"")</f>
        <v>0</v>
      </c>
      <c r="BM64" s="195">
        <f>IFERROR($G64*(IF('Inputs Yr 2'!$AJ64=BM$4,'Inputs Yr 2'!$AK64,IF('Inputs Yr 2'!$AL64=BM$4,'Inputs Yr 2'!$AM64,IF('Inputs Yr 2'!$AN64=BM$4,'Inputs Yr 2'!$AO64,0))))*(INDEX(avoidedcosttbl2,$H64,BM$2)+(($H64-ROUNDDOWN($H64,0))*(INDEX(avoidedcosttbl2,ROUNDUP($H64,0),BM$2)-(INDEX(avoidedcosttbl2,ROUNDDOWN($H64,0),BM$2)))))*'Inputs Yr 2'!P64*'Inputs Yr 2'!Q64*'Inputs Yr 2'!U64,"")</f>
        <v>0</v>
      </c>
      <c r="BN64" s="195">
        <f>IFERROR($G64*(IF('Inputs Yr 2'!$AJ64=BN$4,'Inputs Yr 2'!$AK64,IF('Inputs Yr 2'!$AL64=BN$4,'Inputs Yr 2'!$AM64,IF('Inputs Yr 2'!$AN64=BN$4,'Inputs Yr 2'!$AO64,0))))*(INDEX(avoidedcosttbl2,$H64,BN$2)+(($H64-ROUNDDOWN($H64,0))*(INDEX(avoidedcosttbl2,ROUNDUP($H64,0),BN$2)-(INDEX(avoidedcosttbl2,ROUNDDOWN($H64,0),BN$2)))))*'Inputs Yr 2'!P64*'Inputs Yr 2'!Q64*'Inputs Yr 2'!U64,"")</f>
        <v>0</v>
      </c>
      <c r="BO64" s="195">
        <f>IFERROR($G64*(IF('Inputs Yr 2'!$AJ64=BO$4,'Inputs Yr 2'!$AK64,IF('Inputs Yr 2'!$AL64=BO$4,'Inputs Yr 2'!$AM64,IF('Inputs Yr 2'!$AN64=BO$4,'Inputs Yr 2'!$AO64,0))))*(INDEX(avoidedcosttbl2,$H64,BO$2)+(($H64-ROUNDDOWN($H64,0))*(INDEX(avoidedcosttbl2,ROUNDUP($H64,0),BO$2)-(INDEX(avoidedcosttbl2,ROUNDDOWN($H64,0),BO$2)))))*'Inputs Yr 2'!P64*'Inputs Yr 2'!Q64*'Inputs Yr 2'!U64,"")</f>
        <v>0</v>
      </c>
      <c r="BP64" s="195">
        <f>IFERROR($G64*(IF('Inputs Yr 2'!$AJ64=BP$4,'Inputs Yr 2'!$AK64,IF('Inputs Yr 2'!$AL64=BP$4,'Inputs Yr 2'!$AM64,IF('Inputs Yr 2'!$AN64=BP$4,'Inputs Yr 2'!$AO64,0))))*(INDEX(avoidedcosttbl2,$H64,BP$2)+(($H64-ROUNDDOWN($H64,0))*(INDEX(avoidedcosttbl2,ROUNDUP($H64,0),BP$2)-(INDEX(avoidedcosttbl2,ROUNDDOWN($H64,0),BP$2)))))*'Inputs Yr 2'!P64*'Inputs Yr 2'!Q64*'Inputs Yr 2'!U64,"")</f>
        <v>0</v>
      </c>
      <c r="BQ64" s="230">
        <f t="shared" si="38"/>
        <v>0</v>
      </c>
      <c r="BR64" s="197">
        <f t="shared" si="17"/>
        <v>0</v>
      </c>
      <c r="BS64" s="197">
        <f>IFERROR(($G64*IF('Inputs Yr 2'!$AJ64=BM$4,'Inputs Yr 2'!$AK64,IF('Inputs Yr 2'!$AL64=BM$4,'Inputs Yr 2'!$AM64,IF('Inputs Yr 2'!$AN64=BM$4,'Inputs Yr 2'!$AO64,0))))*(INDEX(avoidedcosttbl2,$H64,BS$2)+(($H64-ROUNDDOWN($H64,0))*(INDEX(avoidedcosttbl2,ROUNDUP($H64,0),BS$2)-(INDEX(avoidedcosttbl2,ROUNDDOWN($H64,0),BS$2)))))*'Inputs Yr 2'!P64*'Inputs Yr 2'!Q64*'Inputs Yr 2'!U64,"")</f>
        <v>0</v>
      </c>
      <c r="BT64" s="197">
        <f>IFERROR(($G64*IF('Inputs Yr 2'!$AJ64=BK$4,'Inputs Yr 2'!$AK64,IF('Inputs Yr 2'!$AL64=BK$4,'Inputs Yr 2'!$AM64,IF('Inputs Yr 2'!$AN64=BK$4,'Inputs Yr 2'!$AO64,0))))*(INDEX(avoidedcosttbl2,$H64,BT$2)+(($H64-ROUNDDOWN($H64,0))*(INDEX(avoidedcosttbl2,ROUNDUP($H64,0),BT$2)-(INDEX(avoidedcosttbl2,ROUNDDOWN($H64,0),BT$2)))))*'Inputs Yr 2'!P64*'Inputs Yr 2'!Q64*'Inputs Yr 2'!U64,"")</f>
        <v>0</v>
      </c>
      <c r="BU64" s="197">
        <f>IFERROR(($G64*IF('Inputs Yr 2'!$AJ64=BL$4,'Inputs Yr 2'!$AK64,IF('Inputs Yr 2'!$AL64=BL$4,'Inputs Yr 2'!$AM64,IF('Inputs Yr 2'!$AN64=BL$4,'Inputs Yr 2'!$AO64,0))))*(INDEX(avoidedcosttbl2,$H64,BU$2)+(($H64-ROUNDDOWN($H64,0))*(INDEX(avoidedcosttbl2,ROUNDUP($H64,0),BU$2)-(INDEX(avoidedcosttbl2,ROUNDDOWN($H64,0),BU$2)))))*'Inputs Yr 2'!P64*'Inputs Yr 2'!Q64*'Inputs Yr 2'!U64,"")</f>
        <v>0</v>
      </c>
      <c r="BV64" s="775">
        <f>IFERROR(($G64*IF('Inputs Yr 2'!$AJ64=BJ$4,'Inputs Yr 2'!$AK64,IF('Inputs Yr 2'!$AL64=BJ$4,'Inputs Yr 2'!$AM64,IF('Inputs Yr 2'!$AN64=BJ$4,'Inputs Yr 2'!$AO64,0))))*(INDEX(avoidedcosttbl2,$H64,BV$2)+(($H64-ROUNDDOWN($H64,0))*(INDEX(avoidedcosttbl2,ROUNDUP($H64,0),BV$2)-(INDEX(avoidedcosttbl2,ROUNDDOWN($H64,0),BV$2)))))*'Inputs Yr 2'!P64*'Inputs Yr 2'!Q64*'Inputs Yr 2'!U64,"")</f>
        <v>0</v>
      </c>
      <c r="BW64" s="197">
        <f>IFERROR(($G64*IF('Inputs Yr 2'!$AJ64=BN$4,'Inputs Yr 2'!$AK64,IF('Inputs Yr 2'!$AL64=BN$4,'Inputs Yr 2'!$AM64,IF('Inputs Yr 2'!$AN64=BN$4,'Inputs Yr 2'!$AO64,0))))*(INDEX(avoidedcosttbl2,$H64,BW$2)+(($H64-ROUNDDOWN($H64,0))*(INDEX(avoidedcosttbl2,ROUNDUP($H64,0),BW$2)-(INDEX(avoidedcosttbl2,ROUNDDOWN($H64,0),BW$2)))))*'Inputs Yr 2'!P64*'Inputs Yr 2'!Q64*'Inputs Yr 2'!U64,"")</f>
        <v>0</v>
      </c>
      <c r="BX64" s="197">
        <f>IFERROR(($G64*IF('Inputs Yr 2'!$AJ64=BO$4,'Inputs Yr 2'!$AK64,IF('Inputs Yr 2'!$AL64=BO$4,'Inputs Yr 2'!$AM64,IF('Inputs Yr 2'!$AN64=BO$4,'Inputs Yr 2'!$AO64,0))))*(INDEX(avoidedcosttbl2,$H64,BX$2)+(($H64-ROUNDDOWN($H64,0))*(INDEX(avoidedcosttbl2,ROUNDUP($H64,0),BX$2)-(INDEX(avoidedcosttbl2,ROUNDDOWN($H64,0),BX$2)))))*'Inputs Yr 2'!P64*'Inputs Yr 2'!Q64*'Inputs Yr 2'!U64,"")</f>
        <v>0</v>
      </c>
      <c r="BY64" s="197">
        <f>IFERROR(($G64*IF('Inputs Yr 2'!$AJ64=BP$4,'Inputs Yr 2'!$AK64,IF('Inputs Yr 2'!$AL64=BP$4,'Inputs Yr 2'!$AM64,IF('Inputs Yr 2'!$AN64=BP$4,'Inputs Yr 2'!$AO64,0))))*(INDEX(avoidedcosttbl2,$H64,BY$2)+(($H64-ROUNDDOWN($H64,0))*(INDEX(avoidedcosttbl2,ROUNDUP($H64,0),BY$2)-(INDEX(avoidedcosttbl2,ROUNDDOWN($H64,0),BY$2)))))*'Inputs Yr 2'!P64*'Inputs Yr 2'!Q64*'Inputs Yr 2'!U64,"")</f>
        <v>0</v>
      </c>
      <c r="BZ64" s="193">
        <f t="shared" si="39"/>
        <v>0</v>
      </c>
      <c r="CA64" s="193">
        <f t="shared" si="40"/>
        <v>0</v>
      </c>
      <c r="CB64" s="195">
        <f>IFERROR(G64*(IF('Inputs Yr 2'!$AJ64=CB$4,'Inputs Yr 2'!$AK64,IF('Inputs Yr 2'!$AL64=CB$4,'Inputs Yr 2'!$AM64,IF('Inputs Yr 2'!$AN64=CB$4,'Inputs Yr 2'!$AO64,0))))*(INDEX(avoidedcosttbl2,$H64,CB$2)+(($H64-ROUNDDOWN($H64,0))*(INDEX(avoidedcosttbl2,ROUNDUP($H64,0),CB$2)-(INDEX(avoidedcosttbl2,ROUNDDOWN($H64,0),CB$2)))))*'Inputs Yr 2'!P64*'Inputs Yr 2'!Q64*'Inputs Yr 2'!U64,"")</f>
        <v>0</v>
      </c>
      <c r="CC64" s="195">
        <f>IFERROR(H64*(IF('Inputs Yr 2'!$AJ64=CC$4,'Inputs Yr 2'!$AK64,IF('Inputs Yr 2'!$AL64=CC$4,'Inputs Yr 2'!$AM64,IF('Inputs Yr 2'!$AN64=CC$4,'Inputs Yr 2'!$AO64,0))))*(INDEX(avoidedcosttbl2,$H64,CC$2)+(($H64-ROUNDDOWN($H64,0))*(INDEX(avoidedcosttbl2,ROUNDUP($H64,0),CC$2)-(INDEX(avoidedcosttbl2,ROUNDDOWN($H64,0),CC$2)))))*'Inputs Yr 2'!Q64*'Inputs Yr 2'!R64*'Inputs Yr 2'!V64,"")</f>
        <v>0</v>
      </c>
      <c r="CD64" s="195">
        <f>IFERROR(I64*(IF('Inputs Yr 2'!$AJ64=CD$4,'Inputs Yr 2'!$AK64,IF('Inputs Yr 2'!$AL64=CD$4,'Inputs Yr 2'!$AM64,IF('Inputs Yr 2'!$AN64=CD$4,'Inputs Yr 2'!$AO64,0))))*(INDEX(avoidedcosttbl2,$H64,CD$2)+(($H64-ROUNDDOWN($H64,0))*(INDEX(avoidedcosttbl2,ROUNDUP($H64,0),CD$2)-(INDEX(avoidedcosttbl2,ROUNDDOWN($H64,0),CD$2)))))*'Inputs Yr 2'!R64*'Inputs Yr 2'!S64*'Inputs Yr 2'!W64,"")</f>
        <v>0</v>
      </c>
      <c r="CE64" s="213">
        <f t="shared" si="41"/>
        <v>0</v>
      </c>
      <c r="CF64" s="213">
        <f t="shared" si="42"/>
        <v>0</v>
      </c>
      <c r="CG64" s="213">
        <f t="shared" si="43"/>
        <v>0</v>
      </c>
      <c r="CH64" s="698">
        <f t="shared" si="44"/>
        <v>0</v>
      </c>
      <c r="CI64" s="79">
        <f>IFERROR(($G64*'Inputs Yr 2'!$P64*'Inputs Yr 2'!$Q64*(((INDEX(avoidedcosttbl2,$H64,CI$2)+(($H64-ROUNDDOWN($H64,0))*(INDEX(avoidedcosttbl2,ROUNDUP($H64,0),CI$2)-INDEX(avoidedcosttbl2,ROUNDDOWN($H64,0),CI$2))))*'Inputs Yr 2'!AS64))),"")</f>
        <v>0</v>
      </c>
      <c r="CJ64" s="504">
        <f>IFERROR($G64*'Inputs Yr 2'!AT64*'Inputs Yr 2'!$P64*'Inputs Yr 2'!$Q64/((1+realdiscrt1)^-0.5),"")</f>
        <v>0</v>
      </c>
      <c r="CK64" s="79">
        <f>IFERROR((O64*1000*(((INDEX(avoidedcosttbl2,$H64,CK$2)+(($H64-ROUNDDOWN($H64,0))*(INDEX(avoidedcosttbl2,ROUNDUP($H64,0),CK$2)-INDEX(avoidedcosttbl2,ROUNDDOWN($H64,0),CK$2))))*'Inputs Yr 2'!AU64))),"")</f>
        <v>0</v>
      </c>
      <c r="CL64" s="504">
        <f>IFERROR(O64*1000*'Inputs Yr 2'!AV64/((1+realdiscrt1)^-0.5),"")</f>
        <v>0</v>
      </c>
      <c r="CM64" s="79">
        <f>IFERROR((AB64*'Inputs Yr 2'!AW64*(((INDEX(avoidedcosttbl2,$H64,CM$2)+(($H64-ROUNDDOWN($H64,0))*(INDEX(avoidedcosttbl2,ROUNDUP($H64,0),CM$2)-INDEX(avoidedcosttbl2,ROUNDDOWN($H64,0),CM$2)))))))*10,"")</f>
        <v>0</v>
      </c>
      <c r="CN64" s="504">
        <f>IFERROR(10*AB64*'Inputs Yr 2'!AX64/((1+realdiscrt1)^-0.5),"")</f>
        <v>0</v>
      </c>
      <c r="CO64" s="505">
        <f t="shared" si="45"/>
        <v>0</v>
      </c>
      <c r="CP64" s="230">
        <f t="shared" si="46"/>
        <v>192126.69989349946</v>
      </c>
      <c r="CQ64" s="199">
        <f>ROUND(IFERROR(IF(LEFT($A64,1)="C",'Avoided Costs'!$K$13,'Avoided Costs'!$K$12)+1,""),4)</f>
        <v>1.0720000000000001</v>
      </c>
      <c r="CR64" s="199">
        <f>ROUND(IFERROR(IF(LEFT($A64,1)="C",'Avoided Costs'!$L$13,'Avoided Costs'!$L$12)+1,""),4)</f>
        <v>1.04</v>
      </c>
      <c r="CS64" s="199">
        <f>ROUND(IFERROR(IF(LEFT($A64,1)="C",'Avoided Costs'!$M$13,'Avoided Costs'!$M$12)+1,""),4)</f>
        <v>1.0720000000000001</v>
      </c>
      <c r="CT64" s="199">
        <f>ROUND(IFERROR(IF(LEFT($A64,1)="C",'Avoided Costs'!$N$13,'Avoided Costs'!$N$12)+1,""),4)</f>
        <v>1.04</v>
      </c>
      <c r="CU64" s="199">
        <f>ROUND(IFERROR(IF(LEFT($A64,1)="C",'Avoided Costs'!$O$13,'Avoided Costs'!$O$12)+1,""),4)</f>
        <v>1.1120000000000001</v>
      </c>
      <c r="CV64" s="199">
        <f>ROUND(IFERROR(IF(LEFT($A64,1)="C",'Avoided Costs'!$P$13,'Avoided Costs'!$P$12)+1,""),4)</f>
        <v>1.095</v>
      </c>
      <c r="CW64" s="199">
        <f>ROUND(IFERROR(IF(LEFT($A64,1)="C",'Avoided Costs'!$Q$13,'Avoided Costs'!$Q$12)+1,""),4)</f>
        <v>1.1120000000000001</v>
      </c>
      <c r="CX64" s="200">
        <f>ROUND(IFERROR(IF(LEFT($A64,1)="C",'Avoided Costs'!$R$13,'Avoided Costs'!$R$12)+1,""),4)</f>
        <v>1.1120000000000001</v>
      </c>
    </row>
    <row r="65" spans="1:102" ht="12.75" customHeight="1">
      <c r="A65" s="91" t="str">
        <f>IF('Inputs Yr 2'!$B65=0,"",'Inputs Yr 2'!A65)</f>
        <v>A - Residential</v>
      </c>
      <c r="B65" s="91" t="str">
        <f>IF('Inputs Yr 2'!$B65=0,"",'Inputs Yr 2'!B65)</f>
        <v>A1 - Residential Whole House</v>
      </c>
      <c r="C65" s="91" t="str">
        <f>IF('Inputs Yr 2'!$B65=0,"",'Inputs Yr 2'!C65)</f>
        <v>A1c - Residential Home Energy Services - Measures</v>
      </c>
      <c r="D65" s="91" t="str">
        <f>IF('Inputs Yr 2'!$B65=0,"",'Inputs Yr 2'!E65)</f>
        <v>Deep Energy Retrofit</v>
      </c>
      <c r="E65" s="93" t="str">
        <f>IF('Inputs Yr 2'!$B65=0,"",'Inputs Yr 2'!F65)</f>
        <v>G16A1c29</v>
      </c>
      <c r="F65" s="93" t="str">
        <f>IF('Inputs Yr 2'!$B65=0,"",'Inputs Yr 2'!G65)</f>
        <v>Home Energy Services</v>
      </c>
      <c r="G65" s="95" t="str">
        <f>IF('Inputs Yr 2'!$H65&lt;&gt;0,('Inputs Yr 2'!H65),"")</f>
        <v/>
      </c>
      <c r="H65" s="94">
        <f>IFERROR('Inputs Yr 2'!I65,"")</f>
        <v>0</v>
      </c>
      <c r="I65" s="298" t="str">
        <f>IFERROR('Inputs Yr 2'!J65*'Inputs Yr 2'!P65*G65,"")</f>
        <v/>
      </c>
      <c r="J65" s="298" t="str">
        <f>IFERROR('Inputs Yr 2'!K65*G65,"")</f>
        <v/>
      </c>
      <c r="K65" s="298" t="str">
        <f t="shared" si="23"/>
        <v/>
      </c>
      <c r="L65" s="194" t="str">
        <f>IFERROR(('Inputs Yr 2'!W65*G65)/1000,"")</f>
        <v/>
      </c>
      <c r="M65" s="194" t="str">
        <f>IFERROR(L65*('Inputs Yr 2'!$Q65*'Inputs Yr 2'!$V65*'Inputs Yr 2'!$R65),"")</f>
        <v/>
      </c>
      <c r="N65" s="194" t="str">
        <f t="shared" si="24"/>
        <v/>
      </c>
      <c r="O65" s="194" t="str">
        <f>IFERROR(M65*'Inputs Yr 2'!P65,"")</f>
        <v/>
      </c>
      <c r="P65" s="194" t="str">
        <f t="shared" si="25"/>
        <v/>
      </c>
      <c r="Q65" s="194" t="str">
        <f>IFERROR($P65*'Inputs Yr 2'!AA65,"")</f>
        <v/>
      </c>
      <c r="R65" s="194" t="str">
        <f>IFERROR($P65*'Inputs Yr 2'!AB65,"")</f>
        <v/>
      </c>
      <c r="S65" s="194" t="str">
        <f>IFERROR($P65*'Inputs Yr 2'!AC65,"")</f>
        <v/>
      </c>
      <c r="T65" s="194" t="str">
        <f>IFERROR($P65*'Inputs Yr 2'!AD65,"")</f>
        <v/>
      </c>
      <c r="U65" s="194" t="str">
        <f>IFERROR(G65*'Inputs Yr 2'!$AE65*'Inputs Yr 2'!$P65*'Inputs Yr 2'!$Q65,"")</f>
        <v/>
      </c>
      <c r="V65" s="194" t="str">
        <f>IFERROR($G65*'Inputs Yr 2'!$AE65*'Inputs Yr 2'!$AG65*'Inputs Yr 2'!Q65*'Inputs Yr 2'!$S65,"")</f>
        <v/>
      </c>
      <c r="W65" s="194" t="str">
        <f>IFERROR($G65*'Inputs Yr 2'!$AE65*'Inputs Yr 2'!$AG65*'Inputs Yr 2'!P65*'Inputs Yr 2'!Q65*'Inputs Yr 2'!$S65,"")</f>
        <v/>
      </c>
      <c r="X65" s="194" t="str">
        <f>IFERROR($G65*'Inputs Yr 2'!$AE65*'Inputs Yr 2'!$AF65*'Inputs Yr 2'!Q65*'Inputs Yr 2'!$T65,"")</f>
        <v/>
      </c>
      <c r="Y65" s="194" t="str">
        <f>IFERROR($G65*'Inputs Yr 2'!$AE65*'Inputs Yr 2'!$AF65*'Inputs Yr 2'!P65*'Inputs Yr 2'!Q65*'Inputs Yr 2'!$T65,"")</f>
        <v/>
      </c>
      <c r="Z65" s="257">
        <f>IFERROR($G65*'Inputs Yr 2'!$Q65*'Inputs Yr 2'!$U65*(IF(IFERROR(SEARCH("NG", 'Inputs Yr 2'!$AJ65),0),'Inputs Yr 2'!$AK65,0)+IF(IFERROR(SEARCH("NG", 'Inputs Yr 2'!$AL65),0),'Inputs Yr 2'!$AM65,0)+IF(IFERROR(SEARCH("NG", 'Inputs Yr 2'!$AN65),0),'Inputs Yr 2'!$AO65,0)),0)</f>
        <v>0</v>
      </c>
      <c r="AA65" s="257">
        <f t="shared" si="26"/>
        <v>0</v>
      </c>
      <c r="AB65" s="257">
        <f>IFERROR(Z65*'Inputs Yr 2'!$P65,0)</f>
        <v>0</v>
      </c>
      <c r="AC65" s="257">
        <f t="shared" si="27"/>
        <v>0</v>
      </c>
      <c r="AD65" s="257">
        <f>IFERROR($G65*'Inputs Yr 2'!$Q65*'Inputs Yr 2'!$U65*(IF(IFERROR(SEARCH("Oil", 'Inputs Yr 2'!$AJ65), 0),'Inputs Yr 2'!$AK65,0)+IF(IFERROR(SEARCH("Oil", 'Inputs Yr 2'!$AL65), 0),'Inputs Yr 2'!$AM65,0)+IF(IFERROR(SEARCH("Oil", 'Inputs Yr 2'!$AN65), 0),'Inputs Yr 2'!$AO65,0)),0)</f>
        <v>0</v>
      </c>
      <c r="AE65" s="257">
        <f t="shared" si="28"/>
        <v>0</v>
      </c>
      <c r="AF65" s="257">
        <f>IFERROR(AD65*'Inputs Yr 2'!$P65,0)</f>
        <v>0</v>
      </c>
      <c r="AG65" s="257">
        <f t="shared" si="29"/>
        <v>0</v>
      </c>
      <c r="AH65" s="257">
        <f>IFERROR($G65*'Inputs Yr 2'!$Q65*'Inputs Yr 2'!$U65*(IF('Inputs Yr 2'!$AJ65=CD$4,'Inputs Yr 2'!$AK65,IF('Inputs Yr 2'!$AL65=CD$4,'Inputs Yr 2'!$AM65,IF('Inputs Yr 2'!$AN65=CD$4,'Inputs Yr 2'!$AO65,0)))),0)</f>
        <v>0</v>
      </c>
      <c r="AI65" s="257">
        <f t="shared" si="30"/>
        <v>0</v>
      </c>
      <c r="AJ65" s="257">
        <f>IFERROR(AH65*'Inputs Yr 2'!$P65,0)</f>
        <v>0</v>
      </c>
      <c r="AK65" s="257">
        <f t="shared" si="31"/>
        <v>0</v>
      </c>
      <c r="AL65" s="258">
        <f>IFERROR($G65*'Inputs Yr 2'!$P65*'Inputs Yr 2'!$Q65*'Inputs Yr 2'!AP65,0)</f>
        <v>0</v>
      </c>
      <c r="AM65" s="260">
        <f>IFERROR($G65*'Inputs Yr 2'!$P65*'Inputs Yr 2'!$Q65*'Inputs Yr 2'!AQ65,0)</f>
        <v>0</v>
      </c>
      <c r="AN65" s="258">
        <f>IFERROR($G65*'Inputs Yr 2'!$P65*'Inputs Yr 2'!$Q65*'Inputs Yr 2'!AR65,0)</f>
        <v>0</v>
      </c>
      <c r="AO65" s="257">
        <f t="shared" si="32"/>
        <v>0</v>
      </c>
      <c r="AP65" s="195" t="str">
        <f>IFERROR($CQ65*(INDEX(avoidedcosttbl2,$H65,AP$2)+(($H65-ROUNDDOWN($H65,0))*(INDEX(avoidedcosttbl2,ROUNDUP($H65,0),AP$2)-(INDEX(avoidedcosttbl2,ROUNDDOWN($H65,0),AP$2)))))*$O65*1000*'Inputs Yr 2'!AA65,"")</f>
        <v/>
      </c>
      <c r="AQ65" s="195" t="str">
        <f>IFERROR($CR65*(INDEX(avoidedcosttbl2,$H65,AQ$2)+(($H65-ROUNDDOWN($H65,0))*(INDEX(avoidedcosttbl2,ROUNDUP($H65,0),AQ$2)-(INDEX(avoidedcosttbl2,ROUNDDOWN($H65,0),AQ$2)))))*$O65*1000*'Inputs Yr 2'!AB65,"")</f>
        <v/>
      </c>
      <c r="AR65" s="195" t="str">
        <f>IFERROR($CS65*(INDEX(avoidedcosttbl2,$H65,AR$2)+(($H65-ROUNDDOWN($H65,0))*(INDEX(avoidedcosttbl2,ROUNDUP($H65,0),AR$2)-(INDEX(avoidedcosttbl2,ROUNDDOWN($H65,0),AR$2)))))*$O65*1000*'Inputs Yr 2'!AC65,"")</f>
        <v/>
      </c>
      <c r="AS65" s="195" t="str">
        <f>IFERROR($CT65*(INDEX(avoidedcosttbl2,$H65,AS$2)+(($H65-ROUNDDOWN($H65,0))*(INDEX(avoidedcosttbl2,ROUNDUP($H65,0),AS$2)-(INDEX(avoidedcosttbl2,ROUNDDOWN($H65,0),AS$2)))))*$O65*1000*'Inputs Yr 2'!AD65,"")</f>
        <v/>
      </c>
      <c r="AT65" s="196">
        <f t="shared" si="33"/>
        <v>0</v>
      </c>
      <c r="AU65" s="197" t="str">
        <f>IFERROR($CQ65*((INDEX(avoidedcosttbl2,$H65,AU$2))+(($H65-ROUNDDOWN($H65,0))*((INDEX(avoidedcosttbl2,ROUNDUP($H65,0),AU$2))-(INDEX(avoidedcosttbl2,ROUNDDOWN($H65,0),AU$2)))))*$O65*1000*'Inputs Yr 2'!AA65,"")</f>
        <v/>
      </c>
      <c r="AV65" s="197" t="str">
        <f>IFERROR($CR65*((INDEX(avoidedcosttbl2,$H65,AV$2))+(($H65-ROUNDDOWN($H65,0))*((INDEX(avoidedcosttbl2,ROUNDUP($H65,0),AV$2))-(INDEX(avoidedcosttbl2,ROUNDDOWN($H65,0),AV$2)))))*$O65*1000*'Inputs Yr 2'!AB65,"")</f>
        <v/>
      </c>
      <c r="AW65" s="197" t="str">
        <f>IFERROR($CS65*((INDEX(avoidedcosttbl2,$H65,AW$2))+(($H65-ROUNDDOWN($H65,0))*((INDEX(avoidedcosttbl2,ROUNDUP($H65,0),AW$2))-(INDEX(avoidedcosttbl2,ROUNDDOWN($H65,0),AW$2)))))*$O65*1000*'Inputs Yr 2'!AC65,"")</f>
        <v/>
      </c>
      <c r="AX65" s="197" t="str">
        <f>IFERROR($CT65*((INDEX(avoidedcosttbl2,$H65,AX$2))+(($H65-ROUNDDOWN($H65,0))*((INDEX(avoidedcosttbl2,ROUNDUP($H65,0),AX$2))-(INDEX(avoidedcosttbl2,ROUNDDOWN($H65,0),AX$2)))))*$O65*1000*'Inputs Yr 2'!AD65,"")</f>
        <v/>
      </c>
      <c r="AY65" s="197" t="str">
        <f>IFERROR(((INDEX(avoidedcosttbl2,$H65,AY$2))+(($H65-ROUNDDOWN($H65,0))*((INDEX(avoidedcosttbl2,ROUNDUP($H65,0),AY$2))-(INDEX(avoidedcosttbl2,ROUNDDOWN($H65,0),AY$2)))))*$O65*1000*('Inputs Yr 2'!AC65+'Inputs Yr 2'!AD65),"")</f>
        <v/>
      </c>
      <c r="AZ65" s="197" t="str">
        <f>IFERROR(((INDEX(avoidedcosttbl2,$H65,AZ$2))+(($H65-ROUNDDOWN($H65,0))*((INDEX(avoidedcosttbl2,ROUNDUP($H65,0),AZ$2))-(INDEX(avoidedcosttbl2,ROUNDDOWN($H65,0),AZ$2)))))*$O65*1000*('Inputs Yr 2'!AA65+'Inputs Yr 2'!AB65),"")</f>
        <v/>
      </c>
      <c r="BA65" s="198">
        <f t="shared" si="34"/>
        <v>0</v>
      </c>
      <c r="BB65" s="198">
        <f t="shared" si="35"/>
        <v>0</v>
      </c>
      <c r="BC65" s="195" t="str">
        <f t="shared" si="10"/>
        <v/>
      </c>
      <c r="BD65" s="195" t="str">
        <f t="shared" si="11"/>
        <v/>
      </c>
      <c r="BE65" s="195" t="str">
        <f t="shared" si="12"/>
        <v/>
      </c>
      <c r="BF65" s="195" t="str">
        <f t="shared" si="13"/>
        <v/>
      </c>
      <c r="BG65" s="195" t="str">
        <f t="shared" si="14"/>
        <v/>
      </c>
      <c r="BH65" s="196">
        <f t="shared" si="36"/>
        <v>0</v>
      </c>
      <c r="BI65" s="196">
        <f t="shared" si="37"/>
        <v>0</v>
      </c>
      <c r="BJ65" s="195" t="str">
        <f>IFERROR($G65*(IF('Inputs Yr 2'!$AJ65=BJ$4,'Inputs Yr 2'!$AK65,IF('Inputs Yr 2'!$AL65=BJ$4,'Inputs Yr 2'!$AM65,IF('Inputs Yr 2'!$AN65=BJ$4,'Inputs Yr 2'!$AO65,0))))*(INDEX(avoidedcosttbl2,$H65,BJ$2)+(($H65-ROUNDDOWN($H65,0))*(INDEX(avoidedcosttbl2,ROUNDUP($H65,0),BJ$2)-(INDEX(avoidedcosttbl2,ROUNDDOWN($H65,0),BJ$2)))))*'Inputs Yr 2'!P65*'Inputs Yr 2'!Q65*'Inputs Yr 2'!U65,"")</f>
        <v/>
      </c>
      <c r="BK65" s="195" t="str">
        <f>IFERROR($G65*(IF('Inputs Yr 2'!$AJ65=BK$4,'Inputs Yr 2'!$AK65,IF('Inputs Yr 2'!$AL65=BK$4,'Inputs Yr 2'!$AM65,IF('Inputs Yr 2'!$AN65=BK$4,'Inputs Yr 2'!$AO65,0))))*(INDEX(avoidedcosttbl2,$H65,BK$2)+(($H65-ROUNDDOWN($H65,0))*(INDEX(avoidedcosttbl2,ROUNDUP($H65,0),BK$2)-(INDEX(avoidedcosttbl2,ROUNDDOWN($H65,0),BK$2)))))*'Inputs Yr 2'!P65*'Inputs Yr 2'!Q65*'Inputs Yr 2'!U65,"")</f>
        <v/>
      </c>
      <c r="BL65" s="195" t="str">
        <f>IFERROR($G65*(IF('Inputs Yr 2'!$AJ65=BL$4,'Inputs Yr 2'!$AK65,IF('Inputs Yr 2'!$AL65=BL$4,'Inputs Yr 2'!$AM65,IF('Inputs Yr 2'!$AN65=BL$4,'Inputs Yr 2'!$AO65,0))))*(INDEX(avoidedcosttbl2,$H65,BL$2)+(($H65-ROUNDDOWN($H65,0))*(INDEX(avoidedcosttbl2,ROUNDUP($H65,0),BL$2)-(INDEX(avoidedcosttbl2,ROUNDDOWN($H65,0),BL$2)))))*'Inputs Yr 2'!P65*'Inputs Yr 2'!Q65*'Inputs Yr 2'!U65,"")</f>
        <v/>
      </c>
      <c r="BM65" s="195" t="str">
        <f>IFERROR($G65*(IF('Inputs Yr 2'!$AJ65=BM$4,'Inputs Yr 2'!$AK65,IF('Inputs Yr 2'!$AL65=BM$4,'Inputs Yr 2'!$AM65,IF('Inputs Yr 2'!$AN65=BM$4,'Inputs Yr 2'!$AO65,0))))*(INDEX(avoidedcosttbl2,$H65,BM$2)+(($H65-ROUNDDOWN($H65,0))*(INDEX(avoidedcosttbl2,ROUNDUP($H65,0),BM$2)-(INDEX(avoidedcosttbl2,ROUNDDOWN($H65,0),BM$2)))))*'Inputs Yr 2'!P65*'Inputs Yr 2'!Q65*'Inputs Yr 2'!U65,"")</f>
        <v/>
      </c>
      <c r="BN65" s="195" t="str">
        <f>IFERROR($G65*(IF('Inputs Yr 2'!$AJ65=BN$4,'Inputs Yr 2'!$AK65,IF('Inputs Yr 2'!$AL65=BN$4,'Inputs Yr 2'!$AM65,IF('Inputs Yr 2'!$AN65=BN$4,'Inputs Yr 2'!$AO65,0))))*(INDEX(avoidedcosttbl2,$H65,BN$2)+(($H65-ROUNDDOWN($H65,0))*(INDEX(avoidedcosttbl2,ROUNDUP($H65,0),BN$2)-(INDEX(avoidedcosttbl2,ROUNDDOWN($H65,0),BN$2)))))*'Inputs Yr 2'!P65*'Inputs Yr 2'!Q65*'Inputs Yr 2'!U65,"")</f>
        <v/>
      </c>
      <c r="BO65" s="195" t="str">
        <f>IFERROR($G65*(IF('Inputs Yr 2'!$AJ65=BO$4,'Inputs Yr 2'!$AK65,IF('Inputs Yr 2'!$AL65=BO$4,'Inputs Yr 2'!$AM65,IF('Inputs Yr 2'!$AN65=BO$4,'Inputs Yr 2'!$AO65,0))))*(INDEX(avoidedcosttbl2,$H65,BO$2)+(($H65-ROUNDDOWN($H65,0))*(INDEX(avoidedcosttbl2,ROUNDUP($H65,0),BO$2)-(INDEX(avoidedcosttbl2,ROUNDDOWN($H65,0),BO$2)))))*'Inputs Yr 2'!P65*'Inputs Yr 2'!Q65*'Inputs Yr 2'!U65,"")</f>
        <v/>
      </c>
      <c r="BP65" s="195" t="str">
        <f>IFERROR($G65*(IF('Inputs Yr 2'!$AJ65=BP$4,'Inputs Yr 2'!$AK65,IF('Inputs Yr 2'!$AL65=BP$4,'Inputs Yr 2'!$AM65,IF('Inputs Yr 2'!$AN65=BP$4,'Inputs Yr 2'!$AO65,0))))*(INDEX(avoidedcosttbl2,$H65,BP$2)+(($H65-ROUNDDOWN($H65,0))*(INDEX(avoidedcosttbl2,ROUNDUP($H65,0),BP$2)-(INDEX(avoidedcosttbl2,ROUNDDOWN($H65,0),BP$2)))))*'Inputs Yr 2'!P65*'Inputs Yr 2'!Q65*'Inputs Yr 2'!U65,"")</f>
        <v/>
      </c>
      <c r="BQ65" s="230">
        <f t="shared" si="38"/>
        <v>0</v>
      </c>
      <c r="BR65" s="197">
        <f t="shared" si="17"/>
        <v>0</v>
      </c>
      <c r="BS65" s="197" t="str">
        <f>IFERROR(($G65*IF('Inputs Yr 2'!$AJ65=BM$4,'Inputs Yr 2'!$AK65,IF('Inputs Yr 2'!$AL65=BM$4,'Inputs Yr 2'!$AM65,IF('Inputs Yr 2'!$AN65=BM$4,'Inputs Yr 2'!$AO65,0))))*(INDEX(avoidedcosttbl2,$H65,BS$2)+(($H65-ROUNDDOWN($H65,0))*(INDEX(avoidedcosttbl2,ROUNDUP($H65,0),BS$2)-(INDEX(avoidedcosttbl2,ROUNDDOWN($H65,0),BS$2)))))*'Inputs Yr 2'!P65*'Inputs Yr 2'!Q65*'Inputs Yr 2'!U65,"")</f>
        <v/>
      </c>
      <c r="BT65" s="197" t="str">
        <f>IFERROR(($G65*IF('Inputs Yr 2'!$AJ65=BK$4,'Inputs Yr 2'!$AK65,IF('Inputs Yr 2'!$AL65=BK$4,'Inputs Yr 2'!$AM65,IF('Inputs Yr 2'!$AN65=BK$4,'Inputs Yr 2'!$AO65,0))))*(INDEX(avoidedcosttbl2,$H65,BT$2)+(($H65-ROUNDDOWN($H65,0))*(INDEX(avoidedcosttbl2,ROUNDUP($H65,0),BT$2)-(INDEX(avoidedcosttbl2,ROUNDDOWN($H65,0),BT$2)))))*'Inputs Yr 2'!P65*'Inputs Yr 2'!Q65*'Inputs Yr 2'!U65,"")</f>
        <v/>
      </c>
      <c r="BU65" s="197" t="str">
        <f>IFERROR(($G65*IF('Inputs Yr 2'!$AJ65=BL$4,'Inputs Yr 2'!$AK65,IF('Inputs Yr 2'!$AL65=BL$4,'Inputs Yr 2'!$AM65,IF('Inputs Yr 2'!$AN65=BL$4,'Inputs Yr 2'!$AO65,0))))*(INDEX(avoidedcosttbl2,$H65,BU$2)+(($H65-ROUNDDOWN($H65,0))*(INDEX(avoidedcosttbl2,ROUNDUP($H65,0),BU$2)-(INDEX(avoidedcosttbl2,ROUNDDOWN($H65,0),BU$2)))))*'Inputs Yr 2'!P65*'Inputs Yr 2'!Q65*'Inputs Yr 2'!U65,"")</f>
        <v/>
      </c>
      <c r="BV65" s="775" t="str">
        <f>IFERROR(($G65*IF('Inputs Yr 2'!$AJ65=BJ$4,'Inputs Yr 2'!$AK65,IF('Inputs Yr 2'!$AL65=BJ$4,'Inputs Yr 2'!$AM65,IF('Inputs Yr 2'!$AN65=BJ$4,'Inputs Yr 2'!$AO65,0))))*(INDEX(avoidedcosttbl2,$H65,BV$2)+(($H65-ROUNDDOWN($H65,0))*(INDEX(avoidedcosttbl2,ROUNDUP($H65,0),BV$2)-(INDEX(avoidedcosttbl2,ROUNDDOWN($H65,0),BV$2)))))*'Inputs Yr 2'!P65*'Inputs Yr 2'!Q65*'Inputs Yr 2'!U65,"")</f>
        <v/>
      </c>
      <c r="BW65" s="197" t="str">
        <f>IFERROR(($G65*IF('Inputs Yr 2'!$AJ65=BN$4,'Inputs Yr 2'!$AK65,IF('Inputs Yr 2'!$AL65=BN$4,'Inputs Yr 2'!$AM65,IF('Inputs Yr 2'!$AN65=BN$4,'Inputs Yr 2'!$AO65,0))))*(INDEX(avoidedcosttbl2,$H65,BW$2)+(($H65-ROUNDDOWN($H65,0))*(INDEX(avoidedcosttbl2,ROUNDUP($H65,0),BW$2)-(INDEX(avoidedcosttbl2,ROUNDDOWN($H65,0),BW$2)))))*'Inputs Yr 2'!P65*'Inputs Yr 2'!Q65*'Inputs Yr 2'!U65,"")</f>
        <v/>
      </c>
      <c r="BX65" s="197" t="str">
        <f>IFERROR(($G65*IF('Inputs Yr 2'!$AJ65=BO$4,'Inputs Yr 2'!$AK65,IF('Inputs Yr 2'!$AL65=BO$4,'Inputs Yr 2'!$AM65,IF('Inputs Yr 2'!$AN65=BO$4,'Inputs Yr 2'!$AO65,0))))*(INDEX(avoidedcosttbl2,$H65,BX$2)+(($H65-ROUNDDOWN($H65,0))*(INDEX(avoidedcosttbl2,ROUNDUP($H65,0),BX$2)-(INDEX(avoidedcosttbl2,ROUNDDOWN($H65,0),BX$2)))))*'Inputs Yr 2'!P65*'Inputs Yr 2'!Q65*'Inputs Yr 2'!U65,"")</f>
        <v/>
      </c>
      <c r="BY65" s="197" t="str">
        <f>IFERROR(($G65*IF('Inputs Yr 2'!$AJ65=BP$4,'Inputs Yr 2'!$AK65,IF('Inputs Yr 2'!$AL65=BP$4,'Inputs Yr 2'!$AM65,IF('Inputs Yr 2'!$AN65=BP$4,'Inputs Yr 2'!$AO65,0))))*(INDEX(avoidedcosttbl2,$H65,BY$2)+(($H65-ROUNDDOWN($H65,0))*(INDEX(avoidedcosttbl2,ROUNDUP($H65,0),BY$2)-(INDEX(avoidedcosttbl2,ROUNDDOWN($H65,0),BY$2)))))*'Inputs Yr 2'!P65*'Inputs Yr 2'!Q65*'Inputs Yr 2'!U65,"")</f>
        <v/>
      </c>
      <c r="BZ65" s="193">
        <f t="shared" si="39"/>
        <v>0</v>
      </c>
      <c r="CA65" s="193">
        <f t="shared" si="40"/>
        <v>0</v>
      </c>
      <c r="CB65" s="195" t="str">
        <f>IFERROR(G65*(IF('Inputs Yr 2'!$AJ65=CB$4,'Inputs Yr 2'!$AK65,IF('Inputs Yr 2'!$AL65=CB$4,'Inputs Yr 2'!$AM65,IF('Inputs Yr 2'!$AN65=CB$4,'Inputs Yr 2'!$AO65,0))))*(INDEX(avoidedcosttbl2,$H65,CB$2)+(($H65-ROUNDDOWN($H65,0))*(INDEX(avoidedcosttbl2,ROUNDUP($H65,0),CB$2)-(INDEX(avoidedcosttbl2,ROUNDDOWN($H65,0),CB$2)))))*'Inputs Yr 2'!P65*'Inputs Yr 2'!Q65*'Inputs Yr 2'!U65,"")</f>
        <v/>
      </c>
      <c r="CC65" s="195">
        <f>IFERROR(H65*(IF('Inputs Yr 2'!$AJ65=CC$4,'Inputs Yr 2'!$AK65,IF('Inputs Yr 2'!$AL65=CC$4,'Inputs Yr 2'!$AM65,IF('Inputs Yr 2'!$AN65=CC$4,'Inputs Yr 2'!$AO65,0))))*(INDEX(avoidedcosttbl2,$H65,CC$2)+(($H65-ROUNDDOWN($H65,0))*(INDEX(avoidedcosttbl2,ROUNDUP($H65,0),CC$2)-(INDEX(avoidedcosttbl2,ROUNDDOWN($H65,0),CC$2)))))*'Inputs Yr 2'!Q65*'Inputs Yr 2'!R65*'Inputs Yr 2'!V65,"")</f>
        <v>0</v>
      </c>
      <c r="CD65" s="195" t="str">
        <f>IFERROR(I65*(IF('Inputs Yr 2'!$AJ65=CD$4,'Inputs Yr 2'!$AK65,IF('Inputs Yr 2'!$AL65=CD$4,'Inputs Yr 2'!$AM65,IF('Inputs Yr 2'!$AN65=CD$4,'Inputs Yr 2'!$AO65,0))))*(INDEX(avoidedcosttbl2,$H65,CD$2)+(($H65-ROUNDDOWN($H65,0))*(INDEX(avoidedcosttbl2,ROUNDUP($H65,0),CD$2)-(INDEX(avoidedcosttbl2,ROUNDDOWN($H65,0),CD$2)))))*'Inputs Yr 2'!R65*'Inputs Yr 2'!S65*'Inputs Yr 2'!W65,"")</f>
        <v/>
      </c>
      <c r="CE65" s="213">
        <f t="shared" si="41"/>
        <v>0</v>
      </c>
      <c r="CF65" s="213">
        <f t="shared" si="42"/>
        <v>0</v>
      </c>
      <c r="CG65" s="213">
        <f t="shared" si="43"/>
        <v>0</v>
      </c>
      <c r="CH65" s="698">
        <f t="shared" si="44"/>
        <v>0</v>
      </c>
      <c r="CI65" s="79" t="str">
        <f>IFERROR(($G65*'Inputs Yr 2'!$P65*'Inputs Yr 2'!$Q65*(((INDEX(avoidedcosttbl2,$H65,CI$2)+(($H65-ROUNDDOWN($H65,0))*(INDEX(avoidedcosttbl2,ROUNDUP($H65,0),CI$2)-INDEX(avoidedcosttbl2,ROUNDDOWN($H65,0),CI$2))))*'Inputs Yr 2'!AS65))),"")</f>
        <v/>
      </c>
      <c r="CJ65" s="504" t="str">
        <f>IFERROR($G65*'Inputs Yr 2'!AT65*'Inputs Yr 2'!$P65*'Inputs Yr 2'!$Q65/((1+realdiscrt1)^-0.5),"")</f>
        <v/>
      </c>
      <c r="CK65" s="79" t="str">
        <f>IFERROR((O65*1000*(((INDEX(avoidedcosttbl2,$H65,CK$2)+(($H65-ROUNDDOWN($H65,0))*(INDEX(avoidedcosttbl2,ROUNDUP($H65,0),CK$2)-INDEX(avoidedcosttbl2,ROUNDDOWN($H65,0),CK$2))))*'Inputs Yr 2'!AU65))),"")</f>
        <v/>
      </c>
      <c r="CL65" s="504" t="str">
        <f>IFERROR(O65*1000*'Inputs Yr 2'!AV65/((1+realdiscrt1)^-0.5),"")</f>
        <v/>
      </c>
      <c r="CM65" s="79">
        <f>IFERROR((AB65*'Inputs Yr 2'!AW65*(((INDEX(avoidedcosttbl2,$H65,CM$2)+(($H65-ROUNDDOWN($H65,0))*(INDEX(avoidedcosttbl2,ROUNDUP($H65,0),CM$2)-INDEX(avoidedcosttbl2,ROUNDDOWN($H65,0),CM$2)))))))*10,"")</f>
        <v>0</v>
      </c>
      <c r="CN65" s="504">
        <f>IFERROR(10*AB65*'Inputs Yr 2'!AX65/((1+realdiscrt1)^-0.5),"")</f>
        <v>0</v>
      </c>
      <c r="CO65" s="505">
        <f t="shared" si="45"/>
        <v>0</v>
      </c>
      <c r="CP65" s="230">
        <f t="shared" si="46"/>
        <v>0</v>
      </c>
      <c r="CQ65" s="199">
        <f>ROUND(IFERROR(IF(LEFT($A65,1)="C",'Avoided Costs'!$K$13,'Avoided Costs'!$K$12)+1,""),4)</f>
        <v>1.0720000000000001</v>
      </c>
      <c r="CR65" s="199">
        <f>ROUND(IFERROR(IF(LEFT($A65,1)="C",'Avoided Costs'!$L$13,'Avoided Costs'!$L$12)+1,""),4)</f>
        <v>1.04</v>
      </c>
      <c r="CS65" s="199">
        <f>ROUND(IFERROR(IF(LEFT($A65,1)="C",'Avoided Costs'!$M$13,'Avoided Costs'!$M$12)+1,""),4)</f>
        <v>1.0720000000000001</v>
      </c>
      <c r="CT65" s="199">
        <f>ROUND(IFERROR(IF(LEFT($A65,1)="C",'Avoided Costs'!$N$13,'Avoided Costs'!$N$12)+1,""),4)</f>
        <v>1.04</v>
      </c>
      <c r="CU65" s="199">
        <f>ROUND(IFERROR(IF(LEFT($A65,1)="C",'Avoided Costs'!$O$13,'Avoided Costs'!$O$12)+1,""),4)</f>
        <v>1.1120000000000001</v>
      </c>
      <c r="CV65" s="199">
        <f>ROUND(IFERROR(IF(LEFT($A65,1)="C",'Avoided Costs'!$P$13,'Avoided Costs'!$P$12)+1,""),4)</f>
        <v>1.095</v>
      </c>
      <c r="CW65" s="199">
        <f>ROUND(IFERROR(IF(LEFT($A65,1)="C",'Avoided Costs'!$Q$13,'Avoided Costs'!$Q$12)+1,""),4)</f>
        <v>1.1120000000000001</v>
      </c>
      <c r="CX65" s="200">
        <f>ROUND(IFERROR(IF(LEFT($A65,1)="C",'Avoided Costs'!$R$13,'Avoided Costs'!$R$12)+1,""),4)</f>
        <v>1.1120000000000001</v>
      </c>
    </row>
    <row r="66" spans="1:102" ht="12.75" customHeight="1">
      <c r="A66" s="91" t="str">
        <f>IF('Inputs Yr 2'!$B66=0,"",'Inputs Yr 2'!A66)</f>
        <v>A - Residential</v>
      </c>
      <c r="B66" s="91" t="str">
        <f>IF('Inputs Yr 2'!$B66=0,"",'Inputs Yr 2'!B66)</f>
        <v>A1 - Residential Whole House</v>
      </c>
      <c r="C66" s="91" t="str">
        <f>IF('Inputs Yr 2'!$B66=0,"",'Inputs Yr 2'!C66)</f>
        <v>A1c - Residential Home Energy Services - Measures</v>
      </c>
      <c r="D66" s="91" t="str">
        <f>IF('Inputs Yr 2'!$B66=0,"",'Inputs Yr 2'!E66)</f>
        <v>Early Retirement Clothes Washer, Gas DHW &amp; Elec Dryer (EE)</v>
      </c>
      <c r="E66" s="93" t="str">
        <f>IF('Inputs Yr 2'!$B66=0,"",'Inputs Yr 2'!F66)</f>
        <v>G16A1c30</v>
      </c>
      <c r="F66" s="93" t="str">
        <f>IF('Inputs Yr 2'!$B66=0,"",'Inputs Yr 2'!G66)</f>
        <v>Hot Water</v>
      </c>
      <c r="G66" s="95">
        <f>IF('Inputs Yr 2'!$H66&lt;&gt;0,('Inputs Yr 2'!H66),"")</f>
        <v>358</v>
      </c>
      <c r="H66" s="94">
        <f>IFERROR('Inputs Yr 2'!I66,"")</f>
        <v>12</v>
      </c>
      <c r="I66" s="298">
        <f>IFERROR('Inputs Yr 2'!J66*'Inputs Yr 2'!P66*G66,"")</f>
        <v>17900</v>
      </c>
      <c r="J66" s="298">
        <f>IFERROR('Inputs Yr 2'!K66*G66,"")</f>
        <v>17900</v>
      </c>
      <c r="K66" s="298">
        <f t="shared" si="23"/>
        <v>0</v>
      </c>
      <c r="L66" s="194">
        <f>IFERROR(('Inputs Yr 2'!W66*G66)/1000,"")</f>
        <v>0</v>
      </c>
      <c r="M66" s="194">
        <f>IFERROR(L66*('Inputs Yr 2'!$Q66*'Inputs Yr 2'!$V66*'Inputs Yr 2'!$R66),"")</f>
        <v>0</v>
      </c>
      <c r="N66" s="194">
        <f t="shared" si="24"/>
        <v>0</v>
      </c>
      <c r="O66" s="194">
        <f>IFERROR(M66*'Inputs Yr 2'!P66,"")</f>
        <v>0</v>
      </c>
      <c r="P66" s="194">
        <f t="shared" si="25"/>
        <v>0</v>
      </c>
      <c r="Q66" s="194">
        <f>IFERROR($P66*'Inputs Yr 2'!AA66,"")</f>
        <v>0</v>
      </c>
      <c r="R66" s="194">
        <f>IFERROR($P66*'Inputs Yr 2'!AB66,"")</f>
        <v>0</v>
      </c>
      <c r="S66" s="194">
        <f>IFERROR($P66*'Inputs Yr 2'!AC66,"")</f>
        <v>0</v>
      </c>
      <c r="T66" s="194">
        <f>IFERROR($P66*'Inputs Yr 2'!AD66,"")</f>
        <v>0</v>
      </c>
      <c r="U66" s="194">
        <f>IFERROR(G66*'Inputs Yr 2'!$AE66*'Inputs Yr 2'!$P66*'Inputs Yr 2'!$Q66,"")</f>
        <v>0</v>
      </c>
      <c r="V66" s="194">
        <f>IFERROR($G66*'Inputs Yr 2'!$AE66*'Inputs Yr 2'!$AG66*'Inputs Yr 2'!Q66*'Inputs Yr 2'!$S66,"")</f>
        <v>0</v>
      </c>
      <c r="W66" s="194">
        <f>IFERROR($G66*'Inputs Yr 2'!$AE66*'Inputs Yr 2'!$AG66*'Inputs Yr 2'!P66*'Inputs Yr 2'!Q66*'Inputs Yr 2'!$S66,"")</f>
        <v>0</v>
      </c>
      <c r="X66" s="194">
        <f>IFERROR($G66*'Inputs Yr 2'!$AE66*'Inputs Yr 2'!$AF66*'Inputs Yr 2'!Q66*'Inputs Yr 2'!$T66,"")</f>
        <v>0</v>
      </c>
      <c r="Y66" s="194">
        <f>IFERROR($G66*'Inputs Yr 2'!$AE66*'Inputs Yr 2'!$AF66*'Inputs Yr 2'!P66*'Inputs Yr 2'!Q66*'Inputs Yr 2'!$T66,"")</f>
        <v>0</v>
      </c>
      <c r="Z66" s="257">
        <f>IFERROR($G66*'Inputs Yr 2'!$Q66*'Inputs Yr 2'!$U66*(IF(IFERROR(SEARCH("NG", 'Inputs Yr 2'!$AJ66),0),'Inputs Yr 2'!$AK66,0)+IF(IFERROR(SEARCH("NG", 'Inputs Yr 2'!$AL66),0),'Inputs Yr 2'!$AM66,0)+IF(IFERROR(SEARCH("NG", 'Inputs Yr 2'!$AN66),0),'Inputs Yr 2'!$AO66,0)),0)</f>
        <v>293.56</v>
      </c>
      <c r="AA66" s="257">
        <f t="shared" si="26"/>
        <v>3522.7200000000003</v>
      </c>
      <c r="AB66" s="257">
        <f>IFERROR(Z66*'Inputs Yr 2'!$P66,0)</f>
        <v>293.56</v>
      </c>
      <c r="AC66" s="257">
        <f t="shared" si="27"/>
        <v>3522.7200000000003</v>
      </c>
      <c r="AD66" s="257">
        <f>IFERROR($G66*'Inputs Yr 2'!$Q66*'Inputs Yr 2'!$U66*(IF(IFERROR(SEARCH("Oil", 'Inputs Yr 2'!$AJ66), 0),'Inputs Yr 2'!$AK66,0)+IF(IFERROR(SEARCH("Oil", 'Inputs Yr 2'!$AL66), 0),'Inputs Yr 2'!$AM66,0)+IF(IFERROR(SEARCH("Oil", 'Inputs Yr 2'!$AN66), 0),'Inputs Yr 2'!$AO66,0)),0)</f>
        <v>0</v>
      </c>
      <c r="AE66" s="257">
        <f t="shared" si="28"/>
        <v>0</v>
      </c>
      <c r="AF66" s="257">
        <f>IFERROR(AD66*'Inputs Yr 2'!$P66,0)</f>
        <v>0</v>
      </c>
      <c r="AG66" s="257">
        <f t="shared" si="29"/>
        <v>0</v>
      </c>
      <c r="AH66" s="257">
        <f>IFERROR($G66*'Inputs Yr 2'!$Q66*'Inputs Yr 2'!$U66*(IF('Inputs Yr 2'!$AJ66=CD$4,'Inputs Yr 2'!$AK66,IF('Inputs Yr 2'!$AL66=CD$4,'Inputs Yr 2'!$AM66,IF('Inputs Yr 2'!$AN66=CD$4,'Inputs Yr 2'!$AO66,0)))),0)</f>
        <v>0</v>
      </c>
      <c r="AI66" s="257">
        <f t="shared" si="30"/>
        <v>0</v>
      </c>
      <c r="AJ66" s="257">
        <f>IFERROR(AH66*'Inputs Yr 2'!$P66,0)</f>
        <v>0</v>
      </c>
      <c r="AK66" s="257">
        <f t="shared" si="31"/>
        <v>0</v>
      </c>
      <c r="AL66" s="258">
        <f>IFERROR($G66*'Inputs Yr 2'!$P66*'Inputs Yr 2'!$Q66*'Inputs Yr 2'!AP66,0)</f>
        <v>0</v>
      </c>
      <c r="AM66" s="260">
        <f>IFERROR($G66*'Inputs Yr 2'!$P66*'Inputs Yr 2'!$Q66*'Inputs Yr 2'!AQ66,0)</f>
        <v>0</v>
      </c>
      <c r="AN66" s="258">
        <f>IFERROR($G66*'Inputs Yr 2'!$P66*'Inputs Yr 2'!$Q66*'Inputs Yr 2'!AR66,0)</f>
        <v>0</v>
      </c>
      <c r="AO66" s="257">
        <f t="shared" si="32"/>
        <v>0</v>
      </c>
      <c r="AP66" s="195">
        <f>IFERROR($CQ66*(INDEX(avoidedcosttbl2,$H66,AP$2)+(($H66-ROUNDDOWN($H66,0))*(INDEX(avoidedcosttbl2,ROUNDUP($H66,0),AP$2)-(INDEX(avoidedcosttbl2,ROUNDDOWN($H66,0),AP$2)))))*$O66*1000*'Inputs Yr 2'!AA66,"")</f>
        <v>0</v>
      </c>
      <c r="AQ66" s="195">
        <f>IFERROR($CR66*(INDEX(avoidedcosttbl2,$H66,AQ$2)+(($H66-ROUNDDOWN($H66,0))*(INDEX(avoidedcosttbl2,ROUNDUP($H66,0),AQ$2)-(INDEX(avoidedcosttbl2,ROUNDDOWN($H66,0),AQ$2)))))*$O66*1000*'Inputs Yr 2'!AB66,"")</f>
        <v>0</v>
      </c>
      <c r="AR66" s="195">
        <f>IFERROR($CS66*(INDEX(avoidedcosttbl2,$H66,AR$2)+(($H66-ROUNDDOWN($H66,0))*(INDEX(avoidedcosttbl2,ROUNDUP($H66,0),AR$2)-(INDEX(avoidedcosttbl2,ROUNDDOWN($H66,0),AR$2)))))*$O66*1000*'Inputs Yr 2'!AC66,"")</f>
        <v>0</v>
      </c>
      <c r="AS66" s="195">
        <f>IFERROR($CT66*(INDEX(avoidedcosttbl2,$H66,AS$2)+(($H66-ROUNDDOWN($H66,0))*(INDEX(avoidedcosttbl2,ROUNDUP($H66,0),AS$2)-(INDEX(avoidedcosttbl2,ROUNDDOWN($H66,0),AS$2)))))*$O66*1000*'Inputs Yr 2'!AD66,"")</f>
        <v>0</v>
      </c>
      <c r="AT66" s="196">
        <f t="shared" si="33"/>
        <v>0</v>
      </c>
      <c r="AU66" s="197">
        <f>IFERROR($CQ66*((INDEX(avoidedcosttbl2,$H66,AU$2))+(($H66-ROUNDDOWN($H66,0))*((INDEX(avoidedcosttbl2,ROUNDUP($H66,0),AU$2))-(INDEX(avoidedcosttbl2,ROUNDDOWN($H66,0),AU$2)))))*$O66*1000*'Inputs Yr 2'!AA66,"")</f>
        <v>0</v>
      </c>
      <c r="AV66" s="197">
        <f>IFERROR($CR66*((INDEX(avoidedcosttbl2,$H66,AV$2))+(($H66-ROUNDDOWN($H66,0))*((INDEX(avoidedcosttbl2,ROUNDUP($H66,0),AV$2))-(INDEX(avoidedcosttbl2,ROUNDDOWN($H66,0),AV$2)))))*$O66*1000*'Inputs Yr 2'!AB66,"")</f>
        <v>0</v>
      </c>
      <c r="AW66" s="197">
        <f>IFERROR($CS66*((INDEX(avoidedcosttbl2,$H66,AW$2))+(($H66-ROUNDDOWN($H66,0))*((INDEX(avoidedcosttbl2,ROUNDUP($H66,0),AW$2))-(INDEX(avoidedcosttbl2,ROUNDDOWN($H66,0),AW$2)))))*$O66*1000*'Inputs Yr 2'!AC66,"")</f>
        <v>0</v>
      </c>
      <c r="AX66" s="197">
        <f>IFERROR($CT66*((INDEX(avoidedcosttbl2,$H66,AX$2))+(($H66-ROUNDDOWN($H66,0))*((INDEX(avoidedcosttbl2,ROUNDUP($H66,0),AX$2))-(INDEX(avoidedcosttbl2,ROUNDDOWN($H66,0),AX$2)))))*$O66*1000*'Inputs Yr 2'!AD66,"")</f>
        <v>0</v>
      </c>
      <c r="AY66" s="197">
        <f>IFERROR(((INDEX(avoidedcosttbl2,$H66,AY$2))+(($H66-ROUNDDOWN($H66,0))*((INDEX(avoidedcosttbl2,ROUNDUP($H66,0),AY$2))-(INDEX(avoidedcosttbl2,ROUNDDOWN($H66,0),AY$2)))))*$O66*1000*('Inputs Yr 2'!AC66+'Inputs Yr 2'!AD66),"")</f>
        <v>0</v>
      </c>
      <c r="AZ66" s="197">
        <f>IFERROR(((INDEX(avoidedcosttbl2,$H66,AZ$2))+(($H66-ROUNDDOWN($H66,0))*((INDEX(avoidedcosttbl2,ROUNDUP($H66,0),AZ$2))-(INDEX(avoidedcosttbl2,ROUNDDOWN($H66,0),AZ$2)))))*$O66*1000*('Inputs Yr 2'!AA66+'Inputs Yr 2'!AB66),"")</f>
        <v>0</v>
      </c>
      <c r="BA66" s="198">
        <f t="shared" si="34"/>
        <v>0</v>
      </c>
      <c r="BB66" s="198">
        <f t="shared" si="35"/>
        <v>0</v>
      </c>
      <c r="BC66" s="195">
        <f t="shared" si="10"/>
        <v>0</v>
      </c>
      <c r="BD66" s="195">
        <f t="shared" si="11"/>
        <v>0</v>
      </c>
      <c r="BE66" s="195">
        <f t="shared" si="12"/>
        <v>0</v>
      </c>
      <c r="BF66" s="195">
        <f t="shared" si="13"/>
        <v>0</v>
      </c>
      <c r="BG66" s="195">
        <f t="shared" si="14"/>
        <v>0</v>
      </c>
      <c r="BH66" s="196">
        <f t="shared" si="36"/>
        <v>0</v>
      </c>
      <c r="BI66" s="196">
        <f t="shared" si="37"/>
        <v>0</v>
      </c>
      <c r="BJ66" s="195">
        <f>IFERROR($G66*(IF('Inputs Yr 2'!$AJ66=BJ$4,'Inputs Yr 2'!$AK66,IF('Inputs Yr 2'!$AL66=BJ$4,'Inputs Yr 2'!$AM66,IF('Inputs Yr 2'!$AN66=BJ$4,'Inputs Yr 2'!$AO66,0))))*(INDEX(avoidedcosttbl2,$H66,BJ$2)+(($H66-ROUNDDOWN($H66,0))*(INDEX(avoidedcosttbl2,ROUNDUP($H66,0),BJ$2)-(INDEX(avoidedcosttbl2,ROUNDDOWN($H66,0),BJ$2)))))*'Inputs Yr 2'!P66*'Inputs Yr 2'!Q66*'Inputs Yr 2'!U66,"")</f>
        <v>0</v>
      </c>
      <c r="BK66" s="195">
        <f>IFERROR($G66*(IF('Inputs Yr 2'!$AJ66=BK$4,'Inputs Yr 2'!$AK66,IF('Inputs Yr 2'!$AL66=BK$4,'Inputs Yr 2'!$AM66,IF('Inputs Yr 2'!$AN66=BK$4,'Inputs Yr 2'!$AO66,0))))*(INDEX(avoidedcosttbl2,$H66,BK$2)+(($H66-ROUNDDOWN($H66,0))*(INDEX(avoidedcosttbl2,ROUNDUP($H66,0),BK$2)-(INDEX(avoidedcosttbl2,ROUNDDOWN($H66,0),BK$2)))))*'Inputs Yr 2'!P66*'Inputs Yr 2'!Q66*'Inputs Yr 2'!U66,"")</f>
        <v>27747.852707762151</v>
      </c>
      <c r="BL66" s="195">
        <f>IFERROR($G66*(IF('Inputs Yr 2'!$AJ66=BL$4,'Inputs Yr 2'!$AK66,IF('Inputs Yr 2'!$AL66=BL$4,'Inputs Yr 2'!$AM66,IF('Inputs Yr 2'!$AN66=BL$4,'Inputs Yr 2'!$AO66,0))))*(INDEX(avoidedcosttbl2,$H66,BL$2)+(($H66-ROUNDDOWN($H66,0))*(INDEX(avoidedcosttbl2,ROUNDUP($H66,0),BL$2)-(INDEX(avoidedcosttbl2,ROUNDDOWN($H66,0),BL$2)))))*'Inputs Yr 2'!P66*'Inputs Yr 2'!Q66*'Inputs Yr 2'!U66,"")</f>
        <v>0</v>
      </c>
      <c r="BM66" s="195">
        <f>IFERROR($G66*(IF('Inputs Yr 2'!$AJ66=BM$4,'Inputs Yr 2'!$AK66,IF('Inputs Yr 2'!$AL66=BM$4,'Inputs Yr 2'!$AM66,IF('Inputs Yr 2'!$AN66=BM$4,'Inputs Yr 2'!$AO66,0))))*(INDEX(avoidedcosttbl2,$H66,BM$2)+(($H66-ROUNDDOWN($H66,0))*(INDEX(avoidedcosttbl2,ROUNDUP($H66,0),BM$2)-(INDEX(avoidedcosttbl2,ROUNDDOWN($H66,0),BM$2)))))*'Inputs Yr 2'!P66*'Inputs Yr 2'!Q66*'Inputs Yr 2'!U66,"")</f>
        <v>0</v>
      </c>
      <c r="BN66" s="195">
        <f>IFERROR($G66*(IF('Inputs Yr 2'!$AJ66=BN$4,'Inputs Yr 2'!$AK66,IF('Inputs Yr 2'!$AL66=BN$4,'Inputs Yr 2'!$AM66,IF('Inputs Yr 2'!$AN66=BN$4,'Inputs Yr 2'!$AO66,0))))*(INDEX(avoidedcosttbl2,$H66,BN$2)+(($H66-ROUNDDOWN($H66,0))*(INDEX(avoidedcosttbl2,ROUNDUP($H66,0),BN$2)-(INDEX(avoidedcosttbl2,ROUNDDOWN($H66,0),BN$2)))))*'Inputs Yr 2'!P66*'Inputs Yr 2'!Q66*'Inputs Yr 2'!U66,"")</f>
        <v>0</v>
      </c>
      <c r="BO66" s="195">
        <f>IFERROR($G66*(IF('Inputs Yr 2'!$AJ66=BO$4,'Inputs Yr 2'!$AK66,IF('Inputs Yr 2'!$AL66=BO$4,'Inputs Yr 2'!$AM66,IF('Inputs Yr 2'!$AN66=BO$4,'Inputs Yr 2'!$AO66,0))))*(INDEX(avoidedcosttbl2,$H66,BO$2)+(($H66-ROUNDDOWN($H66,0))*(INDEX(avoidedcosttbl2,ROUNDUP($H66,0),BO$2)-(INDEX(avoidedcosttbl2,ROUNDDOWN($H66,0),BO$2)))))*'Inputs Yr 2'!P66*'Inputs Yr 2'!Q66*'Inputs Yr 2'!U66,"")</f>
        <v>0</v>
      </c>
      <c r="BP66" s="195">
        <f>IFERROR($G66*(IF('Inputs Yr 2'!$AJ66=BP$4,'Inputs Yr 2'!$AK66,IF('Inputs Yr 2'!$AL66=BP$4,'Inputs Yr 2'!$AM66,IF('Inputs Yr 2'!$AN66=BP$4,'Inputs Yr 2'!$AO66,0))))*(INDEX(avoidedcosttbl2,$H66,BP$2)+(($H66-ROUNDDOWN($H66,0))*(INDEX(avoidedcosttbl2,ROUNDUP($H66,0),BP$2)-(INDEX(avoidedcosttbl2,ROUNDDOWN($H66,0),BP$2)))))*'Inputs Yr 2'!P66*'Inputs Yr 2'!Q66*'Inputs Yr 2'!U66,"")</f>
        <v>0</v>
      </c>
      <c r="BQ66" s="230">
        <f t="shared" si="38"/>
        <v>27747.852707762151</v>
      </c>
      <c r="BR66" s="197">
        <f t="shared" si="17"/>
        <v>480.59972177158954</v>
      </c>
      <c r="BS66" s="197">
        <f>IFERROR(($G66*IF('Inputs Yr 2'!$AJ66=BM$4,'Inputs Yr 2'!$AK66,IF('Inputs Yr 2'!$AL66=BM$4,'Inputs Yr 2'!$AM66,IF('Inputs Yr 2'!$AN66=BM$4,'Inputs Yr 2'!$AO66,0))))*(INDEX(avoidedcosttbl2,$H66,BS$2)+(($H66-ROUNDDOWN($H66,0))*(INDEX(avoidedcosttbl2,ROUNDUP($H66,0),BS$2)-(INDEX(avoidedcosttbl2,ROUNDDOWN($H66,0),BS$2)))))*'Inputs Yr 2'!P66*'Inputs Yr 2'!Q66*'Inputs Yr 2'!U66,"")</f>
        <v>0</v>
      </c>
      <c r="BT66" s="197">
        <f>IFERROR(($G66*IF('Inputs Yr 2'!$AJ66=BK$4,'Inputs Yr 2'!$AK66,IF('Inputs Yr 2'!$AL66=BK$4,'Inputs Yr 2'!$AM66,IF('Inputs Yr 2'!$AN66=BK$4,'Inputs Yr 2'!$AO66,0))))*(INDEX(avoidedcosttbl2,$H66,BT$2)+(($H66-ROUNDDOWN($H66,0))*(INDEX(avoidedcosttbl2,ROUNDUP($H66,0),BT$2)-(INDEX(avoidedcosttbl2,ROUNDDOWN($H66,0),BT$2)))))*'Inputs Yr 2'!P66*'Inputs Yr 2'!Q66*'Inputs Yr 2'!U66,"")</f>
        <v>2326.8906264967923</v>
      </c>
      <c r="BU66" s="197">
        <f>IFERROR(($G66*IF('Inputs Yr 2'!$AJ66=BL$4,'Inputs Yr 2'!$AK66,IF('Inputs Yr 2'!$AL66=BL$4,'Inputs Yr 2'!$AM66,IF('Inputs Yr 2'!$AN66=BL$4,'Inputs Yr 2'!$AO66,0))))*(INDEX(avoidedcosttbl2,$H66,BU$2)+(($H66-ROUNDDOWN($H66,0))*(INDEX(avoidedcosttbl2,ROUNDUP($H66,0),BU$2)-(INDEX(avoidedcosttbl2,ROUNDDOWN($H66,0),BU$2)))))*'Inputs Yr 2'!P66*'Inputs Yr 2'!Q66*'Inputs Yr 2'!U66,"")</f>
        <v>0</v>
      </c>
      <c r="BV66" s="775">
        <f>IFERROR(($G66*IF('Inputs Yr 2'!$AJ66=BJ$4,'Inputs Yr 2'!$AK66,IF('Inputs Yr 2'!$AL66=BJ$4,'Inputs Yr 2'!$AM66,IF('Inputs Yr 2'!$AN66=BJ$4,'Inputs Yr 2'!$AO66,0))))*(INDEX(avoidedcosttbl2,$H66,BV$2)+(($H66-ROUNDDOWN($H66,0))*(INDEX(avoidedcosttbl2,ROUNDUP($H66,0),BV$2)-(INDEX(avoidedcosttbl2,ROUNDDOWN($H66,0),BV$2)))))*'Inputs Yr 2'!P66*'Inputs Yr 2'!Q66*'Inputs Yr 2'!U66,"")</f>
        <v>0</v>
      </c>
      <c r="BW66" s="197">
        <f>IFERROR(($G66*IF('Inputs Yr 2'!$AJ66=BN$4,'Inputs Yr 2'!$AK66,IF('Inputs Yr 2'!$AL66=BN$4,'Inputs Yr 2'!$AM66,IF('Inputs Yr 2'!$AN66=BN$4,'Inputs Yr 2'!$AO66,0))))*(INDEX(avoidedcosttbl2,$H66,BW$2)+(($H66-ROUNDDOWN($H66,0))*(INDEX(avoidedcosttbl2,ROUNDUP($H66,0),BW$2)-(INDEX(avoidedcosttbl2,ROUNDDOWN($H66,0),BW$2)))))*'Inputs Yr 2'!P66*'Inputs Yr 2'!Q66*'Inputs Yr 2'!U66,"")</f>
        <v>0</v>
      </c>
      <c r="BX66" s="197">
        <f>IFERROR(($G66*IF('Inputs Yr 2'!$AJ66=BO$4,'Inputs Yr 2'!$AK66,IF('Inputs Yr 2'!$AL66=BO$4,'Inputs Yr 2'!$AM66,IF('Inputs Yr 2'!$AN66=BO$4,'Inputs Yr 2'!$AO66,0))))*(INDEX(avoidedcosttbl2,$H66,BX$2)+(($H66-ROUNDDOWN($H66,0))*(INDEX(avoidedcosttbl2,ROUNDUP($H66,0),BX$2)-(INDEX(avoidedcosttbl2,ROUNDDOWN($H66,0),BX$2)))))*'Inputs Yr 2'!P66*'Inputs Yr 2'!Q66*'Inputs Yr 2'!U66,"")</f>
        <v>0</v>
      </c>
      <c r="BY66" s="197">
        <f>IFERROR(($G66*IF('Inputs Yr 2'!$AJ66=BP$4,'Inputs Yr 2'!$AK66,IF('Inputs Yr 2'!$AL66=BP$4,'Inputs Yr 2'!$AM66,IF('Inputs Yr 2'!$AN66=BP$4,'Inputs Yr 2'!$AO66,0))))*(INDEX(avoidedcosttbl2,$H66,BY$2)+(($H66-ROUNDDOWN($H66,0))*(INDEX(avoidedcosttbl2,ROUNDUP($H66,0),BY$2)-(INDEX(avoidedcosttbl2,ROUNDDOWN($H66,0),BY$2)))))*'Inputs Yr 2'!P66*'Inputs Yr 2'!Q66*'Inputs Yr 2'!U66,"")</f>
        <v>0</v>
      </c>
      <c r="BZ66" s="193">
        <f t="shared" si="39"/>
        <v>2807.4903482683817</v>
      </c>
      <c r="CA66" s="193">
        <f t="shared" si="40"/>
        <v>30555.343056030531</v>
      </c>
      <c r="CB66" s="195">
        <f>IFERROR(G66*(IF('Inputs Yr 2'!$AJ66=CB$4,'Inputs Yr 2'!$AK66,IF('Inputs Yr 2'!$AL66=CB$4,'Inputs Yr 2'!$AM66,IF('Inputs Yr 2'!$AN66=CB$4,'Inputs Yr 2'!$AO66,0))))*(INDEX(avoidedcosttbl2,$H66,CB$2)+(($H66-ROUNDDOWN($H66,0))*(INDEX(avoidedcosttbl2,ROUNDUP($H66,0),CB$2)-(INDEX(avoidedcosttbl2,ROUNDDOWN($H66,0),CB$2)))))*'Inputs Yr 2'!P66*'Inputs Yr 2'!Q66*'Inputs Yr 2'!U66,"")</f>
        <v>0</v>
      </c>
      <c r="CC66" s="195">
        <f>IFERROR(H66*(IF('Inputs Yr 2'!$AJ66=CC$4,'Inputs Yr 2'!$AK66,IF('Inputs Yr 2'!$AL66=CC$4,'Inputs Yr 2'!$AM66,IF('Inputs Yr 2'!$AN66=CC$4,'Inputs Yr 2'!$AO66,0))))*(INDEX(avoidedcosttbl2,$H66,CC$2)+(($H66-ROUNDDOWN($H66,0))*(INDEX(avoidedcosttbl2,ROUNDUP($H66,0),CC$2)-(INDEX(avoidedcosttbl2,ROUNDDOWN($H66,0),CC$2)))))*'Inputs Yr 2'!Q66*'Inputs Yr 2'!R66*'Inputs Yr 2'!V66,"")</f>
        <v>0</v>
      </c>
      <c r="CD66" s="195">
        <f>IFERROR(I66*(IF('Inputs Yr 2'!$AJ66=CD$4,'Inputs Yr 2'!$AK66,IF('Inputs Yr 2'!$AL66=CD$4,'Inputs Yr 2'!$AM66,IF('Inputs Yr 2'!$AN66=CD$4,'Inputs Yr 2'!$AO66,0))))*(INDEX(avoidedcosttbl2,$H66,CD$2)+(($H66-ROUNDDOWN($H66,0))*(INDEX(avoidedcosttbl2,ROUNDUP($H66,0),CD$2)-(INDEX(avoidedcosttbl2,ROUNDDOWN($H66,0),CD$2)))))*'Inputs Yr 2'!R66*'Inputs Yr 2'!S66*'Inputs Yr 2'!W66,"")</f>
        <v>0</v>
      </c>
      <c r="CE66" s="213">
        <f t="shared" si="41"/>
        <v>0</v>
      </c>
      <c r="CF66" s="213">
        <f t="shared" si="42"/>
        <v>0</v>
      </c>
      <c r="CG66" s="213">
        <f t="shared" si="43"/>
        <v>0</v>
      </c>
      <c r="CH66" s="698">
        <f t="shared" si="44"/>
        <v>30555.343056030531</v>
      </c>
      <c r="CI66" s="79">
        <f>IFERROR(($G66*'Inputs Yr 2'!$P66*'Inputs Yr 2'!$Q66*(((INDEX(avoidedcosttbl2,$H66,CI$2)+(($H66-ROUNDDOWN($H66,0))*(INDEX(avoidedcosttbl2,ROUNDUP($H66,0),CI$2)-INDEX(avoidedcosttbl2,ROUNDDOWN($H66,0),CI$2))))*'Inputs Yr 2'!AS66))),"")</f>
        <v>0</v>
      </c>
      <c r="CJ66" s="504">
        <f>IFERROR($G66*'Inputs Yr 2'!AT66*'Inputs Yr 2'!$P66*'Inputs Yr 2'!$Q66/((1+realdiscrt1)^-0.5),"")</f>
        <v>0</v>
      </c>
      <c r="CK66" s="79">
        <f>IFERROR((O66*1000*(((INDEX(avoidedcosttbl2,$H66,CK$2)+(($H66-ROUNDDOWN($H66,0))*(INDEX(avoidedcosttbl2,ROUNDUP($H66,0),CK$2)-INDEX(avoidedcosttbl2,ROUNDDOWN($H66,0),CK$2))))*'Inputs Yr 2'!AU66))),"")</f>
        <v>0</v>
      </c>
      <c r="CL66" s="504">
        <f>IFERROR(O66*1000*'Inputs Yr 2'!AV66/((1+realdiscrt1)^-0.5),"")</f>
        <v>0</v>
      </c>
      <c r="CM66" s="79">
        <f>IFERROR((AB66*'Inputs Yr 2'!AW66*(((INDEX(avoidedcosttbl2,$H66,CM$2)+(($H66-ROUNDDOWN($H66,0))*(INDEX(avoidedcosttbl2,ROUNDUP($H66,0),CM$2)-INDEX(avoidedcosttbl2,ROUNDDOWN($H66,0),CM$2)))))))*10,"")</f>
        <v>0</v>
      </c>
      <c r="CN66" s="504">
        <f>IFERROR(10*AB66*'Inputs Yr 2'!AX66/((1+realdiscrt1)^-0.5),"")</f>
        <v>0</v>
      </c>
      <c r="CO66" s="505">
        <f t="shared" si="45"/>
        <v>0</v>
      </c>
      <c r="CP66" s="230">
        <f t="shared" si="46"/>
        <v>30555.343056030531</v>
      </c>
      <c r="CQ66" s="199">
        <f>ROUND(IFERROR(IF(LEFT($A66,1)="C",'Avoided Costs'!$K$13,'Avoided Costs'!$K$12)+1,""),4)</f>
        <v>1.0720000000000001</v>
      </c>
      <c r="CR66" s="199">
        <f>ROUND(IFERROR(IF(LEFT($A66,1)="C",'Avoided Costs'!$L$13,'Avoided Costs'!$L$12)+1,""),4)</f>
        <v>1.04</v>
      </c>
      <c r="CS66" s="199">
        <f>ROUND(IFERROR(IF(LEFT($A66,1)="C",'Avoided Costs'!$M$13,'Avoided Costs'!$M$12)+1,""),4)</f>
        <v>1.0720000000000001</v>
      </c>
      <c r="CT66" s="199">
        <f>ROUND(IFERROR(IF(LEFT($A66,1)="C",'Avoided Costs'!$N$13,'Avoided Costs'!$N$12)+1,""),4)</f>
        <v>1.04</v>
      </c>
      <c r="CU66" s="199">
        <f>ROUND(IFERROR(IF(LEFT($A66,1)="C",'Avoided Costs'!$O$13,'Avoided Costs'!$O$12)+1,""),4)</f>
        <v>1.1120000000000001</v>
      </c>
      <c r="CV66" s="199">
        <f>ROUND(IFERROR(IF(LEFT($A66,1)="C",'Avoided Costs'!$P$13,'Avoided Costs'!$P$12)+1,""),4)</f>
        <v>1.095</v>
      </c>
      <c r="CW66" s="199">
        <f>ROUND(IFERROR(IF(LEFT($A66,1)="C",'Avoided Costs'!$Q$13,'Avoided Costs'!$Q$12)+1,""),4)</f>
        <v>1.1120000000000001</v>
      </c>
      <c r="CX66" s="200">
        <f>ROUND(IFERROR(IF(LEFT($A66,1)="C",'Avoided Costs'!$R$13,'Avoided Costs'!$R$12)+1,""),4)</f>
        <v>1.1120000000000001</v>
      </c>
    </row>
    <row r="67" spans="1:102" ht="12.75" customHeight="1">
      <c r="A67" s="91" t="str">
        <f>IF('Inputs Yr 2'!$B67=0,"",'Inputs Yr 2'!A67)</f>
        <v>A - Residential</v>
      </c>
      <c r="B67" s="91" t="str">
        <f>IF('Inputs Yr 2'!$B67=0,"",'Inputs Yr 2'!B67)</f>
        <v>A1 - Residential Whole House</v>
      </c>
      <c r="C67" s="91" t="str">
        <f>IF('Inputs Yr 2'!$B67=0,"",'Inputs Yr 2'!C67)</f>
        <v>A1c - Residential Home Energy Services - Measures</v>
      </c>
      <c r="D67" s="91" t="str">
        <f>IF('Inputs Yr 2'!$B67=0,"",'Inputs Yr 2'!E67)</f>
        <v>Early Retirement Clothes Washer, Gas DHW &amp; Elec Dryer (Retire)</v>
      </c>
      <c r="E67" s="93" t="str">
        <f>IF('Inputs Yr 2'!$B67=0,"",'Inputs Yr 2'!F67)</f>
        <v>G16A1c31</v>
      </c>
      <c r="F67" s="93" t="str">
        <f>IF('Inputs Yr 2'!$B67=0,"",'Inputs Yr 2'!G67)</f>
        <v>Hot Water</v>
      </c>
      <c r="G67" s="95">
        <f>IF('Inputs Yr 2'!$H67&lt;&gt;0,('Inputs Yr 2'!H67),"")</f>
        <v>358</v>
      </c>
      <c r="H67" s="94">
        <f>IFERROR('Inputs Yr 2'!I67,"")</f>
        <v>4</v>
      </c>
      <c r="I67" s="298">
        <f>IFERROR('Inputs Yr 2'!J67*'Inputs Yr 2'!P67*G67,"")</f>
        <v>0</v>
      </c>
      <c r="J67" s="298">
        <f>IFERROR('Inputs Yr 2'!K67*G67,"")</f>
        <v>0</v>
      </c>
      <c r="K67" s="298">
        <f t="shared" si="23"/>
        <v>0</v>
      </c>
      <c r="L67" s="194">
        <f>IFERROR(('Inputs Yr 2'!W67*G67)/1000,"")</f>
        <v>0</v>
      </c>
      <c r="M67" s="194">
        <f>IFERROR(L67*('Inputs Yr 2'!$Q67*'Inputs Yr 2'!$V67*'Inputs Yr 2'!$R67),"")</f>
        <v>0</v>
      </c>
      <c r="N67" s="194">
        <f t="shared" si="24"/>
        <v>0</v>
      </c>
      <c r="O67" s="194">
        <f>IFERROR(M67*'Inputs Yr 2'!P67,"")</f>
        <v>0</v>
      </c>
      <c r="P67" s="194">
        <f t="shared" si="25"/>
        <v>0</v>
      </c>
      <c r="Q67" s="194">
        <f>IFERROR($P67*'Inputs Yr 2'!AA67,"")</f>
        <v>0</v>
      </c>
      <c r="R67" s="194">
        <f>IFERROR($P67*'Inputs Yr 2'!AB67,"")</f>
        <v>0</v>
      </c>
      <c r="S67" s="194">
        <f>IFERROR($P67*'Inputs Yr 2'!AC67,"")</f>
        <v>0</v>
      </c>
      <c r="T67" s="194">
        <f>IFERROR($P67*'Inputs Yr 2'!AD67,"")</f>
        <v>0</v>
      </c>
      <c r="U67" s="194">
        <f>IFERROR(G67*'Inputs Yr 2'!$AE67*'Inputs Yr 2'!$P67*'Inputs Yr 2'!$Q67,"")</f>
        <v>0</v>
      </c>
      <c r="V67" s="194">
        <f>IFERROR($G67*'Inputs Yr 2'!$AE67*'Inputs Yr 2'!$AG67*'Inputs Yr 2'!Q67*'Inputs Yr 2'!$S67,"")</f>
        <v>0</v>
      </c>
      <c r="W67" s="194">
        <f>IFERROR($G67*'Inputs Yr 2'!$AE67*'Inputs Yr 2'!$AG67*'Inputs Yr 2'!P67*'Inputs Yr 2'!Q67*'Inputs Yr 2'!$S67,"")</f>
        <v>0</v>
      </c>
      <c r="X67" s="194">
        <f>IFERROR($G67*'Inputs Yr 2'!$AE67*'Inputs Yr 2'!$AF67*'Inputs Yr 2'!Q67*'Inputs Yr 2'!$T67,"")</f>
        <v>0</v>
      </c>
      <c r="Y67" s="194">
        <f>IFERROR($G67*'Inputs Yr 2'!$AE67*'Inputs Yr 2'!$AF67*'Inputs Yr 2'!P67*'Inputs Yr 2'!Q67*'Inputs Yr 2'!$T67,"")</f>
        <v>0</v>
      </c>
      <c r="Z67" s="257">
        <f>IFERROR($G67*'Inputs Yr 2'!$Q67*'Inputs Yr 2'!$U67*(IF(IFERROR(SEARCH("NG", 'Inputs Yr 2'!$AJ67),0),'Inputs Yr 2'!$AK67,0)+IF(IFERROR(SEARCH("NG", 'Inputs Yr 2'!$AL67),0),'Inputs Yr 2'!$AM67,0)+IF(IFERROR(SEARCH("NG", 'Inputs Yr 2'!$AN67),0),'Inputs Yr 2'!$AO67,0)),0)</f>
        <v>125.3</v>
      </c>
      <c r="AA67" s="257">
        <f t="shared" si="26"/>
        <v>501.2</v>
      </c>
      <c r="AB67" s="257">
        <f>IFERROR(Z67*'Inputs Yr 2'!$P67,0)</f>
        <v>125.3</v>
      </c>
      <c r="AC67" s="257">
        <f t="shared" si="27"/>
        <v>501.2</v>
      </c>
      <c r="AD67" s="257">
        <f>IFERROR($G67*'Inputs Yr 2'!$Q67*'Inputs Yr 2'!$U67*(IF(IFERROR(SEARCH("Oil", 'Inputs Yr 2'!$AJ67), 0),'Inputs Yr 2'!$AK67,0)+IF(IFERROR(SEARCH("Oil", 'Inputs Yr 2'!$AL67), 0),'Inputs Yr 2'!$AM67,0)+IF(IFERROR(SEARCH("Oil", 'Inputs Yr 2'!$AN67), 0),'Inputs Yr 2'!$AO67,0)),0)</f>
        <v>0</v>
      </c>
      <c r="AE67" s="257">
        <f t="shared" si="28"/>
        <v>0</v>
      </c>
      <c r="AF67" s="257">
        <f>IFERROR(AD67*'Inputs Yr 2'!$P67,0)</f>
        <v>0</v>
      </c>
      <c r="AG67" s="257">
        <f t="shared" si="29"/>
        <v>0</v>
      </c>
      <c r="AH67" s="257">
        <f>IFERROR($G67*'Inputs Yr 2'!$Q67*'Inputs Yr 2'!$U67*(IF('Inputs Yr 2'!$AJ67=CD$4,'Inputs Yr 2'!$AK67,IF('Inputs Yr 2'!$AL67=CD$4,'Inputs Yr 2'!$AM67,IF('Inputs Yr 2'!$AN67=CD$4,'Inputs Yr 2'!$AO67,0)))),0)</f>
        <v>0</v>
      </c>
      <c r="AI67" s="257">
        <f t="shared" si="30"/>
        <v>0</v>
      </c>
      <c r="AJ67" s="257">
        <f>IFERROR(AH67*'Inputs Yr 2'!$P67,0)</f>
        <v>0</v>
      </c>
      <c r="AK67" s="257">
        <f t="shared" si="31"/>
        <v>0</v>
      </c>
      <c r="AL67" s="258">
        <f>IFERROR($G67*'Inputs Yr 2'!$P67*'Inputs Yr 2'!$Q67*'Inputs Yr 2'!AP67,0)</f>
        <v>0</v>
      </c>
      <c r="AM67" s="260">
        <f>IFERROR($G67*'Inputs Yr 2'!$P67*'Inputs Yr 2'!$Q67*'Inputs Yr 2'!AQ67,0)</f>
        <v>0</v>
      </c>
      <c r="AN67" s="258">
        <f>IFERROR($G67*'Inputs Yr 2'!$P67*'Inputs Yr 2'!$Q67*'Inputs Yr 2'!AR67,0)</f>
        <v>0</v>
      </c>
      <c r="AO67" s="257">
        <f t="shared" si="32"/>
        <v>0</v>
      </c>
      <c r="AP67" s="195">
        <f>IFERROR($CQ67*(INDEX(avoidedcosttbl2,$H67,AP$2)+(($H67-ROUNDDOWN($H67,0))*(INDEX(avoidedcosttbl2,ROUNDUP($H67,0),AP$2)-(INDEX(avoidedcosttbl2,ROUNDDOWN($H67,0),AP$2)))))*$O67*1000*'Inputs Yr 2'!AA67,"")</f>
        <v>0</v>
      </c>
      <c r="AQ67" s="195">
        <f>IFERROR($CR67*(INDEX(avoidedcosttbl2,$H67,AQ$2)+(($H67-ROUNDDOWN($H67,0))*(INDEX(avoidedcosttbl2,ROUNDUP($H67,0),AQ$2)-(INDEX(avoidedcosttbl2,ROUNDDOWN($H67,0),AQ$2)))))*$O67*1000*'Inputs Yr 2'!AB67,"")</f>
        <v>0</v>
      </c>
      <c r="AR67" s="195">
        <f>IFERROR($CS67*(INDEX(avoidedcosttbl2,$H67,AR$2)+(($H67-ROUNDDOWN($H67,0))*(INDEX(avoidedcosttbl2,ROUNDUP($H67,0),AR$2)-(INDEX(avoidedcosttbl2,ROUNDDOWN($H67,0),AR$2)))))*$O67*1000*'Inputs Yr 2'!AC67,"")</f>
        <v>0</v>
      </c>
      <c r="AS67" s="195">
        <f>IFERROR($CT67*(INDEX(avoidedcosttbl2,$H67,AS$2)+(($H67-ROUNDDOWN($H67,0))*(INDEX(avoidedcosttbl2,ROUNDUP($H67,0),AS$2)-(INDEX(avoidedcosttbl2,ROUNDDOWN($H67,0),AS$2)))))*$O67*1000*'Inputs Yr 2'!AD67,"")</f>
        <v>0</v>
      </c>
      <c r="AT67" s="196">
        <f t="shared" si="33"/>
        <v>0</v>
      </c>
      <c r="AU67" s="197">
        <f>IFERROR($CQ67*((INDEX(avoidedcosttbl2,$H67,AU$2))+(($H67-ROUNDDOWN($H67,0))*((INDEX(avoidedcosttbl2,ROUNDUP($H67,0),AU$2))-(INDEX(avoidedcosttbl2,ROUNDDOWN($H67,0),AU$2)))))*$O67*1000*'Inputs Yr 2'!AA67,"")</f>
        <v>0</v>
      </c>
      <c r="AV67" s="197">
        <f>IFERROR($CR67*((INDEX(avoidedcosttbl2,$H67,AV$2))+(($H67-ROUNDDOWN($H67,0))*((INDEX(avoidedcosttbl2,ROUNDUP($H67,0),AV$2))-(INDEX(avoidedcosttbl2,ROUNDDOWN($H67,0),AV$2)))))*$O67*1000*'Inputs Yr 2'!AB67,"")</f>
        <v>0</v>
      </c>
      <c r="AW67" s="197">
        <f>IFERROR($CS67*((INDEX(avoidedcosttbl2,$H67,AW$2))+(($H67-ROUNDDOWN($H67,0))*((INDEX(avoidedcosttbl2,ROUNDUP($H67,0),AW$2))-(INDEX(avoidedcosttbl2,ROUNDDOWN($H67,0),AW$2)))))*$O67*1000*'Inputs Yr 2'!AC67,"")</f>
        <v>0</v>
      </c>
      <c r="AX67" s="197">
        <f>IFERROR($CT67*((INDEX(avoidedcosttbl2,$H67,AX$2))+(($H67-ROUNDDOWN($H67,0))*((INDEX(avoidedcosttbl2,ROUNDUP($H67,0),AX$2))-(INDEX(avoidedcosttbl2,ROUNDDOWN($H67,0),AX$2)))))*$O67*1000*'Inputs Yr 2'!AD67,"")</f>
        <v>0</v>
      </c>
      <c r="AY67" s="197">
        <f>IFERROR(((INDEX(avoidedcosttbl2,$H67,AY$2))+(($H67-ROUNDDOWN($H67,0))*((INDEX(avoidedcosttbl2,ROUNDUP($H67,0),AY$2))-(INDEX(avoidedcosttbl2,ROUNDDOWN($H67,0),AY$2)))))*$O67*1000*('Inputs Yr 2'!AC67+'Inputs Yr 2'!AD67),"")</f>
        <v>0</v>
      </c>
      <c r="AZ67" s="197">
        <f>IFERROR(((INDEX(avoidedcosttbl2,$H67,AZ$2))+(($H67-ROUNDDOWN($H67,0))*((INDEX(avoidedcosttbl2,ROUNDUP($H67,0),AZ$2))-(INDEX(avoidedcosttbl2,ROUNDDOWN($H67,0),AZ$2)))))*$O67*1000*('Inputs Yr 2'!AA67+'Inputs Yr 2'!AB67),"")</f>
        <v>0</v>
      </c>
      <c r="BA67" s="198">
        <f t="shared" si="34"/>
        <v>0</v>
      </c>
      <c r="BB67" s="198">
        <f t="shared" si="35"/>
        <v>0</v>
      </c>
      <c r="BC67" s="195">
        <f t="shared" si="10"/>
        <v>0</v>
      </c>
      <c r="BD67" s="195">
        <f t="shared" si="11"/>
        <v>0</v>
      </c>
      <c r="BE67" s="195">
        <f t="shared" si="12"/>
        <v>0</v>
      </c>
      <c r="BF67" s="195">
        <f t="shared" si="13"/>
        <v>0</v>
      </c>
      <c r="BG67" s="195">
        <f t="shared" si="14"/>
        <v>0</v>
      </c>
      <c r="BH67" s="196">
        <f t="shared" si="36"/>
        <v>0</v>
      </c>
      <c r="BI67" s="196">
        <f t="shared" si="37"/>
        <v>0</v>
      </c>
      <c r="BJ67" s="195">
        <f>IFERROR($G67*(IF('Inputs Yr 2'!$AJ67=BJ$4,'Inputs Yr 2'!$AK67,IF('Inputs Yr 2'!$AL67=BJ$4,'Inputs Yr 2'!$AM67,IF('Inputs Yr 2'!$AN67=BJ$4,'Inputs Yr 2'!$AO67,0))))*(INDEX(avoidedcosttbl2,$H67,BJ$2)+(($H67-ROUNDDOWN($H67,0))*(INDEX(avoidedcosttbl2,ROUNDUP($H67,0),BJ$2)-(INDEX(avoidedcosttbl2,ROUNDDOWN($H67,0),BJ$2)))))*'Inputs Yr 2'!P67*'Inputs Yr 2'!Q67*'Inputs Yr 2'!U67,"")</f>
        <v>0</v>
      </c>
      <c r="BK67" s="195">
        <f>IFERROR($G67*(IF('Inputs Yr 2'!$AJ67=BK$4,'Inputs Yr 2'!$AK67,IF('Inputs Yr 2'!$AL67=BK$4,'Inputs Yr 2'!$AM67,IF('Inputs Yr 2'!$AN67=BK$4,'Inputs Yr 2'!$AO67,0))))*(INDEX(avoidedcosttbl2,$H67,BK$2)+(($H67-ROUNDDOWN($H67,0))*(INDEX(avoidedcosttbl2,ROUNDUP($H67,0),BK$2)-(INDEX(avoidedcosttbl2,ROUNDDOWN($H67,0),BK$2)))))*'Inputs Yr 2'!P67*'Inputs Yr 2'!Q67*'Inputs Yr 2'!U67,"")</f>
        <v>3852.8857138968619</v>
      </c>
      <c r="BL67" s="195">
        <f>IFERROR($G67*(IF('Inputs Yr 2'!$AJ67=BL$4,'Inputs Yr 2'!$AK67,IF('Inputs Yr 2'!$AL67=BL$4,'Inputs Yr 2'!$AM67,IF('Inputs Yr 2'!$AN67=BL$4,'Inputs Yr 2'!$AO67,0))))*(INDEX(avoidedcosttbl2,$H67,BL$2)+(($H67-ROUNDDOWN($H67,0))*(INDEX(avoidedcosttbl2,ROUNDUP($H67,0),BL$2)-(INDEX(avoidedcosttbl2,ROUNDDOWN($H67,0),BL$2)))))*'Inputs Yr 2'!P67*'Inputs Yr 2'!Q67*'Inputs Yr 2'!U67,"")</f>
        <v>0</v>
      </c>
      <c r="BM67" s="195">
        <f>IFERROR($G67*(IF('Inputs Yr 2'!$AJ67=BM$4,'Inputs Yr 2'!$AK67,IF('Inputs Yr 2'!$AL67=BM$4,'Inputs Yr 2'!$AM67,IF('Inputs Yr 2'!$AN67=BM$4,'Inputs Yr 2'!$AO67,0))))*(INDEX(avoidedcosttbl2,$H67,BM$2)+(($H67-ROUNDDOWN($H67,0))*(INDEX(avoidedcosttbl2,ROUNDUP($H67,0),BM$2)-(INDEX(avoidedcosttbl2,ROUNDDOWN($H67,0),BM$2)))))*'Inputs Yr 2'!P67*'Inputs Yr 2'!Q67*'Inputs Yr 2'!U67,"")</f>
        <v>0</v>
      </c>
      <c r="BN67" s="195">
        <f>IFERROR($G67*(IF('Inputs Yr 2'!$AJ67=BN$4,'Inputs Yr 2'!$AK67,IF('Inputs Yr 2'!$AL67=BN$4,'Inputs Yr 2'!$AM67,IF('Inputs Yr 2'!$AN67=BN$4,'Inputs Yr 2'!$AO67,0))))*(INDEX(avoidedcosttbl2,$H67,BN$2)+(($H67-ROUNDDOWN($H67,0))*(INDEX(avoidedcosttbl2,ROUNDUP($H67,0),BN$2)-(INDEX(avoidedcosttbl2,ROUNDDOWN($H67,0),BN$2)))))*'Inputs Yr 2'!P67*'Inputs Yr 2'!Q67*'Inputs Yr 2'!U67,"")</f>
        <v>0</v>
      </c>
      <c r="BO67" s="195">
        <f>IFERROR($G67*(IF('Inputs Yr 2'!$AJ67=BO$4,'Inputs Yr 2'!$AK67,IF('Inputs Yr 2'!$AL67=BO$4,'Inputs Yr 2'!$AM67,IF('Inputs Yr 2'!$AN67=BO$4,'Inputs Yr 2'!$AO67,0))))*(INDEX(avoidedcosttbl2,$H67,BO$2)+(($H67-ROUNDDOWN($H67,0))*(INDEX(avoidedcosttbl2,ROUNDUP($H67,0),BO$2)-(INDEX(avoidedcosttbl2,ROUNDDOWN($H67,0),BO$2)))))*'Inputs Yr 2'!P67*'Inputs Yr 2'!Q67*'Inputs Yr 2'!U67,"")</f>
        <v>0</v>
      </c>
      <c r="BP67" s="195">
        <f>IFERROR($G67*(IF('Inputs Yr 2'!$AJ67=BP$4,'Inputs Yr 2'!$AK67,IF('Inputs Yr 2'!$AL67=BP$4,'Inputs Yr 2'!$AM67,IF('Inputs Yr 2'!$AN67=BP$4,'Inputs Yr 2'!$AO67,0))))*(INDEX(avoidedcosttbl2,$H67,BP$2)+(($H67-ROUNDDOWN($H67,0))*(INDEX(avoidedcosttbl2,ROUNDUP($H67,0),BP$2)-(INDEX(avoidedcosttbl2,ROUNDDOWN($H67,0),BP$2)))))*'Inputs Yr 2'!P67*'Inputs Yr 2'!Q67*'Inputs Yr 2'!U67,"")</f>
        <v>0</v>
      </c>
      <c r="BQ67" s="230">
        <f t="shared" si="38"/>
        <v>3852.8857138968619</v>
      </c>
      <c r="BR67" s="197">
        <f t="shared" si="17"/>
        <v>69.582274970588742</v>
      </c>
      <c r="BS67" s="197">
        <f>IFERROR(($G67*IF('Inputs Yr 2'!$AJ67=BM$4,'Inputs Yr 2'!$AK67,IF('Inputs Yr 2'!$AL67=BM$4,'Inputs Yr 2'!$AM67,IF('Inputs Yr 2'!$AN67=BM$4,'Inputs Yr 2'!$AO67,0))))*(INDEX(avoidedcosttbl2,$H67,BS$2)+(($H67-ROUNDDOWN($H67,0))*(INDEX(avoidedcosttbl2,ROUNDUP($H67,0),BS$2)-(INDEX(avoidedcosttbl2,ROUNDDOWN($H67,0),BS$2)))))*'Inputs Yr 2'!P67*'Inputs Yr 2'!Q67*'Inputs Yr 2'!U67,"")</f>
        <v>0</v>
      </c>
      <c r="BT67" s="197">
        <f>IFERROR(($G67*IF('Inputs Yr 2'!$AJ67=BK$4,'Inputs Yr 2'!$AK67,IF('Inputs Yr 2'!$AL67=BK$4,'Inputs Yr 2'!$AM67,IF('Inputs Yr 2'!$AN67=BK$4,'Inputs Yr 2'!$AO67,0))))*(INDEX(avoidedcosttbl2,$H67,BT$2)+(($H67-ROUNDDOWN($H67,0))*(INDEX(avoidedcosttbl2,ROUNDUP($H67,0),BT$2)-(INDEX(avoidedcosttbl2,ROUNDDOWN($H67,0),BT$2)))))*'Inputs Yr 2'!P67*'Inputs Yr 2'!Q67*'Inputs Yr 2'!U67,"")</f>
        <v>878.50476294792202</v>
      </c>
      <c r="BU67" s="197">
        <f>IFERROR(($G67*IF('Inputs Yr 2'!$AJ67=BL$4,'Inputs Yr 2'!$AK67,IF('Inputs Yr 2'!$AL67=BL$4,'Inputs Yr 2'!$AM67,IF('Inputs Yr 2'!$AN67=BL$4,'Inputs Yr 2'!$AO67,0))))*(INDEX(avoidedcosttbl2,$H67,BU$2)+(($H67-ROUNDDOWN($H67,0))*(INDEX(avoidedcosttbl2,ROUNDUP($H67,0),BU$2)-(INDEX(avoidedcosttbl2,ROUNDDOWN($H67,0),BU$2)))))*'Inputs Yr 2'!P67*'Inputs Yr 2'!Q67*'Inputs Yr 2'!U67,"")</f>
        <v>0</v>
      </c>
      <c r="BV67" s="775">
        <f>IFERROR(($G67*IF('Inputs Yr 2'!$AJ67=BJ$4,'Inputs Yr 2'!$AK67,IF('Inputs Yr 2'!$AL67=BJ$4,'Inputs Yr 2'!$AM67,IF('Inputs Yr 2'!$AN67=BJ$4,'Inputs Yr 2'!$AO67,0))))*(INDEX(avoidedcosttbl2,$H67,BV$2)+(($H67-ROUNDDOWN($H67,0))*(INDEX(avoidedcosttbl2,ROUNDUP($H67,0),BV$2)-(INDEX(avoidedcosttbl2,ROUNDDOWN($H67,0),BV$2)))))*'Inputs Yr 2'!P67*'Inputs Yr 2'!Q67*'Inputs Yr 2'!U67,"")</f>
        <v>0</v>
      </c>
      <c r="BW67" s="197">
        <f>IFERROR(($G67*IF('Inputs Yr 2'!$AJ67=BN$4,'Inputs Yr 2'!$AK67,IF('Inputs Yr 2'!$AL67=BN$4,'Inputs Yr 2'!$AM67,IF('Inputs Yr 2'!$AN67=BN$4,'Inputs Yr 2'!$AO67,0))))*(INDEX(avoidedcosttbl2,$H67,BW$2)+(($H67-ROUNDDOWN($H67,0))*(INDEX(avoidedcosttbl2,ROUNDUP($H67,0),BW$2)-(INDEX(avoidedcosttbl2,ROUNDDOWN($H67,0),BW$2)))))*'Inputs Yr 2'!P67*'Inputs Yr 2'!Q67*'Inputs Yr 2'!U67,"")</f>
        <v>0</v>
      </c>
      <c r="BX67" s="197">
        <f>IFERROR(($G67*IF('Inputs Yr 2'!$AJ67=BO$4,'Inputs Yr 2'!$AK67,IF('Inputs Yr 2'!$AL67=BO$4,'Inputs Yr 2'!$AM67,IF('Inputs Yr 2'!$AN67=BO$4,'Inputs Yr 2'!$AO67,0))))*(INDEX(avoidedcosttbl2,$H67,BX$2)+(($H67-ROUNDDOWN($H67,0))*(INDEX(avoidedcosttbl2,ROUNDUP($H67,0),BX$2)-(INDEX(avoidedcosttbl2,ROUNDDOWN($H67,0),BX$2)))))*'Inputs Yr 2'!P67*'Inputs Yr 2'!Q67*'Inputs Yr 2'!U67,"")</f>
        <v>0</v>
      </c>
      <c r="BY67" s="197">
        <f>IFERROR(($G67*IF('Inputs Yr 2'!$AJ67=BP$4,'Inputs Yr 2'!$AK67,IF('Inputs Yr 2'!$AL67=BP$4,'Inputs Yr 2'!$AM67,IF('Inputs Yr 2'!$AN67=BP$4,'Inputs Yr 2'!$AO67,0))))*(INDEX(avoidedcosttbl2,$H67,BY$2)+(($H67-ROUNDDOWN($H67,0))*(INDEX(avoidedcosttbl2,ROUNDUP($H67,0),BY$2)-(INDEX(avoidedcosttbl2,ROUNDDOWN($H67,0),BY$2)))))*'Inputs Yr 2'!P67*'Inputs Yr 2'!Q67*'Inputs Yr 2'!U67,"")</f>
        <v>0</v>
      </c>
      <c r="BZ67" s="193">
        <f t="shared" si="39"/>
        <v>948.08703791851076</v>
      </c>
      <c r="CA67" s="193">
        <f t="shared" si="40"/>
        <v>4800.9727518153722</v>
      </c>
      <c r="CB67" s="195">
        <f>IFERROR(G67*(IF('Inputs Yr 2'!$AJ67=CB$4,'Inputs Yr 2'!$AK67,IF('Inputs Yr 2'!$AL67=CB$4,'Inputs Yr 2'!$AM67,IF('Inputs Yr 2'!$AN67=CB$4,'Inputs Yr 2'!$AO67,0))))*(INDEX(avoidedcosttbl2,$H67,CB$2)+(($H67-ROUNDDOWN($H67,0))*(INDEX(avoidedcosttbl2,ROUNDUP($H67,0),CB$2)-(INDEX(avoidedcosttbl2,ROUNDDOWN($H67,0),CB$2)))))*'Inputs Yr 2'!P67*'Inputs Yr 2'!Q67*'Inputs Yr 2'!U67,"")</f>
        <v>0</v>
      </c>
      <c r="CC67" s="195">
        <f>IFERROR(H67*(IF('Inputs Yr 2'!$AJ67=CC$4,'Inputs Yr 2'!$AK67,IF('Inputs Yr 2'!$AL67=CC$4,'Inputs Yr 2'!$AM67,IF('Inputs Yr 2'!$AN67=CC$4,'Inputs Yr 2'!$AO67,0))))*(INDEX(avoidedcosttbl2,$H67,CC$2)+(($H67-ROUNDDOWN($H67,0))*(INDEX(avoidedcosttbl2,ROUNDUP($H67,0),CC$2)-(INDEX(avoidedcosttbl2,ROUNDDOWN($H67,0),CC$2)))))*'Inputs Yr 2'!Q67*'Inputs Yr 2'!R67*'Inputs Yr 2'!V67,"")</f>
        <v>0</v>
      </c>
      <c r="CD67" s="195">
        <f>IFERROR(I67*(IF('Inputs Yr 2'!$AJ67=CD$4,'Inputs Yr 2'!$AK67,IF('Inputs Yr 2'!$AL67=CD$4,'Inputs Yr 2'!$AM67,IF('Inputs Yr 2'!$AN67=CD$4,'Inputs Yr 2'!$AO67,0))))*(INDEX(avoidedcosttbl2,$H67,CD$2)+(($H67-ROUNDDOWN($H67,0))*(INDEX(avoidedcosttbl2,ROUNDUP($H67,0),CD$2)-(INDEX(avoidedcosttbl2,ROUNDDOWN($H67,0),CD$2)))))*'Inputs Yr 2'!R67*'Inputs Yr 2'!S67*'Inputs Yr 2'!W67,"")</f>
        <v>0</v>
      </c>
      <c r="CE67" s="213">
        <f t="shared" si="41"/>
        <v>0</v>
      </c>
      <c r="CF67" s="213">
        <f t="shared" si="42"/>
        <v>0</v>
      </c>
      <c r="CG67" s="213">
        <f t="shared" si="43"/>
        <v>0</v>
      </c>
      <c r="CH67" s="698">
        <f t="shared" si="44"/>
        <v>4800.9727518153722</v>
      </c>
      <c r="CI67" s="79">
        <f>IFERROR(($G67*'Inputs Yr 2'!$P67*'Inputs Yr 2'!$Q67*(((INDEX(avoidedcosttbl2,$H67,CI$2)+(($H67-ROUNDDOWN($H67,0))*(INDEX(avoidedcosttbl2,ROUNDUP($H67,0),CI$2)-INDEX(avoidedcosttbl2,ROUNDDOWN($H67,0),CI$2))))*'Inputs Yr 2'!AS67))),"")</f>
        <v>0</v>
      </c>
      <c r="CJ67" s="504">
        <f>IFERROR($G67*'Inputs Yr 2'!AT67*'Inputs Yr 2'!$P67*'Inputs Yr 2'!$Q67/((1+realdiscrt1)^-0.5),"")</f>
        <v>0</v>
      </c>
      <c r="CK67" s="79">
        <f>IFERROR((O67*1000*(((INDEX(avoidedcosttbl2,$H67,CK$2)+(($H67-ROUNDDOWN($H67,0))*(INDEX(avoidedcosttbl2,ROUNDUP($H67,0),CK$2)-INDEX(avoidedcosttbl2,ROUNDDOWN($H67,0),CK$2))))*'Inputs Yr 2'!AU67))),"")</f>
        <v>0</v>
      </c>
      <c r="CL67" s="504">
        <f>IFERROR(O67*1000*'Inputs Yr 2'!AV67/((1+realdiscrt1)^-0.5),"")</f>
        <v>0</v>
      </c>
      <c r="CM67" s="79">
        <f>IFERROR((AB67*'Inputs Yr 2'!AW67*(((INDEX(avoidedcosttbl2,$H67,CM$2)+(($H67-ROUNDDOWN($H67,0))*(INDEX(avoidedcosttbl2,ROUNDUP($H67,0),CM$2)-INDEX(avoidedcosttbl2,ROUNDDOWN($H67,0),CM$2)))))))*10,"")</f>
        <v>0</v>
      </c>
      <c r="CN67" s="504">
        <f>IFERROR(10*AB67*'Inputs Yr 2'!AX67/((1+realdiscrt1)^-0.5),"")</f>
        <v>0</v>
      </c>
      <c r="CO67" s="505">
        <f t="shared" si="45"/>
        <v>0</v>
      </c>
      <c r="CP67" s="230">
        <f t="shared" si="46"/>
        <v>4800.9727518153722</v>
      </c>
      <c r="CQ67" s="199">
        <f>ROUND(IFERROR(IF(LEFT($A67,1)="C",'Avoided Costs'!$K$13,'Avoided Costs'!$K$12)+1,""),4)</f>
        <v>1.0720000000000001</v>
      </c>
      <c r="CR67" s="199">
        <f>ROUND(IFERROR(IF(LEFT($A67,1)="C",'Avoided Costs'!$L$13,'Avoided Costs'!$L$12)+1,""),4)</f>
        <v>1.04</v>
      </c>
      <c r="CS67" s="199">
        <f>ROUND(IFERROR(IF(LEFT($A67,1)="C",'Avoided Costs'!$M$13,'Avoided Costs'!$M$12)+1,""),4)</f>
        <v>1.0720000000000001</v>
      </c>
      <c r="CT67" s="199">
        <f>ROUND(IFERROR(IF(LEFT($A67,1)="C",'Avoided Costs'!$N$13,'Avoided Costs'!$N$12)+1,""),4)</f>
        <v>1.04</v>
      </c>
      <c r="CU67" s="199">
        <f>ROUND(IFERROR(IF(LEFT($A67,1)="C",'Avoided Costs'!$O$13,'Avoided Costs'!$O$12)+1,""),4)</f>
        <v>1.1120000000000001</v>
      </c>
      <c r="CV67" s="199">
        <f>ROUND(IFERROR(IF(LEFT($A67,1)="C",'Avoided Costs'!$P$13,'Avoided Costs'!$P$12)+1,""),4)</f>
        <v>1.095</v>
      </c>
      <c r="CW67" s="199">
        <f>ROUND(IFERROR(IF(LEFT($A67,1)="C",'Avoided Costs'!$Q$13,'Avoided Costs'!$Q$12)+1,""),4)</f>
        <v>1.1120000000000001</v>
      </c>
      <c r="CX67" s="200">
        <f>ROUND(IFERROR(IF(LEFT($A67,1)="C",'Avoided Costs'!$R$13,'Avoided Costs'!$R$12)+1,""),4)</f>
        <v>1.1120000000000001</v>
      </c>
    </row>
    <row r="68" spans="1:102" ht="12.75" customHeight="1">
      <c r="A68" s="91" t="str">
        <f>IF('Inputs Yr 2'!$B68=0,"",'Inputs Yr 2'!A68)</f>
        <v>A - Residential</v>
      </c>
      <c r="B68" s="91" t="str">
        <f>IF('Inputs Yr 2'!$B68=0,"",'Inputs Yr 2'!B68)</f>
        <v>A1 - Residential Whole House</v>
      </c>
      <c r="C68" s="91" t="str">
        <f>IF('Inputs Yr 2'!$B68=0,"",'Inputs Yr 2'!C68)</f>
        <v>A1c - Residential Home Energy Services - Measures</v>
      </c>
      <c r="D68" s="91" t="str">
        <f>IF('Inputs Yr 2'!$B68=0,"",'Inputs Yr 2'!E68)</f>
        <v>Early Retirement Clothes Washer, Elec DHW &amp; Gas Dryer (EE)</v>
      </c>
      <c r="E68" s="93" t="str">
        <f>IF('Inputs Yr 2'!$B68=0,"",'Inputs Yr 2'!F68)</f>
        <v>G16A1c32</v>
      </c>
      <c r="F68" s="93" t="str">
        <f>IF('Inputs Yr 2'!$B68=0,"",'Inputs Yr 2'!G68)</f>
        <v>Hot Water</v>
      </c>
      <c r="G68" s="95">
        <f>IF('Inputs Yr 2'!$H68&lt;&gt;0,('Inputs Yr 2'!H68),"")</f>
        <v>10</v>
      </c>
      <c r="H68" s="94">
        <f>IFERROR('Inputs Yr 2'!I68,"")</f>
        <v>12</v>
      </c>
      <c r="I68" s="298">
        <f>IFERROR('Inputs Yr 2'!J68*'Inputs Yr 2'!P68*G68,"")</f>
        <v>500</v>
      </c>
      <c r="J68" s="298">
        <f>IFERROR('Inputs Yr 2'!K68*G68,"")</f>
        <v>500</v>
      </c>
      <c r="K68" s="298">
        <f t="shared" si="23"/>
        <v>0</v>
      </c>
      <c r="L68" s="194">
        <f>IFERROR(('Inputs Yr 2'!W68*G68)/1000,"")</f>
        <v>0</v>
      </c>
      <c r="M68" s="194">
        <f>IFERROR(L68*('Inputs Yr 2'!$Q68*'Inputs Yr 2'!$V68*'Inputs Yr 2'!$R68),"")</f>
        <v>0</v>
      </c>
      <c r="N68" s="194">
        <f t="shared" si="24"/>
        <v>0</v>
      </c>
      <c r="O68" s="194">
        <f>IFERROR(M68*'Inputs Yr 2'!P68,"")</f>
        <v>0</v>
      </c>
      <c r="P68" s="194">
        <f t="shared" si="25"/>
        <v>0</v>
      </c>
      <c r="Q68" s="194">
        <f>IFERROR($P68*'Inputs Yr 2'!AA68,"")</f>
        <v>0</v>
      </c>
      <c r="R68" s="194">
        <f>IFERROR($P68*'Inputs Yr 2'!AB68,"")</f>
        <v>0</v>
      </c>
      <c r="S68" s="194">
        <f>IFERROR($P68*'Inputs Yr 2'!AC68,"")</f>
        <v>0</v>
      </c>
      <c r="T68" s="194">
        <f>IFERROR($P68*'Inputs Yr 2'!AD68,"")</f>
        <v>0</v>
      </c>
      <c r="U68" s="194">
        <f>IFERROR(G68*'Inputs Yr 2'!$AE68*'Inputs Yr 2'!$P68*'Inputs Yr 2'!$Q68,"")</f>
        <v>0</v>
      </c>
      <c r="V68" s="194">
        <f>IFERROR($G68*'Inputs Yr 2'!$AE68*'Inputs Yr 2'!$AG68*'Inputs Yr 2'!Q68*'Inputs Yr 2'!$S68,"")</f>
        <v>0</v>
      </c>
      <c r="W68" s="194">
        <f>IFERROR($G68*'Inputs Yr 2'!$AE68*'Inputs Yr 2'!$AG68*'Inputs Yr 2'!P68*'Inputs Yr 2'!Q68*'Inputs Yr 2'!$S68,"")</f>
        <v>0</v>
      </c>
      <c r="X68" s="194">
        <f>IFERROR($G68*'Inputs Yr 2'!$AE68*'Inputs Yr 2'!$AF68*'Inputs Yr 2'!Q68*'Inputs Yr 2'!$T68,"")</f>
        <v>0</v>
      </c>
      <c r="Y68" s="194">
        <f>IFERROR($G68*'Inputs Yr 2'!$AE68*'Inputs Yr 2'!$AF68*'Inputs Yr 2'!P68*'Inputs Yr 2'!Q68*'Inputs Yr 2'!$T68,"")</f>
        <v>0</v>
      </c>
      <c r="Z68" s="257">
        <f>IFERROR($G68*'Inputs Yr 2'!$Q68*'Inputs Yr 2'!$U68*(IF(IFERROR(SEARCH("NG", 'Inputs Yr 2'!$AJ68),0),'Inputs Yr 2'!$AK68,0)+IF(IFERROR(SEARCH("NG", 'Inputs Yr 2'!$AL68),0),'Inputs Yr 2'!$AM68,0)+IF(IFERROR(SEARCH("NG", 'Inputs Yr 2'!$AN68),0),'Inputs Yr 2'!$AO68,0)),0)</f>
        <v>3.2</v>
      </c>
      <c r="AA68" s="257">
        <f t="shared" si="26"/>
        <v>38.400000000000006</v>
      </c>
      <c r="AB68" s="257">
        <f>IFERROR(Z68*'Inputs Yr 2'!$P68,0)</f>
        <v>3.2</v>
      </c>
      <c r="AC68" s="257">
        <f t="shared" si="27"/>
        <v>38.400000000000006</v>
      </c>
      <c r="AD68" s="257">
        <f>IFERROR($G68*'Inputs Yr 2'!$Q68*'Inputs Yr 2'!$U68*(IF(IFERROR(SEARCH("Oil", 'Inputs Yr 2'!$AJ68), 0),'Inputs Yr 2'!$AK68,0)+IF(IFERROR(SEARCH("Oil", 'Inputs Yr 2'!$AL68), 0),'Inputs Yr 2'!$AM68,0)+IF(IFERROR(SEARCH("Oil", 'Inputs Yr 2'!$AN68), 0),'Inputs Yr 2'!$AO68,0)),0)</f>
        <v>0</v>
      </c>
      <c r="AE68" s="257">
        <f t="shared" si="28"/>
        <v>0</v>
      </c>
      <c r="AF68" s="257">
        <f>IFERROR(AD68*'Inputs Yr 2'!$P68,0)</f>
        <v>0</v>
      </c>
      <c r="AG68" s="257">
        <f t="shared" si="29"/>
        <v>0</v>
      </c>
      <c r="AH68" s="257">
        <f>IFERROR($G68*'Inputs Yr 2'!$Q68*'Inputs Yr 2'!$U68*(IF('Inputs Yr 2'!$AJ68=CD$4,'Inputs Yr 2'!$AK68,IF('Inputs Yr 2'!$AL68=CD$4,'Inputs Yr 2'!$AM68,IF('Inputs Yr 2'!$AN68=CD$4,'Inputs Yr 2'!$AO68,0)))),0)</f>
        <v>0</v>
      </c>
      <c r="AI68" s="257">
        <f t="shared" si="30"/>
        <v>0</v>
      </c>
      <c r="AJ68" s="257">
        <f>IFERROR(AH68*'Inputs Yr 2'!$P68,0)</f>
        <v>0</v>
      </c>
      <c r="AK68" s="257">
        <f t="shared" si="31"/>
        <v>0</v>
      </c>
      <c r="AL68" s="258">
        <f>IFERROR($G68*'Inputs Yr 2'!$P68*'Inputs Yr 2'!$Q68*'Inputs Yr 2'!AP68,0)</f>
        <v>0</v>
      </c>
      <c r="AM68" s="260">
        <f>IFERROR($G68*'Inputs Yr 2'!$P68*'Inputs Yr 2'!$Q68*'Inputs Yr 2'!AQ68,0)</f>
        <v>0</v>
      </c>
      <c r="AN68" s="258">
        <f>IFERROR($G68*'Inputs Yr 2'!$P68*'Inputs Yr 2'!$Q68*'Inputs Yr 2'!AR68,0)</f>
        <v>0</v>
      </c>
      <c r="AO68" s="257">
        <f t="shared" si="32"/>
        <v>0</v>
      </c>
      <c r="AP68" s="195">
        <f>IFERROR($CQ68*(INDEX(avoidedcosttbl2,$H68,AP$2)+(($H68-ROUNDDOWN($H68,0))*(INDEX(avoidedcosttbl2,ROUNDUP($H68,0),AP$2)-(INDEX(avoidedcosttbl2,ROUNDDOWN($H68,0),AP$2)))))*$O68*1000*'Inputs Yr 2'!AA68,"")</f>
        <v>0</v>
      </c>
      <c r="AQ68" s="195">
        <f>IFERROR($CR68*(INDEX(avoidedcosttbl2,$H68,AQ$2)+(($H68-ROUNDDOWN($H68,0))*(INDEX(avoidedcosttbl2,ROUNDUP($H68,0),AQ$2)-(INDEX(avoidedcosttbl2,ROUNDDOWN($H68,0),AQ$2)))))*$O68*1000*'Inputs Yr 2'!AB68,"")</f>
        <v>0</v>
      </c>
      <c r="AR68" s="195">
        <f>IFERROR($CS68*(INDEX(avoidedcosttbl2,$H68,AR$2)+(($H68-ROUNDDOWN($H68,0))*(INDEX(avoidedcosttbl2,ROUNDUP($H68,0),AR$2)-(INDEX(avoidedcosttbl2,ROUNDDOWN($H68,0),AR$2)))))*$O68*1000*'Inputs Yr 2'!AC68,"")</f>
        <v>0</v>
      </c>
      <c r="AS68" s="195">
        <f>IFERROR($CT68*(INDEX(avoidedcosttbl2,$H68,AS$2)+(($H68-ROUNDDOWN($H68,0))*(INDEX(avoidedcosttbl2,ROUNDUP($H68,0),AS$2)-(INDEX(avoidedcosttbl2,ROUNDDOWN($H68,0),AS$2)))))*$O68*1000*'Inputs Yr 2'!AD68,"")</f>
        <v>0</v>
      </c>
      <c r="AT68" s="196">
        <f t="shared" si="33"/>
        <v>0</v>
      </c>
      <c r="AU68" s="197">
        <f>IFERROR($CQ68*((INDEX(avoidedcosttbl2,$H68,AU$2))+(($H68-ROUNDDOWN($H68,0))*((INDEX(avoidedcosttbl2,ROUNDUP($H68,0),AU$2))-(INDEX(avoidedcosttbl2,ROUNDDOWN($H68,0),AU$2)))))*$O68*1000*'Inputs Yr 2'!AA68,"")</f>
        <v>0</v>
      </c>
      <c r="AV68" s="197">
        <f>IFERROR($CR68*((INDEX(avoidedcosttbl2,$H68,AV$2))+(($H68-ROUNDDOWN($H68,0))*((INDEX(avoidedcosttbl2,ROUNDUP($H68,0),AV$2))-(INDEX(avoidedcosttbl2,ROUNDDOWN($H68,0),AV$2)))))*$O68*1000*'Inputs Yr 2'!AB68,"")</f>
        <v>0</v>
      </c>
      <c r="AW68" s="197">
        <f>IFERROR($CS68*((INDEX(avoidedcosttbl2,$H68,AW$2))+(($H68-ROUNDDOWN($H68,0))*((INDEX(avoidedcosttbl2,ROUNDUP($H68,0),AW$2))-(INDEX(avoidedcosttbl2,ROUNDDOWN($H68,0),AW$2)))))*$O68*1000*'Inputs Yr 2'!AC68,"")</f>
        <v>0</v>
      </c>
      <c r="AX68" s="197">
        <f>IFERROR($CT68*((INDEX(avoidedcosttbl2,$H68,AX$2))+(($H68-ROUNDDOWN($H68,0))*((INDEX(avoidedcosttbl2,ROUNDUP($H68,0),AX$2))-(INDEX(avoidedcosttbl2,ROUNDDOWN($H68,0),AX$2)))))*$O68*1000*'Inputs Yr 2'!AD68,"")</f>
        <v>0</v>
      </c>
      <c r="AY68" s="197">
        <f>IFERROR(((INDEX(avoidedcosttbl2,$H68,AY$2))+(($H68-ROUNDDOWN($H68,0))*((INDEX(avoidedcosttbl2,ROUNDUP($H68,0),AY$2))-(INDEX(avoidedcosttbl2,ROUNDDOWN($H68,0),AY$2)))))*$O68*1000*('Inputs Yr 2'!AC68+'Inputs Yr 2'!AD68),"")</f>
        <v>0</v>
      </c>
      <c r="AZ68" s="197">
        <f>IFERROR(((INDEX(avoidedcosttbl2,$H68,AZ$2))+(($H68-ROUNDDOWN($H68,0))*((INDEX(avoidedcosttbl2,ROUNDUP($H68,0),AZ$2))-(INDEX(avoidedcosttbl2,ROUNDDOWN($H68,0),AZ$2)))))*$O68*1000*('Inputs Yr 2'!AA68+'Inputs Yr 2'!AB68),"")</f>
        <v>0</v>
      </c>
      <c r="BA68" s="198">
        <f t="shared" si="34"/>
        <v>0</v>
      </c>
      <c r="BB68" s="198">
        <f t="shared" si="35"/>
        <v>0</v>
      </c>
      <c r="BC68" s="195">
        <f t="shared" si="10"/>
        <v>0</v>
      </c>
      <c r="BD68" s="195">
        <f t="shared" si="11"/>
        <v>0</v>
      </c>
      <c r="BE68" s="195">
        <f t="shared" si="12"/>
        <v>0</v>
      </c>
      <c r="BF68" s="195">
        <f t="shared" si="13"/>
        <v>0</v>
      </c>
      <c r="BG68" s="195">
        <f t="shared" si="14"/>
        <v>0</v>
      </c>
      <c r="BH68" s="196">
        <f t="shared" si="36"/>
        <v>0</v>
      </c>
      <c r="BI68" s="196">
        <f t="shared" si="37"/>
        <v>0</v>
      </c>
      <c r="BJ68" s="195">
        <f>IFERROR($G68*(IF('Inputs Yr 2'!$AJ68=BJ$4,'Inputs Yr 2'!$AK68,IF('Inputs Yr 2'!$AL68=BJ$4,'Inputs Yr 2'!$AM68,IF('Inputs Yr 2'!$AN68=BJ$4,'Inputs Yr 2'!$AO68,0))))*(INDEX(avoidedcosttbl2,$H68,BJ$2)+(($H68-ROUNDDOWN($H68,0))*(INDEX(avoidedcosttbl2,ROUNDUP($H68,0),BJ$2)-(INDEX(avoidedcosttbl2,ROUNDDOWN($H68,0),BJ$2)))))*'Inputs Yr 2'!P68*'Inputs Yr 2'!Q68*'Inputs Yr 2'!U68,"")</f>
        <v>0</v>
      </c>
      <c r="BK68" s="195">
        <f>IFERROR($G68*(IF('Inputs Yr 2'!$AJ68=BK$4,'Inputs Yr 2'!$AK68,IF('Inputs Yr 2'!$AL68=BK$4,'Inputs Yr 2'!$AM68,IF('Inputs Yr 2'!$AN68=BK$4,'Inputs Yr 2'!$AO68,0))))*(INDEX(avoidedcosttbl2,$H68,BK$2)+(($H68-ROUNDDOWN($H68,0))*(INDEX(avoidedcosttbl2,ROUNDUP($H68,0),BK$2)-(INDEX(avoidedcosttbl2,ROUNDDOWN($H68,0),BK$2)))))*'Inputs Yr 2'!P68*'Inputs Yr 2'!Q68*'Inputs Yr 2'!U68,"")</f>
        <v>0</v>
      </c>
      <c r="BL68" s="195">
        <f>IFERROR($G68*(IF('Inputs Yr 2'!$AJ68=BL$4,'Inputs Yr 2'!$AK68,IF('Inputs Yr 2'!$AL68=BL$4,'Inputs Yr 2'!$AM68,IF('Inputs Yr 2'!$AN68=BL$4,'Inputs Yr 2'!$AO68,0))))*(INDEX(avoidedcosttbl2,$H68,BL$2)+(($H68-ROUNDDOWN($H68,0))*(INDEX(avoidedcosttbl2,ROUNDUP($H68,0),BL$2)-(INDEX(avoidedcosttbl2,ROUNDDOWN($H68,0),BL$2)))))*'Inputs Yr 2'!P68*'Inputs Yr 2'!Q68*'Inputs Yr 2'!U68,"")</f>
        <v>0</v>
      </c>
      <c r="BM68" s="195">
        <f>IFERROR($G68*(IF('Inputs Yr 2'!$AJ68=BM$4,'Inputs Yr 2'!$AK68,IF('Inputs Yr 2'!$AL68=BM$4,'Inputs Yr 2'!$AM68,IF('Inputs Yr 2'!$AN68=BM$4,'Inputs Yr 2'!$AO68,0))))*(INDEX(avoidedcosttbl2,$H68,BM$2)+(($H68-ROUNDDOWN($H68,0))*(INDEX(avoidedcosttbl2,ROUNDUP($H68,0),BM$2)-(INDEX(avoidedcosttbl2,ROUNDDOWN($H68,0),BM$2)))))*'Inputs Yr 2'!P68*'Inputs Yr 2'!Q68*'Inputs Yr 2'!U68,"")</f>
        <v>253.59037248596871</v>
      </c>
      <c r="BN68" s="195">
        <f>IFERROR($G68*(IF('Inputs Yr 2'!$AJ68=BN$4,'Inputs Yr 2'!$AK68,IF('Inputs Yr 2'!$AL68=BN$4,'Inputs Yr 2'!$AM68,IF('Inputs Yr 2'!$AN68=BN$4,'Inputs Yr 2'!$AO68,0))))*(INDEX(avoidedcosttbl2,$H68,BN$2)+(($H68-ROUNDDOWN($H68,0))*(INDEX(avoidedcosttbl2,ROUNDUP($H68,0),BN$2)-(INDEX(avoidedcosttbl2,ROUNDDOWN($H68,0),BN$2)))))*'Inputs Yr 2'!P68*'Inputs Yr 2'!Q68*'Inputs Yr 2'!U68,"")</f>
        <v>0</v>
      </c>
      <c r="BO68" s="195">
        <f>IFERROR($G68*(IF('Inputs Yr 2'!$AJ68=BO$4,'Inputs Yr 2'!$AK68,IF('Inputs Yr 2'!$AL68=BO$4,'Inputs Yr 2'!$AM68,IF('Inputs Yr 2'!$AN68=BO$4,'Inputs Yr 2'!$AO68,0))))*(INDEX(avoidedcosttbl2,$H68,BO$2)+(($H68-ROUNDDOWN($H68,0))*(INDEX(avoidedcosttbl2,ROUNDUP($H68,0),BO$2)-(INDEX(avoidedcosttbl2,ROUNDDOWN($H68,0),BO$2)))))*'Inputs Yr 2'!P68*'Inputs Yr 2'!Q68*'Inputs Yr 2'!U68,"")</f>
        <v>0</v>
      </c>
      <c r="BP68" s="195">
        <f>IFERROR($G68*(IF('Inputs Yr 2'!$AJ68=BP$4,'Inputs Yr 2'!$AK68,IF('Inputs Yr 2'!$AL68=BP$4,'Inputs Yr 2'!$AM68,IF('Inputs Yr 2'!$AN68=BP$4,'Inputs Yr 2'!$AO68,0))))*(INDEX(avoidedcosttbl2,$H68,BP$2)+(($H68-ROUNDDOWN($H68,0))*(INDEX(avoidedcosttbl2,ROUNDUP($H68,0),BP$2)-(INDEX(avoidedcosttbl2,ROUNDDOWN($H68,0),BP$2)))))*'Inputs Yr 2'!P68*'Inputs Yr 2'!Q68*'Inputs Yr 2'!U68,"")</f>
        <v>0</v>
      </c>
      <c r="BQ68" s="230">
        <f t="shared" si="38"/>
        <v>253.59037248596871</v>
      </c>
      <c r="BR68" s="197">
        <f t="shared" si="17"/>
        <v>5.2388578473534766</v>
      </c>
      <c r="BS68" s="197">
        <f>IFERROR(($G68*IF('Inputs Yr 2'!$AJ68=BM$4,'Inputs Yr 2'!$AK68,IF('Inputs Yr 2'!$AL68=BM$4,'Inputs Yr 2'!$AM68,IF('Inputs Yr 2'!$AN68=BM$4,'Inputs Yr 2'!$AO68,0))))*(INDEX(avoidedcosttbl2,$H68,BS$2)+(($H68-ROUNDDOWN($H68,0))*(INDEX(avoidedcosttbl2,ROUNDUP($H68,0),BS$2)-(INDEX(avoidedcosttbl2,ROUNDDOWN($H68,0),BS$2)))))*'Inputs Yr 2'!P68*'Inputs Yr 2'!Q68*'Inputs Yr 2'!U68,"")</f>
        <v>29.587927810527209</v>
      </c>
      <c r="BT68" s="197">
        <f>IFERROR(($G68*IF('Inputs Yr 2'!$AJ68=BK$4,'Inputs Yr 2'!$AK68,IF('Inputs Yr 2'!$AL68=BK$4,'Inputs Yr 2'!$AM68,IF('Inputs Yr 2'!$AN68=BK$4,'Inputs Yr 2'!$AO68,0))))*(INDEX(avoidedcosttbl2,$H68,BT$2)+(($H68-ROUNDDOWN($H68,0))*(INDEX(avoidedcosttbl2,ROUNDUP($H68,0),BT$2)-(INDEX(avoidedcosttbl2,ROUNDDOWN($H68,0),BT$2)))))*'Inputs Yr 2'!P68*'Inputs Yr 2'!Q68*'Inputs Yr 2'!U68,"")</f>
        <v>0</v>
      </c>
      <c r="BU68" s="197">
        <f>IFERROR(($G68*IF('Inputs Yr 2'!$AJ68=BL$4,'Inputs Yr 2'!$AK68,IF('Inputs Yr 2'!$AL68=BL$4,'Inputs Yr 2'!$AM68,IF('Inputs Yr 2'!$AN68=BL$4,'Inputs Yr 2'!$AO68,0))))*(INDEX(avoidedcosttbl2,$H68,BU$2)+(($H68-ROUNDDOWN($H68,0))*(INDEX(avoidedcosttbl2,ROUNDUP($H68,0),BU$2)-(INDEX(avoidedcosttbl2,ROUNDDOWN($H68,0),BU$2)))))*'Inputs Yr 2'!P68*'Inputs Yr 2'!Q68*'Inputs Yr 2'!U68,"")</f>
        <v>0</v>
      </c>
      <c r="BV68" s="775">
        <f>IFERROR(($G68*IF('Inputs Yr 2'!$AJ68=BJ$4,'Inputs Yr 2'!$AK68,IF('Inputs Yr 2'!$AL68=BJ$4,'Inputs Yr 2'!$AM68,IF('Inputs Yr 2'!$AN68=BJ$4,'Inputs Yr 2'!$AO68,0))))*(INDEX(avoidedcosttbl2,$H68,BV$2)+(($H68-ROUNDDOWN($H68,0))*(INDEX(avoidedcosttbl2,ROUNDUP($H68,0),BV$2)-(INDEX(avoidedcosttbl2,ROUNDDOWN($H68,0),BV$2)))))*'Inputs Yr 2'!P68*'Inputs Yr 2'!Q68*'Inputs Yr 2'!U68,"")</f>
        <v>0</v>
      </c>
      <c r="BW68" s="197">
        <f>IFERROR(($G68*IF('Inputs Yr 2'!$AJ68=BN$4,'Inputs Yr 2'!$AK68,IF('Inputs Yr 2'!$AL68=BN$4,'Inputs Yr 2'!$AM68,IF('Inputs Yr 2'!$AN68=BN$4,'Inputs Yr 2'!$AO68,0))))*(INDEX(avoidedcosttbl2,$H68,BW$2)+(($H68-ROUNDDOWN($H68,0))*(INDEX(avoidedcosttbl2,ROUNDUP($H68,0),BW$2)-(INDEX(avoidedcosttbl2,ROUNDDOWN($H68,0),BW$2)))))*'Inputs Yr 2'!P68*'Inputs Yr 2'!Q68*'Inputs Yr 2'!U68,"")</f>
        <v>0</v>
      </c>
      <c r="BX68" s="197">
        <f>IFERROR(($G68*IF('Inputs Yr 2'!$AJ68=BO$4,'Inputs Yr 2'!$AK68,IF('Inputs Yr 2'!$AL68=BO$4,'Inputs Yr 2'!$AM68,IF('Inputs Yr 2'!$AN68=BO$4,'Inputs Yr 2'!$AO68,0))))*(INDEX(avoidedcosttbl2,$H68,BX$2)+(($H68-ROUNDDOWN($H68,0))*(INDEX(avoidedcosttbl2,ROUNDUP($H68,0),BX$2)-(INDEX(avoidedcosttbl2,ROUNDDOWN($H68,0),BX$2)))))*'Inputs Yr 2'!P68*'Inputs Yr 2'!Q68*'Inputs Yr 2'!U68,"")</f>
        <v>0</v>
      </c>
      <c r="BY68" s="197">
        <f>IFERROR(($G68*IF('Inputs Yr 2'!$AJ68=BP$4,'Inputs Yr 2'!$AK68,IF('Inputs Yr 2'!$AL68=BP$4,'Inputs Yr 2'!$AM68,IF('Inputs Yr 2'!$AN68=BP$4,'Inputs Yr 2'!$AO68,0))))*(INDEX(avoidedcosttbl2,$H68,BY$2)+(($H68-ROUNDDOWN($H68,0))*(INDEX(avoidedcosttbl2,ROUNDUP($H68,0),BY$2)-(INDEX(avoidedcosttbl2,ROUNDDOWN($H68,0),BY$2)))))*'Inputs Yr 2'!P68*'Inputs Yr 2'!Q68*'Inputs Yr 2'!U68,"")</f>
        <v>0</v>
      </c>
      <c r="BZ68" s="193">
        <f t="shared" si="39"/>
        <v>34.826785657880684</v>
      </c>
      <c r="CA68" s="193">
        <f t="shared" si="40"/>
        <v>288.41715814384941</v>
      </c>
      <c r="CB68" s="195">
        <f>IFERROR(G68*(IF('Inputs Yr 2'!$AJ68=CB$4,'Inputs Yr 2'!$AK68,IF('Inputs Yr 2'!$AL68=CB$4,'Inputs Yr 2'!$AM68,IF('Inputs Yr 2'!$AN68=CB$4,'Inputs Yr 2'!$AO68,0))))*(INDEX(avoidedcosttbl2,$H68,CB$2)+(($H68-ROUNDDOWN($H68,0))*(INDEX(avoidedcosttbl2,ROUNDUP($H68,0),CB$2)-(INDEX(avoidedcosttbl2,ROUNDDOWN($H68,0),CB$2)))))*'Inputs Yr 2'!P68*'Inputs Yr 2'!Q68*'Inputs Yr 2'!U68,"")</f>
        <v>0</v>
      </c>
      <c r="CC68" s="195">
        <f>IFERROR(H68*(IF('Inputs Yr 2'!$AJ68=CC$4,'Inputs Yr 2'!$AK68,IF('Inputs Yr 2'!$AL68=CC$4,'Inputs Yr 2'!$AM68,IF('Inputs Yr 2'!$AN68=CC$4,'Inputs Yr 2'!$AO68,0))))*(INDEX(avoidedcosttbl2,$H68,CC$2)+(($H68-ROUNDDOWN($H68,0))*(INDEX(avoidedcosttbl2,ROUNDUP($H68,0),CC$2)-(INDEX(avoidedcosttbl2,ROUNDDOWN($H68,0),CC$2)))))*'Inputs Yr 2'!Q68*'Inputs Yr 2'!R68*'Inputs Yr 2'!V68,"")</f>
        <v>0</v>
      </c>
      <c r="CD68" s="195">
        <f>IFERROR(I68*(IF('Inputs Yr 2'!$AJ68=CD$4,'Inputs Yr 2'!$AK68,IF('Inputs Yr 2'!$AL68=CD$4,'Inputs Yr 2'!$AM68,IF('Inputs Yr 2'!$AN68=CD$4,'Inputs Yr 2'!$AO68,0))))*(INDEX(avoidedcosttbl2,$H68,CD$2)+(($H68-ROUNDDOWN($H68,0))*(INDEX(avoidedcosttbl2,ROUNDUP($H68,0),CD$2)-(INDEX(avoidedcosttbl2,ROUNDDOWN($H68,0),CD$2)))))*'Inputs Yr 2'!R68*'Inputs Yr 2'!S68*'Inputs Yr 2'!W68,"")</f>
        <v>0</v>
      </c>
      <c r="CE68" s="213">
        <f t="shared" si="41"/>
        <v>0</v>
      </c>
      <c r="CF68" s="213">
        <f t="shared" si="42"/>
        <v>0</v>
      </c>
      <c r="CG68" s="213">
        <f t="shared" si="43"/>
        <v>0</v>
      </c>
      <c r="CH68" s="698">
        <f t="shared" si="44"/>
        <v>288.41715814384941</v>
      </c>
      <c r="CI68" s="79">
        <f>IFERROR(($G68*'Inputs Yr 2'!$P68*'Inputs Yr 2'!$Q68*(((INDEX(avoidedcosttbl2,$H68,CI$2)+(($H68-ROUNDDOWN($H68,0))*(INDEX(avoidedcosttbl2,ROUNDUP($H68,0),CI$2)-INDEX(avoidedcosttbl2,ROUNDDOWN($H68,0),CI$2))))*'Inputs Yr 2'!AS68))),"")</f>
        <v>0</v>
      </c>
      <c r="CJ68" s="504">
        <f>IFERROR($G68*'Inputs Yr 2'!AT68*'Inputs Yr 2'!$P68*'Inputs Yr 2'!$Q68/((1+realdiscrt1)^-0.5),"")</f>
        <v>0</v>
      </c>
      <c r="CK68" s="79">
        <f>IFERROR((O68*1000*(((INDEX(avoidedcosttbl2,$H68,CK$2)+(($H68-ROUNDDOWN($H68,0))*(INDEX(avoidedcosttbl2,ROUNDUP($H68,0),CK$2)-INDEX(avoidedcosttbl2,ROUNDDOWN($H68,0),CK$2))))*'Inputs Yr 2'!AU68))),"")</f>
        <v>0</v>
      </c>
      <c r="CL68" s="504">
        <f>IFERROR(O68*1000*'Inputs Yr 2'!AV68/((1+realdiscrt1)^-0.5),"")</f>
        <v>0</v>
      </c>
      <c r="CM68" s="79">
        <f>IFERROR((AB68*'Inputs Yr 2'!AW68*(((INDEX(avoidedcosttbl2,$H68,CM$2)+(($H68-ROUNDDOWN($H68,0))*(INDEX(avoidedcosttbl2,ROUNDUP($H68,0),CM$2)-INDEX(avoidedcosttbl2,ROUNDDOWN($H68,0),CM$2)))))))*10,"")</f>
        <v>0</v>
      </c>
      <c r="CN68" s="504">
        <f>IFERROR(10*AB68*'Inputs Yr 2'!AX68/((1+realdiscrt1)^-0.5),"")</f>
        <v>0</v>
      </c>
      <c r="CO68" s="505">
        <f t="shared" si="45"/>
        <v>0</v>
      </c>
      <c r="CP68" s="230">
        <f t="shared" si="46"/>
        <v>288.41715814384941</v>
      </c>
      <c r="CQ68" s="199">
        <f>ROUND(IFERROR(IF(LEFT($A68,1)="C",'Avoided Costs'!$K$13,'Avoided Costs'!$K$12)+1,""),4)</f>
        <v>1.0720000000000001</v>
      </c>
      <c r="CR68" s="199">
        <f>ROUND(IFERROR(IF(LEFT($A68,1)="C",'Avoided Costs'!$L$13,'Avoided Costs'!$L$12)+1,""),4)</f>
        <v>1.04</v>
      </c>
      <c r="CS68" s="199">
        <f>ROUND(IFERROR(IF(LEFT($A68,1)="C",'Avoided Costs'!$M$13,'Avoided Costs'!$M$12)+1,""),4)</f>
        <v>1.0720000000000001</v>
      </c>
      <c r="CT68" s="199">
        <f>ROUND(IFERROR(IF(LEFT($A68,1)="C",'Avoided Costs'!$N$13,'Avoided Costs'!$N$12)+1,""),4)</f>
        <v>1.04</v>
      </c>
      <c r="CU68" s="199">
        <f>ROUND(IFERROR(IF(LEFT($A68,1)="C",'Avoided Costs'!$O$13,'Avoided Costs'!$O$12)+1,""),4)</f>
        <v>1.1120000000000001</v>
      </c>
      <c r="CV68" s="199">
        <f>ROUND(IFERROR(IF(LEFT($A68,1)="C",'Avoided Costs'!$P$13,'Avoided Costs'!$P$12)+1,""),4)</f>
        <v>1.095</v>
      </c>
      <c r="CW68" s="199">
        <f>ROUND(IFERROR(IF(LEFT($A68,1)="C",'Avoided Costs'!$Q$13,'Avoided Costs'!$Q$12)+1,""),4)</f>
        <v>1.1120000000000001</v>
      </c>
      <c r="CX68" s="200">
        <f>ROUND(IFERROR(IF(LEFT($A68,1)="C",'Avoided Costs'!$R$13,'Avoided Costs'!$R$12)+1,""),4)</f>
        <v>1.1120000000000001</v>
      </c>
    </row>
    <row r="69" spans="1:102" ht="12.75" customHeight="1">
      <c r="A69" s="91" t="str">
        <f>IF('Inputs Yr 2'!$B69=0,"",'Inputs Yr 2'!A69)</f>
        <v>A - Residential</v>
      </c>
      <c r="B69" s="91" t="str">
        <f>IF('Inputs Yr 2'!$B69=0,"",'Inputs Yr 2'!B69)</f>
        <v>A1 - Residential Whole House</v>
      </c>
      <c r="C69" s="91" t="str">
        <f>IF('Inputs Yr 2'!$B69=0,"",'Inputs Yr 2'!C69)</f>
        <v>A1c - Residential Home Energy Services - Measures</v>
      </c>
      <c r="D69" s="91" t="str">
        <f>IF('Inputs Yr 2'!$B69=0,"",'Inputs Yr 2'!E69)</f>
        <v>Early Retirement Clothes Washer, Elec DHW &amp; Gas Dryer (Retire)</v>
      </c>
      <c r="E69" s="93" t="str">
        <f>IF('Inputs Yr 2'!$B69=0,"",'Inputs Yr 2'!F69)</f>
        <v>G16A1c33</v>
      </c>
      <c r="F69" s="93" t="str">
        <f>IF('Inputs Yr 2'!$B69=0,"",'Inputs Yr 2'!G69)</f>
        <v>Hot Water</v>
      </c>
      <c r="G69" s="95">
        <f>IF('Inputs Yr 2'!$H69&lt;&gt;0,('Inputs Yr 2'!H69),"")</f>
        <v>10</v>
      </c>
      <c r="H69" s="94">
        <f>IFERROR('Inputs Yr 2'!I69,"")</f>
        <v>4</v>
      </c>
      <c r="I69" s="298">
        <f>IFERROR('Inputs Yr 2'!J69*'Inputs Yr 2'!P69*G69,"")</f>
        <v>0</v>
      </c>
      <c r="J69" s="298">
        <f>IFERROR('Inputs Yr 2'!K69*G69,"")</f>
        <v>0</v>
      </c>
      <c r="K69" s="298">
        <f t="shared" si="23"/>
        <v>0</v>
      </c>
      <c r="L69" s="194">
        <f>IFERROR(('Inputs Yr 2'!W69*G69)/1000,"")</f>
        <v>0</v>
      </c>
      <c r="M69" s="194">
        <f>IFERROR(L69*('Inputs Yr 2'!$Q69*'Inputs Yr 2'!$V69*'Inputs Yr 2'!$R69),"")</f>
        <v>0</v>
      </c>
      <c r="N69" s="194">
        <f t="shared" si="24"/>
        <v>0</v>
      </c>
      <c r="O69" s="194">
        <f>IFERROR(M69*'Inputs Yr 2'!P69,"")</f>
        <v>0</v>
      </c>
      <c r="P69" s="194">
        <f t="shared" si="25"/>
        <v>0</v>
      </c>
      <c r="Q69" s="194">
        <f>IFERROR($P69*'Inputs Yr 2'!AA69,"")</f>
        <v>0</v>
      </c>
      <c r="R69" s="194">
        <f>IFERROR($P69*'Inputs Yr 2'!AB69,"")</f>
        <v>0</v>
      </c>
      <c r="S69" s="194">
        <f>IFERROR($P69*'Inputs Yr 2'!AC69,"")</f>
        <v>0</v>
      </c>
      <c r="T69" s="194">
        <f>IFERROR($P69*'Inputs Yr 2'!AD69,"")</f>
        <v>0</v>
      </c>
      <c r="U69" s="194">
        <f>IFERROR(G69*'Inputs Yr 2'!$AE69*'Inputs Yr 2'!$P69*'Inputs Yr 2'!$Q69,"")</f>
        <v>0</v>
      </c>
      <c r="V69" s="194">
        <f>IFERROR($G69*'Inputs Yr 2'!$AE69*'Inputs Yr 2'!$AG69*'Inputs Yr 2'!Q69*'Inputs Yr 2'!$S69,"")</f>
        <v>0</v>
      </c>
      <c r="W69" s="194">
        <f>IFERROR($G69*'Inputs Yr 2'!$AE69*'Inputs Yr 2'!$AG69*'Inputs Yr 2'!P69*'Inputs Yr 2'!Q69*'Inputs Yr 2'!$S69,"")</f>
        <v>0</v>
      </c>
      <c r="X69" s="194">
        <f>IFERROR($G69*'Inputs Yr 2'!$AE69*'Inputs Yr 2'!$AF69*'Inputs Yr 2'!Q69*'Inputs Yr 2'!$T69,"")</f>
        <v>0</v>
      </c>
      <c r="Y69" s="194">
        <f>IFERROR($G69*'Inputs Yr 2'!$AE69*'Inputs Yr 2'!$AF69*'Inputs Yr 2'!P69*'Inputs Yr 2'!Q69*'Inputs Yr 2'!$T69,"")</f>
        <v>0</v>
      </c>
      <c r="Z69" s="257">
        <f>IFERROR($G69*'Inputs Yr 2'!$Q69*'Inputs Yr 2'!$U69*(IF(IFERROR(SEARCH("NG", 'Inputs Yr 2'!$AJ69),0),'Inputs Yr 2'!$AK69,0)+IF(IFERROR(SEARCH("NG", 'Inputs Yr 2'!$AL69),0),'Inputs Yr 2'!$AM69,0)+IF(IFERROR(SEARCH("NG", 'Inputs Yr 2'!$AN69),0),'Inputs Yr 2'!$AO69,0)),0)</f>
        <v>6.3</v>
      </c>
      <c r="AA69" s="257">
        <f t="shared" si="26"/>
        <v>25.2</v>
      </c>
      <c r="AB69" s="257">
        <f>IFERROR(Z69*'Inputs Yr 2'!$P69,0)</f>
        <v>6.3</v>
      </c>
      <c r="AC69" s="257">
        <f t="shared" si="27"/>
        <v>25.2</v>
      </c>
      <c r="AD69" s="257">
        <f>IFERROR($G69*'Inputs Yr 2'!$Q69*'Inputs Yr 2'!$U69*(IF(IFERROR(SEARCH("Oil", 'Inputs Yr 2'!$AJ69), 0),'Inputs Yr 2'!$AK69,0)+IF(IFERROR(SEARCH("Oil", 'Inputs Yr 2'!$AL69), 0),'Inputs Yr 2'!$AM69,0)+IF(IFERROR(SEARCH("Oil", 'Inputs Yr 2'!$AN69), 0),'Inputs Yr 2'!$AO69,0)),0)</f>
        <v>0</v>
      </c>
      <c r="AE69" s="257">
        <f t="shared" si="28"/>
        <v>0</v>
      </c>
      <c r="AF69" s="257">
        <f>IFERROR(AD69*'Inputs Yr 2'!$P69,0)</f>
        <v>0</v>
      </c>
      <c r="AG69" s="257">
        <f t="shared" si="29"/>
        <v>0</v>
      </c>
      <c r="AH69" s="257">
        <f>IFERROR($G69*'Inputs Yr 2'!$Q69*'Inputs Yr 2'!$U69*(IF('Inputs Yr 2'!$AJ69=CD$4,'Inputs Yr 2'!$AK69,IF('Inputs Yr 2'!$AL69=CD$4,'Inputs Yr 2'!$AM69,IF('Inputs Yr 2'!$AN69=CD$4,'Inputs Yr 2'!$AO69,0)))),0)</f>
        <v>0</v>
      </c>
      <c r="AI69" s="257">
        <f t="shared" si="30"/>
        <v>0</v>
      </c>
      <c r="AJ69" s="257">
        <f>IFERROR(AH69*'Inputs Yr 2'!$P69,0)</f>
        <v>0</v>
      </c>
      <c r="AK69" s="257">
        <f t="shared" si="31"/>
        <v>0</v>
      </c>
      <c r="AL69" s="258">
        <f>IFERROR($G69*'Inputs Yr 2'!$P69*'Inputs Yr 2'!$Q69*'Inputs Yr 2'!AP69,0)</f>
        <v>0</v>
      </c>
      <c r="AM69" s="260">
        <f>IFERROR($G69*'Inputs Yr 2'!$P69*'Inputs Yr 2'!$Q69*'Inputs Yr 2'!AQ69,0)</f>
        <v>0</v>
      </c>
      <c r="AN69" s="258">
        <f>IFERROR($G69*'Inputs Yr 2'!$P69*'Inputs Yr 2'!$Q69*'Inputs Yr 2'!AR69,0)</f>
        <v>0</v>
      </c>
      <c r="AO69" s="257">
        <f t="shared" si="32"/>
        <v>0</v>
      </c>
      <c r="AP69" s="195">
        <f>IFERROR($CQ69*(INDEX(avoidedcosttbl2,$H69,AP$2)+(($H69-ROUNDDOWN($H69,0))*(INDEX(avoidedcosttbl2,ROUNDUP($H69,0),AP$2)-(INDEX(avoidedcosttbl2,ROUNDDOWN($H69,0),AP$2)))))*$O69*1000*'Inputs Yr 2'!AA69,"")</f>
        <v>0</v>
      </c>
      <c r="AQ69" s="195">
        <f>IFERROR($CR69*(INDEX(avoidedcosttbl2,$H69,AQ$2)+(($H69-ROUNDDOWN($H69,0))*(INDEX(avoidedcosttbl2,ROUNDUP($H69,0),AQ$2)-(INDEX(avoidedcosttbl2,ROUNDDOWN($H69,0),AQ$2)))))*$O69*1000*'Inputs Yr 2'!AB69,"")</f>
        <v>0</v>
      </c>
      <c r="AR69" s="195">
        <f>IFERROR($CS69*(INDEX(avoidedcosttbl2,$H69,AR$2)+(($H69-ROUNDDOWN($H69,0))*(INDEX(avoidedcosttbl2,ROUNDUP($H69,0),AR$2)-(INDEX(avoidedcosttbl2,ROUNDDOWN($H69,0),AR$2)))))*$O69*1000*'Inputs Yr 2'!AC69,"")</f>
        <v>0</v>
      </c>
      <c r="AS69" s="195">
        <f>IFERROR($CT69*(INDEX(avoidedcosttbl2,$H69,AS$2)+(($H69-ROUNDDOWN($H69,0))*(INDEX(avoidedcosttbl2,ROUNDUP($H69,0),AS$2)-(INDEX(avoidedcosttbl2,ROUNDDOWN($H69,0),AS$2)))))*$O69*1000*'Inputs Yr 2'!AD69,"")</f>
        <v>0</v>
      </c>
      <c r="AT69" s="196">
        <f t="shared" si="33"/>
        <v>0</v>
      </c>
      <c r="AU69" s="197">
        <f>IFERROR($CQ69*((INDEX(avoidedcosttbl2,$H69,AU$2))+(($H69-ROUNDDOWN($H69,0))*((INDEX(avoidedcosttbl2,ROUNDUP($H69,0),AU$2))-(INDEX(avoidedcosttbl2,ROUNDDOWN($H69,0),AU$2)))))*$O69*1000*'Inputs Yr 2'!AA69,"")</f>
        <v>0</v>
      </c>
      <c r="AV69" s="197">
        <f>IFERROR($CR69*((INDEX(avoidedcosttbl2,$H69,AV$2))+(($H69-ROUNDDOWN($H69,0))*((INDEX(avoidedcosttbl2,ROUNDUP($H69,0),AV$2))-(INDEX(avoidedcosttbl2,ROUNDDOWN($H69,0),AV$2)))))*$O69*1000*'Inputs Yr 2'!AB69,"")</f>
        <v>0</v>
      </c>
      <c r="AW69" s="197">
        <f>IFERROR($CS69*((INDEX(avoidedcosttbl2,$H69,AW$2))+(($H69-ROUNDDOWN($H69,0))*((INDEX(avoidedcosttbl2,ROUNDUP($H69,0),AW$2))-(INDEX(avoidedcosttbl2,ROUNDDOWN($H69,0),AW$2)))))*$O69*1000*'Inputs Yr 2'!AC69,"")</f>
        <v>0</v>
      </c>
      <c r="AX69" s="197">
        <f>IFERROR($CT69*((INDEX(avoidedcosttbl2,$H69,AX$2))+(($H69-ROUNDDOWN($H69,0))*((INDEX(avoidedcosttbl2,ROUNDUP($H69,0),AX$2))-(INDEX(avoidedcosttbl2,ROUNDDOWN($H69,0),AX$2)))))*$O69*1000*'Inputs Yr 2'!AD69,"")</f>
        <v>0</v>
      </c>
      <c r="AY69" s="197">
        <f>IFERROR(((INDEX(avoidedcosttbl2,$H69,AY$2))+(($H69-ROUNDDOWN($H69,0))*((INDEX(avoidedcosttbl2,ROUNDUP($H69,0),AY$2))-(INDEX(avoidedcosttbl2,ROUNDDOWN($H69,0),AY$2)))))*$O69*1000*('Inputs Yr 2'!AC69+'Inputs Yr 2'!AD69),"")</f>
        <v>0</v>
      </c>
      <c r="AZ69" s="197">
        <f>IFERROR(((INDEX(avoidedcosttbl2,$H69,AZ$2))+(($H69-ROUNDDOWN($H69,0))*((INDEX(avoidedcosttbl2,ROUNDUP($H69,0),AZ$2))-(INDEX(avoidedcosttbl2,ROUNDDOWN($H69,0),AZ$2)))))*$O69*1000*('Inputs Yr 2'!AA69+'Inputs Yr 2'!AB69),"")</f>
        <v>0</v>
      </c>
      <c r="BA69" s="198">
        <f t="shared" si="34"/>
        <v>0</v>
      </c>
      <c r="BB69" s="198">
        <f t="shared" si="35"/>
        <v>0</v>
      </c>
      <c r="BC69" s="195">
        <f t="shared" ref="BC69:BC132" si="47">IFERROR($CU69*(INDEX(avoidedcosttbl2,$H69,BC$2)+(($H69-ROUNDDOWN($H69,0))*(INDEX(avoidedcosttbl2,ROUNDUP($H69,0),BC$2)-(INDEX(avoidedcosttbl2,ROUNDDOWN($H69,0),BC$2)))))*$Y69,"")</f>
        <v>0</v>
      </c>
      <c r="BD69" s="195">
        <f t="shared" ref="BD69:BD132" si="48">IFERROR($CV69*(INDEX(avoidedcosttbl2,$H69,BD$2)+(($H69-ROUNDDOWN($H69,0))*(INDEX(avoidedcosttbl2,ROUNDUP($H69,0),BD$2)-(INDEX(avoidedcosttbl2,ROUNDDOWN($H69,0),BD$2)))))*$W69,"")</f>
        <v>0</v>
      </c>
      <c r="BE69" s="195">
        <f t="shared" ref="BE69:BE132" si="49">IFERROR($CU69*(INDEX(avoidedcosttbl2,$H69,BE$2)+(($H69-ROUNDDOWN($H69,0))*(INDEX(avoidedcosttbl2,ROUNDUP($H69,0),BE$2)-(INDEX(avoidedcosttbl2,ROUNDDOWN($H69,0),BE$2)))))*$Y69,"")</f>
        <v>0</v>
      </c>
      <c r="BF69" s="195">
        <f t="shared" ref="BF69:BF132" si="50">IFERROR($CW69*(INDEX(avoidedcosttbl2,$H69,BF$2)+(($H69-ROUNDDOWN($H69,0))*(INDEX(avoidedcosttbl2,ROUNDUP($H69,0),BF$2)-(INDEX(avoidedcosttbl2,ROUNDDOWN($H69,0),BF$2)))))*$Y69,"")</f>
        <v>0</v>
      </c>
      <c r="BG69" s="195">
        <f t="shared" ref="BG69:BG132" si="51">IFERROR($CX69*(INDEX(avoidedcosttbl2,$H69,BG$2)+(($H69-ROUNDDOWN($H69,0))*(INDEX(avoidedcosttbl2,ROUNDUP($H69,0),BG$2)-(INDEX(avoidedcosttbl2,ROUNDDOWN($H69,0),BG$2)))))*$Y69,"")</f>
        <v>0</v>
      </c>
      <c r="BH69" s="196">
        <f t="shared" si="36"/>
        <v>0</v>
      </c>
      <c r="BI69" s="196">
        <f t="shared" si="37"/>
        <v>0</v>
      </c>
      <c r="BJ69" s="195">
        <f>IFERROR($G69*(IF('Inputs Yr 2'!$AJ69=BJ$4,'Inputs Yr 2'!$AK69,IF('Inputs Yr 2'!$AL69=BJ$4,'Inputs Yr 2'!$AM69,IF('Inputs Yr 2'!$AN69=BJ$4,'Inputs Yr 2'!$AO69,0))))*(INDEX(avoidedcosttbl2,$H69,BJ$2)+(($H69-ROUNDDOWN($H69,0))*(INDEX(avoidedcosttbl2,ROUNDUP($H69,0),BJ$2)-(INDEX(avoidedcosttbl2,ROUNDDOWN($H69,0),BJ$2)))))*'Inputs Yr 2'!P69*'Inputs Yr 2'!Q69*'Inputs Yr 2'!U69,"")</f>
        <v>0</v>
      </c>
      <c r="BK69" s="195">
        <f>IFERROR($G69*(IF('Inputs Yr 2'!$AJ69=BK$4,'Inputs Yr 2'!$AK69,IF('Inputs Yr 2'!$AL69=BK$4,'Inputs Yr 2'!$AM69,IF('Inputs Yr 2'!$AN69=BK$4,'Inputs Yr 2'!$AO69,0))))*(INDEX(avoidedcosttbl2,$H69,BK$2)+(($H69-ROUNDDOWN($H69,0))*(INDEX(avoidedcosttbl2,ROUNDUP($H69,0),BK$2)-(INDEX(avoidedcosttbl2,ROUNDDOWN($H69,0),BK$2)))))*'Inputs Yr 2'!P69*'Inputs Yr 2'!Q69*'Inputs Yr 2'!U69,"")</f>
        <v>0</v>
      </c>
      <c r="BL69" s="195">
        <f>IFERROR($G69*(IF('Inputs Yr 2'!$AJ69=BL$4,'Inputs Yr 2'!$AK69,IF('Inputs Yr 2'!$AL69=BL$4,'Inputs Yr 2'!$AM69,IF('Inputs Yr 2'!$AN69=BL$4,'Inputs Yr 2'!$AO69,0))))*(INDEX(avoidedcosttbl2,$H69,BL$2)+(($H69-ROUNDDOWN($H69,0))*(INDEX(avoidedcosttbl2,ROUNDUP($H69,0),BL$2)-(INDEX(avoidedcosttbl2,ROUNDDOWN($H69,0),BL$2)))))*'Inputs Yr 2'!P69*'Inputs Yr 2'!Q69*'Inputs Yr 2'!U69,"")</f>
        <v>0</v>
      </c>
      <c r="BM69" s="195">
        <f>IFERROR($G69*(IF('Inputs Yr 2'!$AJ69=BM$4,'Inputs Yr 2'!$AK69,IF('Inputs Yr 2'!$AL69=BM$4,'Inputs Yr 2'!$AM69,IF('Inputs Yr 2'!$AN69=BM$4,'Inputs Yr 2'!$AO69,0))))*(INDEX(avoidedcosttbl2,$H69,BM$2)+(($H69-ROUNDDOWN($H69,0))*(INDEX(avoidedcosttbl2,ROUNDUP($H69,0),BM$2)-(INDEX(avoidedcosttbl2,ROUNDDOWN($H69,0),BM$2)))))*'Inputs Yr 2'!P69*'Inputs Yr 2'!Q69*'Inputs Yr 2'!U69,"")</f>
        <v>159.855243297035</v>
      </c>
      <c r="BN69" s="195">
        <f>IFERROR($G69*(IF('Inputs Yr 2'!$AJ69=BN$4,'Inputs Yr 2'!$AK69,IF('Inputs Yr 2'!$AL69=BN$4,'Inputs Yr 2'!$AM69,IF('Inputs Yr 2'!$AN69=BN$4,'Inputs Yr 2'!$AO69,0))))*(INDEX(avoidedcosttbl2,$H69,BN$2)+(($H69-ROUNDDOWN($H69,0))*(INDEX(avoidedcosttbl2,ROUNDUP($H69,0),BN$2)-(INDEX(avoidedcosttbl2,ROUNDDOWN($H69,0),BN$2)))))*'Inputs Yr 2'!P69*'Inputs Yr 2'!Q69*'Inputs Yr 2'!U69,"")</f>
        <v>0</v>
      </c>
      <c r="BO69" s="195">
        <f>IFERROR($G69*(IF('Inputs Yr 2'!$AJ69=BO$4,'Inputs Yr 2'!$AK69,IF('Inputs Yr 2'!$AL69=BO$4,'Inputs Yr 2'!$AM69,IF('Inputs Yr 2'!$AN69=BO$4,'Inputs Yr 2'!$AO69,0))))*(INDEX(avoidedcosttbl2,$H69,BO$2)+(($H69-ROUNDDOWN($H69,0))*(INDEX(avoidedcosttbl2,ROUNDUP($H69,0),BO$2)-(INDEX(avoidedcosttbl2,ROUNDDOWN($H69,0),BO$2)))))*'Inputs Yr 2'!P69*'Inputs Yr 2'!Q69*'Inputs Yr 2'!U69,"")</f>
        <v>0</v>
      </c>
      <c r="BP69" s="195">
        <f>IFERROR($G69*(IF('Inputs Yr 2'!$AJ69=BP$4,'Inputs Yr 2'!$AK69,IF('Inputs Yr 2'!$AL69=BP$4,'Inputs Yr 2'!$AM69,IF('Inputs Yr 2'!$AN69=BP$4,'Inputs Yr 2'!$AO69,0))))*(INDEX(avoidedcosttbl2,$H69,BP$2)+(($H69-ROUNDDOWN($H69,0))*(INDEX(avoidedcosttbl2,ROUNDUP($H69,0),BP$2)-(INDEX(avoidedcosttbl2,ROUNDDOWN($H69,0),BP$2)))))*'Inputs Yr 2'!P69*'Inputs Yr 2'!Q69*'Inputs Yr 2'!U69,"")</f>
        <v>0</v>
      </c>
      <c r="BQ69" s="230">
        <f t="shared" si="38"/>
        <v>159.855243297035</v>
      </c>
      <c r="BR69" s="197">
        <f t="shared" ref="BR69:BR132" si="52">IFERROR($AB69*((INDEX(avoidedcosttbl2,$H69,BR$2))+(($H69-ROUNDDOWN($H69,0))*((INDEX(avoidedcosttbl2,ROUNDUP($H69,0),BR$2))-(INDEX(avoidedcosttbl2,ROUNDDOWN($H69,0),BR$2))))),"")</f>
        <v>3.498550138186026</v>
      </c>
      <c r="BS69" s="197">
        <f>IFERROR(($G69*IF('Inputs Yr 2'!$AJ69=BM$4,'Inputs Yr 2'!$AK69,IF('Inputs Yr 2'!$AL69=BM$4,'Inputs Yr 2'!$AM69,IF('Inputs Yr 2'!$AN69=BM$4,'Inputs Yr 2'!$AO69,0))))*(INDEX(avoidedcosttbl2,$H69,BS$2)+(($H69-ROUNDDOWN($H69,0))*(INDEX(avoidedcosttbl2,ROUNDUP($H69,0),BS$2)-(INDEX(avoidedcosttbl2,ROUNDDOWN($H69,0),BS$2)))))*'Inputs Yr 2'!P69*'Inputs Yr 2'!Q69*'Inputs Yr 2'!U69,"")</f>
        <v>47.705387130807793</v>
      </c>
      <c r="BT69" s="197">
        <f>IFERROR(($G69*IF('Inputs Yr 2'!$AJ69=BK$4,'Inputs Yr 2'!$AK69,IF('Inputs Yr 2'!$AL69=BK$4,'Inputs Yr 2'!$AM69,IF('Inputs Yr 2'!$AN69=BK$4,'Inputs Yr 2'!$AO69,0))))*(INDEX(avoidedcosttbl2,$H69,BT$2)+(($H69-ROUNDDOWN($H69,0))*(INDEX(avoidedcosttbl2,ROUNDUP($H69,0),BT$2)-(INDEX(avoidedcosttbl2,ROUNDDOWN($H69,0),BT$2)))))*'Inputs Yr 2'!P69*'Inputs Yr 2'!Q69*'Inputs Yr 2'!U69,"")</f>
        <v>0</v>
      </c>
      <c r="BU69" s="197">
        <f>IFERROR(($G69*IF('Inputs Yr 2'!$AJ69=BL$4,'Inputs Yr 2'!$AK69,IF('Inputs Yr 2'!$AL69=BL$4,'Inputs Yr 2'!$AM69,IF('Inputs Yr 2'!$AN69=BL$4,'Inputs Yr 2'!$AO69,0))))*(INDEX(avoidedcosttbl2,$H69,BU$2)+(($H69-ROUNDDOWN($H69,0))*(INDEX(avoidedcosttbl2,ROUNDUP($H69,0),BU$2)-(INDEX(avoidedcosttbl2,ROUNDDOWN($H69,0),BU$2)))))*'Inputs Yr 2'!P69*'Inputs Yr 2'!Q69*'Inputs Yr 2'!U69,"")</f>
        <v>0</v>
      </c>
      <c r="BV69" s="775">
        <f>IFERROR(($G69*IF('Inputs Yr 2'!$AJ69=BJ$4,'Inputs Yr 2'!$AK69,IF('Inputs Yr 2'!$AL69=BJ$4,'Inputs Yr 2'!$AM69,IF('Inputs Yr 2'!$AN69=BJ$4,'Inputs Yr 2'!$AO69,0))))*(INDEX(avoidedcosttbl2,$H69,BV$2)+(($H69-ROUNDDOWN($H69,0))*(INDEX(avoidedcosttbl2,ROUNDUP($H69,0),BV$2)-(INDEX(avoidedcosttbl2,ROUNDDOWN($H69,0),BV$2)))))*'Inputs Yr 2'!P69*'Inputs Yr 2'!Q69*'Inputs Yr 2'!U69,"")</f>
        <v>0</v>
      </c>
      <c r="BW69" s="197">
        <f>IFERROR(($G69*IF('Inputs Yr 2'!$AJ69=BN$4,'Inputs Yr 2'!$AK69,IF('Inputs Yr 2'!$AL69=BN$4,'Inputs Yr 2'!$AM69,IF('Inputs Yr 2'!$AN69=BN$4,'Inputs Yr 2'!$AO69,0))))*(INDEX(avoidedcosttbl2,$H69,BW$2)+(($H69-ROUNDDOWN($H69,0))*(INDEX(avoidedcosttbl2,ROUNDUP($H69,0),BW$2)-(INDEX(avoidedcosttbl2,ROUNDDOWN($H69,0),BW$2)))))*'Inputs Yr 2'!P69*'Inputs Yr 2'!Q69*'Inputs Yr 2'!U69,"")</f>
        <v>0</v>
      </c>
      <c r="BX69" s="197">
        <f>IFERROR(($G69*IF('Inputs Yr 2'!$AJ69=BO$4,'Inputs Yr 2'!$AK69,IF('Inputs Yr 2'!$AL69=BO$4,'Inputs Yr 2'!$AM69,IF('Inputs Yr 2'!$AN69=BO$4,'Inputs Yr 2'!$AO69,0))))*(INDEX(avoidedcosttbl2,$H69,BX$2)+(($H69-ROUNDDOWN($H69,0))*(INDEX(avoidedcosttbl2,ROUNDUP($H69,0),BX$2)-(INDEX(avoidedcosttbl2,ROUNDDOWN($H69,0),BX$2)))))*'Inputs Yr 2'!P69*'Inputs Yr 2'!Q69*'Inputs Yr 2'!U69,"")</f>
        <v>0</v>
      </c>
      <c r="BY69" s="197">
        <f>IFERROR(($G69*IF('Inputs Yr 2'!$AJ69=BP$4,'Inputs Yr 2'!$AK69,IF('Inputs Yr 2'!$AL69=BP$4,'Inputs Yr 2'!$AM69,IF('Inputs Yr 2'!$AN69=BP$4,'Inputs Yr 2'!$AO69,0))))*(INDEX(avoidedcosttbl2,$H69,BY$2)+(($H69-ROUNDDOWN($H69,0))*(INDEX(avoidedcosttbl2,ROUNDUP($H69,0),BY$2)-(INDEX(avoidedcosttbl2,ROUNDDOWN($H69,0),BY$2)))))*'Inputs Yr 2'!P69*'Inputs Yr 2'!Q69*'Inputs Yr 2'!U69,"")</f>
        <v>0</v>
      </c>
      <c r="BZ69" s="193">
        <f t="shared" si="39"/>
        <v>51.203937268993819</v>
      </c>
      <c r="CA69" s="193">
        <f t="shared" si="40"/>
        <v>211.05918056602883</v>
      </c>
      <c r="CB69" s="195">
        <f>IFERROR(G69*(IF('Inputs Yr 2'!$AJ69=CB$4,'Inputs Yr 2'!$AK69,IF('Inputs Yr 2'!$AL69=CB$4,'Inputs Yr 2'!$AM69,IF('Inputs Yr 2'!$AN69=CB$4,'Inputs Yr 2'!$AO69,0))))*(INDEX(avoidedcosttbl2,$H69,CB$2)+(($H69-ROUNDDOWN($H69,0))*(INDEX(avoidedcosttbl2,ROUNDUP($H69,0),CB$2)-(INDEX(avoidedcosttbl2,ROUNDDOWN($H69,0),CB$2)))))*'Inputs Yr 2'!P69*'Inputs Yr 2'!Q69*'Inputs Yr 2'!U69,"")</f>
        <v>0</v>
      </c>
      <c r="CC69" s="195">
        <f>IFERROR(H69*(IF('Inputs Yr 2'!$AJ69=CC$4,'Inputs Yr 2'!$AK69,IF('Inputs Yr 2'!$AL69=CC$4,'Inputs Yr 2'!$AM69,IF('Inputs Yr 2'!$AN69=CC$4,'Inputs Yr 2'!$AO69,0))))*(INDEX(avoidedcosttbl2,$H69,CC$2)+(($H69-ROUNDDOWN($H69,0))*(INDEX(avoidedcosttbl2,ROUNDUP($H69,0),CC$2)-(INDEX(avoidedcosttbl2,ROUNDDOWN($H69,0),CC$2)))))*'Inputs Yr 2'!Q69*'Inputs Yr 2'!R69*'Inputs Yr 2'!V69,"")</f>
        <v>0</v>
      </c>
      <c r="CD69" s="195">
        <f>IFERROR(I69*(IF('Inputs Yr 2'!$AJ69=CD$4,'Inputs Yr 2'!$AK69,IF('Inputs Yr 2'!$AL69=CD$4,'Inputs Yr 2'!$AM69,IF('Inputs Yr 2'!$AN69=CD$4,'Inputs Yr 2'!$AO69,0))))*(INDEX(avoidedcosttbl2,$H69,CD$2)+(($H69-ROUNDDOWN($H69,0))*(INDEX(avoidedcosttbl2,ROUNDUP($H69,0),CD$2)-(INDEX(avoidedcosttbl2,ROUNDDOWN($H69,0),CD$2)))))*'Inputs Yr 2'!R69*'Inputs Yr 2'!S69*'Inputs Yr 2'!W69,"")</f>
        <v>0</v>
      </c>
      <c r="CE69" s="213">
        <f t="shared" si="41"/>
        <v>0</v>
      </c>
      <c r="CF69" s="213">
        <f t="shared" si="42"/>
        <v>0</v>
      </c>
      <c r="CG69" s="213">
        <f t="shared" si="43"/>
        <v>0</v>
      </c>
      <c r="CH69" s="698">
        <f t="shared" si="44"/>
        <v>211.05918056602883</v>
      </c>
      <c r="CI69" s="79">
        <f>IFERROR(($G69*'Inputs Yr 2'!$P69*'Inputs Yr 2'!$Q69*(((INDEX(avoidedcosttbl2,$H69,CI$2)+(($H69-ROUNDDOWN($H69,0))*(INDEX(avoidedcosttbl2,ROUNDUP($H69,0),CI$2)-INDEX(avoidedcosttbl2,ROUNDDOWN($H69,0),CI$2))))*'Inputs Yr 2'!AS69))),"")</f>
        <v>0</v>
      </c>
      <c r="CJ69" s="504">
        <f>IFERROR($G69*'Inputs Yr 2'!AT69*'Inputs Yr 2'!$P69*'Inputs Yr 2'!$Q69/((1+realdiscrt1)^-0.5),"")</f>
        <v>0</v>
      </c>
      <c r="CK69" s="79">
        <f>IFERROR((O69*1000*(((INDEX(avoidedcosttbl2,$H69,CK$2)+(($H69-ROUNDDOWN($H69,0))*(INDEX(avoidedcosttbl2,ROUNDUP($H69,0),CK$2)-INDEX(avoidedcosttbl2,ROUNDDOWN($H69,0),CK$2))))*'Inputs Yr 2'!AU69))),"")</f>
        <v>0</v>
      </c>
      <c r="CL69" s="504">
        <f>IFERROR(O69*1000*'Inputs Yr 2'!AV69/((1+realdiscrt1)^-0.5),"")</f>
        <v>0</v>
      </c>
      <c r="CM69" s="79">
        <f>IFERROR((AB69*'Inputs Yr 2'!AW69*(((INDEX(avoidedcosttbl2,$H69,CM$2)+(($H69-ROUNDDOWN($H69,0))*(INDEX(avoidedcosttbl2,ROUNDUP($H69,0),CM$2)-INDEX(avoidedcosttbl2,ROUNDDOWN($H69,0),CM$2)))))))*10,"")</f>
        <v>0</v>
      </c>
      <c r="CN69" s="504">
        <f>IFERROR(10*AB69*'Inputs Yr 2'!AX69/((1+realdiscrt1)^-0.5),"")</f>
        <v>0</v>
      </c>
      <c r="CO69" s="505">
        <f t="shared" si="45"/>
        <v>0</v>
      </c>
      <c r="CP69" s="230">
        <f t="shared" si="46"/>
        <v>211.05918056602883</v>
      </c>
      <c r="CQ69" s="199">
        <f>ROUND(IFERROR(IF(LEFT($A69,1)="C",'Avoided Costs'!$K$13,'Avoided Costs'!$K$12)+1,""),4)</f>
        <v>1.0720000000000001</v>
      </c>
      <c r="CR69" s="199">
        <f>ROUND(IFERROR(IF(LEFT($A69,1)="C",'Avoided Costs'!$L$13,'Avoided Costs'!$L$12)+1,""),4)</f>
        <v>1.04</v>
      </c>
      <c r="CS69" s="199">
        <f>ROUND(IFERROR(IF(LEFT($A69,1)="C",'Avoided Costs'!$M$13,'Avoided Costs'!$M$12)+1,""),4)</f>
        <v>1.0720000000000001</v>
      </c>
      <c r="CT69" s="199">
        <f>ROUND(IFERROR(IF(LEFT($A69,1)="C",'Avoided Costs'!$N$13,'Avoided Costs'!$N$12)+1,""),4)</f>
        <v>1.04</v>
      </c>
      <c r="CU69" s="199">
        <f>ROUND(IFERROR(IF(LEFT($A69,1)="C",'Avoided Costs'!$O$13,'Avoided Costs'!$O$12)+1,""),4)</f>
        <v>1.1120000000000001</v>
      </c>
      <c r="CV69" s="199">
        <f>ROUND(IFERROR(IF(LEFT($A69,1)="C",'Avoided Costs'!$P$13,'Avoided Costs'!$P$12)+1,""),4)</f>
        <v>1.095</v>
      </c>
      <c r="CW69" s="199">
        <f>ROUND(IFERROR(IF(LEFT($A69,1)="C",'Avoided Costs'!$Q$13,'Avoided Costs'!$Q$12)+1,""),4)</f>
        <v>1.1120000000000001</v>
      </c>
      <c r="CX69" s="200">
        <f>ROUND(IFERROR(IF(LEFT($A69,1)="C",'Avoided Costs'!$R$13,'Avoided Costs'!$R$12)+1,""),4)</f>
        <v>1.1120000000000001</v>
      </c>
    </row>
    <row r="70" spans="1:102" ht="12.75" customHeight="1">
      <c r="A70" s="91" t="str">
        <f>IF('Inputs Yr 2'!$B70=0,"",'Inputs Yr 2'!A70)</f>
        <v>A - Residential</v>
      </c>
      <c r="B70" s="91" t="str">
        <f>IF('Inputs Yr 2'!$B70=0,"",'Inputs Yr 2'!B70)</f>
        <v>A1 - Residential Whole House</v>
      </c>
      <c r="C70" s="91" t="str">
        <f>IF('Inputs Yr 2'!$B70=0,"",'Inputs Yr 2'!C70)</f>
        <v>A1c - Residential Home Energy Services - Measures</v>
      </c>
      <c r="D70" s="91" t="str">
        <f>IF('Inputs Yr 2'!$B70=0,"",'Inputs Yr 2'!E70)</f>
        <v>Early Retirement Clothes Washer, Gas DHW &amp; Gas Dryer (EE)</v>
      </c>
      <c r="E70" s="93" t="str">
        <f>IF('Inputs Yr 2'!$B70=0,"",'Inputs Yr 2'!F70)</f>
        <v>G16A1c34</v>
      </c>
      <c r="F70" s="93" t="str">
        <f>IF('Inputs Yr 2'!$B70=0,"",'Inputs Yr 2'!G70)</f>
        <v>Hot Water</v>
      </c>
      <c r="G70" s="95">
        <f>IF('Inputs Yr 2'!$H70&lt;&gt;0,('Inputs Yr 2'!H70),"")</f>
        <v>59</v>
      </c>
      <c r="H70" s="94">
        <f>IFERROR('Inputs Yr 2'!I70,"")</f>
        <v>12</v>
      </c>
      <c r="I70" s="298">
        <f>IFERROR('Inputs Yr 2'!J70*'Inputs Yr 2'!P70*G70,"")</f>
        <v>2950</v>
      </c>
      <c r="J70" s="298">
        <f>IFERROR('Inputs Yr 2'!K70*G70,"")</f>
        <v>20650</v>
      </c>
      <c r="K70" s="298">
        <f t="shared" ref="K70:K133" si="53">IFERROR(I70-J70,"")</f>
        <v>-17700</v>
      </c>
      <c r="L70" s="194">
        <f>IFERROR(('Inputs Yr 2'!W70*G70)/1000,"")</f>
        <v>0</v>
      </c>
      <c r="M70" s="194">
        <f>IFERROR(L70*('Inputs Yr 2'!$Q70*'Inputs Yr 2'!$V70*'Inputs Yr 2'!$R70),"")</f>
        <v>0</v>
      </c>
      <c r="N70" s="194">
        <f t="shared" ref="N70:N133" si="54">IFERROR(M70*$H70,"")</f>
        <v>0</v>
      </c>
      <c r="O70" s="194">
        <f>IFERROR(M70*'Inputs Yr 2'!P70,"")</f>
        <v>0</v>
      </c>
      <c r="P70" s="194">
        <f t="shared" ref="P70:P133" si="55">IFERROR(O70*$H70,"")</f>
        <v>0</v>
      </c>
      <c r="Q70" s="194">
        <f>IFERROR($P70*'Inputs Yr 2'!AA70,"")</f>
        <v>0</v>
      </c>
      <c r="R70" s="194">
        <f>IFERROR($P70*'Inputs Yr 2'!AB70,"")</f>
        <v>0</v>
      </c>
      <c r="S70" s="194">
        <f>IFERROR($P70*'Inputs Yr 2'!AC70,"")</f>
        <v>0</v>
      </c>
      <c r="T70" s="194">
        <f>IFERROR($P70*'Inputs Yr 2'!AD70,"")</f>
        <v>0</v>
      </c>
      <c r="U70" s="194">
        <f>IFERROR(G70*'Inputs Yr 2'!$AE70*'Inputs Yr 2'!$P70*'Inputs Yr 2'!$Q70,"")</f>
        <v>0</v>
      </c>
      <c r="V70" s="194">
        <f>IFERROR($G70*'Inputs Yr 2'!$AE70*'Inputs Yr 2'!$AG70*'Inputs Yr 2'!Q70*'Inputs Yr 2'!$S70,"")</f>
        <v>0</v>
      </c>
      <c r="W70" s="194">
        <f>IFERROR($G70*'Inputs Yr 2'!$AE70*'Inputs Yr 2'!$AG70*'Inputs Yr 2'!P70*'Inputs Yr 2'!Q70*'Inputs Yr 2'!$S70,"")</f>
        <v>0</v>
      </c>
      <c r="X70" s="194">
        <f>IFERROR($G70*'Inputs Yr 2'!$AE70*'Inputs Yr 2'!$AF70*'Inputs Yr 2'!Q70*'Inputs Yr 2'!$T70,"")</f>
        <v>0</v>
      </c>
      <c r="Y70" s="194">
        <f>IFERROR($G70*'Inputs Yr 2'!$AE70*'Inputs Yr 2'!$AF70*'Inputs Yr 2'!P70*'Inputs Yr 2'!Q70*'Inputs Yr 2'!$T70,"")</f>
        <v>0</v>
      </c>
      <c r="Z70" s="257">
        <f>IFERROR($G70*'Inputs Yr 2'!$Q70*'Inputs Yr 2'!$U70*(IF(IFERROR(SEARCH("NG", 'Inputs Yr 2'!$AJ70),0),'Inputs Yr 2'!$AK70,0)+IF(IFERROR(SEARCH("NG", 'Inputs Yr 2'!$AL70),0),'Inputs Yr 2'!$AM70,0)+IF(IFERROR(SEARCH("NG", 'Inputs Yr 2'!$AN70),0),'Inputs Yr 2'!$AO70,0)),0)</f>
        <v>67.259999999999991</v>
      </c>
      <c r="AA70" s="257">
        <f t="shared" ref="AA70:AA133" si="56">IFERROR(Z70*$H70,0)</f>
        <v>807.11999999999989</v>
      </c>
      <c r="AB70" s="257">
        <f>IFERROR(Z70*'Inputs Yr 2'!$P70,0)</f>
        <v>67.259999999999991</v>
      </c>
      <c r="AC70" s="257">
        <f t="shared" ref="AC70:AC133" si="57">IFERROR(AB70*$H70,0)</f>
        <v>807.11999999999989</v>
      </c>
      <c r="AD70" s="257">
        <f>IFERROR($G70*'Inputs Yr 2'!$Q70*'Inputs Yr 2'!$U70*(IF(IFERROR(SEARCH("Oil", 'Inputs Yr 2'!$AJ70), 0),'Inputs Yr 2'!$AK70,0)+IF(IFERROR(SEARCH("Oil", 'Inputs Yr 2'!$AL70), 0),'Inputs Yr 2'!$AM70,0)+IF(IFERROR(SEARCH("Oil", 'Inputs Yr 2'!$AN70), 0),'Inputs Yr 2'!$AO70,0)),0)</f>
        <v>0</v>
      </c>
      <c r="AE70" s="257">
        <f t="shared" ref="AE70:AE133" si="58">IFERROR(AD70*$H70,0)</f>
        <v>0</v>
      </c>
      <c r="AF70" s="257">
        <f>IFERROR(AD70*'Inputs Yr 2'!$P70,0)</f>
        <v>0</v>
      </c>
      <c r="AG70" s="257">
        <f t="shared" ref="AG70:AG133" si="59">IFERROR(AF70*$H70,0)</f>
        <v>0</v>
      </c>
      <c r="AH70" s="257">
        <f>IFERROR($G70*'Inputs Yr 2'!$Q70*'Inputs Yr 2'!$U70*(IF('Inputs Yr 2'!$AJ70=CD$4,'Inputs Yr 2'!$AK70,IF('Inputs Yr 2'!$AL70=CD$4,'Inputs Yr 2'!$AM70,IF('Inputs Yr 2'!$AN70=CD$4,'Inputs Yr 2'!$AO70,0)))),0)</f>
        <v>0</v>
      </c>
      <c r="AI70" s="257">
        <f t="shared" ref="AI70:AI133" si="60">IFERROR(AH70*$H70,0)</f>
        <v>0</v>
      </c>
      <c r="AJ70" s="257">
        <f>IFERROR(AH70*'Inputs Yr 2'!$P70,0)</f>
        <v>0</v>
      </c>
      <c r="AK70" s="257">
        <f t="shared" ref="AK70:AK133" si="61">IFERROR(AJ70*$H70,0)</f>
        <v>0</v>
      </c>
      <c r="AL70" s="258">
        <f>IFERROR($G70*'Inputs Yr 2'!$P70*'Inputs Yr 2'!$Q70*'Inputs Yr 2'!AP70,0)</f>
        <v>0</v>
      </c>
      <c r="AM70" s="260">
        <f>IFERROR($G70*'Inputs Yr 2'!$P70*'Inputs Yr 2'!$Q70*'Inputs Yr 2'!AQ70,0)</f>
        <v>0</v>
      </c>
      <c r="AN70" s="258">
        <f>IFERROR($G70*'Inputs Yr 2'!$P70*'Inputs Yr 2'!$Q70*'Inputs Yr 2'!AR70,0)</f>
        <v>0</v>
      </c>
      <c r="AO70" s="257">
        <f t="shared" ref="AO70:AO133" si="62">IFERROR(SUM(AL70:AM70)*$H70,0)</f>
        <v>0</v>
      </c>
      <c r="AP70" s="195">
        <f>IFERROR($CQ70*(INDEX(avoidedcosttbl2,$H70,AP$2)+(($H70-ROUNDDOWN($H70,0))*(INDEX(avoidedcosttbl2,ROUNDUP($H70,0),AP$2)-(INDEX(avoidedcosttbl2,ROUNDDOWN($H70,0),AP$2)))))*$O70*1000*'Inputs Yr 2'!AA70,"")</f>
        <v>0</v>
      </c>
      <c r="AQ70" s="195">
        <f>IFERROR($CR70*(INDEX(avoidedcosttbl2,$H70,AQ$2)+(($H70-ROUNDDOWN($H70,0))*(INDEX(avoidedcosttbl2,ROUNDUP($H70,0),AQ$2)-(INDEX(avoidedcosttbl2,ROUNDDOWN($H70,0),AQ$2)))))*$O70*1000*'Inputs Yr 2'!AB70,"")</f>
        <v>0</v>
      </c>
      <c r="AR70" s="195">
        <f>IFERROR($CS70*(INDEX(avoidedcosttbl2,$H70,AR$2)+(($H70-ROUNDDOWN($H70,0))*(INDEX(avoidedcosttbl2,ROUNDUP($H70,0),AR$2)-(INDEX(avoidedcosttbl2,ROUNDDOWN($H70,0),AR$2)))))*$O70*1000*'Inputs Yr 2'!AC70,"")</f>
        <v>0</v>
      </c>
      <c r="AS70" s="195">
        <f>IFERROR($CT70*(INDEX(avoidedcosttbl2,$H70,AS$2)+(($H70-ROUNDDOWN($H70,0))*(INDEX(avoidedcosttbl2,ROUNDUP($H70,0),AS$2)-(INDEX(avoidedcosttbl2,ROUNDDOWN($H70,0),AS$2)))))*$O70*1000*'Inputs Yr 2'!AD70,"")</f>
        <v>0</v>
      </c>
      <c r="AT70" s="196">
        <f t="shared" ref="AT70:AT133" si="63">IFERROR(SUM(AP70:AS70),"")</f>
        <v>0</v>
      </c>
      <c r="AU70" s="197">
        <f>IFERROR($CQ70*((INDEX(avoidedcosttbl2,$H70,AU$2))+(($H70-ROUNDDOWN($H70,0))*((INDEX(avoidedcosttbl2,ROUNDUP($H70,0),AU$2))-(INDEX(avoidedcosttbl2,ROUNDDOWN($H70,0),AU$2)))))*$O70*1000*'Inputs Yr 2'!AA70,"")</f>
        <v>0</v>
      </c>
      <c r="AV70" s="197">
        <f>IFERROR($CR70*((INDEX(avoidedcosttbl2,$H70,AV$2))+(($H70-ROUNDDOWN($H70,0))*((INDEX(avoidedcosttbl2,ROUNDUP($H70,0),AV$2))-(INDEX(avoidedcosttbl2,ROUNDDOWN($H70,0),AV$2)))))*$O70*1000*'Inputs Yr 2'!AB70,"")</f>
        <v>0</v>
      </c>
      <c r="AW70" s="197">
        <f>IFERROR($CS70*((INDEX(avoidedcosttbl2,$H70,AW$2))+(($H70-ROUNDDOWN($H70,0))*((INDEX(avoidedcosttbl2,ROUNDUP($H70,0),AW$2))-(INDEX(avoidedcosttbl2,ROUNDDOWN($H70,0),AW$2)))))*$O70*1000*'Inputs Yr 2'!AC70,"")</f>
        <v>0</v>
      </c>
      <c r="AX70" s="197">
        <f>IFERROR($CT70*((INDEX(avoidedcosttbl2,$H70,AX$2))+(($H70-ROUNDDOWN($H70,0))*((INDEX(avoidedcosttbl2,ROUNDUP($H70,0),AX$2))-(INDEX(avoidedcosttbl2,ROUNDDOWN($H70,0),AX$2)))))*$O70*1000*'Inputs Yr 2'!AD70,"")</f>
        <v>0</v>
      </c>
      <c r="AY70" s="197">
        <f>IFERROR(((INDEX(avoidedcosttbl2,$H70,AY$2))+(($H70-ROUNDDOWN($H70,0))*((INDEX(avoidedcosttbl2,ROUNDUP($H70,0),AY$2))-(INDEX(avoidedcosttbl2,ROUNDDOWN($H70,0),AY$2)))))*$O70*1000*('Inputs Yr 2'!AC70+'Inputs Yr 2'!AD70),"")</f>
        <v>0</v>
      </c>
      <c r="AZ70" s="197">
        <f>IFERROR(((INDEX(avoidedcosttbl2,$H70,AZ$2))+(($H70-ROUNDDOWN($H70,0))*((INDEX(avoidedcosttbl2,ROUNDUP($H70,0),AZ$2))-(INDEX(avoidedcosttbl2,ROUNDDOWN($H70,0),AZ$2)))))*$O70*1000*('Inputs Yr 2'!AA70+'Inputs Yr 2'!AB70),"")</f>
        <v>0</v>
      </c>
      <c r="BA70" s="198">
        <f t="shared" ref="BA70:BA133" si="64">IFERROR(SUM(AU70:AZ70),"")</f>
        <v>0</v>
      </c>
      <c r="BB70" s="198">
        <f t="shared" ref="BB70:BB133" si="65">IFERROR(SUM(AT70,BA70),"")</f>
        <v>0</v>
      </c>
      <c r="BC70" s="195">
        <f t="shared" si="47"/>
        <v>0</v>
      </c>
      <c r="BD70" s="195">
        <f t="shared" si="48"/>
        <v>0</v>
      </c>
      <c r="BE70" s="195">
        <f t="shared" si="49"/>
        <v>0</v>
      </c>
      <c r="BF70" s="195">
        <f t="shared" si="50"/>
        <v>0</v>
      </c>
      <c r="BG70" s="195">
        <f t="shared" si="51"/>
        <v>0</v>
      </c>
      <c r="BH70" s="196">
        <f t="shared" ref="BH70:BH133" si="66">IFERROR(SUM(BC70:BG70),"")</f>
        <v>0</v>
      </c>
      <c r="BI70" s="196">
        <f t="shared" ref="BI70:BI133" si="67">IFERROR(BB70+BH70,"")</f>
        <v>0</v>
      </c>
      <c r="BJ70" s="195">
        <f>IFERROR($G70*(IF('Inputs Yr 2'!$AJ70=BJ$4,'Inputs Yr 2'!$AK70,IF('Inputs Yr 2'!$AL70=BJ$4,'Inputs Yr 2'!$AM70,IF('Inputs Yr 2'!$AN70=BJ$4,'Inputs Yr 2'!$AO70,0))))*(INDEX(avoidedcosttbl2,$H70,BJ$2)+(($H70-ROUNDDOWN($H70,0))*(INDEX(avoidedcosttbl2,ROUNDUP($H70,0),BJ$2)-(INDEX(avoidedcosttbl2,ROUNDDOWN($H70,0),BJ$2)))))*'Inputs Yr 2'!P70*'Inputs Yr 2'!Q70*'Inputs Yr 2'!U70,"")</f>
        <v>0</v>
      </c>
      <c r="BK70" s="195">
        <f>IFERROR($G70*(IF('Inputs Yr 2'!$AJ70=BK$4,'Inputs Yr 2'!$AK70,IF('Inputs Yr 2'!$AL70=BK$4,'Inputs Yr 2'!$AM70,IF('Inputs Yr 2'!$AN70=BK$4,'Inputs Yr 2'!$AO70,0))))*(INDEX(avoidedcosttbl2,$H70,BK$2)+(($H70-ROUNDDOWN($H70,0))*(INDEX(avoidedcosttbl2,ROUNDUP($H70,0),BK$2)-(INDEX(avoidedcosttbl2,ROUNDDOWN($H70,0),BK$2)))))*'Inputs Yr 2'!P70*'Inputs Yr 2'!Q70*'Inputs Yr 2'!U70,"")</f>
        <v>4572.9701389887341</v>
      </c>
      <c r="BL70" s="195">
        <f>IFERROR($G70*(IF('Inputs Yr 2'!$AJ70=BL$4,'Inputs Yr 2'!$AK70,IF('Inputs Yr 2'!$AL70=BL$4,'Inputs Yr 2'!$AM70,IF('Inputs Yr 2'!$AN70=BL$4,'Inputs Yr 2'!$AO70,0))))*(INDEX(avoidedcosttbl2,$H70,BL$2)+(($H70-ROUNDDOWN($H70,0))*(INDEX(avoidedcosttbl2,ROUNDUP($H70,0),BL$2)-(INDEX(avoidedcosttbl2,ROUNDDOWN($H70,0),BL$2)))))*'Inputs Yr 2'!P70*'Inputs Yr 2'!Q70*'Inputs Yr 2'!U70,"")</f>
        <v>0</v>
      </c>
      <c r="BM70" s="195">
        <f>IFERROR($G70*(IF('Inputs Yr 2'!$AJ70=BM$4,'Inputs Yr 2'!$AK70,IF('Inputs Yr 2'!$AL70=BM$4,'Inputs Yr 2'!$AM70,IF('Inputs Yr 2'!$AN70=BM$4,'Inputs Yr 2'!$AO70,0))))*(INDEX(avoidedcosttbl2,$H70,BM$2)+(($H70-ROUNDDOWN($H70,0))*(INDEX(avoidedcosttbl2,ROUNDUP($H70,0),BM$2)-(INDEX(avoidedcosttbl2,ROUNDDOWN($H70,0),BM$2)))))*'Inputs Yr 2'!P70*'Inputs Yr 2'!Q70*'Inputs Yr 2'!U70,"")</f>
        <v>1496.1831976672152</v>
      </c>
      <c r="BN70" s="195">
        <f>IFERROR($G70*(IF('Inputs Yr 2'!$AJ70=BN$4,'Inputs Yr 2'!$AK70,IF('Inputs Yr 2'!$AL70=BN$4,'Inputs Yr 2'!$AM70,IF('Inputs Yr 2'!$AN70=BN$4,'Inputs Yr 2'!$AO70,0))))*(INDEX(avoidedcosttbl2,$H70,BN$2)+(($H70-ROUNDDOWN($H70,0))*(INDEX(avoidedcosttbl2,ROUNDUP($H70,0),BN$2)-(INDEX(avoidedcosttbl2,ROUNDDOWN($H70,0),BN$2)))))*'Inputs Yr 2'!P70*'Inputs Yr 2'!Q70*'Inputs Yr 2'!U70,"")</f>
        <v>0</v>
      </c>
      <c r="BO70" s="195">
        <f>IFERROR($G70*(IF('Inputs Yr 2'!$AJ70=BO$4,'Inputs Yr 2'!$AK70,IF('Inputs Yr 2'!$AL70=BO$4,'Inputs Yr 2'!$AM70,IF('Inputs Yr 2'!$AN70=BO$4,'Inputs Yr 2'!$AO70,0))))*(INDEX(avoidedcosttbl2,$H70,BO$2)+(($H70-ROUNDDOWN($H70,0))*(INDEX(avoidedcosttbl2,ROUNDUP($H70,0),BO$2)-(INDEX(avoidedcosttbl2,ROUNDDOWN($H70,0),BO$2)))))*'Inputs Yr 2'!P70*'Inputs Yr 2'!Q70*'Inputs Yr 2'!U70,"")</f>
        <v>0</v>
      </c>
      <c r="BP70" s="195">
        <f>IFERROR($G70*(IF('Inputs Yr 2'!$AJ70=BP$4,'Inputs Yr 2'!$AK70,IF('Inputs Yr 2'!$AL70=BP$4,'Inputs Yr 2'!$AM70,IF('Inputs Yr 2'!$AN70=BP$4,'Inputs Yr 2'!$AO70,0))))*(INDEX(avoidedcosttbl2,$H70,BP$2)+(($H70-ROUNDDOWN($H70,0))*(INDEX(avoidedcosttbl2,ROUNDUP($H70,0),BP$2)-(INDEX(avoidedcosttbl2,ROUNDDOWN($H70,0),BP$2)))))*'Inputs Yr 2'!P70*'Inputs Yr 2'!Q70*'Inputs Yr 2'!U70,"")</f>
        <v>0</v>
      </c>
      <c r="BQ70" s="230">
        <f t="shared" ref="BQ70:BQ133" si="68">IFERROR(SUM(BJ70:BP70),"")</f>
        <v>6069.1533366559488</v>
      </c>
      <c r="BR70" s="197">
        <f t="shared" si="52"/>
        <v>110.11424337906087</v>
      </c>
      <c r="BS70" s="197">
        <f>IFERROR(($G70*IF('Inputs Yr 2'!$AJ70=BM$4,'Inputs Yr 2'!$AK70,IF('Inputs Yr 2'!$AL70=BM$4,'Inputs Yr 2'!$AM70,IF('Inputs Yr 2'!$AN70=BM$4,'Inputs Yr 2'!$AO70,0))))*(INDEX(avoidedcosttbl2,$H70,BS$2)+(($H70-ROUNDDOWN($H70,0))*(INDEX(avoidedcosttbl2,ROUNDUP($H70,0),BS$2)-(INDEX(avoidedcosttbl2,ROUNDDOWN($H70,0),BS$2)))))*'Inputs Yr 2'!P70*'Inputs Yr 2'!Q70*'Inputs Yr 2'!U70,"")</f>
        <v>174.56877408211051</v>
      </c>
      <c r="BT70" s="197">
        <f>IFERROR(($G70*IF('Inputs Yr 2'!$AJ70=BK$4,'Inputs Yr 2'!$AK70,IF('Inputs Yr 2'!$AL70=BK$4,'Inputs Yr 2'!$AM70,IF('Inputs Yr 2'!$AN70=BK$4,'Inputs Yr 2'!$AO70,0))))*(INDEX(avoidedcosttbl2,$H70,BT$2)+(($H70-ROUNDDOWN($H70,0))*(INDEX(avoidedcosttbl2,ROUNDUP($H70,0),BT$2)-(INDEX(avoidedcosttbl2,ROUNDDOWN($H70,0),BT$2)))))*'Inputs Yr 2'!P70*'Inputs Yr 2'!Q70*'Inputs Yr 2'!U70,"")</f>
        <v>383.48197475785122</v>
      </c>
      <c r="BU70" s="197">
        <f>IFERROR(($G70*IF('Inputs Yr 2'!$AJ70=BL$4,'Inputs Yr 2'!$AK70,IF('Inputs Yr 2'!$AL70=BL$4,'Inputs Yr 2'!$AM70,IF('Inputs Yr 2'!$AN70=BL$4,'Inputs Yr 2'!$AO70,0))))*(INDEX(avoidedcosttbl2,$H70,BU$2)+(($H70-ROUNDDOWN($H70,0))*(INDEX(avoidedcosttbl2,ROUNDUP($H70,0),BU$2)-(INDEX(avoidedcosttbl2,ROUNDDOWN($H70,0),BU$2)))))*'Inputs Yr 2'!P70*'Inputs Yr 2'!Q70*'Inputs Yr 2'!U70,"")</f>
        <v>0</v>
      </c>
      <c r="BV70" s="775">
        <f>IFERROR(($G70*IF('Inputs Yr 2'!$AJ70=BJ$4,'Inputs Yr 2'!$AK70,IF('Inputs Yr 2'!$AL70=BJ$4,'Inputs Yr 2'!$AM70,IF('Inputs Yr 2'!$AN70=BJ$4,'Inputs Yr 2'!$AO70,0))))*(INDEX(avoidedcosttbl2,$H70,BV$2)+(($H70-ROUNDDOWN($H70,0))*(INDEX(avoidedcosttbl2,ROUNDUP($H70,0),BV$2)-(INDEX(avoidedcosttbl2,ROUNDDOWN($H70,0),BV$2)))))*'Inputs Yr 2'!P70*'Inputs Yr 2'!Q70*'Inputs Yr 2'!U70,"")</f>
        <v>0</v>
      </c>
      <c r="BW70" s="197">
        <f>IFERROR(($G70*IF('Inputs Yr 2'!$AJ70=BN$4,'Inputs Yr 2'!$AK70,IF('Inputs Yr 2'!$AL70=BN$4,'Inputs Yr 2'!$AM70,IF('Inputs Yr 2'!$AN70=BN$4,'Inputs Yr 2'!$AO70,0))))*(INDEX(avoidedcosttbl2,$H70,BW$2)+(($H70-ROUNDDOWN($H70,0))*(INDEX(avoidedcosttbl2,ROUNDUP($H70,0),BW$2)-(INDEX(avoidedcosttbl2,ROUNDDOWN($H70,0),BW$2)))))*'Inputs Yr 2'!P70*'Inputs Yr 2'!Q70*'Inputs Yr 2'!U70,"")</f>
        <v>0</v>
      </c>
      <c r="BX70" s="197">
        <f>IFERROR(($G70*IF('Inputs Yr 2'!$AJ70=BO$4,'Inputs Yr 2'!$AK70,IF('Inputs Yr 2'!$AL70=BO$4,'Inputs Yr 2'!$AM70,IF('Inputs Yr 2'!$AN70=BO$4,'Inputs Yr 2'!$AO70,0))))*(INDEX(avoidedcosttbl2,$H70,BX$2)+(($H70-ROUNDDOWN($H70,0))*(INDEX(avoidedcosttbl2,ROUNDUP($H70,0),BX$2)-(INDEX(avoidedcosttbl2,ROUNDDOWN($H70,0),BX$2)))))*'Inputs Yr 2'!P70*'Inputs Yr 2'!Q70*'Inputs Yr 2'!U70,"")</f>
        <v>0</v>
      </c>
      <c r="BY70" s="197">
        <f>IFERROR(($G70*IF('Inputs Yr 2'!$AJ70=BP$4,'Inputs Yr 2'!$AK70,IF('Inputs Yr 2'!$AL70=BP$4,'Inputs Yr 2'!$AM70,IF('Inputs Yr 2'!$AN70=BP$4,'Inputs Yr 2'!$AO70,0))))*(INDEX(avoidedcosttbl2,$H70,BY$2)+(($H70-ROUNDDOWN($H70,0))*(INDEX(avoidedcosttbl2,ROUNDUP($H70,0),BY$2)-(INDEX(avoidedcosttbl2,ROUNDDOWN($H70,0),BY$2)))))*'Inputs Yr 2'!P70*'Inputs Yr 2'!Q70*'Inputs Yr 2'!U70,"")</f>
        <v>0</v>
      </c>
      <c r="BZ70" s="193">
        <f t="shared" ref="BZ70:BZ133" si="69">IFERROR(SUM(BR70:BY70),"")</f>
        <v>668.16499221902268</v>
      </c>
      <c r="CA70" s="193">
        <f t="shared" ref="CA70:CA133" si="70">IFERROR(BQ70+BZ70,"")</f>
        <v>6737.3183288749715</v>
      </c>
      <c r="CB70" s="195">
        <f>IFERROR(G70*(IF('Inputs Yr 2'!$AJ70=CB$4,'Inputs Yr 2'!$AK70,IF('Inputs Yr 2'!$AL70=CB$4,'Inputs Yr 2'!$AM70,IF('Inputs Yr 2'!$AN70=CB$4,'Inputs Yr 2'!$AO70,0))))*(INDEX(avoidedcosttbl2,$H70,CB$2)+(($H70-ROUNDDOWN($H70,0))*(INDEX(avoidedcosttbl2,ROUNDUP($H70,0),CB$2)-(INDEX(avoidedcosttbl2,ROUNDDOWN($H70,0),CB$2)))))*'Inputs Yr 2'!P70*'Inputs Yr 2'!Q70*'Inputs Yr 2'!U70,"")</f>
        <v>0</v>
      </c>
      <c r="CC70" s="195">
        <f>IFERROR(H70*(IF('Inputs Yr 2'!$AJ70=CC$4,'Inputs Yr 2'!$AK70,IF('Inputs Yr 2'!$AL70=CC$4,'Inputs Yr 2'!$AM70,IF('Inputs Yr 2'!$AN70=CC$4,'Inputs Yr 2'!$AO70,0))))*(INDEX(avoidedcosttbl2,$H70,CC$2)+(($H70-ROUNDDOWN($H70,0))*(INDEX(avoidedcosttbl2,ROUNDUP($H70,0),CC$2)-(INDEX(avoidedcosttbl2,ROUNDDOWN($H70,0),CC$2)))))*'Inputs Yr 2'!Q70*'Inputs Yr 2'!R70*'Inputs Yr 2'!V70,"")</f>
        <v>0</v>
      </c>
      <c r="CD70" s="195">
        <f>IFERROR(I70*(IF('Inputs Yr 2'!$AJ70=CD$4,'Inputs Yr 2'!$AK70,IF('Inputs Yr 2'!$AL70=CD$4,'Inputs Yr 2'!$AM70,IF('Inputs Yr 2'!$AN70=CD$4,'Inputs Yr 2'!$AO70,0))))*(INDEX(avoidedcosttbl2,$H70,CD$2)+(($H70-ROUNDDOWN($H70,0))*(INDEX(avoidedcosttbl2,ROUNDUP($H70,0),CD$2)-(INDEX(avoidedcosttbl2,ROUNDDOWN($H70,0),CD$2)))))*'Inputs Yr 2'!R70*'Inputs Yr 2'!S70*'Inputs Yr 2'!W70,"")</f>
        <v>0</v>
      </c>
      <c r="CE70" s="213">
        <f t="shared" ref="CE70:CE133" si="71">IFERROR(AL70*(INDEX(avoidedcosttbl2,$H70,CE$2)+(($H70-ROUNDDOWN($H70,0))*(INDEX(avoidedcosttbl2,ROUNDUP($H70,0),CE$2)-(INDEX(avoidedcosttbl2,ROUNDDOWN($H70,0),CE$2))))),"")</f>
        <v>0</v>
      </c>
      <c r="CF70" s="213">
        <f t="shared" ref="CF70:CF133" si="72">IFERROR(AM70*(INDEX(avoidedcosttbl2,$H70,CF$2)+(($H70-ROUNDDOWN($H70,0))*(INDEX(avoidedcosttbl2,ROUNDUP($H70,0),CF$2)-(INDEX(avoidedcosttbl2,ROUNDDOWN($H70,0),CF$2))))),"")</f>
        <v>0</v>
      </c>
      <c r="CG70" s="213">
        <f t="shared" ref="CG70:CG133" si="73">IFERROR(AN70*(INDEX(avoidedcosttbl2,$H70,CG$2)+(($H70-ROUNDDOWN($H70,0))*(INDEX(avoidedcosttbl2,ROUNDUP($H70,0),CG$2)-(INDEX(avoidedcosttbl2,ROUNDDOWN($H70,0),CG$2))))),"")</f>
        <v>0</v>
      </c>
      <c r="CH70" s="698">
        <f t="shared" ref="CH70:CH133" si="74">IFERROR(SUM(CA70:CG70),"")</f>
        <v>6737.3183288749715</v>
      </c>
      <c r="CI70" s="79">
        <f>IFERROR(($G70*'Inputs Yr 2'!$P70*'Inputs Yr 2'!$Q70*(((INDEX(avoidedcosttbl2,$H70,CI$2)+(($H70-ROUNDDOWN($H70,0))*(INDEX(avoidedcosttbl2,ROUNDUP($H70,0),CI$2)-INDEX(avoidedcosttbl2,ROUNDDOWN($H70,0),CI$2))))*'Inputs Yr 2'!AS70))),"")</f>
        <v>0</v>
      </c>
      <c r="CJ70" s="504">
        <f>IFERROR($G70*'Inputs Yr 2'!AT70*'Inputs Yr 2'!$P70*'Inputs Yr 2'!$Q70/((1+realdiscrt1)^-0.5),"")</f>
        <v>0</v>
      </c>
      <c r="CK70" s="79">
        <f>IFERROR((O70*1000*(((INDEX(avoidedcosttbl2,$H70,CK$2)+(($H70-ROUNDDOWN($H70,0))*(INDEX(avoidedcosttbl2,ROUNDUP($H70,0),CK$2)-INDEX(avoidedcosttbl2,ROUNDDOWN($H70,0),CK$2))))*'Inputs Yr 2'!AU70))),"")</f>
        <v>0</v>
      </c>
      <c r="CL70" s="504">
        <f>IFERROR(O70*1000*'Inputs Yr 2'!AV70/((1+realdiscrt1)^-0.5),"")</f>
        <v>0</v>
      </c>
      <c r="CM70" s="79">
        <f>IFERROR((AB70*'Inputs Yr 2'!AW70*(((INDEX(avoidedcosttbl2,$H70,CM$2)+(($H70-ROUNDDOWN($H70,0))*(INDEX(avoidedcosttbl2,ROUNDUP($H70,0),CM$2)-INDEX(avoidedcosttbl2,ROUNDDOWN($H70,0),CM$2)))))))*10,"")</f>
        <v>0</v>
      </c>
      <c r="CN70" s="504">
        <f>IFERROR(10*AB70*'Inputs Yr 2'!AX70/((1+realdiscrt1)^-0.5),"")</f>
        <v>0</v>
      </c>
      <c r="CO70" s="505">
        <f t="shared" ref="CO70:CO133" si="75">SUM(CI70:CN70)</f>
        <v>0</v>
      </c>
      <c r="CP70" s="230">
        <f t="shared" ref="CP70:CP133" si="76">IFERROR(CO70+CH70+BI70,"")</f>
        <v>6737.3183288749715</v>
      </c>
      <c r="CQ70" s="199">
        <f>ROUND(IFERROR(IF(LEFT($A70,1)="C",'Avoided Costs'!$K$13,'Avoided Costs'!$K$12)+1,""),4)</f>
        <v>1.0720000000000001</v>
      </c>
      <c r="CR70" s="199">
        <f>ROUND(IFERROR(IF(LEFT($A70,1)="C",'Avoided Costs'!$L$13,'Avoided Costs'!$L$12)+1,""),4)</f>
        <v>1.04</v>
      </c>
      <c r="CS70" s="199">
        <f>ROUND(IFERROR(IF(LEFT($A70,1)="C",'Avoided Costs'!$M$13,'Avoided Costs'!$M$12)+1,""),4)</f>
        <v>1.0720000000000001</v>
      </c>
      <c r="CT70" s="199">
        <f>ROUND(IFERROR(IF(LEFT($A70,1)="C",'Avoided Costs'!$N$13,'Avoided Costs'!$N$12)+1,""),4)</f>
        <v>1.04</v>
      </c>
      <c r="CU70" s="199">
        <f>ROUND(IFERROR(IF(LEFT($A70,1)="C",'Avoided Costs'!$O$13,'Avoided Costs'!$O$12)+1,""),4)</f>
        <v>1.1120000000000001</v>
      </c>
      <c r="CV70" s="199">
        <f>ROUND(IFERROR(IF(LEFT($A70,1)="C",'Avoided Costs'!$P$13,'Avoided Costs'!$P$12)+1,""),4)</f>
        <v>1.095</v>
      </c>
      <c r="CW70" s="199">
        <f>ROUND(IFERROR(IF(LEFT($A70,1)="C",'Avoided Costs'!$Q$13,'Avoided Costs'!$Q$12)+1,""),4)</f>
        <v>1.1120000000000001</v>
      </c>
      <c r="CX70" s="200">
        <f>ROUND(IFERROR(IF(LEFT($A70,1)="C",'Avoided Costs'!$R$13,'Avoided Costs'!$R$12)+1,""),4)</f>
        <v>1.1120000000000001</v>
      </c>
    </row>
    <row r="71" spans="1:102" ht="12.75" customHeight="1">
      <c r="A71" s="91" t="str">
        <f>IF('Inputs Yr 2'!$B71=0,"",'Inputs Yr 2'!A71)</f>
        <v>A - Residential</v>
      </c>
      <c r="B71" s="91" t="str">
        <f>IF('Inputs Yr 2'!$B71=0,"",'Inputs Yr 2'!B71)</f>
        <v>A1 - Residential Whole House</v>
      </c>
      <c r="C71" s="91" t="str">
        <f>IF('Inputs Yr 2'!$B71=0,"",'Inputs Yr 2'!C71)</f>
        <v>A1c - Residential Home Energy Services - Measures</v>
      </c>
      <c r="D71" s="91" t="str">
        <f>IF('Inputs Yr 2'!$B71=0,"",'Inputs Yr 2'!E71)</f>
        <v>Early Retirement Clothes Washer, Gas DHW &amp; Gas Dryer (Retire)</v>
      </c>
      <c r="E71" s="93" t="str">
        <f>IF('Inputs Yr 2'!$B71=0,"",'Inputs Yr 2'!F71)</f>
        <v>G16A1c35</v>
      </c>
      <c r="F71" s="93" t="str">
        <f>IF('Inputs Yr 2'!$B71=0,"",'Inputs Yr 2'!G71)</f>
        <v>Hot Water</v>
      </c>
      <c r="G71" s="95">
        <f>IF('Inputs Yr 2'!$H71&lt;&gt;0,('Inputs Yr 2'!H71),"")</f>
        <v>59</v>
      </c>
      <c r="H71" s="94">
        <f>IFERROR('Inputs Yr 2'!I71,"")</f>
        <v>4</v>
      </c>
      <c r="I71" s="298">
        <f>IFERROR('Inputs Yr 2'!J71*'Inputs Yr 2'!P71*G71,"")</f>
        <v>0</v>
      </c>
      <c r="J71" s="298">
        <f>IFERROR('Inputs Yr 2'!K71*G71,"")</f>
        <v>0</v>
      </c>
      <c r="K71" s="298">
        <f t="shared" si="53"/>
        <v>0</v>
      </c>
      <c r="L71" s="194">
        <f>IFERROR(('Inputs Yr 2'!W71*G71)/1000,"")</f>
        <v>0</v>
      </c>
      <c r="M71" s="194">
        <f>IFERROR(L71*('Inputs Yr 2'!$Q71*'Inputs Yr 2'!$V71*'Inputs Yr 2'!$R71),"")</f>
        <v>0</v>
      </c>
      <c r="N71" s="194">
        <f t="shared" si="54"/>
        <v>0</v>
      </c>
      <c r="O71" s="194">
        <f>IFERROR(M71*'Inputs Yr 2'!P71,"")</f>
        <v>0</v>
      </c>
      <c r="P71" s="194">
        <f t="shared" si="55"/>
        <v>0</v>
      </c>
      <c r="Q71" s="194">
        <f>IFERROR($P71*'Inputs Yr 2'!AA71,"")</f>
        <v>0</v>
      </c>
      <c r="R71" s="194">
        <f>IFERROR($P71*'Inputs Yr 2'!AB71,"")</f>
        <v>0</v>
      </c>
      <c r="S71" s="194">
        <f>IFERROR($P71*'Inputs Yr 2'!AC71,"")</f>
        <v>0</v>
      </c>
      <c r="T71" s="194">
        <f>IFERROR($P71*'Inputs Yr 2'!AD71,"")</f>
        <v>0</v>
      </c>
      <c r="U71" s="194">
        <f>IFERROR(G71*'Inputs Yr 2'!$AE71*'Inputs Yr 2'!$P71*'Inputs Yr 2'!$Q71,"")</f>
        <v>0</v>
      </c>
      <c r="V71" s="194">
        <f>IFERROR($G71*'Inputs Yr 2'!$AE71*'Inputs Yr 2'!$AG71*'Inputs Yr 2'!Q71*'Inputs Yr 2'!$S71,"")</f>
        <v>0</v>
      </c>
      <c r="W71" s="194">
        <f>IFERROR($G71*'Inputs Yr 2'!$AE71*'Inputs Yr 2'!$AG71*'Inputs Yr 2'!P71*'Inputs Yr 2'!Q71*'Inputs Yr 2'!$S71,"")</f>
        <v>0</v>
      </c>
      <c r="X71" s="194">
        <f>IFERROR($G71*'Inputs Yr 2'!$AE71*'Inputs Yr 2'!$AF71*'Inputs Yr 2'!Q71*'Inputs Yr 2'!$T71,"")</f>
        <v>0</v>
      </c>
      <c r="Y71" s="194">
        <f>IFERROR($G71*'Inputs Yr 2'!$AE71*'Inputs Yr 2'!$AF71*'Inputs Yr 2'!P71*'Inputs Yr 2'!Q71*'Inputs Yr 2'!$T71,"")</f>
        <v>0</v>
      </c>
      <c r="Z71" s="257">
        <f>IFERROR($G71*'Inputs Yr 2'!$Q71*'Inputs Yr 2'!$U71*(IF(IFERROR(SEARCH("NG", 'Inputs Yr 2'!$AJ71),0),'Inputs Yr 2'!$AK71,0)+IF(IFERROR(SEARCH("NG", 'Inputs Yr 2'!$AL71),0),'Inputs Yr 2'!$AM71,0)+IF(IFERROR(SEARCH("NG", 'Inputs Yr 2'!$AN71),0),'Inputs Yr 2'!$AO71,0)),0)</f>
        <v>57.82</v>
      </c>
      <c r="AA71" s="257">
        <f t="shared" si="56"/>
        <v>231.28</v>
      </c>
      <c r="AB71" s="257">
        <f>IFERROR(Z71*'Inputs Yr 2'!$P71,0)</f>
        <v>57.82</v>
      </c>
      <c r="AC71" s="257">
        <f t="shared" si="57"/>
        <v>231.28</v>
      </c>
      <c r="AD71" s="257">
        <f>IFERROR($G71*'Inputs Yr 2'!$Q71*'Inputs Yr 2'!$U71*(IF(IFERROR(SEARCH("Oil", 'Inputs Yr 2'!$AJ71), 0),'Inputs Yr 2'!$AK71,0)+IF(IFERROR(SEARCH("Oil", 'Inputs Yr 2'!$AL71), 0),'Inputs Yr 2'!$AM71,0)+IF(IFERROR(SEARCH("Oil", 'Inputs Yr 2'!$AN71), 0),'Inputs Yr 2'!$AO71,0)),0)</f>
        <v>0</v>
      </c>
      <c r="AE71" s="257">
        <f t="shared" si="58"/>
        <v>0</v>
      </c>
      <c r="AF71" s="257">
        <f>IFERROR(AD71*'Inputs Yr 2'!$P71,0)</f>
        <v>0</v>
      </c>
      <c r="AG71" s="257">
        <f t="shared" si="59"/>
        <v>0</v>
      </c>
      <c r="AH71" s="257">
        <f>IFERROR($G71*'Inputs Yr 2'!$Q71*'Inputs Yr 2'!$U71*(IF('Inputs Yr 2'!$AJ71=CD$4,'Inputs Yr 2'!$AK71,IF('Inputs Yr 2'!$AL71=CD$4,'Inputs Yr 2'!$AM71,IF('Inputs Yr 2'!$AN71=CD$4,'Inputs Yr 2'!$AO71,0)))),0)</f>
        <v>0</v>
      </c>
      <c r="AI71" s="257">
        <f t="shared" si="60"/>
        <v>0</v>
      </c>
      <c r="AJ71" s="257">
        <f>IFERROR(AH71*'Inputs Yr 2'!$P71,0)</f>
        <v>0</v>
      </c>
      <c r="AK71" s="257">
        <f t="shared" si="61"/>
        <v>0</v>
      </c>
      <c r="AL71" s="258">
        <f>IFERROR($G71*'Inputs Yr 2'!$P71*'Inputs Yr 2'!$Q71*'Inputs Yr 2'!AP71,0)</f>
        <v>0</v>
      </c>
      <c r="AM71" s="260">
        <f>IFERROR($G71*'Inputs Yr 2'!$P71*'Inputs Yr 2'!$Q71*'Inputs Yr 2'!AQ71,0)</f>
        <v>0</v>
      </c>
      <c r="AN71" s="258">
        <f>IFERROR($G71*'Inputs Yr 2'!$P71*'Inputs Yr 2'!$Q71*'Inputs Yr 2'!AR71,0)</f>
        <v>0</v>
      </c>
      <c r="AO71" s="257">
        <f t="shared" si="62"/>
        <v>0</v>
      </c>
      <c r="AP71" s="195">
        <f>IFERROR($CQ71*(INDEX(avoidedcosttbl2,$H71,AP$2)+(($H71-ROUNDDOWN($H71,0))*(INDEX(avoidedcosttbl2,ROUNDUP($H71,0),AP$2)-(INDEX(avoidedcosttbl2,ROUNDDOWN($H71,0),AP$2)))))*$O71*1000*'Inputs Yr 2'!AA71,"")</f>
        <v>0</v>
      </c>
      <c r="AQ71" s="195">
        <f>IFERROR($CR71*(INDEX(avoidedcosttbl2,$H71,AQ$2)+(($H71-ROUNDDOWN($H71,0))*(INDEX(avoidedcosttbl2,ROUNDUP($H71,0),AQ$2)-(INDEX(avoidedcosttbl2,ROUNDDOWN($H71,0),AQ$2)))))*$O71*1000*'Inputs Yr 2'!AB71,"")</f>
        <v>0</v>
      </c>
      <c r="AR71" s="195">
        <f>IFERROR($CS71*(INDEX(avoidedcosttbl2,$H71,AR$2)+(($H71-ROUNDDOWN($H71,0))*(INDEX(avoidedcosttbl2,ROUNDUP($H71,0),AR$2)-(INDEX(avoidedcosttbl2,ROUNDDOWN($H71,0),AR$2)))))*$O71*1000*'Inputs Yr 2'!AC71,"")</f>
        <v>0</v>
      </c>
      <c r="AS71" s="195">
        <f>IFERROR($CT71*(INDEX(avoidedcosttbl2,$H71,AS$2)+(($H71-ROUNDDOWN($H71,0))*(INDEX(avoidedcosttbl2,ROUNDUP($H71,0),AS$2)-(INDEX(avoidedcosttbl2,ROUNDDOWN($H71,0),AS$2)))))*$O71*1000*'Inputs Yr 2'!AD71,"")</f>
        <v>0</v>
      </c>
      <c r="AT71" s="196">
        <f t="shared" si="63"/>
        <v>0</v>
      </c>
      <c r="AU71" s="197">
        <f>IFERROR($CQ71*((INDEX(avoidedcosttbl2,$H71,AU$2))+(($H71-ROUNDDOWN($H71,0))*((INDEX(avoidedcosttbl2,ROUNDUP($H71,0),AU$2))-(INDEX(avoidedcosttbl2,ROUNDDOWN($H71,0),AU$2)))))*$O71*1000*'Inputs Yr 2'!AA71,"")</f>
        <v>0</v>
      </c>
      <c r="AV71" s="197">
        <f>IFERROR($CR71*((INDEX(avoidedcosttbl2,$H71,AV$2))+(($H71-ROUNDDOWN($H71,0))*((INDEX(avoidedcosttbl2,ROUNDUP($H71,0),AV$2))-(INDEX(avoidedcosttbl2,ROUNDDOWN($H71,0),AV$2)))))*$O71*1000*'Inputs Yr 2'!AB71,"")</f>
        <v>0</v>
      </c>
      <c r="AW71" s="197">
        <f>IFERROR($CS71*((INDEX(avoidedcosttbl2,$H71,AW$2))+(($H71-ROUNDDOWN($H71,0))*((INDEX(avoidedcosttbl2,ROUNDUP($H71,0),AW$2))-(INDEX(avoidedcosttbl2,ROUNDDOWN($H71,0),AW$2)))))*$O71*1000*'Inputs Yr 2'!AC71,"")</f>
        <v>0</v>
      </c>
      <c r="AX71" s="197">
        <f>IFERROR($CT71*((INDEX(avoidedcosttbl2,$H71,AX$2))+(($H71-ROUNDDOWN($H71,0))*((INDEX(avoidedcosttbl2,ROUNDUP($H71,0),AX$2))-(INDEX(avoidedcosttbl2,ROUNDDOWN($H71,0),AX$2)))))*$O71*1000*'Inputs Yr 2'!AD71,"")</f>
        <v>0</v>
      </c>
      <c r="AY71" s="197">
        <f>IFERROR(((INDEX(avoidedcosttbl2,$H71,AY$2))+(($H71-ROUNDDOWN($H71,0))*((INDEX(avoidedcosttbl2,ROUNDUP($H71,0),AY$2))-(INDEX(avoidedcosttbl2,ROUNDDOWN($H71,0),AY$2)))))*$O71*1000*('Inputs Yr 2'!AC71+'Inputs Yr 2'!AD71),"")</f>
        <v>0</v>
      </c>
      <c r="AZ71" s="197">
        <f>IFERROR(((INDEX(avoidedcosttbl2,$H71,AZ$2))+(($H71-ROUNDDOWN($H71,0))*((INDEX(avoidedcosttbl2,ROUNDUP($H71,0),AZ$2))-(INDEX(avoidedcosttbl2,ROUNDDOWN($H71,0),AZ$2)))))*$O71*1000*('Inputs Yr 2'!AA71+'Inputs Yr 2'!AB71),"")</f>
        <v>0</v>
      </c>
      <c r="BA71" s="198">
        <f t="shared" si="64"/>
        <v>0</v>
      </c>
      <c r="BB71" s="198">
        <f t="shared" si="65"/>
        <v>0</v>
      </c>
      <c r="BC71" s="195">
        <f t="shared" si="47"/>
        <v>0</v>
      </c>
      <c r="BD71" s="195">
        <f t="shared" si="48"/>
        <v>0</v>
      </c>
      <c r="BE71" s="195">
        <f t="shared" si="49"/>
        <v>0</v>
      </c>
      <c r="BF71" s="195">
        <f t="shared" si="50"/>
        <v>0</v>
      </c>
      <c r="BG71" s="195">
        <f t="shared" si="51"/>
        <v>0</v>
      </c>
      <c r="BH71" s="196">
        <f t="shared" si="66"/>
        <v>0</v>
      </c>
      <c r="BI71" s="196">
        <f t="shared" si="67"/>
        <v>0</v>
      </c>
      <c r="BJ71" s="195">
        <f>IFERROR($G71*(IF('Inputs Yr 2'!$AJ71=BJ$4,'Inputs Yr 2'!$AK71,IF('Inputs Yr 2'!$AL71=BJ$4,'Inputs Yr 2'!$AM71,IF('Inputs Yr 2'!$AN71=BJ$4,'Inputs Yr 2'!$AO71,0))))*(INDEX(avoidedcosttbl2,$H71,BJ$2)+(($H71-ROUNDDOWN($H71,0))*(INDEX(avoidedcosttbl2,ROUNDUP($H71,0),BJ$2)-(INDEX(avoidedcosttbl2,ROUNDDOWN($H71,0),BJ$2)))))*'Inputs Yr 2'!P71*'Inputs Yr 2'!Q71*'Inputs Yr 2'!U71,"")</f>
        <v>0</v>
      </c>
      <c r="BK71" s="195">
        <f>IFERROR($G71*(IF('Inputs Yr 2'!$AJ71=BK$4,'Inputs Yr 2'!$AK71,IF('Inputs Yr 2'!$AL71=BK$4,'Inputs Yr 2'!$AM71,IF('Inputs Yr 2'!$AN71=BK$4,'Inputs Yr 2'!$AO71,0))))*(INDEX(avoidedcosttbl2,$H71,BK$2)+(($H71-ROUNDDOWN($H71,0))*(INDEX(avoidedcosttbl2,ROUNDUP($H71,0),BK$2)-(INDEX(avoidedcosttbl2,ROUNDDOWN($H71,0),BK$2)))))*'Inputs Yr 2'!P71*'Inputs Yr 2'!Q71*'Inputs Yr 2'!U71,"")</f>
        <v>634.97278525115871</v>
      </c>
      <c r="BL71" s="195">
        <f>IFERROR($G71*(IF('Inputs Yr 2'!$AJ71=BL$4,'Inputs Yr 2'!$AK71,IF('Inputs Yr 2'!$AL71=BL$4,'Inputs Yr 2'!$AM71,IF('Inputs Yr 2'!$AN71=BL$4,'Inputs Yr 2'!$AO71,0))))*(INDEX(avoidedcosttbl2,$H71,BL$2)+(($H71-ROUNDDOWN($H71,0))*(INDEX(avoidedcosttbl2,ROUNDUP($H71,0),BL$2)-(INDEX(avoidedcosttbl2,ROUNDDOWN($H71,0),BL$2)))))*'Inputs Yr 2'!P71*'Inputs Yr 2'!Q71*'Inputs Yr 2'!U71,"")</f>
        <v>0</v>
      </c>
      <c r="BM71" s="195">
        <f>IFERROR($G71*(IF('Inputs Yr 2'!$AJ71=BM$4,'Inputs Yr 2'!$AK71,IF('Inputs Yr 2'!$AL71=BM$4,'Inputs Yr 2'!$AM71,IF('Inputs Yr 2'!$AN71=BM$4,'Inputs Yr 2'!$AO71,0))))*(INDEX(avoidedcosttbl2,$H71,BM$2)+(($H71-ROUNDDOWN($H71,0))*(INDEX(avoidedcosttbl2,ROUNDUP($H71,0),BM$2)-(INDEX(avoidedcosttbl2,ROUNDDOWN($H71,0),BM$2)))))*'Inputs Yr 2'!P71*'Inputs Yr 2'!Q71*'Inputs Yr 2'!U71,"")</f>
        <v>943.14593545250659</v>
      </c>
      <c r="BN71" s="195">
        <f>IFERROR($G71*(IF('Inputs Yr 2'!$AJ71=BN$4,'Inputs Yr 2'!$AK71,IF('Inputs Yr 2'!$AL71=BN$4,'Inputs Yr 2'!$AM71,IF('Inputs Yr 2'!$AN71=BN$4,'Inputs Yr 2'!$AO71,0))))*(INDEX(avoidedcosttbl2,$H71,BN$2)+(($H71-ROUNDDOWN($H71,0))*(INDEX(avoidedcosttbl2,ROUNDUP($H71,0),BN$2)-(INDEX(avoidedcosttbl2,ROUNDDOWN($H71,0),BN$2)))))*'Inputs Yr 2'!P71*'Inputs Yr 2'!Q71*'Inputs Yr 2'!U71,"")</f>
        <v>0</v>
      </c>
      <c r="BO71" s="195">
        <f>IFERROR($G71*(IF('Inputs Yr 2'!$AJ71=BO$4,'Inputs Yr 2'!$AK71,IF('Inputs Yr 2'!$AL71=BO$4,'Inputs Yr 2'!$AM71,IF('Inputs Yr 2'!$AN71=BO$4,'Inputs Yr 2'!$AO71,0))))*(INDEX(avoidedcosttbl2,$H71,BO$2)+(($H71-ROUNDDOWN($H71,0))*(INDEX(avoidedcosttbl2,ROUNDUP($H71,0),BO$2)-(INDEX(avoidedcosttbl2,ROUNDDOWN($H71,0),BO$2)))))*'Inputs Yr 2'!P71*'Inputs Yr 2'!Q71*'Inputs Yr 2'!U71,"")</f>
        <v>0</v>
      </c>
      <c r="BP71" s="195">
        <f>IFERROR($G71*(IF('Inputs Yr 2'!$AJ71=BP$4,'Inputs Yr 2'!$AK71,IF('Inputs Yr 2'!$AL71=BP$4,'Inputs Yr 2'!$AM71,IF('Inputs Yr 2'!$AN71=BP$4,'Inputs Yr 2'!$AO71,0))))*(INDEX(avoidedcosttbl2,$H71,BP$2)+(($H71-ROUNDDOWN($H71,0))*(INDEX(avoidedcosttbl2,ROUNDUP($H71,0),BP$2)-(INDEX(avoidedcosttbl2,ROUNDDOWN($H71,0),BP$2)))))*'Inputs Yr 2'!P71*'Inputs Yr 2'!Q71*'Inputs Yr 2'!U71,"")</f>
        <v>0</v>
      </c>
      <c r="BQ71" s="230">
        <f t="shared" si="68"/>
        <v>1578.1187207036653</v>
      </c>
      <c r="BR71" s="197">
        <f t="shared" si="52"/>
        <v>32.108915712685082</v>
      </c>
      <c r="BS71" s="197">
        <f>IFERROR(($G71*IF('Inputs Yr 2'!$AJ71=BM$4,'Inputs Yr 2'!$AK71,IF('Inputs Yr 2'!$AL71=BM$4,'Inputs Yr 2'!$AM71,IF('Inputs Yr 2'!$AN71=BM$4,'Inputs Yr 2'!$AO71,0))))*(INDEX(avoidedcosttbl2,$H71,BS$2)+(($H71-ROUNDDOWN($H71,0))*(INDEX(avoidedcosttbl2,ROUNDUP($H71,0),BS$2)-(INDEX(avoidedcosttbl2,ROUNDDOWN($H71,0),BS$2)))))*'Inputs Yr 2'!P71*'Inputs Yr 2'!Q71*'Inputs Yr 2'!U71,"")</f>
        <v>281.46178407176603</v>
      </c>
      <c r="BT71" s="197">
        <f>IFERROR(($G71*IF('Inputs Yr 2'!$AJ71=BK$4,'Inputs Yr 2'!$AK71,IF('Inputs Yr 2'!$AL71=BK$4,'Inputs Yr 2'!$AM71,IF('Inputs Yr 2'!$AN71=BK$4,'Inputs Yr 2'!$AO71,0))))*(INDEX(avoidedcosttbl2,$H71,BT$2)+(($H71-ROUNDDOWN($H71,0))*(INDEX(avoidedcosttbl2,ROUNDUP($H71,0),BT$2)-(INDEX(avoidedcosttbl2,ROUNDDOWN($H71,0),BT$2)))))*'Inputs Yr 2'!P71*'Inputs Yr 2'!Q71*'Inputs Yr 2'!U71,"")</f>
        <v>144.78151121208768</v>
      </c>
      <c r="BU71" s="197">
        <f>IFERROR(($G71*IF('Inputs Yr 2'!$AJ71=BL$4,'Inputs Yr 2'!$AK71,IF('Inputs Yr 2'!$AL71=BL$4,'Inputs Yr 2'!$AM71,IF('Inputs Yr 2'!$AN71=BL$4,'Inputs Yr 2'!$AO71,0))))*(INDEX(avoidedcosttbl2,$H71,BU$2)+(($H71-ROUNDDOWN($H71,0))*(INDEX(avoidedcosttbl2,ROUNDUP($H71,0),BU$2)-(INDEX(avoidedcosttbl2,ROUNDDOWN($H71,0),BU$2)))))*'Inputs Yr 2'!P71*'Inputs Yr 2'!Q71*'Inputs Yr 2'!U71,"")</f>
        <v>0</v>
      </c>
      <c r="BV71" s="775">
        <f>IFERROR(($G71*IF('Inputs Yr 2'!$AJ71=BJ$4,'Inputs Yr 2'!$AK71,IF('Inputs Yr 2'!$AL71=BJ$4,'Inputs Yr 2'!$AM71,IF('Inputs Yr 2'!$AN71=BJ$4,'Inputs Yr 2'!$AO71,0))))*(INDEX(avoidedcosttbl2,$H71,BV$2)+(($H71-ROUNDDOWN($H71,0))*(INDEX(avoidedcosttbl2,ROUNDUP($H71,0),BV$2)-(INDEX(avoidedcosttbl2,ROUNDDOWN($H71,0),BV$2)))))*'Inputs Yr 2'!P71*'Inputs Yr 2'!Q71*'Inputs Yr 2'!U71,"")</f>
        <v>0</v>
      </c>
      <c r="BW71" s="197">
        <f>IFERROR(($G71*IF('Inputs Yr 2'!$AJ71=BN$4,'Inputs Yr 2'!$AK71,IF('Inputs Yr 2'!$AL71=BN$4,'Inputs Yr 2'!$AM71,IF('Inputs Yr 2'!$AN71=BN$4,'Inputs Yr 2'!$AO71,0))))*(INDEX(avoidedcosttbl2,$H71,BW$2)+(($H71-ROUNDDOWN($H71,0))*(INDEX(avoidedcosttbl2,ROUNDUP($H71,0),BW$2)-(INDEX(avoidedcosttbl2,ROUNDDOWN($H71,0),BW$2)))))*'Inputs Yr 2'!P71*'Inputs Yr 2'!Q71*'Inputs Yr 2'!U71,"")</f>
        <v>0</v>
      </c>
      <c r="BX71" s="197">
        <f>IFERROR(($G71*IF('Inputs Yr 2'!$AJ71=BO$4,'Inputs Yr 2'!$AK71,IF('Inputs Yr 2'!$AL71=BO$4,'Inputs Yr 2'!$AM71,IF('Inputs Yr 2'!$AN71=BO$4,'Inputs Yr 2'!$AO71,0))))*(INDEX(avoidedcosttbl2,$H71,BX$2)+(($H71-ROUNDDOWN($H71,0))*(INDEX(avoidedcosttbl2,ROUNDUP($H71,0),BX$2)-(INDEX(avoidedcosttbl2,ROUNDDOWN($H71,0),BX$2)))))*'Inputs Yr 2'!P71*'Inputs Yr 2'!Q71*'Inputs Yr 2'!U71,"")</f>
        <v>0</v>
      </c>
      <c r="BY71" s="197">
        <f>IFERROR(($G71*IF('Inputs Yr 2'!$AJ71=BP$4,'Inputs Yr 2'!$AK71,IF('Inputs Yr 2'!$AL71=BP$4,'Inputs Yr 2'!$AM71,IF('Inputs Yr 2'!$AN71=BP$4,'Inputs Yr 2'!$AO71,0))))*(INDEX(avoidedcosttbl2,$H71,BY$2)+(($H71-ROUNDDOWN($H71,0))*(INDEX(avoidedcosttbl2,ROUNDUP($H71,0),BY$2)-(INDEX(avoidedcosttbl2,ROUNDDOWN($H71,0),BY$2)))))*'Inputs Yr 2'!P71*'Inputs Yr 2'!Q71*'Inputs Yr 2'!U71,"")</f>
        <v>0</v>
      </c>
      <c r="BZ71" s="193">
        <f t="shared" si="69"/>
        <v>458.35221099653882</v>
      </c>
      <c r="CA71" s="193">
        <f t="shared" si="70"/>
        <v>2036.4709317002041</v>
      </c>
      <c r="CB71" s="195">
        <f>IFERROR(G71*(IF('Inputs Yr 2'!$AJ71=CB$4,'Inputs Yr 2'!$AK71,IF('Inputs Yr 2'!$AL71=CB$4,'Inputs Yr 2'!$AM71,IF('Inputs Yr 2'!$AN71=CB$4,'Inputs Yr 2'!$AO71,0))))*(INDEX(avoidedcosttbl2,$H71,CB$2)+(($H71-ROUNDDOWN($H71,0))*(INDEX(avoidedcosttbl2,ROUNDUP($H71,0),CB$2)-(INDEX(avoidedcosttbl2,ROUNDDOWN($H71,0),CB$2)))))*'Inputs Yr 2'!P71*'Inputs Yr 2'!Q71*'Inputs Yr 2'!U71,"")</f>
        <v>0</v>
      </c>
      <c r="CC71" s="195">
        <f>IFERROR(H71*(IF('Inputs Yr 2'!$AJ71=CC$4,'Inputs Yr 2'!$AK71,IF('Inputs Yr 2'!$AL71=CC$4,'Inputs Yr 2'!$AM71,IF('Inputs Yr 2'!$AN71=CC$4,'Inputs Yr 2'!$AO71,0))))*(INDEX(avoidedcosttbl2,$H71,CC$2)+(($H71-ROUNDDOWN($H71,0))*(INDEX(avoidedcosttbl2,ROUNDUP($H71,0),CC$2)-(INDEX(avoidedcosttbl2,ROUNDDOWN($H71,0),CC$2)))))*'Inputs Yr 2'!Q71*'Inputs Yr 2'!R71*'Inputs Yr 2'!V71,"")</f>
        <v>0</v>
      </c>
      <c r="CD71" s="195">
        <f>IFERROR(I71*(IF('Inputs Yr 2'!$AJ71=CD$4,'Inputs Yr 2'!$AK71,IF('Inputs Yr 2'!$AL71=CD$4,'Inputs Yr 2'!$AM71,IF('Inputs Yr 2'!$AN71=CD$4,'Inputs Yr 2'!$AO71,0))))*(INDEX(avoidedcosttbl2,$H71,CD$2)+(($H71-ROUNDDOWN($H71,0))*(INDEX(avoidedcosttbl2,ROUNDUP($H71,0),CD$2)-(INDEX(avoidedcosttbl2,ROUNDDOWN($H71,0),CD$2)))))*'Inputs Yr 2'!R71*'Inputs Yr 2'!S71*'Inputs Yr 2'!W71,"")</f>
        <v>0</v>
      </c>
      <c r="CE71" s="213">
        <f t="shared" si="71"/>
        <v>0</v>
      </c>
      <c r="CF71" s="213">
        <f t="shared" si="72"/>
        <v>0</v>
      </c>
      <c r="CG71" s="213">
        <f t="shared" si="73"/>
        <v>0</v>
      </c>
      <c r="CH71" s="698">
        <f t="shared" si="74"/>
        <v>2036.4709317002041</v>
      </c>
      <c r="CI71" s="79">
        <f>IFERROR(($G71*'Inputs Yr 2'!$P71*'Inputs Yr 2'!$Q71*(((INDEX(avoidedcosttbl2,$H71,CI$2)+(($H71-ROUNDDOWN($H71,0))*(INDEX(avoidedcosttbl2,ROUNDUP($H71,0),CI$2)-INDEX(avoidedcosttbl2,ROUNDDOWN($H71,0),CI$2))))*'Inputs Yr 2'!AS71))),"")</f>
        <v>0</v>
      </c>
      <c r="CJ71" s="504">
        <f>IFERROR($G71*'Inputs Yr 2'!AT71*'Inputs Yr 2'!$P71*'Inputs Yr 2'!$Q71/((1+realdiscrt1)^-0.5),"")</f>
        <v>0</v>
      </c>
      <c r="CK71" s="79">
        <f>IFERROR((O71*1000*(((INDEX(avoidedcosttbl2,$H71,CK$2)+(($H71-ROUNDDOWN($H71,0))*(INDEX(avoidedcosttbl2,ROUNDUP($H71,0),CK$2)-INDEX(avoidedcosttbl2,ROUNDDOWN($H71,0),CK$2))))*'Inputs Yr 2'!AU71))),"")</f>
        <v>0</v>
      </c>
      <c r="CL71" s="504">
        <f>IFERROR(O71*1000*'Inputs Yr 2'!AV71/((1+realdiscrt1)^-0.5),"")</f>
        <v>0</v>
      </c>
      <c r="CM71" s="79">
        <f>IFERROR((AB71*'Inputs Yr 2'!AW71*(((INDEX(avoidedcosttbl2,$H71,CM$2)+(($H71-ROUNDDOWN($H71,0))*(INDEX(avoidedcosttbl2,ROUNDUP($H71,0),CM$2)-INDEX(avoidedcosttbl2,ROUNDDOWN($H71,0),CM$2)))))))*10,"")</f>
        <v>0</v>
      </c>
      <c r="CN71" s="504">
        <f>IFERROR(10*AB71*'Inputs Yr 2'!AX71/((1+realdiscrt1)^-0.5),"")</f>
        <v>0</v>
      </c>
      <c r="CO71" s="505">
        <f t="shared" si="75"/>
        <v>0</v>
      </c>
      <c r="CP71" s="230">
        <f t="shared" si="76"/>
        <v>2036.4709317002041</v>
      </c>
      <c r="CQ71" s="199">
        <f>ROUND(IFERROR(IF(LEFT($A71,1)="C",'Avoided Costs'!$K$13,'Avoided Costs'!$K$12)+1,""),4)</f>
        <v>1.0720000000000001</v>
      </c>
      <c r="CR71" s="199">
        <f>ROUND(IFERROR(IF(LEFT($A71,1)="C",'Avoided Costs'!$L$13,'Avoided Costs'!$L$12)+1,""),4)</f>
        <v>1.04</v>
      </c>
      <c r="CS71" s="199">
        <f>ROUND(IFERROR(IF(LEFT($A71,1)="C",'Avoided Costs'!$M$13,'Avoided Costs'!$M$12)+1,""),4)</f>
        <v>1.0720000000000001</v>
      </c>
      <c r="CT71" s="199">
        <f>ROUND(IFERROR(IF(LEFT($A71,1)="C",'Avoided Costs'!$N$13,'Avoided Costs'!$N$12)+1,""),4)</f>
        <v>1.04</v>
      </c>
      <c r="CU71" s="199">
        <f>ROUND(IFERROR(IF(LEFT($A71,1)="C",'Avoided Costs'!$O$13,'Avoided Costs'!$O$12)+1,""),4)</f>
        <v>1.1120000000000001</v>
      </c>
      <c r="CV71" s="199">
        <f>ROUND(IFERROR(IF(LEFT($A71,1)="C",'Avoided Costs'!$P$13,'Avoided Costs'!$P$12)+1,""),4)</f>
        <v>1.095</v>
      </c>
      <c r="CW71" s="199">
        <f>ROUND(IFERROR(IF(LEFT($A71,1)="C",'Avoided Costs'!$Q$13,'Avoided Costs'!$Q$12)+1,""),4)</f>
        <v>1.1120000000000001</v>
      </c>
      <c r="CX71" s="200">
        <f>ROUND(IFERROR(IF(LEFT($A71,1)="C",'Avoided Costs'!$R$13,'Avoided Costs'!$R$12)+1,""),4)</f>
        <v>1.1120000000000001</v>
      </c>
    </row>
    <row r="72" spans="1:102" ht="12.75" customHeight="1">
      <c r="A72" s="91" t="str">
        <f>IF('Inputs Yr 2'!$B72=0,"",'Inputs Yr 2'!A72)</f>
        <v>A - Residential</v>
      </c>
      <c r="B72" s="91" t="str">
        <f>IF('Inputs Yr 2'!$B72=0,"",'Inputs Yr 2'!B72)</f>
        <v>A1 - Residential Whole House</v>
      </c>
      <c r="C72" s="91" t="str">
        <f>IF('Inputs Yr 2'!$B72=0,"",'Inputs Yr 2'!C72)</f>
        <v>A1c - Residential Home Energy Services - Measures</v>
      </c>
      <c r="D72" s="91" t="str">
        <f>IF('Inputs Yr 2'!$B72=0,"",'Inputs Yr 2'!E72)</f>
        <v>Rebate Cost Adjustment* (pre-wx, etc.)</v>
      </c>
      <c r="E72" s="93">
        <f>IF('Inputs Yr 2'!$B72=0,"",'Inputs Yr 2'!F72)</f>
        <v>0</v>
      </c>
      <c r="F72" s="93">
        <f>IF('Inputs Yr 2'!$B72=0,"",'Inputs Yr 2'!G72)</f>
        <v>0</v>
      </c>
      <c r="G72" s="95" t="str">
        <f>IF('Inputs Yr 2'!$H72&lt;&gt;0,('Inputs Yr 2'!H72),"")</f>
        <v/>
      </c>
      <c r="H72" s="94">
        <f>IFERROR('Inputs Yr 2'!I72,"")</f>
        <v>0</v>
      </c>
      <c r="I72" s="298" t="str">
        <f>IFERROR('Inputs Yr 2'!J72*'Inputs Yr 2'!P72*G72,"")</f>
        <v/>
      </c>
      <c r="J72" s="298" t="str">
        <f>IFERROR('Inputs Yr 2'!K72*G72,"")</f>
        <v/>
      </c>
      <c r="K72" s="298" t="str">
        <f t="shared" si="53"/>
        <v/>
      </c>
      <c r="L72" s="194" t="str">
        <f>IFERROR(('Inputs Yr 2'!W72*G72)/1000,"")</f>
        <v/>
      </c>
      <c r="M72" s="194" t="str">
        <f>IFERROR(L72*('Inputs Yr 2'!$Q72*'Inputs Yr 2'!$V72*'Inputs Yr 2'!$R72),"")</f>
        <v/>
      </c>
      <c r="N72" s="194" t="str">
        <f t="shared" si="54"/>
        <v/>
      </c>
      <c r="O72" s="194" t="str">
        <f>IFERROR(M72*'Inputs Yr 2'!P72,"")</f>
        <v/>
      </c>
      <c r="P72" s="194" t="str">
        <f t="shared" si="55"/>
        <v/>
      </c>
      <c r="Q72" s="194" t="str">
        <f>IFERROR($P72*'Inputs Yr 2'!AA72,"")</f>
        <v/>
      </c>
      <c r="R72" s="194" t="str">
        <f>IFERROR($P72*'Inputs Yr 2'!AB72,"")</f>
        <v/>
      </c>
      <c r="S72" s="194" t="str">
        <f>IFERROR($P72*'Inputs Yr 2'!AC72,"")</f>
        <v/>
      </c>
      <c r="T72" s="194" t="str">
        <f>IFERROR($P72*'Inputs Yr 2'!AD72,"")</f>
        <v/>
      </c>
      <c r="U72" s="194" t="str">
        <f>IFERROR(G72*'Inputs Yr 2'!$AE72*'Inputs Yr 2'!$P72*'Inputs Yr 2'!$Q72,"")</f>
        <v/>
      </c>
      <c r="V72" s="194" t="str">
        <f>IFERROR($G72*'Inputs Yr 2'!$AE72*'Inputs Yr 2'!$AG72*'Inputs Yr 2'!Q72*'Inputs Yr 2'!$S72,"")</f>
        <v/>
      </c>
      <c r="W72" s="194" t="str">
        <f>IFERROR($G72*'Inputs Yr 2'!$AE72*'Inputs Yr 2'!$AG72*'Inputs Yr 2'!P72*'Inputs Yr 2'!Q72*'Inputs Yr 2'!$S72,"")</f>
        <v/>
      </c>
      <c r="X72" s="194" t="str">
        <f>IFERROR($G72*'Inputs Yr 2'!$AE72*'Inputs Yr 2'!$AF72*'Inputs Yr 2'!Q72*'Inputs Yr 2'!$T72,"")</f>
        <v/>
      </c>
      <c r="Y72" s="194" t="str">
        <f>IFERROR($G72*'Inputs Yr 2'!$AE72*'Inputs Yr 2'!$AF72*'Inputs Yr 2'!P72*'Inputs Yr 2'!Q72*'Inputs Yr 2'!$T72,"")</f>
        <v/>
      </c>
      <c r="Z72" s="257">
        <f>IFERROR($G72*'Inputs Yr 2'!$Q72*'Inputs Yr 2'!$U72*(IF(IFERROR(SEARCH("NG", 'Inputs Yr 2'!$AJ72),0),'Inputs Yr 2'!$AK72,0)+IF(IFERROR(SEARCH("NG", 'Inputs Yr 2'!$AL72),0),'Inputs Yr 2'!$AM72,0)+IF(IFERROR(SEARCH("NG", 'Inputs Yr 2'!$AN72),0),'Inputs Yr 2'!$AO72,0)),0)</f>
        <v>0</v>
      </c>
      <c r="AA72" s="257">
        <f t="shared" si="56"/>
        <v>0</v>
      </c>
      <c r="AB72" s="257">
        <f>IFERROR(Z72*'Inputs Yr 2'!$P72,0)</f>
        <v>0</v>
      </c>
      <c r="AC72" s="257">
        <f t="shared" si="57"/>
        <v>0</v>
      </c>
      <c r="AD72" s="257">
        <f>IFERROR($G72*'Inputs Yr 2'!$Q72*'Inputs Yr 2'!$U72*(IF(IFERROR(SEARCH("Oil", 'Inputs Yr 2'!$AJ72), 0),'Inputs Yr 2'!$AK72,0)+IF(IFERROR(SEARCH("Oil", 'Inputs Yr 2'!$AL72), 0),'Inputs Yr 2'!$AM72,0)+IF(IFERROR(SEARCH("Oil", 'Inputs Yr 2'!$AN72), 0),'Inputs Yr 2'!$AO72,0)),0)</f>
        <v>0</v>
      </c>
      <c r="AE72" s="257">
        <f t="shared" si="58"/>
        <v>0</v>
      </c>
      <c r="AF72" s="257">
        <f>IFERROR(AD72*'Inputs Yr 2'!$P72,0)</f>
        <v>0</v>
      </c>
      <c r="AG72" s="257">
        <f t="shared" si="59"/>
        <v>0</v>
      </c>
      <c r="AH72" s="257">
        <f>IFERROR($G72*'Inputs Yr 2'!$Q72*'Inputs Yr 2'!$U72*(IF('Inputs Yr 2'!$AJ72=CD$4,'Inputs Yr 2'!$AK72,IF('Inputs Yr 2'!$AL72=CD$4,'Inputs Yr 2'!$AM72,IF('Inputs Yr 2'!$AN72=CD$4,'Inputs Yr 2'!$AO72,0)))),0)</f>
        <v>0</v>
      </c>
      <c r="AI72" s="257">
        <f t="shared" si="60"/>
        <v>0</v>
      </c>
      <c r="AJ72" s="257">
        <f>IFERROR(AH72*'Inputs Yr 2'!$P72,0)</f>
        <v>0</v>
      </c>
      <c r="AK72" s="257">
        <f t="shared" si="61"/>
        <v>0</v>
      </c>
      <c r="AL72" s="258">
        <f>IFERROR($G72*'Inputs Yr 2'!$P72*'Inputs Yr 2'!$Q72*'Inputs Yr 2'!AP72,0)</f>
        <v>0</v>
      </c>
      <c r="AM72" s="260">
        <f>IFERROR($G72*'Inputs Yr 2'!$P72*'Inputs Yr 2'!$Q72*'Inputs Yr 2'!AQ72,0)</f>
        <v>0</v>
      </c>
      <c r="AN72" s="258">
        <f>IFERROR($G72*'Inputs Yr 2'!$P72*'Inputs Yr 2'!$Q72*'Inputs Yr 2'!AR72,0)</f>
        <v>0</v>
      </c>
      <c r="AO72" s="257">
        <f t="shared" si="62"/>
        <v>0</v>
      </c>
      <c r="AP72" s="195" t="str">
        <f>IFERROR($CQ72*(INDEX(avoidedcosttbl2,$H72,AP$2)+(($H72-ROUNDDOWN($H72,0))*(INDEX(avoidedcosttbl2,ROUNDUP($H72,0),AP$2)-(INDEX(avoidedcosttbl2,ROUNDDOWN($H72,0),AP$2)))))*$O72*1000*'Inputs Yr 2'!AA72,"")</f>
        <v/>
      </c>
      <c r="AQ72" s="195" t="str">
        <f>IFERROR($CR72*(INDEX(avoidedcosttbl2,$H72,AQ$2)+(($H72-ROUNDDOWN($H72,0))*(INDEX(avoidedcosttbl2,ROUNDUP($H72,0),AQ$2)-(INDEX(avoidedcosttbl2,ROUNDDOWN($H72,0),AQ$2)))))*$O72*1000*'Inputs Yr 2'!AB72,"")</f>
        <v/>
      </c>
      <c r="AR72" s="195" t="str">
        <f>IFERROR($CS72*(INDEX(avoidedcosttbl2,$H72,AR$2)+(($H72-ROUNDDOWN($H72,0))*(INDEX(avoidedcosttbl2,ROUNDUP($H72,0),AR$2)-(INDEX(avoidedcosttbl2,ROUNDDOWN($H72,0),AR$2)))))*$O72*1000*'Inputs Yr 2'!AC72,"")</f>
        <v/>
      </c>
      <c r="AS72" s="195" t="str">
        <f>IFERROR($CT72*(INDEX(avoidedcosttbl2,$H72,AS$2)+(($H72-ROUNDDOWN($H72,0))*(INDEX(avoidedcosttbl2,ROUNDUP($H72,0),AS$2)-(INDEX(avoidedcosttbl2,ROUNDDOWN($H72,0),AS$2)))))*$O72*1000*'Inputs Yr 2'!AD72,"")</f>
        <v/>
      </c>
      <c r="AT72" s="196">
        <f t="shared" si="63"/>
        <v>0</v>
      </c>
      <c r="AU72" s="197" t="str">
        <f>IFERROR($CQ72*((INDEX(avoidedcosttbl2,$H72,AU$2))+(($H72-ROUNDDOWN($H72,0))*((INDEX(avoidedcosttbl2,ROUNDUP($H72,0),AU$2))-(INDEX(avoidedcosttbl2,ROUNDDOWN($H72,0),AU$2)))))*$O72*1000*'Inputs Yr 2'!AA72,"")</f>
        <v/>
      </c>
      <c r="AV72" s="197" t="str">
        <f>IFERROR($CR72*((INDEX(avoidedcosttbl2,$H72,AV$2))+(($H72-ROUNDDOWN($H72,0))*((INDEX(avoidedcosttbl2,ROUNDUP($H72,0),AV$2))-(INDEX(avoidedcosttbl2,ROUNDDOWN($H72,0),AV$2)))))*$O72*1000*'Inputs Yr 2'!AB72,"")</f>
        <v/>
      </c>
      <c r="AW72" s="197" t="str">
        <f>IFERROR($CS72*((INDEX(avoidedcosttbl2,$H72,AW$2))+(($H72-ROUNDDOWN($H72,0))*((INDEX(avoidedcosttbl2,ROUNDUP($H72,0),AW$2))-(INDEX(avoidedcosttbl2,ROUNDDOWN($H72,0),AW$2)))))*$O72*1000*'Inputs Yr 2'!AC72,"")</f>
        <v/>
      </c>
      <c r="AX72" s="197" t="str">
        <f>IFERROR($CT72*((INDEX(avoidedcosttbl2,$H72,AX$2))+(($H72-ROUNDDOWN($H72,0))*((INDEX(avoidedcosttbl2,ROUNDUP($H72,0),AX$2))-(INDEX(avoidedcosttbl2,ROUNDDOWN($H72,0),AX$2)))))*$O72*1000*'Inputs Yr 2'!AD72,"")</f>
        <v/>
      </c>
      <c r="AY72" s="197" t="str">
        <f>IFERROR(((INDEX(avoidedcosttbl2,$H72,AY$2))+(($H72-ROUNDDOWN($H72,0))*((INDEX(avoidedcosttbl2,ROUNDUP($H72,0),AY$2))-(INDEX(avoidedcosttbl2,ROUNDDOWN($H72,0),AY$2)))))*$O72*1000*('Inputs Yr 2'!AC72+'Inputs Yr 2'!AD72),"")</f>
        <v/>
      </c>
      <c r="AZ72" s="197" t="str">
        <f>IFERROR(((INDEX(avoidedcosttbl2,$H72,AZ$2))+(($H72-ROUNDDOWN($H72,0))*((INDEX(avoidedcosttbl2,ROUNDUP($H72,0),AZ$2))-(INDEX(avoidedcosttbl2,ROUNDDOWN($H72,0),AZ$2)))))*$O72*1000*('Inputs Yr 2'!AA72+'Inputs Yr 2'!AB72),"")</f>
        <v/>
      </c>
      <c r="BA72" s="198">
        <f t="shared" si="64"/>
        <v>0</v>
      </c>
      <c r="BB72" s="198">
        <f t="shared" si="65"/>
        <v>0</v>
      </c>
      <c r="BC72" s="195" t="str">
        <f t="shared" si="47"/>
        <v/>
      </c>
      <c r="BD72" s="195" t="str">
        <f t="shared" si="48"/>
        <v/>
      </c>
      <c r="BE72" s="195" t="str">
        <f t="shared" si="49"/>
        <v/>
      </c>
      <c r="BF72" s="195" t="str">
        <f t="shared" si="50"/>
        <v/>
      </c>
      <c r="BG72" s="195" t="str">
        <f t="shared" si="51"/>
        <v/>
      </c>
      <c r="BH72" s="196">
        <f t="shared" si="66"/>
        <v>0</v>
      </c>
      <c r="BI72" s="196">
        <f t="shared" si="67"/>
        <v>0</v>
      </c>
      <c r="BJ72" s="195" t="str">
        <f>IFERROR($G72*(IF('Inputs Yr 2'!$AJ72=BJ$4,'Inputs Yr 2'!$AK72,IF('Inputs Yr 2'!$AL72=BJ$4,'Inputs Yr 2'!$AM72,IF('Inputs Yr 2'!$AN72=BJ$4,'Inputs Yr 2'!$AO72,0))))*(INDEX(avoidedcosttbl2,$H72,BJ$2)+(($H72-ROUNDDOWN($H72,0))*(INDEX(avoidedcosttbl2,ROUNDUP($H72,0),BJ$2)-(INDEX(avoidedcosttbl2,ROUNDDOWN($H72,0),BJ$2)))))*'Inputs Yr 2'!P72*'Inputs Yr 2'!Q72*'Inputs Yr 2'!U72,"")</f>
        <v/>
      </c>
      <c r="BK72" s="195" t="str">
        <f>IFERROR($G72*(IF('Inputs Yr 2'!$AJ72=BK$4,'Inputs Yr 2'!$AK72,IF('Inputs Yr 2'!$AL72=BK$4,'Inputs Yr 2'!$AM72,IF('Inputs Yr 2'!$AN72=BK$4,'Inputs Yr 2'!$AO72,0))))*(INDEX(avoidedcosttbl2,$H72,BK$2)+(($H72-ROUNDDOWN($H72,0))*(INDEX(avoidedcosttbl2,ROUNDUP($H72,0),BK$2)-(INDEX(avoidedcosttbl2,ROUNDDOWN($H72,0),BK$2)))))*'Inputs Yr 2'!P72*'Inputs Yr 2'!Q72*'Inputs Yr 2'!U72,"")</f>
        <v/>
      </c>
      <c r="BL72" s="195" t="str">
        <f>IFERROR($G72*(IF('Inputs Yr 2'!$AJ72=BL$4,'Inputs Yr 2'!$AK72,IF('Inputs Yr 2'!$AL72=BL$4,'Inputs Yr 2'!$AM72,IF('Inputs Yr 2'!$AN72=BL$4,'Inputs Yr 2'!$AO72,0))))*(INDEX(avoidedcosttbl2,$H72,BL$2)+(($H72-ROUNDDOWN($H72,0))*(INDEX(avoidedcosttbl2,ROUNDUP($H72,0),BL$2)-(INDEX(avoidedcosttbl2,ROUNDDOWN($H72,0),BL$2)))))*'Inputs Yr 2'!P72*'Inputs Yr 2'!Q72*'Inputs Yr 2'!U72,"")</f>
        <v/>
      </c>
      <c r="BM72" s="195" t="str">
        <f>IFERROR($G72*(IF('Inputs Yr 2'!$AJ72=BM$4,'Inputs Yr 2'!$AK72,IF('Inputs Yr 2'!$AL72=BM$4,'Inputs Yr 2'!$AM72,IF('Inputs Yr 2'!$AN72=BM$4,'Inputs Yr 2'!$AO72,0))))*(INDEX(avoidedcosttbl2,$H72,BM$2)+(($H72-ROUNDDOWN($H72,0))*(INDEX(avoidedcosttbl2,ROUNDUP($H72,0),BM$2)-(INDEX(avoidedcosttbl2,ROUNDDOWN($H72,0),BM$2)))))*'Inputs Yr 2'!P72*'Inputs Yr 2'!Q72*'Inputs Yr 2'!U72,"")</f>
        <v/>
      </c>
      <c r="BN72" s="195" t="str">
        <f>IFERROR($G72*(IF('Inputs Yr 2'!$AJ72=BN$4,'Inputs Yr 2'!$AK72,IF('Inputs Yr 2'!$AL72=BN$4,'Inputs Yr 2'!$AM72,IF('Inputs Yr 2'!$AN72=BN$4,'Inputs Yr 2'!$AO72,0))))*(INDEX(avoidedcosttbl2,$H72,BN$2)+(($H72-ROUNDDOWN($H72,0))*(INDEX(avoidedcosttbl2,ROUNDUP($H72,0),BN$2)-(INDEX(avoidedcosttbl2,ROUNDDOWN($H72,0),BN$2)))))*'Inputs Yr 2'!P72*'Inputs Yr 2'!Q72*'Inputs Yr 2'!U72,"")</f>
        <v/>
      </c>
      <c r="BO72" s="195" t="str">
        <f>IFERROR($G72*(IF('Inputs Yr 2'!$AJ72=BO$4,'Inputs Yr 2'!$AK72,IF('Inputs Yr 2'!$AL72=BO$4,'Inputs Yr 2'!$AM72,IF('Inputs Yr 2'!$AN72=BO$4,'Inputs Yr 2'!$AO72,0))))*(INDEX(avoidedcosttbl2,$H72,BO$2)+(($H72-ROUNDDOWN($H72,0))*(INDEX(avoidedcosttbl2,ROUNDUP($H72,0),BO$2)-(INDEX(avoidedcosttbl2,ROUNDDOWN($H72,0),BO$2)))))*'Inputs Yr 2'!P72*'Inputs Yr 2'!Q72*'Inputs Yr 2'!U72,"")</f>
        <v/>
      </c>
      <c r="BP72" s="195" t="str">
        <f>IFERROR($G72*(IF('Inputs Yr 2'!$AJ72=BP$4,'Inputs Yr 2'!$AK72,IF('Inputs Yr 2'!$AL72=BP$4,'Inputs Yr 2'!$AM72,IF('Inputs Yr 2'!$AN72=BP$4,'Inputs Yr 2'!$AO72,0))))*(INDEX(avoidedcosttbl2,$H72,BP$2)+(($H72-ROUNDDOWN($H72,0))*(INDEX(avoidedcosttbl2,ROUNDUP($H72,0),BP$2)-(INDEX(avoidedcosttbl2,ROUNDDOWN($H72,0),BP$2)))))*'Inputs Yr 2'!P72*'Inputs Yr 2'!Q72*'Inputs Yr 2'!U72,"")</f>
        <v/>
      </c>
      <c r="BQ72" s="230">
        <f t="shared" si="68"/>
        <v>0</v>
      </c>
      <c r="BR72" s="197">
        <f t="shared" si="52"/>
        <v>0</v>
      </c>
      <c r="BS72" s="197" t="str">
        <f>IFERROR(($G72*IF('Inputs Yr 2'!$AJ72=BM$4,'Inputs Yr 2'!$AK72,IF('Inputs Yr 2'!$AL72=BM$4,'Inputs Yr 2'!$AM72,IF('Inputs Yr 2'!$AN72=BM$4,'Inputs Yr 2'!$AO72,0))))*(INDEX(avoidedcosttbl2,$H72,BS$2)+(($H72-ROUNDDOWN($H72,0))*(INDEX(avoidedcosttbl2,ROUNDUP($H72,0),BS$2)-(INDEX(avoidedcosttbl2,ROUNDDOWN($H72,0),BS$2)))))*'Inputs Yr 2'!P72*'Inputs Yr 2'!Q72*'Inputs Yr 2'!U72,"")</f>
        <v/>
      </c>
      <c r="BT72" s="197" t="str">
        <f>IFERROR(($G72*IF('Inputs Yr 2'!$AJ72=BK$4,'Inputs Yr 2'!$AK72,IF('Inputs Yr 2'!$AL72=BK$4,'Inputs Yr 2'!$AM72,IF('Inputs Yr 2'!$AN72=BK$4,'Inputs Yr 2'!$AO72,0))))*(INDEX(avoidedcosttbl2,$H72,BT$2)+(($H72-ROUNDDOWN($H72,0))*(INDEX(avoidedcosttbl2,ROUNDUP($H72,0),BT$2)-(INDEX(avoidedcosttbl2,ROUNDDOWN($H72,0),BT$2)))))*'Inputs Yr 2'!P72*'Inputs Yr 2'!Q72*'Inputs Yr 2'!U72,"")</f>
        <v/>
      </c>
      <c r="BU72" s="197" t="str">
        <f>IFERROR(($G72*IF('Inputs Yr 2'!$AJ72=BL$4,'Inputs Yr 2'!$AK72,IF('Inputs Yr 2'!$AL72=BL$4,'Inputs Yr 2'!$AM72,IF('Inputs Yr 2'!$AN72=BL$4,'Inputs Yr 2'!$AO72,0))))*(INDEX(avoidedcosttbl2,$H72,BU$2)+(($H72-ROUNDDOWN($H72,0))*(INDEX(avoidedcosttbl2,ROUNDUP($H72,0),BU$2)-(INDEX(avoidedcosttbl2,ROUNDDOWN($H72,0),BU$2)))))*'Inputs Yr 2'!P72*'Inputs Yr 2'!Q72*'Inputs Yr 2'!U72,"")</f>
        <v/>
      </c>
      <c r="BV72" s="775" t="str">
        <f>IFERROR(($G72*IF('Inputs Yr 2'!$AJ72=BJ$4,'Inputs Yr 2'!$AK72,IF('Inputs Yr 2'!$AL72=BJ$4,'Inputs Yr 2'!$AM72,IF('Inputs Yr 2'!$AN72=BJ$4,'Inputs Yr 2'!$AO72,0))))*(INDEX(avoidedcosttbl2,$H72,BV$2)+(($H72-ROUNDDOWN($H72,0))*(INDEX(avoidedcosttbl2,ROUNDUP($H72,0),BV$2)-(INDEX(avoidedcosttbl2,ROUNDDOWN($H72,0),BV$2)))))*'Inputs Yr 2'!P72*'Inputs Yr 2'!Q72*'Inputs Yr 2'!U72,"")</f>
        <v/>
      </c>
      <c r="BW72" s="197" t="str">
        <f>IFERROR(($G72*IF('Inputs Yr 2'!$AJ72=BN$4,'Inputs Yr 2'!$AK72,IF('Inputs Yr 2'!$AL72=BN$4,'Inputs Yr 2'!$AM72,IF('Inputs Yr 2'!$AN72=BN$4,'Inputs Yr 2'!$AO72,0))))*(INDEX(avoidedcosttbl2,$H72,BW$2)+(($H72-ROUNDDOWN($H72,0))*(INDEX(avoidedcosttbl2,ROUNDUP($H72,0),BW$2)-(INDEX(avoidedcosttbl2,ROUNDDOWN($H72,0),BW$2)))))*'Inputs Yr 2'!P72*'Inputs Yr 2'!Q72*'Inputs Yr 2'!U72,"")</f>
        <v/>
      </c>
      <c r="BX72" s="197" t="str">
        <f>IFERROR(($G72*IF('Inputs Yr 2'!$AJ72=BO$4,'Inputs Yr 2'!$AK72,IF('Inputs Yr 2'!$AL72=BO$4,'Inputs Yr 2'!$AM72,IF('Inputs Yr 2'!$AN72=BO$4,'Inputs Yr 2'!$AO72,0))))*(INDEX(avoidedcosttbl2,$H72,BX$2)+(($H72-ROUNDDOWN($H72,0))*(INDEX(avoidedcosttbl2,ROUNDUP($H72,0),BX$2)-(INDEX(avoidedcosttbl2,ROUNDDOWN($H72,0),BX$2)))))*'Inputs Yr 2'!P72*'Inputs Yr 2'!Q72*'Inputs Yr 2'!U72,"")</f>
        <v/>
      </c>
      <c r="BY72" s="197" t="str">
        <f>IFERROR(($G72*IF('Inputs Yr 2'!$AJ72=BP$4,'Inputs Yr 2'!$AK72,IF('Inputs Yr 2'!$AL72=BP$4,'Inputs Yr 2'!$AM72,IF('Inputs Yr 2'!$AN72=BP$4,'Inputs Yr 2'!$AO72,0))))*(INDEX(avoidedcosttbl2,$H72,BY$2)+(($H72-ROUNDDOWN($H72,0))*(INDEX(avoidedcosttbl2,ROUNDUP($H72,0),BY$2)-(INDEX(avoidedcosttbl2,ROUNDDOWN($H72,0),BY$2)))))*'Inputs Yr 2'!P72*'Inputs Yr 2'!Q72*'Inputs Yr 2'!U72,"")</f>
        <v/>
      </c>
      <c r="BZ72" s="193">
        <f t="shared" si="69"/>
        <v>0</v>
      </c>
      <c r="CA72" s="193">
        <f t="shared" si="70"/>
        <v>0</v>
      </c>
      <c r="CB72" s="195" t="str">
        <f>IFERROR(G72*(IF('Inputs Yr 2'!$AJ72=CB$4,'Inputs Yr 2'!$AK72,IF('Inputs Yr 2'!$AL72=CB$4,'Inputs Yr 2'!$AM72,IF('Inputs Yr 2'!$AN72=CB$4,'Inputs Yr 2'!$AO72,0))))*(INDEX(avoidedcosttbl2,$H72,CB$2)+(($H72-ROUNDDOWN($H72,0))*(INDEX(avoidedcosttbl2,ROUNDUP($H72,0),CB$2)-(INDEX(avoidedcosttbl2,ROUNDDOWN($H72,0),CB$2)))))*'Inputs Yr 2'!P72*'Inputs Yr 2'!Q72*'Inputs Yr 2'!U72,"")</f>
        <v/>
      </c>
      <c r="CC72" s="195">
        <f>IFERROR(H72*(IF('Inputs Yr 2'!$AJ72=CC$4,'Inputs Yr 2'!$AK72,IF('Inputs Yr 2'!$AL72=CC$4,'Inputs Yr 2'!$AM72,IF('Inputs Yr 2'!$AN72=CC$4,'Inputs Yr 2'!$AO72,0))))*(INDEX(avoidedcosttbl2,$H72,CC$2)+(($H72-ROUNDDOWN($H72,0))*(INDEX(avoidedcosttbl2,ROUNDUP($H72,0),CC$2)-(INDEX(avoidedcosttbl2,ROUNDDOWN($H72,0),CC$2)))))*'Inputs Yr 2'!Q72*'Inputs Yr 2'!R72*'Inputs Yr 2'!V72,"")</f>
        <v>0</v>
      </c>
      <c r="CD72" s="195" t="str">
        <f>IFERROR(I72*(IF('Inputs Yr 2'!$AJ72=CD$4,'Inputs Yr 2'!$AK72,IF('Inputs Yr 2'!$AL72=CD$4,'Inputs Yr 2'!$AM72,IF('Inputs Yr 2'!$AN72=CD$4,'Inputs Yr 2'!$AO72,0))))*(INDEX(avoidedcosttbl2,$H72,CD$2)+(($H72-ROUNDDOWN($H72,0))*(INDEX(avoidedcosttbl2,ROUNDUP($H72,0),CD$2)-(INDEX(avoidedcosttbl2,ROUNDDOWN($H72,0),CD$2)))))*'Inputs Yr 2'!R72*'Inputs Yr 2'!S72*'Inputs Yr 2'!W72,"")</f>
        <v/>
      </c>
      <c r="CE72" s="213">
        <f t="shared" si="71"/>
        <v>0</v>
      </c>
      <c r="CF72" s="213">
        <f t="shared" si="72"/>
        <v>0</v>
      </c>
      <c r="CG72" s="213">
        <f t="shared" si="73"/>
        <v>0</v>
      </c>
      <c r="CH72" s="698">
        <f t="shared" si="74"/>
        <v>0</v>
      </c>
      <c r="CI72" s="79" t="str">
        <f>IFERROR(($G72*'Inputs Yr 2'!$P72*'Inputs Yr 2'!$Q72*(((INDEX(avoidedcosttbl2,$H72,CI$2)+(($H72-ROUNDDOWN($H72,0))*(INDEX(avoidedcosttbl2,ROUNDUP($H72,0),CI$2)-INDEX(avoidedcosttbl2,ROUNDDOWN($H72,0),CI$2))))*'Inputs Yr 2'!AS72))),"")</f>
        <v/>
      </c>
      <c r="CJ72" s="504" t="str">
        <f>IFERROR($G72*'Inputs Yr 2'!AT72*'Inputs Yr 2'!$P72*'Inputs Yr 2'!$Q72/((1+realdiscrt1)^-0.5),"")</f>
        <v/>
      </c>
      <c r="CK72" s="79" t="str">
        <f>IFERROR((O72*1000*(((INDEX(avoidedcosttbl2,$H72,CK$2)+(($H72-ROUNDDOWN($H72,0))*(INDEX(avoidedcosttbl2,ROUNDUP($H72,0),CK$2)-INDEX(avoidedcosttbl2,ROUNDDOWN($H72,0),CK$2))))*'Inputs Yr 2'!AU72))),"")</f>
        <v/>
      </c>
      <c r="CL72" s="504" t="str">
        <f>IFERROR(O72*1000*'Inputs Yr 2'!AV72/((1+realdiscrt1)^-0.5),"")</f>
        <v/>
      </c>
      <c r="CM72" s="79">
        <f>IFERROR((AB72*'Inputs Yr 2'!AW72*(((INDEX(avoidedcosttbl2,$H72,CM$2)+(($H72-ROUNDDOWN($H72,0))*(INDEX(avoidedcosttbl2,ROUNDUP($H72,0),CM$2)-INDEX(avoidedcosttbl2,ROUNDDOWN($H72,0),CM$2)))))))*10,"")</f>
        <v>0</v>
      </c>
      <c r="CN72" s="504">
        <f>IFERROR(10*AB72*'Inputs Yr 2'!AX72/((1+realdiscrt1)^-0.5),"")</f>
        <v>0</v>
      </c>
      <c r="CO72" s="505">
        <f t="shared" si="75"/>
        <v>0</v>
      </c>
      <c r="CP72" s="230">
        <f t="shared" si="76"/>
        <v>0</v>
      </c>
      <c r="CQ72" s="199">
        <f>ROUND(IFERROR(IF(LEFT($A72,1)="C",'Avoided Costs'!$K$13,'Avoided Costs'!$K$12)+1,""),4)</f>
        <v>1.0720000000000001</v>
      </c>
      <c r="CR72" s="199">
        <f>ROUND(IFERROR(IF(LEFT($A72,1)="C",'Avoided Costs'!$L$13,'Avoided Costs'!$L$12)+1,""),4)</f>
        <v>1.04</v>
      </c>
      <c r="CS72" s="199">
        <f>ROUND(IFERROR(IF(LEFT($A72,1)="C",'Avoided Costs'!$M$13,'Avoided Costs'!$M$12)+1,""),4)</f>
        <v>1.0720000000000001</v>
      </c>
      <c r="CT72" s="199">
        <f>ROUND(IFERROR(IF(LEFT($A72,1)="C",'Avoided Costs'!$N$13,'Avoided Costs'!$N$12)+1,""),4)</f>
        <v>1.04</v>
      </c>
      <c r="CU72" s="199">
        <f>ROUND(IFERROR(IF(LEFT($A72,1)="C",'Avoided Costs'!$O$13,'Avoided Costs'!$O$12)+1,""),4)</f>
        <v>1.1120000000000001</v>
      </c>
      <c r="CV72" s="199">
        <f>ROUND(IFERROR(IF(LEFT($A72,1)="C",'Avoided Costs'!$P$13,'Avoided Costs'!$P$12)+1,""),4)</f>
        <v>1.095</v>
      </c>
      <c r="CW72" s="199">
        <f>ROUND(IFERROR(IF(LEFT($A72,1)="C",'Avoided Costs'!$Q$13,'Avoided Costs'!$Q$12)+1,""),4)</f>
        <v>1.1120000000000001</v>
      </c>
      <c r="CX72" s="200">
        <f>ROUND(IFERROR(IF(LEFT($A72,1)="C",'Avoided Costs'!$R$13,'Avoided Costs'!$R$12)+1,""),4)</f>
        <v>1.1120000000000001</v>
      </c>
    </row>
    <row r="73" spans="1:102" ht="12.75" customHeight="1">
      <c r="A73" s="91" t="str">
        <f>IF('Inputs Yr 2'!$B73=0,"",'Inputs Yr 2'!A73)</f>
        <v>A - Residential</v>
      </c>
      <c r="B73" s="91" t="str">
        <f>IF('Inputs Yr 2'!$B73=0,"",'Inputs Yr 2'!B73)</f>
        <v>A1 - Residential Whole House</v>
      </c>
      <c r="C73" s="91" t="str">
        <f>IF('Inputs Yr 2'!$B73=0,"",'Inputs Yr 2'!C73)</f>
        <v>A1c - Residential Home Energy Services - Measures</v>
      </c>
      <c r="D73" s="91" t="str">
        <f>IF('Inputs Yr 2'!$B73=0,"",'Inputs Yr 2'!E73)</f>
        <v>Custom/Future</v>
      </c>
      <c r="E73" s="93">
        <f>IF('Inputs Yr 2'!$B73=0,"",'Inputs Yr 2'!F73)</f>
        <v>0</v>
      </c>
      <c r="F73" s="93">
        <f>IF('Inputs Yr 2'!$B73=0,"",'Inputs Yr 2'!G73)</f>
        <v>0</v>
      </c>
      <c r="G73" s="95" t="str">
        <f>IF('Inputs Yr 2'!$H73&lt;&gt;0,('Inputs Yr 2'!H73),"")</f>
        <v/>
      </c>
      <c r="H73" s="94">
        <f>IFERROR('Inputs Yr 2'!I73,"")</f>
        <v>0</v>
      </c>
      <c r="I73" s="298" t="str">
        <f>IFERROR('Inputs Yr 2'!J73*'Inputs Yr 2'!P73*G73,"")</f>
        <v/>
      </c>
      <c r="J73" s="298" t="str">
        <f>IFERROR('Inputs Yr 2'!K73*G73,"")</f>
        <v/>
      </c>
      <c r="K73" s="298" t="str">
        <f t="shared" si="53"/>
        <v/>
      </c>
      <c r="L73" s="194" t="str">
        <f>IFERROR(('Inputs Yr 2'!W73*G73)/1000,"")</f>
        <v/>
      </c>
      <c r="M73" s="194" t="str">
        <f>IFERROR(L73*('Inputs Yr 2'!$Q73*'Inputs Yr 2'!$V73*'Inputs Yr 2'!$R73),"")</f>
        <v/>
      </c>
      <c r="N73" s="194" t="str">
        <f t="shared" si="54"/>
        <v/>
      </c>
      <c r="O73" s="194" t="str">
        <f>IFERROR(M73*'Inputs Yr 2'!P73,"")</f>
        <v/>
      </c>
      <c r="P73" s="194" t="str">
        <f t="shared" si="55"/>
        <v/>
      </c>
      <c r="Q73" s="194" t="str">
        <f>IFERROR($P73*'Inputs Yr 2'!AA73,"")</f>
        <v/>
      </c>
      <c r="R73" s="194" t="str">
        <f>IFERROR($P73*'Inputs Yr 2'!AB73,"")</f>
        <v/>
      </c>
      <c r="S73" s="194" t="str">
        <f>IFERROR($P73*'Inputs Yr 2'!AC73,"")</f>
        <v/>
      </c>
      <c r="T73" s="194" t="str">
        <f>IFERROR($P73*'Inputs Yr 2'!AD73,"")</f>
        <v/>
      </c>
      <c r="U73" s="194" t="str">
        <f>IFERROR(G73*'Inputs Yr 2'!$AE73*'Inputs Yr 2'!$P73*'Inputs Yr 2'!$Q73,"")</f>
        <v/>
      </c>
      <c r="V73" s="194" t="str">
        <f>IFERROR($G73*'Inputs Yr 2'!$AE73*'Inputs Yr 2'!$AG73*'Inputs Yr 2'!Q73*'Inputs Yr 2'!$S73,"")</f>
        <v/>
      </c>
      <c r="W73" s="194" t="str">
        <f>IFERROR($G73*'Inputs Yr 2'!$AE73*'Inputs Yr 2'!$AG73*'Inputs Yr 2'!P73*'Inputs Yr 2'!Q73*'Inputs Yr 2'!$S73,"")</f>
        <v/>
      </c>
      <c r="X73" s="194" t="str">
        <f>IFERROR($G73*'Inputs Yr 2'!$AE73*'Inputs Yr 2'!$AF73*'Inputs Yr 2'!Q73*'Inputs Yr 2'!$T73,"")</f>
        <v/>
      </c>
      <c r="Y73" s="194" t="str">
        <f>IFERROR($G73*'Inputs Yr 2'!$AE73*'Inputs Yr 2'!$AF73*'Inputs Yr 2'!P73*'Inputs Yr 2'!Q73*'Inputs Yr 2'!$T73,"")</f>
        <v/>
      </c>
      <c r="Z73" s="257">
        <f>IFERROR($G73*'Inputs Yr 2'!$Q73*'Inputs Yr 2'!$U73*(IF(IFERROR(SEARCH("NG", 'Inputs Yr 2'!$AJ73),0),'Inputs Yr 2'!$AK73,0)+IF(IFERROR(SEARCH("NG", 'Inputs Yr 2'!$AL73),0),'Inputs Yr 2'!$AM73,0)+IF(IFERROR(SEARCH("NG", 'Inputs Yr 2'!$AN73),0),'Inputs Yr 2'!$AO73,0)),0)</f>
        <v>0</v>
      </c>
      <c r="AA73" s="257">
        <f t="shared" si="56"/>
        <v>0</v>
      </c>
      <c r="AB73" s="257">
        <f>IFERROR(Z73*'Inputs Yr 2'!$P73,0)</f>
        <v>0</v>
      </c>
      <c r="AC73" s="257">
        <f t="shared" si="57"/>
        <v>0</v>
      </c>
      <c r="AD73" s="257">
        <f>IFERROR($G73*'Inputs Yr 2'!$Q73*'Inputs Yr 2'!$U73*(IF(IFERROR(SEARCH("Oil", 'Inputs Yr 2'!$AJ73), 0),'Inputs Yr 2'!$AK73,0)+IF(IFERROR(SEARCH("Oil", 'Inputs Yr 2'!$AL73), 0),'Inputs Yr 2'!$AM73,0)+IF(IFERROR(SEARCH("Oil", 'Inputs Yr 2'!$AN73), 0),'Inputs Yr 2'!$AO73,0)),0)</f>
        <v>0</v>
      </c>
      <c r="AE73" s="257">
        <f t="shared" si="58"/>
        <v>0</v>
      </c>
      <c r="AF73" s="257">
        <f>IFERROR(AD73*'Inputs Yr 2'!$P73,0)</f>
        <v>0</v>
      </c>
      <c r="AG73" s="257">
        <f t="shared" si="59"/>
        <v>0</v>
      </c>
      <c r="AH73" s="257">
        <f>IFERROR($G73*'Inputs Yr 2'!$Q73*'Inputs Yr 2'!$U73*(IF('Inputs Yr 2'!$AJ73=CD$4,'Inputs Yr 2'!$AK73,IF('Inputs Yr 2'!$AL73=CD$4,'Inputs Yr 2'!$AM73,IF('Inputs Yr 2'!$AN73=CD$4,'Inputs Yr 2'!$AO73,0)))),0)</f>
        <v>0</v>
      </c>
      <c r="AI73" s="257">
        <f t="shared" si="60"/>
        <v>0</v>
      </c>
      <c r="AJ73" s="257">
        <f>IFERROR(AH73*'Inputs Yr 2'!$P73,0)</f>
        <v>0</v>
      </c>
      <c r="AK73" s="257">
        <f t="shared" si="61"/>
        <v>0</v>
      </c>
      <c r="AL73" s="258">
        <f>IFERROR($G73*'Inputs Yr 2'!$P73*'Inputs Yr 2'!$Q73*'Inputs Yr 2'!AP73,0)</f>
        <v>0</v>
      </c>
      <c r="AM73" s="260">
        <f>IFERROR($G73*'Inputs Yr 2'!$P73*'Inputs Yr 2'!$Q73*'Inputs Yr 2'!AQ73,0)</f>
        <v>0</v>
      </c>
      <c r="AN73" s="258">
        <f>IFERROR($G73*'Inputs Yr 2'!$P73*'Inputs Yr 2'!$Q73*'Inputs Yr 2'!AR73,0)</f>
        <v>0</v>
      </c>
      <c r="AO73" s="257">
        <f t="shared" si="62"/>
        <v>0</v>
      </c>
      <c r="AP73" s="195" t="str">
        <f>IFERROR($CQ73*(INDEX(avoidedcosttbl2,$H73,AP$2)+(($H73-ROUNDDOWN($H73,0))*(INDEX(avoidedcosttbl2,ROUNDUP($H73,0),AP$2)-(INDEX(avoidedcosttbl2,ROUNDDOWN($H73,0),AP$2)))))*$O73*1000*'Inputs Yr 2'!AA73,"")</f>
        <v/>
      </c>
      <c r="AQ73" s="195" t="str">
        <f>IFERROR($CR73*(INDEX(avoidedcosttbl2,$H73,AQ$2)+(($H73-ROUNDDOWN($H73,0))*(INDEX(avoidedcosttbl2,ROUNDUP($H73,0),AQ$2)-(INDEX(avoidedcosttbl2,ROUNDDOWN($H73,0),AQ$2)))))*$O73*1000*'Inputs Yr 2'!AB73,"")</f>
        <v/>
      </c>
      <c r="AR73" s="195" t="str">
        <f>IFERROR($CS73*(INDEX(avoidedcosttbl2,$H73,AR$2)+(($H73-ROUNDDOWN($H73,0))*(INDEX(avoidedcosttbl2,ROUNDUP($H73,0),AR$2)-(INDEX(avoidedcosttbl2,ROUNDDOWN($H73,0),AR$2)))))*$O73*1000*'Inputs Yr 2'!AC73,"")</f>
        <v/>
      </c>
      <c r="AS73" s="195" t="str">
        <f>IFERROR($CT73*(INDEX(avoidedcosttbl2,$H73,AS$2)+(($H73-ROUNDDOWN($H73,0))*(INDEX(avoidedcosttbl2,ROUNDUP($H73,0),AS$2)-(INDEX(avoidedcosttbl2,ROUNDDOWN($H73,0),AS$2)))))*$O73*1000*'Inputs Yr 2'!AD73,"")</f>
        <v/>
      </c>
      <c r="AT73" s="196">
        <f t="shared" si="63"/>
        <v>0</v>
      </c>
      <c r="AU73" s="197" t="str">
        <f>IFERROR($CQ73*((INDEX(avoidedcosttbl2,$H73,AU$2))+(($H73-ROUNDDOWN($H73,0))*((INDEX(avoidedcosttbl2,ROUNDUP($H73,0),AU$2))-(INDEX(avoidedcosttbl2,ROUNDDOWN($H73,0),AU$2)))))*$O73*1000*'Inputs Yr 2'!AA73,"")</f>
        <v/>
      </c>
      <c r="AV73" s="197" t="str">
        <f>IFERROR($CR73*((INDEX(avoidedcosttbl2,$H73,AV$2))+(($H73-ROUNDDOWN($H73,0))*((INDEX(avoidedcosttbl2,ROUNDUP($H73,0),AV$2))-(INDEX(avoidedcosttbl2,ROUNDDOWN($H73,0),AV$2)))))*$O73*1000*'Inputs Yr 2'!AB73,"")</f>
        <v/>
      </c>
      <c r="AW73" s="197" t="str">
        <f>IFERROR($CS73*((INDEX(avoidedcosttbl2,$H73,AW$2))+(($H73-ROUNDDOWN($H73,0))*((INDEX(avoidedcosttbl2,ROUNDUP($H73,0),AW$2))-(INDEX(avoidedcosttbl2,ROUNDDOWN($H73,0),AW$2)))))*$O73*1000*'Inputs Yr 2'!AC73,"")</f>
        <v/>
      </c>
      <c r="AX73" s="197" t="str">
        <f>IFERROR($CT73*((INDEX(avoidedcosttbl2,$H73,AX$2))+(($H73-ROUNDDOWN($H73,0))*((INDEX(avoidedcosttbl2,ROUNDUP($H73,0),AX$2))-(INDEX(avoidedcosttbl2,ROUNDDOWN($H73,0),AX$2)))))*$O73*1000*'Inputs Yr 2'!AD73,"")</f>
        <v/>
      </c>
      <c r="AY73" s="197" t="str">
        <f>IFERROR(((INDEX(avoidedcosttbl2,$H73,AY$2))+(($H73-ROUNDDOWN($H73,0))*((INDEX(avoidedcosttbl2,ROUNDUP($H73,0),AY$2))-(INDEX(avoidedcosttbl2,ROUNDDOWN($H73,0),AY$2)))))*$O73*1000*('Inputs Yr 2'!AC73+'Inputs Yr 2'!AD73),"")</f>
        <v/>
      </c>
      <c r="AZ73" s="197" t="str">
        <f>IFERROR(((INDEX(avoidedcosttbl2,$H73,AZ$2))+(($H73-ROUNDDOWN($H73,0))*((INDEX(avoidedcosttbl2,ROUNDUP($H73,0),AZ$2))-(INDEX(avoidedcosttbl2,ROUNDDOWN($H73,0),AZ$2)))))*$O73*1000*('Inputs Yr 2'!AA73+'Inputs Yr 2'!AB73),"")</f>
        <v/>
      </c>
      <c r="BA73" s="198">
        <f t="shared" si="64"/>
        <v>0</v>
      </c>
      <c r="BB73" s="198">
        <f t="shared" si="65"/>
        <v>0</v>
      </c>
      <c r="BC73" s="195" t="str">
        <f t="shared" si="47"/>
        <v/>
      </c>
      <c r="BD73" s="195" t="str">
        <f t="shared" si="48"/>
        <v/>
      </c>
      <c r="BE73" s="195" t="str">
        <f t="shared" si="49"/>
        <v/>
      </c>
      <c r="BF73" s="195" t="str">
        <f t="shared" si="50"/>
        <v/>
      </c>
      <c r="BG73" s="195" t="str">
        <f t="shared" si="51"/>
        <v/>
      </c>
      <c r="BH73" s="196">
        <f t="shared" si="66"/>
        <v>0</v>
      </c>
      <c r="BI73" s="196">
        <f t="shared" si="67"/>
        <v>0</v>
      </c>
      <c r="BJ73" s="195" t="str">
        <f>IFERROR($G73*(IF('Inputs Yr 2'!$AJ73=BJ$4,'Inputs Yr 2'!$AK73,IF('Inputs Yr 2'!$AL73=BJ$4,'Inputs Yr 2'!$AM73,IF('Inputs Yr 2'!$AN73=BJ$4,'Inputs Yr 2'!$AO73,0))))*(INDEX(avoidedcosttbl2,$H73,BJ$2)+(($H73-ROUNDDOWN($H73,0))*(INDEX(avoidedcosttbl2,ROUNDUP($H73,0),BJ$2)-(INDEX(avoidedcosttbl2,ROUNDDOWN($H73,0),BJ$2)))))*'Inputs Yr 2'!P73*'Inputs Yr 2'!Q73*'Inputs Yr 2'!U73,"")</f>
        <v/>
      </c>
      <c r="BK73" s="195" t="str">
        <f>IFERROR($G73*(IF('Inputs Yr 2'!$AJ73=BK$4,'Inputs Yr 2'!$AK73,IF('Inputs Yr 2'!$AL73=BK$4,'Inputs Yr 2'!$AM73,IF('Inputs Yr 2'!$AN73=BK$4,'Inputs Yr 2'!$AO73,0))))*(INDEX(avoidedcosttbl2,$H73,BK$2)+(($H73-ROUNDDOWN($H73,0))*(INDEX(avoidedcosttbl2,ROUNDUP($H73,0),BK$2)-(INDEX(avoidedcosttbl2,ROUNDDOWN($H73,0),BK$2)))))*'Inputs Yr 2'!P73*'Inputs Yr 2'!Q73*'Inputs Yr 2'!U73,"")</f>
        <v/>
      </c>
      <c r="BL73" s="195" t="str">
        <f>IFERROR($G73*(IF('Inputs Yr 2'!$AJ73=BL$4,'Inputs Yr 2'!$AK73,IF('Inputs Yr 2'!$AL73=BL$4,'Inputs Yr 2'!$AM73,IF('Inputs Yr 2'!$AN73=BL$4,'Inputs Yr 2'!$AO73,0))))*(INDEX(avoidedcosttbl2,$H73,BL$2)+(($H73-ROUNDDOWN($H73,0))*(INDEX(avoidedcosttbl2,ROUNDUP($H73,0),BL$2)-(INDEX(avoidedcosttbl2,ROUNDDOWN($H73,0),BL$2)))))*'Inputs Yr 2'!P73*'Inputs Yr 2'!Q73*'Inputs Yr 2'!U73,"")</f>
        <v/>
      </c>
      <c r="BM73" s="195" t="str">
        <f>IFERROR($G73*(IF('Inputs Yr 2'!$AJ73=BM$4,'Inputs Yr 2'!$AK73,IF('Inputs Yr 2'!$AL73=BM$4,'Inputs Yr 2'!$AM73,IF('Inputs Yr 2'!$AN73=BM$4,'Inputs Yr 2'!$AO73,0))))*(INDEX(avoidedcosttbl2,$H73,BM$2)+(($H73-ROUNDDOWN($H73,0))*(INDEX(avoidedcosttbl2,ROUNDUP($H73,0),BM$2)-(INDEX(avoidedcosttbl2,ROUNDDOWN($H73,0),BM$2)))))*'Inputs Yr 2'!P73*'Inputs Yr 2'!Q73*'Inputs Yr 2'!U73,"")</f>
        <v/>
      </c>
      <c r="BN73" s="195" t="str">
        <f>IFERROR($G73*(IF('Inputs Yr 2'!$AJ73=BN$4,'Inputs Yr 2'!$AK73,IF('Inputs Yr 2'!$AL73=BN$4,'Inputs Yr 2'!$AM73,IF('Inputs Yr 2'!$AN73=BN$4,'Inputs Yr 2'!$AO73,0))))*(INDEX(avoidedcosttbl2,$H73,BN$2)+(($H73-ROUNDDOWN($H73,0))*(INDEX(avoidedcosttbl2,ROUNDUP($H73,0),BN$2)-(INDEX(avoidedcosttbl2,ROUNDDOWN($H73,0),BN$2)))))*'Inputs Yr 2'!P73*'Inputs Yr 2'!Q73*'Inputs Yr 2'!U73,"")</f>
        <v/>
      </c>
      <c r="BO73" s="195" t="str">
        <f>IFERROR($G73*(IF('Inputs Yr 2'!$AJ73=BO$4,'Inputs Yr 2'!$AK73,IF('Inputs Yr 2'!$AL73=BO$4,'Inputs Yr 2'!$AM73,IF('Inputs Yr 2'!$AN73=BO$4,'Inputs Yr 2'!$AO73,0))))*(INDEX(avoidedcosttbl2,$H73,BO$2)+(($H73-ROUNDDOWN($H73,0))*(INDEX(avoidedcosttbl2,ROUNDUP($H73,0),BO$2)-(INDEX(avoidedcosttbl2,ROUNDDOWN($H73,0),BO$2)))))*'Inputs Yr 2'!P73*'Inputs Yr 2'!Q73*'Inputs Yr 2'!U73,"")</f>
        <v/>
      </c>
      <c r="BP73" s="195" t="str">
        <f>IFERROR($G73*(IF('Inputs Yr 2'!$AJ73=BP$4,'Inputs Yr 2'!$AK73,IF('Inputs Yr 2'!$AL73=BP$4,'Inputs Yr 2'!$AM73,IF('Inputs Yr 2'!$AN73=BP$4,'Inputs Yr 2'!$AO73,0))))*(INDEX(avoidedcosttbl2,$H73,BP$2)+(($H73-ROUNDDOWN($H73,0))*(INDEX(avoidedcosttbl2,ROUNDUP($H73,0),BP$2)-(INDEX(avoidedcosttbl2,ROUNDDOWN($H73,0),BP$2)))))*'Inputs Yr 2'!P73*'Inputs Yr 2'!Q73*'Inputs Yr 2'!U73,"")</f>
        <v/>
      </c>
      <c r="BQ73" s="230">
        <f t="shared" si="68"/>
        <v>0</v>
      </c>
      <c r="BR73" s="197">
        <f t="shared" si="52"/>
        <v>0</v>
      </c>
      <c r="BS73" s="197" t="str">
        <f>IFERROR(($G73*IF('Inputs Yr 2'!$AJ73=BM$4,'Inputs Yr 2'!$AK73,IF('Inputs Yr 2'!$AL73=BM$4,'Inputs Yr 2'!$AM73,IF('Inputs Yr 2'!$AN73=BM$4,'Inputs Yr 2'!$AO73,0))))*(INDEX(avoidedcosttbl2,$H73,BS$2)+(($H73-ROUNDDOWN($H73,0))*(INDEX(avoidedcosttbl2,ROUNDUP($H73,0),BS$2)-(INDEX(avoidedcosttbl2,ROUNDDOWN($H73,0),BS$2)))))*'Inputs Yr 2'!P73*'Inputs Yr 2'!Q73*'Inputs Yr 2'!U73,"")</f>
        <v/>
      </c>
      <c r="BT73" s="197" t="str">
        <f>IFERROR(($G73*IF('Inputs Yr 2'!$AJ73=BK$4,'Inputs Yr 2'!$AK73,IF('Inputs Yr 2'!$AL73=BK$4,'Inputs Yr 2'!$AM73,IF('Inputs Yr 2'!$AN73=BK$4,'Inputs Yr 2'!$AO73,0))))*(INDEX(avoidedcosttbl2,$H73,BT$2)+(($H73-ROUNDDOWN($H73,0))*(INDEX(avoidedcosttbl2,ROUNDUP($H73,0),BT$2)-(INDEX(avoidedcosttbl2,ROUNDDOWN($H73,0),BT$2)))))*'Inputs Yr 2'!P73*'Inputs Yr 2'!Q73*'Inputs Yr 2'!U73,"")</f>
        <v/>
      </c>
      <c r="BU73" s="197" t="str">
        <f>IFERROR(($G73*IF('Inputs Yr 2'!$AJ73=BL$4,'Inputs Yr 2'!$AK73,IF('Inputs Yr 2'!$AL73=BL$4,'Inputs Yr 2'!$AM73,IF('Inputs Yr 2'!$AN73=BL$4,'Inputs Yr 2'!$AO73,0))))*(INDEX(avoidedcosttbl2,$H73,BU$2)+(($H73-ROUNDDOWN($H73,0))*(INDEX(avoidedcosttbl2,ROUNDUP($H73,0),BU$2)-(INDEX(avoidedcosttbl2,ROUNDDOWN($H73,0),BU$2)))))*'Inputs Yr 2'!P73*'Inputs Yr 2'!Q73*'Inputs Yr 2'!U73,"")</f>
        <v/>
      </c>
      <c r="BV73" s="775" t="str">
        <f>IFERROR(($G73*IF('Inputs Yr 2'!$AJ73=BJ$4,'Inputs Yr 2'!$AK73,IF('Inputs Yr 2'!$AL73=BJ$4,'Inputs Yr 2'!$AM73,IF('Inputs Yr 2'!$AN73=BJ$4,'Inputs Yr 2'!$AO73,0))))*(INDEX(avoidedcosttbl2,$H73,BV$2)+(($H73-ROUNDDOWN($H73,0))*(INDEX(avoidedcosttbl2,ROUNDUP($H73,0),BV$2)-(INDEX(avoidedcosttbl2,ROUNDDOWN($H73,0),BV$2)))))*'Inputs Yr 2'!P73*'Inputs Yr 2'!Q73*'Inputs Yr 2'!U73,"")</f>
        <v/>
      </c>
      <c r="BW73" s="197" t="str">
        <f>IFERROR(($G73*IF('Inputs Yr 2'!$AJ73=BN$4,'Inputs Yr 2'!$AK73,IF('Inputs Yr 2'!$AL73=BN$4,'Inputs Yr 2'!$AM73,IF('Inputs Yr 2'!$AN73=BN$4,'Inputs Yr 2'!$AO73,0))))*(INDEX(avoidedcosttbl2,$H73,BW$2)+(($H73-ROUNDDOWN($H73,0))*(INDEX(avoidedcosttbl2,ROUNDUP($H73,0),BW$2)-(INDEX(avoidedcosttbl2,ROUNDDOWN($H73,0),BW$2)))))*'Inputs Yr 2'!P73*'Inputs Yr 2'!Q73*'Inputs Yr 2'!U73,"")</f>
        <v/>
      </c>
      <c r="BX73" s="197" t="str">
        <f>IFERROR(($G73*IF('Inputs Yr 2'!$AJ73=BO$4,'Inputs Yr 2'!$AK73,IF('Inputs Yr 2'!$AL73=BO$4,'Inputs Yr 2'!$AM73,IF('Inputs Yr 2'!$AN73=BO$4,'Inputs Yr 2'!$AO73,0))))*(INDEX(avoidedcosttbl2,$H73,BX$2)+(($H73-ROUNDDOWN($H73,0))*(INDEX(avoidedcosttbl2,ROUNDUP($H73,0),BX$2)-(INDEX(avoidedcosttbl2,ROUNDDOWN($H73,0),BX$2)))))*'Inputs Yr 2'!P73*'Inputs Yr 2'!Q73*'Inputs Yr 2'!U73,"")</f>
        <v/>
      </c>
      <c r="BY73" s="197" t="str">
        <f>IFERROR(($G73*IF('Inputs Yr 2'!$AJ73=BP$4,'Inputs Yr 2'!$AK73,IF('Inputs Yr 2'!$AL73=BP$4,'Inputs Yr 2'!$AM73,IF('Inputs Yr 2'!$AN73=BP$4,'Inputs Yr 2'!$AO73,0))))*(INDEX(avoidedcosttbl2,$H73,BY$2)+(($H73-ROUNDDOWN($H73,0))*(INDEX(avoidedcosttbl2,ROUNDUP($H73,0),BY$2)-(INDEX(avoidedcosttbl2,ROUNDDOWN($H73,0),BY$2)))))*'Inputs Yr 2'!P73*'Inputs Yr 2'!Q73*'Inputs Yr 2'!U73,"")</f>
        <v/>
      </c>
      <c r="BZ73" s="193">
        <f t="shared" si="69"/>
        <v>0</v>
      </c>
      <c r="CA73" s="193">
        <f t="shared" si="70"/>
        <v>0</v>
      </c>
      <c r="CB73" s="195" t="str">
        <f>IFERROR(G73*(IF('Inputs Yr 2'!$AJ73=CB$4,'Inputs Yr 2'!$AK73,IF('Inputs Yr 2'!$AL73=CB$4,'Inputs Yr 2'!$AM73,IF('Inputs Yr 2'!$AN73=CB$4,'Inputs Yr 2'!$AO73,0))))*(INDEX(avoidedcosttbl2,$H73,CB$2)+(($H73-ROUNDDOWN($H73,0))*(INDEX(avoidedcosttbl2,ROUNDUP($H73,0),CB$2)-(INDEX(avoidedcosttbl2,ROUNDDOWN($H73,0),CB$2)))))*'Inputs Yr 2'!P73*'Inputs Yr 2'!Q73*'Inputs Yr 2'!U73,"")</f>
        <v/>
      </c>
      <c r="CC73" s="195">
        <f>IFERROR(H73*(IF('Inputs Yr 2'!$AJ73=CC$4,'Inputs Yr 2'!$AK73,IF('Inputs Yr 2'!$AL73=CC$4,'Inputs Yr 2'!$AM73,IF('Inputs Yr 2'!$AN73=CC$4,'Inputs Yr 2'!$AO73,0))))*(INDEX(avoidedcosttbl2,$H73,CC$2)+(($H73-ROUNDDOWN($H73,0))*(INDEX(avoidedcosttbl2,ROUNDUP($H73,0),CC$2)-(INDEX(avoidedcosttbl2,ROUNDDOWN($H73,0),CC$2)))))*'Inputs Yr 2'!Q73*'Inputs Yr 2'!R73*'Inputs Yr 2'!V73,"")</f>
        <v>0</v>
      </c>
      <c r="CD73" s="195" t="str">
        <f>IFERROR(I73*(IF('Inputs Yr 2'!$AJ73=CD$4,'Inputs Yr 2'!$AK73,IF('Inputs Yr 2'!$AL73=CD$4,'Inputs Yr 2'!$AM73,IF('Inputs Yr 2'!$AN73=CD$4,'Inputs Yr 2'!$AO73,0))))*(INDEX(avoidedcosttbl2,$H73,CD$2)+(($H73-ROUNDDOWN($H73,0))*(INDEX(avoidedcosttbl2,ROUNDUP($H73,0),CD$2)-(INDEX(avoidedcosttbl2,ROUNDDOWN($H73,0),CD$2)))))*'Inputs Yr 2'!R73*'Inputs Yr 2'!S73*'Inputs Yr 2'!W73,"")</f>
        <v/>
      </c>
      <c r="CE73" s="213">
        <f t="shared" si="71"/>
        <v>0</v>
      </c>
      <c r="CF73" s="213">
        <f t="shared" si="72"/>
        <v>0</v>
      </c>
      <c r="CG73" s="213">
        <f t="shared" si="73"/>
        <v>0</v>
      </c>
      <c r="CH73" s="698">
        <f t="shared" si="74"/>
        <v>0</v>
      </c>
      <c r="CI73" s="79" t="str">
        <f>IFERROR(($G73*'Inputs Yr 2'!$P73*'Inputs Yr 2'!$Q73*(((INDEX(avoidedcosttbl2,$H73,CI$2)+(($H73-ROUNDDOWN($H73,0))*(INDEX(avoidedcosttbl2,ROUNDUP($H73,0),CI$2)-INDEX(avoidedcosttbl2,ROUNDDOWN($H73,0),CI$2))))*'Inputs Yr 2'!AS73))),"")</f>
        <v/>
      </c>
      <c r="CJ73" s="504" t="str">
        <f>IFERROR($G73*'Inputs Yr 2'!AT73*'Inputs Yr 2'!$P73*'Inputs Yr 2'!$Q73/((1+realdiscrt1)^-0.5),"")</f>
        <v/>
      </c>
      <c r="CK73" s="79" t="str">
        <f>IFERROR((O73*1000*(((INDEX(avoidedcosttbl2,$H73,CK$2)+(($H73-ROUNDDOWN($H73,0))*(INDEX(avoidedcosttbl2,ROUNDUP($H73,0),CK$2)-INDEX(avoidedcosttbl2,ROUNDDOWN($H73,0),CK$2))))*'Inputs Yr 2'!AU73))),"")</f>
        <v/>
      </c>
      <c r="CL73" s="504" t="str">
        <f>IFERROR(O73*1000*'Inputs Yr 2'!AV73/((1+realdiscrt1)^-0.5),"")</f>
        <v/>
      </c>
      <c r="CM73" s="79">
        <f>IFERROR((AB73*'Inputs Yr 2'!AW73*(((INDEX(avoidedcosttbl2,$H73,CM$2)+(($H73-ROUNDDOWN($H73,0))*(INDEX(avoidedcosttbl2,ROUNDUP($H73,0),CM$2)-INDEX(avoidedcosttbl2,ROUNDDOWN($H73,0),CM$2)))))))*10,"")</f>
        <v>0</v>
      </c>
      <c r="CN73" s="504">
        <f>IFERROR(10*AB73*'Inputs Yr 2'!AX73/((1+realdiscrt1)^-0.5),"")</f>
        <v>0</v>
      </c>
      <c r="CO73" s="505">
        <f t="shared" si="75"/>
        <v>0</v>
      </c>
      <c r="CP73" s="230">
        <f t="shared" si="76"/>
        <v>0</v>
      </c>
      <c r="CQ73" s="199">
        <f>ROUND(IFERROR(IF(LEFT($A73,1)="C",'Avoided Costs'!$K$13,'Avoided Costs'!$K$12)+1,""),4)</f>
        <v>1.0720000000000001</v>
      </c>
      <c r="CR73" s="199">
        <f>ROUND(IFERROR(IF(LEFT($A73,1)="C",'Avoided Costs'!$L$13,'Avoided Costs'!$L$12)+1,""),4)</f>
        <v>1.04</v>
      </c>
      <c r="CS73" s="199">
        <f>ROUND(IFERROR(IF(LEFT($A73,1)="C",'Avoided Costs'!$M$13,'Avoided Costs'!$M$12)+1,""),4)</f>
        <v>1.0720000000000001</v>
      </c>
      <c r="CT73" s="199">
        <f>ROUND(IFERROR(IF(LEFT($A73,1)="C",'Avoided Costs'!$N$13,'Avoided Costs'!$N$12)+1,""),4)</f>
        <v>1.04</v>
      </c>
      <c r="CU73" s="199">
        <f>ROUND(IFERROR(IF(LEFT($A73,1)="C",'Avoided Costs'!$O$13,'Avoided Costs'!$O$12)+1,""),4)</f>
        <v>1.1120000000000001</v>
      </c>
      <c r="CV73" s="199">
        <f>ROUND(IFERROR(IF(LEFT($A73,1)="C",'Avoided Costs'!$P$13,'Avoided Costs'!$P$12)+1,""),4)</f>
        <v>1.095</v>
      </c>
      <c r="CW73" s="199">
        <f>ROUND(IFERROR(IF(LEFT($A73,1)="C",'Avoided Costs'!$Q$13,'Avoided Costs'!$Q$12)+1,""),4)</f>
        <v>1.1120000000000001</v>
      </c>
      <c r="CX73" s="200">
        <f>ROUND(IFERROR(IF(LEFT($A73,1)="C",'Avoided Costs'!$R$13,'Avoided Costs'!$R$12)+1,""),4)</f>
        <v>1.1120000000000001</v>
      </c>
    </row>
    <row r="74" spans="1:102" ht="12.75" customHeight="1">
      <c r="A74" s="91" t="str">
        <f>IF('Inputs Yr 2'!$B74=0,"",'Inputs Yr 2'!A74)</f>
        <v>A - Residential</v>
      </c>
      <c r="B74" s="91" t="str">
        <f>IF('Inputs Yr 2'!$B74=0,"",'Inputs Yr 2'!B74)</f>
        <v>A1 - Residential Whole House</v>
      </c>
      <c r="C74" s="91" t="str">
        <f>IF('Inputs Yr 2'!$B74=0,"",'Inputs Yr 2'!C74)</f>
        <v>A1e - Residential Behavior/Feedback Program</v>
      </c>
      <c r="D74" s="91" t="str">
        <f>IF('Inputs Yr 2'!$B74=0,"",'Inputs Yr 2'!E74)</f>
        <v>Home Energy Report</v>
      </c>
      <c r="E74" s="93" t="str">
        <f>IF('Inputs Yr 2'!$B74=0,"",'Inputs Yr 2'!F74)</f>
        <v>G16A1e1</v>
      </c>
      <c r="F74" s="93" t="str">
        <f>IF('Inputs Yr 2'!$B74=0,"",'Inputs Yr 2'!G74)</f>
        <v>Behavior</v>
      </c>
      <c r="G74" s="95">
        <f>IF('Inputs Yr 2'!$H74&lt;&gt;0,('Inputs Yr 2'!H74),"")</f>
        <v>437964</v>
      </c>
      <c r="H74" s="94">
        <f>IFERROR('Inputs Yr 2'!I74,"")</f>
        <v>1</v>
      </c>
      <c r="I74" s="298">
        <f>IFERROR('Inputs Yr 2'!J74*'Inputs Yr 2'!P74*G74,"")</f>
        <v>2314375.5574484128</v>
      </c>
      <c r="J74" s="298">
        <f>IFERROR('Inputs Yr 2'!K74*G74,"")</f>
        <v>2314375.5574484128</v>
      </c>
      <c r="K74" s="298">
        <f t="shared" si="53"/>
        <v>0</v>
      </c>
      <c r="L74" s="194">
        <f>IFERROR(('Inputs Yr 2'!W74*G74)/1000,"")</f>
        <v>0</v>
      </c>
      <c r="M74" s="194">
        <f>IFERROR(L74*('Inputs Yr 2'!$Q74*'Inputs Yr 2'!$V74*'Inputs Yr 2'!$R74),"")</f>
        <v>0</v>
      </c>
      <c r="N74" s="194">
        <f t="shared" si="54"/>
        <v>0</v>
      </c>
      <c r="O74" s="194">
        <f>IFERROR(M74*'Inputs Yr 2'!P74,"")</f>
        <v>0</v>
      </c>
      <c r="P74" s="194">
        <f t="shared" si="55"/>
        <v>0</v>
      </c>
      <c r="Q74" s="194">
        <f>IFERROR($P74*'Inputs Yr 2'!AA74,"")</f>
        <v>0</v>
      </c>
      <c r="R74" s="194">
        <f>IFERROR($P74*'Inputs Yr 2'!AB74,"")</f>
        <v>0</v>
      </c>
      <c r="S74" s="194">
        <f>IFERROR($P74*'Inputs Yr 2'!AC74,"")</f>
        <v>0</v>
      </c>
      <c r="T74" s="194">
        <f>IFERROR($P74*'Inputs Yr 2'!AD74,"")</f>
        <v>0</v>
      </c>
      <c r="U74" s="194">
        <f>IFERROR(G74*'Inputs Yr 2'!$AE74*'Inputs Yr 2'!$P74*'Inputs Yr 2'!$Q74,"")</f>
        <v>0</v>
      </c>
      <c r="V74" s="194">
        <f>IFERROR($G74*'Inputs Yr 2'!$AE74*'Inputs Yr 2'!$AG74*'Inputs Yr 2'!Q74*'Inputs Yr 2'!$S74,"")</f>
        <v>0</v>
      </c>
      <c r="W74" s="194">
        <f>IFERROR($G74*'Inputs Yr 2'!$AE74*'Inputs Yr 2'!$AG74*'Inputs Yr 2'!P74*'Inputs Yr 2'!Q74*'Inputs Yr 2'!$S74,"")</f>
        <v>0</v>
      </c>
      <c r="X74" s="194">
        <f>IFERROR($G74*'Inputs Yr 2'!$AE74*'Inputs Yr 2'!$AF74*'Inputs Yr 2'!Q74*'Inputs Yr 2'!$T74,"")</f>
        <v>0</v>
      </c>
      <c r="Y74" s="194">
        <f>IFERROR($G74*'Inputs Yr 2'!$AE74*'Inputs Yr 2'!$AF74*'Inputs Yr 2'!P74*'Inputs Yr 2'!Q74*'Inputs Yr 2'!$T74,"")</f>
        <v>0</v>
      </c>
      <c r="Z74" s="257">
        <f>IFERROR($G74*'Inputs Yr 2'!$Q74*'Inputs Yr 2'!$U74*(IF(IFERROR(SEARCH("NG", 'Inputs Yr 2'!$AJ74),0),'Inputs Yr 2'!$AK74,0)+IF(IFERROR(SEARCH("NG", 'Inputs Yr 2'!$AL74),0),'Inputs Yr 2'!$AM74,0)+IF(IFERROR(SEARCH("NG", 'Inputs Yr 2'!$AN74),0),'Inputs Yr 2'!$AO74,0)),0)</f>
        <v>444648.54</v>
      </c>
      <c r="AA74" s="257">
        <f t="shared" si="56"/>
        <v>444648.54</v>
      </c>
      <c r="AB74" s="257">
        <f>IFERROR(Z74*'Inputs Yr 2'!$P74,0)</f>
        <v>444648.54</v>
      </c>
      <c r="AC74" s="257">
        <f t="shared" si="57"/>
        <v>444648.54</v>
      </c>
      <c r="AD74" s="257">
        <f>IFERROR($G74*'Inputs Yr 2'!$Q74*'Inputs Yr 2'!$U74*(IF(IFERROR(SEARCH("Oil", 'Inputs Yr 2'!$AJ74), 0),'Inputs Yr 2'!$AK74,0)+IF(IFERROR(SEARCH("Oil", 'Inputs Yr 2'!$AL74), 0),'Inputs Yr 2'!$AM74,0)+IF(IFERROR(SEARCH("Oil", 'Inputs Yr 2'!$AN74), 0),'Inputs Yr 2'!$AO74,0)),0)</f>
        <v>0</v>
      </c>
      <c r="AE74" s="257">
        <f t="shared" si="58"/>
        <v>0</v>
      </c>
      <c r="AF74" s="257">
        <f>IFERROR(AD74*'Inputs Yr 2'!$P74,0)</f>
        <v>0</v>
      </c>
      <c r="AG74" s="257">
        <f t="shared" si="59"/>
        <v>0</v>
      </c>
      <c r="AH74" s="257">
        <f>IFERROR($G74*'Inputs Yr 2'!$Q74*'Inputs Yr 2'!$U74*(IF('Inputs Yr 2'!$AJ74=CD$4,'Inputs Yr 2'!$AK74,IF('Inputs Yr 2'!$AL74=CD$4,'Inputs Yr 2'!$AM74,IF('Inputs Yr 2'!$AN74=CD$4,'Inputs Yr 2'!$AO74,0)))),0)</f>
        <v>0</v>
      </c>
      <c r="AI74" s="257">
        <f t="shared" si="60"/>
        <v>0</v>
      </c>
      <c r="AJ74" s="257">
        <f>IFERROR(AH74*'Inputs Yr 2'!$P74,0)</f>
        <v>0</v>
      </c>
      <c r="AK74" s="257">
        <f t="shared" si="61"/>
        <v>0</v>
      </c>
      <c r="AL74" s="258">
        <f>IFERROR($G74*'Inputs Yr 2'!$P74*'Inputs Yr 2'!$Q74*'Inputs Yr 2'!AP74,0)</f>
        <v>0</v>
      </c>
      <c r="AM74" s="260">
        <f>IFERROR($G74*'Inputs Yr 2'!$P74*'Inputs Yr 2'!$Q74*'Inputs Yr 2'!AQ74,0)</f>
        <v>0</v>
      </c>
      <c r="AN74" s="258">
        <f>IFERROR($G74*'Inputs Yr 2'!$P74*'Inputs Yr 2'!$Q74*'Inputs Yr 2'!AR74,0)</f>
        <v>0</v>
      </c>
      <c r="AO74" s="257">
        <f t="shared" si="62"/>
        <v>0</v>
      </c>
      <c r="AP74" s="195">
        <f>IFERROR($CQ74*(INDEX(avoidedcosttbl2,$H74,AP$2)+(($H74-ROUNDDOWN($H74,0))*(INDEX(avoidedcosttbl2,ROUNDUP($H74,0),AP$2)-(INDEX(avoidedcosttbl2,ROUNDDOWN($H74,0),AP$2)))))*$O74*1000*'Inputs Yr 2'!AA74,"")</f>
        <v>0</v>
      </c>
      <c r="AQ74" s="195">
        <f>IFERROR($CR74*(INDEX(avoidedcosttbl2,$H74,AQ$2)+(($H74-ROUNDDOWN($H74,0))*(INDEX(avoidedcosttbl2,ROUNDUP($H74,0),AQ$2)-(INDEX(avoidedcosttbl2,ROUNDDOWN($H74,0),AQ$2)))))*$O74*1000*'Inputs Yr 2'!AB74,"")</f>
        <v>0</v>
      </c>
      <c r="AR74" s="195">
        <f>IFERROR($CS74*(INDEX(avoidedcosttbl2,$H74,AR$2)+(($H74-ROUNDDOWN($H74,0))*(INDEX(avoidedcosttbl2,ROUNDUP($H74,0),AR$2)-(INDEX(avoidedcosttbl2,ROUNDDOWN($H74,0),AR$2)))))*$O74*1000*'Inputs Yr 2'!AC74,"")</f>
        <v>0</v>
      </c>
      <c r="AS74" s="195">
        <f>IFERROR($CT74*(INDEX(avoidedcosttbl2,$H74,AS$2)+(($H74-ROUNDDOWN($H74,0))*(INDEX(avoidedcosttbl2,ROUNDUP($H74,0),AS$2)-(INDEX(avoidedcosttbl2,ROUNDDOWN($H74,0),AS$2)))))*$O74*1000*'Inputs Yr 2'!AD74,"")</f>
        <v>0</v>
      </c>
      <c r="AT74" s="196">
        <f t="shared" si="63"/>
        <v>0</v>
      </c>
      <c r="AU74" s="197">
        <f>IFERROR($CQ74*((INDEX(avoidedcosttbl2,$H74,AU$2))+(($H74-ROUNDDOWN($H74,0))*((INDEX(avoidedcosttbl2,ROUNDUP($H74,0),AU$2))-(INDEX(avoidedcosttbl2,ROUNDDOWN($H74,0),AU$2)))))*$O74*1000*'Inputs Yr 2'!AA74,"")</f>
        <v>0</v>
      </c>
      <c r="AV74" s="197">
        <f>IFERROR($CR74*((INDEX(avoidedcosttbl2,$H74,AV$2))+(($H74-ROUNDDOWN($H74,0))*((INDEX(avoidedcosttbl2,ROUNDUP($H74,0),AV$2))-(INDEX(avoidedcosttbl2,ROUNDDOWN($H74,0),AV$2)))))*$O74*1000*'Inputs Yr 2'!AB74,"")</f>
        <v>0</v>
      </c>
      <c r="AW74" s="197">
        <f>IFERROR($CS74*((INDEX(avoidedcosttbl2,$H74,AW$2))+(($H74-ROUNDDOWN($H74,0))*((INDEX(avoidedcosttbl2,ROUNDUP($H74,0),AW$2))-(INDEX(avoidedcosttbl2,ROUNDDOWN($H74,0),AW$2)))))*$O74*1000*'Inputs Yr 2'!AC74,"")</f>
        <v>0</v>
      </c>
      <c r="AX74" s="197">
        <f>IFERROR($CT74*((INDEX(avoidedcosttbl2,$H74,AX$2))+(($H74-ROUNDDOWN($H74,0))*((INDEX(avoidedcosttbl2,ROUNDUP($H74,0),AX$2))-(INDEX(avoidedcosttbl2,ROUNDDOWN($H74,0),AX$2)))))*$O74*1000*'Inputs Yr 2'!AD74,"")</f>
        <v>0</v>
      </c>
      <c r="AY74" s="197">
        <f>IFERROR(((INDEX(avoidedcosttbl2,$H74,AY$2))+(($H74-ROUNDDOWN($H74,0))*((INDEX(avoidedcosttbl2,ROUNDUP($H74,0),AY$2))-(INDEX(avoidedcosttbl2,ROUNDDOWN($H74,0),AY$2)))))*$O74*1000*('Inputs Yr 2'!AC74+'Inputs Yr 2'!AD74),"")</f>
        <v>0</v>
      </c>
      <c r="AZ74" s="197">
        <f>IFERROR(((INDEX(avoidedcosttbl2,$H74,AZ$2))+(($H74-ROUNDDOWN($H74,0))*((INDEX(avoidedcosttbl2,ROUNDUP($H74,0),AZ$2))-(INDEX(avoidedcosttbl2,ROUNDDOWN($H74,0),AZ$2)))))*$O74*1000*('Inputs Yr 2'!AA74+'Inputs Yr 2'!AB74),"")</f>
        <v>0</v>
      </c>
      <c r="BA74" s="198">
        <f t="shared" si="64"/>
        <v>0</v>
      </c>
      <c r="BB74" s="198">
        <f t="shared" si="65"/>
        <v>0</v>
      </c>
      <c r="BC74" s="195">
        <f t="shared" si="47"/>
        <v>0</v>
      </c>
      <c r="BD74" s="195">
        <f t="shared" si="48"/>
        <v>0</v>
      </c>
      <c r="BE74" s="195">
        <f t="shared" si="49"/>
        <v>0</v>
      </c>
      <c r="BF74" s="195">
        <f t="shared" si="50"/>
        <v>0</v>
      </c>
      <c r="BG74" s="195">
        <f t="shared" si="51"/>
        <v>0</v>
      </c>
      <c r="BH74" s="196">
        <f t="shared" si="66"/>
        <v>0</v>
      </c>
      <c r="BI74" s="196">
        <f t="shared" si="67"/>
        <v>0</v>
      </c>
      <c r="BJ74" s="195">
        <f>IFERROR($G74*(IF('Inputs Yr 2'!$AJ74=BJ$4,'Inputs Yr 2'!$AK74,IF('Inputs Yr 2'!$AL74=BJ$4,'Inputs Yr 2'!$AM74,IF('Inputs Yr 2'!$AN74=BJ$4,'Inputs Yr 2'!$AO74,0))))*(INDEX(avoidedcosttbl2,$H74,BJ$2)+(($H74-ROUNDDOWN($H74,0))*(INDEX(avoidedcosttbl2,ROUNDUP($H74,0),BJ$2)-(INDEX(avoidedcosttbl2,ROUNDDOWN($H74,0),BJ$2)))))*'Inputs Yr 2'!P74*'Inputs Yr 2'!Q74*'Inputs Yr 2'!U74,"")</f>
        <v>0</v>
      </c>
      <c r="BK74" s="195">
        <f>IFERROR($G74*(IF('Inputs Yr 2'!$AJ74=BK$4,'Inputs Yr 2'!$AK74,IF('Inputs Yr 2'!$AL74=BK$4,'Inputs Yr 2'!$AM74,IF('Inputs Yr 2'!$AN74=BK$4,'Inputs Yr 2'!$AO74,0))))*(INDEX(avoidedcosttbl2,$H74,BK$2)+(($H74-ROUNDDOWN($H74,0))*(INDEX(avoidedcosttbl2,ROUNDUP($H74,0),BK$2)-(INDEX(avoidedcosttbl2,ROUNDDOWN($H74,0),BK$2)))))*'Inputs Yr 2'!P74*'Inputs Yr 2'!Q74*'Inputs Yr 2'!U74,"")</f>
        <v>0</v>
      </c>
      <c r="BL74" s="195">
        <f>IFERROR($G74*(IF('Inputs Yr 2'!$AJ74=BL$4,'Inputs Yr 2'!$AK74,IF('Inputs Yr 2'!$AL74=BL$4,'Inputs Yr 2'!$AM74,IF('Inputs Yr 2'!$AN74=BL$4,'Inputs Yr 2'!$AO74,0))))*(INDEX(avoidedcosttbl2,$H74,BL$2)+(($H74-ROUNDDOWN($H74,0))*(INDEX(avoidedcosttbl2,ROUNDUP($H74,0),BL$2)-(INDEX(avoidedcosttbl2,ROUNDDOWN($H74,0),BL$2)))))*'Inputs Yr 2'!P74*'Inputs Yr 2'!Q74*'Inputs Yr 2'!U74,"")</f>
        <v>3557707.0127550694</v>
      </c>
      <c r="BM74" s="195">
        <f>IFERROR($G74*(IF('Inputs Yr 2'!$AJ74=BM$4,'Inputs Yr 2'!$AK74,IF('Inputs Yr 2'!$AL74=BM$4,'Inputs Yr 2'!$AM74,IF('Inputs Yr 2'!$AN74=BM$4,'Inputs Yr 2'!$AO74,0))))*(INDEX(avoidedcosttbl2,$H74,BM$2)+(($H74-ROUNDDOWN($H74,0))*(INDEX(avoidedcosttbl2,ROUNDUP($H74,0),BM$2)-(INDEX(avoidedcosttbl2,ROUNDDOWN($H74,0),BM$2)))))*'Inputs Yr 2'!P74*'Inputs Yr 2'!Q74*'Inputs Yr 2'!U74,"")</f>
        <v>0</v>
      </c>
      <c r="BN74" s="195">
        <f>IFERROR($G74*(IF('Inputs Yr 2'!$AJ74=BN$4,'Inputs Yr 2'!$AK74,IF('Inputs Yr 2'!$AL74=BN$4,'Inputs Yr 2'!$AM74,IF('Inputs Yr 2'!$AN74=BN$4,'Inputs Yr 2'!$AO74,0))))*(INDEX(avoidedcosttbl2,$H74,BN$2)+(($H74-ROUNDDOWN($H74,0))*(INDEX(avoidedcosttbl2,ROUNDUP($H74,0),BN$2)-(INDEX(avoidedcosttbl2,ROUNDDOWN($H74,0),BN$2)))))*'Inputs Yr 2'!P74*'Inputs Yr 2'!Q74*'Inputs Yr 2'!U74,"")</f>
        <v>0</v>
      </c>
      <c r="BO74" s="195">
        <f>IFERROR($G74*(IF('Inputs Yr 2'!$AJ74=BO$4,'Inputs Yr 2'!$AK74,IF('Inputs Yr 2'!$AL74=BO$4,'Inputs Yr 2'!$AM74,IF('Inputs Yr 2'!$AN74=BO$4,'Inputs Yr 2'!$AO74,0))))*(INDEX(avoidedcosttbl2,$H74,BO$2)+(($H74-ROUNDDOWN($H74,0))*(INDEX(avoidedcosttbl2,ROUNDUP($H74,0),BO$2)-(INDEX(avoidedcosttbl2,ROUNDDOWN($H74,0),BO$2)))))*'Inputs Yr 2'!P74*'Inputs Yr 2'!Q74*'Inputs Yr 2'!U74,"")</f>
        <v>0</v>
      </c>
      <c r="BP74" s="195">
        <f>IFERROR($G74*(IF('Inputs Yr 2'!$AJ74=BP$4,'Inputs Yr 2'!$AK74,IF('Inputs Yr 2'!$AL74=BP$4,'Inputs Yr 2'!$AM74,IF('Inputs Yr 2'!$AN74=BP$4,'Inputs Yr 2'!$AO74,0))))*(INDEX(avoidedcosttbl2,$H74,BP$2)+(($H74-ROUNDDOWN($H74,0))*(INDEX(avoidedcosttbl2,ROUNDUP($H74,0),BP$2)-(INDEX(avoidedcosttbl2,ROUNDDOWN($H74,0),BP$2)))))*'Inputs Yr 2'!P74*'Inputs Yr 2'!Q74*'Inputs Yr 2'!U74,"")</f>
        <v>0</v>
      </c>
      <c r="BQ74" s="230">
        <f t="shared" si="68"/>
        <v>3557707.0127550694</v>
      </c>
      <c r="BR74" s="197">
        <f t="shared" si="52"/>
        <v>62138.284078961668</v>
      </c>
      <c r="BS74" s="197">
        <f>IFERROR(($G74*IF('Inputs Yr 2'!$AJ74=BM$4,'Inputs Yr 2'!$AK74,IF('Inputs Yr 2'!$AL74=BM$4,'Inputs Yr 2'!$AM74,IF('Inputs Yr 2'!$AN74=BM$4,'Inputs Yr 2'!$AO74,0))))*(INDEX(avoidedcosttbl2,$H74,BS$2)+(($H74-ROUNDDOWN($H74,0))*(INDEX(avoidedcosttbl2,ROUNDUP($H74,0),BS$2)-(INDEX(avoidedcosttbl2,ROUNDDOWN($H74,0),BS$2)))))*'Inputs Yr 2'!P74*'Inputs Yr 2'!Q74*'Inputs Yr 2'!U74,"")</f>
        <v>0</v>
      </c>
      <c r="BT74" s="197">
        <f>IFERROR(($G74*IF('Inputs Yr 2'!$AJ74=BK$4,'Inputs Yr 2'!$AK74,IF('Inputs Yr 2'!$AL74=BK$4,'Inputs Yr 2'!$AM74,IF('Inputs Yr 2'!$AN74=BK$4,'Inputs Yr 2'!$AO74,0))))*(INDEX(avoidedcosttbl2,$H74,BT$2)+(($H74-ROUNDDOWN($H74,0))*(INDEX(avoidedcosttbl2,ROUNDUP($H74,0),BT$2)-(INDEX(avoidedcosttbl2,ROUNDDOWN($H74,0),BT$2)))))*'Inputs Yr 2'!P74*'Inputs Yr 2'!Q74*'Inputs Yr 2'!U74,"")</f>
        <v>0</v>
      </c>
      <c r="BU74" s="197">
        <f>IFERROR(($G74*IF('Inputs Yr 2'!$AJ74=BL$4,'Inputs Yr 2'!$AK74,IF('Inputs Yr 2'!$AL74=BL$4,'Inputs Yr 2'!$AM74,IF('Inputs Yr 2'!$AN74=BL$4,'Inputs Yr 2'!$AO74,0))))*(INDEX(avoidedcosttbl2,$H74,BU$2)+(($H74-ROUNDDOWN($H74,0))*(INDEX(avoidedcosttbl2,ROUNDUP($H74,0),BU$2)-(INDEX(avoidedcosttbl2,ROUNDDOWN($H74,0),BU$2)))))*'Inputs Yr 2'!P74*'Inputs Yr 2'!Q74*'Inputs Yr 2'!U74,"")</f>
        <v>1521418.5235940148</v>
      </c>
      <c r="BV74" s="775">
        <f>IFERROR(($G74*IF('Inputs Yr 2'!$AJ74=BJ$4,'Inputs Yr 2'!$AK74,IF('Inputs Yr 2'!$AL74=BJ$4,'Inputs Yr 2'!$AM74,IF('Inputs Yr 2'!$AN74=BJ$4,'Inputs Yr 2'!$AO74,0))))*(INDEX(avoidedcosttbl2,$H74,BV$2)+(($H74-ROUNDDOWN($H74,0))*(INDEX(avoidedcosttbl2,ROUNDUP($H74,0),BV$2)-(INDEX(avoidedcosttbl2,ROUNDDOWN($H74,0),BV$2)))))*'Inputs Yr 2'!P74*'Inputs Yr 2'!Q74*'Inputs Yr 2'!U74,"")</f>
        <v>0</v>
      </c>
      <c r="BW74" s="197">
        <f>IFERROR(($G74*IF('Inputs Yr 2'!$AJ74=BN$4,'Inputs Yr 2'!$AK74,IF('Inputs Yr 2'!$AL74=BN$4,'Inputs Yr 2'!$AM74,IF('Inputs Yr 2'!$AN74=BN$4,'Inputs Yr 2'!$AO74,0))))*(INDEX(avoidedcosttbl2,$H74,BW$2)+(($H74-ROUNDDOWN($H74,0))*(INDEX(avoidedcosttbl2,ROUNDUP($H74,0),BW$2)-(INDEX(avoidedcosttbl2,ROUNDDOWN($H74,0),BW$2)))))*'Inputs Yr 2'!P74*'Inputs Yr 2'!Q74*'Inputs Yr 2'!U74,"")</f>
        <v>0</v>
      </c>
      <c r="BX74" s="197">
        <f>IFERROR(($G74*IF('Inputs Yr 2'!$AJ74=BO$4,'Inputs Yr 2'!$AK74,IF('Inputs Yr 2'!$AL74=BO$4,'Inputs Yr 2'!$AM74,IF('Inputs Yr 2'!$AN74=BO$4,'Inputs Yr 2'!$AO74,0))))*(INDEX(avoidedcosttbl2,$H74,BX$2)+(($H74-ROUNDDOWN($H74,0))*(INDEX(avoidedcosttbl2,ROUNDUP($H74,0),BX$2)-(INDEX(avoidedcosttbl2,ROUNDDOWN($H74,0),BX$2)))))*'Inputs Yr 2'!P74*'Inputs Yr 2'!Q74*'Inputs Yr 2'!U74,"")</f>
        <v>0</v>
      </c>
      <c r="BY74" s="197">
        <f>IFERROR(($G74*IF('Inputs Yr 2'!$AJ74=BP$4,'Inputs Yr 2'!$AK74,IF('Inputs Yr 2'!$AL74=BP$4,'Inputs Yr 2'!$AM74,IF('Inputs Yr 2'!$AN74=BP$4,'Inputs Yr 2'!$AO74,0))))*(INDEX(avoidedcosttbl2,$H74,BY$2)+(($H74-ROUNDDOWN($H74,0))*(INDEX(avoidedcosttbl2,ROUNDUP($H74,0),BY$2)-(INDEX(avoidedcosttbl2,ROUNDDOWN($H74,0),BY$2)))))*'Inputs Yr 2'!P74*'Inputs Yr 2'!Q74*'Inputs Yr 2'!U74,"")</f>
        <v>0</v>
      </c>
      <c r="BZ74" s="193">
        <f t="shared" si="69"/>
        <v>1583556.8076729765</v>
      </c>
      <c r="CA74" s="193">
        <f t="shared" si="70"/>
        <v>5141263.8204280455</v>
      </c>
      <c r="CB74" s="195">
        <f>IFERROR(G74*(IF('Inputs Yr 2'!$AJ74=CB$4,'Inputs Yr 2'!$AK74,IF('Inputs Yr 2'!$AL74=CB$4,'Inputs Yr 2'!$AM74,IF('Inputs Yr 2'!$AN74=CB$4,'Inputs Yr 2'!$AO74,0))))*(INDEX(avoidedcosttbl2,$H74,CB$2)+(($H74-ROUNDDOWN($H74,0))*(INDEX(avoidedcosttbl2,ROUNDUP($H74,0),CB$2)-(INDEX(avoidedcosttbl2,ROUNDDOWN($H74,0),CB$2)))))*'Inputs Yr 2'!P74*'Inputs Yr 2'!Q74*'Inputs Yr 2'!U74,"")</f>
        <v>0</v>
      </c>
      <c r="CC74" s="195">
        <f>IFERROR(H74*(IF('Inputs Yr 2'!$AJ74=CC$4,'Inputs Yr 2'!$AK74,IF('Inputs Yr 2'!$AL74=CC$4,'Inputs Yr 2'!$AM74,IF('Inputs Yr 2'!$AN74=CC$4,'Inputs Yr 2'!$AO74,0))))*(INDEX(avoidedcosttbl2,$H74,CC$2)+(($H74-ROUNDDOWN($H74,0))*(INDEX(avoidedcosttbl2,ROUNDUP($H74,0),CC$2)-(INDEX(avoidedcosttbl2,ROUNDDOWN($H74,0),CC$2)))))*'Inputs Yr 2'!Q74*'Inputs Yr 2'!R74*'Inputs Yr 2'!V74,"")</f>
        <v>0</v>
      </c>
      <c r="CD74" s="195">
        <f>IFERROR(I74*(IF('Inputs Yr 2'!$AJ74=CD$4,'Inputs Yr 2'!$AK74,IF('Inputs Yr 2'!$AL74=CD$4,'Inputs Yr 2'!$AM74,IF('Inputs Yr 2'!$AN74=CD$4,'Inputs Yr 2'!$AO74,0))))*(INDEX(avoidedcosttbl2,$H74,CD$2)+(($H74-ROUNDDOWN($H74,0))*(INDEX(avoidedcosttbl2,ROUNDUP($H74,0),CD$2)-(INDEX(avoidedcosttbl2,ROUNDDOWN($H74,0),CD$2)))))*'Inputs Yr 2'!R74*'Inputs Yr 2'!S74*'Inputs Yr 2'!W74,"")</f>
        <v>0</v>
      </c>
      <c r="CE74" s="213">
        <f t="shared" si="71"/>
        <v>0</v>
      </c>
      <c r="CF74" s="213">
        <f t="shared" si="72"/>
        <v>0</v>
      </c>
      <c r="CG74" s="213">
        <f t="shared" si="73"/>
        <v>0</v>
      </c>
      <c r="CH74" s="698">
        <f t="shared" si="74"/>
        <v>5141263.8204280455</v>
      </c>
      <c r="CI74" s="79">
        <f>IFERROR(($G74*'Inputs Yr 2'!$P74*'Inputs Yr 2'!$Q74*(((INDEX(avoidedcosttbl2,$H74,CI$2)+(($H74-ROUNDDOWN($H74,0))*(INDEX(avoidedcosttbl2,ROUNDUP($H74,0),CI$2)-INDEX(avoidedcosttbl2,ROUNDDOWN($H74,0),CI$2))))*'Inputs Yr 2'!AS74))),"")</f>
        <v>0</v>
      </c>
      <c r="CJ74" s="504">
        <f>IFERROR($G74*'Inputs Yr 2'!AT74*'Inputs Yr 2'!$P74*'Inputs Yr 2'!$Q74/((1+realdiscrt1)^-0.5),"")</f>
        <v>0</v>
      </c>
      <c r="CK74" s="79">
        <f>IFERROR((O74*1000*(((INDEX(avoidedcosttbl2,$H74,CK$2)+(($H74-ROUNDDOWN($H74,0))*(INDEX(avoidedcosttbl2,ROUNDUP($H74,0),CK$2)-INDEX(avoidedcosttbl2,ROUNDDOWN($H74,0),CK$2))))*'Inputs Yr 2'!AU74))),"")</f>
        <v>0</v>
      </c>
      <c r="CL74" s="504">
        <f>IFERROR(O74*1000*'Inputs Yr 2'!AV74/((1+realdiscrt1)^-0.5),"")</f>
        <v>0</v>
      </c>
      <c r="CM74" s="79">
        <f>IFERROR((AB74*'Inputs Yr 2'!AW74*(((INDEX(avoidedcosttbl2,$H74,CM$2)+(($H74-ROUNDDOWN($H74,0))*(INDEX(avoidedcosttbl2,ROUNDUP($H74,0),CM$2)-INDEX(avoidedcosttbl2,ROUNDDOWN($H74,0),CM$2)))))))*10,"")</f>
        <v>0</v>
      </c>
      <c r="CN74" s="504">
        <f>IFERROR(10*AB74*'Inputs Yr 2'!AX74/((1+realdiscrt1)^-0.5),"")</f>
        <v>0</v>
      </c>
      <c r="CO74" s="505">
        <f t="shared" si="75"/>
        <v>0</v>
      </c>
      <c r="CP74" s="230">
        <f t="shared" si="76"/>
        <v>5141263.8204280455</v>
      </c>
      <c r="CQ74" s="199">
        <f>ROUND(IFERROR(IF(LEFT($A74,1)="C",'Avoided Costs'!$K$13,'Avoided Costs'!$K$12)+1,""),4)</f>
        <v>1.0720000000000001</v>
      </c>
      <c r="CR74" s="199">
        <f>ROUND(IFERROR(IF(LEFT($A74,1)="C",'Avoided Costs'!$L$13,'Avoided Costs'!$L$12)+1,""),4)</f>
        <v>1.04</v>
      </c>
      <c r="CS74" s="199">
        <f>ROUND(IFERROR(IF(LEFT($A74,1)="C",'Avoided Costs'!$M$13,'Avoided Costs'!$M$12)+1,""),4)</f>
        <v>1.0720000000000001</v>
      </c>
      <c r="CT74" s="199">
        <f>ROUND(IFERROR(IF(LEFT($A74,1)="C",'Avoided Costs'!$N$13,'Avoided Costs'!$N$12)+1,""),4)</f>
        <v>1.04</v>
      </c>
      <c r="CU74" s="199">
        <f>ROUND(IFERROR(IF(LEFT($A74,1)="C",'Avoided Costs'!$O$13,'Avoided Costs'!$O$12)+1,""),4)</f>
        <v>1.1120000000000001</v>
      </c>
      <c r="CV74" s="199">
        <f>ROUND(IFERROR(IF(LEFT($A74,1)="C",'Avoided Costs'!$P$13,'Avoided Costs'!$P$12)+1,""),4)</f>
        <v>1.095</v>
      </c>
      <c r="CW74" s="199">
        <f>ROUND(IFERROR(IF(LEFT($A74,1)="C",'Avoided Costs'!$Q$13,'Avoided Costs'!$Q$12)+1,""),4)</f>
        <v>1.1120000000000001</v>
      </c>
      <c r="CX74" s="200">
        <f>ROUND(IFERROR(IF(LEFT($A74,1)="C",'Avoided Costs'!$R$13,'Avoided Costs'!$R$12)+1,""),4)</f>
        <v>1.1120000000000001</v>
      </c>
    </row>
    <row r="75" spans="1:102" ht="12.75" customHeight="1">
      <c r="A75" s="91" t="str">
        <f>IF('Inputs Yr 2'!$B75=0,"",'Inputs Yr 2'!A75)</f>
        <v>A - Residential</v>
      </c>
      <c r="B75" s="91" t="str">
        <f>IF('Inputs Yr 2'!$B75=0,"",'Inputs Yr 2'!B75)</f>
        <v>A1 - Residential Whole House</v>
      </c>
      <c r="C75" s="91" t="str">
        <f>IF('Inputs Yr 2'!$B75=0,"",'Inputs Yr 2'!C75)</f>
        <v>A1e - Residential Behavior/Feedback Program</v>
      </c>
      <c r="D75" s="91" t="str">
        <f>IF('Inputs Yr 2'!$B75=0,"",'Inputs Yr 2'!E75)</f>
        <v>Custom/Future</v>
      </c>
      <c r="E75" s="93">
        <f>IF('Inputs Yr 2'!$B75=0,"",'Inputs Yr 2'!F75)</f>
        <v>0</v>
      </c>
      <c r="F75" s="93" t="str">
        <f>IF('Inputs Yr 2'!$B75=0,"",'Inputs Yr 2'!G75)</f>
        <v>Behavior</v>
      </c>
      <c r="G75" s="95" t="str">
        <f>IF('Inputs Yr 2'!$H75&lt;&gt;0,('Inputs Yr 2'!H75),"")</f>
        <v/>
      </c>
      <c r="H75" s="94">
        <f>IFERROR('Inputs Yr 2'!I75,"")</f>
        <v>0</v>
      </c>
      <c r="I75" s="298" t="str">
        <f>IFERROR('Inputs Yr 2'!J75*'Inputs Yr 2'!P75*G75,"")</f>
        <v/>
      </c>
      <c r="J75" s="298" t="str">
        <f>IFERROR('Inputs Yr 2'!K75*G75,"")</f>
        <v/>
      </c>
      <c r="K75" s="298" t="str">
        <f t="shared" si="53"/>
        <v/>
      </c>
      <c r="L75" s="194" t="str">
        <f>IFERROR(('Inputs Yr 2'!W75*G75)/1000,"")</f>
        <v/>
      </c>
      <c r="M75" s="194" t="str">
        <f>IFERROR(L75*('Inputs Yr 2'!$Q75*'Inputs Yr 2'!$V75*'Inputs Yr 2'!$R75),"")</f>
        <v/>
      </c>
      <c r="N75" s="194" t="str">
        <f t="shared" si="54"/>
        <v/>
      </c>
      <c r="O75" s="194" t="str">
        <f>IFERROR(M75*'Inputs Yr 2'!P75,"")</f>
        <v/>
      </c>
      <c r="P75" s="194" t="str">
        <f t="shared" si="55"/>
        <v/>
      </c>
      <c r="Q75" s="194" t="str">
        <f>IFERROR($P75*'Inputs Yr 2'!AA75,"")</f>
        <v/>
      </c>
      <c r="R75" s="194" t="str">
        <f>IFERROR($P75*'Inputs Yr 2'!AB75,"")</f>
        <v/>
      </c>
      <c r="S75" s="194" t="str">
        <f>IFERROR($P75*'Inputs Yr 2'!AC75,"")</f>
        <v/>
      </c>
      <c r="T75" s="194" t="str">
        <f>IFERROR($P75*'Inputs Yr 2'!AD75,"")</f>
        <v/>
      </c>
      <c r="U75" s="194" t="str">
        <f>IFERROR(G75*'Inputs Yr 2'!$AE75*'Inputs Yr 2'!$P75*'Inputs Yr 2'!$Q75,"")</f>
        <v/>
      </c>
      <c r="V75" s="194" t="str">
        <f>IFERROR($G75*'Inputs Yr 2'!$AE75*'Inputs Yr 2'!$AG75*'Inputs Yr 2'!Q75*'Inputs Yr 2'!$S75,"")</f>
        <v/>
      </c>
      <c r="W75" s="194" t="str">
        <f>IFERROR($G75*'Inputs Yr 2'!$AE75*'Inputs Yr 2'!$AG75*'Inputs Yr 2'!P75*'Inputs Yr 2'!Q75*'Inputs Yr 2'!$S75,"")</f>
        <v/>
      </c>
      <c r="X75" s="194" t="str">
        <f>IFERROR($G75*'Inputs Yr 2'!$AE75*'Inputs Yr 2'!$AF75*'Inputs Yr 2'!Q75*'Inputs Yr 2'!$T75,"")</f>
        <v/>
      </c>
      <c r="Y75" s="194" t="str">
        <f>IFERROR($G75*'Inputs Yr 2'!$AE75*'Inputs Yr 2'!$AF75*'Inputs Yr 2'!P75*'Inputs Yr 2'!Q75*'Inputs Yr 2'!$T75,"")</f>
        <v/>
      </c>
      <c r="Z75" s="257">
        <f>IFERROR($G75*'Inputs Yr 2'!$Q75*'Inputs Yr 2'!$U75*(IF(IFERROR(SEARCH("NG", 'Inputs Yr 2'!$AJ75),0),'Inputs Yr 2'!$AK75,0)+IF(IFERROR(SEARCH("NG", 'Inputs Yr 2'!$AL75),0),'Inputs Yr 2'!$AM75,0)+IF(IFERROR(SEARCH("NG", 'Inputs Yr 2'!$AN75),0),'Inputs Yr 2'!$AO75,0)),0)</f>
        <v>0</v>
      </c>
      <c r="AA75" s="257">
        <f t="shared" si="56"/>
        <v>0</v>
      </c>
      <c r="AB75" s="257">
        <f>IFERROR(Z75*'Inputs Yr 2'!$P75,0)</f>
        <v>0</v>
      </c>
      <c r="AC75" s="257">
        <f t="shared" si="57"/>
        <v>0</v>
      </c>
      <c r="AD75" s="257">
        <f>IFERROR($G75*'Inputs Yr 2'!$Q75*'Inputs Yr 2'!$U75*(IF(IFERROR(SEARCH("Oil", 'Inputs Yr 2'!$AJ75), 0),'Inputs Yr 2'!$AK75,0)+IF(IFERROR(SEARCH("Oil", 'Inputs Yr 2'!$AL75), 0),'Inputs Yr 2'!$AM75,0)+IF(IFERROR(SEARCH("Oil", 'Inputs Yr 2'!$AN75), 0),'Inputs Yr 2'!$AO75,0)),0)</f>
        <v>0</v>
      </c>
      <c r="AE75" s="257">
        <f t="shared" si="58"/>
        <v>0</v>
      </c>
      <c r="AF75" s="257">
        <f>IFERROR(AD75*'Inputs Yr 2'!$P75,0)</f>
        <v>0</v>
      </c>
      <c r="AG75" s="257">
        <f t="shared" si="59"/>
        <v>0</v>
      </c>
      <c r="AH75" s="257">
        <f>IFERROR($G75*'Inputs Yr 2'!$Q75*'Inputs Yr 2'!$U75*(IF('Inputs Yr 2'!$AJ75=CD$4,'Inputs Yr 2'!$AK75,IF('Inputs Yr 2'!$AL75=CD$4,'Inputs Yr 2'!$AM75,IF('Inputs Yr 2'!$AN75=CD$4,'Inputs Yr 2'!$AO75,0)))),0)</f>
        <v>0</v>
      </c>
      <c r="AI75" s="257">
        <f t="shared" si="60"/>
        <v>0</v>
      </c>
      <c r="AJ75" s="257">
        <f>IFERROR(AH75*'Inputs Yr 2'!$P75,0)</f>
        <v>0</v>
      </c>
      <c r="AK75" s="257">
        <f t="shared" si="61"/>
        <v>0</v>
      </c>
      <c r="AL75" s="258">
        <f>IFERROR($G75*'Inputs Yr 2'!$P75*'Inputs Yr 2'!$Q75*'Inputs Yr 2'!AP75,0)</f>
        <v>0</v>
      </c>
      <c r="AM75" s="260">
        <f>IFERROR($G75*'Inputs Yr 2'!$P75*'Inputs Yr 2'!$Q75*'Inputs Yr 2'!AQ75,0)</f>
        <v>0</v>
      </c>
      <c r="AN75" s="258">
        <f>IFERROR($G75*'Inputs Yr 2'!$P75*'Inputs Yr 2'!$Q75*'Inputs Yr 2'!AR75,0)</f>
        <v>0</v>
      </c>
      <c r="AO75" s="257">
        <f t="shared" si="62"/>
        <v>0</v>
      </c>
      <c r="AP75" s="195" t="str">
        <f>IFERROR($CQ75*(INDEX(avoidedcosttbl2,$H75,AP$2)+(($H75-ROUNDDOWN($H75,0))*(INDEX(avoidedcosttbl2,ROUNDUP($H75,0),AP$2)-(INDEX(avoidedcosttbl2,ROUNDDOWN($H75,0),AP$2)))))*$O75*1000*'Inputs Yr 2'!AA75,"")</f>
        <v/>
      </c>
      <c r="AQ75" s="195" t="str">
        <f>IFERROR($CR75*(INDEX(avoidedcosttbl2,$H75,AQ$2)+(($H75-ROUNDDOWN($H75,0))*(INDEX(avoidedcosttbl2,ROUNDUP($H75,0),AQ$2)-(INDEX(avoidedcosttbl2,ROUNDDOWN($H75,0),AQ$2)))))*$O75*1000*'Inputs Yr 2'!AB75,"")</f>
        <v/>
      </c>
      <c r="AR75" s="195" t="str">
        <f>IFERROR($CS75*(INDEX(avoidedcosttbl2,$H75,AR$2)+(($H75-ROUNDDOWN($H75,0))*(INDEX(avoidedcosttbl2,ROUNDUP($H75,0),AR$2)-(INDEX(avoidedcosttbl2,ROUNDDOWN($H75,0),AR$2)))))*$O75*1000*'Inputs Yr 2'!AC75,"")</f>
        <v/>
      </c>
      <c r="AS75" s="195" t="str">
        <f>IFERROR($CT75*(INDEX(avoidedcosttbl2,$H75,AS$2)+(($H75-ROUNDDOWN($H75,0))*(INDEX(avoidedcosttbl2,ROUNDUP($H75,0),AS$2)-(INDEX(avoidedcosttbl2,ROUNDDOWN($H75,0),AS$2)))))*$O75*1000*'Inputs Yr 2'!AD75,"")</f>
        <v/>
      </c>
      <c r="AT75" s="196">
        <f t="shared" si="63"/>
        <v>0</v>
      </c>
      <c r="AU75" s="197" t="str">
        <f>IFERROR($CQ75*((INDEX(avoidedcosttbl2,$H75,AU$2))+(($H75-ROUNDDOWN($H75,0))*((INDEX(avoidedcosttbl2,ROUNDUP($H75,0),AU$2))-(INDEX(avoidedcosttbl2,ROUNDDOWN($H75,0),AU$2)))))*$O75*1000*'Inputs Yr 2'!AA75,"")</f>
        <v/>
      </c>
      <c r="AV75" s="197" t="str">
        <f>IFERROR($CR75*((INDEX(avoidedcosttbl2,$H75,AV$2))+(($H75-ROUNDDOWN($H75,0))*((INDEX(avoidedcosttbl2,ROUNDUP($H75,0),AV$2))-(INDEX(avoidedcosttbl2,ROUNDDOWN($H75,0),AV$2)))))*$O75*1000*'Inputs Yr 2'!AB75,"")</f>
        <v/>
      </c>
      <c r="AW75" s="197" t="str">
        <f>IFERROR($CS75*((INDEX(avoidedcosttbl2,$H75,AW$2))+(($H75-ROUNDDOWN($H75,0))*((INDEX(avoidedcosttbl2,ROUNDUP($H75,0),AW$2))-(INDEX(avoidedcosttbl2,ROUNDDOWN($H75,0),AW$2)))))*$O75*1000*'Inputs Yr 2'!AC75,"")</f>
        <v/>
      </c>
      <c r="AX75" s="197" t="str">
        <f>IFERROR($CT75*((INDEX(avoidedcosttbl2,$H75,AX$2))+(($H75-ROUNDDOWN($H75,0))*((INDEX(avoidedcosttbl2,ROUNDUP($H75,0),AX$2))-(INDEX(avoidedcosttbl2,ROUNDDOWN($H75,0),AX$2)))))*$O75*1000*'Inputs Yr 2'!AD75,"")</f>
        <v/>
      </c>
      <c r="AY75" s="197" t="str">
        <f>IFERROR(((INDEX(avoidedcosttbl2,$H75,AY$2))+(($H75-ROUNDDOWN($H75,0))*((INDEX(avoidedcosttbl2,ROUNDUP($H75,0),AY$2))-(INDEX(avoidedcosttbl2,ROUNDDOWN($H75,0),AY$2)))))*$O75*1000*('Inputs Yr 2'!AC75+'Inputs Yr 2'!AD75),"")</f>
        <v/>
      </c>
      <c r="AZ75" s="197" t="str">
        <f>IFERROR(((INDEX(avoidedcosttbl2,$H75,AZ$2))+(($H75-ROUNDDOWN($H75,0))*((INDEX(avoidedcosttbl2,ROUNDUP($H75,0),AZ$2))-(INDEX(avoidedcosttbl2,ROUNDDOWN($H75,0),AZ$2)))))*$O75*1000*('Inputs Yr 2'!AA75+'Inputs Yr 2'!AB75),"")</f>
        <v/>
      </c>
      <c r="BA75" s="198">
        <f t="shared" si="64"/>
        <v>0</v>
      </c>
      <c r="BB75" s="198">
        <f t="shared" si="65"/>
        <v>0</v>
      </c>
      <c r="BC75" s="195" t="str">
        <f t="shared" si="47"/>
        <v/>
      </c>
      <c r="BD75" s="195" t="str">
        <f t="shared" si="48"/>
        <v/>
      </c>
      <c r="BE75" s="195" t="str">
        <f t="shared" si="49"/>
        <v/>
      </c>
      <c r="BF75" s="195" t="str">
        <f t="shared" si="50"/>
        <v/>
      </c>
      <c r="BG75" s="195" t="str">
        <f t="shared" si="51"/>
        <v/>
      </c>
      <c r="BH75" s="196">
        <f t="shared" si="66"/>
        <v>0</v>
      </c>
      <c r="BI75" s="196">
        <f t="shared" si="67"/>
        <v>0</v>
      </c>
      <c r="BJ75" s="195" t="str">
        <f>IFERROR($G75*(IF('Inputs Yr 2'!$AJ75=BJ$4,'Inputs Yr 2'!$AK75,IF('Inputs Yr 2'!$AL75=BJ$4,'Inputs Yr 2'!$AM75,IF('Inputs Yr 2'!$AN75=BJ$4,'Inputs Yr 2'!$AO75,0))))*(INDEX(avoidedcosttbl2,$H75,BJ$2)+(($H75-ROUNDDOWN($H75,0))*(INDEX(avoidedcosttbl2,ROUNDUP($H75,0),BJ$2)-(INDEX(avoidedcosttbl2,ROUNDDOWN($H75,0),BJ$2)))))*'Inputs Yr 2'!P75*'Inputs Yr 2'!Q75*'Inputs Yr 2'!U75,"")</f>
        <v/>
      </c>
      <c r="BK75" s="195" t="str">
        <f>IFERROR($G75*(IF('Inputs Yr 2'!$AJ75=BK$4,'Inputs Yr 2'!$AK75,IF('Inputs Yr 2'!$AL75=BK$4,'Inputs Yr 2'!$AM75,IF('Inputs Yr 2'!$AN75=BK$4,'Inputs Yr 2'!$AO75,0))))*(INDEX(avoidedcosttbl2,$H75,BK$2)+(($H75-ROUNDDOWN($H75,0))*(INDEX(avoidedcosttbl2,ROUNDUP($H75,0),BK$2)-(INDEX(avoidedcosttbl2,ROUNDDOWN($H75,0),BK$2)))))*'Inputs Yr 2'!P75*'Inputs Yr 2'!Q75*'Inputs Yr 2'!U75,"")</f>
        <v/>
      </c>
      <c r="BL75" s="195" t="str">
        <f>IFERROR($G75*(IF('Inputs Yr 2'!$AJ75=BL$4,'Inputs Yr 2'!$AK75,IF('Inputs Yr 2'!$AL75=BL$4,'Inputs Yr 2'!$AM75,IF('Inputs Yr 2'!$AN75=BL$4,'Inputs Yr 2'!$AO75,0))))*(INDEX(avoidedcosttbl2,$H75,BL$2)+(($H75-ROUNDDOWN($H75,0))*(INDEX(avoidedcosttbl2,ROUNDUP($H75,0),BL$2)-(INDEX(avoidedcosttbl2,ROUNDDOWN($H75,0),BL$2)))))*'Inputs Yr 2'!P75*'Inputs Yr 2'!Q75*'Inputs Yr 2'!U75,"")</f>
        <v/>
      </c>
      <c r="BM75" s="195" t="str">
        <f>IFERROR($G75*(IF('Inputs Yr 2'!$AJ75=BM$4,'Inputs Yr 2'!$AK75,IF('Inputs Yr 2'!$AL75=BM$4,'Inputs Yr 2'!$AM75,IF('Inputs Yr 2'!$AN75=BM$4,'Inputs Yr 2'!$AO75,0))))*(INDEX(avoidedcosttbl2,$H75,BM$2)+(($H75-ROUNDDOWN($H75,0))*(INDEX(avoidedcosttbl2,ROUNDUP($H75,0),BM$2)-(INDEX(avoidedcosttbl2,ROUNDDOWN($H75,0),BM$2)))))*'Inputs Yr 2'!P75*'Inputs Yr 2'!Q75*'Inputs Yr 2'!U75,"")</f>
        <v/>
      </c>
      <c r="BN75" s="195" t="str">
        <f>IFERROR($G75*(IF('Inputs Yr 2'!$AJ75=BN$4,'Inputs Yr 2'!$AK75,IF('Inputs Yr 2'!$AL75=BN$4,'Inputs Yr 2'!$AM75,IF('Inputs Yr 2'!$AN75=BN$4,'Inputs Yr 2'!$AO75,0))))*(INDEX(avoidedcosttbl2,$H75,BN$2)+(($H75-ROUNDDOWN($H75,0))*(INDEX(avoidedcosttbl2,ROUNDUP($H75,0),BN$2)-(INDEX(avoidedcosttbl2,ROUNDDOWN($H75,0),BN$2)))))*'Inputs Yr 2'!P75*'Inputs Yr 2'!Q75*'Inputs Yr 2'!U75,"")</f>
        <v/>
      </c>
      <c r="BO75" s="195" t="str">
        <f>IFERROR($G75*(IF('Inputs Yr 2'!$AJ75=BO$4,'Inputs Yr 2'!$AK75,IF('Inputs Yr 2'!$AL75=BO$4,'Inputs Yr 2'!$AM75,IF('Inputs Yr 2'!$AN75=BO$4,'Inputs Yr 2'!$AO75,0))))*(INDEX(avoidedcosttbl2,$H75,BO$2)+(($H75-ROUNDDOWN($H75,0))*(INDEX(avoidedcosttbl2,ROUNDUP($H75,0),BO$2)-(INDEX(avoidedcosttbl2,ROUNDDOWN($H75,0),BO$2)))))*'Inputs Yr 2'!P75*'Inputs Yr 2'!Q75*'Inputs Yr 2'!U75,"")</f>
        <v/>
      </c>
      <c r="BP75" s="195" t="str">
        <f>IFERROR($G75*(IF('Inputs Yr 2'!$AJ75=BP$4,'Inputs Yr 2'!$AK75,IF('Inputs Yr 2'!$AL75=BP$4,'Inputs Yr 2'!$AM75,IF('Inputs Yr 2'!$AN75=BP$4,'Inputs Yr 2'!$AO75,0))))*(INDEX(avoidedcosttbl2,$H75,BP$2)+(($H75-ROUNDDOWN($H75,0))*(INDEX(avoidedcosttbl2,ROUNDUP($H75,0),BP$2)-(INDEX(avoidedcosttbl2,ROUNDDOWN($H75,0),BP$2)))))*'Inputs Yr 2'!P75*'Inputs Yr 2'!Q75*'Inputs Yr 2'!U75,"")</f>
        <v/>
      </c>
      <c r="BQ75" s="230">
        <f t="shared" si="68"/>
        <v>0</v>
      </c>
      <c r="BR75" s="197">
        <f t="shared" si="52"/>
        <v>0</v>
      </c>
      <c r="BS75" s="197" t="str">
        <f>IFERROR(($G75*IF('Inputs Yr 2'!$AJ75=BM$4,'Inputs Yr 2'!$AK75,IF('Inputs Yr 2'!$AL75=BM$4,'Inputs Yr 2'!$AM75,IF('Inputs Yr 2'!$AN75=BM$4,'Inputs Yr 2'!$AO75,0))))*(INDEX(avoidedcosttbl2,$H75,BS$2)+(($H75-ROUNDDOWN($H75,0))*(INDEX(avoidedcosttbl2,ROUNDUP($H75,0),BS$2)-(INDEX(avoidedcosttbl2,ROUNDDOWN($H75,0),BS$2)))))*'Inputs Yr 2'!P75*'Inputs Yr 2'!Q75*'Inputs Yr 2'!U75,"")</f>
        <v/>
      </c>
      <c r="BT75" s="197" t="str">
        <f>IFERROR(($G75*IF('Inputs Yr 2'!$AJ75=BK$4,'Inputs Yr 2'!$AK75,IF('Inputs Yr 2'!$AL75=BK$4,'Inputs Yr 2'!$AM75,IF('Inputs Yr 2'!$AN75=BK$4,'Inputs Yr 2'!$AO75,0))))*(INDEX(avoidedcosttbl2,$H75,BT$2)+(($H75-ROUNDDOWN($H75,0))*(INDEX(avoidedcosttbl2,ROUNDUP($H75,0),BT$2)-(INDEX(avoidedcosttbl2,ROUNDDOWN($H75,0),BT$2)))))*'Inputs Yr 2'!P75*'Inputs Yr 2'!Q75*'Inputs Yr 2'!U75,"")</f>
        <v/>
      </c>
      <c r="BU75" s="197" t="str">
        <f>IFERROR(($G75*IF('Inputs Yr 2'!$AJ75=BL$4,'Inputs Yr 2'!$AK75,IF('Inputs Yr 2'!$AL75=BL$4,'Inputs Yr 2'!$AM75,IF('Inputs Yr 2'!$AN75=BL$4,'Inputs Yr 2'!$AO75,0))))*(INDEX(avoidedcosttbl2,$H75,BU$2)+(($H75-ROUNDDOWN($H75,0))*(INDEX(avoidedcosttbl2,ROUNDUP($H75,0),BU$2)-(INDEX(avoidedcosttbl2,ROUNDDOWN($H75,0),BU$2)))))*'Inputs Yr 2'!P75*'Inputs Yr 2'!Q75*'Inputs Yr 2'!U75,"")</f>
        <v/>
      </c>
      <c r="BV75" s="775" t="str">
        <f>IFERROR(($G75*IF('Inputs Yr 2'!$AJ75=BJ$4,'Inputs Yr 2'!$AK75,IF('Inputs Yr 2'!$AL75=BJ$4,'Inputs Yr 2'!$AM75,IF('Inputs Yr 2'!$AN75=BJ$4,'Inputs Yr 2'!$AO75,0))))*(INDEX(avoidedcosttbl2,$H75,BV$2)+(($H75-ROUNDDOWN($H75,0))*(INDEX(avoidedcosttbl2,ROUNDUP($H75,0),BV$2)-(INDEX(avoidedcosttbl2,ROUNDDOWN($H75,0),BV$2)))))*'Inputs Yr 2'!P75*'Inputs Yr 2'!Q75*'Inputs Yr 2'!U75,"")</f>
        <v/>
      </c>
      <c r="BW75" s="197" t="str">
        <f>IFERROR(($G75*IF('Inputs Yr 2'!$AJ75=BN$4,'Inputs Yr 2'!$AK75,IF('Inputs Yr 2'!$AL75=BN$4,'Inputs Yr 2'!$AM75,IF('Inputs Yr 2'!$AN75=BN$4,'Inputs Yr 2'!$AO75,0))))*(INDEX(avoidedcosttbl2,$H75,BW$2)+(($H75-ROUNDDOWN($H75,0))*(INDEX(avoidedcosttbl2,ROUNDUP($H75,0),BW$2)-(INDEX(avoidedcosttbl2,ROUNDDOWN($H75,0),BW$2)))))*'Inputs Yr 2'!P75*'Inputs Yr 2'!Q75*'Inputs Yr 2'!U75,"")</f>
        <v/>
      </c>
      <c r="BX75" s="197" t="str">
        <f>IFERROR(($G75*IF('Inputs Yr 2'!$AJ75=BO$4,'Inputs Yr 2'!$AK75,IF('Inputs Yr 2'!$AL75=BO$4,'Inputs Yr 2'!$AM75,IF('Inputs Yr 2'!$AN75=BO$4,'Inputs Yr 2'!$AO75,0))))*(INDEX(avoidedcosttbl2,$H75,BX$2)+(($H75-ROUNDDOWN($H75,0))*(INDEX(avoidedcosttbl2,ROUNDUP($H75,0),BX$2)-(INDEX(avoidedcosttbl2,ROUNDDOWN($H75,0),BX$2)))))*'Inputs Yr 2'!P75*'Inputs Yr 2'!Q75*'Inputs Yr 2'!U75,"")</f>
        <v/>
      </c>
      <c r="BY75" s="197" t="str">
        <f>IFERROR(($G75*IF('Inputs Yr 2'!$AJ75=BP$4,'Inputs Yr 2'!$AK75,IF('Inputs Yr 2'!$AL75=BP$4,'Inputs Yr 2'!$AM75,IF('Inputs Yr 2'!$AN75=BP$4,'Inputs Yr 2'!$AO75,0))))*(INDEX(avoidedcosttbl2,$H75,BY$2)+(($H75-ROUNDDOWN($H75,0))*(INDEX(avoidedcosttbl2,ROUNDUP($H75,0),BY$2)-(INDEX(avoidedcosttbl2,ROUNDDOWN($H75,0),BY$2)))))*'Inputs Yr 2'!P75*'Inputs Yr 2'!Q75*'Inputs Yr 2'!U75,"")</f>
        <v/>
      </c>
      <c r="BZ75" s="193">
        <f t="shared" si="69"/>
        <v>0</v>
      </c>
      <c r="CA75" s="193">
        <f t="shared" si="70"/>
        <v>0</v>
      </c>
      <c r="CB75" s="195" t="str">
        <f>IFERROR(G75*(IF('Inputs Yr 2'!$AJ75=CB$4,'Inputs Yr 2'!$AK75,IF('Inputs Yr 2'!$AL75=CB$4,'Inputs Yr 2'!$AM75,IF('Inputs Yr 2'!$AN75=CB$4,'Inputs Yr 2'!$AO75,0))))*(INDEX(avoidedcosttbl2,$H75,CB$2)+(($H75-ROUNDDOWN($H75,0))*(INDEX(avoidedcosttbl2,ROUNDUP($H75,0),CB$2)-(INDEX(avoidedcosttbl2,ROUNDDOWN($H75,0),CB$2)))))*'Inputs Yr 2'!P75*'Inputs Yr 2'!Q75*'Inputs Yr 2'!U75,"")</f>
        <v/>
      </c>
      <c r="CC75" s="195">
        <f>IFERROR(H75*(IF('Inputs Yr 2'!$AJ75=CC$4,'Inputs Yr 2'!$AK75,IF('Inputs Yr 2'!$AL75=CC$4,'Inputs Yr 2'!$AM75,IF('Inputs Yr 2'!$AN75=CC$4,'Inputs Yr 2'!$AO75,0))))*(INDEX(avoidedcosttbl2,$H75,CC$2)+(($H75-ROUNDDOWN($H75,0))*(INDEX(avoidedcosttbl2,ROUNDUP($H75,0),CC$2)-(INDEX(avoidedcosttbl2,ROUNDDOWN($H75,0),CC$2)))))*'Inputs Yr 2'!Q75*'Inputs Yr 2'!R75*'Inputs Yr 2'!V75,"")</f>
        <v>0</v>
      </c>
      <c r="CD75" s="195" t="str">
        <f>IFERROR(I75*(IF('Inputs Yr 2'!$AJ75=CD$4,'Inputs Yr 2'!$AK75,IF('Inputs Yr 2'!$AL75=CD$4,'Inputs Yr 2'!$AM75,IF('Inputs Yr 2'!$AN75=CD$4,'Inputs Yr 2'!$AO75,0))))*(INDEX(avoidedcosttbl2,$H75,CD$2)+(($H75-ROUNDDOWN($H75,0))*(INDEX(avoidedcosttbl2,ROUNDUP($H75,0),CD$2)-(INDEX(avoidedcosttbl2,ROUNDDOWN($H75,0),CD$2)))))*'Inputs Yr 2'!R75*'Inputs Yr 2'!S75*'Inputs Yr 2'!W75,"")</f>
        <v/>
      </c>
      <c r="CE75" s="213">
        <f t="shared" si="71"/>
        <v>0</v>
      </c>
      <c r="CF75" s="213">
        <f t="shared" si="72"/>
        <v>0</v>
      </c>
      <c r="CG75" s="213">
        <f t="shared" si="73"/>
        <v>0</v>
      </c>
      <c r="CH75" s="698">
        <f t="shared" si="74"/>
        <v>0</v>
      </c>
      <c r="CI75" s="79" t="str">
        <f>IFERROR(($G75*'Inputs Yr 2'!$P75*'Inputs Yr 2'!$Q75*(((INDEX(avoidedcosttbl2,$H75,CI$2)+(($H75-ROUNDDOWN($H75,0))*(INDEX(avoidedcosttbl2,ROUNDUP($H75,0),CI$2)-INDEX(avoidedcosttbl2,ROUNDDOWN($H75,0),CI$2))))*'Inputs Yr 2'!AS75))),"")</f>
        <v/>
      </c>
      <c r="CJ75" s="504" t="str">
        <f>IFERROR($G75*'Inputs Yr 2'!AT75*'Inputs Yr 2'!$P75*'Inputs Yr 2'!$Q75/((1+realdiscrt1)^-0.5),"")</f>
        <v/>
      </c>
      <c r="CK75" s="79" t="str">
        <f>IFERROR((O75*1000*(((INDEX(avoidedcosttbl2,$H75,CK$2)+(($H75-ROUNDDOWN($H75,0))*(INDEX(avoidedcosttbl2,ROUNDUP($H75,0),CK$2)-INDEX(avoidedcosttbl2,ROUNDDOWN($H75,0),CK$2))))*'Inputs Yr 2'!AU75))),"")</f>
        <v/>
      </c>
      <c r="CL75" s="504" t="str">
        <f>IFERROR(O75*1000*'Inputs Yr 2'!AV75/((1+realdiscrt1)^-0.5),"")</f>
        <v/>
      </c>
      <c r="CM75" s="79">
        <f>IFERROR((AB75*'Inputs Yr 2'!AW75*(((INDEX(avoidedcosttbl2,$H75,CM$2)+(($H75-ROUNDDOWN($H75,0))*(INDEX(avoidedcosttbl2,ROUNDUP($H75,0),CM$2)-INDEX(avoidedcosttbl2,ROUNDDOWN($H75,0),CM$2)))))))*10,"")</f>
        <v>0</v>
      </c>
      <c r="CN75" s="504">
        <f>IFERROR(10*AB75*'Inputs Yr 2'!AX75/((1+realdiscrt1)^-0.5),"")</f>
        <v>0</v>
      </c>
      <c r="CO75" s="505">
        <f t="shared" si="75"/>
        <v>0</v>
      </c>
      <c r="CP75" s="230">
        <f t="shared" si="76"/>
        <v>0</v>
      </c>
      <c r="CQ75" s="199">
        <f>ROUND(IFERROR(IF(LEFT($A75,1)="C",'Avoided Costs'!$K$13,'Avoided Costs'!$K$12)+1,""),4)</f>
        <v>1.0720000000000001</v>
      </c>
      <c r="CR75" s="199">
        <f>ROUND(IFERROR(IF(LEFT($A75,1)="C",'Avoided Costs'!$L$13,'Avoided Costs'!$L$12)+1,""),4)</f>
        <v>1.04</v>
      </c>
      <c r="CS75" s="199">
        <f>ROUND(IFERROR(IF(LEFT($A75,1)="C",'Avoided Costs'!$M$13,'Avoided Costs'!$M$12)+1,""),4)</f>
        <v>1.0720000000000001</v>
      </c>
      <c r="CT75" s="199">
        <f>ROUND(IFERROR(IF(LEFT($A75,1)="C",'Avoided Costs'!$N$13,'Avoided Costs'!$N$12)+1,""),4)</f>
        <v>1.04</v>
      </c>
      <c r="CU75" s="199">
        <f>ROUND(IFERROR(IF(LEFT($A75,1)="C",'Avoided Costs'!$O$13,'Avoided Costs'!$O$12)+1,""),4)</f>
        <v>1.1120000000000001</v>
      </c>
      <c r="CV75" s="199">
        <f>ROUND(IFERROR(IF(LEFT($A75,1)="C",'Avoided Costs'!$P$13,'Avoided Costs'!$P$12)+1,""),4)</f>
        <v>1.095</v>
      </c>
      <c r="CW75" s="199">
        <f>ROUND(IFERROR(IF(LEFT($A75,1)="C",'Avoided Costs'!$Q$13,'Avoided Costs'!$Q$12)+1,""),4)</f>
        <v>1.1120000000000001</v>
      </c>
      <c r="CX75" s="200">
        <f>ROUND(IFERROR(IF(LEFT($A75,1)="C",'Avoided Costs'!$R$13,'Avoided Costs'!$R$12)+1,""),4)</f>
        <v>1.1120000000000001</v>
      </c>
    </row>
    <row r="76" spans="1:102" ht="12.75" customHeight="1">
      <c r="A76" s="91" t="str">
        <f>IF('Inputs Yr 2'!$B76=0,"",'Inputs Yr 2'!A76)</f>
        <v>A - Residential</v>
      </c>
      <c r="B76" s="91" t="str">
        <f>IF('Inputs Yr 2'!$B76=0,"",'Inputs Yr 2'!B76)</f>
        <v>A1 - Residential Whole House</v>
      </c>
      <c r="C76" s="91" t="str">
        <f>IF('Inputs Yr 2'!$B76=0,"",'Inputs Yr 2'!C76)</f>
        <v>A1e - Residential Behavior/Feedback Program</v>
      </c>
      <c r="D76" s="91" t="str">
        <f>IF('Inputs Yr 2'!$B76=0,"",'Inputs Yr 2'!E76)</f>
        <v>Custom/Future</v>
      </c>
      <c r="E76" s="93">
        <f>IF('Inputs Yr 2'!$B76=0,"",'Inputs Yr 2'!F76)</f>
        <v>0</v>
      </c>
      <c r="F76" s="93">
        <f>IF('Inputs Yr 2'!$B76=0,"",'Inputs Yr 2'!G76)</f>
        <v>0</v>
      </c>
      <c r="G76" s="95" t="str">
        <f>IF('Inputs Yr 2'!$H76&lt;&gt;0,('Inputs Yr 2'!H76),"")</f>
        <v/>
      </c>
      <c r="H76" s="94">
        <f>IFERROR('Inputs Yr 2'!I76,"")</f>
        <v>0</v>
      </c>
      <c r="I76" s="298" t="str">
        <f>IFERROR('Inputs Yr 2'!J76*'Inputs Yr 2'!P76*G76,"")</f>
        <v/>
      </c>
      <c r="J76" s="298" t="str">
        <f>IFERROR('Inputs Yr 2'!K76*G76,"")</f>
        <v/>
      </c>
      <c r="K76" s="298" t="str">
        <f t="shared" si="53"/>
        <v/>
      </c>
      <c r="L76" s="194" t="str">
        <f>IFERROR(('Inputs Yr 2'!W76*G76)/1000,"")</f>
        <v/>
      </c>
      <c r="M76" s="194" t="str">
        <f>IFERROR(L76*('Inputs Yr 2'!$Q76*'Inputs Yr 2'!$V76*'Inputs Yr 2'!$R76),"")</f>
        <v/>
      </c>
      <c r="N76" s="194" t="str">
        <f t="shared" si="54"/>
        <v/>
      </c>
      <c r="O76" s="194" t="str">
        <f>IFERROR(M76*'Inputs Yr 2'!P76,"")</f>
        <v/>
      </c>
      <c r="P76" s="194" t="str">
        <f t="shared" si="55"/>
        <v/>
      </c>
      <c r="Q76" s="194" t="str">
        <f>IFERROR($P76*'Inputs Yr 2'!AA76,"")</f>
        <v/>
      </c>
      <c r="R76" s="194" t="str">
        <f>IFERROR($P76*'Inputs Yr 2'!AB76,"")</f>
        <v/>
      </c>
      <c r="S76" s="194" t="str">
        <f>IFERROR($P76*'Inputs Yr 2'!AC76,"")</f>
        <v/>
      </c>
      <c r="T76" s="194" t="str">
        <f>IFERROR($P76*'Inputs Yr 2'!AD76,"")</f>
        <v/>
      </c>
      <c r="U76" s="194" t="str">
        <f>IFERROR(G76*'Inputs Yr 2'!$AE76*'Inputs Yr 2'!$P76*'Inputs Yr 2'!$Q76,"")</f>
        <v/>
      </c>
      <c r="V76" s="194" t="str">
        <f>IFERROR($G76*'Inputs Yr 2'!$AE76*'Inputs Yr 2'!$AG76*'Inputs Yr 2'!Q76*'Inputs Yr 2'!$S76,"")</f>
        <v/>
      </c>
      <c r="W76" s="194" t="str">
        <f>IFERROR($G76*'Inputs Yr 2'!$AE76*'Inputs Yr 2'!$AG76*'Inputs Yr 2'!P76*'Inputs Yr 2'!Q76*'Inputs Yr 2'!$S76,"")</f>
        <v/>
      </c>
      <c r="X76" s="194" t="str">
        <f>IFERROR($G76*'Inputs Yr 2'!$AE76*'Inputs Yr 2'!$AF76*'Inputs Yr 2'!Q76*'Inputs Yr 2'!$T76,"")</f>
        <v/>
      </c>
      <c r="Y76" s="194" t="str">
        <f>IFERROR($G76*'Inputs Yr 2'!$AE76*'Inputs Yr 2'!$AF76*'Inputs Yr 2'!P76*'Inputs Yr 2'!Q76*'Inputs Yr 2'!$T76,"")</f>
        <v/>
      </c>
      <c r="Z76" s="257">
        <f>IFERROR($G76*'Inputs Yr 2'!$Q76*'Inputs Yr 2'!$U76*(IF(IFERROR(SEARCH("NG", 'Inputs Yr 2'!$AJ76),0),'Inputs Yr 2'!$AK76,0)+IF(IFERROR(SEARCH("NG", 'Inputs Yr 2'!$AL76),0),'Inputs Yr 2'!$AM76,0)+IF(IFERROR(SEARCH("NG", 'Inputs Yr 2'!$AN76),0),'Inputs Yr 2'!$AO76,0)),0)</f>
        <v>0</v>
      </c>
      <c r="AA76" s="257">
        <f t="shared" si="56"/>
        <v>0</v>
      </c>
      <c r="AB76" s="257">
        <f>IFERROR(Z76*'Inputs Yr 2'!$P76,0)</f>
        <v>0</v>
      </c>
      <c r="AC76" s="257">
        <f t="shared" si="57"/>
        <v>0</v>
      </c>
      <c r="AD76" s="257">
        <f>IFERROR($G76*'Inputs Yr 2'!$Q76*'Inputs Yr 2'!$U76*(IF(IFERROR(SEARCH("Oil", 'Inputs Yr 2'!$AJ76), 0),'Inputs Yr 2'!$AK76,0)+IF(IFERROR(SEARCH("Oil", 'Inputs Yr 2'!$AL76), 0),'Inputs Yr 2'!$AM76,0)+IF(IFERROR(SEARCH("Oil", 'Inputs Yr 2'!$AN76), 0),'Inputs Yr 2'!$AO76,0)),0)</f>
        <v>0</v>
      </c>
      <c r="AE76" s="257">
        <f t="shared" si="58"/>
        <v>0</v>
      </c>
      <c r="AF76" s="257">
        <f>IFERROR(AD76*'Inputs Yr 2'!$P76,0)</f>
        <v>0</v>
      </c>
      <c r="AG76" s="257">
        <f t="shared" si="59"/>
        <v>0</v>
      </c>
      <c r="AH76" s="257">
        <f>IFERROR($G76*'Inputs Yr 2'!$Q76*'Inputs Yr 2'!$U76*(IF('Inputs Yr 2'!$AJ76=CD$4,'Inputs Yr 2'!$AK76,IF('Inputs Yr 2'!$AL76=CD$4,'Inputs Yr 2'!$AM76,IF('Inputs Yr 2'!$AN76=CD$4,'Inputs Yr 2'!$AO76,0)))),0)</f>
        <v>0</v>
      </c>
      <c r="AI76" s="257">
        <f t="shared" si="60"/>
        <v>0</v>
      </c>
      <c r="AJ76" s="257">
        <f>IFERROR(AH76*'Inputs Yr 2'!$P76,0)</f>
        <v>0</v>
      </c>
      <c r="AK76" s="257">
        <f t="shared" si="61"/>
        <v>0</v>
      </c>
      <c r="AL76" s="258">
        <f>IFERROR($G76*'Inputs Yr 2'!$P76*'Inputs Yr 2'!$Q76*'Inputs Yr 2'!AP76,0)</f>
        <v>0</v>
      </c>
      <c r="AM76" s="260">
        <f>IFERROR($G76*'Inputs Yr 2'!$P76*'Inputs Yr 2'!$Q76*'Inputs Yr 2'!AQ76,0)</f>
        <v>0</v>
      </c>
      <c r="AN76" s="258">
        <f>IFERROR($G76*'Inputs Yr 2'!$P76*'Inputs Yr 2'!$Q76*'Inputs Yr 2'!AR76,0)</f>
        <v>0</v>
      </c>
      <c r="AO76" s="257">
        <f t="shared" si="62"/>
        <v>0</v>
      </c>
      <c r="AP76" s="195" t="str">
        <f>IFERROR($CQ76*(INDEX(avoidedcosttbl2,$H76,AP$2)+(($H76-ROUNDDOWN($H76,0))*(INDEX(avoidedcosttbl2,ROUNDUP($H76,0),AP$2)-(INDEX(avoidedcosttbl2,ROUNDDOWN($H76,0),AP$2)))))*$O76*1000*'Inputs Yr 2'!AA76,"")</f>
        <v/>
      </c>
      <c r="AQ76" s="195" t="str">
        <f>IFERROR($CR76*(INDEX(avoidedcosttbl2,$H76,AQ$2)+(($H76-ROUNDDOWN($H76,0))*(INDEX(avoidedcosttbl2,ROUNDUP($H76,0),AQ$2)-(INDEX(avoidedcosttbl2,ROUNDDOWN($H76,0),AQ$2)))))*$O76*1000*'Inputs Yr 2'!AB76,"")</f>
        <v/>
      </c>
      <c r="AR76" s="195" t="str">
        <f>IFERROR($CS76*(INDEX(avoidedcosttbl2,$H76,AR$2)+(($H76-ROUNDDOWN($H76,0))*(INDEX(avoidedcosttbl2,ROUNDUP($H76,0),AR$2)-(INDEX(avoidedcosttbl2,ROUNDDOWN($H76,0),AR$2)))))*$O76*1000*'Inputs Yr 2'!AC76,"")</f>
        <v/>
      </c>
      <c r="AS76" s="195" t="str">
        <f>IFERROR($CT76*(INDEX(avoidedcosttbl2,$H76,AS$2)+(($H76-ROUNDDOWN($H76,0))*(INDEX(avoidedcosttbl2,ROUNDUP($H76,0),AS$2)-(INDEX(avoidedcosttbl2,ROUNDDOWN($H76,0),AS$2)))))*$O76*1000*'Inputs Yr 2'!AD76,"")</f>
        <v/>
      </c>
      <c r="AT76" s="196">
        <f t="shared" si="63"/>
        <v>0</v>
      </c>
      <c r="AU76" s="197" t="str">
        <f>IFERROR($CQ76*((INDEX(avoidedcosttbl2,$H76,AU$2))+(($H76-ROUNDDOWN($H76,0))*((INDEX(avoidedcosttbl2,ROUNDUP($H76,0),AU$2))-(INDEX(avoidedcosttbl2,ROUNDDOWN($H76,0),AU$2)))))*$O76*1000*'Inputs Yr 2'!AA76,"")</f>
        <v/>
      </c>
      <c r="AV76" s="197" t="str">
        <f>IFERROR($CR76*((INDEX(avoidedcosttbl2,$H76,AV$2))+(($H76-ROUNDDOWN($H76,0))*((INDEX(avoidedcosttbl2,ROUNDUP($H76,0),AV$2))-(INDEX(avoidedcosttbl2,ROUNDDOWN($H76,0),AV$2)))))*$O76*1000*'Inputs Yr 2'!AB76,"")</f>
        <v/>
      </c>
      <c r="AW76" s="197" t="str">
        <f>IFERROR($CS76*((INDEX(avoidedcosttbl2,$H76,AW$2))+(($H76-ROUNDDOWN($H76,0))*((INDEX(avoidedcosttbl2,ROUNDUP($H76,0),AW$2))-(INDEX(avoidedcosttbl2,ROUNDDOWN($H76,0),AW$2)))))*$O76*1000*'Inputs Yr 2'!AC76,"")</f>
        <v/>
      </c>
      <c r="AX76" s="197" t="str">
        <f>IFERROR($CT76*((INDEX(avoidedcosttbl2,$H76,AX$2))+(($H76-ROUNDDOWN($H76,0))*((INDEX(avoidedcosttbl2,ROUNDUP($H76,0),AX$2))-(INDEX(avoidedcosttbl2,ROUNDDOWN($H76,0),AX$2)))))*$O76*1000*'Inputs Yr 2'!AD76,"")</f>
        <v/>
      </c>
      <c r="AY76" s="197" t="str">
        <f>IFERROR(((INDEX(avoidedcosttbl2,$H76,AY$2))+(($H76-ROUNDDOWN($H76,0))*((INDEX(avoidedcosttbl2,ROUNDUP($H76,0),AY$2))-(INDEX(avoidedcosttbl2,ROUNDDOWN($H76,0),AY$2)))))*$O76*1000*('Inputs Yr 2'!AC76+'Inputs Yr 2'!AD76),"")</f>
        <v/>
      </c>
      <c r="AZ76" s="197" t="str">
        <f>IFERROR(((INDEX(avoidedcosttbl2,$H76,AZ$2))+(($H76-ROUNDDOWN($H76,0))*((INDEX(avoidedcosttbl2,ROUNDUP($H76,0),AZ$2))-(INDEX(avoidedcosttbl2,ROUNDDOWN($H76,0),AZ$2)))))*$O76*1000*('Inputs Yr 2'!AA76+'Inputs Yr 2'!AB76),"")</f>
        <v/>
      </c>
      <c r="BA76" s="198">
        <f t="shared" si="64"/>
        <v>0</v>
      </c>
      <c r="BB76" s="198">
        <f t="shared" si="65"/>
        <v>0</v>
      </c>
      <c r="BC76" s="195" t="str">
        <f t="shared" si="47"/>
        <v/>
      </c>
      <c r="BD76" s="195" t="str">
        <f t="shared" si="48"/>
        <v/>
      </c>
      <c r="BE76" s="195" t="str">
        <f t="shared" si="49"/>
        <v/>
      </c>
      <c r="BF76" s="195" t="str">
        <f t="shared" si="50"/>
        <v/>
      </c>
      <c r="BG76" s="195" t="str">
        <f t="shared" si="51"/>
        <v/>
      </c>
      <c r="BH76" s="196">
        <f t="shared" si="66"/>
        <v>0</v>
      </c>
      <c r="BI76" s="196">
        <f t="shared" si="67"/>
        <v>0</v>
      </c>
      <c r="BJ76" s="195" t="str">
        <f>IFERROR($G76*(IF('Inputs Yr 2'!$AJ76=BJ$4,'Inputs Yr 2'!$AK76,IF('Inputs Yr 2'!$AL76=BJ$4,'Inputs Yr 2'!$AM76,IF('Inputs Yr 2'!$AN76=BJ$4,'Inputs Yr 2'!$AO76,0))))*(INDEX(avoidedcosttbl2,$H76,BJ$2)+(($H76-ROUNDDOWN($H76,0))*(INDEX(avoidedcosttbl2,ROUNDUP($H76,0),BJ$2)-(INDEX(avoidedcosttbl2,ROUNDDOWN($H76,0),BJ$2)))))*'Inputs Yr 2'!P76*'Inputs Yr 2'!Q76*'Inputs Yr 2'!U76,"")</f>
        <v/>
      </c>
      <c r="BK76" s="195" t="str">
        <f>IFERROR($G76*(IF('Inputs Yr 2'!$AJ76=BK$4,'Inputs Yr 2'!$AK76,IF('Inputs Yr 2'!$AL76=BK$4,'Inputs Yr 2'!$AM76,IF('Inputs Yr 2'!$AN76=BK$4,'Inputs Yr 2'!$AO76,0))))*(INDEX(avoidedcosttbl2,$H76,BK$2)+(($H76-ROUNDDOWN($H76,0))*(INDEX(avoidedcosttbl2,ROUNDUP($H76,0),BK$2)-(INDEX(avoidedcosttbl2,ROUNDDOWN($H76,0),BK$2)))))*'Inputs Yr 2'!P76*'Inputs Yr 2'!Q76*'Inputs Yr 2'!U76,"")</f>
        <v/>
      </c>
      <c r="BL76" s="195" t="str">
        <f>IFERROR($G76*(IF('Inputs Yr 2'!$AJ76=BL$4,'Inputs Yr 2'!$AK76,IF('Inputs Yr 2'!$AL76=BL$4,'Inputs Yr 2'!$AM76,IF('Inputs Yr 2'!$AN76=BL$4,'Inputs Yr 2'!$AO76,0))))*(INDEX(avoidedcosttbl2,$H76,BL$2)+(($H76-ROUNDDOWN($H76,0))*(INDEX(avoidedcosttbl2,ROUNDUP($H76,0),BL$2)-(INDEX(avoidedcosttbl2,ROUNDDOWN($H76,0),BL$2)))))*'Inputs Yr 2'!P76*'Inputs Yr 2'!Q76*'Inputs Yr 2'!U76,"")</f>
        <v/>
      </c>
      <c r="BM76" s="195" t="str">
        <f>IFERROR($G76*(IF('Inputs Yr 2'!$AJ76=BM$4,'Inputs Yr 2'!$AK76,IF('Inputs Yr 2'!$AL76=BM$4,'Inputs Yr 2'!$AM76,IF('Inputs Yr 2'!$AN76=BM$4,'Inputs Yr 2'!$AO76,0))))*(INDEX(avoidedcosttbl2,$H76,BM$2)+(($H76-ROUNDDOWN($H76,0))*(INDEX(avoidedcosttbl2,ROUNDUP($H76,0),BM$2)-(INDEX(avoidedcosttbl2,ROUNDDOWN($H76,0),BM$2)))))*'Inputs Yr 2'!P76*'Inputs Yr 2'!Q76*'Inputs Yr 2'!U76,"")</f>
        <v/>
      </c>
      <c r="BN76" s="195" t="str">
        <f>IFERROR($G76*(IF('Inputs Yr 2'!$AJ76=BN$4,'Inputs Yr 2'!$AK76,IF('Inputs Yr 2'!$AL76=BN$4,'Inputs Yr 2'!$AM76,IF('Inputs Yr 2'!$AN76=BN$4,'Inputs Yr 2'!$AO76,0))))*(INDEX(avoidedcosttbl2,$H76,BN$2)+(($H76-ROUNDDOWN($H76,0))*(INDEX(avoidedcosttbl2,ROUNDUP($H76,0),BN$2)-(INDEX(avoidedcosttbl2,ROUNDDOWN($H76,0),BN$2)))))*'Inputs Yr 2'!P76*'Inputs Yr 2'!Q76*'Inputs Yr 2'!U76,"")</f>
        <v/>
      </c>
      <c r="BO76" s="195" t="str">
        <f>IFERROR($G76*(IF('Inputs Yr 2'!$AJ76=BO$4,'Inputs Yr 2'!$AK76,IF('Inputs Yr 2'!$AL76=BO$4,'Inputs Yr 2'!$AM76,IF('Inputs Yr 2'!$AN76=BO$4,'Inputs Yr 2'!$AO76,0))))*(INDEX(avoidedcosttbl2,$H76,BO$2)+(($H76-ROUNDDOWN($H76,0))*(INDEX(avoidedcosttbl2,ROUNDUP($H76,0),BO$2)-(INDEX(avoidedcosttbl2,ROUNDDOWN($H76,0),BO$2)))))*'Inputs Yr 2'!P76*'Inputs Yr 2'!Q76*'Inputs Yr 2'!U76,"")</f>
        <v/>
      </c>
      <c r="BP76" s="195" t="str">
        <f>IFERROR($G76*(IF('Inputs Yr 2'!$AJ76=BP$4,'Inputs Yr 2'!$AK76,IF('Inputs Yr 2'!$AL76=BP$4,'Inputs Yr 2'!$AM76,IF('Inputs Yr 2'!$AN76=BP$4,'Inputs Yr 2'!$AO76,0))))*(INDEX(avoidedcosttbl2,$H76,BP$2)+(($H76-ROUNDDOWN($H76,0))*(INDEX(avoidedcosttbl2,ROUNDUP($H76,0),BP$2)-(INDEX(avoidedcosttbl2,ROUNDDOWN($H76,0),BP$2)))))*'Inputs Yr 2'!P76*'Inputs Yr 2'!Q76*'Inputs Yr 2'!U76,"")</f>
        <v/>
      </c>
      <c r="BQ76" s="230">
        <f t="shared" si="68"/>
        <v>0</v>
      </c>
      <c r="BR76" s="197">
        <f t="shared" si="52"/>
        <v>0</v>
      </c>
      <c r="BS76" s="197" t="str">
        <f>IFERROR(($G76*IF('Inputs Yr 2'!$AJ76=BM$4,'Inputs Yr 2'!$AK76,IF('Inputs Yr 2'!$AL76=BM$4,'Inputs Yr 2'!$AM76,IF('Inputs Yr 2'!$AN76=BM$4,'Inputs Yr 2'!$AO76,0))))*(INDEX(avoidedcosttbl2,$H76,BS$2)+(($H76-ROUNDDOWN($H76,0))*(INDEX(avoidedcosttbl2,ROUNDUP($H76,0),BS$2)-(INDEX(avoidedcosttbl2,ROUNDDOWN($H76,0),BS$2)))))*'Inputs Yr 2'!P76*'Inputs Yr 2'!Q76*'Inputs Yr 2'!U76,"")</f>
        <v/>
      </c>
      <c r="BT76" s="197" t="str">
        <f>IFERROR(($G76*IF('Inputs Yr 2'!$AJ76=BK$4,'Inputs Yr 2'!$AK76,IF('Inputs Yr 2'!$AL76=BK$4,'Inputs Yr 2'!$AM76,IF('Inputs Yr 2'!$AN76=BK$4,'Inputs Yr 2'!$AO76,0))))*(INDEX(avoidedcosttbl2,$H76,BT$2)+(($H76-ROUNDDOWN($H76,0))*(INDEX(avoidedcosttbl2,ROUNDUP($H76,0),BT$2)-(INDEX(avoidedcosttbl2,ROUNDDOWN($H76,0),BT$2)))))*'Inputs Yr 2'!P76*'Inputs Yr 2'!Q76*'Inputs Yr 2'!U76,"")</f>
        <v/>
      </c>
      <c r="BU76" s="197" t="str">
        <f>IFERROR(($G76*IF('Inputs Yr 2'!$AJ76=BL$4,'Inputs Yr 2'!$AK76,IF('Inputs Yr 2'!$AL76=BL$4,'Inputs Yr 2'!$AM76,IF('Inputs Yr 2'!$AN76=BL$4,'Inputs Yr 2'!$AO76,0))))*(INDEX(avoidedcosttbl2,$H76,BU$2)+(($H76-ROUNDDOWN($H76,0))*(INDEX(avoidedcosttbl2,ROUNDUP($H76,0),BU$2)-(INDEX(avoidedcosttbl2,ROUNDDOWN($H76,0),BU$2)))))*'Inputs Yr 2'!P76*'Inputs Yr 2'!Q76*'Inputs Yr 2'!U76,"")</f>
        <v/>
      </c>
      <c r="BV76" s="775" t="str">
        <f>IFERROR(($G76*IF('Inputs Yr 2'!$AJ76=BJ$4,'Inputs Yr 2'!$AK76,IF('Inputs Yr 2'!$AL76=BJ$4,'Inputs Yr 2'!$AM76,IF('Inputs Yr 2'!$AN76=BJ$4,'Inputs Yr 2'!$AO76,0))))*(INDEX(avoidedcosttbl2,$H76,BV$2)+(($H76-ROUNDDOWN($H76,0))*(INDEX(avoidedcosttbl2,ROUNDUP($H76,0),BV$2)-(INDEX(avoidedcosttbl2,ROUNDDOWN($H76,0),BV$2)))))*'Inputs Yr 2'!P76*'Inputs Yr 2'!Q76*'Inputs Yr 2'!U76,"")</f>
        <v/>
      </c>
      <c r="BW76" s="197" t="str">
        <f>IFERROR(($G76*IF('Inputs Yr 2'!$AJ76=BN$4,'Inputs Yr 2'!$AK76,IF('Inputs Yr 2'!$AL76=BN$4,'Inputs Yr 2'!$AM76,IF('Inputs Yr 2'!$AN76=BN$4,'Inputs Yr 2'!$AO76,0))))*(INDEX(avoidedcosttbl2,$H76,BW$2)+(($H76-ROUNDDOWN($H76,0))*(INDEX(avoidedcosttbl2,ROUNDUP($H76,0),BW$2)-(INDEX(avoidedcosttbl2,ROUNDDOWN($H76,0),BW$2)))))*'Inputs Yr 2'!P76*'Inputs Yr 2'!Q76*'Inputs Yr 2'!U76,"")</f>
        <v/>
      </c>
      <c r="BX76" s="197" t="str">
        <f>IFERROR(($G76*IF('Inputs Yr 2'!$AJ76=BO$4,'Inputs Yr 2'!$AK76,IF('Inputs Yr 2'!$AL76=BO$4,'Inputs Yr 2'!$AM76,IF('Inputs Yr 2'!$AN76=BO$4,'Inputs Yr 2'!$AO76,0))))*(INDEX(avoidedcosttbl2,$H76,BX$2)+(($H76-ROUNDDOWN($H76,0))*(INDEX(avoidedcosttbl2,ROUNDUP($H76,0),BX$2)-(INDEX(avoidedcosttbl2,ROUNDDOWN($H76,0),BX$2)))))*'Inputs Yr 2'!P76*'Inputs Yr 2'!Q76*'Inputs Yr 2'!U76,"")</f>
        <v/>
      </c>
      <c r="BY76" s="197" t="str">
        <f>IFERROR(($G76*IF('Inputs Yr 2'!$AJ76=BP$4,'Inputs Yr 2'!$AK76,IF('Inputs Yr 2'!$AL76=BP$4,'Inputs Yr 2'!$AM76,IF('Inputs Yr 2'!$AN76=BP$4,'Inputs Yr 2'!$AO76,0))))*(INDEX(avoidedcosttbl2,$H76,BY$2)+(($H76-ROUNDDOWN($H76,0))*(INDEX(avoidedcosttbl2,ROUNDUP($H76,0),BY$2)-(INDEX(avoidedcosttbl2,ROUNDDOWN($H76,0),BY$2)))))*'Inputs Yr 2'!P76*'Inputs Yr 2'!Q76*'Inputs Yr 2'!U76,"")</f>
        <v/>
      </c>
      <c r="BZ76" s="193">
        <f t="shared" si="69"/>
        <v>0</v>
      </c>
      <c r="CA76" s="193">
        <f t="shared" si="70"/>
        <v>0</v>
      </c>
      <c r="CB76" s="195" t="str">
        <f>IFERROR(G76*(IF('Inputs Yr 2'!$AJ76=CB$4,'Inputs Yr 2'!$AK76,IF('Inputs Yr 2'!$AL76=CB$4,'Inputs Yr 2'!$AM76,IF('Inputs Yr 2'!$AN76=CB$4,'Inputs Yr 2'!$AO76,0))))*(INDEX(avoidedcosttbl2,$H76,CB$2)+(($H76-ROUNDDOWN($H76,0))*(INDEX(avoidedcosttbl2,ROUNDUP($H76,0),CB$2)-(INDEX(avoidedcosttbl2,ROUNDDOWN($H76,0),CB$2)))))*'Inputs Yr 2'!P76*'Inputs Yr 2'!Q76*'Inputs Yr 2'!U76,"")</f>
        <v/>
      </c>
      <c r="CC76" s="195">
        <f>IFERROR(H76*(IF('Inputs Yr 2'!$AJ76=CC$4,'Inputs Yr 2'!$AK76,IF('Inputs Yr 2'!$AL76=CC$4,'Inputs Yr 2'!$AM76,IF('Inputs Yr 2'!$AN76=CC$4,'Inputs Yr 2'!$AO76,0))))*(INDEX(avoidedcosttbl2,$H76,CC$2)+(($H76-ROUNDDOWN($H76,0))*(INDEX(avoidedcosttbl2,ROUNDUP($H76,0),CC$2)-(INDEX(avoidedcosttbl2,ROUNDDOWN($H76,0),CC$2)))))*'Inputs Yr 2'!Q76*'Inputs Yr 2'!R76*'Inputs Yr 2'!V76,"")</f>
        <v>0</v>
      </c>
      <c r="CD76" s="195" t="str">
        <f>IFERROR(I76*(IF('Inputs Yr 2'!$AJ76=CD$4,'Inputs Yr 2'!$AK76,IF('Inputs Yr 2'!$AL76=CD$4,'Inputs Yr 2'!$AM76,IF('Inputs Yr 2'!$AN76=CD$4,'Inputs Yr 2'!$AO76,0))))*(INDEX(avoidedcosttbl2,$H76,CD$2)+(($H76-ROUNDDOWN($H76,0))*(INDEX(avoidedcosttbl2,ROUNDUP($H76,0),CD$2)-(INDEX(avoidedcosttbl2,ROUNDDOWN($H76,0),CD$2)))))*'Inputs Yr 2'!R76*'Inputs Yr 2'!S76*'Inputs Yr 2'!W76,"")</f>
        <v/>
      </c>
      <c r="CE76" s="213">
        <f t="shared" si="71"/>
        <v>0</v>
      </c>
      <c r="CF76" s="213">
        <f t="shared" si="72"/>
        <v>0</v>
      </c>
      <c r="CG76" s="213">
        <f t="shared" si="73"/>
        <v>0</v>
      </c>
      <c r="CH76" s="698">
        <f t="shared" si="74"/>
        <v>0</v>
      </c>
      <c r="CI76" s="79" t="str">
        <f>IFERROR(($G76*'Inputs Yr 2'!$P76*'Inputs Yr 2'!$Q76*(((INDEX(avoidedcosttbl2,$H76,CI$2)+(($H76-ROUNDDOWN($H76,0))*(INDEX(avoidedcosttbl2,ROUNDUP($H76,0),CI$2)-INDEX(avoidedcosttbl2,ROUNDDOWN($H76,0),CI$2))))*'Inputs Yr 2'!AS76))),"")</f>
        <v/>
      </c>
      <c r="CJ76" s="504" t="str">
        <f>IFERROR($G76*'Inputs Yr 2'!AT76*'Inputs Yr 2'!$P76*'Inputs Yr 2'!$Q76/((1+realdiscrt1)^-0.5),"")</f>
        <v/>
      </c>
      <c r="CK76" s="79" t="str">
        <f>IFERROR((O76*1000*(((INDEX(avoidedcosttbl2,$H76,CK$2)+(($H76-ROUNDDOWN($H76,0))*(INDEX(avoidedcosttbl2,ROUNDUP($H76,0),CK$2)-INDEX(avoidedcosttbl2,ROUNDDOWN($H76,0),CK$2))))*'Inputs Yr 2'!AU76))),"")</f>
        <v/>
      </c>
      <c r="CL76" s="504" t="str">
        <f>IFERROR(O76*1000*'Inputs Yr 2'!AV76/((1+realdiscrt1)^-0.5),"")</f>
        <v/>
      </c>
      <c r="CM76" s="79">
        <f>IFERROR((AB76*'Inputs Yr 2'!AW76*(((INDEX(avoidedcosttbl2,$H76,CM$2)+(($H76-ROUNDDOWN($H76,0))*(INDEX(avoidedcosttbl2,ROUNDUP($H76,0),CM$2)-INDEX(avoidedcosttbl2,ROUNDDOWN($H76,0),CM$2)))))))*10,"")</f>
        <v>0</v>
      </c>
      <c r="CN76" s="504">
        <f>IFERROR(10*AB76*'Inputs Yr 2'!AX76/((1+realdiscrt1)^-0.5),"")</f>
        <v>0</v>
      </c>
      <c r="CO76" s="505">
        <f t="shared" si="75"/>
        <v>0</v>
      </c>
      <c r="CP76" s="230">
        <f t="shared" si="76"/>
        <v>0</v>
      </c>
      <c r="CQ76" s="199">
        <f>ROUND(IFERROR(IF(LEFT($A76,1)="C",'Avoided Costs'!$K$13,'Avoided Costs'!$K$12)+1,""),4)</f>
        <v>1.0720000000000001</v>
      </c>
      <c r="CR76" s="199">
        <f>ROUND(IFERROR(IF(LEFT($A76,1)="C",'Avoided Costs'!$L$13,'Avoided Costs'!$L$12)+1,""),4)</f>
        <v>1.04</v>
      </c>
      <c r="CS76" s="199">
        <f>ROUND(IFERROR(IF(LEFT($A76,1)="C",'Avoided Costs'!$M$13,'Avoided Costs'!$M$12)+1,""),4)</f>
        <v>1.0720000000000001</v>
      </c>
      <c r="CT76" s="199">
        <f>ROUND(IFERROR(IF(LEFT($A76,1)="C",'Avoided Costs'!$N$13,'Avoided Costs'!$N$12)+1,""),4)</f>
        <v>1.04</v>
      </c>
      <c r="CU76" s="199">
        <f>ROUND(IFERROR(IF(LEFT($A76,1)="C",'Avoided Costs'!$O$13,'Avoided Costs'!$O$12)+1,""),4)</f>
        <v>1.1120000000000001</v>
      </c>
      <c r="CV76" s="199">
        <f>ROUND(IFERROR(IF(LEFT($A76,1)="C",'Avoided Costs'!$P$13,'Avoided Costs'!$P$12)+1,""),4)</f>
        <v>1.095</v>
      </c>
      <c r="CW76" s="199">
        <f>ROUND(IFERROR(IF(LEFT($A76,1)="C",'Avoided Costs'!$Q$13,'Avoided Costs'!$Q$12)+1,""),4)</f>
        <v>1.1120000000000001</v>
      </c>
      <c r="CX76" s="200">
        <f>ROUND(IFERROR(IF(LEFT($A76,1)="C",'Avoided Costs'!$R$13,'Avoided Costs'!$R$12)+1,""),4)</f>
        <v>1.1120000000000001</v>
      </c>
    </row>
    <row r="77" spans="1:102" ht="12.75" customHeight="1">
      <c r="A77" s="91" t="str">
        <f>IF('Inputs Yr 2'!$B77=0,"",'Inputs Yr 2'!A77)</f>
        <v>A - Residential</v>
      </c>
      <c r="B77" s="91" t="str">
        <f>IF('Inputs Yr 2'!$B77=0,"",'Inputs Yr 2'!B77)</f>
        <v>A2 - Residential Products</v>
      </c>
      <c r="C77" s="91" t="str">
        <f>IF('Inputs Yr 2'!$B77=0,"",'Inputs Yr 2'!C77)</f>
        <v xml:space="preserve">A2a - Residential Heating &amp; Cooling Equipment </v>
      </c>
      <c r="D77" s="91" t="str">
        <f>IF('Inputs Yr 2'!$B77=0,"",'Inputs Yr 2'!E77)</f>
        <v>Forced Hot Water Boiler, Gas 90%</v>
      </c>
      <c r="E77" s="93" t="str">
        <f>IF('Inputs Yr 2'!$B77=0,"",'Inputs Yr 2'!F77)</f>
        <v>G16A2a01</v>
      </c>
      <c r="F77" s="93" t="str">
        <f>IF('Inputs Yr 2'!$B77=0,"",'Inputs Yr 2'!G77)</f>
        <v>HVAC</v>
      </c>
      <c r="G77" s="95">
        <f>IF('Inputs Yr 2'!$H77&lt;&gt;0,('Inputs Yr 2'!H77),"")</f>
        <v>163</v>
      </c>
      <c r="H77" s="94">
        <f>IFERROR('Inputs Yr 2'!I77,"")</f>
        <v>20</v>
      </c>
      <c r="I77" s="298">
        <f>IFERROR('Inputs Yr 2'!J77*'Inputs Yr 2'!P77*G77,"")</f>
        <v>383542.58174138278</v>
      </c>
      <c r="J77" s="298">
        <f>IFERROR('Inputs Yr 2'!K77*G77,"")</f>
        <v>163000</v>
      </c>
      <c r="K77" s="298">
        <f t="shared" si="53"/>
        <v>220542.58174138278</v>
      </c>
      <c r="L77" s="194">
        <f>IFERROR(('Inputs Yr 2'!W77*G77)/1000,"")</f>
        <v>0</v>
      </c>
      <c r="M77" s="194">
        <f>IFERROR(L77*('Inputs Yr 2'!$Q77*'Inputs Yr 2'!$V77*'Inputs Yr 2'!$R77),"")</f>
        <v>0</v>
      </c>
      <c r="N77" s="194">
        <f t="shared" si="54"/>
        <v>0</v>
      </c>
      <c r="O77" s="194">
        <f>IFERROR(M77*'Inputs Yr 2'!P77,"")</f>
        <v>0</v>
      </c>
      <c r="P77" s="194">
        <f t="shared" si="55"/>
        <v>0</v>
      </c>
      <c r="Q77" s="194">
        <f>IFERROR($P77*'Inputs Yr 2'!AA77,"")</f>
        <v>0</v>
      </c>
      <c r="R77" s="194">
        <f>IFERROR($P77*'Inputs Yr 2'!AB77,"")</f>
        <v>0</v>
      </c>
      <c r="S77" s="194">
        <f>IFERROR($P77*'Inputs Yr 2'!AC77,"")</f>
        <v>0</v>
      </c>
      <c r="T77" s="194">
        <f>IFERROR($P77*'Inputs Yr 2'!AD77,"")</f>
        <v>0</v>
      </c>
      <c r="U77" s="194">
        <f>IFERROR(G77*'Inputs Yr 2'!$AE77*'Inputs Yr 2'!$P77*'Inputs Yr 2'!$Q77,"")</f>
        <v>0</v>
      </c>
      <c r="V77" s="194">
        <f>IFERROR($G77*'Inputs Yr 2'!$AE77*'Inputs Yr 2'!$AG77*'Inputs Yr 2'!Q77*'Inputs Yr 2'!$S77,"")</f>
        <v>0</v>
      </c>
      <c r="W77" s="194">
        <f>IFERROR($G77*'Inputs Yr 2'!$AE77*'Inputs Yr 2'!$AG77*'Inputs Yr 2'!P77*'Inputs Yr 2'!Q77*'Inputs Yr 2'!$S77,"")</f>
        <v>0</v>
      </c>
      <c r="X77" s="194">
        <f>IFERROR($G77*'Inputs Yr 2'!$AE77*'Inputs Yr 2'!$AF77*'Inputs Yr 2'!Q77*'Inputs Yr 2'!$T77,"")</f>
        <v>0</v>
      </c>
      <c r="Y77" s="194">
        <f>IFERROR($G77*'Inputs Yr 2'!$AE77*'Inputs Yr 2'!$AF77*'Inputs Yr 2'!P77*'Inputs Yr 2'!Q77*'Inputs Yr 2'!$T77,"")</f>
        <v>0</v>
      </c>
      <c r="Z77" s="257">
        <f>IFERROR($G77*'Inputs Yr 2'!$Q77*'Inputs Yr 2'!$U77*(IF(IFERROR(SEARCH("NG", 'Inputs Yr 2'!$AJ77),0),'Inputs Yr 2'!$AK77,0)+IF(IFERROR(SEARCH("NG", 'Inputs Yr 2'!$AL77),0),'Inputs Yr 2'!$AM77,0)+IF(IFERROR(SEARCH("NG", 'Inputs Yr 2'!$AN77),0),'Inputs Yr 2'!$AO77,0)),0)</f>
        <v>1858.2000000000003</v>
      </c>
      <c r="AA77" s="257">
        <f t="shared" si="56"/>
        <v>37164.000000000007</v>
      </c>
      <c r="AB77" s="257">
        <f>IFERROR(Z77*'Inputs Yr 2'!$P77,0)</f>
        <v>1412.232</v>
      </c>
      <c r="AC77" s="257">
        <f t="shared" si="57"/>
        <v>28244.639999999999</v>
      </c>
      <c r="AD77" s="257">
        <f>IFERROR($G77*'Inputs Yr 2'!$Q77*'Inputs Yr 2'!$U77*(IF(IFERROR(SEARCH("Oil", 'Inputs Yr 2'!$AJ77), 0),'Inputs Yr 2'!$AK77,0)+IF(IFERROR(SEARCH("Oil", 'Inputs Yr 2'!$AL77), 0),'Inputs Yr 2'!$AM77,0)+IF(IFERROR(SEARCH("Oil", 'Inputs Yr 2'!$AN77), 0),'Inputs Yr 2'!$AO77,0)),0)</f>
        <v>0</v>
      </c>
      <c r="AE77" s="257">
        <f t="shared" si="58"/>
        <v>0</v>
      </c>
      <c r="AF77" s="257">
        <f>IFERROR(AD77*'Inputs Yr 2'!$P77,0)</f>
        <v>0</v>
      </c>
      <c r="AG77" s="257">
        <f t="shared" si="59"/>
        <v>0</v>
      </c>
      <c r="AH77" s="257">
        <f>IFERROR($G77*'Inputs Yr 2'!$Q77*'Inputs Yr 2'!$U77*(IF('Inputs Yr 2'!$AJ77=CD$4,'Inputs Yr 2'!$AK77,IF('Inputs Yr 2'!$AL77=CD$4,'Inputs Yr 2'!$AM77,IF('Inputs Yr 2'!$AN77=CD$4,'Inputs Yr 2'!$AO77,0)))),0)</f>
        <v>0</v>
      </c>
      <c r="AI77" s="257">
        <f t="shared" si="60"/>
        <v>0</v>
      </c>
      <c r="AJ77" s="257">
        <f>IFERROR(AH77*'Inputs Yr 2'!$P77,0)</f>
        <v>0</v>
      </c>
      <c r="AK77" s="257">
        <f t="shared" si="61"/>
        <v>0</v>
      </c>
      <c r="AL77" s="258">
        <f>IFERROR($G77*'Inputs Yr 2'!$P77*'Inputs Yr 2'!$Q77*'Inputs Yr 2'!AP77,0)</f>
        <v>0</v>
      </c>
      <c r="AM77" s="260">
        <f>IFERROR($G77*'Inputs Yr 2'!$P77*'Inputs Yr 2'!$Q77*'Inputs Yr 2'!AQ77,0)</f>
        <v>0</v>
      </c>
      <c r="AN77" s="258">
        <f>IFERROR($G77*'Inputs Yr 2'!$P77*'Inputs Yr 2'!$Q77*'Inputs Yr 2'!AR77,0)</f>
        <v>0</v>
      </c>
      <c r="AO77" s="257">
        <f t="shared" si="62"/>
        <v>0</v>
      </c>
      <c r="AP77" s="195">
        <f>IFERROR($CQ77*(INDEX(avoidedcosttbl2,$H77,AP$2)+(($H77-ROUNDDOWN($H77,0))*(INDEX(avoidedcosttbl2,ROUNDUP($H77,0),AP$2)-(INDEX(avoidedcosttbl2,ROUNDDOWN($H77,0),AP$2)))))*$O77*1000*'Inputs Yr 2'!AA77,"")</f>
        <v>0</v>
      </c>
      <c r="AQ77" s="195">
        <f>IFERROR($CR77*(INDEX(avoidedcosttbl2,$H77,AQ$2)+(($H77-ROUNDDOWN($H77,0))*(INDEX(avoidedcosttbl2,ROUNDUP($H77,0),AQ$2)-(INDEX(avoidedcosttbl2,ROUNDDOWN($H77,0),AQ$2)))))*$O77*1000*'Inputs Yr 2'!AB77,"")</f>
        <v>0</v>
      </c>
      <c r="AR77" s="195">
        <f>IFERROR($CS77*(INDEX(avoidedcosttbl2,$H77,AR$2)+(($H77-ROUNDDOWN($H77,0))*(INDEX(avoidedcosttbl2,ROUNDUP($H77,0),AR$2)-(INDEX(avoidedcosttbl2,ROUNDDOWN($H77,0),AR$2)))))*$O77*1000*'Inputs Yr 2'!AC77,"")</f>
        <v>0</v>
      </c>
      <c r="AS77" s="195">
        <f>IFERROR($CT77*(INDEX(avoidedcosttbl2,$H77,AS$2)+(($H77-ROUNDDOWN($H77,0))*(INDEX(avoidedcosttbl2,ROUNDUP($H77,0),AS$2)-(INDEX(avoidedcosttbl2,ROUNDDOWN($H77,0),AS$2)))))*$O77*1000*'Inputs Yr 2'!AD77,"")</f>
        <v>0</v>
      </c>
      <c r="AT77" s="196">
        <f t="shared" si="63"/>
        <v>0</v>
      </c>
      <c r="AU77" s="197">
        <f>IFERROR($CQ77*((INDEX(avoidedcosttbl2,$H77,AU$2))+(($H77-ROUNDDOWN($H77,0))*((INDEX(avoidedcosttbl2,ROUNDUP($H77,0),AU$2))-(INDEX(avoidedcosttbl2,ROUNDDOWN($H77,0),AU$2)))))*$O77*1000*'Inputs Yr 2'!AA77,"")</f>
        <v>0</v>
      </c>
      <c r="AV77" s="197">
        <f>IFERROR($CR77*((INDEX(avoidedcosttbl2,$H77,AV$2))+(($H77-ROUNDDOWN($H77,0))*((INDEX(avoidedcosttbl2,ROUNDUP($H77,0),AV$2))-(INDEX(avoidedcosttbl2,ROUNDDOWN($H77,0),AV$2)))))*$O77*1000*'Inputs Yr 2'!AB77,"")</f>
        <v>0</v>
      </c>
      <c r="AW77" s="197">
        <f>IFERROR($CS77*((INDEX(avoidedcosttbl2,$H77,AW$2))+(($H77-ROUNDDOWN($H77,0))*((INDEX(avoidedcosttbl2,ROUNDUP($H77,0),AW$2))-(INDEX(avoidedcosttbl2,ROUNDDOWN($H77,0),AW$2)))))*$O77*1000*'Inputs Yr 2'!AC77,"")</f>
        <v>0</v>
      </c>
      <c r="AX77" s="197">
        <f>IFERROR($CT77*((INDEX(avoidedcosttbl2,$H77,AX$2))+(($H77-ROUNDDOWN($H77,0))*((INDEX(avoidedcosttbl2,ROUNDUP($H77,0),AX$2))-(INDEX(avoidedcosttbl2,ROUNDDOWN($H77,0),AX$2)))))*$O77*1000*'Inputs Yr 2'!AD77,"")</f>
        <v>0</v>
      </c>
      <c r="AY77" s="197">
        <f>IFERROR(((INDEX(avoidedcosttbl2,$H77,AY$2))+(($H77-ROUNDDOWN($H77,0))*((INDEX(avoidedcosttbl2,ROUNDUP($H77,0),AY$2))-(INDEX(avoidedcosttbl2,ROUNDDOWN($H77,0),AY$2)))))*$O77*1000*('Inputs Yr 2'!AC77+'Inputs Yr 2'!AD77),"")</f>
        <v>0</v>
      </c>
      <c r="AZ77" s="197">
        <f>IFERROR(((INDEX(avoidedcosttbl2,$H77,AZ$2))+(($H77-ROUNDDOWN($H77,0))*((INDEX(avoidedcosttbl2,ROUNDUP($H77,0),AZ$2))-(INDEX(avoidedcosttbl2,ROUNDDOWN($H77,0),AZ$2)))))*$O77*1000*('Inputs Yr 2'!AA77+'Inputs Yr 2'!AB77),"")</f>
        <v>0</v>
      </c>
      <c r="BA77" s="198">
        <f t="shared" si="64"/>
        <v>0</v>
      </c>
      <c r="BB77" s="198">
        <f t="shared" si="65"/>
        <v>0</v>
      </c>
      <c r="BC77" s="195">
        <f t="shared" si="47"/>
        <v>0</v>
      </c>
      <c r="BD77" s="195">
        <f t="shared" si="48"/>
        <v>0</v>
      </c>
      <c r="BE77" s="195">
        <f t="shared" si="49"/>
        <v>0</v>
      </c>
      <c r="BF77" s="195">
        <f t="shared" si="50"/>
        <v>0</v>
      </c>
      <c r="BG77" s="195">
        <f t="shared" si="51"/>
        <v>0</v>
      </c>
      <c r="BH77" s="196">
        <f t="shared" si="66"/>
        <v>0</v>
      </c>
      <c r="BI77" s="196">
        <f t="shared" si="67"/>
        <v>0</v>
      </c>
      <c r="BJ77" s="195">
        <f>IFERROR($G77*(IF('Inputs Yr 2'!$AJ77=BJ$4,'Inputs Yr 2'!$AK77,IF('Inputs Yr 2'!$AL77=BJ$4,'Inputs Yr 2'!$AM77,IF('Inputs Yr 2'!$AN77=BJ$4,'Inputs Yr 2'!$AO77,0))))*(INDEX(avoidedcosttbl2,$H77,BJ$2)+(($H77-ROUNDDOWN($H77,0))*(INDEX(avoidedcosttbl2,ROUNDUP($H77,0),BJ$2)-(INDEX(avoidedcosttbl2,ROUNDDOWN($H77,0),BJ$2)))))*'Inputs Yr 2'!P77*'Inputs Yr 2'!Q77*'Inputs Yr 2'!U77,"")</f>
        <v>0</v>
      </c>
      <c r="BK77" s="195">
        <f>IFERROR($G77*(IF('Inputs Yr 2'!$AJ77=BK$4,'Inputs Yr 2'!$AK77,IF('Inputs Yr 2'!$AL77=BK$4,'Inputs Yr 2'!$AM77,IF('Inputs Yr 2'!$AN77=BK$4,'Inputs Yr 2'!$AO77,0))))*(INDEX(avoidedcosttbl2,$H77,BK$2)+(($H77-ROUNDDOWN($H77,0))*(INDEX(avoidedcosttbl2,ROUNDUP($H77,0),BK$2)-(INDEX(avoidedcosttbl2,ROUNDDOWN($H77,0),BK$2)))))*'Inputs Yr 2'!P77*'Inputs Yr 2'!Q77*'Inputs Yr 2'!U77,"")</f>
        <v>0</v>
      </c>
      <c r="BL77" s="195">
        <f>IFERROR($G77*(IF('Inputs Yr 2'!$AJ77=BL$4,'Inputs Yr 2'!$AK77,IF('Inputs Yr 2'!$AL77=BL$4,'Inputs Yr 2'!$AM77,IF('Inputs Yr 2'!$AN77=BL$4,'Inputs Yr 2'!$AO77,0))))*(INDEX(avoidedcosttbl2,$H77,BL$2)+(($H77-ROUNDDOWN($H77,0))*(INDEX(avoidedcosttbl2,ROUNDUP($H77,0),BL$2)-(INDEX(avoidedcosttbl2,ROUNDDOWN($H77,0),BL$2)))))*'Inputs Yr 2'!P77*'Inputs Yr 2'!Q77*'Inputs Yr 2'!U77,"")</f>
        <v>244765.68842860567</v>
      </c>
      <c r="BM77" s="195">
        <f>IFERROR($G77*(IF('Inputs Yr 2'!$AJ77=BM$4,'Inputs Yr 2'!$AK77,IF('Inputs Yr 2'!$AL77=BM$4,'Inputs Yr 2'!$AM77,IF('Inputs Yr 2'!$AN77=BM$4,'Inputs Yr 2'!$AO77,0))))*(INDEX(avoidedcosttbl2,$H77,BM$2)+(($H77-ROUNDDOWN($H77,0))*(INDEX(avoidedcosttbl2,ROUNDUP($H77,0),BM$2)-(INDEX(avoidedcosttbl2,ROUNDDOWN($H77,0),BM$2)))))*'Inputs Yr 2'!P77*'Inputs Yr 2'!Q77*'Inputs Yr 2'!U77,"")</f>
        <v>0</v>
      </c>
      <c r="BN77" s="195">
        <f>IFERROR($G77*(IF('Inputs Yr 2'!$AJ77=BN$4,'Inputs Yr 2'!$AK77,IF('Inputs Yr 2'!$AL77=BN$4,'Inputs Yr 2'!$AM77,IF('Inputs Yr 2'!$AN77=BN$4,'Inputs Yr 2'!$AO77,0))))*(INDEX(avoidedcosttbl2,$H77,BN$2)+(($H77-ROUNDDOWN($H77,0))*(INDEX(avoidedcosttbl2,ROUNDUP($H77,0),BN$2)-(INDEX(avoidedcosttbl2,ROUNDDOWN($H77,0),BN$2)))))*'Inputs Yr 2'!P77*'Inputs Yr 2'!Q77*'Inputs Yr 2'!U77,"")</f>
        <v>0</v>
      </c>
      <c r="BO77" s="195">
        <f>IFERROR($G77*(IF('Inputs Yr 2'!$AJ77=BO$4,'Inputs Yr 2'!$AK77,IF('Inputs Yr 2'!$AL77=BO$4,'Inputs Yr 2'!$AM77,IF('Inputs Yr 2'!$AN77=BO$4,'Inputs Yr 2'!$AO77,0))))*(INDEX(avoidedcosttbl2,$H77,BO$2)+(($H77-ROUNDDOWN($H77,0))*(INDEX(avoidedcosttbl2,ROUNDUP($H77,0),BO$2)-(INDEX(avoidedcosttbl2,ROUNDDOWN($H77,0),BO$2)))))*'Inputs Yr 2'!P77*'Inputs Yr 2'!Q77*'Inputs Yr 2'!U77,"")</f>
        <v>0</v>
      </c>
      <c r="BP77" s="195">
        <f>IFERROR($G77*(IF('Inputs Yr 2'!$AJ77=BP$4,'Inputs Yr 2'!$AK77,IF('Inputs Yr 2'!$AL77=BP$4,'Inputs Yr 2'!$AM77,IF('Inputs Yr 2'!$AN77=BP$4,'Inputs Yr 2'!$AO77,0))))*(INDEX(avoidedcosttbl2,$H77,BP$2)+(($H77-ROUNDDOWN($H77,0))*(INDEX(avoidedcosttbl2,ROUNDUP($H77,0),BP$2)-(INDEX(avoidedcosttbl2,ROUNDDOWN($H77,0),BP$2)))))*'Inputs Yr 2'!P77*'Inputs Yr 2'!Q77*'Inputs Yr 2'!U77,"")</f>
        <v>0</v>
      </c>
      <c r="BQ77" s="230">
        <f t="shared" si="68"/>
        <v>244765.68842860567</v>
      </c>
      <c r="BR77" s="197">
        <f t="shared" si="52"/>
        <v>3787.0749590871196</v>
      </c>
      <c r="BS77" s="197">
        <f>IFERROR(($G77*IF('Inputs Yr 2'!$AJ77=BM$4,'Inputs Yr 2'!$AK77,IF('Inputs Yr 2'!$AL77=BM$4,'Inputs Yr 2'!$AM77,IF('Inputs Yr 2'!$AN77=BM$4,'Inputs Yr 2'!$AO77,0))))*(INDEX(avoidedcosttbl2,$H77,BS$2)+(($H77-ROUNDDOWN($H77,0))*(INDEX(avoidedcosttbl2,ROUNDUP($H77,0),BS$2)-(INDEX(avoidedcosttbl2,ROUNDDOWN($H77,0),BS$2)))))*'Inputs Yr 2'!P77*'Inputs Yr 2'!Q77*'Inputs Yr 2'!U77,"")</f>
        <v>0</v>
      </c>
      <c r="BT77" s="197">
        <f>IFERROR(($G77*IF('Inputs Yr 2'!$AJ77=BK$4,'Inputs Yr 2'!$AK77,IF('Inputs Yr 2'!$AL77=BK$4,'Inputs Yr 2'!$AM77,IF('Inputs Yr 2'!$AN77=BK$4,'Inputs Yr 2'!$AO77,0))))*(INDEX(avoidedcosttbl2,$H77,BT$2)+(($H77-ROUNDDOWN($H77,0))*(INDEX(avoidedcosttbl2,ROUNDUP($H77,0),BT$2)-(INDEX(avoidedcosttbl2,ROUNDDOWN($H77,0),BT$2)))))*'Inputs Yr 2'!P77*'Inputs Yr 2'!Q77*'Inputs Yr 2'!U77,"")</f>
        <v>0</v>
      </c>
      <c r="BU77" s="197">
        <f>IFERROR(($G77*IF('Inputs Yr 2'!$AJ77=BL$4,'Inputs Yr 2'!$AK77,IF('Inputs Yr 2'!$AL77=BL$4,'Inputs Yr 2'!$AM77,IF('Inputs Yr 2'!$AN77=BL$4,'Inputs Yr 2'!$AO77,0))))*(INDEX(avoidedcosttbl2,$H77,BU$2)+(($H77-ROUNDDOWN($H77,0))*(INDEX(avoidedcosttbl2,ROUNDUP($H77,0),BU$2)-(INDEX(avoidedcosttbl2,ROUNDDOWN($H77,0),BU$2)))))*'Inputs Yr 2'!P77*'Inputs Yr 2'!Q77*'Inputs Yr 2'!U77,"")</f>
        <v>11495.65140965339</v>
      </c>
      <c r="BV77" s="775">
        <f>IFERROR(($G77*IF('Inputs Yr 2'!$AJ77=BJ$4,'Inputs Yr 2'!$AK77,IF('Inputs Yr 2'!$AL77=BJ$4,'Inputs Yr 2'!$AM77,IF('Inputs Yr 2'!$AN77=BJ$4,'Inputs Yr 2'!$AO77,0))))*(INDEX(avoidedcosttbl2,$H77,BV$2)+(($H77-ROUNDDOWN($H77,0))*(INDEX(avoidedcosttbl2,ROUNDUP($H77,0),BV$2)-(INDEX(avoidedcosttbl2,ROUNDDOWN($H77,0),BV$2)))))*'Inputs Yr 2'!P77*'Inputs Yr 2'!Q77*'Inputs Yr 2'!U77,"")</f>
        <v>0</v>
      </c>
      <c r="BW77" s="197">
        <f>IFERROR(($G77*IF('Inputs Yr 2'!$AJ77=BN$4,'Inputs Yr 2'!$AK77,IF('Inputs Yr 2'!$AL77=BN$4,'Inputs Yr 2'!$AM77,IF('Inputs Yr 2'!$AN77=BN$4,'Inputs Yr 2'!$AO77,0))))*(INDEX(avoidedcosttbl2,$H77,BW$2)+(($H77-ROUNDDOWN($H77,0))*(INDEX(avoidedcosttbl2,ROUNDUP($H77,0),BW$2)-(INDEX(avoidedcosttbl2,ROUNDDOWN($H77,0),BW$2)))))*'Inputs Yr 2'!P77*'Inputs Yr 2'!Q77*'Inputs Yr 2'!U77,"")</f>
        <v>0</v>
      </c>
      <c r="BX77" s="197">
        <f>IFERROR(($G77*IF('Inputs Yr 2'!$AJ77=BO$4,'Inputs Yr 2'!$AK77,IF('Inputs Yr 2'!$AL77=BO$4,'Inputs Yr 2'!$AM77,IF('Inputs Yr 2'!$AN77=BO$4,'Inputs Yr 2'!$AO77,0))))*(INDEX(avoidedcosttbl2,$H77,BX$2)+(($H77-ROUNDDOWN($H77,0))*(INDEX(avoidedcosttbl2,ROUNDUP($H77,0),BX$2)-(INDEX(avoidedcosttbl2,ROUNDDOWN($H77,0),BX$2)))))*'Inputs Yr 2'!P77*'Inputs Yr 2'!Q77*'Inputs Yr 2'!U77,"")</f>
        <v>0</v>
      </c>
      <c r="BY77" s="197">
        <f>IFERROR(($G77*IF('Inputs Yr 2'!$AJ77=BP$4,'Inputs Yr 2'!$AK77,IF('Inputs Yr 2'!$AL77=BP$4,'Inputs Yr 2'!$AM77,IF('Inputs Yr 2'!$AN77=BP$4,'Inputs Yr 2'!$AO77,0))))*(INDEX(avoidedcosttbl2,$H77,BY$2)+(($H77-ROUNDDOWN($H77,0))*(INDEX(avoidedcosttbl2,ROUNDUP($H77,0),BY$2)-(INDEX(avoidedcosttbl2,ROUNDDOWN($H77,0),BY$2)))))*'Inputs Yr 2'!P77*'Inputs Yr 2'!Q77*'Inputs Yr 2'!U77,"")</f>
        <v>0</v>
      </c>
      <c r="BZ77" s="193">
        <f t="shared" si="69"/>
        <v>15282.72636874051</v>
      </c>
      <c r="CA77" s="193">
        <f t="shared" si="70"/>
        <v>260048.41479734619</v>
      </c>
      <c r="CB77" s="195">
        <f>IFERROR(G77*(IF('Inputs Yr 2'!$AJ77=CB$4,'Inputs Yr 2'!$AK77,IF('Inputs Yr 2'!$AL77=CB$4,'Inputs Yr 2'!$AM77,IF('Inputs Yr 2'!$AN77=CB$4,'Inputs Yr 2'!$AO77,0))))*(INDEX(avoidedcosttbl2,$H77,CB$2)+(($H77-ROUNDDOWN($H77,0))*(INDEX(avoidedcosttbl2,ROUNDUP($H77,0),CB$2)-(INDEX(avoidedcosttbl2,ROUNDDOWN($H77,0),CB$2)))))*'Inputs Yr 2'!P77*'Inputs Yr 2'!Q77*'Inputs Yr 2'!U77,"")</f>
        <v>0</v>
      </c>
      <c r="CC77" s="195">
        <f>IFERROR(H77*(IF('Inputs Yr 2'!$AJ77=CC$4,'Inputs Yr 2'!$AK77,IF('Inputs Yr 2'!$AL77=CC$4,'Inputs Yr 2'!$AM77,IF('Inputs Yr 2'!$AN77=CC$4,'Inputs Yr 2'!$AO77,0))))*(INDEX(avoidedcosttbl2,$H77,CC$2)+(($H77-ROUNDDOWN($H77,0))*(INDEX(avoidedcosttbl2,ROUNDUP($H77,0),CC$2)-(INDEX(avoidedcosttbl2,ROUNDDOWN($H77,0),CC$2)))))*'Inputs Yr 2'!Q77*'Inputs Yr 2'!R77*'Inputs Yr 2'!V77,"")</f>
        <v>0</v>
      </c>
      <c r="CD77" s="195">
        <f>IFERROR(I77*(IF('Inputs Yr 2'!$AJ77=CD$4,'Inputs Yr 2'!$AK77,IF('Inputs Yr 2'!$AL77=CD$4,'Inputs Yr 2'!$AM77,IF('Inputs Yr 2'!$AN77=CD$4,'Inputs Yr 2'!$AO77,0))))*(INDEX(avoidedcosttbl2,$H77,CD$2)+(($H77-ROUNDDOWN($H77,0))*(INDEX(avoidedcosttbl2,ROUNDUP($H77,0),CD$2)-(INDEX(avoidedcosttbl2,ROUNDDOWN($H77,0),CD$2)))))*'Inputs Yr 2'!R77*'Inputs Yr 2'!S77*'Inputs Yr 2'!W77,"")</f>
        <v>0</v>
      </c>
      <c r="CE77" s="213">
        <f t="shared" si="71"/>
        <v>0</v>
      </c>
      <c r="CF77" s="213">
        <f t="shared" si="72"/>
        <v>0</v>
      </c>
      <c r="CG77" s="213">
        <f t="shared" si="73"/>
        <v>0</v>
      </c>
      <c r="CH77" s="698">
        <f t="shared" si="74"/>
        <v>260048.41479734619</v>
      </c>
      <c r="CI77" s="79">
        <f>IFERROR(($G77*'Inputs Yr 2'!$P77*'Inputs Yr 2'!$Q77*(((INDEX(avoidedcosttbl2,$H77,CI$2)+(($H77-ROUNDDOWN($H77,0))*(INDEX(avoidedcosttbl2,ROUNDUP($H77,0),CI$2)-INDEX(avoidedcosttbl2,ROUNDDOWN($H77,0),CI$2))))*'Inputs Yr 2'!AS77))),"")</f>
        <v>76922.122909750309</v>
      </c>
      <c r="CJ77" s="504">
        <f>IFERROR($G77*'Inputs Yr 2'!AT77*'Inputs Yr 2'!$P77*'Inputs Yr 2'!$Q77/((1+realdiscrt1)^-0.5),"")</f>
        <v>0</v>
      </c>
      <c r="CK77" s="79">
        <f>IFERROR((O77*1000*(((INDEX(avoidedcosttbl2,$H77,CK$2)+(($H77-ROUNDDOWN($H77,0))*(INDEX(avoidedcosttbl2,ROUNDUP($H77,0),CK$2)-INDEX(avoidedcosttbl2,ROUNDDOWN($H77,0),CK$2))))*'Inputs Yr 2'!AU77))),"")</f>
        <v>0</v>
      </c>
      <c r="CL77" s="504">
        <f>IFERROR(O77*1000*'Inputs Yr 2'!AV77/((1+realdiscrt1)^-0.5),"")</f>
        <v>0</v>
      </c>
      <c r="CM77" s="79">
        <f>IFERROR((AB77*'Inputs Yr 2'!AW77*(((INDEX(avoidedcosttbl2,$H77,CM$2)+(($H77-ROUNDDOWN($H77,0))*(INDEX(avoidedcosttbl2,ROUNDUP($H77,0),CM$2)-INDEX(avoidedcosttbl2,ROUNDDOWN($H77,0),CM$2)))))))*10,"")</f>
        <v>0</v>
      </c>
      <c r="CN77" s="504">
        <f>IFERROR(10*AB77*'Inputs Yr 2'!AX77/((1+realdiscrt1)^-0.5),"")</f>
        <v>0</v>
      </c>
      <c r="CO77" s="505">
        <f t="shared" si="75"/>
        <v>76922.122909750309</v>
      </c>
      <c r="CP77" s="230">
        <f t="shared" si="76"/>
        <v>336970.53770709649</v>
      </c>
      <c r="CQ77" s="199">
        <f>ROUND(IFERROR(IF(LEFT($A77,1)="C",'Avoided Costs'!$K$13,'Avoided Costs'!$K$12)+1,""),4)</f>
        <v>1.0720000000000001</v>
      </c>
      <c r="CR77" s="199">
        <f>ROUND(IFERROR(IF(LEFT($A77,1)="C",'Avoided Costs'!$L$13,'Avoided Costs'!$L$12)+1,""),4)</f>
        <v>1.04</v>
      </c>
      <c r="CS77" s="199">
        <f>ROUND(IFERROR(IF(LEFT($A77,1)="C",'Avoided Costs'!$M$13,'Avoided Costs'!$M$12)+1,""),4)</f>
        <v>1.0720000000000001</v>
      </c>
      <c r="CT77" s="199">
        <f>ROUND(IFERROR(IF(LEFT($A77,1)="C",'Avoided Costs'!$N$13,'Avoided Costs'!$N$12)+1,""),4)</f>
        <v>1.04</v>
      </c>
      <c r="CU77" s="199">
        <f>ROUND(IFERROR(IF(LEFT($A77,1)="C",'Avoided Costs'!$O$13,'Avoided Costs'!$O$12)+1,""),4)</f>
        <v>1.1120000000000001</v>
      </c>
      <c r="CV77" s="199">
        <f>ROUND(IFERROR(IF(LEFT($A77,1)="C",'Avoided Costs'!$P$13,'Avoided Costs'!$P$12)+1,""),4)</f>
        <v>1.095</v>
      </c>
      <c r="CW77" s="199">
        <f>ROUND(IFERROR(IF(LEFT($A77,1)="C",'Avoided Costs'!$Q$13,'Avoided Costs'!$Q$12)+1,""),4)</f>
        <v>1.1120000000000001</v>
      </c>
      <c r="CX77" s="200">
        <f>ROUND(IFERROR(IF(LEFT($A77,1)="C",'Avoided Costs'!$R$13,'Avoided Costs'!$R$12)+1,""),4)</f>
        <v>1.1120000000000001</v>
      </c>
    </row>
    <row r="78" spans="1:102" ht="12.75" customHeight="1">
      <c r="A78" s="91" t="str">
        <f>IF('Inputs Yr 2'!$B78=0,"",'Inputs Yr 2'!A78)</f>
        <v>A - Residential</v>
      </c>
      <c r="B78" s="91" t="str">
        <f>IF('Inputs Yr 2'!$B78=0,"",'Inputs Yr 2'!B78)</f>
        <v>A2 - Residential Products</v>
      </c>
      <c r="C78" s="91" t="str">
        <f>IF('Inputs Yr 2'!$B78=0,"",'Inputs Yr 2'!C78)</f>
        <v xml:space="preserve">A2a - Residential Heating &amp; Cooling Equipment </v>
      </c>
      <c r="D78" s="91" t="str">
        <f>IF('Inputs Yr 2'!$B78=0,"",'Inputs Yr 2'!E78)</f>
        <v>Forced Hot Water Boiler, Gas 95%</v>
      </c>
      <c r="E78" s="93" t="str">
        <f>IF('Inputs Yr 2'!$B78=0,"",'Inputs Yr 2'!F78)</f>
        <v>G16A2a02</v>
      </c>
      <c r="F78" s="93" t="str">
        <f>IF('Inputs Yr 2'!$B78=0,"",'Inputs Yr 2'!G78)</f>
        <v>HVAC</v>
      </c>
      <c r="G78" s="95">
        <f>IF('Inputs Yr 2'!$H78&lt;&gt;0,('Inputs Yr 2'!H78),"")</f>
        <v>1334</v>
      </c>
      <c r="H78" s="94">
        <f>IFERROR('Inputs Yr 2'!I78,"")</f>
        <v>20</v>
      </c>
      <c r="I78" s="298">
        <f>IFERROR('Inputs Yr 2'!J78*'Inputs Yr 2'!P78*G78,"")</f>
        <v>3990911.6539775385</v>
      </c>
      <c r="J78" s="298">
        <f>IFERROR('Inputs Yr 2'!K78*G78,"")</f>
        <v>1988746.4788732394</v>
      </c>
      <c r="K78" s="298">
        <f t="shared" si="53"/>
        <v>2002165.1751042991</v>
      </c>
      <c r="L78" s="194">
        <f>IFERROR(('Inputs Yr 2'!W78*G78)/1000,"")</f>
        <v>0</v>
      </c>
      <c r="M78" s="194">
        <f>IFERROR(L78*('Inputs Yr 2'!$Q78*'Inputs Yr 2'!$V78*'Inputs Yr 2'!$R78),"")</f>
        <v>0</v>
      </c>
      <c r="N78" s="194">
        <f t="shared" si="54"/>
        <v>0</v>
      </c>
      <c r="O78" s="194">
        <f>IFERROR(M78*'Inputs Yr 2'!P78,"")</f>
        <v>0</v>
      </c>
      <c r="P78" s="194">
        <f t="shared" si="55"/>
        <v>0</v>
      </c>
      <c r="Q78" s="194">
        <f>IFERROR($P78*'Inputs Yr 2'!AA78,"")</f>
        <v>0</v>
      </c>
      <c r="R78" s="194">
        <f>IFERROR($P78*'Inputs Yr 2'!AB78,"")</f>
        <v>0</v>
      </c>
      <c r="S78" s="194">
        <f>IFERROR($P78*'Inputs Yr 2'!AC78,"")</f>
        <v>0</v>
      </c>
      <c r="T78" s="194">
        <f>IFERROR($P78*'Inputs Yr 2'!AD78,"")</f>
        <v>0</v>
      </c>
      <c r="U78" s="194">
        <f>IFERROR(G78*'Inputs Yr 2'!$AE78*'Inputs Yr 2'!$P78*'Inputs Yr 2'!$Q78,"")</f>
        <v>0</v>
      </c>
      <c r="V78" s="194">
        <f>IFERROR($G78*'Inputs Yr 2'!$AE78*'Inputs Yr 2'!$AG78*'Inputs Yr 2'!Q78*'Inputs Yr 2'!$S78,"")</f>
        <v>0</v>
      </c>
      <c r="W78" s="194">
        <f>IFERROR($G78*'Inputs Yr 2'!$AE78*'Inputs Yr 2'!$AG78*'Inputs Yr 2'!P78*'Inputs Yr 2'!Q78*'Inputs Yr 2'!$S78,"")</f>
        <v>0</v>
      </c>
      <c r="X78" s="194">
        <f>IFERROR($G78*'Inputs Yr 2'!$AE78*'Inputs Yr 2'!$AF78*'Inputs Yr 2'!Q78*'Inputs Yr 2'!$T78,"")</f>
        <v>0</v>
      </c>
      <c r="Y78" s="194">
        <f>IFERROR($G78*'Inputs Yr 2'!$AE78*'Inputs Yr 2'!$AF78*'Inputs Yr 2'!P78*'Inputs Yr 2'!Q78*'Inputs Yr 2'!$T78,"")</f>
        <v>0</v>
      </c>
      <c r="Z78" s="257">
        <f>IFERROR($G78*'Inputs Yr 2'!$Q78*'Inputs Yr 2'!$U78*(IF(IFERROR(SEARCH("NG", 'Inputs Yr 2'!$AJ78),0),'Inputs Yr 2'!$AK78,0)+IF(IFERROR(SEARCH("NG", 'Inputs Yr 2'!$AL78),0),'Inputs Yr 2'!$AM78,0)+IF(IFERROR(SEARCH("NG", 'Inputs Yr 2'!$AN78),0),'Inputs Yr 2'!$AO78,0)),0)</f>
        <v>18809.400000000005</v>
      </c>
      <c r="AA78" s="257">
        <f t="shared" si="56"/>
        <v>376188.00000000012</v>
      </c>
      <c r="AB78" s="257">
        <f>IFERROR(Z78*'Inputs Yr 2'!$P78,0)</f>
        <v>14483.238000000003</v>
      </c>
      <c r="AC78" s="257">
        <f t="shared" si="57"/>
        <v>289664.76000000007</v>
      </c>
      <c r="AD78" s="257">
        <f>IFERROR($G78*'Inputs Yr 2'!$Q78*'Inputs Yr 2'!$U78*(IF(IFERROR(SEARCH("Oil", 'Inputs Yr 2'!$AJ78), 0),'Inputs Yr 2'!$AK78,0)+IF(IFERROR(SEARCH("Oil", 'Inputs Yr 2'!$AL78), 0),'Inputs Yr 2'!$AM78,0)+IF(IFERROR(SEARCH("Oil", 'Inputs Yr 2'!$AN78), 0),'Inputs Yr 2'!$AO78,0)),0)</f>
        <v>0</v>
      </c>
      <c r="AE78" s="257">
        <f t="shared" si="58"/>
        <v>0</v>
      </c>
      <c r="AF78" s="257">
        <f>IFERROR(AD78*'Inputs Yr 2'!$P78,0)</f>
        <v>0</v>
      </c>
      <c r="AG78" s="257">
        <f t="shared" si="59"/>
        <v>0</v>
      </c>
      <c r="AH78" s="257">
        <f>IFERROR($G78*'Inputs Yr 2'!$Q78*'Inputs Yr 2'!$U78*(IF('Inputs Yr 2'!$AJ78=CD$4,'Inputs Yr 2'!$AK78,IF('Inputs Yr 2'!$AL78=CD$4,'Inputs Yr 2'!$AM78,IF('Inputs Yr 2'!$AN78=CD$4,'Inputs Yr 2'!$AO78,0)))),0)</f>
        <v>0</v>
      </c>
      <c r="AI78" s="257">
        <f t="shared" si="60"/>
        <v>0</v>
      </c>
      <c r="AJ78" s="257">
        <f>IFERROR(AH78*'Inputs Yr 2'!$P78,0)</f>
        <v>0</v>
      </c>
      <c r="AK78" s="257">
        <f t="shared" si="61"/>
        <v>0</v>
      </c>
      <c r="AL78" s="258">
        <f>IFERROR($G78*'Inputs Yr 2'!$P78*'Inputs Yr 2'!$Q78*'Inputs Yr 2'!AP78,0)</f>
        <v>0</v>
      </c>
      <c r="AM78" s="260">
        <f>IFERROR($G78*'Inputs Yr 2'!$P78*'Inputs Yr 2'!$Q78*'Inputs Yr 2'!AQ78,0)</f>
        <v>0</v>
      </c>
      <c r="AN78" s="258">
        <f>IFERROR($G78*'Inputs Yr 2'!$P78*'Inputs Yr 2'!$Q78*'Inputs Yr 2'!AR78,0)</f>
        <v>0</v>
      </c>
      <c r="AO78" s="257">
        <f t="shared" si="62"/>
        <v>0</v>
      </c>
      <c r="AP78" s="195">
        <f>IFERROR($CQ78*(INDEX(avoidedcosttbl2,$H78,AP$2)+(($H78-ROUNDDOWN($H78,0))*(INDEX(avoidedcosttbl2,ROUNDUP($H78,0),AP$2)-(INDEX(avoidedcosttbl2,ROUNDDOWN($H78,0),AP$2)))))*$O78*1000*'Inputs Yr 2'!AA78,"")</f>
        <v>0</v>
      </c>
      <c r="AQ78" s="195">
        <f>IFERROR($CR78*(INDEX(avoidedcosttbl2,$H78,AQ$2)+(($H78-ROUNDDOWN($H78,0))*(INDEX(avoidedcosttbl2,ROUNDUP($H78,0),AQ$2)-(INDEX(avoidedcosttbl2,ROUNDDOWN($H78,0),AQ$2)))))*$O78*1000*'Inputs Yr 2'!AB78,"")</f>
        <v>0</v>
      </c>
      <c r="AR78" s="195">
        <f>IFERROR($CS78*(INDEX(avoidedcosttbl2,$H78,AR$2)+(($H78-ROUNDDOWN($H78,0))*(INDEX(avoidedcosttbl2,ROUNDUP($H78,0),AR$2)-(INDEX(avoidedcosttbl2,ROUNDDOWN($H78,0),AR$2)))))*$O78*1000*'Inputs Yr 2'!AC78,"")</f>
        <v>0</v>
      </c>
      <c r="AS78" s="195">
        <f>IFERROR($CT78*(INDEX(avoidedcosttbl2,$H78,AS$2)+(($H78-ROUNDDOWN($H78,0))*(INDEX(avoidedcosttbl2,ROUNDUP($H78,0),AS$2)-(INDEX(avoidedcosttbl2,ROUNDDOWN($H78,0),AS$2)))))*$O78*1000*'Inputs Yr 2'!AD78,"")</f>
        <v>0</v>
      </c>
      <c r="AT78" s="196">
        <f t="shared" si="63"/>
        <v>0</v>
      </c>
      <c r="AU78" s="197">
        <f>IFERROR($CQ78*((INDEX(avoidedcosttbl2,$H78,AU$2))+(($H78-ROUNDDOWN($H78,0))*((INDEX(avoidedcosttbl2,ROUNDUP($H78,0),AU$2))-(INDEX(avoidedcosttbl2,ROUNDDOWN($H78,0),AU$2)))))*$O78*1000*'Inputs Yr 2'!AA78,"")</f>
        <v>0</v>
      </c>
      <c r="AV78" s="197">
        <f>IFERROR($CR78*((INDEX(avoidedcosttbl2,$H78,AV$2))+(($H78-ROUNDDOWN($H78,0))*((INDEX(avoidedcosttbl2,ROUNDUP($H78,0),AV$2))-(INDEX(avoidedcosttbl2,ROUNDDOWN($H78,0),AV$2)))))*$O78*1000*'Inputs Yr 2'!AB78,"")</f>
        <v>0</v>
      </c>
      <c r="AW78" s="197">
        <f>IFERROR($CS78*((INDEX(avoidedcosttbl2,$H78,AW$2))+(($H78-ROUNDDOWN($H78,0))*((INDEX(avoidedcosttbl2,ROUNDUP($H78,0),AW$2))-(INDEX(avoidedcosttbl2,ROUNDDOWN($H78,0),AW$2)))))*$O78*1000*'Inputs Yr 2'!AC78,"")</f>
        <v>0</v>
      </c>
      <c r="AX78" s="197">
        <f>IFERROR($CT78*((INDEX(avoidedcosttbl2,$H78,AX$2))+(($H78-ROUNDDOWN($H78,0))*((INDEX(avoidedcosttbl2,ROUNDUP($H78,0),AX$2))-(INDEX(avoidedcosttbl2,ROUNDDOWN($H78,0),AX$2)))))*$O78*1000*'Inputs Yr 2'!AD78,"")</f>
        <v>0</v>
      </c>
      <c r="AY78" s="197">
        <f>IFERROR(((INDEX(avoidedcosttbl2,$H78,AY$2))+(($H78-ROUNDDOWN($H78,0))*((INDEX(avoidedcosttbl2,ROUNDUP($H78,0),AY$2))-(INDEX(avoidedcosttbl2,ROUNDDOWN($H78,0),AY$2)))))*$O78*1000*('Inputs Yr 2'!AC78+'Inputs Yr 2'!AD78),"")</f>
        <v>0</v>
      </c>
      <c r="AZ78" s="197">
        <f>IFERROR(((INDEX(avoidedcosttbl2,$H78,AZ$2))+(($H78-ROUNDDOWN($H78,0))*((INDEX(avoidedcosttbl2,ROUNDUP($H78,0),AZ$2))-(INDEX(avoidedcosttbl2,ROUNDDOWN($H78,0),AZ$2)))))*$O78*1000*('Inputs Yr 2'!AA78+'Inputs Yr 2'!AB78),"")</f>
        <v>0</v>
      </c>
      <c r="BA78" s="198">
        <f t="shared" si="64"/>
        <v>0</v>
      </c>
      <c r="BB78" s="198">
        <f t="shared" si="65"/>
        <v>0</v>
      </c>
      <c r="BC78" s="195">
        <f t="shared" si="47"/>
        <v>0</v>
      </c>
      <c r="BD78" s="195">
        <f t="shared" si="48"/>
        <v>0</v>
      </c>
      <c r="BE78" s="195">
        <f t="shared" si="49"/>
        <v>0</v>
      </c>
      <c r="BF78" s="195">
        <f t="shared" si="50"/>
        <v>0</v>
      </c>
      <c r="BG78" s="195">
        <f t="shared" si="51"/>
        <v>0</v>
      </c>
      <c r="BH78" s="196">
        <f t="shared" si="66"/>
        <v>0</v>
      </c>
      <c r="BI78" s="196">
        <f t="shared" si="67"/>
        <v>0</v>
      </c>
      <c r="BJ78" s="195">
        <f>IFERROR($G78*(IF('Inputs Yr 2'!$AJ78=BJ$4,'Inputs Yr 2'!$AK78,IF('Inputs Yr 2'!$AL78=BJ$4,'Inputs Yr 2'!$AM78,IF('Inputs Yr 2'!$AN78=BJ$4,'Inputs Yr 2'!$AO78,0))))*(INDEX(avoidedcosttbl2,$H78,BJ$2)+(($H78-ROUNDDOWN($H78,0))*(INDEX(avoidedcosttbl2,ROUNDUP($H78,0),BJ$2)-(INDEX(avoidedcosttbl2,ROUNDDOWN($H78,0),BJ$2)))))*'Inputs Yr 2'!P78*'Inputs Yr 2'!Q78*'Inputs Yr 2'!U78,"")</f>
        <v>0</v>
      </c>
      <c r="BK78" s="195">
        <f>IFERROR($G78*(IF('Inputs Yr 2'!$AJ78=BK$4,'Inputs Yr 2'!$AK78,IF('Inputs Yr 2'!$AL78=BK$4,'Inputs Yr 2'!$AM78,IF('Inputs Yr 2'!$AN78=BK$4,'Inputs Yr 2'!$AO78,0))))*(INDEX(avoidedcosttbl2,$H78,BK$2)+(($H78-ROUNDDOWN($H78,0))*(INDEX(avoidedcosttbl2,ROUNDUP($H78,0),BK$2)-(INDEX(avoidedcosttbl2,ROUNDDOWN($H78,0),BK$2)))))*'Inputs Yr 2'!P78*'Inputs Yr 2'!Q78*'Inputs Yr 2'!U78,"")</f>
        <v>0</v>
      </c>
      <c r="BL78" s="195">
        <f>IFERROR($G78*(IF('Inputs Yr 2'!$AJ78=BL$4,'Inputs Yr 2'!$AK78,IF('Inputs Yr 2'!$AL78=BL$4,'Inputs Yr 2'!$AM78,IF('Inputs Yr 2'!$AN78=BL$4,'Inputs Yr 2'!$AO78,0))))*(INDEX(avoidedcosttbl2,$H78,BL$2)+(($H78-ROUNDDOWN($H78,0))*(INDEX(avoidedcosttbl2,ROUNDUP($H78,0),BL$2)-(INDEX(avoidedcosttbl2,ROUNDDOWN($H78,0),BL$2)))))*'Inputs Yr 2'!P78*'Inputs Yr 2'!Q78*'Inputs Yr 2'!U78,"")</f>
        <v>2510210.5884481743</v>
      </c>
      <c r="BM78" s="195">
        <f>IFERROR($G78*(IF('Inputs Yr 2'!$AJ78=BM$4,'Inputs Yr 2'!$AK78,IF('Inputs Yr 2'!$AL78=BM$4,'Inputs Yr 2'!$AM78,IF('Inputs Yr 2'!$AN78=BM$4,'Inputs Yr 2'!$AO78,0))))*(INDEX(avoidedcosttbl2,$H78,BM$2)+(($H78-ROUNDDOWN($H78,0))*(INDEX(avoidedcosttbl2,ROUNDUP($H78,0),BM$2)-(INDEX(avoidedcosttbl2,ROUNDDOWN($H78,0),BM$2)))))*'Inputs Yr 2'!P78*'Inputs Yr 2'!Q78*'Inputs Yr 2'!U78,"")</f>
        <v>0</v>
      </c>
      <c r="BN78" s="195">
        <f>IFERROR($G78*(IF('Inputs Yr 2'!$AJ78=BN$4,'Inputs Yr 2'!$AK78,IF('Inputs Yr 2'!$AL78=BN$4,'Inputs Yr 2'!$AM78,IF('Inputs Yr 2'!$AN78=BN$4,'Inputs Yr 2'!$AO78,0))))*(INDEX(avoidedcosttbl2,$H78,BN$2)+(($H78-ROUNDDOWN($H78,0))*(INDEX(avoidedcosttbl2,ROUNDUP($H78,0),BN$2)-(INDEX(avoidedcosttbl2,ROUNDDOWN($H78,0),BN$2)))))*'Inputs Yr 2'!P78*'Inputs Yr 2'!Q78*'Inputs Yr 2'!U78,"")</f>
        <v>0</v>
      </c>
      <c r="BO78" s="195">
        <f>IFERROR($G78*(IF('Inputs Yr 2'!$AJ78=BO$4,'Inputs Yr 2'!$AK78,IF('Inputs Yr 2'!$AL78=BO$4,'Inputs Yr 2'!$AM78,IF('Inputs Yr 2'!$AN78=BO$4,'Inputs Yr 2'!$AO78,0))))*(INDEX(avoidedcosttbl2,$H78,BO$2)+(($H78-ROUNDDOWN($H78,0))*(INDEX(avoidedcosttbl2,ROUNDUP($H78,0),BO$2)-(INDEX(avoidedcosttbl2,ROUNDDOWN($H78,0),BO$2)))))*'Inputs Yr 2'!P78*'Inputs Yr 2'!Q78*'Inputs Yr 2'!U78,"")</f>
        <v>0</v>
      </c>
      <c r="BP78" s="195">
        <f>IFERROR($G78*(IF('Inputs Yr 2'!$AJ78=BP$4,'Inputs Yr 2'!$AK78,IF('Inputs Yr 2'!$AL78=BP$4,'Inputs Yr 2'!$AM78,IF('Inputs Yr 2'!$AN78=BP$4,'Inputs Yr 2'!$AO78,0))))*(INDEX(avoidedcosttbl2,$H78,BP$2)+(($H78-ROUNDDOWN($H78,0))*(INDEX(avoidedcosttbl2,ROUNDUP($H78,0),BP$2)-(INDEX(avoidedcosttbl2,ROUNDDOWN($H78,0),BP$2)))))*'Inputs Yr 2'!P78*'Inputs Yr 2'!Q78*'Inputs Yr 2'!U78,"")</f>
        <v>0</v>
      </c>
      <c r="BQ78" s="230">
        <f t="shared" si="68"/>
        <v>2510210.5884481743</v>
      </c>
      <c r="BR78" s="197">
        <f t="shared" si="52"/>
        <v>38838.595893804297</v>
      </c>
      <c r="BS78" s="197">
        <f>IFERROR(($G78*IF('Inputs Yr 2'!$AJ78=BM$4,'Inputs Yr 2'!$AK78,IF('Inputs Yr 2'!$AL78=BM$4,'Inputs Yr 2'!$AM78,IF('Inputs Yr 2'!$AN78=BM$4,'Inputs Yr 2'!$AO78,0))))*(INDEX(avoidedcosttbl2,$H78,BS$2)+(($H78-ROUNDDOWN($H78,0))*(INDEX(avoidedcosttbl2,ROUNDUP($H78,0),BS$2)-(INDEX(avoidedcosttbl2,ROUNDDOWN($H78,0),BS$2)))))*'Inputs Yr 2'!P78*'Inputs Yr 2'!Q78*'Inputs Yr 2'!U78,"")</f>
        <v>0</v>
      </c>
      <c r="BT78" s="197">
        <f>IFERROR(($G78*IF('Inputs Yr 2'!$AJ78=BK$4,'Inputs Yr 2'!$AK78,IF('Inputs Yr 2'!$AL78=BK$4,'Inputs Yr 2'!$AM78,IF('Inputs Yr 2'!$AN78=BK$4,'Inputs Yr 2'!$AO78,0))))*(INDEX(avoidedcosttbl2,$H78,BT$2)+(($H78-ROUNDDOWN($H78,0))*(INDEX(avoidedcosttbl2,ROUNDUP($H78,0),BT$2)-(INDEX(avoidedcosttbl2,ROUNDDOWN($H78,0),BT$2)))))*'Inputs Yr 2'!P78*'Inputs Yr 2'!Q78*'Inputs Yr 2'!U78,"")</f>
        <v>0</v>
      </c>
      <c r="BU78" s="197">
        <f>IFERROR(($G78*IF('Inputs Yr 2'!$AJ78=BL$4,'Inputs Yr 2'!$AK78,IF('Inputs Yr 2'!$AL78=BL$4,'Inputs Yr 2'!$AM78,IF('Inputs Yr 2'!$AN78=BL$4,'Inputs Yr 2'!$AO78,0))))*(INDEX(avoidedcosttbl2,$H78,BU$2)+(($H78-ROUNDDOWN($H78,0))*(INDEX(avoidedcosttbl2,ROUNDUP($H78,0),BU$2)-(INDEX(avoidedcosttbl2,ROUNDDOWN($H78,0),BU$2)))))*'Inputs Yr 2'!P78*'Inputs Yr 2'!Q78*'Inputs Yr 2'!U78,"")</f>
        <v>117894.40781050532</v>
      </c>
      <c r="BV78" s="775">
        <f>IFERROR(($G78*IF('Inputs Yr 2'!$AJ78=BJ$4,'Inputs Yr 2'!$AK78,IF('Inputs Yr 2'!$AL78=BJ$4,'Inputs Yr 2'!$AM78,IF('Inputs Yr 2'!$AN78=BJ$4,'Inputs Yr 2'!$AO78,0))))*(INDEX(avoidedcosttbl2,$H78,BV$2)+(($H78-ROUNDDOWN($H78,0))*(INDEX(avoidedcosttbl2,ROUNDUP($H78,0),BV$2)-(INDEX(avoidedcosttbl2,ROUNDDOWN($H78,0),BV$2)))))*'Inputs Yr 2'!P78*'Inputs Yr 2'!Q78*'Inputs Yr 2'!U78,"")</f>
        <v>0</v>
      </c>
      <c r="BW78" s="197">
        <f>IFERROR(($G78*IF('Inputs Yr 2'!$AJ78=BN$4,'Inputs Yr 2'!$AK78,IF('Inputs Yr 2'!$AL78=BN$4,'Inputs Yr 2'!$AM78,IF('Inputs Yr 2'!$AN78=BN$4,'Inputs Yr 2'!$AO78,0))))*(INDEX(avoidedcosttbl2,$H78,BW$2)+(($H78-ROUNDDOWN($H78,0))*(INDEX(avoidedcosttbl2,ROUNDUP($H78,0),BW$2)-(INDEX(avoidedcosttbl2,ROUNDDOWN($H78,0),BW$2)))))*'Inputs Yr 2'!P78*'Inputs Yr 2'!Q78*'Inputs Yr 2'!U78,"")</f>
        <v>0</v>
      </c>
      <c r="BX78" s="197">
        <f>IFERROR(($G78*IF('Inputs Yr 2'!$AJ78=BO$4,'Inputs Yr 2'!$AK78,IF('Inputs Yr 2'!$AL78=BO$4,'Inputs Yr 2'!$AM78,IF('Inputs Yr 2'!$AN78=BO$4,'Inputs Yr 2'!$AO78,0))))*(INDEX(avoidedcosttbl2,$H78,BX$2)+(($H78-ROUNDDOWN($H78,0))*(INDEX(avoidedcosttbl2,ROUNDUP($H78,0),BX$2)-(INDEX(avoidedcosttbl2,ROUNDDOWN($H78,0),BX$2)))))*'Inputs Yr 2'!P78*'Inputs Yr 2'!Q78*'Inputs Yr 2'!U78,"")</f>
        <v>0</v>
      </c>
      <c r="BY78" s="197">
        <f>IFERROR(($G78*IF('Inputs Yr 2'!$AJ78=BP$4,'Inputs Yr 2'!$AK78,IF('Inputs Yr 2'!$AL78=BP$4,'Inputs Yr 2'!$AM78,IF('Inputs Yr 2'!$AN78=BP$4,'Inputs Yr 2'!$AO78,0))))*(INDEX(avoidedcosttbl2,$H78,BY$2)+(($H78-ROUNDDOWN($H78,0))*(INDEX(avoidedcosttbl2,ROUNDUP($H78,0),BY$2)-(INDEX(avoidedcosttbl2,ROUNDDOWN($H78,0),BY$2)))))*'Inputs Yr 2'!P78*'Inputs Yr 2'!Q78*'Inputs Yr 2'!U78,"")</f>
        <v>0</v>
      </c>
      <c r="BZ78" s="193">
        <f t="shared" si="69"/>
        <v>156733.00370430961</v>
      </c>
      <c r="CA78" s="193">
        <f t="shared" si="70"/>
        <v>2666943.5921524838</v>
      </c>
      <c r="CB78" s="195">
        <f>IFERROR(G78*(IF('Inputs Yr 2'!$AJ78=CB$4,'Inputs Yr 2'!$AK78,IF('Inputs Yr 2'!$AL78=CB$4,'Inputs Yr 2'!$AM78,IF('Inputs Yr 2'!$AN78=CB$4,'Inputs Yr 2'!$AO78,0))))*(INDEX(avoidedcosttbl2,$H78,CB$2)+(($H78-ROUNDDOWN($H78,0))*(INDEX(avoidedcosttbl2,ROUNDUP($H78,0),CB$2)-(INDEX(avoidedcosttbl2,ROUNDDOWN($H78,0),CB$2)))))*'Inputs Yr 2'!P78*'Inputs Yr 2'!Q78*'Inputs Yr 2'!U78,"")</f>
        <v>0</v>
      </c>
      <c r="CC78" s="195">
        <f>IFERROR(H78*(IF('Inputs Yr 2'!$AJ78=CC$4,'Inputs Yr 2'!$AK78,IF('Inputs Yr 2'!$AL78=CC$4,'Inputs Yr 2'!$AM78,IF('Inputs Yr 2'!$AN78=CC$4,'Inputs Yr 2'!$AO78,0))))*(INDEX(avoidedcosttbl2,$H78,CC$2)+(($H78-ROUNDDOWN($H78,0))*(INDEX(avoidedcosttbl2,ROUNDUP($H78,0),CC$2)-(INDEX(avoidedcosttbl2,ROUNDDOWN($H78,0),CC$2)))))*'Inputs Yr 2'!Q78*'Inputs Yr 2'!R78*'Inputs Yr 2'!V78,"")</f>
        <v>0</v>
      </c>
      <c r="CD78" s="195">
        <f>IFERROR(I78*(IF('Inputs Yr 2'!$AJ78=CD$4,'Inputs Yr 2'!$AK78,IF('Inputs Yr 2'!$AL78=CD$4,'Inputs Yr 2'!$AM78,IF('Inputs Yr 2'!$AN78=CD$4,'Inputs Yr 2'!$AO78,0))))*(INDEX(avoidedcosttbl2,$H78,CD$2)+(($H78-ROUNDDOWN($H78,0))*(INDEX(avoidedcosttbl2,ROUNDUP($H78,0),CD$2)-(INDEX(avoidedcosttbl2,ROUNDDOWN($H78,0),CD$2)))))*'Inputs Yr 2'!R78*'Inputs Yr 2'!S78*'Inputs Yr 2'!W78,"")</f>
        <v>0</v>
      </c>
      <c r="CE78" s="213">
        <f t="shared" si="71"/>
        <v>0</v>
      </c>
      <c r="CF78" s="213">
        <f t="shared" si="72"/>
        <v>0</v>
      </c>
      <c r="CG78" s="213">
        <f t="shared" si="73"/>
        <v>0</v>
      </c>
      <c r="CH78" s="698">
        <f t="shared" si="74"/>
        <v>2666943.5921524838</v>
      </c>
      <c r="CI78" s="79">
        <f>IFERROR(($G78*'Inputs Yr 2'!$P78*'Inputs Yr 2'!$Q78*(((INDEX(avoidedcosttbl2,$H78,CI$2)+(($H78-ROUNDDOWN($H78,0))*(INDEX(avoidedcosttbl2,ROUNDUP($H78,0),CI$2)-INDEX(avoidedcosttbl2,ROUNDDOWN($H78,0),CI$2))))*'Inputs Yr 2'!AS78))),"")</f>
        <v>637816.30780450779</v>
      </c>
      <c r="CJ78" s="504">
        <f>IFERROR($G78*'Inputs Yr 2'!AT78*'Inputs Yr 2'!$P78*'Inputs Yr 2'!$Q78/((1+realdiscrt1)^-0.5),"")</f>
        <v>0</v>
      </c>
      <c r="CK78" s="79">
        <f>IFERROR((O78*1000*(((INDEX(avoidedcosttbl2,$H78,CK$2)+(($H78-ROUNDDOWN($H78,0))*(INDEX(avoidedcosttbl2,ROUNDUP($H78,0),CK$2)-INDEX(avoidedcosttbl2,ROUNDDOWN($H78,0),CK$2))))*'Inputs Yr 2'!AU78))),"")</f>
        <v>0</v>
      </c>
      <c r="CL78" s="504">
        <f>IFERROR(O78*1000*'Inputs Yr 2'!AV78/((1+realdiscrt1)^-0.5),"")</f>
        <v>0</v>
      </c>
      <c r="CM78" s="79">
        <f>IFERROR((AB78*'Inputs Yr 2'!AW78*(((INDEX(avoidedcosttbl2,$H78,CM$2)+(($H78-ROUNDDOWN($H78,0))*(INDEX(avoidedcosttbl2,ROUNDUP($H78,0),CM$2)-INDEX(avoidedcosttbl2,ROUNDDOWN($H78,0),CM$2)))))))*10,"")</f>
        <v>0</v>
      </c>
      <c r="CN78" s="504">
        <f>IFERROR(10*AB78*'Inputs Yr 2'!AX78/((1+realdiscrt1)^-0.5),"")</f>
        <v>0</v>
      </c>
      <c r="CO78" s="505">
        <f t="shared" si="75"/>
        <v>637816.30780450779</v>
      </c>
      <c r="CP78" s="230">
        <f t="shared" si="76"/>
        <v>3304759.8999569914</v>
      </c>
      <c r="CQ78" s="199">
        <f>ROUND(IFERROR(IF(LEFT($A78,1)="C",'Avoided Costs'!$K$13,'Avoided Costs'!$K$12)+1,""),4)</f>
        <v>1.0720000000000001</v>
      </c>
      <c r="CR78" s="199">
        <f>ROUND(IFERROR(IF(LEFT($A78,1)="C",'Avoided Costs'!$L$13,'Avoided Costs'!$L$12)+1,""),4)</f>
        <v>1.04</v>
      </c>
      <c r="CS78" s="199">
        <f>ROUND(IFERROR(IF(LEFT($A78,1)="C",'Avoided Costs'!$M$13,'Avoided Costs'!$M$12)+1,""),4)</f>
        <v>1.0720000000000001</v>
      </c>
      <c r="CT78" s="199">
        <f>ROUND(IFERROR(IF(LEFT($A78,1)="C",'Avoided Costs'!$N$13,'Avoided Costs'!$N$12)+1,""),4)</f>
        <v>1.04</v>
      </c>
      <c r="CU78" s="199">
        <f>ROUND(IFERROR(IF(LEFT($A78,1)="C",'Avoided Costs'!$O$13,'Avoided Costs'!$O$12)+1,""),4)</f>
        <v>1.1120000000000001</v>
      </c>
      <c r="CV78" s="199">
        <f>ROUND(IFERROR(IF(LEFT($A78,1)="C",'Avoided Costs'!$P$13,'Avoided Costs'!$P$12)+1,""),4)</f>
        <v>1.095</v>
      </c>
      <c r="CW78" s="199">
        <f>ROUND(IFERROR(IF(LEFT($A78,1)="C",'Avoided Costs'!$Q$13,'Avoided Costs'!$Q$12)+1,""),4)</f>
        <v>1.1120000000000001</v>
      </c>
      <c r="CX78" s="200">
        <f>ROUND(IFERROR(IF(LEFT($A78,1)="C",'Avoided Costs'!$R$13,'Avoided Costs'!$R$12)+1,""),4)</f>
        <v>1.1120000000000001</v>
      </c>
    </row>
    <row r="79" spans="1:102" ht="12.75" customHeight="1">
      <c r="A79" s="91" t="str">
        <f>IF('Inputs Yr 2'!$B79=0,"",'Inputs Yr 2'!A79)</f>
        <v>A - Residential</v>
      </c>
      <c r="B79" s="91" t="str">
        <f>IF('Inputs Yr 2'!$B79=0,"",'Inputs Yr 2'!B79)</f>
        <v>A2 - Residential Products</v>
      </c>
      <c r="C79" s="91" t="str">
        <f>IF('Inputs Yr 2'!$B79=0,"",'Inputs Yr 2'!C79)</f>
        <v xml:space="preserve">A2a - Residential Heating &amp; Cooling Equipment </v>
      </c>
      <c r="D79" s="91" t="str">
        <f>IF('Inputs Yr 2'!$B79=0,"",'Inputs Yr 2'!E79)</f>
        <v>Furnace, Gas 95%</v>
      </c>
      <c r="E79" s="93" t="str">
        <f>IF('Inputs Yr 2'!$B79=0,"",'Inputs Yr 2'!F79)</f>
        <v>G16A2a03</v>
      </c>
      <c r="F79" s="93" t="str">
        <f>IF('Inputs Yr 2'!$B79=0,"",'Inputs Yr 2'!G79)</f>
        <v>HVAC</v>
      </c>
      <c r="G79" s="95">
        <f>IF('Inputs Yr 2'!$H79&lt;&gt;0,('Inputs Yr 2'!H79),"")</f>
        <v>939</v>
      </c>
      <c r="H79" s="94">
        <f>IFERROR('Inputs Yr 2'!I79,"")</f>
        <v>17</v>
      </c>
      <c r="I79" s="298">
        <f>IFERROR('Inputs Yr 2'!J79*'Inputs Yr 2'!P79*G79,"")</f>
        <v>700536.75990273443</v>
      </c>
      <c r="J79" s="298">
        <f>IFERROR('Inputs Yr 2'!K79*G79,"")</f>
        <v>196988.7232059646</v>
      </c>
      <c r="K79" s="298">
        <f t="shared" si="53"/>
        <v>503548.03669676982</v>
      </c>
      <c r="L79" s="194">
        <f>IFERROR(('Inputs Yr 2'!W79*G79)/1000,"")</f>
        <v>0</v>
      </c>
      <c r="M79" s="194">
        <f>IFERROR(L79*('Inputs Yr 2'!$Q79*'Inputs Yr 2'!$V79*'Inputs Yr 2'!$R79),"")</f>
        <v>0</v>
      </c>
      <c r="N79" s="194">
        <f t="shared" si="54"/>
        <v>0</v>
      </c>
      <c r="O79" s="194">
        <f>IFERROR(M79*'Inputs Yr 2'!P79,"")</f>
        <v>0</v>
      </c>
      <c r="P79" s="194">
        <f t="shared" si="55"/>
        <v>0</v>
      </c>
      <c r="Q79" s="194">
        <f>IFERROR($P79*'Inputs Yr 2'!AA79,"")</f>
        <v>0</v>
      </c>
      <c r="R79" s="194">
        <f>IFERROR($P79*'Inputs Yr 2'!AB79,"")</f>
        <v>0</v>
      </c>
      <c r="S79" s="194">
        <f>IFERROR($P79*'Inputs Yr 2'!AC79,"")</f>
        <v>0</v>
      </c>
      <c r="T79" s="194">
        <f>IFERROR($P79*'Inputs Yr 2'!AD79,"")</f>
        <v>0</v>
      </c>
      <c r="U79" s="194">
        <f>IFERROR(G79*'Inputs Yr 2'!$AE79*'Inputs Yr 2'!$P79*'Inputs Yr 2'!$Q79,"")</f>
        <v>0</v>
      </c>
      <c r="V79" s="194">
        <f>IFERROR($G79*'Inputs Yr 2'!$AE79*'Inputs Yr 2'!$AG79*'Inputs Yr 2'!Q79*'Inputs Yr 2'!$S79,"")</f>
        <v>0</v>
      </c>
      <c r="W79" s="194">
        <f>IFERROR($G79*'Inputs Yr 2'!$AE79*'Inputs Yr 2'!$AG79*'Inputs Yr 2'!P79*'Inputs Yr 2'!Q79*'Inputs Yr 2'!$S79,"")</f>
        <v>0</v>
      </c>
      <c r="X79" s="194">
        <f>IFERROR($G79*'Inputs Yr 2'!$AE79*'Inputs Yr 2'!$AF79*'Inputs Yr 2'!Q79*'Inputs Yr 2'!$T79,"")</f>
        <v>0</v>
      </c>
      <c r="Y79" s="194">
        <f>IFERROR($G79*'Inputs Yr 2'!$AE79*'Inputs Yr 2'!$AF79*'Inputs Yr 2'!P79*'Inputs Yr 2'!Q79*'Inputs Yr 2'!$T79,"")</f>
        <v>0</v>
      </c>
      <c r="Z79" s="257">
        <f>IFERROR($G79*'Inputs Yr 2'!$Q79*'Inputs Yr 2'!$U79*(IF(IFERROR(SEARCH("NG", 'Inputs Yr 2'!$AJ79),0),'Inputs Yr 2'!$AK79,0)+IF(IFERROR(SEARCH("NG", 'Inputs Yr 2'!$AL79),0),'Inputs Yr 2'!$AM79,0)+IF(IFERROR(SEARCH("NG", 'Inputs Yr 2'!$AN79),0),'Inputs Yr 2'!$AO79,0)),0)</f>
        <v>7605.9</v>
      </c>
      <c r="AA79" s="257">
        <f t="shared" si="56"/>
        <v>129300.29999999999</v>
      </c>
      <c r="AB79" s="257">
        <f>IFERROR(Z79*'Inputs Yr 2'!$P79,0)</f>
        <v>6160.7790000000005</v>
      </c>
      <c r="AC79" s="257">
        <f t="shared" si="57"/>
        <v>104733.243</v>
      </c>
      <c r="AD79" s="257">
        <f>IFERROR($G79*'Inputs Yr 2'!$Q79*'Inputs Yr 2'!$U79*(IF(IFERROR(SEARCH("Oil", 'Inputs Yr 2'!$AJ79), 0),'Inputs Yr 2'!$AK79,0)+IF(IFERROR(SEARCH("Oil", 'Inputs Yr 2'!$AL79), 0),'Inputs Yr 2'!$AM79,0)+IF(IFERROR(SEARCH("Oil", 'Inputs Yr 2'!$AN79), 0),'Inputs Yr 2'!$AO79,0)),0)</f>
        <v>0</v>
      </c>
      <c r="AE79" s="257">
        <f t="shared" si="58"/>
        <v>0</v>
      </c>
      <c r="AF79" s="257">
        <f>IFERROR(AD79*'Inputs Yr 2'!$P79,0)</f>
        <v>0</v>
      </c>
      <c r="AG79" s="257">
        <f t="shared" si="59"/>
        <v>0</v>
      </c>
      <c r="AH79" s="257">
        <f>IFERROR($G79*'Inputs Yr 2'!$Q79*'Inputs Yr 2'!$U79*(IF('Inputs Yr 2'!$AJ79=CD$4,'Inputs Yr 2'!$AK79,IF('Inputs Yr 2'!$AL79=CD$4,'Inputs Yr 2'!$AM79,IF('Inputs Yr 2'!$AN79=CD$4,'Inputs Yr 2'!$AO79,0)))),0)</f>
        <v>0</v>
      </c>
      <c r="AI79" s="257">
        <f t="shared" si="60"/>
        <v>0</v>
      </c>
      <c r="AJ79" s="257">
        <f>IFERROR(AH79*'Inputs Yr 2'!$P79,0)</f>
        <v>0</v>
      </c>
      <c r="AK79" s="257">
        <f t="shared" si="61"/>
        <v>0</v>
      </c>
      <c r="AL79" s="258">
        <f>IFERROR($G79*'Inputs Yr 2'!$P79*'Inputs Yr 2'!$Q79*'Inputs Yr 2'!AP79,0)</f>
        <v>0</v>
      </c>
      <c r="AM79" s="260">
        <f>IFERROR($G79*'Inputs Yr 2'!$P79*'Inputs Yr 2'!$Q79*'Inputs Yr 2'!AQ79,0)</f>
        <v>0</v>
      </c>
      <c r="AN79" s="258">
        <f>IFERROR($G79*'Inputs Yr 2'!$P79*'Inputs Yr 2'!$Q79*'Inputs Yr 2'!AR79,0)</f>
        <v>0</v>
      </c>
      <c r="AO79" s="257">
        <f t="shared" si="62"/>
        <v>0</v>
      </c>
      <c r="AP79" s="195">
        <f>IFERROR($CQ79*(INDEX(avoidedcosttbl2,$H79,AP$2)+(($H79-ROUNDDOWN($H79,0))*(INDEX(avoidedcosttbl2,ROUNDUP($H79,0),AP$2)-(INDEX(avoidedcosttbl2,ROUNDDOWN($H79,0),AP$2)))))*$O79*1000*'Inputs Yr 2'!AA79,"")</f>
        <v>0</v>
      </c>
      <c r="AQ79" s="195">
        <f>IFERROR($CR79*(INDEX(avoidedcosttbl2,$H79,AQ$2)+(($H79-ROUNDDOWN($H79,0))*(INDEX(avoidedcosttbl2,ROUNDUP($H79,0),AQ$2)-(INDEX(avoidedcosttbl2,ROUNDDOWN($H79,0),AQ$2)))))*$O79*1000*'Inputs Yr 2'!AB79,"")</f>
        <v>0</v>
      </c>
      <c r="AR79" s="195">
        <f>IFERROR($CS79*(INDEX(avoidedcosttbl2,$H79,AR$2)+(($H79-ROUNDDOWN($H79,0))*(INDEX(avoidedcosttbl2,ROUNDUP($H79,0),AR$2)-(INDEX(avoidedcosttbl2,ROUNDDOWN($H79,0),AR$2)))))*$O79*1000*'Inputs Yr 2'!AC79,"")</f>
        <v>0</v>
      </c>
      <c r="AS79" s="195">
        <f>IFERROR($CT79*(INDEX(avoidedcosttbl2,$H79,AS$2)+(($H79-ROUNDDOWN($H79,0))*(INDEX(avoidedcosttbl2,ROUNDUP($H79,0),AS$2)-(INDEX(avoidedcosttbl2,ROUNDDOWN($H79,0),AS$2)))))*$O79*1000*'Inputs Yr 2'!AD79,"")</f>
        <v>0</v>
      </c>
      <c r="AT79" s="196">
        <f t="shared" si="63"/>
        <v>0</v>
      </c>
      <c r="AU79" s="197">
        <f>IFERROR($CQ79*((INDEX(avoidedcosttbl2,$H79,AU$2))+(($H79-ROUNDDOWN($H79,0))*((INDEX(avoidedcosttbl2,ROUNDUP($H79,0),AU$2))-(INDEX(avoidedcosttbl2,ROUNDDOWN($H79,0),AU$2)))))*$O79*1000*'Inputs Yr 2'!AA79,"")</f>
        <v>0</v>
      </c>
      <c r="AV79" s="197">
        <f>IFERROR($CR79*((INDEX(avoidedcosttbl2,$H79,AV$2))+(($H79-ROUNDDOWN($H79,0))*((INDEX(avoidedcosttbl2,ROUNDUP($H79,0),AV$2))-(INDEX(avoidedcosttbl2,ROUNDDOWN($H79,0),AV$2)))))*$O79*1000*'Inputs Yr 2'!AB79,"")</f>
        <v>0</v>
      </c>
      <c r="AW79" s="197">
        <f>IFERROR($CS79*((INDEX(avoidedcosttbl2,$H79,AW$2))+(($H79-ROUNDDOWN($H79,0))*((INDEX(avoidedcosttbl2,ROUNDUP($H79,0),AW$2))-(INDEX(avoidedcosttbl2,ROUNDDOWN($H79,0),AW$2)))))*$O79*1000*'Inputs Yr 2'!AC79,"")</f>
        <v>0</v>
      </c>
      <c r="AX79" s="197">
        <f>IFERROR($CT79*((INDEX(avoidedcosttbl2,$H79,AX$2))+(($H79-ROUNDDOWN($H79,0))*((INDEX(avoidedcosttbl2,ROUNDUP($H79,0),AX$2))-(INDEX(avoidedcosttbl2,ROUNDDOWN($H79,0),AX$2)))))*$O79*1000*'Inputs Yr 2'!AD79,"")</f>
        <v>0</v>
      </c>
      <c r="AY79" s="197">
        <f>IFERROR(((INDEX(avoidedcosttbl2,$H79,AY$2))+(($H79-ROUNDDOWN($H79,0))*((INDEX(avoidedcosttbl2,ROUNDUP($H79,0),AY$2))-(INDEX(avoidedcosttbl2,ROUNDDOWN($H79,0),AY$2)))))*$O79*1000*('Inputs Yr 2'!AC79+'Inputs Yr 2'!AD79),"")</f>
        <v>0</v>
      </c>
      <c r="AZ79" s="197">
        <f>IFERROR(((INDEX(avoidedcosttbl2,$H79,AZ$2))+(($H79-ROUNDDOWN($H79,0))*((INDEX(avoidedcosttbl2,ROUNDUP($H79,0),AZ$2))-(INDEX(avoidedcosttbl2,ROUNDDOWN($H79,0),AZ$2)))))*$O79*1000*('Inputs Yr 2'!AA79+'Inputs Yr 2'!AB79),"")</f>
        <v>0</v>
      </c>
      <c r="BA79" s="198">
        <f t="shared" si="64"/>
        <v>0</v>
      </c>
      <c r="BB79" s="198">
        <f t="shared" si="65"/>
        <v>0</v>
      </c>
      <c r="BC79" s="195">
        <f t="shared" si="47"/>
        <v>0</v>
      </c>
      <c r="BD79" s="195">
        <f t="shared" si="48"/>
        <v>0</v>
      </c>
      <c r="BE79" s="195">
        <f t="shared" si="49"/>
        <v>0</v>
      </c>
      <c r="BF79" s="195">
        <f t="shared" si="50"/>
        <v>0</v>
      </c>
      <c r="BG79" s="195">
        <f t="shared" si="51"/>
        <v>0</v>
      </c>
      <c r="BH79" s="196">
        <f t="shared" si="66"/>
        <v>0</v>
      </c>
      <c r="BI79" s="196">
        <f t="shared" si="67"/>
        <v>0</v>
      </c>
      <c r="BJ79" s="195">
        <f>IFERROR($G79*(IF('Inputs Yr 2'!$AJ79=BJ$4,'Inputs Yr 2'!$AK79,IF('Inputs Yr 2'!$AL79=BJ$4,'Inputs Yr 2'!$AM79,IF('Inputs Yr 2'!$AN79=BJ$4,'Inputs Yr 2'!$AO79,0))))*(INDEX(avoidedcosttbl2,$H79,BJ$2)+(($H79-ROUNDDOWN($H79,0))*(INDEX(avoidedcosttbl2,ROUNDUP($H79,0),BJ$2)-(INDEX(avoidedcosttbl2,ROUNDDOWN($H79,0),BJ$2)))))*'Inputs Yr 2'!P79*'Inputs Yr 2'!Q79*'Inputs Yr 2'!U79,"")</f>
        <v>0</v>
      </c>
      <c r="BK79" s="195">
        <f>IFERROR($G79*(IF('Inputs Yr 2'!$AJ79=BK$4,'Inputs Yr 2'!$AK79,IF('Inputs Yr 2'!$AL79=BK$4,'Inputs Yr 2'!$AM79,IF('Inputs Yr 2'!$AN79=BK$4,'Inputs Yr 2'!$AO79,0))))*(INDEX(avoidedcosttbl2,$H79,BK$2)+(($H79-ROUNDDOWN($H79,0))*(INDEX(avoidedcosttbl2,ROUNDUP($H79,0),BK$2)-(INDEX(avoidedcosttbl2,ROUNDDOWN($H79,0),BK$2)))))*'Inputs Yr 2'!P79*'Inputs Yr 2'!Q79*'Inputs Yr 2'!U79,"")</f>
        <v>0</v>
      </c>
      <c r="BL79" s="195">
        <f>IFERROR($G79*(IF('Inputs Yr 2'!$AJ79=BL$4,'Inputs Yr 2'!$AK79,IF('Inputs Yr 2'!$AL79=BL$4,'Inputs Yr 2'!$AM79,IF('Inputs Yr 2'!$AN79=BL$4,'Inputs Yr 2'!$AO79,0))))*(INDEX(avoidedcosttbl2,$H79,BL$2)+(($H79-ROUNDDOWN($H79,0))*(INDEX(avoidedcosttbl2,ROUNDUP($H79,0),BL$2)-(INDEX(avoidedcosttbl2,ROUNDDOWN($H79,0),BL$2)))))*'Inputs Yr 2'!P79*'Inputs Yr 2'!Q79*'Inputs Yr 2'!U79,"")</f>
        <v>892993.45542209526</v>
      </c>
      <c r="BM79" s="195">
        <f>IFERROR($G79*(IF('Inputs Yr 2'!$AJ79=BM$4,'Inputs Yr 2'!$AK79,IF('Inputs Yr 2'!$AL79=BM$4,'Inputs Yr 2'!$AM79,IF('Inputs Yr 2'!$AN79=BM$4,'Inputs Yr 2'!$AO79,0))))*(INDEX(avoidedcosttbl2,$H79,BM$2)+(($H79-ROUNDDOWN($H79,0))*(INDEX(avoidedcosttbl2,ROUNDUP($H79,0),BM$2)-(INDEX(avoidedcosttbl2,ROUNDDOWN($H79,0),BM$2)))))*'Inputs Yr 2'!P79*'Inputs Yr 2'!Q79*'Inputs Yr 2'!U79,"")</f>
        <v>0</v>
      </c>
      <c r="BN79" s="195">
        <f>IFERROR($G79*(IF('Inputs Yr 2'!$AJ79=BN$4,'Inputs Yr 2'!$AK79,IF('Inputs Yr 2'!$AL79=BN$4,'Inputs Yr 2'!$AM79,IF('Inputs Yr 2'!$AN79=BN$4,'Inputs Yr 2'!$AO79,0))))*(INDEX(avoidedcosttbl2,$H79,BN$2)+(($H79-ROUNDDOWN($H79,0))*(INDEX(avoidedcosttbl2,ROUNDUP($H79,0),BN$2)-(INDEX(avoidedcosttbl2,ROUNDDOWN($H79,0),BN$2)))))*'Inputs Yr 2'!P79*'Inputs Yr 2'!Q79*'Inputs Yr 2'!U79,"")</f>
        <v>0</v>
      </c>
      <c r="BO79" s="195">
        <f>IFERROR($G79*(IF('Inputs Yr 2'!$AJ79=BO$4,'Inputs Yr 2'!$AK79,IF('Inputs Yr 2'!$AL79=BO$4,'Inputs Yr 2'!$AM79,IF('Inputs Yr 2'!$AN79=BO$4,'Inputs Yr 2'!$AO79,0))))*(INDEX(avoidedcosttbl2,$H79,BO$2)+(($H79-ROUNDDOWN($H79,0))*(INDEX(avoidedcosttbl2,ROUNDUP($H79,0),BO$2)-(INDEX(avoidedcosttbl2,ROUNDDOWN($H79,0),BO$2)))))*'Inputs Yr 2'!P79*'Inputs Yr 2'!Q79*'Inputs Yr 2'!U79,"")</f>
        <v>0</v>
      </c>
      <c r="BP79" s="195">
        <f>IFERROR($G79*(IF('Inputs Yr 2'!$AJ79=BP$4,'Inputs Yr 2'!$AK79,IF('Inputs Yr 2'!$AL79=BP$4,'Inputs Yr 2'!$AM79,IF('Inputs Yr 2'!$AN79=BP$4,'Inputs Yr 2'!$AO79,0))))*(INDEX(avoidedcosttbl2,$H79,BP$2)+(($H79-ROUNDDOWN($H79,0))*(INDEX(avoidedcosttbl2,ROUNDUP($H79,0),BP$2)-(INDEX(avoidedcosttbl2,ROUNDDOWN($H79,0),BP$2)))))*'Inputs Yr 2'!P79*'Inputs Yr 2'!Q79*'Inputs Yr 2'!U79,"")</f>
        <v>0</v>
      </c>
      <c r="BQ79" s="230">
        <f t="shared" si="68"/>
        <v>892993.45542209526</v>
      </c>
      <c r="BR79" s="197">
        <f t="shared" si="52"/>
        <v>14134.282040053355</v>
      </c>
      <c r="BS79" s="197">
        <f>IFERROR(($G79*IF('Inputs Yr 2'!$AJ79=BM$4,'Inputs Yr 2'!$AK79,IF('Inputs Yr 2'!$AL79=BM$4,'Inputs Yr 2'!$AM79,IF('Inputs Yr 2'!$AN79=BM$4,'Inputs Yr 2'!$AO79,0))))*(INDEX(avoidedcosttbl2,$H79,BS$2)+(($H79-ROUNDDOWN($H79,0))*(INDEX(avoidedcosttbl2,ROUNDUP($H79,0),BS$2)-(INDEX(avoidedcosttbl2,ROUNDDOWN($H79,0),BS$2)))))*'Inputs Yr 2'!P79*'Inputs Yr 2'!Q79*'Inputs Yr 2'!U79,"")</f>
        <v>0</v>
      </c>
      <c r="BT79" s="197">
        <f>IFERROR(($G79*IF('Inputs Yr 2'!$AJ79=BK$4,'Inputs Yr 2'!$AK79,IF('Inputs Yr 2'!$AL79=BK$4,'Inputs Yr 2'!$AM79,IF('Inputs Yr 2'!$AN79=BK$4,'Inputs Yr 2'!$AO79,0))))*(INDEX(avoidedcosttbl2,$H79,BT$2)+(($H79-ROUNDDOWN($H79,0))*(INDEX(avoidedcosttbl2,ROUNDUP($H79,0),BT$2)-(INDEX(avoidedcosttbl2,ROUNDDOWN($H79,0),BT$2)))))*'Inputs Yr 2'!P79*'Inputs Yr 2'!Q79*'Inputs Yr 2'!U79,"")</f>
        <v>0</v>
      </c>
      <c r="BU79" s="197">
        <f>IFERROR(($G79*IF('Inputs Yr 2'!$AJ79=BL$4,'Inputs Yr 2'!$AK79,IF('Inputs Yr 2'!$AL79=BL$4,'Inputs Yr 2'!$AM79,IF('Inputs Yr 2'!$AN79=BL$4,'Inputs Yr 2'!$AO79,0))))*(INDEX(avoidedcosttbl2,$H79,BU$2)+(($H79-ROUNDDOWN($H79,0))*(INDEX(avoidedcosttbl2,ROUNDUP($H79,0),BU$2)-(INDEX(avoidedcosttbl2,ROUNDDOWN($H79,0),BU$2)))))*'Inputs Yr 2'!P79*'Inputs Yr 2'!Q79*'Inputs Yr 2'!U79,"")</f>
        <v>48684.869335822565</v>
      </c>
      <c r="BV79" s="775">
        <f>IFERROR(($G79*IF('Inputs Yr 2'!$AJ79=BJ$4,'Inputs Yr 2'!$AK79,IF('Inputs Yr 2'!$AL79=BJ$4,'Inputs Yr 2'!$AM79,IF('Inputs Yr 2'!$AN79=BJ$4,'Inputs Yr 2'!$AO79,0))))*(INDEX(avoidedcosttbl2,$H79,BV$2)+(($H79-ROUNDDOWN($H79,0))*(INDEX(avoidedcosttbl2,ROUNDUP($H79,0),BV$2)-(INDEX(avoidedcosttbl2,ROUNDDOWN($H79,0),BV$2)))))*'Inputs Yr 2'!P79*'Inputs Yr 2'!Q79*'Inputs Yr 2'!U79,"")</f>
        <v>0</v>
      </c>
      <c r="BW79" s="197">
        <f>IFERROR(($G79*IF('Inputs Yr 2'!$AJ79=BN$4,'Inputs Yr 2'!$AK79,IF('Inputs Yr 2'!$AL79=BN$4,'Inputs Yr 2'!$AM79,IF('Inputs Yr 2'!$AN79=BN$4,'Inputs Yr 2'!$AO79,0))))*(INDEX(avoidedcosttbl2,$H79,BW$2)+(($H79-ROUNDDOWN($H79,0))*(INDEX(avoidedcosttbl2,ROUNDUP($H79,0),BW$2)-(INDEX(avoidedcosttbl2,ROUNDDOWN($H79,0),BW$2)))))*'Inputs Yr 2'!P79*'Inputs Yr 2'!Q79*'Inputs Yr 2'!U79,"")</f>
        <v>0</v>
      </c>
      <c r="BX79" s="197">
        <f>IFERROR(($G79*IF('Inputs Yr 2'!$AJ79=BO$4,'Inputs Yr 2'!$AK79,IF('Inputs Yr 2'!$AL79=BO$4,'Inputs Yr 2'!$AM79,IF('Inputs Yr 2'!$AN79=BO$4,'Inputs Yr 2'!$AO79,0))))*(INDEX(avoidedcosttbl2,$H79,BX$2)+(($H79-ROUNDDOWN($H79,0))*(INDEX(avoidedcosttbl2,ROUNDUP($H79,0),BX$2)-(INDEX(avoidedcosttbl2,ROUNDDOWN($H79,0),BX$2)))))*'Inputs Yr 2'!P79*'Inputs Yr 2'!Q79*'Inputs Yr 2'!U79,"")</f>
        <v>0</v>
      </c>
      <c r="BY79" s="197">
        <f>IFERROR(($G79*IF('Inputs Yr 2'!$AJ79=BP$4,'Inputs Yr 2'!$AK79,IF('Inputs Yr 2'!$AL79=BP$4,'Inputs Yr 2'!$AM79,IF('Inputs Yr 2'!$AN79=BP$4,'Inputs Yr 2'!$AO79,0))))*(INDEX(avoidedcosttbl2,$H79,BY$2)+(($H79-ROUNDDOWN($H79,0))*(INDEX(avoidedcosttbl2,ROUNDUP($H79,0),BY$2)-(INDEX(avoidedcosttbl2,ROUNDDOWN($H79,0),BY$2)))))*'Inputs Yr 2'!P79*'Inputs Yr 2'!Q79*'Inputs Yr 2'!U79,"")</f>
        <v>0</v>
      </c>
      <c r="BZ79" s="193">
        <f t="shared" si="69"/>
        <v>62819.151375875917</v>
      </c>
      <c r="CA79" s="193">
        <f t="shared" si="70"/>
        <v>955812.60679797118</v>
      </c>
      <c r="CB79" s="195">
        <f>IFERROR(G79*(IF('Inputs Yr 2'!$AJ79=CB$4,'Inputs Yr 2'!$AK79,IF('Inputs Yr 2'!$AL79=CB$4,'Inputs Yr 2'!$AM79,IF('Inputs Yr 2'!$AN79=CB$4,'Inputs Yr 2'!$AO79,0))))*(INDEX(avoidedcosttbl2,$H79,CB$2)+(($H79-ROUNDDOWN($H79,0))*(INDEX(avoidedcosttbl2,ROUNDUP($H79,0),CB$2)-(INDEX(avoidedcosttbl2,ROUNDDOWN($H79,0),CB$2)))))*'Inputs Yr 2'!P79*'Inputs Yr 2'!Q79*'Inputs Yr 2'!U79,"")</f>
        <v>0</v>
      </c>
      <c r="CC79" s="195">
        <f>IFERROR(H79*(IF('Inputs Yr 2'!$AJ79=CC$4,'Inputs Yr 2'!$AK79,IF('Inputs Yr 2'!$AL79=CC$4,'Inputs Yr 2'!$AM79,IF('Inputs Yr 2'!$AN79=CC$4,'Inputs Yr 2'!$AO79,0))))*(INDEX(avoidedcosttbl2,$H79,CC$2)+(($H79-ROUNDDOWN($H79,0))*(INDEX(avoidedcosttbl2,ROUNDUP($H79,0),CC$2)-(INDEX(avoidedcosttbl2,ROUNDDOWN($H79,0),CC$2)))))*'Inputs Yr 2'!Q79*'Inputs Yr 2'!R79*'Inputs Yr 2'!V79,"")</f>
        <v>0</v>
      </c>
      <c r="CD79" s="195">
        <f>IFERROR(I79*(IF('Inputs Yr 2'!$AJ79=CD$4,'Inputs Yr 2'!$AK79,IF('Inputs Yr 2'!$AL79=CD$4,'Inputs Yr 2'!$AM79,IF('Inputs Yr 2'!$AN79=CD$4,'Inputs Yr 2'!$AO79,0))))*(INDEX(avoidedcosttbl2,$H79,CD$2)+(($H79-ROUNDDOWN($H79,0))*(INDEX(avoidedcosttbl2,ROUNDUP($H79,0),CD$2)-(INDEX(avoidedcosttbl2,ROUNDDOWN($H79,0),CD$2)))))*'Inputs Yr 2'!R79*'Inputs Yr 2'!S79*'Inputs Yr 2'!W79,"")</f>
        <v>0</v>
      </c>
      <c r="CE79" s="213">
        <f t="shared" si="71"/>
        <v>0</v>
      </c>
      <c r="CF79" s="213">
        <f t="shared" si="72"/>
        <v>0</v>
      </c>
      <c r="CG79" s="213">
        <f t="shared" si="73"/>
        <v>0</v>
      </c>
      <c r="CH79" s="698">
        <f t="shared" si="74"/>
        <v>955812.60679797118</v>
      </c>
      <c r="CI79" s="79">
        <f>IFERROR(($G79*'Inputs Yr 2'!$P79*'Inputs Yr 2'!$Q79*(((INDEX(avoidedcosttbl2,$H79,CI$2)+(($H79-ROUNDDOWN($H79,0))*(INDEX(avoidedcosttbl2,ROUNDUP($H79,0),CI$2)-INDEX(avoidedcosttbl2,ROUNDDOWN($H79,0),CI$2))))*'Inputs Yr 2'!AS79))),"")</f>
        <v>401188.86283989454</v>
      </c>
      <c r="CJ79" s="504">
        <f>IFERROR($G79*'Inputs Yr 2'!AT79*'Inputs Yr 2'!$P79*'Inputs Yr 2'!$Q79/((1+realdiscrt1)^-0.5),"")</f>
        <v>0</v>
      </c>
      <c r="CK79" s="79">
        <f>IFERROR((O79*1000*(((INDEX(avoidedcosttbl2,$H79,CK$2)+(($H79-ROUNDDOWN($H79,0))*(INDEX(avoidedcosttbl2,ROUNDUP($H79,0),CK$2)-INDEX(avoidedcosttbl2,ROUNDDOWN($H79,0),CK$2))))*'Inputs Yr 2'!AU79))),"")</f>
        <v>0</v>
      </c>
      <c r="CL79" s="504">
        <f>IFERROR(O79*1000*'Inputs Yr 2'!AV79/((1+realdiscrt1)^-0.5),"")</f>
        <v>0</v>
      </c>
      <c r="CM79" s="79">
        <f>IFERROR((AB79*'Inputs Yr 2'!AW79*(((INDEX(avoidedcosttbl2,$H79,CM$2)+(($H79-ROUNDDOWN($H79,0))*(INDEX(avoidedcosttbl2,ROUNDUP($H79,0),CM$2)-INDEX(avoidedcosttbl2,ROUNDDOWN($H79,0),CM$2)))))))*10,"")</f>
        <v>0</v>
      </c>
      <c r="CN79" s="504">
        <f>IFERROR(10*AB79*'Inputs Yr 2'!AX79/((1+realdiscrt1)^-0.5),"")</f>
        <v>0</v>
      </c>
      <c r="CO79" s="505">
        <f t="shared" si="75"/>
        <v>401188.86283989454</v>
      </c>
      <c r="CP79" s="230">
        <f t="shared" si="76"/>
        <v>1357001.4696378657</v>
      </c>
      <c r="CQ79" s="199">
        <f>ROUND(IFERROR(IF(LEFT($A79,1)="C",'Avoided Costs'!$K$13,'Avoided Costs'!$K$12)+1,""),4)</f>
        <v>1.0720000000000001</v>
      </c>
      <c r="CR79" s="199">
        <f>ROUND(IFERROR(IF(LEFT($A79,1)="C",'Avoided Costs'!$L$13,'Avoided Costs'!$L$12)+1,""),4)</f>
        <v>1.04</v>
      </c>
      <c r="CS79" s="199">
        <f>ROUND(IFERROR(IF(LEFT($A79,1)="C",'Avoided Costs'!$M$13,'Avoided Costs'!$M$12)+1,""),4)</f>
        <v>1.0720000000000001</v>
      </c>
      <c r="CT79" s="199">
        <f>ROUND(IFERROR(IF(LEFT($A79,1)="C",'Avoided Costs'!$N$13,'Avoided Costs'!$N$12)+1,""),4)</f>
        <v>1.04</v>
      </c>
      <c r="CU79" s="199">
        <f>ROUND(IFERROR(IF(LEFT($A79,1)="C",'Avoided Costs'!$O$13,'Avoided Costs'!$O$12)+1,""),4)</f>
        <v>1.1120000000000001</v>
      </c>
      <c r="CV79" s="199">
        <f>ROUND(IFERROR(IF(LEFT($A79,1)="C",'Avoided Costs'!$P$13,'Avoided Costs'!$P$12)+1,""),4)</f>
        <v>1.095</v>
      </c>
      <c r="CW79" s="199">
        <f>ROUND(IFERROR(IF(LEFT($A79,1)="C",'Avoided Costs'!$Q$13,'Avoided Costs'!$Q$12)+1,""),4)</f>
        <v>1.1120000000000001</v>
      </c>
      <c r="CX79" s="200">
        <f>ROUND(IFERROR(IF(LEFT($A79,1)="C",'Avoided Costs'!$R$13,'Avoided Costs'!$R$12)+1,""),4)</f>
        <v>1.1120000000000001</v>
      </c>
    </row>
    <row r="80" spans="1:102" ht="12.75" customHeight="1">
      <c r="A80" s="91" t="str">
        <f>IF('Inputs Yr 2'!$B80=0,"",'Inputs Yr 2'!A80)</f>
        <v>A - Residential</v>
      </c>
      <c r="B80" s="91" t="str">
        <f>IF('Inputs Yr 2'!$B80=0,"",'Inputs Yr 2'!B80)</f>
        <v>A2 - Residential Products</v>
      </c>
      <c r="C80" s="91" t="str">
        <f>IF('Inputs Yr 2'!$B80=0,"",'Inputs Yr 2'!C80)</f>
        <v xml:space="preserve">A2a - Residential Heating &amp; Cooling Equipment </v>
      </c>
      <c r="D80" s="91" t="str">
        <f>IF('Inputs Yr 2'!$B80=0,"",'Inputs Yr 2'!E80)</f>
        <v>Furnace, Gas 95% Muni</v>
      </c>
      <c r="E80" s="93" t="str">
        <f>IF('Inputs Yr 2'!$B80=0,"",'Inputs Yr 2'!F80)</f>
        <v>G16A2a04</v>
      </c>
      <c r="F80" s="93" t="str">
        <f>IF('Inputs Yr 2'!$B80=0,"",'Inputs Yr 2'!G80)</f>
        <v>HVAC</v>
      </c>
      <c r="G80" s="95" t="str">
        <f>IF('Inputs Yr 2'!$H80&lt;&gt;0,('Inputs Yr 2'!H80),"")</f>
        <v/>
      </c>
      <c r="H80" s="94">
        <f>IFERROR('Inputs Yr 2'!I80,"")</f>
        <v>0</v>
      </c>
      <c r="I80" s="298" t="str">
        <f>IFERROR('Inputs Yr 2'!J80*'Inputs Yr 2'!P80*G80,"")</f>
        <v/>
      </c>
      <c r="J80" s="298" t="str">
        <f>IFERROR('Inputs Yr 2'!K80*G80,"")</f>
        <v/>
      </c>
      <c r="K80" s="298" t="str">
        <f t="shared" si="53"/>
        <v/>
      </c>
      <c r="L80" s="194" t="str">
        <f>IFERROR(('Inputs Yr 2'!W80*G80)/1000,"")</f>
        <v/>
      </c>
      <c r="M80" s="194" t="str">
        <f>IFERROR(L80*('Inputs Yr 2'!$Q80*'Inputs Yr 2'!$V80*'Inputs Yr 2'!$R80),"")</f>
        <v/>
      </c>
      <c r="N80" s="194" t="str">
        <f t="shared" si="54"/>
        <v/>
      </c>
      <c r="O80" s="194" t="str">
        <f>IFERROR(M80*'Inputs Yr 2'!P80,"")</f>
        <v/>
      </c>
      <c r="P80" s="194" t="str">
        <f t="shared" si="55"/>
        <v/>
      </c>
      <c r="Q80" s="194" t="str">
        <f>IFERROR($P80*'Inputs Yr 2'!AA80,"")</f>
        <v/>
      </c>
      <c r="R80" s="194" t="str">
        <f>IFERROR($P80*'Inputs Yr 2'!AB80,"")</f>
        <v/>
      </c>
      <c r="S80" s="194" t="str">
        <f>IFERROR($P80*'Inputs Yr 2'!AC80,"")</f>
        <v/>
      </c>
      <c r="T80" s="194" t="str">
        <f>IFERROR($P80*'Inputs Yr 2'!AD80,"")</f>
        <v/>
      </c>
      <c r="U80" s="194" t="str">
        <f>IFERROR(G80*'Inputs Yr 2'!$AE80*'Inputs Yr 2'!$P80*'Inputs Yr 2'!$Q80,"")</f>
        <v/>
      </c>
      <c r="V80" s="194" t="str">
        <f>IFERROR($G80*'Inputs Yr 2'!$AE80*'Inputs Yr 2'!$AG80*'Inputs Yr 2'!Q80*'Inputs Yr 2'!$S80,"")</f>
        <v/>
      </c>
      <c r="W80" s="194" t="str">
        <f>IFERROR($G80*'Inputs Yr 2'!$AE80*'Inputs Yr 2'!$AG80*'Inputs Yr 2'!P80*'Inputs Yr 2'!Q80*'Inputs Yr 2'!$S80,"")</f>
        <v/>
      </c>
      <c r="X80" s="194" t="str">
        <f>IFERROR($G80*'Inputs Yr 2'!$AE80*'Inputs Yr 2'!$AF80*'Inputs Yr 2'!Q80*'Inputs Yr 2'!$T80,"")</f>
        <v/>
      </c>
      <c r="Y80" s="194" t="str">
        <f>IFERROR($G80*'Inputs Yr 2'!$AE80*'Inputs Yr 2'!$AF80*'Inputs Yr 2'!P80*'Inputs Yr 2'!Q80*'Inputs Yr 2'!$T80,"")</f>
        <v/>
      </c>
      <c r="Z80" s="257">
        <f>IFERROR($G80*'Inputs Yr 2'!$Q80*'Inputs Yr 2'!$U80*(IF(IFERROR(SEARCH("NG", 'Inputs Yr 2'!$AJ80),0),'Inputs Yr 2'!$AK80,0)+IF(IFERROR(SEARCH("NG", 'Inputs Yr 2'!$AL80),0),'Inputs Yr 2'!$AM80,0)+IF(IFERROR(SEARCH("NG", 'Inputs Yr 2'!$AN80),0),'Inputs Yr 2'!$AO80,0)),0)</f>
        <v>0</v>
      </c>
      <c r="AA80" s="257">
        <f t="shared" si="56"/>
        <v>0</v>
      </c>
      <c r="AB80" s="257">
        <f>IFERROR(Z80*'Inputs Yr 2'!$P80,0)</f>
        <v>0</v>
      </c>
      <c r="AC80" s="257">
        <f t="shared" si="57"/>
        <v>0</v>
      </c>
      <c r="AD80" s="257">
        <f>IFERROR($G80*'Inputs Yr 2'!$Q80*'Inputs Yr 2'!$U80*(IF(IFERROR(SEARCH("Oil", 'Inputs Yr 2'!$AJ80), 0),'Inputs Yr 2'!$AK80,0)+IF(IFERROR(SEARCH("Oil", 'Inputs Yr 2'!$AL80), 0),'Inputs Yr 2'!$AM80,0)+IF(IFERROR(SEARCH("Oil", 'Inputs Yr 2'!$AN80), 0),'Inputs Yr 2'!$AO80,0)),0)</f>
        <v>0</v>
      </c>
      <c r="AE80" s="257">
        <f t="shared" si="58"/>
        <v>0</v>
      </c>
      <c r="AF80" s="257">
        <f>IFERROR(AD80*'Inputs Yr 2'!$P80,0)</f>
        <v>0</v>
      </c>
      <c r="AG80" s="257">
        <f t="shared" si="59"/>
        <v>0</v>
      </c>
      <c r="AH80" s="257">
        <f>IFERROR($G80*'Inputs Yr 2'!$Q80*'Inputs Yr 2'!$U80*(IF('Inputs Yr 2'!$AJ80=CD$4,'Inputs Yr 2'!$AK80,IF('Inputs Yr 2'!$AL80=CD$4,'Inputs Yr 2'!$AM80,IF('Inputs Yr 2'!$AN80=CD$4,'Inputs Yr 2'!$AO80,0)))),0)</f>
        <v>0</v>
      </c>
      <c r="AI80" s="257">
        <f t="shared" si="60"/>
        <v>0</v>
      </c>
      <c r="AJ80" s="257">
        <f>IFERROR(AH80*'Inputs Yr 2'!$P80,0)</f>
        <v>0</v>
      </c>
      <c r="AK80" s="257">
        <f t="shared" si="61"/>
        <v>0</v>
      </c>
      <c r="AL80" s="258">
        <f>IFERROR($G80*'Inputs Yr 2'!$P80*'Inputs Yr 2'!$Q80*'Inputs Yr 2'!AP80,0)</f>
        <v>0</v>
      </c>
      <c r="AM80" s="260">
        <f>IFERROR($G80*'Inputs Yr 2'!$P80*'Inputs Yr 2'!$Q80*'Inputs Yr 2'!AQ80,0)</f>
        <v>0</v>
      </c>
      <c r="AN80" s="258">
        <f>IFERROR($G80*'Inputs Yr 2'!$P80*'Inputs Yr 2'!$Q80*'Inputs Yr 2'!AR80,0)</f>
        <v>0</v>
      </c>
      <c r="AO80" s="257">
        <f t="shared" si="62"/>
        <v>0</v>
      </c>
      <c r="AP80" s="195" t="str">
        <f>IFERROR($CQ80*(INDEX(avoidedcosttbl2,$H80,AP$2)+(($H80-ROUNDDOWN($H80,0))*(INDEX(avoidedcosttbl2,ROUNDUP($H80,0),AP$2)-(INDEX(avoidedcosttbl2,ROUNDDOWN($H80,0),AP$2)))))*$O80*1000*'Inputs Yr 2'!AA80,"")</f>
        <v/>
      </c>
      <c r="AQ80" s="195" t="str">
        <f>IFERROR($CR80*(INDEX(avoidedcosttbl2,$H80,AQ$2)+(($H80-ROUNDDOWN($H80,0))*(INDEX(avoidedcosttbl2,ROUNDUP($H80,0),AQ$2)-(INDEX(avoidedcosttbl2,ROUNDDOWN($H80,0),AQ$2)))))*$O80*1000*'Inputs Yr 2'!AB80,"")</f>
        <v/>
      </c>
      <c r="AR80" s="195" t="str">
        <f>IFERROR($CS80*(INDEX(avoidedcosttbl2,$H80,AR$2)+(($H80-ROUNDDOWN($H80,0))*(INDEX(avoidedcosttbl2,ROUNDUP($H80,0),AR$2)-(INDEX(avoidedcosttbl2,ROUNDDOWN($H80,0),AR$2)))))*$O80*1000*'Inputs Yr 2'!AC80,"")</f>
        <v/>
      </c>
      <c r="AS80" s="195" t="str">
        <f>IFERROR($CT80*(INDEX(avoidedcosttbl2,$H80,AS$2)+(($H80-ROUNDDOWN($H80,0))*(INDEX(avoidedcosttbl2,ROUNDUP($H80,0),AS$2)-(INDEX(avoidedcosttbl2,ROUNDDOWN($H80,0),AS$2)))))*$O80*1000*'Inputs Yr 2'!AD80,"")</f>
        <v/>
      </c>
      <c r="AT80" s="196">
        <f t="shared" si="63"/>
        <v>0</v>
      </c>
      <c r="AU80" s="197" t="str">
        <f>IFERROR($CQ80*((INDEX(avoidedcosttbl2,$H80,AU$2))+(($H80-ROUNDDOWN($H80,0))*((INDEX(avoidedcosttbl2,ROUNDUP($H80,0),AU$2))-(INDEX(avoidedcosttbl2,ROUNDDOWN($H80,0),AU$2)))))*$O80*1000*'Inputs Yr 2'!AA80,"")</f>
        <v/>
      </c>
      <c r="AV80" s="197" t="str">
        <f>IFERROR($CR80*((INDEX(avoidedcosttbl2,$H80,AV$2))+(($H80-ROUNDDOWN($H80,0))*((INDEX(avoidedcosttbl2,ROUNDUP($H80,0),AV$2))-(INDEX(avoidedcosttbl2,ROUNDDOWN($H80,0),AV$2)))))*$O80*1000*'Inputs Yr 2'!AB80,"")</f>
        <v/>
      </c>
      <c r="AW80" s="197" t="str">
        <f>IFERROR($CS80*((INDEX(avoidedcosttbl2,$H80,AW$2))+(($H80-ROUNDDOWN($H80,0))*((INDEX(avoidedcosttbl2,ROUNDUP($H80,0),AW$2))-(INDEX(avoidedcosttbl2,ROUNDDOWN($H80,0),AW$2)))))*$O80*1000*'Inputs Yr 2'!AC80,"")</f>
        <v/>
      </c>
      <c r="AX80" s="197" t="str">
        <f>IFERROR($CT80*((INDEX(avoidedcosttbl2,$H80,AX$2))+(($H80-ROUNDDOWN($H80,0))*((INDEX(avoidedcosttbl2,ROUNDUP($H80,0),AX$2))-(INDEX(avoidedcosttbl2,ROUNDDOWN($H80,0),AX$2)))))*$O80*1000*'Inputs Yr 2'!AD80,"")</f>
        <v/>
      </c>
      <c r="AY80" s="197" t="str">
        <f>IFERROR(((INDEX(avoidedcosttbl2,$H80,AY$2))+(($H80-ROUNDDOWN($H80,0))*((INDEX(avoidedcosttbl2,ROUNDUP($H80,0),AY$2))-(INDEX(avoidedcosttbl2,ROUNDDOWN($H80,0),AY$2)))))*$O80*1000*('Inputs Yr 2'!AC80+'Inputs Yr 2'!AD80),"")</f>
        <v/>
      </c>
      <c r="AZ80" s="197" t="str">
        <f>IFERROR(((INDEX(avoidedcosttbl2,$H80,AZ$2))+(($H80-ROUNDDOWN($H80,0))*((INDEX(avoidedcosttbl2,ROUNDUP($H80,0),AZ$2))-(INDEX(avoidedcosttbl2,ROUNDDOWN($H80,0),AZ$2)))))*$O80*1000*('Inputs Yr 2'!AA80+'Inputs Yr 2'!AB80),"")</f>
        <v/>
      </c>
      <c r="BA80" s="198">
        <f t="shared" si="64"/>
        <v>0</v>
      </c>
      <c r="BB80" s="198">
        <f t="shared" si="65"/>
        <v>0</v>
      </c>
      <c r="BC80" s="195" t="str">
        <f t="shared" si="47"/>
        <v/>
      </c>
      <c r="BD80" s="195" t="str">
        <f t="shared" si="48"/>
        <v/>
      </c>
      <c r="BE80" s="195" t="str">
        <f t="shared" si="49"/>
        <v/>
      </c>
      <c r="BF80" s="195" t="str">
        <f t="shared" si="50"/>
        <v/>
      </c>
      <c r="BG80" s="195" t="str">
        <f t="shared" si="51"/>
        <v/>
      </c>
      <c r="BH80" s="196">
        <f t="shared" si="66"/>
        <v>0</v>
      </c>
      <c r="BI80" s="196">
        <f t="shared" si="67"/>
        <v>0</v>
      </c>
      <c r="BJ80" s="195" t="str">
        <f>IFERROR($G80*(IF('Inputs Yr 2'!$AJ80=BJ$4,'Inputs Yr 2'!$AK80,IF('Inputs Yr 2'!$AL80=BJ$4,'Inputs Yr 2'!$AM80,IF('Inputs Yr 2'!$AN80=BJ$4,'Inputs Yr 2'!$AO80,0))))*(INDEX(avoidedcosttbl2,$H80,BJ$2)+(($H80-ROUNDDOWN($H80,0))*(INDEX(avoidedcosttbl2,ROUNDUP($H80,0),BJ$2)-(INDEX(avoidedcosttbl2,ROUNDDOWN($H80,0),BJ$2)))))*'Inputs Yr 2'!P80*'Inputs Yr 2'!Q80*'Inputs Yr 2'!U80,"")</f>
        <v/>
      </c>
      <c r="BK80" s="195" t="str">
        <f>IFERROR($G80*(IF('Inputs Yr 2'!$AJ80=BK$4,'Inputs Yr 2'!$AK80,IF('Inputs Yr 2'!$AL80=BK$4,'Inputs Yr 2'!$AM80,IF('Inputs Yr 2'!$AN80=BK$4,'Inputs Yr 2'!$AO80,0))))*(INDEX(avoidedcosttbl2,$H80,BK$2)+(($H80-ROUNDDOWN($H80,0))*(INDEX(avoidedcosttbl2,ROUNDUP($H80,0),BK$2)-(INDEX(avoidedcosttbl2,ROUNDDOWN($H80,0),BK$2)))))*'Inputs Yr 2'!P80*'Inputs Yr 2'!Q80*'Inputs Yr 2'!U80,"")</f>
        <v/>
      </c>
      <c r="BL80" s="195" t="str">
        <f>IFERROR($G80*(IF('Inputs Yr 2'!$AJ80=BL$4,'Inputs Yr 2'!$AK80,IF('Inputs Yr 2'!$AL80=BL$4,'Inputs Yr 2'!$AM80,IF('Inputs Yr 2'!$AN80=BL$4,'Inputs Yr 2'!$AO80,0))))*(INDEX(avoidedcosttbl2,$H80,BL$2)+(($H80-ROUNDDOWN($H80,0))*(INDEX(avoidedcosttbl2,ROUNDUP($H80,0),BL$2)-(INDEX(avoidedcosttbl2,ROUNDDOWN($H80,0),BL$2)))))*'Inputs Yr 2'!P80*'Inputs Yr 2'!Q80*'Inputs Yr 2'!U80,"")</f>
        <v/>
      </c>
      <c r="BM80" s="195" t="str">
        <f>IFERROR($G80*(IF('Inputs Yr 2'!$AJ80=BM$4,'Inputs Yr 2'!$AK80,IF('Inputs Yr 2'!$AL80=BM$4,'Inputs Yr 2'!$AM80,IF('Inputs Yr 2'!$AN80=BM$4,'Inputs Yr 2'!$AO80,0))))*(INDEX(avoidedcosttbl2,$H80,BM$2)+(($H80-ROUNDDOWN($H80,0))*(INDEX(avoidedcosttbl2,ROUNDUP($H80,0),BM$2)-(INDEX(avoidedcosttbl2,ROUNDDOWN($H80,0),BM$2)))))*'Inputs Yr 2'!P80*'Inputs Yr 2'!Q80*'Inputs Yr 2'!U80,"")</f>
        <v/>
      </c>
      <c r="BN80" s="195" t="str">
        <f>IFERROR($G80*(IF('Inputs Yr 2'!$AJ80=BN$4,'Inputs Yr 2'!$AK80,IF('Inputs Yr 2'!$AL80=BN$4,'Inputs Yr 2'!$AM80,IF('Inputs Yr 2'!$AN80=BN$4,'Inputs Yr 2'!$AO80,0))))*(INDEX(avoidedcosttbl2,$H80,BN$2)+(($H80-ROUNDDOWN($H80,0))*(INDEX(avoidedcosttbl2,ROUNDUP($H80,0),BN$2)-(INDEX(avoidedcosttbl2,ROUNDDOWN($H80,0),BN$2)))))*'Inputs Yr 2'!P80*'Inputs Yr 2'!Q80*'Inputs Yr 2'!U80,"")</f>
        <v/>
      </c>
      <c r="BO80" s="195" t="str">
        <f>IFERROR($G80*(IF('Inputs Yr 2'!$AJ80=BO$4,'Inputs Yr 2'!$AK80,IF('Inputs Yr 2'!$AL80=BO$4,'Inputs Yr 2'!$AM80,IF('Inputs Yr 2'!$AN80=BO$4,'Inputs Yr 2'!$AO80,0))))*(INDEX(avoidedcosttbl2,$H80,BO$2)+(($H80-ROUNDDOWN($H80,0))*(INDEX(avoidedcosttbl2,ROUNDUP($H80,0),BO$2)-(INDEX(avoidedcosttbl2,ROUNDDOWN($H80,0),BO$2)))))*'Inputs Yr 2'!P80*'Inputs Yr 2'!Q80*'Inputs Yr 2'!U80,"")</f>
        <v/>
      </c>
      <c r="BP80" s="195" t="str">
        <f>IFERROR($G80*(IF('Inputs Yr 2'!$AJ80=BP$4,'Inputs Yr 2'!$AK80,IF('Inputs Yr 2'!$AL80=BP$4,'Inputs Yr 2'!$AM80,IF('Inputs Yr 2'!$AN80=BP$4,'Inputs Yr 2'!$AO80,0))))*(INDEX(avoidedcosttbl2,$H80,BP$2)+(($H80-ROUNDDOWN($H80,0))*(INDEX(avoidedcosttbl2,ROUNDUP($H80,0),BP$2)-(INDEX(avoidedcosttbl2,ROUNDDOWN($H80,0),BP$2)))))*'Inputs Yr 2'!P80*'Inputs Yr 2'!Q80*'Inputs Yr 2'!U80,"")</f>
        <v/>
      </c>
      <c r="BQ80" s="230">
        <f t="shared" si="68"/>
        <v>0</v>
      </c>
      <c r="BR80" s="197">
        <f t="shared" si="52"/>
        <v>0</v>
      </c>
      <c r="BS80" s="197" t="str">
        <f>IFERROR(($G80*IF('Inputs Yr 2'!$AJ80=BM$4,'Inputs Yr 2'!$AK80,IF('Inputs Yr 2'!$AL80=BM$4,'Inputs Yr 2'!$AM80,IF('Inputs Yr 2'!$AN80=BM$4,'Inputs Yr 2'!$AO80,0))))*(INDEX(avoidedcosttbl2,$H80,BS$2)+(($H80-ROUNDDOWN($H80,0))*(INDEX(avoidedcosttbl2,ROUNDUP($H80,0),BS$2)-(INDEX(avoidedcosttbl2,ROUNDDOWN($H80,0),BS$2)))))*'Inputs Yr 2'!P80*'Inputs Yr 2'!Q80*'Inputs Yr 2'!U80,"")</f>
        <v/>
      </c>
      <c r="BT80" s="197" t="str">
        <f>IFERROR(($G80*IF('Inputs Yr 2'!$AJ80=BK$4,'Inputs Yr 2'!$AK80,IF('Inputs Yr 2'!$AL80=BK$4,'Inputs Yr 2'!$AM80,IF('Inputs Yr 2'!$AN80=BK$4,'Inputs Yr 2'!$AO80,0))))*(INDEX(avoidedcosttbl2,$H80,BT$2)+(($H80-ROUNDDOWN($H80,0))*(INDEX(avoidedcosttbl2,ROUNDUP($H80,0),BT$2)-(INDEX(avoidedcosttbl2,ROUNDDOWN($H80,0),BT$2)))))*'Inputs Yr 2'!P80*'Inputs Yr 2'!Q80*'Inputs Yr 2'!U80,"")</f>
        <v/>
      </c>
      <c r="BU80" s="197" t="str">
        <f>IFERROR(($G80*IF('Inputs Yr 2'!$AJ80=BL$4,'Inputs Yr 2'!$AK80,IF('Inputs Yr 2'!$AL80=BL$4,'Inputs Yr 2'!$AM80,IF('Inputs Yr 2'!$AN80=BL$4,'Inputs Yr 2'!$AO80,0))))*(INDEX(avoidedcosttbl2,$H80,BU$2)+(($H80-ROUNDDOWN($H80,0))*(INDEX(avoidedcosttbl2,ROUNDUP($H80,0),BU$2)-(INDEX(avoidedcosttbl2,ROUNDDOWN($H80,0),BU$2)))))*'Inputs Yr 2'!P80*'Inputs Yr 2'!Q80*'Inputs Yr 2'!U80,"")</f>
        <v/>
      </c>
      <c r="BV80" s="775" t="str">
        <f>IFERROR(($G80*IF('Inputs Yr 2'!$AJ80=BJ$4,'Inputs Yr 2'!$AK80,IF('Inputs Yr 2'!$AL80=BJ$4,'Inputs Yr 2'!$AM80,IF('Inputs Yr 2'!$AN80=BJ$4,'Inputs Yr 2'!$AO80,0))))*(INDEX(avoidedcosttbl2,$H80,BV$2)+(($H80-ROUNDDOWN($H80,0))*(INDEX(avoidedcosttbl2,ROUNDUP($H80,0),BV$2)-(INDEX(avoidedcosttbl2,ROUNDDOWN($H80,0),BV$2)))))*'Inputs Yr 2'!P80*'Inputs Yr 2'!Q80*'Inputs Yr 2'!U80,"")</f>
        <v/>
      </c>
      <c r="BW80" s="197" t="str">
        <f>IFERROR(($G80*IF('Inputs Yr 2'!$AJ80=BN$4,'Inputs Yr 2'!$AK80,IF('Inputs Yr 2'!$AL80=BN$4,'Inputs Yr 2'!$AM80,IF('Inputs Yr 2'!$AN80=BN$4,'Inputs Yr 2'!$AO80,0))))*(INDEX(avoidedcosttbl2,$H80,BW$2)+(($H80-ROUNDDOWN($H80,0))*(INDEX(avoidedcosttbl2,ROUNDUP($H80,0),BW$2)-(INDEX(avoidedcosttbl2,ROUNDDOWN($H80,0),BW$2)))))*'Inputs Yr 2'!P80*'Inputs Yr 2'!Q80*'Inputs Yr 2'!U80,"")</f>
        <v/>
      </c>
      <c r="BX80" s="197" t="str">
        <f>IFERROR(($G80*IF('Inputs Yr 2'!$AJ80=BO$4,'Inputs Yr 2'!$AK80,IF('Inputs Yr 2'!$AL80=BO$4,'Inputs Yr 2'!$AM80,IF('Inputs Yr 2'!$AN80=BO$4,'Inputs Yr 2'!$AO80,0))))*(INDEX(avoidedcosttbl2,$H80,BX$2)+(($H80-ROUNDDOWN($H80,0))*(INDEX(avoidedcosttbl2,ROUNDUP($H80,0),BX$2)-(INDEX(avoidedcosttbl2,ROUNDDOWN($H80,0),BX$2)))))*'Inputs Yr 2'!P80*'Inputs Yr 2'!Q80*'Inputs Yr 2'!U80,"")</f>
        <v/>
      </c>
      <c r="BY80" s="197" t="str">
        <f>IFERROR(($G80*IF('Inputs Yr 2'!$AJ80=BP$4,'Inputs Yr 2'!$AK80,IF('Inputs Yr 2'!$AL80=BP$4,'Inputs Yr 2'!$AM80,IF('Inputs Yr 2'!$AN80=BP$4,'Inputs Yr 2'!$AO80,0))))*(INDEX(avoidedcosttbl2,$H80,BY$2)+(($H80-ROUNDDOWN($H80,0))*(INDEX(avoidedcosttbl2,ROUNDUP($H80,0),BY$2)-(INDEX(avoidedcosttbl2,ROUNDDOWN($H80,0),BY$2)))))*'Inputs Yr 2'!P80*'Inputs Yr 2'!Q80*'Inputs Yr 2'!U80,"")</f>
        <v/>
      </c>
      <c r="BZ80" s="193">
        <f t="shared" si="69"/>
        <v>0</v>
      </c>
      <c r="CA80" s="193">
        <f t="shared" si="70"/>
        <v>0</v>
      </c>
      <c r="CB80" s="195" t="str">
        <f>IFERROR(G80*(IF('Inputs Yr 2'!$AJ80=CB$4,'Inputs Yr 2'!$AK80,IF('Inputs Yr 2'!$AL80=CB$4,'Inputs Yr 2'!$AM80,IF('Inputs Yr 2'!$AN80=CB$4,'Inputs Yr 2'!$AO80,0))))*(INDEX(avoidedcosttbl2,$H80,CB$2)+(($H80-ROUNDDOWN($H80,0))*(INDEX(avoidedcosttbl2,ROUNDUP($H80,0),CB$2)-(INDEX(avoidedcosttbl2,ROUNDDOWN($H80,0),CB$2)))))*'Inputs Yr 2'!P80*'Inputs Yr 2'!Q80*'Inputs Yr 2'!U80,"")</f>
        <v/>
      </c>
      <c r="CC80" s="195">
        <f>IFERROR(H80*(IF('Inputs Yr 2'!$AJ80=CC$4,'Inputs Yr 2'!$AK80,IF('Inputs Yr 2'!$AL80=CC$4,'Inputs Yr 2'!$AM80,IF('Inputs Yr 2'!$AN80=CC$4,'Inputs Yr 2'!$AO80,0))))*(INDEX(avoidedcosttbl2,$H80,CC$2)+(($H80-ROUNDDOWN($H80,0))*(INDEX(avoidedcosttbl2,ROUNDUP($H80,0),CC$2)-(INDEX(avoidedcosttbl2,ROUNDDOWN($H80,0),CC$2)))))*'Inputs Yr 2'!Q80*'Inputs Yr 2'!R80*'Inputs Yr 2'!V80,"")</f>
        <v>0</v>
      </c>
      <c r="CD80" s="195" t="str">
        <f>IFERROR(I80*(IF('Inputs Yr 2'!$AJ80=CD$4,'Inputs Yr 2'!$AK80,IF('Inputs Yr 2'!$AL80=CD$4,'Inputs Yr 2'!$AM80,IF('Inputs Yr 2'!$AN80=CD$4,'Inputs Yr 2'!$AO80,0))))*(INDEX(avoidedcosttbl2,$H80,CD$2)+(($H80-ROUNDDOWN($H80,0))*(INDEX(avoidedcosttbl2,ROUNDUP($H80,0),CD$2)-(INDEX(avoidedcosttbl2,ROUNDDOWN($H80,0),CD$2)))))*'Inputs Yr 2'!R80*'Inputs Yr 2'!S80*'Inputs Yr 2'!W80,"")</f>
        <v/>
      </c>
      <c r="CE80" s="213">
        <f t="shared" si="71"/>
        <v>0</v>
      </c>
      <c r="CF80" s="213">
        <f t="shared" si="72"/>
        <v>0</v>
      </c>
      <c r="CG80" s="213">
        <f t="shared" si="73"/>
        <v>0</v>
      </c>
      <c r="CH80" s="698">
        <f t="shared" si="74"/>
        <v>0</v>
      </c>
      <c r="CI80" s="79" t="str">
        <f>IFERROR(($G80*'Inputs Yr 2'!$P80*'Inputs Yr 2'!$Q80*(((INDEX(avoidedcosttbl2,$H80,CI$2)+(($H80-ROUNDDOWN($H80,0))*(INDEX(avoidedcosttbl2,ROUNDUP($H80,0),CI$2)-INDEX(avoidedcosttbl2,ROUNDDOWN($H80,0),CI$2))))*'Inputs Yr 2'!AS80))),"")</f>
        <v/>
      </c>
      <c r="CJ80" s="504" t="str">
        <f>IFERROR($G80*'Inputs Yr 2'!AT80*'Inputs Yr 2'!$P80*'Inputs Yr 2'!$Q80/((1+realdiscrt1)^-0.5),"")</f>
        <v/>
      </c>
      <c r="CK80" s="79" t="str">
        <f>IFERROR((O80*1000*(((INDEX(avoidedcosttbl2,$H80,CK$2)+(($H80-ROUNDDOWN($H80,0))*(INDEX(avoidedcosttbl2,ROUNDUP($H80,0),CK$2)-INDEX(avoidedcosttbl2,ROUNDDOWN($H80,0),CK$2))))*'Inputs Yr 2'!AU80))),"")</f>
        <v/>
      </c>
      <c r="CL80" s="504" t="str">
        <f>IFERROR(O80*1000*'Inputs Yr 2'!AV80/((1+realdiscrt1)^-0.5),"")</f>
        <v/>
      </c>
      <c r="CM80" s="79">
        <f>IFERROR((AB80*'Inputs Yr 2'!AW80*(((INDEX(avoidedcosttbl2,$H80,CM$2)+(($H80-ROUNDDOWN($H80,0))*(INDEX(avoidedcosttbl2,ROUNDUP($H80,0),CM$2)-INDEX(avoidedcosttbl2,ROUNDDOWN($H80,0),CM$2)))))))*10,"")</f>
        <v>0</v>
      </c>
      <c r="CN80" s="504">
        <f>IFERROR(10*AB80*'Inputs Yr 2'!AX80/((1+realdiscrt1)^-0.5),"")</f>
        <v>0</v>
      </c>
      <c r="CO80" s="505">
        <f t="shared" si="75"/>
        <v>0</v>
      </c>
      <c r="CP80" s="230">
        <f t="shared" si="76"/>
        <v>0</v>
      </c>
      <c r="CQ80" s="199">
        <f>ROUND(IFERROR(IF(LEFT($A80,1)="C",'Avoided Costs'!$K$13,'Avoided Costs'!$K$12)+1,""),4)</f>
        <v>1.0720000000000001</v>
      </c>
      <c r="CR80" s="199">
        <f>ROUND(IFERROR(IF(LEFT($A80,1)="C",'Avoided Costs'!$L$13,'Avoided Costs'!$L$12)+1,""),4)</f>
        <v>1.04</v>
      </c>
      <c r="CS80" s="199">
        <f>ROUND(IFERROR(IF(LEFT($A80,1)="C",'Avoided Costs'!$M$13,'Avoided Costs'!$M$12)+1,""),4)</f>
        <v>1.0720000000000001</v>
      </c>
      <c r="CT80" s="199">
        <f>ROUND(IFERROR(IF(LEFT($A80,1)="C",'Avoided Costs'!$N$13,'Avoided Costs'!$N$12)+1,""),4)</f>
        <v>1.04</v>
      </c>
      <c r="CU80" s="199">
        <f>ROUND(IFERROR(IF(LEFT($A80,1)="C",'Avoided Costs'!$O$13,'Avoided Costs'!$O$12)+1,""),4)</f>
        <v>1.1120000000000001</v>
      </c>
      <c r="CV80" s="199">
        <f>ROUND(IFERROR(IF(LEFT($A80,1)="C",'Avoided Costs'!$P$13,'Avoided Costs'!$P$12)+1,""),4)</f>
        <v>1.095</v>
      </c>
      <c r="CW80" s="199">
        <f>ROUND(IFERROR(IF(LEFT($A80,1)="C",'Avoided Costs'!$Q$13,'Avoided Costs'!$Q$12)+1,""),4)</f>
        <v>1.1120000000000001</v>
      </c>
      <c r="CX80" s="200">
        <f>ROUND(IFERROR(IF(LEFT($A80,1)="C",'Avoided Costs'!$R$13,'Avoided Costs'!$R$12)+1,""),4)</f>
        <v>1.1120000000000001</v>
      </c>
    </row>
    <row r="81" spans="1:102" ht="12.75" customHeight="1">
      <c r="A81" s="91" t="str">
        <f>IF('Inputs Yr 2'!$B81=0,"",'Inputs Yr 2'!A81)</f>
        <v>A - Residential</v>
      </c>
      <c r="B81" s="91" t="str">
        <f>IF('Inputs Yr 2'!$B81=0,"",'Inputs Yr 2'!B81)</f>
        <v>A2 - Residential Products</v>
      </c>
      <c r="C81" s="91" t="str">
        <f>IF('Inputs Yr 2'!$B81=0,"",'Inputs Yr 2'!C81)</f>
        <v xml:space="preserve">A2a - Residential Heating &amp; Cooling Equipment </v>
      </c>
      <c r="D81" s="91" t="str">
        <f>IF('Inputs Yr 2'!$B81=0,"",'Inputs Yr 2'!E81)</f>
        <v>Furnace, Gas 97%</v>
      </c>
      <c r="E81" s="93" t="str">
        <f>IF('Inputs Yr 2'!$B81=0,"",'Inputs Yr 2'!F81)</f>
        <v>G16A2a05</v>
      </c>
      <c r="F81" s="93" t="str">
        <f>IF('Inputs Yr 2'!$B81=0,"",'Inputs Yr 2'!G81)</f>
        <v>HVAC</v>
      </c>
      <c r="G81" s="95">
        <f>IF('Inputs Yr 2'!$H81&lt;&gt;0,('Inputs Yr 2'!H81),"")</f>
        <v>917</v>
      </c>
      <c r="H81" s="94">
        <f>IFERROR('Inputs Yr 2'!I81,"")</f>
        <v>17</v>
      </c>
      <c r="I81" s="298">
        <f>IFERROR('Inputs Yr 2'!J81*'Inputs Yr 2'!P81*G81,"")</f>
        <v>804572.82681327744</v>
      </c>
      <c r="J81" s="298">
        <f>IFERROR('Inputs Yr 2'!K81*G81,"")</f>
        <v>473825.20547945204</v>
      </c>
      <c r="K81" s="298">
        <f t="shared" si="53"/>
        <v>330747.6213338254</v>
      </c>
      <c r="L81" s="194">
        <f>IFERROR(('Inputs Yr 2'!W81*G81)/1000,"")</f>
        <v>0</v>
      </c>
      <c r="M81" s="194">
        <f>IFERROR(L81*('Inputs Yr 2'!$Q81*'Inputs Yr 2'!$V81*'Inputs Yr 2'!$R81),"")</f>
        <v>0</v>
      </c>
      <c r="N81" s="194">
        <f t="shared" si="54"/>
        <v>0</v>
      </c>
      <c r="O81" s="194">
        <f>IFERROR(M81*'Inputs Yr 2'!P81,"")</f>
        <v>0</v>
      </c>
      <c r="P81" s="194">
        <f t="shared" si="55"/>
        <v>0</v>
      </c>
      <c r="Q81" s="194">
        <f>IFERROR($P81*'Inputs Yr 2'!AA81,"")</f>
        <v>0</v>
      </c>
      <c r="R81" s="194">
        <f>IFERROR($P81*'Inputs Yr 2'!AB81,"")</f>
        <v>0</v>
      </c>
      <c r="S81" s="194">
        <f>IFERROR($P81*'Inputs Yr 2'!AC81,"")</f>
        <v>0</v>
      </c>
      <c r="T81" s="194">
        <f>IFERROR($P81*'Inputs Yr 2'!AD81,"")</f>
        <v>0</v>
      </c>
      <c r="U81" s="194">
        <f>IFERROR(G81*'Inputs Yr 2'!$AE81*'Inputs Yr 2'!$P81*'Inputs Yr 2'!$Q81,"")</f>
        <v>0</v>
      </c>
      <c r="V81" s="194">
        <f>IFERROR($G81*'Inputs Yr 2'!$AE81*'Inputs Yr 2'!$AG81*'Inputs Yr 2'!Q81*'Inputs Yr 2'!$S81,"")</f>
        <v>0</v>
      </c>
      <c r="W81" s="194">
        <f>IFERROR($G81*'Inputs Yr 2'!$AE81*'Inputs Yr 2'!$AG81*'Inputs Yr 2'!P81*'Inputs Yr 2'!Q81*'Inputs Yr 2'!$S81,"")</f>
        <v>0</v>
      </c>
      <c r="X81" s="194">
        <f>IFERROR($G81*'Inputs Yr 2'!$AE81*'Inputs Yr 2'!$AF81*'Inputs Yr 2'!Q81*'Inputs Yr 2'!$T81,"")</f>
        <v>0</v>
      </c>
      <c r="Y81" s="194">
        <f>IFERROR($G81*'Inputs Yr 2'!$AE81*'Inputs Yr 2'!$AF81*'Inputs Yr 2'!P81*'Inputs Yr 2'!Q81*'Inputs Yr 2'!$T81,"")</f>
        <v>0</v>
      </c>
      <c r="Z81" s="257">
        <f>IFERROR($G81*'Inputs Yr 2'!$Q81*'Inputs Yr 2'!$U81*(IF(IFERROR(SEARCH("NG", 'Inputs Yr 2'!$AJ81),0),'Inputs Yr 2'!$AK81,0)+IF(IFERROR(SEARCH("NG", 'Inputs Yr 2'!$AL81),0),'Inputs Yr 2'!$AM81,0)+IF(IFERROR(SEARCH("NG", 'Inputs Yr 2'!$AN81),0),'Inputs Yr 2'!$AO81,0)),0)</f>
        <v>8436.4</v>
      </c>
      <c r="AA81" s="257">
        <f t="shared" si="56"/>
        <v>143418.79999999999</v>
      </c>
      <c r="AB81" s="257">
        <f>IFERROR(Z81*'Inputs Yr 2'!$P81,0)</f>
        <v>6833.4840000000004</v>
      </c>
      <c r="AC81" s="257">
        <f t="shared" si="57"/>
        <v>116169.228</v>
      </c>
      <c r="AD81" s="257">
        <f>IFERROR($G81*'Inputs Yr 2'!$Q81*'Inputs Yr 2'!$U81*(IF(IFERROR(SEARCH("Oil", 'Inputs Yr 2'!$AJ81), 0),'Inputs Yr 2'!$AK81,0)+IF(IFERROR(SEARCH("Oil", 'Inputs Yr 2'!$AL81), 0),'Inputs Yr 2'!$AM81,0)+IF(IFERROR(SEARCH("Oil", 'Inputs Yr 2'!$AN81), 0),'Inputs Yr 2'!$AO81,0)),0)</f>
        <v>0</v>
      </c>
      <c r="AE81" s="257">
        <f t="shared" si="58"/>
        <v>0</v>
      </c>
      <c r="AF81" s="257">
        <f>IFERROR(AD81*'Inputs Yr 2'!$P81,0)</f>
        <v>0</v>
      </c>
      <c r="AG81" s="257">
        <f t="shared" si="59"/>
        <v>0</v>
      </c>
      <c r="AH81" s="257">
        <f>IFERROR($G81*'Inputs Yr 2'!$Q81*'Inputs Yr 2'!$U81*(IF('Inputs Yr 2'!$AJ81=CD$4,'Inputs Yr 2'!$AK81,IF('Inputs Yr 2'!$AL81=CD$4,'Inputs Yr 2'!$AM81,IF('Inputs Yr 2'!$AN81=CD$4,'Inputs Yr 2'!$AO81,0)))),0)</f>
        <v>0</v>
      </c>
      <c r="AI81" s="257">
        <f t="shared" si="60"/>
        <v>0</v>
      </c>
      <c r="AJ81" s="257">
        <f>IFERROR(AH81*'Inputs Yr 2'!$P81,0)</f>
        <v>0</v>
      </c>
      <c r="AK81" s="257">
        <f t="shared" si="61"/>
        <v>0</v>
      </c>
      <c r="AL81" s="258">
        <f>IFERROR($G81*'Inputs Yr 2'!$P81*'Inputs Yr 2'!$Q81*'Inputs Yr 2'!AP81,0)</f>
        <v>0</v>
      </c>
      <c r="AM81" s="260">
        <f>IFERROR($G81*'Inputs Yr 2'!$P81*'Inputs Yr 2'!$Q81*'Inputs Yr 2'!AQ81,0)</f>
        <v>0</v>
      </c>
      <c r="AN81" s="258">
        <f>IFERROR($G81*'Inputs Yr 2'!$P81*'Inputs Yr 2'!$Q81*'Inputs Yr 2'!AR81,0)</f>
        <v>0</v>
      </c>
      <c r="AO81" s="257">
        <f t="shared" si="62"/>
        <v>0</v>
      </c>
      <c r="AP81" s="195">
        <f>IFERROR($CQ81*(INDEX(avoidedcosttbl2,$H81,AP$2)+(($H81-ROUNDDOWN($H81,0))*(INDEX(avoidedcosttbl2,ROUNDUP($H81,0),AP$2)-(INDEX(avoidedcosttbl2,ROUNDDOWN($H81,0),AP$2)))))*$O81*1000*'Inputs Yr 2'!AA81,"")</f>
        <v>0</v>
      </c>
      <c r="AQ81" s="195">
        <f>IFERROR($CR81*(INDEX(avoidedcosttbl2,$H81,AQ$2)+(($H81-ROUNDDOWN($H81,0))*(INDEX(avoidedcosttbl2,ROUNDUP($H81,0),AQ$2)-(INDEX(avoidedcosttbl2,ROUNDDOWN($H81,0),AQ$2)))))*$O81*1000*'Inputs Yr 2'!AB81,"")</f>
        <v>0</v>
      </c>
      <c r="AR81" s="195">
        <f>IFERROR($CS81*(INDEX(avoidedcosttbl2,$H81,AR$2)+(($H81-ROUNDDOWN($H81,0))*(INDEX(avoidedcosttbl2,ROUNDUP($H81,0),AR$2)-(INDEX(avoidedcosttbl2,ROUNDDOWN($H81,0),AR$2)))))*$O81*1000*'Inputs Yr 2'!AC81,"")</f>
        <v>0</v>
      </c>
      <c r="AS81" s="195">
        <f>IFERROR($CT81*(INDEX(avoidedcosttbl2,$H81,AS$2)+(($H81-ROUNDDOWN($H81,0))*(INDEX(avoidedcosttbl2,ROUNDUP($H81,0),AS$2)-(INDEX(avoidedcosttbl2,ROUNDDOWN($H81,0),AS$2)))))*$O81*1000*'Inputs Yr 2'!AD81,"")</f>
        <v>0</v>
      </c>
      <c r="AT81" s="196">
        <f t="shared" si="63"/>
        <v>0</v>
      </c>
      <c r="AU81" s="197">
        <f>IFERROR($CQ81*((INDEX(avoidedcosttbl2,$H81,AU$2))+(($H81-ROUNDDOWN($H81,0))*((INDEX(avoidedcosttbl2,ROUNDUP($H81,0),AU$2))-(INDEX(avoidedcosttbl2,ROUNDDOWN($H81,0),AU$2)))))*$O81*1000*'Inputs Yr 2'!AA81,"")</f>
        <v>0</v>
      </c>
      <c r="AV81" s="197">
        <f>IFERROR($CR81*((INDEX(avoidedcosttbl2,$H81,AV$2))+(($H81-ROUNDDOWN($H81,0))*((INDEX(avoidedcosttbl2,ROUNDUP($H81,0),AV$2))-(INDEX(avoidedcosttbl2,ROUNDDOWN($H81,0),AV$2)))))*$O81*1000*'Inputs Yr 2'!AB81,"")</f>
        <v>0</v>
      </c>
      <c r="AW81" s="197">
        <f>IFERROR($CS81*((INDEX(avoidedcosttbl2,$H81,AW$2))+(($H81-ROUNDDOWN($H81,0))*((INDEX(avoidedcosttbl2,ROUNDUP($H81,0),AW$2))-(INDEX(avoidedcosttbl2,ROUNDDOWN($H81,0),AW$2)))))*$O81*1000*'Inputs Yr 2'!AC81,"")</f>
        <v>0</v>
      </c>
      <c r="AX81" s="197">
        <f>IFERROR($CT81*((INDEX(avoidedcosttbl2,$H81,AX$2))+(($H81-ROUNDDOWN($H81,0))*((INDEX(avoidedcosttbl2,ROUNDUP($H81,0),AX$2))-(INDEX(avoidedcosttbl2,ROUNDDOWN($H81,0),AX$2)))))*$O81*1000*'Inputs Yr 2'!AD81,"")</f>
        <v>0</v>
      </c>
      <c r="AY81" s="197">
        <f>IFERROR(((INDEX(avoidedcosttbl2,$H81,AY$2))+(($H81-ROUNDDOWN($H81,0))*((INDEX(avoidedcosttbl2,ROUNDUP($H81,0),AY$2))-(INDEX(avoidedcosttbl2,ROUNDDOWN($H81,0),AY$2)))))*$O81*1000*('Inputs Yr 2'!AC81+'Inputs Yr 2'!AD81),"")</f>
        <v>0</v>
      </c>
      <c r="AZ81" s="197">
        <f>IFERROR(((INDEX(avoidedcosttbl2,$H81,AZ$2))+(($H81-ROUNDDOWN($H81,0))*((INDEX(avoidedcosttbl2,ROUNDUP($H81,0),AZ$2))-(INDEX(avoidedcosttbl2,ROUNDDOWN($H81,0),AZ$2)))))*$O81*1000*('Inputs Yr 2'!AA81+'Inputs Yr 2'!AB81),"")</f>
        <v>0</v>
      </c>
      <c r="BA81" s="198">
        <f t="shared" si="64"/>
        <v>0</v>
      </c>
      <c r="BB81" s="198">
        <f t="shared" si="65"/>
        <v>0</v>
      </c>
      <c r="BC81" s="195">
        <f t="shared" si="47"/>
        <v>0</v>
      </c>
      <c r="BD81" s="195">
        <f t="shared" si="48"/>
        <v>0</v>
      </c>
      <c r="BE81" s="195">
        <f t="shared" si="49"/>
        <v>0</v>
      </c>
      <c r="BF81" s="195">
        <f t="shared" si="50"/>
        <v>0</v>
      </c>
      <c r="BG81" s="195">
        <f t="shared" si="51"/>
        <v>0</v>
      </c>
      <c r="BH81" s="196">
        <f t="shared" si="66"/>
        <v>0</v>
      </c>
      <c r="BI81" s="196">
        <f t="shared" si="67"/>
        <v>0</v>
      </c>
      <c r="BJ81" s="195">
        <f>IFERROR($G81*(IF('Inputs Yr 2'!$AJ81=BJ$4,'Inputs Yr 2'!$AK81,IF('Inputs Yr 2'!$AL81=BJ$4,'Inputs Yr 2'!$AM81,IF('Inputs Yr 2'!$AN81=BJ$4,'Inputs Yr 2'!$AO81,0))))*(INDEX(avoidedcosttbl2,$H81,BJ$2)+(($H81-ROUNDDOWN($H81,0))*(INDEX(avoidedcosttbl2,ROUNDUP($H81,0),BJ$2)-(INDEX(avoidedcosttbl2,ROUNDDOWN($H81,0),BJ$2)))))*'Inputs Yr 2'!P81*'Inputs Yr 2'!Q81*'Inputs Yr 2'!U81,"")</f>
        <v>0</v>
      </c>
      <c r="BK81" s="195">
        <f>IFERROR($G81*(IF('Inputs Yr 2'!$AJ81=BK$4,'Inputs Yr 2'!$AK81,IF('Inputs Yr 2'!$AL81=BK$4,'Inputs Yr 2'!$AM81,IF('Inputs Yr 2'!$AN81=BK$4,'Inputs Yr 2'!$AO81,0))))*(INDEX(avoidedcosttbl2,$H81,BK$2)+(($H81-ROUNDDOWN($H81,0))*(INDEX(avoidedcosttbl2,ROUNDUP($H81,0),BK$2)-(INDEX(avoidedcosttbl2,ROUNDDOWN($H81,0),BK$2)))))*'Inputs Yr 2'!P81*'Inputs Yr 2'!Q81*'Inputs Yr 2'!U81,"")</f>
        <v>0</v>
      </c>
      <c r="BL81" s="195">
        <f>IFERROR($G81*(IF('Inputs Yr 2'!$AJ81=BL$4,'Inputs Yr 2'!$AK81,IF('Inputs Yr 2'!$AL81=BL$4,'Inputs Yr 2'!$AM81,IF('Inputs Yr 2'!$AN81=BL$4,'Inputs Yr 2'!$AO81,0))))*(INDEX(avoidedcosttbl2,$H81,BL$2)+(($H81-ROUNDDOWN($H81,0))*(INDEX(avoidedcosttbl2,ROUNDUP($H81,0),BL$2)-(INDEX(avoidedcosttbl2,ROUNDDOWN($H81,0),BL$2)))))*'Inputs Yr 2'!P81*'Inputs Yr 2'!Q81*'Inputs Yr 2'!U81,"")</f>
        <v>990500.79376838566</v>
      </c>
      <c r="BM81" s="195">
        <f>IFERROR($G81*(IF('Inputs Yr 2'!$AJ81=BM$4,'Inputs Yr 2'!$AK81,IF('Inputs Yr 2'!$AL81=BM$4,'Inputs Yr 2'!$AM81,IF('Inputs Yr 2'!$AN81=BM$4,'Inputs Yr 2'!$AO81,0))))*(INDEX(avoidedcosttbl2,$H81,BM$2)+(($H81-ROUNDDOWN($H81,0))*(INDEX(avoidedcosttbl2,ROUNDUP($H81,0),BM$2)-(INDEX(avoidedcosttbl2,ROUNDDOWN($H81,0),BM$2)))))*'Inputs Yr 2'!P81*'Inputs Yr 2'!Q81*'Inputs Yr 2'!U81,"")</f>
        <v>0</v>
      </c>
      <c r="BN81" s="195">
        <f>IFERROR($G81*(IF('Inputs Yr 2'!$AJ81=BN$4,'Inputs Yr 2'!$AK81,IF('Inputs Yr 2'!$AL81=BN$4,'Inputs Yr 2'!$AM81,IF('Inputs Yr 2'!$AN81=BN$4,'Inputs Yr 2'!$AO81,0))))*(INDEX(avoidedcosttbl2,$H81,BN$2)+(($H81-ROUNDDOWN($H81,0))*(INDEX(avoidedcosttbl2,ROUNDUP($H81,0),BN$2)-(INDEX(avoidedcosttbl2,ROUNDDOWN($H81,0),BN$2)))))*'Inputs Yr 2'!P81*'Inputs Yr 2'!Q81*'Inputs Yr 2'!U81,"")</f>
        <v>0</v>
      </c>
      <c r="BO81" s="195">
        <f>IFERROR($G81*(IF('Inputs Yr 2'!$AJ81=BO$4,'Inputs Yr 2'!$AK81,IF('Inputs Yr 2'!$AL81=BO$4,'Inputs Yr 2'!$AM81,IF('Inputs Yr 2'!$AN81=BO$4,'Inputs Yr 2'!$AO81,0))))*(INDEX(avoidedcosttbl2,$H81,BO$2)+(($H81-ROUNDDOWN($H81,0))*(INDEX(avoidedcosttbl2,ROUNDUP($H81,0),BO$2)-(INDEX(avoidedcosttbl2,ROUNDDOWN($H81,0),BO$2)))))*'Inputs Yr 2'!P81*'Inputs Yr 2'!Q81*'Inputs Yr 2'!U81,"")</f>
        <v>0</v>
      </c>
      <c r="BP81" s="195">
        <f>IFERROR($G81*(IF('Inputs Yr 2'!$AJ81=BP$4,'Inputs Yr 2'!$AK81,IF('Inputs Yr 2'!$AL81=BP$4,'Inputs Yr 2'!$AM81,IF('Inputs Yr 2'!$AN81=BP$4,'Inputs Yr 2'!$AO81,0))))*(INDEX(avoidedcosttbl2,$H81,BP$2)+(($H81-ROUNDDOWN($H81,0))*(INDEX(avoidedcosttbl2,ROUNDUP($H81,0),BP$2)-(INDEX(avoidedcosttbl2,ROUNDDOWN($H81,0),BP$2)))))*'Inputs Yr 2'!P81*'Inputs Yr 2'!Q81*'Inputs Yr 2'!U81,"")</f>
        <v>0</v>
      </c>
      <c r="BQ81" s="230">
        <f t="shared" si="68"/>
        <v>990500.79376838566</v>
      </c>
      <c r="BR81" s="197">
        <f t="shared" si="52"/>
        <v>15677.626185291172</v>
      </c>
      <c r="BS81" s="197">
        <f>IFERROR(($G81*IF('Inputs Yr 2'!$AJ81=BM$4,'Inputs Yr 2'!$AK81,IF('Inputs Yr 2'!$AL81=BM$4,'Inputs Yr 2'!$AM81,IF('Inputs Yr 2'!$AN81=BM$4,'Inputs Yr 2'!$AO81,0))))*(INDEX(avoidedcosttbl2,$H81,BS$2)+(($H81-ROUNDDOWN($H81,0))*(INDEX(avoidedcosttbl2,ROUNDUP($H81,0),BS$2)-(INDEX(avoidedcosttbl2,ROUNDDOWN($H81,0),BS$2)))))*'Inputs Yr 2'!P81*'Inputs Yr 2'!Q81*'Inputs Yr 2'!U81,"")</f>
        <v>0</v>
      </c>
      <c r="BT81" s="197">
        <f>IFERROR(($G81*IF('Inputs Yr 2'!$AJ81=BK$4,'Inputs Yr 2'!$AK81,IF('Inputs Yr 2'!$AL81=BK$4,'Inputs Yr 2'!$AM81,IF('Inputs Yr 2'!$AN81=BK$4,'Inputs Yr 2'!$AO81,0))))*(INDEX(avoidedcosttbl2,$H81,BT$2)+(($H81-ROUNDDOWN($H81,0))*(INDEX(avoidedcosttbl2,ROUNDUP($H81,0),BT$2)-(INDEX(avoidedcosttbl2,ROUNDDOWN($H81,0),BT$2)))))*'Inputs Yr 2'!P81*'Inputs Yr 2'!Q81*'Inputs Yr 2'!U81,"")</f>
        <v>0</v>
      </c>
      <c r="BU81" s="197">
        <f>IFERROR(($G81*IF('Inputs Yr 2'!$AJ81=BL$4,'Inputs Yr 2'!$AK81,IF('Inputs Yr 2'!$AL81=BL$4,'Inputs Yr 2'!$AM81,IF('Inputs Yr 2'!$AN81=BL$4,'Inputs Yr 2'!$AO81,0))))*(INDEX(avoidedcosttbl2,$H81,BU$2)+(($H81-ROUNDDOWN($H81,0))*(INDEX(avoidedcosttbl2,ROUNDUP($H81,0),BU$2)-(INDEX(avoidedcosttbl2,ROUNDDOWN($H81,0),BU$2)))))*'Inputs Yr 2'!P81*'Inputs Yr 2'!Q81*'Inputs Yr 2'!U81,"")</f>
        <v>54000.845615211023</v>
      </c>
      <c r="BV81" s="775">
        <f>IFERROR(($G81*IF('Inputs Yr 2'!$AJ81=BJ$4,'Inputs Yr 2'!$AK81,IF('Inputs Yr 2'!$AL81=BJ$4,'Inputs Yr 2'!$AM81,IF('Inputs Yr 2'!$AN81=BJ$4,'Inputs Yr 2'!$AO81,0))))*(INDEX(avoidedcosttbl2,$H81,BV$2)+(($H81-ROUNDDOWN($H81,0))*(INDEX(avoidedcosttbl2,ROUNDUP($H81,0),BV$2)-(INDEX(avoidedcosttbl2,ROUNDDOWN($H81,0),BV$2)))))*'Inputs Yr 2'!P81*'Inputs Yr 2'!Q81*'Inputs Yr 2'!U81,"")</f>
        <v>0</v>
      </c>
      <c r="BW81" s="197">
        <f>IFERROR(($G81*IF('Inputs Yr 2'!$AJ81=BN$4,'Inputs Yr 2'!$AK81,IF('Inputs Yr 2'!$AL81=BN$4,'Inputs Yr 2'!$AM81,IF('Inputs Yr 2'!$AN81=BN$4,'Inputs Yr 2'!$AO81,0))))*(INDEX(avoidedcosttbl2,$H81,BW$2)+(($H81-ROUNDDOWN($H81,0))*(INDEX(avoidedcosttbl2,ROUNDUP($H81,0),BW$2)-(INDEX(avoidedcosttbl2,ROUNDDOWN($H81,0),BW$2)))))*'Inputs Yr 2'!P81*'Inputs Yr 2'!Q81*'Inputs Yr 2'!U81,"")</f>
        <v>0</v>
      </c>
      <c r="BX81" s="197">
        <f>IFERROR(($G81*IF('Inputs Yr 2'!$AJ81=BO$4,'Inputs Yr 2'!$AK81,IF('Inputs Yr 2'!$AL81=BO$4,'Inputs Yr 2'!$AM81,IF('Inputs Yr 2'!$AN81=BO$4,'Inputs Yr 2'!$AO81,0))))*(INDEX(avoidedcosttbl2,$H81,BX$2)+(($H81-ROUNDDOWN($H81,0))*(INDEX(avoidedcosttbl2,ROUNDUP($H81,0),BX$2)-(INDEX(avoidedcosttbl2,ROUNDDOWN($H81,0),BX$2)))))*'Inputs Yr 2'!P81*'Inputs Yr 2'!Q81*'Inputs Yr 2'!U81,"")</f>
        <v>0</v>
      </c>
      <c r="BY81" s="197">
        <f>IFERROR(($G81*IF('Inputs Yr 2'!$AJ81=BP$4,'Inputs Yr 2'!$AK81,IF('Inputs Yr 2'!$AL81=BP$4,'Inputs Yr 2'!$AM81,IF('Inputs Yr 2'!$AN81=BP$4,'Inputs Yr 2'!$AO81,0))))*(INDEX(avoidedcosttbl2,$H81,BY$2)+(($H81-ROUNDDOWN($H81,0))*(INDEX(avoidedcosttbl2,ROUNDUP($H81,0),BY$2)-(INDEX(avoidedcosttbl2,ROUNDDOWN($H81,0),BY$2)))))*'Inputs Yr 2'!P81*'Inputs Yr 2'!Q81*'Inputs Yr 2'!U81,"")</f>
        <v>0</v>
      </c>
      <c r="BZ81" s="193">
        <f t="shared" si="69"/>
        <v>69678.4718005022</v>
      </c>
      <c r="CA81" s="193">
        <f t="shared" si="70"/>
        <v>1060179.2655688878</v>
      </c>
      <c r="CB81" s="195">
        <f>IFERROR(G81*(IF('Inputs Yr 2'!$AJ81=CB$4,'Inputs Yr 2'!$AK81,IF('Inputs Yr 2'!$AL81=CB$4,'Inputs Yr 2'!$AM81,IF('Inputs Yr 2'!$AN81=CB$4,'Inputs Yr 2'!$AO81,0))))*(INDEX(avoidedcosttbl2,$H81,CB$2)+(($H81-ROUNDDOWN($H81,0))*(INDEX(avoidedcosttbl2,ROUNDUP($H81,0),CB$2)-(INDEX(avoidedcosttbl2,ROUNDDOWN($H81,0),CB$2)))))*'Inputs Yr 2'!P81*'Inputs Yr 2'!Q81*'Inputs Yr 2'!U81,"")</f>
        <v>0</v>
      </c>
      <c r="CC81" s="195">
        <f>IFERROR(H81*(IF('Inputs Yr 2'!$AJ81=CC$4,'Inputs Yr 2'!$AK81,IF('Inputs Yr 2'!$AL81=CC$4,'Inputs Yr 2'!$AM81,IF('Inputs Yr 2'!$AN81=CC$4,'Inputs Yr 2'!$AO81,0))))*(INDEX(avoidedcosttbl2,$H81,CC$2)+(($H81-ROUNDDOWN($H81,0))*(INDEX(avoidedcosttbl2,ROUNDUP($H81,0),CC$2)-(INDEX(avoidedcosttbl2,ROUNDDOWN($H81,0),CC$2)))))*'Inputs Yr 2'!Q81*'Inputs Yr 2'!R81*'Inputs Yr 2'!V81,"")</f>
        <v>0</v>
      </c>
      <c r="CD81" s="195">
        <f>IFERROR(I81*(IF('Inputs Yr 2'!$AJ81=CD$4,'Inputs Yr 2'!$AK81,IF('Inputs Yr 2'!$AL81=CD$4,'Inputs Yr 2'!$AM81,IF('Inputs Yr 2'!$AN81=CD$4,'Inputs Yr 2'!$AO81,0))))*(INDEX(avoidedcosttbl2,$H81,CD$2)+(($H81-ROUNDDOWN($H81,0))*(INDEX(avoidedcosttbl2,ROUNDUP($H81,0),CD$2)-(INDEX(avoidedcosttbl2,ROUNDDOWN($H81,0),CD$2)))))*'Inputs Yr 2'!R81*'Inputs Yr 2'!S81*'Inputs Yr 2'!W81,"")</f>
        <v>0</v>
      </c>
      <c r="CE81" s="213">
        <f t="shared" si="71"/>
        <v>0</v>
      </c>
      <c r="CF81" s="213">
        <f t="shared" si="72"/>
        <v>0</v>
      </c>
      <c r="CG81" s="213">
        <f t="shared" si="73"/>
        <v>0</v>
      </c>
      <c r="CH81" s="698">
        <f t="shared" si="74"/>
        <v>1060179.2655688878</v>
      </c>
      <c r="CI81" s="79">
        <f>IFERROR(($G81*'Inputs Yr 2'!$P81*'Inputs Yr 2'!$Q81*(((INDEX(avoidedcosttbl2,$H81,CI$2)+(($H81-ROUNDDOWN($H81,0))*(INDEX(avoidedcosttbl2,ROUNDUP($H81,0),CI$2)-INDEX(avoidedcosttbl2,ROUNDDOWN($H81,0),CI$2))))*'Inputs Yr 2'!AS81))),"")</f>
        <v>391789.33676696842</v>
      </c>
      <c r="CJ81" s="504">
        <f>IFERROR($G81*'Inputs Yr 2'!AT81*'Inputs Yr 2'!$P81*'Inputs Yr 2'!$Q81/((1+realdiscrt1)^-0.5),"")</f>
        <v>0</v>
      </c>
      <c r="CK81" s="79">
        <f>IFERROR((O81*1000*(((INDEX(avoidedcosttbl2,$H81,CK$2)+(($H81-ROUNDDOWN($H81,0))*(INDEX(avoidedcosttbl2,ROUNDUP($H81,0),CK$2)-INDEX(avoidedcosttbl2,ROUNDDOWN($H81,0),CK$2))))*'Inputs Yr 2'!AU81))),"")</f>
        <v>0</v>
      </c>
      <c r="CL81" s="504">
        <f>IFERROR(O81*1000*'Inputs Yr 2'!AV81/((1+realdiscrt1)^-0.5),"")</f>
        <v>0</v>
      </c>
      <c r="CM81" s="79">
        <f>IFERROR((AB81*'Inputs Yr 2'!AW81*(((INDEX(avoidedcosttbl2,$H81,CM$2)+(($H81-ROUNDDOWN($H81,0))*(INDEX(avoidedcosttbl2,ROUNDUP($H81,0),CM$2)-INDEX(avoidedcosttbl2,ROUNDDOWN($H81,0),CM$2)))))))*10,"")</f>
        <v>0</v>
      </c>
      <c r="CN81" s="504">
        <f>IFERROR(10*AB81*'Inputs Yr 2'!AX81/((1+realdiscrt1)^-0.5),"")</f>
        <v>0</v>
      </c>
      <c r="CO81" s="505">
        <f t="shared" si="75"/>
        <v>391789.33676696842</v>
      </c>
      <c r="CP81" s="230">
        <f t="shared" si="76"/>
        <v>1451968.6023358563</v>
      </c>
      <c r="CQ81" s="199">
        <f>ROUND(IFERROR(IF(LEFT($A81,1)="C",'Avoided Costs'!$K$13,'Avoided Costs'!$K$12)+1,""),4)</f>
        <v>1.0720000000000001</v>
      </c>
      <c r="CR81" s="199">
        <f>ROUND(IFERROR(IF(LEFT($A81,1)="C",'Avoided Costs'!$L$13,'Avoided Costs'!$L$12)+1,""),4)</f>
        <v>1.04</v>
      </c>
      <c r="CS81" s="199">
        <f>ROUND(IFERROR(IF(LEFT($A81,1)="C",'Avoided Costs'!$M$13,'Avoided Costs'!$M$12)+1,""),4)</f>
        <v>1.0720000000000001</v>
      </c>
      <c r="CT81" s="199">
        <f>ROUND(IFERROR(IF(LEFT($A81,1)="C",'Avoided Costs'!$N$13,'Avoided Costs'!$N$12)+1,""),4)</f>
        <v>1.04</v>
      </c>
      <c r="CU81" s="199">
        <f>ROUND(IFERROR(IF(LEFT($A81,1)="C",'Avoided Costs'!$O$13,'Avoided Costs'!$O$12)+1,""),4)</f>
        <v>1.1120000000000001</v>
      </c>
      <c r="CV81" s="199">
        <f>ROUND(IFERROR(IF(LEFT($A81,1)="C",'Avoided Costs'!$P$13,'Avoided Costs'!$P$12)+1,""),4)</f>
        <v>1.095</v>
      </c>
      <c r="CW81" s="199">
        <f>ROUND(IFERROR(IF(LEFT($A81,1)="C",'Avoided Costs'!$Q$13,'Avoided Costs'!$Q$12)+1,""),4)</f>
        <v>1.1120000000000001</v>
      </c>
      <c r="CX81" s="200">
        <f>ROUND(IFERROR(IF(LEFT($A81,1)="C",'Avoided Costs'!$R$13,'Avoided Costs'!$R$12)+1,""),4)</f>
        <v>1.1120000000000001</v>
      </c>
    </row>
    <row r="82" spans="1:102" ht="12.75" customHeight="1">
      <c r="A82" s="91" t="str">
        <f>IF('Inputs Yr 2'!$B82=0,"",'Inputs Yr 2'!A82)</f>
        <v>A - Residential</v>
      </c>
      <c r="B82" s="91" t="str">
        <f>IF('Inputs Yr 2'!$B82=0,"",'Inputs Yr 2'!B82)</f>
        <v>A2 - Residential Products</v>
      </c>
      <c r="C82" s="91" t="str">
        <f>IF('Inputs Yr 2'!$B82=0,"",'Inputs Yr 2'!C82)</f>
        <v xml:space="preserve">A2a - Residential Heating &amp; Cooling Equipment </v>
      </c>
      <c r="D82" s="91" t="str">
        <f>IF('Inputs Yr 2'!$B82=0,"",'Inputs Yr 2'!E82)</f>
        <v>Furnace, Gas 97% Muni</v>
      </c>
      <c r="E82" s="93" t="str">
        <f>IF('Inputs Yr 2'!$B82=0,"",'Inputs Yr 2'!F82)</f>
        <v>G16A2a06</v>
      </c>
      <c r="F82" s="93" t="str">
        <f>IF('Inputs Yr 2'!$B82=0,"",'Inputs Yr 2'!G82)</f>
        <v>HVAC</v>
      </c>
      <c r="G82" s="95" t="str">
        <f>IF('Inputs Yr 2'!$H82&lt;&gt;0,('Inputs Yr 2'!H82),"")</f>
        <v/>
      </c>
      <c r="H82" s="94">
        <f>IFERROR('Inputs Yr 2'!I82,"")</f>
        <v>0</v>
      </c>
      <c r="I82" s="298" t="str">
        <f>IFERROR('Inputs Yr 2'!J82*'Inputs Yr 2'!P82*G82,"")</f>
        <v/>
      </c>
      <c r="J82" s="298" t="str">
        <f>IFERROR('Inputs Yr 2'!K82*G82,"")</f>
        <v/>
      </c>
      <c r="K82" s="298" t="str">
        <f t="shared" si="53"/>
        <v/>
      </c>
      <c r="L82" s="194" t="str">
        <f>IFERROR(('Inputs Yr 2'!W82*G82)/1000,"")</f>
        <v/>
      </c>
      <c r="M82" s="194" t="str">
        <f>IFERROR(L82*('Inputs Yr 2'!$Q82*'Inputs Yr 2'!$V82*'Inputs Yr 2'!$R82),"")</f>
        <v/>
      </c>
      <c r="N82" s="194" t="str">
        <f t="shared" si="54"/>
        <v/>
      </c>
      <c r="O82" s="194" t="str">
        <f>IFERROR(M82*'Inputs Yr 2'!P82,"")</f>
        <v/>
      </c>
      <c r="P82" s="194" t="str">
        <f t="shared" si="55"/>
        <v/>
      </c>
      <c r="Q82" s="194" t="str">
        <f>IFERROR($P82*'Inputs Yr 2'!AA82,"")</f>
        <v/>
      </c>
      <c r="R82" s="194" t="str">
        <f>IFERROR($P82*'Inputs Yr 2'!AB82,"")</f>
        <v/>
      </c>
      <c r="S82" s="194" t="str">
        <f>IFERROR($P82*'Inputs Yr 2'!AC82,"")</f>
        <v/>
      </c>
      <c r="T82" s="194" t="str">
        <f>IFERROR($P82*'Inputs Yr 2'!AD82,"")</f>
        <v/>
      </c>
      <c r="U82" s="194" t="str">
        <f>IFERROR(G82*'Inputs Yr 2'!$AE82*'Inputs Yr 2'!$P82*'Inputs Yr 2'!$Q82,"")</f>
        <v/>
      </c>
      <c r="V82" s="194" t="str">
        <f>IFERROR($G82*'Inputs Yr 2'!$AE82*'Inputs Yr 2'!$AG82*'Inputs Yr 2'!Q82*'Inputs Yr 2'!$S82,"")</f>
        <v/>
      </c>
      <c r="W82" s="194" t="str">
        <f>IFERROR($G82*'Inputs Yr 2'!$AE82*'Inputs Yr 2'!$AG82*'Inputs Yr 2'!P82*'Inputs Yr 2'!Q82*'Inputs Yr 2'!$S82,"")</f>
        <v/>
      </c>
      <c r="X82" s="194" t="str">
        <f>IFERROR($G82*'Inputs Yr 2'!$AE82*'Inputs Yr 2'!$AF82*'Inputs Yr 2'!Q82*'Inputs Yr 2'!$T82,"")</f>
        <v/>
      </c>
      <c r="Y82" s="194" t="str">
        <f>IFERROR($G82*'Inputs Yr 2'!$AE82*'Inputs Yr 2'!$AF82*'Inputs Yr 2'!P82*'Inputs Yr 2'!Q82*'Inputs Yr 2'!$T82,"")</f>
        <v/>
      </c>
      <c r="Z82" s="257">
        <f>IFERROR($G82*'Inputs Yr 2'!$Q82*'Inputs Yr 2'!$U82*(IF(IFERROR(SEARCH("NG", 'Inputs Yr 2'!$AJ82),0),'Inputs Yr 2'!$AK82,0)+IF(IFERROR(SEARCH("NG", 'Inputs Yr 2'!$AL82),0),'Inputs Yr 2'!$AM82,0)+IF(IFERROR(SEARCH("NG", 'Inputs Yr 2'!$AN82),0),'Inputs Yr 2'!$AO82,0)),0)</f>
        <v>0</v>
      </c>
      <c r="AA82" s="257">
        <f t="shared" si="56"/>
        <v>0</v>
      </c>
      <c r="AB82" s="257">
        <f>IFERROR(Z82*'Inputs Yr 2'!$P82,0)</f>
        <v>0</v>
      </c>
      <c r="AC82" s="257">
        <f t="shared" si="57"/>
        <v>0</v>
      </c>
      <c r="AD82" s="257">
        <f>IFERROR($G82*'Inputs Yr 2'!$Q82*'Inputs Yr 2'!$U82*(IF(IFERROR(SEARCH("Oil", 'Inputs Yr 2'!$AJ82), 0),'Inputs Yr 2'!$AK82,0)+IF(IFERROR(SEARCH("Oil", 'Inputs Yr 2'!$AL82), 0),'Inputs Yr 2'!$AM82,0)+IF(IFERROR(SEARCH("Oil", 'Inputs Yr 2'!$AN82), 0),'Inputs Yr 2'!$AO82,0)),0)</f>
        <v>0</v>
      </c>
      <c r="AE82" s="257">
        <f t="shared" si="58"/>
        <v>0</v>
      </c>
      <c r="AF82" s="257">
        <f>IFERROR(AD82*'Inputs Yr 2'!$P82,0)</f>
        <v>0</v>
      </c>
      <c r="AG82" s="257">
        <f t="shared" si="59"/>
        <v>0</v>
      </c>
      <c r="AH82" s="257">
        <f>IFERROR($G82*'Inputs Yr 2'!$Q82*'Inputs Yr 2'!$U82*(IF('Inputs Yr 2'!$AJ82=CD$4,'Inputs Yr 2'!$AK82,IF('Inputs Yr 2'!$AL82=CD$4,'Inputs Yr 2'!$AM82,IF('Inputs Yr 2'!$AN82=CD$4,'Inputs Yr 2'!$AO82,0)))),0)</f>
        <v>0</v>
      </c>
      <c r="AI82" s="257">
        <f t="shared" si="60"/>
        <v>0</v>
      </c>
      <c r="AJ82" s="257">
        <f>IFERROR(AH82*'Inputs Yr 2'!$P82,0)</f>
        <v>0</v>
      </c>
      <c r="AK82" s="257">
        <f t="shared" si="61"/>
        <v>0</v>
      </c>
      <c r="AL82" s="258">
        <f>IFERROR($G82*'Inputs Yr 2'!$P82*'Inputs Yr 2'!$Q82*'Inputs Yr 2'!AP82,0)</f>
        <v>0</v>
      </c>
      <c r="AM82" s="260">
        <f>IFERROR($G82*'Inputs Yr 2'!$P82*'Inputs Yr 2'!$Q82*'Inputs Yr 2'!AQ82,0)</f>
        <v>0</v>
      </c>
      <c r="AN82" s="258">
        <f>IFERROR($G82*'Inputs Yr 2'!$P82*'Inputs Yr 2'!$Q82*'Inputs Yr 2'!AR82,0)</f>
        <v>0</v>
      </c>
      <c r="AO82" s="257">
        <f t="shared" si="62"/>
        <v>0</v>
      </c>
      <c r="AP82" s="195" t="str">
        <f>IFERROR($CQ82*(INDEX(avoidedcosttbl2,$H82,AP$2)+(($H82-ROUNDDOWN($H82,0))*(INDEX(avoidedcosttbl2,ROUNDUP($H82,0),AP$2)-(INDEX(avoidedcosttbl2,ROUNDDOWN($H82,0),AP$2)))))*$O82*1000*'Inputs Yr 2'!AA82,"")</f>
        <v/>
      </c>
      <c r="AQ82" s="195" t="str">
        <f>IFERROR($CR82*(INDEX(avoidedcosttbl2,$H82,AQ$2)+(($H82-ROUNDDOWN($H82,0))*(INDEX(avoidedcosttbl2,ROUNDUP($H82,0),AQ$2)-(INDEX(avoidedcosttbl2,ROUNDDOWN($H82,0),AQ$2)))))*$O82*1000*'Inputs Yr 2'!AB82,"")</f>
        <v/>
      </c>
      <c r="AR82" s="195" t="str">
        <f>IFERROR($CS82*(INDEX(avoidedcosttbl2,$H82,AR$2)+(($H82-ROUNDDOWN($H82,0))*(INDEX(avoidedcosttbl2,ROUNDUP($H82,0),AR$2)-(INDEX(avoidedcosttbl2,ROUNDDOWN($H82,0),AR$2)))))*$O82*1000*'Inputs Yr 2'!AC82,"")</f>
        <v/>
      </c>
      <c r="AS82" s="195" t="str">
        <f>IFERROR($CT82*(INDEX(avoidedcosttbl2,$H82,AS$2)+(($H82-ROUNDDOWN($H82,0))*(INDEX(avoidedcosttbl2,ROUNDUP($H82,0),AS$2)-(INDEX(avoidedcosttbl2,ROUNDDOWN($H82,0),AS$2)))))*$O82*1000*'Inputs Yr 2'!AD82,"")</f>
        <v/>
      </c>
      <c r="AT82" s="196">
        <f t="shared" si="63"/>
        <v>0</v>
      </c>
      <c r="AU82" s="197" t="str">
        <f>IFERROR($CQ82*((INDEX(avoidedcosttbl2,$H82,AU$2))+(($H82-ROUNDDOWN($H82,0))*((INDEX(avoidedcosttbl2,ROUNDUP($H82,0),AU$2))-(INDEX(avoidedcosttbl2,ROUNDDOWN($H82,0),AU$2)))))*$O82*1000*'Inputs Yr 2'!AA82,"")</f>
        <v/>
      </c>
      <c r="AV82" s="197" t="str">
        <f>IFERROR($CR82*((INDEX(avoidedcosttbl2,$H82,AV$2))+(($H82-ROUNDDOWN($H82,0))*((INDEX(avoidedcosttbl2,ROUNDUP($H82,0),AV$2))-(INDEX(avoidedcosttbl2,ROUNDDOWN($H82,0),AV$2)))))*$O82*1000*'Inputs Yr 2'!AB82,"")</f>
        <v/>
      </c>
      <c r="AW82" s="197" t="str">
        <f>IFERROR($CS82*((INDEX(avoidedcosttbl2,$H82,AW$2))+(($H82-ROUNDDOWN($H82,0))*((INDEX(avoidedcosttbl2,ROUNDUP($H82,0),AW$2))-(INDEX(avoidedcosttbl2,ROUNDDOWN($H82,0),AW$2)))))*$O82*1000*'Inputs Yr 2'!AC82,"")</f>
        <v/>
      </c>
      <c r="AX82" s="197" t="str">
        <f>IFERROR($CT82*((INDEX(avoidedcosttbl2,$H82,AX$2))+(($H82-ROUNDDOWN($H82,0))*((INDEX(avoidedcosttbl2,ROUNDUP($H82,0),AX$2))-(INDEX(avoidedcosttbl2,ROUNDDOWN($H82,0),AX$2)))))*$O82*1000*'Inputs Yr 2'!AD82,"")</f>
        <v/>
      </c>
      <c r="AY82" s="197" t="str">
        <f>IFERROR(((INDEX(avoidedcosttbl2,$H82,AY$2))+(($H82-ROUNDDOWN($H82,0))*((INDEX(avoidedcosttbl2,ROUNDUP($H82,0),AY$2))-(INDEX(avoidedcosttbl2,ROUNDDOWN($H82,0),AY$2)))))*$O82*1000*('Inputs Yr 2'!AC82+'Inputs Yr 2'!AD82),"")</f>
        <v/>
      </c>
      <c r="AZ82" s="197" t="str">
        <f>IFERROR(((INDEX(avoidedcosttbl2,$H82,AZ$2))+(($H82-ROUNDDOWN($H82,0))*((INDEX(avoidedcosttbl2,ROUNDUP($H82,0),AZ$2))-(INDEX(avoidedcosttbl2,ROUNDDOWN($H82,0),AZ$2)))))*$O82*1000*('Inputs Yr 2'!AA82+'Inputs Yr 2'!AB82),"")</f>
        <v/>
      </c>
      <c r="BA82" s="198">
        <f t="shared" si="64"/>
        <v>0</v>
      </c>
      <c r="BB82" s="198">
        <f t="shared" si="65"/>
        <v>0</v>
      </c>
      <c r="BC82" s="195" t="str">
        <f t="shared" si="47"/>
        <v/>
      </c>
      <c r="BD82" s="195" t="str">
        <f t="shared" si="48"/>
        <v/>
      </c>
      <c r="BE82" s="195" t="str">
        <f t="shared" si="49"/>
        <v/>
      </c>
      <c r="BF82" s="195" t="str">
        <f t="shared" si="50"/>
        <v/>
      </c>
      <c r="BG82" s="195" t="str">
        <f t="shared" si="51"/>
        <v/>
      </c>
      <c r="BH82" s="196">
        <f t="shared" si="66"/>
        <v>0</v>
      </c>
      <c r="BI82" s="196">
        <f t="shared" si="67"/>
        <v>0</v>
      </c>
      <c r="BJ82" s="195" t="str">
        <f>IFERROR($G82*(IF('Inputs Yr 2'!$AJ82=BJ$4,'Inputs Yr 2'!$AK82,IF('Inputs Yr 2'!$AL82=BJ$4,'Inputs Yr 2'!$AM82,IF('Inputs Yr 2'!$AN82=BJ$4,'Inputs Yr 2'!$AO82,0))))*(INDEX(avoidedcosttbl2,$H82,BJ$2)+(($H82-ROUNDDOWN($H82,0))*(INDEX(avoidedcosttbl2,ROUNDUP($H82,0),BJ$2)-(INDEX(avoidedcosttbl2,ROUNDDOWN($H82,0),BJ$2)))))*'Inputs Yr 2'!P82*'Inputs Yr 2'!Q82*'Inputs Yr 2'!U82,"")</f>
        <v/>
      </c>
      <c r="BK82" s="195" t="str">
        <f>IFERROR($G82*(IF('Inputs Yr 2'!$AJ82=BK$4,'Inputs Yr 2'!$AK82,IF('Inputs Yr 2'!$AL82=BK$4,'Inputs Yr 2'!$AM82,IF('Inputs Yr 2'!$AN82=BK$4,'Inputs Yr 2'!$AO82,0))))*(INDEX(avoidedcosttbl2,$H82,BK$2)+(($H82-ROUNDDOWN($H82,0))*(INDEX(avoidedcosttbl2,ROUNDUP($H82,0),BK$2)-(INDEX(avoidedcosttbl2,ROUNDDOWN($H82,0),BK$2)))))*'Inputs Yr 2'!P82*'Inputs Yr 2'!Q82*'Inputs Yr 2'!U82,"")</f>
        <v/>
      </c>
      <c r="BL82" s="195" t="str">
        <f>IFERROR($G82*(IF('Inputs Yr 2'!$AJ82=BL$4,'Inputs Yr 2'!$AK82,IF('Inputs Yr 2'!$AL82=BL$4,'Inputs Yr 2'!$AM82,IF('Inputs Yr 2'!$AN82=BL$4,'Inputs Yr 2'!$AO82,0))))*(INDEX(avoidedcosttbl2,$H82,BL$2)+(($H82-ROUNDDOWN($H82,0))*(INDEX(avoidedcosttbl2,ROUNDUP($H82,0),BL$2)-(INDEX(avoidedcosttbl2,ROUNDDOWN($H82,0),BL$2)))))*'Inputs Yr 2'!P82*'Inputs Yr 2'!Q82*'Inputs Yr 2'!U82,"")</f>
        <v/>
      </c>
      <c r="BM82" s="195" t="str">
        <f>IFERROR($G82*(IF('Inputs Yr 2'!$AJ82=BM$4,'Inputs Yr 2'!$AK82,IF('Inputs Yr 2'!$AL82=BM$4,'Inputs Yr 2'!$AM82,IF('Inputs Yr 2'!$AN82=BM$4,'Inputs Yr 2'!$AO82,0))))*(INDEX(avoidedcosttbl2,$H82,BM$2)+(($H82-ROUNDDOWN($H82,0))*(INDEX(avoidedcosttbl2,ROUNDUP($H82,0),BM$2)-(INDEX(avoidedcosttbl2,ROUNDDOWN($H82,0),BM$2)))))*'Inputs Yr 2'!P82*'Inputs Yr 2'!Q82*'Inputs Yr 2'!U82,"")</f>
        <v/>
      </c>
      <c r="BN82" s="195" t="str">
        <f>IFERROR($G82*(IF('Inputs Yr 2'!$AJ82=BN$4,'Inputs Yr 2'!$AK82,IF('Inputs Yr 2'!$AL82=BN$4,'Inputs Yr 2'!$AM82,IF('Inputs Yr 2'!$AN82=BN$4,'Inputs Yr 2'!$AO82,0))))*(INDEX(avoidedcosttbl2,$H82,BN$2)+(($H82-ROUNDDOWN($H82,0))*(INDEX(avoidedcosttbl2,ROUNDUP($H82,0),BN$2)-(INDEX(avoidedcosttbl2,ROUNDDOWN($H82,0),BN$2)))))*'Inputs Yr 2'!P82*'Inputs Yr 2'!Q82*'Inputs Yr 2'!U82,"")</f>
        <v/>
      </c>
      <c r="BO82" s="195" t="str">
        <f>IFERROR($G82*(IF('Inputs Yr 2'!$AJ82=BO$4,'Inputs Yr 2'!$AK82,IF('Inputs Yr 2'!$AL82=BO$4,'Inputs Yr 2'!$AM82,IF('Inputs Yr 2'!$AN82=BO$4,'Inputs Yr 2'!$AO82,0))))*(INDEX(avoidedcosttbl2,$H82,BO$2)+(($H82-ROUNDDOWN($H82,0))*(INDEX(avoidedcosttbl2,ROUNDUP($H82,0),BO$2)-(INDEX(avoidedcosttbl2,ROUNDDOWN($H82,0),BO$2)))))*'Inputs Yr 2'!P82*'Inputs Yr 2'!Q82*'Inputs Yr 2'!U82,"")</f>
        <v/>
      </c>
      <c r="BP82" s="195" t="str">
        <f>IFERROR($G82*(IF('Inputs Yr 2'!$AJ82=BP$4,'Inputs Yr 2'!$AK82,IF('Inputs Yr 2'!$AL82=BP$4,'Inputs Yr 2'!$AM82,IF('Inputs Yr 2'!$AN82=BP$4,'Inputs Yr 2'!$AO82,0))))*(INDEX(avoidedcosttbl2,$H82,BP$2)+(($H82-ROUNDDOWN($H82,0))*(INDEX(avoidedcosttbl2,ROUNDUP($H82,0),BP$2)-(INDEX(avoidedcosttbl2,ROUNDDOWN($H82,0),BP$2)))))*'Inputs Yr 2'!P82*'Inputs Yr 2'!Q82*'Inputs Yr 2'!U82,"")</f>
        <v/>
      </c>
      <c r="BQ82" s="230">
        <f t="shared" si="68"/>
        <v>0</v>
      </c>
      <c r="BR82" s="197">
        <f t="shared" si="52"/>
        <v>0</v>
      </c>
      <c r="BS82" s="197" t="str">
        <f>IFERROR(($G82*IF('Inputs Yr 2'!$AJ82=BM$4,'Inputs Yr 2'!$AK82,IF('Inputs Yr 2'!$AL82=BM$4,'Inputs Yr 2'!$AM82,IF('Inputs Yr 2'!$AN82=BM$4,'Inputs Yr 2'!$AO82,0))))*(INDEX(avoidedcosttbl2,$H82,BS$2)+(($H82-ROUNDDOWN($H82,0))*(INDEX(avoidedcosttbl2,ROUNDUP($H82,0),BS$2)-(INDEX(avoidedcosttbl2,ROUNDDOWN($H82,0),BS$2)))))*'Inputs Yr 2'!P82*'Inputs Yr 2'!Q82*'Inputs Yr 2'!U82,"")</f>
        <v/>
      </c>
      <c r="BT82" s="197" t="str">
        <f>IFERROR(($G82*IF('Inputs Yr 2'!$AJ82=BK$4,'Inputs Yr 2'!$AK82,IF('Inputs Yr 2'!$AL82=BK$4,'Inputs Yr 2'!$AM82,IF('Inputs Yr 2'!$AN82=BK$4,'Inputs Yr 2'!$AO82,0))))*(INDEX(avoidedcosttbl2,$H82,BT$2)+(($H82-ROUNDDOWN($H82,0))*(INDEX(avoidedcosttbl2,ROUNDUP($H82,0),BT$2)-(INDEX(avoidedcosttbl2,ROUNDDOWN($H82,0),BT$2)))))*'Inputs Yr 2'!P82*'Inputs Yr 2'!Q82*'Inputs Yr 2'!U82,"")</f>
        <v/>
      </c>
      <c r="BU82" s="197" t="str">
        <f>IFERROR(($G82*IF('Inputs Yr 2'!$AJ82=BL$4,'Inputs Yr 2'!$AK82,IF('Inputs Yr 2'!$AL82=BL$4,'Inputs Yr 2'!$AM82,IF('Inputs Yr 2'!$AN82=BL$4,'Inputs Yr 2'!$AO82,0))))*(INDEX(avoidedcosttbl2,$H82,BU$2)+(($H82-ROUNDDOWN($H82,0))*(INDEX(avoidedcosttbl2,ROUNDUP($H82,0),BU$2)-(INDEX(avoidedcosttbl2,ROUNDDOWN($H82,0),BU$2)))))*'Inputs Yr 2'!P82*'Inputs Yr 2'!Q82*'Inputs Yr 2'!U82,"")</f>
        <v/>
      </c>
      <c r="BV82" s="775" t="str">
        <f>IFERROR(($G82*IF('Inputs Yr 2'!$AJ82=BJ$4,'Inputs Yr 2'!$AK82,IF('Inputs Yr 2'!$AL82=BJ$4,'Inputs Yr 2'!$AM82,IF('Inputs Yr 2'!$AN82=BJ$4,'Inputs Yr 2'!$AO82,0))))*(INDEX(avoidedcosttbl2,$H82,BV$2)+(($H82-ROUNDDOWN($H82,0))*(INDEX(avoidedcosttbl2,ROUNDUP($H82,0),BV$2)-(INDEX(avoidedcosttbl2,ROUNDDOWN($H82,0),BV$2)))))*'Inputs Yr 2'!P82*'Inputs Yr 2'!Q82*'Inputs Yr 2'!U82,"")</f>
        <v/>
      </c>
      <c r="BW82" s="197" t="str">
        <f>IFERROR(($G82*IF('Inputs Yr 2'!$AJ82=BN$4,'Inputs Yr 2'!$AK82,IF('Inputs Yr 2'!$AL82=BN$4,'Inputs Yr 2'!$AM82,IF('Inputs Yr 2'!$AN82=BN$4,'Inputs Yr 2'!$AO82,0))))*(INDEX(avoidedcosttbl2,$H82,BW$2)+(($H82-ROUNDDOWN($H82,0))*(INDEX(avoidedcosttbl2,ROUNDUP($H82,0),BW$2)-(INDEX(avoidedcosttbl2,ROUNDDOWN($H82,0),BW$2)))))*'Inputs Yr 2'!P82*'Inputs Yr 2'!Q82*'Inputs Yr 2'!U82,"")</f>
        <v/>
      </c>
      <c r="BX82" s="197" t="str">
        <f>IFERROR(($G82*IF('Inputs Yr 2'!$AJ82=BO$4,'Inputs Yr 2'!$AK82,IF('Inputs Yr 2'!$AL82=BO$4,'Inputs Yr 2'!$AM82,IF('Inputs Yr 2'!$AN82=BO$4,'Inputs Yr 2'!$AO82,0))))*(INDEX(avoidedcosttbl2,$H82,BX$2)+(($H82-ROUNDDOWN($H82,0))*(INDEX(avoidedcosttbl2,ROUNDUP($H82,0),BX$2)-(INDEX(avoidedcosttbl2,ROUNDDOWN($H82,0),BX$2)))))*'Inputs Yr 2'!P82*'Inputs Yr 2'!Q82*'Inputs Yr 2'!U82,"")</f>
        <v/>
      </c>
      <c r="BY82" s="197" t="str">
        <f>IFERROR(($G82*IF('Inputs Yr 2'!$AJ82=BP$4,'Inputs Yr 2'!$AK82,IF('Inputs Yr 2'!$AL82=BP$4,'Inputs Yr 2'!$AM82,IF('Inputs Yr 2'!$AN82=BP$4,'Inputs Yr 2'!$AO82,0))))*(INDEX(avoidedcosttbl2,$H82,BY$2)+(($H82-ROUNDDOWN($H82,0))*(INDEX(avoidedcosttbl2,ROUNDUP($H82,0),BY$2)-(INDEX(avoidedcosttbl2,ROUNDDOWN($H82,0),BY$2)))))*'Inputs Yr 2'!P82*'Inputs Yr 2'!Q82*'Inputs Yr 2'!U82,"")</f>
        <v/>
      </c>
      <c r="BZ82" s="193">
        <f t="shared" si="69"/>
        <v>0</v>
      </c>
      <c r="CA82" s="193">
        <f t="shared" si="70"/>
        <v>0</v>
      </c>
      <c r="CB82" s="195" t="str">
        <f>IFERROR(G82*(IF('Inputs Yr 2'!$AJ82=CB$4,'Inputs Yr 2'!$AK82,IF('Inputs Yr 2'!$AL82=CB$4,'Inputs Yr 2'!$AM82,IF('Inputs Yr 2'!$AN82=CB$4,'Inputs Yr 2'!$AO82,0))))*(INDEX(avoidedcosttbl2,$H82,CB$2)+(($H82-ROUNDDOWN($H82,0))*(INDEX(avoidedcosttbl2,ROUNDUP($H82,0),CB$2)-(INDEX(avoidedcosttbl2,ROUNDDOWN($H82,0),CB$2)))))*'Inputs Yr 2'!P82*'Inputs Yr 2'!Q82*'Inputs Yr 2'!U82,"")</f>
        <v/>
      </c>
      <c r="CC82" s="195">
        <f>IFERROR(H82*(IF('Inputs Yr 2'!$AJ82=CC$4,'Inputs Yr 2'!$AK82,IF('Inputs Yr 2'!$AL82=CC$4,'Inputs Yr 2'!$AM82,IF('Inputs Yr 2'!$AN82=CC$4,'Inputs Yr 2'!$AO82,0))))*(INDEX(avoidedcosttbl2,$H82,CC$2)+(($H82-ROUNDDOWN($H82,0))*(INDEX(avoidedcosttbl2,ROUNDUP($H82,0),CC$2)-(INDEX(avoidedcosttbl2,ROUNDDOWN($H82,0),CC$2)))))*'Inputs Yr 2'!Q82*'Inputs Yr 2'!R82*'Inputs Yr 2'!V82,"")</f>
        <v>0</v>
      </c>
      <c r="CD82" s="195" t="str">
        <f>IFERROR(I82*(IF('Inputs Yr 2'!$AJ82=CD$4,'Inputs Yr 2'!$AK82,IF('Inputs Yr 2'!$AL82=CD$4,'Inputs Yr 2'!$AM82,IF('Inputs Yr 2'!$AN82=CD$4,'Inputs Yr 2'!$AO82,0))))*(INDEX(avoidedcosttbl2,$H82,CD$2)+(($H82-ROUNDDOWN($H82,0))*(INDEX(avoidedcosttbl2,ROUNDUP($H82,0),CD$2)-(INDEX(avoidedcosttbl2,ROUNDDOWN($H82,0),CD$2)))))*'Inputs Yr 2'!R82*'Inputs Yr 2'!S82*'Inputs Yr 2'!W82,"")</f>
        <v/>
      </c>
      <c r="CE82" s="213">
        <f t="shared" si="71"/>
        <v>0</v>
      </c>
      <c r="CF82" s="213">
        <f t="shared" si="72"/>
        <v>0</v>
      </c>
      <c r="CG82" s="213">
        <f t="shared" si="73"/>
        <v>0</v>
      </c>
      <c r="CH82" s="698">
        <f t="shared" si="74"/>
        <v>0</v>
      </c>
      <c r="CI82" s="79" t="str">
        <f>IFERROR(($G82*'Inputs Yr 2'!$P82*'Inputs Yr 2'!$Q82*(((INDEX(avoidedcosttbl2,$H82,CI$2)+(($H82-ROUNDDOWN($H82,0))*(INDEX(avoidedcosttbl2,ROUNDUP($H82,0),CI$2)-INDEX(avoidedcosttbl2,ROUNDDOWN($H82,0),CI$2))))*'Inputs Yr 2'!AS82))),"")</f>
        <v/>
      </c>
      <c r="CJ82" s="504" t="str">
        <f>IFERROR($G82*'Inputs Yr 2'!AT82*'Inputs Yr 2'!$P82*'Inputs Yr 2'!$Q82/((1+realdiscrt1)^-0.5),"")</f>
        <v/>
      </c>
      <c r="CK82" s="79" t="str">
        <f>IFERROR((O82*1000*(((INDEX(avoidedcosttbl2,$H82,CK$2)+(($H82-ROUNDDOWN($H82,0))*(INDEX(avoidedcosttbl2,ROUNDUP($H82,0),CK$2)-INDEX(avoidedcosttbl2,ROUNDDOWN($H82,0),CK$2))))*'Inputs Yr 2'!AU82))),"")</f>
        <v/>
      </c>
      <c r="CL82" s="504" t="str">
        <f>IFERROR(O82*1000*'Inputs Yr 2'!AV82/((1+realdiscrt1)^-0.5),"")</f>
        <v/>
      </c>
      <c r="CM82" s="79">
        <f>IFERROR((AB82*'Inputs Yr 2'!AW82*(((INDEX(avoidedcosttbl2,$H82,CM$2)+(($H82-ROUNDDOWN($H82,0))*(INDEX(avoidedcosttbl2,ROUNDUP($H82,0),CM$2)-INDEX(avoidedcosttbl2,ROUNDDOWN($H82,0),CM$2)))))))*10,"")</f>
        <v>0</v>
      </c>
      <c r="CN82" s="504">
        <f>IFERROR(10*AB82*'Inputs Yr 2'!AX82/((1+realdiscrt1)^-0.5),"")</f>
        <v>0</v>
      </c>
      <c r="CO82" s="505">
        <f t="shared" si="75"/>
        <v>0</v>
      </c>
      <c r="CP82" s="230">
        <f t="shared" si="76"/>
        <v>0</v>
      </c>
      <c r="CQ82" s="199">
        <f>ROUND(IFERROR(IF(LEFT($A82,1)="C",'Avoided Costs'!$K$13,'Avoided Costs'!$K$12)+1,""),4)</f>
        <v>1.0720000000000001</v>
      </c>
      <c r="CR82" s="199">
        <f>ROUND(IFERROR(IF(LEFT($A82,1)="C",'Avoided Costs'!$L$13,'Avoided Costs'!$L$12)+1,""),4)</f>
        <v>1.04</v>
      </c>
      <c r="CS82" s="199">
        <f>ROUND(IFERROR(IF(LEFT($A82,1)="C",'Avoided Costs'!$M$13,'Avoided Costs'!$M$12)+1,""),4)</f>
        <v>1.0720000000000001</v>
      </c>
      <c r="CT82" s="199">
        <f>ROUND(IFERROR(IF(LEFT($A82,1)="C",'Avoided Costs'!$N$13,'Avoided Costs'!$N$12)+1,""),4)</f>
        <v>1.04</v>
      </c>
      <c r="CU82" s="199">
        <f>ROUND(IFERROR(IF(LEFT($A82,1)="C",'Avoided Costs'!$O$13,'Avoided Costs'!$O$12)+1,""),4)</f>
        <v>1.1120000000000001</v>
      </c>
      <c r="CV82" s="199">
        <f>ROUND(IFERROR(IF(LEFT($A82,1)="C",'Avoided Costs'!$P$13,'Avoided Costs'!$P$12)+1,""),4)</f>
        <v>1.095</v>
      </c>
      <c r="CW82" s="199">
        <f>ROUND(IFERROR(IF(LEFT($A82,1)="C",'Avoided Costs'!$Q$13,'Avoided Costs'!$Q$12)+1,""),4)</f>
        <v>1.1120000000000001</v>
      </c>
      <c r="CX82" s="200">
        <f>ROUND(IFERROR(IF(LEFT($A82,1)="C",'Avoided Costs'!$R$13,'Avoided Costs'!$R$12)+1,""),4)</f>
        <v>1.1120000000000001</v>
      </c>
    </row>
    <row r="83" spans="1:102" ht="12.75" customHeight="1">
      <c r="A83" s="91" t="str">
        <f>IF('Inputs Yr 2'!$B83=0,"",'Inputs Yr 2'!A83)</f>
        <v>A - Residential</v>
      </c>
      <c r="B83" s="91" t="str">
        <f>IF('Inputs Yr 2'!$B83=0,"",'Inputs Yr 2'!B83)</f>
        <v>A2 - Residential Products</v>
      </c>
      <c r="C83" s="91" t="str">
        <f>IF('Inputs Yr 2'!$B83=0,"",'Inputs Yr 2'!C83)</f>
        <v xml:space="preserve">A2a - Residential Heating &amp; Cooling Equipment </v>
      </c>
      <c r="D83" s="91" t="str">
        <f>IF('Inputs Yr 2'!$B83=0,"",'Inputs Yr 2'!E83)</f>
        <v>Combo Condensing Boiler/Water Heater 90%</v>
      </c>
      <c r="E83" s="93" t="str">
        <f>IF('Inputs Yr 2'!$B83=0,"",'Inputs Yr 2'!F83)</f>
        <v>G16A2a07</v>
      </c>
      <c r="F83" s="93" t="str">
        <f>IF('Inputs Yr 2'!$B83=0,"",'Inputs Yr 2'!G83)</f>
        <v>HVAC</v>
      </c>
      <c r="G83" s="95">
        <f>IF('Inputs Yr 2'!$H83&lt;&gt;0,('Inputs Yr 2'!H83),"")</f>
        <v>54</v>
      </c>
      <c r="H83" s="94">
        <f>IFERROR('Inputs Yr 2'!I83,"")</f>
        <v>19</v>
      </c>
      <c r="I83" s="298">
        <f>IFERROR('Inputs Yr 2'!J83*'Inputs Yr 2'!P83*G83,"")</f>
        <v>69069.982823429804</v>
      </c>
      <c r="J83" s="298">
        <f>IFERROR('Inputs Yr 2'!K83*G83,"")</f>
        <v>60912</v>
      </c>
      <c r="K83" s="298">
        <f t="shared" si="53"/>
        <v>8157.9828234298038</v>
      </c>
      <c r="L83" s="194">
        <f>IFERROR(('Inputs Yr 2'!W83*G83)/1000,"")</f>
        <v>0</v>
      </c>
      <c r="M83" s="194">
        <f>IFERROR(L83*('Inputs Yr 2'!$Q83*'Inputs Yr 2'!$V83*'Inputs Yr 2'!$R83),"")</f>
        <v>0</v>
      </c>
      <c r="N83" s="194">
        <f t="shared" si="54"/>
        <v>0</v>
      </c>
      <c r="O83" s="194">
        <f>IFERROR(M83*'Inputs Yr 2'!P83,"")</f>
        <v>0</v>
      </c>
      <c r="P83" s="194">
        <f t="shared" si="55"/>
        <v>0</v>
      </c>
      <c r="Q83" s="194">
        <f>IFERROR($P83*'Inputs Yr 2'!AA83,"")</f>
        <v>0</v>
      </c>
      <c r="R83" s="194">
        <f>IFERROR($P83*'Inputs Yr 2'!AB83,"")</f>
        <v>0</v>
      </c>
      <c r="S83" s="194">
        <f>IFERROR($P83*'Inputs Yr 2'!AC83,"")</f>
        <v>0</v>
      </c>
      <c r="T83" s="194">
        <f>IFERROR($P83*'Inputs Yr 2'!AD83,"")</f>
        <v>0</v>
      </c>
      <c r="U83" s="194">
        <f>IFERROR(G83*'Inputs Yr 2'!$AE83*'Inputs Yr 2'!$P83*'Inputs Yr 2'!$Q83,"")</f>
        <v>0</v>
      </c>
      <c r="V83" s="194">
        <f>IFERROR($G83*'Inputs Yr 2'!$AE83*'Inputs Yr 2'!$AG83*'Inputs Yr 2'!Q83*'Inputs Yr 2'!$S83,"")</f>
        <v>0</v>
      </c>
      <c r="W83" s="194">
        <f>IFERROR($G83*'Inputs Yr 2'!$AE83*'Inputs Yr 2'!$AG83*'Inputs Yr 2'!P83*'Inputs Yr 2'!Q83*'Inputs Yr 2'!$S83,"")</f>
        <v>0</v>
      </c>
      <c r="X83" s="194">
        <f>IFERROR($G83*'Inputs Yr 2'!$AE83*'Inputs Yr 2'!$AF83*'Inputs Yr 2'!Q83*'Inputs Yr 2'!$T83,"")</f>
        <v>0</v>
      </c>
      <c r="Y83" s="194">
        <f>IFERROR($G83*'Inputs Yr 2'!$AE83*'Inputs Yr 2'!$AF83*'Inputs Yr 2'!P83*'Inputs Yr 2'!Q83*'Inputs Yr 2'!$T83,"")</f>
        <v>0</v>
      </c>
      <c r="Z83" s="257">
        <f>IFERROR($G83*'Inputs Yr 2'!$Q83*'Inputs Yr 2'!$U83*(IF(IFERROR(SEARCH("NG", 'Inputs Yr 2'!$AJ83),0),'Inputs Yr 2'!$AK83,0)+IF(IFERROR(SEARCH("NG", 'Inputs Yr 2'!$AL83),0),'Inputs Yr 2'!$AM83,0)+IF(IFERROR(SEARCH("NG", 'Inputs Yr 2'!$AN83),0),'Inputs Yr 2'!$AO83,0)),0)</f>
        <v>556.20000000000005</v>
      </c>
      <c r="AA83" s="257">
        <f t="shared" si="56"/>
        <v>10567.800000000001</v>
      </c>
      <c r="AB83" s="257">
        <f>IFERROR(Z83*'Inputs Yr 2'!$P83,0)</f>
        <v>411.58799999999997</v>
      </c>
      <c r="AC83" s="257">
        <f t="shared" si="57"/>
        <v>7820.1719999999996</v>
      </c>
      <c r="AD83" s="257">
        <f>IFERROR($G83*'Inputs Yr 2'!$Q83*'Inputs Yr 2'!$U83*(IF(IFERROR(SEARCH("Oil", 'Inputs Yr 2'!$AJ83), 0),'Inputs Yr 2'!$AK83,0)+IF(IFERROR(SEARCH("Oil", 'Inputs Yr 2'!$AL83), 0),'Inputs Yr 2'!$AM83,0)+IF(IFERROR(SEARCH("Oil", 'Inputs Yr 2'!$AN83), 0),'Inputs Yr 2'!$AO83,0)),0)</f>
        <v>0</v>
      </c>
      <c r="AE83" s="257">
        <f t="shared" si="58"/>
        <v>0</v>
      </c>
      <c r="AF83" s="257">
        <f>IFERROR(AD83*'Inputs Yr 2'!$P83,0)</f>
        <v>0</v>
      </c>
      <c r="AG83" s="257">
        <f t="shared" si="59"/>
        <v>0</v>
      </c>
      <c r="AH83" s="257">
        <f>IFERROR($G83*'Inputs Yr 2'!$Q83*'Inputs Yr 2'!$U83*(IF('Inputs Yr 2'!$AJ83=CD$4,'Inputs Yr 2'!$AK83,IF('Inputs Yr 2'!$AL83=CD$4,'Inputs Yr 2'!$AM83,IF('Inputs Yr 2'!$AN83=CD$4,'Inputs Yr 2'!$AO83,0)))),0)</f>
        <v>0</v>
      </c>
      <c r="AI83" s="257">
        <f t="shared" si="60"/>
        <v>0</v>
      </c>
      <c r="AJ83" s="257">
        <f>IFERROR(AH83*'Inputs Yr 2'!$P83,0)</f>
        <v>0</v>
      </c>
      <c r="AK83" s="257">
        <f t="shared" si="61"/>
        <v>0</v>
      </c>
      <c r="AL83" s="258">
        <f>IFERROR($G83*'Inputs Yr 2'!$P83*'Inputs Yr 2'!$Q83*'Inputs Yr 2'!AP83,0)</f>
        <v>0</v>
      </c>
      <c r="AM83" s="260">
        <f>IFERROR($G83*'Inputs Yr 2'!$P83*'Inputs Yr 2'!$Q83*'Inputs Yr 2'!AQ83,0)</f>
        <v>0</v>
      </c>
      <c r="AN83" s="258">
        <f>IFERROR($G83*'Inputs Yr 2'!$P83*'Inputs Yr 2'!$Q83*'Inputs Yr 2'!AR83,0)</f>
        <v>0</v>
      </c>
      <c r="AO83" s="257">
        <f t="shared" si="62"/>
        <v>0</v>
      </c>
      <c r="AP83" s="195">
        <f>IFERROR($CQ83*(INDEX(avoidedcosttbl2,$H83,AP$2)+(($H83-ROUNDDOWN($H83,0))*(INDEX(avoidedcosttbl2,ROUNDUP($H83,0),AP$2)-(INDEX(avoidedcosttbl2,ROUNDDOWN($H83,0),AP$2)))))*$O83*1000*'Inputs Yr 2'!AA83,"")</f>
        <v>0</v>
      </c>
      <c r="AQ83" s="195">
        <f>IFERROR($CR83*(INDEX(avoidedcosttbl2,$H83,AQ$2)+(($H83-ROUNDDOWN($H83,0))*(INDEX(avoidedcosttbl2,ROUNDUP($H83,0),AQ$2)-(INDEX(avoidedcosttbl2,ROUNDDOWN($H83,0),AQ$2)))))*$O83*1000*'Inputs Yr 2'!AB83,"")</f>
        <v>0</v>
      </c>
      <c r="AR83" s="195">
        <f>IFERROR($CS83*(INDEX(avoidedcosttbl2,$H83,AR$2)+(($H83-ROUNDDOWN($H83,0))*(INDEX(avoidedcosttbl2,ROUNDUP($H83,0),AR$2)-(INDEX(avoidedcosttbl2,ROUNDDOWN($H83,0),AR$2)))))*$O83*1000*'Inputs Yr 2'!AC83,"")</f>
        <v>0</v>
      </c>
      <c r="AS83" s="195">
        <f>IFERROR($CT83*(INDEX(avoidedcosttbl2,$H83,AS$2)+(($H83-ROUNDDOWN($H83,0))*(INDEX(avoidedcosttbl2,ROUNDUP($H83,0),AS$2)-(INDEX(avoidedcosttbl2,ROUNDDOWN($H83,0),AS$2)))))*$O83*1000*'Inputs Yr 2'!AD83,"")</f>
        <v>0</v>
      </c>
      <c r="AT83" s="196">
        <f t="shared" si="63"/>
        <v>0</v>
      </c>
      <c r="AU83" s="197">
        <f>IFERROR($CQ83*((INDEX(avoidedcosttbl2,$H83,AU$2))+(($H83-ROUNDDOWN($H83,0))*((INDEX(avoidedcosttbl2,ROUNDUP($H83,0),AU$2))-(INDEX(avoidedcosttbl2,ROUNDDOWN($H83,0),AU$2)))))*$O83*1000*'Inputs Yr 2'!AA83,"")</f>
        <v>0</v>
      </c>
      <c r="AV83" s="197">
        <f>IFERROR($CR83*((INDEX(avoidedcosttbl2,$H83,AV$2))+(($H83-ROUNDDOWN($H83,0))*((INDEX(avoidedcosttbl2,ROUNDUP($H83,0),AV$2))-(INDEX(avoidedcosttbl2,ROUNDDOWN($H83,0),AV$2)))))*$O83*1000*'Inputs Yr 2'!AB83,"")</f>
        <v>0</v>
      </c>
      <c r="AW83" s="197">
        <f>IFERROR($CS83*((INDEX(avoidedcosttbl2,$H83,AW$2))+(($H83-ROUNDDOWN($H83,0))*((INDEX(avoidedcosttbl2,ROUNDUP($H83,0),AW$2))-(INDEX(avoidedcosttbl2,ROUNDDOWN($H83,0),AW$2)))))*$O83*1000*'Inputs Yr 2'!AC83,"")</f>
        <v>0</v>
      </c>
      <c r="AX83" s="197">
        <f>IFERROR($CT83*((INDEX(avoidedcosttbl2,$H83,AX$2))+(($H83-ROUNDDOWN($H83,0))*((INDEX(avoidedcosttbl2,ROUNDUP($H83,0),AX$2))-(INDEX(avoidedcosttbl2,ROUNDDOWN($H83,0),AX$2)))))*$O83*1000*'Inputs Yr 2'!AD83,"")</f>
        <v>0</v>
      </c>
      <c r="AY83" s="197">
        <f>IFERROR(((INDEX(avoidedcosttbl2,$H83,AY$2))+(($H83-ROUNDDOWN($H83,0))*((INDEX(avoidedcosttbl2,ROUNDUP($H83,0),AY$2))-(INDEX(avoidedcosttbl2,ROUNDDOWN($H83,0),AY$2)))))*$O83*1000*('Inputs Yr 2'!AC83+'Inputs Yr 2'!AD83),"")</f>
        <v>0</v>
      </c>
      <c r="AZ83" s="197">
        <f>IFERROR(((INDEX(avoidedcosttbl2,$H83,AZ$2))+(($H83-ROUNDDOWN($H83,0))*((INDEX(avoidedcosttbl2,ROUNDUP($H83,0),AZ$2))-(INDEX(avoidedcosttbl2,ROUNDDOWN($H83,0),AZ$2)))))*$O83*1000*('Inputs Yr 2'!AA83+'Inputs Yr 2'!AB83),"")</f>
        <v>0</v>
      </c>
      <c r="BA83" s="198">
        <f t="shared" si="64"/>
        <v>0</v>
      </c>
      <c r="BB83" s="198">
        <f t="shared" si="65"/>
        <v>0</v>
      </c>
      <c r="BC83" s="195">
        <f t="shared" si="47"/>
        <v>0</v>
      </c>
      <c r="BD83" s="195">
        <f t="shared" si="48"/>
        <v>0</v>
      </c>
      <c r="BE83" s="195">
        <f t="shared" si="49"/>
        <v>0</v>
      </c>
      <c r="BF83" s="195">
        <f t="shared" si="50"/>
        <v>0</v>
      </c>
      <c r="BG83" s="195">
        <f t="shared" si="51"/>
        <v>0</v>
      </c>
      <c r="BH83" s="196">
        <f t="shared" si="66"/>
        <v>0</v>
      </c>
      <c r="BI83" s="196">
        <f t="shared" si="67"/>
        <v>0</v>
      </c>
      <c r="BJ83" s="195">
        <f>IFERROR($G83*(IF('Inputs Yr 2'!$AJ83=BJ$4,'Inputs Yr 2'!$AK83,IF('Inputs Yr 2'!$AL83=BJ$4,'Inputs Yr 2'!$AM83,IF('Inputs Yr 2'!$AN83=BJ$4,'Inputs Yr 2'!$AO83,0))))*(INDEX(avoidedcosttbl2,$H83,BJ$2)+(($H83-ROUNDDOWN($H83,0))*(INDEX(avoidedcosttbl2,ROUNDUP($H83,0),BJ$2)-(INDEX(avoidedcosttbl2,ROUNDDOWN($H83,0),BJ$2)))))*'Inputs Yr 2'!P83*'Inputs Yr 2'!Q83*'Inputs Yr 2'!U83,"")</f>
        <v>0</v>
      </c>
      <c r="BK83" s="195">
        <f>IFERROR($G83*(IF('Inputs Yr 2'!$AJ83=BK$4,'Inputs Yr 2'!$AK83,IF('Inputs Yr 2'!$AL83=BK$4,'Inputs Yr 2'!$AM83,IF('Inputs Yr 2'!$AN83=BK$4,'Inputs Yr 2'!$AO83,0))))*(INDEX(avoidedcosttbl2,$H83,BK$2)+(($H83-ROUNDDOWN($H83,0))*(INDEX(avoidedcosttbl2,ROUNDUP($H83,0),BK$2)-(INDEX(avoidedcosttbl2,ROUNDDOWN($H83,0),BK$2)))))*'Inputs Yr 2'!P83*'Inputs Yr 2'!Q83*'Inputs Yr 2'!U83,"")</f>
        <v>0</v>
      </c>
      <c r="BL83" s="195">
        <f>IFERROR($G83*(IF('Inputs Yr 2'!$AJ83=BL$4,'Inputs Yr 2'!$AK83,IF('Inputs Yr 2'!$AL83=BL$4,'Inputs Yr 2'!$AM83,IF('Inputs Yr 2'!$AN83=BL$4,'Inputs Yr 2'!$AO83,0))))*(INDEX(avoidedcosttbl2,$H83,BL$2)+(($H83-ROUNDDOWN($H83,0))*(INDEX(avoidedcosttbl2,ROUNDUP($H83,0),BL$2)-(INDEX(avoidedcosttbl2,ROUNDDOWN($H83,0),BL$2)))))*'Inputs Yr 2'!P83*'Inputs Yr 2'!Q83*'Inputs Yr 2'!U83,"")</f>
        <v>0</v>
      </c>
      <c r="BM83" s="195">
        <f>IFERROR($G83*(IF('Inputs Yr 2'!$AJ83=BM$4,'Inputs Yr 2'!$AK83,IF('Inputs Yr 2'!$AL83=BM$4,'Inputs Yr 2'!$AM83,IF('Inputs Yr 2'!$AN83=BM$4,'Inputs Yr 2'!$AO83,0))))*(INDEX(avoidedcosttbl2,$H83,BM$2)+(($H83-ROUNDDOWN($H83,0))*(INDEX(avoidedcosttbl2,ROUNDUP($H83,0),BM$2)-(INDEX(avoidedcosttbl2,ROUNDDOWN($H83,0),BM$2)))))*'Inputs Yr 2'!P83*'Inputs Yr 2'!Q83*'Inputs Yr 2'!U83,"")</f>
        <v>54467.315332470869</v>
      </c>
      <c r="BN83" s="195">
        <f>IFERROR($G83*(IF('Inputs Yr 2'!$AJ83=BN$4,'Inputs Yr 2'!$AK83,IF('Inputs Yr 2'!$AL83=BN$4,'Inputs Yr 2'!$AM83,IF('Inputs Yr 2'!$AN83=BN$4,'Inputs Yr 2'!$AO83,0))))*(INDEX(avoidedcosttbl2,$H83,BN$2)+(($H83-ROUNDDOWN($H83,0))*(INDEX(avoidedcosttbl2,ROUNDUP($H83,0),BN$2)-(INDEX(avoidedcosttbl2,ROUNDDOWN($H83,0),BN$2)))))*'Inputs Yr 2'!P83*'Inputs Yr 2'!Q83*'Inputs Yr 2'!U83,"")</f>
        <v>0</v>
      </c>
      <c r="BO83" s="195">
        <f>IFERROR($G83*(IF('Inputs Yr 2'!$AJ83=BO$4,'Inputs Yr 2'!$AK83,IF('Inputs Yr 2'!$AL83=BO$4,'Inputs Yr 2'!$AM83,IF('Inputs Yr 2'!$AN83=BO$4,'Inputs Yr 2'!$AO83,0))))*(INDEX(avoidedcosttbl2,$H83,BO$2)+(($H83-ROUNDDOWN($H83,0))*(INDEX(avoidedcosttbl2,ROUNDUP($H83,0),BO$2)-(INDEX(avoidedcosttbl2,ROUNDDOWN($H83,0),BO$2)))))*'Inputs Yr 2'!P83*'Inputs Yr 2'!Q83*'Inputs Yr 2'!U83,"")</f>
        <v>0</v>
      </c>
      <c r="BP83" s="195">
        <f>IFERROR($G83*(IF('Inputs Yr 2'!$AJ83=BP$4,'Inputs Yr 2'!$AK83,IF('Inputs Yr 2'!$AL83=BP$4,'Inputs Yr 2'!$AM83,IF('Inputs Yr 2'!$AN83=BP$4,'Inputs Yr 2'!$AO83,0))))*(INDEX(avoidedcosttbl2,$H83,BP$2)+(($H83-ROUNDDOWN($H83,0))*(INDEX(avoidedcosttbl2,ROUNDUP($H83,0),BP$2)-(INDEX(avoidedcosttbl2,ROUNDDOWN($H83,0),BP$2)))))*'Inputs Yr 2'!P83*'Inputs Yr 2'!Q83*'Inputs Yr 2'!U83,"")</f>
        <v>0</v>
      </c>
      <c r="BQ83" s="230">
        <f t="shared" si="68"/>
        <v>54467.315332470869</v>
      </c>
      <c r="BR83" s="197">
        <f t="shared" si="52"/>
        <v>1050.8093139701814</v>
      </c>
      <c r="BS83" s="197">
        <f>IFERROR(($G83*IF('Inputs Yr 2'!$AJ83=BM$4,'Inputs Yr 2'!$AK83,IF('Inputs Yr 2'!$AL83=BM$4,'Inputs Yr 2'!$AM83,IF('Inputs Yr 2'!$AN83=BM$4,'Inputs Yr 2'!$AO83,0))))*(INDEX(avoidedcosttbl2,$H83,BS$2)+(($H83-ROUNDDOWN($H83,0))*(INDEX(avoidedcosttbl2,ROUNDUP($H83,0),BS$2)-(INDEX(avoidedcosttbl2,ROUNDDOWN($H83,0),BS$2)))))*'Inputs Yr 2'!P83*'Inputs Yr 2'!Q83*'Inputs Yr 2'!U83,"")</f>
        <v>4383.989995248975</v>
      </c>
      <c r="BT83" s="197">
        <f>IFERROR(($G83*IF('Inputs Yr 2'!$AJ83=BK$4,'Inputs Yr 2'!$AK83,IF('Inputs Yr 2'!$AL83=BK$4,'Inputs Yr 2'!$AM83,IF('Inputs Yr 2'!$AN83=BK$4,'Inputs Yr 2'!$AO83,0))))*(INDEX(avoidedcosttbl2,$H83,BT$2)+(($H83-ROUNDDOWN($H83,0))*(INDEX(avoidedcosttbl2,ROUNDUP($H83,0),BT$2)-(INDEX(avoidedcosttbl2,ROUNDDOWN($H83,0),BT$2)))))*'Inputs Yr 2'!P83*'Inputs Yr 2'!Q83*'Inputs Yr 2'!U83,"")</f>
        <v>0</v>
      </c>
      <c r="BU83" s="197">
        <f>IFERROR(($G83*IF('Inputs Yr 2'!$AJ83=BL$4,'Inputs Yr 2'!$AK83,IF('Inputs Yr 2'!$AL83=BL$4,'Inputs Yr 2'!$AM83,IF('Inputs Yr 2'!$AN83=BL$4,'Inputs Yr 2'!$AO83,0))))*(INDEX(avoidedcosttbl2,$H83,BU$2)+(($H83-ROUNDDOWN($H83,0))*(INDEX(avoidedcosttbl2,ROUNDUP($H83,0),BU$2)-(INDEX(avoidedcosttbl2,ROUNDDOWN($H83,0),BU$2)))))*'Inputs Yr 2'!P83*'Inputs Yr 2'!Q83*'Inputs Yr 2'!U83,"")</f>
        <v>0</v>
      </c>
      <c r="BV83" s="775">
        <f>IFERROR(($G83*IF('Inputs Yr 2'!$AJ83=BJ$4,'Inputs Yr 2'!$AK83,IF('Inputs Yr 2'!$AL83=BJ$4,'Inputs Yr 2'!$AM83,IF('Inputs Yr 2'!$AN83=BJ$4,'Inputs Yr 2'!$AO83,0))))*(INDEX(avoidedcosttbl2,$H83,BV$2)+(($H83-ROUNDDOWN($H83,0))*(INDEX(avoidedcosttbl2,ROUNDUP($H83,0),BV$2)-(INDEX(avoidedcosttbl2,ROUNDDOWN($H83,0),BV$2)))))*'Inputs Yr 2'!P83*'Inputs Yr 2'!Q83*'Inputs Yr 2'!U83,"")</f>
        <v>0</v>
      </c>
      <c r="BW83" s="197">
        <f>IFERROR(($G83*IF('Inputs Yr 2'!$AJ83=BN$4,'Inputs Yr 2'!$AK83,IF('Inputs Yr 2'!$AL83=BN$4,'Inputs Yr 2'!$AM83,IF('Inputs Yr 2'!$AN83=BN$4,'Inputs Yr 2'!$AO83,0))))*(INDEX(avoidedcosttbl2,$H83,BW$2)+(($H83-ROUNDDOWN($H83,0))*(INDEX(avoidedcosttbl2,ROUNDUP($H83,0),BW$2)-(INDEX(avoidedcosttbl2,ROUNDDOWN($H83,0),BW$2)))))*'Inputs Yr 2'!P83*'Inputs Yr 2'!Q83*'Inputs Yr 2'!U83,"")</f>
        <v>0</v>
      </c>
      <c r="BX83" s="197">
        <f>IFERROR(($G83*IF('Inputs Yr 2'!$AJ83=BO$4,'Inputs Yr 2'!$AK83,IF('Inputs Yr 2'!$AL83=BO$4,'Inputs Yr 2'!$AM83,IF('Inputs Yr 2'!$AN83=BO$4,'Inputs Yr 2'!$AO83,0))))*(INDEX(avoidedcosttbl2,$H83,BX$2)+(($H83-ROUNDDOWN($H83,0))*(INDEX(avoidedcosttbl2,ROUNDUP($H83,0),BX$2)-(INDEX(avoidedcosttbl2,ROUNDDOWN($H83,0),BX$2)))))*'Inputs Yr 2'!P83*'Inputs Yr 2'!Q83*'Inputs Yr 2'!U83,"")</f>
        <v>0</v>
      </c>
      <c r="BY83" s="197">
        <f>IFERROR(($G83*IF('Inputs Yr 2'!$AJ83=BP$4,'Inputs Yr 2'!$AK83,IF('Inputs Yr 2'!$AL83=BP$4,'Inputs Yr 2'!$AM83,IF('Inputs Yr 2'!$AN83=BP$4,'Inputs Yr 2'!$AO83,0))))*(INDEX(avoidedcosttbl2,$H83,BY$2)+(($H83-ROUNDDOWN($H83,0))*(INDEX(avoidedcosttbl2,ROUNDUP($H83,0),BY$2)-(INDEX(avoidedcosttbl2,ROUNDDOWN($H83,0),BY$2)))))*'Inputs Yr 2'!P83*'Inputs Yr 2'!Q83*'Inputs Yr 2'!U83,"")</f>
        <v>0</v>
      </c>
      <c r="BZ83" s="193">
        <f t="shared" si="69"/>
        <v>5434.7993092191564</v>
      </c>
      <c r="CA83" s="193">
        <f t="shared" si="70"/>
        <v>59902.114641690023</v>
      </c>
      <c r="CB83" s="195">
        <f>IFERROR(G83*(IF('Inputs Yr 2'!$AJ83=CB$4,'Inputs Yr 2'!$AK83,IF('Inputs Yr 2'!$AL83=CB$4,'Inputs Yr 2'!$AM83,IF('Inputs Yr 2'!$AN83=CB$4,'Inputs Yr 2'!$AO83,0))))*(INDEX(avoidedcosttbl2,$H83,CB$2)+(($H83-ROUNDDOWN($H83,0))*(INDEX(avoidedcosttbl2,ROUNDUP($H83,0),CB$2)-(INDEX(avoidedcosttbl2,ROUNDDOWN($H83,0),CB$2)))))*'Inputs Yr 2'!P83*'Inputs Yr 2'!Q83*'Inputs Yr 2'!U83,"")</f>
        <v>0</v>
      </c>
      <c r="CC83" s="195">
        <f>IFERROR(H83*(IF('Inputs Yr 2'!$AJ83=CC$4,'Inputs Yr 2'!$AK83,IF('Inputs Yr 2'!$AL83=CC$4,'Inputs Yr 2'!$AM83,IF('Inputs Yr 2'!$AN83=CC$4,'Inputs Yr 2'!$AO83,0))))*(INDEX(avoidedcosttbl2,$H83,CC$2)+(($H83-ROUNDDOWN($H83,0))*(INDEX(avoidedcosttbl2,ROUNDUP($H83,0),CC$2)-(INDEX(avoidedcosttbl2,ROUNDDOWN($H83,0),CC$2)))))*'Inputs Yr 2'!Q83*'Inputs Yr 2'!R83*'Inputs Yr 2'!V83,"")</f>
        <v>0</v>
      </c>
      <c r="CD83" s="195">
        <f>IFERROR(I83*(IF('Inputs Yr 2'!$AJ83=CD$4,'Inputs Yr 2'!$AK83,IF('Inputs Yr 2'!$AL83=CD$4,'Inputs Yr 2'!$AM83,IF('Inputs Yr 2'!$AN83=CD$4,'Inputs Yr 2'!$AO83,0))))*(INDEX(avoidedcosttbl2,$H83,CD$2)+(($H83-ROUNDDOWN($H83,0))*(INDEX(avoidedcosttbl2,ROUNDUP($H83,0),CD$2)-(INDEX(avoidedcosttbl2,ROUNDDOWN($H83,0),CD$2)))))*'Inputs Yr 2'!R83*'Inputs Yr 2'!S83*'Inputs Yr 2'!W83,"")</f>
        <v>0</v>
      </c>
      <c r="CE83" s="213">
        <f t="shared" si="71"/>
        <v>0</v>
      </c>
      <c r="CF83" s="213">
        <f t="shared" si="72"/>
        <v>0</v>
      </c>
      <c r="CG83" s="213">
        <f t="shared" si="73"/>
        <v>0</v>
      </c>
      <c r="CH83" s="698">
        <f t="shared" si="74"/>
        <v>59902.114641690023</v>
      </c>
      <c r="CI83" s="79">
        <f>IFERROR(($G83*'Inputs Yr 2'!$P83*'Inputs Yr 2'!$Q83*(((INDEX(avoidedcosttbl2,$H83,CI$2)+(($H83-ROUNDDOWN($H83,0))*(INDEX(avoidedcosttbl2,ROUNDUP($H83,0),CI$2)-INDEX(avoidedcosttbl2,ROUNDDOWN($H83,0),CI$2))))*'Inputs Yr 2'!AS83))),"")</f>
        <v>978.06388567101146</v>
      </c>
      <c r="CJ83" s="504">
        <f>IFERROR($G83*'Inputs Yr 2'!AT83*'Inputs Yr 2'!$P83*'Inputs Yr 2'!$Q83/((1+realdiscrt1)^-0.5),"")</f>
        <v>0</v>
      </c>
      <c r="CK83" s="79">
        <f>IFERROR((O83*1000*(((INDEX(avoidedcosttbl2,$H83,CK$2)+(($H83-ROUNDDOWN($H83,0))*(INDEX(avoidedcosttbl2,ROUNDUP($H83,0),CK$2)-INDEX(avoidedcosttbl2,ROUNDDOWN($H83,0),CK$2))))*'Inputs Yr 2'!AU83))),"")</f>
        <v>0</v>
      </c>
      <c r="CL83" s="504">
        <f>IFERROR(O83*1000*'Inputs Yr 2'!AV83/((1+realdiscrt1)^-0.5),"")</f>
        <v>0</v>
      </c>
      <c r="CM83" s="79">
        <f>IFERROR((AB83*'Inputs Yr 2'!AW83*(((INDEX(avoidedcosttbl2,$H83,CM$2)+(($H83-ROUNDDOWN($H83,0))*(INDEX(avoidedcosttbl2,ROUNDUP($H83,0),CM$2)-INDEX(avoidedcosttbl2,ROUNDDOWN($H83,0),CM$2)))))))*10,"")</f>
        <v>0</v>
      </c>
      <c r="CN83" s="504">
        <f>IFERROR(10*AB83*'Inputs Yr 2'!AX83/((1+realdiscrt1)^-0.5),"")</f>
        <v>0</v>
      </c>
      <c r="CO83" s="505">
        <f t="shared" si="75"/>
        <v>978.06388567101146</v>
      </c>
      <c r="CP83" s="230">
        <f t="shared" si="76"/>
        <v>60880.178527361037</v>
      </c>
      <c r="CQ83" s="199">
        <f>ROUND(IFERROR(IF(LEFT($A83,1)="C",'Avoided Costs'!$K$13,'Avoided Costs'!$K$12)+1,""),4)</f>
        <v>1.0720000000000001</v>
      </c>
      <c r="CR83" s="199">
        <f>ROUND(IFERROR(IF(LEFT($A83,1)="C",'Avoided Costs'!$L$13,'Avoided Costs'!$L$12)+1,""),4)</f>
        <v>1.04</v>
      </c>
      <c r="CS83" s="199">
        <f>ROUND(IFERROR(IF(LEFT($A83,1)="C",'Avoided Costs'!$M$13,'Avoided Costs'!$M$12)+1,""),4)</f>
        <v>1.0720000000000001</v>
      </c>
      <c r="CT83" s="199">
        <f>ROUND(IFERROR(IF(LEFT($A83,1)="C",'Avoided Costs'!$N$13,'Avoided Costs'!$N$12)+1,""),4)</f>
        <v>1.04</v>
      </c>
      <c r="CU83" s="199">
        <f>ROUND(IFERROR(IF(LEFT($A83,1)="C",'Avoided Costs'!$O$13,'Avoided Costs'!$O$12)+1,""),4)</f>
        <v>1.1120000000000001</v>
      </c>
      <c r="CV83" s="199">
        <f>ROUND(IFERROR(IF(LEFT($A83,1)="C",'Avoided Costs'!$P$13,'Avoided Costs'!$P$12)+1,""),4)</f>
        <v>1.095</v>
      </c>
      <c r="CW83" s="199">
        <f>ROUND(IFERROR(IF(LEFT($A83,1)="C",'Avoided Costs'!$Q$13,'Avoided Costs'!$Q$12)+1,""),4)</f>
        <v>1.1120000000000001</v>
      </c>
      <c r="CX83" s="200">
        <f>ROUND(IFERROR(IF(LEFT($A83,1)="C",'Avoided Costs'!$R$13,'Avoided Costs'!$R$12)+1,""),4)</f>
        <v>1.1120000000000001</v>
      </c>
    </row>
    <row r="84" spans="1:102" ht="12.75" customHeight="1">
      <c r="A84" s="91" t="str">
        <f>IF('Inputs Yr 2'!$B84=0,"",'Inputs Yr 2'!A84)</f>
        <v>A - Residential</v>
      </c>
      <c r="B84" s="91" t="str">
        <f>IF('Inputs Yr 2'!$B84=0,"",'Inputs Yr 2'!B84)</f>
        <v>A2 - Residential Products</v>
      </c>
      <c r="C84" s="91" t="str">
        <f>IF('Inputs Yr 2'!$B84=0,"",'Inputs Yr 2'!C84)</f>
        <v xml:space="preserve">A2a - Residential Heating &amp; Cooling Equipment </v>
      </c>
      <c r="D84" s="91" t="str">
        <f>IF('Inputs Yr 2'!$B84=0,"",'Inputs Yr 2'!E84)</f>
        <v>Combo Condensing Boiler/Water Heater 95%</v>
      </c>
      <c r="E84" s="93" t="str">
        <f>IF('Inputs Yr 2'!$B84=0,"",'Inputs Yr 2'!F84)</f>
        <v>G16A2a08</v>
      </c>
      <c r="F84" s="93" t="str">
        <f>IF('Inputs Yr 2'!$B84=0,"",'Inputs Yr 2'!G84)</f>
        <v>HVAC</v>
      </c>
      <c r="G84" s="95">
        <f>IF('Inputs Yr 2'!$H84&lt;&gt;0,('Inputs Yr 2'!H84),"")</f>
        <v>1659</v>
      </c>
      <c r="H84" s="94">
        <f>IFERROR('Inputs Yr 2'!I84,"")</f>
        <v>19</v>
      </c>
      <c r="I84" s="298">
        <f>IFERROR('Inputs Yr 2'!J84*'Inputs Yr 2'!P84*G84,"")</f>
        <v>4131410.6698705871</v>
      </c>
      <c r="J84" s="298">
        <f>IFERROR('Inputs Yr 2'!K84*G84,"")</f>
        <v>2639637.7118644067</v>
      </c>
      <c r="K84" s="298">
        <f t="shared" si="53"/>
        <v>1491772.9580061804</v>
      </c>
      <c r="L84" s="194">
        <f>IFERROR(('Inputs Yr 2'!W84*G84)/1000,"")</f>
        <v>0</v>
      </c>
      <c r="M84" s="194">
        <f>IFERROR(L84*('Inputs Yr 2'!$Q84*'Inputs Yr 2'!$V84*'Inputs Yr 2'!$R84),"")</f>
        <v>0</v>
      </c>
      <c r="N84" s="194">
        <f t="shared" si="54"/>
        <v>0</v>
      </c>
      <c r="O84" s="194">
        <f>IFERROR(M84*'Inputs Yr 2'!P84,"")</f>
        <v>0</v>
      </c>
      <c r="P84" s="194">
        <f t="shared" si="55"/>
        <v>0</v>
      </c>
      <c r="Q84" s="194">
        <f>IFERROR($P84*'Inputs Yr 2'!AA84,"")</f>
        <v>0</v>
      </c>
      <c r="R84" s="194">
        <f>IFERROR($P84*'Inputs Yr 2'!AB84,"")</f>
        <v>0</v>
      </c>
      <c r="S84" s="194">
        <f>IFERROR($P84*'Inputs Yr 2'!AC84,"")</f>
        <v>0</v>
      </c>
      <c r="T84" s="194">
        <f>IFERROR($P84*'Inputs Yr 2'!AD84,"")</f>
        <v>0</v>
      </c>
      <c r="U84" s="194">
        <f>IFERROR(G84*'Inputs Yr 2'!$AE84*'Inputs Yr 2'!$P84*'Inputs Yr 2'!$Q84,"")</f>
        <v>0</v>
      </c>
      <c r="V84" s="194">
        <f>IFERROR($G84*'Inputs Yr 2'!$AE84*'Inputs Yr 2'!$AG84*'Inputs Yr 2'!Q84*'Inputs Yr 2'!$S84,"")</f>
        <v>0</v>
      </c>
      <c r="W84" s="194">
        <f>IFERROR($G84*'Inputs Yr 2'!$AE84*'Inputs Yr 2'!$AG84*'Inputs Yr 2'!P84*'Inputs Yr 2'!Q84*'Inputs Yr 2'!$S84,"")</f>
        <v>0</v>
      </c>
      <c r="X84" s="194">
        <f>IFERROR($G84*'Inputs Yr 2'!$AE84*'Inputs Yr 2'!$AF84*'Inputs Yr 2'!Q84*'Inputs Yr 2'!$T84,"")</f>
        <v>0</v>
      </c>
      <c r="Y84" s="194">
        <f>IFERROR($G84*'Inputs Yr 2'!$AE84*'Inputs Yr 2'!$AF84*'Inputs Yr 2'!P84*'Inputs Yr 2'!Q84*'Inputs Yr 2'!$T84,"")</f>
        <v>0</v>
      </c>
      <c r="Z84" s="257">
        <f>IFERROR($G84*'Inputs Yr 2'!$Q84*'Inputs Yr 2'!$U84*(IF(IFERROR(SEARCH("NG", 'Inputs Yr 2'!$AJ84),0),'Inputs Yr 2'!$AK84,0)+IF(IFERROR(SEARCH("NG", 'Inputs Yr 2'!$AL84),0),'Inputs Yr 2'!$AM84,0)+IF(IFERROR(SEARCH("NG", 'Inputs Yr 2'!$AN84),0),'Inputs Yr 2'!$AO84,0)),0)</f>
        <v>21235.200000000004</v>
      </c>
      <c r="AA84" s="257">
        <f t="shared" si="56"/>
        <v>403468.8000000001</v>
      </c>
      <c r="AB84" s="257">
        <f>IFERROR(Z84*'Inputs Yr 2'!$P84,0)</f>
        <v>15714.048000000001</v>
      </c>
      <c r="AC84" s="257">
        <f t="shared" si="57"/>
        <v>298566.91200000001</v>
      </c>
      <c r="AD84" s="257">
        <f>IFERROR($G84*'Inputs Yr 2'!$Q84*'Inputs Yr 2'!$U84*(IF(IFERROR(SEARCH("Oil", 'Inputs Yr 2'!$AJ84), 0),'Inputs Yr 2'!$AK84,0)+IF(IFERROR(SEARCH("Oil", 'Inputs Yr 2'!$AL84), 0),'Inputs Yr 2'!$AM84,0)+IF(IFERROR(SEARCH("Oil", 'Inputs Yr 2'!$AN84), 0),'Inputs Yr 2'!$AO84,0)),0)</f>
        <v>0</v>
      </c>
      <c r="AE84" s="257">
        <f t="shared" si="58"/>
        <v>0</v>
      </c>
      <c r="AF84" s="257">
        <f>IFERROR(AD84*'Inputs Yr 2'!$P84,0)</f>
        <v>0</v>
      </c>
      <c r="AG84" s="257">
        <f t="shared" si="59"/>
        <v>0</v>
      </c>
      <c r="AH84" s="257">
        <f>IFERROR($G84*'Inputs Yr 2'!$Q84*'Inputs Yr 2'!$U84*(IF('Inputs Yr 2'!$AJ84=CD$4,'Inputs Yr 2'!$AK84,IF('Inputs Yr 2'!$AL84=CD$4,'Inputs Yr 2'!$AM84,IF('Inputs Yr 2'!$AN84=CD$4,'Inputs Yr 2'!$AO84,0)))),0)</f>
        <v>0</v>
      </c>
      <c r="AI84" s="257">
        <f t="shared" si="60"/>
        <v>0</v>
      </c>
      <c r="AJ84" s="257">
        <f>IFERROR(AH84*'Inputs Yr 2'!$P84,0)</f>
        <v>0</v>
      </c>
      <c r="AK84" s="257">
        <f t="shared" si="61"/>
        <v>0</v>
      </c>
      <c r="AL84" s="258">
        <f>IFERROR($G84*'Inputs Yr 2'!$P84*'Inputs Yr 2'!$Q84*'Inputs Yr 2'!AP84,0)</f>
        <v>0</v>
      </c>
      <c r="AM84" s="260">
        <f>IFERROR($G84*'Inputs Yr 2'!$P84*'Inputs Yr 2'!$Q84*'Inputs Yr 2'!AQ84,0)</f>
        <v>0</v>
      </c>
      <c r="AN84" s="258">
        <f>IFERROR($G84*'Inputs Yr 2'!$P84*'Inputs Yr 2'!$Q84*'Inputs Yr 2'!AR84,0)</f>
        <v>0</v>
      </c>
      <c r="AO84" s="257">
        <f t="shared" si="62"/>
        <v>0</v>
      </c>
      <c r="AP84" s="195">
        <f>IFERROR($CQ84*(INDEX(avoidedcosttbl2,$H84,AP$2)+(($H84-ROUNDDOWN($H84,0))*(INDEX(avoidedcosttbl2,ROUNDUP($H84,0),AP$2)-(INDEX(avoidedcosttbl2,ROUNDDOWN($H84,0),AP$2)))))*$O84*1000*'Inputs Yr 2'!AA84,"")</f>
        <v>0</v>
      </c>
      <c r="AQ84" s="195">
        <f>IFERROR($CR84*(INDEX(avoidedcosttbl2,$H84,AQ$2)+(($H84-ROUNDDOWN($H84,0))*(INDEX(avoidedcosttbl2,ROUNDUP($H84,0),AQ$2)-(INDEX(avoidedcosttbl2,ROUNDDOWN($H84,0),AQ$2)))))*$O84*1000*'Inputs Yr 2'!AB84,"")</f>
        <v>0</v>
      </c>
      <c r="AR84" s="195">
        <f>IFERROR($CS84*(INDEX(avoidedcosttbl2,$H84,AR$2)+(($H84-ROUNDDOWN($H84,0))*(INDEX(avoidedcosttbl2,ROUNDUP($H84,0),AR$2)-(INDEX(avoidedcosttbl2,ROUNDDOWN($H84,0),AR$2)))))*$O84*1000*'Inputs Yr 2'!AC84,"")</f>
        <v>0</v>
      </c>
      <c r="AS84" s="195">
        <f>IFERROR($CT84*(INDEX(avoidedcosttbl2,$H84,AS$2)+(($H84-ROUNDDOWN($H84,0))*(INDEX(avoidedcosttbl2,ROUNDUP($H84,0),AS$2)-(INDEX(avoidedcosttbl2,ROUNDDOWN($H84,0),AS$2)))))*$O84*1000*'Inputs Yr 2'!AD84,"")</f>
        <v>0</v>
      </c>
      <c r="AT84" s="196">
        <f t="shared" si="63"/>
        <v>0</v>
      </c>
      <c r="AU84" s="197">
        <f>IFERROR($CQ84*((INDEX(avoidedcosttbl2,$H84,AU$2))+(($H84-ROUNDDOWN($H84,0))*((INDEX(avoidedcosttbl2,ROUNDUP($H84,0),AU$2))-(INDEX(avoidedcosttbl2,ROUNDDOWN($H84,0),AU$2)))))*$O84*1000*'Inputs Yr 2'!AA84,"")</f>
        <v>0</v>
      </c>
      <c r="AV84" s="197">
        <f>IFERROR($CR84*((INDEX(avoidedcosttbl2,$H84,AV$2))+(($H84-ROUNDDOWN($H84,0))*((INDEX(avoidedcosttbl2,ROUNDUP($H84,0),AV$2))-(INDEX(avoidedcosttbl2,ROUNDDOWN($H84,0),AV$2)))))*$O84*1000*'Inputs Yr 2'!AB84,"")</f>
        <v>0</v>
      </c>
      <c r="AW84" s="197">
        <f>IFERROR($CS84*((INDEX(avoidedcosttbl2,$H84,AW$2))+(($H84-ROUNDDOWN($H84,0))*((INDEX(avoidedcosttbl2,ROUNDUP($H84,0),AW$2))-(INDEX(avoidedcosttbl2,ROUNDDOWN($H84,0),AW$2)))))*$O84*1000*'Inputs Yr 2'!AC84,"")</f>
        <v>0</v>
      </c>
      <c r="AX84" s="197">
        <f>IFERROR($CT84*((INDEX(avoidedcosttbl2,$H84,AX$2))+(($H84-ROUNDDOWN($H84,0))*((INDEX(avoidedcosttbl2,ROUNDUP($H84,0),AX$2))-(INDEX(avoidedcosttbl2,ROUNDDOWN($H84,0),AX$2)))))*$O84*1000*'Inputs Yr 2'!AD84,"")</f>
        <v>0</v>
      </c>
      <c r="AY84" s="197">
        <f>IFERROR(((INDEX(avoidedcosttbl2,$H84,AY$2))+(($H84-ROUNDDOWN($H84,0))*((INDEX(avoidedcosttbl2,ROUNDUP($H84,0),AY$2))-(INDEX(avoidedcosttbl2,ROUNDDOWN($H84,0),AY$2)))))*$O84*1000*('Inputs Yr 2'!AC84+'Inputs Yr 2'!AD84),"")</f>
        <v>0</v>
      </c>
      <c r="AZ84" s="197">
        <f>IFERROR(((INDEX(avoidedcosttbl2,$H84,AZ$2))+(($H84-ROUNDDOWN($H84,0))*((INDEX(avoidedcosttbl2,ROUNDUP($H84,0),AZ$2))-(INDEX(avoidedcosttbl2,ROUNDDOWN($H84,0),AZ$2)))))*$O84*1000*('Inputs Yr 2'!AA84+'Inputs Yr 2'!AB84),"")</f>
        <v>0</v>
      </c>
      <c r="BA84" s="198">
        <f t="shared" si="64"/>
        <v>0</v>
      </c>
      <c r="BB84" s="198">
        <f t="shared" si="65"/>
        <v>0</v>
      </c>
      <c r="BC84" s="195">
        <f t="shared" si="47"/>
        <v>0</v>
      </c>
      <c r="BD84" s="195">
        <f t="shared" si="48"/>
        <v>0</v>
      </c>
      <c r="BE84" s="195">
        <f t="shared" si="49"/>
        <v>0</v>
      </c>
      <c r="BF84" s="195">
        <f t="shared" si="50"/>
        <v>0</v>
      </c>
      <c r="BG84" s="195">
        <f t="shared" si="51"/>
        <v>0</v>
      </c>
      <c r="BH84" s="196">
        <f t="shared" si="66"/>
        <v>0</v>
      </c>
      <c r="BI84" s="196">
        <f t="shared" si="67"/>
        <v>0</v>
      </c>
      <c r="BJ84" s="195">
        <f>IFERROR($G84*(IF('Inputs Yr 2'!$AJ84=BJ$4,'Inputs Yr 2'!$AK84,IF('Inputs Yr 2'!$AL84=BJ$4,'Inputs Yr 2'!$AM84,IF('Inputs Yr 2'!$AN84=BJ$4,'Inputs Yr 2'!$AO84,0))))*(INDEX(avoidedcosttbl2,$H84,BJ$2)+(($H84-ROUNDDOWN($H84,0))*(INDEX(avoidedcosttbl2,ROUNDUP($H84,0),BJ$2)-(INDEX(avoidedcosttbl2,ROUNDDOWN($H84,0),BJ$2)))))*'Inputs Yr 2'!P84*'Inputs Yr 2'!Q84*'Inputs Yr 2'!U84,"")</f>
        <v>0</v>
      </c>
      <c r="BK84" s="195">
        <f>IFERROR($G84*(IF('Inputs Yr 2'!$AJ84=BK$4,'Inputs Yr 2'!$AK84,IF('Inputs Yr 2'!$AL84=BK$4,'Inputs Yr 2'!$AM84,IF('Inputs Yr 2'!$AN84=BK$4,'Inputs Yr 2'!$AO84,0))))*(INDEX(avoidedcosttbl2,$H84,BK$2)+(($H84-ROUNDDOWN($H84,0))*(INDEX(avoidedcosttbl2,ROUNDUP($H84,0),BK$2)-(INDEX(avoidedcosttbl2,ROUNDDOWN($H84,0),BK$2)))))*'Inputs Yr 2'!P84*'Inputs Yr 2'!Q84*'Inputs Yr 2'!U84,"")</f>
        <v>0</v>
      </c>
      <c r="BL84" s="195">
        <f>IFERROR($G84*(IF('Inputs Yr 2'!$AJ84=BL$4,'Inputs Yr 2'!$AK84,IF('Inputs Yr 2'!$AL84=BL$4,'Inputs Yr 2'!$AM84,IF('Inputs Yr 2'!$AN84=BL$4,'Inputs Yr 2'!$AO84,0))))*(INDEX(avoidedcosttbl2,$H84,BL$2)+(($H84-ROUNDDOWN($H84,0))*(INDEX(avoidedcosttbl2,ROUNDUP($H84,0),BL$2)-(INDEX(avoidedcosttbl2,ROUNDDOWN($H84,0),BL$2)))))*'Inputs Yr 2'!P84*'Inputs Yr 2'!Q84*'Inputs Yr 2'!U84,"")</f>
        <v>0</v>
      </c>
      <c r="BM84" s="195">
        <f>IFERROR($G84*(IF('Inputs Yr 2'!$AJ84=BM$4,'Inputs Yr 2'!$AK84,IF('Inputs Yr 2'!$AL84=BM$4,'Inputs Yr 2'!$AM84,IF('Inputs Yr 2'!$AN84=BM$4,'Inputs Yr 2'!$AO84,0))))*(INDEX(avoidedcosttbl2,$H84,BM$2)+(($H84-ROUNDDOWN($H84,0))*(INDEX(avoidedcosttbl2,ROUNDUP($H84,0),BM$2)-(INDEX(avoidedcosttbl2,ROUNDDOWN($H84,0),BM$2)))))*'Inputs Yr 2'!P84*'Inputs Yr 2'!Q84*'Inputs Yr 2'!U84,"")</f>
        <v>2079511.5687667846</v>
      </c>
      <c r="BN84" s="195">
        <f>IFERROR($G84*(IF('Inputs Yr 2'!$AJ84=BN$4,'Inputs Yr 2'!$AK84,IF('Inputs Yr 2'!$AL84=BN$4,'Inputs Yr 2'!$AM84,IF('Inputs Yr 2'!$AN84=BN$4,'Inputs Yr 2'!$AO84,0))))*(INDEX(avoidedcosttbl2,$H84,BN$2)+(($H84-ROUNDDOWN($H84,0))*(INDEX(avoidedcosttbl2,ROUNDUP($H84,0),BN$2)-(INDEX(avoidedcosttbl2,ROUNDDOWN($H84,0),BN$2)))))*'Inputs Yr 2'!P84*'Inputs Yr 2'!Q84*'Inputs Yr 2'!U84,"")</f>
        <v>0</v>
      </c>
      <c r="BO84" s="195">
        <f>IFERROR($G84*(IF('Inputs Yr 2'!$AJ84=BO$4,'Inputs Yr 2'!$AK84,IF('Inputs Yr 2'!$AL84=BO$4,'Inputs Yr 2'!$AM84,IF('Inputs Yr 2'!$AN84=BO$4,'Inputs Yr 2'!$AO84,0))))*(INDEX(avoidedcosttbl2,$H84,BO$2)+(($H84-ROUNDDOWN($H84,0))*(INDEX(avoidedcosttbl2,ROUNDUP($H84,0),BO$2)-(INDEX(avoidedcosttbl2,ROUNDDOWN($H84,0),BO$2)))))*'Inputs Yr 2'!P84*'Inputs Yr 2'!Q84*'Inputs Yr 2'!U84,"")</f>
        <v>0</v>
      </c>
      <c r="BP84" s="195">
        <f>IFERROR($G84*(IF('Inputs Yr 2'!$AJ84=BP$4,'Inputs Yr 2'!$AK84,IF('Inputs Yr 2'!$AL84=BP$4,'Inputs Yr 2'!$AM84,IF('Inputs Yr 2'!$AN84=BP$4,'Inputs Yr 2'!$AO84,0))))*(INDEX(avoidedcosttbl2,$H84,BP$2)+(($H84-ROUNDDOWN($H84,0))*(INDEX(avoidedcosttbl2,ROUNDUP($H84,0),BP$2)-(INDEX(avoidedcosttbl2,ROUNDDOWN($H84,0),BP$2)))))*'Inputs Yr 2'!P84*'Inputs Yr 2'!Q84*'Inputs Yr 2'!U84,"")</f>
        <v>0</v>
      </c>
      <c r="BQ84" s="230">
        <f t="shared" si="68"/>
        <v>2079511.5687667846</v>
      </c>
      <c r="BR84" s="197">
        <f t="shared" si="52"/>
        <v>40118.924746529301</v>
      </c>
      <c r="BS84" s="197">
        <f>IFERROR(($G84*IF('Inputs Yr 2'!$AJ84=BM$4,'Inputs Yr 2'!$AK84,IF('Inputs Yr 2'!$AL84=BM$4,'Inputs Yr 2'!$AM84,IF('Inputs Yr 2'!$AN84=BM$4,'Inputs Yr 2'!$AO84,0))))*(INDEX(avoidedcosttbl2,$H84,BS$2)+(($H84-ROUNDDOWN($H84,0))*(INDEX(avoidedcosttbl2,ROUNDUP($H84,0),BS$2)-(INDEX(avoidedcosttbl2,ROUNDDOWN($H84,0),BS$2)))))*'Inputs Yr 2'!P84*'Inputs Yr 2'!Q84*'Inputs Yr 2'!U84,"")</f>
        <v>167376.67088657146</v>
      </c>
      <c r="BT84" s="197">
        <f>IFERROR(($G84*IF('Inputs Yr 2'!$AJ84=BK$4,'Inputs Yr 2'!$AK84,IF('Inputs Yr 2'!$AL84=BK$4,'Inputs Yr 2'!$AM84,IF('Inputs Yr 2'!$AN84=BK$4,'Inputs Yr 2'!$AO84,0))))*(INDEX(avoidedcosttbl2,$H84,BT$2)+(($H84-ROUNDDOWN($H84,0))*(INDEX(avoidedcosttbl2,ROUNDUP($H84,0),BT$2)-(INDEX(avoidedcosttbl2,ROUNDDOWN($H84,0),BT$2)))))*'Inputs Yr 2'!P84*'Inputs Yr 2'!Q84*'Inputs Yr 2'!U84,"")</f>
        <v>0</v>
      </c>
      <c r="BU84" s="197">
        <f>IFERROR(($G84*IF('Inputs Yr 2'!$AJ84=BL$4,'Inputs Yr 2'!$AK84,IF('Inputs Yr 2'!$AL84=BL$4,'Inputs Yr 2'!$AM84,IF('Inputs Yr 2'!$AN84=BL$4,'Inputs Yr 2'!$AO84,0))))*(INDEX(avoidedcosttbl2,$H84,BU$2)+(($H84-ROUNDDOWN($H84,0))*(INDEX(avoidedcosttbl2,ROUNDUP($H84,0),BU$2)-(INDEX(avoidedcosttbl2,ROUNDDOWN($H84,0),BU$2)))))*'Inputs Yr 2'!P84*'Inputs Yr 2'!Q84*'Inputs Yr 2'!U84,"")</f>
        <v>0</v>
      </c>
      <c r="BV84" s="775">
        <f>IFERROR(($G84*IF('Inputs Yr 2'!$AJ84=BJ$4,'Inputs Yr 2'!$AK84,IF('Inputs Yr 2'!$AL84=BJ$4,'Inputs Yr 2'!$AM84,IF('Inputs Yr 2'!$AN84=BJ$4,'Inputs Yr 2'!$AO84,0))))*(INDEX(avoidedcosttbl2,$H84,BV$2)+(($H84-ROUNDDOWN($H84,0))*(INDEX(avoidedcosttbl2,ROUNDUP($H84,0),BV$2)-(INDEX(avoidedcosttbl2,ROUNDDOWN($H84,0),BV$2)))))*'Inputs Yr 2'!P84*'Inputs Yr 2'!Q84*'Inputs Yr 2'!U84,"")</f>
        <v>0</v>
      </c>
      <c r="BW84" s="197">
        <f>IFERROR(($G84*IF('Inputs Yr 2'!$AJ84=BN$4,'Inputs Yr 2'!$AK84,IF('Inputs Yr 2'!$AL84=BN$4,'Inputs Yr 2'!$AM84,IF('Inputs Yr 2'!$AN84=BN$4,'Inputs Yr 2'!$AO84,0))))*(INDEX(avoidedcosttbl2,$H84,BW$2)+(($H84-ROUNDDOWN($H84,0))*(INDEX(avoidedcosttbl2,ROUNDUP($H84,0),BW$2)-(INDEX(avoidedcosttbl2,ROUNDDOWN($H84,0),BW$2)))))*'Inputs Yr 2'!P84*'Inputs Yr 2'!Q84*'Inputs Yr 2'!U84,"")</f>
        <v>0</v>
      </c>
      <c r="BX84" s="197">
        <f>IFERROR(($G84*IF('Inputs Yr 2'!$AJ84=BO$4,'Inputs Yr 2'!$AK84,IF('Inputs Yr 2'!$AL84=BO$4,'Inputs Yr 2'!$AM84,IF('Inputs Yr 2'!$AN84=BO$4,'Inputs Yr 2'!$AO84,0))))*(INDEX(avoidedcosttbl2,$H84,BX$2)+(($H84-ROUNDDOWN($H84,0))*(INDEX(avoidedcosttbl2,ROUNDUP($H84,0),BX$2)-(INDEX(avoidedcosttbl2,ROUNDDOWN($H84,0),BX$2)))))*'Inputs Yr 2'!P84*'Inputs Yr 2'!Q84*'Inputs Yr 2'!U84,"")</f>
        <v>0</v>
      </c>
      <c r="BY84" s="197">
        <f>IFERROR(($G84*IF('Inputs Yr 2'!$AJ84=BP$4,'Inputs Yr 2'!$AK84,IF('Inputs Yr 2'!$AL84=BP$4,'Inputs Yr 2'!$AM84,IF('Inputs Yr 2'!$AN84=BP$4,'Inputs Yr 2'!$AO84,0))))*(INDEX(avoidedcosttbl2,$H84,BY$2)+(($H84-ROUNDDOWN($H84,0))*(INDEX(avoidedcosttbl2,ROUNDUP($H84,0),BY$2)-(INDEX(avoidedcosttbl2,ROUNDDOWN($H84,0),BY$2)))))*'Inputs Yr 2'!P84*'Inputs Yr 2'!Q84*'Inputs Yr 2'!U84,"")</f>
        <v>0</v>
      </c>
      <c r="BZ84" s="193">
        <f t="shared" si="69"/>
        <v>207495.59563310078</v>
      </c>
      <c r="CA84" s="193">
        <f t="shared" si="70"/>
        <v>2287007.1643998856</v>
      </c>
      <c r="CB84" s="195">
        <f>IFERROR(G84*(IF('Inputs Yr 2'!$AJ84=CB$4,'Inputs Yr 2'!$AK84,IF('Inputs Yr 2'!$AL84=CB$4,'Inputs Yr 2'!$AM84,IF('Inputs Yr 2'!$AN84=CB$4,'Inputs Yr 2'!$AO84,0))))*(INDEX(avoidedcosttbl2,$H84,CB$2)+(($H84-ROUNDDOWN($H84,0))*(INDEX(avoidedcosttbl2,ROUNDUP($H84,0),CB$2)-(INDEX(avoidedcosttbl2,ROUNDDOWN($H84,0),CB$2)))))*'Inputs Yr 2'!P84*'Inputs Yr 2'!Q84*'Inputs Yr 2'!U84,"")</f>
        <v>0</v>
      </c>
      <c r="CC84" s="195">
        <f>IFERROR(H84*(IF('Inputs Yr 2'!$AJ84=CC$4,'Inputs Yr 2'!$AK84,IF('Inputs Yr 2'!$AL84=CC$4,'Inputs Yr 2'!$AM84,IF('Inputs Yr 2'!$AN84=CC$4,'Inputs Yr 2'!$AO84,0))))*(INDEX(avoidedcosttbl2,$H84,CC$2)+(($H84-ROUNDDOWN($H84,0))*(INDEX(avoidedcosttbl2,ROUNDUP($H84,0),CC$2)-(INDEX(avoidedcosttbl2,ROUNDDOWN($H84,0),CC$2)))))*'Inputs Yr 2'!Q84*'Inputs Yr 2'!R84*'Inputs Yr 2'!V84,"")</f>
        <v>0</v>
      </c>
      <c r="CD84" s="195">
        <f>IFERROR(I84*(IF('Inputs Yr 2'!$AJ84=CD$4,'Inputs Yr 2'!$AK84,IF('Inputs Yr 2'!$AL84=CD$4,'Inputs Yr 2'!$AM84,IF('Inputs Yr 2'!$AN84=CD$4,'Inputs Yr 2'!$AO84,0))))*(INDEX(avoidedcosttbl2,$H84,CD$2)+(($H84-ROUNDDOWN($H84,0))*(INDEX(avoidedcosttbl2,ROUNDUP($H84,0),CD$2)-(INDEX(avoidedcosttbl2,ROUNDDOWN($H84,0),CD$2)))))*'Inputs Yr 2'!R84*'Inputs Yr 2'!S84*'Inputs Yr 2'!W84,"")</f>
        <v>0</v>
      </c>
      <c r="CE84" s="213">
        <f t="shared" si="71"/>
        <v>0</v>
      </c>
      <c r="CF84" s="213">
        <f t="shared" si="72"/>
        <v>0</v>
      </c>
      <c r="CG84" s="213">
        <f t="shared" si="73"/>
        <v>0</v>
      </c>
      <c r="CH84" s="698">
        <f t="shared" si="74"/>
        <v>2287007.1643998856</v>
      </c>
      <c r="CI84" s="79">
        <f>IFERROR(($G84*'Inputs Yr 2'!$P84*'Inputs Yr 2'!$Q84*(((INDEX(avoidedcosttbl2,$H84,CI$2)+(($H84-ROUNDDOWN($H84,0))*(INDEX(avoidedcosttbl2,ROUNDUP($H84,0),CI$2)-INDEX(avoidedcosttbl2,ROUNDDOWN($H84,0),CI$2))))*'Inputs Yr 2'!AS84))),"")</f>
        <v>30048.296043114962</v>
      </c>
      <c r="CJ84" s="504">
        <f>IFERROR($G84*'Inputs Yr 2'!AT84*'Inputs Yr 2'!$P84*'Inputs Yr 2'!$Q84/((1+realdiscrt1)^-0.5),"")</f>
        <v>0</v>
      </c>
      <c r="CK84" s="79">
        <f>IFERROR((O84*1000*(((INDEX(avoidedcosttbl2,$H84,CK$2)+(($H84-ROUNDDOWN($H84,0))*(INDEX(avoidedcosttbl2,ROUNDUP($H84,0),CK$2)-INDEX(avoidedcosttbl2,ROUNDDOWN($H84,0),CK$2))))*'Inputs Yr 2'!AU84))),"")</f>
        <v>0</v>
      </c>
      <c r="CL84" s="504">
        <f>IFERROR(O84*1000*'Inputs Yr 2'!AV84/((1+realdiscrt1)^-0.5),"")</f>
        <v>0</v>
      </c>
      <c r="CM84" s="79">
        <f>IFERROR((AB84*'Inputs Yr 2'!AW84*(((INDEX(avoidedcosttbl2,$H84,CM$2)+(($H84-ROUNDDOWN($H84,0))*(INDEX(avoidedcosttbl2,ROUNDUP($H84,0),CM$2)-INDEX(avoidedcosttbl2,ROUNDDOWN($H84,0),CM$2)))))))*10,"")</f>
        <v>0</v>
      </c>
      <c r="CN84" s="504">
        <f>IFERROR(10*AB84*'Inputs Yr 2'!AX84/((1+realdiscrt1)^-0.5),"")</f>
        <v>0</v>
      </c>
      <c r="CO84" s="505">
        <f t="shared" si="75"/>
        <v>30048.296043114962</v>
      </c>
      <c r="CP84" s="230">
        <f t="shared" si="76"/>
        <v>2317055.4604430003</v>
      </c>
      <c r="CQ84" s="199">
        <f>ROUND(IFERROR(IF(LEFT($A84,1)="C",'Avoided Costs'!$K$13,'Avoided Costs'!$K$12)+1,""),4)</f>
        <v>1.0720000000000001</v>
      </c>
      <c r="CR84" s="199">
        <f>ROUND(IFERROR(IF(LEFT($A84,1)="C",'Avoided Costs'!$L$13,'Avoided Costs'!$L$12)+1,""),4)</f>
        <v>1.04</v>
      </c>
      <c r="CS84" s="199">
        <f>ROUND(IFERROR(IF(LEFT($A84,1)="C",'Avoided Costs'!$M$13,'Avoided Costs'!$M$12)+1,""),4)</f>
        <v>1.0720000000000001</v>
      </c>
      <c r="CT84" s="199">
        <f>ROUND(IFERROR(IF(LEFT($A84,1)="C",'Avoided Costs'!$N$13,'Avoided Costs'!$N$12)+1,""),4)</f>
        <v>1.04</v>
      </c>
      <c r="CU84" s="199">
        <f>ROUND(IFERROR(IF(LEFT($A84,1)="C",'Avoided Costs'!$O$13,'Avoided Costs'!$O$12)+1,""),4)</f>
        <v>1.1120000000000001</v>
      </c>
      <c r="CV84" s="199">
        <f>ROUND(IFERROR(IF(LEFT($A84,1)="C",'Avoided Costs'!$P$13,'Avoided Costs'!$P$12)+1,""),4)</f>
        <v>1.095</v>
      </c>
      <c r="CW84" s="199">
        <f>ROUND(IFERROR(IF(LEFT($A84,1)="C",'Avoided Costs'!$Q$13,'Avoided Costs'!$Q$12)+1,""),4)</f>
        <v>1.1120000000000001</v>
      </c>
      <c r="CX84" s="200">
        <f>ROUND(IFERROR(IF(LEFT($A84,1)="C",'Avoided Costs'!$R$13,'Avoided Costs'!$R$12)+1,""),4)</f>
        <v>1.1120000000000001</v>
      </c>
    </row>
    <row r="85" spans="1:102" ht="12.75" customHeight="1">
      <c r="A85" s="91" t="str">
        <f>IF('Inputs Yr 2'!$B85=0,"",'Inputs Yr 2'!A85)</f>
        <v>A - Residential</v>
      </c>
      <c r="B85" s="91" t="str">
        <f>IF('Inputs Yr 2'!$B85=0,"",'Inputs Yr 2'!B85)</f>
        <v>A2 - Residential Products</v>
      </c>
      <c r="C85" s="91" t="str">
        <f>IF('Inputs Yr 2'!$B85=0,"",'Inputs Yr 2'!C85)</f>
        <v xml:space="preserve">A2a - Residential Heating &amp; Cooling Equipment </v>
      </c>
      <c r="D85" s="91" t="str">
        <f>IF('Inputs Yr 2'!$B85=0,"",'Inputs Yr 2'!E85)</f>
        <v>Boiler Reset Control, Gas</v>
      </c>
      <c r="E85" s="93" t="str">
        <f>IF('Inputs Yr 2'!$B85=0,"",'Inputs Yr 2'!F85)</f>
        <v>G16A2a09</v>
      </c>
      <c r="F85" s="93" t="str">
        <f>IF('Inputs Yr 2'!$B85=0,"",'Inputs Yr 2'!G85)</f>
        <v>HVAC</v>
      </c>
      <c r="G85" s="95">
        <f>IF('Inputs Yr 2'!$H85&lt;&gt;0,('Inputs Yr 2'!H85),"")</f>
        <v>106</v>
      </c>
      <c r="H85" s="94">
        <f>IFERROR('Inputs Yr 2'!I85,"")</f>
        <v>15</v>
      </c>
      <c r="I85" s="298">
        <f>IFERROR('Inputs Yr 2'!J85*'Inputs Yr 2'!P85*G85,"")</f>
        <v>31800</v>
      </c>
      <c r="J85" s="298">
        <f>IFERROR('Inputs Yr 2'!K85*G85,"")</f>
        <v>23850</v>
      </c>
      <c r="K85" s="298">
        <f t="shared" si="53"/>
        <v>7950</v>
      </c>
      <c r="L85" s="194">
        <f>IFERROR(('Inputs Yr 2'!W85*G85)/1000,"")</f>
        <v>0</v>
      </c>
      <c r="M85" s="194">
        <f>IFERROR(L85*('Inputs Yr 2'!$Q85*'Inputs Yr 2'!$V85*'Inputs Yr 2'!$R85),"")</f>
        <v>0</v>
      </c>
      <c r="N85" s="194">
        <f t="shared" si="54"/>
        <v>0</v>
      </c>
      <c r="O85" s="194">
        <f>IFERROR(M85*'Inputs Yr 2'!P85,"")</f>
        <v>0</v>
      </c>
      <c r="P85" s="194">
        <f t="shared" si="55"/>
        <v>0</v>
      </c>
      <c r="Q85" s="194">
        <f>IFERROR($P85*'Inputs Yr 2'!AA85,"")</f>
        <v>0</v>
      </c>
      <c r="R85" s="194">
        <f>IFERROR($P85*'Inputs Yr 2'!AB85,"")</f>
        <v>0</v>
      </c>
      <c r="S85" s="194">
        <f>IFERROR($P85*'Inputs Yr 2'!AC85,"")</f>
        <v>0</v>
      </c>
      <c r="T85" s="194">
        <f>IFERROR($P85*'Inputs Yr 2'!AD85,"")</f>
        <v>0</v>
      </c>
      <c r="U85" s="194">
        <f>IFERROR(G85*'Inputs Yr 2'!$AE85*'Inputs Yr 2'!$P85*'Inputs Yr 2'!$Q85,"")</f>
        <v>0</v>
      </c>
      <c r="V85" s="194">
        <f>IFERROR($G85*'Inputs Yr 2'!$AE85*'Inputs Yr 2'!$AG85*'Inputs Yr 2'!Q85*'Inputs Yr 2'!$S85,"")</f>
        <v>0</v>
      </c>
      <c r="W85" s="194">
        <f>IFERROR($G85*'Inputs Yr 2'!$AE85*'Inputs Yr 2'!$AG85*'Inputs Yr 2'!P85*'Inputs Yr 2'!Q85*'Inputs Yr 2'!$S85,"")</f>
        <v>0</v>
      </c>
      <c r="X85" s="194">
        <f>IFERROR($G85*'Inputs Yr 2'!$AE85*'Inputs Yr 2'!$AF85*'Inputs Yr 2'!Q85*'Inputs Yr 2'!$T85,"")</f>
        <v>0</v>
      </c>
      <c r="Y85" s="194">
        <f>IFERROR($G85*'Inputs Yr 2'!$AE85*'Inputs Yr 2'!$AF85*'Inputs Yr 2'!P85*'Inputs Yr 2'!Q85*'Inputs Yr 2'!$T85,"")</f>
        <v>0</v>
      </c>
      <c r="Z85" s="257">
        <f>IFERROR($G85*'Inputs Yr 2'!$Q85*'Inputs Yr 2'!$U85*(IF(IFERROR(SEARCH("NG", 'Inputs Yr 2'!$AJ85),0),'Inputs Yr 2'!$AK85,0)+IF(IFERROR(SEARCH("NG", 'Inputs Yr 2'!$AL85),0),'Inputs Yr 2'!$AM85,0)+IF(IFERROR(SEARCH("NG", 'Inputs Yr 2'!$AN85),0),'Inputs Yr 2'!$AO85,0)),0)</f>
        <v>477</v>
      </c>
      <c r="AA85" s="257">
        <f t="shared" si="56"/>
        <v>7155</v>
      </c>
      <c r="AB85" s="257">
        <f>IFERROR(Z85*'Inputs Yr 2'!$P85,0)</f>
        <v>477</v>
      </c>
      <c r="AC85" s="257">
        <f t="shared" si="57"/>
        <v>7155</v>
      </c>
      <c r="AD85" s="257">
        <f>IFERROR($G85*'Inputs Yr 2'!$Q85*'Inputs Yr 2'!$U85*(IF(IFERROR(SEARCH("Oil", 'Inputs Yr 2'!$AJ85), 0),'Inputs Yr 2'!$AK85,0)+IF(IFERROR(SEARCH("Oil", 'Inputs Yr 2'!$AL85), 0),'Inputs Yr 2'!$AM85,0)+IF(IFERROR(SEARCH("Oil", 'Inputs Yr 2'!$AN85), 0),'Inputs Yr 2'!$AO85,0)),0)</f>
        <v>0</v>
      </c>
      <c r="AE85" s="257">
        <f t="shared" si="58"/>
        <v>0</v>
      </c>
      <c r="AF85" s="257">
        <f>IFERROR(AD85*'Inputs Yr 2'!$P85,0)</f>
        <v>0</v>
      </c>
      <c r="AG85" s="257">
        <f t="shared" si="59"/>
        <v>0</v>
      </c>
      <c r="AH85" s="257">
        <f>IFERROR($G85*'Inputs Yr 2'!$Q85*'Inputs Yr 2'!$U85*(IF('Inputs Yr 2'!$AJ85=CD$4,'Inputs Yr 2'!$AK85,IF('Inputs Yr 2'!$AL85=CD$4,'Inputs Yr 2'!$AM85,IF('Inputs Yr 2'!$AN85=CD$4,'Inputs Yr 2'!$AO85,0)))),0)</f>
        <v>0</v>
      </c>
      <c r="AI85" s="257">
        <f t="shared" si="60"/>
        <v>0</v>
      </c>
      <c r="AJ85" s="257">
        <f>IFERROR(AH85*'Inputs Yr 2'!$P85,0)</f>
        <v>0</v>
      </c>
      <c r="AK85" s="257">
        <f t="shared" si="61"/>
        <v>0</v>
      </c>
      <c r="AL85" s="258">
        <f>IFERROR($G85*'Inputs Yr 2'!$P85*'Inputs Yr 2'!$Q85*'Inputs Yr 2'!AP85,0)</f>
        <v>0</v>
      </c>
      <c r="AM85" s="260">
        <f>IFERROR($G85*'Inputs Yr 2'!$P85*'Inputs Yr 2'!$Q85*'Inputs Yr 2'!AQ85,0)</f>
        <v>0</v>
      </c>
      <c r="AN85" s="258">
        <f>IFERROR($G85*'Inputs Yr 2'!$P85*'Inputs Yr 2'!$Q85*'Inputs Yr 2'!AR85,0)</f>
        <v>0</v>
      </c>
      <c r="AO85" s="257">
        <f t="shared" si="62"/>
        <v>0</v>
      </c>
      <c r="AP85" s="195">
        <f>IFERROR($CQ85*(INDEX(avoidedcosttbl2,$H85,AP$2)+(($H85-ROUNDDOWN($H85,0))*(INDEX(avoidedcosttbl2,ROUNDUP($H85,0),AP$2)-(INDEX(avoidedcosttbl2,ROUNDDOWN($H85,0),AP$2)))))*$O85*1000*'Inputs Yr 2'!AA85,"")</f>
        <v>0</v>
      </c>
      <c r="AQ85" s="195">
        <f>IFERROR($CR85*(INDEX(avoidedcosttbl2,$H85,AQ$2)+(($H85-ROUNDDOWN($H85,0))*(INDEX(avoidedcosttbl2,ROUNDUP($H85,0),AQ$2)-(INDEX(avoidedcosttbl2,ROUNDDOWN($H85,0),AQ$2)))))*$O85*1000*'Inputs Yr 2'!AB85,"")</f>
        <v>0</v>
      </c>
      <c r="AR85" s="195">
        <f>IFERROR($CS85*(INDEX(avoidedcosttbl2,$H85,AR$2)+(($H85-ROUNDDOWN($H85,0))*(INDEX(avoidedcosttbl2,ROUNDUP($H85,0),AR$2)-(INDEX(avoidedcosttbl2,ROUNDDOWN($H85,0),AR$2)))))*$O85*1000*'Inputs Yr 2'!AC85,"")</f>
        <v>0</v>
      </c>
      <c r="AS85" s="195">
        <f>IFERROR($CT85*(INDEX(avoidedcosttbl2,$H85,AS$2)+(($H85-ROUNDDOWN($H85,0))*(INDEX(avoidedcosttbl2,ROUNDUP($H85,0),AS$2)-(INDEX(avoidedcosttbl2,ROUNDDOWN($H85,0),AS$2)))))*$O85*1000*'Inputs Yr 2'!AD85,"")</f>
        <v>0</v>
      </c>
      <c r="AT85" s="196">
        <f t="shared" si="63"/>
        <v>0</v>
      </c>
      <c r="AU85" s="197">
        <f>IFERROR($CQ85*((INDEX(avoidedcosttbl2,$H85,AU$2))+(($H85-ROUNDDOWN($H85,0))*((INDEX(avoidedcosttbl2,ROUNDUP($H85,0),AU$2))-(INDEX(avoidedcosttbl2,ROUNDDOWN($H85,0),AU$2)))))*$O85*1000*'Inputs Yr 2'!AA85,"")</f>
        <v>0</v>
      </c>
      <c r="AV85" s="197">
        <f>IFERROR($CR85*((INDEX(avoidedcosttbl2,$H85,AV$2))+(($H85-ROUNDDOWN($H85,0))*((INDEX(avoidedcosttbl2,ROUNDUP($H85,0),AV$2))-(INDEX(avoidedcosttbl2,ROUNDDOWN($H85,0),AV$2)))))*$O85*1000*'Inputs Yr 2'!AB85,"")</f>
        <v>0</v>
      </c>
      <c r="AW85" s="197">
        <f>IFERROR($CS85*((INDEX(avoidedcosttbl2,$H85,AW$2))+(($H85-ROUNDDOWN($H85,0))*((INDEX(avoidedcosttbl2,ROUNDUP($H85,0),AW$2))-(INDEX(avoidedcosttbl2,ROUNDDOWN($H85,0),AW$2)))))*$O85*1000*'Inputs Yr 2'!AC85,"")</f>
        <v>0</v>
      </c>
      <c r="AX85" s="197">
        <f>IFERROR($CT85*((INDEX(avoidedcosttbl2,$H85,AX$2))+(($H85-ROUNDDOWN($H85,0))*((INDEX(avoidedcosttbl2,ROUNDUP($H85,0),AX$2))-(INDEX(avoidedcosttbl2,ROUNDDOWN($H85,0),AX$2)))))*$O85*1000*'Inputs Yr 2'!AD85,"")</f>
        <v>0</v>
      </c>
      <c r="AY85" s="197">
        <f>IFERROR(((INDEX(avoidedcosttbl2,$H85,AY$2))+(($H85-ROUNDDOWN($H85,0))*((INDEX(avoidedcosttbl2,ROUNDUP($H85,0),AY$2))-(INDEX(avoidedcosttbl2,ROUNDDOWN($H85,0),AY$2)))))*$O85*1000*('Inputs Yr 2'!AC85+'Inputs Yr 2'!AD85),"")</f>
        <v>0</v>
      </c>
      <c r="AZ85" s="197">
        <f>IFERROR(((INDEX(avoidedcosttbl2,$H85,AZ$2))+(($H85-ROUNDDOWN($H85,0))*((INDEX(avoidedcosttbl2,ROUNDUP($H85,0),AZ$2))-(INDEX(avoidedcosttbl2,ROUNDDOWN($H85,0),AZ$2)))))*$O85*1000*('Inputs Yr 2'!AA85+'Inputs Yr 2'!AB85),"")</f>
        <v>0</v>
      </c>
      <c r="BA85" s="198">
        <f t="shared" si="64"/>
        <v>0</v>
      </c>
      <c r="BB85" s="198">
        <f t="shared" si="65"/>
        <v>0</v>
      </c>
      <c r="BC85" s="195">
        <f t="shared" si="47"/>
        <v>0</v>
      </c>
      <c r="BD85" s="195">
        <f t="shared" si="48"/>
        <v>0</v>
      </c>
      <c r="BE85" s="195">
        <f t="shared" si="49"/>
        <v>0</v>
      </c>
      <c r="BF85" s="195">
        <f t="shared" si="50"/>
        <v>0</v>
      </c>
      <c r="BG85" s="195">
        <f t="shared" si="51"/>
        <v>0</v>
      </c>
      <c r="BH85" s="196">
        <f t="shared" si="66"/>
        <v>0</v>
      </c>
      <c r="BI85" s="196">
        <f t="shared" si="67"/>
        <v>0</v>
      </c>
      <c r="BJ85" s="195">
        <f>IFERROR($G85*(IF('Inputs Yr 2'!$AJ85=BJ$4,'Inputs Yr 2'!$AK85,IF('Inputs Yr 2'!$AL85=BJ$4,'Inputs Yr 2'!$AM85,IF('Inputs Yr 2'!$AN85=BJ$4,'Inputs Yr 2'!$AO85,0))))*(INDEX(avoidedcosttbl2,$H85,BJ$2)+(($H85-ROUNDDOWN($H85,0))*(INDEX(avoidedcosttbl2,ROUNDUP($H85,0),BJ$2)-(INDEX(avoidedcosttbl2,ROUNDDOWN($H85,0),BJ$2)))))*'Inputs Yr 2'!P85*'Inputs Yr 2'!Q85*'Inputs Yr 2'!U85,"")</f>
        <v>0</v>
      </c>
      <c r="BK85" s="195">
        <f>IFERROR($G85*(IF('Inputs Yr 2'!$AJ85=BK$4,'Inputs Yr 2'!$AK85,IF('Inputs Yr 2'!$AL85=BK$4,'Inputs Yr 2'!$AM85,IF('Inputs Yr 2'!$AN85=BK$4,'Inputs Yr 2'!$AO85,0))))*(INDEX(avoidedcosttbl2,$H85,BK$2)+(($H85-ROUNDDOWN($H85,0))*(INDEX(avoidedcosttbl2,ROUNDUP($H85,0),BK$2)-(INDEX(avoidedcosttbl2,ROUNDDOWN($H85,0),BK$2)))))*'Inputs Yr 2'!P85*'Inputs Yr 2'!Q85*'Inputs Yr 2'!U85,"")</f>
        <v>0</v>
      </c>
      <c r="BL85" s="195">
        <f>IFERROR($G85*(IF('Inputs Yr 2'!$AJ85=BL$4,'Inputs Yr 2'!$AK85,IF('Inputs Yr 2'!$AL85=BL$4,'Inputs Yr 2'!$AM85,IF('Inputs Yr 2'!$AN85=BL$4,'Inputs Yr 2'!$AO85,0))))*(INDEX(avoidedcosttbl2,$H85,BL$2)+(($H85-ROUNDDOWN($H85,0))*(INDEX(avoidedcosttbl2,ROUNDUP($H85,0),BL$2)-(INDEX(avoidedcosttbl2,ROUNDDOWN($H85,0),BL$2)))))*'Inputs Yr 2'!P85*'Inputs Yr 2'!Q85*'Inputs Yr 2'!U85,"")</f>
        <v>60336.12759645388</v>
      </c>
      <c r="BM85" s="195">
        <f>IFERROR($G85*(IF('Inputs Yr 2'!$AJ85=BM$4,'Inputs Yr 2'!$AK85,IF('Inputs Yr 2'!$AL85=BM$4,'Inputs Yr 2'!$AM85,IF('Inputs Yr 2'!$AN85=BM$4,'Inputs Yr 2'!$AO85,0))))*(INDEX(avoidedcosttbl2,$H85,BM$2)+(($H85-ROUNDDOWN($H85,0))*(INDEX(avoidedcosttbl2,ROUNDUP($H85,0),BM$2)-(INDEX(avoidedcosttbl2,ROUNDDOWN($H85,0),BM$2)))))*'Inputs Yr 2'!P85*'Inputs Yr 2'!Q85*'Inputs Yr 2'!U85,"")</f>
        <v>0</v>
      </c>
      <c r="BN85" s="195">
        <f>IFERROR($G85*(IF('Inputs Yr 2'!$AJ85=BN$4,'Inputs Yr 2'!$AK85,IF('Inputs Yr 2'!$AL85=BN$4,'Inputs Yr 2'!$AM85,IF('Inputs Yr 2'!$AN85=BN$4,'Inputs Yr 2'!$AO85,0))))*(INDEX(avoidedcosttbl2,$H85,BN$2)+(($H85-ROUNDDOWN($H85,0))*(INDEX(avoidedcosttbl2,ROUNDUP($H85,0),BN$2)-(INDEX(avoidedcosttbl2,ROUNDDOWN($H85,0),BN$2)))))*'Inputs Yr 2'!P85*'Inputs Yr 2'!Q85*'Inputs Yr 2'!U85,"")</f>
        <v>0</v>
      </c>
      <c r="BO85" s="195">
        <f>IFERROR($G85*(IF('Inputs Yr 2'!$AJ85=BO$4,'Inputs Yr 2'!$AK85,IF('Inputs Yr 2'!$AL85=BO$4,'Inputs Yr 2'!$AM85,IF('Inputs Yr 2'!$AN85=BO$4,'Inputs Yr 2'!$AO85,0))))*(INDEX(avoidedcosttbl2,$H85,BO$2)+(($H85-ROUNDDOWN($H85,0))*(INDEX(avoidedcosttbl2,ROUNDUP($H85,0),BO$2)-(INDEX(avoidedcosttbl2,ROUNDDOWN($H85,0),BO$2)))))*'Inputs Yr 2'!P85*'Inputs Yr 2'!Q85*'Inputs Yr 2'!U85,"")</f>
        <v>0</v>
      </c>
      <c r="BP85" s="195">
        <f>IFERROR($G85*(IF('Inputs Yr 2'!$AJ85=BP$4,'Inputs Yr 2'!$AK85,IF('Inputs Yr 2'!$AL85=BP$4,'Inputs Yr 2'!$AM85,IF('Inputs Yr 2'!$AN85=BP$4,'Inputs Yr 2'!$AO85,0))))*(INDEX(avoidedcosttbl2,$H85,BP$2)+(($H85-ROUNDDOWN($H85,0))*(INDEX(avoidedcosttbl2,ROUNDUP($H85,0),BP$2)-(INDEX(avoidedcosttbl2,ROUNDDOWN($H85,0),BP$2)))))*'Inputs Yr 2'!P85*'Inputs Yr 2'!Q85*'Inputs Yr 2'!U85,"")</f>
        <v>0</v>
      </c>
      <c r="BQ85" s="230">
        <f t="shared" si="68"/>
        <v>60336.12759645388</v>
      </c>
      <c r="BR85" s="197">
        <f t="shared" si="52"/>
        <v>969.80232906410185</v>
      </c>
      <c r="BS85" s="197">
        <f>IFERROR(($G85*IF('Inputs Yr 2'!$AJ85=BM$4,'Inputs Yr 2'!$AK85,IF('Inputs Yr 2'!$AL85=BM$4,'Inputs Yr 2'!$AM85,IF('Inputs Yr 2'!$AN85=BM$4,'Inputs Yr 2'!$AO85,0))))*(INDEX(avoidedcosttbl2,$H85,BS$2)+(($H85-ROUNDDOWN($H85,0))*(INDEX(avoidedcosttbl2,ROUNDUP($H85,0),BS$2)-(INDEX(avoidedcosttbl2,ROUNDDOWN($H85,0),BS$2)))))*'Inputs Yr 2'!P85*'Inputs Yr 2'!Q85*'Inputs Yr 2'!U85,"")</f>
        <v>0</v>
      </c>
      <c r="BT85" s="197">
        <f>IFERROR(($G85*IF('Inputs Yr 2'!$AJ85=BK$4,'Inputs Yr 2'!$AK85,IF('Inputs Yr 2'!$AL85=BK$4,'Inputs Yr 2'!$AM85,IF('Inputs Yr 2'!$AN85=BK$4,'Inputs Yr 2'!$AO85,0))))*(INDEX(avoidedcosttbl2,$H85,BT$2)+(($H85-ROUNDDOWN($H85,0))*(INDEX(avoidedcosttbl2,ROUNDUP($H85,0),BT$2)-(INDEX(avoidedcosttbl2,ROUNDDOWN($H85,0),BT$2)))))*'Inputs Yr 2'!P85*'Inputs Yr 2'!Q85*'Inputs Yr 2'!U85,"")</f>
        <v>0</v>
      </c>
      <c r="BU85" s="197">
        <f>IFERROR(($G85*IF('Inputs Yr 2'!$AJ85=BL$4,'Inputs Yr 2'!$AK85,IF('Inputs Yr 2'!$AL85=BL$4,'Inputs Yr 2'!$AM85,IF('Inputs Yr 2'!$AN85=BL$4,'Inputs Yr 2'!$AO85,0))))*(INDEX(avoidedcosttbl2,$H85,BU$2)+(($H85-ROUNDDOWN($H85,0))*(INDEX(avoidedcosttbl2,ROUNDUP($H85,0),BU$2)-(INDEX(avoidedcosttbl2,ROUNDDOWN($H85,0),BU$2)))))*'Inputs Yr 2'!P85*'Inputs Yr 2'!Q85*'Inputs Yr 2'!U85,"")</f>
        <v>3693.0264025435245</v>
      </c>
      <c r="BV85" s="775">
        <f>IFERROR(($G85*IF('Inputs Yr 2'!$AJ85=BJ$4,'Inputs Yr 2'!$AK85,IF('Inputs Yr 2'!$AL85=BJ$4,'Inputs Yr 2'!$AM85,IF('Inputs Yr 2'!$AN85=BJ$4,'Inputs Yr 2'!$AO85,0))))*(INDEX(avoidedcosttbl2,$H85,BV$2)+(($H85-ROUNDDOWN($H85,0))*(INDEX(avoidedcosttbl2,ROUNDUP($H85,0),BV$2)-(INDEX(avoidedcosttbl2,ROUNDDOWN($H85,0),BV$2)))))*'Inputs Yr 2'!P85*'Inputs Yr 2'!Q85*'Inputs Yr 2'!U85,"")</f>
        <v>0</v>
      </c>
      <c r="BW85" s="197">
        <f>IFERROR(($G85*IF('Inputs Yr 2'!$AJ85=BN$4,'Inputs Yr 2'!$AK85,IF('Inputs Yr 2'!$AL85=BN$4,'Inputs Yr 2'!$AM85,IF('Inputs Yr 2'!$AN85=BN$4,'Inputs Yr 2'!$AO85,0))))*(INDEX(avoidedcosttbl2,$H85,BW$2)+(($H85-ROUNDDOWN($H85,0))*(INDEX(avoidedcosttbl2,ROUNDUP($H85,0),BW$2)-(INDEX(avoidedcosttbl2,ROUNDDOWN($H85,0),BW$2)))))*'Inputs Yr 2'!P85*'Inputs Yr 2'!Q85*'Inputs Yr 2'!U85,"")</f>
        <v>0</v>
      </c>
      <c r="BX85" s="197">
        <f>IFERROR(($G85*IF('Inputs Yr 2'!$AJ85=BO$4,'Inputs Yr 2'!$AK85,IF('Inputs Yr 2'!$AL85=BO$4,'Inputs Yr 2'!$AM85,IF('Inputs Yr 2'!$AN85=BO$4,'Inputs Yr 2'!$AO85,0))))*(INDEX(avoidedcosttbl2,$H85,BX$2)+(($H85-ROUNDDOWN($H85,0))*(INDEX(avoidedcosttbl2,ROUNDUP($H85,0),BX$2)-(INDEX(avoidedcosttbl2,ROUNDDOWN($H85,0),BX$2)))))*'Inputs Yr 2'!P85*'Inputs Yr 2'!Q85*'Inputs Yr 2'!U85,"")</f>
        <v>0</v>
      </c>
      <c r="BY85" s="197">
        <f>IFERROR(($G85*IF('Inputs Yr 2'!$AJ85=BP$4,'Inputs Yr 2'!$AK85,IF('Inputs Yr 2'!$AL85=BP$4,'Inputs Yr 2'!$AM85,IF('Inputs Yr 2'!$AN85=BP$4,'Inputs Yr 2'!$AO85,0))))*(INDEX(avoidedcosttbl2,$H85,BY$2)+(($H85-ROUNDDOWN($H85,0))*(INDEX(avoidedcosttbl2,ROUNDUP($H85,0),BY$2)-(INDEX(avoidedcosttbl2,ROUNDDOWN($H85,0),BY$2)))))*'Inputs Yr 2'!P85*'Inputs Yr 2'!Q85*'Inputs Yr 2'!U85,"")</f>
        <v>0</v>
      </c>
      <c r="BZ85" s="193">
        <f t="shared" si="69"/>
        <v>4662.8287316076267</v>
      </c>
      <c r="CA85" s="193">
        <f t="shared" si="70"/>
        <v>64998.956328061504</v>
      </c>
      <c r="CB85" s="195">
        <f>IFERROR(G85*(IF('Inputs Yr 2'!$AJ85=CB$4,'Inputs Yr 2'!$AK85,IF('Inputs Yr 2'!$AL85=CB$4,'Inputs Yr 2'!$AM85,IF('Inputs Yr 2'!$AN85=CB$4,'Inputs Yr 2'!$AO85,0))))*(INDEX(avoidedcosttbl2,$H85,CB$2)+(($H85-ROUNDDOWN($H85,0))*(INDEX(avoidedcosttbl2,ROUNDUP($H85,0),CB$2)-(INDEX(avoidedcosttbl2,ROUNDDOWN($H85,0),CB$2)))))*'Inputs Yr 2'!P85*'Inputs Yr 2'!Q85*'Inputs Yr 2'!U85,"")</f>
        <v>0</v>
      </c>
      <c r="CC85" s="195">
        <f>IFERROR(H85*(IF('Inputs Yr 2'!$AJ85=CC$4,'Inputs Yr 2'!$AK85,IF('Inputs Yr 2'!$AL85=CC$4,'Inputs Yr 2'!$AM85,IF('Inputs Yr 2'!$AN85=CC$4,'Inputs Yr 2'!$AO85,0))))*(INDEX(avoidedcosttbl2,$H85,CC$2)+(($H85-ROUNDDOWN($H85,0))*(INDEX(avoidedcosttbl2,ROUNDUP($H85,0),CC$2)-(INDEX(avoidedcosttbl2,ROUNDDOWN($H85,0),CC$2)))))*'Inputs Yr 2'!Q85*'Inputs Yr 2'!R85*'Inputs Yr 2'!V85,"")</f>
        <v>0</v>
      </c>
      <c r="CD85" s="195">
        <f>IFERROR(I85*(IF('Inputs Yr 2'!$AJ85=CD$4,'Inputs Yr 2'!$AK85,IF('Inputs Yr 2'!$AL85=CD$4,'Inputs Yr 2'!$AM85,IF('Inputs Yr 2'!$AN85=CD$4,'Inputs Yr 2'!$AO85,0))))*(INDEX(avoidedcosttbl2,$H85,CD$2)+(($H85-ROUNDDOWN($H85,0))*(INDEX(avoidedcosttbl2,ROUNDUP($H85,0),CD$2)-(INDEX(avoidedcosttbl2,ROUNDDOWN($H85,0),CD$2)))))*'Inputs Yr 2'!R85*'Inputs Yr 2'!S85*'Inputs Yr 2'!W85,"")</f>
        <v>0</v>
      </c>
      <c r="CE85" s="213">
        <f t="shared" si="71"/>
        <v>0</v>
      </c>
      <c r="CF85" s="213">
        <f t="shared" si="72"/>
        <v>0</v>
      </c>
      <c r="CG85" s="213">
        <f t="shared" si="73"/>
        <v>0</v>
      </c>
      <c r="CH85" s="698">
        <f t="shared" si="74"/>
        <v>64998.956328061504</v>
      </c>
      <c r="CI85" s="79">
        <f>IFERROR(($G85*'Inputs Yr 2'!$P85*'Inputs Yr 2'!$Q85*(((INDEX(avoidedcosttbl2,$H85,CI$2)+(($H85-ROUNDDOWN($H85,0))*(INDEX(avoidedcosttbl2,ROUNDUP($H85,0),CI$2)-INDEX(avoidedcosttbl2,ROUNDDOWN($H85,0),CI$2))))*'Inputs Yr 2'!AS85))),"")</f>
        <v>0</v>
      </c>
      <c r="CJ85" s="504">
        <f>IFERROR($G85*'Inputs Yr 2'!AT85*'Inputs Yr 2'!$P85*'Inputs Yr 2'!$Q85/((1+realdiscrt1)^-0.5),"")</f>
        <v>0</v>
      </c>
      <c r="CK85" s="79">
        <f>IFERROR((O85*1000*(((INDEX(avoidedcosttbl2,$H85,CK$2)+(($H85-ROUNDDOWN($H85,0))*(INDEX(avoidedcosttbl2,ROUNDUP($H85,0),CK$2)-INDEX(avoidedcosttbl2,ROUNDDOWN($H85,0),CK$2))))*'Inputs Yr 2'!AU85))),"")</f>
        <v>0</v>
      </c>
      <c r="CL85" s="504">
        <f>IFERROR(O85*1000*'Inputs Yr 2'!AV85/((1+realdiscrt1)^-0.5),"")</f>
        <v>0</v>
      </c>
      <c r="CM85" s="79">
        <f>IFERROR((AB85*'Inputs Yr 2'!AW85*(((INDEX(avoidedcosttbl2,$H85,CM$2)+(($H85-ROUNDDOWN($H85,0))*(INDEX(avoidedcosttbl2,ROUNDUP($H85,0),CM$2)-INDEX(avoidedcosttbl2,ROUNDDOWN($H85,0),CM$2)))))))*10,"")</f>
        <v>0</v>
      </c>
      <c r="CN85" s="504">
        <f>IFERROR(10*AB85*'Inputs Yr 2'!AX85/((1+realdiscrt1)^-0.5),"")</f>
        <v>0</v>
      </c>
      <c r="CO85" s="505">
        <f t="shared" si="75"/>
        <v>0</v>
      </c>
      <c r="CP85" s="230">
        <f t="shared" si="76"/>
        <v>64998.956328061504</v>
      </c>
      <c r="CQ85" s="199">
        <f>ROUND(IFERROR(IF(LEFT($A85,1)="C",'Avoided Costs'!$K$13,'Avoided Costs'!$K$12)+1,""),4)</f>
        <v>1.0720000000000001</v>
      </c>
      <c r="CR85" s="199">
        <f>ROUND(IFERROR(IF(LEFT($A85,1)="C",'Avoided Costs'!$L$13,'Avoided Costs'!$L$12)+1,""),4)</f>
        <v>1.04</v>
      </c>
      <c r="CS85" s="199">
        <f>ROUND(IFERROR(IF(LEFT($A85,1)="C",'Avoided Costs'!$M$13,'Avoided Costs'!$M$12)+1,""),4)</f>
        <v>1.0720000000000001</v>
      </c>
      <c r="CT85" s="199">
        <f>ROUND(IFERROR(IF(LEFT($A85,1)="C",'Avoided Costs'!$N$13,'Avoided Costs'!$N$12)+1,""),4)</f>
        <v>1.04</v>
      </c>
      <c r="CU85" s="199">
        <f>ROUND(IFERROR(IF(LEFT($A85,1)="C",'Avoided Costs'!$O$13,'Avoided Costs'!$O$12)+1,""),4)</f>
        <v>1.1120000000000001</v>
      </c>
      <c r="CV85" s="199">
        <f>ROUND(IFERROR(IF(LEFT($A85,1)="C",'Avoided Costs'!$P$13,'Avoided Costs'!$P$12)+1,""),4)</f>
        <v>1.095</v>
      </c>
      <c r="CW85" s="199">
        <f>ROUND(IFERROR(IF(LEFT($A85,1)="C",'Avoided Costs'!$Q$13,'Avoided Costs'!$Q$12)+1,""),4)</f>
        <v>1.1120000000000001</v>
      </c>
      <c r="CX85" s="200">
        <f>ROUND(IFERROR(IF(LEFT($A85,1)="C",'Avoided Costs'!$R$13,'Avoided Costs'!$R$12)+1,""),4)</f>
        <v>1.1120000000000001</v>
      </c>
    </row>
    <row r="86" spans="1:102" ht="12.75" customHeight="1">
      <c r="A86" s="91" t="str">
        <f>IF('Inputs Yr 2'!$B86=0,"",'Inputs Yr 2'!A86)</f>
        <v>A - Residential</v>
      </c>
      <c r="B86" s="91" t="str">
        <f>IF('Inputs Yr 2'!$B86=0,"",'Inputs Yr 2'!B86)</f>
        <v>A2 - Residential Products</v>
      </c>
      <c r="C86" s="91" t="str">
        <f>IF('Inputs Yr 2'!$B86=0,"",'Inputs Yr 2'!C86)</f>
        <v xml:space="preserve">A2a - Residential Heating &amp; Cooling Equipment </v>
      </c>
      <c r="D86" s="91" t="str">
        <f>IF('Inputs Yr 2'!$B86=0,"",'Inputs Yr 2'!E86)</f>
        <v>Heat Recovery Ventilator</v>
      </c>
      <c r="E86" s="93" t="str">
        <f>IF('Inputs Yr 2'!$B86=0,"",'Inputs Yr 2'!F86)</f>
        <v>G16A2a10</v>
      </c>
      <c r="F86" s="93" t="str">
        <f>IF('Inputs Yr 2'!$B86=0,"",'Inputs Yr 2'!G86)</f>
        <v>HVAC</v>
      </c>
      <c r="G86" s="95">
        <f>IF('Inputs Yr 2'!$H86&lt;&gt;0,('Inputs Yr 2'!H86),"")</f>
        <v>26</v>
      </c>
      <c r="H86" s="94">
        <f>IFERROR('Inputs Yr 2'!I86,"")</f>
        <v>20</v>
      </c>
      <c r="I86" s="298">
        <f>IFERROR('Inputs Yr 2'!J86*'Inputs Yr 2'!P86*G86,"")</f>
        <v>24960</v>
      </c>
      <c r="J86" s="298">
        <f>IFERROR('Inputs Yr 2'!K86*G86,"")</f>
        <v>13000</v>
      </c>
      <c r="K86" s="298">
        <f t="shared" si="53"/>
        <v>11960</v>
      </c>
      <c r="L86" s="194">
        <f>IFERROR(('Inputs Yr 2'!W86*G86)/1000,"")</f>
        <v>-3.4580000000000002</v>
      </c>
      <c r="M86" s="194">
        <f>IFERROR(L86*('Inputs Yr 2'!$Q86*'Inputs Yr 2'!$V86*'Inputs Yr 2'!$R86),"")</f>
        <v>-3.4580000000000002</v>
      </c>
      <c r="N86" s="194">
        <f t="shared" si="54"/>
        <v>-69.16</v>
      </c>
      <c r="O86" s="194">
        <f>IFERROR(M86*'Inputs Yr 2'!P86,"")</f>
        <v>-3.4580000000000002</v>
      </c>
      <c r="P86" s="194">
        <f t="shared" si="55"/>
        <v>-69.16</v>
      </c>
      <c r="Q86" s="194">
        <f>IFERROR($P86*'Inputs Yr 2'!AA86,"")</f>
        <v>-26.142479999999999</v>
      </c>
      <c r="R86" s="194">
        <f>IFERROR($P86*'Inputs Yr 2'!AB86,"")</f>
        <v>-42.5334</v>
      </c>
      <c r="S86" s="194">
        <f>IFERROR($P86*'Inputs Yr 2'!AC86,"")</f>
        <v>-0.13832</v>
      </c>
      <c r="T86" s="194">
        <f>IFERROR($P86*'Inputs Yr 2'!AD86,"")</f>
        <v>-0.3458</v>
      </c>
      <c r="U86" s="194">
        <f>IFERROR(G86*'Inputs Yr 2'!$AE86*'Inputs Yr 2'!$P86*'Inputs Yr 2'!$Q86,"")</f>
        <v>-1.845928484695089</v>
      </c>
      <c r="V86" s="194">
        <f>IFERROR($G86*'Inputs Yr 2'!$AE86*'Inputs Yr 2'!$AG86*'Inputs Yr 2'!Q86*'Inputs Yr 2'!$S86,"")</f>
        <v>-1.845928484695089</v>
      </c>
      <c r="W86" s="194">
        <f>IFERROR($G86*'Inputs Yr 2'!$AE86*'Inputs Yr 2'!$AG86*'Inputs Yr 2'!P86*'Inputs Yr 2'!Q86*'Inputs Yr 2'!$S86,"")</f>
        <v>-1.845928484695089</v>
      </c>
      <c r="X86" s="194">
        <f>IFERROR($G86*'Inputs Yr 2'!$AE86*'Inputs Yr 2'!$AF86*'Inputs Yr 2'!Q86*'Inputs Yr 2'!$T86,"")</f>
        <v>0</v>
      </c>
      <c r="Y86" s="194">
        <f>IFERROR($G86*'Inputs Yr 2'!$AE86*'Inputs Yr 2'!$AF86*'Inputs Yr 2'!P86*'Inputs Yr 2'!Q86*'Inputs Yr 2'!$T86,"")</f>
        <v>0</v>
      </c>
      <c r="Z86" s="257">
        <f>IFERROR($G86*'Inputs Yr 2'!$Q86*'Inputs Yr 2'!$U86*(IF(IFERROR(SEARCH("NG", 'Inputs Yr 2'!$AJ86),0),'Inputs Yr 2'!$AK86,0)+IF(IFERROR(SEARCH("NG", 'Inputs Yr 2'!$AL86),0),'Inputs Yr 2'!$AM86,0)+IF(IFERROR(SEARCH("NG", 'Inputs Yr 2'!$AN86),0),'Inputs Yr 2'!$AO86,0)),0)</f>
        <v>200.20000000000002</v>
      </c>
      <c r="AA86" s="257">
        <f t="shared" si="56"/>
        <v>4004.0000000000005</v>
      </c>
      <c r="AB86" s="257">
        <f>IFERROR(Z86*'Inputs Yr 2'!$P86,0)</f>
        <v>200.20000000000002</v>
      </c>
      <c r="AC86" s="257">
        <f t="shared" si="57"/>
        <v>4004.0000000000005</v>
      </c>
      <c r="AD86" s="257">
        <f>IFERROR($G86*'Inputs Yr 2'!$Q86*'Inputs Yr 2'!$U86*(IF(IFERROR(SEARCH("Oil", 'Inputs Yr 2'!$AJ86), 0),'Inputs Yr 2'!$AK86,0)+IF(IFERROR(SEARCH("Oil", 'Inputs Yr 2'!$AL86), 0),'Inputs Yr 2'!$AM86,0)+IF(IFERROR(SEARCH("Oil", 'Inputs Yr 2'!$AN86), 0),'Inputs Yr 2'!$AO86,0)),0)</f>
        <v>0</v>
      </c>
      <c r="AE86" s="257">
        <f t="shared" si="58"/>
        <v>0</v>
      </c>
      <c r="AF86" s="257">
        <f>IFERROR(AD86*'Inputs Yr 2'!$P86,0)</f>
        <v>0</v>
      </c>
      <c r="AG86" s="257">
        <f t="shared" si="59"/>
        <v>0</v>
      </c>
      <c r="AH86" s="257">
        <f>IFERROR($G86*'Inputs Yr 2'!$Q86*'Inputs Yr 2'!$U86*(IF('Inputs Yr 2'!$AJ86=CD$4,'Inputs Yr 2'!$AK86,IF('Inputs Yr 2'!$AL86=CD$4,'Inputs Yr 2'!$AM86,IF('Inputs Yr 2'!$AN86=CD$4,'Inputs Yr 2'!$AO86,0)))),0)</f>
        <v>0</v>
      </c>
      <c r="AI86" s="257">
        <f t="shared" si="60"/>
        <v>0</v>
      </c>
      <c r="AJ86" s="257">
        <f>IFERROR(AH86*'Inputs Yr 2'!$P86,0)</f>
        <v>0</v>
      </c>
      <c r="AK86" s="257">
        <f t="shared" si="61"/>
        <v>0</v>
      </c>
      <c r="AL86" s="258">
        <f>IFERROR($G86*'Inputs Yr 2'!$P86*'Inputs Yr 2'!$Q86*'Inputs Yr 2'!AP86,0)</f>
        <v>0</v>
      </c>
      <c r="AM86" s="260">
        <f>IFERROR($G86*'Inputs Yr 2'!$P86*'Inputs Yr 2'!$Q86*'Inputs Yr 2'!AQ86,0)</f>
        <v>0</v>
      </c>
      <c r="AN86" s="258">
        <f>IFERROR($G86*'Inputs Yr 2'!$P86*'Inputs Yr 2'!$Q86*'Inputs Yr 2'!AR86,0)</f>
        <v>0</v>
      </c>
      <c r="AO86" s="257">
        <f t="shared" si="62"/>
        <v>0</v>
      </c>
      <c r="AP86" s="195">
        <f>IFERROR($CQ86*(INDEX(avoidedcosttbl2,$H86,AP$2)+(($H86-ROUNDDOWN($H86,0))*(INDEX(avoidedcosttbl2,ROUNDUP($H86,0),AP$2)-(INDEX(avoidedcosttbl2,ROUNDDOWN($H86,0),AP$2)))))*$O86*1000*'Inputs Yr 2'!AA86,"")</f>
        <v>-2389.3568353194428</v>
      </c>
      <c r="AQ86" s="195">
        <f>IFERROR($CR86*(INDEX(avoidedcosttbl2,$H86,AQ$2)+(($H86-ROUNDDOWN($H86,0))*(INDEX(avoidedcosttbl2,ROUNDUP($H86,0),AQ$2)-(INDEX(avoidedcosttbl2,ROUNDDOWN($H86,0),AQ$2)))))*$O86*1000*'Inputs Yr 2'!AB86,"")</f>
        <v>-3470.6052087004964</v>
      </c>
      <c r="AR86" s="195">
        <f>IFERROR($CS86*(INDEX(avoidedcosttbl2,$H86,AR$2)+(($H86-ROUNDDOWN($H86,0))*(INDEX(avoidedcosttbl2,ROUNDUP($H86,0),AR$2)-(INDEX(avoidedcosttbl2,ROUNDDOWN($H86,0),AR$2)))))*$O86*1000*'Inputs Yr 2'!AC86,"")</f>
        <v>-12.946510625282224</v>
      </c>
      <c r="AS86" s="195">
        <f>IFERROR($CT86*(INDEX(avoidedcosttbl2,$H86,AS$2)+(($H86-ROUNDDOWN($H86,0))*(INDEX(avoidedcosttbl2,ROUNDUP($H86,0),AS$2)-(INDEX(avoidedcosttbl2,ROUNDDOWN($H86,0),AS$2)))))*$O86*1000*'Inputs Yr 2'!AD86,"")</f>
        <v>-24.567109814348736</v>
      </c>
      <c r="AT86" s="196">
        <f t="shared" si="63"/>
        <v>-5897.47566445957</v>
      </c>
      <c r="AU86" s="197">
        <f>IFERROR($CQ86*((INDEX(avoidedcosttbl2,$H86,AU$2))+(($H86-ROUNDDOWN($H86,0))*((INDEX(avoidedcosttbl2,ROUNDUP($H86,0),AU$2))-(INDEX(avoidedcosttbl2,ROUNDDOWN($H86,0),AU$2)))))*$O86*1000*'Inputs Yr 2'!AA86,"")</f>
        <v>-42.644477959519712</v>
      </c>
      <c r="AV86" s="197">
        <f>IFERROR($CR86*((INDEX(avoidedcosttbl2,$H86,AV$2))+(($H86-ROUNDDOWN($H86,0))*((INDEX(avoidedcosttbl2,ROUNDUP($H86,0),AV$2))-(INDEX(avoidedcosttbl2,ROUNDDOWN($H86,0),AV$2)))))*$O86*1000*'Inputs Yr 2'!AB86,"")</f>
        <v>-33.379839960083274</v>
      </c>
      <c r="AW86" s="197">
        <f>IFERROR($CS86*((INDEX(avoidedcosttbl2,$H86,AW$2))+(($H86-ROUNDDOWN($H86,0))*((INDEX(avoidedcosttbl2,ROUNDUP($H86,0),AW$2))-(INDEX(avoidedcosttbl2,ROUNDDOWN($H86,0),AW$2)))))*$O86*1000*'Inputs Yr 2'!AC86,"")</f>
        <v>-0.26642831514125787</v>
      </c>
      <c r="AX86" s="197">
        <f>IFERROR($CT86*((INDEX(avoidedcosttbl2,$H86,AX$2))+(($H86-ROUNDDOWN($H86,0))*((INDEX(avoidedcosttbl2,ROUNDUP($H86,0),AX$2))-(INDEX(avoidedcosttbl2,ROUNDDOWN($H86,0),AX$2)))))*$O86*1000*'Inputs Yr 2'!AD86,"")</f>
        <v>-0.21853393332834223</v>
      </c>
      <c r="AY86" s="197">
        <f>IFERROR(((INDEX(avoidedcosttbl2,$H86,AY$2))+(($H86-ROUNDDOWN($H86,0))*((INDEX(avoidedcosttbl2,ROUNDUP($H86,0),AY$2))-(INDEX(avoidedcosttbl2,ROUNDDOWN($H86,0),AY$2)))))*$O86*1000*('Inputs Yr 2'!AC86+'Inputs Yr 2'!AD86),"")</f>
        <v>-1.2795001546153499</v>
      </c>
      <c r="AZ86" s="197">
        <f>IFERROR(((INDEX(avoidedcosttbl2,$H86,AZ$2))+(($H86-ROUNDDOWN($H86,0))*((INDEX(avoidedcosttbl2,ROUNDUP($H86,0),AZ$2))-(INDEX(avoidedcosttbl2,ROUNDDOWN($H86,0),AZ$2)))))*$O86*1000*('Inputs Yr 2'!AA86+'Inputs Yr 2'!AB86),"")</f>
        <v>-248.66027351097571</v>
      </c>
      <c r="BA86" s="198">
        <f t="shared" si="64"/>
        <v>-326.44905383366364</v>
      </c>
      <c r="BB86" s="198">
        <f t="shared" si="65"/>
        <v>-6223.924718293234</v>
      </c>
      <c r="BC86" s="195">
        <f t="shared" si="47"/>
        <v>0</v>
      </c>
      <c r="BD86" s="195">
        <f t="shared" si="48"/>
        <v>0</v>
      </c>
      <c r="BE86" s="195">
        <f t="shared" si="49"/>
        <v>0</v>
      </c>
      <c r="BF86" s="195">
        <f t="shared" si="50"/>
        <v>0</v>
      </c>
      <c r="BG86" s="195">
        <f t="shared" si="51"/>
        <v>0</v>
      </c>
      <c r="BH86" s="196">
        <f t="shared" si="66"/>
        <v>0</v>
      </c>
      <c r="BI86" s="196">
        <f t="shared" si="67"/>
        <v>-6223.924718293234</v>
      </c>
      <c r="BJ86" s="195">
        <f>IFERROR($G86*(IF('Inputs Yr 2'!$AJ86=BJ$4,'Inputs Yr 2'!$AK86,IF('Inputs Yr 2'!$AL86=BJ$4,'Inputs Yr 2'!$AM86,IF('Inputs Yr 2'!$AN86=BJ$4,'Inputs Yr 2'!$AO86,0))))*(INDEX(avoidedcosttbl2,$H86,BJ$2)+(($H86-ROUNDDOWN($H86,0))*(INDEX(avoidedcosttbl2,ROUNDUP($H86,0),BJ$2)-(INDEX(avoidedcosttbl2,ROUNDDOWN($H86,0),BJ$2)))))*'Inputs Yr 2'!P86*'Inputs Yr 2'!Q86*'Inputs Yr 2'!U86,"")</f>
        <v>0</v>
      </c>
      <c r="BK86" s="195">
        <f>IFERROR($G86*(IF('Inputs Yr 2'!$AJ86=BK$4,'Inputs Yr 2'!$AK86,IF('Inputs Yr 2'!$AL86=BK$4,'Inputs Yr 2'!$AM86,IF('Inputs Yr 2'!$AN86=BK$4,'Inputs Yr 2'!$AO86,0))))*(INDEX(avoidedcosttbl2,$H86,BK$2)+(($H86-ROUNDDOWN($H86,0))*(INDEX(avoidedcosttbl2,ROUNDUP($H86,0),BK$2)-(INDEX(avoidedcosttbl2,ROUNDDOWN($H86,0),BK$2)))))*'Inputs Yr 2'!P86*'Inputs Yr 2'!Q86*'Inputs Yr 2'!U86,"")</f>
        <v>0</v>
      </c>
      <c r="BL86" s="195">
        <f>IFERROR($G86*(IF('Inputs Yr 2'!$AJ86=BL$4,'Inputs Yr 2'!$AK86,IF('Inputs Yr 2'!$AL86=BL$4,'Inputs Yr 2'!$AM86,IF('Inputs Yr 2'!$AN86=BL$4,'Inputs Yr 2'!$AO86,0))))*(INDEX(avoidedcosttbl2,$H86,BL$2)+(($H86-ROUNDDOWN($H86,0))*(INDEX(avoidedcosttbl2,ROUNDUP($H86,0),BL$2)-(INDEX(avoidedcosttbl2,ROUNDDOWN($H86,0),BL$2)))))*'Inputs Yr 2'!P86*'Inputs Yr 2'!Q86*'Inputs Yr 2'!U86,"")</f>
        <v>34698.32918628586</v>
      </c>
      <c r="BM86" s="195">
        <f>IFERROR($G86*(IF('Inputs Yr 2'!$AJ86=BM$4,'Inputs Yr 2'!$AK86,IF('Inputs Yr 2'!$AL86=BM$4,'Inputs Yr 2'!$AM86,IF('Inputs Yr 2'!$AN86=BM$4,'Inputs Yr 2'!$AO86,0))))*(INDEX(avoidedcosttbl2,$H86,BM$2)+(($H86-ROUNDDOWN($H86,0))*(INDEX(avoidedcosttbl2,ROUNDUP($H86,0),BM$2)-(INDEX(avoidedcosttbl2,ROUNDDOWN($H86,0),BM$2)))))*'Inputs Yr 2'!P86*'Inputs Yr 2'!Q86*'Inputs Yr 2'!U86,"")</f>
        <v>0</v>
      </c>
      <c r="BN86" s="195">
        <f>IFERROR($G86*(IF('Inputs Yr 2'!$AJ86=BN$4,'Inputs Yr 2'!$AK86,IF('Inputs Yr 2'!$AL86=BN$4,'Inputs Yr 2'!$AM86,IF('Inputs Yr 2'!$AN86=BN$4,'Inputs Yr 2'!$AO86,0))))*(INDEX(avoidedcosttbl2,$H86,BN$2)+(($H86-ROUNDDOWN($H86,0))*(INDEX(avoidedcosttbl2,ROUNDUP($H86,0),BN$2)-(INDEX(avoidedcosttbl2,ROUNDDOWN($H86,0),BN$2)))))*'Inputs Yr 2'!P86*'Inputs Yr 2'!Q86*'Inputs Yr 2'!U86,"")</f>
        <v>0</v>
      </c>
      <c r="BO86" s="195">
        <f>IFERROR($G86*(IF('Inputs Yr 2'!$AJ86=BO$4,'Inputs Yr 2'!$AK86,IF('Inputs Yr 2'!$AL86=BO$4,'Inputs Yr 2'!$AM86,IF('Inputs Yr 2'!$AN86=BO$4,'Inputs Yr 2'!$AO86,0))))*(INDEX(avoidedcosttbl2,$H86,BO$2)+(($H86-ROUNDDOWN($H86,0))*(INDEX(avoidedcosttbl2,ROUNDUP($H86,0),BO$2)-(INDEX(avoidedcosttbl2,ROUNDDOWN($H86,0),BO$2)))))*'Inputs Yr 2'!P86*'Inputs Yr 2'!Q86*'Inputs Yr 2'!U86,"")</f>
        <v>0</v>
      </c>
      <c r="BP86" s="195">
        <f>IFERROR($G86*(IF('Inputs Yr 2'!$AJ86=BP$4,'Inputs Yr 2'!$AK86,IF('Inputs Yr 2'!$AL86=BP$4,'Inputs Yr 2'!$AM86,IF('Inputs Yr 2'!$AN86=BP$4,'Inputs Yr 2'!$AO86,0))))*(INDEX(avoidedcosttbl2,$H86,BP$2)+(($H86-ROUNDDOWN($H86,0))*(INDEX(avoidedcosttbl2,ROUNDUP($H86,0),BP$2)-(INDEX(avoidedcosttbl2,ROUNDDOWN($H86,0),BP$2)))))*'Inputs Yr 2'!P86*'Inputs Yr 2'!Q86*'Inputs Yr 2'!U86,"")</f>
        <v>0</v>
      </c>
      <c r="BQ86" s="230">
        <f t="shared" si="68"/>
        <v>34698.32918628586</v>
      </c>
      <c r="BR86" s="197">
        <f t="shared" si="52"/>
        <v>536.86108713670376</v>
      </c>
      <c r="BS86" s="197">
        <f>IFERROR(($G86*IF('Inputs Yr 2'!$AJ86=BM$4,'Inputs Yr 2'!$AK86,IF('Inputs Yr 2'!$AL86=BM$4,'Inputs Yr 2'!$AM86,IF('Inputs Yr 2'!$AN86=BM$4,'Inputs Yr 2'!$AO86,0))))*(INDEX(avoidedcosttbl2,$H86,BS$2)+(($H86-ROUNDDOWN($H86,0))*(INDEX(avoidedcosttbl2,ROUNDUP($H86,0),BS$2)-(INDEX(avoidedcosttbl2,ROUNDDOWN($H86,0),BS$2)))))*'Inputs Yr 2'!P86*'Inputs Yr 2'!Q86*'Inputs Yr 2'!U86,"")</f>
        <v>0</v>
      </c>
      <c r="BT86" s="197">
        <f>IFERROR(($G86*IF('Inputs Yr 2'!$AJ86=BK$4,'Inputs Yr 2'!$AK86,IF('Inputs Yr 2'!$AL86=BK$4,'Inputs Yr 2'!$AM86,IF('Inputs Yr 2'!$AN86=BK$4,'Inputs Yr 2'!$AO86,0))))*(INDEX(avoidedcosttbl2,$H86,BT$2)+(($H86-ROUNDDOWN($H86,0))*(INDEX(avoidedcosttbl2,ROUNDUP($H86,0),BT$2)-(INDEX(avoidedcosttbl2,ROUNDDOWN($H86,0),BT$2)))))*'Inputs Yr 2'!P86*'Inputs Yr 2'!Q86*'Inputs Yr 2'!U86,"")</f>
        <v>0</v>
      </c>
      <c r="BU86" s="197">
        <f>IFERROR(($G86*IF('Inputs Yr 2'!$AJ86=BL$4,'Inputs Yr 2'!$AK86,IF('Inputs Yr 2'!$AL86=BL$4,'Inputs Yr 2'!$AM86,IF('Inputs Yr 2'!$AN86=BL$4,'Inputs Yr 2'!$AO86,0))))*(INDEX(avoidedcosttbl2,$H86,BU$2)+(($H86-ROUNDDOWN($H86,0))*(INDEX(avoidedcosttbl2,ROUNDUP($H86,0),BU$2)-(INDEX(avoidedcosttbl2,ROUNDDOWN($H86,0),BU$2)))))*'Inputs Yr 2'!P86*'Inputs Yr 2'!Q86*'Inputs Yr 2'!U86,"")</f>
        <v>1629.6397562246209</v>
      </c>
      <c r="BV86" s="775">
        <f>IFERROR(($G86*IF('Inputs Yr 2'!$AJ86=BJ$4,'Inputs Yr 2'!$AK86,IF('Inputs Yr 2'!$AL86=BJ$4,'Inputs Yr 2'!$AM86,IF('Inputs Yr 2'!$AN86=BJ$4,'Inputs Yr 2'!$AO86,0))))*(INDEX(avoidedcosttbl2,$H86,BV$2)+(($H86-ROUNDDOWN($H86,0))*(INDEX(avoidedcosttbl2,ROUNDUP($H86,0),BV$2)-(INDEX(avoidedcosttbl2,ROUNDDOWN($H86,0),BV$2)))))*'Inputs Yr 2'!P86*'Inputs Yr 2'!Q86*'Inputs Yr 2'!U86,"")</f>
        <v>0</v>
      </c>
      <c r="BW86" s="197">
        <f>IFERROR(($G86*IF('Inputs Yr 2'!$AJ86=BN$4,'Inputs Yr 2'!$AK86,IF('Inputs Yr 2'!$AL86=BN$4,'Inputs Yr 2'!$AM86,IF('Inputs Yr 2'!$AN86=BN$4,'Inputs Yr 2'!$AO86,0))))*(INDEX(avoidedcosttbl2,$H86,BW$2)+(($H86-ROUNDDOWN($H86,0))*(INDEX(avoidedcosttbl2,ROUNDUP($H86,0),BW$2)-(INDEX(avoidedcosttbl2,ROUNDDOWN($H86,0),BW$2)))))*'Inputs Yr 2'!P86*'Inputs Yr 2'!Q86*'Inputs Yr 2'!U86,"")</f>
        <v>0</v>
      </c>
      <c r="BX86" s="197">
        <f>IFERROR(($G86*IF('Inputs Yr 2'!$AJ86=BO$4,'Inputs Yr 2'!$AK86,IF('Inputs Yr 2'!$AL86=BO$4,'Inputs Yr 2'!$AM86,IF('Inputs Yr 2'!$AN86=BO$4,'Inputs Yr 2'!$AO86,0))))*(INDEX(avoidedcosttbl2,$H86,BX$2)+(($H86-ROUNDDOWN($H86,0))*(INDEX(avoidedcosttbl2,ROUNDUP($H86,0),BX$2)-(INDEX(avoidedcosttbl2,ROUNDDOWN($H86,0),BX$2)))))*'Inputs Yr 2'!P86*'Inputs Yr 2'!Q86*'Inputs Yr 2'!U86,"")</f>
        <v>0</v>
      </c>
      <c r="BY86" s="197">
        <f>IFERROR(($G86*IF('Inputs Yr 2'!$AJ86=BP$4,'Inputs Yr 2'!$AK86,IF('Inputs Yr 2'!$AL86=BP$4,'Inputs Yr 2'!$AM86,IF('Inputs Yr 2'!$AN86=BP$4,'Inputs Yr 2'!$AO86,0))))*(INDEX(avoidedcosttbl2,$H86,BY$2)+(($H86-ROUNDDOWN($H86,0))*(INDEX(avoidedcosttbl2,ROUNDUP($H86,0),BY$2)-(INDEX(avoidedcosttbl2,ROUNDDOWN($H86,0),BY$2)))))*'Inputs Yr 2'!P86*'Inputs Yr 2'!Q86*'Inputs Yr 2'!U86,"")</f>
        <v>0</v>
      </c>
      <c r="BZ86" s="193">
        <f t="shared" si="69"/>
        <v>2166.5008433613248</v>
      </c>
      <c r="CA86" s="193">
        <f t="shared" si="70"/>
        <v>36864.830029647186</v>
      </c>
      <c r="CB86" s="195">
        <f>IFERROR(G86*(IF('Inputs Yr 2'!$AJ86=CB$4,'Inputs Yr 2'!$AK86,IF('Inputs Yr 2'!$AL86=CB$4,'Inputs Yr 2'!$AM86,IF('Inputs Yr 2'!$AN86=CB$4,'Inputs Yr 2'!$AO86,0))))*(INDEX(avoidedcosttbl2,$H86,CB$2)+(($H86-ROUNDDOWN($H86,0))*(INDEX(avoidedcosttbl2,ROUNDUP($H86,0),CB$2)-(INDEX(avoidedcosttbl2,ROUNDDOWN($H86,0),CB$2)))))*'Inputs Yr 2'!P86*'Inputs Yr 2'!Q86*'Inputs Yr 2'!U86,"")</f>
        <v>0</v>
      </c>
      <c r="CC86" s="195">
        <f>IFERROR(H86*(IF('Inputs Yr 2'!$AJ86=CC$4,'Inputs Yr 2'!$AK86,IF('Inputs Yr 2'!$AL86=CC$4,'Inputs Yr 2'!$AM86,IF('Inputs Yr 2'!$AN86=CC$4,'Inputs Yr 2'!$AO86,0))))*(INDEX(avoidedcosttbl2,$H86,CC$2)+(($H86-ROUNDDOWN($H86,0))*(INDEX(avoidedcosttbl2,ROUNDUP($H86,0),CC$2)-(INDEX(avoidedcosttbl2,ROUNDDOWN($H86,0),CC$2)))))*'Inputs Yr 2'!Q86*'Inputs Yr 2'!R86*'Inputs Yr 2'!V86,"")</f>
        <v>0</v>
      </c>
      <c r="CD86" s="195">
        <f>IFERROR(I86*(IF('Inputs Yr 2'!$AJ86=CD$4,'Inputs Yr 2'!$AK86,IF('Inputs Yr 2'!$AL86=CD$4,'Inputs Yr 2'!$AM86,IF('Inputs Yr 2'!$AN86=CD$4,'Inputs Yr 2'!$AO86,0))))*(INDEX(avoidedcosttbl2,$H86,CD$2)+(($H86-ROUNDDOWN($H86,0))*(INDEX(avoidedcosttbl2,ROUNDUP($H86,0),CD$2)-(INDEX(avoidedcosttbl2,ROUNDDOWN($H86,0),CD$2)))))*'Inputs Yr 2'!R86*'Inputs Yr 2'!S86*'Inputs Yr 2'!W86,"")</f>
        <v>0</v>
      </c>
      <c r="CE86" s="213">
        <f t="shared" si="71"/>
        <v>0</v>
      </c>
      <c r="CF86" s="213">
        <f t="shared" si="72"/>
        <v>0</v>
      </c>
      <c r="CG86" s="213">
        <f t="shared" si="73"/>
        <v>0</v>
      </c>
      <c r="CH86" s="698">
        <f t="shared" si="74"/>
        <v>36864.830029647186</v>
      </c>
      <c r="CI86" s="79">
        <f>IFERROR(($G86*'Inputs Yr 2'!$P86*'Inputs Yr 2'!$Q86*(((INDEX(avoidedcosttbl2,$H86,CI$2)+(($H86-ROUNDDOWN($H86,0))*(INDEX(avoidedcosttbl2,ROUNDUP($H86,0),CI$2)-INDEX(avoidedcosttbl2,ROUNDDOWN($H86,0),CI$2))))*'Inputs Yr 2'!AS86))),"")</f>
        <v>0</v>
      </c>
      <c r="CJ86" s="504">
        <f>IFERROR($G86*'Inputs Yr 2'!AT86*'Inputs Yr 2'!$P86*'Inputs Yr 2'!$Q86/((1+realdiscrt1)^-0.5),"")</f>
        <v>0</v>
      </c>
      <c r="CK86" s="79">
        <f>IFERROR((O86*1000*(((INDEX(avoidedcosttbl2,$H86,CK$2)+(($H86-ROUNDDOWN($H86,0))*(INDEX(avoidedcosttbl2,ROUNDUP($H86,0),CK$2)-INDEX(avoidedcosttbl2,ROUNDDOWN($H86,0),CK$2))))*'Inputs Yr 2'!AU86))),"")</f>
        <v>0</v>
      </c>
      <c r="CL86" s="504">
        <f>IFERROR(O86*1000*'Inputs Yr 2'!AV86/((1+realdiscrt1)^-0.5),"")</f>
        <v>0</v>
      </c>
      <c r="CM86" s="79">
        <f>IFERROR((AB86*'Inputs Yr 2'!AW86*(((INDEX(avoidedcosttbl2,$H86,CM$2)+(($H86-ROUNDDOWN($H86,0))*(INDEX(avoidedcosttbl2,ROUNDUP($H86,0),CM$2)-INDEX(avoidedcosttbl2,ROUNDDOWN($H86,0),CM$2)))))))*10,"")</f>
        <v>0</v>
      </c>
      <c r="CN86" s="504">
        <f>IFERROR(10*AB86*'Inputs Yr 2'!AX86/((1+realdiscrt1)^-0.5),"")</f>
        <v>0</v>
      </c>
      <c r="CO86" s="505">
        <f t="shared" si="75"/>
        <v>0</v>
      </c>
      <c r="CP86" s="230">
        <f t="shared" si="76"/>
        <v>30640.905311353952</v>
      </c>
      <c r="CQ86" s="199">
        <f>ROUND(IFERROR(IF(LEFT($A86,1)="C",'Avoided Costs'!$K$13,'Avoided Costs'!$K$12)+1,""),4)</f>
        <v>1.0720000000000001</v>
      </c>
      <c r="CR86" s="199">
        <f>ROUND(IFERROR(IF(LEFT($A86,1)="C",'Avoided Costs'!$L$13,'Avoided Costs'!$L$12)+1,""),4)</f>
        <v>1.04</v>
      </c>
      <c r="CS86" s="199">
        <f>ROUND(IFERROR(IF(LEFT($A86,1)="C",'Avoided Costs'!$M$13,'Avoided Costs'!$M$12)+1,""),4)</f>
        <v>1.0720000000000001</v>
      </c>
      <c r="CT86" s="199">
        <f>ROUND(IFERROR(IF(LEFT($A86,1)="C",'Avoided Costs'!$N$13,'Avoided Costs'!$N$12)+1,""),4)</f>
        <v>1.04</v>
      </c>
      <c r="CU86" s="199">
        <f>ROUND(IFERROR(IF(LEFT($A86,1)="C",'Avoided Costs'!$O$13,'Avoided Costs'!$O$12)+1,""),4)</f>
        <v>1.1120000000000001</v>
      </c>
      <c r="CV86" s="199">
        <f>ROUND(IFERROR(IF(LEFT($A86,1)="C",'Avoided Costs'!$P$13,'Avoided Costs'!$P$12)+1,""),4)</f>
        <v>1.095</v>
      </c>
      <c r="CW86" s="199">
        <f>ROUND(IFERROR(IF(LEFT($A86,1)="C",'Avoided Costs'!$Q$13,'Avoided Costs'!$Q$12)+1,""),4)</f>
        <v>1.1120000000000001</v>
      </c>
      <c r="CX86" s="200">
        <f>ROUND(IFERROR(IF(LEFT($A86,1)="C",'Avoided Costs'!$R$13,'Avoided Costs'!$R$12)+1,""),4)</f>
        <v>1.1120000000000001</v>
      </c>
    </row>
    <row r="87" spans="1:102" ht="12.75" customHeight="1">
      <c r="A87" s="91" t="str">
        <f>IF('Inputs Yr 2'!$B87=0,"",'Inputs Yr 2'!A87)</f>
        <v>A - Residential</v>
      </c>
      <c r="B87" s="91" t="str">
        <f>IF('Inputs Yr 2'!$B87=0,"",'Inputs Yr 2'!B87)</f>
        <v>A2 - Residential Products</v>
      </c>
      <c r="C87" s="91" t="str">
        <f>IF('Inputs Yr 2'!$B87=0,"",'Inputs Yr 2'!C87)</f>
        <v xml:space="preserve">A2a - Residential Heating &amp; Cooling Equipment </v>
      </c>
      <c r="D87" s="91" t="str">
        <f>IF('Inputs Yr 2'!$B87=0,"",'Inputs Yr 2'!E87)</f>
        <v>Condensing Water Heater, Gas 0.95</v>
      </c>
      <c r="E87" s="93" t="str">
        <f>IF('Inputs Yr 2'!$B87=0,"",'Inputs Yr 2'!F87)</f>
        <v>G16A2a11</v>
      </c>
      <c r="F87" s="93" t="str">
        <f>IF('Inputs Yr 2'!$B87=0,"",'Inputs Yr 2'!G87)</f>
        <v>Hot Water</v>
      </c>
      <c r="G87" s="95">
        <f>IF('Inputs Yr 2'!$H87&lt;&gt;0,('Inputs Yr 2'!H87),"")</f>
        <v>25</v>
      </c>
      <c r="H87" s="94">
        <f>IFERROR('Inputs Yr 2'!I87,"")</f>
        <v>15</v>
      </c>
      <c r="I87" s="298">
        <f>IFERROR('Inputs Yr 2'!J87*'Inputs Yr 2'!P87*G87,"")</f>
        <v>58500</v>
      </c>
      <c r="J87" s="298">
        <f>IFERROR('Inputs Yr 2'!K87*G87,"")</f>
        <v>12500</v>
      </c>
      <c r="K87" s="298">
        <f t="shared" si="53"/>
        <v>46000</v>
      </c>
      <c r="L87" s="194">
        <f>IFERROR(('Inputs Yr 2'!W87*G87)/1000,"")</f>
        <v>0</v>
      </c>
      <c r="M87" s="194">
        <f>IFERROR(L87*('Inputs Yr 2'!$Q87*'Inputs Yr 2'!$V87*'Inputs Yr 2'!$R87),"")</f>
        <v>0</v>
      </c>
      <c r="N87" s="194">
        <f t="shared" si="54"/>
        <v>0</v>
      </c>
      <c r="O87" s="194">
        <f>IFERROR(M87*'Inputs Yr 2'!P87,"")</f>
        <v>0</v>
      </c>
      <c r="P87" s="194">
        <f t="shared" si="55"/>
        <v>0</v>
      </c>
      <c r="Q87" s="194">
        <f>IFERROR($P87*'Inputs Yr 2'!AA87,"")</f>
        <v>0</v>
      </c>
      <c r="R87" s="194">
        <f>IFERROR($P87*'Inputs Yr 2'!AB87,"")</f>
        <v>0</v>
      </c>
      <c r="S87" s="194">
        <f>IFERROR($P87*'Inputs Yr 2'!AC87,"")</f>
        <v>0</v>
      </c>
      <c r="T87" s="194">
        <f>IFERROR($P87*'Inputs Yr 2'!AD87,"")</f>
        <v>0</v>
      </c>
      <c r="U87" s="194">
        <f>IFERROR(G87*'Inputs Yr 2'!$AE87*'Inputs Yr 2'!$P87*'Inputs Yr 2'!$Q87,"")</f>
        <v>0</v>
      </c>
      <c r="V87" s="194">
        <f>IFERROR($G87*'Inputs Yr 2'!$AE87*'Inputs Yr 2'!$AG87*'Inputs Yr 2'!Q87*'Inputs Yr 2'!$S87,"")</f>
        <v>0</v>
      </c>
      <c r="W87" s="194">
        <f>IFERROR($G87*'Inputs Yr 2'!$AE87*'Inputs Yr 2'!$AG87*'Inputs Yr 2'!P87*'Inputs Yr 2'!Q87*'Inputs Yr 2'!$S87,"")</f>
        <v>0</v>
      </c>
      <c r="X87" s="194">
        <f>IFERROR($G87*'Inputs Yr 2'!$AE87*'Inputs Yr 2'!$AF87*'Inputs Yr 2'!Q87*'Inputs Yr 2'!$T87,"")</f>
        <v>0</v>
      </c>
      <c r="Y87" s="194">
        <f>IFERROR($G87*'Inputs Yr 2'!$AE87*'Inputs Yr 2'!$AF87*'Inputs Yr 2'!P87*'Inputs Yr 2'!Q87*'Inputs Yr 2'!$T87,"")</f>
        <v>0</v>
      </c>
      <c r="Z87" s="257">
        <f>IFERROR($G87*'Inputs Yr 2'!$Q87*'Inputs Yr 2'!$U87*(IF(IFERROR(SEARCH("NG", 'Inputs Yr 2'!$AJ87),0),'Inputs Yr 2'!$AK87,0)+IF(IFERROR(SEARCH("NG", 'Inputs Yr 2'!$AL87),0),'Inputs Yr 2'!$AM87,0)+IF(IFERROR(SEARCH("NG", 'Inputs Yr 2'!$AN87),0),'Inputs Yr 2'!$AO87,0)),0)</f>
        <v>212.5</v>
      </c>
      <c r="AA87" s="257">
        <f t="shared" si="56"/>
        <v>3187.5</v>
      </c>
      <c r="AB87" s="257">
        <f>IFERROR(Z87*'Inputs Yr 2'!$P87,0)</f>
        <v>212.5</v>
      </c>
      <c r="AC87" s="257">
        <f t="shared" si="57"/>
        <v>3187.5</v>
      </c>
      <c r="AD87" s="257">
        <f>IFERROR($G87*'Inputs Yr 2'!$Q87*'Inputs Yr 2'!$U87*(IF(IFERROR(SEARCH("Oil", 'Inputs Yr 2'!$AJ87), 0),'Inputs Yr 2'!$AK87,0)+IF(IFERROR(SEARCH("Oil", 'Inputs Yr 2'!$AL87), 0),'Inputs Yr 2'!$AM87,0)+IF(IFERROR(SEARCH("Oil", 'Inputs Yr 2'!$AN87), 0),'Inputs Yr 2'!$AO87,0)),0)</f>
        <v>0</v>
      </c>
      <c r="AE87" s="257">
        <f t="shared" si="58"/>
        <v>0</v>
      </c>
      <c r="AF87" s="257">
        <f>IFERROR(AD87*'Inputs Yr 2'!$P87,0)</f>
        <v>0</v>
      </c>
      <c r="AG87" s="257">
        <f t="shared" si="59"/>
        <v>0</v>
      </c>
      <c r="AH87" s="257">
        <f>IFERROR($G87*'Inputs Yr 2'!$Q87*'Inputs Yr 2'!$U87*(IF('Inputs Yr 2'!$AJ87=CD$4,'Inputs Yr 2'!$AK87,IF('Inputs Yr 2'!$AL87=CD$4,'Inputs Yr 2'!$AM87,IF('Inputs Yr 2'!$AN87=CD$4,'Inputs Yr 2'!$AO87,0)))),0)</f>
        <v>0</v>
      </c>
      <c r="AI87" s="257">
        <f t="shared" si="60"/>
        <v>0</v>
      </c>
      <c r="AJ87" s="257">
        <f>IFERROR(AH87*'Inputs Yr 2'!$P87,0)</f>
        <v>0</v>
      </c>
      <c r="AK87" s="257">
        <f t="shared" si="61"/>
        <v>0</v>
      </c>
      <c r="AL87" s="258">
        <f>IFERROR($G87*'Inputs Yr 2'!$P87*'Inputs Yr 2'!$Q87*'Inputs Yr 2'!AP87,0)</f>
        <v>0</v>
      </c>
      <c r="AM87" s="260">
        <f>IFERROR($G87*'Inputs Yr 2'!$P87*'Inputs Yr 2'!$Q87*'Inputs Yr 2'!AQ87,0)</f>
        <v>0</v>
      </c>
      <c r="AN87" s="258">
        <f>IFERROR($G87*'Inputs Yr 2'!$P87*'Inputs Yr 2'!$Q87*'Inputs Yr 2'!AR87,0)</f>
        <v>0</v>
      </c>
      <c r="AO87" s="257">
        <f t="shared" si="62"/>
        <v>0</v>
      </c>
      <c r="AP87" s="195">
        <f>IFERROR($CQ87*(INDEX(avoidedcosttbl2,$H87,AP$2)+(($H87-ROUNDDOWN($H87,0))*(INDEX(avoidedcosttbl2,ROUNDUP($H87,0),AP$2)-(INDEX(avoidedcosttbl2,ROUNDDOWN($H87,0),AP$2)))))*$O87*1000*'Inputs Yr 2'!AA87,"")</f>
        <v>0</v>
      </c>
      <c r="AQ87" s="195">
        <f>IFERROR($CR87*(INDEX(avoidedcosttbl2,$H87,AQ$2)+(($H87-ROUNDDOWN($H87,0))*(INDEX(avoidedcosttbl2,ROUNDUP($H87,0),AQ$2)-(INDEX(avoidedcosttbl2,ROUNDDOWN($H87,0),AQ$2)))))*$O87*1000*'Inputs Yr 2'!AB87,"")</f>
        <v>0</v>
      </c>
      <c r="AR87" s="195">
        <f>IFERROR($CS87*(INDEX(avoidedcosttbl2,$H87,AR$2)+(($H87-ROUNDDOWN($H87,0))*(INDEX(avoidedcosttbl2,ROUNDUP($H87,0),AR$2)-(INDEX(avoidedcosttbl2,ROUNDDOWN($H87,0),AR$2)))))*$O87*1000*'Inputs Yr 2'!AC87,"")</f>
        <v>0</v>
      </c>
      <c r="AS87" s="195">
        <f>IFERROR($CT87*(INDEX(avoidedcosttbl2,$H87,AS$2)+(($H87-ROUNDDOWN($H87,0))*(INDEX(avoidedcosttbl2,ROUNDUP($H87,0),AS$2)-(INDEX(avoidedcosttbl2,ROUNDDOWN($H87,0),AS$2)))))*$O87*1000*'Inputs Yr 2'!AD87,"")</f>
        <v>0</v>
      </c>
      <c r="AT87" s="196">
        <f t="shared" si="63"/>
        <v>0</v>
      </c>
      <c r="AU87" s="197">
        <f>IFERROR($CQ87*((INDEX(avoidedcosttbl2,$H87,AU$2))+(($H87-ROUNDDOWN($H87,0))*((INDEX(avoidedcosttbl2,ROUNDUP($H87,0),AU$2))-(INDEX(avoidedcosttbl2,ROUNDDOWN($H87,0),AU$2)))))*$O87*1000*'Inputs Yr 2'!AA87,"")</f>
        <v>0</v>
      </c>
      <c r="AV87" s="197">
        <f>IFERROR($CR87*((INDEX(avoidedcosttbl2,$H87,AV$2))+(($H87-ROUNDDOWN($H87,0))*((INDEX(avoidedcosttbl2,ROUNDUP($H87,0),AV$2))-(INDEX(avoidedcosttbl2,ROUNDDOWN($H87,0),AV$2)))))*$O87*1000*'Inputs Yr 2'!AB87,"")</f>
        <v>0</v>
      </c>
      <c r="AW87" s="197">
        <f>IFERROR($CS87*((INDEX(avoidedcosttbl2,$H87,AW$2))+(($H87-ROUNDDOWN($H87,0))*((INDEX(avoidedcosttbl2,ROUNDUP($H87,0),AW$2))-(INDEX(avoidedcosttbl2,ROUNDDOWN($H87,0),AW$2)))))*$O87*1000*'Inputs Yr 2'!AC87,"")</f>
        <v>0</v>
      </c>
      <c r="AX87" s="197">
        <f>IFERROR($CT87*((INDEX(avoidedcosttbl2,$H87,AX$2))+(($H87-ROUNDDOWN($H87,0))*((INDEX(avoidedcosttbl2,ROUNDUP($H87,0),AX$2))-(INDEX(avoidedcosttbl2,ROUNDDOWN($H87,0),AX$2)))))*$O87*1000*'Inputs Yr 2'!AD87,"")</f>
        <v>0</v>
      </c>
      <c r="AY87" s="197">
        <f>IFERROR(((INDEX(avoidedcosttbl2,$H87,AY$2))+(($H87-ROUNDDOWN($H87,0))*((INDEX(avoidedcosttbl2,ROUNDUP($H87,0),AY$2))-(INDEX(avoidedcosttbl2,ROUNDDOWN($H87,0),AY$2)))))*$O87*1000*('Inputs Yr 2'!AC87+'Inputs Yr 2'!AD87),"")</f>
        <v>0</v>
      </c>
      <c r="AZ87" s="197">
        <f>IFERROR(((INDEX(avoidedcosttbl2,$H87,AZ$2))+(($H87-ROUNDDOWN($H87,0))*((INDEX(avoidedcosttbl2,ROUNDUP($H87,0),AZ$2))-(INDEX(avoidedcosttbl2,ROUNDDOWN($H87,0),AZ$2)))))*$O87*1000*('Inputs Yr 2'!AA87+'Inputs Yr 2'!AB87),"")</f>
        <v>0</v>
      </c>
      <c r="BA87" s="198">
        <f t="shared" si="64"/>
        <v>0</v>
      </c>
      <c r="BB87" s="198">
        <f t="shared" si="65"/>
        <v>0</v>
      </c>
      <c r="BC87" s="195">
        <f t="shared" si="47"/>
        <v>0</v>
      </c>
      <c r="BD87" s="195">
        <f t="shared" si="48"/>
        <v>0</v>
      </c>
      <c r="BE87" s="195">
        <f t="shared" si="49"/>
        <v>0</v>
      </c>
      <c r="BF87" s="195">
        <f t="shared" si="50"/>
        <v>0</v>
      </c>
      <c r="BG87" s="195">
        <f t="shared" si="51"/>
        <v>0</v>
      </c>
      <c r="BH87" s="196">
        <f t="shared" si="66"/>
        <v>0</v>
      </c>
      <c r="BI87" s="196">
        <f t="shared" si="67"/>
        <v>0</v>
      </c>
      <c r="BJ87" s="195">
        <f>IFERROR($G87*(IF('Inputs Yr 2'!$AJ87=BJ$4,'Inputs Yr 2'!$AK87,IF('Inputs Yr 2'!$AL87=BJ$4,'Inputs Yr 2'!$AM87,IF('Inputs Yr 2'!$AN87=BJ$4,'Inputs Yr 2'!$AO87,0))))*(INDEX(avoidedcosttbl2,$H87,BJ$2)+(($H87-ROUNDDOWN($H87,0))*(INDEX(avoidedcosttbl2,ROUNDUP($H87,0),BJ$2)-(INDEX(avoidedcosttbl2,ROUNDDOWN($H87,0),BJ$2)))))*'Inputs Yr 2'!P87*'Inputs Yr 2'!Q87*'Inputs Yr 2'!U87,"")</f>
        <v>0</v>
      </c>
      <c r="BK87" s="195">
        <f>IFERROR($G87*(IF('Inputs Yr 2'!$AJ87=BK$4,'Inputs Yr 2'!$AK87,IF('Inputs Yr 2'!$AL87=BK$4,'Inputs Yr 2'!$AM87,IF('Inputs Yr 2'!$AN87=BK$4,'Inputs Yr 2'!$AO87,0))))*(INDEX(avoidedcosttbl2,$H87,BK$2)+(($H87-ROUNDDOWN($H87,0))*(INDEX(avoidedcosttbl2,ROUNDUP($H87,0),BK$2)-(INDEX(avoidedcosttbl2,ROUNDDOWN($H87,0),BK$2)))))*'Inputs Yr 2'!P87*'Inputs Yr 2'!Q87*'Inputs Yr 2'!U87,"")</f>
        <v>25541.837904021781</v>
      </c>
      <c r="BL87" s="195">
        <f>IFERROR($G87*(IF('Inputs Yr 2'!$AJ87=BL$4,'Inputs Yr 2'!$AK87,IF('Inputs Yr 2'!$AL87=BL$4,'Inputs Yr 2'!$AM87,IF('Inputs Yr 2'!$AN87=BL$4,'Inputs Yr 2'!$AO87,0))))*(INDEX(avoidedcosttbl2,$H87,BL$2)+(($H87-ROUNDDOWN($H87,0))*(INDEX(avoidedcosttbl2,ROUNDUP($H87,0),BL$2)-(INDEX(avoidedcosttbl2,ROUNDDOWN($H87,0),BL$2)))))*'Inputs Yr 2'!P87*'Inputs Yr 2'!Q87*'Inputs Yr 2'!U87,"")</f>
        <v>0</v>
      </c>
      <c r="BM87" s="195">
        <f>IFERROR($G87*(IF('Inputs Yr 2'!$AJ87=BM$4,'Inputs Yr 2'!$AK87,IF('Inputs Yr 2'!$AL87=BM$4,'Inputs Yr 2'!$AM87,IF('Inputs Yr 2'!$AN87=BM$4,'Inputs Yr 2'!$AO87,0))))*(INDEX(avoidedcosttbl2,$H87,BM$2)+(($H87-ROUNDDOWN($H87,0))*(INDEX(avoidedcosttbl2,ROUNDUP($H87,0),BM$2)-(INDEX(avoidedcosttbl2,ROUNDDOWN($H87,0),BM$2)))))*'Inputs Yr 2'!P87*'Inputs Yr 2'!Q87*'Inputs Yr 2'!U87,"")</f>
        <v>0</v>
      </c>
      <c r="BN87" s="195">
        <f>IFERROR($G87*(IF('Inputs Yr 2'!$AJ87=BN$4,'Inputs Yr 2'!$AK87,IF('Inputs Yr 2'!$AL87=BN$4,'Inputs Yr 2'!$AM87,IF('Inputs Yr 2'!$AN87=BN$4,'Inputs Yr 2'!$AO87,0))))*(INDEX(avoidedcosttbl2,$H87,BN$2)+(($H87-ROUNDDOWN($H87,0))*(INDEX(avoidedcosttbl2,ROUNDUP($H87,0),BN$2)-(INDEX(avoidedcosttbl2,ROUNDDOWN($H87,0),BN$2)))))*'Inputs Yr 2'!P87*'Inputs Yr 2'!Q87*'Inputs Yr 2'!U87,"")</f>
        <v>0</v>
      </c>
      <c r="BO87" s="195">
        <f>IFERROR($G87*(IF('Inputs Yr 2'!$AJ87=BO$4,'Inputs Yr 2'!$AK87,IF('Inputs Yr 2'!$AL87=BO$4,'Inputs Yr 2'!$AM87,IF('Inputs Yr 2'!$AN87=BO$4,'Inputs Yr 2'!$AO87,0))))*(INDEX(avoidedcosttbl2,$H87,BO$2)+(($H87-ROUNDDOWN($H87,0))*(INDEX(avoidedcosttbl2,ROUNDUP($H87,0),BO$2)-(INDEX(avoidedcosttbl2,ROUNDDOWN($H87,0),BO$2)))))*'Inputs Yr 2'!P87*'Inputs Yr 2'!Q87*'Inputs Yr 2'!U87,"")</f>
        <v>0</v>
      </c>
      <c r="BP87" s="195">
        <f>IFERROR($G87*(IF('Inputs Yr 2'!$AJ87=BP$4,'Inputs Yr 2'!$AK87,IF('Inputs Yr 2'!$AL87=BP$4,'Inputs Yr 2'!$AM87,IF('Inputs Yr 2'!$AN87=BP$4,'Inputs Yr 2'!$AO87,0))))*(INDEX(avoidedcosttbl2,$H87,BP$2)+(($H87-ROUNDDOWN($H87,0))*(INDEX(avoidedcosttbl2,ROUNDUP($H87,0),BP$2)-(INDEX(avoidedcosttbl2,ROUNDDOWN($H87,0),BP$2)))))*'Inputs Yr 2'!P87*'Inputs Yr 2'!Q87*'Inputs Yr 2'!U87,"")</f>
        <v>0</v>
      </c>
      <c r="BQ87" s="230">
        <f t="shared" si="68"/>
        <v>25541.837904021781</v>
      </c>
      <c r="BR87" s="197">
        <f t="shared" si="52"/>
        <v>432.03982164805376</v>
      </c>
      <c r="BS87" s="197">
        <f>IFERROR(($G87*IF('Inputs Yr 2'!$AJ87=BM$4,'Inputs Yr 2'!$AK87,IF('Inputs Yr 2'!$AL87=BM$4,'Inputs Yr 2'!$AM87,IF('Inputs Yr 2'!$AN87=BM$4,'Inputs Yr 2'!$AO87,0))))*(INDEX(avoidedcosttbl2,$H87,BS$2)+(($H87-ROUNDDOWN($H87,0))*(INDEX(avoidedcosttbl2,ROUNDUP($H87,0),BS$2)-(INDEX(avoidedcosttbl2,ROUNDDOWN($H87,0),BS$2)))))*'Inputs Yr 2'!P87*'Inputs Yr 2'!Q87*'Inputs Yr 2'!U87,"")</f>
        <v>0</v>
      </c>
      <c r="BT87" s="197">
        <f>IFERROR(($G87*IF('Inputs Yr 2'!$AJ87=BK$4,'Inputs Yr 2'!$AK87,IF('Inputs Yr 2'!$AL87=BK$4,'Inputs Yr 2'!$AM87,IF('Inputs Yr 2'!$AN87=BK$4,'Inputs Yr 2'!$AO87,0))))*(INDEX(avoidedcosttbl2,$H87,BT$2)+(($H87-ROUNDDOWN($H87,0))*(INDEX(avoidedcosttbl2,ROUNDUP($H87,0),BT$2)-(INDEX(avoidedcosttbl2,ROUNDDOWN($H87,0),BT$2)))))*'Inputs Yr 2'!P87*'Inputs Yr 2'!Q87*'Inputs Yr 2'!U87,"")</f>
        <v>1754.9789834281985</v>
      </c>
      <c r="BU87" s="197">
        <f>IFERROR(($G87*IF('Inputs Yr 2'!$AJ87=BL$4,'Inputs Yr 2'!$AK87,IF('Inputs Yr 2'!$AL87=BL$4,'Inputs Yr 2'!$AM87,IF('Inputs Yr 2'!$AN87=BL$4,'Inputs Yr 2'!$AO87,0))))*(INDEX(avoidedcosttbl2,$H87,BU$2)+(($H87-ROUNDDOWN($H87,0))*(INDEX(avoidedcosttbl2,ROUNDUP($H87,0),BU$2)-(INDEX(avoidedcosttbl2,ROUNDDOWN($H87,0),BU$2)))))*'Inputs Yr 2'!P87*'Inputs Yr 2'!Q87*'Inputs Yr 2'!U87,"")</f>
        <v>0</v>
      </c>
      <c r="BV87" s="775">
        <f>IFERROR(($G87*IF('Inputs Yr 2'!$AJ87=BJ$4,'Inputs Yr 2'!$AK87,IF('Inputs Yr 2'!$AL87=BJ$4,'Inputs Yr 2'!$AM87,IF('Inputs Yr 2'!$AN87=BJ$4,'Inputs Yr 2'!$AO87,0))))*(INDEX(avoidedcosttbl2,$H87,BV$2)+(($H87-ROUNDDOWN($H87,0))*(INDEX(avoidedcosttbl2,ROUNDUP($H87,0),BV$2)-(INDEX(avoidedcosttbl2,ROUNDDOWN($H87,0),BV$2)))))*'Inputs Yr 2'!P87*'Inputs Yr 2'!Q87*'Inputs Yr 2'!U87,"")</f>
        <v>0</v>
      </c>
      <c r="BW87" s="197">
        <f>IFERROR(($G87*IF('Inputs Yr 2'!$AJ87=BN$4,'Inputs Yr 2'!$AK87,IF('Inputs Yr 2'!$AL87=BN$4,'Inputs Yr 2'!$AM87,IF('Inputs Yr 2'!$AN87=BN$4,'Inputs Yr 2'!$AO87,0))))*(INDEX(avoidedcosttbl2,$H87,BW$2)+(($H87-ROUNDDOWN($H87,0))*(INDEX(avoidedcosttbl2,ROUNDUP($H87,0),BW$2)-(INDEX(avoidedcosttbl2,ROUNDDOWN($H87,0),BW$2)))))*'Inputs Yr 2'!P87*'Inputs Yr 2'!Q87*'Inputs Yr 2'!U87,"")</f>
        <v>0</v>
      </c>
      <c r="BX87" s="197">
        <f>IFERROR(($G87*IF('Inputs Yr 2'!$AJ87=BO$4,'Inputs Yr 2'!$AK87,IF('Inputs Yr 2'!$AL87=BO$4,'Inputs Yr 2'!$AM87,IF('Inputs Yr 2'!$AN87=BO$4,'Inputs Yr 2'!$AO87,0))))*(INDEX(avoidedcosttbl2,$H87,BX$2)+(($H87-ROUNDDOWN($H87,0))*(INDEX(avoidedcosttbl2,ROUNDUP($H87,0),BX$2)-(INDEX(avoidedcosttbl2,ROUNDDOWN($H87,0),BX$2)))))*'Inputs Yr 2'!P87*'Inputs Yr 2'!Q87*'Inputs Yr 2'!U87,"")</f>
        <v>0</v>
      </c>
      <c r="BY87" s="197">
        <f>IFERROR(($G87*IF('Inputs Yr 2'!$AJ87=BP$4,'Inputs Yr 2'!$AK87,IF('Inputs Yr 2'!$AL87=BP$4,'Inputs Yr 2'!$AM87,IF('Inputs Yr 2'!$AN87=BP$4,'Inputs Yr 2'!$AO87,0))))*(INDEX(avoidedcosttbl2,$H87,BY$2)+(($H87-ROUNDDOWN($H87,0))*(INDEX(avoidedcosttbl2,ROUNDUP($H87,0),BY$2)-(INDEX(avoidedcosttbl2,ROUNDDOWN($H87,0),BY$2)))))*'Inputs Yr 2'!P87*'Inputs Yr 2'!Q87*'Inputs Yr 2'!U87,"")</f>
        <v>0</v>
      </c>
      <c r="BZ87" s="193">
        <f t="shared" si="69"/>
        <v>2187.0188050762522</v>
      </c>
      <c r="CA87" s="193">
        <f t="shared" si="70"/>
        <v>27728.856709098032</v>
      </c>
      <c r="CB87" s="195">
        <f>IFERROR(G87*(IF('Inputs Yr 2'!$AJ87=CB$4,'Inputs Yr 2'!$AK87,IF('Inputs Yr 2'!$AL87=CB$4,'Inputs Yr 2'!$AM87,IF('Inputs Yr 2'!$AN87=CB$4,'Inputs Yr 2'!$AO87,0))))*(INDEX(avoidedcosttbl2,$H87,CB$2)+(($H87-ROUNDDOWN($H87,0))*(INDEX(avoidedcosttbl2,ROUNDUP($H87,0),CB$2)-(INDEX(avoidedcosttbl2,ROUNDDOWN($H87,0),CB$2)))))*'Inputs Yr 2'!P87*'Inputs Yr 2'!Q87*'Inputs Yr 2'!U87,"")</f>
        <v>0</v>
      </c>
      <c r="CC87" s="195">
        <f>IFERROR(H87*(IF('Inputs Yr 2'!$AJ87=CC$4,'Inputs Yr 2'!$AK87,IF('Inputs Yr 2'!$AL87=CC$4,'Inputs Yr 2'!$AM87,IF('Inputs Yr 2'!$AN87=CC$4,'Inputs Yr 2'!$AO87,0))))*(INDEX(avoidedcosttbl2,$H87,CC$2)+(($H87-ROUNDDOWN($H87,0))*(INDEX(avoidedcosttbl2,ROUNDUP($H87,0),CC$2)-(INDEX(avoidedcosttbl2,ROUNDDOWN($H87,0),CC$2)))))*'Inputs Yr 2'!Q87*'Inputs Yr 2'!R87*'Inputs Yr 2'!V87,"")</f>
        <v>0</v>
      </c>
      <c r="CD87" s="195">
        <f>IFERROR(I87*(IF('Inputs Yr 2'!$AJ87=CD$4,'Inputs Yr 2'!$AK87,IF('Inputs Yr 2'!$AL87=CD$4,'Inputs Yr 2'!$AM87,IF('Inputs Yr 2'!$AN87=CD$4,'Inputs Yr 2'!$AO87,0))))*(INDEX(avoidedcosttbl2,$H87,CD$2)+(($H87-ROUNDDOWN($H87,0))*(INDEX(avoidedcosttbl2,ROUNDUP($H87,0),CD$2)-(INDEX(avoidedcosttbl2,ROUNDDOWN($H87,0),CD$2)))))*'Inputs Yr 2'!R87*'Inputs Yr 2'!S87*'Inputs Yr 2'!W87,"")</f>
        <v>0</v>
      </c>
      <c r="CE87" s="213">
        <f t="shared" si="71"/>
        <v>0</v>
      </c>
      <c r="CF87" s="213">
        <f t="shared" si="72"/>
        <v>0</v>
      </c>
      <c r="CG87" s="213">
        <f t="shared" si="73"/>
        <v>0</v>
      </c>
      <c r="CH87" s="698">
        <f t="shared" si="74"/>
        <v>27728.856709098032</v>
      </c>
      <c r="CI87" s="79">
        <f>IFERROR(($G87*'Inputs Yr 2'!$P87*'Inputs Yr 2'!$Q87*(((INDEX(avoidedcosttbl2,$H87,CI$2)+(($H87-ROUNDDOWN($H87,0))*(INDEX(avoidedcosttbl2,ROUNDUP($H87,0),CI$2)-INDEX(avoidedcosttbl2,ROUNDDOWN($H87,0),CI$2))))*'Inputs Yr 2'!AS87))),"")</f>
        <v>255.09541811581801</v>
      </c>
      <c r="CJ87" s="504">
        <f>IFERROR($G87*'Inputs Yr 2'!AT87*'Inputs Yr 2'!$P87*'Inputs Yr 2'!$Q87/((1+realdiscrt1)^-0.5),"")</f>
        <v>0</v>
      </c>
      <c r="CK87" s="79">
        <f>IFERROR((O87*1000*(((INDEX(avoidedcosttbl2,$H87,CK$2)+(($H87-ROUNDDOWN($H87,0))*(INDEX(avoidedcosttbl2,ROUNDUP($H87,0),CK$2)-INDEX(avoidedcosttbl2,ROUNDDOWN($H87,0),CK$2))))*'Inputs Yr 2'!AU87))),"")</f>
        <v>0</v>
      </c>
      <c r="CL87" s="504">
        <f>IFERROR(O87*1000*'Inputs Yr 2'!AV87/((1+realdiscrt1)^-0.5),"")</f>
        <v>0</v>
      </c>
      <c r="CM87" s="79">
        <f>IFERROR((AB87*'Inputs Yr 2'!AW87*(((INDEX(avoidedcosttbl2,$H87,CM$2)+(($H87-ROUNDDOWN($H87,0))*(INDEX(avoidedcosttbl2,ROUNDUP($H87,0),CM$2)-INDEX(avoidedcosttbl2,ROUNDDOWN($H87,0),CM$2)))))))*10,"")</f>
        <v>0</v>
      </c>
      <c r="CN87" s="504">
        <f>IFERROR(10*AB87*'Inputs Yr 2'!AX87/((1+realdiscrt1)^-0.5),"")</f>
        <v>0</v>
      </c>
      <c r="CO87" s="505">
        <f t="shared" si="75"/>
        <v>255.09541811581801</v>
      </c>
      <c r="CP87" s="230">
        <f t="shared" si="76"/>
        <v>27983.952127213852</v>
      </c>
      <c r="CQ87" s="199">
        <f>ROUND(IFERROR(IF(LEFT($A87,1)="C",'Avoided Costs'!$K$13,'Avoided Costs'!$K$12)+1,""),4)</f>
        <v>1.0720000000000001</v>
      </c>
      <c r="CR87" s="199">
        <f>ROUND(IFERROR(IF(LEFT($A87,1)="C",'Avoided Costs'!$L$13,'Avoided Costs'!$L$12)+1,""),4)</f>
        <v>1.04</v>
      </c>
      <c r="CS87" s="199">
        <f>ROUND(IFERROR(IF(LEFT($A87,1)="C",'Avoided Costs'!$M$13,'Avoided Costs'!$M$12)+1,""),4)</f>
        <v>1.0720000000000001</v>
      </c>
      <c r="CT87" s="199">
        <f>ROUND(IFERROR(IF(LEFT($A87,1)="C",'Avoided Costs'!$N$13,'Avoided Costs'!$N$12)+1,""),4)</f>
        <v>1.04</v>
      </c>
      <c r="CU87" s="199">
        <f>ROUND(IFERROR(IF(LEFT($A87,1)="C",'Avoided Costs'!$O$13,'Avoided Costs'!$O$12)+1,""),4)</f>
        <v>1.1120000000000001</v>
      </c>
      <c r="CV87" s="199">
        <f>ROUND(IFERROR(IF(LEFT($A87,1)="C",'Avoided Costs'!$P$13,'Avoided Costs'!$P$12)+1,""),4)</f>
        <v>1.095</v>
      </c>
      <c r="CW87" s="199">
        <f>ROUND(IFERROR(IF(LEFT($A87,1)="C",'Avoided Costs'!$Q$13,'Avoided Costs'!$Q$12)+1,""),4)</f>
        <v>1.1120000000000001</v>
      </c>
      <c r="CX87" s="200">
        <f>ROUND(IFERROR(IF(LEFT($A87,1)="C",'Avoided Costs'!$R$13,'Avoided Costs'!$R$12)+1,""),4)</f>
        <v>1.1120000000000001</v>
      </c>
    </row>
    <row r="88" spans="1:102" ht="12.75" customHeight="1">
      <c r="A88" s="91" t="str">
        <f>IF('Inputs Yr 2'!$B88=0,"",'Inputs Yr 2'!A88)</f>
        <v>A - Residential</v>
      </c>
      <c r="B88" s="91" t="str">
        <f>IF('Inputs Yr 2'!$B88=0,"",'Inputs Yr 2'!B88)</f>
        <v>A2 - Residential Products</v>
      </c>
      <c r="C88" s="91" t="str">
        <f>IF('Inputs Yr 2'!$B88=0,"",'Inputs Yr 2'!C88)</f>
        <v xml:space="preserve">A2a - Residential Heating &amp; Cooling Equipment </v>
      </c>
      <c r="D88" s="91" t="str">
        <f>IF('Inputs Yr 2'!$B88=0,"",'Inputs Yr 2'!E88)</f>
        <v>Stand Alone Water Heater, Gas 0.67</v>
      </c>
      <c r="E88" s="93" t="str">
        <f>IF('Inputs Yr 2'!$B88=0,"",'Inputs Yr 2'!F88)</f>
        <v>G16A2a12</v>
      </c>
      <c r="F88" s="93" t="str">
        <f>IF('Inputs Yr 2'!$B88=0,"",'Inputs Yr 2'!G88)</f>
        <v>Hot Water</v>
      </c>
      <c r="G88" s="95">
        <f>IF('Inputs Yr 2'!$H88&lt;&gt;0,('Inputs Yr 2'!H88),"")</f>
        <v>285</v>
      </c>
      <c r="H88" s="94">
        <f>IFERROR('Inputs Yr 2'!I88,"")</f>
        <v>11</v>
      </c>
      <c r="I88" s="298">
        <f>IFERROR('Inputs Yr 2'!J88*'Inputs Yr 2'!P88*G88,"")</f>
        <v>160170</v>
      </c>
      <c r="J88" s="298">
        <f>IFERROR('Inputs Yr 2'!K88*G88,"")</f>
        <v>28500</v>
      </c>
      <c r="K88" s="298">
        <f t="shared" si="53"/>
        <v>131670</v>
      </c>
      <c r="L88" s="194">
        <f>IFERROR(('Inputs Yr 2'!W88*G88)/1000,"")</f>
        <v>0</v>
      </c>
      <c r="M88" s="194">
        <f>IFERROR(L88*('Inputs Yr 2'!$Q88*'Inputs Yr 2'!$V88*'Inputs Yr 2'!$R88),"")</f>
        <v>0</v>
      </c>
      <c r="N88" s="194">
        <f t="shared" si="54"/>
        <v>0</v>
      </c>
      <c r="O88" s="194">
        <f>IFERROR(M88*'Inputs Yr 2'!P88,"")</f>
        <v>0</v>
      </c>
      <c r="P88" s="194">
        <f t="shared" si="55"/>
        <v>0</v>
      </c>
      <c r="Q88" s="194">
        <f>IFERROR($P88*'Inputs Yr 2'!AA88,"")</f>
        <v>0</v>
      </c>
      <c r="R88" s="194">
        <f>IFERROR($P88*'Inputs Yr 2'!AB88,"")</f>
        <v>0</v>
      </c>
      <c r="S88" s="194">
        <f>IFERROR($P88*'Inputs Yr 2'!AC88,"")</f>
        <v>0</v>
      </c>
      <c r="T88" s="194">
        <f>IFERROR($P88*'Inputs Yr 2'!AD88,"")</f>
        <v>0</v>
      </c>
      <c r="U88" s="194">
        <f>IFERROR(G88*'Inputs Yr 2'!$AE88*'Inputs Yr 2'!$P88*'Inputs Yr 2'!$Q88,"")</f>
        <v>0</v>
      </c>
      <c r="V88" s="194">
        <f>IFERROR($G88*'Inputs Yr 2'!$AE88*'Inputs Yr 2'!$AG88*'Inputs Yr 2'!Q88*'Inputs Yr 2'!$S88,"")</f>
        <v>0</v>
      </c>
      <c r="W88" s="194">
        <f>IFERROR($G88*'Inputs Yr 2'!$AE88*'Inputs Yr 2'!$AG88*'Inputs Yr 2'!P88*'Inputs Yr 2'!Q88*'Inputs Yr 2'!$S88,"")</f>
        <v>0</v>
      </c>
      <c r="X88" s="194">
        <f>IFERROR($G88*'Inputs Yr 2'!$AE88*'Inputs Yr 2'!$AF88*'Inputs Yr 2'!Q88*'Inputs Yr 2'!$T88,"")</f>
        <v>0</v>
      </c>
      <c r="Y88" s="194">
        <f>IFERROR($G88*'Inputs Yr 2'!$AE88*'Inputs Yr 2'!$AF88*'Inputs Yr 2'!P88*'Inputs Yr 2'!Q88*'Inputs Yr 2'!$T88,"")</f>
        <v>0</v>
      </c>
      <c r="Z88" s="257">
        <f>IFERROR($G88*'Inputs Yr 2'!$Q88*'Inputs Yr 2'!$U88*(IF(IFERROR(SEARCH("NG", 'Inputs Yr 2'!$AJ88),0),'Inputs Yr 2'!$AK88,0)+IF(IFERROR(SEARCH("NG", 'Inputs Yr 2'!$AL88),0),'Inputs Yr 2'!$AM88,0)+IF(IFERROR(SEARCH("NG", 'Inputs Yr 2'!$AN88),0),'Inputs Yr 2'!$AO88,0)),0)</f>
        <v>1026</v>
      </c>
      <c r="AA88" s="257">
        <f t="shared" si="56"/>
        <v>11286</v>
      </c>
      <c r="AB88" s="257">
        <f>IFERROR(Z88*'Inputs Yr 2'!$P88,0)</f>
        <v>1026</v>
      </c>
      <c r="AC88" s="257">
        <f t="shared" si="57"/>
        <v>11286</v>
      </c>
      <c r="AD88" s="257">
        <f>IFERROR($G88*'Inputs Yr 2'!$Q88*'Inputs Yr 2'!$U88*(IF(IFERROR(SEARCH("Oil", 'Inputs Yr 2'!$AJ88), 0),'Inputs Yr 2'!$AK88,0)+IF(IFERROR(SEARCH("Oil", 'Inputs Yr 2'!$AL88), 0),'Inputs Yr 2'!$AM88,0)+IF(IFERROR(SEARCH("Oil", 'Inputs Yr 2'!$AN88), 0),'Inputs Yr 2'!$AO88,0)),0)</f>
        <v>0</v>
      </c>
      <c r="AE88" s="257">
        <f t="shared" si="58"/>
        <v>0</v>
      </c>
      <c r="AF88" s="257">
        <f>IFERROR(AD88*'Inputs Yr 2'!$P88,0)</f>
        <v>0</v>
      </c>
      <c r="AG88" s="257">
        <f t="shared" si="59"/>
        <v>0</v>
      </c>
      <c r="AH88" s="257">
        <f>IFERROR($G88*'Inputs Yr 2'!$Q88*'Inputs Yr 2'!$U88*(IF('Inputs Yr 2'!$AJ88=CD$4,'Inputs Yr 2'!$AK88,IF('Inputs Yr 2'!$AL88=CD$4,'Inputs Yr 2'!$AM88,IF('Inputs Yr 2'!$AN88=CD$4,'Inputs Yr 2'!$AO88,0)))),0)</f>
        <v>0</v>
      </c>
      <c r="AI88" s="257">
        <f t="shared" si="60"/>
        <v>0</v>
      </c>
      <c r="AJ88" s="257">
        <f>IFERROR(AH88*'Inputs Yr 2'!$P88,0)</f>
        <v>0</v>
      </c>
      <c r="AK88" s="257">
        <f t="shared" si="61"/>
        <v>0</v>
      </c>
      <c r="AL88" s="258">
        <f>IFERROR($G88*'Inputs Yr 2'!$P88*'Inputs Yr 2'!$Q88*'Inputs Yr 2'!AP88,0)</f>
        <v>0</v>
      </c>
      <c r="AM88" s="260">
        <f>IFERROR($G88*'Inputs Yr 2'!$P88*'Inputs Yr 2'!$Q88*'Inputs Yr 2'!AQ88,0)</f>
        <v>0</v>
      </c>
      <c r="AN88" s="258">
        <f>IFERROR($G88*'Inputs Yr 2'!$P88*'Inputs Yr 2'!$Q88*'Inputs Yr 2'!AR88,0)</f>
        <v>0</v>
      </c>
      <c r="AO88" s="257">
        <f t="shared" si="62"/>
        <v>0</v>
      </c>
      <c r="AP88" s="195">
        <f>IFERROR($CQ88*(INDEX(avoidedcosttbl2,$H88,AP$2)+(($H88-ROUNDDOWN($H88,0))*(INDEX(avoidedcosttbl2,ROUNDUP($H88,0),AP$2)-(INDEX(avoidedcosttbl2,ROUNDDOWN($H88,0),AP$2)))))*$O88*1000*'Inputs Yr 2'!AA88,"")</f>
        <v>0</v>
      </c>
      <c r="AQ88" s="195">
        <f>IFERROR($CR88*(INDEX(avoidedcosttbl2,$H88,AQ$2)+(($H88-ROUNDDOWN($H88,0))*(INDEX(avoidedcosttbl2,ROUNDUP($H88,0),AQ$2)-(INDEX(avoidedcosttbl2,ROUNDDOWN($H88,0),AQ$2)))))*$O88*1000*'Inputs Yr 2'!AB88,"")</f>
        <v>0</v>
      </c>
      <c r="AR88" s="195">
        <f>IFERROR($CS88*(INDEX(avoidedcosttbl2,$H88,AR$2)+(($H88-ROUNDDOWN($H88,0))*(INDEX(avoidedcosttbl2,ROUNDUP($H88,0),AR$2)-(INDEX(avoidedcosttbl2,ROUNDDOWN($H88,0),AR$2)))))*$O88*1000*'Inputs Yr 2'!AC88,"")</f>
        <v>0</v>
      </c>
      <c r="AS88" s="195">
        <f>IFERROR($CT88*(INDEX(avoidedcosttbl2,$H88,AS$2)+(($H88-ROUNDDOWN($H88,0))*(INDEX(avoidedcosttbl2,ROUNDUP($H88,0),AS$2)-(INDEX(avoidedcosttbl2,ROUNDDOWN($H88,0),AS$2)))))*$O88*1000*'Inputs Yr 2'!AD88,"")</f>
        <v>0</v>
      </c>
      <c r="AT88" s="196">
        <f t="shared" si="63"/>
        <v>0</v>
      </c>
      <c r="AU88" s="197">
        <f>IFERROR($CQ88*((INDEX(avoidedcosttbl2,$H88,AU$2))+(($H88-ROUNDDOWN($H88,0))*((INDEX(avoidedcosttbl2,ROUNDUP($H88,0),AU$2))-(INDEX(avoidedcosttbl2,ROUNDDOWN($H88,0),AU$2)))))*$O88*1000*'Inputs Yr 2'!AA88,"")</f>
        <v>0</v>
      </c>
      <c r="AV88" s="197">
        <f>IFERROR($CR88*((INDEX(avoidedcosttbl2,$H88,AV$2))+(($H88-ROUNDDOWN($H88,0))*((INDEX(avoidedcosttbl2,ROUNDUP($H88,0),AV$2))-(INDEX(avoidedcosttbl2,ROUNDDOWN($H88,0),AV$2)))))*$O88*1000*'Inputs Yr 2'!AB88,"")</f>
        <v>0</v>
      </c>
      <c r="AW88" s="197">
        <f>IFERROR($CS88*((INDEX(avoidedcosttbl2,$H88,AW$2))+(($H88-ROUNDDOWN($H88,0))*((INDEX(avoidedcosttbl2,ROUNDUP($H88,0),AW$2))-(INDEX(avoidedcosttbl2,ROUNDDOWN($H88,0),AW$2)))))*$O88*1000*'Inputs Yr 2'!AC88,"")</f>
        <v>0</v>
      </c>
      <c r="AX88" s="197">
        <f>IFERROR($CT88*((INDEX(avoidedcosttbl2,$H88,AX$2))+(($H88-ROUNDDOWN($H88,0))*((INDEX(avoidedcosttbl2,ROUNDUP($H88,0),AX$2))-(INDEX(avoidedcosttbl2,ROUNDDOWN($H88,0),AX$2)))))*$O88*1000*'Inputs Yr 2'!AD88,"")</f>
        <v>0</v>
      </c>
      <c r="AY88" s="197">
        <f>IFERROR(((INDEX(avoidedcosttbl2,$H88,AY$2))+(($H88-ROUNDDOWN($H88,0))*((INDEX(avoidedcosttbl2,ROUNDUP($H88,0),AY$2))-(INDEX(avoidedcosttbl2,ROUNDDOWN($H88,0),AY$2)))))*$O88*1000*('Inputs Yr 2'!AC88+'Inputs Yr 2'!AD88),"")</f>
        <v>0</v>
      </c>
      <c r="AZ88" s="197">
        <f>IFERROR(((INDEX(avoidedcosttbl2,$H88,AZ$2))+(($H88-ROUNDDOWN($H88,0))*((INDEX(avoidedcosttbl2,ROUNDUP($H88,0),AZ$2))-(INDEX(avoidedcosttbl2,ROUNDDOWN($H88,0),AZ$2)))))*$O88*1000*('Inputs Yr 2'!AA88+'Inputs Yr 2'!AB88),"")</f>
        <v>0</v>
      </c>
      <c r="BA88" s="198">
        <f t="shared" si="64"/>
        <v>0</v>
      </c>
      <c r="BB88" s="198">
        <f t="shared" si="65"/>
        <v>0</v>
      </c>
      <c r="BC88" s="195">
        <f t="shared" si="47"/>
        <v>0</v>
      </c>
      <c r="BD88" s="195">
        <f t="shared" si="48"/>
        <v>0</v>
      </c>
      <c r="BE88" s="195">
        <f t="shared" si="49"/>
        <v>0</v>
      </c>
      <c r="BF88" s="195">
        <f t="shared" si="50"/>
        <v>0</v>
      </c>
      <c r="BG88" s="195">
        <f t="shared" si="51"/>
        <v>0</v>
      </c>
      <c r="BH88" s="196">
        <f t="shared" si="66"/>
        <v>0</v>
      </c>
      <c r="BI88" s="196">
        <f t="shared" si="67"/>
        <v>0</v>
      </c>
      <c r="BJ88" s="195">
        <f>IFERROR($G88*(IF('Inputs Yr 2'!$AJ88=BJ$4,'Inputs Yr 2'!$AK88,IF('Inputs Yr 2'!$AL88=BJ$4,'Inputs Yr 2'!$AM88,IF('Inputs Yr 2'!$AN88=BJ$4,'Inputs Yr 2'!$AO88,0))))*(INDEX(avoidedcosttbl2,$H88,BJ$2)+(($H88-ROUNDDOWN($H88,0))*(INDEX(avoidedcosttbl2,ROUNDUP($H88,0),BJ$2)-(INDEX(avoidedcosttbl2,ROUNDDOWN($H88,0),BJ$2)))))*'Inputs Yr 2'!P88*'Inputs Yr 2'!Q88*'Inputs Yr 2'!U88,"")</f>
        <v>0</v>
      </c>
      <c r="BK88" s="195">
        <f>IFERROR($G88*(IF('Inputs Yr 2'!$AJ88=BK$4,'Inputs Yr 2'!$AK88,IF('Inputs Yr 2'!$AL88=BK$4,'Inputs Yr 2'!$AM88,IF('Inputs Yr 2'!$AN88=BK$4,'Inputs Yr 2'!$AO88,0))))*(INDEX(avoidedcosttbl2,$H88,BK$2)+(($H88-ROUNDDOWN($H88,0))*(INDEX(avoidedcosttbl2,ROUNDUP($H88,0),BK$2)-(INDEX(avoidedcosttbl2,ROUNDDOWN($H88,0),BK$2)))))*'Inputs Yr 2'!P88*'Inputs Yr 2'!Q88*'Inputs Yr 2'!U88,"")</f>
        <v>88543.112951152754</v>
      </c>
      <c r="BL88" s="195">
        <f>IFERROR($G88*(IF('Inputs Yr 2'!$AJ88=BL$4,'Inputs Yr 2'!$AK88,IF('Inputs Yr 2'!$AL88=BL$4,'Inputs Yr 2'!$AM88,IF('Inputs Yr 2'!$AN88=BL$4,'Inputs Yr 2'!$AO88,0))))*(INDEX(avoidedcosttbl2,$H88,BL$2)+(($H88-ROUNDDOWN($H88,0))*(INDEX(avoidedcosttbl2,ROUNDUP($H88,0),BL$2)-(INDEX(avoidedcosttbl2,ROUNDDOWN($H88,0),BL$2)))))*'Inputs Yr 2'!P88*'Inputs Yr 2'!Q88*'Inputs Yr 2'!U88,"")</f>
        <v>0</v>
      </c>
      <c r="BM88" s="195">
        <f>IFERROR($G88*(IF('Inputs Yr 2'!$AJ88=BM$4,'Inputs Yr 2'!$AK88,IF('Inputs Yr 2'!$AL88=BM$4,'Inputs Yr 2'!$AM88,IF('Inputs Yr 2'!$AN88=BM$4,'Inputs Yr 2'!$AO88,0))))*(INDEX(avoidedcosttbl2,$H88,BM$2)+(($H88-ROUNDDOWN($H88,0))*(INDEX(avoidedcosttbl2,ROUNDUP($H88,0),BM$2)-(INDEX(avoidedcosttbl2,ROUNDDOWN($H88,0),BM$2)))))*'Inputs Yr 2'!P88*'Inputs Yr 2'!Q88*'Inputs Yr 2'!U88,"")</f>
        <v>0</v>
      </c>
      <c r="BN88" s="195">
        <f>IFERROR($G88*(IF('Inputs Yr 2'!$AJ88=BN$4,'Inputs Yr 2'!$AK88,IF('Inputs Yr 2'!$AL88=BN$4,'Inputs Yr 2'!$AM88,IF('Inputs Yr 2'!$AN88=BN$4,'Inputs Yr 2'!$AO88,0))))*(INDEX(avoidedcosttbl2,$H88,BN$2)+(($H88-ROUNDDOWN($H88,0))*(INDEX(avoidedcosttbl2,ROUNDUP($H88,0),BN$2)-(INDEX(avoidedcosttbl2,ROUNDDOWN($H88,0),BN$2)))))*'Inputs Yr 2'!P88*'Inputs Yr 2'!Q88*'Inputs Yr 2'!U88,"")</f>
        <v>0</v>
      </c>
      <c r="BO88" s="195">
        <f>IFERROR($G88*(IF('Inputs Yr 2'!$AJ88=BO$4,'Inputs Yr 2'!$AK88,IF('Inputs Yr 2'!$AL88=BO$4,'Inputs Yr 2'!$AM88,IF('Inputs Yr 2'!$AN88=BO$4,'Inputs Yr 2'!$AO88,0))))*(INDEX(avoidedcosttbl2,$H88,BO$2)+(($H88-ROUNDDOWN($H88,0))*(INDEX(avoidedcosttbl2,ROUNDUP($H88,0),BO$2)-(INDEX(avoidedcosttbl2,ROUNDDOWN($H88,0),BO$2)))))*'Inputs Yr 2'!P88*'Inputs Yr 2'!Q88*'Inputs Yr 2'!U88,"")</f>
        <v>0</v>
      </c>
      <c r="BP88" s="195">
        <f>IFERROR($G88*(IF('Inputs Yr 2'!$AJ88=BP$4,'Inputs Yr 2'!$AK88,IF('Inputs Yr 2'!$AL88=BP$4,'Inputs Yr 2'!$AM88,IF('Inputs Yr 2'!$AN88=BP$4,'Inputs Yr 2'!$AO88,0))))*(INDEX(avoidedcosttbl2,$H88,BP$2)+(($H88-ROUNDDOWN($H88,0))*(INDEX(avoidedcosttbl2,ROUNDUP($H88,0),BP$2)-(INDEX(avoidedcosttbl2,ROUNDDOWN($H88,0),BP$2)))))*'Inputs Yr 2'!P88*'Inputs Yr 2'!Q88*'Inputs Yr 2'!U88,"")</f>
        <v>0</v>
      </c>
      <c r="BQ88" s="230">
        <f t="shared" si="68"/>
        <v>88543.112951152754</v>
      </c>
      <c r="BR88" s="197">
        <f t="shared" si="52"/>
        <v>1543.0882559436698</v>
      </c>
      <c r="BS88" s="197">
        <f>IFERROR(($G88*IF('Inputs Yr 2'!$AJ88=BM$4,'Inputs Yr 2'!$AK88,IF('Inputs Yr 2'!$AL88=BM$4,'Inputs Yr 2'!$AM88,IF('Inputs Yr 2'!$AN88=BM$4,'Inputs Yr 2'!$AO88,0))))*(INDEX(avoidedcosttbl2,$H88,BS$2)+(($H88-ROUNDDOWN($H88,0))*(INDEX(avoidedcosttbl2,ROUNDUP($H88,0),BS$2)-(INDEX(avoidedcosttbl2,ROUNDDOWN($H88,0),BS$2)))))*'Inputs Yr 2'!P88*'Inputs Yr 2'!Q88*'Inputs Yr 2'!U88,"")</f>
        <v>0</v>
      </c>
      <c r="BT88" s="197">
        <f>IFERROR(($G88*IF('Inputs Yr 2'!$AJ88=BK$4,'Inputs Yr 2'!$AK88,IF('Inputs Yr 2'!$AL88=BK$4,'Inputs Yr 2'!$AM88,IF('Inputs Yr 2'!$AN88=BK$4,'Inputs Yr 2'!$AO88,0))))*(INDEX(avoidedcosttbl2,$H88,BT$2)+(($H88-ROUNDDOWN($H88,0))*(INDEX(avoidedcosttbl2,ROUNDUP($H88,0),BT$2)-(INDEX(avoidedcosttbl2,ROUNDDOWN($H88,0),BT$2)))))*'Inputs Yr 2'!P88*'Inputs Yr 2'!Q88*'Inputs Yr 2'!U88,"")</f>
        <v>8017.5871159018734</v>
      </c>
      <c r="BU88" s="197">
        <f>IFERROR(($G88*IF('Inputs Yr 2'!$AJ88=BL$4,'Inputs Yr 2'!$AK88,IF('Inputs Yr 2'!$AL88=BL$4,'Inputs Yr 2'!$AM88,IF('Inputs Yr 2'!$AN88=BL$4,'Inputs Yr 2'!$AO88,0))))*(INDEX(avoidedcosttbl2,$H88,BU$2)+(($H88-ROUNDDOWN($H88,0))*(INDEX(avoidedcosttbl2,ROUNDUP($H88,0),BU$2)-(INDEX(avoidedcosttbl2,ROUNDDOWN($H88,0),BU$2)))))*'Inputs Yr 2'!P88*'Inputs Yr 2'!Q88*'Inputs Yr 2'!U88,"")</f>
        <v>0</v>
      </c>
      <c r="BV88" s="775">
        <f>IFERROR(($G88*IF('Inputs Yr 2'!$AJ88=BJ$4,'Inputs Yr 2'!$AK88,IF('Inputs Yr 2'!$AL88=BJ$4,'Inputs Yr 2'!$AM88,IF('Inputs Yr 2'!$AN88=BJ$4,'Inputs Yr 2'!$AO88,0))))*(INDEX(avoidedcosttbl2,$H88,BV$2)+(($H88-ROUNDDOWN($H88,0))*(INDEX(avoidedcosttbl2,ROUNDUP($H88,0),BV$2)-(INDEX(avoidedcosttbl2,ROUNDDOWN($H88,0),BV$2)))))*'Inputs Yr 2'!P88*'Inputs Yr 2'!Q88*'Inputs Yr 2'!U88,"")</f>
        <v>0</v>
      </c>
      <c r="BW88" s="197">
        <f>IFERROR(($G88*IF('Inputs Yr 2'!$AJ88=BN$4,'Inputs Yr 2'!$AK88,IF('Inputs Yr 2'!$AL88=BN$4,'Inputs Yr 2'!$AM88,IF('Inputs Yr 2'!$AN88=BN$4,'Inputs Yr 2'!$AO88,0))))*(INDEX(avoidedcosttbl2,$H88,BW$2)+(($H88-ROUNDDOWN($H88,0))*(INDEX(avoidedcosttbl2,ROUNDUP($H88,0),BW$2)-(INDEX(avoidedcosttbl2,ROUNDDOWN($H88,0),BW$2)))))*'Inputs Yr 2'!P88*'Inputs Yr 2'!Q88*'Inputs Yr 2'!U88,"")</f>
        <v>0</v>
      </c>
      <c r="BX88" s="197">
        <f>IFERROR(($G88*IF('Inputs Yr 2'!$AJ88=BO$4,'Inputs Yr 2'!$AK88,IF('Inputs Yr 2'!$AL88=BO$4,'Inputs Yr 2'!$AM88,IF('Inputs Yr 2'!$AN88=BO$4,'Inputs Yr 2'!$AO88,0))))*(INDEX(avoidedcosttbl2,$H88,BX$2)+(($H88-ROUNDDOWN($H88,0))*(INDEX(avoidedcosttbl2,ROUNDUP($H88,0),BX$2)-(INDEX(avoidedcosttbl2,ROUNDDOWN($H88,0),BX$2)))))*'Inputs Yr 2'!P88*'Inputs Yr 2'!Q88*'Inputs Yr 2'!U88,"")</f>
        <v>0</v>
      </c>
      <c r="BY88" s="197">
        <f>IFERROR(($G88*IF('Inputs Yr 2'!$AJ88=BP$4,'Inputs Yr 2'!$AK88,IF('Inputs Yr 2'!$AL88=BP$4,'Inputs Yr 2'!$AM88,IF('Inputs Yr 2'!$AN88=BP$4,'Inputs Yr 2'!$AO88,0))))*(INDEX(avoidedcosttbl2,$H88,BY$2)+(($H88-ROUNDDOWN($H88,0))*(INDEX(avoidedcosttbl2,ROUNDUP($H88,0),BY$2)-(INDEX(avoidedcosttbl2,ROUNDDOWN($H88,0),BY$2)))))*'Inputs Yr 2'!P88*'Inputs Yr 2'!Q88*'Inputs Yr 2'!U88,"")</f>
        <v>0</v>
      </c>
      <c r="BZ88" s="193">
        <f t="shared" si="69"/>
        <v>9560.6753718455439</v>
      </c>
      <c r="CA88" s="193">
        <f t="shared" si="70"/>
        <v>98103.788322998298</v>
      </c>
      <c r="CB88" s="195">
        <f>IFERROR(G88*(IF('Inputs Yr 2'!$AJ88=CB$4,'Inputs Yr 2'!$AK88,IF('Inputs Yr 2'!$AL88=CB$4,'Inputs Yr 2'!$AM88,IF('Inputs Yr 2'!$AN88=CB$4,'Inputs Yr 2'!$AO88,0))))*(INDEX(avoidedcosttbl2,$H88,CB$2)+(($H88-ROUNDDOWN($H88,0))*(INDEX(avoidedcosttbl2,ROUNDUP($H88,0),CB$2)-(INDEX(avoidedcosttbl2,ROUNDDOWN($H88,0),CB$2)))))*'Inputs Yr 2'!P88*'Inputs Yr 2'!Q88*'Inputs Yr 2'!U88,"")</f>
        <v>0</v>
      </c>
      <c r="CC88" s="195">
        <f>IFERROR(H88*(IF('Inputs Yr 2'!$AJ88=CC$4,'Inputs Yr 2'!$AK88,IF('Inputs Yr 2'!$AL88=CC$4,'Inputs Yr 2'!$AM88,IF('Inputs Yr 2'!$AN88=CC$4,'Inputs Yr 2'!$AO88,0))))*(INDEX(avoidedcosttbl2,$H88,CC$2)+(($H88-ROUNDDOWN($H88,0))*(INDEX(avoidedcosttbl2,ROUNDUP($H88,0),CC$2)-(INDEX(avoidedcosttbl2,ROUNDDOWN($H88,0),CC$2)))))*'Inputs Yr 2'!Q88*'Inputs Yr 2'!R88*'Inputs Yr 2'!V88,"")</f>
        <v>0</v>
      </c>
      <c r="CD88" s="195">
        <f>IFERROR(I88*(IF('Inputs Yr 2'!$AJ88=CD$4,'Inputs Yr 2'!$AK88,IF('Inputs Yr 2'!$AL88=CD$4,'Inputs Yr 2'!$AM88,IF('Inputs Yr 2'!$AN88=CD$4,'Inputs Yr 2'!$AO88,0))))*(INDEX(avoidedcosttbl2,$H88,CD$2)+(($H88-ROUNDDOWN($H88,0))*(INDEX(avoidedcosttbl2,ROUNDUP($H88,0),CD$2)-(INDEX(avoidedcosttbl2,ROUNDDOWN($H88,0),CD$2)))))*'Inputs Yr 2'!R88*'Inputs Yr 2'!S88*'Inputs Yr 2'!W88,"")</f>
        <v>0</v>
      </c>
      <c r="CE88" s="213">
        <f t="shared" si="71"/>
        <v>0</v>
      </c>
      <c r="CF88" s="213">
        <f t="shared" si="72"/>
        <v>0</v>
      </c>
      <c r="CG88" s="213">
        <f t="shared" si="73"/>
        <v>0</v>
      </c>
      <c r="CH88" s="698">
        <f t="shared" si="74"/>
        <v>98103.788322998298</v>
      </c>
      <c r="CI88" s="79">
        <f>IFERROR(($G88*'Inputs Yr 2'!$P88*'Inputs Yr 2'!$Q88*(((INDEX(avoidedcosttbl2,$H88,CI$2)+(($H88-ROUNDDOWN($H88,0))*(INDEX(avoidedcosttbl2,ROUNDUP($H88,0),CI$2)-INDEX(avoidedcosttbl2,ROUNDDOWN($H88,0),CI$2))))*'Inputs Yr 2'!AS88))),"")</f>
        <v>3970.3486368446288</v>
      </c>
      <c r="CJ88" s="504">
        <f>IFERROR($G88*'Inputs Yr 2'!AT88*'Inputs Yr 2'!$P88*'Inputs Yr 2'!$Q88/((1+realdiscrt1)^-0.5),"")</f>
        <v>0</v>
      </c>
      <c r="CK88" s="79">
        <f>IFERROR((O88*1000*(((INDEX(avoidedcosttbl2,$H88,CK$2)+(($H88-ROUNDDOWN($H88,0))*(INDEX(avoidedcosttbl2,ROUNDUP($H88,0),CK$2)-INDEX(avoidedcosttbl2,ROUNDDOWN($H88,0),CK$2))))*'Inputs Yr 2'!AU88))),"")</f>
        <v>0</v>
      </c>
      <c r="CL88" s="504">
        <f>IFERROR(O88*1000*'Inputs Yr 2'!AV88/((1+realdiscrt1)^-0.5),"")</f>
        <v>0</v>
      </c>
      <c r="CM88" s="79">
        <f>IFERROR((AB88*'Inputs Yr 2'!AW88*(((INDEX(avoidedcosttbl2,$H88,CM$2)+(($H88-ROUNDDOWN($H88,0))*(INDEX(avoidedcosttbl2,ROUNDUP($H88,0),CM$2)-INDEX(avoidedcosttbl2,ROUNDDOWN($H88,0),CM$2)))))))*10,"")</f>
        <v>0</v>
      </c>
      <c r="CN88" s="504">
        <f>IFERROR(10*AB88*'Inputs Yr 2'!AX88/((1+realdiscrt1)^-0.5),"")</f>
        <v>0</v>
      </c>
      <c r="CO88" s="505">
        <f t="shared" si="75"/>
        <v>3970.3486368446288</v>
      </c>
      <c r="CP88" s="230">
        <f t="shared" si="76"/>
        <v>102074.13695984293</v>
      </c>
      <c r="CQ88" s="199">
        <f>ROUND(IFERROR(IF(LEFT($A88,1)="C",'Avoided Costs'!$K$13,'Avoided Costs'!$K$12)+1,""),4)</f>
        <v>1.0720000000000001</v>
      </c>
      <c r="CR88" s="199">
        <f>ROUND(IFERROR(IF(LEFT($A88,1)="C",'Avoided Costs'!$L$13,'Avoided Costs'!$L$12)+1,""),4)</f>
        <v>1.04</v>
      </c>
      <c r="CS88" s="199">
        <f>ROUND(IFERROR(IF(LEFT($A88,1)="C",'Avoided Costs'!$M$13,'Avoided Costs'!$M$12)+1,""),4)</f>
        <v>1.0720000000000001</v>
      </c>
      <c r="CT88" s="199">
        <f>ROUND(IFERROR(IF(LEFT($A88,1)="C",'Avoided Costs'!$N$13,'Avoided Costs'!$N$12)+1,""),4)</f>
        <v>1.04</v>
      </c>
      <c r="CU88" s="199">
        <f>ROUND(IFERROR(IF(LEFT($A88,1)="C",'Avoided Costs'!$O$13,'Avoided Costs'!$O$12)+1,""),4)</f>
        <v>1.1120000000000001</v>
      </c>
      <c r="CV88" s="199">
        <f>ROUND(IFERROR(IF(LEFT($A88,1)="C",'Avoided Costs'!$P$13,'Avoided Costs'!$P$12)+1,""),4)</f>
        <v>1.095</v>
      </c>
      <c r="CW88" s="199">
        <f>ROUND(IFERROR(IF(LEFT($A88,1)="C",'Avoided Costs'!$Q$13,'Avoided Costs'!$Q$12)+1,""),4)</f>
        <v>1.1120000000000001</v>
      </c>
      <c r="CX88" s="200">
        <f>ROUND(IFERROR(IF(LEFT($A88,1)="C",'Avoided Costs'!$R$13,'Avoided Costs'!$R$12)+1,""),4)</f>
        <v>1.1120000000000001</v>
      </c>
    </row>
    <row r="89" spans="1:102" ht="12.75" customHeight="1">
      <c r="A89" s="91" t="str">
        <f>IF('Inputs Yr 2'!$B89=0,"",'Inputs Yr 2'!A89)</f>
        <v>A - Residential</v>
      </c>
      <c r="B89" s="91" t="str">
        <f>IF('Inputs Yr 2'!$B89=0,"",'Inputs Yr 2'!B89)</f>
        <v>A2 - Residential Products</v>
      </c>
      <c r="C89" s="91" t="str">
        <f>IF('Inputs Yr 2'!$B89=0,"",'Inputs Yr 2'!C89)</f>
        <v xml:space="preserve">A2a - Residential Heating &amp; Cooling Equipment </v>
      </c>
      <c r="D89" s="91" t="str">
        <f>IF('Inputs Yr 2'!$B89=0,"",'Inputs Yr 2'!E89)</f>
        <v>On Demand Water Heater, Gas 0.82</v>
      </c>
      <c r="E89" s="93" t="str">
        <f>IF('Inputs Yr 2'!$B89=0,"",'Inputs Yr 2'!F89)</f>
        <v>G16A2a13</v>
      </c>
      <c r="F89" s="93" t="str">
        <f>IF('Inputs Yr 2'!$B89=0,"",'Inputs Yr 2'!G89)</f>
        <v>Hot Water</v>
      </c>
      <c r="G89" s="95">
        <f>IF('Inputs Yr 2'!$H89&lt;&gt;0,('Inputs Yr 2'!H89),"")</f>
        <v>140</v>
      </c>
      <c r="H89" s="94">
        <f>IFERROR('Inputs Yr 2'!I89,"")</f>
        <v>19</v>
      </c>
      <c r="I89" s="298">
        <f>IFERROR('Inputs Yr 2'!J89*'Inputs Yr 2'!P89*G89,"")</f>
        <v>227449.17904102185</v>
      </c>
      <c r="J89" s="298">
        <f>IFERROR('Inputs Yr 2'!K89*G89,"")</f>
        <v>70000</v>
      </c>
      <c r="K89" s="298">
        <f t="shared" si="53"/>
        <v>157449.17904102185</v>
      </c>
      <c r="L89" s="194">
        <f>IFERROR(('Inputs Yr 2'!W89*G89)/1000,"")</f>
        <v>0</v>
      </c>
      <c r="M89" s="194">
        <f>IFERROR(L89*('Inputs Yr 2'!$Q89*'Inputs Yr 2'!$V89*'Inputs Yr 2'!$R89),"")</f>
        <v>0</v>
      </c>
      <c r="N89" s="194">
        <f t="shared" si="54"/>
        <v>0</v>
      </c>
      <c r="O89" s="194">
        <f>IFERROR(M89*'Inputs Yr 2'!P89,"")</f>
        <v>0</v>
      </c>
      <c r="P89" s="194">
        <f t="shared" si="55"/>
        <v>0</v>
      </c>
      <c r="Q89" s="194">
        <f>IFERROR($P89*'Inputs Yr 2'!AA89,"")</f>
        <v>0</v>
      </c>
      <c r="R89" s="194">
        <f>IFERROR($P89*'Inputs Yr 2'!AB89,"")</f>
        <v>0</v>
      </c>
      <c r="S89" s="194">
        <f>IFERROR($P89*'Inputs Yr 2'!AC89,"")</f>
        <v>0</v>
      </c>
      <c r="T89" s="194">
        <f>IFERROR($P89*'Inputs Yr 2'!AD89,"")</f>
        <v>0</v>
      </c>
      <c r="U89" s="194">
        <f>IFERROR(G89*'Inputs Yr 2'!$AE89*'Inputs Yr 2'!$P89*'Inputs Yr 2'!$Q89,"")</f>
        <v>0</v>
      </c>
      <c r="V89" s="194">
        <f>IFERROR($G89*'Inputs Yr 2'!$AE89*'Inputs Yr 2'!$AG89*'Inputs Yr 2'!Q89*'Inputs Yr 2'!$S89,"")</f>
        <v>0</v>
      </c>
      <c r="W89" s="194">
        <f>IFERROR($G89*'Inputs Yr 2'!$AE89*'Inputs Yr 2'!$AG89*'Inputs Yr 2'!P89*'Inputs Yr 2'!Q89*'Inputs Yr 2'!$S89,"")</f>
        <v>0</v>
      </c>
      <c r="X89" s="194">
        <f>IFERROR($G89*'Inputs Yr 2'!$AE89*'Inputs Yr 2'!$AF89*'Inputs Yr 2'!Q89*'Inputs Yr 2'!$T89,"")</f>
        <v>0</v>
      </c>
      <c r="Y89" s="194">
        <f>IFERROR($G89*'Inputs Yr 2'!$AE89*'Inputs Yr 2'!$AF89*'Inputs Yr 2'!P89*'Inputs Yr 2'!Q89*'Inputs Yr 2'!$T89,"")</f>
        <v>0</v>
      </c>
      <c r="Z89" s="257">
        <f>IFERROR($G89*'Inputs Yr 2'!$Q89*'Inputs Yr 2'!$U89*(IF(IFERROR(SEARCH("NG", 'Inputs Yr 2'!$AJ89),0),'Inputs Yr 2'!$AK89,0)+IF(IFERROR(SEARCH("NG", 'Inputs Yr 2'!$AL89),0),'Inputs Yr 2'!$AM89,0)+IF(IFERROR(SEARCH("NG", 'Inputs Yr 2'!$AN89),0),'Inputs Yr 2'!$AO89,0)),0)</f>
        <v>1316</v>
      </c>
      <c r="AA89" s="257">
        <f t="shared" si="56"/>
        <v>25004</v>
      </c>
      <c r="AB89" s="257">
        <f>IFERROR(Z89*'Inputs Yr 2'!$P89,0)</f>
        <v>1158.08</v>
      </c>
      <c r="AC89" s="257">
        <f t="shared" si="57"/>
        <v>22003.519999999997</v>
      </c>
      <c r="AD89" s="257">
        <f>IFERROR($G89*'Inputs Yr 2'!$Q89*'Inputs Yr 2'!$U89*(IF(IFERROR(SEARCH("Oil", 'Inputs Yr 2'!$AJ89), 0),'Inputs Yr 2'!$AK89,0)+IF(IFERROR(SEARCH("Oil", 'Inputs Yr 2'!$AL89), 0),'Inputs Yr 2'!$AM89,0)+IF(IFERROR(SEARCH("Oil", 'Inputs Yr 2'!$AN89), 0),'Inputs Yr 2'!$AO89,0)),0)</f>
        <v>0</v>
      </c>
      <c r="AE89" s="257">
        <f t="shared" si="58"/>
        <v>0</v>
      </c>
      <c r="AF89" s="257">
        <f>IFERROR(AD89*'Inputs Yr 2'!$P89,0)</f>
        <v>0</v>
      </c>
      <c r="AG89" s="257">
        <f t="shared" si="59"/>
        <v>0</v>
      </c>
      <c r="AH89" s="257">
        <f>IFERROR($G89*'Inputs Yr 2'!$Q89*'Inputs Yr 2'!$U89*(IF('Inputs Yr 2'!$AJ89=CD$4,'Inputs Yr 2'!$AK89,IF('Inputs Yr 2'!$AL89=CD$4,'Inputs Yr 2'!$AM89,IF('Inputs Yr 2'!$AN89=CD$4,'Inputs Yr 2'!$AO89,0)))),0)</f>
        <v>0</v>
      </c>
      <c r="AI89" s="257">
        <f t="shared" si="60"/>
        <v>0</v>
      </c>
      <c r="AJ89" s="257">
        <f>IFERROR(AH89*'Inputs Yr 2'!$P89,0)</f>
        <v>0</v>
      </c>
      <c r="AK89" s="257">
        <f t="shared" si="61"/>
        <v>0</v>
      </c>
      <c r="AL89" s="258">
        <f>IFERROR($G89*'Inputs Yr 2'!$P89*'Inputs Yr 2'!$Q89*'Inputs Yr 2'!AP89,0)</f>
        <v>0</v>
      </c>
      <c r="AM89" s="260">
        <f>IFERROR($G89*'Inputs Yr 2'!$P89*'Inputs Yr 2'!$Q89*'Inputs Yr 2'!AQ89,0)</f>
        <v>0</v>
      </c>
      <c r="AN89" s="258">
        <f>IFERROR($G89*'Inputs Yr 2'!$P89*'Inputs Yr 2'!$Q89*'Inputs Yr 2'!AR89,0)</f>
        <v>0</v>
      </c>
      <c r="AO89" s="257">
        <f t="shared" si="62"/>
        <v>0</v>
      </c>
      <c r="AP89" s="195">
        <f>IFERROR($CQ89*(INDEX(avoidedcosttbl2,$H89,AP$2)+(($H89-ROUNDDOWN($H89,0))*(INDEX(avoidedcosttbl2,ROUNDUP($H89,0),AP$2)-(INDEX(avoidedcosttbl2,ROUNDDOWN($H89,0),AP$2)))))*$O89*1000*'Inputs Yr 2'!AA89,"")</f>
        <v>0</v>
      </c>
      <c r="AQ89" s="195">
        <f>IFERROR($CR89*(INDEX(avoidedcosttbl2,$H89,AQ$2)+(($H89-ROUNDDOWN($H89,0))*(INDEX(avoidedcosttbl2,ROUNDUP($H89,0),AQ$2)-(INDEX(avoidedcosttbl2,ROUNDDOWN($H89,0),AQ$2)))))*$O89*1000*'Inputs Yr 2'!AB89,"")</f>
        <v>0</v>
      </c>
      <c r="AR89" s="195">
        <f>IFERROR($CS89*(INDEX(avoidedcosttbl2,$H89,AR$2)+(($H89-ROUNDDOWN($H89,0))*(INDEX(avoidedcosttbl2,ROUNDUP($H89,0),AR$2)-(INDEX(avoidedcosttbl2,ROUNDDOWN($H89,0),AR$2)))))*$O89*1000*'Inputs Yr 2'!AC89,"")</f>
        <v>0</v>
      </c>
      <c r="AS89" s="195">
        <f>IFERROR($CT89*(INDEX(avoidedcosttbl2,$H89,AS$2)+(($H89-ROUNDDOWN($H89,0))*(INDEX(avoidedcosttbl2,ROUNDUP($H89,0),AS$2)-(INDEX(avoidedcosttbl2,ROUNDDOWN($H89,0),AS$2)))))*$O89*1000*'Inputs Yr 2'!AD89,"")</f>
        <v>0</v>
      </c>
      <c r="AT89" s="196">
        <f t="shared" si="63"/>
        <v>0</v>
      </c>
      <c r="AU89" s="197">
        <f>IFERROR($CQ89*((INDEX(avoidedcosttbl2,$H89,AU$2))+(($H89-ROUNDDOWN($H89,0))*((INDEX(avoidedcosttbl2,ROUNDUP($H89,0),AU$2))-(INDEX(avoidedcosttbl2,ROUNDDOWN($H89,0),AU$2)))))*$O89*1000*'Inputs Yr 2'!AA89,"")</f>
        <v>0</v>
      </c>
      <c r="AV89" s="197">
        <f>IFERROR($CR89*((INDEX(avoidedcosttbl2,$H89,AV$2))+(($H89-ROUNDDOWN($H89,0))*((INDEX(avoidedcosttbl2,ROUNDUP($H89,0),AV$2))-(INDEX(avoidedcosttbl2,ROUNDDOWN($H89,0),AV$2)))))*$O89*1000*'Inputs Yr 2'!AB89,"")</f>
        <v>0</v>
      </c>
      <c r="AW89" s="197">
        <f>IFERROR($CS89*((INDEX(avoidedcosttbl2,$H89,AW$2))+(($H89-ROUNDDOWN($H89,0))*((INDEX(avoidedcosttbl2,ROUNDUP($H89,0),AW$2))-(INDEX(avoidedcosttbl2,ROUNDDOWN($H89,0),AW$2)))))*$O89*1000*'Inputs Yr 2'!AC89,"")</f>
        <v>0</v>
      </c>
      <c r="AX89" s="197">
        <f>IFERROR($CT89*((INDEX(avoidedcosttbl2,$H89,AX$2))+(($H89-ROUNDDOWN($H89,0))*((INDEX(avoidedcosttbl2,ROUNDUP($H89,0),AX$2))-(INDEX(avoidedcosttbl2,ROUNDDOWN($H89,0),AX$2)))))*$O89*1000*'Inputs Yr 2'!AD89,"")</f>
        <v>0</v>
      </c>
      <c r="AY89" s="197">
        <f>IFERROR(((INDEX(avoidedcosttbl2,$H89,AY$2))+(($H89-ROUNDDOWN($H89,0))*((INDEX(avoidedcosttbl2,ROUNDUP($H89,0),AY$2))-(INDEX(avoidedcosttbl2,ROUNDDOWN($H89,0),AY$2)))))*$O89*1000*('Inputs Yr 2'!AC89+'Inputs Yr 2'!AD89),"")</f>
        <v>0</v>
      </c>
      <c r="AZ89" s="197">
        <f>IFERROR(((INDEX(avoidedcosttbl2,$H89,AZ$2))+(($H89-ROUNDDOWN($H89,0))*((INDEX(avoidedcosttbl2,ROUNDUP($H89,0),AZ$2))-(INDEX(avoidedcosttbl2,ROUNDDOWN($H89,0),AZ$2)))))*$O89*1000*('Inputs Yr 2'!AA89+'Inputs Yr 2'!AB89),"")</f>
        <v>0</v>
      </c>
      <c r="BA89" s="198">
        <f t="shared" si="64"/>
        <v>0</v>
      </c>
      <c r="BB89" s="198">
        <f t="shared" si="65"/>
        <v>0</v>
      </c>
      <c r="BC89" s="195">
        <f t="shared" si="47"/>
        <v>0</v>
      </c>
      <c r="BD89" s="195">
        <f t="shared" si="48"/>
        <v>0</v>
      </c>
      <c r="BE89" s="195">
        <f t="shared" si="49"/>
        <v>0</v>
      </c>
      <c r="BF89" s="195">
        <f t="shared" si="50"/>
        <v>0</v>
      </c>
      <c r="BG89" s="195">
        <f t="shared" si="51"/>
        <v>0</v>
      </c>
      <c r="BH89" s="196">
        <f t="shared" si="66"/>
        <v>0</v>
      </c>
      <c r="BI89" s="196">
        <f t="shared" si="67"/>
        <v>0</v>
      </c>
      <c r="BJ89" s="195">
        <f>IFERROR($G89*(IF('Inputs Yr 2'!$AJ89=BJ$4,'Inputs Yr 2'!$AK89,IF('Inputs Yr 2'!$AL89=BJ$4,'Inputs Yr 2'!$AM89,IF('Inputs Yr 2'!$AN89=BJ$4,'Inputs Yr 2'!$AO89,0))))*(INDEX(avoidedcosttbl2,$H89,BJ$2)+(($H89-ROUNDDOWN($H89,0))*(INDEX(avoidedcosttbl2,ROUNDUP($H89,0),BJ$2)-(INDEX(avoidedcosttbl2,ROUNDDOWN($H89,0),BJ$2)))))*'Inputs Yr 2'!P89*'Inputs Yr 2'!Q89*'Inputs Yr 2'!U89,"")</f>
        <v>0</v>
      </c>
      <c r="BK89" s="195">
        <f>IFERROR($G89*(IF('Inputs Yr 2'!$AJ89=BK$4,'Inputs Yr 2'!$AK89,IF('Inputs Yr 2'!$AL89=BK$4,'Inputs Yr 2'!$AM89,IF('Inputs Yr 2'!$AN89=BK$4,'Inputs Yr 2'!$AO89,0))))*(INDEX(avoidedcosttbl2,$H89,BK$2)+(($H89-ROUNDDOWN($H89,0))*(INDEX(avoidedcosttbl2,ROUNDUP($H89,0),BK$2)-(INDEX(avoidedcosttbl2,ROUNDDOWN($H89,0),BK$2)))))*'Inputs Yr 2'!P89*'Inputs Yr 2'!Q89*'Inputs Yr 2'!U89,"")</f>
        <v>180554.65172371824</v>
      </c>
      <c r="BL89" s="195">
        <f>IFERROR($G89*(IF('Inputs Yr 2'!$AJ89=BL$4,'Inputs Yr 2'!$AK89,IF('Inputs Yr 2'!$AL89=BL$4,'Inputs Yr 2'!$AM89,IF('Inputs Yr 2'!$AN89=BL$4,'Inputs Yr 2'!$AO89,0))))*(INDEX(avoidedcosttbl2,$H89,BL$2)+(($H89-ROUNDDOWN($H89,0))*(INDEX(avoidedcosttbl2,ROUNDUP($H89,0),BL$2)-(INDEX(avoidedcosttbl2,ROUNDDOWN($H89,0),BL$2)))))*'Inputs Yr 2'!P89*'Inputs Yr 2'!Q89*'Inputs Yr 2'!U89,"")</f>
        <v>0</v>
      </c>
      <c r="BM89" s="195">
        <f>IFERROR($G89*(IF('Inputs Yr 2'!$AJ89=BM$4,'Inputs Yr 2'!$AK89,IF('Inputs Yr 2'!$AL89=BM$4,'Inputs Yr 2'!$AM89,IF('Inputs Yr 2'!$AN89=BM$4,'Inputs Yr 2'!$AO89,0))))*(INDEX(avoidedcosttbl2,$H89,BM$2)+(($H89-ROUNDDOWN($H89,0))*(INDEX(avoidedcosttbl2,ROUNDUP($H89,0),BM$2)-(INDEX(avoidedcosttbl2,ROUNDDOWN($H89,0),BM$2)))))*'Inputs Yr 2'!P89*'Inputs Yr 2'!Q89*'Inputs Yr 2'!U89,"")</f>
        <v>0</v>
      </c>
      <c r="BN89" s="195">
        <f>IFERROR($G89*(IF('Inputs Yr 2'!$AJ89=BN$4,'Inputs Yr 2'!$AK89,IF('Inputs Yr 2'!$AL89=BN$4,'Inputs Yr 2'!$AM89,IF('Inputs Yr 2'!$AN89=BN$4,'Inputs Yr 2'!$AO89,0))))*(INDEX(avoidedcosttbl2,$H89,BN$2)+(($H89-ROUNDDOWN($H89,0))*(INDEX(avoidedcosttbl2,ROUNDUP($H89,0),BN$2)-(INDEX(avoidedcosttbl2,ROUNDDOWN($H89,0),BN$2)))))*'Inputs Yr 2'!P89*'Inputs Yr 2'!Q89*'Inputs Yr 2'!U89,"")</f>
        <v>0</v>
      </c>
      <c r="BO89" s="195">
        <f>IFERROR($G89*(IF('Inputs Yr 2'!$AJ89=BO$4,'Inputs Yr 2'!$AK89,IF('Inputs Yr 2'!$AL89=BO$4,'Inputs Yr 2'!$AM89,IF('Inputs Yr 2'!$AN89=BO$4,'Inputs Yr 2'!$AO89,0))))*(INDEX(avoidedcosttbl2,$H89,BO$2)+(($H89-ROUNDDOWN($H89,0))*(INDEX(avoidedcosttbl2,ROUNDUP($H89,0),BO$2)-(INDEX(avoidedcosttbl2,ROUNDDOWN($H89,0),BO$2)))))*'Inputs Yr 2'!P89*'Inputs Yr 2'!Q89*'Inputs Yr 2'!U89,"")</f>
        <v>0</v>
      </c>
      <c r="BP89" s="195">
        <f>IFERROR($G89*(IF('Inputs Yr 2'!$AJ89=BP$4,'Inputs Yr 2'!$AK89,IF('Inputs Yr 2'!$AL89=BP$4,'Inputs Yr 2'!$AM89,IF('Inputs Yr 2'!$AN89=BP$4,'Inputs Yr 2'!$AO89,0))))*(INDEX(avoidedcosttbl2,$H89,BP$2)+(($H89-ROUNDDOWN($H89,0))*(INDEX(avoidedcosttbl2,ROUNDUP($H89,0),BP$2)-(INDEX(avoidedcosttbl2,ROUNDDOWN($H89,0),BP$2)))))*'Inputs Yr 2'!P89*'Inputs Yr 2'!Q89*'Inputs Yr 2'!U89,"")</f>
        <v>0</v>
      </c>
      <c r="BQ89" s="230">
        <f t="shared" si="68"/>
        <v>180554.65172371824</v>
      </c>
      <c r="BR89" s="197">
        <f t="shared" si="52"/>
        <v>2956.6490041560678</v>
      </c>
      <c r="BS89" s="197">
        <f>IFERROR(($G89*IF('Inputs Yr 2'!$AJ89=BM$4,'Inputs Yr 2'!$AK89,IF('Inputs Yr 2'!$AL89=BM$4,'Inputs Yr 2'!$AM89,IF('Inputs Yr 2'!$AN89=BM$4,'Inputs Yr 2'!$AO89,0))))*(INDEX(avoidedcosttbl2,$H89,BS$2)+(($H89-ROUNDDOWN($H89,0))*(INDEX(avoidedcosttbl2,ROUNDUP($H89,0),BS$2)-(INDEX(avoidedcosttbl2,ROUNDDOWN($H89,0),BS$2)))))*'Inputs Yr 2'!P89*'Inputs Yr 2'!Q89*'Inputs Yr 2'!U89,"")</f>
        <v>0</v>
      </c>
      <c r="BT89" s="197">
        <f>IFERROR(($G89*IF('Inputs Yr 2'!$AJ89=BK$4,'Inputs Yr 2'!$AK89,IF('Inputs Yr 2'!$AL89=BK$4,'Inputs Yr 2'!$AM89,IF('Inputs Yr 2'!$AN89=BK$4,'Inputs Yr 2'!$AO89,0))))*(INDEX(avoidedcosttbl2,$H89,BT$2)+(($H89-ROUNDDOWN($H89,0))*(INDEX(avoidedcosttbl2,ROUNDUP($H89,0),BT$2)-(INDEX(avoidedcosttbl2,ROUNDDOWN($H89,0),BT$2)))))*'Inputs Yr 2'!P89*'Inputs Yr 2'!Q89*'Inputs Yr 2'!U89,"")</f>
        <v>10069.217155607988</v>
      </c>
      <c r="BU89" s="197">
        <f>IFERROR(($G89*IF('Inputs Yr 2'!$AJ89=BL$4,'Inputs Yr 2'!$AK89,IF('Inputs Yr 2'!$AL89=BL$4,'Inputs Yr 2'!$AM89,IF('Inputs Yr 2'!$AN89=BL$4,'Inputs Yr 2'!$AO89,0))))*(INDEX(avoidedcosttbl2,$H89,BU$2)+(($H89-ROUNDDOWN($H89,0))*(INDEX(avoidedcosttbl2,ROUNDUP($H89,0),BU$2)-(INDEX(avoidedcosttbl2,ROUNDDOWN($H89,0),BU$2)))))*'Inputs Yr 2'!P89*'Inputs Yr 2'!Q89*'Inputs Yr 2'!U89,"")</f>
        <v>0</v>
      </c>
      <c r="BV89" s="775">
        <f>IFERROR(($G89*IF('Inputs Yr 2'!$AJ89=BJ$4,'Inputs Yr 2'!$AK89,IF('Inputs Yr 2'!$AL89=BJ$4,'Inputs Yr 2'!$AM89,IF('Inputs Yr 2'!$AN89=BJ$4,'Inputs Yr 2'!$AO89,0))))*(INDEX(avoidedcosttbl2,$H89,BV$2)+(($H89-ROUNDDOWN($H89,0))*(INDEX(avoidedcosttbl2,ROUNDUP($H89,0),BV$2)-(INDEX(avoidedcosttbl2,ROUNDDOWN($H89,0),BV$2)))))*'Inputs Yr 2'!P89*'Inputs Yr 2'!Q89*'Inputs Yr 2'!U89,"")</f>
        <v>0</v>
      </c>
      <c r="BW89" s="197">
        <f>IFERROR(($G89*IF('Inputs Yr 2'!$AJ89=BN$4,'Inputs Yr 2'!$AK89,IF('Inputs Yr 2'!$AL89=BN$4,'Inputs Yr 2'!$AM89,IF('Inputs Yr 2'!$AN89=BN$4,'Inputs Yr 2'!$AO89,0))))*(INDEX(avoidedcosttbl2,$H89,BW$2)+(($H89-ROUNDDOWN($H89,0))*(INDEX(avoidedcosttbl2,ROUNDUP($H89,0),BW$2)-(INDEX(avoidedcosttbl2,ROUNDDOWN($H89,0),BW$2)))))*'Inputs Yr 2'!P89*'Inputs Yr 2'!Q89*'Inputs Yr 2'!U89,"")</f>
        <v>0</v>
      </c>
      <c r="BX89" s="197">
        <f>IFERROR(($G89*IF('Inputs Yr 2'!$AJ89=BO$4,'Inputs Yr 2'!$AK89,IF('Inputs Yr 2'!$AL89=BO$4,'Inputs Yr 2'!$AM89,IF('Inputs Yr 2'!$AN89=BO$4,'Inputs Yr 2'!$AO89,0))))*(INDEX(avoidedcosttbl2,$H89,BX$2)+(($H89-ROUNDDOWN($H89,0))*(INDEX(avoidedcosttbl2,ROUNDUP($H89,0),BX$2)-(INDEX(avoidedcosttbl2,ROUNDDOWN($H89,0),BX$2)))))*'Inputs Yr 2'!P89*'Inputs Yr 2'!Q89*'Inputs Yr 2'!U89,"")</f>
        <v>0</v>
      </c>
      <c r="BY89" s="197">
        <f>IFERROR(($G89*IF('Inputs Yr 2'!$AJ89=BP$4,'Inputs Yr 2'!$AK89,IF('Inputs Yr 2'!$AL89=BP$4,'Inputs Yr 2'!$AM89,IF('Inputs Yr 2'!$AN89=BP$4,'Inputs Yr 2'!$AO89,0))))*(INDEX(avoidedcosttbl2,$H89,BY$2)+(($H89-ROUNDDOWN($H89,0))*(INDEX(avoidedcosttbl2,ROUNDUP($H89,0),BY$2)-(INDEX(avoidedcosttbl2,ROUNDDOWN($H89,0),BY$2)))))*'Inputs Yr 2'!P89*'Inputs Yr 2'!Q89*'Inputs Yr 2'!U89,"")</f>
        <v>0</v>
      </c>
      <c r="BZ89" s="193">
        <f t="shared" si="69"/>
        <v>13025.866159764057</v>
      </c>
      <c r="CA89" s="193">
        <f t="shared" si="70"/>
        <v>193580.5178834823</v>
      </c>
      <c r="CB89" s="195">
        <f>IFERROR(G89*(IF('Inputs Yr 2'!$AJ89=CB$4,'Inputs Yr 2'!$AK89,IF('Inputs Yr 2'!$AL89=CB$4,'Inputs Yr 2'!$AM89,IF('Inputs Yr 2'!$AN89=CB$4,'Inputs Yr 2'!$AO89,0))))*(INDEX(avoidedcosttbl2,$H89,CB$2)+(($H89-ROUNDDOWN($H89,0))*(INDEX(avoidedcosttbl2,ROUNDUP($H89,0),CB$2)-(INDEX(avoidedcosttbl2,ROUNDDOWN($H89,0),CB$2)))))*'Inputs Yr 2'!P89*'Inputs Yr 2'!Q89*'Inputs Yr 2'!U89,"")</f>
        <v>0</v>
      </c>
      <c r="CC89" s="195">
        <f>IFERROR(H89*(IF('Inputs Yr 2'!$AJ89=CC$4,'Inputs Yr 2'!$AK89,IF('Inputs Yr 2'!$AL89=CC$4,'Inputs Yr 2'!$AM89,IF('Inputs Yr 2'!$AN89=CC$4,'Inputs Yr 2'!$AO89,0))))*(INDEX(avoidedcosttbl2,$H89,CC$2)+(($H89-ROUNDDOWN($H89,0))*(INDEX(avoidedcosttbl2,ROUNDUP($H89,0),CC$2)-(INDEX(avoidedcosttbl2,ROUNDDOWN($H89,0),CC$2)))))*'Inputs Yr 2'!Q89*'Inputs Yr 2'!R89*'Inputs Yr 2'!V89,"")</f>
        <v>0</v>
      </c>
      <c r="CD89" s="195">
        <f>IFERROR(I89*(IF('Inputs Yr 2'!$AJ89=CD$4,'Inputs Yr 2'!$AK89,IF('Inputs Yr 2'!$AL89=CD$4,'Inputs Yr 2'!$AM89,IF('Inputs Yr 2'!$AN89=CD$4,'Inputs Yr 2'!$AO89,0))))*(INDEX(avoidedcosttbl2,$H89,CD$2)+(($H89-ROUNDDOWN($H89,0))*(INDEX(avoidedcosttbl2,ROUNDUP($H89,0),CD$2)-(INDEX(avoidedcosttbl2,ROUNDDOWN($H89,0),CD$2)))))*'Inputs Yr 2'!R89*'Inputs Yr 2'!S89*'Inputs Yr 2'!W89,"")</f>
        <v>0</v>
      </c>
      <c r="CE89" s="213">
        <f t="shared" si="71"/>
        <v>0</v>
      </c>
      <c r="CF89" s="213">
        <f t="shared" si="72"/>
        <v>0</v>
      </c>
      <c r="CG89" s="213">
        <f t="shared" si="73"/>
        <v>0</v>
      </c>
      <c r="CH89" s="698">
        <f t="shared" si="74"/>
        <v>193580.5178834823</v>
      </c>
      <c r="CI89" s="79">
        <f>IFERROR(($G89*'Inputs Yr 2'!$P89*'Inputs Yr 2'!$Q89*(((INDEX(avoidedcosttbl2,$H89,CI$2)+(($H89-ROUNDDOWN($H89,0))*(INDEX(avoidedcosttbl2,ROUNDUP($H89,0),CI$2)-INDEX(avoidedcosttbl2,ROUNDDOWN($H89,0),CI$2))))*'Inputs Yr 2'!AS89))),"")</f>
        <v>2751.6282573463955</v>
      </c>
      <c r="CJ89" s="504">
        <f>IFERROR($G89*'Inputs Yr 2'!AT89*'Inputs Yr 2'!$P89*'Inputs Yr 2'!$Q89/((1+realdiscrt1)^-0.5),"")</f>
        <v>0</v>
      </c>
      <c r="CK89" s="79">
        <f>IFERROR((O89*1000*(((INDEX(avoidedcosttbl2,$H89,CK$2)+(($H89-ROUNDDOWN($H89,0))*(INDEX(avoidedcosttbl2,ROUNDUP($H89,0),CK$2)-INDEX(avoidedcosttbl2,ROUNDDOWN($H89,0),CK$2))))*'Inputs Yr 2'!AU89))),"")</f>
        <v>0</v>
      </c>
      <c r="CL89" s="504">
        <f>IFERROR(O89*1000*'Inputs Yr 2'!AV89/((1+realdiscrt1)^-0.5),"")</f>
        <v>0</v>
      </c>
      <c r="CM89" s="79">
        <f>IFERROR((AB89*'Inputs Yr 2'!AW89*(((INDEX(avoidedcosttbl2,$H89,CM$2)+(($H89-ROUNDDOWN($H89,0))*(INDEX(avoidedcosttbl2,ROUNDUP($H89,0),CM$2)-INDEX(avoidedcosttbl2,ROUNDDOWN($H89,0),CM$2)))))))*10,"")</f>
        <v>0</v>
      </c>
      <c r="CN89" s="504">
        <f>IFERROR(10*AB89*'Inputs Yr 2'!AX89/((1+realdiscrt1)^-0.5),"")</f>
        <v>0</v>
      </c>
      <c r="CO89" s="505">
        <f t="shared" si="75"/>
        <v>2751.6282573463955</v>
      </c>
      <c r="CP89" s="230">
        <f t="shared" si="76"/>
        <v>196332.1461408287</v>
      </c>
      <c r="CQ89" s="199">
        <f>ROUND(IFERROR(IF(LEFT($A89,1)="C",'Avoided Costs'!$K$13,'Avoided Costs'!$K$12)+1,""),4)</f>
        <v>1.0720000000000001</v>
      </c>
      <c r="CR89" s="199">
        <f>ROUND(IFERROR(IF(LEFT($A89,1)="C",'Avoided Costs'!$L$13,'Avoided Costs'!$L$12)+1,""),4)</f>
        <v>1.04</v>
      </c>
      <c r="CS89" s="199">
        <f>ROUND(IFERROR(IF(LEFT($A89,1)="C",'Avoided Costs'!$M$13,'Avoided Costs'!$M$12)+1,""),4)</f>
        <v>1.0720000000000001</v>
      </c>
      <c r="CT89" s="199">
        <f>ROUND(IFERROR(IF(LEFT($A89,1)="C",'Avoided Costs'!$N$13,'Avoided Costs'!$N$12)+1,""),4)</f>
        <v>1.04</v>
      </c>
      <c r="CU89" s="199">
        <f>ROUND(IFERROR(IF(LEFT($A89,1)="C",'Avoided Costs'!$O$13,'Avoided Costs'!$O$12)+1,""),4)</f>
        <v>1.1120000000000001</v>
      </c>
      <c r="CV89" s="199">
        <f>ROUND(IFERROR(IF(LEFT($A89,1)="C",'Avoided Costs'!$P$13,'Avoided Costs'!$P$12)+1,""),4)</f>
        <v>1.095</v>
      </c>
      <c r="CW89" s="199">
        <f>ROUND(IFERROR(IF(LEFT($A89,1)="C",'Avoided Costs'!$Q$13,'Avoided Costs'!$Q$12)+1,""),4)</f>
        <v>1.1120000000000001</v>
      </c>
      <c r="CX89" s="200">
        <f>ROUND(IFERROR(IF(LEFT($A89,1)="C",'Avoided Costs'!$R$13,'Avoided Costs'!$R$12)+1,""),4)</f>
        <v>1.1120000000000001</v>
      </c>
    </row>
    <row r="90" spans="1:102" ht="12.75" customHeight="1">
      <c r="A90" s="91" t="str">
        <f>IF('Inputs Yr 2'!$B90=0,"",'Inputs Yr 2'!A90)</f>
        <v>A - Residential</v>
      </c>
      <c r="B90" s="91" t="str">
        <f>IF('Inputs Yr 2'!$B90=0,"",'Inputs Yr 2'!B90)</f>
        <v>A2 - Residential Products</v>
      </c>
      <c r="C90" s="91" t="str">
        <f>IF('Inputs Yr 2'!$B90=0,"",'Inputs Yr 2'!C90)</f>
        <v xml:space="preserve">A2a - Residential Heating &amp; Cooling Equipment </v>
      </c>
      <c r="D90" s="91" t="str">
        <f>IF('Inputs Yr 2'!$B90=0,"",'Inputs Yr 2'!E90)</f>
        <v>On Demand Water Heater, Gas 0.94</v>
      </c>
      <c r="E90" s="93" t="str">
        <f>IF('Inputs Yr 2'!$B90=0,"",'Inputs Yr 2'!F90)</f>
        <v>G16A2a14</v>
      </c>
      <c r="F90" s="93" t="str">
        <f>IF('Inputs Yr 2'!$B90=0,"",'Inputs Yr 2'!G90)</f>
        <v>Hot Water</v>
      </c>
      <c r="G90" s="95">
        <f>IF('Inputs Yr 2'!$H90&lt;&gt;0,('Inputs Yr 2'!H90),"")</f>
        <v>2235</v>
      </c>
      <c r="H90" s="94">
        <f>IFERROR('Inputs Yr 2'!I90,"")</f>
        <v>19</v>
      </c>
      <c r="I90" s="298">
        <f>IFERROR('Inputs Yr 2'!J90*'Inputs Yr 2'!P90*G90,"")</f>
        <v>5287810.5145333475</v>
      </c>
      <c r="J90" s="298">
        <f>IFERROR('Inputs Yr 2'!K90*G90,"")</f>
        <v>1732038.3303342962</v>
      </c>
      <c r="K90" s="298">
        <f t="shared" si="53"/>
        <v>3555772.184199051</v>
      </c>
      <c r="L90" s="194">
        <f>IFERROR(('Inputs Yr 2'!W90*G90)/1000,"")</f>
        <v>0</v>
      </c>
      <c r="M90" s="194">
        <f>IFERROR(L90*('Inputs Yr 2'!$Q90*'Inputs Yr 2'!$V90*'Inputs Yr 2'!$R90),"")</f>
        <v>0</v>
      </c>
      <c r="N90" s="194">
        <f t="shared" si="54"/>
        <v>0</v>
      </c>
      <c r="O90" s="194">
        <f>IFERROR(M90*'Inputs Yr 2'!P90,"")</f>
        <v>0</v>
      </c>
      <c r="P90" s="194">
        <f t="shared" si="55"/>
        <v>0</v>
      </c>
      <c r="Q90" s="194">
        <f>IFERROR($P90*'Inputs Yr 2'!AA90,"")</f>
        <v>0</v>
      </c>
      <c r="R90" s="194">
        <f>IFERROR($P90*'Inputs Yr 2'!AB90,"")</f>
        <v>0</v>
      </c>
      <c r="S90" s="194">
        <f>IFERROR($P90*'Inputs Yr 2'!AC90,"")</f>
        <v>0</v>
      </c>
      <c r="T90" s="194">
        <f>IFERROR($P90*'Inputs Yr 2'!AD90,"")</f>
        <v>0</v>
      </c>
      <c r="U90" s="194">
        <f>IFERROR(G90*'Inputs Yr 2'!$AE90*'Inputs Yr 2'!$P90*'Inputs Yr 2'!$Q90,"")</f>
        <v>0</v>
      </c>
      <c r="V90" s="194">
        <f>IFERROR($G90*'Inputs Yr 2'!$AE90*'Inputs Yr 2'!$AG90*'Inputs Yr 2'!Q90*'Inputs Yr 2'!$S90,"")</f>
        <v>0</v>
      </c>
      <c r="W90" s="194">
        <f>IFERROR($G90*'Inputs Yr 2'!$AE90*'Inputs Yr 2'!$AG90*'Inputs Yr 2'!P90*'Inputs Yr 2'!Q90*'Inputs Yr 2'!$S90,"")</f>
        <v>0</v>
      </c>
      <c r="X90" s="194">
        <f>IFERROR($G90*'Inputs Yr 2'!$AE90*'Inputs Yr 2'!$AF90*'Inputs Yr 2'!Q90*'Inputs Yr 2'!$T90,"")</f>
        <v>0</v>
      </c>
      <c r="Y90" s="194">
        <f>IFERROR($G90*'Inputs Yr 2'!$AE90*'Inputs Yr 2'!$AF90*'Inputs Yr 2'!P90*'Inputs Yr 2'!Q90*'Inputs Yr 2'!$T90,"")</f>
        <v>0</v>
      </c>
      <c r="Z90" s="257">
        <f>IFERROR($G90*'Inputs Yr 2'!$Q90*'Inputs Yr 2'!$U90*(IF(IFERROR(SEARCH("NG", 'Inputs Yr 2'!$AJ90),0),'Inputs Yr 2'!$AK90,0)+IF(IFERROR(SEARCH("NG", 'Inputs Yr 2'!$AL90),0),'Inputs Yr 2'!$AM90,0)+IF(IFERROR(SEARCH("NG", 'Inputs Yr 2'!$AN90),0),'Inputs Yr 2'!$AO90,0)),0)</f>
        <v>22126.5</v>
      </c>
      <c r="AA90" s="257">
        <f t="shared" si="56"/>
        <v>420403.5</v>
      </c>
      <c r="AB90" s="257">
        <f>IFERROR(Z90*'Inputs Yr 2'!$P90,0)</f>
        <v>21462.704999999998</v>
      </c>
      <c r="AC90" s="257">
        <f t="shared" si="57"/>
        <v>407791.39499999996</v>
      </c>
      <c r="AD90" s="257">
        <f>IFERROR($G90*'Inputs Yr 2'!$Q90*'Inputs Yr 2'!$U90*(IF(IFERROR(SEARCH("Oil", 'Inputs Yr 2'!$AJ90), 0),'Inputs Yr 2'!$AK90,0)+IF(IFERROR(SEARCH("Oil", 'Inputs Yr 2'!$AL90), 0),'Inputs Yr 2'!$AM90,0)+IF(IFERROR(SEARCH("Oil", 'Inputs Yr 2'!$AN90), 0),'Inputs Yr 2'!$AO90,0)),0)</f>
        <v>0</v>
      </c>
      <c r="AE90" s="257">
        <f t="shared" si="58"/>
        <v>0</v>
      </c>
      <c r="AF90" s="257">
        <f>IFERROR(AD90*'Inputs Yr 2'!$P90,0)</f>
        <v>0</v>
      </c>
      <c r="AG90" s="257">
        <f t="shared" si="59"/>
        <v>0</v>
      </c>
      <c r="AH90" s="257">
        <f>IFERROR($G90*'Inputs Yr 2'!$Q90*'Inputs Yr 2'!$U90*(IF('Inputs Yr 2'!$AJ90=CD$4,'Inputs Yr 2'!$AK90,IF('Inputs Yr 2'!$AL90=CD$4,'Inputs Yr 2'!$AM90,IF('Inputs Yr 2'!$AN90=CD$4,'Inputs Yr 2'!$AO90,0)))),0)</f>
        <v>0</v>
      </c>
      <c r="AI90" s="257">
        <f t="shared" si="60"/>
        <v>0</v>
      </c>
      <c r="AJ90" s="257">
        <f>IFERROR(AH90*'Inputs Yr 2'!$P90,0)</f>
        <v>0</v>
      </c>
      <c r="AK90" s="257">
        <f t="shared" si="61"/>
        <v>0</v>
      </c>
      <c r="AL90" s="258">
        <f>IFERROR($G90*'Inputs Yr 2'!$P90*'Inputs Yr 2'!$Q90*'Inputs Yr 2'!AP90,0)</f>
        <v>0</v>
      </c>
      <c r="AM90" s="260">
        <f>IFERROR($G90*'Inputs Yr 2'!$P90*'Inputs Yr 2'!$Q90*'Inputs Yr 2'!AQ90,0)</f>
        <v>0</v>
      </c>
      <c r="AN90" s="258">
        <f>IFERROR($G90*'Inputs Yr 2'!$P90*'Inputs Yr 2'!$Q90*'Inputs Yr 2'!AR90,0)</f>
        <v>0</v>
      </c>
      <c r="AO90" s="257">
        <f t="shared" si="62"/>
        <v>0</v>
      </c>
      <c r="AP90" s="195">
        <f>IFERROR($CQ90*(INDEX(avoidedcosttbl2,$H90,AP$2)+(($H90-ROUNDDOWN($H90,0))*(INDEX(avoidedcosttbl2,ROUNDUP($H90,0),AP$2)-(INDEX(avoidedcosttbl2,ROUNDDOWN($H90,0),AP$2)))))*$O90*1000*'Inputs Yr 2'!AA90,"")</f>
        <v>0</v>
      </c>
      <c r="AQ90" s="195">
        <f>IFERROR($CR90*(INDEX(avoidedcosttbl2,$H90,AQ$2)+(($H90-ROUNDDOWN($H90,0))*(INDEX(avoidedcosttbl2,ROUNDUP($H90,0),AQ$2)-(INDEX(avoidedcosttbl2,ROUNDDOWN($H90,0),AQ$2)))))*$O90*1000*'Inputs Yr 2'!AB90,"")</f>
        <v>0</v>
      </c>
      <c r="AR90" s="195">
        <f>IFERROR($CS90*(INDEX(avoidedcosttbl2,$H90,AR$2)+(($H90-ROUNDDOWN($H90,0))*(INDEX(avoidedcosttbl2,ROUNDUP($H90,0),AR$2)-(INDEX(avoidedcosttbl2,ROUNDDOWN($H90,0),AR$2)))))*$O90*1000*'Inputs Yr 2'!AC90,"")</f>
        <v>0</v>
      </c>
      <c r="AS90" s="195">
        <f>IFERROR($CT90*(INDEX(avoidedcosttbl2,$H90,AS$2)+(($H90-ROUNDDOWN($H90,0))*(INDEX(avoidedcosttbl2,ROUNDUP($H90,0),AS$2)-(INDEX(avoidedcosttbl2,ROUNDDOWN($H90,0),AS$2)))))*$O90*1000*'Inputs Yr 2'!AD90,"")</f>
        <v>0</v>
      </c>
      <c r="AT90" s="196">
        <f t="shared" si="63"/>
        <v>0</v>
      </c>
      <c r="AU90" s="197">
        <f>IFERROR($CQ90*((INDEX(avoidedcosttbl2,$H90,AU$2))+(($H90-ROUNDDOWN($H90,0))*((INDEX(avoidedcosttbl2,ROUNDUP($H90,0),AU$2))-(INDEX(avoidedcosttbl2,ROUNDDOWN($H90,0),AU$2)))))*$O90*1000*'Inputs Yr 2'!AA90,"")</f>
        <v>0</v>
      </c>
      <c r="AV90" s="197">
        <f>IFERROR($CR90*((INDEX(avoidedcosttbl2,$H90,AV$2))+(($H90-ROUNDDOWN($H90,0))*((INDEX(avoidedcosttbl2,ROUNDUP($H90,0),AV$2))-(INDEX(avoidedcosttbl2,ROUNDDOWN($H90,0),AV$2)))))*$O90*1000*'Inputs Yr 2'!AB90,"")</f>
        <v>0</v>
      </c>
      <c r="AW90" s="197">
        <f>IFERROR($CS90*((INDEX(avoidedcosttbl2,$H90,AW$2))+(($H90-ROUNDDOWN($H90,0))*((INDEX(avoidedcosttbl2,ROUNDUP($H90,0),AW$2))-(INDEX(avoidedcosttbl2,ROUNDDOWN($H90,0),AW$2)))))*$O90*1000*'Inputs Yr 2'!AC90,"")</f>
        <v>0</v>
      </c>
      <c r="AX90" s="197">
        <f>IFERROR($CT90*((INDEX(avoidedcosttbl2,$H90,AX$2))+(($H90-ROUNDDOWN($H90,0))*((INDEX(avoidedcosttbl2,ROUNDUP($H90,0),AX$2))-(INDEX(avoidedcosttbl2,ROUNDDOWN($H90,0),AX$2)))))*$O90*1000*'Inputs Yr 2'!AD90,"")</f>
        <v>0</v>
      </c>
      <c r="AY90" s="197">
        <f>IFERROR(((INDEX(avoidedcosttbl2,$H90,AY$2))+(($H90-ROUNDDOWN($H90,0))*((INDEX(avoidedcosttbl2,ROUNDUP($H90,0),AY$2))-(INDEX(avoidedcosttbl2,ROUNDDOWN($H90,0),AY$2)))))*$O90*1000*('Inputs Yr 2'!AC90+'Inputs Yr 2'!AD90),"")</f>
        <v>0</v>
      </c>
      <c r="AZ90" s="197">
        <f>IFERROR(((INDEX(avoidedcosttbl2,$H90,AZ$2))+(($H90-ROUNDDOWN($H90,0))*((INDEX(avoidedcosttbl2,ROUNDUP($H90,0),AZ$2))-(INDEX(avoidedcosttbl2,ROUNDDOWN($H90,0),AZ$2)))))*$O90*1000*('Inputs Yr 2'!AA90+'Inputs Yr 2'!AB90),"")</f>
        <v>0</v>
      </c>
      <c r="BA90" s="198">
        <f t="shared" si="64"/>
        <v>0</v>
      </c>
      <c r="BB90" s="198">
        <f t="shared" si="65"/>
        <v>0</v>
      </c>
      <c r="BC90" s="195">
        <f t="shared" si="47"/>
        <v>0</v>
      </c>
      <c r="BD90" s="195">
        <f t="shared" si="48"/>
        <v>0</v>
      </c>
      <c r="BE90" s="195">
        <f t="shared" si="49"/>
        <v>0</v>
      </c>
      <c r="BF90" s="195">
        <f t="shared" si="50"/>
        <v>0</v>
      </c>
      <c r="BG90" s="195">
        <f t="shared" si="51"/>
        <v>0</v>
      </c>
      <c r="BH90" s="196">
        <f t="shared" si="66"/>
        <v>0</v>
      </c>
      <c r="BI90" s="196">
        <f t="shared" si="67"/>
        <v>0</v>
      </c>
      <c r="BJ90" s="195">
        <f>IFERROR($G90*(IF('Inputs Yr 2'!$AJ90=BJ$4,'Inputs Yr 2'!$AK90,IF('Inputs Yr 2'!$AL90=BJ$4,'Inputs Yr 2'!$AM90,IF('Inputs Yr 2'!$AN90=BJ$4,'Inputs Yr 2'!$AO90,0))))*(INDEX(avoidedcosttbl2,$H90,BJ$2)+(($H90-ROUNDDOWN($H90,0))*(INDEX(avoidedcosttbl2,ROUNDUP($H90,0),BJ$2)-(INDEX(avoidedcosttbl2,ROUNDDOWN($H90,0),BJ$2)))))*'Inputs Yr 2'!P90*'Inputs Yr 2'!Q90*'Inputs Yr 2'!U90,"")</f>
        <v>0</v>
      </c>
      <c r="BK90" s="195">
        <f>IFERROR($G90*(IF('Inputs Yr 2'!$AJ90=BK$4,'Inputs Yr 2'!$AK90,IF('Inputs Yr 2'!$AL90=BK$4,'Inputs Yr 2'!$AM90,IF('Inputs Yr 2'!$AN90=BK$4,'Inputs Yr 2'!$AO90,0))))*(INDEX(avoidedcosttbl2,$H90,BK$2)+(($H90-ROUNDDOWN($H90,0))*(INDEX(avoidedcosttbl2,ROUNDUP($H90,0),BK$2)-(INDEX(avoidedcosttbl2,ROUNDDOWN($H90,0),BK$2)))))*'Inputs Yr 2'!P90*'Inputs Yr 2'!Q90*'Inputs Yr 2'!U90,"")</f>
        <v>3346220.6637917124</v>
      </c>
      <c r="BL90" s="195">
        <f>IFERROR($G90*(IF('Inputs Yr 2'!$AJ90=BL$4,'Inputs Yr 2'!$AK90,IF('Inputs Yr 2'!$AL90=BL$4,'Inputs Yr 2'!$AM90,IF('Inputs Yr 2'!$AN90=BL$4,'Inputs Yr 2'!$AO90,0))))*(INDEX(avoidedcosttbl2,$H90,BL$2)+(($H90-ROUNDDOWN($H90,0))*(INDEX(avoidedcosttbl2,ROUNDUP($H90,0),BL$2)-(INDEX(avoidedcosttbl2,ROUNDDOWN($H90,0),BL$2)))))*'Inputs Yr 2'!P90*'Inputs Yr 2'!Q90*'Inputs Yr 2'!U90,"")</f>
        <v>0</v>
      </c>
      <c r="BM90" s="195">
        <f>IFERROR($G90*(IF('Inputs Yr 2'!$AJ90=BM$4,'Inputs Yr 2'!$AK90,IF('Inputs Yr 2'!$AL90=BM$4,'Inputs Yr 2'!$AM90,IF('Inputs Yr 2'!$AN90=BM$4,'Inputs Yr 2'!$AO90,0))))*(INDEX(avoidedcosttbl2,$H90,BM$2)+(($H90-ROUNDDOWN($H90,0))*(INDEX(avoidedcosttbl2,ROUNDUP($H90,0),BM$2)-(INDEX(avoidedcosttbl2,ROUNDDOWN($H90,0),BM$2)))))*'Inputs Yr 2'!P90*'Inputs Yr 2'!Q90*'Inputs Yr 2'!U90,"")</f>
        <v>0</v>
      </c>
      <c r="BN90" s="195">
        <f>IFERROR($G90*(IF('Inputs Yr 2'!$AJ90=BN$4,'Inputs Yr 2'!$AK90,IF('Inputs Yr 2'!$AL90=BN$4,'Inputs Yr 2'!$AM90,IF('Inputs Yr 2'!$AN90=BN$4,'Inputs Yr 2'!$AO90,0))))*(INDEX(avoidedcosttbl2,$H90,BN$2)+(($H90-ROUNDDOWN($H90,0))*(INDEX(avoidedcosttbl2,ROUNDUP($H90,0),BN$2)-(INDEX(avoidedcosttbl2,ROUNDDOWN($H90,0),BN$2)))))*'Inputs Yr 2'!P90*'Inputs Yr 2'!Q90*'Inputs Yr 2'!U90,"")</f>
        <v>0</v>
      </c>
      <c r="BO90" s="195">
        <f>IFERROR($G90*(IF('Inputs Yr 2'!$AJ90=BO$4,'Inputs Yr 2'!$AK90,IF('Inputs Yr 2'!$AL90=BO$4,'Inputs Yr 2'!$AM90,IF('Inputs Yr 2'!$AN90=BO$4,'Inputs Yr 2'!$AO90,0))))*(INDEX(avoidedcosttbl2,$H90,BO$2)+(($H90-ROUNDDOWN($H90,0))*(INDEX(avoidedcosttbl2,ROUNDUP($H90,0),BO$2)-(INDEX(avoidedcosttbl2,ROUNDDOWN($H90,0),BO$2)))))*'Inputs Yr 2'!P90*'Inputs Yr 2'!Q90*'Inputs Yr 2'!U90,"")</f>
        <v>0</v>
      </c>
      <c r="BP90" s="195">
        <f>IFERROR($G90*(IF('Inputs Yr 2'!$AJ90=BP$4,'Inputs Yr 2'!$AK90,IF('Inputs Yr 2'!$AL90=BP$4,'Inputs Yr 2'!$AM90,IF('Inputs Yr 2'!$AN90=BP$4,'Inputs Yr 2'!$AO90,0))))*(INDEX(avoidedcosttbl2,$H90,BP$2)+(($H90-ROUNDDOWN($H90,0))*(INDEX(avoidedcosttbl2,ROUNDUP($H90,0),BP$2)-(INDEX(avoidedcosttbl2,ROUNDDOWN($H90,0),BP$2)))))*'Inputs Yr 2'!P90*'Inputs Yr 2'!Q90*'Inputs Yr 2'!U90,"")</f>
        <v>0</v>
      </c>
      <c r="BQ90" s="230">
        <f t="shared" si="68"/>
        <v>3346220.6637917124</v>
      </c>
      <c r="BR90" s="197">
        <f t="shared" si="52"/>
        <v>54795.59733761524</v>
      </c>
      <c r="BS90" s="197">
        <f>IFERROR(($G90*IF('Inputs Yr 2'!$AJ90=BM$4,'Inputs Yr 2'!$AK90,IF('Inputs Yr 2'!$AL90=BM$4,'Inputs Yr 2'!$AM90,IF('Inputs Yr 2'!$AN90=BM$4,'Inputs Yr 2'!$AO90,0))))*(INDEX(avoidedcosttbl2,$H90,BS$2)+(($H90-ROUNDDOWN($H90,0))*(INDEX(avoidedcosttbl2,ROUNDUP($H90,0),BS$2)-(INDEX(avoidedcosttbl2,ROUNDDOWN($H90,0),BS$2)))))*'Inputs Yr 2'!P90*'Inputs Yr 2'!Q90*'Inputs Yr 2'!U90,"")</f>
        <v>0</v>
      </c>
      <c r="BT90" s="197">
        <f>IFERROR(($G90*IF('Inputs Yr 2'!$AJ90=BK$4,'Inputs Yr 2'!$AK90,IF('Inputs Yr 2'!$AL90=BK$4,'Inputs Yr 2'!$AM90,IF('Inputs Yr 2'!$AN90=BK$4,'Inputs Yr 2'!$AO90,0))))*(INDEX(avoidedcosttbl2,$H90,BT$2)+(($H90-ROUNDDOWN($H90,0))*(INDEX(avoidedcosttbl2,ROUNDUP($H90,0),BT$2)-(INDEX(avoidedcosttbl2,ROUNDDOWN($H90,0),BT$2)))))*'Inputs Yr 2'!P90*'Inputs Yr 2'!Q90*'Inputs Yr 2'!U90,"")</f>
        <v>186612.87423300062</v>
      </c>
      <c r="BU90" s="197">
        <f>IFERROR(($G90*IF('Inputs Yr 2'!$AJ90=BL$4,'Inputs Yr 2'!$AK90,IF('Inputs Yr 2'!$AL90=BL$4,'Inputs Yr 2'!$AM90,IF('Inputs Yr 2'!$AN90=BL$4,'Inputs Yr 2'!$AO90,0))))*(INDEX(avoidedcosttbl2,$H90,BU$2)+(($H90-ROUNDDOWN($H90,0))*(INDEX(avoidedcosttbl2,ROUNDUP($H90,0),BU$2)-(INDEX(avoidedcosttbl2,ROUNDDOWN($H90,0),BU$2)))))*'Inputs Yr 2'!P90*'Inputs Yr 2'!Q90*'Inputs Yr 2'!U90,"")</f>
        <v>0</v>
      </c>
      <c r="BV90" s="775">
        <f>IFERROR(($G90*IF('Inputs Yr 2'!$AJ90=BJ$4,'Inputs Yr 2'!$AK90,IF('Inputs Yr 2'!$AL90=BJ$4,'Inputs Yr 2'!$AM90,IF('Inputs Yr 2'!$AN90=BJ$4,'Inputs Yr 2'!$AO90,0))))*(INDEX(avoidedcosttbl2,$H90,BV$2)+(($H90-ROUNDDOWN($H90,0))*(INDEX(avoidedcosttbl2,ROUNDUP($H90,0),BV$2)-(INDEX(avoidedcosttbl2,ROUNDDOWN($H90,0),BV$2)))))*'Inputs Yr 2'!P90*'Inputs Yr 2'!Q90*'Inputs Yr 2'!U90,"")</f>
        <v>0</v>
      </c>
      <c r="BW90" s="197">
        <f>IFERROR(($G90*IF('Inputs Yr 2'!$AJ90=BN$4,'Inputs Yr 2'!$AK90,IF('Inputs Yr 2'!$AL90=BN$4,'Inputs Yr 2'!$AM90,IF('Inputs Yr 2'!$AN90=BN$4,'Inputs Yr 2'!$AO90,0))))*(INDEX(avoidedcosttbl2,$H90,BW$2)+(($H90-ROUNDDOWN($H90,0))*(INDEX(avoidedcosttbl2,ROUNDUP($H90,0),BW$2)-(INDEX(avoidedcosttbl2,ROUNDDOWN($H90,0),BW$2)))))*'Inputs Yr 2'!P90*'Inputs Yr 2'!Q90*'Inputs Yr 2'!U90,"")</f>
        <v>0</v>
      </c>
      <c r="BX90" s="197">
        <f>IFERROR(($G90*IF('Inputs Yr 2'!$AJ90=BO$4,'Inputs Yr 2'!$AK90,IF('Inputs Yr 2'!$AL90=BO$4,'Inputs Yr 2'!$AM90,IF('Inputs Yr 2'!$AN90=BO$4,'Inputs Yr 2'!$AO90,0))))*(INDEX(avoidedcosttbl2,$H90,BX$2)+(($H90-ROUNDDOWN($H90,0))*(INDEX(avoidedcosttbl2,ROUNDUP($H90,0),BX$2)-(INDEX(avoidedcosttbl2,ROUNDDOWN($H90,0),BX$2)))))*'Inputs Yr 2'!P90*'Inputs Yr 2'!Q90*'Inputs Yr 2'!U90,"")</f>
        <v>0</v>
      </c>
      <c r="BY90" s="197">
        <f>IFERROR(($G90*IF('Inputs Yr 2'!$AJ90=BP$4,'Inputs Yr 2'!$AK90,IF('Inputs Yr 2'!$AL90=BP$4,'Inputs Yr 2'!$AM90,IF('Inputs Yr 2'!$AN90=BP$4,'Inputs Yr 2'!$AO90,0))))*(INDEX(avoidedcosttbl2,$H90,BY$2)+(($H90-ROUNDDOWN($H90,0))*(INDEX(avoidedcosttbl2,ROUNDUP($H90,0),BY$2)-(INDEX(avoidedcosttbl2,ROUNDDOWN($H90,0),BY$2)))))*'Inputs Yr 2'!P90*'Inputs Yr 2'!Q90*'Inputs Yr 2'!U90,"")</f>
        <v>0</v>
      </c>
      <c r="BZ90" s="193">
        <f t="shared" si="69"/>
        <v>241408.47157061586</v>
      </c>
      <c r="CA90" s="193">
        <f t="shared" si="70"/>
        <v>3587629.135362328</v>
      </c>
      <c r="CB90" s="195">
        <f>IFERROR(G90*(IF('Inputs Yr 2'!$AJ90=CB$4,'Inputs Yr 2'!$AK90,IF('Inputs Yr 2'!$AL90=CB$4,'Inputs Yr 2'!$AM90,IF('Inputs Yr 2'!$AN90=CB$4,'Inputs Yr 2'!$AO90,0))))*(INDEX(avoidedcosttbl2,$H90,CB$2)+(($H90-ROUNDDOWN($H90,0))*(INDEX(avoidedcosttbl2,ROUNDUP($H90,0),CB$2)-(INDEX(avoidedcosttbl2,ROUNDDOWN($H90,0),CB$2)))))*'Inputs Yr 2'!P90*'Inputs Yr 2'!Q90*'Inputs Yr 2'!U90,"")</f>
        <v>0</v>
      </c>
      <c r="CC90" s="195">
        <f>IFERROR(H90*(IF('Inputs Yr 2'!$AJ90=CC$4,'Inputs Yr 2'!$AK90,IF('Inputs Yr 2'!$AL90=CC$4,'Inputs Yr 2'!$AM90,IF('Inputs Yr 2'!$AN90=CC$4,'Inputs Yr 2'!$AO90,0))))*(INDEX(avoidedcosttbl2,$H90,CC$2)+(($H90-ROUNDDOWN($H90,0))*(INDEX(avoidedcosttbl2,ROUNDUP($H90,0),CC$2)-(INDEX(avoidedcosttbl2,ROUNDDOWN($H90,0),CC$2)))))*'Inputs Yr 2'!Q90*'Inputs Yr 2'!R90*'Inputs Yr 2'!V90,"")</f>
        <v>0</v>
      </c>
      <c r="CD90" s="195">
        <f>IFERROR(I90*(IF('Inputs Yr 2'!$AJ90=CD$4,'Inputs Yr 2'!$AK90,IF('Inputs Yr 2'!$AL90=CD$4,'Inputs Yr 2'!$AM90,IF('Inputs Yr 2'!$AN90=CD$4,'Inputs Yr 2'!$AO90,0))))*(INDEX(avoidedcosttbl2,$H90,CD$2)+(($H90-ROUNDDOWN($H90,0))*(INDEX(avoidedcosttbl2,ROUNDUP($H90,0),CD$2)-(INDEX(avoidedcosttbl2,ROUNDDOWN($H90,0),CD$2)))))*'Inputs Yr 2'!R90*'Inputs Yr 2'!S90*'Inputs Yr 2'!W90,"")</f>
        <v>0</v>
      </c>
      <c r="CE90" s="213">
        <f t="shared" si="71"/>
        <v>0</v>
      </c>
      <c r="CF90" s="213">
        <f t="shared" si="72"/>
        <v>0</v>
      </c>
      <c r="CG90" s="213">
        <f t="shared" si="73"/>
        <v>0</v>
      </c>
      <c r="CH90" s="698">
        <f t="shared" si="74"/>
        <v>3587629.135362328</v>
      </c>
      <c r="CI90" s="79">
        <f>IFERROR(($G90*'Inputs Yr 2'!$P90*'Inputs Yr 2'!$Q90*(((INDEX(avoidedcosttbl2,$H90,CI$2)+(($H90-ROUNDDOWN($H90,0))*(INDEX(avoidedcosttbl2,ROUNDUP($H90,0),CI$2)-INDEX(avoidedcosttbl2,ROUNDDOWN($H90,0),CI$2))))*'Inputs Yr 2'!AS90))),"")</f>
        <v>48420.39351066653</v>
      </c>
      <c r="CJ90" s="504">
        <f>IFERROR($G90*'Inputs Yr 2'!AT90*'Inputs Yr 2'!$P90*'Inputs Yr 2'!$Q90/((1+realdiscrt1)^-0.5),"")</f>
        <v>0</v>
      </c>
      <c r="CK90" s="79">
        <f>IFERROR((O90*1000*(((INDEX(avoidedcosttbl2,$H90,CK$2)+(($H90-ROUNDDOWN($H90,0))*(INDEX(avoidedcosttbl2,ROUNDUP($H90,0),CK$2)-INDEX(avoidedcosttbl2,ROUNDDOWN($H90,0),CK$2))))*'Inputs Yr 2'!AU90))),"")</f>
        <v>0</v>
      </c>
      <c r="CL90" s="504">
        <f>IFERROR(O90*1000*'Inputs Yr 2'!AV90/((1+realdiscrt1)^-0.5),"")</f>
        <v>0</v>
      </c>
      <c r="CM90" s="79">
        <f>IFERROR((AB90*'Inputs Yr 2'!AW90*(((INDEX(avoidedcosttbl2,$H90,CM$2)+(($H90-ROUNDDOWN($H90,0))*(INDEX(avoidedcosttbl2,ROUNDUP($H90,0),CM$2)-INDEX(avoidedcosttbl2,ROUNDDOWN($H90,0),CM$2)))))))*10,"")</f>
        <v>0</v>
      </c>
      <c r="CN90" s="504">
        <f>IFERROR(10*AB90*'Inputs Yr 2'!AX90/((1+realdiscrt1)^-0.5),"")</f>
        <v>0</v>
      </c>
      <c r="CO90" s="505">
        <f t="shared" si="75"/>
        <v>48420.39351066653</v>
      </c>
      <c r="CP90" s="230">
        <f t="shared" si="76"/>
        <v>3636049.5288729947</v>
      </c>
      <c r="CQ90" s="199">
        <f>ROUND(IFERROR(IF(LEFT($A90,1)="C",'Avoided Costs'!$K$13,'Avoided Costs'!$K$12)+1,""),4)</f>
        <v>1.0720000000000001</v>
      </c>
      <c r="CR90" s="199">
        <f>ROUND(IFERROR(IF(LEFT($A90,1)="C",'Avoided Costs'!$L$13,'Avoided Costs'!$L$12)+1,""),4)</f>
        <v>1.04</v>
      </c>
      <c r="CS90" s="199">
        <f>ROUND(IFERROR(IF(LEFT($A90,1)="C",'Avoided Costs'!$M$13,'Avoided Costs'!$M$12)+1,""),4)</f>
        <v>1.0720000000000001</v>
      </c>
      <c r="CT90" s="199">
        <f>ROUND(IFERROR(IF(LEFT($A90,1)="C",'Avoided Costs'!$N$13,'Avoided Costs'!$N$12)+1,""),4)</f>
        <v>1.04</v>
      </c>
      <c r="CU90" s="199">
        <f>ROUND(IFERROR(IF(LEFT($A90,1)="C",'Avoided Costs'!$O$13,'Avoided Costs'!$O$12)+1,""),4)</f>
        <v>1.1120000000000001</v>
      </c>
      <c r="CV90" s="199">
        <f>ROUND(IFERROR(IF(LEFT($A90,1)="C",'Avoided Costs'!$P$13,'Avoided Costs'!$P$12)+1,""),4)</f>
        <v>1.095</v>
      </c>
      <c r="CW90" s="199">
        <f>ROUND(IFERROR(IF(LEFT($A90,1)="C",'Avoided Costs'!$Q$13,'Avoided Costs'!$Q$12)+1,""),4)</f>
        <v>1.1120000000000001</v>
      </c>
      <c r="CX90" s="200">
        <f>ROUND(IFERROR(IF(LEFT($A90,1)="C",'Avoided Costs'!$R$13,'Avoided Costs'!$R$12)+1,""),4)</f>
        <v>1.1120000000000001</v>
      </c>
    </row>
    <row r="91" spans="1:102" ht="12.75" customHeight="1">
      <c r="A91" s="91" t="str">
        <f>IF('Inputs Yr 2'!$B91=0,"",'Inputs Yr 2'!A91)</f>
        <v>A - Residential</v>
      </c>
      <c r="B91" s="91" t="str">
        <f>IF('Inputs Yr 2'!$B91=0,"",'Inputs Yr 2'!B91)</f>
        <v>A2 - Residential Products</v>
      </c>
      <c r="C91" s="91" t="str">
        <f>IF('Inputs Yr 2'!$B91=0,"",'Inputs Yr 2'!C91)</f>
        <v xml:space="preserve">A2a - Residential Heating &amp; Cooling Equipment </v>
      </c>
      <c r="D91" s="91" t="str">
        <f>IF('Inputs Yr 2'!$B91=0,"",'Inputs Yr 2'!E91)</f>
        <v>Indirect Water Heater, Gas</v>
      </c>
      <c r="E91" s="93" t="str">
        <f>IF('Inputs Yr 2'!$B91=0,"",'Inputs Yr 2'!F91)</f>
        <v>G16A2a15</v>
      </c>
      <c r="F91" s="93" t="str">
        <f>IF('Inputs Yr 2'!$B91=0,"",'Inputs Yr 2'!G91)</f>
        <v>Hot Water</v>
      </c>
      <c r="G91" s="95">
        <f>IF('Inputs Yr 2'!$H91&lt;&gt;0,('Inputs Yr 2'!H91),"")</f>
        <v>1449</v>
      </c>
      <c r="H91" s="94">
        <f>IFERROR('Inputs Yr 2'!I91,"")</f>
        <v>20</v>
      </c>
      <c r="I91" s="298">
        <f>IFERROR('Inputs Yr 2'!J91*'Inputs Yr 2'!P91*G91,"")</f>
        <v>861662.34</v>
      </c>
      <c r="J91" s="298">
        <f>IFERROR('Inputs Yr 2'!K91*G91,"")</f>
        <v>579600</v>
      </c>
      <c r="K91" s="298">
        <f t="shared" si="53"/>
        <v>282062.33999999997</v>
      </c>
      <c r="L91" s="194">
        <f>IFERROR(('Inputs Yr 2'!W91*G91)/1000,"")</f>
        <v>0</v>
      </c>
      <c r="M91" s="194">
        <f>IFERROR(L91*('Inputs Yr 2'!$Q91*'Inputs Yr 2'!$V91*'Inputs Yr 2'!$R91),"")</f>
        <v>0</v>
      </c>
      <c r="N91" s="194">
        <f t="shared" si="54"/>
        <v>0</v>
      </c>
      <c r="O91" s="194">
        <f>IFERROR(M91*'Inputs Yr 2'!P91,"")</f>
        <v>0</v>
      </c>
      <c r="P91" s="194">
        <f t="shared" si="55"/>
        <v>0</v>
      </c>
      <c r="Q91" s="194">
        <f>IFERROR($P91*'Inputs Yr 2'!AA91,"")</f>
        <v>0</v>
      </c>
      <c r="R91" s="194">
        <f>IFERROR($P91*'Inputs Yr 2'!AB91,"")</f>
        <v>0</v>
      </c>
      <c r="S91" s="194">
        <f>IFERROR($P91*'Inputs Yr 2'!AC91,"")</f>
        <v>0</v>
      </c>
      <c r="T91" s="194">
        <f>IFERROR($P91*'Inputs Yr 2'!AD91,"")</f>
        <v>0</v>
      </c>
      <c r="U91" s="194">
        <f>IFERROR(G91*'Inputs Yr 2'!$AE91*'Inputs Yr 2'!$P91*'Inputs Yr 2'!$Q91,"")</f>
        <v>0</v>
      </c>
      <c r="V91" s="194">
        <f>IFERROR($G91*'Inputs Yr 2'!$AE91*'Inputs Yr 2'!$AG91*'Inputs Yr 2'!Q91*'Inputs Yr 2'!$S91,"")</f>
        <v>0</v>
      </c>
      <c r="W91" s="194">
        <f>IFERROR($G91*'Inputs Yr 2'!$AE91*'Inputs Yr 2'!$AG91*'Inputs Yr 2'!P91*'Inputs Yr 2'!Q91*'Inputs Yr 2'!$S91,"")</f>
        <v>0</v>
      </c>
      <c r="X91" s="194">
        <f>IFERROR($G91*'Inputs Yr 2'!$AE91*'Inputs Yr 2'!$AF91*'Inputs Yr 2'!Q91*'Inputs Yr 2'!$T91,"")</f>
        <v>0</v>
      </c>
      <c r="Y91" s="194">
        <f>IFERROR($G91*'Inputs Yr 2'!$AE91*'Inputs Yr 2'!$AF91*'Inputs Yr 2'!P91*'Inputs Yr 2'!Q91*'Inputs Yr 2'!$T91,"")</f>
        <v>0</v>
      </c>
      <c r="Z91" s="257">
        <f>IFERROR($G91*'Inputs Yr 2'!$Q91*'Inputs Yr 2'!$U91*(IF(IFERROR(SEARCH("NG", 'Inputs Yr 2'!$AJ91),0),'Inputs Yr 2'!$AK91,0)+IF(IFERROR(SEARCH("NG", 'Inputs Yr 2'!$AL91),0),'Inputs Yr 2'!$AM91,0)+IF(IFERROR(SEARCH("NG", 'Inputs Yr 2'!$AN91),0),'Inputs Yr 2'!$AO91,0)),0)</f>
        <v>11592.000000000002</v>
      </c>
      <c r="AA91" s="257">
        <f t="shared" si="56"/>
        <v>231840.00000000003</v>
      </c>
      <c r="AB91" s="257">
        <f>IFERROR(Z91*'Inputs Yr 2'!$P91,0)</f>
        <v>3941.28</v>
      </c>
      <c r="AC91" s="257">
        <f t="shared" si="57"/>
        <v>78825.600000000006</v>
      </c>
      <c r="AD91" s="257">
        <f>IFERROR($G91*'Inputs Yr 2'!$Q91*'Inputs Yr 2'!$U91*(IF(IFERROR(SEARCH("Oil", 'Inputs Yr 2'!$AJ91), 0),'Inputs Yr 2'!$AK91,0)+IF(IFERROR(SEARCH("Oil", 'Inputs Yr 2'!$AL91), 0),'Inputs Yr 2'!$AM91,0)+IF(IFERROR(SEARCH("Oil", 'Inputs Yr 2'!$AN91), 0),'Inputs Yr 2'!$AO91,0)),0)</f>
        <v>0</v>
      </c>
      <c r="AE91" s="257">
        <f t="shared" si="58"/>
        <v>0</v>
      </c>
      <c r="AF91" s="257">
        <f>IFERROR(AD91*'Inputs Yr 2'!$P91,0)</f>
        <v>0</v>
      </c>
      <c r="AG91" s="257">
        <f t="shared" si="59"/>
        <v>0</v>
      </c>
      <c r="AH91" s="257">
        <f>IFERROR($G91*'Inputs Yr 2'!$Q91*'Inputs Yr 2'!$U91*(IF('Inputs Yr 2'!$AJ91=CD$4,'Inputs Yr 2'!$AK91,IF('Inputs Yr 2'!$AL91=CD$4,'Inputs Yr 2'!$AM91,IF('Inputs Yr 2'!$AN91=CD$4,'Inputs Yr 2'!$AO91,0)))),0)</f>
        <v>0</v>
      </c>
      <c r="AI91" s="257">
        <f t="shared" si="60"/>
        <v>0</v>
      </c>
      <c r="AJ91" s="257">
        <f>IFERROR(AH91*'Inputs Yr 2'!$P91,0)</f>
        <v>0</v>
      </c>
      <c r="AK91" s="257">
        <f t="shared" si="61"/>
        <v>0</v>
      </c>
      <c r="AL91" s="258">
        <f>IFERROR($G91*'Inputs Yr 2'!$P91*'Inputs Yr 2'!$Q91*'Inputs Yr 2'!AP91,0)</f>
        <v>0</v>
      </c>
      <c r="AM91" s="260">
        <f>IFERROR($G91*'Inputs Yr 2'!$P91*'Inputs Yr 2'!$Q91*'Inputs Yr 2'!AQ91,0)</f>
        <v>0</v>
      </c>
      <c r="AN91" s="258">
        <f>IFERROR($G91*'Inputs Yr 2'!$P91*'Inputs Yr 2'!$Q91*'Inputs Yr 2'!AR91,0)</f>
        <v>0</v>
      </c>
      <c r="AO91" s="257">
        <f t="shared" si="62"/>
        <v>0</v>
      </c>
      <c r="AP91" s="195">
        <f>IFERROR($CQ91*(INDEX(avoidedcosttbl2,$H91,AP$2)+(($H91-ROUNDDOWN($H91,0))*(INDEX(avoidedcosttbl2,ROUNDUP($H91,0),AP$2)-(INDEX(avoidedcosttbl2,ROUNDDOWN($H91,0),AP$2)))))*$O91*1000*'Inputs Yr 2'!AA91,"")</f>
        <v>0</v>
      </c>
      <c r="AQ91" s="195">
        <f>IFERROR($CR91*(INDEX(avoidedcosttbl2,$H91,AQ$2)+(($H91-ROUNDDOWN($H91,0))*(INDEX(avoidedcosttbl2,ROUNDUP($H91,0),AQ$2)-(INDEX(avoidedcosttbl2,ROUNDDOWN($H91,0),AQ$2)))))*$O91*1000*'Inputs Yr 2'!AB91,"")</f>
        <v>0</v>
      </c>
      <c r="AR91" s="195">
        <f>IFERROR($CS91*(INDEX(avoidedcosttbl2,$H91,AR$2)+(($H91-ROUNDDOWN($H91,0))*(INDEX(avoidedcosttbl2,ROUNDUP($H91,0),AR$2)-(INDEX(avoidedcosttbl2,ROUNDDOWN($H91,0),AR$2)))))*$O91*1000*'Inputs Yr 2'!AC91,"")</f>
        <v>0</v>
      </c>
      <c r="AS91" s="195">
        <f>IFERROR($CT91*(INDEX(avoidedcosttbl2,$H91,AS$2)+(($H91-ROUNDDOWN($H91,0))*(INDEX(avoidedcosttbl2,ROUNDUP($H91,0),AS$2)-(INDEX(avoidedcosttbl2,ROUNDDOWN($H91,0),AS$2)))))*$O91*1000*'Inputs Yr 2'!AD91,"")</f>
        <v>0</v>
      </c>
      <c r="AT91" s="196">
        <f t="shared" si="63"/>
        <v>0</v>
      </c>
      <c r="AU91" s="197">
        <f>IFERROR($CQ91*((INDEX(avoidedcosttbl2,$H91,AU$2))+(($H91-ROUNDDOWN($H91,0))*((INDEX(avoidedcosttbl2,ROUNDUP($H91,0),AU$2))-(INDEX(avoidedcosttbl2,ROUNDDOWN($H91,0),AU$2)))))*$O91*1000*'Inputs Yr 2'!AA91,"")</f>
        <v>0</v>
      </c>
      <c r="AV91" s="197">
        <f>IFERROR($CR91*((INDEX(avoidedcosttbl2,$H91,AV$2))+(($H91-ROUNDDOWN($H91,0))*((INDEX(avoidedcosttbl2,ROUNDUP($H91,0),AV$2))-(INDEX(avoidedcosttbl2,ROUNDDOWN($H91,0),AV$2)))))*$O91*1000*'Inputs Yr 2'!AB91,"")</f>
        <v>0</v>
      </c>
      <c r="AW91" s="197">
        <f>IFERROR($CS91*((INDEX(avoidedcosttbl2,$H91,AW$2))+(($H91-ROUNDDOWN($H91,0))*((INDEX(avoidedcosttbl2,ROUNDUP($H91,0),AW$2))-(INDEX(avoidedcosttbl2,ROUNDDOWN($H91,0),AW$2)))))*$O91*1000*'Inputs Yr 2'!AC91,"")</f>
        <v>0</v>
      </c>
      <c r="AX91" s="197">
        <f>IFERROR($CT91*((INDEX(avoidedcosttbl2,$H91,AX$2))+(($H91-ROUNDDOWN($H91,0))*((INDEX(avoidedcosttbl2,ROUNDUP($H91,0),AX$2))-(INDEX(avoidedcosttbl2,ROUNDDOWN($H91,0),AX$2)))))*$O91*1000*'Inputs Yr 2'!AD91,"")</f>
        <v>0</v>
      </c>
      <c r="AY91" s="197">
        <f>IFERROR(((INDEX(avoidedcosttbl2,$H91,AY$2))+(($H91-ROUNDDOWN($H91,0))*((INDEX(avoidedcosttbl2,ROUNDUP($H91,0),AY$2))-(INDEX(avoidedcosttbl2,ROUNDDOWN($H91,0),AY$2)))))*$O91*1000*('Inputs Yr 2'!AC91+'Inputs Yr 2'!AD91),"")</f>
        <v>0</v>
      </c>
      <c r="AZ91" s="197">
        <f>IFERROR(((INDEX(avoidedcosttbl2,$H91,AZ$2))+(($H91-ROUNDDOWN($H91,0))*((INDEX(avoidedcosttbl2,ROUNDUP($H91,0),AZ$2))-(INDEX(avoidedcosttbl2,ROUNDDOWN($H91,0),AZ$2)))))*$O91*1000*('Inputs Yr 2'!AA91+'Inputs Yr 2'!AB91),"")</f>
        <v>0</v>
      </c>
      <c r="BA91" s="198">
        <f t="shared" si="64"/>
        <v>0</v>
      </c>
      <c r="BB91" s="198">
        <f t="shared" si="65"/>
        <v>0</v>
      </c>
      <c r="BC91" s="195">
        <f t="shared" si="47"/>
        <v>0</v>
      </c>
      <c r="BD91" s="195">
        <f t="shared" si="48"/>
        <v>0</v>
      </c>
      <c r="BE91" s="195">
        <f t="shared" si="49"/>
        <v>0</v>
      </c>
      <c r="BF91" s="195">
        <f t="shared" si="50"/>
        <v>0</v>
      </c>
      <c r="BG91" s="195">
        <f t="shared" si="51"/>
        <v>0</v>
      </c>
      <c r="BH91" s="196">
        <f t="shared" si="66"/>
        <v>0</v>
      </c>
      <c r="BI91" s="196">
        <f t="shared" si="67"/>
        <v>0</v>
      </c>
      <c r="BJ91" s="195">
        <f>IFERROR($G91*(IF('Inputs Yr 2'!$AJ91=BJ$4,'Inputs Yr 2'!$AK91,IF('Inputs Yr 2'!$AL91=BJ$4,'Inputs Yr 2'!$AM91,IF('Inputs Yr 2'!$AN91=BJ$4,'Inputs Yr 2'!$AO91,0))))*(INDEX(avoidedcosttbl2,$H91,BJ$2)+(($H91-ROUNDDOWN($H91,0))*(INDEX(avoidedcosttbl2,ROUNDUP($H91,0),BJ$2)-(INDEX(avoidedcosttbl2,ROUNDDOWN($H91,0),BJ$2)))))*'Inputs Yr 2'!P91*'Inputs Yr 2'!Q91*'Inputs Yr 2'!U91,"")</f>
        <v>0</v>
      </c>
      <c r="BK91" s="195">
        <f>IFERROR($G91*(IF('Inputs Yr 2'!$AJ91=BK$4,'Inputs Yr 2'!$AK91,IF('Inputs Yr 2'!$AL91=BK$4,'Inputs Yr 2'!$AM91,IF('Inputs Yr 2'!$AN91=BK$4,'Inputs Yr 2'!$AO91,0))))*(INDEX(avoidedcosttbl2,$H91,BK$2)+(($H91-ROUNDDOWN($H91,0))*(INDEX(avoidedcosttbl2,ROUNDUP($H91,0),BK$2)-(INDEX(avoidedcosttbl2,ROUNDDOWN($H91,0),BK$2)))))*'Inputs Yr 2'!P91*'Inputs Yr 2'!Q91*'Inputs Yr 2'!U91,"")</f>
        <v>650600.63573204412</v>
      </c>
      <c r="BL91" s="195">
        <f>IFERROR($G91*(IF('Inputs Yr 2'!$AJ91=BL$4,'Inputs Yr 2'!$AK91,IF('Inputs Yr 2'!$AL91=BL$4,'Inputs Yr 2'!$AM91,IF('Inputs Yr 2'!$AN91=BL$4,'Inputs Yr 2'!$AO91,0))))*(INDEX(avoidedcosttbl2,$H91,BL$2)+(($H91-ROUNDDOWN($H91,0))*(INDEX(avoidedcosttbl2,ROUNDUP($H91,0),BL$2)-(INDEX(avoidedcosttbl2,ROUNDDOWN($H91,0),BL$2)))))*'Inputs Yr 2'!P91*'Inputs Yr 2'!Q91*'Inputs Yr 2'!U91,"")</f>
        <v>0</v>
      </c>
      <c r="BM91" s="195">
        <f>IFERROR($G91*(IF('Inputs Yr 2'!$AJ91=BM$4,'Inputs Yr 2'!$AK91,IF('Inputs Yr 2'!$AL91=BM$4,'Inputs Yr 2'!$AM91,IF('Inputs Yr 2'!$AN91=BM$4,'Inputs Yr 2'!$AO91,0))))*(INDEX(avoidedcosttbl2,$H91,BM$2)+(($H91-ROUNDDOWN($H91,0))*(INDEX(avoidedcosttbl2,ROUNDUP($H91,0),BM$2)-(INDEX(avoidedcosttbl2,ROUNDDOWN($H91,0),BM$2)))))*'Inputs Yr 2'!P91*'Inputs Yr 2'!Q91*'Inputs Yr 2'!U91,"")</f>
        <v>0</v>
      </c>
      <c r="BN91" s="195">
        <f>IFERROR($G91*(IF('Inputs Yr 2'!$AJ91=BN$4,'Inputs Yr 2'!$AK91,IF('Inputs Yr 2'!$AL91=BN$4,'Inputs Yr 2'!$AM91,IF('Inputs Yr 2'!$AN91=BN$4,'Inputs Yr 2'!$AO91,0))))*(INDEX(avoidedcosttbl2,$H91,BN$2)+(($H91-ROUNDDOWN($H91,0))*(INDEX(avoidedcosttbl2,ROUNDUP($H91,0),BN$2)-(INDEX(avoidedcosttbl2,ROUNDDOWN($H91,0),BN$2)))))*'Inputs Yr 2'!P91*'Inputs Yr 2'!Q91*'Inputs Yr 2'!U91,"")</f>
        <v>0</v>
      </c>
      <c r="BO91" s="195">
        <f>IFERROR($G91*(IF('Inputs Yr 2'!$AJ91=BO$4,'Inputs Yr 2'!$AK91,IF('Inputs Yr 2'!$AL91=BO$4,'Inputs Yr 2'!$AM91,IF('Inputs Yr 2'!$AN91=BO$4,'Inputs Yr 2'!$AO91,0))))*(INDEX(avoidedcosttbl2,$H91,BO$2)+(($H91-ROUNDDOWN($H91,0))*(INDEX(avoidedcosttbl2,ROUNDUP($H91,0),BO$2)-(INDEX(avoidedcosttbl2,ROUNDDOWN($H91,0),BO$2)))))*'Inputs Yr 2'!P91*'Inputs Yr 2'!Q91*'Inputs Yr 2'!U91,"")</f>
        <v>0</v>
      </c>
      <c r="BP91" s="195">
        <f>IFERROR($G91*(IF('Inputs Yr 2'!$AJ91=BP$4,'Inputs Yr 2'!$AK91,IF('Inputs Yr 2'!$AL91=BP$4,'Inputs Yr 2'!$AM91,IF('Inputs Yr 2'!$AN91=BP$4,'Inputs Yr 2'!$AO91,0))))*(INDEX(avoidedcosttbl2,$H91,BP$2)+(($H91-ROUNDDOWN($H91,0))*(INDEX(avoidedcosttbl2,ROUNDUP($H91,0),BP$2)-(INDEX(avoidedcosttbl2,ROUNDDOWN($H91,0),BP$2)))))*'Inputs Yr 2'!P91*'Inputs Yr 2'!Q91*'Inputs Yr 2'!U91,"")</f>
        <v>0</v>
      </c>
      <c r="BQ91" s="230">
        <f t="shared" si="68"/>
        <v>650600.63573204412</v>
      </c>
      <c r="BR91" s="197">
        <f t="shared" si="52"/>
        <v>10569.030297253485</v>
      </c>
      <c r="BS91" s="197">
        <f>IFERROR(($G91*IF('Inputs Yr 2'!$AJ91=BM$4,'Inputs Yr 2'!$AK91,IF('Inputs Yr 2'!$AL91=BM$4,'Inputs Yr 2'!$AM91,IF('Inputs Yr 2'!$AN91=BM$4,'Inputs Yr 2'!$AO91,0))))*(INDEX(avoidedcosttbl2,$H91,BS$2)+(($H91-ROUNDDOWN($H91,0))*(INDEX(avoidedcosttbl2,ROUNDUP($H91,0),BS$2)-(INDEX(avoidedcosttbl2,ROUNDDOWN($H91,0),BS$2)))))*'Inputs Yr 2'!P91*'Inputs Yr 2'!Q91*'Inputs Yr 2'!U91,"")</f>
        <v>0</v>
      </c>
      <c r="BT91" s="197">
        <f>IFERROR(($G91*IF('Inputs Yr 2'!$AJ91=BK$4,'Inputs Yr 2'!$AK91,IF('Inputs Yr 2'!$AL91=BK$4,'Inputs Yr 2'!$AM91,IF('Inputs Yr 2'!$AN91=BK$4,'Inputs Yr 2'!$AO91,0))))*(INDEX(avoidedcosttbl2,$H91,BT$2)+(($H91-ROUNDDOWN($H91,0))*(INDEX(avoidedcosttbl2,ROUNDUP($H91,0),BT$2)-(INDEX(avoidedcosttbl2,ROUNDDOWN($H91,0),BT$2)))))*'Inputs Yr 2'!P91*'Inputs Yr 2'!Q91*'Inputs Yr 2'!U91,"")</f>
        <v>34693.37852701774</v>
      </c>
      <c r="BU91" s="197">
        <f>IFERROR(($G91*IF('Inputs Yr 2'!$AJ91=BL$4,'Inputs Yr 2'!$AK91,IF('Inputs Yr 2'!$AL91=BL$4,'Inputs Yr 2'!$AM91,IF('Inputs Yr 2'!$AN91=BL$4,'Inputs Yr 2'!$AO91,0))))*(INDEX(avoidedcosttbl2,$H91,BU$2)+(($H91-ROUNDDOWN($H91,0))*(INDEX(avoidedcosttbl2,ROUNDUP($H91,0),BU$2)-(INDEX(avoidedcosttbl2,ROUNDDOWN($H91,0),BU$2)))))*'Inputs Yr 2'!P91*'Inputs Yr 2'!Q91*'Inputs Yr 2'!U91,"")</f>
        <v>0</v>
      </c>
      <c r="BV91" s="775">
        <f>IFERROR(($G91*IF('Inputs Yr 2'!$AJ91=BJ$4,'Inputs Yr 2'!$AK91,IF('Inputs Yr 2'!$AL91=BJ$4,'Inputs Yr 2'!$AM91,IF('Inputs Yr 2'!$AN91=BJ$4,'Inputs Yr 2'!$AO91,0))))*(INDEX(avoidedcosttbl2,$H91,BV$2)+(($H91-ROUNDDOWN($H91,0))*(INDEX(avoidedcosttbl2,ROUNDUP($H91,0),BV$2)-(INDEX(avoidedcosttbl2,ROUNDDOWN($H91,0),BV$2)))))*'Inputs Yr 2'!P91*'Inputs Yr 2'!Q91*'Inputs Yr 2'!U91,"")</f>
        <v>0</v>
      </c>
      <c r="BW91" s="197">
        <f>IFERROR(($G91*IF('Inputs Yr 2'!$AJ91=BN$4,'Inputs Yr 2'!$AK91,IF('Inputs Yr 2'!$AL91=BN$4,'Inputs Yr 2'!$AM91,IF('Inputs Yr 2'!$AN91=BN$4,'Inputs Yr 2'!$AO91,0))))*(INDEX(avoidedcosttbl2,$H91,BW$2)+(($H91-ROUNDDOWN($H91,0))*(INDEX(avoidedcosttbl2,ROUNDUP($H91,0),BW$2)-(INDEX(avoidedcosttbl2,ROUNDDOWN($H91,0),BW$2)))))*'Inputs Yr 2'!P91*'Inputs Yr 2'!Q91*'Inputs Yr 2'!U91,"")</f>
        <v>0</v>
      </c>
      <c r="BX91" s="197">
        <f>IFERROR(($G91*IF('Inputs Yr 2'!$AJ91=BO$4,'Inputs Yr 2'!$AK91,IF('Inputs Yr 2'!$AL91=BO$4,'Inputs Yr 2'!$AM91,IF('Inputs Yr 2'!$AN91=BO$4,'Inputs Yr 2'!$AO91,0))))*(INDEX(avoidedcosttbl2,$H91,BX$2)+(($H91-ROUNDDOWN($H91,0))*(INDEX(avoidedcosttbl2,ROUNDUP($H91,0),BX$2)-(INDEX(avoidedcosttbl2,ROUNDDOWN($H91,0),BX$2)))))*'Inputs Yr 2'!P91*'Inputs Yr 2'!Q91*'Inputs Yr 2'!U91,"")</f>
        <v>0</v>
      </c>
      <c r="BY91" s="197">
        <f>IFERROR(($G91*IF('Inputs Yr 2'!$AJ91=BP$4,'Inputs Yr 2'!$AK91,IF('Inputs Yr 2'!$AL91=BP$4,'Inputs Yr 2'!$AM91,IF('Inputs Yr 2'!$AN91=BP$4,'Inputs Yr 2'!$AO91,0))))*(INDEX(avoidedcosttbl2,$H91,BY$2)+(($H91-ROUNDDOWN($H91,0))*(INDEX(avoidedcosttbl2,ROUNDUP($H91,0),BY$2)-(INDEX(avoidedcosttbl2,ROUNDDOWN($H91,0),BY$2)))))*'Inputs Yr 2'!P91*'Inputs Yr 2'!Q91*'Inputs Yr 2'!U91,"")</f>
        <v>0</v>
      </c>
      <c r="BZ91" s="193">
        <f t="shared" si="69"/>
        <v>45262.408824271224</v>
      </c>
      <c r="CA91" s="193">
        <f t="shared" si="70"/>
        <v>695863.04455631529</v>
      </c>
      <c r="CB91" s="195">
        <f>IFERROR(G91*(IF('Inputs Yr 2'!$AJ91=CB$4,'Inputs Yr 2'!$AK91,IF('Inputs Yr 2'!$AL91=CB$4,'Inputs Yr 2'!$AM91,IF('Inputs Yr 2'!$AN91=CB$4,'Inputs Yr 2'!$AO91,0))))*(INDEX(avoidedcosttbl2,$H91,CB$2)+(($H91-ROUNDDOWN($H91,0))*(INDEX(avoidedcosttbl2,ROUNDUP($H91,0),CB$2)-(INDEX(avoidedcosttbl2,ROUNDDOWN($H91,0),CB$2)))))*'Inputs Yr 2'!P91*'Inputs Yr 2'!Q91*'Inputs Yr 2'!U91,"")</f>
        <v>0</v>
      </c>
      <c r="CC91" s="195">
        <f>IFERROR(H91*(IF('Inputs Yr 2'!$AJ91=CC$4,'Inputs Yr 2'!$AK91,IF('Inputs Yr 2'!$AL91=CC$4,'Inputs Yr 2'!$AM91,IF('Inputs Yr 2'!$AN91=CC$4,'Inputs Yr 2'!$AO91,0))))*(INDEX(avoidedcosttbl2,$H91,CC$2)+(($H91-ROUNDDOWN($H91,0))*(INDEX(avoidedcosttbl2,ROUNDUP($H91,0),CC$2)-(INDEX(avoidedcosttbl2,ROUNDDOWN($H91,0),CC$2)))))*'Inputs Yr 2'!Q91*'Inputs Yr 2'!R91*'Inputs Yr 2'!V91,"")</f>
        <v>0</v>
      </c>
      <c r="CD91" s="195">
        <f>IFERROR(I91*(IF('Inputs Yr 2'!$AJ91=CD$4,'Inputs Yr 2'!$AK91,IF('Inputs Yr 2'!$AL91=CD$4,'Inputs Yr 2'!$AM91,IF('Inputs Yr 2'!$AN91=CD$4,'Inputs Yr 2'!$AO91,0))))*(INDEX(avoidedcosttbl2,$H91,CD$2)+(($H91-ROUNDDOWN($H91,0))*(INDEX(avoidedcosttbl2,ROUNDUP($H91,0),CD$2)-(INDEX(avoidedcosttbl2,ROUNDDOWN($H91,0),CD$2)))))*'Inputs Yr 2'!R91*'Inputs Yr 2'!S91*'Inputs Yr 2'!W91,"")</f>
        <v>0</v>
      </c>
      <c r="CE91" s="213">
        <f t="shared" si="71"/>
        <v>0</v>
      </c>
      <c r="CF91" s="213">
        <f t="shared" si="72"/>
        <v>0</v>
      </c>
      <c r="CG91" s="213">
        <f t="shared" si="73"/>
        <v>0</v>
      </c>
      <c r="CH91" s="698">
        <f t="shared" si="74"/>
        <v>695863.04455631529</v>
      </c>
      <c r="CI91" s="79">
        <f>IFERROR(($G91*'Inputs Yr 2'!$P91*'Inputs Yr 2'!$Q91*(((INDEX(avoidedcosttbl2,$H91,CI$2)+(($H91-ROUNDDOWN($H91,0))*(INDEX(avoidedcosttbl2,ROUNDUP($H91,0),CI$2)-INDEX(avoidedcosttbl2,ROUNDDOWN($H91,0),CI$2))))*'Inputs Yr 2'!AS91))),"")</f>
        <v>6630.449346084758</v>
      </c>
      <c r="CJ91" s="504">
        <f>IFERROR($G91*'Inputs Yr 2'!AT91*'Inputs Yr 2'!$P91*'Inputs Yr 2'!$Q91/((1+realdiscrt1)^-0.5),"")</f>
        <v>0</v>
      </c>
      <c r="CK91" s="79">
        <f>IFERROR((O91*1000*(((INDEX(avoidedcosttbl2,$H91,CK$2)+(($H91-ROUNDDOWN($H91,0))*(INDEX(avoidedcosttbl2,ROUNDUP($H91,0),CK$2)-INDEX(avoidedcosttbl2,ROUNDDOWN($H91,0),CK$2))))*'Inputs Yr 2'!AU91))),"")</f>
        <v>0</v>
      </c>
      <c r="CL91" s="504">
        <f>IFERROR(O91*1000*'Inputs Yr 2'!AV91/((1+realdiscrt1)^-0.5),"")</f>
        <v>0</v>
      </c>
      <c r="CM91" s="79">
        <f>IFERROR((AB91*'Inputs Yr 2'!AW91*(((INDEX(avoidedcosttbl2,$H91,CM$2)+(($H91-ROUNDDOWN($H91,0))*(INDEX(avoidedcosttbl2,ROUNDUP($H91,0),CM$2)-INDEX(avoidedcosttbl2,ROUNDDOWN($H91,0),CM$2)))))))*10,"")</f>
        <v>0</v>
      </c>
      <c r="CN91" s="504">
        <f>IFERROR(10*AB91*'Inputs Yr 2'!AX91/((1+realdiscrt1)^-0.5),"")</f>
        <v>0</v>
      </c>
      <c r="CO91" s="505">
        <f t="shared" si="75"/>
        <v>6630.449346084758</v>
      </c>
      <c r="CP91" s="230">
        <f t="shared" si="76"/>
        <v>702493.49390240002</v>
      </c>
      <c r="CQ91" s="199">
        <f>ROUND(IFERROR(IF(LEFT($A91,1)="C",'Avoided Costs'!$K$13,'Avoided Costs'!$K$12)+1,""),4)</f>
        <v>1.0720000000000001</v>
      </c>
      <c r="CR91" s="199">
        <f>ROUND(IFERROR(IF(LEFT($A91,1)="C",'Avoided Costs'!$L$13,'Avoided Costs'!$L$12)+1,""),4)</f>
        <v>1.04</v>
      </c>
      <c r="CS91" s="199">
        <f>ROUND(IFERROR(IF(LEFT($A91,1)="C",'Avoided Costs'!$M$13,'Avoided Costs'!$M$12)+1,""),4)</f>
        <v>1.0720000000000001</v>
      </c>
      <c r="CT91" s="199">
        <f>ROUND(IFERROR(IF(LEFT($A91,1)="C",'Avoided Costs'!$N$13,'Avoided Costs'!$N$12)+1,""),4)</f>
        <v>1.04</v>
      </c>
      <c r="CU91" s="199">
        <f>ROUND(IFERROR(IF(LEFT($A91,1)="C",'Avoided Costs'!$O$13,'Avoided Costs'!$O$12)+1,""),4)</f>
        <v>1.1120000000000001</v>
      </c>
      <c r="CV91" s="199">
        <f>ROUND(IFERROR(IF(LEFT($A91,1)="C",'Avoided Costs'!$P$13,'Avoided Costs'!$P$12)+1,""),4)</f>
        <v>1.095</v>
      </c>
      <c r="CW91" s="199">
        <f>ROUND(IFERROR(IF(LEFT($A91,1)="C",'Avoided Costs'!$Q$13,'Avoided Costs'!$Q$12)+1,""),4)</f>
        <v>1.1120000000000001</v>
      </c>
      <c r="CX91" s="200">
        <f>ROUND(IFERROR(IF(LEFT($A91,1)="C",'Avoided Costs'!$R$13,'Avoided Costs'!$R$12)+1,""),4)</f>
        <v>1.1120000000000001</v>
      </c>
    </row>
    <row r="92" spans="1:102" ht="12.75" customHeight="1">
      <c r="A92" s="91" t="str">
        <f>IF('Inputs Yr 2'!$B92=0,"",'Inputs Yr 2'!A92)</f>
        <v>A - Residential</v>
      </c>
      <c r="B92" s="91" t="str">
        <f>IF('Inputs Yr 2'!$B92=0,"",'Inputs Yr 2'!B92)</f>
        <v>A2 - Residential Products</v>
      </c>
      <c r="C92" s="91" t="str">
        <f>IF('Inputs Yr 2'!$B92=0,"",'Inputs Yr 2'!C92)</f>
        <v xml:space="preserve">A2a - Residential Heating &amp; Cooling Equipment </v>
      </c>
      <c r="D92" s="91" t="str">
        <f>IF('Inputs Yr 2'!$B92=0,"",'Inputs Yr 2'!E92)</f>
        <v>Programmable Thermostat, Gas</v>
      </c>
      <c r="E92" s="93" t="str">
        <f>IF('Inputs Yr 2'!$B92=0,"",'Inputs Yr 2'!F92)</f>
        <v>G16A2a16</v>
      </c>
      <c r="F92" s="93" t="str">
        <f>IF('Inputs Yr 2'!$B92=0,"",'Inputs Yr 2'!G92)</f>
        <v>HVAC</v>
      </c>
      <c r="G92" s="95">
        <f>IF('Inputs Yr 2'!$H92&lt;&gt;0,('Inputs Yr 2'!H92),"")</f>
        <v>1355</v>
      </c>
      <c r="H92" s="94">
        <f>IFERROR('Inputs Yr 2'!I92,"")</f>
        <v>15</v>
      </c>
      <c r="I92" s="298">
        <f>IFERROR('Inputs Yr 2'!J92*'Inputs Yr 2'!P92*G92,"")</f>
        <v>52357.200000000004</v>
      </c>
      <c r="J92" s="298">
        <f>IFERROR('Inputs Yr 2'!K92*G92,"")</f>
        <v>33677.176166097837</v>
      </c>
      <c r="K92" s="298">
        <f t="shared" si="53"/>
        <v>18680.023833902167</v>
      </c>
      <c r="L92" s="194">
        <f>IFERROR(('Inputs Yr 2'!W92*G92)/1000,"")</f>
        <v>0</v>
      </c>
      <c r="M92" s="194">
        <f>IFERROR(L92*('Inputs Yr 2'!$Q92*'Inputs Yr 2'!$V92*'Inputs Yr 2'!$R92),"")</f>
        <v>0</v>
      </c>
      <c r="N92" s="194">
        <f t="shared" si="54"/>
        <v>0</v>
      </c>
      <c r="O92" s="194">
        <f>IFERROR(M92*'Inputs Yr 2'!P92,"")</f>
        <v>0</v>
      </c>
      <c r="P92" s="194">
        <f t="shared" si="55"/>
        <v>0</v>
      </c>
      <c r="Q92" s="194">
        <f>IFERROR($P92*'Inputs Yr 2'!AA92,"")</f>
        <v>0</v>
      </c>
      <c r="R92" s="194">
        <f>IFERROR($P92*'Inputs Yr 2'!AB92,"")</f>
        <v>0</v>
      </c>
      <c r="S92" s="194">
        <f>IFERROR($P92*'Inputs Yr 2'!AC92,"")</f>
        <v>0</v>
      </c>
      <c r="T92" s="194">
        <f>IFERROR($P92*'Inputs Yr 2'!AD92,"")</f>
        <v>0</v>
      </c>
      <c r="U92" s="194">
        <f>IFERROR(G92*'Inputs Yr 2'!$AE92*'Inputs Yr 2'!$P92*'Inputs Yr 2'!$Q92,"")</f>
        <v>0</v>
      </c>
      <c r="V92" s="194">
        <f>IFERROR($G92*'Inputs Yr 2'!$AE92*'Inputs Yr 2'!$AG92*'Inputs Yr 2'!Q92*'Inputs Yr 2'!$S92,"")</f>
        <v>0</v>
      </c>
      <c r="W92" s="194">
        <f>IFERROR($G92*'Inputs Yr 2'!$AE92*'Inputs Yr 2'!$AG92*'Inputs Yr 2'!P92*'Inputs Yr 2'!Q92*'Inputs Yr 2'!$S92,"")</f>
        <v>0</v>
      </c>
      <c r="X92" s="194">
        <f>IFERROR($G92*'Inputs Yr 2'!$AE92*'Inputs Yr 2'!$AF92*'Inputs Yr 2'!Q92*'Inputs Yr 2'!$T92,"")</f>
        <v>0</v>
      </c>
      <c r="Y92" s="194">
        <f>IFERROR($G92*'Inputs Yr 2'!$AE92*'Inputs Yr 2'!$AF92*'Inputs Yr 2'!P92*'Inputs Yr 2'!Q92*'Inputs Yr 2'!$T92,"")</f>
        <v>0</v>
      </c>
      <c r="Z92" s="257">
        <f>IFERROR($G92*'Inputs Yr 2'!$Q92*'Inputs Yr 2'!$U92*(IF(IFERROR(SEARCH("NG", 'Inputs Yr 2'!$AJ92),0),'Inputs Yr 2'!$AK92,0)+IF(IFERROR(SEARCH("NG", 'Inputs Yr 2'!$AL92),0),'Inputs Yr 2'!$AM92,0)+IF(IFERROR(SEARCH("NG", 'Inputs Yr 2'!$AN92),0),'Inputs Yr 2'!$AO92,0)),0)</f>
        <v>4336</v>
      </c>
      <c r="AA92" s="257">
        <f t="shared" si="56"/>
        <v>65040</v>
      </c>
      <c r="AB92" s="257">
        <f>IFERROR(Z92*'Inputs Yr 2'!$P92,0)</f>
        <v>1821.1200000000001</v>
      </c>
      <c r="AC92" s="257">
        <f t="shared" si="57"/>
        <v>27316.800000000003</v>
      </c>
      <c r="AD92" s="257">
        <f>IFERROR($G92*'Inputs Yr 2'!$Q92*'Inputs Yr 2'!$U92*(IF(IFERROR(SEARCH("Oil", 'Inputs Yr 2'!$AJ92), 0),'Inputs Yr 2'!$AK92,0)+IF(IFERROR(SEARCH("Oil", 'Inputs Yr 2'!$AL92), 0),'Inputs Yr 2'!$AM92,0)+IF(IFERROR(SEARCH("Oil", 'Inputs Yr 2'!$AN92), 0),'Inputs Yr 2'!$AO92,0)),0)</f>
        <v>0</v>
      </c>
      <c r="AE92" s="257">
        <f t="shared" si="58"/>
        <v>0</v>
      </c>
      <c r="AF92" s="257">
        <f>IFERROR(AD92*'Inputs Yr 2'!$P92,0)</f>
        <v>0</v>
      </c>
      <c r="AG92" s="257">
        <f t="shared" si="59"/>
        <v>0</v>
      </c>
      <c r="AH92" s="257">
        <f>IFERROR($G92*'Inputs Yr 2'!$Q92*'Inputs Yr 2'!$U92*(IF('Inputs Yr 2'!$AJ92=CD$4,'Inputs Yr 2'!$AK92,IF('Inputs Yr 2'!$AL92=CD$4,'Inputs Yr 2'!$AM92,IF('Inputs Yr 2'!$AN92=CD$4,'Inputs Yr 2'!$AO92,0)))),0)</f>
        <v>0</v>
      </c>
      <c r="AI92" s="257">
        <f t="shared" si="60"/>
        <v>0</v>
      </c>
      <c r="AJ92" s="257">
        <f>IFERROR(AH92*'Inputs Yr 2'!$P92,0)</f>
        <v>0</v>
      </c>
      <c r="AK92" s="257">
        <f t="shared" si="61"/>
        <v>0</v>
      </c>
      <c r="AL92" s="258">
        <f>IFERROR($G92*'Inputs Yr 2'!$P92*'Inputs Yr 2'!$Q92*'Inputs Yr 2'!AP92,0)</f>
        <v>0</v>
      </c>
      <c r="AM92" s="260">
        <f>IFERROR($G92*'Inputs Yr 2'!$P92*'Inputs Yr 2'!$Q92*'Inputs Yr 2'!AQ92,0)</f>
        <v>0</v>
      </c>
      <c r="AN92" s="258">
        <f>IFERROR($G92*'Inputs Yr 2'!$P92*'Inputs Yr 2'!$Q92*'Inputs Yr 2'!AR92,0)</f>
        <v>0</v>
      </c>
      <c r="AO92" s="257">
        <f t="shared" si="62"/>
        <v>0</v>
      </c>
      <c r="AP92" s="195">
        <f>IFERROR($CQ92*(INDEX(avoidedcosttbl2,$H92,AP$2)+(($H92-ROUNDDOWN($H92,0))*(INDEX(avoidedcosttbl2,ROUNDUP($H92,0),AP$2)-(INDEX(avoidedcosttbl2,ROUNDDOWN($H92,0),AP$2)))))*$O92*1000*'Inputs Yr 2'!AA92,"")</f>
        <v>0</v>
      </c>
      <c r="AQ92" s="195">
        <f>IFERROR($CR92*(INDEX(avoidedcosttbl2,$H92,AQ$2)+(($H92-ROUNDDOWN($H92,0))*(INDEX(avoidedcosttbl2,ROUNDUP($H92,0),AQ$2)-(INDEX(avoidedcosttbl2,ROUNDDOWN($H92,0),AQ$2)))))*$O92*1000*'Inputs Yr 2'!AB92,"")</f>
        <v>0</v>
      </c>
      <c r="AR92" s="195">
        <f>IFERROR($CS92*(INDEX(avoidedcosttbl2,$H92,AR$2)+(($H92-ROUNDDOWN($H92,0))*(INDEX(avoidedcosttbl2,ROUNDUP($H92,0),AR$2)-(INDEX(avoidedcosttbl2,ROUNDDOWN($H92,0),AR$2)))))*$O92*1000*'Inputs Yr 2'!AC92,"")</f>
        <v>0</v>
      </c>
      <c r="AS92" s="195">
        <f>IFERROR($CT92*(INDEX(avoidedcosttbl2,$H92,AS$2)+(($H92-ROUNDDOWN($H92,0))*(INDEX(avoidedcosttbl2,ROUNDUP($H92,0),AS$2)-(INDEX(avoidedcosttbl2,ROUNDDOWN($H92,0),AS$2)))))*$O92*1000*'Inputs Yr 2'!AD92,"")</f>
        <v>0</v>
      </c>
      <c r="AT92" s="196">
        <f t="shared" si="63"/>
        <v>0</v>
      </c>
      <c r="AU92" s="197">
        <f>IFERROR($CQ92*((INDEX(avoidedcosttbl2,$H92,AU$2))+(($H92-ROUNDDOWN($H92,0))*((INDEX(avoidedcosttbl2,ROUNDUP($H92,0),AU$2))-(INDEX(avoidedcosttbl2,ROUNDDOWN($H92,0),AU$2)))))*$O92*1000*'Inputs Yr 2'!AA92,"")</f>
        <v>0</v>
      </c>
      <c r="AV92" s="197">
        <f>IFERROR($CR92*((INDEX(avoidedcosttbl2,$H92,AV$2))+(($H92-ROUNDDOWN($H92,0))*((INDEX(avoidedcosttbl2,ROUNDUP($H92,0),AV$2))-(INDEX(avoidedcosttbl2,ROUNDDOWN($H92,0),AV$2)))))*$O92*1000*'Inputs Yr 2'!AB92,"")</f>
        <v>0</v>
      </c>
      <c r="AW92" s="197">
        <f>IFERROR($CS92*((INDEX(avoidedcosttbl2,$H92,AW$2))+(($H92-ROUNDDOWN($H92,0))*((INDEX(avoidedcosttbl2,ROUNDUP($H92,0),AW$2))-(INDEX(avoidedcosttbl2,ROUNDDOWN($H92,0),AW$2)))))*$O92*1000*'Inputs Yr 2'!AC92,"")</f>
        <v>0</v>
      </c>
      <c r="AX92" s="197">
        <f>IFERROR($CT92*((INDEX(avoidedcosttbl2,$H92,AX$2))+(($H92-ROUNDDOWN($H92,0))*((INDEX(avoidedcosttbl2,ROUNDUP($H92,0),AX$2))-(INDEX(avoidedcosttbl2,ROUNDDOWN($H92,0),AX$2)))))*$O92*1000*'Inputs Yr 2'!AD92,"")</f>
        <v>0</v>
      </c>
      <c r="AY92" s="197">
        <f>IFERROR(((INDEX(avoidedcosttbl2,$H92,AY$2))+(($H92-ROUNDDOWN($H92,0))*((INDEX(avoidedcosttbl2,ROUNDUP($H92,0),AY$2))-(INDEX(avoidedcosttbl2,ROUNDDOWN($H92,0),AY$2)))))*$O92*1000*('Inputs Yr 2'!AC92+'Inputs Yr 2'!AD92),"")</f>
        <v>0</v>
      </c>
      <c r="AZ92" s="197">
        <f>IFERROR(((INDEX(avoidedcosttbl2,$H92,AZ$2))+(($H92-ROUNDDOWN($H92,0))*((INDEX(avoidedcosttbl2,ROUNDUP($H92,0),AZ$2))-(INDEX(avoidedcosttbl2,ROUNDDOWN($H92,0),AZ$2)))))*$O92*1000*('Inputs Yr 2'!AA92+'Inputs Yr 2'!AB92),"")</f>
        <v>0</v>
      </c>
      <c r="BA92" s="198">
        <f t="shared" si="64"/>
        <v>0</v>
      </c>
      <c r="BB92" s="198">
        <f t="shared" si="65"/>
        <v>0</v>
      </c>
      <c r="BC92" s="195">
        <f t="shared" si="47"/>
        <v>0</v>
      </c>
      <c r="BD92" s="195">
        <f t="shared" si="48"/>
        <v>0</v>
      </c>
      <c r="BE92" s="195">
        <f t="shared" si="49"/>
        <v>0</v>
      </c>
      <c r="BF92" s="195">
        <f t="shared" si="50"/>
        <v>0</v>
      </c>
      <c r="BG92" s="195">
        <f t="shared" si="51"/>
        <v>0</v>
      </c>
      <c r="BH92" s="196">
        <f t="shared" si="66"/>
        <v>0</v>
      </c>
      <c r="BI92" s="196">
        <f t="shared" si="67"/>
        <v>0</v>
      </c>
      <c r="BJ92" s="195">
        <f>IFERROR($G92*(IF('Inputs Yr 2'!$AJ92=BJ$4,'Inputs Yr 2'!$AK92,IF('Inputs Yr 2'!$AL92=BJ$4,'Inputs Yr 2'!$AM92,IF('Inputs Yr 2'!$AN92=BJ$4,'Inputs Yr 2'!$AO92,0))))*(INDEX(avoidedcosttbl2,$H92,BJ$2)+(($H92-ROUNDDOWN($H92,0))*(INDEX(avoidedcosttbl2,ROUNDUP($H92,0),BJ$2)-(INDEX(avoidedcosttbl2,ROUNDDOWN($H92,0),BJ$2)))))*'Inputs Yr 2'!P92*'Inputs Yr 2'!Q92*'Inputs Yr 2'!U92,"")</f>
        <v>0</v>
      </c>
      <c r="BK92" s="195">
        <f>IFERROR($G92*(IF('Inputs Yr 2'!$AJ92=BK$4,'Inputs Yr 2'!$AK92,IF('Inputs Yr 2'!$AL92=BK$4,'Inputs Yr 2'!$AM92,IF('Inputs Yr 2'!$AN92=BK$4,'Inputs Yr 2'!$AO92,0))))*(INDEX(avoidedcosttbl2,$H92,BK$2)+(($H92-ROUNDDOWN($H92,0))*(INDEX(avoidedcosttbl2,ROUNDUP($H92,0),BK$2)-(INDEX(avoidedcosttbl2,ROUNDDOWN($H92,0),BK$2)))))*'Inputs Yr 2'!P92*'Inputs Yr 2'!Q92*'Inputs Yr 2'!U92,"")</f>
        <v>0</v>
      </c>
      <c r="BL92" s="195">
        <f>IFERROR($G92*(IF('Inputs Yr 2'!$AJ92=BL$4,'Inputs Yr 2'!$AK92,IF('Inputs Yr 2'!$AL92=BL$4,'Inputs Yr 2'!$AM92,IF('Inputs Yr 2'!$AN92=BL$4,'Inputs Yr 2'!$AO92,0))))*(INDEX(avoidedcosttbl2,$H92,BL$2)+(($H92-ROUNDDOWN($H92,0))*(INDEX(avoidedcosttbl2,ROUNDUP($H92,0),BL$2)-(INDEX(avoidedcosttbl2,ROUNDDOWN($H92,0),BL$2)))))*'Inputs Yr 2'!P92*'Inputs Yr 2'!Q92*'Inputs Yr 2'!U92,"")</f>
        <v>230354.98676824756</v>
      </c>
      <c r="BM92" s="195">
        <f>IFERROR($G92*(IF('Inputs Yr 2'!$AJ92=BM$4,'Inputs Yr 2'!$AK92,IF('Inputs Yr 2'!$AL92=BM$4,'Inputs Yr 2'!$AM92,IF('Inputs Yr 2'!$AN92=BM$4,'Inputs Yr 2'!$AO92,0))))*(INDEX(avoidedcosttbl2,$H92,BM$2)+(($H92-ROUNDDOWN($H92,0))*(INDEX(avoidedcosttbl2,ROUNDUP($H92,0),BM$2)-(INDEX(avoidedcosttbl2,ROUNDDOWN($H92,0),BM$2)))))*'Inputs Yr 2'!P92*'Inputs Yr 2'!Q92*'Inputs Yr 2'!U92,"")</f>
        <v>0</v>
      </c>
      <c r="BN92" s="195">
        <f>IFERROR($G92*(IF('Inputs Yr 2'!$AJ92=BN$4,'Inputs Yr 2'!$AK92,IF('Inputs Yr 2'!$AL92=BN$4,'Inputs Yr 2'!$AM92,IF('Inputs Yr 2'!$AN92=BN$4,'Inputs Yr 2'!$AO92,0))))*(INDEX(avoidedcosttbl2,$H92,BN$2)+(($H92-ROUNDDOWN($H92,0))*(INDEX(avoidedcosttbl2,ROUNDUP($H92,0),BN$2)-(INDEX(avoidedcosttbl2,ROUNDDOWN($H92,0),BN$2)))))*'Inputs Yr 2'!P92*'Inputs Yr 2'!Q92*'Inputs Yr 2'!U92,"")</f>
        <v>0</v>
      </c>
      <c r="BO92" s="195">
        <f>IFERROR($G92*(IF('Inputs Yr 2'!$AJ92=BO$4,'Inputs Yr 2'!$AK92,IF('Inputs Yr 2'!$AL92=BO$4,'Inputs Yr 2'!$AM92,IF('Inputs Yr 2'!$AN92=BO$4,'Inputs Yr 2'!$AO92,0))))*(INDEX(avoidedcosttbl2,$H92,BO$2)+(($H92-ROUNDDOWN($H92,0))*(INDEX(avoidedcosttbl2,ROUNDUP($H92,0),BO$2)-(INDEX(avoidedcosttbl2,ROUNDDOWN($H92,0),BO$2)))))*'Inputs Yr 2'!P92*'Inputs Yr 2'!Q92*'Inputs Yr 2'!U92,"")</f>
        <v>0</v>
      </c>
      <c r="BP92" s="195">
        <f>IFERROR($G92*(IF('Inputs Yr 2'!$AJ92=BP$4,'Inputs Yr 2'!$AK92,IF('Inputs Yr 2'!$AL92=BP$4,'Inputs Yr 2'!$AM92,IF('Inputs Yr 2'!$AN92=BP$4,'Inputs Yr 2'!$AO92,0))))*(INDEX(avoidedcosttbl2,$H92,BP$2)+(($H92-ROUNDDOWN($H92,0))*(INDEX(avoidedcosttbl2,ROUNDUP($H92,0),BP$2)-(INDEX(avoidedcosttbl2,ROUNDDOWN($H92,0),BP$2)))))*'Inputs Yr 2'!P92*'Inputs Yr 2'!Q92*'Inputs Yr 2'!U92,"")</f>
        <v>0</v>
      </c>
      <c r="BQ92" s="230">
        <f t="shared" si="68"/>
        <v>230354.98676824756</v>
      </c>
      <c r="BR92" s="197">
        <f t="shared" si="52"/>
        <v>3702.5711058809584</v>
      </c>
      <c r="BS92" s="197">
        <f>IFERROR(($G92*IF('Inputs Yr 2'!$AJ92=BM$4,'Inputs Yr 2'!$AK92,IF('Inputs Yr 2'!$AL92=BM$4,'Inputs Yr 2'!$AM92,IF('Inputs Yr 2'!$AN92=BM$4,'Inputs Yr 2'!$AO92,0))))*(INDEX(avoidedcosttbl2,$H92,BS$2)+(($H92-ROUNDDOWN($H92,0))*(INDEX(avoidedcosttbl2,ROUNDUP($H92,0),BS$2)-(INDEX(avoidedcosttbl2,ROUNDDOWN($H92,0),BS$2)))))*'Inputs Yr 2'!P92*'Inputs Yr 2'!Q92*'Inputs Yr 2'!U92,"")</f>
        <v>0</v>
      </c>
      <c r="BT92" s="197">
        <f>IFERROR(($G92*IF('Inputs Yr 2'!$AJ92=BK$4,'Inputs Yr 2'!$AK92,IF('Inputs Yr 2'!$AL92=BK$4,'Inputs Yr 2'!$AM92,IF('Inputs Yr 2'!$AN92=BK$4,'Inputs Yr 2'!$AO92,0))))*(INDEX(avoidedcosttbl2,$H92,BT$2)+(($H92-ROUNDDOWN($H92,0))*(INDEX(avoidedcosttbl2,ROUNDUP($H92,0),BT$2)-(INDEX(avoidedcosttbl2,ROUNDDOWN($H92,0),BT$2)))))*'Inputs Yr 2'!P92*'Inputs Yr 2'!Q92*'Inputs Yr 2'!U92,"")</f>
        <v>0</v>
      </c>
      <c r="BU92" s="197">
        <f>IFERROR(($G92*IF('Inputs Yr 2'!$AJ92=BL$4,'Inputs Yr 2'!$AK92,IF('Inputs Yr 2'!$AL92=BL$4,'Inputs Yr 2'!$AM92,IF('Inputs Yr 2'!$AN92=BL$4,'Inputs Yr 2'!$AO92,0))))*(INDEX(avoidedcosttbl2,$H92,BU$2)+(($H92-ROUNDDOWN($H92,0))*(INDEX(avoidedcosttbl2,ROUNDUP($H92,0),BU$2)-(INDEX(avoidedcosttbl2,ROUNDDOWN($H92,0),BU$2)))))*'Inputs Yr 2'!P92*'Inputs Yr 2'!Q92*'Inputs Yr 2'!U92,"")</f>
        <v>14099.46382012592</v>
      </c>
      <c r="BV92" s="775">
        <f>IFERROR(($G92*IF('Inputs Yr 2'!$AJ92=BJ$4,'Inputs Yr 2'!$AK92,IF('Inputs Yr 2'!$AL92=BJ$4,'Inputs Yr 2'!$AM92,IF('Inputs Yr 2'!$AN92=BJ$4,'Inputs Yr 2'!$AO92,0))))*(INDEX(avoidedcosttbl2,$H92,BV$2)+(($H92-ROUNDDOWN($H92,0))*(INDEX(avoidedcosttbl2,ROUNDUP($H92,0),BV$2)-(INDEX(avoidedcosttbl2,ROUNDDOWN($H92,0),BV$2)))))*'Inputs Yr 2'!P92*'Inputs Yr 2'!Q92*'Inputs Yr 2'!U92,"")</f>
        <v>0</v>
      </c>
      <c r="BW92" s="197">
        <f>IFERROR(($G92*IF('Inputs Yr 2'!$AJ92=BN$4,'Inputs Yr 2'!$AK92,IF('Inputs Yr 2'!$AL92=BN$4,'Inputs Yr 2'!$AM92,IF('Inputs Yr 2'!$AN92=BN$4,'Inputs Yr 2'!$AO92,0))))*(INDEX(avoidedcosttbl2,$H92,BW$2)+(($H92-ROUNDDOWN($H92,0))*(INDEX(avoidedcosttbl2,ROUNDUP($H92,0),BW$2)-(INDEX(avoidedcosttbl2,ROUNDDOWN($H92,0),BW$2)))))*'Inputs Yr 2'!P92*'Inputs Yr 2'!Q92*'Inputs Yr 2'!U92,"")</f>
        <v>0</v>
      </c>
      <c r="BX92" s="197">
        <f>IFERROR(($G92*IF('Inputs Yr 2'!$AJ92=BO$4,'Inputs Yr 2'!$AK92,IF('Inputs Yr 2'!$AL92=BO$4,'Inputs Yr 2'!$AM92,IF('Inputs Yr 2'!$AN92=BO$4,'Inputs Yr 2'!$AO92,0))))*(INDEX(avoidedcosttbl2,$H92,BX$2)+(($H92-ROUNDDOWN($H92,0))*(INDEX(avoidedcosttbl2,ROUNDUP($H92,0),BX$2)-(INDEX(avoidedcosttbl2,ROUNDDOWN($H92,0),BX$2)))))*'Inputs Yr 2'!P92*'Inputs Yr 2'!Q92*'Inputs Yr 2'!U92,"")</f>
        <v>0</v>
      </c>
      <c r="BY92" s="197">
        <f>IFERROR(($G92*IF('Inputs Yr 2'!$AJ92=BP$4,'Inputs Yr 2'!$AK92,IF('Inputs Yr 2'!$AL92=BP$4,'Inputs Yr 2'!$AM92,IF('Inputs Yr 2'!$AN92=BP$4,'Inputs Yr 2'!$AO92,0))))*(INDEX(avoidedcosttbl2,$H92,BY$2)+(($H92-ROUNDDOWN($H92,0))*(INDEX(avoidedcosttbl2,ROUNDUP($H92,0),BY$2)-(INDEX(avoidedcosttbl2,ROUNDDOWN($H92,0),BY$2)))))*'Inputs Yr 2'!P92*'Inputs Yr 2'!Q92*'Inputs Yr 2'!U92,"")</f>
        <v>0</v>
      </c>
      <c r="BZ92" s="193">
        <f t="shared" si="69"/>
        <v>17802.03492600688</v>
      </c>
      <c r="CA92" s="193">
        <f t="shared" si="70"/>
        <v>248157.02169425445</v>
      </c>
      <c r="CB92" s="195">
        <f>IFERROR(G92*(IF('Inputs Yr 2'!$AJ92=CB$4,'Inputs Yr 2'!$AK92,IF('Inputs Yr 2'!$AL92=CB$4,'Inputs Yr 2'!$AM92,IF('Inputs Yr 2'!$AN92=CB$4,'Inputs Yr 2'!$AO92,0))))*(INDEX(avoidedcosttbl2,$H92,CB$2)+(($H92-ROUNDDOWN($H92,0))*(INDEX(avoidedcosttbl2,ROUNDUP($H92,0),CB$2)-(INDEX(avoidedcosttbl2,ROUNDDOWN($H92,0),CB$2)))))*'Inputs Yr 2'!P92*'Inputs Yr 2'!Q92*'Inputs Yr 2'!U92,"")</f>
        <v>0</v>
      </c>
      <c r="CC92" s="195">
        <f>IFERROR(H92*(IF('Inputs Yr 2'!$AJ92=CC$4,'Inputs Yr 2'!$AK92,IF('Inputs Yr 2'!$AL92=CC$4,'Inputs Yr 2'!$AM92,IF('Inputs Yr 2'!$AN92=CC$4,'Inputs Yr 2'!$AO92,0))))*(INDEX(avoidedcosttbl2,$H92,CC$2)+(($H92-ROUNDDOWN($H92,0))*(INDEX(avoidedcosttbl2,ROUNDUP($H92,0),CC$2)-(INDEX(avoidedcosttbl2,ROUNDDOWN($H92,0),CC$2)))))*'Inputs Yr 2'!Q92*'Inputs Yr 2'!R92*'Inputs Yr 2'!V92,"")</f>
        <v>0</v>
      </c>
      <c r="CD92" s="195">
        <f>IFERROR(I92*(IF('Inputs Yr 2'!$AJ92=CD$4,'Inputs Yr 2'!$AK92,IF('Inputs Yr 2'!$AL92=CD$4,'Inputs Yr 2'!$AM92,IF('Inputs Yr 2'!$AN92=CD$4,'Inputs Yr 2'!$AO92,0))))*(INDEX(avoidedcosttbl2,$H92,CD$2)+(($H92-ROUNDDOWN($H92,0))*(INDEX(avoidedcosttbl2,ROUNDUP($H92,0),CD$2)-(INDEX(avoidedcosttbl2,ROUNDDOWN($H92,0),CD$2)))))*'Inputs Yr 2'!R92*'Inputs Yr 2'!S92*'Inputs Yr 2'!W92,"")</f>
        <v>0</v>
      </c>
      <c r="CE92" s="213">
        <f t="shared" si="71"/>
        <v>0</v>
      </c>
      <c r="CF92" s="213">
        <f t="shared" si="72"/>
        <v>0</v>
      </c>
      <c r="CG92" s="213">
        <f t="shared" si="73"/>
        <v>0</v>
      </c>
      <c r="CH92" s="698">
        <f t="shared" si="74"/>
        <v>248157.02169425445</v>
      </c>
      <c r="CI92" s="79">
        <f>IFERROR(($G92*'Inputs Yr 2'!$P92*'Inputs Yr 2'!$Q92*(((INDEX(avoidedcosttbl2,$H92,CI$2)+(($H92-ROUNDDOWN($H92,0))*(INDEX(avoidedcosttbl2,ROUNDUP($H92,0),CI$2)-INDEX(avoidedcosttbl2,ROUNDDOWN($H92,0),CI$2))))*'Inputs Yr 2'!AS92))),"")</f>
        <v>34634.65306809944</v>
      </c>
      <c r="CJ92" s="504">
        <f>IFERROR($G92*'Inputs Yr 2'!AT92*'Inputs Yr 2'!$P92*'Inputs Yr 2'!$Q92/((1+realdiscrt1)^-0.5),"")</f>
        <v>0</v>
      </c>
      <c r="CK92" s="79">
        <f>IFERROR((O92*1000*(((INDEX(avoidedcosttbl2,$H92,CK$2)+(($H92-ROUNDDOWN($H92,0))*(INDEX(avoidedcosttbl2,ROUNDUP($H92,0),CK$2)-INDEX(avoidedcosttbl2,ROUNDDOWN($H92,0),CK$2))))*'Inputs Yr 2'!AU92))),"")</f>
        <v>0</v>
      </c>
      <c r="CL92" s="504">
        <f>IFERROR(O92*1000*'Inputs Yr 2'!AV92/((1+realdiscrt1)^-0.5),"")</f>
        <v>0</v>
      </c>
      <c r="CM92" s="79">
        <f>IFERROR((AB92*'Inputs Yr 2'!AW92*(((INDEX(avoidedcosttbl2,$H92,CM$2)+(($H92-ROUNDDOWN($H92,0))*(INDEX(avoidedcosttbl2,ROUNDUP($H92,0),CM$2)-INDEX(avoidedcosttbl2,ROUNDDOWN($H92,0),CM$2)))))))*10,"")</f>
        <v>0</v>
      </c>
      <c r="CN92" s="504">
        <f>IFERROR(10*AB92*'Inputs Yr 2'!AX92/((1+realdiscrt1)^-0.5),"")</f>
        <v>0</v>
      </c>
      <c r="CO92" s="505">
        <f t="shared" si="75"/>
        <v>34634.65306809944</v>
      </c>
      <c r="CP92" s="230">
        <f t="shared" si="76"/>
        <v>282791.67476235388</v>
      </c>
      <c r="CQ92" s="199">
        <f>ROUND(IFERROR(IF(LEFT($A92,1)="C",'Avoided Costs'!$K$13,'Avoided Costs'!$K$12)+1,""),4)</f>
        <v>1.0720000000000001</v>
      </c>
      <c r="CR92" s="199">
        <f>ROUND(IFERROR(IF(LEFT($A92,1)="C",'Avoided Costs'!$L$13,'Avoided Costs'!$L$12)+1,""),4)</f>
        <v>1.04</v>
      </c>
      <c r="CS92" s="199">
        <f>ROUND(IFERROR(IF(LEFT($A92,1)="C",'Avoided Costs'!$M$13,'Avoided Costs'!$M$12)+1,""),4)</f>
        <v>1.0720000000000001</v>
      </c>
      <c r="CT92" s="199">
        <f>ROUND(IFERROR(IF(LEFT($A92,1)="C",'Avoided Costs'!$N$13,'Avoided Costs'!$N$12)+1,""),4)</f>
        <v>1.04</v>
      </c>
      <c r="CU92" s="199">
        <f>ROUND(IFERROR(IF(LEFT($A92,1)="C",'Avoided Costs'!$O$13,'Avoided Costs'!$O$12)+1,""),4)</f>
        <v>1.1120000000000001</v>
      </c>
      <c r="CV92" s="199">
        <f>ROUND(IFERROR(IF(LEFT($A92,1)="C",'Avoided Costs'!$P$13,'Avoided Costs'!$P$12)+1,""),4)</f>
        <v>1.095</v>
      </c>
      <c r="CW92" s="199">
        <f>ROUND(IFERROR(IF(LEFT($A92,1)="C",'Avoided Costs'!$Q$13,'Avoided Costs'!$Q$12)+1,""),4)</f>
        <v>1.1120000000000001</v>
      </c>
      <c r="CX92" s="200">
        <f>ROUND(IFERROR(IF(LEFT($A92,1)="C",'Avoided Costs'!$R$13,'Avoided Costs'!$R$12)+1,""),4)</f>
        <v>1.1120000000000001</v>
      </c>
    </row>
    <row r="93" spans="1:102" ht="12.75" customHeight="1">
      <c r="A93" s="91" t="str">
        <f>IF('Inputs Yr 2'!$B93=0,"",'Inputs Yr 2'!A93)</f>
        <v>A - Residential</v>
      </c>
      <c r="B93" s="91" t="str">
        <f>IF('Inputs Yr 2'!$B93=0,"",'Inputs Yr 2'!B93)</f>
        <v>A2 - Residential Products</v>
      </c>
      <c r="C93" s="91" t="str">
        <f>IF('Inputs Yr 2'!$B93=0,"",'Inputs Yr 2'!C93)</f>
        <v xml:space="preserve">A2a - Residential Heating &amp; Cooling Equipment </v>
      </c>
      <c r="D93" s="91" t="str">
        <f>IF('Inputs Yr 2'!$B93=0,"",'Inputs Yr 2'!E93)</f>
        <v>Wi-Fi Thermostat (Control gas heat only)</v>
      </c>
      <c r="E93" s="93" t="str">
        <f>IF('Inputs Yr 2'!$B93=0,"",'Inputs Yr 2'!F93)</f>
        <v>G16A2a17</v>
      </c>
      <c r="F93" s="93" t="str">
        <f>IF('Inputs Yr 2'!$B93=0,"",'Inputs Yr 2'!G93)</f>
        <v>HVAC</v>
      </c>
      <c r="G93" s="95">
        <f>IF('Inputs Yr 2'!$H93&lt;&gt;0,('Inputs Yr 2'!H93),"")</f>
        <v>9355</v>
      </c>
      <c r="H93" s="94">
        <f>IFERROR('Inputs Yr 2'!I93,"")</f>
        <v>15</v>
      </c>
      <c r="I93" s="298">
        <f>IFERROR('Inputs Yr 2'!J93*'Inputs Yr 2'!P93*G93,"")</f>
        <v>2507140</v>
      </c>
      <c r="J93" s="298">
        <f>IFERROR('Inputs Yr 2'!K93*G93,"")</f>
        <v>931293.73033069237</v>
      </c>
      <c r="K93" s="298">
        <f t="shared" si="53"/>
        <v>1575846.2696693076</v>
      </c>
      <c r="L93" s="194">
        <f>IFERROR(('Inputs Yr 2'!W93*G93)/1000,"")</f>
        <v>0</v>
      </c>
      <c r="M93" s="194">
        <f>IFERROR(L93*('Inputs Yr 2'!$Q93*'Inputs Yr 2'!$V93*'Inputs Yr 2'!$R93),"")</f>
        <v>0</v>
      </c>
      <c r="N93" s="194">
        <f t="shared" si="54"/>
        <v>0</v>
      </c>
      <c r="O93" s="194">
        <f>IFERROR(M93*'Inputs Yr 2'!P93,"")</f>
        <v>0</v>
      </c>
      <c r="P93" s="194">
        <f t="shared" si="55"/>
        <v>0</v>
      </c>
      <c r="Q93" s="194">
        <f>IFERROR($P93*'Inputs Yr 2'!AA93,"")</f>
        <v>0</v>
      </c>
      <c r="R93" s="194">
        <f>IFERROR($P93*'Inputs Yr 2'!AB93,"")</f>
        <v>0</v>
      </c>
      <c r="S93" s="194">
        <f>IFERROR($P93*'Inputs Yr 2'!AC93,"")</f>
        <v>0</v>
      </c>
      <c r="T93" s="194">
        <f>IFERROR($P93*'Inputs Yr 2'!AD93,"")</f>
        <v>0</v>
      </c>
      <c r="U93" s="194">
        <f>IFERROR(G93*'Inputs Yr 2'!$AE93*'Inputs Yr 2'!$P93*'Inputs Yr 2'!$Q93,"")</f>
        <v>0</v>
      </c>
      <c r="V93" s="194">
        <f>IFERROR($G93*'Inputs Yr 2'!$AE93*'Inputs Yr 2'!$AG93*'Inputs Yr 2'!Q93*'Inputs Yr 2'!$S93,"")</f>
        <v>0</v>
      </c>
      <c r="W93" s="194">
        <f>IFERROR($G93*'Inputs Yr 2'!$AE93*'Inputs Yr 2'!$AG93*'Inputs Yr 2'!P93*'Inputs Yr 2'!Q93*'Inputs Yr 2'!$S93,"")</f>
        <v>0</v>
      </c>
      <c r="X93" s="194">
        <f>IFERROR($G93*'Inputs Yr 2'!$AE93*'Inputs Yr 2'!$AF93*'Inputs Yr 2'!Q93*'Inputs Yr 2'!$T93,"")</f>
        <v>0</v>
      </c>
      <c r="Y93" s="194">
        <f>IFERROR($G93*'Inputs Yr 2'!$AE93*'Inputs Yr 2'!$AF93*'Inputs Yr 2'!P93*'Inputs Yr 2'!Q93*'Inputs Yr 2'!$T93,"")</f>
        <v>0</v>
      </c>
      <c r="Z93" s="257">
        <f>IFERROR($G93*'Inputs Yr 2'!$Q93*'Inputs Yr 2'!$U93*(IF(IFERROR(SEARCH("NG", 'Inputs Yr 2'!$AJ93),0),'Inputs Yr 2'!$AK93,0)+IF(IFERROR(SEARCH("NG", 'Inputs Yr 2'!$AL93),0),'Inputs Yr 2'!$AM93,0)+IF(IFERROR(SEARCH("NG", 'Inputs Yr 2'!$AN93),0),'Inputs Yr 2'!$AO93,0)),0)</f>
        <v>61743</v>
      </c>
      <c r="AA93" s="257">
        <f t="shared" si="56"/>
        <v>926145</v>
      </c>
      <c r="AB93" s="257">
        <f>IFERROR(Z93*'Inputs Yr 2'!$P93,0)</f>
        <v>61743</v>
      </c>
      <c r="AC93" s="257">
        <f t="shared" si="57"/>
        <v>926145</v>
      </c>
      <c r="AD93" s="257">
        <f>IFERROR($G93*'Inputs Yr 2'!$Q93*'Inputs Yr 2'!$U93*(IF(IFERROR(SEARCH("Oil", 'Inputs Yr 2'!$AJ93), 0),'Inputs Yr 2'!$AK93,0)+IF(IFERROR(SEARCH("Oil", 'Inputs Yr 2'!$AL93), 0),'Inputs Yr 2'!$AM93,0)+IF(IFERROR(SEARCH("Oil", 'Inputs Yr 2'!$AN93), 0),'Inputs Yr 2'!$AO93,0)),0)</f>
        <v>0</v>
      </c>
      <c r="AE93" s="257">
        <f t="shared" si="58"/>
        <v>0</v>
      </c>
      <c r="AF93" s="257">
        <f>IFERROR(AD93*'Inputs Yr 2'!$P93,0)</f>
        <v>0</v>
      </c>
      <c r="AG93" s="257">
        <f t="shared" si="59"/>
        <v>0</v>
      </c>
      <c r="AH93" s="257">
        <f>IFERROR($G93*'Inputs Yr 2'!$Q93*'Inputs Yr 2'!$U93*(IF('Inputs Yr 2'!$AJ93=CD$4,'Inputs Yr 2'!$AK93,IF('Inputs Yr 2'!$AL93=CD$4,'Inputs Yr 2'!$AM93,IF('Inputs Yr 2'!$AN93=CD$4,'Inputs Yr 2'!$AO93,0)))),0)</f>
        <v>0</v>
      </c>
      <c r="AI93" s="257">
        <f t="shared" si="60"/>
        <v>0</v>
      </c>
      <c r="AJ93" s="257">
        <f>IFERROR(AH93*'Inputs Yr 2'!$P93,0)</f>
        <v>0</v>
      </c>
      <c r="AK93" s="257">
        <f t="shared" si="61"/>
        <v>0</v>
      </c>
      <c r="AL93" s="258">
        <f>IFERROR($G93*'Inputs Yr 2'!$P93*'Inputs Yr 2'!$Q93*'Inputs Yr 2'!AP93,0)</f>
        <v>0</v>
      </c>
      <c r="AM93" s="260">
        <f>IFERROR($G93*'Inputs Yr 2'!$P93*'Inputs Yr 2'!$Q93*'Inputs Yr 2'!AQ93,0)</f>
        <v>0</v>
      </c>
      <c r="AN93" s="258">
        <f>IFERROR($G93*'Inputs Yr 2'!$P93*'Inputs Yr 2'!$Q93*'Inputs Yr 2'!AR93,0)</f>
        <v>0</v>
      </c>
      <c r="AO93" s="257">
        <f t="shared" si="62"/>
        <v>0</v>
      </c>
      <c r="AP93" s="195">
        <f>IFERROR($CQ93*(INDEX(avoidedcosttbl2,$H93,AP$2)+(($H93-ROUNDDOWN($H93,0))*(INDEX(avoidedcosttbl2,ROUNDUP($H93,0),AP$2)-(INDEX(avoidedcosttbl2,ROUNDDOWN($H93,0),AP$2)))))*$O93*1000*'Inputs Yr 2'!AA93,"")</f>
        <v>0</v>
      </c>
      <c r="AQ93" s="195">
        <f>IFERROR($CR93*(INDEX(avoidedcosttbl2,$H93,AQ$2)+(($H93-ROUNDDOWN($H93,0))*(INDEX(avoidedcosttbl2,ROUNDUP($H93,0),AQ$2)-(INDEX(avoidedcosttbl2,ROUNDDOWN($H93,0),AQ$2)))))*$O93*1000*'Inputs Yr 2'!AB93,"")</f>
        <v>0</v>
      </c>
      <c r="AR93" s="195">
        <f>IFERROR($CS93*(INDEX(avoidedcosttbl2,$H93,AR$2)+(($H93-ROUNDDOWN($H93,0))*(INDEX(avoidedcosttbl2,ROUNDUP($H93,0),AR$2)-(INDEX(avoidedcosttbl2,ROUNDDOWN($H93,0),AR$2)))))*$O93*1000*'Inputs Yr 2'!AC93,"")</f>
        <v>0</v>
      </c>
      <c r="AS93" s="195">
        <f>IFERROR($CT93*(INDEX(avoidedcosttbl2,$H93,AS$2)+(($H93-ROUNDDOWN($H93,0))*(INDEX(avoidedcosttbl2,ROUNDUP($H93,0),AS$2)-(INDEX(avoidedcosttbl2,ROUNDDOWN($H93,0),AS$2)))))*$O93*1000*'Inputs Yr 2'!AD93,"")</f>
        <v>0</v>
      </c>
      <c r="AT93" s="196">
        <f t="shared" si="63"/>
        <v>0</v>
      </c>
      <c r="AU93" s="197">
        <f>IFERROR($CQ93*((INDEX(avoidedcosttbl2,$H93,AU$2))+(($H93-ROUNDDOWN($H93,0))*((INDEX(avoidedcosttbl2,ROUNDUP($H93,0),AU$2))-(INDEX(avoidedcosttbl2,ROUNDDOWN($H93,0),AU$2)))))*$O93*1000*'Inputs Yr 2'!AA93,"")</f>
        <v>0</v>
      </c>
      <c r="AV93" s="197">
        <f>IFERROR($CR93*((INDEX(avoidedcosttbl2,$H93,AV$2))+(($H93-ROUNDDOWN($H93,0))*((INDEX(avoidedcosttbl2,ROUNDUP($H93,0),AV$2))-(INDEX(avoidedcosttbl2,ROUNDDOWN($H93,0),AV$2)))))*$O93*1000*'Inputs Yr 2'!AB93,"")</f>
        <v>0</v>
      </c>
      <c r="AW93" s="197">
        <f>IFERROR($CS93*((INDEX(avoidedcosttbl2,$H93,AW$2))+(($H93-ROUNDDOWN($H93,0))*((INDEX(avoidedcosttbl2,ROUNDUP($H93,0),AW$2))-(INDEX(avoidedcosttbl2,ROUNDDOWN($H93,0),AW$2)))))*$O93*1000*'Inputs Yr 2'!AC93,"")</f>
        <v>0</v>
      </c>
      <c r="AX93" s="197">
        <f>IFERROR($CT93*((INDEX(avoidedcosttbl2,$H93,AX$2))+(($H93-ROUNDDOWN($H93,0))*((INDEX(avoidedcosttbl2,ROUNDUP($H93,0),AX$2))-(INDEX(avoidedcosttbl2,ROUNDDOWN($H93,0),AX$2)))))*$O93*1000*'Inputs Yr 2'!AD93,"")</f>
        <v>0</v>
      </c>
      <c r="AY93" s="197">
        <f>IFERROR(((INDEX(avoidedcosttbl2,$H93,AY$2))+(($H93-ROUNDDOWN($H93,0))*((INDEX(avoidedcosttbl2,ROUNDUP($H93,0),AY$2))-(INDEX(avoidedcosttbl2,ROUNDDOWN($H93,0),AY$2)))))*$O93*1000*('Inputs Yr 2'!AC93+'Inputs Yr 2'!AD93),"")</f>
        <v>0</v>
      </c>
      <c r="AZ93" s="197">
        <f>IFERROR(((INDEX(avoidedcosttbl2,$H93,AZ$2))+(($H93-ROUNDDOWN($H93,0))*((INDEX(avoidedcosttbl2,ROUNDUP($H93,0),AZ$2))-(INDEX(avoidedcosttbl2,ROUNDDOWN($H93,0),AZ$2)))))*$O93*1000*('Inputs Yr 2'!AA93+'Inputs Yr 2'!AB93),"")</f>
        <v>0</v>
      </c>
      <c r="BA93" s="198">
        <f t="shared" si="64"/>
        <v>0</v>
      </c>
      <c r="BB93" s="198">
        <f t="shared" si="65"/>
        <v>0</v>
      </c>
      <c r="BC93" s="195">
        <f t="shared" si="47"/>
        <v>0</v>
      </c>
      <c r="BD93" s="195">
        <f t="shared" si="48"/>
        <v>0</v>
      </c>
      <c r="BE93" s="195">
        <f t="shared" si="49"/>
        <v>0</v>
      </c>
      <c r="BF93" s="195">
        <f t="shared" si="50"/>
        <v>0</v>
      </c>
      <c r="BG93" s="195">
        <f t="shared" si="51"/>
        <v>0</v>
      </c>
      <c r="BH93" s="196">
        <f t="shared" si="66"/>
        <v>0</v>
      </c>
      <c r="BI93" s="196">
        <f t="shared" si="67"/>
        <v>0</v>
      </c>
      <c r="BJ93" s="195">
        <f>IFERROR($G93*(IF('Inputs Yr 2'!$AJ93=BJ$4,'Inputs Yr 2'!$AK93,IF('Inputs Yr 2'!$AL93=BJ$4,'Inputs Yr 2'!$AM93,IF('Inputs Yr 2'!$AN93=BJ$4,'Inputs Yr 2'!$AO93,0))))*(INDEX(avoidedcosttbl2,$H93,BJ$2)+(($H93-ROUNDDOWN($H93,0))*(INDEX(avoidedcosttbl2,ROUNDUP($H93,0),BJ$2)-(INDEX(avoidedcosttbl2,ROUNDDOWN($H93,0),BJ$2)))))*'Inputs Yr 2'!P93*'Inputs Yr 2'!Q93*'Inputs Yr 2'!U93,"")</f>
        <v>0</v>
      </c>
      <c r="BK93" s="195">
        <f>IFERROR($G93*(IF('Inputs Yr 2'!$AJ93=BK$4,'Inputs Yr 2'!$AK93,IF('Inputs Yr 2'!$AL93=BK$4,'Inputs Yr 2'!$AM93,IF('Inputs Yr 2'!$AN93=BK$4,'Inputs Yr 2'!$AO93,0))))*(INDEX(avoidedcosttbl2,$H93,BK$2)+(($H93-ROUNDDOWN($H93,0))*(INDEX(avoidedcosttbl2,ROUNDUP($H93,0),BK$2)-(INDEX(avoidedcosttbl2,ROUNDDOWN($H93,0),BK$2)))))*'Inputs Yr 2'!P93*'Inputs Yr 2'!Q93*'Inputs Yr 2'!U93,"")</f>
        <v>0</v>
      </c>
      <c r="BL93" s="195">
        <f>IFERROR($G93*(IF('Inputs Yr 2'!$AJ93=BL$4,'Inputs Yr 2'!$AK93,IF('Inputs Yr 2'!$AL93=BL$4,'Inputs Yr 2'!$AM93,IF('Inputs Yr 2'!$AN93=BL$4,'Inputs Yr 2'!$AO93,0))))*(INDEX(avoidedcosttbl2,$H93,BL$2)+(($H93-ROUNDDOWN($H93,0))*(INDEX(avoidedcosttbl2,ROUNDUP($H93,0),BL$2)-(INDEX(avoidedcosttbl2,ROUNDDOWN($H93,0),BL$2)))))*'Inputs Yr 2'!P93*'Inputs Yr 2'!Q93*'Inputs Yr 2'!U93,"")</f>
        <v>7809923.5349850142</v>
      </c>
      <c r="BM93" s="195">
        <f>IFERROR($G93*(IF('Inputs Yr 2'!$AJ93=BM$4,'Inputs Yr 2'!$AK93,IF('Inputs Yr 2'!$AL93=BM$4,'Inputs Yr 2'!$AM93,IF('Inputs Yr 2'!$AN93=BM$4,'Inputs Yr 2'!$AO93,0))))*(INDEX(avoidedcosttbl2,$H93,BM$2)+(($H93-ROUNDDOWN($H93,0))*(INDEX(avoidedcosttbl2,ROUNDUP($H93,0),BM$2)-(INDEX(avoidedcosttbl2,ROUNDDOWN($H93,0),BM$2)))))*'Inputs Yr 2'!P93*'Inputs Yr 2'!Q93*'Inputs Yr 2'!U93,"")</f>
        <v>0</v>
      </c>
      <c r="BN93" s="195">
        <f>IFERROR($G93*(IF('Inputs Yr 2'!$AJ93=BN$4,'Inputs Yr 2'!$AK93,IF('Inputs Yr 2'!$AL93=BN$4,'Inputs Yr 2'!$AM93,IF('Inputs Yr 2'!$AN93=BN$4,'Inputs Yr 2'!$AO93,0))))*(INDEX(avoidedcosttbl2,$H93,BN$2)+(($H93-ROUNDDOWN($H93,0))*(INDEX(avoidedcosttbl2,ROUNDUP($H93,0),BN$2)-(INDEX(avoidedcosttbl2,ROUNDDOWN($H93,0),BN$2)))))*'Inputs Yr 2'!P93*'Inputs Yr 2'!Q93*'Inputs Yr 2'!U93,"")</f>
        <v>0</v>
      </c>
      <c r="BO93" s="195">
        <f>IFERROR($G93*(IF('Inputs Yr 2'!$AJ93=BO$4,'Inputs Yr 2'!$AK93,IF('Inputs Yr 2'!$AL93=BO$4,'Inputs Yr 2'!$AM93,IF('Inputs Yr 2'!$AN93=BO$4,'Inputs Yr 2'!$AO93,0))))*(INDEX(avoidedcosttbl2,$H93,BO$2)+(($H93-ROUNDDOWN($H93,0))*(INDEX(avoidedcosttbl2,ROUNDUP($H93,0),BO$2)-(INDEX(avoidedcosttbl2,ROUNDDOWN($H93,0),BO$2)))))*'Inputs Yr 2'!P93*'Inputs Yr 2'!Q93*'Inputs Yr 2'!U93,"")</f>
        <v>0</v>
      </c>
      <c r="BP93" s="195">
        <f>IFERROR($G93*(IF('Inputs Yr 2'!$AJ93=BP$4,'Inputs Yr 2'!$AK93,IF('Inputs Yr 2'!$AL93=BP$4,'Inputs Yr 2'!$AM93,IF('Inputs Yr 2'!$AN93=BP$4,'Inputs Yr 2'!$AO93,0))))*(INDEX(avoidedcosttbl2,$H93,BP$2)+(($H93-ROUNDDOWN($H93,0))*(INDEX(avoidedcosttbl2,ROUNDUP($H93,0),BP$2)-(INDEX(avoidedcosttbl2,ROUNDDOWN($H93,0),BP$2)))))*'Inputs Yr 2'!P93*'Inputs Yr 2'!Q93*'Inputs Yr 2'!U93,"")</f>
        <v>0</v>
      </c>
      <c r="BQ93" s="230">
        <f t="shared" si="68"/>
        <v>7809923.5349850142</v>
      </c>
      <c r="BR93" s="197">
        <f t="shared" si="52"/>
        <v>125531.45744948604</v>
      </c>
      <c r="BS93" s="197">
        <f>IFERROR(($G93*IF('Inputs Yr 2'!$AJ93=BM$4,'Inputs Yr 2'!$AK93,IF('Inputs Yr 2'!$AL93=BM$4,'Inputs Yr 2'!$AM93,IF('Inputs Yr 2'!$AN93=BM$4,'Inputs Yr 2'!$AO93,0))))*(INDEX(avoidedcosttbl2,$H93,BS$2)+(($H93-ROUNDDOWN($H93,0))*(INDEX(avoidedcosttbl2,ROUNDUP($H93,0),BS$2)-(INDEX(avoidedcosttbl2,ROUNDDOWN($H93,0),BS$2)))))*'Inputs Yr 2'!P93*'Inputs Yr 2'!Q93*'Inputs Yr 2'!U93,"")</f>
        <v>0</v>
      </c>
      <c r="BT93" s="197">
        <f>IFERROR(($G93*IF('Inputs Yr 2'!$AJ93=BK$4,'Inputs Yr 2'!$AK93,IF('Inputs Yr 2'!$AL93=BK$4,'Inputs Yr 2'!$AM93,IF('Inputs Yr 2'!$AN93=BK$4,'Inputs Yr 2'!$AO93,0))))*(INDEX(avoidedcosttbl2,$H93,BT$2)+(($H93-ROUNDDOWN($H93,0))*(INDEX(avoidedcosttbl2,ROUNDUP($H93,0),BT$2)-(INDEX(avoidedcosttbl2,ROUNDDOWN($H93,0),BT$2)))))*'Inputs Yr 2'!P93*'Inputs Yr 2'!Q93*'Inputs Yr 2'!U93,"")</f>
        <v>0</v>
      </c>
      <c r="BU93" s="197">
        <f>IFERROR(($G93*IF('Inputs Yr 2'!$AJ93=BL$4,'Inputs Yr 2'!$AK93,IF('Inputs Yr 2'!$AL93=BL$4,'Inputs Yr 2'!$AM93,IF('Inputs Yr 2'!$AN93=BL$4,'Inputs Yr 2'!$AO93,0))))*(INDEX(avoidedcosttbl2,$H93,BU$2)+(($H93-ROUNDDOWN($H93,0))*(INDEX(avoidedcosttbl2,ROUNDUP($H93,0),BU$2)-(INDEX(avoidedcosttbl2,ROUNDDOWN($H93,0),BU$2)))))*'Inputs Yr 2'!P93*'Inputs Yr 2'!Q93*'Inputs Yr 2'!U93,"")</f>
        <v>478026.26660847972</v>
      </c>
      <c r="BV93" s="775">
        <f>IFERROR(($G93*IF('Inputs Yr 2'!$AJ93=BJ$4,'Inputs Yr 2'!$AK93,IF('Inputs Yr 2'!$AL93=BJ$4,'Inputs Yr 2'!$AM93,IF('Inputs Yr 2'!$AN93=BJ$4,'Inputs Yr 2'!$AO93,0))))*(INDEX(avoidedcosttbl2,$H93,BV$2)+(($H93-ROUNDDOWN($H93,0))*(INDEX(avoidedcosttbl2,ROUNDUP($H93,0),BV$2)-(INDEX(avoidedcosttbl2,ROUNDDOWN($H93,0),BV$2)))))*'Inputs Yr 2'!P93*'Inputs Yr 2'!Q93*'Inputs Yr 2'!U93,"")</f>
        <v>0</v>
      </c>
      <c r="BW93" s="197">
        <f>IFERROR(($G93*IF('Inputs Yr 2'!$AJ93=BN$4,'Inputs Yr 2'!$AK93,IF('Inputs Yr 2'!$AL93=BN$4,'Inputs Yr 2'!$AM93,IF('Inputs Yr 2'!$AN93=BN$4,'Inputs Yr 2'!$AO93,0))))*(INDEX(avoidedcosttbl2,$H93,BW$2)+(($H93-ROUNDDOWN($H93,0))*(INDEX(avoidedcosttbl2,ROUNDUP($H93,0),BW$2)-(INDEX(avoidedcosttbl2,ROUNDDOWN($H93,0),BW$2)))))*'Inputs Yr 2'!P93*'Inputs Yr 2'!Q93*'Inputs Yr 2'!U93,"")</f>
        <v>0</v>
      </c>
      <c r="BX93" s="197">
        <f>IFERROR(($G93*IF('Inputs Yr 2'!$AJ93=BO$4,'Inputs Yr 2'!$AK93,IF('Inputs Yr 2'!$AL93=BO$4,'Inputs Yr 2'!$AM93,IF('Inputs Yr 2'!$AN93=BO$4,'Inputs Yr 2'!$AO93,0))))*(INDEX(avoidedcosttbl2,$H93,BX$2)+(($H93-ROUNDDOWN($H93,0))*(INDEX(avoidedcosttbl2,ROUNDUP($H93,0),BX$2)-(INDEX(avoidedcosttbl2,ROUNDDOWN($H93,0),BX$2)))))*'Inputs Yr 2'!P93*'Inputs Yr 2'!Q93*'Inputs Yr 2'!U93,"")</f>
        <v>0</v>
      </c>
      <c r="BY93" s="197">
        <f>IFERROR(($G93*IF('Inputs Yr 2'!$AJ93=BP$4,'Inputs Yr 2'!$AK93,IF('Inputs Yr 2'!$AL93=BP$4,'Inputs Yr 2'!$AM93,IF('Inputs Yr 2'!$AN93=BP$4,'Inputs Yr 2'!$AO93,0))))*(INDEX(avoidedcosttbl2,$H93,BY$2)+(($H93-ROUNDDOWN($H93,0))*(INDEX(avoidedcosttbl2,ROUNDUP($H93,0),BY$2)-(INDEX(avoidedcosttbl2,ROUNDDOWN($H93,0),BY$2)))))*'Inputs Yr 2'!P93*'Inputs Yr 2'!Q93*'Inputs Yr 2'!U93,"")</f>
        <v>0</v>
      </c>
      <c r="BZ93" s="193">
        <f t="shared" si="69"/>
        <v>603557.7240579658</v>
      </c>
      <c r="CA93" s="193">
        <f t="shared" si="70"/>
        <v>8413481.2590429801</v>
      </c>
      <c r="CB93" s="195">
        <f>IFERROR(G93*(IF('Inputs Yr 2'!$AJ93=CB$4,'Inputs Yr 2'!$AK93,IF('Inputs Yr 2'!$AL93=CB$4,'Inputs Yr 2'!$AM93,IF('Inputs Yr 2'!$AN93=CB$4,'Inputs Yr 2'!$AO93,0))))*(INDEX(avoidedcosttbl2,$H93,CB$2)+(($H93-ROUNDDOWN($H93,0))*(INDEX(avoidedcosttbl2,ROUNDUP($H93,0),CB$2)-(INDEX(avoidedcosttbl2,ROUNDDOWN($H93,0),CB$2)))))*'Inputs Yr 2'!P93*'Inputs Yr 2'!Q93*'Inputs Yr 2'!U93,"")</f>
        <v>0</v>
      </c>
      <c r="CC93" s="195">
        <f>IFERROR(H93*(IF('Inputs Yr 2'!$AJ93=CC$4,'Inputs Yr 2'!$AK93,IF('Inputs Yr 2'!$AL93=CC$4,'Inputs Yr 2'!$AM93,IF('Inputs Yr 2'!$AN93=CC$4,'Inputs Yr 2'!$AO93,0))))*(INDEX(avoidedcosttbl2,$H93,CC$2)+(($H93-ROUNDDOWN($H93,0))*(INDEX(avoidedcosttbl2,ROUNDUP($H93,0),CC$2)-(INDEX(avoidedcosttbl2,ROUNDDOWN($H93,0),CC$2)))))*'Inputs Yr 2'!Q93*'Inputs Yr 2'!R93*'Inputs Yr 2'!V93,"")</f>
        <v>0</v>
      </c>
      <c r="CD93" s="195">
        <f>IFERROR(I93*(IF('Inputs Yr 2'!$AJ93=CD$4,'Inputs Yr 2'!$AK93,IF('Inputs Yr 2'!$AL93=CD$4,'Inputs Yr 2'!$AM93,IF('Inputs Yr 2'!$AN93=CD$4,'Inputs Yr 2'!$AO93,0))))*(INDEX(avoidedcosttbl2,$H93,CD$2)+(($H93-ROUNDDOWN($H93,0))*(INDEX(avoidedcosttbl2,ROUNDUP($H93,0),CD$2)-(INDEX(avoidedcosttbl2,ROUNDDOWN($H93,0),CD$2)))))*'Inputs Yr 2'!R93*'Inputs Yr 2'!S93*'Inputs Yr 2'!W93,"")</f>
        <v>0</v>
      </c>
      <c r="CE93" s="213">
        <f t="shared" si="71"/>
        <v>0</v>
      </c>
      <c r="CF93" s="213">
        <f t="shared" si="72"/>
        <v>0</v>
      </c>
      <c r="CG93" s="213">
        <f t="shared" si="73"/>
        <v>0</v>
      </c>
      <c r="CH93" s="698">
        <f t="shared" si="74"/>
        <v>8413481.2590429801</v>
      </c>
      <c r="CI93" s="79">
        <f>IFERROR(($G93*'Inputs Yr 2'!$P93*'Inputs Yr 2'!$Q93*(((INDEX(avoidedcosttbl2,$H93,CI$2)+(($H93-ROUNDDOWN($H93,0))*(INDEX(avoidedcosttbl2,ROUNDUP($H93,0),CI$2)-INDEX(avoidedcosttbl2,ROUNDDOWN($H93,0),CI$2))))*'Inputs Yr 2'!AS93))),"")</f>
        <v>569332.59436315275</v>
      </c>
      <c r="CJ93" s="504">
        <f>IFERROR($G93*'Inputs Yr 2'!AT93*'Inputs Yr 2'!$P93*'Inputs Yr 2'!$Q93/((1+realdiscrt1)^-0.5),"")</f>
        <v>0</v>
      </c>
      <c r="CK93" s="79">
        <f>IFERROR((O93*1000*(((INDEX(avoidedcosttbl2,$H93,CK$2)+(($H93-ROUNDDOWN($H93,0))*(INDEX(avoidedcosttbl2,ROUNDUP($H93,0),CK$2)-INDEX(avoidedcosttbl2,ROUNDDOWN($H93,0),CK$2))))*'Inputs Yr 2'!AU93))),"")</f>
        <v>0</v>
      </c>
      <c r="CL93" s="504">
        <f>IFERROR(O93*1000*'Inputs Yr 2'!AV93/((1+realdiscrt1)^-0.5),"")</f>
        <v>0</v>
      </c>
      <c r="CM93" s="79">
        <f>IFERROR((AB93*'Inputs Yr 2'!AW93*(((INDEX(avoidedcosttbl2,$H93,CM$2)+(($H93-ROUNDDOWN($H93,0))*(INDEX(avoidedcosttbl2,ROUNDUP($H93,0),CM$2)-INDEX(avoidedcosttbl2,ROUNDDOWN($H93,0),CM$2)))))))*10,"")</f>
        <v>0</v>
      </c>
      <c r="CN93" s="504">
        <f>IFERROR(10*AB93*'Inputs Yr 2'!AX93/((1+realdiscrt1)^-0.5),"")</f>
        <v>0</v>
      </c>
      <c r="CO93" s="505">
        <f t="shared" si="75"/>
        <v>569332.59436315275</v>
      </c>
      <c r="CP93" s="230">
        <f t="shared" si="76"/>
        <v>8982813.8534061331</v>
      </c>
      <c r="CQ93" s="199">
        <f>ROUND(IFERROR(IF(LEFT($A93,1)="C",'Avoided Costs'!$K$13,'Avoided Costs'!$K$12)+1,""),4)</f>
        <v>1.0720000000000001</v>
      </c>
      <c r="CR93" s="199">
        <f>ROUND(IFERROR(IF(LEFT($A93,1)="C",'Avoided Costs'!$L$13,'Avoided Costs'!$L$12)+1,""),4)</f>
        <v>1.04</v>
      </c>
      <c r="CS93" s="199">
        <f>ROUND(IFERROR(IF(LEFT($A93,1)="C",'Avoided Costs'!$M$13,'Avoided Costs'!$M$12)+1,""),4)</f>
        <v>1.0720000000000001</v>
      </c>
      <c r="CT93" s="199">
        <f>ROUND(IFERROR(IF(LEFT($A93,1)="C",'Avoided Costs'!$N$13,'Avoided Costs'!$N$12)+1,""),4)</f>
        <v>1.04</v>
      </c>
      <c r="CU93" s="199">
        <f>ROUND(IFERROR(IF(LEFT($A93,1)="C",'Avoided Costs'!$O$13,'Avoided Costs'!$O$12)+1,""),4)</f>
        <v>1.1120000000000001</v>
      </c>
      <c r="CV93" s="199">
        <f>ROUND(IFERROR(IF(LEFT($A93,1)="C",'Avoided Costs'!$P$13,'Avoided Costs'!$P$12)+1,""),4)</f>
        <v>1.095</v>
      </c>
      <c r="CW93" s="199">
        <f>ROUND(IFERROR(IF(LEFT($A93,1)="C",'Avoided Costs'!$Q$13,'Avoided Costs'!$Q$12)+1,""),4)</f>
        <v>1.1120000000000001</v>
      </c>
      <c r="CX93" s="200">
        <f>ROUND(IFERROR(IF(LEFT($A93,1)="C",'Avoided Costs'!$R$13,'Avoided Costs'!$R$12)+1,""),4)</f>
        <v>1.1120000000000001</v>
      </c>
    </row>
    <row r="94" spans="1:102" ht="12.75" customHeight="1">
      <c r="A94" s="91" t="str">
        <f>IF('Inputs Yr 2'!$B94=0,"",'Inputs Yr 2'!A94)</f>
        <v>A - Residential</v>
      </c>
      <c r="B94" s="91" t="str">
        <f>IF('Inputs Yr 2'!$B94=0,"",'Inputs Yr 2'!B94)</f>
        <v>A2 - Residential Products</v>
      </c>
      <c r="C94" s="91" t="str">
        <f>IF('Inputs Yr 2'!$B94=0,"",'Inputs Yr 2'!C94)</f>
        <v xml:space="preserve">A2a - Residential Heating &amp; Cooling Equipment </v>
      </c>
      <c r="D94" s="91" t="str">
        <f>IF('Inputs Yr 2'!$B94=0,"",'Inputs Yr 2'!E94)</f>
        <v>Wi-Fi Thermostat (Control elec cooling &amp; gas heat )</v>
      </c>
      <c r="E94" s="93" t="str">
        <f>IF('Inputs Yr 2'!$B94=0,"",'Inputs Yr 2'!F94)</f>
        <v>G16A2a18</v>
      </c>
      <c r="F94" s="93" t="str">
        <f>IF('Inputs Yr 2'!$B94=0,"",'Inputs Yr 2'!G94)</f>
        <v>HVAC</v>
      </c>
      <c r="G94" s="95">
        <f>IF('Inputs Yr 2'!$H94&lt;&gt;0,('Inputs Yr 2'!H94),"")</f>
        <v>12952</v>
      </c>
      <c r="H94" s="94">
        <f>IFERROR('Inputs Yr 2'!I94,"")</f>
        <v>15</v>
      </c>
      <c r="I94" s="298">
        <f>IFERROR('Inputs Yr 2'!J94*'Inputs Yr 2'!P94*G94,"")</f>
        <v>3471136</v>
      </c>
      <c r="J94" s="298">
        <f>IFERROR('Inputs Yr 2'!K94*G94,"")</f>
        <v>1289578.5230593726</v>
      </c>
      <c r="K94" s="298">
        <f t="shared" si="53"/>
        <v>2181557.4769406272</v>
      </c>
      <c r="L94" s="194">
        <f>IFERROR(('Inputs Yr 2'!W94*G94)/1000,"")</f>
        <v>1347.008</v>
      </c>
      <c r="M94" s="194">
        <f>IFERROR(L94*('Inputs Yr 2'!$Q94*'Inputs Yr 2'!$V94*'Inputs Yr 2'!$R94),"")</f>
        <v>1347.008</v>
      </c>
      <c r="N94" s="194">
        <f t="shared" si="54"/>
        <v>20205.12</v>
      </c>
      <c r="O94" s="194">
        <f>IFERROR(M94*'Inputs Yr 2'!P94,"")</f>
        <v>1347.008</v>
      </c>
      <c r="P94" s="194">
        <f t="shared" si="55"/>
        <v>20205.12</v>
      </c>
      <c r="Q94" s="194">
        <f>IFERROR($P94*'Inputs Yr 2'!AA94,"")</f>
        <v>180.99901158220541</v>
      </c>
      <c r="R94" s="194">
        <f>IFERROR($P94*'Inputs Yr 2'!AB94,"")</f>
        <v>831.82037249522148</v>
      </c>
      <c r="S94" s="194">
        <f>IFERROR($P94*'Inputs Yr 2'!AC94,"")</f>
        <v>10874.74211768944</v>
      </c>
      <c r="T94" s="194">
        <f>IFERROR($P94*'Inputs Yr 2'!AD94,"")</f>
        <v>8317.55849823278</v>
      </c>
      <c r="U94" s="194">
        <f>IFERROR(G94*'Inputs Yr 2'!$AE94*'Inputs Yr 2'!$P94*'Inputs Yr 2'!$Q94,"")</f>
        <v>2991.9120000000003</v>
      </c>
      <c r="V94" s="194">
        <f>IFERROR($G94*'Inputs Yr 2'!$AE94*'Inputs Yr 2'!$AG94*'Inputs Yr 2'!Q94*'Inputs Yr 2'!$S94,"")</f>
        <v>0</v>
      </c>
      <c r="W94" s="194">
        <f>IFERROR($G94*'Inputs Yr 2'!$AE94*'Inputs Yr 2'!$AG94*'Inputs Yr 2'!P94*'Inputs Yr 2'!Q94*'Inputs Yr 2'!$S94,"")</f>
        <v>0</v>
      </c>
      <c r="X94" s="194">
        <f>IFERROR($G94*'Inputs Yr 2'!$AE94*'Inputs Yr 2'!$AF94*'Inputs Yr 2'!Q94*'Inputs Yr 2'!$T94,"")</f>
        <v>2991.9120000000003</v>
      </c>
      <c r="Y94" s="194">
        <f>IFERROR($G94*'Inputs Yr 2'!$AE94*'Inputs Yr 2'!$AF94*'Inputs Yr 2'!P94*'Inputs Yr 2'!Q94*'Inputs Yr 2'!$T94,"")</f>
        <v>2991.9120000000003</v>
      </c>
      <c r="Z94" s="257">
        <f>IFERROR($G94*'Inputs Yr 2'!$Q94*'Inputs Yr 2'!$U94*(IF(IFERROR(SEARCH("NG", 'Inputs Yr 2'!$AJ94),0),'Inputs Yr 2'!$AK94,0)+IF(IFERROR(SEARCH("NG", 'Inputs Yr 2'!$AL94),0),'Inputs Yr 2'!$AM94,0)+IF(IFERROR(SEARCH("NG", 'Inputs Yr 2'!$AN94),0),'Inputs Yr 2'!$AO94,0)),0)</f>
        <v>85483.199999999997</v>
      </c>
      <c r="AA94" s="257">
        <f t="shared" si="56"/>
        <v>1282248</v>
      </c>
      <c r="AB94" s="257">
        <f>IFERROR(Z94*'Inputs Yr 2'!$P94,0)</f>
        <v>85483.199999999997</v>
      </c>
      <c r="AC94" s="257">
        <f t="shared" si="57"/>
        <v>1282248</v>
      </c>
      <c r="AD94" s="257">
        <f>IFERROR($G94*'Inputs Yr 2'!$Q94*'Inputs Yr 2'!$U94*(IF(IFERROR(SEARCH("Oil", 'Inputs Yr 2'!$AJ94), 0),'Inputs Yr 2'!$AK94,0)+IF(IFERROR(SEARCH("Oil", 'Inputs Yr 2'!$AL94), 0),'Inputs Yr 2'!$AM94,0)+IF(IFERROR(SEARCH("Oil", 'Inputs Yr 2'!$AN94), 0),'Inputs Yr 2'!$AO94,0)),0)</f>
        <v>0</v>
      </c>
      <c r="AE94" s="257">
        <f t="shared" si="58"/>
        <v>0</v>
      </c>
      <c r="AF94" s="257">
        <f>IFERROR(AD94*'Inputs Yr 2'!$P94,0)</f>
        <v>0</v>
      </c>
      <c r="AG94" s="257">
        <f t="shared" si="59"/>
        <v>0</v>
      </c>
      <c r="AH94" s="257">
        <f>IFERROR($G94*'Inputs Yr 2'!$Q94*'Inputs Yr 2'!$U94*(IF('Inputs Yr 2'!$AJ94=CD$4,'Inputs Yr 2'!$AK94,IF('Inputs Yr 2'!$AL94=CD$4,'Inputs Yr 2'!$AM94,IF('Inputs Yr 2'!$AN94=CD$4,'Inputs Yr 2'!$AO94,0)))),0)</f>
        <v>0</v>
      </c>
      <c r="AI94" s="257">
        <f t="shared" si="60"/>
        <v>0</v>
      </c>
      <c r="AJ94" s="257">
        <f>IFERROR(AH94*'Inputs Yr 2'!$P94,0)</f>
        <v>0</v>
      </c>
      <c r="AK94" s="257">
        <f t="shared" si="61"/>
        <v>0</v>
      </c>
      <c r="AL94" s="258">
        <f>IFERROR($G94*'Inputs Yr 2'!$P94*'Inputs Yr 2'!$Q94*'Inputs Yr 2'!AP94,0)</f>
        <v>0</v>
      </c>
      <c r="AM94" s="260">
        <f>IFERROR($G94*'Inputs Yr 2'!$P94*'Inputs Yr 2'!$Q94*'Inputs Yr 2'!AQ94,0)</f>
        <v>0</v>
      </c>
      <c r="AN94" s="258">
        <f>IFERROR($G94*'Inputs Yr 2'!$P94*'Inputs Yr 2'!$Q94*'Inputs Yr 2'!AR94,0)</f>
        <v>0</v>
      </c>
      <c r="AO94" s="257">
        <f t="shared" si="62"/>
        <v>0</v>
      </c>
      <c r="AP94" s="195">
        <f>IFERROR($CQ94*(INDEX(avoidedcosttbl2,$H94,AP$2)+(($H94-ROUNDDOWN($H94,0))*(INDEX(avoidedcosttbl2,ROUNDUP($H94,0),AP$2)-(INDEX(avoidedcosttbl2,ROUNDDOWN($H94,0),AP$2)))))*$O94*1000*'Inputs Yr 2'!AA94,"")</f>
        <v>15203.324925374842</v>
      </c>
      <c r="AQ94" s="195">
        <f>IFERROR($CR94*(INDEX(avoidedcosttbl2,$H94,AQ$2)+(($H94-ROUNDDOWN($H94,0))*(INDEX(avoidedcosttbl2,ROUNDUP($H94,0),AQ$2)-(INDEX(avoidedcosttbl2,ROUNDDOWN($H94,0),AQ$2)))))*$O94*1000*'Inputs Yr 2'!AB94,"")</f>
        <v>62516.355546687279</v>
      </c>
      <c r="AR94" s="195">
        <f>IFERROR($CS94*(INDEX(avoidedcosttbl2,$H94,AR$2)+(($H94-ROUNDDOWN($H94,0))*(INDEX(avoidedcosttbl2,ROUNDUP($H94,0),AR$2)-(INDEX(avoidedcosttbl2,ROUNDDOWN($H94,0),AR$2)))))*$O94*1000*'Inputs Yr 2'!AC94,"")</f>
        <v>889300.86394120124</v>
      </c>
      <c r="AS94" s="195">
        <f>IFERROR($CT94*(INDEX(avoidedcosttbl2,$H94,AS$2)+(($H94-ROUNDDOWN($H94,0))*(INDEX(avoidedcosttbl2,ROUNDUP($H94,0),AS$2)-(INDEX(avoidedcosttbl2,ROUNDDOWN($H94,0),AS$2)))))*$O94*1000*'Inputs Yr 2'!AD94,"")</f>
        <v>532657.70749352779</v>
      </c>
      <c r="AT94" s="196">
        <f t="shared" si="63"/>
        <v>1499678.2519067912</v>
      </c>
      <c r="AU94" s="197">
        <f>IFERROR($CQ94*((INDEX(avoidedcosttbl2,$H94,AU$2))+(($H94-ROUNDDOWN($H94,0))*((INDEX(avoidedcosttbl2,ROUNDUP($H94,0),AU$2))-(INDEX(avoidedcosttbl2,ROUNDDOWN($H94,0),AU$2)))))*$O94*1000*'Inputs Yr 2'!AA94,"")</f>
        <v>393.66876491759575</v>
      </c>
      <c r="AV94" s="197">
        <f>IFERROR($CR94*((INDEX(avoidedcosttbl2,$H94,AV$2))+(($H94-ROUNDDOWN($H94,0))*((INDEX(avoidedcosttbl2,ROUNDUP($H94,0),AV$2))-(INDEX(avoidedcosttbl2,ROUNDDOWN($H94,0),AV$2)))))*$O94*1000*'Inputs Yr 2'!AB94,"")</f>
        <v>870.40712818404188</v>
      </c>
      <c r="AW94" s="197">
        <f>IFERROR($CS94*((INDEX(avoidedcosttbl2,$H94,AW$2))+(($H94-ROUNDDOWN($H94,0))*((INDEX(avoidedcosttbl2,ROUNDUP($H94,0),AW$2))-(INDEX(avoidedcosttbl2,ROUNDDOWN($H94,0),AW$2)))))*$O94*1000*'Inputs Yr 2'!AC94,"")</f>
        <v>27928.853094386668</v>
      </c>
      <c r="AX94" s="197">
        <f>IFERROR($CT94*((INDEX(avoidedcosttbl2,$H94,AX$2))+(($H94-ROUNDDOWN($H94,0))*((INDEX(avoidedcosttbl2,ROUNDUP($H94,0),AX$2))-(INDEX(avoidedcosttbl2,ROUNDDOWN($H94,0),AX$2)))))*$O94*1000*'Inputs Yr 2'!AD94,"")</f>
        <v>7008.555135174046</v>
      </c>
      <c r="AY94" s="197">
        <f>IFERROR(((INDEX(avoidedcosttbl2,$H94,AY$2))+(($H94-ROUNDDOWN($H94,0))*((INDEX(avoidedcosttbl2,ROUNDUP($H94,0),AY$2))-(INDEX(avoidedcosttbl2,ROUNDDOWN($H94,0),AY$2)))))*$O94*1000*('Inputs Yr 2'!AC94+'Inputs Yr 2'!AD94),"")</f>
        <v>60311.214489557526</v>
      </c>
      <c r="AZ94" s="197">
        <f>IFERROR(((INDEX(avoidedcosttbl2,$H94,AZ$2))+(($H94-ROUNDDOWN($H94,0))*((INDEX(avoidedcosttbl2,ROUNDUP($H94,0),AZ$2))-(INDEX(avoidedcosttbl2,ROUNDDOWN($H94,0),AZ$2)))))*$O94*1000*('Inputs Yr 2'!AA94+'Inputs Yr 2'!AB94),"")</f>
        <v>4473.3708500427447</v>
      </c>
      <c r="BA94" s="198">
        <f t="shared" si="64"/>
        <v>100986.06946226263</v>
      </c>
      <c r="BB94" s="198">
        <f t="shared" si="65"/>
        <v>1600664.3213690538</v>
      </c>
      <c r="BC94" s="195">
        <f t="shared" si="47"/>
        <v>7755558.1582714543</v>
      </c>
      <c r="BD94" s="195">
        <f t="shared" si="48"/>
        <v>0</v>
      </c>
      <c r="BE94" s="195">
        <f t="shared" si="49"/>
        <v>0</v>
      </c>
      <c r="BF94" s="195">
        <f t="shared" si="50"/>
        <v>518710.52222182951</v>
      </c>
      <c r="BG94" s="195">
        <f t="shared" si="51"/>
        <v>4071285.9144350258</v>
      </c>
      <c r="BH94" s="196">
        <f t="shared" si="66"/>
        <v>12345554.594928309</v>
      </c>
      <c r="BI94" s="196">
        <f t="shared" si="67"/>
        <v>13946218.916297363</v>
      </c>
      <c r="BJ94" s="195">
        <f>IFERROR($G94*(IF('Inputs Yr 2'!$AJ94=BJ$4,'Inputs Yr 2'!$AK94,IF('Inputs Yr 2'!$AL94=BJ$4,'Inputs Yr 2'!$AM94,IF('Inputs Yr 2'!$AN94=BJ$4,'Inputs Yr 2'!$AO94,0))))*(INDEX(avoidedcosttbl2,$H94,BJ$2)+(($H94-ROUNDDOWN($H94,0))*(INDEX(avoidedcosttbl2,ROUNDUP($H94,0),BJ$2)-(INDEX(avoidedcosttbl2,ROUNDDOWN($H94,0),BJ$2)))))*'Inputs Yr 2'!P94*'Inputs Yr 2'!Q94*'Inputs Yr 2'!U94,"")</f>
        <v>0</v>
      </c>
      <c r="BK94" s="195">
        <f>IFERROR($G94*(IF('Inputs Yr 2'!$AJ94=BK$4,'Inputs Yr 2'!$AK94,IF('Inputs Yr 2'!$AL94=BK$4,'Inputs Yr 2'!$AM94,IF('Inputs Yr 2'!$AN94=BK$4,'Inputs Yr 2'!$AO94,0))))*(INDEX(avoidedcosttbl2,$H94,BK$2)+(($H94-ROUNDDOWN($H94,0))*(INDEX(avoidedcosttbl2,ROUNDUP($H94,0),BK$2)-(INDEX(avoidedcosttbl2,ROUNDDOWN($H94,0),BK$2)))))*'Inputs Yr 2'!P94*'Inputs Yr 2'!Q94*'Inputs Yr 2'!U94,"")</f>
        <v>0</v>
      </c>
      <c r="BL94" s="195">
        <f>IFERROR($G94*(IF('Inputs Yr 2'!$AJ94=BL$4,'Inputs Yr 2'!$AK94,IF('Inputs Yr 2'!$AL94=BL$4,'Inputs Yr 2'!$AM94,IF('Inputs Yr 2'!$AN94=BL$4,'Inputs Yr 2'!$AO94,0))))*(INDEX(avoidedcosttbl2,$H94,BL$2)+(($H94-ROUNDDOWN($H94,0))*(INDEX(avoidedcosttbl2,ROUNDUP($H94,0),BL$2)-(INDEX(avoidedcosttbl2,ROUNDDOWN($H94,0),BL$2)))))*'Inputs Yr 2'!P94*'Inputs Yr 2'!Q94*'Inputs Yr 2'!U94,"")</f>
        <v>10812841.221285505</v>
      </c>
      <c r="BM94" s="195">
        <f>IFERROR($G94*(IF('Inputs Yr 2'!$AJ94=BM$4,'Inputs Yr 2'!$AK94,IF('Inputs Yr 2'!$AL94=BM$4,'Inputs Yr 2'!$AM94,IF('Inputs Yr 2'!$AN94=BM$4,'Inputs Yr 2'!$AO94,0))))*(INDEX(avoidedcosttbl2,$H94,BM$2)+(($H94-ROUNDDOWN($H94,0))*(INDEX(avoidedcosttbl2,ROUNDUP($H94,0),BM$2)-(INDEX(avoidedcosttbl2,ROUNDDOWN($H94,0),BM$2)))))*'Inputs Yr 2'!P94*'Inputs Yr 2'!Q94*'Inputs Yr 2'!U94,"")</f>
        <v>0</v>
      </c>
      <c r="BN94" s="195">
        <f>IFERROR($G94*(IF('Inputs Yr 2'!$AJ94=BN$4,'Inputs Yr 2'!$AK94,IF('Inputs Yr 2'!$AL94=BN$4,'Inputs Yr 2'!$AM94,IF('Inputs Yr 2'!$AN94=BN$4,'Inputs Yr 2'!$AO94,0))))*(INDEX(avoidedcosttbl2,$H94,BN$2)+(($H94-ROUNDDOWN($H94,0))*(INDEX(avoidedcosttbl2,ROUNDUP($H94,0),BN$2)-(INDEX(avoidedcosttbl2,ROUNDDOWN($H94,0),BN$2)))))*'Inputs Yr 2'!P94*'Inputs Yr 2'!Q94*'Inputs Yr 2'!U94,"")</f>
        <v>0</v>
      </c>
      <c r="BO94" s="195">
        <f>IFERROR($G94*(IF('Inputs Yr 2'!$AJ94=BO$4,'Inputs Yr 2'!$AK94,IF('Inputs Yr 2'!$AL94=BO$4,'Inputs Yr 2'!$AM94,IF('Inputs Yr 2'!$AN94=BO$4,'Inputs Yr 2'!$AO94,0))))*(INDEX(avoidedcosttbl2,$H94,BO$2)+(($H94-ROUNDDOWN($H94,0))*(INDEX(avoidedcosttbl2,ROUNDUP($H94,0),BO$2)-(INDEX(avoidedcosttbl2,ROUNDDOWN($H94,0),BO$2)))))*'Inputs Yr 2'!P94*'Inputs Yr 2'!Q94*'Inputs Yr 2'!U94,"")</f>
        <v>0</v>
      </c>
      <c r="BP94" s="195">
        <f>IFERROR($G94*(IF('Inputs Yr 2'!$AJ94=BP$4,'Inputs Yr 2'!$AK94,IF('Inputs Yr 2'!$AL94=BP$4,'Inputs Yr 2'!$AM94,IF('Inputs Yr 2'!$AN94=BP$4,'Inputs Yr 2'!$AO94,0))))*(INDEX(avoidedcosttbl2,$H94,BP$2)+(($H94-ROUNDDOWN($H94,0))*(INDEX(avoidedcosttbl2,ROUNDUP($H94,0),BP$2)-(INDEX(avoidedcosttbl2,ROUNDDOWN($H94,0),BP$2)))))*'Inputs Yr 2'!P94*'Inputs Yr 2'!Q94*'Inputs Yr 2'!U94,"")</f>
        <v>0</v>
      </c>
      <c r="BQ94" s="230">
        <f t="shared" si="68"/>
        <v>10812841.221285505</v>
      </c>
      <c r="BR94" s="197">
        <f t="shared" si="52"/>
        <v>173798.33638543487</v>
      </c>
      <c r="BS94" s="197">
        <f>IFERROR(($G94*IF('Inputs Yr 2'!$AJ94=BM$4,'Inputs Yr 2'!$AK94,IF('Inputs Yr 2'!$AL94=BM$4,'Inputs Yr 2'!$AM94,IF('Inputs Yr 2'!$AN94=BM$4,'Inputs Yr 2'!$AO94,0))))*(INDEX(avoidedcosttbl2,$H94,BS$2)+(($H94-ROUNDDOWN($H94,0))*(INDEX(avoidedcosttbl2,ROUNDUP($H94,0),BS$2)-(INDEX(avoidedcosttbl2,ROUNDDOWN($H94,0),BS$2)))))*'Inputs Yr 2'!P94*'Inputs Yr 2'!Q94*'Inputs Yr 2'!U94,"")</f>
        <v>0</v>
      </c>
      <c r="BT94" s="197">
        <f>IFERROR(($G94*IF('Inputs Yr 2'!$AJ94=BK$4,'Inputs Yr 2'!$AK94,IF('Inputs Yr 2'!$AL94=BK$4,'Inputs Yr 2'!$AM94,IF('Inputs Yr 2'!$AN94=BK$4,'Inputs Yr 2'!$AO94,0))))*(INDEX(avoidedcosttbl2,$H94,BT$2)+(($H94-ROUNDDOWN($H94,0))*(INDEX(avoidedcosttbl2,ROUNDUP($H94,0),BT$2)-(INDEX(avoidedcosttbl2,ROUNDDOWN($H94,0),BT$2)))))*'Inputs Yr 2'!P94*'Inputs Yr 2'!Q94*'Inputs Yr 2'!U94,"")</f>
        <v>0</v>
      </c>
      <c r="BU94" s="197">
        <f>IFERROR(($G94*IF('Inputs Yr 2'!$AJ94=BL$4,'Inputs Yr 2'!$AK94,IF('Inputs Yr 2'!$AL94=BL$4,'Inputs Yr 2'!$AM94,IF('Inputs Yr 2'!$AN94=BL$4,'Inputs Yr 2'!$AO94,0))))*(INDEX(avoidedcosttbl2,$H94,BU$2)+(($H94-ROUNDDOWN($H94,0))*(INDEX(avoidedcosttbl2,ROUNDUP($H94,0),BU$2)-(INDEX(avoidedcosttbl2,ROUNDDOWN($H94,0),BU$2)))))*'Inputs Yr 2'!P94*'Inputs Yr 2'!Q94*'Inputs Yr 2'!U94,"")</f>
        <v>661827.49386563653</v>
      </c>
      <c r="BV94" s="775">
        <f>IFERROR(($G94*IF('Inputs Yr 2'!$AJ94=BJ$4,'Inputs Yr 2'!$AK94,IF('Inputs Yr 2'!$AL94=BJ$4,'Inputs Yr 2'!$AM94,IF('Inputs Yr 2'!$AN94=BJ$4,'Inputs Yr 2'!$AO94,0))))*(INDEX(avoidedcosttbl2,$H94,BV$2)+(($H94-ROUNDDOWN($H94,0))*(INDEX(avoidedcosttbl2,ROUNDUP($H94,0),BV$2)-(INDEX(avoidedcosttbl2,ROUNDDOWN($H94,0),BV$2)))))*'Inputs Yr 2'!P94*'Inputs Yr 2'!Q94*'Inputs Yr 2'!U94,"")</f>
        <v>0</v>
      </c>
      <c r="BW94" s="197">
        <f>IFERROR(($G94*IF('Inputs Yr 2'!$AJ94=BN$4,'Inputs Yr 2'!$AK94,IF('Inputs Yr 2'!$AL94=BN$4,'Inputs Yr 2'!$AM94,IF('Inputs Yr 2'!$AN94=BN$4,'Inputs Yr 2'!$AO94,0))))*(INDEX(avoidedcosttbl2,$H94,BW$2)+(($H94-ROUNDDOWN($H94,0))*(INDEX(avoidedcosttbl2,ROUNDUP($H94,0),BW$2)-(INDEX(avoidedcosttbl2,ROUNDDOWN($H94,0),BW$2)))))*'Inputs Yr 2'!P94*'Inputs Yr 2'!Q94*'Inputs Yr 2'!U94,"")</f>
        <v>0</v>
      </c>
      <c r="BX94" s="197">
        <f>IFERROR(($G94*IF('Inputs Yr 2'!$AJ94=BO$4,'Inputs Yr 2'!$AK94,IF('Inputs Yr 2'!$AL94=BO$4,'Inputs Yr 2'!$AM94,IF('Inputs Yr 2'!$AN94=BO$4,'Inputs Yr 2'!$AO94,0))))*(INDEX(avoidedcosttbl2,$H94,BX$2)+(($H94-ROUNDDOWN($H94,0))*(INDEX(avoidedcosttbl2,ROUNDUP($H94,0),BX$2)-(INDEX(avoidedcosttbl2,ROUNDDOWN($H94,0),BX$2)))))*'Inputs Yr 2'!P94*'Inputs Yr 2'!Q94*'Inputs Yr 2'!U94,"")</f>
        <v>0</v>
      </c>
      <c r="BY94" s="197">
        <f>IFERROR(($G94*IF('Inputs Yr 2'!$AJ94=BP$4,'Inputs Yr 2'!$AK94,IF('Inputs Yr 2'!$AL94=BP$4,'Inputs Yr 2'!$AM94,IF('Inputs Yr 2'!$AN94=BP$4,'Inputs Yr 2'!$AO94,0))))*(INDEX(avoidedcosttbl2,$H94,BY$2)+(($H94-ROUNDDOWN($H94,0))*(INDEX(avoidedcosttbl2,ROUNDUP($H94,0),BY$2)-(INDEX(avoidedcosttbl2,ROUNDDOWN($H94,0),BY$2)))))*'Inputs Yr 2'!P94*'Inputs Yr 2'!Q94*'Inputs Yr 2'!U94,"")</f>
        <v>0</v>
      </c>
      <c r="BZ94" s="193">
        <f t="shared" si="69"/>
        <v>835625.83025107137</v>
      </c>
      <c r="CA94" s="193">
        <f t="shared" si="70"/>
        <v>11648467.051536577</v>
      </c>
      <c r="CB94" s="195">
        <f>IFERROR(G94*(IF('Inputs Yr 2'!$AJ94=CB$4,'Inputs Yr 2'!$AK94,IF('Inputs Yr 2'!$AL94=CB$4,'Inputs Yr 2'!$AM94,IF('Inputs Yr 2'!$AN94=CB$4,'Inputs Yr 2'!$AO94,0))))*(INDEX(avoidedcosttbl2,$H94,CB$2)+(($H94-ROUNDDOWN($H94,0))*(INDEX(avoidedcosttbl2,ROUNDUP($H94,0),CB$2)-(INDEX(avoidedcosttbl2,ROUNDDOWN($H94,0),CB$2)))))*'Inputs Yr 2'!P94*'Inputs Yr 2'!Q94*'Inputs Yr 2'!U94,"")</f>
        <v>0</v>
      </c>
      <c r="CC94" s="195">
        <f>IFERROR(H94*(IF('Inputs Yr 2'!$AJ94=CC$4,'Inputs Yr 2'!$AK94,IF('Inputs Yr 2'!$AL94=CC$4,'Inputs Yr 2'!$AM94,IF('Inputs Yr 2'!$AN94=CC$4,'Inputs Yr 2'!$AO94,0))))*(INDEX(avoidedcosttbl2,$H94,CC$2)+(($H94-ROUNDDOWN($H94,0))*(INDEX(avoidedcosttbl2,ROUNDUP($H94,0),CC$2)-(INDEX(avoidedcosttbl2,ROUNDDOWN($H94,0),CC$2)))))*'Inputs Yr 2'!Q94*'Inputs Yr 2'!R94*'Inputs Yr 2'!V94,"")</f>
        <v>0</v>
      </c>
      <c r="CD94" s="195">
        <f>IFERROR(I94*(IF('Inputs Yr 2'!$AJ94=CD$4,'Inputs Yr 2'!$AK94,IF('Inputs Yr 2'!$AL94=CD$4,'Inputs Yr 2'!$AM94,IF('Inputs Yr 2'!$AN94=CD$4,'Inputs Yr 2'!$AO94,0))))*(INDEX(avoidedcosttbl2,$H94,CD$2)+(($H94-ROUNDDOWN($H94,0))*(INDEX(avoidedcosttbl2,ROUNDUP($H94,0),CD$2)-(INDEX(avoidedcosttbl2,ROUNDDOWN($H94,0),CD$2)))))*'Inputs Yr 2'!R94*'Inputs Yr 2'!S94*'Inputs Yr 2'!W94,"")</f>
        <v>0</v>
      </c>
      <c r="CE94" s="213">
        <f t="shared" si="71"/>
        <v>0</v>
      </c>
      <c r="CF94" s="213">
        <f t="shared" si="72"/>
        <v>0</v>
      </c>
      <c r="CG94" s="213">
        <f t="shared" si="73"/>
        <v>0</v>
      </c>
      <c r="CH94" s="698">
        <f t="shared" si="74"/>
        <v>11648467.051536577</v>
      </c>
      <c r="CI94" s="79">
        <f>IFERROR(($G94*'Inputs Yr 2'!$P94*'Inputs Yr 2'!$Q94*(((INDEX(avoidedcosttbl2,$H94,CI$2)+(($H94-ROUNDDOWN($H94,0))*(INDEX(avoidedcosttbl2,ROUNDUP($H94,0),CI$2)-INDEX(avoidedcosttbl2,ROUNDDOWN($H94,0),CI$2))))*'Inputs Yr 2'!AS94))),"")</f>
        <v>788241.12904238957</v>
      </c>
      <c r="CJ94" s="504">
        <f>IFERROR($G94*'Inputs Yr 2'!AT94*'Inputs Yr 2'!$P94*'Inputs Yr 2'!$Q94/((1+realdiscrt1)^-0.5),"")</f>
        <v>0</v>
      </c>
      <c r="CK94" s="79">
        <f>IFERROR((O94*1000*(((INDEX(avoidedcosttbl2,$H94,CK$2)+(($H94-ROUNDDOWN($H94,0))*(INDEX(avoidedcosttbl2,ROUNDUP($H94,0),CK$2)-INDEX(avoidedcosttbl2,ROUNDDOWN($H94,0),CK$2))))*'Inputs Yr 2'!AU94))),"")</f>
        <v>0</v>
      </c>
      <c r="CL94" s="504">
        <f>IFERROR(O94*1000*'Inputs Yr 2'!AV94/((1+realdiscrt1)^-0.5),"")</f>
        <v>0</v>
      </c>
      <c r="CM94" s="79">
        <f>IFERROR((AB94*'Inputs Yr 2'!AW94*(((INDEX(avoidedcosttbl2,$H94,CM$2)+(($H94-ROUNDDOWN($H94,0))*(INDEX(avoidedcosttbl2,ROUNDUP($H94,0),CM$2)-INDEX(avoidedcosttbl2,ROUNDDOWN($H94,0),CM$2)))))))*10,"")</f>
        <v>0</v>
      </c>
      <c r="CN94" s="504">
        <f>IFERROR(10*AB94*'Inputs Yr 2'!AX94/((1+realdiscrt1)^-0.5),"")</f>
        <v>0</v>
      </c>
      <c r="CO94" s="505">
        <f t="shared" si="75"/>
        <v>788241.12904238957</v>
      </c>
      <c r="CP94" s="230">
        <f t="shared" si="76"/>
        <v>26382927.096876331</v>
      </c>
      <c r="CQ94" s="199">
        <f>ROUND(IFERROR(IF(LEFT($A94,1)="C",'Avoided Costs'!$K$13,'Avoided Costs'!$K$12)+1,""),4)</f>
        <v>1.0720000000000001</v>
      </c>
      <c r="CR94" s="199">
        <f>ROUND(IFERROR(IF(LEFT($A94,1)="C",'Avoided Costs'!$L$13,'Avoided Costs'!$L$12)+1,""),4)</f>
        <v>1.04</v>
      </c>
      <c r="CS94" s="199">
        <f>ROUND(IFERROR(IF(LEFT($A94,1)="C",'Avoided Costs'!$M$13,'Avoided Costs'!$M$12)+1,""),4)</f>
        <v>1.0720000000000001</v>
      </c>
      <c r="CT94" s="199">
        <f>ROUND(IFERROR(IF(LEFT($A94,1)="C",'Avoided Costs'!$N$13,'Avoided Costs'!$N$12)+1,""),4)</f>
        <v>1.04</v>
      </c>
      <c r="CU94" s="199">
        <f>ROUND(IFERROR(IF(LEFT($A94,1)="C",'Avoided Costs'!$O$13,'Avoided Costs'!$O$12)+1,""),4)</f>
        <v>1.1120000000000001</v>
      </c>
      <c r="CV94" s="199">
        <f>ROUND(IFERROR(IF(LEFT($A94,1)="C",'Avoided Costs'!$P$13,'Avoided Costs'!$P$12)+1,""),4)</f>
        <v>1.095</v>
      </c>
      <c r="CW94" s="199">
        <f>ROUND(IFERROR(IF(LEFT($A94,1)="C",'Avoided Costs'!$Q$13,'Avoided Costs'!$Q$12)+1,""),4)</f>
        <v>1.1120000000000001</v>
      </c>
      <c r="CX94" s="200">
        <f>ROUND(IFERROR(IF(LEFT($A94,1)="C",'Avoided Costs'!$R$13,'Avoided Costs'!$R$12)+1,""),4)</f>
        <v>1.1120000000000001</v>
      </c>
    </row>
    <row r="95" spans="1:102" ht="12.75" customHeight="1">
      <c r="A95" s="91" t="str">
        <f>IF('Inputs Yr 2'!$B95=0,"",'Inputs Yr 2'!A95)</f>
        <v>A - Residential</v>
      </c>
      <c r="B95" s="91" t="str">
        <f>IF('Inputs Yr 2'!$B95=0,"",'Inputs Yr 2'!B95)</f>
        <v>A2 - Residential Products</v>
      </c>
      <c r="C95" s="91" t="str">
        <f>IF('Inputs Yr 2'!$B95=0,"",'Inputs Yr 2'!C95)</f>
        <v xml:space="preserve">A2a - Residential Heating &amp; Cooling Equipment </v>
      </c>
      <c r="D95" s="91" t="str">
        <f>IF('Inputs Yr 2'!$B95=0,"",'Inputs Yr 2'!E95)</f>
        <v>Low-Flow Showerhead with TSV</v>
      </c>
      <c r="E95" s="93" t="str">
        <f>IF('Inputs Yr 2'!$B95=0,"",'Inputs Yr 2'!F95)</f>
        <v>G16A2a19</v>
      </c>
      <c r="F95" s="93" t="str">
        <f>IF('Inputs Yr 2'!$B95=0,"",'Inputs Yr 2'!G95)</f>
        <v>Hot Water</v>
      </c>
      <c r="G95" s="95">
        <f>IF('Inputs Yr 2'!$H95&lt;&gt;0,('Inputs Yr 2'!H95),"")</f>
        <v>195</v>
      </c>
      <c r="H95" s="94">
        <f>IFERROR('Inputs Yr 2'!I95,"")</f>
        <v>7</v>
      </c>
      <c r="I95" s="298">
        <f>IFERROR('Inputs Yr 2'!J95*'Inputs Yr 2'!P95*G95,"")</f>
        <v>6142.5</v>
      </c>
      <c r="J95" s="298">
        <f>IFERROR('Inputs Yr 2'!K95*G95,"")</f>
        <v>2730</v>
      </c>
      <c r="K95" s="298">
        <f t="shared" si="53"/>
        <v>3412.5</v>
      </c>
      <c r="L95" s="194">
        <f>IFERROR(('Inputs Yr 2'!W95*G95)/1000,"")</f>
        <v>0</v>
      </c>
      <c r="M95" s="194">
        <f>IFERROR(L95*('Inputs Yr 2'!$Q95*'Inputs Yr 2'!$V95*'Inputs Yr 2'!$R95),"")</f>
        <v>0</v>
      </c>
      <c r="N95" s="194">
        <f t="shared" si="54"/>
        <v>0</v>
      </c>
      <c r="O95" s="194">
        <f>IFERROR(M95*'Inputs Yr 2'!P95,"")</f>
        <v>0</v>
      </c>
      <c r="P95" s="194">
        <f t="shared" si="55"/>
        <v>0</v>
      </c>
      <c r="Q95" s="194">
        <f>IFERROR($P95*'Inputs Yr 2'!AA95,"")</f>
        <v>0</v>
      </c>
      <c r="R95" s="194">
        <f>IFERROR($P95*'Inputs Yr 2'!AB95,"")</f>
        <v>0</v>
      </c>
      <c r="S95" s="194">
        <f>IFERROR($P95*'Inputs Yr 2'!AC95,"")</f>
        <v>0</v>
      </c>
      <c r="T95" s="194">
        <f>IFERROR($P95*'Inputs Yr 2'!AD95,"")</f>
        <v>0</v>
      </c>
      <c r="U95" s="194">
        <f>IFERROR(G95*'Inputs Yr 2'!$AE95*'Inputs Yr 2'!$P95*'Inputs Yr 2'!$Q95,"")</f>
        <v>0</v>
      </c>
      <c r="V95" s="194">
        <f>IFERROR($G95*'Inputs Yr 2'!$AE95*'Inputs Yr 2'!$AG95*'Inputs Yr 2'!Q95*'Inputs Yr 2'!$S95,"")</f>
        <v>0</v>
      </c>
      <c r="W95" s="194">
        <f>IFERROR($G95*'Inputs Yr 2'!$AE95*'Inputs Yr 2'!$AG95*'Inputs Yr 2'!P95*'Inputs Yr 2'!Q95*'Inputs Yr 2'!$S95,"")</f>
        <v>0</v>
      </c>
      <c r="X95" s="194">
        <f>IFERROR($G95*'Inputs Yr 2'!$AE95*'Inputs Yr 2'!$AF95*'Inputs Yr 2'!Q95*'Inputs Yr 2'!$T95,"")</f>
        <v>0</v>
      </c>
      <c r="Y95" s="194">
        <f>IFERROR($G95*'Inputs Yr 2'!$AE95*'Inputs Yr 2'!$AF95*'Inputs Yr 2'!P95*'Inputs Yr 2'!Q95*'Inputs Yr 2'!$T95,"")</f>
        <v>0</v>
      </c>
      <c r="Z95" s="257">
        <f>IFERROR($G95*'Inputs Yr 2'!$Q95*'Inputs Yr 2'!$U95*(IF(IFERROR(SEARCH("NG", 'Inputs Yr 2'!$AJ95),0),'Inputs Yr 2'!$AK95,0)+IF(IFERROR(SEARCH("NG", 'Inputs Yr 2'!$AL95),0),'Inputs Yr 2'!$AM95,0)+IF(IFERROR(SEARCH("NG", 'Inputs Yr 2'!$AN95),0),'Inputs Yr 2'!$AO95,0)),0)</f>
        <v>358.79999999999995</v>
      </c>
      <c r="AA95" s="257">
        <f t="shared" si="56"/>
        <v>2511.5999999999995</v>
      </c>
      <c r="AB95" s="257">
        <f>IFERROR(Z95*'Inputs Yr 2'!$P95,0)</f>
        <v>358.79999999999995</v>
      </c>
      <c r="AC95" s="257">
        <f t="shared" si="57"/>
        <v>2511.5999999999995</v>
      </c>
      <c r="AD95" s="257">
        <f>IFERROR($G95*'Inputs Yr 2'!$Q95*'Inputs Yr 2'!$U95*(IF(IFERROR(SEARCH("Oil", 'Inputs Yr 2'!$AJ95), 0),'Inputs Yr 2'!$AK95,0)+IF(IFERROR(SEARCH("Oil", 'Inputs Yr 2'!$AL95), 0),'Inputs Yr 2'!$AM95,0)+IF(IFERROR(SEARCH("Oil", 'Inputs Yr 2'!$AN95), 0),'Inputs Yr 2'!$AO95,0)),0)</f>
        <v>0</v>
      </c>
      <c r="AE95" s="257">
        <f t="shared" si="58"/>
        <v>0</v>
      </c>
      <c r="AF95" s="257">
        <f>IFERROR(AD95*'Inputs Yr 2'!$P95,0)</f>
        <v>0</v>
      </c>
      <c r="AG95" s="257">
        <f t="shared" si="59"/>
        <v>0</v>
      </c>
      <c r="AH95" s="257">
        <f>IFERROR($G95*'Inputs Yr 2'!$Q95*'Inputs Yr 2'!$U95*(IF('Inputs Yr 2'!$AJ95=CD$4,'Inputs Yr 2'!$AK95,IF('Inputs Yr 2'!$AL95=CD$4,'Inputs Yr 2'!$AM95,IF('Inputs Yr 2'!$AN95=CD$4,'Inputs Yr 2'!$AO95,0)))),0)</f>
        <v>0</v>
      </c>
      <c r="AI95" s="257">
        <f t="shared" si="60"/>
        <v>0</v>
      </c>
      <c r="AJ95" s="257">
        <f>IFERROR(AH95*'Inputs Yr 2'!$P95,0)</f>
        <v>0</v>
      </c>
      <c r="AK95" s="257">
        <f t="shared" si="61"/>
        <v>0</v>
      </c>
      <c r="AL95" s="258">
        <f>IFERROR($G95*'Inputs Yr 2'!$P95*'Inputs Yr 2'!$Q95*'Inputs Yr 2'!AP95,0)</f>
        <v>589290</v>
      </c>
      <c r="AM95" s="260">
        <f>IFERROR($G95*'Inputs Yr 2'!$P95*'Inputs Yr 2'!$Q95*'Inputs Yr 2'!AQ95,0)</f>
        <v>0</v>
      </c>
      <c r="AN95" s="258">
        <f>IFERROR($G95*'Inputs Yr 2'!$P95*'Inputs Yr 2'!$Q95*'Inputs Yr 2'!AR95,0)</f>
        <v>0</v>
      </c>
      <c r="AO95" s="257">
        <f t="shared" si="62"/>
        <v>4125030</v>
      </c>
      <c r="AP95" s="195">
        <f>IFERROR($CQ95*(INDEX(avoidedcosttbl2,$H95,AP$2)+(($H95-ROUNDDOWN($H95,0))*(INDEX(avoidedcosttbl2,ROUNDUP($H95,0),AP$2)-(INDEX(avoidedcosttbl2,ROUNDDOWN($H95,0),AP$2)))))*$O95*1000*'Inputs Yr 2'!AA95,"")</f>
        <v>0</v>
      </c>
      <c r="AQ95" s="195">
        <f>IFERROR($CR95*(INDEX(avoidedcosttbl2,$H95,AQ$2)+(($H95-ROUNDDOWN($H95,0))*(INDEX(avoidedcosttbl2,ROUNDUP($H95,0),AQ$2)-(INDEX(avoidedcosttbl2,ROUNDDOWN($H95,0),AQ$2)))))*$O95*1000*'Inputs Yr 2'!AB95,"")</f>
        <v>0</v>
      </c>
      <c r="AR95" s="195">
        <f>IFERROR($CS95*(INDEX(avoidedcosttbl2,$H95,AR$2)+(($H95-ROUNDDOWN($H95,0))*(INDEX(avoidedcosttbl2,ROUNDUP($H95,0),AR$2)-(INDEX(avoidedcosttbl2,ROUNDDOWN($H95,0),AR$2)))))*$O95*1000*'Inputs Yr 2'!AC95,"")</f>
        <v>0</v>
      </c>
      <c r="AS95" s="195">
        <f>IFERROR($CT95*(INDEX(avoidedcosttbl2,$H95,AS$2)+(($H95-ROUNDDOWN($H95,0))*(INDEX(avoidedcosttbl2,ROUNDUP($H95,0),AS$2)-(INDEX(avoidedcosttbl2,ROUNDDOWN($H95,0),AS$2)))))*$O95*1000*'Inputs Yr 2'!AD95,"")</f>
        <v>0</v>
      </c>
      <c r="AT95" s="196">
        <f t="shared" si="63"/>
        <v>0</v>
      </c>
      <c r="AU95" s="197">
        <f>IFERROR($CQ95*((INDEX(avoidedcosttbl2,$H95,AU$2))+(($H95-ROUNDDOWN($H95,0))*((INDEX(avoidedcosttbl2,ROUNDUP($H95,0),AU$2))-(INDEX(avoidedcosttbl2,ROUNDDOWN($H95,0),AU$2)))))*$O95*1000*'Inputs Yr 2'!AA95,"")</f>
        <v>0</v>
      </c>
      <c r="AV95" s="197">
        <f>IFERROR($CR95*((INDEX(avoidedcosttbl2,$H95,AV$2))+(($H95-ROUNDDOWN($H95,0))*((INDEX(avoidedcosttbl2,ROUNDUP($H95,0),AV$2))-(INDEX(avoidedcosttbl2,ROUNDDOWN($H95,0),AV$2)))))*$O95*1000*'Inputs Yr 2'!AB95,"")</f>
        <v>0</v>
      </c>
      <c r="AW95" s="197">
        <f>IFERROR($CS95*((INDEX(avoidedcosttbl2,$H95,AW$2))+(($H95-ROUNDDOWN($H95,0))*((INDEX(avoidedcosttbl2,ROUNDUP($H95,0),AW$2))-(INDEX(avoidedcosttbl2,ROUNDDOWN($H95,0),AW$2)))))*$O95*1000*'Inputs Yr 2'!AC95,"")</f>
        <v>0</v>
      </c>
      <c r="AX95" s="197">
        <f>IFERROR($CT95*((INDEX(avoidedcosttbl2,$H95,AX$2))+(($H95-ROUNDDOWN($H95,0))*((INDEX(avoidedcosttbl2,ROUNDUP($H95,0),AX$2))-(INDEX(avoidedcosttbl2,ROUNDDOWN($H95,0),AX$2)))))*$O95*1000*'Inputs Yr 2'!AD95,"")</f>
        <v>0</v>
      </c>
      <c r="AY95" s="197">
        <f>IFERROR(((INDEX(avoidedcosttbl2,$H95,AY$2))+(($H95-ROUNDDOWN($H95,0))*((INDEX(avoidedcosttbl2,ROUNDUP($H95,0),AY$2))-(INDEX(avoidedcosttbl2,ROUNDDOWN($H95,0),AY$2)))))*$O95*1000*('Inputs Yr 2'!AC95+'Inputs Yr 2'!AD95),"")</f>
        <v>0</v>
      </c>
      <c r="AZ95" s="197">
        <f>IFERROR(((INDEX(avoidedcosttbl2,$H95,AZ$2))+(($H95-ROUNDDOWN($H95,0))*((INDEX(avoidedcosttbl2,ROUNDUP($H95,0),AZ$2))-(INDEX(avoidedcosttbl2,ROUNDDOWN($H95,0),AZ$2)))))*$O95*1000*('Inputs Yr 2'!AA95+'Inputs Yr 2'!AB95),"")</f>
        <v>0</v>
      </c>
      <c r="BA95" s="198">
        <f t="shared" si="64"/>
        <v>0</v>
      </c>
      <c r="BB95" s="198">
        <f t="shared" si="65"/>
        <v>0</v>
      </c>
      <c r="BC95" s="195">
        <f t="shared" si="47"/>
        <v>0</v>
      </c>
      <c r="BD95" s="195">
        <f t="shared" si="48"/>
        <v>0</v>
      </c>
      <c r="BE95" s="195">
        <f t="shared" si="49"/>
        <v>0</v>
      </c>
      <c r="BF95" s="195">
        <f t="shared" si="50"/>
        <v>0</v>
      </c>
      <c r="BG95" s="195">
        <f t="shared" si="51"/>
        <v>0</v>
      </c>
      <c r="BH95" s="196">
        <f t="shared" si="66"/>
        <v>0</v>
      </c>
      <c r="BI95" s="196">
        <f t="shared" si="67"/>
        <v>0</v>
      </c>
      <c r="BJ95" s="195">
        <f>IFERROR($G95*(IF('Inputs Yr 2'!$AJ95=BJ$4,'Inputs Yr 2'!$AK95,IF('Inputs Yr 2'!$AL95=BJ$4,'Inputs Yr 2'!$AM95,IF('Inputs Yr 2'!$AN95=BJ$4,'Inputs Yr 2'!$AO95,0))))*(INDEX(avoidedcosttbl2,$H95,BJ$2)+(($H95-ROUNDDOWN($H95,0))*(INDEX(avoidedcosttbl2,ROUNDUP($H95,0),BJ$2)-(INDEX(avoidedcosttbl2,ROUNDDOWN($H95,0),BJ$2)))))*'Inputs Yr 2'!P95*'Inputs Yr 2'!Q95*'Inputs Yr 2'!U95,"")</f>
        <v>0</v>
      </c>
      <c r="BK95" s="195">
        <f>IFERROR($G95*(IF('Inputs Yr 2'!$AJ95=BK$4,'Inputs Yr 2'!$AK95,IF('Inputs Yr 2'!$AL95=BK$4,'Inputs Yr 2'!$AM95,IF('Inputs Yr 2'!$AN95=BK$4,'Inputs Yr 2'!$AO95,0))))*(INDEX(avoidedcosttbl2,$H95,BK$2)+(($H95-ROUNDDOWN($H95,0))*(INDEX(avoidedcosttbl2,ROUNDUP($H95,0),BK$2)-(INDEX(avoidedcosttbl2,ROUNDDOWN($H95,0),BK$2)))))*'Inputs Yr 2'!P95*'Inputs Yr 2'!Q95*'Inputs Yr 2'!U95,"")</f>
        <v>19382.440741302886</v>
      </c>
      <c r="BL95" s="195">
        <f>IFERROR($G95*(IF('Inputs Yr 2'!$AJ95=BL$4,'Inputs Yr 2'!$AK95,IF('Inputs Yr 2'!$AL95=BL$4,'Inputs Yr 2'!$AM95,IF('Inputs Yr 2'!$AN95=BL$4,'Inputs Yr 2'!$AO95,0))))*(INDEX(avoidedcosttbl2,$H95,BL$2)+(($H95-ROUNDDOWN($H95,0))*(INDEX(avoidedcosttbl2,ROUNDUP($H95,0),BL$2)-(INDEX(avoidedcosttbl2,ROUNDDOWN($H95,0),BL$2)))))*'Inputs Yr 2'!P95*'Inputs Yr 2'!Q95*'Inputs Yr 2'!U95,"")</f>
        <v>0</v>
      </c>
      <c r="BM95" s="195">
        <f>IFERROR($G95*(IF('Inputs Yr 2'!$AJ95=BM$4,'Inputs Yr 2'!$AK95,IF('Inputs Yr 2'!$AL95=BM$4,'Inputs Yr 2'!$AM95,IF('Inputs Yr 2'!$AN95=BM$4,'Inputs Yr 2'!$AO95,0))))*(INDEX(avoidedcosttbl2,$H95,BM$2)+(($H95-ROUNDDOWN($H95,0))*(INDEX(avoidedcosttbl2,ROUNDUP($H95,0),BM$2)-(INDEX(avoidedcosttbl2,ROUNDDOWN($H95,0),BM$2)))))*'Inputs Yr 2'!P95*'Inputs Yr 2'!Q95*'Inputs Yr 2'!U95,"")</f>
        <v>0</v>
      </c>
      <c r="BN95" s="195">
        <f>IFERROR($G95*(IF('Inputs Yr 2'!$AJ95=BN$4,'Inputs Yr 2'!$AK95,IF('Inputs Yr 2'!$AL95=BN$4,'Inputs Yr 2'!$AM95,IF('Inputs Yr 2'!$AN95=BN$4,'Inputs Yr 2'!$AO95,0))))*(INDEX(avoidedcosttbl2,$H95,BN$2)+(($H95-ROUNDDOWN($H95,0))*(INDEX(avoidedcosttbl2,ROUNDUP($H95,0),BN$2)-(INDEX(avoidedcosttbl2,ROUNDDOWN($H95,0),BN$2)))))*'Inputs Yr 2'!P95*'Inputs Yr 2'!Q95*'Inputs Yr 2'!U95,"")</f>
        <v>0</v>
      </c>
      <c r="BO95" s="195">
        <f>IFERROR($G95*(IF('Inputs Yr 2'!$AJ95=BO$4,'Inputs Yr 2'!$AK95,IF('Inputs Yr 2'!$AL95=BO$4,'Inputs Yr 2'!$AM95,IF('Inputs Yr 2'!$AN95=BO$4,'Inputs Yr 2'!$AO95,0))))*(INDEX(avoidedcosttbl2,$H95,BO$2)+(($H95-ROUNDDOWN($H95,0))*(INDEX(avoidedcosttbl2,ROUNDUP($H95,0),BO$2)-(INDEX(avoidedcosttbl2,ROUNDDOWN($H95,0),BO$2)))))*'Inputs Yr 2'!P95*'Inputs Yr 2'!Q95*'Inputs Yr 2'!U95,"")</f>
        <v>0</v>
      </c>
      <c r="BP95" s="195">
        <f>IFERROR($G95*(IF('Inputs Yr 2'!$AJ95=BP$4,'Inputs Yr 2'!$AK95,IF('Inputs Yr 2'!$AL95=BP$4,'Inputs Yr 2'!$AM95,IF('Inputs Yr 2'!$AN95=BP$4,'Inputs Yr 2'!$AO95,0))))*(INDEX(avoidedcosttbl2,$H95,BP$2)+(($H95-ROUNDDOWN($H95,0))*(INDEX(avoidedcosttbl2,ROUNDUP($H95,0),BP$2)-(INDEX(avoidedcosttbl2,ROUNDDOWN($H95,0),BP$2)))))*'Inputs Yr 2'!P95*'Inputs Yr 2'!Q95*'Inputs Yr 2'!U95,"")</f>
        <v>0</v>
      </c>
      <c r="BQ95" s="230">
        <f t="shared" si="68"/>
        <v>19382.440741302886</v>
      </c>
      <c r="BR95" s="197">
        <f t="shared" si="52"/>
        <v>346.40925769395113</v>
      </c>
      <c r="BS95" s="197">
        <f>IFERROR(($G95*IF('Inputs Yr 2'!$AJ95=BM$4,'Inputs Yr 2'!$AK95,IF('Inputs Yr 2'!$AL95=BM$4,'Inputs Yr 2'!$AM95,IF('Inputs Yr 2'!$AN95=BM$4,'Inputs Yr 2'!$AO95,0))))*(INDEX(avoidedcosttbl2,$H95,BS$2)+(($H95-ROUNDDOWN($H95,0))*(INDEX(avoidedcosttbl2,ROUNDUP($H95,0),BS$2)-(INDEX(avoidedcosttbl2,ROUNDDOWN($H95,0),BS$2)))))*'Inputs Yr 2'!P95*'Inputs Yr 2'!Q95*'Inputs Yr 2'!U95,"")</f>
        <v>0</v>
      </c>
      <c r="BT95" s="197">
        <f>IFERROR(($G95*IF('Inputs Yr 2'!$AJ95=BK$4,'Inputs Yr 2'!$AK95,IF('Inputs Yr 2'!$AL95=BK$4,'Inputs Yr 2'!$AM95,IF('Inputs Yr 2'!$AN95=BK$4,'Inputs Yr 2'!$AO95,0))))*(INDEX(avoidedcosttbl2,$H95,BT$2)+(($H95-ROUNDDOWN($H95,0))*(INDEX(avoidedcosttbl2,ROUNDUP($H95,0),BT$2)-(INDEX(avoidedcosttbl2,ROUNDDOWN($H95,0),BT$2)))))*'Inputs Yr 2'!P95*'Inputs Yr 2'!Q95*'Inputs Yr 2'!U95,"")</f>
        <v>2640.5398579329726</v>
      </c>
      <c r="BU95" s="197">
        <f>IFERROR(($G95*IF('Inputs Yr 2'!$AJ95=BL$4,'Inputs Yr 2'!$AK95,IF('Inputs Yr 2'!$AL95=BL$4,'Inputs Yr 2'!$AM95,IF('Inputs Yr 2'!$AN95=BL$4,'Inputs Yr 2'!$AO95,0))))*(INDEX(avoidedcosttbl2,$H95,BU$2)+(($H95-ROUNDDOWN($H95,0))*(INDEX(avoidedcosttbl2,ROUNDUP($H95,0),BU$2)-(INDEX(avoidedcosttbl2,ROUNDDOWN($H95,0),BU$2)))))*'Inputs Yr 2'!P95*'Inputs Yr 2'!Q95*'Inputs Yr 2'!U95,"")</f>
        <v>0</v>
      </c>
      <c r="BV95" s="775">
        <f>IFERROR(($G95*IF('Inputs Yr 2'!$AJ95=BJ$4,'Inputs Yr 2'!$AK95,IF('Inputs Yr 2'!$AL95=BJ$4,'Inputs Yr 2'!$AM95,IF('Inputs Yr 2'!$AN95=BJ$4,'Inputs Yr 2'!$AO95,0))))*(INDEX(avoidedcosttbl2,$H95,BV$2)+(($H95-ROUNDDOWN($H95,0))*(INDEX(avoidedcosttbl2,ROUNDUP($H95,0),BV$2)-(INDEX(avoidedcosttbl2,ROUNDDOWN($H95,0),BV$2)))))*'Inputs Yr 2'!P95*'Inputs Yr 2'!Q95*'Inputs Yr 2'!U95,"")</f>
        <v>0</v>
      </c>
      <c r="BW95" s="197">
        <f>IFERROR(($G95*IF('Inputs Yr 2'!$AJ95=BN$4,'Inputs Yr 2'!$AK95,IF('Inputs Yr 2'!$AL95=BN$4,'Inputs Yr 2'!$AM95,IF('Inputs Yr 2'!$AN95=BN$4,'Inputs Yr 2'!$AO95,0))))*(INDEX(avoidedcosttbl2,$H95,BW$2)+(($H95-ROUNDDOWN($H95,0))*(INDEX(avoidedcosttbl2,ROUNDUP($H95,0),BW$2)-(INDEX(avoidedcosttbl2,ROUNDDOWN($H95,0),BW$2)))))*'Inputs Yr 2'!P95*'Inputs Yr 2'!Q95*'Inputs Yr 2'!U95,"")</f>
        <v>0</v>
      </c>
      <c r="BX95" s="197">
        <f>IFERROR(($G95*IF('Inputs Yr 2'!$AJ95=BO$4,'Inputs Yr 2'!$AK95,IF('Inputs Yr 2'!$AL95=BO$4,'Inputs Yr 2'!$AM95,IF('Inputs Yr 2'!$AN95=BO$4,'Inputs Yr 2'!$AO95,0))))*(INDEX(avoidedcosttbl2,$H95,BX$2)+(($H95-ROUNDDOWN($H95,0))*(INDEX(avoidedcosttbl2,ROUNDUP($H95,0),BX$2)-(INDEX(avoidedcosttbl2,ROUNDDOWN($H95,0),BX$2)))))*'Inputs Yr 2'!P95*'Inputs Yr 2'!Q95*'Inputs Yr 2'!U95,"")</f>
        <v>0</v>
      </c>
      <c r="BY95" s="197">
        <f>IFERROR(($G95*IF('Inputs Yr 2'!$AJ95=BP$4,'Inputs Yr 2'!$AK95,IF('Inputs Yr 2'!$AL95=BP$4,'Inputs Yr 2'!$AM95,IF('Inputs Yr 2'!$AN95=BP$4,'Inputs Yr 2'!$AO95,0))))*(INDEX(avoidedcosttbl2,$H95,BY$2)+(($H95-ROUNDDOWN($H95,0))*(INDEX(avoidedcosttbl2,ROUNDUP($H95,0),BY$2)-(INDEX(avoidedcosttbl2,ROUNDDOWN($H95,0),BY$2)))))*'Inputs Yr 2'!P95*'Inputs Yr 2'!Q95*'Inputs Yr 2'!U95,"")</f>
        <v>0</v>
      </c>
      <c r="BZ95" s="193">
        <f t="shared" si="69"/>
        <v>2986.9491156269237</v>
      </c>
      <c r="CA95" s="193">
        <f t="shared" si="70"/>
        <v>22369.389856929811</v>
      </c>
      <c r="CB95" s="195">
        <f>IFERROR(G95*(IF('Inputs Yr 2'!$AJ95=CB$4,'Inputs Yr 2'!$AK95,IF('Inputs Yr 2'!$AL95=CB$4,'Inputs Yr 2'!$AM95,IF('Inputs Yr 2'!$AN95=CB$4,'Inputs Yr 2'!$AO95,0))))*(INDEX(avoidedcosttbl2,$H95,CB$2)+(($H95-ROUNDDOWN($H95,0))*(INDEX(avoidedcosttbl2,ROUNDUP($H95,0),CB$2)-(INDEX(avoidedcosttbl2,ROUNDDOWN($H95,0),CB$2)))))*'Inputs Yr 2'!P95*'Inputs Yr 2'!Q95*'Inputs Yr 2'!U95,"")</f>
        <v>0</v>
      </c>
      <c r="CC95" s="195">
        <f>IFERROR(H95*(IF('Inputs Yr 2'!$AJ95=CC$4,'Inputs Yr 2'!$AK95,IF('Inputs Yr 2'!$AL95=CC$4,'Inputs Yr 2'!$AM95,IF('Inputs Yr 2'!$AN95=CC$4,'Inputs Yr 2'!$AO95,0))))*(INDEX(avoidedcosttbl2,$H95,CC$2)+(($H95-ROUNDDOWN($H95,0))*(INDEX(avoidedcosttbl2,ROUNDUP($H95,0),CC$2)-(INDEX(avoidedcosttbl2,ROUNDDOWN($H95,0),CC$2)))))*'Inputs Yr 2'!Q95*'Inputs Yr 2'!R95*'Inputs Yr 2'!V95,"")</f>
        <v>0</v>
      </c>
      <c r="CD95" s="195">
        <f>IFERROR(I95*(IF('Inputs Yr 2'!$AJ95=CD$4,'Inputs Yr 2'!$AK95,IF('Inputs Yr 2'!$AL95=CD$4,'Inputs Yr 2'!$AM95,IF('Inputs Yr 2'!$AN95=CD$4,'Inputs Yr 2'!$AO95,0))))*(INDEX(avoidedcosttbl2,$H95,CD$2)+(($H95-ROUNDDOWN($H95,0))*(INDEX(avoidedcosttbl2,ROUNDUP($H95,0),CD$2)-(INDEX(avoidedcosttbl2,ROUNDDOWN($H95,0),CD$2)))))*'Inputs Yr 2'!R95*'Inputs Yr 2'!S95*'Inputs Yr 2'!W95,"")</f>
        <v>0</v>
      </c>
      <c r="CE95" s="213">
        <f t="shared" si="71"/>
        <v>44007.461723188906</v>
      </c>
      <c r="CF95" s="213">
        <f t="shared" si="72"/>
        <v>0</v>
      </c>
      <c r="CG95" s="213">
        <f t="shared" si="73"/>
        <v>0</v>
      </c>
      <c r="CH95" s="698">
        <f t="shared" si="74"/>
        <v>66376.851580118717</v>
      </c>
      <c r="CI95" s="79">
        <f>IFERROR(($G95*'Inputs Yr 2'!$P95*'Inputs Yr 2'!$Q95*(((INDEX(avoidedcosttbl2,$H95,CI$2)+(($H95-ROUNDDOWN($H95,0))*(INDEX(avoidedcosttbl2,ROUNDUP($H95,0),CI$2)-INDEX(avoidedcosttbl2,ROUNDDOWN($H95,0),CI$2))))*'Inputs Yr 2'!AS95))),"")</f>
        <v>0</v>
      </c>
      <c r="CJ95" s="504">
        <f>IFERROR($G95*'Inputs Yr 2'!AT95*'Inputs Yr 2'!$P95*'Inputs Yr 2'!$Q95/((1+realdiscrt1)^-0.5),"")</f>
        <v>0</v>
      </c>
      <c r="CK95" s="79">
        <f>IFERROR((O95*1000*(((INDEX(avoidedcosttbl2,$H95,CK$2)+(($H95-ROUNDDOWN($H95,0))*(INDEX(avoidedcosttbl2,ROUNDUP($H95,0),CK$2)-INDEX(avoidedcosttbl2,ROUNDDOWN($H95,0),CK$2))))*'Inputs Yr 2'!AU95))),"")</f>
        <v>0</v>
      </c>
      <c r="CL95" s="504">
        <f>IFERROR(O95*1000*'Inputs Yr 2'!AV95/((1+realdiscrt1)^-0.5),"")</f>
        <v>0</v>
      </c>
      <c r="CM95" s="79">
        <f>IFERROR((AB95*'Inputs Yr 2'!AW95*(((INDEX(avoidedcosttbl2,$H95,CM$2)+(($H95-ROUNDDOWN($H95,0))*(INDEX(avoidedcosttbl2,ROUNDUP($H95,0),CM$2)-INDEX(avoidedcosttbl2,ROUNDDOWN($H95,0),CM$2)))))))*10,"")</f>
        <v>0</v>
      </c>
      <c r="CN95" s="504">
        <f>IFERROR(10*AB95*'Inputs Yr 2'!AX95/((1+realdiscrt1)^-0.5),"")</f>
        <v>0</v>
      </c>
      <c r="CO95" s="505">
        <f t="shared" si="75"/>
        <v>0</v>
      </c>
      <c r="CP95" s="230">
        <f t="shared" si="76"/>
        <v>66376.851580118717</v>
      </c>
      <c r="CQ95" s="199">
        <f>ROUND(IFERROR(IF(LEFT($A95,1)="C",'Avoided Costs'!$K$13,'Avoided Costs'!$K$12)+1,""),4)</f>
        <v>1.0720000000000001</v>
      </c>
      <c r="CR95" s="199">
        <f>ROUND(IFERROR(IF(LEFT($A95,1)="C",'Avoided Costs'!$L$13,'Avoided Costs'!$L$12)+1,""),4)</f>
        <v>1.04</v>
      </c>
      <c r="CS95" s="199">
        <f>ROUND(IFERROR(IF(LEFT($A95,1)="C",'Avoided Costs'!$M$13,'Avoided Costs'!$M$12)+1,""),4)</f>
        <v>1.0720000000000001</v>
      </c>
      <c r="CT95" s="199">
        <f>ROUND(IFERROR(IF(LEFT($A95,1)="C",'Avoided Costs'!$N$13,'Avoided Costs'!$N$12)+1,""),4)</f>
        <v>1.04</v>
      </c>
      <c r="CU95" s="199">
        <f>ROUND(IFERROR(IF(LEFT($A95,1)="C",'Avoided Costs'!$O$13,'Avoided Costs'!$O$12)+1,""),4)</f>
        <v>1.1120000000000001</v>
      </c>
      <c r="CV95" s="199">
        <f>ROUND(IFERROR(IF(LEFT($A95,1)="C",'Avoided Costs'!$P$13,'Avoided Costs'!$P$12)+1,""),4)</f>
        <v>1.095</v>
      </c>
      <c r="CW95" s="199">
        <f>ROUND(IFERROR(IF(LEFT($A95,1)="C",'Avoided Costs'!$Q$13,'Avoided Costs'!$Q$12)+1,""),4)</f>
        <v>1.1120000000000001</v>
      </c>
      <c r="CX95" s="200">
        <f>ROUND(IFERROR(IF(LEFT($A95,1)="C",'Avoided Costs'!$R$13,'Avoided Costs'!$R$12)+1,""),4)</f>
        <v>1.1120000000000001</v>
      </c>
    </row>
    <row r="96" spans="1:102" ht="12.75" customHeight="1">
      <c r="A96" s="91" t="str">
        <f>IF('Inputs Yr 2'!$B96=0,"",'Inputs Yr 2'!A96)</f>
        <v>A - Residential</v>
      </c>
      <c r="B96" s="91" t="str">
        <f>IF('Inputs Yr 2'!$B96=0,"",'Inputs Yr 2'!B96)</f>
        <v>A2 - Residential Products</v>
      </c>
      <c r="C96" s="91" t="str">
        <f>IF('Inputs Yr 2'!$B96=0,"",'Inputs Yr 2'!C96)</f>
        <v xml:space="preserve">A2a - Residential Heating &amp; Cooling Equipment </v>
      </c>
      <c r="D96" s="91" t="str">
        <f>IF('Inputs Yr 2'!$B96=0,"",'Inputs Yr 2'!E96)</f>
        <v>Thermostatic Shut-off Valve</v>
      </c>
      <c r="E96" s="93" t="str">
        <f>IF('Inputs Yr 2'!$B96=0,"",'Inputs Yr 2'!F96)</f>
        <v>G16A2a20</v>
      </c>
      <c r="F96" s="93" t="str">
        <f>IF('Inputs Yr 2'!$B96=0,"",'Inputs Yr 2'!G96)</f>
        <v>Hot Water</v>
      </c>
      <c r="G96" s="95">
        <f>IF('Inputs Yr 2'!$H96&lt;&gt;0,('Inputs Yr 2'!H96),"")</f>
        <v>75</v>
      </c>
      <c r="H96" s="94">
        <f>IFERROR('Inputs Yr 2'!I96,"")</f>
        <v>7</v>
      </c>
      <c r="I96" s="298">
        <f>IFERROR('Inputs Yr 2'!J96*'Inputs Yr 2'!P96*G96,"")</f>
        <v>1556.25</v>
      </c>
      <c r="J96" s="298">
        <f>IFERROR('Inputs Yr 2'!K96*G96,"")</f>
        <v>776.25</v>
      </c>
      <c r="K96" s="298">
        <f t="shared" si="53"/>
        <v>780</v>
      </c>
      <c r="L96" s="194">
        <f>IFERROR(('Inputs Yr 2'!W96*G96)/1000,"")</f>
        <v>0</v>
      </c>
      <c r="M96" s="194">
        <f>IFERROR(L96*('Inputs Yr 2'!$Q96*'Inputs Yr 2'!$V96*'Inputs Yr 2'!$R96),"")</f>
        <v>0</v>
      </c>
      <c r="N96" s="194">
        <f t="shared" si="54"/>
        <v>0</v>
      </c>
      <c r="O96" s="194">
        <f>IFERROR(M96*'Inputs Yr 2'!P96,"")</f>
        <v>0</v>
      </c>
      <c r="P96" s="194">
        <f t="shared" si="55"/>
        <v>0</v>
      </c>
      <c r="Q96" s="194">
        <f>IFERROR($P96*'Inputs Yr 2'!AA96,"")</f>
        <v>0</v>
      </c>
      <c r="R96" s="194">
        <f>IFERROR($P96*'Inputs Yr 2'!AB96,"")</f>
        <v>0</v>
      </c>
      <c r="S96" s="194">
        <f>IFERROR($P96*'Inputs Yr 2'!AC96,"")</f>
        <v>0</v>
      </c>
      <c r="T96" s="194">
        <f>IFERROR($P96*'Inputs Yr 2'!AD96,"")</f>
        <v>0</v>
      </c>
      <c r="U96" s="194">
        <f>IFERROR(G96*'Inputs Yr 2'!$AE96*'Inputs Yr 2'!$P96*'Inputs Yr 2'!$Q96,"")</f>
        <v>0</v>
      </c>
      <c r="V96" s="194">
        <f>IFERROR($G96*'Inputs Yr 2'!$AE96*'Inputs Yr 2'!$AG96*'Inputs Yr 2'!Q96*'Inputs Yr 2'!$S96,"")</f>
        <v>0</v>
      </c>
      <c r="W96" s="194">
        <f>IFERROR($G96*'Inputs Yr 2'!$AE96*'Inputs Yr 2'!$AG96*'Inputs Yr 2'!P96*'Inputs Yr 2'!Q96*'Inputs Yr 2'!$S96,"")</f>
        <v>0</v>
      </c>
      <c r="X96" s="194">
        <f>IFERROR($G96*'Inputs Yr 2'!$AE96*'Inputs Yr 2'!$AF96*'Inputs Yr 2'!Q96*'Inputs Yr 2'!$T96,"")</f>
        <v>0</v>
      </c>
      <c r="Y96" s="194">
        <f>IFERROR($G96*'Inputs Yr 2'!$AE96*'Inputs Yr 2'!$AF96*'Inputs Yr 2'!P96*'Inputs Yr 2'!Q96*'Inputs Yr 2'!$T96,"")</f>
        <v>0</v>
      </c>
      <c r="Z96" s="257">
        <f>IFERROR($G96*'Inputs Yr 2'!$Q96*'Inputs Yr 2'!$U96*(IF(IFERROR(SEARCH("NG", 'Inputs Yr 2'!$AJ96),0),'Inputs Yr 2'!$AK96,0)+IF(IFERROR(SEARCH("NG", 'Inputs Yr 2'!$AL96),0),'Inputs Yr 2'!$AM96,0)+IF(IFERROR(SEARCH("NG", 'Inputs Yr 2'!$AN96),0),'Inputs Yr 2'!$AO96,0)),0)</f>
        <v>28.5</v>
      </c>
      <c r="AA96" s="257">
        <f t="shared" si="56"/>
        <v>199.5</v>
      </c>
      <c r="AB96" s="257">
        <f>IFERROR(Z96*'Inputs Yr 2'!$P96,0)</f>
        <v>28.5</v>
      </c>
      <c r="AC96" s="257">
        <f t="shared" si="57"/>
        <v>199.5</v>
      </c>
      <c r="AD96" s="257">
        <f>IFERROR($G96*'Inputs Yr 2'!$Q96*'Inputs Yr 2'!$U96*(IF(IFERROR(SEARCH("Oil", 'Inputs Yr 2'!$AJ96), 0),'Inputs Yr 2'!$AK96,0)+IF(IFERROR(SEARCH("Oil", 'Inputs Yr 2'!$AL96), 0),'Inputs Yr 2'!$AM96,0)+IF(IFERROR(SEARCH("Oil", 'Inputs Yr 2'!$AN96), 0),'Inputs Yr 2'!$AO96,0)),0)</f>
        <v>0</v>
      </c>
      <c r="AE96" s="257">
        <f t="shared" si="58"/>
        <v>0</v>
      </c>
      <c r="AF96" s="257">
        <f>IFERROR(AD96*'Inputs Yr 2'!$P96,0)</f>
        <v>0</v>
      </c>
      <c r="AG96" s="257">
        <f t="shared" si="59"/>
        <v>0</v>
      </c>
      <c r="AH96" s="257">
        <f>IFERROR($G96*'Inputs Yr 2'!$Q96*'Inputs Yr 2'!$U96*(IF('Inputs Yr 2'!$AJ96=CD$4,'Inputs Yr 2'!$AK96,IF('Inputs Yr 2'!$AL96=CD$4,'Inputs Yr 2'!$AM96,IF('Inputs Yr 2'!$AN96=CD$4,'Inputs Yr 2'!$AO96,0)))),0)</f>
        <v>0</v>
      </c>
      <c r="AI96" s="257">
        <f t="shared" si="60"/>
        <v>0</v>
      </c>
      <c r="AJ96" s="257">
        <f>IFERROR(AH96*'Inputs Yr 2'!$P96,0)</f>
        <v>0</v>
      </c>
      <c r="AK96" s="257">
        <f t="shared" si="61"/>
        <v>0</v>
      </c>
      <c r="AL96" s="258">
        <f>IFERROR($G96*'Inputs Yr 2'!$P96*'Inputs Yr 2'!$Q96*'Inputs Yr 2'!AP96,0)</f>
        <v>46575</v>
      </c>
      <c r="AM96" s="260">
        <f>IFERROR($G96*'Inputs Yr 2'!$P96*'Inputs Yr 2'!$Q96*'Inputs Yr 2'!AQ96,0)</f>
        <v>0</v>
      </c>
      <c r="AN96" s="258">
        <f>IFERROR($G96*'Inputs Yr 2'!$P96*'Inputs Yr 2'!$Q96*'Inputs Yr 2'!AR96,0)</f>
        <v>0</v>
      </c>
      <c r="AO96" s="257">
        <f t="shared" si="62"/>
        <v>326025</v>
      </c>
      <c r="AP96" s="195">
        <f>IFERROR($CQ96*(INDEX(avoidedcosttbl2,$H96,AP$2)+(($H96-ROUNDDOWN($H96,0))*(INDEX(avoidedcosttbl2,ROUNDUP($H96,0),AP$2)-(INDEX(avoidedcosttbl2,ROUNDDOWN($H96,0),AP$2)))))*$O96*1000*'Inputs Yr 2'!AA96,"")</f>
        <v>0</v>
      </c>
      <c r="AQ96" s="195">
        <f>IFERROR($CR96*(INDEX(avoidedcosttbl2,$H96,AQ$2)+(($H96-ROUNDDOWN($H96,0))*(INDEX(avoidedcosttbl2,ROUNDUP($H96,0),AQ$2)-(INDEX(avoidedcosttbl2,ROUNDDOWN($H96,0),AQ$2)))))*$O96*1000*'Inputs Yr 2'!AB96,"")</f>
        <v>0</v>
      </c>
      <c r="AR96" s="195">
        <f>IFERROR($CS96*(INDEX(avoidedcosttbl2,$H96,AR$2)+(($H96-ROUNDDOWN($H96,0))*(INDEX(avoidedcosttbl2,ROUNDUP($H96,0),AR$2)-(INDEX(avoidedcosttbl2,ROUNDDOWN($H96,0),AR$2)))))*$O96*1000*'Inputs Yr 2'!AC96,"")</f>
        <v>0</v>
      </c>
      <c r="AS96" s="195">
        <f>IFERROR($CT96*(INDEX(avoidedcosttbl2,$H96,AS$2)+(($H96-ROUNDDOWN($H96,0))*(INDEX(avoidedcosttbl2,ROUNDUP($H96,0),AS$2)-(INDEX(avoidedcosttbl2,ROUNDDOWN($H96,0),AS$2)))))*$O96*1000*'Inputs Yr 2'!AD96,"")</f>
        <v>0</v>
      </c>
      <c r="AT96" s="196">
        <f t="shared" si="63"/>
        <v>0</v>
      </c>
      <c r="AU96" s="197">
        <f>IFERROR($CQ96*((INDEX(avoidedcosttbl2,$H96,AU$2))+(($H96-ROUNDDOWN($H96,0))*((INDEX(avoidedcosttbl2,ROUNDUP($H96,0),AU$2))-(INDEX(avoidedcosttbl2,ROUNDDOWN($H96,0),AU$2)))))*$O96*1000*'Inputs Yr 2'!AA96,"")</f>
        <v>0</v>
      </c>
      <c r="AV96" s="197">
        <f>IFERROR($CR96*((INDEX(avoidedcosttbl2,$H96,AV$2))+(($H96-ROUNDDOWN($H96,0))*((INDEX(avoidedcosttbl2,ROUNDUP($H96,0),AV$2))-(INDEX(avoidedcosttbl2,ROUNDDOWN($H96,0),AV$2)))))*$O96*1000*'Inputs Yr 2'!AB96,"")</f>
        <v>0</v>
      </c>
      <c r="AW96" s="197">
        <f>IFERROR($CS96*((INDEX(avoidedcosttbl2,$H96,AW$2))+(($H96-ROUNDDOWN($H96,0))*((INDEX(avoidedcosttbl2,ROUNDUP($H96,0),AW$2))-(INDEX(avoidedcosttbl2,ROUNDDOWN($H96,0),AW$2)))))*$O96*1000*'Inputs Yr 2'!AC96,"")</f>
        <v>0</v>
      </c>
      <c r="AX96" s="197">
        <f>IFERROR($CT96*((INDEX(avoidedcosttbl2,$H96,AX$2))+(($H96-ROUNDDOWN($H96,0))*((INDEX(avoidedcosttbl2,ROUNDUP($H96,0),AX$2))-(INDEX(avoidedcosttbl2,ROUNDDOWN($H96,0),AX$2)))))*$O96*1000*'Inputs Yr 2'!AD96,"")</f>
        <v>0</v>
      </c>
      <c r="AY96" s="197">
        <f>IFERROR(((INDEX(avoidedcosttbl2,$H96,AY$2))+(($H96-ROUNDDOWN($H96,0))*((INDEX(avoidedcosttbl2,ROUNDUP($H96,0),AY$2))-(INDEX(avoidedcosttbl2,ROUNDDOWN($H96,0),AY$2)))))*$O96*1000*('Inputs Yr 2'!AC96+'Inputs Yr 2'!AD96),"")</f>
        <v>0</v>
      </c>
      <c r="AZ96" s="197">
        <f>IFERROR(((INDEX(avoidedcosttbl2,$H96,AZ$2))+(($H96-ROUNDDOWN($H96,0))*((INDEX(avoidedcosttbl2,ROUNDUP($H96,0),AZ$2))-(INDEX(avoidedcosttbl2,ROUNDDOWN($H96,0),AZ$2)))))*$O96*1000*('Inputs Yr 2'!AA96+'Inputs Yr 2'!AB96),"")</f>
        <v>0</v>
      </c>
      <c r="BA96" s="198">
        <f t="shared" si="64"/>
        <v>0</v>
      </c>
      <c r="BB96" s="198">
        <f t="shared" si="65"/>
        <v>0</v>
      </c>
      <c r="BC96" s="195">
        <f t="shared" si="47"/>
        <v>0</v>
      </c>
      <c r="BD96" s="195">
        <f t="shared" si="48"/>
        <v>0</v>
      </c>
      <c r="BE96" s="195">
        <f t="shared" si="49"/>
        <v>0</v>
      </c>
      <c r="BF96" s="195">
        <f t="shared" si="50"/>
        <v>0</v>
      </c>
      <c r="BG96" s="195">
        <f t="shared" si="51"/>
        <v>0</v>
      </c>
      <c r="BH96" s="196">
        <f t="shared" si="66"/>
        <v>0</v>
      </c>
      <c r="BI96" s="196">
        <f t="shared" si="67"/>
        <v>0</v>
      </c>
      <c r="BJ96" s="195">
        <f>IFERROR($G96*(IF('Inputs Yr 2'!$AJ96=BJ$4,'Inputs Yr 2'!$AK96,IF('Inputs Yr 2'!$AL96=BJ$4,'Inputs Yr 2'!$AM96,IF('Inputs Yr 2'!$AN96=BJ$4,'Inputs Yr 2'!$AO96,0))))*(INDEX(avoidedcosttbl2,$H96,BJ$2)+(($H96-ROUNDDOWN($H96,0))*(INDEX(avoidedcosttbl2,ROUNDUP($H96,0),BJ$2)-(INDEX(avoidedcosttbl2,ROUNDDOWN($H96,0),BJ$2)))))*'Inputs Yr 2'!P96*'Inputs Yr 2'!Q96*'Inputs Yr 2'!U96,"")</f>
        <v>0</v>
      </c>
      <c r="BK96" s="195">
        <f>IFERROR($G96*(IF('Inputs Yr 2'!$AJ96=BK$4,'Inputs Yr 2'!$AK96,IF('Inputs Yr 2'!$AL96=BK$4,'Inputs Yr 2'!$AM96,IF('Inputs Yr 2'!$AN96=BK$4,'Inputs Yr 2'!$AO96,0))))*(INDEX(avoidedcosttbl2,$H96,BK$2)+(($H96-ROUNDDOWN($H96,0))*(INDEX(avoidedcosttbl2,ROUNDUP($H96,0),BK$2)-(INDEX(avoidedcosttbl2,ROUNDDOWN($H96,0),BK$2)))))*'Inputs Yr 2'!P96*'Inputs Yr 2'!Q96*'Inputs Yr 2'!U96,"")</f>
        <v>1539.5751424947946</v>
      </c>
      <c r="BL96" s="195">
        <f>IFERROR($G96*(IF('Inputs Yr 2'!$AJ96=BL$4,'Inputs Yr 2'!$AK96,IF('Inputs Yr 2'!$AL96=BL$4,'Inputs Yr 2'!$AM96,IF('Inputs Yr 2'!$AN96=BL$4,'Inputs Yr 2'!$AO96,0))))*(INDEX(avoidedcosttbl2,$H96,BL$2)+(($H96-ROUNDDOWN($H96,0))*(INDEX(avoidedcosttbl2,ROUNDUP($H96,0),BL$2)-(INDEX(avoidedcosttbl2,ROUNDDOWN($H96,0),BL$2)))))*'Inputs Yr 2'!P96*'Inputs Yr 2'!Q96*'Inputs Yr 2'!U96,"")</f>
        <v>0</v>
      </c>
      <c r="BM96" s="195">
        <f>IFERROR($G96*(IF('Inputs Yr 2'!$AJ96=BM$4,'Inputs Yr 2'!$AK96,IF('Inputs Yr 2'!$AL96=BM$4,'Inputs Yr 2'!$AM96,IF('Inputs Yr 2'!$AN96=BM$4,'Inputs Yr 2'!$AO96,0))))*(INDEX(avoidedcosttbl2,$H96,BM$2)+(($H96-ROUNDDOWN($H96,0))*(INDEX(avoidedcosttbl2,ROUNDUP($H96,0),BM$2)-(INDEX(avoidedcosttbl2,ROUNDDOWN($H96,0),BM$2)))))*'Inputs Yr 2'!P96*'Inputs Yr 2'!Q96*'Inputs Yr 2'!U96,"")</f>
        <v>0</v>
      </c>
      <c r="BN96" s="195">
        <f>IFERROR($G96*(IF('Inputs Yr 2'!$AJ96=BN$4,'Inputs Yr 2'!$AK96,IF('Inputs Yr 2'!$AL96=BN$4,'Inputs Yr 2'!$AM96,IF('Inputs Yr 2'!$AN96=BN$4,'Inputs Yr 2'!$AO96,0))))*(INDEX(avoidedcosttbl2,$H96,BN$2)+(($H96-ROUNDDOWN($H96,0))*(INDEX(avoidedcosttbl2,ROUNDUP($H96,0),BN$2)-(INDEX(avoidedcosttbl2,ROUNDDOWN($H96,0),BN$2)))))*'Inputs Yr 2'!P96*'Inputs Yr 2'!Q96*'Inputs Yr 2'!U96,"")</f>
        <v>0</v>
      </c>
      <c r="BO96" s="195">
        <f>IFERROR($G96*(IF('Inputs Yr 2'!$AJ96=BO$4,'Inputs Yr 2'!$AK96,IF('Inputs Yr 2'!$AL96=BO$4,'Inputs Yr 2'!$AM96,IF('Inputs Yr 2'!$AN96=BO$4,'Inputs Yr 2'!$AO96,0))))*(INDEX(avoidedcosttbl2,$H96,BO$2)+(($H96-ROUNDDOWN($H96,0))*(INDEX(avoidedcosttbl2,ROUNDUP($H96,0),BO$2)-(INDEX(avoidedcosttbl2,ROUNDDOWN($H96,0),BO$2)))))*'Inputs Yr 2'!P96*'Inputs Yr 2'!Q96*'Inputs Yr 2'!U96,"")</f>
        <v>0</v>
      </c>
      <c r="BP96" s="195">
        <f>IFERROR($G96*(IF('Inputs Yr 2'!$AJ96=BP$4,'Inputs Yr 2'!$AK96,IF('Inputs Yr 2'!$AL96=BP$4,'Inputs Yr 2'!$AM96,IF('Inputs Yr 2'!$AN96=BP$4,'Inputs Yr 2'!$AO96,0))))*(INDEX(avoidedcosttbl2,$H96,BP$2)+(($H96-ROUNDDOWN($H96,0))*(INDEX(avoidedcosttbl2,ROUNDUP($H96,0),BP$2)-(INDEX(avoidedcosttbl2,ROUNDDOWN($H96,0),BP$2)))))*'Inputs Yr 2'!P96*'Inputs Yr 2'!Q96*'Inputs Yr 2'!U96,"")</f>
        <v>0</v>
      </c>
      <c r="BQ96" s="230">
        <f t="shared" si="68"/>
        <v>1539.5751424947946</v>
      </c>
      <c r="BR96" s="197">
        <f t="shared" si="52"/>
        <v>27.515785519168364</v>
      </c>
      <c r="BS96" s="197">
        <f>IFERROR(($G96*IF('Inputs Yr 2'!$AJ96=BM$4,'Inputs Yr 2'!$AK96,IF('Inputs Yr 2'!$AL96=BM$4,'Inputs Yr 2'!$AM96,IF('Inputs Yr 2'!$AN96=BM$4,'Inputs Yr 2'!$AO96,0))))*(INDEX(avoidedcosttbl2,$H96,BS$2)+(($H96-ROUNDDOWN($H96,0))*(INDEX(avoidedcosttbl2,ROUNDUP($H96,0),BS$2)-(INDEX(avoidedcosttbl2,ROUNDDOWN($H96,0),BS$2)))))*'Inputs Yr 2'!P96*'Inputs Yr 2'!Q96*'Inputs Yr 2'!U96,"")</f>
        <v>0</v>
      </c>
      <c r="BT96" s="197">
        <f>IFERROR(($G96*IF('Inputs Yr 2'!$AJ96=BK$4,'Inputs Yr 2'!$AK96,IF('Inputs Yr 2'!$AL96=BK$4,'Inputs Yr 2'!$AM96,IF('Inputs Yr 2'!$AN96=BK$4,'Inputs Yr 2'!$AO96,0))))*(INDEX(avoidedcosttbl2,$H96,BT$2)+(($H96-ROUNDDOWN($H96,0))*(INDEX(avoidedcosttbl2,ROUNDUP($H96,0),BT$2)-(INDEX(avoidedcosttbl2,ROUNDDOWN($H96,0),BT$2)))))*'Inputs Yr 2'!P96*'Inputs Yr 2'!Q96*'Inputs Yr 2'!U96,"")</f>
        <v>209.74187834751876</v>
      </c>
      <c r="BU96" s="197">
        <f>IFERROR(($G96*IF('Inputs Yr 2'!$AJ96=BL$4,'Inputs Yr 2'!$AK96,IF('Inputs Yr 2'!$AL96=BL$4,'Inputs Yr 2'!$AM96,IF('Inputs Yr 2'!$AN96=BL$4,'Inputs Yr 2'!$AO96,0))))*(INDEX(avoidedcosttbl2,$H96,BU$2)+(($H96-ROUNDDOWN($H96,0))*(INDEX(avoidedcosttbl2,ROUNDUP($H96,0),BU$2)-(INDEX(avoidedcosttbl2,ROUNDDOWN($H96,0),BU$2)))))*'Inputs Yr 2'!P96*'Inputs Yr 2'!Q96*'Inputs Yr 2'!U96,"")</f>
        <v>0</v>
      </c>
      <c r="BV96" s="775">
        <f>IFERROR(($G96*IF('Inputs Yr 2'!$AJ96=BJ$4,'Inputs Yr 2'!$AK96,IF('Inputs Yr 2'!$AL96=BJ$4,'Inputs Yr 2'!$AM96,IF('Inputs Yr 2'!$AN96=BJ$4,'Inputs Yr 2'!$AO96,0))))*(INDEX(avoidedcosttbl2,$H96,BV$2)+(($H96-ROUNDDOWN($H96,0))*(INDEX(avoidedcosttbl2,ROUNDUP($H96,0),BV$2)-(INDEX(avoidedcosttbl2,ROUNDDOWN($H96,0),BV$2)))))*'Inputs Yr 2'!P96*'Inputs Yr 2'!Q96*'Inputs Yr 2'!U96,"")</f>
        <v>0</v>
      </c>
      <c r="BW96" s="197">
        <f>IFERROR(($G96*IF('Inputs Yr 2'!$AJ96=BN$4,'Inputs Yr 2'!$AK96,IF('Inputs Yr 2'!$AL96=BN$4,'Inputs Yr 2'!$AM96,IF('Inputs Yr 2'!$AN96=BN$4,'Inputs Yr 2'!$AO96,0))))*(INDEX(avoidedcosttbl2,$H96,BW$2)+(($H96-ROUNDDOWN($H96,0))*(INDEX(avoidedcosttbl2,ROUNDUP($H96,0),BW$2)-(INDEX(avoidedcosttbl2,ROUNDDOWN($H96,0),BW$2)))))*'Inputs Yr 2'!P96*'Inputs Yr 2'!Q96*'Inputs Yr 2'!U96,"")</f>
        <v>0</v>
      </c>
      <c r="BX96" s="197">
        <f>IFERROR(($G96*IF('Inputs Yr 2'!$AJ96=BO$4,'Inputs Yr 2'!$AK96,IF('Inputs Yr 2'!$AL96=BO$4,'Inputs Yr 2'!$AM96,IF('Inputs Yr 2'!$AN96=BO$4,'Inputs Yr 2'!$AO96,0))))*(INDEX(avoidedcosttbl2,$H96,BX$2)+(($H96-ROUNDDOWN($H96,0))*(INDEX(avoidedcosttbl2,ROUNDUP($H96,0),BX$2)-(INDEX(avoidedcosttbl2,ROUNDDOWN($H96,0),BX$2)))))*'Inputs Yr 2'!P96*'Inputs Yr 2'!Q96*'Inputs Yr 2'!U96,"")</f>
        <v>0</v>
      </c>
      <c r="BY96" s="197">
        <f>IFERROR(($G96*IF('Inputs Yr 2'!$AJ96=BP$4,'Inputs Yr 2'!$AK96,IF('Inputs Yr 2'!$AL96=BP$4,'Inputs Yr 2'!$AM96,IF('Inputs Yr 2'!$AN96=BP$4,'Inputs Yr 2'!$AO96,0))))*(INDEX(avoidedcosttbl2,$H96,BY$2)+(($H96-ROUNDDOWN($H96,0))*(INDEX(avoidedcosttbl2,ROUNDUP($H96,0),BY$2)-(INDEX(avoidedcosttbl2,ROUNDDOWN($H96,0),BY$2)))))*'Inputs Yr 2'!P96*'Inputs Yr 2'!Q96*'Inputs Yr 2'!U96,"")</f>
        <v>0</v>
      </c>
      <c r="BZ96" s="193">
        <f t="shared" si="69"/>
        <v>237.25766386668712</v>
      </c>
      <c r="CA96" s="193">
        <f t="shared" si="70"/>
        <v>1776.8328063614817</v>
      </c>
      <c r="CB96" s="195">
        <f>IFERROR(G96*(IF('Inputs Yr 2'!$AJ96=CB$4,'Inputs Yr 2'!$AK96,IF('Inputs Yr 2'!$AL96=CB$4,'Inputs Yr 2'!$AM96,IF('Inputs Yr 2'!$AN96=CB$4,'Inputs Yr 2'!$AO96,0))))*(INDEX(avoidedcosttbl2,$H96,CB$2)+(($H96-ROUNDDOWN($H96,0))*(INDEX(avoidedcosttbl2,ROUNDUP($H96,0),CB$2)-(INDEX(avoidedcosttbl2,ROUNDDOWN($H96,0),CB$2)))))*'Inputs Yr 2'!P96*'Inputs Yr 2'!Q96*'Inputs Yr 2'!U96,"")</f>
        <v>0</v>
      </c>
      <c r="CC96" s="195">
        <f>IFERROR(H96*(IF('Inputs Yr 2'!$AJ96=CC$4,'Inputs Yr 2'!$AK96,IF('Inputs Yr 2'!$AL96=CC$4,'Inputs Yr 2'!$AM96,IF('Inputs Yr 2'!$AN96=CC$4,'Inputs Yr 2'!$AO96,0))))*(INDEX(avoidedcosttbl2,$H96,CC$2)+(($H96-ROUNDDOWN($H96,0))*(INDEX(avoidedcosttbl2,ROUNDUP($H96,0),CC$2)-(INDEX(avoidedcosttbl2,ROUNDDOWN($H96,0),CC$2)))))*'Inputs Yr 2'!Q96*'Inputs Yr 2'!R96*'Inputs Yr 2'!V96,"")</f>
        <v>0</v>
      </c>
      <c r="CD96" s="195">
        <f>IFERROR(I96*(IF('Inputs Yr 2'!$AJ96=CD$4,'Inputs Yr 2'!$AK96,IF('Inputs Yr 2'!$AL96=CD$4,'Inputs Yr 2'!$AM96,IF('Inputs Yr 2'!$AN96=CD$4,'Inputs Yr 2'!$AO96,0))))*(INDEX(avoidedcosttbl2,$H96,CD$2)+(($H96-ROUNDDOWN($H96,0))*(INDEX(avoidedcosttbl2,ROUNDUP($H96,0),CD$2)-(INDEX(avoidedcosttbl2,ROUNDDOWN($H96,0),CD$2)))))*'Inputs Yr 2'!R96*'Inputs Yr 2'!S96*'Inputs Yr 2'!W96,"")</f>
        <v>0</v>
      </c>
      <c r="CE96" s="213">
        <f t="shared" si="71"/>
        <v>3478.1644517258455</v>
      </c>
      <c r="CF96" s="213">
        <f t="shared" si="72"/>
        <v>0</v>
      </c>
      <c r="CG96" s="213">
        <f t="shared" si="73"/>
        <v>0</v>
      </c>
      <c r="CH96" s="698">
        <f t="shared" si="74"/>
        <v>5254.9972580873273</v>
      </c>
      <c r="CI96" s="79">
        <f>IFERROR(($G96*'Inputs Yr 2'!$P96*'Inputs Yr 2'!$Q96*(((INDEX(avoidedcosttbl2,$H96,CI$2)+(($H96-ROUNDDOWN($H96,0))*(INDEX(avoidedcosttbl2,ROUNDUP($H96,0),CI$2)-INDEX(avoidedcosttbl2,ROUNDDOWN($H96,0),CI$2))))*'Inputs Yr 2'!AS96))),"")</f>
        <v>0</v>
      </c>
      <c r="CJ96" s="504">
        <f>IFERROR($G96*'Inputs Yr 2'!AT96*'Inputs Yr 2'!$P96*'Inputs Yr 2'!$Q96/((1+realdiscrt1)^-0.5),"")</f>
        <v>0</v>
      </c>
      <c r="CK96" s="79">
        <f>IFERROR((O96*1000*(((INDEX(avoidedcosttbl2,$H96,CK$2)+(($H96-ROUNDDOWN($H96,0))*(INDEX(avoidedcosttbl2,ROUNDUP($H96,0),CK$2)-INDEX(avoidedcosttbl2,ROUNDDOWN($H96,0),CK$2))))*'Inputs Yr 2'!AU96))),"")</f>
        <v>0</v>
      </c>
      <c r="CL96" s="504">
        <f>IFERROR(O96*1000*'Inputs Yr 2'!AV96/((1+realdiscrt1)^-0.5),"")</f>
        <v>0</v>
      </c>
      <c r="CM96" s="79">
        <f>IFERROR((AB96*'Inputs Yr 2'!AW96*(((INDEX(avoidedcosttbl2,$H96,CM$2)+(($H96-ROUNDDOWN($H96,0))*(INDEX(avoidedcosttbl2,ROUNDUP($H96,0),CM$2)-INDEX(avoidedcosttbl2,ROUNDDOWN($H96,0),CM$2)))))))*10,"")</f>
        <v>0</v>
      </c>
      <c r="CN96" s="504">
        <f>IFERROR(10*AB96*'Inputs Yr 2'!AX96/((1+realdiscrt1)^-0.5),"")</f>
        <v>0</v>
      </c>
      <c r="CO96" s="505">
        <f t="shared" si="75"/>
        <v>0</v>
      </c>
      <c r="CP96" s="230">
        <f t="shared" si="76"/>
        <v>5254.9972580873273</v>
      </c>
      <c r="CQ96" s="199">
        <f>ROUND(IFERROR(IF(LEFT($A96,1)="C",'Avoided Costs'!$K$13,'Avoided Costs'!$K$12)+1,""),4)</f>
        <v>1.0720000000000001</v>
      </c>
      <c r="CR96" s="199">
        <f>ROUND(IFERROR(IF(LEFT($A96,1)="C",'Avoided Costs'!$L$13,'Avoided Costs'!$L$12)+1,""),4)</f>
        <v>1.04</v>
      </c>
      <c r="CS96" s="199">
        <f>ROUND(IFERROR(IF(LEFT($A96,1)="C",'Avoided Costs'!$M$13,'Avoided Costs'!$M$12)+1,""),4)</f>
        <v>1.0720000000000001</v>
      </c>
      <c r="CT96" s="199">
        <f>ROUND(IFERROR(IF(LEFT($A96,1)="C",'Avoided Costs'!$N$13,'Avoided Costs'!$N$12)+1,""),4)</f>
        <v>1.04</v>
      </c>
      <c r="CU96" s="199">
        <f>ROUND(IFERROR(IF(LEFT($A96,1)="C",'Avoided Costs'!$O$13,'Avoided Costs'!$O$12)+1,""),4)</f>
        <v>1.1120000000000001</v>
      </c>
      <c r="CV96" s="199">
        <f>ROUND(IFERROR(IF(LEFT($A96,1)="C",'Avoided Costs'!$P$13,'Avoided Costs'!$P$12)+1,""),4)</f>
        <v>1.095</v>
      </c>
      <c r="CW96" s="199">
        <f>ROUND(IFERROR(IF(LEFT($A96,1)="C",'Avoided Costs'!$Q$13,'Avoided Costs'!$Q$12)+1,""),4)</f>
        <v>1.1120000000000001</v>
      </c>
      <c r="CX96" s="200">
        <f>ROUND(IFERROR(IF(LEFT($A96,1)="C",'Avoided Costs'!$R$13,'Avoided Costs'!$R$12)+1,""),4)</f>
        <v>1.1120000000000001</v>
      </c>
    </row>
    <row r="97" spans="1:102" ht="12.75" customHeight="1">
      <c r="A97" s="91" t="str">
        <f>IF('Inputs Yr 2'!$B97=0,"",'Inputs Yr 2'!A97)</f>
        <v>A - Residential</v>
      </c>
      <c r="B97" s="91" t="str">
        <f>IF('Inputs Yr 2'!$B97=0,"",'Inputs Yr 2'!B97)</f>
        <v>A2 - Residential Products</v>
      </c>
      <c r="C97" s="91" t="str">
        <f>IF('Inputs Yr 2'!$B97=0,"",'Inputs Yr 2'!C97)</f>
        <v xml:space="preserve">A2a - Residential Heating &amp; Cooling Equipment </v>
      </c>
      <c r="D97" s="91" t="str">
        <f>IF('Inputs Yr 2'!$B97=0,"",'Inputs Yr 2'!E97)</f>
        <v>Low-Flow Showerhead</v>
      </c>
      <c r="E97" s="93" t="str">
        <f>IF('Inputs Yr 2'!$B97=0,"",'Inputs Yr 2'!F97)</f>
        <v>G16A2a21</v>
      </c>
      <c r="F97" s="93" t="str">
        <f>IF('Inputs Yr 2'!$B97=0,"",'Inputs Yr 2'!G97)</f>
        <v>Hot Water</v>
      </c>
      <c r="G97" s="95">
        <f>IF('Inputs Yr 2'!$H97&lt;&gt;0,('Inputs Yr 2'!H97),"")</f>
        <v>371</v>
      </c>
      <c r="H97" s="94">
        <f>IFERROR('Inputs Yr 2'!I97,"")</f>
        <v>7</v>
      </c>
      <c r="I97" s="298">
        <f>IFERROR('Inputs Yr 2'!J97*'Inputs Yr 2'!P97*G97,"")</f>
        <v>6307</v>
      </c>
      <c r="J97" s="298">
        <f>IFERROR('Inputs Yr 2'!K97*G97,"")</f>
        <v>3710</v>
      </c>
      <c r="K97" s="298">
        <f t="shared" si="53"/>
        <v>2597</v>
      </c>
      <c r="L97" s="194">
        <f>IFERROR(('Inputs Yr 2'!W97*G97)/1000,"")</f>
        <v>0</v>
      </c>
      <c r="M97" s="194">
        <f>IFERROR(L97*('Inputs Yr 2'!$Q97*'Inputs Yr 2'!$V97*'Inputs Yr 2'!$R97),"")</f>
        <v>0</v>
      </c>
      <c r="N97" s="194">
        <f t="shared" si="54"/>
        <v>0</v>
      </c>
      <c r="O97" s="194">
        <f>IFERROR(M97*'Inputs Yr 2'!P97,"")</f>
        <v>0</v>
      </c>
      <c r="P97" s="194">
        <f t="shared" si="55"/>
        <v>0</v>
      </c>
      <c r="Q97" s="194">
        <f>IFERROR($P97*'Inputs Yr 2'!AA97,"")</f>
        <v>0</v>
      </c>
      <c r="R97" s="194">
        <f>IFERROR($P97*'Inputs Yr 2'!AB97,"")</f>
        <v>0</v>
      </c>
      <c r="S97" s="194">
        <f>IFERROR($P97*'Inputs Yr 2'!AC97,"")</f>
        <v>0</v>
      </c>
      <c r="T97" s="194">
        <f>IFERROR($P97*'Inputs Yr 2'!AD97,"")</f>
        <v>0</v>
      </c>
      <c r="U97" s="194">
        <f>IFERROR(G97*'Inputs Yr 2'!$AE97*'Inputs Yr 2'!$P97*'Inputs Yr 2'!$Q97,"")</f>
        <v>0</v>
      </c>
      <c r="V97" s="194">
        <f>IFERROR($G97*'Inputs Yr 2'!$AE97*'Inputs Yr 2'!$AG97*'Inputs Yr 2'!Q97*'Inputs Yr 2'!$S97,"")</f>
        <v>0</v>
      </c>
      <c r="W97" s="194">
        <f>IFERROR($G97*'Inputs Yr 2'!$AE97*'Inputs Yr 2'!$AG97*'Inputs Yr 2'!P97*'Inputs Yr 2'!Q97*'Inputs Yr 2'!$S97,"")</f>
        <v>0</v>
      </c>
      <c r="X97" s="194">
        <f>IFERROR($G97*'Inputs Yr 2'!$AE97*'Inputs Yr 2'!$AF97*'Inputs Yr 2'!Q97*'Inputs Yr 2'!$T97,"")</f>
        <v>0</v>
      </c>
      <c r="Y97" s="194">
        <f>IFERROR($G97*'Inputs Yr 2'!$AE97*'Inputs Yr 2'!$AF97*'Inputs Yr 2'!P97*'Inputs Yr 2'!Q97*'Inputs Yr 2'!$T97,"")</f>
        <v>0</v>
      </c>
      <c r="Z97" s="257">
        <f>IFERROR($G97*'Inputs Yr 2'!$Q97*'Inputs Yr 2'!$U97*(IF(IFERROR(SEARCH("NG", 'Inputs Yr 2'!$AJ97),0),'Inputs Yr 2'!$AK97,0)+IF(IFERROR(SEARCH("NG", 'Inputs Yr 2'!$AL97),0),'Inputs Yr 2'!$AM97,0)+IF(IFERROR(SEARCH("NG", 'Inputs Yr 2'!$AN97),0),'Inputs Yr 2'!$AO97,0)),0)</f>
        <v>445.2</v>
      </c>
      <c r="AA97" s="257">
        <f t="shared" si="56"/>
        <v>3116.4</v>
      </c>
      <c r="AB97" s="257">
        <f>IFERROR(Z97*'Inputs Yr 2'!$P97,0)</f>
        <v>378.41999999999996</v>
      </c>
      <c r="AC97" s="257">
        <f t="shared" si="57"/>
        <v>2648.9399999999996</v>
      </c>
      <c r="AD97" s="257">
        <f>IFERROR($G97*'Inputs Yr 2'!$Q97*'Inputs Yr 2'!$U97*(IF(IFERROR(SEARCH("Oil", 'Inputs Yr 2'!$AJ97), 0),'Inputs Yr 2'!$AK97,0)+IF(IFERROR(SEARCH("Oil", 'Inputs Yr 2'!$AL97), 0),'Inputs Yr 2'!$AM97,0)+IF(IFERROR(SEARCH("Oil", 'Inputs Yr 2'!$AN97), 0),'Inputs Yr 2'!$AO97,0)),0)</f>
        <v>0</v>
      </c>
      <c r="AE97" s="257">
        <f t="shared" si="58"/>
        <v>0</v>
      </c>
      <c r="AF97" s="257">
        <f>IFERROR(AD97*'Inputs Yr 2'!$P97,0)</f>
        <v>0</v>
      </c>
      <c r="AG97" s="257">
        <f t="shared" si="59"/>
        <v>0</v>
      </c>
      <c r="AH97" s="257">
        <f>IFERROR($G97*'Inputs Yr 2'!$Q97*'Inputs Yr 2'!$U97*(IF('Inputs Yr 2'!$AJ97=CD$4,'Inputs Yr 2'!$AK97,IF('Inputs Yr 2'!$AL97=CD$4,'Inputs Yr 2'!$AM97,IF('Inputs Yr 2'!$AN97=CD$4,'Inputs Yr 2'!$AO97,0)))),0)</f>
        <v>0</v>
      </c>
      <c r="AI97" s="257">
        <f t="shared" si="60"/>
        <v>0</v>
      </c>
      <c r="AJ97" s="257">
        <f>IFERROR(AH97*'Inputs Yr 2'!$P97,0)</f>
        <v>0</v>
      </c>
      <c r="AK97" s="257">
        <f t="shared" si="61"/>
        <v>0</v>
      </c>
      <c r="AL97" s="258">
        <f>IFERROR($G97*'Inputs Yr 2'!$P97*'Inputs Yr 2'!$Q97*'Inputs Yr 2'!AP97,0)</f>
        <v>757155.34999999986</v>
      </c>
      <c r="AM97" s="260">
        <f>IFERROR($G97*'Inputs Yr 2'!$P97*'Inputs Yr 2'!$Q97*'Inputs Yr 2'!AQ97,0)</f>
        <v>0</v>
      </c>
      <c r="AN97" s="258">
        <f>IFERROR($G97*'Inputs Yr 2'!$P97*'Inputs Yr 2'!$Q97*'Inputs Yr 2'!AR97,0)</f>
        <v>0</v>
      </c>
      <c r="AO97" s="257">
        <f t="shared" si="62"/>
        <v>5300087.4499999993</v>
      </c>
      <c r="AP97" s="195">
        <f>IFERROR($CQ97*(INDEX(avoidedcosttbl2,$H97,AP$2)+(($H97-ROUNDDOWN($H97,0))*(INDEX(avoidedcosttbl2,ROUNDUP($H97,0),AP$2)-(INDEX(avoidedcosttbl2,ROUNDDOWN($H97,0),AP$2)))))*$O97*1000*'Inputs Yr 2'!AA97,"")</f>
        <v>0</v>
      </c>
      <c r="AQ97" s="195">
        <f>IFERROR($CR97*(INDEX(avoidedcosttbl2,$H97,AQ$2)+(($H97-ROUNDDOWN($H97,0))*(INDEX(avoidedcosttbl2,ROUNDUP($H97,0),AQ$2)-(INDEX(avoidedcosttbl2,ROUNDDOWN($H97,0),AQ$2)))))*$O97*1000*'Inputs Yr 2'!AB97,"")</f>
        <v>0</v>
      </c>
      <c r="AR97" s="195">
        <f>IFERROR($CS97*(INDEX(avoidedcosttbl2,$H97,AR$2)+(($H97-ROUNDDOWN($H97,0))*(INDEX(avoidedcosttbl2,ROUNDUP($H97,0),AR$2)-(INDEX(avoidedcosttbl2,ROUNDDOWN($H97,0),AR$2)))))*$O97*1000*'Inputs Yr 2'!AC97,"")</f>
        <v>0</v>
      </c>
      <c r="AS97" s="195">
        <f>IFERROR($CT97*(INDEX(avoidedcosttbl2,$H97,AS$2)+(($H97-ROUNDDOWN($H97,0))*(INDEX(avoidedcosttbl2,ROUNDUP($H97,0),AS$2)-(INDEX(avoidedcosttbl2,ROUNDDOWN($H97,0),AS$2)))))*$O97*1000*'Inputs Yr 2'!AD97,"")</f>
        <v>0</v>
      </c>
      <c r="AT97" s="196">
        <f t="shared" si="63"/>
        <v>0</v>
      </c>
      <c r="AU97" s="197">
        <f>IFERROR($CQ97*((INDEX(avoidedcosttbl2,$H97,AU$2))+(($H97-ROUNDDOWN($H97,0))*((INDEX(avoidedcosttbl2,ROUNDUP($H97,0),AU$2))-(INDEX(avoidedcosttbl2,ROUNDDOWN($H97,0),AU$2)))))*$O97*1000*'Inputs Yr 2'!AA97,"")</f>
        <v>0</v>
      </c>
      <c r="AV97" s="197">
        <f>IFERROR($CR97*((INDEX(avoidedcosttbl2,$H97,AV$2))+(($H97-ROUNDDOWN($H97,0))*((INDEX(avoidedcosttbl2,ROUNDUP($H97,0),AV$2))-(INDEX(avoidedcosttbl2,ROUNDDOWN($H97,0),AV$2)))))*$O97*1000*'Inputs Yr 2'!AB97,"")</f>
        <v>0</v>
      </c>
      <c r="AW97" s="197">
        <f>IFERROR($CS97*((INDEX(avoidedcosttbl2,$H97,AW$2))+(($H97-ROUNDDOWN($H97,0))*((INDEX(avoidedcosttbl2,ROUNDUP($H97,0),AW$2))-(INDEX(avoidedcosttbl2,ROUNDDOWN($H97,0),AW$2)))))*$O97*1000*'Inputs Yr 2'!AC97,"")</f>
        <v>0</v>
      </c>
      <c r="AX97" s="197">
        <f>IFERROR($CT97*((INDEX(avoidedcosttbl2,$H97,AX$2))+(($H97-ROUNDDOWN($H97,0))*((INDEX(avoidedcosttbl2,ROUNDUP($H97,0),AX$2))-(INDEX(avoidedcosttbl2,ROUNDDOWN($H97,0),AX$2)))))*$O97*1000*'Inputs Yr 2'!AD97,"")</f>
        <v>0</v>
      </c>
      <c r="AY97" s="197">
        <f>IFERROR(((INDEX(avoidedcosttbl2,$H97,AY$2))+(($H97-ROUNDDOWN($H97,0))*((INDEX(avoidedcosttbl2,ROUNDUP($H97,0),AY$2))-(INDEX(avoidedcosttbl2,ROUNDDOWN($H97,0),AY$2)))))*$O97*1000*('Inputs Yr 2'!AC97+'Inputs Yr 2'!AD97),"")</f>
        <v>0</v>
      </c>
      <c r="AZ97" s="197">
        <f>IFERROR(((INDEX(avoidedcosttbl2,$H97,AZ$2))+(($H97-ROUNDDOWN($H97,0))*((INDEX(avoidedcosttbl2,ROUNDUP($H97,0),AZ$2))-(INDEX(avoidedcosttbl2,ROUNDDOWN($H97,0),AZ$2)))))*$O97*1000*('Inputs Yr 2'!AA97+'Inputs Yr 2'!AB97),"")</f>
        <v>0</v>
      </c>
      <c r="BA97" s="198">
        <f t="shared" si="64"/>
        <v>0</v>
      </c>
      <c r="BB97" s="198">
        <f t="shared" si="65"/>
        <v>0</v>
      </c>
      <c r="BC97" s="195">
        <f t="shared" si="47"/>
        <v>0</v>
      </c>
      <c r="BD97" s="195">
        <f t="shared" si="48"/>
        <v>0</v>
      </c>
      <c r="BE97" s="195">
        <f t="shared" si="49"/>
        <v>0</v>
      </c>
      <c r="BF97" s="195">
        <f t="shared" si="50"/>
        <v>0</v>
      </c>
      <c r="BG97" s="195">
        <f t="shared" si="51"/>
        <v>0</v>
      </c>
      <c r="BH97" s="196">
        <f t="shared" si="66"/>
        <v>0</v>
      </c>
      <c r="BI97" s="196">
        <f t="shared" si="67"/>
        <v>0</v>
      </c>
      <c r="BJ97" s="195">
        <f>IFERROR($G97*(IF('Inputs Yr 2'!$AJ97=BJ$4,'Inputs Yr 2'!$AK97,IF('Inputs Yr 2'!$AL97=BJ$4,'Inputs Yr 2'!$AM97,IF('Inputs Yr 2'!$AN97=BJ$4,'Inputs Yr 2'!$AO97,0))))*(INDEX(avoidedcosttbl2,$H97,BJ$2)+(($H97-ROUNDDOWN($H97,0))*(INDEX(avoidedcosttbl2,ROUNDUP($H97,0),BJ$2)-(INDEX(avoidedcosttbl2,ROUNDDOWN($H97,0),BJ$2)))))*'Inputs Yr 2'!P97*'Inputs Yr 2'!Q97*'Inputs Yr 2'!U97,"")</f>
        <v>0</v>
      </c>
      <c r="BK97" s="195">
        <f>IFERROR($G97*(IF('Inputs Yr 2'!$AJ97=BK$4,'Inputs Yr 2'!$AK97,IF('Inputs Yr 2'!$AL97=BK$4,'Inputs Yr 2'!$AM97,IF('Inputs Yr 2'!$AN97=BK$4,'Inputs Yr 2'!$AO97,0))))*(INDEX(avoidedcosttbl2,$H97,BK$2)+(($H97-ROUNDDOWN($H97,0))*(INDEX(avoidedcosttbl2,ROUNDUP($H97,0),BK$2)-(INDEX(avoidedcosttbl2,ROUNDDOWN($H97,0),BK$2)))))*'Inputs Yr 2'!P97*'Inputs Yr 2'!Q97*'Inputs Yr 2'!U97,"")</f>
        <v>20442.316681504566</v>
      </c>
      <c r="BL97" s="195">
        <f>IFERROR($G97*(IF('Inputs Yr 2'!$AJ97=BL$4,'Inputs Yr 2'!$AK97,IF('Inputs Yr 2'!$AL97=BL$4,'Inputs Yr 2'!$AM97,IF('Inputs Yr 2'!$AN97=BL$4,'Inputs Yr 2'!$AO97,0))))*(INDEX(avoidedcosttbl2,$H97,BL$2)+(($H97-ROUNDDOWN($H97,0))*(INDEX(avoidedcosttbl2,ROUNDUP($H97,0),BL$2)-(INDEX(avoidedcosttbl2,ROUNDDOWN($H97,0),BL$2)))))*'Inputs Yr 2'!P97*'Inputs Yr 2'!Q97*'Inputs Yr 2'!U97,"")</f>
        <v>0</v>
      </c>
      <c r="BM97" s="195">
        <f>IFERROR($G97*(IF('Inputs Yr 2'!$AJ97=BM$4,'Inputs Yr 2'!$AK97,IF('Inputs Yr 2'!$AL97=BM$4,'Inputs Yr 2'!$AM97,IF('Inputs Yr 2'!$AN97=BM$4,'Inputs Yr 2'!$AO97,0))))*(INDEX(avoidedcosttbl2,$H97,BM$2)+(($H97-ROUNDDOWN($H97,0))*(INDEX(avoidedcosttbl2,ROUNDUP($H97,0),BM$2)-(INDEX(avoidedcosttbl2,ROUNDDOWN($H97,0),BM$2)))))*'Inputs Yr 2'!P97*'Inputs Yr 2'!Q97*'Inputs Yr 2'!U97,"")</f>
        <v>0</v>
      </c>
      <c r="BN97" s="195">
        <f>IFERROR($G97*(IF('Inputs Yr 2'!$AJ97=BN$4,'Inputs Yr 2'!$AK97,IF('Inputs Yr 2'!$AL97=BN$4,'Inputs Yr 2'!$AM97,IF('Inputs Yr 2'!$AN97=BN$4,'Inputs Yr 2'!$AO97,0))))*(INDEX(avoidedcosttbl2,$H97,BN$2)+(($H97-ROUNDDOWN($H97,0))*(INDEX(avoidedcosttbl2,ROUNDUP($H97,0),BN$2)-(INDEX(avoidedcosttbl2,ROUNDDOWN($H97,0),BN$2)))))*'Inputs Yr 2'!P97*'Inputs Yr 2'!Q97*'Inputs Yr 2'!U97,"")</f>
        <v>0</v>
      </c>
      <c r="BO97" s="195">
        <f>IFERROR($G97*(IF('Inputs Yr 2'!$AJ97=BO$4,'Inputs Yr 2'!$AK97,IF('Inputs Yr 2'!$AL97=BO$4,'Inputs Yr 2'!$AM97,IF('Inputs Yr 2'!$AN97=BO$4,'Inputs Yr 2'!$AO97,0))))*(INDEX(avoidedcosttbl2,$H97,BO$2)+(($H97-ROUNDDOWN($H97,0))*(INDEX(avoidedcosttbl2,ROUNDUP($H97,0),BO$2)-(INDEX(avoidedcosttbl2,ROUNDDOWN($H97,0),BO$2)))))*'Inputs Yr 2'!P97*'Inputs Yr 2'!Q97*'Inputs Yr 2'!U97,"")</f>
        <v>0</v>
      </c>
      <c r="BP97" s="195">
        <f>IFERROR($G97*(IF('Inputs Yr 2'!$AJ97=BP$4,'Inputs Yr 2'!$AK97,IF('Inputs Yr 2'!$AL97=BP$4,'Inputs Yr 2'!$AM97,IF('Inputs Yr 2'!$AN97=BP$4,'Inputs Yr 2'!$AO97,0))))*(INDEX(avoidedcosttbl2,$H97,BP$2)+(($H97-ROUNDDOWN($H97,0))*(INDEX(avoidedcosttbl2,ROUNDUP($H97,0),BP$2)-(INDEX(avoidedcosttbl2,ROUNDDOWN($H97,0),BP$2)))))*'Inputs Yr 2'!P97*'Inputs Yr 2'!Q97*'Inputs Yr 2'!U97,"")</f>
        <v>0</v>
      </c>
      <c r="BQ97" s="230">
        <f t="shared" si="68"/>
        <v>20442.316681504566</v>
      </c>
      <c r="BR97" s="197">
        <f t="shared" si="52"/>
        <v>365.35170372504177</v>
      </c>
      <c r="BS97" s="197">
        <f>IFERROR(($G97*IF('Inputs Yr 2'!$AJ97=BM$4,'Inputs Yr 2'!$AK97,IF('Inputs Yr 2'!$AL97=BM$4,'Inputs Yr 2'!$AM97,IF('Inputs Yr 2'!$AN97=BM$4,'Inputs Yr 2'!$AO97,0))))*(INDEX(avoidedcosttbl2,$H97,BS$2)+(($H97-ROUNDDOWN($H97,0))*(INDEX(avoidedcosttbl2,ROUNDUP($H97,0),BS$2)-(INDEX(avoidedcosttbl2,ROUNDDOWN($H97,0),BS$2)))))*'Inputs Yr 2'!P97*'Inputs Yr 2'!Q97*'Inputs Yr 2'!U97,"")</f>
        <v>0</v>
      </c>
      <c r="BT97" s="197">
        <f>IFERROR(($G97*IF('Inputs Yr 2'!$AJ97=BK$4,'Inputs Yr 2'!$AK97,IF('Inputs Yr 2'!$AL97=BK$4,'Inputs Yr 2'!$AM97,IF('Inputs Yr 2'!$AN97=BK$4,'Inputs Yr 2'!$AO97,0))))*(INDEX(avoidedcosttbl2,$H97,BT$2)+(($H97-ROUNDDOWN($H97,0))*(INDEX(avoidedcosttbl2,ROUNDUP($H97,0),BT$2)-(INDEX(avoidedcosttbl2,ROUNDDOWN($H97,0),BT$2)))))*'Inputs Yr 2'!P97*'Inputs Yr 2'!Q97*'Inputs Yr 2'!U97,"")</f>
        <v>2784.9305826058962</v>
      </c>
      <c r="BU97" s="197">
        <f>IFERROR(($G97*IF('Inputs Yr 2'!$AJ97=BL$4,'Inputs Yr 2'!$AK97,IF('Inputs Yr 2'!$AL97=BL$4,'Inputs Yr 2'!$AM97,IF('Inputs Yr 2'!$AN97=BL$4,'Inputs Yr 2'!$AO97,0))))*(INDEX(avoidedcosttbl2,$H97,BU$2)+(($H97-ROUNDDOWN($H97,0))*(INDEX(avoidedcosttbl2,ROUNDUP($H97,0),BU$2)-(INDEX(avoidedcosttbl2,ROUNDDOWN($H97,0),BU$2)))))*'Inputs Yr 2'!P97*'Inputs Yr 2'!Q97*'Inputs Yr 2'!U97,"")</f>
        <v>0</v>
      </c>
      <c r="BV97" s="775">
        <f>IFERROR(($G97*IF('Inputs Yr 2'!$AJ97=BJ$4,'Inputs Yr 2'!$AK97,IF('Inputs Yr 2'!$AL97=BJ$4,'Inputs Yr 2'!$AM97,IF('Inputs Yr 2'!$AN97=BJ$4,'Inputs Yr 2'!$AO97,0))))*(INDEX(avoidedcosttbl2,$H97,BV$2)+(($H97-ROUNDDOWN($H97,0))*(INDEX(avoidedcosttbl2,ROUNDUP($H97,0),BV$2)-(INDEX(avoidedcosttbl2,ROUNDDOWN($H97,0),BV$2)))))*'Inputs Yr 2'!P97*'Inputs Yr 2'!Q97*'Inputs Yr 2'!U97,"")</f>
        <v>0</v>
      </c>
      <c r="BW97" s="197">
        <f>IFERROR(($G97*IF('Inputs Yr 2'!$AJ97=BN$4,'Inputs Yr 2'!$AK97,IF('Inputs Yr 2'!$AL97=BN$4,'Inputs Yr 2'!$AM97,IF('Inputs Yr 2'!$AN97=BN$4,'Inputs Yr 2'!$AO97,0))))*(INDEX(avoidedcosttbl2,$H97,BW$2)+(($H97-ROUNDDOWN($H97,0))*(INDEX(avoidedcosttbl2,ROUNDUP($H97,0),BW$2)-(INDEX(avoidedcosttbl2,ROUNDDOWN($H97,0),BW$2)))))*'Inputs Yr 2'!P97*'Inputs Yr 2'!Q97*'Inputs Yr 2'!U97,"")</f>
        <v>0</v>
      </c>
      <c r="BX97" s="197">
        <f>IFERROR(($G97*IF('Inputs Yr 2'!$AJ97=BO$4,'Inputs Yr 2'!$AK97,IF('Inputs Yr 2'!$AL97=BO$4,'Inputs Yr 2'!$AM97,IF('Inputs Yr 2'!$AN97=BO$4,'Inputs Yr 2'!$AO97,0))))*(INDEX(avoidedcosttbl2,$H97,BX$2)+(($H97-ROUNDDOWN($H97,0))*(INDEX(avoidedcosttbl2,ROUNDUP($H97,0),BX$2)-(INDEX(avoidedcosttbl2,ROUNDDOWN($H97,0),BX$2)))))*'Inputs Yr 2'!P97*'Inputs Yr 2'!Q97*'Inputs Yr 2'!U97,"")</f>
        <v>0</v>
      </c>
      <c r="BY97" s="197">
        <f>IFERROR(($G97*IF('Inputs Yr 2'!$AJ97=BP$4,'Inputs Yr 2'!$AK97,IF('Inputs Yr 2'!$AL97=BP$4,'Inputs Yr 2'!$AM97,IF('Inputs Yr 2'!$AN97=BP$4,'Inputs Yr 2'!$AO97,0))))*(INDEX(avoidedcosttbl2,$H97,BY$2)+(($H97-ROUNDDOWN($H97,0))*(INDEX(avoidedcosttbl2,ROUNDUP($H97,0),BY$2)-(INDEX(avoidedcosttbl2,ROUNDDOWN($H97,0),BY$2)))))*'Inputs Yr 2'!P97*'Inputs Yr 2'!Q97*'Inputs Yr 2'!U97,"")</f>
        <v>0</v>
      </c>
      <c r="BZ97" s="193">
        <f t="shared" si="69"/>
        <v>3150.2822863309379</v>
      </c>
      <c r="CA97" s="193">
        <f t="shared" si="70"/>
        <v>23592.598967835504</v>
      </c>
      <c r="CB97" s="195">
        <f>IFERROR(G97*(IF('Inputs Yr 2'!$AJ97=CB$4,'Inputs Yr 2'!$AK97,IF('Inputs Yr 2'!$AL97=CB$4,'Inputs Yr 2'!$AM97,IF('Inputs Yr 2'!$AN97=CB$4,'Inputs Yr 2'!$AO97,0))))*(INDEX(avoidedcosttbl2,$H97,CB$2)+(($H97-ROUNDDOWN($H97,0))*(INDEX(avoidedcosttbl2,ROUNDUP($H97,0),CB$2)-(INDEX(avoidedcosttbl2,ROUNDDOWN($H97,0),CB$2)))))*'Inputs Yr 2'!P97*'Inputs Yr 2'!Q97*'Inputs Yr 2'!U97,"")</f>
        <v>0</v>
      </c>
      <c r="CC97" s="195">
        <f>IFERROR(H97*(IF('Inputs Yr 2'!$AJ97=CC$4,'Inputs Yr 2'!$AK97,IF('Inputs Yr 2'!$AL97=CC$4,'Inputs Yr 2'!$AM97,IF('Inputs Yr 2'!$AN97=CC$4,'Inputs Yr 2'!$AO97,0))))*(INDEX(avoidedcosttbl2,$H97,CC$2)+(($H97-ROUNDDOWN($H97,0))*(INDEX(avoidedcosttbl2,ROUNDUP($H97,0),CC$2)-(INDEX(avoidedcosttbl2,ROUNDDOWN($H97,0),CC$2)))))*'Inputs Yr 2'!Q97*'Inputs Yr 2'!R97*'Inputs Yr 2'!V97,"")</f>
        <v>0</v>
      </c>
      <c r="CD97" s="195">
        <f>IFERROR(I97*(IF('Inputs Yr 2'!$AJ97=CD$4,'Inputs Yr 2'!$AK97,IF('Inputs Yr 2'!$AL97=CD$4,'Inputs Yr 2'!$AM97,IF('Inputs Yr 2'!$AN97=CD$4,'Inputs Yr 2'!$AO97,0))))*(INDEX(avoidedcosttbl2,$H97,CD$2)+(($H97-ROUNDDOWN($H97,0))*(INDEX(avoidedcosttbl2,ROUNDUP($H97,0),CD$2)-(INDEX(avoidedcosttbl2,ROUNDDOWN($H97,0),CD$2)))))*'Inputs Yr 2'!R97*'Inputs Yr 2'!S97*'Inputs Yr 2'!W97,"")</f>
        <v>0</v>
      </c>
      <c r="CE97" s="213">
        <f t="shared" si="71"/>
        <v>56543.442250220935</v>
      </c>
      <c r="CF97" s="213">
        <f t="shared" si="72"/>
        <v>0</v>
      </c>
      <c r="CG97" s="213">
        <f t="shared" si="73"/>
        <v>0</v>
      </c>
      <c r="CH97" s="698">
        <f t="shared" si="74"/>
        <v>80136.041218056431</v>
      </c>
      <c r="CI97" s="79">
        <f>IFERROR(($G97*'Inputs Yr 2'!$P97*'Inputs Yr 2'!$Q97*(((INDEX(avoidedcosttbl2,$H97,CI$2)+(($H97-ROUNDDOWN($H97,0))*(INDEX(avoidedcosttbl2,ROUNDUP($H97,0),CI$2)-INDEX(avoidedcosttbl2,ROUNDDOWN($H97,0),CI$2))))*'Inputs Yr 2'!AS97))),"")</f>
        <v>0</v>
      </c>
      <c r="CJ97" s="504">
        <f>IFERROR($G97*'Inputs Yr 2'!AT97*'Inputs Yr 2'!$P97*'Inputs Yr 2'!$Q97/((1+realdiscrt1)^-0.5),"")</f>
        <v>0</v>
      </c>
      <c r="CK97" s="79">
        <f>IFERROR((O97*1000*(((INDEX(avoidedcosttbl2,$H97,CK$2)+(($H97-ROUNDDOWN($H97,0))*(INDEX(avoidedcosttbl2,ROUNDUP($H97,0),CK$2)-INDEX(avoidedcosttbl2,ROUNDDOWN($H97,0),CK$2))))*'Inputs Yr 2'!AU97))),"")</f>
        <v>0</v>
      </c>
      <c r="CL97" s="504">
        <f>IFERROR(O97*1000*'Inputs Yr 2'!AV97/((1+realdiscrt1)^-0.5),"")</f>
        <v>0</v>
      </c>
      <c r="CM97" s="79">
        <f>IFERROR((AB97*'Inputs Yr 2'!AW97*(((INDEX(avoidedcosttbl2,$H97,CM$2)+(($H97-ROUNDDOWN($H97,0))*(INDEX(avoidedcosttbl2,ROUNDUP($H97,0),CM$2)-INDEX(avoidedcosttbl2,ROUNDDOWN($H97,0),CM$2)))))))*10,"")</f>
        <v>0</v>
      </c>
      <c r="CN97" s="504">
        <f>IFERROR(10*AB97*'Inputs Yr 2'!AX97/((1+realdiscrt1)^-0.5),"")</f>
        <v>0</v>
      </c>
      <c r="CO97" s="505">
        <f t="shared" si="75"/>
        <v>0</v>
      </c>
      <c r="CP97" s="230">
        <f t="shared" si="76"/>
        <v>80136.041218056431</v>
      </c>
      <c r="CQ97" s="199">
        <f>ROUND(IFERROR(IF(LEFT($A97,1)="C",'Avoided Costs'!$K$13,'Avoided Costs'!$K$12)+1,""),4)</f>
        <v>1.0720000000000001</v>
      </c>
      <c r="CR97" s="199">
        <f>ROUND(IFERROR(IF(LEFT($A97,1)="C",'Avoided Costs'!$L$13,'Avoided Costs'!$L$12)+1,""),4)</f>
        <v>1.04</v>
      </c>
      <c r="CS97" s="199">
        <f>ROUND(IFERROR(IF(LEFT($A97,1)="C",'Avoided Costs'!$M$13,'Avoided Costs'!$M$12)+1,""),4)</f>
        <v>1.0720000000000001</v>
      </c>
      <c r="CT97" s="199">
        <f>ROUND(IFERROR(IF(LEFT($A97,1)="C",'Avoided Costs'!$N$13,'Avoided Costs'!$N$12)+1,""),4)</f>
        <v>1.04</v>
      </c>
      <c r="CU97" s="199">
        <f>ROUND(IFERROR(IF(LEFT($A97,1)="C",'Avoided Costs'!$O$13,'Avoided Costs'!$O$12)+1,""),4)</f>
        <v>1.1120000000000001</v>
      </c>
      <c r="CV97" s="199">
        <f>ROUND(IFERROR(IF(LEFT($A97,1)="C",'Avoided Costs'!$P$13,'Avoided Costs'!$P$12)+1,""),4)</f>
        <v>1.095</v>
      </c>
      <c r="CW97" s="199">
        <f>ROUND(IFERROR(IF(LEFT($A97,1)="C",'Avoided Costs'!$Q$13,'Avoided Costs'!$Q$12)+1,""),4)</f>
        <v>1.1120000000000001</v>
      </c>
      <c r="CX97" s="200">
        <f>ROUND(IFERROR(IF(LEFT($A97,1)="C",'Avoided Costs'!$R$13,'Avoided Costs'!$R$12)+1,""),4)</f>
        <v>1.1120000000000001</v>
      </c>
    </row>
    <row r="98" spans="1:102" ht="12.75" customHeight="1">
      <c r="A98" s="91" t="str">
        <f>IF('Inputs Yr 2'!$B98=0,"",'Inputs Yr 2'!A98)</f>
        <v>A - Residential</v>
      </c>
      <c r="B98" s="91" t="str">
        <f>IF('Inputs Yr 2'!$B98=0,"",'Inputs Yr 2'!B98)</f>
        <v>A2 - Residential Products</v>
      </c>
      <c r="C98" s="91" t="str">
        <f>IF('Inputs Yr 2'!$B98=0,"",'Inputs Yr 2'!C98)</f>
        <v xml:space="preserve">A2a - Residential Heating &amp; Cooling Equipment </v>
      </c>
      <c r="D98" s="91" t="str">
        <f>IF('Inputs Yr 2'!$B98=0,"",'Inputs Yr 2'!E98)</f>
        <v>Rebate Cost Adjustment* (pre-wx, etc.)</v>
      </c>
      <c r="E98" s="93">
        <f>IF('Inputs Yr 2'!$B98=0,"",'Inputs Yr 2'!F98)</f>
        <v>0</v>
      </c>
      <c r="F98" s="93">
        <f>IF('Inputs Yr 2'!$B98=0,"",'Inputs Yr 2'!G98)</f>
        <v>0</v>
      </c>
      <c r="G98" s="95" t="str">
        <f>IF('Inputs Yr 2'!$H98&lt;&gt;0,('Inputs Yr 2'!H98),"")</f>
        <v/>
      </c>
      <c r="H98" s="94">
        <f>IFERROR('Inputs Yr 2'!I98,"")</f>
        <v>0</v>
      </c>
      <c r="I98" s="298" t="str">
        <f>IFERROR('Inputs Yr 2'!J98*'Inputs Yr 2'!P98*G98,"")</f>
        <v/>
      </c>
      <c r="J98" s="298" t="str">
        <f>IFERROR('Inputs Yr 2'!K98*G98,"")</f>
        <v/>
      </c>
      <c r="K98" s="298" t="str">
        <f t="shared" si="53"/>
        <v/>
      </c>
      <c r="L98" s="194" t="str">
        <f>IFERROR(('Inputs Yr 2'!W98*G98)/1000,"")</f>
        <v/>
      </c>
      <c r="M98" s="194" t="str">
        <f>IFERROR(L98*('Inputs Yr 2'!$Q98*'Inputs Yr 2'!$V98*'Inputs Yr 2'!$R98),"")</f>
        <v/>
      </c>
      <c r="N98" s="194" t="str">
        <f t="shared" si="54"/>
        <v/>
      </c>
      <c r="O98" s="194" t="str">
        <f>IFERROR(M98*'Inputs Yr 2'!P98,"")</f>
        <v/>
      </c>
      <c r="P98" s="194" t="str">
        <f t="shared" si="55"/>
        <v/>
      </c>
      <c r="Q98" s="194" t="str">
        <f>IFERROR($P98*'Inputs Yr 2'!AA98,"")</f>
        <v/>
      </c>
      <c r="R98" s="194" t="str">
        <f>IFERROR($P98*'Inputs Yr 2'!AB98,"")</f>
        <v/>
      </c>
      <c r="S98" s="194" t="str">
        <f>IFERROR($P98*'Inputs Yr 2'!AC98,"")</f>
        <v/>
      </c>
      <c r="T98" s="194" t="str">
        <f>IFERROR($P98*'Inputs Yr 2'!AD98,"")</f>
        <v/>
      </c>
      <c r="U98" s="194" t="str">
        <f>IFERROR(G98*'Inputs Yr 2'!$AE98*'Inputs Yr 2'!$P98*'Inputs Yr 2'!$Q98,"")</f>
        <v/>
      </c>
      <c r="V98" s="194" t="str">
        <f>IFERROR($G98*'Inputs Yr 2'!$AE98*'Inputs Yr 2'!$AG98*'Inputs Yr 2'!Q98*'Inputs Yr 2'!$S98,"")</f>
        <v/>
      </c>
      <c r="W98" s="194" t="str">
        <f>IFERROR($G98*'Inputs Yr 2'!$AE98*'Inputs Yr 2'!$AG98*'Inputs Yr 2'!P98*'Inputs Yr 2'!Q98*'Inputs Yr 2'!$S98,"")</f>
        <v/>
      </c>
      <c r="X98" s="194" t="str">
        <f>IFERROR($G98*'Inputs Yr 2'!$AE98*'Inputs Yr 2'!$AF98*'Inputs Yr 2'!Q98*'Inputs Yr 2'!$T98,"")</f>
        <v/>
      </c>
      <c r="Y98" s="194" t="str">
        <f>IFERROR($G98*'Inputs Yr 2'!$AE98*'Inputs Yr 2'!$AF98*'Inputs Yr 2'!P98*'Inputs Yr 2'!Q98*'Inputs Yr 2'!$T98,"")</f>
        <v/>
      </c>
      <c r="Z98" s="257">
        <f>IFERROR($G98*'Inputs Yr 2'!$Q98*'Inputs Yr 2'!$U98*(IF(IFERROR(SEARCH("NG", 'Inputs Yr 2'!$AJ98),0),'Inputs Yr 2'!$AK98,0)+IF(IFERROR(SEARCH("NG", 'Inputs Yr 2'!$AL98),0),'Inputs Yr 2'!$AM98,0)+IF(IFERROR(SEARCH("NG", 'Inputs Yr 2'!$AN98),0),'Inputs Yr 2'!$AO98,0)),0)</f>
        <v>0</v>
      </c>
      <c r="AA98" s="257">
        <f t="shared" si="56"/>
        <v>0</v>
      </c>
      <c r="AB98" s="257">
        <f>IFERROR(Z98*'Inputs Yr 2'!$P98,0)</f>
        <v>0</v>
      </c>
      <c r="AC98" s="257">
        <f t="shared" si="57"/>
        <v>0</v>
      </c>
      <c r="AD98" s="257">
        <f>IFERROR($G98*'Inputs Yr 2'!$Q98*'Inputs Yr 2'!$U98*(IF(IFERROR(SEARCH("Oil", 'Inputs Yr 2'!$AJ98), 0),'Inputs Yr 2'!$AK98,0)+IF(IFERROR(SEARCH("Oil", 'Inputs Yr 2'!$AL98), 0),'Inputs Yr 2'!$AM98,0)+IF(IFERROR(SEARCH("Oil", 'Inputs Yr 2'!$AN98), 0),'Inputs Yr 2'!$AO98,0)),0)</f>
        <v>0</v>
      </c>
      <c r="AE98" s="257">
        <f t="shared" si="58"/>
        <v>0</v>
      </c>
      <c r="AF98" s="257">
        <f>IFERROR(AD98*'Inputs Yr 2'!$P98,0)</f>
        <v>0</v>
      </c>
      <c r="AG98" s="257">
        <f t="shared" si="59"/>
        <v>0</v>
      </c>
      <c r="AH98" s="257">
        <f>IFERROR($G98*'Inputs Yr 2'!$Q98*'Inputs Yr 2'!$U98*(IF('Inputs Yr 2'!$AJ98=CD$4,'Inputs Yr 2'!$AK98,IF('Inputs Yr 2'!$AL98=CD$4,'Inputs Yr 2'!$AM98,IF('Inputs Yr 2'!$AN98=CD$4,'Inputs Yr 2'!$AO98,0)))),0)</f>
        <v>0</v>
      </c>
      <c r="AI98" s="257">
        <f t="shared" si="60"/>
        <v>0</v>
      </c>
      <c r="AJ98" s="257">
        <f>IFERROR(AH98*'Inputs Yr 2'!$P98,0)</f>
        <v>0</v>
      </c>
      <c r="AK98" s="257">
        <f t="shared" si="61"/>
        <v>0</v>
      </c>
      <c r="AL98" s="258">
        <f>IFERROR($G98*'Inputs Yr 2'!$P98*'Inputs Yr 2'!$Q98*'Inputs Yr 2'!AP98,0)</f>
        <v>0</v>
      </c>
      <c r="AM98" s="260">
        <f>IFERROR($G98*'Inputs Yr 2'!$P98*'Inputs Yr 2'!$Q98*'Inputs Yr 2'!AQ98,0)</f>
        <v>0</v>
      </c>
      <c r="AN98" s="258">
        <f>IFERROR($G98*'Inputs Yr 2'!$P98*'Inputs Yr 2'!$Q98*'Inputs Yr 2'!AR98,0)</f>
        <v>0</v>
      </c>
      <c r="AO98" s="257">
        <f t="shared" si="62"/>
        <v>0</v>
      </c>
      <c r="AP98" s="195" t="str">
        <f>IFERROR($CQ98*(INDEX(avoidedcosttbl2,$H98,AP$2)+(($H98-ROUNDDOWN($H98,0))*(INDEX(avoidedcosttbl2,ROUNDUP($H98,0),AP$2)-(INDEX(avoidedcosttbl2,ROUNDDOWN($H98,0),AP$2)))))*$O98*1000*'Inputs Yr 2'!AA98,"")</f>
        <v/>
      </c>
      <c r="AQ98" s="195" t="str">
        <f>IFERROR($CR98*(INDEX(avoidedcosttbl2,$H98,AQ$2)+(($H98-ROUNDDOWN($H98,0))*(INDEX(avoidedcosttbl2,ROUNDUP($H98,0),AQ$2)-(INDEX(avoidedcosttbl2,ROUNDDOWN($H98,0),AQ$2)))))*$O98*1000*'Inputs Yr 2'!AB98,"")</f>
        <v/>
      </c>
      <c r="AR98" s="195" t="str">
        <f>IFERROR($CS98*(INDEX(avoidedcosttbl2,$H98,AR$2)+(($H98-ROUNDDOWN($H98,0))*(INDEX(avoidedcosttbl2,ROUNDUP($H98,0),AR$2)-(INDEX(avoidedcosttbl2,ROUNDDOWN($H98,0),AR$2)))))*$O98*1000*'Inputs Yr 2'!AC98,"")</f>
        <v/>
      </c>
      <c r="AS98" s="195" t="str">
        <f>IFERROR($CT98*(INDEX(avoidedcosttbl2,$H98,AS$2)+(($H98-ROUNDDOWN($H98,0))*(INDEX(avoidedcosttbl2,ROUNDUP($H98,0),AS$2)-(INDEX(avoidedcosttbl2,ROUNDDOWN($H98,0),AS$2)))))*$O98*1000*'Inputs Yr 2'!AD98,"")</f>
        <v/>
      </c>
      <c r="AT98" s="196">
        <f t="shared" si="63"/>
        <v>0</v>
      </c>
      <c r="AU98" s="197" t="str">
        <f>IFERROR($CQ98*((INDEX(avoidedcosttbl2,$H98,AU$2))+(($H98-ROUNDDOWN($H98,0))*((INDEX(avoidedcosttbl2,ROUNDUP($H98,0),AU$2))-(INDEX(avoidedcosttbl2,ROUNDDOWN($H98,0),AU$2)))))*$O98*1000*'Inputs Yr 2'!AA98,"")</f>
        <v/>
      </c>
      <c r="AV98" s="197" t="str">
        <f>IFERROR($CR98*((INDEX(avoidedcosttbl2,$H98,AV$2))+(($H98-ROUNDDOWN($H98,0))*((INDEX(avoidedcosttbl2,ROUNDUP($H98,0),AV$2))-(INDEX(avoidedcosttbl2,ROUNDDOWN($H98,0),AV$2)))))*$O98*1000*'Inputs Yr 2'!AB98,"")</f>
        <v/>
      </c>
      <c r="AW98" s="197" t="str">
        <f>IFERROR($CS98*((INDEX(avoidedcosttbl2,$H98,AW$2))+(($H98-ROUNDDOWN($H98,0))*((INDEX(avoidedcosttbl2,ROUNDUP($H98,0),AW$2))-(INDEX(avoidedcosttbl2,ROUNDDOWN($H98,0),AW$2)))))*$O98*1000*'Inputs Yr 2'!AC98,"")</f>
        <v/>
      </c>
      <c r="AX98" s="197" t="str">
        <f>IFERROR($CT98*((INDEX(avoidedcosttbl2,$H98,AX$2))+(($H98-ROUNDDOWN($H98,0))*((INDEX(avoidedcosttbl2,ROUNDUP($H98,0),AX$2))-(INDEX(avoidedcosttbl2,ROUNDDOWN($H98,0),AX$2)))))*$O98*1000*'Inputs Yr 2'!AD98,"")</f>
        <v/>
      </c>
      <c r="AY98" s="197" t="str">
        <f>IFERROR(((INDEX(avoidedcosttbl2,$H98,AY$2))+(($H98-ROUNDDOWN($H98,0))*((INDEX(avoidedcosttbl2,ROUNDUP($H98,0),AY$2))-(INDEX(avoidedcosttbl2,ROUNDDOWN($H98,0),AY$2)))))*$O98*1000*('Inputs Yr 2'!AC98+'Inputs Yr 2'!AD98),"")</f>
        <v/>
      </c>
      <c r="AZ98" s="197" t="str">
        <f>IFERROR(((INDEX(avoidedcosttbl2,$H98,AZ$2))+(($H98-ROUNDDOWN($H98,0))*((INDEX(avoidedcosttbl2,ROUNDUP($H98,0),AZ$2))-(INDEX(avoidedcosttbl2,ROUNDDOWN($H98,0),AZ$2)))))*$O98*1000*('Inputs Yr 2'!AA98+'Inputs Yr 2'!AB98),"")</f>
        <v/>
      </c>
      <c r="BA98" s="198">
        <f t="shared" si="64"/>
        <v>0</v>
      </c>
      <c r="BB98" s="198">
        <f t="shared" si="65"/>
        <v>0</v>
      </c>
      <c r="BC98" s="195" t="str">
        <f t="shared" si="47"/>
        <v/>
      </c>
      <c r="BD98" s="195" t="str">
        <f t="shared" si="48"/>
        <v/>
      </c>
      <c r="BE98" s="195" t="str">
        <f t="shared" si="49"/>
        <v/>
      </c>
      <c r="BF98" s="195" t="str">
        <f t="shared" si="50"/>
        <v/>
      </c>
      <c r="BG98" s="195" t="str">
        <f t="shared" si="51"/>
        <v/>
      </c>
      <c r="BH98" s="196">
        <f t="shared" si="66"/>
        <v>0</v>
      </c>
      <c r="BI98" s="196">
        <f t="shared" si="67"/>
        <v>0</v>
      </c>
      <c r="BJ98" s="195" t="str">
        <f>IFERROR($G98*(IF('Inputs Yr 2'!$AJ98=BJ$4,'Inputs Yr 2'!$AK98,IF('Inputs Yr 2'!$AL98=BJ$4,'Inputs Yr 2'!$AM98,IF('Inputs Yr 2'!$AN98=BJ$4,'Inputs Yr 2'!$AO98,0))))*(INDEX(avoidedcosttbl2,$H98,BJ$2)+(($H98-ROUNDDOWN($H98,0))*(INDEX(avoidedcosttbl2,ROUNDUP($H98,0),BJ$2)-(INDEX(avoidedcosttbl2,ROUNDDOWN($H98,0),BJ$2)))))*'Inputs Yr 2'!P98*'Inputs Yr 2'!Q98*'Inputs Yr 2'!U98,"")</f>
        <v/>
      </c>
      <c r="BK98" s="195" t="str">
        <f>IFERROR($G98*(IF('Inputs Yr 2'!$AJ98=BK$4,'Inputs Yr 2'!$AK98,IF('Inputs Yr 2'!$AL98=BK$4,'Inputs Yr 2'!$AM98,IF('Inputs Yr 2'!$AN98=BK$4,'Inputs Yr 2'!$AO98,0))))*(INDEX(avoidedcosttbl2,$H98,BK$2)+(($H98-ROUNDDOWN($H98,0))*(INDEX(avoidedcosttbl2,ROUNDUP($H98,0),BK$2)-(INDEX(avoidedcosttbl2,ROUNDDOWN($H98,0),BK$2)))))*'Inputs Yr 2'!P98*'Inputs Yr 2'!Q98*'Inputs Yr 2'!U98,"")</f>
        <v/>
      </c>
      <c r="BL98" s="195" t="str">
        <f>IFERROR($G98*(IF('Inputs Yr 2'!$AJ98=BL$4,'Inputs Yr 2'!$AK98,IF('Inputs Yr 2'!$AL98=BL$4,'Inputs Yr 2'!$AM98,IF('Inputs Yr 2'!$AN98=BL$4,'Inputs Yr 2'!$AO98,0))))*(INDEX(avoidedcosttbl2,$H98,BL$2)+(($H98-ROUNDDOWN($H98,0))*(INDEX(avoidedcosttbl2,ROUNDUP($H98,0),BL$2)-(INDEX(avoidedcosttbl2,ROUNDDOWN($H98,0),BL$2)))))*'Inputs Yr 2'!P98*'Inputs Yr 2'!Q98*'Inputs Yr 2'!U98,"")</f>
        <v/>
      </c>
      <c r="BM98" s="195" t="str">
        <f>IFERROR($G98*(IF('Inputs Yr 2'!$AJ98=BM$4,'Inputs Yr 2'!$AK98,IF('Inputs Yr 2'!$AL98=BM$4,'Inputs Yr 2'!$AM98,IF('Inputs Yr 2'!$AN98=BM$4,'Inputs Yr 2'!$AO98,0))))*(INDEX(avoidedcosttbl2,$H98,BM$2)+(($H98-ROUNDDOWN($H98,0))*(INDEX(avoidedcosttbl2,ROUNDUP($H98,0),BM$2)-(INDEX(avoidedcosttbl2,ROUNDDOWN($H98,0),BM$2)))))*'Inputs Yr 2'!P98*'Inputs Yr 2'!Q98*'Inputs Yr 2'!U98,"")</f>
        <v/>
      </c>
      <c r="BN98" s="195" t="str">
        <f>IFERROR($G98*(IF('Inputs Yr 2'!$AJ98=BN$4,'Inputs Yr 2'!$AK98,IF('Inputs Yr 2'!$AL98=BN$4,'Inputs Yr 2'!$AM98,IF('Inputs Yr 2'!$AN98=BN$4,'Inputs Yr 2'!$AO98,0))))*(INDEX(avoidedcosttbl2,$H98,BN$2)+(($H98-ROUNDDOWN($H98,0))*(INDEX(avoidedcosttbl2,ROUNDUP($H98,0),BN$2)-(INDEX(avoidedcosttbl2,ROUNDDOWN($H98,0),BN$2)))))*'Inputs Yr 2'!P98*'Inputs Yr 2'!Q98*'Inputs Yr 2'!U98,"")</f>
        <v/>
      </c>
      <c r="BO98" s="195" t="str">
        <f>IFERROR($G98*(IF('Inputs Yr 2'!$AJ98=BO$4,'Inputs Yr 2'!$AK98,IF('Inputs Yr 2'!$AL98=BO$4,'Inputs Yr 2'!$AM98,IF('Inputs Yr 2'!$AN98=BO$4,'Inputs Yr 2'!$AO98,0))))*(INDEX(avoidedcosttbl2,$H98,BO$2)+(($H98-ROUNDDOWN($H98,0))*(INDEX(avoidedcosttbl2,ROUNDUP($H98,0),BO$2)-(INDEX(avoidedcosttbl2,ROUNDDOWN($H98,0),BO$2)))))*'Inputs Yr 2'!P98*'Inputs Yr 2'!Q98*'Inputs Yr 2'!U98,"")</f>
        <v/>
      </c>
      <c r="BP98" s="195" t="str">
        <f>IFERROR($G98*(IF('Inputs Yr 2'!$AJ98=BP$4,'Inputs Yr 2'!$AK98,IF('Inputs Yr 2'!$AL98=BP$4,'Inputs Yr 2'!$AM98,IF('Inputs Yr 2'!$AN98=BP$4,'Inputs Yr 2'!$AO98,0))))*(INDEX(avoidedcosttbl2,$H98,BP$2)+(($H98-ROUNDDOWN($H98,0))*(INDEX(avoidedcosttbl2,ROUNDUP($H98,0),BP$2)-(INDEX(avoidedcosttbl2,ROUNDDOWN($H98,0),BP$2)))))*'Inputs Yr 2'!P98*'Inputs Yr 2'!Q98*'Inputs Yr 2'!U98,"")</f>
        <v/>
      </c>
      <c r="BQ98" s="230">
        <f t="shared" si="68"/>
        <v>0</v>
      </c>
      <c r="BR98" s="197" t="str">
        <f t="shared" si="52"/>
        <v/>
      </c>
      <c r="BS98" s="197" t="str">
        <f>IFERROR(($G98*IF('Inputs Yr 2'!$AJ98=BM$4,'Inputs Yr 2'!$AK98,IF('Inputs Yr 2'!$AL98=BM$4,'Inputs Yr 2'!$AM98,IF('Inputs Yr 2'!$AN98=BM$4,'Inputs Yr 2'!$AO98,0))))*(INDEX(avoidedcosttbl2,$H98,BS$2)+(($H98-ROUNDDOWN($H98,0))*(INDEX(avoidedcosttbl2,ROUNDUP($H98,0),BS$2)-(INDEX(avoidedcosttbl2,ROUNDDOWN($H98,0),BS$2)))))*'Inputs Yr 2'!P98*'Inputs Yr 2'!Q98*'Inputs Yr 2'!U98,"")</f>
        <v/>
      </c>
      <c r="BT98" s="197" t="str">
        <f>IFERROR(($G98*IF('Inputs Yr 2'!$AJ98=BK$4,'Inputs Yr 2'!$AK98,IF('Inputs Yr 2'!$AL98=BK$4,'Inputs Yr 2'!$AM98,IF('Inputs Yr 2'!$AN98=BK$4,'Inputs Yr 2'!$AO98,0))))*(INDEX(avoidedcosttbl2,$H98,BT$2)+(($H98-ROUNDDOWN($H98,0))*(INDEX(avoidedcosttbl2,ROUNDUP($H98,0),BT$2)-(INDEX(avoidedcosttbl2,ROUNDDOWN($H98,0),BT$2)))))*'Inputs Yr 2'!P98*'Inputs Yr 2'!Q98*'Inputs Yr 2'!U98,"")</f>
        <v/>
      </c>
      <c r="BU98" s="197" t="str">
        <f>IFERROR(($G98*IF('Inputs Yr 2'!$AJ98=BL$4,'Inputs Yr 2'!$AK98,IF('Inputs Yr 2'!$AL98=BL$4,'Inputs Yr 2'!$AM98,IF('Inputs Yr 2'!$AN98=BL$4,'Inputs Yr 2'!$AO98,0))))*(INDEX(avoidedcosttbl2,$H98,BU$2)+(($H98-ROUNDDOWN($H98,0))*(INDEX(avoidedcosttbl2,ROUNDUP($H98,0),BU$2)-(INDEX(avoidedcosttbl2,ROUNDDOWN($H98,0),BU$2)))))*'Inputs Yr 2'!P98*'Inputs Yr 2'!Q98*'Inputs Yr 2'!U98,"")</f>
        <v/>
      </c>
      <c r="BV98" s="775" t="str">
        <f>IFERROR(($G98*IF('Inputs Yr 2'!$AJ98=BJ$4,'Inputs Yr 2'!$AK98,IF('Inputs Yr 2'!$AL98=BJ$4,'Inputs Yr 2'!$AM98,IF('Inputs Yr 2'!$AN98=BJ$4,'Inputs Yr 2'!$AO98,0))))*(INDEX(avoidedcosttbl2,$H98,BV$2)+(($H98-ROUNDDOWN($H98,0))*(INDEX(avoidedcosttbl2,ROUNDUP($H98,0),BV$2)-(INDEX(avoidedcosttbl2,ROUNDDOWN($H98,0),BV$2)))))*'Inputs Yr 2'!P98*'Inputs Yr 2'!Q98*'Inputs Yr 2'!U98,"")</f>
        <v/>
      </c>
      <c r="BW98" s="197" t="str">
        <f>IFERROR(($G98*IF('Inputs Yr 2'!$AJ98=BN$4,'Inputs Yr 2'!$AK98,IF('Inputs Yr 2'!$AL98=BN$4,'Inputs Yr 2'!$AM98,IF('Inputs Yr 2'!$AN98=BN$4,'Inputs Yr 2'!$AO98,0))))*(INDEX(avoidedcosttbl2,$H98,BW$2)+(($H98-ROUNDDOWN($H98,0))*(INDEX(avoidedcosttbl2,ROUNDUP($H98,0),BW$2)-(INDEX(avoidedcosttbl2,ROUNDDOWN($H98,0),BW$2)))))*'Inputs Yr 2'!P98*'Inputs Yr 2'!Q98*'Inputs Yr 2'!U98,"")</f>
        <v/>
      </c>
      <c r="BX98" s="197" t="str">
        <f>IFERROR(($G98*IF('Inputs Yr 2'!$AJ98=BO$4,'Inputs Yr 2'!$AK98,IF('Inputs Yr 2'!$AL98=BO$4,'Inputs Yr 2'!$AM98,IF('Inputs Yr 2'!$AN98=BO$4,'Inputs Yr 2'!$AO98,0))))*(INDEX(avoidedcosttbl2,$H98,BX$2)+(($H98-ROUNDDOWN($H98,0))*(INDEX(avoidedcosttbl2,ROUNDUP($H98,0),BX$2)-(INDEX(avoidedcosttbl2,ROUNDDOWN($H98,0),BX$2)))))*'Inputs Yr 2'!P98*'Inputs Yr 2'!Q98*'Inputs Yr 2'!U98,"")</f>
        <v/>
      </c>
      <c r="BY98" s="197" t="str">
        <f>IFERROR(($G98*IF('Inputs Yr 2'!$AJ98=BP$4,'Inputs Yr 2'!$AK98,IF('Inputs Yr 2'!$AL98=BP$4,'Inputs Yr 2'!$AM98,IF('Inputs Yr 2'!$AN98=BP$4,'Inputs Yr 2'!$AO98,0))))*(INDEX(avoidedcosttbl2,$H98,BY$2)+(($H98-ROUNDDOWN($H98,0))*(INDEX(avoidedcosttbl2,ROUNDUP($H98,0),BY$2)-(INDEX(avoidedcosttbl2,ROUNDDOWN($H98,0),BY$2)))))*'Inputs Yr 2'!P98*'Inputs Yr 2'!Q98*'Inputs Yr 2'!U98,"")</f>
        <v/>
      </c>
      <c r="BZ98" s="193">
        <f t="shared" si="69"/>
        <v>0</v>
      </c>
      <c r="CA98" s="193">
        <f t="shared" si="70"/>
        <v>0</v>
      </c>
      <c r="CB98" s="195" t="str">
        <f>IFERROR(G98*(IF('Inputs Yr 2'!$AJ98=CB$4,'Inputs Yr 2'!$AK98,IF('Inputs Yr 2'!$AL98=CB$4,'Inputs Yr 2'!$AM98,IF('Inputs Yr 2'!$AN98=CB$4,'Inputs Yr 2'!$AO98,0))))*(INDEX(avoidedcosttbl2,$H98,CB$2)+(($H98-ROUNDDOWN($H98,0))*(INDEX(avoidedcosttbl2,ROUNDUP($H98,0),CB$2)-(INDEX(avoidedcosttbl2,ROUNDDOWN($H98,0),CB$2)))))*'Inputs Yr 2'!P98*'Inputs Yr 2'!Q98*'Inputs Yr 2'!U98,"")</f>
        <v/>
      </c>
      <c r="CC98" s="195" t="str">
        <f>IFERROR(H98*(IF('Inputs Yr 2'!$AJ98=CC$4,'Inputs Yr 2'!$AK98,IF('Inputs Yr 2'!$AL98=CC$4,'Inputs Yr 2'!$AM98,IF('Inputs Yr 2'!$AN98=CC$4,'Inputs Yr 2'!$AO98,0))))*(INDEX(avoidedcosttbl2,$H98,CC$2)+(($H98-ROUNDDOWN($H98,0))*(INDEX(avoidedcosttbl2,ROUNDUP($H98,0),CC$2)-(INDEX(avoidedcosttbl2,ROUNDDOWN($H98,0),CC$2)))))*'Inputs Yr 2'!Q98*'Inputs Yr 2'!R98*'Inputs Yr 2'!V98,"")</f>
        <v/>
      </c>
      <c r="CD98" s="195" t="str">
        <f>IFERROR(I98*(IF('Inputs Yr 2'!$AJ98=CD$4,'Inputs Yr 2'!$AK98,IF('Inputs Yr 2'!$AL98=CD$4,'Inputs Yr 2'!$AM98,IF('Inputs Yr 2'!$AN98=CD$4,'Inputs Yr 2'!$AO98,0))))*(INDEX(avoidedcosttbl2,$H98,CD$2)+(($H98-ROUNDDOWN($H98,0))*(INDEX(avoidedcosttbl2,ROUNDUP($H98,0),CD$2)-(INDEX(avoidedcosttbl2,ROUNDDOWN($H98,0),CD$2)))))*'Inputs Yr 2'!R98*'Inputs Yr 2'!S98*'Inputs Yr 2'!W98,"")</f>
        <v/>
      </c>
      <c r="CE98" s="213" t="str">
        <f t="shared" si="71"/>
        <v/>
      </c>
      <c r="CF98" s="213" t="str">
        <f t="shared" si="72"/>
        <v/>
      </c>
      <c r="CG98" s="213" t="str">
        <f t="shared" si="73"/>
        <v/>
      </c>
      <c r="CH98" s="698">
        <f t="shared" si="74"/>
        <v>0</v>
      </c>
      <c r="CI98" s="79" t="str">
        <f>IFERROR(($G98*'Inputs Yr 2'!$P98*'Inputs Yr 2'!$Q98*(((INDEX(avoidedcosttbl2,$H98,CI$2)+(($H98-ROUNDDOWN($H98,0))*(INDEX(avoidedcosttbl2,ROUNDUP($H98,0),CI$2)-INDEX(avoidedcosttbl2,ROUNDDOWN($H98,0),CI$2))))*'Inputs Yr 2'!AS98))),"")</f>
        <v/>
      </c>
      <c r="CJ98" s="504" t="str">
        <f>IFERROR($G98*'Inputs Yr 2'!AT98*'Inputs Yr 2'!$P98*'Inputs Yr 2'!$Q98/((1+realdiscrt1)^-0.5),"")</f>
        <v/>
      </c>
      <c r="CK98" s="79" t="str">
        <f>IFERROR((O98*1000*(((INDEX(avoidedcosttbl2,$H98,CK$2)+(($H98-ROUNDDOWN($H98,0))*(INDEX(avoidedcosttbl2,ROUNDUP($H98,0),CK$2)-INDEX(avoidedcosttbl2,ROUNDDOWN($H98,0),CK$2))))*'Inputs Yr 2'!AU98))),"")</f>
        <v/>
      </c>
      <c r="CL98" s="504" t="str">
        <f>IFERROR(O98*1000*'Inputs Yr 2'!AV98/((1+realdiscrt1)^-0.5),"")</f>
        <v/>
      </c>
      <c r="CM98" s="79" t="str">
        <f>IFERROR((AB98*'Inputs Yr 2'!AW98*(((INDEX(avoidedcosttbl2,$H98,CM$2)+(($H98-ROUNDDOWN($H98,0))*(INDEX(avoidedcosttbl2,ROUNDUP($H98,0),CM$2)-INDEX(avoidedcosttbl2,ROUNDDOWN($H98,0),CM$2)))))))*10,"")</f>
        <v/>
      </c>
      <c r="CN98" s="504">
        <f>IFERROR(10*AB98*'Inputs Yr 2'!AX98/((1+realdiscrt1)^-0.5),"")</f>
        <v>0</v>
      </c>
      <c r="CO98" s="505">
        <f t="shared" si="75"/>
        <v>0</v>
      </c>
      <c r="CP98" s="230">
        <f t="shared" si="76"/>
        <v>0</v>
      </c>
      <c r="CQ98" s="199">
        <f>ROUND(IFERROR(IF(LEFT($A98,1)="C",'Avoided Costs'!$K$13,'Avoided Costs'!$K$12)+1,""),4)</f>
        <v>1.0720000000000001</v>
      </c>
      <c r="CR98" s="199">
        <f>ROUND(IFERROR(IF(LEFT($A98,1)="C",'Avoided Costs'!$L$13,'Avoided Costs'!$L$12)+1,""),4)</f>
        <v>1.04</v>
      </c>
      <c r="CS98" s="199">
        <f>ROUND(IFERROR(IF(LEFT($A98,1)="C",'Avoided Costs'!$M$13,'Avoided Costs'!$M$12)+1,""),4)</f>
        <v>1.0720000000000001</v>
      </c>
      <c r="CT98" s="199">
        <f>ROUND(IFERROR(IF(LEFT($A98,1)="C",'Avoided Costs'!$N$13,'Avoided Costs'!$N$12)+1,""),4)</f>
        <v>1.04</v>
      </c>
      <c r="CU98" s="199">
        <f>ROUND(IFERROR(IF(LEFT($A98,1)="C",'Avoided Costs'!$O$13,'Avoided Costs'!$O$12)+1,""),4)</f>
        <v>1.1120000000000001</v>
      </c>
      <c r="CV98" s="199">
        <f>ROUND(IFERROR(IF(LEFT($A98,1)="C",'Avoided Costs'!$P$13,'Avoided Costs'!$P$12)+1,""),4)</f>
        <v>1.095</v>
      </c>
      <c r="CW98" s="199">
        <f>ROUND(IFERROR(IF(LEFT($A98,1)="C",'Avoided Costs'!$Q$13,'Avoided Costs'!$Q$12)+1,""),4)</f>
        <v>1.1120000000000001</v>
      </c>
      <c r="CX98" s="200">
        <f>ROUND(IFERROR(IF(LEFT($A98,1)="C",'Avoided Costs'!$R$13,'Avoided Costs'!$R$12)+1,""),4)</f>
        <v>1.1120000000000001</v>
      </c>
    </row>
    <row r="99" spans="1:102" ht="12.75" customHeight="1">
      <c r="A99" s="91" t="str">
        <f>IF('Inputs Yr 2'!$B99=0,"",'Inputs Yr 2'!A99)</f>
        <v>A - Residential</v>
      </c>
      <c r="B99" s="91" t="str">
        <f>IF('Inputs Yr 2'!$B99=0,"",'Inputs Yr 2'!B99)</f>
        <v>A2 - Residential Products</v>
      </c>
      <c r="C99" s="91" t="str">
        <f>IF('Inputs Yr 2'!$B99=0,"",'Inputs Yr 2'!C99)</f>
        <v xml:space="preserve">A2a - Residential Heating &amp; Cooling Equipment </v>
      </c>
      <c r="D99" s="91" t="str">
        <f>IF('Inputs Yr 2'!$B99=0,"",'Inputs Yr 2'!E99)</f>
        <v>Custom/Future</v>
      </c>
      <c r="E99" s="93">
        <f>IF('Inputs Yr 2'!$B99=0,"",'Inputs Yr 2'!F99)</f>
        <v>0</v>
      </c>
      <c r="F99" s="93">
        <f>IF('Inputs Yr 2'!$B99=0,"",'Inputs Yr 2'!G99)</f>
        <v>0</v>
      </c>
      <c r="G99" s="95" t="str">
        <f>IF('Inputs Yr 2'!$H99&lt;&gt;0,('Inputs Yr 2'!H99),"")</f>
        <v/>
      </c>
      <c r="H99" s="94">
        <f>IFERROR('Inputs Yr 2'!I99,"")</f>
        <v>0</v>
      </c>
      <c r="I99" s="298" t="str">
        <f>IFERROR('Inputs Yr 2'!J99*'Inputs Yr 2'!P99*G99,"")</f>
        <v/>
      </c>
      <c r="J99" s="298" t="str">
        <f>IFERROR('Inputs Yr 2'!K99*G99,"")</f>
        <v/>
      </c>
      <c r="K99" s="298" t="str">
        <f t="shared" si="53"/>
        <v/>
      </c>
      <c r="L99" s="194" t="str">
        <f>IFERROR(('Inputs Yr 2'!W99*G99)/1000,"")</f>
        <v/>
      </c>
      <c r="M99" s="194" t="str">
        <f>IFERROR(L99*('Inputs Yr 2'!$Q99*'Inputs Yr 2'!$V99*'Inputs Yr 2'!$R99),"")</f>
        <v/>
      </c>
      <c r="N99" s="194" t="str">
        <f t="shared" si="54"/>
        <v/>
      </c>
      <c r="O99" s="194" t="str">
        <f>IFERROR(M99*'Inputs Yr 2'!P99,"")</f>
        <v/>
      </c>
      <c r="P99" s="194" t="str">
        <f t="shared" si="55"/>
        <v/>
      </c>
      <c r="Q99" s="194" t="str">
        <f>IFERROR($P99*'Inputs Yr 2'!AA99,"")</f>
        <v/>
      </c>
      <c r="R99" s="194" t="str">
        <f>IFERROR($P99*'Inputs Yr 2'!AB99,"")</f>
        <v/>
      </c>
      <c r="S99" s="194" t="str">
        <f>IFERROR($P99*'Inputs Yr 2'!AC99,"")</f>
        <v/>
      </c>
      <c r="T99" s="194" t="str">
        <f>IFERROR($P99*'Inputs Yr 2'!AD99,"")</f>
        <v/>
      </c>
      <c r="U99" s="194" t="str">
        <f>IFERROR(G99*'Inputs Yr 2'!$AE99*'Inputs Yr 2'!$P99*'Inputs Yr 2'!$Q99,"")</f>
        <v/>
      </c>
      <c r="V99" s="194" t="str">
        <f>IFERROR($G99*'Inputs Yr 2'!$AE99*'Inputs Yr 2'!$AG99*'Inputs Yr 2'!Q99*'Inputs Yr 2'!$S99,"")</f>
        <v/>
      </c>
      <c r="W99" s="194" t="str">
        <f>IFERROR($G99*'Inputs Yr 2'!$AE99*'Inputs Yr 2'!$AG99*'Inputs Yr 2'!P99*'Inputs Yr 2'!Q99*'Inputs Yr 2'!$S99,"")</f>
        <v/>
      </c>
      <c r="X99" s="194" t="str">
        <f>IFERROR($G99*'Inputs Yr 2'!$AE99*'Inputs Yr 2'!$AF99*'Inputs Yr 2'!Q99*'Inputs Yr 2'!$T99,"")</f>
        <v/>
      </c>
      <c r="Y99" s="194" t="str">
        <f>IFERROR($G99*'Inputs Yr 2'!$AE99*'Inputs Yr 2'!$AF99*'Inputs Yr 2'!P99*'Inputs Yr 2'!Q99*'Inputs Yr 2'!$T99,"")</f>
        <v/>
      </c>
      <c r="Z99" s="257">
        <f>IFERROR($G99*'Inputs Yr 2'!$Q99*'Inputs Yr 2'!$U99*(IF(IFERROR(SEARCH("NG", 'Inputs Yr 2'!$AJ99),0),'Inputs Yr 2'!$AK99,0)+IF(IFERROR(SEARCH("NG", 'Inputs Yr 2'!$AL99),0),'Inputs Yr 2'!$AM99,0)+IF(IFERROR(SEARCH("NG", 'Inputs Yr 2'!$AN99),0),'Inputs Yr 2'!$AO99,0)),0)</f>
        <v>0</v>
      </c>
      <c r="AA99" s="257">
        <f t="shared" si="56"/>
        <v>0</v>
      </c>
      <c r="AB99" s="257">
        <f>IFERROR(Z99*'Inputs Yr 2'!$P99,0)</f>
        <v>0</v>
      </c>
      <c r="AC99" s="257">
        <f t="shared" si="57"/>
        <v>0</v>
      </c>
      <c r="AD99" s="257">
        <f>IFERROR($G99*'Inputs Yr 2'!$Q99*'Inputs Yr 2'!$U99*(IF(IFERROR(SEARCH("Oil", 'Inputs Yr 2'!$AJ99), 0),'Inputs Yr 2'!$AK99,0)+IF(IFERROR(SEARCH("Oil", 'Inputs Yr 2'!$AL99), 0),'Inputs Yr 2'!$AM99,0)+IF(IFERROR(SEARCH("Oil", 'Inputs Yr 2'!$AN99), 0),'Inputs Yr 2'!$AO99,0)),0)</f>
        <v>0</v>
      </c>
      <c r="AE99" s="257">
        <f t="shared" si="58"/>
        <v>0</v>
      </c>
      <c r="AF99" s="257">
        <f>IFERROR(AD99*'Inputs Yr 2'!$P99,0)</f>
        <v>0</v>
      </c>
      <c r="AG99" s="257">
        <f t="shared" si="59"/>
        <v>0</v>
      </c>
      <c r="AH99" s="257">
        <f>IFERROR($G99*'Inputs Yr 2'!$Q99*'Inputs Yr 2'!$U99*(IF('Inputs Yr 2'!$AJ99=CD$4,'Inputs Yr 2'!$AK99,IF('Inputs Yr 2'!$AL99=CD$4,'Inputs Yr 2'!$AM99,IF('Inputs Yr 2'!$AN99=CD$4,'Inputs Yr 2'!$AO99,0)))),0)</f>
        <v>0</v>
      </c>
      <c r="AI99" s="257">
        <f t="shared" si="60"/>
        <v>0</v>
      </c>
      <c r="AJ99" s="257">
        <f>IFERROR(AH99*'Inputs Yr 2'!$P99,0)</f>
        <v>0</v>
      </c>
      <c r="AK99" s="257">
        <f t="shared" si="61"/>
        <v>0</v>
      </c>
      <c r="AL99" s="258">
        <f>IFERROR($G99*'Inputs Yr 2'!$P99*'Inputs Yr 2'!$Q99*'Inputs Yr 2'!AP99,0)</f>
        <v>0</v>
      </c>
      <c r="AM99" s="260">
        <f>IFERROR($G99*'Inputs Yr 2'!$P99*'Inputs Yr 2'!$Q99*'Inputs Yr 2'!AQ99,0)</f>
        <v>0</v>
      </c>
      <c r="AN99" s="258">
        <f>IFERROR($G99*'Inputs Yr 2'!$P99*'Inputs Yr 2'!$Q99*'Inputs Yr 2'!AR99,0)</f>
        <v>0</v>
      </c>
      <c r="AO99" s="257">
        <f t="shared" si="62"/>
        <v>0</v>
      </c>
      <c r="AP99" s="195" t="str">
        <f>IFERROR($CQ99*(INDEX(avoidedcosttbl2,$H99,AP$2)+(($H99-ROUNDDOWN($H99,0))*(INDEX(avoidedcosttbl2,ROUNDUP($H99,0),AP$2)-(INDEX(avoidedcosttbl2,ROUNDDOWN($H99,0),AP$2)))))*$O99*1000*'Inputs Yr 2'!AA99,"")</f>
        <v/>
      </c>
      <c r="AQ99" s="195" t="str">
        <f>IFERROR($CR99*(INDEX(avoidedcosttbl2,$H99,AQ$2)+(($H99-ROUNDDOWN($H99,0))*(INDEX(avoidedcosttbl2,ROUNDUP($H99,0),AQ$2)-(INDEX(avoidedcosttbl2,ROUNDDOWN($H99,0),AQ$2)))))*$O99*1000*'Inputs Yr 2'!AB99,"")</f>
        <v/>
      </c>
      <c r="AR99" s="195" t="str">
        <f>IFERROR($CS99*(INDEX(avoidedcosttbl2,$H99,AR$2)+(($H99-ROUNDDOWN($H99,0))*(INDEX(avoidedcosttbl2,ROUNDUP($H99,0),AR$2)-(INDEX(avoidedcosttbl2,ROUNDDOWN($H99,0),AR$2)))))*$O99*1000*'Inputs Yr 2'!AC99,"")</f>
        <v/>
      </c>
      <c r="AS99" s="195" t="str">
        <f>IFERROR($CT99*(INDEX(avoidedcosttbl2,$H99,AS$2)+(($H99-ROUNDDOWN($H99,0))*(INDEX(avoidedcosttbl2,ROUNDUP($H99,0),AS$2)-(INDEX(avoidedcosttbl2,ROUNDDOWN($H99,0),AS$2)))))*$O99*1000*'Inputs Yr 2'!AD99,"")</f>
        <v/>
      </c>
      <c r="AT99" s="196">
        <f t="shared" si="63"/>
        <v>0</v>
      </c>
      <c r="AU99" s="197" t="str">
        <f>IFERROR($CQ99*((INDEX(avoidedcosttbl2,$H99,AU$2))+(($H99-ROUNDDOWN($H99,0))*((INDEX(avoidedcosttbl2,ROUNDUP($H99,0),AU$2))-(INDEX(avoidedcosttbl2,ROUNDDOWN($H99,0),AU$2)))))*$O99*1000*'Inputs Yr 2'!AA99,"")</f>
        <v/>
      </c>
      <c r="AV99" s="197" t="str">
        <f>IFERROR($CR99*((INDEX(avoidedcosttbl2,$H99,AV$2))+(($H99-ROUNDDOWN($H99,0))*((INDEX(avoidedcosttbl2,ROUNDUP($H99,0),AV$2))-(INDEX(avoidedcosttbl2,ROUNDDOWN($H99,0),AV$2)))))*$O99*1000*'Inputs Yr 2'!AB99,"")</f>
        <v/>
      </c>
      <c r="AW99" s="197" t="str">
        <f>IFERROR($CS99*((INDEX(avoidedcosttbl2,$H99,AW$2))+(($H99-ROUNDDOWN($H99,0))*((INDEX(avoidedcosttbl2,ROUNDUP($H99,0),AW$2))-(INDEX(avoidedcosttbl2,ROUNDDOWN($H99,0),AW$2)))))*$O99*1000*'Inputs Yr 2'!AC99,"")</f>
        <v/>
      </c>
      <c r="AX99" s="197" t="str">
        <f>IFERROR($CT99*((INDEX(avoidedcosttbl2,$H99,AX$2))+(($H99-ROUNDDOWN($H99,0))*((INDEX(avoidedcosttbl2,ROUNDUP($H99,0),AX$2))-(INDEX(avoidedcosttbl2,ROUNDDOWN($H99,0),AX$2)))))*$O99*1000*'Inputs Yr 2'!AD99,"")</f>
        <v/>
      </c>
      <c r="AY99" s="197" t="str">
        <f>IFERROR(((INDEX(avoidedcosttbl2,$H99,AY$2))+(($H99-ROUNDDOWN($H99,0))*((INDEX(avoidedcosttbl2,ROUNDUP($H99,0),AY$2))-(INDEX(avoidedcosttbl2,ROUNDDOWN($H99,0),AY$2)))))*$O99*1000*('Inputs Yr 2'!AC99+'Inputs Yr 2'!AD99),"")</f>
        <v/>
      </c>
      <c r="AZ99" s="197" t="str">
        <f>IFERROR(((INDEX(avoidedcosttbl2,$H99,AZ$2))+(($H99-ROUNDDOWN($H99,0))*((INDEX(avoidedcosttbl2,ROUNDUP($H99,0),AZ$2))-(INDEX(avoidedcosttbl2,ROUNDDOWN($H99,0),AZ$2)))))*$O99*1000*('Inputs Yr 2'!AA99+'Inputs Yr 2'!AB99),"")</f>
        <v/>
      </c>
      <c r="BA99" s="198">
        <f t="shared" si="64"/>
        <v>0</v>
      </c>
      <c r="BB99" s="198">
        <f t="shared" si="65"/>
        <v>0</v>
      </c>
      <c r="BC99" s="195" t="str">
        <f t="shared" si="47"/>
        <v/>
      </c>
      <c r="BD99" s="195" t="str">
        <f t="shared" si="48"/>
        <v/>
      </c>
      <c r="BE99" s="195" t="str">
        <f t="shared" si="49"/>
        <v/>
      </c>
      <c r="BF99" s="195" t="str">
        <f t="shared" si="50"/>
        <v/>
      </c>
      <c r="BG99" s="195" t="str">
        <f t="shared" si="51"/>
        <v/>
      </c>
      <c r="BH99" s="196">
        <f t="shared" si="66"/>
        <v>0</v>
      </c>
      <c r="BI99" s="196">
        <f t="shared" si="67"/>
        <v>0</v>
      </c>
      <c r="BJ99" s="195" t="str">
        <f>IFERROR($G99*(IF('Inputs Yr 2'!$AJ99=BJ$4,'Inputs Yr 2'!$AK99,IF('Inputs Yr 2'!$AL99=BJ$4,'Inputs Yr 2'!$AM99,IF('Inputs Yr 2'!$AN99=BJ$4,'Inputs Yr 2'!$AO99,0))))*(INDEX(avoidedcosttbl2,$H99,BJ$2)+(($H99-ROUNDDOWN($H99,0))*(INDEX(avoidedcosttbl2,ROUNDUP($H99,0),BJ$2)-(INDEX(avoidedcosttbl2,ROUNDDOWN($H99,0),BJ$2)))))*'Inputs Yr 2'!P99*'Inputs Yr 2'!Q99*'Inputs Yr 2'!U99,"")</f>
        <v/>
      </c>
      <c r="BK99" s="195" t="str">
        <f>IFERROR($G99*(IF('Inputs Yr 2'!$AJ99=BK$4,'Inputs Yr 2'!$AK99,IF('Inputs Yr 2'!$AL99=BK$4,'Inputs Yr 2'!$AM99,IF('Inputs Yr 2'!$AN99=BK$4,'Inputs Yr 2'!$AO99,0))))*(INDEX(avoidedcosttbl2,$H99,BK$2)+(($H99-ROUNDDOWN($H99,0))*(INDEX(avoidedcosttbl2,ROUNDUP($H99,0),BK$2)-(INDEX(avoidedcosttbl2,ROUNDDOWN($H99,0),BK$2)))))*'Inputs Yr 2'!P99*'Inputs Yr 2'!Q99*'Inputs Yr 2'!U99,"")</f>
        <v/>
      </c>
      <c r="BL99" s="195" t="str">
        <f>IFERROR($G99*(IF('Inputs Yr 2'!$AJ99=BL$4,'Inputs Yr 2'!$AK99,IF('Inputs Yr 2'!$AL99=BL$4,'Inputs Yr 2'!$AM99,IF('Inputs Yr 2'!$AN99=BL$4,'Inputs Yr 2'!$AO99,0))))*(INDEX(avoidedcosttbl2,$H99,BL$2)+(($H99-ROUNDDOWN($H99,0))*(INDEX(avoidedcosttbl2,ROUNDUP($H99,0),BL$2)-(INDEX(avoidedcosttbl2,ROUNDDOWN($H99,0),BL$2)))))*'Inputs Yr 2'!P99*'Inputs Yr 2'!Q99*'Inputs Yr 2'!U99,"")</f>
        <v/>
      </c>
      <c r="BM99" s="195" t="str">
        <f>IFERROR($G99*(IF('Inputs Yr 2'!$AJ99=BM$4,'Inputs Yr 2'!$AK99,IF('Inputs Yr 2'!$AL99=BM$4,'Inputs Yr 2'!$AM99,IF('Inputs Yr 2'!$AN99=BM$4,'Inputs Yr 2'!$AO99,0))))*(INDEX(avoidedcosttbl2,$H99,BM$2)+(($H99-ROUNDDOWN($H99,0))*(INDEX(avoidedcosttbl2,ROUNDUP($H99,0),BM$2)-(INDEX(avoidedcosttbl2,ROUNDDOWN($H99,0),BM$2)))))*'Inputs Yr 2'!P99*'Inputs Yr 2'!Q99*'Inputs Yr 2'!U99,"")</f>
        <v/>
      </c>
      <c r="BN99" s="195" t="str">
        <f>IFERROR($G99*(IF('Inputs Yr 2'!$AJ99=BN$4,'Inputs Yr 2'!$AK99,IF('Inputs Yr 2'!$AL99=BN$4,'Inputs Yr 2'!$AM99,IF('Inputs Yr 2'!$AN99=BN$4,'Inputs Yr 2'!$AO99,0))))*(INDEX(avoidedcosttbl2,$H99,BN$2)+(($H99-ROUNDDOWN($H99,0))*(INDEX(avoidedcosttbl2,ROUNDUP($H99,0),BN$2)-(INDEX(avoidedcosttbl2,ROUNDDOWN($H99,0),BN$2)))))*'Inputs Yr 2'!P99*'Inputs Yr 2'!Q99*'Inputs Yr 2'!U99,"")</f>
        <v/>
      </c>
      <c r="BO99" s="195" t="str">
        <f>IFERROR($G99*(IF('Inputs Yr 2'!$AJ99=BO$4,'Inputs Yr 2'!$AK99,IF('Inputs Yr 2'!$AL99=BO$4,'Inputs Yr 2'!$AM99,IF('Inputs Yr 2'!$AN99=BO$4,'Inputs Yr 2'!$AO99,0))))*(INDEX(avoidedcosttbl2,$H99,BO$2)+(($H99-ROUNDDOWN($H99,0))*(INDEX(avoidedcosttbl2,ROUNDUP($H99,0),BO$2)-(INDEX(avoidedcosttbl2,ROUNDDOWN($H99,0),BO$2)))))*'Inputs Yr 2'!P99*'Inputs Yr 2'!Q99*'Inputs Yr 2'!U99,"")</f>
        <v/>
      </c>
      <c r="BP99" s="195" t="str">
        <f>IFERROR($G99*(IF('Inputs Yr 2'!$AJ99=BP$4,'Inputs Yr 2'!$AK99,IF('Inputs Yr 2'!$AL99=BP$4,'Inputs Yr 2'!$AM99,IF('Inputs Yr 2'!$AN99=BP$4,'Inputs Yr 2'!$AO99,0))))*(INDEX(avoidedcosttbl2,$H99,BP$2)+(($H99-ROUNDDOWN($H99,0))*(INDEX(avoidedcosttbl2,ROUNDUP($H99,0),BP$2)-(INDEX(avoidedcosttbl2,ROUNDDOWN($H99,0),BP$2)))))*'Inputs Yr 2'!P99*'Inputs Yr 2'!Q99*'Inputs Yr 2'!U99,"")</f>
        <v/>
      </c>
      <c r="BQ99" s="230">
        <f t="shared" si="68"/>
        <v>0</v>
      </c>
      <c r="BR99" s="197" t="str">
        <f t="shared" si="52"/>
        <v/>
      </c>
      <c r="BS99" s="197" t="str">
        <f>IFERROR(($G99*IF('Inputs Yr 2'!$AJ99=BM$4,'Inputs Yr 2'!$AK99,IF('Inputs Yr 2'!$AL99=BM$4,'Inputs Yr 2'!$AM99,IF('Inputs Yr 2'!$AN99=BM$4,'Inputs Yr 2'!$AO99,0))))*(INDEX(avoidedcosttbl2,$H99,BS$2)+(($H99-ROUNDDOWN($H99,0))*(INDEX(avoidedcosttbl2,ROUNDUP($H99,0),BS$2)-(INDEX(avoidedcosttbl2,ROUNDDOWN($H99,0),BS$2)))))*'Inputs Yr 2'!P99*'Inputs Yr 2'!Q99*'Inputs Yr 2'!U99,"")</f>
        <v/>
      </c>
      <c r="BT99" s="197" t="str">
        <f>IFERROR(($G99*IF('Inputs Yr 2'!$AJ99=BK$4,'Inputs Yr 2'!$AK99,IF('Inputs Yr 2'!$AL99=BK$4,'Inputs Yr 2'!$AM99,IF('Inputs Yr 2'!$AN99=BK$4,'Inputs Yr 2'!$AO99,0))))*(INDEX(avoidedcosttbl2,$H99,BT$2)+(($H99-ROUNDDOWN($H99,0))*(INDEX(avoidedcosttbl2,ROUNDUP($H99,0),BT$2)-(INDEX(avoidedcosttbl2,ROUNDDOWN($H99,0),BT$2)))))*'Inputs Yr 2'!P99*'Inputs Yr 2'!Q99*'Inputs Yr 2'!U99,"")</f>
        <v/>
      </c>
      <c r="BU99" s="197" t="str">
        <f>IFERROR(($G99*IF('Inputs Yr 2'!$AJ99=BL$4,'Inputs Yr 2'!$AK99,IF('Inputs Yr 2'!$AL99=BL$4,'Inputs Yr 2'!$AM99,IF('Inputs Yr 2'!$AN99=BL$4,'Inputs Yr 2'!$AO99,0))))*(INDEX(avoidedcosttbl2,$H99,BU$2)+(($H99-ROUNDDOWN($H99,0))*(INDEX(avoidedcosttbl2,ROUNDUP($H99,0),BU$2)-(INDEX(avoidedcosttbl2,ROUNDDOWN($H99,0),BU$2)))))*'Inputs Yr 2'!P99*'Inputs Yr 2'!Q99*'Inputs Yr 2'!U99,"")</f>
        <v/>
      </c>
      <c r="BV99" s="775" t="str">
        <f>IFERROR(($G99*IF('Inputs Yr 2'!$AJ99=BJ$4,'Inputs Yr 2'!$AK99,IF('Inputs Yr 2'!$AL99=BJ$4,'Inputs Yr 2'!$AM99,IF('Inputs Yr 2'!$AN99=BJ$4,'Inputs Yr 2'!$AO99,0))))*(INDEX(avoidedcosttbl2,$H99,BV$2)+(($H99-ROUNDDOWN($H99,0))*(INDEX(avoidedcosttbl2,ROUNDUP($H99,0),BV$2)-(INDEX(avoidedcosttbl2,ROUNDDOWN($H99,0),BV$2)))))*'Inputs Yr 2'!P99*'Inputs Yr 2'!Q99*'Inputs Yr 2'!U99,"")</f>
        <v/>
      </c>
      <c r="BW99" s="197" t="str">
        <f>IFERROR(($G99*IF('Inputs Yr 2'!$AJ99=BN$4,'Inputs Yr 2'!$AK99,IF('Inputs Yr 2'!$AL99=BN$4,'Inputs Yr 2'!$AM99,IF('Inputs Yr 2'!$AN99=BN$4,'Inputs Yr 2'!$AO99,0))))*(INDEX(avoidedcosttbl2,$H99,BW$2)+(($H99-ROUNDDOWN($H99,0))*(INDEX(avoidedcosttbl2,ROUNDUP($H99,0),BW$2)-(INDEX(avoidedcosttbl2,ROUNDDOWN($H99,0),BW$2)))))*'Inputs Yr 2'!P99*'Inputs Yr 2'!Q99*'Inputs Yr 2'!U99,"")</f>
        <v/>
      </c>
      <c r="BX99" s="197" t="str">
        <f>IFERROR(($G99*IF('Inputs Yr 2'!$AJ99=BO$4,'Inputs Yr 2'!$AK99,IF('Inputs Yr 2'!$AL99=BO$4,'Inputs Yr 2'!$AM99,IF('Inputs Yr 2'!$AN99=BO$4,'Inputs Yr 2'!$AO99,0))))*(INDEX(avoidedcosttbl2,$H99,BX$2)+(($H99-ROUNDDOWN($H99,0))*(INDEX(avoidedcosttbl2,ROUNDUP($H99,0),BX$2)-(INDEX(avoidedcosttbl2,ROUNDDOWN($H99,0),BX$2)))))*'Inputs Yr 2'!P99*'Inputs Yr 2'!Q99*'Inputs Yr 2'!U99,"")</f>
        <v/>
      </c>
      <c r="BY99" s="197" t="str">
        <f>IFERROR(($G99*IF('Inputs Yr 2'!$AJ99=BP$4,'Inputs Yr 2'!$AK99,IF('Inputs Yr 2'!$AL99=BP$4,'Inputs Yr 2'!$AM99,IF('Inputs Yr 2'!$AN99=BP$4,'Inputs Yr 2'!$AO99,0))))*(INDEX(avoidedcosttbl2,$H99,BY$2)+(($H99-ROUNDDOWN($H99,0))*(INDEX(avoidedcosttbl2,ROUNDUP($H99,0),BY$2)-(INDEX(avoidedcosttbl2,ROUNDDOWN($H99,0),BY$2)))))*'Inputs Yr 2'!P99*'Inputs Yr 2'!Q99*'Inputs Yr 2'!U99,"")</f>
        <v/>
      </c>
      <c r="BZ99" s="193">
        <f t="shared" si="69"/>
        <v>0</v>
      </c>
      <c r="CA99" s="193">
        <f t="shared" si="70"/>
        <v>0</v>
      </c>
      <c r="CB99" s="195" t="str">
        <f>IFERROR(G99*(IF('Inputs Yr 2'!$AJ99=CB$4,'Inputs Yr 2'!$AK99,IF('Inputs Yr 2'!$AL99=CB$4,'Inputs Yr 2'!$AM99,IF('Inputs Yr 2'!$AN99=CB$4,'Inputs Yr 2'!$AO99,0))))*(INDEX(avoidedcosttbl2,$H99,CB$2)+(($H99-ROUNDDOWN($H99,0))*(INDEX(avoidedcosttbl2,ROUNDUP($H99,0),CB$2)-(INDEX(avoidedcosttbl2,ROUNDDOWN($H99,0),CB$2)))))*'Inputs Yr 2'!P99*'Inputs Yr 2'!Q99*'Inputs Yr 2'!U99,"")</f>
        <v/>
      </c>
      <c r="CC99" s="195" t="str">
        <f>IFERROR(H99*(IF('Inputs Yr 2'!$AJ99=CC$4,'Inputs Yr 2'!$AK99,IF('Inputs Yr 2'!$AL99=CC$4,'Inputs Yr 2'!$AM99,IF('Inputs Yr 2'!$AN99=CC$4,'Inputs Yr 2'!$AO99,0))))*(INDEX(avoidedcosttbl2,$H99,CC$2)+(($H99-ROUNDDOWN($H99,0))*(INDEX(avoidedcosttbl2,ROUNDUP($H99,0),CC$2)-(INDEX(avoidedcosttbl2,ROUNDDOWN($H99,0),CC$2)))))*'Inputs Yr 2'!Q99*'Inputs Yr 2'!R99*'Inputs Yr 2'!V99,"")</f>
        <v/>
      </c>
      <c r="CD99" s="195" t="str">
        <f>IFERROR(I99*(IF('Inputs Yr 2'!$AJ99=CD$4,'Inputs Yr 2'!$AK99,IF('Inputs Yr 2'!$AL99=CD$4,'Inputs Yr 2'!$AM99,IF('Inputs Yr 2'!$AN99=CD$4,'Inputs Yr 2'!$AO99,0))))*(INDEX(avoidedcosttbl2,$H99,CD$2)+(($H99-ROUNDDOWN($H99,0))*(INDEX(avoidedcosttbl2,ROUNDUP($H99,0),CD$2)-(INDEX(avoidedcosttbl2,ROUNDDOWN($H99,0),CD$2)))))*'Inputs Yr 2'!R99*'Inputs Yr 2'!S99*'Inputs Yr 2'!W99,"")</f>
        <v/>
      </c>
      <c r="CE99" s="213" t="str">
        <f t="shared" si="71"/>
        <v/>
      </c>
      <c r="CF99" s="213" t="str">
        <f t="shared" si="72"/>
        <v/>
      </c>
      <c r="CG99" s="213" t="str">
        <f t="shared" si="73"/>
        <v/>
      </c>
      <c r="CH99" s="698">
        <f t="shared" si="74"/>
        <v>0</v>
      </c>
      <c r="CI99" s="79" t="str">
        <f>IFERROR(($G99*'Inputs Yr 2'!$P99*'Inputs Yr 2'!$Q99*(((INDEX(avoidedcosttbl2,$H99,CI$2)+(($H99-ROUNDDOWN($H99,0))*(INDEX(avoidedcosttbl2,ROUNDUP($H99,0),CI$2)-INDEX(avoidedcosttbl2,ROUNDDOWN($H99,0),CI$2))))*'Inputs Yr 2'!AS99))),"")</f>
        <v/>
      </c>
      <c r="CJ99" s="504" t="str">
        <f>IFERROR($G99*'Inputs Yr 2'!AT99*'Inputs Yr 2'!$P99*'Inputs Yr 2'!$Q99/((1+realdiscrt1)^-0.5),"")</f>
        <v/>
      </c>
      <c r="CK99" s="79" t="str">
        <f>IFERROR((O99*1000*(((INDEX(avoidedcosttbl2,$H99,CK$2)+(($H99-ROUNDDOWN($H99,0))*(INDEX(avoidedcosttbl2,ROUNDUP($H99,0),CK$2)-INDEX(avoidedcosttbl2,ROUNDDOWN($H99,0),CK$2))))*'Inputs Yr 2'!AU99))),"")</f>
        <v/>
      </c>
      <c r="CL99" s="504" t="str">
        <f>IFERROR(O99*1000*'Inputs Yr 2'!AV99/((1+realdiscrt1)^-0.5),"")</f>
        <v/>
      </c>
      <c r="CM99" s="79" t="str">
        <f>IFERROR((AB99*'Inputs Yr 2'!AW99*(((INDEX(avoidedcosttbl2,$H99,CM$2)+(($H99-ROUNDDOWN($H99,0))*(INDEX(avoidedcosttbl2,ROUNDUP($H99,0),CM$2)-INDEX(avoidedcosttbl2,ROUNDDOWN($H99,0),CM$2)))))))*10,"")</f>
        <v/>
      </c>
      <c r="CN99" s="504">
        <f>IFERROR(10*AB99*'Inputs Yr 2'!AX99/((1+realdiscrt1)^-0.5),"")</f>
        <v>0</v>
      </c>
      <c r="CO99" s="505">
        <f t="shared" si="75"/>
        <v>0</v>
      </c>
      <c r="CP99" s="230">
        <f t="shared" si="76"/>
        <v>0</v>
      </c>
      <c r="CQ99" s="199">
        <f>ROUND(IFERROR(IF(LEFT($A99,1)="C",'Avoided Costs'!$K$13,'Avoided Costs'!$K$12)+1,""),4)</f>
        <v>1.0720000000000001</v>
      </c>
      <c r="CR99" s="199">
        <f>ROUND(IFERROR(IF(LEFT($A99,1)="C",'Avoided Costs'!$L$13,'Avoided Costs'!$L$12)+1,""),4)</f>
        <v>1.04</v>
      </c>
      <c r="CS99" s="199">
        <f>ROUND(IFERROR(IF(LEFT($A99,1)="C",'Avoided Costs'!$M$13,'Avoided Costs'!$M$12)+1,""),4)</f>
        <v>1.0720000000000001</v>
      </c>
      <c r="CT99" s="199">
        <f>ROUND(IFERROR(IF(LEFT($A99,1)="C",'Avoided Costs'!$N$13,'Avoided Costs'!$N$12)+1,""),4)</f>
        <v>1.04</v>
      </c>
      <c r="CU99" s="199">
        <f>ROUND(IFERROR(IF(LEFT($A99,1)="C",'Avoided Costs'!$O$13,'Avoided Costs'!$O$12)+1,""),4)</f>
        <v>1.1120000000000001</v>
      </c>
      <c r="CV99" s="199">
        <f>ROUND(IFERROR(IF(LEFT($A99,1)="C",'Avoided Costs'!$P$13,'Avoided Costs'!$P$12)+1,""),4)</f>
        <v>1.095</v>
      </c>
      <c r="CW99" s="199">
        <f>ROUND(IFERROR(IF(LEFT($A99,1)="C",'Avoided Costs'!$Q$13,'Avoided Costs'!$Q$12)+1,""),4)</f>
        <v>1.1120000000000001</v>
      </c>
      <c r="CX99" s="200">
        <f>ROUND(IFERROR(IF(LEFT($A99,1)="C",'Avoided Costs'!$R$13,'Avoided Costs'!$R$12)+1,""),4)</f>
        <v>1.1120000000000001</v>
      </c>
    </row>
    <row r="100" spans="1:102" ht="12.75" customHeight="1">
      <c r="A100" s="91" t="str">
        <f>IF('Inputs Yr 2'!$B100=0,"",'Inputs Yr 2'!A100)</f>
        <v>A - Residential</v>
      </c>
      <c r="B100" s="91" t="str">
        <f>IF('Inputs Yr 2'!$B100=0,"",'Inputs Yr 2'!B100)</f>
        <v>A2 - Residential Products</v>
      </c>
      <c r="C100" s="91" t="str">
        <f>IF('Inputs Yr 2'!$B100=0,"",'Inputs Yr 2'!C100)</f>
        <v xml:space="preserve">A2a - Residential Heating &amp; Cooling Equipment </v>
      </c>
      <c r="D100" s="91" t="str">
        <f>IF('Inputs Yr 2'!$B100=0,"",'Inputs Yr 2'!E100)</f>
        <v>Custom/Future</v>
      </c>
      <c r="E100" s="93">
        <f>IF('Inputs Yr 2'!$B100=0,"",'Inputs Yr 2'!F100)</f>
        <v>0</v>
      </c>
      <c r="F100" s="93">
        <f>IF('Inputs Yr 2'!$B100=0,"",'Inputs Yr 2'!G100)</f>
        <v>0</v>
      </c>
      <c r="G100" s="95" t="str">
        <f>IF('Inputs Yr 2'!$H100&lt;&gt;0,('Inputs Yr 2'!H100),"")</f>
        <v/>
      </c>
      <c r="H100" s="94">
        <f>IFERROR('Inputs Yr 2'!I100,"")</f>
        <v>0</v>
      </c>
      <c r="I100" s="298" t="str">
        <f>IFERROR('Inputs Yr 2'!J100*'Inputs Yr 2'!P100*G100,"")</f>
        <v/>
      </c>
      <c r="J100" s="298" t="str">
        <f>IFERROR('Inputs Yr 2'!K100*G100,"")</f>
        <v/>
      </c>
      <c r="K100" s="298" t="str">
        <f t="shared" si="53"/>
        <v/>
      </c>
      <c r="L100" s="194" t="str">
        <f>IFERROR(('Inputs Yr 2'!W100*G100)/1000,"")</f>
        <v/>
      </c>
      <c r="M100" s="194" t="str">
        <f>IFERROR(L100*('Inputs Yr 2'!$Q100*'Inputs Yr 2'!$V100*'Inputs Yr 2'!$R100),"")</f>
        <v/>
      </c>
      <c r="N100" s="194" t="str">
        <f t="shared" si="54"/>
        <v/>
      </c>
      <c r="O100" s="194" t="str">
        <f>IFERROR(M100*'Inputs Yr 2'!P100,"")</f>
        <v/>
      </c>
      <c r="P100" s="194" t="str">
        <f t="shared" si="55"/>
        <v/>
      </c>
      <c r="Q100" s="194" t="str">
        <f>IFERROR($P100*'Inputs Yr 2'!AA100,"")</f>
        <v/>
      </c>
      <c r="R100" s="194" t="str">
        <f>IFERROR($P100*'Inputs Yr 2'!AB100,"")</f>
        <v/>
      </c>
      <c r="S100" s="194" t="str">
        <f>IFERROR($P100*'Inputs Yr 2'!AC100,"")</f>
        <v/>
      </c>
      <c r="T100" s="194" t="str">
        <f>IFERROR($P100*'Inputs Yr 2'!AD100,"")</f>
        <v/>
      </c>
      <c r="U100" s="194" t="str">
        <f>IFERROR(G100*'Inputs Yr 2'!$AE100*'Inputs Yr 2'!$P100*'Inputs Yr 2'!$Q100,"")</f>
        <v/>
      </c>
      <c r="V100" s="194" t="str">
        <f>IFERROR($G100*'Inputs Yr 2'!$AE100*'Inputs Yr 2'!$AG100*'Inputs Yr 2'!Q100*'Inputs Yr 2'!$S100,"")</f>
        <v/>
      </c>
      <c r="W100" s="194" t="str">
        <f>IFERROR($G100*'Inputs Yr 2'!$AE100*'Inputs Yr 2'!$AG100*'Inputs Yr 2'!P100*'Inputs Yr 2'!Q100*'Inputs Yr 2'!$S100,"")</f>
        <v/>
      </c>
      <c r="X100" s="194" t="str">
        <f>IFERROR($G100*'Inputs Yr 2'!$AE100*'Inputs Yr 2'!$AF100*'Inputs Yr 2'!Q100*'Inputs Yr 2'!$T100,"")</f>
        <v/>
      </c>
      <c r="Y100" s="194" t="str">
        <f>IFERROR($G100*'Inputs Yr 2'!$AE100*'Inputs Yr 2'!$AF100*'Inputs Yr 2'!P100*'Inputs Yr 2'!Q100*'Inputs Yr 2'!$T100,"")</f>
        <v/>
      </c>
      <c r="Z100" s="257">
        <f>IFERROR($G100*'Inputs Yr 2'!$Q100*'Inputs Yr 2'!$U100*(IF(IFERROR(SEARCH("NG", 'Inputs Yr 2'!$AJ100),0),'Inputs Yr 2'!$AK100,0)+IF(IFERROR(SEARCH("NG", 'Inputs Yr 2'!$AL100),0),'Inputs Yr 2'!$AM100,0)+IF(IFERROR(SEARCH("NG", 'Inputs Yr 2'!$AN100),0),'Inputs Yr 2'!$AO100,0)),0)</f>
        <v>0</v>
      </c>
      <c r="AA100" s="257">
        <f t="shared" si="56"/>
        <v>0</v>
      </c>
      <c r="AB100" s="257">
        <f>IFERROR(Z100*'Inputs Yr 2'!$P100,0)</f>
        <v>0</v>
      </c>
      <c r="AC100" s="257">
        <f t="shared" si="57"/>
        <v>0</v>
      </c>
      <c r="AD100" s="257">
        <f>IFERROR($G100*'Inputs Yr 2'!$Q100*'Inputs Yr 2'!$U100*(IF(IFERROR(SEARCH("Oil", 'Inputs Yr 2'!$AJ100), 0),'Inputs Yr 2'!$AK100,0)+IF(IFERROR(SEARCH("Oil", 'Inputs Yr 2'!$AL100), 0),'Inputs Yr 2'!$AM100,0)+IF(IFERROR(SEARCH("Oil", 'Inputs Yr 2'!$AN100), 0),'Inputs Yr 2'!$AO100,0)),0)</f>
        <v>0</v>
      </c>
      <c r="AE100" s="257">
        <f t="shared" si="58"/>
        <v>0</v>
      </c>
      <c r="AF100" s="257">
        <f>IFERROR(AD100*'Inputs Yr 2'!$P100,0)</f>
        <v>0</v>
      </c>
      <c r="AG100" s="257">
        <f t="shared" si="59"/>
        <v>0</v>
      </c>
      <c r="AH100" s="257">
        <f>IFERROR($G100*'Inputs Yr 2'!$Q100*'Inputs Yr 2'!$U100*(IF('Inputs Yr 2'!$AJ100=CD$4,'Inputs Yr 2'!$AK100,IF('Inputs Yr 2'!$AL100=CD$4,'Inputs Yr 2'!$AM100,IF('Inputs Yr 2'!$AN100=CD$4,'Inputs Yr 2'!$AO100,0)))),0)</f>
        <v>0</v>
      </c>
      <c r="AI100" s="257">
        <f t="shared" si="60"/>
        <v>0</v>
      </c>
      <c r="AJ100" s="257">
        <f>IFERROR(AH100*'Inputs Yr 2'!$P100,0)</f>
        <v>0</v>
      </c>
      <c r="AK100" s="257">
        <f t="shared" si="61"/>
        <v>0</v>
      </c>
      <c r="AL100" s="258">
        <f>IFERROR($G100*'Inputs Yr 2'!$P100*'Inputs Yr 2'!$Q100*'Inputs Yr 2'!AP100,0)</f>
        <v>0</v>
      </c>
      <c r="AM100" s="260">
        <f>IFERROR($G100*'Inputs Yr 2'!$P100*'Inputs Yr 2'!$Q100*'Inputs Yr 2'!AQ100,0)</f>
        <v>0</v>
      </c>
      <c r="AN100" s="258">
        <f>IFERROR($G100*'Inputs Yr 2'!$P100*'Inputs Yr 2'!$Q100*'Inputs Yr 2'!AR100,0)</f>
        <v>0</v>
      </c>
      <c r="AO100" s="257">
        <f t="shared" si="62"/>
        <v>0</v>
      </c>
      <c r="AP100" s="195" t="str">
        <f>IFERROR($CQ100*(INDEX(avoidedcosttbl2,$H100,AP$2)+(($H100-ROUNDDOWN($H100,0))*(INDEX(avoidedcosttbl2,ROUNDUP($H100,0),AP$2)-(INDEX(avoidedcosttbl2,ROUNDDOWN($H100,0),AP$2)))))*$O100*1000*'Inputs Yr 2'!AA100,"")</f>
        <v/>
      </c>
      <c r="AQ100" s="195" t="str">
        <f>IFERROR($CR100*(INDEX(avoidedcosttbl2,$H100,AQ$2)+(($H100-ROUNDDOWN($H100,0))*(INDEX(avoidedcosttbl2,ROUNDUP($H100,0),AQ$2)-(INDEX(avoidedcosttbl2,ROUNDDOWN($H100,0),AQ$2)))))*$O100*1000*'Inputs Yr 2'!AB100,"")</f>
        <v/>
      </c>
      <c r="AR100" s="195" t="str">
        <f>IFERROR($CS100*(INDEX(avoidedcosttbl2,$H100,AR$2)+(($H100-ROUNDDOWN($H100,0))*(INDEX(avoidedcosttbl2,ROUNDUP($H100,0),AR$2)-(INDEX(avoidedcosttbl2,ROUNDDOWN($H100,0),AR$2)))))*$O100*1000*'Inputs Yr 2'!AC100,"")</f>
        <v/>
      </c>
      <c r="AS100" s="195" t="str">
        <f>IFERROR($CT100*(INDEX(avoidedcosttbl2,$H100,AS$2)+(($H100-ROUNDDOWN($H100,0))*(INDEX(avoidedcosttbl2,ROUNDUP($H100,0),AS$2)-(INDEX(avoidedcosttbl2,ROUNDDOWN($H100,0),AS$2)))))*$O100*1000*'Inputs Yr 2'!AD100,"")</f>
        <v/>
      </c>
      <c r="AT100" s="196">
        <f t="shared" si="63"/>
        <v>0</v>
      </c>
      <c r="AU100" s="197" t="str">
        <f>IFERROR($CQ100*((INDEX(avoidedcosttbl2,$H100,AU$2))+(($H100-ROUNDDOWN($H100,0))*((INDEX(avoidedcosttbl2,ROUNDUP($H100,0),AU$2))-(INDEX(avoidedcosttbl2,ROUNDDOWN($H100,0),AU$2)))))*$O100*1000*'Inputs Yr 2'!AA100,"")</f>
        <v/>
      </c>
      <c r="AV100" s="197" t="str">
        <f>IFERROR($CR100*((INDEX(avoidedcosttbl2,$H100,AV$2))+(($H100-ROUNDDOWN($H100,0))*((INDEX(avoidedcosttbl2,ROUNDUP($H100,0),AV$2))-(INDEX(avoidedcosttbl2,ROUNDDOWN($H100,0),AV$2)))))*$O100*1000*'Inputs Yr 2'!AB100,"")</f>
        <v/>
      </c>
      <c r="AW100" s="197" t="str">
        <f>IFERROR($CS100*((INDEX(avoidedcosttbl2,$H100,AW$2))+(($H100-ROUNDDOWN($H100,0))*((INDEX(avoidedcosttbl2,ROUNDUP($H100,0),AW$2))-(INDEX(avoidedcosttbl2,ROUNDDOWN($H100,0),AW$2)))))*$O100*1000*'Inputs Yr 2'!AC100,"")</f>
        <v/>
      </c>
      <c r="AX100" s="197" t="str">
        <f>IFERROR($CT100*((INDEX(avoidedcosttbl2,$H100,AX$2))+(($H100-ROUNDDOWN($H100,0))*((INDEX(avoidedcosttbl2,ROUNDUP($H100,0),AX$2))-(INDEX(avoidedcosttbl2,ROUNDDOWN($H100,0),AX$2)))))*$O100*1000*'Inputs Yr 2'!AD100,"")</f>
        <v/>
      </c>
      <c r="AY100" s="197" t="str">
        <f>IFERROR(((INDEX(avoidedcosttbl2,$H100,AY$2))+(($H100-ROUNDDOWN($H100,0))*((INDEX(avoidedcosttbl2,ROUNDUP($H100,0),AY$2))-(INDEX(avoidedcosttbl2,ROUNDDOWN($H100,0),AY$2)))))*$O100*1000*('Inputs Yr 2'!AC100+'Inputs Yr 2'!AD100),"")</f>
        <v/>
      </c>
      <c r="AZ100" s="197" t="str">
        <f>IFERROR(((INDEX(avoidedcosttbl2,$H100,AZ$2))+(($H100-ROUNDDOWN($H100,0))*((INDEX(avoidedcosttbl2,ROUNDUP($H100,0),AZ$2))-(INDEX(avoidedcosttbl2,ROUNDDOWN($H100,0),AZ$2)))))*$O100*1000*('Inputs Yr 2'!AA100+'Inputs Yr 2'!AB100),"")</f>
        <v/>
      </c>
      <c r="BA100" s="198">
        <f t="shared" si="64"/>
        <v>0</v>
      </c>
      <c r="BB100" s="198">
        <f t="shared" si="65"/>
        <v>0</v>
      </c>
      <c r="BC100" s="195" t="str">
        <f t="shared" si="47"/>
        <v/>
      </c>
      <c r="BD100" s="195" t="str">
        <f t="shared" si="48"/>
        <v/>
      </c>
      <c r="BE100" s="195" t="str">
        <f t="shared" si="49"/>
        <v/>
      </c>
      <c r="BF100" s="195" t="str">
        <f t="shared" si="50"/>
        <v/>
      </c>
      <c r="BG100" s="195" t="str">
        <f t="shared" si="51"/>
        <v/>
      </c>
      <c r="BH100" s="196">
        <f t="shared" si="66"/>
        <v>0</v>
      </c>
      <c r="BI100" s="196">
        <f t="shared" si="67"/>
        <v>0</v>
      </c>
      <c r="BJ100" s="195" t="str">
        <f>IFERROR($G100*(IF('Inputs Yr 2'!$AJ100=BJ$4,'Inputs Yr 2'!$AK100,IF('Inputs Yr 2'!$AL100=BJ$4,'Inputs Yr 2'!$AM100,IF('Inputs Yr 2'!$AN100=BJ$4,'Inputs Yr 2'!$AO100,0))))*(INDEX(avoidedcosttbl2,$H100,BJ$2)+(($H100-ROUNDDOWN($H100,0))*(INDEX(avoidedcosttbl2,ROUNDUP($H100,0),BJ$2)-(INDEX(avoidedcosttbl2,ROUNDDOWN($H100,0),BJ$2)))))*'Inputs Yr 2'!P100*'Inputs Yr 2'!Q100*'Inputs Yr 2'!U100,"")</f>
        <v/>
      </c>
      <c r="BK100" s="195" t="str">
        <f>IFERROR($G100*(IF('Inputs Yr 2'!$AJ100=BK$4,'Inputs Yr 2'!$AK100,IF('Inputs Yr 2'!$AL100=BK$4,'Inputs Yr 2'!$AM100,IF('Inputs Yr 2'!$AN100=BK$4,'Inputs Yr 2'!$AO100,0))))*(INDEX(avoidedcosttbl2,$H100,BK$2)+(($H100-ROUNDDOWN($H100,0))*(INDEX(avoidedcosttbl2,ROUNDUP($H100,0),BK$2)-(INDEX(avoidedcosttbl2,ROUNDDOWN($H100,0),BK$2)))))*'Inputs Yr 2'!P100*'Inputs Yr 2'!Q100*'Inputs Yr 2'!U100,"")</f>
        <v/>
      </c>
      <c r="BL100" s="195" t="str">
        <f>IFERROR($G100*(IF('Inputs Yr 2'!$AJ100=BL$4,'Inputs Yr 2'!$AK100,IF('Inputs Yr 2'!$AL100=BL$4,'Inputs Yr 2'!$AM100,IF('Inputs Yr 2'!$AN100=BL$4,'Inputs Yr 2'!$AO100,0))))*(INDEX(avoidedcosttbl2,$H100,BL$2)+(($H100-ROUNDDOWN($H100,0))*(INDEX(avoidedcosttbl2,ROUNDUP($H100,0),BL$2)-(INDEX(avoidedcosttbl2,ROUNDDOWN($H100,0),BL$2)))))*'Inputs Yr 2'!P100*'Inputs Yr 2'!Q100*'Inputs Yr 2'!U100,"")</f>
        <v/>
      </c>
      <c r="BM100" s="195" t="str">
        <f>IFERROR($G100*(IF('Inputs Yr 2'!$AJ100=BM$4,'Inputs Yr 2'!$AK100,IF('Inputs Yr 2'!$AL100=BM$4,'Inputs Yr 2'!$AM100,IF('Inputs Yr 2'!$AN100=BM$4,'Inputs Yr 2'!$AO100,0))))*(INDEX(avoidedcosttbl2,$H100,BM$2)+(($H100-ROUNDDOWN($H100,0))*(INDEX(avoidedcosttbl2,ROUNDUP($H100,0),BM$2)-(INDEX(avoidedcosttbl2,ROUNDDOWN($H100,0),BM$2)))))*'Inputs Yr 2'!P100*'Inputs Yr 2'!Q100*'Inputs Yr 2'!U100,"")</f>
        <v/>
      </c>
      <c r="BN100" s="195" t="str">
        <f>IFERROR($G100*(IF('Inputs Yr 2'!$AJ100=BN$4,'Inputs Yr 2'!$AK100,IF('Inputs Yr 2'!$AL100=BN$4,'Inputs Yr 2'!$AM100,IF('Inputs Yr 2'!$AN100=BN$4,'Inputs Yr 2'!$AO100,0))))*(INDEX(avoidedcosttbl2,$H100,BN$2)+(($H100-ROUNDDOWN($H100,0))*(INDEX(avoidedcosttbl2,ROUNDUP($H100,0),BN$2)-(INDEX(avoidedcosttbl2,ROUNDDOWN($H100,0),BN$2)))))*'Inputs Yr 2'!P100*'Inputs Yr 2'!Q100*'Inputs Yr 2'!U100,"")</f>
        <v/>
      </c>
      <c r="BO100" s="195" t="str">
        <f>IFERROR($G100*(IF('Inputs Yr 2'!$AJ100=BO$4,'Inputs Yr 2'!$AK100,IF('Inputs Yr 2'!$AL100=BO$4,'Inputs Yr 2'!$AM100,IF('Inputs Yr 2'!$AN100=BO$4,'Inputs Yr 2'!$AO100,0))))*(INDEX(avoidedcosttbl2,$H100,BO$2)+(($H100-ROUNDDOWN($H100,0))*(INDEX(avoidedcosttbl2,ROUNDUP($H100,0),BO$2)-(INDEX(avoidedcosttbl2,ROUNDDOWN($H100,0),BO$2)))))*'Inputs Yr 2'!P100*'Inputs Yr 2'!Q100*'Inputs Yr 2'!U100,"")</f>
        <v/>
      </c>
      <c r="BP100" s="195" t="str">
        <f>IFERROR($G100*(IF('Inputs Yr 2'!$AJ100=BP$4,'Inputs Yr 2'!$AK100,IF('Inputs Yr 2'!$AL100=BP$4,'Inputs Yr 2'!$AM100,IF('Inputs Yr 2'!$AN100=BP$4,'Inputs Yr 2'!$AO100,0))))*(INDEX(avoidedcosttbl2,$H100,BP$2)+(($H100-ROUNDDOWN($H100,0))*(INDEX(avoidedcosttbl2,ROUNDUP($H100,0),BP$2)-(INDEX(avoidedcosttbl2,ROUNDDOWN($H100,0),BP$2)))))*'Inputs Yr 2'!P100*'Inputs Yr 2'!Q100*'Inputs Yr 2'!U100,"")</f>
        <v/>
      </c>
      <c r="BQ100" s="230">
        <f t="shared" si="68"/>
        <v>0</v>
      </c>
      <c r="BR100" s="197" t="str">
        <f t="shared" si="52"/>
        <v/>
      </c>
      <c r="BS100" s="197" t="str">
        <f>IFERROR(($G100*IF('Inputs Yr 2'!$AJ100=BM$4,'Inputs Yr 2'!$AK100,IF('Inputs Yr 2'!$AL100=BM$4,'Inputs Yr 2'!$AM100,IF('Inputs Yr 2'!$AN100=BM$4,'Inputs Yr 2'!$AO100,0))))*(INDEX(avoidedcosttbl2,$H100,BS$2)+(($H100-ROUNDDOWN($H100,0))*(INDEX(avoidedcosttbl2,ROUNDUP($H100,0),BS$2)-(INDEX(avoidedcosttbl2,ROUNDDOWN($H100,0),BS$2)))))*'Inputs Yr 2'!P100*'Inputs Yr 2'!Q100*'Inputs Yr 2'!U100,"")</f>
        <v/>
      </c>
      <c r="BT100" s="197" t="str">
        <f>IFERROR(($G100*IF('Inputs Yr 2'!$AJ100=BK$4,'Inputs Yr 2'!$AK100,IF('Inputs Yr 2'!$AL100=BK$4,'Inputs Yr 2'!$AM100,IF('Inputs Yr 2'!$AN100=BK$4,'Inputs Yr 2'!$AO100,0))))*(INDEX(avoidedcosttbl2,$H100,BT$2)+(($H100-ROUNDDOWN($H100,0))*(INDEX(avoidedcosttbl2,ROUNDUP($H100,0),BT$2)-(INDEX(avoidedcosttbl2,ROUNDDOWN($H100,0),BT$2)))))*'Inputs Yr 2'!P100*'Inputs Yr 2'!Q100*'Inputs Yr 2'!U100,"")</f>
        <v/>
      </c>
      <c r="BU100" s="197" t="str">
        <f>IFERROR(($G100*IF('Inputs Yr 2'!$AJ100=BL$4,'Inputs Yr 2'!$AK100,IF('Inputs Yr 2'!$AL100=BL$4,'Inputs Yr 2'!$AM100,IF('Inputs Yr 2'!$AN100=BL$4,'Inputs Yr 2'!$AO100,0))))*(INDEX(avoidedcosttbl2,$H100,BU$2)+(($H100-ROUNDDOWN($H100,0))*(INDEX(avoidedcosttbl2,ROUNDUP($H100,0),BU$2)-(INDEX(avoidedcosttbl2,ROUNDDOWN($H100,0),BU$2)))))*'Inputs Yr 2'!P100*'Inputs Yr 2'!Q100*'Inputs Yr 2'!U100,"")</f>
        <v/>
      </c>
      <c r="BV100" s="775" t="str">
        <f>IFERROR(($G100*IF('Inputs Yr 2'!$AJ100=BJ$4,'Inputs Yr 2'!$AK100,IF('Inputs Yr 2'!$AL100=BJ$4,'Inputs Yr 2'!$AM100,IF('Inputs Yr 2'!$AN100=BJ$4,'Inputs Yr 2'!$AO100,0))))*(INDEX(avoidedcosttbl2,$H100,BV$2)+(($H100-ROUNDDOWN($H100,0))*(INDEX(avoidedcosttbl2,ROUNDUP($H100,0),BV$2)-(INDEX(avoidedcosttbl2,ROUNDDOWN($H100,0),BV$2)))))*'Inputs Yr 2'!P100*'Inputs Yr 2'!Q100*'Inputs Yr 2'!U100,"")</f>
        <v/>
      </c>
      <c r="BW100" s="197" t="str">
        <f>IFERROR(($G100*IF('Inputs Yr 2'!$AJ100=BN$4,'Inputs Yr 2'!$AK100,IF('Inputs Yr 2'!$AL100=BN$4,'Inputs Yr 2'!$AM100,IF('Inputs Yr 2'!$AN100=BN$4,'Inputs Yr 2'!$AO100,0))))*(INDEX(avoidedcosttbl2,$H100,BW$2)+(($H100-ROUNDDOWN($H100,0))*(INDEX(avoidedcosttbl2,ROUNDUP($H100,0),BW$2)-(INDEX(avoidedcosttbl2,ROUNDDOWN($H100,0),BW$2)))))*'Inputs Yr 2'!P100*'Inputs Yr 2'!Q100*'Inputs Yr 2'!U100,"")</f>
        <v/>
      </c>
      <c r="BX100" s="197" t="str">
        <f>IFERROR(($G100*IF('Inputs Yr 2'!$AJ100=BO$4,'Inputs Yr 2'!$AK100,IF('Inputs Yr 2'!$AL100=BO$4,'Inputs Yr 2'!$AM100,IF('Inputs Yr 2'!$AN100=BO$4,'Inputs Yr 2'!$AO100,0))))*(INDEX(avoidedcosttbl2,$H100,BX$2)+(($H100-ROUNDDOWN($H100,0))*(INDEX(avoidedcosttbl2,ROUNDUP($H100,0),BX$2)-(INDEX(avoidedcosttbl2,ROUNDDOWN($H100,0),BX$2)))))*'Inputs Yr 2'!P100*'Inputs Yr 2'!Q100*'Inputs Yr 2'!U100,"")</f>
        <v/>
      </c>
      <c r="BY100" s="197" t="str">
        <f>IFERROR(($G100*IF('Inputs Yr 2'!$AJ100=BP$4,'Inputs Yr 2'!$AK100,IF('Inputs Yr 2'!$AL100=BP$4,'Inputs Yr 2'!$AM100,IF('Inputs Yr 2'!$AN100=BP$4,'Inputs Yr 2'!$AO100,0))))*(INDEX(avoidedcosttbl2,$H100,BY$2)+(($H100-ROUNDDOWN($H100,0))*(INDEX(avoidedcosttbl2,ROUNDUP($H100,0),BY$2)-(INDEX(avoidedcosttbl2,ROUNDDOWN($H100,0),BY$2)))))*'Inputs Yr 2'!P100*'Inputs Yr 2'!Q100*'Inputs Yr 2'!U100,"")</f>
        <v/>
      </c>
      <c r="BZ100" s="193">
        <f t="shared" si="69"/>
        <v>0</v>
      </c>
      <c r="CA100" s="193">
        <f t="shared" si="70"/>
        <v>0</v>
      </c>
      <c r="CB100" s="195" t="str">
        <f>IFERROR(G100*(IF('Inputs Yr 2'!$AJ100=CB$4,'Inputs Yr 2'!$AK100,IF('Inputs Yr 2'!$AL100=CB$4,'Inputs Yr 2'!$AM100,IF('Inputs Yr 2'!$AN100=CB$4,'Inputs Yr 2'!$AO100,0))))*(INDEX(avoidedcosttbl2,$H100,CB$2)+(($H100-ROUNDDOWN($H100,0))*(INDEX(avoidedcosttbl2,ROUNDUP($H100,0),CB$2)-(INDEX(avoidedcosttbl2,ROUNDDOWN($H100,0),CB$2)))))*'Inputs Yr 2'!P100*'Inputs Yr 2'!Q100*'Inputs Yr 2'!U100,"")</f>
        <v/>
      </c>
      <c r="CC100" s="195" t="str">
        <f>IFERROR(H100*(IF('Inputs Yr 2'!$AJ100=CC$4,'Inputs Yr 2'!$AK100,IF('Inputs Yr 2'!$AL100=CC$4,'Inputs Yr 2'!$AM100,IF('Inputs Yr 2'!$AN100=CC$4,'Inputs Yr 2'!$AO100,0))))*(INDEX(avoidedcosttbl2,$H100,CC$2)+(($H100-ROUNDDOWN($H100,0))*(INDEX(avoidedcosttbl2,ROUNDUP($H100,0),CC$2)-(INDEX(avoidedcosttbl2,ROUNDDOWN($H100,0),CC$2)))))*'Inputs Yr 2'!Q100*'Inputs Yr 2'!R100*'Inputs Yr 2'!V100,"")</f>
        <v/>
      </c>
      <c r="CD100" s="195" t="str">
        <f>IFERROR(I100*(IF('Inputs Yr 2'!$AJ100=CD$4,'Inputs Yr 2'!$AK100,IF('Inputs Yr 2'!$AL100=CD$4,'Inputs Yr 2'!$AM100,IF('Inputs Yr 2'!$AN100=CD$4,'Inputs Yr 2'!$AO100,0))))*(INDEX(avoidedcosttbl2,$H100,CD$2)+(($H100-ROUNDDOWN($H100,0))*(INDEX(avoidedcosttbl2,ROUNDUP($H100,0),CD$2)-(INDEX(avoidedcosttbl2,ROUNDDOWN($H100,0),CD$2)))))*'Inputs Yr 2'!R100*'Inputs Yr 2'!S100*'Inputs Yr 2'!W100,"")</f>
        <v/>
      </c>
      <c r="CE100" s="213" t="str">
        <f t="shared" si="71"/>
        <v/>
      </c>
      <c r="CF100" s="213" t="str">
        <f t="shared" si="72"/>
        <v/>
      </c>
      <c r="CG100" s="213" t="str">
        <f t="shared" si="73"/>
        <v/>
      </c>
      <c r="CH100" s="698">
        <f t="shared" si="74"/>
        <v>0</v>
      </c>
      <c r="CI100" s="79" t="str">
        <f>IFERROR(($G100*'Inputs Yr 2'!$P100*'Inputs Yr 2'!$Q100*(((INDEX(avoidedcosttbl2,$H100,CI$2)+(($H100-ROUNDDOWN($H100,0))*(INDEX(avoidedcosttbl2,ROUNDUP($H100,0),CI$2)-INDEX(avoidedcosttbl2,ROUNDDOWN($H100,0),CI$2))))*'Inputs Yr 2'!AS100))),"")</f>
        <v/>
      </c>
      <c r="CJ100" s="504" t="str">
        <f>IFERROR($G100*'Inputs Yr 2'!AT100*'Inputs Yr 2'!$P100*'Inputs Yr 2'!$Q100/((1+realdiscrt1)^-0.5),"")</f>
        <v/>
      </c>
      <c r="CK100" s="79" t="str">
        <f>IFERROR((O100*1000*(((INDEX(avoidedcosttbl2,$H100,CK$2)+(($H100-ROUNDDOWN($H100,0))*(INDEX(avoidedcosttbl2,ROUNDUP($H100,0),CK$2)-INDEX(avoidedcosttbl2,ROUNDDOWN($H100,0),CK$2))))*'Inputs Yr 2'!AU100))),"")</f>
        <v/>
      </c>
      <c r="CL100" s="504" t="str">
        <f>IFERROR(O100*1000*'Inputs Yr 2'!AV100/((1+realdiscrt1)^-0.5),"")</f>
        <v/>
      </c>
      <c r="CM100" s="79" t="str">
        <f>IFERROR((AB100*'Inputs Yr 2'!AW100*(((INDEX(avoidedcosttbl2,$H100,CM$2)+(($H100-ROUNDDOWN($H100,0))*(INDEX(avoidedcosttbl2,ROUNDUP($H100,0),CM$2)-INDEX(avoidedcosttbl2,ROUNDDOWN($H100,0),CM$2)))))))*10,"")</f>
        <v/>
      </c>
      <c r="CN100" s="504">
        <f>IFERROR(10*AB100*'Inputs Yr 2'!AX100/((1+realdiscrt1)^-0.5),"")</f>
        <v>0</v>
      </c>
      <c r="CO100" s="505">
        <f t="shared" si="75"/>
        <v>0</v>
      </c>
      <c r="CP100" s="230">
        <f t="shared" si="76"/>
        <v>0</v>
      </c>
      <c r="CQ100" s="199">
        <f>ROUND(IFERROR(IF(LEFT($A100,1)="C",'Avoided Costs'!$K$13,'Avoided Costs'!$K$12)+1,""),4)</f>
        <v>1.0720000000000001</v>
      </c>
      <c r="CR100" s="199">
        <f>ROUND(IFERROR(IF(LEFT($A100,1)="C",'Avoided Costs'!$L$13,'Avoided Costs'!$L$12)+1,""),4)</f>
        <v>1.04</v>
      </c>
      <c r="CS100" s="199">
        <f>ROUND(IFERROR(IF(LEFT($A100,1)="C",'Avoided Costs'!$M$13,'Avoided Costs'!$M$12)+1,""),4)</f>
        <v>1.0720000000000001</v>
      </c>
      <c r="CT100" s="199">
        <f>ROUND(IFERROR(IF(LEFT($A100,1)="C",'Avoided Costs'!$N$13,'Avoided Costs'!$N$12)+1,""),4)</f>
        <v>1.04</v>
      </c>
      <c r="CU100" s="199">
        <f>ROUND(IFERROR(IF(LEFT($A100,1)="C",'Avoided Costs'!$O$13,'Avoided Costs'!$O$12)+1,""),4)</f>
        <v>1.1120000000000001</v>
      </c>
      <c r="CV100" s="199">
        <f>ROUND(IFERROR(IF(LEFT($A100,1)="C",'Avoided Costs'!$P$13,'Avoided Costs'!$P$12)+1,""),4)</f>
        <v>1.095</v>
      </c>
      <c r="CW100" s="199">
        <f>ROUND(IFERROR(IF(LEFT($A100,1)="C",'Avoided Costs'!$Q$13,'Avoided Costs'!$Q$12)+1,""),4)</f>
        <v>1.1120000000000001</v>
      </c>
      <c r="CX100" s="200">
        <f>ROUND(IFERROR(IF(LEFT($A100,1)="C",'Avoided Costs'!$R$13,'Avoided Costs'!$R$12)+1,""),4)</f>
        <v>1.1120000000000001</v>
      </c>
    </row>
    <row r="101" spans="1:102" ht="12.75" customHeight="1">
      <c r="A101" s="91" t="str">
        <f>IF('Inputs Yr 2'!$B101=0,"",'Inputs Yr 2'!A101)</f>
        <v>B - Low Income</v>
      </c>
      <c r="B101" s="91" t="str">
        <f>IF('Inputs Yr 2'!$B101=0,"",'Inputs Yr 2'!B101)</f>
        <v>B1 - Low-Income Whole House</v>
      </c>
      <c r="C101" s="91" t="str">
        <f>IF('Inputs Yr 2'!$B101=0,"",'Inputs Yr 2'!C101)</f>
        <v>B1a - Low-Income Single Family Retrofit</v>
      </c>
      <c r="D101" s="91" t="str">
        <f>IF('Inputs Yr 2'!$B101=0,"",'Inputs Yr 2'!E101)</f>
        <v>Participant/TLC Kit</v>
      </c>
      <c r="E101" s="93" t="str">
        <f>IF('Inputs Yr 2'!$B101=0,"",'Inputs Yr 2'!F101)</f>
        <v>G16B1a01</v>
      </c>
      <c r="F101" s="93" t="str">
        <f>IF('Inputs Yr 2'!$B101=0,"",'Inputs Yr 2'!G101)</f>
        <v>Behavior</v>
      </c>
      <c r="G101" s="95" t="str">
        <f>IF('Inputs Yr 2'!$H101&lt;&gt;0,('Inputs Yr 2'!H101),"")</f>
        <v/>
      </c>
      <c r="H101" s="94">
        <f>IFERROR('Inputs Yr 2'!I101,"")</f>
        <v>0</v>
      </c>
      <c r="I101" s="298" t="str">
        <f>IFERROR('Inputs Yr 2'!J101*'Inputs Yr 2'!P101*G101,"")</f>
        <v/>
      </c>
      <c r="J101" s="298" t="str">
        <f>IFERROR('Inputs Yr 2'!K101*G101,"")</f>
        <v/>
      </c>
      <c r="K101" s="298" t="str">
        <f t="shared" si="53"/>
        <v/>
      </c>
      <c r="L101" s="194" t="str">
        <f>IFERROR(('Inputs Yr 2'!W101*G101)/1000,"")</f>
        <v/>
      </c>
      <c r="M101" s="194" t="str">
        <f>IFERROR(L101*('Inputs Yr 2'!$Q101*'Inputs Yr 2'!$V101*'Inputs Yr 2'!$R101),"")</f>
        <v/>
      </c>
      <c r="N101" s="194" t="str">
        <f t="shared" si="54"/>
        <v/>
      </c>
      <c r="O101" s="194" t="str">
        <f>IFERROR(M101*'Inputs Yr 2'!P101,"")</f>
        <v/>
      </c>
      <c r="P101" s="194" t="str">
        <f t="shared" si="55"/>
        <v/>
      </c>
      <c r="Q101" s="194" t="str">
        <f>IFERROR($P101*'Inputs Yr 2'!AA101,"")</f>
        <v/>
      </c>
      <c r="R101" s="194" t="str">
        <f>IFERROR($P101*'Inputs Yr 2'!AB101,"")</f>
        <v/>
      </c>
      <c r="S101" s="194" t="str">
        <f>IFERROR($P101*'Inputs Yr 2'!AC101,"")</f>
        <v/>
      </c>
      <c r="T101" s="194" t="str">
        <f>IFERROR($P101*'Inputs Yr 2'!AD101,"")</f>
        <v/>
      </c>
      <c r="U101" s="194" t="str">
        <f>IFERROR(G101*'Inputs Yr 2'!$AE101*'Inputs Yr 2'!$P101*'Inputs Yr 2'!$Q101,"")</f>
        <v/>
      </c>
      <c r="V101" s="194" t="str">
        <f>IFERROR($G101*'Inputs Yr 2'!$AE101*'Inputs Yr 2'!$AG101*'Inputs Yr 2'!Q101*'Inputs Yr 2'!$S101,"")</f>
        <v/>
      </c>
      <c r="W101" s="194" t="str">
        <f>IFERROR($G101*'Inputs Yr 2'!$AE101*'Inputs Yr 2'!$AG101*'Inputs Yr 2'!P101*'Inputs Yr 2'!Q101*'Inputs Yr 2'!$S101,"")</f>
        <v/>
      </c>
      <c r="X101" s="194" t="str">
        <f>IFERROR($G101*'Inputs Yr 2'!$AE101*'Inputs Yr 2'!$AF101*'Inputs Yr 2'!Q101*'Inputs Yr 2'!$T101,"")</f>
        <v/>
      </c>
      <c r="Y101" s="194" t="str">
        <f>IFERROR($G101*'Inputs Yr 2'!$AE101*'Inputs Yr 2'!$AF101*'Inputs Yr 2'!P101*'Inputs Yr 2'!Q101*'Inputs Yr 2'!$T101,"")</f>
        <v/>
      </c>
      <c r="Z101" s="257">
        <f>IFERROR($G101*'Inputs Yr 2'!$Q101*'Inputs Yr 2'!$U101*(IF(IFERROR(SEARCH("NG", 'Inputs Yr 2'!$AJ101),0),'Inputs Yr 2'!$AK101,0)+IF(IFERROR(SEARCH("NG", 'Inputs Yr 2'!$AL101),0),'Inputs Yr 2'!$AM101,0)+IF(IFERROR(SEARCH("NG", 'Inputs Yr 2'!$AN101),0),'Inputs Yr 2'!$AO101,0)),0)</f>
        <v>0</v>
      </c>
      <c r="AA101" s="257">
        <f t="shared" si="56"/>
        <v>0</v>
      </c>
      <c r="AB101" s="257">
        <f>IFERROR(Z101*'Inputs Yr 2'!$P101,0)</f>
        <v>0</v>
      </c>
      <c r="AC101" s="257">
        <f t="shared" si="57"/>
        <v>0</v>
      </c>
      <c r="AD101" s="257">
        <f>IFERROR($G101*'Inputs Yr 2'!$Q101*'Inputs Yr 2'!$U101*(IF(IFERROR(SEARCH("Oil", 'Inputs Yr 2'!$AJ101), 0),'Inputs Yr 2'!$AK101,0)+IF(IFERROR(SEARCH("Oil", 'Inputs Yr 2'!$AL101), 0),'Inputs Yr 2'!$AM101,0)+IF(IFERROR(SEARCH("Oil", 'Inputs Yr 2'!$AN101), 0),'Inputs Yr 2'!$AO101,0)),0)</f>
        <v>0</v>
      </c>
      <c r="AE101" s="257">
        <f t="shared" si="58"/>
        <v>0</v>
      </c>
      <c r="AF101" s="257">
        <f>IFERROR(AD101*'Inputs Yr 2'!$P101,0)</f>
        <v>0</v>
      </c>
      <c r="AG101" s="257">
        <f t="shared" si="59"/>
        <v>0</v>
      </c>
      <c r="AH101" s="257">
        <f>IFERROR($G101*'Inputs Yr 2'!$Q101*'Inputs Yr 2'!$U101*(IF('Inputs Yr 2'!$AJ101=CD$4,'Inputs Yr 2'!$AK101,IF('Inputs Yr 2'!$AL101=CD$4,'Inputs Yr 2'!$AM101,IF('Inputs Yr 2'!$AN101=CD$4,'Inputs Yr 2'!$AO101,0)))),0)</f>
        <v>0</v>
      </c>
      <c r="AI101" s="257">
        <f t="shared" si="60"/>
        <v>0</v>
      </c>
      <c r="AJ101" s="257">
        <f>IFERROR(AH101*'Inputs Yr 2'!$P101,0)</f>
        <v>0</v>
      </c>
      <c r="AK101" s="257">
        <f t="shared" si="61"/>
        <v>0</v>
      </c>
      <c r="AL101" s="258">
        <f>IFERROR($G101*'Inputs Yr 2'!$P101*'Inputs Yr 2'!$Q101*'Inputs Yr 2'!AP101,0)</f>
        <v>0</v>
      </c>
      <c r="AM101" s="260">
        <f>IFERROR($G101*'Inputs Yr 2'!$P101*'Inputs Yr 2'!$Q101*'Inputs Yr 2'!AQ101,0)</f>
        <v>0</v>
      </c>
      <c r="AN101" s="258">
        <f>IFERROR($G101*'Inputs Yr 2'!$P101*'Inputs Yr 2'!$Q101*'Inputs Yr 2'!AR101,0)</f>
        <v>0</v>
      </c>
      <c r="AO101" s="257">
        <f t="shared" si="62"/>
        <v>0</v>
      </c>
      <c r="AP101" s="195" t="str">
        <f>IFERROR($CQ101*(INDEX(avoidedcosttbl2,$H101,AP$2)+(($H101-ROUNDDOWN($H101,0))*(INDEX(avoidedcosttbl2,ROUNDUP($H101,0),AP$2)-(INDEX(avoidedcosttbl2,ROUNDDOWN($H101,0),AP$2)))))*$O101*1000*'Inputs Yr 2'!AA101,"")</f>
        <v/>
      </c>
      <c r="AQ101" s="195" t="str">
        <f>IFERROR($CR101*(INDEX(avoidedcosttbl2,$H101,AQ$2)+(($H101-ROUNDDOWN($H101,0))*(INDEX(avoidedcosttbl2,ROUNDUP($H101,0),AQ$2)-(INDEX(avoidedcosttbl2,ROUNDDOWN($H101,0),AQ$2)))))*$O101*1000*'Inputs Yr 2'!AB101,"")</f>
        <v/>
      </c>
      <c r="AR101" s="195" t="str">
        <f>IFERROR($CS101*(INDEX(avoidedcosttbl2,$H101,AR$2)+(($H101-ROUNDDOWN($H101,0))*(INDEX(avoidedcosttbl2,ROUNDUP($H101,0),AR$2)-(INDEX(avoidedcosttbl2,ROUNDDOWN($H101,0),AR$2)))))*$O101*1000*'Inputs Yr 2'!AC101,"")</f>
        <v/>
      </c>
      <c r="AS101" s="195" t="str">
        <f>IFERROR($CT101*(INDEX(avoidedcosttbl2,$H101,AS$2)+(($H101-ROUNDDOWN($H101,0))*(INDEX(avoidedcosttbl2,ROUNDUP($H101,0),AS$2)-(INDEX(avoidedcosttbl2,ROUNDDOWN($H101,0),AS$2)))))*$O101*1000*'Inputs Yr 2'!AD101,"")</f>
        <v/>
      </c>
      <c r="AT101" s="196">
        <f t="shared" si="63"/>
        <v>0</v>
      </c>
      <c r="AU101" s="197" t="str">
        <f>IFERROR($CQ101*((INDEX(avoidedcosttbl2,$H101,AU$2))+(($H101-ROUNDDOWN($H101,0))*((INDEX(avoidedcosttbl2,ROUNDUP($H101,0),AU$2))-(INDEX(avoidedcosttbl2,ROUNDDOWN($H101,0),AU$2)))))*$O101*1000*'Inputs Yr 2'!AA101,"")</f>
        <v/>
      </c>
      <c r="AV101" s="197" t="str">
        <f>IFERROR($CR101*((INDEX(avoidedcosttbl2,$H101,AV$2))+(($H101-ROUNDDOWN($H101,0))*((INDEX(avoidedcosttbl2,ROUNDUP($H101,0),AV$2))-(INDEX(avoidedcosttbl2,ROUNDDOWN($H101,0),AV$2)))))*$O101*1000*'Inputs Yr 2'!AB101,"")</f>
        <v/>
      </c>
      <c r="AW101" s="197" t="str">
        <f>IFERROR($CS101*((INDEX(avoidedcosttbl2,$H101,AW$2))+(($H101-ROUNDDOWN($H101,0))*((INDEX(avoidedcosttbl2,ROUNDUP($H101,0),AW$2))-(INDEX(avoidedcosttbl2,ROUNDDOWN($H101,0),AW$2)))))*$O101*1000*'Inputs Yr 2'!AC101,"")</f>
        <v/>
      </c>
      <c r="AX101" s="197" t="str">
        <f>IFERROR($CT101*((INDEX(avoidedcosttbl2,$H101,AX$2))+(($H101-ROUNDDOWN($H101,0))*((INDEX(avoidedcosttbl2,ROUNDUP($H101,0),AX$2))-(INDEX(avoidedcosttbl2,ROUNDDOWN($H101,0),AX$2)))))*$O101*1000*'Inputs Yr 2'!AD101,"")</f>
        <v/>
      </c>
      <c r="AY101" s="197" t="str">
        <f>IFERROR(((INDEX(avoidedcosttbl2,$H101,AY$2))+(($H101-ROUNDDOWN($H101,0))*((INDEX(avoidedcosttbl2,ROUNDUP($H101,0),AY$2))-(INDEX(avoidedcosttbl2,ROUNDDOWN($H101,0),AY$2)))))*$O101*1000*('Inputs Yr 2'!AC101+'Inputs Yr 2'!AD101),"")</f>
        <v/>
      </c>
      <c r="AZ101" s="197" t="str">
        <f>IFERROR(((INDEX(avoidedcosttbl2,$H101,AZ$2))+(($H101-ROUNDDOWN($H101,0))*((INDEX(avoidedcosttbl2,ROUNDUP($H101,0),AZ$2))-(INDEX(avoidedcosttbl2,ROUNDDOWN($H101,0),AZ$2)))))*$O101*1000*('Inputs Yr 2'!AA101+'Inputs Yr 2'!AB101),"")</f>
        <v/>
      </c>
      <c r="BA101" s="198">
        <f t="shared" si="64"/>
        <v>0</v>
      </c>
      <c r="BB101" s="198">
        <f t="shared" si="65"/>
        <v>0</v>
      </c>
      <c r="BC101" s="195" t="str">
        <f t="shared" si="47"/>
        <v/>
      </c>
      <c r="BD101" s="195" t="str">
        <f t="shared" si="48"/>
        <v/>
      </c>
      <c r="BE101" s="195" t="str">
        <f t="shared" si="49"/>
        <v/>
      </c>
      <c r="BF101" s="195" t="str">
        <f t="shared" si="50"/>
        <v/>
      </c>
      <c r="BG101" s="195" t="str">
        <f t="shared" si="51"/>
        <v/>
      </c>
      <c r="BH101" s="196">
        <f t="shared" si="66"/>
        <v>0</v>
      </c>
      <c r="BI101" s="196">
        <f t="shared" si="67"/>
        <v>0</v>
      </c>
      <c r="BJ101" s="195" t="str">
        <f>IFERROR($G101*(IF('Inputs Yr 2'!$AJ101=BJ$4,'Inputs Yr 2'!$AK101,IF('Inputs Yr 2'!$AL101=BJ$4,'Inputs Yr 2'!$AM101,IF('Inputs Yr 2'!$AN101=BJ$4,'Inputs Yr 2'!$AO101,0))))*(INDEX(avoidedcosttbl2,$H101,BJ$2)+(($H101-ROUNDDOWN($H101,0))*(INDEX(avoidedcosttbl2,ROUNDUP($H101,0),BJ$2)-(INDEX(avoidedcosttbl2,ROUNDDOWN($H101,0),BJ$2)))))*'Inputs Yr 2'!P101*'Inputs Yr 2'!Q101*'Inputs Yr 2'!U101,"")</f>
        <v/>
      </c>
      <c r="BK101" s="195" t="str">
        <f>IFERROR($G101*(IF('Inputs Yr 2'!$AJ101=BK$4,'Inputs Yr 2'!$AK101,IF('Inputs Yr 2'!$AL101=BK$4,'Inputs Yr 2'!$AM101,IF('Inputs Yr 2'!$AN101=BK$4,'Inputs Yr 2'!$AO101,0))))*(INDEX(avoidedcosttbl2,$H101,BK$2)+(($H101-ROUNDDOWN($H101,0))*(INDEX(avoidedcosttbl2,ROUNDUP($H101,0),BK$2)-(INDEX(avoidedcosttbl2,ROUNDDOWN($H101,0),BK$2)))))*'Inputs Yr 2'!P101*'Inputs Yr 2'!Q101*'Inputs Yr 2'!U101,"")</f>
        <v/>
      </c>
      <c r="BL101" s="195" t="str">
        <f>IFERROR($G101*(IF('Inputs Yr 2'!$AJ101=BL$4,'Inputs Yr 2'!$AK101,IF('Inputs Yr 2'!$AL101=BL$4,'Inputs Yr 2'!$AM101,IF('Inputs Yr 2'!$AN101=BL$4,'Inputs Yr 2'!$AO101,0))))*(INDEX(avoidedcosttbl2,$H101,BL$2)+(($H101-ROUNDDOWN($H101,0))*(INDEX(avoidedcosttbl2,ROUNDUP($H101,0),BL$2)-(INDEX(avoidedcosttbl2,ROUNDDOWN($H101,0),BL$2)))))*'Inputs Yr 2'!P101*'Inputs Yr 2'!Q101*'Inputs Yr 2'!U101,"")</f>
        <v/>
      </c>
      <c r="BM101" s="195" t="str">
        <f>IFERROR($G101*(IF('Inputs Yr 2'!$AJ101=BM$4,'Inputs Yr 2'!$AK101,IF('Inputs Yr 2'!$AL101=BM$4,'Inputs Yr 2'!$AM101,IF('Inputs Yr 2'!$AN101=BM$4,'Inputs Yr 2'!$AO101,0))))*(INDEX(avoidedcosttbl2,$H101,BM$2)+(($H101-ROUNDDOWN($H101,0))*(INDEX(avoidedcosttbl2,ROUNDUP($H101,0),BM$2)-(INDEX(avoidedcosttbl2,ROUNDDOWN($H101,0),BM$2)))))*'Inputs Yr 2'!P101*'Inputs Yr 2'!Q101*'Inputs Yr 2'!U101,"")</f>
        <v/>
      </c>
      <c r="BN101" s="195" t="str">
        <f>IFERROR($G101*(IF('Inputs Yr 2'!$AJ101=BN$4,'Inputs Yr 2'!$AK101,IF('Inputs Yr 2'!$AL101=BN$4,'Inputs Yr 2'!$AM101,IF('Inputs Yr 2'!$AN101=BN$4,'Inputs Yr 2'!$AO101,0))))*(INDEX(avoidedcosttbl2,$H101,BN$2)+(($H101-ROUNDDOWN($H101,0))*(INDEX(avoidedcosttbl2,ROUNDUP($H101,0),BN$2)-(INDEX(avoidedcosttbl2,ROUNDDOWN($H101,0),BN$2)))))*'Inputs Yr 2'!P101*'Inputs Yr 2'!Q101*'Inputs Yr 2'!U101,"")</f>
        <v/>
      </c>
      <c r="BO101" s="195" t="str">
        <f>IFERROR($G101*(IF('Inputs Yr 2'!$AJ101=BO$4,'Inputs Yr 2'!$AK101,IF('Inputs Yr 2'!$AL101=BO$4,'Inputs Yr 2'!$AM101,IF('Inputs Yr 2'!$AN101=BO$4,'Inputs Yr 2'!$AO101,0))))*(INDEX(avoidedcosttbl2,$H101,BO$2)+(($H101-ROUNDDOWN($H101,0))*(INDEX(avoidedcosttbl2,ROUNDUP($H101,0),BO$2)-(INDEX(avoidedcosttbl2,ROUNDDOWN($H101,0),BO$2)))))*'Inputs Yr 2'!P101*'Inputs Yr 2'!Q101*'Inputs Yr 2'!U101,"")</f>
        <v/>
      </c>
      <c r="BP101" s="195" t="str">
        <f>IFERROR($G101*(IF('Inputs Yr 2'!$AJ101=BP$4,'Inputs Yr 2'!$AK101,IF('Inputs Yr 2'!$AL101=BP$4,'Inputs Yr 2'!$AM101,IF('Inputs Yr 2'!$AN101=BP$4,'Inputs Yr 2'!$AO101,0))))*(INDEX(avoidedcosttbl2,$H101,BP$2)+(($H101-ROUNDDOWN($H101,0))*(INDEX(avoidedcosttbl2,ROUNDUP($H101,0),BP$2)-(INDEX(avoidedcosttbl2,ROUNDDOWN($H101,0),BP$2)))))*'Inputs Yr 2'!P101*'Inputs Yr 2'!Q101*'Inputs Yr 2'!U101,"")</f>
        <v/>
      </c>
      <c r="BQ101" s="230">
        <f t="shared" si="68"/>
        <v>0</v>
      </c>
      <c r="BR101" s="197" t="str">
        <f t="shared" si="52"/>
        <v/>
      </c>
      <c r="BS101" s="197" t="str">
        <f>IFERROR(($G101*IF('Inputs Yr 2'!$AJ101=BM$4,'Inputs Yr 2'!$AK101,IF('Inputs Yr 2'!$AL101=BM$4,'Inputs Yr 2'!$AM101,IF('Inputs Yr 2'!$AN101=BM$4,'Inputs Yr 2'!$AO101,0))))*(INDEX(avoidedcosttbl2,$H101,BS$2)+(($H101-ROUNDDOWN($H101,0))*(INDEX(avoidedcosttbl2,ROUNDUP($H101,0),BS$2)-(INDEX(avoidedcosttbl2,ROUNDDOWN($H101,0),BS$2)))))*'Inputs Yr 2'!P101*'Inputs Yr 2'!Q101*'Inputs Yr 2'!U101,"")</f>
        <v/>
      </c>
      <c r="BT101" s="197" t="str">
        <f>IFERROR(($G101*IF('Inputs Yr 2'!$AJ101=BK$4,'Inputs Yr 2'!$AK101,IF('Inputs Yr 2'!$AL101=BK$4,'Inputs Yr 2'!$AM101,IF('Inputs Yr 2'!$AN101=BK$4,'Inputs Yr 2'!$AO101,0))))*(INDEX(avoidedcosttbl2,$H101,BT$2)+(($H101-ROUNDDOWN($H101,0))*(INDEX(avoidedcosttbl2,ROUNDUP($H101,0),BT$2)-(INDEX(avoidedcosttbl2,ROUNDDOWN($H101,0),BT$2)))))*'Inputs Yr 2'!P101*'Inputs Yr 2'!Q101*'Inputs Yr 2'!U101,"")</f>
        <v/>
      </c>
      <c r="BU101" s="197" t="str">
        <f>IFERROR(($G101*IF('Inputs Yr 2'!$AJ101=BL$4,'Inputs Yr 2'!$AK101,IF('Inputs Yr 2'!$AL101=BL$4,'Inputs Yr 2'!$AM101,IF('Inputs Yr 2'!$AN101=BL$4,'Inputs Yr 2'!$AO101,0))))*(INDEX(avoidedcosttbl2,$H101,BU$2)+(($H101-ROUNDDOWN($H101,0))*(INDEX(avoidedcosttbl2,ROUNDUP($H101,0),BU$2)-(INDEX(avoidedcosttbl2,ROUNDDOWN($H101,0),BU$2)))))*'Inputs Yr 2'!P101*'Inputs Yr 2'!Q101*'Inputs Yr 2'!U101,"")</f>
        <v/>
      </c>
      <c r="BV101" s="775" t="str">
        <f>IFERROR(($G101*IF('Inputs Yr 2'!$AJ101=BJ$4,'Inputs Yr 2'!$AK101,IF('Inputs Yr 2'!$AL101=BJ$4,'Inputs Yr 2'!$AM101,IF('Inputs Yr 2'!$AN101=BJ$4,'Inputs Yr 2'!$AO101,0))))*(INDEX(avoidedcosttbl2,$H101,BV$2)+(($H101-ROUNDDOWN($H101,0))*(INDEX(avoidedcosttbl2,ROUNDUP($H101,0),BV$2)-(INDEX(avoidedcosttbl2,ROUNDDOWN($H101,0),BV$2)))))*'Inputs Yr 2'!P101*'Inputs Yr 2'!Q101*'Inputs Yr 2'!U101,"")</f>
        <v/>
      </c>
      <c r="BW101" s="197" t="str">
        <f>IFERROR(($G101*IF('Inputs Yr 2'!$AJ101=BN$4,'Inputs Yr 2'!$AK101,IF('Inputs Yr 2'!$AL101=BN$4,'Inputs Yr 2'!$AM101,IF('Inputs Yr 2'!$AN101=BN$4,'Inputs Yr 2'!$AO101,0))))*(INDEX(avoidedcosttbl2,$H101,BW$2)+(($H101-ROUNDDOWN($H101,0))*(INDEX(avoidedcosttbl2,ROUNDUP($H101,0),BW$2)-(INDEX(avoidedcosttbl2,ROUNDDOWN($H101,0),BW$2)))))*'Inputs Yr 2'!P101*'Inputs Yr 2'!Q101*'Inputs Yr 2'!U101,"")</f>
        <v/>
      </c>
      <c r="BX101" s="197" t="str">
        <f>IFERROR(($G101*IF('Inputs Yr 2'!$AJ101=BO$4,'Inputs Yr 2'!$AK101,IF('Inputs Yr 2'!$AL101=BO$4,'Inputs Yr 2'!$AM101,IF('Inputs Yr 2'!$AN101=BO$4,'Inputs Yr 2'!$AO101,0))))*(INDEX(avoidedcosttbl2,$H101,BX$2)+(($H101-ROUNDDOWN($H101,0))*(INDEX(avoidedcosttbl2,ROUNDUP($H101,0),BX$2)-(INDEX(avoidedcosttbl2,ROUNDDOWN($H101,0),BX$2)))))*'Inputs Yr 2'!P101*'Inputs Yr 2'!Q101*'Inputs Yr 2'!U101,"")</f>
        <v/>
      </c>
      <c r="BY101" s="197" t="str">
        <f>IFERROR(($G101*IF('Inputs Yr 2'!$AJ101=BP$4,'Inputs Yr 2'!$AK101,IF('Inputs Yr 2'!$AL101=BP$4,'Inputs Yr 2'!$AM101,IF('Inputs Yr 2'!$AN101=BP$4,'Inputs Yr 2'!$AO101,0))))*(INDEX(avoidedcosttbl2,$H101,BY$2)+(($H101-ROUNDDOWN($H101,0))*(INDEX(avoidedcosttbl2,ROUNDUP($H101,0),BY$2)-(INDEX(avoidedcosttbl2,ROUNDDOWN($H101,0),BY$2)))))*'Inputs Yr 2'!P101*'Inputs Yr 2'!Q101*'Inputs Yr 2'!U101,"")</f>
        <v/>
      </c>
      <c r="BZ101" s="193">
        <f t="shared" si="69"/>
        <v>0</v>
      </c>
      <c r="CA101" s="193">
        <f t="shared" si="70"/>
        <v>0</v>
      </c>
      <c r="CB101" s="195" t="str">
        <f>IFERROR(G101*(IF('Inputs Yr 2'!$AJ101=CB$4,'Inputs Yr 2'!$AK101,IF('Inputs Yr 2'!$AL101=CB$4,'Inputs Yr 2'!$AM101,IF('Inputs Yr 2'!$AN101=CB$4,'Inputs Yr 2'!$AO101,0))))*(INDEX(avoidedcosttbl2,$H101,CB$2)+(($H101-ROUNDDOWN($H101,0))*(INDEX(avoidedcosttbl2,ROUNDUP($H101,0),CB$2)-(INDEX(avoidedcosttbl2,ROUNDDOWN($H101,0),CB$2)))))*'Inputs Yr 2'!P101*'Inputs Yr 2'!Q101*'Inputs Yr 2'!U101,"")</f>
        <v/>
      </c>
      <c r="CC101" s="195" t="str">
        <f>IFERROR(H101*(IF('Inputs Yr 2'!$AJ101=CC$4,'Inputs Yr 2'!$AK101,IF('Inputs Yr 2'!$AL101=CC$4,'Inputs Yr 2'!$AM101,IF('Inputs Yr 2'!$AN101=CC$4,'Inputs Yr 2'!$AO101,0))))*(INDEX(avoidedcosttbl2,$H101,CC$2)+(($H101-ROUNDDOWN($H101,0))*(INDEX(avoidedcosttbl2,ROUNDUP($H101,0),CC$2)-(INDEX(avoidedcosttbl2,ROUNDDOWN($H101,0),CC$2)))))*'Inputs Yr 2'!Q101*'Inputs Yr 2'!R101*'Inputs Yr 2'!V101,"")</f>
        <v/>
      </c>
      <c r="CD101" s="195" t="str">
        <f>IFERROR(I101*(IF('Inputs Yr 2'!$AJ101=CD$4,'Inputs Yr 2'!$AK101,IF('Inputs Yr 2'!$AL101=CD$4,'Inputs Yr 2'!$AM101,IF('Inputs Yr 2'!$AN101=CD$4,'Inputs Yr 2'!$AO101,0))))*(INDEX(avoidedcosttbl2,$H101,CD$2)+(($H101-ROUNDDOWN($H101,0))*(INDEX(avoidedcosttbl2,ROUNDUP($H101,0),CD$2)-(INDEX(avoidedcosttbl2,ROUNDDOWN($H101,0),CD$2)))))*'Inputs Yr 2'!R101*'Inputs Yr 2'!S101*'Inputs Yr 2'!W101,"")</f>
        <v/>
      </c>
      <c r="CE101" s="213" t="str">
        <f t="shared" si="71"/>
        <v/>
      </c>
      <c r="CF101" s="213" t="str">
        <f t="shared" si="72"/>
        <v/>
      </c>
      <c r="CG101" s="213" t="str">
        <f t="shared" si="73"/>
        <v/>
      </c>
      <c r="CH101" s="698">
        <f t="shared" si="74"/>
        <v>0</v>
      </c>
      <c r="CI101" s="79" t="str">
        <f>IFERROR(($G101*'Inputs Yr 2'!$P101*'Inputs Yr 2'!$Q101*(((INDEX(avoidedcosttbl2,$H101,CI$2)+(($H101-ROUNDDOWN($H101,0))*(INDEX(avoidedcosttbl2,ROUNDUP($H101,0),CI$2)-INDEX(avoidedcosttbl2,ROUNDDOWN($H101,0),CI$2))))*'Inputs Yr 2'!AS101))),"")</f>
        <v/>
      </c>
      <c r="CJ101" s="504" t="str">
        <f>IFERROR($G101*'Inputs Yr 2'!AT101*'Inputs Yr 2'!$P101*'Inputs Yr 2'!$Q101/((1+realdiscrt1)^-0.5),"")</f>
        <v/>
      </c>
      <c r="CK101" s="79" t="str">
        <f>IFERROR((O101*1000*(((INDEX(avoidedcosttbl2,$H101,CK$2)+(($H101-ROUNDDOWN($H101,0))*(INDEX(avoidedcosttbl2,ROUNDUP($H101,0),CK$2)-INDEX(avoidedcosttbl2,ROUNDDOWN($H101,0),CK$2))))*'Inputs Yr 2'!AU101))),"")</f>
        <v/>
      </c>
      <c r="CL101" s="504" t="str">
        <f>IFERROR(O101*1000*'Inputs Yr 2'!AV101/((1+realdiscrt1)^-0.5),"")</f>
        <v/>
      </c>
      <c r="CM101" s="79" t="str">
        <f>IFERROR((AB101*'Inputs Yr 2'!AW101*(((INDEX(avoidedcosttbl2,$H101,CM$2)+(($H101-ROUNDDOWN($H101,0))*(INDEX(avoidedcosttbl2,ROUNDUP($H101,0),CM$2)-INDEX(avoidedcosttbl2,ROUNDDOWN($H101,0),CM$2)))))))*10,"")</f>
        <v/>
      </c>
      <c r="CN101" s="504">
        <f>IFERROR(10*AB101*'Inputs Yr 2'!AX101/((1+realdiscrt1)^-0.5),"")</f>
        <v>0</v>
      </c>
      <c r="CO101" s="505">
        <f t="shared" si="75"/>
        <v>0</v>
      </c>
      <c r="CP101" s="230">
        <f t="shared" si="76"/>
        <v>0</v>
      </c>
      <c r="CQ101" s="199">
        <f>ROUND(IFERROR(IF(LEFT($A101,1)="C",'Avoided Costs'!$K$13,'Avoided Costs'!$K$12)+1,""),4)</f>
        <v>1.0720000000000001</v>
      </c>
      <c r="CR101" s="199">
        <f>ROUND(IFERROR(IF(LEFT($A101,1)="C",'Avoided Costs'!$L$13,'Avoided Costs'!$L$12)+1,""),4)</f>
        <v>1.04</v>
      </c>
      <c r="CS101" s="199">
        <f>ROUND(IFERROR(IF(LEFT($A101,1)="C",'Avoided Costs'!$M$13,'Avoided Costs'!$M$12)+1,""),4)</f>
        <v>1.0720000000000001</v>
      </c>
      <c r="CT101" s="199">
        <f>ROUND(IFERROR(IF(LEFT($A101,1)="C",'Avoided Costs'!$N$13,'Avoided Costs'!$N$12)+1,""),4)</f>
        <v>1.04</v>
      </c>
      <c r="CU101" s="199">
        <f>ROUND(IFERROR(IF(LEFT($A101,1)="C",'Avoided Costs'!$O$13,'Avoided Costs'!$O$12)+1,""),4)</f>
        <v>1.1120000000000001</v>
      </c>
      <c r="CV101" s="199">
        <f>ROUND(IFERROR(IF(LEFT($A101,1)="C",'Avoided Costs'!$P$13,'Avoided Costs'!$P$12)+1,""),4)</f>
        <v>1.095</v>
      </c>
      <c r="CW101" s="199">
        <f>ROUND(IFERROR(IF(LEFT($A101,1)="C",'Avoided Costs'!$Q$13,'Avoided Costs'!$Q$12)+1,""),4)</f>
        <v>1.1120000000000001</v>
      </c>
      <c r="CX101" s="200">
        <f>ROUND(IFERROR(IF(LEFT($A101,1)="C",'Avoided Costs'!$R$13,'Avoided Costs'!$R$12)+1,""),4)</f>
        <v>1.1120000000000001</v>
      </c>
    </row>
    <row r="102" spans="1:102" ht="12.75" customHeight="1">
      <c r="A102" s="91" t="str">
        <f>IF('Inputs Yr 2'!$B102=0,"",'Inputs Yr 2'!A102)</f>
        <v>B - Low Income</v>
      </c>
      <c r="B102" s="91" t="str">
        <f>IF('Inputs Yr 2'!$B102=0,"",'Inputs Yr 2'!B102)</f>
        <v>B1 - Low-Income Whole House</v>
      </c>
      <c r="C102" s="91" t="str">
        <f>IF('Inputs Yr 2'!$B102=0,"",'Inputs Yr 2'!C102)</f>
        <v>B1a - Low-Income Single Family Retrofit</v>
      </c>
      <c r="D102" s="91" t="str">
        <f>IF('Inputs Yr 2'!$B102=0,"",'Inputs Yr 2'!E102)</f>
        <v>Weatherization, Gas</v>
      </c>
      <c r="E102" s="93" t="str">
        <f>IF('Inputs Yr 2'!$B102=0,"",'Inputs Yr 2'!F102)</f>
        <v>G16B1a02</v>
      </c>
      <c r="F102" s="93" t="str">
        <f>IF('Inputs Yr 2'!$B102=0,"",'Inputs Yr 2'!G102)</f>
        <v>Envelope</v>
      </c>
      <c r="G102" s="95">
        <f>IF('Inputs Yr 2'!$H102&lt;&gt;0,('Inputs Yr 2'!H102),"")</f>
        <v>1115</v>
      </c>
      <c r="H102" s="94">
        <f>IFERROR('Inputs Yr 2'!I102,"")</f>
        <v>20</v>
      </c>
      <c r="I102" s="298">
        <f>IFERROR('Inputs Yr 2'!J102*'Inputs Yr 2'!P102*G102,"")</f>
        <v>5286415.7</v>
      </c>
      <c r="J102" s="298">
        <f>IFERROR('Inputs Yr 2'!K102*G102,"")</f>
        <v>5286415.7</v>
      </c>
      <c r="K102" s="298">
        <f t="shared" si="53"/>
        <v>0</v>
      </c>
      <c r="L102" s="194">
        <f>IFERROR(('Inputs Yr 2'!W102*G102)/1000,"")</f>
        <v>383.56</v>
      </c>
      <c r="M102" s="194">
        <f>IFERROR(L102*('Inputs Yr 2'!$Q102*'Inputs Yr 2'!$V102*'Inputs Yr 2'!$R102),"")</f>
        <v>383.56</v>
      </c>
      <c r="N102" s="194">
        <f t="shared" si="54"/>
        <v>7671.2</v>
      </c>
      <c r="O102" s="194">
        <f>IFERROR(M102*'Inputs Yr 2'!P102,"")</f>
        <v>383.56</v>
      </c>
      <c r="P102" s="194">
        <f t="shared" si="55"/>
        <v>7671.2</v>
      </c>
      <c r="Q102" s="194">
        <f>IFERROR($P102*'Inputs Yr 2'!AA102,"")</f>
        <v>1764.5342211914392</v>
      </c>
      <c r="R102" s="194">
        <f>IFERROR($P102*'Inputs Yr 2'!AB102,"")</f>
        <v>2953.1056061118165</v>
      </c>
      <c r="S102" s="194">
        <f>IFERROR($P102*'Inputs Yr 2'!AC102,"")</f>
        <v>1664.30360734898</v>
      </c>
      <c r="T102" s="194">
        <f>IFERROR($P102*'Inputs Yr 2'!AD102,"")</f>
        <v>1289.2565653477639</v>
      </c>
      <c r="U102" s="194">
        <f>IFERROR(G102*'Inputs Yr 2'!$AE102*'Inputs Yr 2'!$P102*'Inputs Yr 2'!$Q102,"")</f>
        <v>345.65</v>
      </c>
      <c r="V102" s="194">
        <f>IFERROR($G102*'Inputs Yr 2'!$AE102*'Inputs Yr 2'!$AG102*'Inputs Yr 2'!Q102*'Inputs Yr 2'!$S102,"")</f>
        <v>152.08599999999998</v>
      </c>
      <c r="W102" s="194">
        <f>IFERROR($G102*'Inputs Yr 2'!$AE102*'Inputs Yr 2'!$AG102*'Inputs Yr 2'!P102*'Inputs Yr 2'!Q102*'Inputs Yr 2'!$S102,"")</f>
        <v>152.08599999999998</v>
      </c>
      <c r="X102" s="194">
        <f>IFERROR($G102*'Inputs Yr 2'!$AE102*'Inputs Yr 2'!$AF102*'Inputs Yr 2'!Q102*'Inputs Yr 2'!$T102,"")</f>
        <v>345.65</v>
      </c>
      <c r="Y102" s="194">
        <f>IFERROR($G102*'Inputs Yr 2'!$AE102*'Inputs Yr 2'!$AF102*'Inputs Yr 2'!P102*'Inputs Yr 2'!Q102*'Inputs Yr 2'!$T102,"")</f>
        <v>345.65</v>
      </c>
      <c r="Z102" s="257">
        <f>IFERROR($G102*'Inputs Yr 2'!$Q102*'Inputs Yr 2'!$U102*(IF(IFERROR(SEARCH("NG", 'Inputs Yr 2'!$AJ102),0),'Inputs Yr 2'!$AK102,0)+IF(IFERROR(SEARCH("NG", 'Inputs Yr 2'!$AL102),0),'Inputs Yr 2'!$AM102,0)+IF(IFERROR(SEARCH("NG", 'Inputs Yr 2'!$AN102),0),'Inputs Yr 2'!$AO102,0)),0)</f>
        <v>29324.5</v>
      </c>
      <c r="AA102" s="257">
        <f t="shared" si="56"/>
        <v>586490</v>
      </c>
      <c r="AB102" s="257">
        <f>IFERROR(Z102*'Inputs Yr 2'!$P102,0)</f>
        <v>29324.5</v>
      </c>
      <c r="AC102" s="257">
        <f t="shared" si="57"/>
        <v>586490</v>
      </c>
      <c r="AD102" s="257">
        <f>IFERROR($G102*'Inputs Yr 2'!$Q102*'Inputs Yr 2'!$U102*(IF(IFERROR(SEARCH("Oil", 'Inputs Yr 2'!$AJ102), 0),'Inputs Yr 2'!$AK102,0)+IF(IFERROR(SEARCH("Oil", 'Inputs Yr 2'!$AL102), 0),'Inputs Yr 2'!$AM102,0)+IF(IFERROR(SEARCH("Oil", 'Inputs Yr 2'!$AN102), 0),'Inputs Yr 2'!$AO102,0)),0)</f>
        <v>0</v>
      </c>
      <c r="AE102" s="257">
        <f t="shared" si="58"/>
        <v>0</v>
      </c>
      <c r="AF102" s="257">
        <f>IFERROR(AD102*'Inputs Yr 2'!$P102,0)</f>
        <v>0</v>
      </c>
      <c r="AG102" s="257">
        <f t="shared" si="59"/>
        <v>0</v>
      </c>
      <c r="AH102" s="257">
        <f>IFERROR($G102*'Inputs Yr 2'!$Q102*'Inputs Yr 2'!$U102*(IF('Inputs Yr 2'!$AJ102=CD$4,'Inputs Yr 2'!$AK102,IF('Inputs Yr 2'!$AL102=CD$4,'Inputs Yr 2'!$AM102,IF('Inputs Yr 2'!$AN102=CD$4,'Inputs Yr 2'!$AO102,0)))),0)</f>
        <v>0</v>
      </c>
      <c r="AI102" s="257">
        <f t="shared" si="60"/>
        <v>0</v>
      </c>
      <c r="AJ102" s="257">
        <f>IFERROR(AH102*'Inputs Yr 2'!$P102,0)</f>
        <v>0</v>
      </c>
      <c r="AK102" s="257">
        <f t="shared" si="61"/>
        <v>0</v>
      </c>
      <c r="AL102" s="258">
        <f>IFERROR($G102*'Inputs Yr 2'!$P102*'Inputs Yr 2'!$Q102*'Inputs Yr 2'!AP102,0)</f>
        <v>0</v>
      </c>
      <c r="AM102" s="260">
        <f>IFERROR($G102*'Inputs Yr 2'!$P102*'Inputs Yr 2'!$Q102*'Inputs Yr 2'!AQ102,0)</f>
        <v>0</v>
      </c>
      <c r="AN102" s="258">
        <f>IFERROR($G102*'Inputs Yr 2'!$P102*'Inputs Yr 2'!$Q102*'Inputs Yr 2'!AR102,0)</f>
        <v>0</v>
      </c>
      <c r="AO102" s="257">
        <f t="shared" si="62"/>
        <v>0</v>
      </c>
      <c r="AP102" s="195">
        <f>IFERROR($CQ102*(INDEX(avoidedcosttbl2,$H102,AP$2)+(($H102-ROUNDDOWN($H102,0))*(INDEX(avoidedcosttbl2,ROUNDUP($H102,0),AP$2)-(INDEX(avoidedcosttbl2,ROUNDDOWN($H102,0),AP$2)))))*$O102*1000*'Inputs Yr 2'!AA102,"")</f>
        <v>161273.98405043571</v>
      </c>
      <c r="AQ102" s="195">
        <f>IFERROR($CR102*(INDEX(avoidedcosttbl2,$H102,AQ$2)+(($H102-ROUNDDOWN($H102,0))*(INDEX(avoidedcosttbl2,ROUNDUP($H102,0),AQ$2)-(INDEX(avoidedcosttbl2,ROUNDDOWN($H102,0),AQ$2)))))*$O102*1000*'Inputs Yr 2'!AB102,"")</f>
        <v>240965.06976668464</v>
      </c>
      <c r="AR102" s="195">
        <f>IFERROR($CS102*(INDEX(avoidedcosttbl2,$H102,AR$2)+(($H102-ROUNDDOWN($H102,0))*(INDEX(avoidedcosttbl2,ROUNDUP($H102,0),AR$2)-(INDEX(avoidedcosttbl2,ROUNDDOWN($H102,0),AR$2)))))*$O102*1000*'Inputs Yr 2'!AC102,"")</f>
        <v>155775.91336205252</v>
      </c>
      <c r="AS102" s="195">
        <f>IFERROR($CT102*(INDEX(avoidedcosttbl2,$H102,AS$2)+(($H102-ROUNDDOWN($H102,0))*(INDEX(avoidedcosttbl2,ROUNDUP($H102,0),AS$2)-(INDEX(avoidedcosttbl2,ROUNDDOWN($H102,0),AS$2)))))*$O102*1000*'Inputs Yr 2'!AD102,"")</f>
        <v>91594.296182095393</v>
      </c>
      <c r="AT102" s="196">
        <f t="shared" si="63"/>
        <v>649609.26336126833</v>
      </c>
      <c r="AU102" s="197">
        <f>IFERROR($CQ102*((INDEX(avoidedcosttbl2,$H102,AU$2))+(($H102-ROUNDDOWN($H102,0))*((INDEX(avoidedcosttbl2,ROUNDUP($H102,0),AU$2))-(INDEX(avoidedcosttbl2,ROUNDDOWN($H102,0),AU$2)))))*$O102*1000*'Inputs Yr 2'!AA102,"")</f>
        <v>2878.3665782441681</v>
      </c>
      <c r="AV102" s="197">
        <f>IFERROR($CR102*((INDEX(avoidedcosttbl2,$H102,AV$2))+(($H102-ROUNDDOWN($H102,0))*((INDEX(avoidedcosttbl2,ROUNDUP($H102,0),AV$2))-(INDEX(avoidedcosttbl2,ROUNDDOWN($H102,0),AV$2)))))*$O102*1000*'Inputs Yr 2'!AB102,"")</f>
        <v>2317.5714266255964</v>
      </c>
      <c r="AW102" s="197">
        <f>IFERROR($CS102*((INDEX(avoidedcosttbl2,$H102,AW$2))+(($H102-ROUNDDOWN($H102,0))*((INDEX(avoidedcosttbl2,ROUNDUP($H102,0),AW$2))-(INDEX(avoidedcosttbl2,ROUNDDOWN($H102,0),AW$2)))))*$O102*1000*'Inputs Yr 2'!AC102,"")</f>
        <v>3205.7374637760722</v>
      </c>
      <c r="AX102" s="197">
        <f>IFERROR($CT102*((INDEX(avoidedcosttbl2,$H102,AX$2))+(($H102-ROUNDDOWN($H102,0))*((INDEX(avoidedcosttbl2,ROUNDUP($H102,0),AX$2))-(INDEX(avoidedcosttbl2,ROUNDDOWN($H102,0),AX$2)))))*$O102*1000*'Inputs Yr 2'!AD102,"")</f>
        <v>814.76665209611247</v>
      </c>
      <c r="AY102" s="197">
        <f>IFERROR(((INDEX(avoidedcosttbl2,$H102,AY$2))+(($H102-ROUNDDOWN($H102,0))*((INDEX(avoidedcosttbl2,ROUNDUP($H102,0),AY$2))-(INDEX(avoidedcosttbl2,ROUNDDOWN($H102,0),AY$2)))))*$O102*1000*('Inputs Yr 2'!AC102+'Inputs Yr 2'!AD102),"")</f>
        <v>7806.0825779377492</v>
      </c>
      <c r="AZ102" s="197">
        <f>IFERROR(((INDEX(avoidedcosttbl2,$H102,AZ$2))+(($H102-ROUNDDOWN($H102,0))*((INDEX(avoidedcosttbl2,ROUNDUP($H102,0),AZ$2))-(INDEX(avoidedcosttbl2,ROUNDDOWN($H102,0),AZ$2)))))*$O102*1000*('Inputs Yr 2'!AA102+'Inputs Yr 2'!AB102),"")</f>
        <v>17081.5373575628</v>
      </c>
      <c r="BA102" s="198">
        <f t="shared" si="64"/>
        <v>34104.062056242503</v>
      </c>
      <c r="BB102" s="198">
        <f t="shared" si="65"/>
        <v>683713.32541751082</v>
      </c>
      <c r="BC102" s="195">
        <f t="shared" si="47"/>
        <v>1228156.6698636075</v>
      </c>
      <c r="BD102" s="195">
        <f t="shared" si="48"/>
        <v>0</v>
      </c>
      <c r="BE102" s="195">
        <f t="shared" si="49"/>
        <v>0</v>
      </c>
      <c r="BF102" s="195">
        <f t="shared" si="50"/>
        <v>79039.796439215585</v>
      </c>
      <c r="BG102" s="195">
        <f t="shared" si="51"/>
        <v>620372.24258422351</v>
      </c>
      <c r="BH102" s="196">
        <f t="shared" si="66"/>
        <v>1927568.7088870467</v>
      </c>
      <c r="BI102" s="196">
        <f t="shared" si="67"/>
        <v>2611282.0343045574</v>
      </c>
      <c r="BJ102" s="195">
        <f>IFERROR($G102*(IF('Inputs Yr 2'!$AJ102=BJ$4,'Inputs Yr 2'!$AK102,IF('Inputs Yr 2'!$AL102=BJ$4,'Inputs Yr 2'!$AM102,IF('Inputs Yr 2'!$AN102=BJ$4,'Inputs Yr 2'!$AO102,0))))*(INDEX(avoidedcosttbl2,$H102,BJ$2)+(($H102-ROUNDDOWN($H102,0))*(INDEX(avoidedcosttbl2,ROUNDUP($H102,0),BJ$2)-(INDEX(avoidedcosttbl2,ROUNDDOWN($H102,0),BJ$2)))))*'Inputs Yr 2'!P102*'Inputs Yr 2'!Q102*'Inputs Yr 2'!U102,"")</f>
        <v>0</v>
      </c>
      <c r="BK102" s="195">
        <f>IFERROR($G102*(IF('Inputs Yr 2'!$AJ102=BK$4,'Inputs Yr 2'!$AK102,IF('Inputs Yr 2'!$AL102=BK$4,'Inputs Yr 2'!$AM102,IF('Inputs Yr 2'!$AN102=BK$4,'Inputs Yr 2'!$AO102,0))))*(INDEX(avoidedcosttbl2,$H102,BK$2)+(($H102-ROUNDDOWN($H102,0))*(INDEX(avoidedcosttbl2,ROUNDUP($H102,0),BK$2)-(INDEX(avoidedcosttbl2,ROUNDDOWN($H102,0),BK$2)))))*'Inputs Yr 2'!P102*'Inputs Yr 2'!Q102*'Inputs Yr 2'!U102,"")</f>
        <v>0</v>
      </c>
      <c r="BL102" s="195">
        <f>IFERROR($G102*(IF('Inputs Yr 2'!$AJ102=BL$4,'Inputs Yr 2'!$AK102,IF('Inputs Yr 2'!$AL102=BL$4,'Inputs Yr 2'!$AM102,IF('Inputs Yr 2'!$AN102=BL$4,'Inputs Yr 2'!$AO102,0))))*(INDEX(avoidedcosttbl2,$H102,BL$2)+(($H102-ROUNDDOWN($H102,0))*(INDEX(avoidedcosttbl2,ROUNDUP($H102,0),BL$2)-(INDEX(avoidedcosttbl2,ROUNDDOWN($H102,0),BL$2)))))*'Inputs Yr 2'!P102*'Inputs Yr 2'!Q102*'Inputs Yr 2'!U102,"")</f>
        <v>5082473.2978183804</v>
      </c>
      <c r="BM102" s="195">
        <f>IFERROR($G102*(IF('Inputs Yr 2'!$AJ102=BM$4,'Inputs Yr 2'!$AK102,IF('Inputs Yr 2'!$AL102=BM$4,'Inputs Yr 2'!$AM102,IF('Inputs Yr 2'!$AN102=BM$4,'Inputs Yr 2'!$AO102,0))))*(INDEX(avoidedcosttbl2,$H102,BM$2)+(($H102-ROUNDDOWN($H102,0))*(INDEX(avoidedcosttbl2,ROUNDUP($H102,0),BM$2)-(INDEX(avoidedcosttbl2,ROUNDDOWN($H102,0),BM$2)))))*'Inputs Yr 2'!P102*'Inputs Yr 2'!Q102*'Inputs Yr 2'!U102,"")</f>
        <v>0</v>
      </c>
      <c r="BN102" s="195">
        <f>IFERROR($G102*(IF('Inputs Yr 2'!$AJ102=BN$4,'Inputs Yr 2'!$AK102,IF('Inputs Yr 2'!$AL102=BN$4,'Inputs Yr 2'!$AM102,IF('Inputs Yr 2'!$AN102=BN$4,'Inputs Yr 2'!$AO102,0))))*(INDEX(avoidedcosttbl2,$H102,BN$2)+(($H102-ROUNDDOWN($H102,0))*(INDEX(avoidedcosttbl2,ROUNDUP($H102,0),BN$2)-(INDEX(avoidedcosttbl2,ROUNDDOWN($H102,0),BN$2)))))*'Inputs Yr 2'!P102*'Inputs Yr 2'!Q102*'Inputs Yr 2'!U102,"")</f>
        <v>0</v>
      </c>
      <c r="BO102" s="195">
        <f>IFERROR($G102*(IF('Inputs Yr 2'!$AJ102=BO$4,'Inputs Yr 2'!$AK102,IF('Inputs Yr 2'!$AL102=BO$4,'Inputs Yr 2'!$AM102,IF('Inputs Yr 2'!$AN102=BO$4,'Inputs Yr 2'!$AO102,0))))*(INDEX(avoidedcosttbl2,$H102,BO$2)+(($H102-ROUNDDOWN($H102,0))*(INDEX(avoidedcosttbl2,ROUNDUP($H102,0),BO$2)-(INDEX(avoidedcosttbl2,ROUNDDOWN($H102,0),BO$2)))))*'Inputs Yr 2'!P102*'Inputs Yr 2'!Q102*'Inputs Yr 2'!U102,"")</f>
        <v>0</v>
      </c>
      <c r="BP102" s="195">
        <f>IFERROR($G102*(IF('Inputs Yr 2'!$AJ102=BP$4,'Inputs Yr 2'!$AK102,IF('Inputs Yr 2'!$AL102=BP$4,'Inputs Yr 2'!$AM102,IF('Inputs Yr 2'!$AN102=BP$4,'Inputs Yr 2'!$AO102,0))))*(INDEX(avoidedcosttbl2,$H102,BP$2)+(($H102-ROUNDDOWN($H102,0))*(INDEX(avoidedcosttbl2,ROUNDUP($H102,0),BP$2)-(INDEX(avoidedcosttbl2,ROUNDDOWN($H102,0),BP$2)))))*'Inputs Yr 2'!P102*'Inputs Yr 2'!Q102*'Inputs Yr 2'!U102,"")</f>
        <v>0</v>
      </c>
      <c r="BQ102" s="230">
        <f t="shared" si="68"/>
        <v>5082473.2978183804</v>
      </c>
      <c r="BR102" s="197">
        <f t="shared" si="52"/>
        <v>78637.277471230103</v>
      </c>
      <c r="BS102" s="197">
        <f>IFERROR(($G102*IF('Inputs Yr 2'!$AJ102=BM$4,'Inputs Yr 2'!$AK102,IF('Inputs Yr 2'!$AL102=BM$4,'Inputs Yr 2'!$AM102,IF('Inputs Yr 2'!$AN102=BM$4,'Inputs Yr 2'!$AO102,0))))*(INDEX(avoidedcosttbl2,$H102,BS$2)+(($H102-ROUNDDOWN($H102,0))*(INDEX(avoidedcosttbl2,ROUNDUP($H102,0),BS$2)-(INDEX(avoidedcosttbl2,ROUNDDOWN($H102,0),BS$2)))))*'Inputs Yr 2'!P102*'Inputs Yr 2'!Q102*'Inputs Yr 2'!U102,"")</f>
        <v>0</v>
      </c>
      <c r="BT102" s="197">
        <f>IFERROR(($G102*IF('Inputs Yr 2'!$AJ102=BK$4,'Inputs Yr 2'!$AK102,IF('Inputs Yr 2'!$AL102=BK$4,'Inputs Yr 2'!$AM102,IF('Inputs Yr 2'!$AN102=BK$4,'Inputs Yr 2'!$AO102,0))))*(INDEX(avoidedcosttbl2,$H102,BT$2)+(($H102-ROUNDDOWN($H102,0))*(INDEX(avoidedcosttbl2,ROUNDUP($H102,0),BT$2)-(INDEX(avoidedcosttbl2,ROUNDDOWN($H102,0),BT$2)))))*'Inputs Yr 2'!P102*'Inputs Yr 2'!Q102*'Inputs Yr 2'!U102,"")</f>
        <v>0</v>
      </c>
      <c r="BU102" s="197">
        <f>IFERROR(($G102*IF('Inputs Yr 2'!$AJ102=BL$4,'Inputs Yr 2'!$AK102,IF('Inputs Yr 2'!$AL102=BL$4,'Inputs Yr 2'!$AM102,IF('Inputs Yr 2'!$AN102=BL$4,'Inputs Yr 2'!$AO102,0))))*(INDEX(avoidedcosttbl2,$H102,BU$2)+(($H102-ROUNDDOWN($H102,0))*(INDEX(avoidedcosttbl2,ROUNDUP($H102,0),BU$2)-(INDEX(avoidedcosttbl2,ROUNDDOWN($H102,0),BU$2)))))*'Inputs Yr 2'!P102*'Inputs Yr 2'!Q102*'Inputs Yr 2'!U102,"")</f>
        <v>238703.15200503942</v>
      </c>
      <c r="BV102" s="775">
        <f>IFERROR(($G102*IF('Inputs Yr 2'!$AJ102=BJ$4,'Inputs Yr 2'!$AK102,IF('Inputs Yr 2'!$AL102=BJ$4,'Inputs Yr 2'!$AM102,IF('Inputs Yr 2'!$AN102=BJ$4,'Inputs Yr 2'!$AO102,0))))*(INDEX(avoidedcosttbl2,$H102,BV$2)+(($H102-ROUNDDOWN($H102,0))*(INDEX(avoidedcosttbl2,ROUNDUP($H102,0),BV$2)-(INDEX(avoidedcosttbl2,ROUNDDOWN($H102,0),BV$2)))))*'Inputs Yr 2'!P102*'Inputs Yr 2'!Q102*'Inputs Yr 2'!U102,"")</f>
        <v>0</v>
      </c>
      <c r="BW102" s="197">
        <f>IFERROR(($G102*IF('Inputs Yr 2'!$AJ102=BN$4,'Inputs Yr 2'!$AK102,IF('Inputs Yr 2'!$AL102=BN$4,'Inputs Yr 2'!$AM102,IF('Inputs Yr 2'!$AN102=BN$4,'Inputs Yr 2'!$AO102,0))))*(INDEX(avoidedcosttbl2,$H102,BW$2)+(($H102-ROUNDDOWN($H102,0))*(INDEX(avoidedcosttbl2,ROUNDUP($H102,0),BW$2)-(INDEX(avoidedcosttbl2,ROUNDDOWN($H102,0),BW$2)))))*'Inputs Yr 2'!P102*'Inputs Yr 2'!Q102*'Inputs Yr 2'!U102,"")</f>
        <v>0</v>
      </c>
      <c r="BX102" s="197">
        <f>IFERROR(($G102*IF('Inputs Yr 2'!$AJ102=BO$4,'Inputs Yr 2'!$AK102,IF('Inputs Yr 2'!$AL102=BO$4,'Inputs Yr 2'!$AM102,IF('Inputs Yr 2'!$AN102=BO$4,'Inputs Yr 2'!$AO102,0))))*(INDEX(avoidedcosttbl2,$H102,BX$2)+(($H102-ROUNDDOWN($H102,0))*(INDEX(avoidedcosttbl2,ROUNDUP($H102,0),BX$2)-(INDEX(avoidedcosttbl2,ROUNDDOWN($H102,0),BX$2)))))*'Inputs Yr 2'!P102*'Inputs Yr 2'!Q102*'Inputs Yr 2'!U102,"")</f>
        <v>0</v>
      </c>
      <c r="BY102" s="197">
        <f>IFERROR(($G102*IF('Inputs Yr 2'!$AJ102=BP$4,'Inputs Yr 2'!$AK102,IF('Inputs Yr 2'!$AL102=BP$4,'Inputs Yr 2'!$AM102,IF('Inputs Yr 2'!$AN102=BP$4,'Inputs Yr 2'!$AO102,0))))*(INDEX(avoidedcosttbl2,$H102,BY$2)+(($H102-ROUNDDOWN($H102,0))*(INDEX(avoidedcosttbl2,ROUNDUP($H102,0),BY$2)-(INDEX(avoidedcosttbl2,ROUNDDOWN($H102,0),BY$2)))))*'Inputs Yr 2'!P102*'Inputs Yr 2'!Q102*'Inputs Yr 2'!U102,"")</f>
        <v>0</v>
      </c>
      <c r="BZ102" s="193">
        <f t="shared" si="69"/>
        <v>317340.42947626952</v>
      </c>
      <c r="CA102" s="193">
        <f t="shared" si="70"/>
        <v>5399813.7272946499</v>
      </c>
      <c r="CB102" s="195">
        <f>IFERROR(G102*(IF('Inputs Yr 2'!$AJ102=CB$4,'Inputs Yr 2'!$AK102,IF('Inputs Yr 2'!$AL102=CB$4,'Inputs Yr 2'!$AM102,IF('Inputs Yr 2'!$AN102=CB$4,'Inputs Yr 2'!$AO102,0))))*(INDEX(avoidedcosttbl2,$H102,CB$2)+(($H102-ROUNDDOWN($H102,0))*(INDEX(avoidedcosttbl2,ROUNDUP($H102,0),CB$2)-(INDEX(avoidedcosttbl2,ROUNDDOWN($H102,0),CB$2)))))*'Inputs Yr 2'!P102*'Inputs Yr 2'!Q102*'Inputs Yr 2'!U102,"")</f>
        <v>0</v>
      </c>
      <c r="CC102" s="195">
        <f>IFERROR(H102*(IF('Inputs Yr 2'!$AJ102=CC$4,'Inputs Yr 2'!$AK102,IF('Inputs Yr 2'!$AL102=CC$4,'Inputs Yr 2'!$AM102,IF('Inputs Yr 2'!$AN102=CC$4,'Inputs Yr 2'!$AO102,0))))*(INDEX(avoidedcosttbl2,$H102,CC$2)+(($H102-ROUNDDOWN($H102,0))*(INDEX(avoidedcosttbl2,ROUNDUP($H102,0),CC$2)-(INDEX(avoidedcosttbl2,ROUNDDOWN($H102,0),CC$2)))))*'Inputs Yr 2'!Q102*'Inputs Yr 2'!R102*'Inputs Yr 2'!V102,"")</f>
        <v>0</v>
      </c>
      <c r="CD102" s="195">
        <f>IFERROR(I102*(IF('Inputs Yr 2'!$AJ102=CD$4,'Inputs Yr 2'!$AK102,IF('Inputs Yr 2'!$AL102=CD$4,'Inputs Yr 2'!$AM102,IF('Inputs Yr 2'!$AN102=CD$4,'Inputs Yr 2'!$AO102,0))))*(INDEX(avoidedcosttbl2,$H102,CD$2)+(($H102-ROUNDDOWN($H102,0))*(INDEX(avoidedcosttbl2,ROUNDUP($H102,0),CD$2)-(INDEX(avoidedcosttbl2,ROUNDDOWN($H102,0),CD$2)))))*'Inputs Yr 2'!R102*'Inputs Yr 2'!S102*'Inputs Yr 2'!W102,"")</f>
        <v>0</v>
      </c>
      <c r="CE102" s="213">
        <f t="shared" si="71"/>
        <v>0</v>
      </c>
      <c r="CF102" s="213">
        <f t="shared" si="72"/>
        <v>0</v>
      </c>
      <c r="CG102" s="213">
        <f t="shared" si="73"/>
        <v>0</v>
      </c>
      <c r="CH102" s="698">
        <f t="shared" si="74"/>
        <v>5399813.7272946499</v>
      </c>
      <c r="CI102" s="79">
        <f>IFERROR(($G102*'Inputs Yr 2'!$P102*'Inputs Yr 2'!$Q102*(((INDEX(avoidedcosttbl2,$H102,CI$2)+(($H102-ROUNDDOWN($H102,0))*(INDEX(avoidedcosttbl2,ROUNDUP($H102,0),CI$2)-INDEX(avoidedcosttbl2,ROUNDDOWN($H102,0),CI$2))))*'Inputs Yr 2'!AS102))),"")</f>
        <v>11917210.08541956</v>
      </c>
      <c r="CJ102" s="504">
        <f>IFERROR($G102*'Inputs Yr 2'!AT102*'Inputs Yr 2'!$P102*'Inputs Yr 2'!$Q102/((1+realdiscrt1)^-0.5),"")</f>
        <v>0</v>
      </c>
      <c r="CK102" s="79">
        <f>IFERROR((O102*1000*(((INDEX(avoidedcosttbl2,$H102,CK$2)+(($H102-ROUNDDOWN($H102,0))*(INDEX(avoidedcosttbl2,ROUNDUP($H102,0),CK$2)-INDEX(avoidedcosttbl2,ROUNDDOWN($H102,0),CK$2))))*'Inputs Yr 2'!AU102))),"")</f>
        <v>0</v>
      </c>
      <c r="CL102" s="504">
        <f>IFERROR(O102*1000*'Inputs Yr 2'!AV102/((1+realdiscrt1)^-0.5),"")</f>
        <v>0</v>
      </c>
      <c r="CM102" s="79">
        <f>IFERROR((AB102*'Inputs Yr 2'!AW102*(((INDEX(avoidedcosttbl2,$H102,CM$2)+(($H102-ROUNDDOWN($H102,0))*(INDEX(avoidedcosttbl2,ROUNDUP($H102,0),CM$2)-INDEX(avoidedcosttbl2,ROUNDDOWN($H102,0),CM$2)))))))*10,"")</f>
        <v>729921.37872932188</v>
      </c>
      <c r="CN102" s="504">
        <f>IFERROR(10*AB102*'Inputs Yr 2'!AX102/((1+realdiscrt1)^-0.5),"")</f>
        <v>22335.596748708263</v>
      </c>
      <c r="CO102" s="505">
        <f t="shared" si="75"/>
        <v>12669467.060897589</v>
      </c>
      <c r="CP102" s="230">
        <f t="shared" si="76"/>
        <v>20680562.822496794</v>
      </c>
      <c r="CQ102" s="199">
        <f>ROUND(IFERROR(IF(LEFT($A102,1)="C",'Avoided Costs'!$K$13,'Avoided Costs'!$K$12)+1,""),4)</f>
        <v>1.0720000000000001</v>
      </c>
      <c r="CR102" s="199">
        <f>ROUND(IFERROR(IF(LEFT($A102,1)="C",'Avoided Costs'!$L$13,'Avoided Costs'!$L$12)+1,""),4)</f>
        <v>1.04</v>
      </c>
      <c r="CS102" s="199">
        <f>ROUND(IFERROR(IF(LEFT($A102,1)="C",'Avoided Costs'!$M$13,'Avoided Costs'!$M$12)+1,""),4)</f>
        <v>1.0720000000000001</v>
      </c>
      <c r="CT102" s="199">
        <f>ROUND(IFERROR(IF(LEFT($A102,1)="C",'Avoided Costs'!$N$13,'Avoided Costs'!$N$12)+1,""),4)</f>
        <v>1.04</v>
      </c>
      <c r="CU102" s="199">
        <f>ROUND(IFERROR(IF(LEFT($A102,1)="C",'Avoided Costs'!$O$13,'Avoided Costs'!$O$12)+1,""),4)</f>
        <v>1.1120000000000001</v>
      </c>
      <c r="CV102" s="199">
        <f>ROUND(IFERROR(IF(LEFT($A102,1)="C",'Avoided Costs'!$P$13,'Avoided Costs'!$P$12)+1,""),4)</f>
        <v>1.095</v>
      </c>
      <c r="CW102" s="199">
        <f>ROUND(IFERROR(IF(LEFT($A102,1)="C",'Avoided Costs'!$Q$13,'Avoided Costs'!$Q$12)+1,""),4)</f>
        <v>1.1120000000000001</v>
      </c>
      <c r="CX102" s="200">
        <f>ROUND(IFERROR(IF(LEFT($A102,1)="C",'Avoided Costs'!$R$13,'Avoided Costs'!$R$12)+1,""),4)</f>
        <v>1.1120000000000001</v>
      </c>
    </row>
    <row r="103" spans="1:102" ht="12.75" customHeight="1">
      <c r="A103" s="91" t="str">
        <f>IF('Inputs Yr 2'!$B103=0,"",'Inputs Yr 2'!A103)</f>
        <v>B - Low Income</v>
      </c>
      <c r="B103" s="91" t="str">
        <f>IF('Inputs Yr 2'!$B103=0,"",'Inputs Yr 2'!B103)</f>
        <v>B1 - Low-Income Whole House</v>
      </c>
      <c r="C103" s="91" t="str">
        <f>IF('Inputs Yr 2'!$B103=0,"",'Inputs Yr 2'!C103)</f>
        <v>B1a - Low-Income Single Family Retrofit</v>
      </c>
      <c r="D103" s="91" t="str">
        <f>IF('Inputs Yr 2'!$B103=0,"",'Inputs Yr 2'!E103)</f>
        <v>Air Sealing, Gas</v>
      </c>
      <c r="E103" s="93" t="str">
        <f>IF('Inputs Yr 2'!$B103=0,"",'Inputs Yr 2'!F103)</f>
        <v>G16B1a03</v>
      </c>
      <c r="F103" s="93" t="str">
        <f>IF('Inputs Yr 2'!$B103=0,"",'Inputs Yr 2'!G103)</f>
        <v>Envelope</v>
      </c>
      <c r="G103" s="95" t="str">
        <f>IF('Inputs Yr 2'!$H103&lt;&gt;0,('Inputs Yr 2'!H103),"")</f>
        <v/>
      </c>
      <c r="H103" s="94">
        <f>IFERROR('Inputs Yr 2'!I103,"")</f>
        <v>0</v>
      </c>
      <c r="I103" s="298" t="str">
        <f>IFERROR('Inputs Yr 2'!J103*'Inputs Yr 2'!P103*G103,"")</f>
        <v/>
      </c>
      <c r="J103" s="298" t="str">
        <f>IFERROR('Inputs Yr 2'!K103*G103,"")</f>
        <v/>
      </c>
      <c r="K103" s="298" t="str">
        <f t="shared" si="53"/>
        <v/>
      </c>
      <c r="L103" s="194" t="str">
        <f>IFERROR(('Inputs Yr 2'!W103*G103)/1000,"")</f>
        <v/>
      </c>
      <c r="M103" s="194" t="str">
        <f>IFERROR(L103*('Inputs Yr 2'!$Q103*'Inputs Yr 2'!$V103*'Inputs Yr 2'!$R103),"")</f>
        <v/>
      </c>
      <c r="N103" s="194" t="str">
        <f t="shared" si="54"/>
        <v/>
      </c>
      <c r="O103" s="194" t="str">
        <f>IFERROR(M103*'Inputs Yr 2'!P103,"")</f>
        <v/>
      </c>
      <c r="P103" s="194" t="str">
        <f t="shared" si="55"/>
        <v/>
      </c>
      <c r="Q103" s="194" t="str">
        <f>IFERROR($P103*'Inputs Yr 2'!AA103,"")</f>
        <v/>
      </c>
      <c r="R103" s="194" t="str">
        <f>IFERROR($P103*'Inputs Yr 2'!AB103,"")</f>
        <v/>
      </c>
      <c r="S103" s="194" t="str">
        <f>IFERROR($P103*'Inputs Yr 2'!AC103,"")</f>
        <v/>
      </c>
      <c r="T103" s="194" t="str">
        <f>IFERROR($P103*'Inputs Yr 2'!AD103,"")</f>
        <v/>
      </c>
      <c r="U103" s="194" t="str">
        <f>IFERROR(G103*'Inputs Yr 2'!$AE103*'Inputs Yr 2'!$P103*'Inputs Yr 2'!$Q103,"")</f>
        <v/>
      </c>
      <c r="V103" s="194" t="str">
        <f>IFERROR($G103*'Inputs Yr 2'!$AE103*'Inputs Yr 2'!$AG103*'Inputs Yr 2'!Q103*'Inputs Yr 2'!$S103,"")</f>
        <v/>
      </c>
      <c r="W103" s="194" t="str">
        <f>IFERROR($G103*'Inputs Yr 2'!$AE103*'Inputs Yr 2'!$AG103*'Inputs Yr 2'!P103*'Inputs Yr 2'!Q103*'Inputs Yr 2'!$S103,"")</f>
        <v/>
      </c>
      <c r="X103" s="194" t="str">
        <f>IFERROR($G103*'Inputs Yr 2'!$AE103*'Inputs Yr 2'!$AF103*'Inputs Yr 2'!Q103*'Inputs Yr 2'!$T103,"")</f>
        <v/>
      </c>
      <c r="Y103" s="194" t="str">
        <f>IFERROR($G103*'Inputs Yr 2'!$AE103*'Inputs Yr 2'!$AF103*'Inputs Yr 2'!P103*'Inputs Yr 2'!Q103*'Inputs Yr 2'!$T103,"")</f>
        <v/>
      </c>
      <c r="Z103" s="257">
        <f>IFERROR($G103*'Inputs Yr 2'!$Q103*'Inputs Yr 2'!$U103*(IF(IFERROR(SEARCH("NG", 'Inputs Yr 2'!$AJ103),0),'Inputs Yr 2'!$AK103,0)+IF(IFERROR(SEARCH("NG", 'Inputs Yr 2'!$AL103),0),'Inputs Yr 2'!$AM103,0)+IF(IFERROR(SEARCH("NG", 'Inputs Yr 2'!$AN103),0),'Inputs Yr 2'!$AO103,0)),0)</f>
        <v>0</v>
      </c>
      <c r="AA103" s="257">
        <f t="shared" si="56"/>
        <v>0</v>
      </c>
      <c r="AB103" s="257">
        <f>IFERROR(Z103*'Inputs Yr 2'!$P103,0)</f>
        <v>0</v>
      </c>
      <c r="AC103" s="257">
        <f t="shared" si="57"/>
        <v>0</v>
      </c>
      <c r="AD103" s="257">
        <f>IFERROR($G103*'Inputs Yr 2'!$Q103*'Inputs Yr 2'!$U103*(IF(IFERROR(SEARCH("Oil", 'Inputs Yr 2'!$AJ103), 0),'Inputs Yr 2'!$AK103,0)+IF(IFERROR(SEARCH("Oil", 'Inputs Yr 2'!$AL103), 0),'Inputs Yr 2'!$AM103,0)+IF(IFERROR(SEARCH("Oil", 'Inputs Yr 2'!$AN103), 0),'Inputs Yr 2'!$AO103,0)),0)</f>
        <v>0</v>
      </c>
      <c r="AE103" s="257">
        <f t="shared" si="58"/>
        <v>0</v>
      </c>
      <c r="AF103" s="257">
        <f>IFERROR(AD103*'Inputs Yr 2'!$P103,0)</f>
        <v>0</v>
      </c>
      <c r="AG103" s="257">
        <f t="shared" si="59"/>
        <v>0</v>
      </c>
      <c r="AH103" s="257">
        <f>IFERROR($G103*'Inputs Yr 2'!$Q103*'Inputs Yr 2'!$U103*(IF('Inputs Yr 2'!$AJ103=CD$4,'Inputs Yr 2'!$AK103,IF('Inputs Yr 2'!$AL103=CD$4,'Inputs Yr 2'!$AM103,IF('Inputs Yr 2'!$AN103=CD$4,'Inputs Yr 2'!$AO103,0)))),0)</f>
        <v>0</v>
      </c>
      <c r="AI103" s="257">
        <f t="shared" si="60"/>
        <v>0</v>
      </c>
      <c r="AJ103" s="257">
        <f>IFERROR(AH103*'Inputs Yr 2'!$P103,0)</f>
        <v>0</v>
      </c>
      <c r="AK103" s="257">
        <f t="shared" si="61"/>
        <v>0</v>
      </c>
      <c r="AL103" s="258">
        <f>IFERROR($G103*'Inputs Yr 2'!$P103*'Inputs Yr 2'!$Q103*'Inputs Yr 2'!AP103,0)</f>
        <v>0</v>
      </c>
      <c r="AM103" s="260">
        <f>IFERROR($G103*'Inputs Yr 2'!$P103*'Inputs Yr 2'!$Q103*'Inputs Yr 2'!AQ103,0)</f>
        <v>0</v>
      </c>
      <c r="AN103" s="258">
        <f>IFERROR($G103*'Inputs Yr 2'!$P103*'Inputs Yr 2'!$Q103*'Inputs Yr 2'!AR103,0)</f>
        <v>0</v>
      </c>
      <c r="AO103" s="257">
        <f t="shared" si="62"/>
        <v>0</v>
      </c>
      <c r="AP103" s="195" t="str">
        <f>IFERROR($CQ103*(INDEX(avoidedcosttbl2,$H103,AP$2)+(($H103-ROUNDDOWN($H103,0))*(INDEX(avoidedcosttbl2,ROUNDUP($H103,0),AP$2)-(INDEX(avoidedcosttbl2,ROUNDDOWN($H103,0),AP$2)))))*$O103*1000*'Inputs Yr 2'!AA103,"")</f>
        <v/>
      </c>
      <c r="AQ103" s="195" t="str">
        <f>IFERROR($CR103*(INDEX(avoidedcosttbl2,$H103,AQ$2)+(($H103-ROUNDDOWN($H103,0))*(INDEX(avoidedcosttbl2,ROUNDUP($H103,0),AQ$2)-(INDEX(avoidedcosttbl2,ROUNDDOWN($H103,0),AQ$2)))))*$O103*1000*'Inputs Yr 2'!AB103,"")</f>
        <v/>
      </c>
      <c r="AR103" s="195" t="str">
        <f>IFERROR($CS103*(INDEX(avoidedcosttbl2,$H103,AR$2)+(($H103-ROUNDDOWN($H103,0))*(INDEX(avoidedcosttbl2,ROUNDUP($H103,0),AR$2)-(INDEX(avoidedcosttbl2,ROUNDDOWN($H103,0),AR$2)))))*$O103*1000*'Inputs Yr 2'!AC103,"")</f>
        <v/>
      </c>
      <c r="AS103" s="195" t="str">
        <f>IFERROR($CT103*(INDEX(avoidedcosttbl2,$H103,AS$2)+(($H103-ROUNDDOWN($H103,0))*(INDEX(avoidedcosttbl2,ROUNDUP($H103,0),AS$2)-(INDEX(avoidedcosttbl2,ROUNDDOWN($H103,0),AS$2)))))*$O103*1000*'Inputs Yr 2'!AD103,"")</f>
        <v/>
      </c>
      <c r="AT103" s="196">
        <f t="shared" si="63"/>
        <v>0</v>
      </c>
      <c r="AU103" s="197" t="str">
        <f>IFERROR($CQ103*((INDEX(avoidedcosttbl2,$H103,AU$2))+(($H103-ROUNDDOWN($H103,0))*((INDEX(avoidedcosttbl2,ROUNDUP($H103,0),AU$2))-(INDEX(avoidedcosttbl2,ROUNDDOWN($H103,0),AU$2)))))*$O103*1000*'Inputs Yr 2'!AA103,"")</f>
        <v/>
      </c>
      <c r="AV103" s="197" t="str">
        <f>IFERROR($CR103*((INDEX(avoidedcosttbl2,$H103,AV$2))+(($H103-ROUNDDOWN($H103,0))*((INDEX(avoidedcosttbl2,ROUNDUP($H103,0),AV$2))-(INDEX(avoidedcosttbl2,ROUNDDOWN($H103,0),AV$2)))))*$O103*1000*'Inputs Yr 2'!AB103,"")</f>
        <v/>
      </c>
      <c r="AW103" s="197" t="str">
        <f>IFERROR($CS103*((INDEX(avoidedcosttbl2,$H103,AW$2))+(($H103-ROUNDDOWN($H103,0))*((INDEX(avoidedcosttbl2,ROUNDUP($H103,0),AW$2))-(INDEX(avoidedcosttbl2,ROUNDDOWN($H103,0),AW$2)))))*$O103*1000*'Inputs Yr 2'!AC103,"")</f>
        <v/>
      </c>
      <c r="AX103" s="197" t="str">
        <f>IFERROR($CT103*((INDEX(avoidedcosttbl2,$H103,AX$2))+(($H103-ROUNDDOWN($H103,0))*((INDEX(avoidedcosttbl2,ROUNDUP($H103,0),AX$2))-(INDEX(avoidedcosttbl2,ROUNDDOWN($H103,0),AX$2)))))*$O103*1000*'Inputs Yr 2'!AD103,"")</f>
        <v/>
      </c>
      <c r="AY103" s="197" t="str">
        <f>IFERROR(((INDEX(avoidedcosttbl2,$H103,AY$2))+(($H103-ROUNDDOWN($H103,0))*((INDEX(avoidedcosttbl2,ROUNDUP($H103,0),AY$2))-(INDEX(avoidedcosttbl2,ROUNDDOWN($H103,0),AY$2)))))*$O103*1000*('Inputs Yr 2'!AC103+'Inputs Yr 2'!AD103),"")</f>
        <v/>
      </c>
      <c r="AZ103" s="197" t="str">
        <f>IFERROR(((INDEX(avoidedcosttbl2,$H103,AZ$2))+(($H103-ROUNDDOWN($H103,0))*((INDEX(avoidedcosttbl2,ROUNDUP($H103,0),AZ$2))-(INDEX(avoidedcosttbl2,ROUNDDOWN($H103,0),AZ$2)))))*$O103*1000*('Inputs Yr 2'!AA103+'Inputs Yr 2'!AB103),"")</f>
        <v/>
      </c>
      <c r="BA103" s="198">
        <f t="shared" si="64"/>
        <v>0</v>
      </c>
      <c r="BB103" s="198">
        <f t="shared" si="65"/>
        <v>0</v>
      </c>
      <c r="BC103" s="195" t="str">
        <f t="shared" si="47"/>
        <v/>
      </c>
      <c r="BD103" s="195" t="str">
        <f t="shared" si="48"/>
        <v/>
      </c>
      <c r="BE103" s="195" t="str">
        <f t="shared" si="49"/>
        <v/>
      </c>
      <c r="BF103" s="195" t="str">
        <f t="shared" si="50"/>
        <v/>
      </c>
      <c r="BG103" s="195" t="str">
        <f t="shared" si="51"/>
        <v/>
      </c>
      <c r="BH103" s="196">
        <f t="shared" si="66"/>
        <v>0</v>
      </c>
      <c r="BI103" s="196">
        <f t="shared" si="67"/>
        <v>0</v>
      </c>
      <c r="BJ103" s="195" t="str">
        <f>IFERROR($G103*(IF('Inputs Yr 2'!$AJ103=BJ$4,'Inputs Yr 2'!$AK103,IF('Inputs Yr 2'!$AL103=BJ$4,'Inputs Yr 2'!$AM103,IF('Inputs Yr 2'!$AN103=BJ$4,'Inputs Yr 2'!$AO103,0))))*(INDEX(avoidedcosttbl2,$H103,BJ$2)+(($H103-ROUNDDOWN($H103,0))*(INDEX(avoidedcosttbl2,ROUNDUP($H103,0),BJ$2)-(INDEX(avoidedcosttbl2,ROUNDDOWN($H103,0),BJ$2)))))*'Inputs Yr 2'!P103*'Inputs Yr 2'!Q103*'Inputs Yr 2'!U103,"")</f>
        <v/>
      </c>
      <c r="BK103" s="195" t="str">
        <f>IFERROR($G103*(IF('Inputs Yr 2'!$AJ103=BK$4,'Inputs Yr 2'!$AK103,IF('Inputs Yr 2'!$AL103=BK$4,'Inputs Yr 2'!$AM103,IF('Inputs Yr 2'!$AN103=BK$4,'Inputs Yr 2'!$AO103,0))))*(INDEX(avoidedcosttbl2,$H103,BK$2)+(($H103-ROUNDDOWN($H103,0))*(INDEX(avoidedcosttbl2,ROUNDUP($H103,0),BK$2)-(INDEX(avoidedcosttbl2,ROUNDDOWN($H103,0),BK$2)))))*'Inputs Yr 2'!P103*'Inputs Yr 2'!Q103*'Inputs Yr 2'!U103,"")</f>
        <v/>
      </c>
      <c r="BL103" s="195" t="str">
        <f>IFERROR($G103*(IF('Inputs Yr 2'!$AJ103=BL$4,'Inputs Yr 2'!$AK103,IF('Inputs Yr 2'!$AL103=BL$4,'Inputs Yr 2'!$AM103,IF('Inputs Yr 2'!$AN103=BL$4,'Inputs Yr 2'!$AO103,0))))*(INDEX(avoidedcosttbl2,$H103,BL$2)+(($H103-ROUNDDOWN($H103,0))*(INDEX(avoidedcosttbl2,ROUNDUP($H103,0),BL$2)-(INDEX(avoidedcosttbl2,ROUNDDOWN($H103,0),BL$2)))))*'Inputs Yr 2'!P103*'Inputs Yr 2'!Q103*'Inputs Yr 2'!U103,"")</f>
        <v/>
      </c>
      <c r="BM103" s="195" t="str">
        <f>IFERROR($G103*(IF('Inputs Yr 2'!$AJ103=BM$4,'Inputs Yr 2'!$AK103,IF('Inputs Yr 2'!$AL103=BM$4,'Inputs Yr 2'!$AM103,IF('Inputs Yr 2'!$AN103=BM$4,'Inputs Yr 2'!$AO103,0))))*(INDEX(avoidedcosttbl2,$H103,BM$2)+(($H103-ROUNDDOWN($H103,0))*(INDEX(avoidedcosttbl2,ROUNDUP($H103,0),BM$2)-(INDEX(avoidedcosttbl2,ROUNDDOWN($H103,0),BM$2)))))*'Inputs Yr 2'!P103*'Inputs Yr 2'!Q103*'Inputs Yr 2'!U103,"")</f>
        <v/>
      </c>
      <c r="BN103" s="195" t="str">
        <f>IFERROR($G103*(IF('Inputs Yr 2'!$AJ103=BN$4,'Inputs Yr 2'!$AK103,IF('Inputs Yr 2'!$AL103=BN$4,'Inputs Yr 2'!$AM103,IF('Inputs Yr 2'!$AN103=BN$4,'Inputs Yr 2'!$AO103,0))))*(INDEX(avoidedcosttbl2,$H103,BN$2)+(($H103-ROUNDDOWN($H103,0))*(INDEX(avoidedcosttbl2,ROUNDUP($H103,0),BN$2)-(INDEX(avoidedcosttbl2,ROUNDDOWN($H103,0),BN$2)))))*'Inputs Yr 2'!P103*'Inputs Yr 2'!Q103*'Inputs Yr 2'!U103,"")</f>
        <v/>
      </c>
      <c r="BO103" s="195" t="str">
        <f>IFERROR($G103*(IF('Inputs Yr 2'!$AJ103=BO$4,'Inputs Yr 2'!$AK103,IF('Inputs Yr 2'!$AL103=BO$4,'Inputs Yr 2'!$AM103,IF('Inputs Yr 2'!$AN103=BO$4,'Inputs Yr 2'!$AO103,0))))*(INDEX(avoidedcosttbl2,$H103,BO$2)+(($H103-ROUNDDOWN($H103,0))*(INDEX(avoidedcosttbl2,ROUNDUP($H103,0),BO$2)-(INDEX(avoidedcosttbl2,ROUNDDOWN($H103,0),BO$2)))))*'Inputs Yr 2'!P103*'Inputs Yr 2'!Q103*'Inputs Yr 2'!U103,"")</f>
        <v/>
      </c>
      <c r="BP103" s="195" t="str">
        <f>IFERROR($G103*(IF('Inputs Yr 2'!$AJ103=BP$4,'Inputs Yr 2'!$AK103,IF('Inputs Yr 2'!$AL103=BP$4,'Inputs Yr 2'!$AM103,IF('Inputs Yr 2'!$AN103=BP$4,'Inputs Yr 2'!$AO103,0))))*(INDEX(avoidedcosttbl2,$H103,BP$2)+(($H103-ROUNDDOWN($H103,0))*(INDEX(avoidedcosttbl2,ROUNDUP($H103,0),BP$2)-(INDEX(avoidedcosttbl2,ROUNDDOWN($H103,0),BP$2)))))*'Inputs Yr 2'!P103*'Inputs Yr 2'!Q103*'Inputs Yr 2'!U103,"")</f>
        <v/>
      </c>
      <c r="BQ103" s="230">
        <f t="shared" si="68"/>
        <v>0</v>
      </c>
      <c r="BR103" s="197" t="str">
        <f t="shared" si="52"/>
        <v/>
      </c>
      <c r="BS103" s="197" t="str">
        <f>IFERROR(($G103*IF('Inputs Yr 2'!$AJ103=BM$4,'Inputs Yr 2'!$AK103,IF('Inputs Yr 2'!$AL103=BM$4,'Inputs Yr 2'!$AM103,IF('Inputs Yr 2'!$AN103=BM$4,'Inputs Yr 2'!$AO103,0))))*(INDEX(avoidedcosttbl2,$H103,BS$2)+(($H103-ROUNDDOWN($H103,0))*(INDEX(avoidedcosttbl2,ROUNDUP($H103,0),BS$2)-(INDEX(avoidedcosttbl2,ROUNDDOWN($H103,0),BS$2)))))*'Inputs Yr 2'!P103*'Inputs Yr 2'!Q103*'Inputs Yr 2'!U103,"")</f>
        <v/>
      </c>
      <c r="BT103" s="197" t="str">
        <f>IFERROR(($G103*IF('Inputs Yr 2'!$AJ103=BK$4,'Inputs Yr 2'!$AK103,IF('Inputs Yr 2'!$AL103=BK$4,'Inputs Yr 2'!$AM103,IF('Inputs Yr 2'!$AN103=BK$4,'Inputs Yr 2'!$AO103,0))))*(INDEX(avoidedcosttbl2,$H103,BT$2)+(($H103-ROUNDDOWN($H103,0))*(INDEX(avoidedcosttbl2,ROUNDUP($H103,0),BT$2)-(INDEX(avoidedcosttbl2,ROUNDDOWN($H103,0),BT$2)))))*'Inputs Yr 2'!P103*'Inputs Yr 2'!Q103*'Inputs Yr 2'!U103,"")</f>
        <v/>
      </c>
      <c r="BU103" s="197" t="str">
        <f>IFERROR(($G103*IF('Inputs Yr 2'!$AJ103=BL$4,'Inputs Yr 2'!$AK103,IF('Inputs Yr 2'!$AL103=BL$4,'Inputs Yr 2'!$AM103,IF('Inputs Yr 2'!$AN103=BL$4,'Inputs Yr 2'!$AO103,0))))*(INDEX(avoidedcosttbl2,$H103,BU$2)+(($H103-ROUNDDOWN($H103,0))*(INDEX(avoidedcosttbl2,ROUNDUP($H103,0),BU$2)-(INDEX(avoidedcosttbl2,ROUNDDOWN($H103,0),BU$2)))))*'Inputs Yr 2'!P103*'Inputs Yr 2'!Q103*'Inputs Yr 2'!U103,"")</f>
        <v/>
      </c>
      <c r="BV103" s="775" t="str">
        <f>IFERROR(($G103*IF('Inputs Yr 2'!$AJ103=BJ$4,'Inputs Yr 2'!$AK103,IF('Inputs Yr 2'!$AL103=BJ$4,'Inputs Yr 2'!$AM103,IF('Inputs Yr 2'!$AN103=BJ$4,'Inputs Yr 2'!$AO103,0))))*(INDEX(avoidedcosttbl2,$H103,BV$2)+(($H103-ROUNDDOWN($H103,0))*(INDEX(avoidedcosttbl2,ROUNDUP($H103,0),BV$2)-(INDEX(avoidedcosttbl2,ROUNDDOWN($H103,0),BV$2)))))*'Inputs Yr 2'!P103*'Inputs Yr 2'!Q103*'Inputs Yr 2'!U103,"")</f>
        <v/>
      </c>
      <c r="BW103" s="197" t="str">
        <f>IFERROR(($G103*IF('Inputs Yr 2'!$AJ103=BN$4,'Inputs Yr 2'!$AK103,IF('Inputs Yr 2'!$AL103=BN$4,'Inputs Yr 2'!$AM103,IF('Inputs Yr 2'!$AN103=BN$4,'Inputs Yr 2'!$AO103,0))))*(INDEX(avoidedcosttbl2,$H103,BW$2)+(($H103-ROUNDDOWN($H103,0))*(INDEX(avoidedcosttbl2,ROUNDUP($H103,0),BW$2)-(INDEX(avoidedcosttbl2,ROUNDDOWN($H103,0),BW$2)))))*'Inputs Yr 2'!P103*'Inputs Yr 2'!Q103*'Inputs Yr 2'!U103,"")</f>
        <v/>
      </c>
      <c r="BX103" s="197" t="str">
        <f>IFERROR(($G103*IF('Inputs Yr 2'!$AJ103=BO$4,'Inputs Yr 2'!$AK103,IF('Inputs Yr 2'!$AL103=BO$4,'Inputs Yr 2'!$AM103,IF('Inputs Yr 2'!$AN103=BO$4,'Inputs Yr 2'!$AO103,0))))*(INDEX(avoidedcosttbl2,$H103,BX$2)+(($H103-ROUNDDOWN($H103,0))*(INDEX(avoidedcosttbl2,ROUNDUP($H103,0),BX$2)-(INDEX(avoidedcosttbl2,ROUNDDOWN($H103,0),BX$2)))))*'Inputs Yr 2'!P103*'Inputs Yr 2'!Q103*'Inputs Yr 2'!U103,"")</f>
        <v/>
      </c>
      <c r="BY103" s="197" t="str">
        <f>IFERROR(($G103*IF('Inputs Yr 2'!$AJ103=BP$4,'Inputs Yr 2'!$AK103,IF('Inputs Yr 2'!$AL103=BP$4,'Inputs Yr 2'!$AM103,IF('Inputs Yr 2'!$AN103=BP$4,'Inputs Yr 2'!$AO103,0))))*(INDEX(avoidedcosttbl2,$H103,BY$2)+(($H103-ROUNDDOWN($H103,0))*(INDEX(avoidedcosttbl2,ROUNDUP($H103,0),BY$2)-(INDEX(avoidedcosttbl2,ROUNDDOWN($H103,0),BY$2)))))*'Inputs Yr 2'!P103*'Inputs Yr 2'!Q103*'Inputs Yr 2'!U103,"")</f>
        <v/>
      </c>
      <c r="BZ103" s="193">
        <f t="shared" si="69"/>
        <v>0</v>
      </c>
      <c r="CA103" s="193">
        <f t="shared" si="70"/>
        <v>0</v>
      </c>
      <c r="CB103" s="195" t="str">
        <f>IFERROR(G103*(IF('Inputs Yr 2'!$AJ103=CB$4,'Inputs Yr 2'!$AK103,IF('Inputs Yr 2'!$AL103=CB$4,'Inputs Yr 2'!$AM103,IF('Inputs Yr 2'!$AN103=CB$4,'Inputs Yr 2'!$AO103,0))))*(INDEX(avoidedcosttbl2,$H103,CB$2)+(($H103-ROUNDDOWN($H103,0))*(INDEX(avoidedcosttbl2,ROUNDUP($H103,0),CB$2)-(INDEX(avoidedcosttbl2,ROUNDDOWN($H103,0),CB$2)))))*'Inputs Yr 2'!P103*'Inputs Yr 2'!Q103*'Inputs Yr 2'!U103,"")</f>
        <v/>
      </c>
      <c r="CC103" s="195" t="str">
        <f>IFERROR(H103*(IF('Inputs Yr 2'!$AJ103=CC$4,'Inputs Yr 2'!$AK103,IF('Inputs Yr 2'!$AL103=CC$4,'Inputs Yr 2'!$AM103,IF('Inputs Yr 2'!$AN103=CC$4,'Inputs Yr 2'!$AO103,0))))*(INDEX(avoidedcosttbl2,$H103,CC$2)+(($H103-ROUNDDOWN($H103,0))*(INDEX(avoidedcosttbl2,ROUNDUP($H103,0),CC$2)-(INDEX(avoidedcosttbl2,ROUNDDOWN($H103,0),CC$2)))))*'Inputs Yr 2'!Q103*'Inputs Yr 2'!R103*'Inputs Yr 2'!V103,"")</f>
        <v/>
      </c>
      <c r="CD103" s="195" t="str">
        <f>IFERROR(I103*(IF('Inputs Yr 2'!$AJ103=CD$4,'Inputs Yr 2'!$AK103,IF('Inputs Yr 2'!$AL103=CD$4,'Inputs Yr 2'!$AM103,IF('Inputs Yr 2'!$AN103=CD$4,'Inputs Yr 2'!$AO103,0))))*(INDEX(avoidedcosttbl2,$H103,CD$2)+(($H103-ROUNDDOWN($H103,0))*(INDEX(avoidedcosttbl2,ROUNDUP($H103,0),CD$2)-(INDEX(avoidedcosttbl2,ROUNDDOWN($H103,0),CD$2)))))*'Inputs Yr 2'!R103*'Inputs Yr 2'!S103*'Inputs Yr 2'!W103,"")</f>
        <v/>
      </c>
      <c r="CE103" s="213" t="str">
        <f t="shared" si="71"/>
        <v/>
      </c>
      <c r="CF103" s="213" t="str">
        <f t="shared" si="72"/>
        <v/>
      </c>
      <c r="CG103" s="213" t="str">
        <f t="shared" si="73"/>
        <v/>
      </c>
      <c r="CH103" s="698">
        <f t="shared" si="74"/>
        <v>0</v>
      </c>
      <c r="CI103" s="79" t="str">
        <f>IFERROR(($G103*'Inputs Yr 2'!$P103*'Inputs Yr 2'!$Q103*(((INDEX(avoidedcosttbl2,$H103,CI$2)+(($H103-ROUNDDOWN($H103,0))*(INDEX(avoidedcosttbl2,ROUNDUP($H103,0),CI$2)-INDEX(avoidedcosttbl2,ROUNDDOWN($H103,0),CI$2))))*'Inputs Yr 2'!AS103))),"")</f>
        <v/>
      </c>
      <c r="CJ103" s="504" t="str">
        <f>IFERROR($G103*'Inputs Yr 2'!AT103*'Inputs Yr 2'!$P103*'Inputs Yr 2'!$Q103/((1+realdiscrt1)^-0.5),"")</f>
        <v/>
      </c>
      <c r="CK103" s="79" t="str">
        <f>IFERROR((O103*1000*(((INDEX(avoidedcosttbl2,$H103,CK$2)+(($H103-ROUNDDOWN($H103,0))*(INDEX(avoidedcosttbl2,ROUNDUP($H103,0),CK$2)-INDEX(avoidedcosttbl2,ROUNDDOWN($H103,0),CK$2))))*'Inputs Yr 2'!AU103))),"")</f>
        <v/>
      </c>
      <c r="CL103" s="504" t="str">
        <f>IFERROR(O103*1000*'Inputs Yr 2'!AV103/((1+realdiscrt1)^-0.5),"")</f>
        <v/>
      </c>
      <c r="CM103" s="79" t="str">
        <f>IFERROR((AB103*'Inputs Yr 2'!AW103*(((INDEX(avoidedcosttbl2,$H103,CM$2)+(($H103-ROUNDDOWN($H103,0))*(INDEX(avoidedcosttbl2,ROUNDUP($H103,0),CM$2)-INDEX(avoidedcosttbl2,ROUNDDOWN($H103,0),CM$2)))))))*10,"")</f>
        <v/>
      </c>
      <c r="CN103" s="504">
        <f>IFERROR(10*AB103*'Inputs Yr 2'!AX103/((1+realdiscrt1)^-0.5),"")</f>
        <v>0</v>
      </c>
      <c r="CO103" s="505">
        <f t="shared" si="75"/>
        <v>0</v>
      </c>
      <c r="CP103" s="230">
        <f t="shared" si="76"/>
        <v>0</v>
      </c>
      <c r="CQ103" s="199">
        <f>ROUND(IFERROR(IF(LEFT($A103,1)="C",'Avoided Costs'!$K$13,'Avoided Costs'!$K$12)+1,""),4)</f>
        <v>1.0720000000000001</v>
      </c>
      <c r="CR103" s="199">
        <f>ROUND(IFERROR(IF(LEFT($A103,1)="C",'Avoided Costs'!$L$13,'Avoided Costs'!$L$12)+1,""),4)</f>
        <v>1.04</v>
      </c>
      <c r="CS103" s="199">
        <f>ROUND(IFERROR(IF(LEFT($A103,1)="C",'Avoided Costs'!$M$13,'Avoided Costs'!$M$12)+1,""),4)</f>
        <v>1.0720000000000001</v>
      </c>
      <c r="CT103" s="199">
        <f>ROUND(IFERROR(IF(LEFT($A103,1)="C",'Avoided Costs'!$N$13,'Avoided Costs'!$N$12)+1,""),4)</f>
        <v>1.04</v>
      </c>
      <c r="CU103" s="199">
        <f>ROUND(IFERROR(IF(LEFT($A103,1)="C",'Avoided Costs'!$O$13,'Avoided Costs'!$O$12)+1,""),4)</f>
        <v>1.1120000000000001</v>
      </c>
      <c r="CV103" s="199">
        <f>ROUND(IFERROR(IF(LEFT($A103,1)="C",'Avoided Costs'!$P$13,'Avoided Costs'!$P$12)+1,""),4)</f>
        <v>1.095</v>
      </c>
      <c r="CW103" s="199">
        <f>ROUND(IFERROR(IF(LEFT($A103,1)="C",'Avoided Costs'!$Q$13,'Avoided Costs'!$Q$12)+1,""),4)</f>
        <v>1.1120000000000001</v>
      </c>
      <c r="CX103" s="200">
        <f>ROUND(IFERROR(IF(LEFT($A103,1)="C",'Avoided Costs'!$R$13,'Avoided Costs'!$R$12)+1,""),4)</f>
        <v>1.1120000000000001</v>
      </c>
    </row>
    <row r="104" spans="1:102" ht="12.75" customHeight="1">
      <c r="A104" s="91" t="str">
        <f>IF('Inputs Yr 2'!$B104=0,"",'Inputs Yr 2'!A104)</f>
        <v>B - Low Income</v>
      </c>
      <c r="B104" s="91" t="str">
        <f>IF('Inputs Yr 2'!$B104=0,"",'Inputs Yr 2'!B104)</f>
        <v>B1 - Low-Income Whole House</v>
      </c>
      <c r="C104" s="91" t="str">
        <f>IF('Inputs Yr 2'!$B104=0,"",'Inputs Yr 2'!C104)</f>
        <v>B1a - Low-Income Single Family Retrofit</v>
      </c>
      <c r="D104" s="91" t="str">
        <f>IF('Inputs Yr 2'!$B104=0,"",'Inputs Yr 2'!E104)</f>
        <v>Insulation, Gas</v>
      </c>
      <c r="E104" s="93" t="str">
        <f>IF('Inputs Yr 2'!$B104=0,"",'Inputs Yr 2'!F104)</f>
        <v>G16B1a04</v>
      </c>
      <c r="F104" s="93" t="str">
        <f>IF('Inputs Yr 2'!$B104=0,"",'Inputs Yr 2'!G104)</f>
        <v>Envelope</v>
      </c>
      <c r="G104" s="95" t="str">
        <f>IF('Inputs Yr 2'!$H104&lt;&gt;0,('Inputs Yr 2'!H104),"")</f>
        <v/>
      </c>
      <c r="H104" s="94">
        <f>IFERROR('Inputs Yr 2'!I104,"")</f>
        <v>0</v>
      </c>
      <c r="I104" s="298" t="str">
        <f>IFERROR('Inputs Yr 2'!J104*'Inputs Yr 2'!P104*G104,"")</f>
        <v/>
      </c>
      <c r="J104" s="298" t="str">
        <f>IFERROR('Inputs Yr 2'!K104*G104,"")</f>
        <v/>
      </c>
      <c r="K104" s="298" t="str">
        <f t="shared" si="53"/>
        <v/>
      </c>
      <c r="L104" s="194" t="str">
        <f>IFERROR(('Inputs Yr 2'!W104*G104)/1000,"")</f>
        <v/>
      </c>
      <c r="M104" s="194" t="str">
        <f>IFERROR(L104*('Inputs Yr 2'!$Q104*'Inputs Yr 2'!$V104*'Inputs Yr 2'!$R104),"")</f>
        <v/>
      </c>
      <c r="N104" s="194" t="str">
        <f t="shared" si="54"/>
        <v/>
      </c>
      <c r="O104" s="194" t="str">
        <f>IFERROR(M104*'Inputs Yr 2'!P104,"")</f>
        <v/>
      </c>
      <c r="P104" s="194" t="str">
        <f t="shared" si="55"/>
        <v/>
      </c>
      <c r="Q104" s="194" t="str">
        <f>IFERROR($P104*'Inputs Yr 2'!AA104,"")</f>
        <v/>
      </c>
      <c r="R104" s="194" t="str">
        <f>IFERROR($P104*'Inputs Yr 2'!AB104,"")</f>
        <v/>
      </c>
      <c r="S104" s="194" t="str">
        <f>IFERROR($P104*'Inputs Yr 2'!AC104,"")</f>
        <v/>
      </c>
      <c r="T104" s="194" t="str">
        <f>IFERROR($P104*'Inputs Yr 2'!AD104,"")</f>
        <v/>
      </c>
      <c r="U104" s="194" t="str">
        <f>IFERROR(G104*'Inputs Yr 2'!$AE104*'Inputs Yr 2'!$P104*'Inputs Yr 2'!$Q104,"")</f>
        <v/>
      </c>
      <c r="V104" s="194" t="str">
        <f>IFERROR($G104*'Inputs Yr 2'!$AE104*'Inputs Yr 2'!$AG104*'Inputs Yr 2'!Q104*'Inputs Yr 2'!$S104,"")</f>
        <v/>
      </c>
      <c r="W104" s="194" t="str">
        <f>IFERROR($G104*'Inputs Yr 2'!$AE104*'Inputs Yr 2'!$AG104*'Inputs Yr 2'!P104*'Inputs Yr 2'!Q104*'Inputs Yr 2'!$S104,"")</f>
        <v/>
      </c>
      <c r="X104" s="194" t="str">
        <f>IFERROR($G104*'Inputs Yr 2'!$AE104*'Inputs Yr 2'!$AF104*'Inputs Yr 2'!Q104*'Inputs Yr 2'!$T104,"")</f>
        <v/>
      </c>
      <c r="Y104" s="194" t="str">
        <f>IFERROR($G104*'Inputs Yr 2'!$AE104*'Inputs Yr 2'!$AF104*'Inputs Yr 2'!P104*'Inputs Yr 2'!Q104*'Inputs Yr 2'!$T104,"")</f>
        <v/>
      </c>
      <c r="Z104" s="257">
        <f>IFERROR($G104*'Inputs Yr 2'!$Q104*'Inputs Yr 2'!$U104*(IF(IFERROR(SEARCH("NG", 'Inputs Yr 2'!$AJ104),0),'Inputs Yr 2'!$AK104,0)+IF(IFERROR(SEARCH("NG", 'Inputs Yr 2'!$AL104),0),'Inputs Yr 2'!$AM104,0)+IF(IFERROR(SEARCH("NG", 'Inputs Yr 2'!$AN104),0),'Inputs Yr 2'!$AO104,0)),0)</f>
        <v>0</v>
      </c>
      <c r="AA104" s="257">
        <f t="shared" si="56"/>
        <v>0</v>
      </c>
      <c r="AB104" s="257">
        <f>IFERROR(Z104*'Inputs Yr 2'!$P104,0)</f>
        <v>0</v>
      </c>
      <c r="AC104" s="257">
        <f t="shared" si="57"/>
        <v>0</v>
      </c>
      <c r="AD104" s="257">
        <f>IFERROR($G104*'Inputs Yr 2'!$Q104*'Inputs Yr 2'!$U104*(IF(IFERROR(SEARCH("Oil", 'Inputs Yr 2'!$AJ104), 0),'Inputs Yr 2'!$AK104,0)+IF(IFERROR(SEARCH("Oil", 'Inputs Yr 2'!$AL104), 0),'Inputs Yr 2'!$AM104,0)+IF(IFERROR(SEARCH("Oil", 'Inputs Yr 2'!$AN104), 0),'Inputs Yr 2'!$AO104,0)),0)</f>
        <v>0</v>
      </c>
      <c r="AE104" s="257">
        <f t="shared" si="58"/>
        <v>0</v>
      </c>
      <c r="AF104" s="257">
        <f>IFERROR(AD104*'Inputs Yr 2'!$P104,0)</f>
        <v>0</v>
      </c>
      <c r="AG104" s="257">
        <f t="shared" si="59"/>
        <v>0</v>
      </c>
      <c r="AH104" s="257">
        <f>IFERROR($G104*'Inputs Yr 2'!$Q104*'Inputs Yr 2'!$U104*(IF('Inputs Yr 2'!$AJ104=CD$4,'Inputs Yr 2'!$AK104,IF('Inputs Yr 2'!$AL104=CD$4,'Inputs Yr 2'!$AM104,IF('Inputs Yr 2'!$AN104=CD$4,'Inputs Yr 2'!$AO104,0)))),0)</f>
        <v>0</v>
      </c>
      <c r="AI104" s="257">
        <f t="shared" si="60"/>
        <v>0</v>
      </c>
      <c r="AJ104" s="257">
        <f>IFERROR(AH104*'Inputs Yr 2'!$P104,0)</f>
        <v>0</v>
      </c>
      <c r="AK104" s="257">
        <f t="shared" si="61"/>
        <v>0</v>
      </c>
      <c r="AL104" s="258">
        <f>IFERROR($G104*'Inputs Yr 2'!$P104*'Inputs Yr 2'!$Q104*'Inputs Yr 2'!AP104,0)</f>
        <v>0</v>
      </c>
      <c r="AM104" s="260">
        <f>IFERROR($G104*'Inputs Yr 2'!$P104*'Inputs Yr 2'!$Q104*'Inputs Yr 2'!AQ104,0)</f>
        <v>0</v>
      </c>
      <c r="AN104" s="258">
        <f>IFERROR($G104*'Inputs Yr 2'!$P104*'Inputs Yr 2'!$Q104*'Inputs Yr 2'!AR104,0)</f>
        <v>0</v>
      </c>
      <c r="AO104" s="257">
        <f t="shared" si="62"/>
        <v>0</v>
      </c>
      <c r="AP104" s="195" t="str">
        <f>IFERROR($CQ104*(INDEX(avoidedcosttbl2,$H104,AP$2)+(($H104-ROUNDDOWN($H104,0))*(INDEX(avoidedcosttbl2,ROUNDUP($H104,0),AP$2)-(INDEX(avoidedcosttbl2,ROUNDDOWN($H104,0),AP$2)))))*$O104*1000*'Inputs Yr 2'!AA104,"")</f>
        <v/>
      </c>
      <c r="AQ104" s="195" t="str">
        <f>IFERROR($CR104*(INDEX(avoidedcosttbl2,$H104,AQ$2)+(($H104-ROUNDDOWN($H104,0))*(INDEX(avoidedcosttbl2,ROUNDUP($H104,0),AQ$2)-(INDEX(avoidedcosttbl2,ROUNDDOWN($H104,0),AQ$2)))))*$O104*1000*'Inputs Yr 2'!AB104,"")</f>
        <v/>
      </c>
      <c r="AR104" s="195" t="str">
        <f>IFERROR($CS104*(INDEX(avoidedcosttbl2,$H104,AR$2)+(($H104-ROUNDDOWN($H104,0))*(INDEX(avoidedcosttbl2,ROUNDUP($H104,0),AR$2)-(INDEX(avoidedcosttbl2,ROUNDDOWN($H104,0),AR$2)))))*$O104*1000*'Inputs Yr 2'!AC104,"")</f>
        <v/>
      </c>
      <c r="AS104" s="195" t="str">
        <f>IFERROR($CT104*(INDEX(avoidedcosttbl2,$H104,AS$2)+(($H104-ROUNDDOWN($H104,0))*(INDEX(avoidedcosttbl2,ROUNDUP($H104,0),AS$2)-(INDEX(avoidedcosttbl2,ROUNDDOWN($H104,0),AS$2)))))*$O104*1000*'Inputs Yr 2'!AD104,"")</f>
        <v/>
      </c>
      <c r="AT104" s="196">
        <f t="shared" si="63"/>
        <v>0</v>
      </c>
      <c r="AU104" s="197" t="str">
        <f>IFERROR($CQ104*((INDEX(avoidedcosttbl2,$H104,AU$2))+(($H104-ROUNDDOWN($H104,0))*((INDEX(avoidedcosttbl2,ROUNDUP($H104,0),AU$2))-(INDEX(avoidedcosttbl2,ROUNDDOWN($H104,0),AU$2)))))*$O104*1000*'Inputs Yr 2'!AA104,"")</f>
        <v/>
      </c>
      <c r="AV104" s="197" t="str">
        <f>IFERROR($CR104*((INDEX(avoidedcosttbl2,$H104,AV$2))+(($H104-ROUNDDOWN($H104,0))*((INDEX(avoidedcosttbl2,ROUNDUP($H104,0),AV$2))-(INDEX(avoidedcosttbl2,ROUNDDOWN($H104,0),AV$2)))))*$O104*1000*'Inputs Yr 2'!AB104,"")</f>
        <v/>
      </c>
      <c r="AW104" s="197" t="str">
        <f>IFERROR($CS104*((INDEX(avoidedcosttbl2,$H104,AW$2))+(($H104-ROUNDDOWN($H104,0))*((INDEX(avoidedcosttbl2,ROUNDUP($H104,0),AW$2))-(INDEX(avoidedcosttbl2,ROUNDDOWN($H104,0),AW$2)))))*$O104*1000*'Inputs Yr 2'!AC104,"")</f>
        <v/>
      </c>
      <c r="AX104" s="197" t="str">
        <f>IFERROR($CT104*((INDEX(avoidedcosttbl2,$H104,AX$2))+(($H104-ROUNDDOWN($H104,0))*((INDEX(avoidedcosttbl2,ROUNDUP($H104,0),AX$2))-(INDEX(avoidedcosttbl2,ROUNDDOWN($H104,0),AX$2)))))*$O104*1000*'Inputs Yr 2'!AD104,"")</f>
        <v/>
      </c>
      <c r="AY104" s="197" t="str">
        <f>IFERROR(((INDEX(avoidedcosttbl2,$H104,AY$2))+(($H104-ROUNDDOWN($H104,0))*((INDEX(avoidedcosttbl2,ROUNDUP($H104,0),AY$2))-(INDEX(avoidedcosttbl2,ROUNDDOWN($H104,0),AY$2)))))*$O104*1000*('Inputs Yr 2'!AC104+'Inputs Yr 2'!AD104),"")</f>
        <v/>
      </c>
      <c r="AZ104" s="197" t="str">
        <f>IFERROR(((INDEX(avoidedcosttbl2,$H104,AZ$2))+(($H104-ROUNDDOWN($H104,0))*((INDEX(avoidedcosttbl2,ROUNDUP($H104,0),AZ$2))-(INDEX(avoidedcosttbl2,ROUNDDOWN($H104,0),AZ$2)))))*$O104*1000*('Inputs Yr 2'!AA104+'Inputs Yr 2'!AB104),"")</f>
        <v/>
      </c>
      <c r="BA104" s="198">
        <f t="shared" si="64"/>
        <v>0</v>
      </c>
      <c r="BB104" s="198">
        <f t="shared" si="65"/>
        <v>0</v>
      </c>
      <c r="BC104" s="195" t="str">
        <f t="shared" si="47"/>
        <v/>
      </c>
      <c r="BD104" s="195" t="str">
        <f t="shared" si="48"/>
        <v/>
      </c>
      <c r="BE104" s="195" t="str">
        <f t="shared" si="49"/>
        <v/>
      </c>
      <c r="BF104" s="195" t="str">
        <f t="shared" si="50"/>
        <v/>
      </c>
      <c r="BG104" s="195" t="str">
        <f t="shared" si="51"/>
        <v/>
      </c>
      <c r="BH104" s="196">
        <f t="shared" si="66"/>
        <v>0</v>
      </c>
      <c r="BI104" s="196">
        <f t="shared" si="67"/>
        <v>0</v>
      </c>
      <c r="BJ104" s="195" t="str">
        <f>IFERROR($G104*(IF('Inputs Yr 2'!$AJ104=BJ$4,'Inputs Yr 2'!$AK104,IF('Inputs Yr 2'!$AL104=BJ$4,'Inputs Yr 2'!$AM104,IF('Inputs Yr 2'!$AN104=BJ$4,'Inputs Yr 2'!$AO104,0))))*(INDEX(avoidedcosttbl2,$H104,BJ$2)+(($H104-ROUNDDOWN($H104,0))*(INDEX(avoidedcosttbl2,ROUNDUP($H104,0),BJ$2)-(INDEX(avoidedcosttbl2,ROUNDDOWN($H104,0),BJ$2)))))*'Inputs Yr 2'!P104*'Inputs Yr 2'!Q104*'Inputs Yr 2'!U104,"")</f>
        <v/>
      </c>
      <c r="BK104" s="195" t="str">
        <f>IFERROR($G104*(IF('Inputs Yr 2'!$AJ104=BK$4,'Inputs Yr 2'!$AK104,IF('Inputs Yr 2'!$AL104=BK$4,'Inputs Yr 2'!$AM104,IF('Inputs Yr 2'!$AN104=BK$4,'Inputs Yr 2'!$AO104,0))))*(INDEX(avoidedcosttbl2,$H104,BK$2)+(($H104-ROUNDDOWN($H104,0))*(INDEX(avoidedcosttbl2,ROUNDUP($H104,0),BK$2)-(INDEX(avoidedcosttbl2,ROUNDDOWN($H104,0),BK$2)))))*'Inputs Yr 2'!P104*'Inputs Yr 2'!Q104*'Inputs Yr 2'!U104,"")</f>
        <v/>
      </c>
      <c r="BL104" s="195" t="str">
        <f>IFERROR($G104*(IF('Inputs Yr 2'!$AJ104=BL$4,'Inputs Yr 2'!$AK104,IF('Inputs Yr 2'!$AL104=BL$4,'Inputs Yr 2'!$AM104,IF('Inputs Yr 2'!$AN104=BL$4,'Inputs Yr 2'!$AO104,0))))*(INDEX(avoidedcosttbl2,$H104,BL$2)+(($H104-ROUNDDOWN($H104,0))*(INDEX(avoidedcosttbl2,ROUNDUP($H104,0),BL$2)-(INDEX(avoidedcosttbl2,ROUNDDOWN($H104,0),BL$2)))))*'Inputs Yr 2'!P104*'Inputs Yr 2'!Q104*'Inputs Yr 2'!U104,"")</f>
        <v/>
      </c>
      <c r="BM104" s="195" t="str">
        <f>IFERROR($G104*(IF('Inputs Yr 2'!$AJ104=BM$4,'Inputs Yr 2'!$AK104,IF('Inputs Yr 2'!$AL104=BM$4,'Inputs Yr 2'!$AM104,IF('Inputs Yr 2'!$AN104=BM$4,'Inputs Yr 2'!$AO104,0))))*(INDEX(avoidedcosttbl2,$H104,BM$2)+(($H104-ROUNDDOWN($H104,0))*(INDEX(avoidedcosttbl2,ROUNDUP($H104,0),BM$2)-(INDEX(avoidedcosttbl2,ROUNDDOWN($H104,0),BM$2)))))*'Inputs Yr 2'!P104*'Inputs Yr 2'!Q104*'Inputs Yr 2'!U104,"")</f>
        <v/>
      </c>
      <c r="BN104" s="195" t="str">
        <f>IFERROR($G104*(IF('Inputs Yr 2'!$AJ104=BN$4,'Inputs Yr 2'!$AK104,IF('Inputs Yr 2'!$AL104=BN$4,'Inputs Yr 2'!$AM104,IF('Inputs Yr 2'!$AN104=BN$4,'Inputs Yr 2'!$AO104,0))))*(INDEX(avoidedcosttbl2,$H104,BN$2)+(($H104-ROUNDDOWN($H104,0))*(INDEX(avoidedcosttbl2,ROUNDUP($H104,0),BN$2)-(INDEX(avoidedcosttbl2,ROUNDDOWN($H104,0),BN$2)))))*'Inputs Yr 2'!P104*'Inputs Yr 2'!Q104*'Inputs Yr 2'!U104,"")</f>
        <v/>
      </c>
      <c r="BO104" s="195" t="str">
        <f>IFERROR($G104*(IF('Inputs Yr 2'!$AJ104=BO$4,'Inputs Yr 2'!$AK104,IF('Inputs Yr 2'!$AL104=BO$4,'Inputs Yr 2'!$AM104,IF('Inputs Yr 2'!$AN104=BO$4,'Inputs Yr 2'!$AO104,0))))*(INDEX(avoidedcosttbl2,$H104,BO$2)+(($H104-ROUNDDOWN($H104,0))*(INDEX(avoidedcosttbl2,ROUNDUP($H104,0),BO$2)-(INDEX(avoidedcosttbl2,ROUNDDOWN($H104,0),BO$2)))))*'Inputs Yr 2'!P104*'Inputs Yr 2'!Q104*'Inputs Yr 2'!U104,"")</f>
        <v/>
      </c>
      <c r="BP104" s="195" t="str">
        <f>IFERROR($G104*(IF('Inputs Yr 2'!$AJ104=BP$4,'Inputs Yr 2'!$AK104,IF('Inputs Yr 2'!$AL104=BP$4,'Inputs Yr 2'!$AM104,IF('Inputs Yr 2'!$AN104=BP$4,'Inputs Yr 2'!$AO104,0))))*(INDEX(avoidedcosttbl2,$H104,BP$2)+(($H104-ROUNDDOWN($H104,0))*(INDEX(avoidedcosttbl2,ROUNDUP($H104,0),BP$2)-(INDEX(avoidedcosttbl2,ROUNDDOWN($H104,0),BP$2)))))*'Inputs Yr 2'!P104*'Inputs Yr 2'!Q104*'Inputs Yr 2'!U104,"")</f>
        <v/>
      </c>
      <c r="BQ104" s="230">
        <f t="shared" si="68"/>
        <v>0</v>
      </c>
      <c r="BR104" s="197" t="str">
        <f t="shared" si="52"/>
        <v/>
      </c>
      <c r="BS104" s="197" t="str">
        <f>IFERROR(($G104*IF('Inputs Yr 2'!$AJ104=BM$4,'Inputs Yr 2'!$AK104,IF('Inputs Yr 2'!$AL104=BM$4,'Inputs Yr 2'!$AM104,IF('Inputs Yr 2'!$AN104=BM$4,'Inputs Yr 2'!$AO104,0))))*(INDEX(avoidedcosttbl2,$H104,BS$2)+(($H104-ROUNDDOWN($H104,0))*(INDEX(avoidedcosttbl2,ROUNDUP($H104,0),BS$2)-(INDEX(avoidedcosttbl2,ROUNDDOWN($H104,0),BS$2)))))*'Inputs Yr 2'!P104*'Inputs Yr 2'!Q104*'Inputs Yr 2'!U104,"")</f>
        <v/>
      </c>
      <c r="BT104" s="197" t="str">
        <f>IFERROR(($G104*IF('Inputs Yr 2'!$AJ104=BK$4,'Inputs Yr 2'!$AK104,IF('Inputs Yr 2'!$AL104=BK$4,'Inputs Yr 2'!$AM104,IF('Inputs Yr 2'!$AN104=BK$4,'Inputs Yr 2'!$AO104,0))))*(INDEX(avoidedcosttbl2,$H104,BT$2)+(($H104-ROUNDDOWN($H104,0))*(INDEX(avoidedcosttbl2,ROUNDUP($H104,0),BT$2)-(INDEX(avoidedcosttbl2,ROUNDDOWN($H104,0),BT$2)))))*'Inputs Yr 2'!P104*'Inputs Yr 2'!Q104*'Inputs Yr 2'!U104,"")</f>
        <v/>
      </c>
      <c r="BU104" s="197" t="str">
        <f>IFERROR(($G104*IF('Inputs Yr 2'!$AJ104=BL$4,'Inputs Yr 2'!$AK104,IF('Inputs Yr 2'!$AL104=BL$4,'Inputs Yr 2'!$AM104,IF('Inputs Yr 2'!$AN104=BL$4,'Inputs Yr 2'!$AO104,0))))*(INDEX(avoidedcosttbl2,$H104,BU$2)+(($H104-ROUNDDOWN($H104,0))*(INDEX(avoidedcosttbl2,ROUNDUP($H104,0),BU$2)-(INDEX(avoidedcosttbl2,ROUNDDOWN($H104,0),BU$2)))))*'Inputs Yr 2'!P104*'Inputs Yr 2'!Q104*'Inputs Yr 2'!U104,"")</f>
        <v/>
      </c>
      <c r="BV104" s="775" t="str">
        <f>IFERROR(($G104*IF('Inputs Yr 2'!$AJ104=BJ$4,'Inputs Yr 2'!$AK104,IF('Inputs Yr 2'!$AL104=BJ$4,'Inputs Yr 2'!$AM104,IF('Inputs Yr 2'!$AN104=BJ$4,'Inputs Yr 2'!$AO104,0))))*(INDEX(avoidedcosttbl2,$H104,BV$2)+(($H104-ROUNDDOWN($H104,0))*(INDEX(avoidedcosttbl2,ROUNDUP($H104,0),BV$2)-(INDEX(avoidedcosttbl2,ROUNDDOWN($H104,0),BV$2)))))*'Inputs Yr 2'!P104*'Inputs Yr 2'!Q104*'Inputs Yr 2'!U104,"")</f>
        <v/>
      </c>
      <c r="BW104" s="197" t="str">
        <f>IFERROR(($G104*IF('Inputs Yr 2'!$AJ104=BN$4,'Inputs Yr 2'!$AK104,IF('Inputs Yr 2'!$AL104=BN$4,'Inputs Yr 2'!$AM104,IF('Inputs Yr 2'!$AN104=BN$4,'Inputs Yr 2'!$AO104,0))))*(INDEX(avoidedcosttbl2,$H104,BW$2)+(($H104-ROUNDDOWN($H104,0))*(INDEX(avoidedcosttbl2,ROUNDUP($H104,0),BW$2)-(INDEX(avoidedcosttbl2,ROUNDDOWN($H104,0),BW$2)))))*'Inputs Yr 2'!P104*'Inputs Yr 2'!Q104*'Inputs Yr 2'!U104,"")</f>
        <v/>
      </c>
      <c r="BX104" s="197" t="str">
        <f>IFERROR(($G104*IF('Inputs Yr 2'!$AJ104=BO$4,'Inputs Yr 2'!$AK104,IF('Inputs Yr 2'!$AL104=BO$4,'Inputs Yr 2'!$AM104,IF('Inputs Yr 2'!$AN104=BO$4,'Inputs Yr 2'!$AO104,0))))*(INDEX(avoidedcosttbl2,$H104,BX$2)+(($H104-ROUNDDOWN($H104,0))*(INDEX(avoidedcosttbl2,ROUNDUP($H104,0),BX$2)-(INDEX(avoidedcosttbl2,ROUNDDOWN($H104,0),BX$2)))))*'Inputs Yr 2'!P104*'Inputs Yr 2'!Q104*'Inputs Yr 2'!U104,"")</f>
        <v/>
      </c>
      <c r="BY104" s="197" t="str">
        <f>IFERROR(($G104*IF('Inputs Yr 2'!$AJ104=BP$4,'Inputs Yr 2'!$AK104,IF('Inputs Yr 2'!$AL104=BP$4,'Inputs Yr 2'!$AM104,IF('Inputs Yr 2'!$AN104=BP$4,'Inputs Yr 2'!$AO104,0))))*(INDEX(avoidedcosttbl2,$H104,BY$2)+(($H104-ROUNDDOWN($H104,0))*(INDEX(avoidedcosttbl2,ROUNDUP($H104,0),BY$2)-(INDEX(avoidedcosttbl2,ROUNDDOWN($H104,0),BY$2)))))*'Inputs Yr 2'!P104*'Inputs Yr 2'!Q104*'Inputs Yr 2'!U104,"")</f>
        <v/>
      </c>
      <c r="BZ104" s="193">
        <f t="shared" si="69"/>
        <v>0</v>
      </c>
      <c r="CA104" s="193">
        <f t="shared" si="70"/>
        <v>0</v>
      </c>
      <c r="CB104" s="195" t="str">
        <f>IFERROR(G104*(IF('Inputs Yr 2'!$AJ104=CB$4,'Inputs Yr 2'!$AK104,IF('Inputs Yr 2'!$AL104=CB$4,'Inputs Yr 2'!$AM104,IF('Inputs Yr 2'!$AN104=CB$4,'Inputs Yr 2'!$AO104,0))))*(INDEX(avoidedcosttbl2,$H104,CB$2)+(($H104-ROUNDDOWN($H104,0))*(INDEX(avoidedcosttbl2,ROUNDUP($H104,0),CB$2)-(INDEX(avoidedcosttbl2,ROUNDDOWN($H104,0),CB$2)))))*'Inputs Yr 2'!P104*'Inputs Yr 2'!Q104*'Inputs Yr 2'!U104,"")</f>
        <v/>
      </c>
      <c r="CC104" s="195" t="str">
        <f>IFERROR(H104*(IF('Inputs Yr 2'!$AJ104=CC$4,'Inputs Yr 2'!$AK104,IF('Inputs Yr 2'!$AL104=CC$4,'Inputs Yr 2'!$AM104,IF('Inputs Yr 2'!$AN104=CC$4,'Inputs Yr 2'!$AO104,0))))*(INDEX(avoidedcosttbl2,$H104,CC$2)+(($H104-ROUNDDOWN($H104,0))*(INDEX(avoidedcosttbl2,ROUNDUP($H104,0),CC$2)-(INDEX(avoidedcosttbl2,ROUNDDOWN($H104,0),CC$2)))))*'Inputs Yr 2'!Q104*'Inputs Yr 2'!R104*'Inputs Yr 2'!V104,"")</f>
        <v/>
      </c>
      <c r="CD104" s="195" t="str">
        <f>IFERROR(I104*(IF('Inputs Yr 2'!$AJ104=CD$4,'Inputs Yr 2'!$AK104,IF('Inputs Yr 2'!$AL104=CD$4,'Inputs Yr 2'!$AM104,IF('Inputs Yr 2'!$AN104=CD$4,'Inputs Yr 2'!$AO104,0))))*(INDEX(avoidedcosttbl2,$H104,CD$2)+(($H104-ROUNDDOWN($H104,0))*(INDEX(avoidedcosttbl2,ROUNDUP($H104,0),CD$2)-(INDEX(avoidedcosttbl2,ROUNDDOWN($H104,0),CD$2)))))*'Inputs Yr 2'!R104*'Inputs Yr 2'!S104*'Inputs Yr 2'!W104,"")</f>
        <v/>
      </c>
      <c r="CE104" s="213" t="str">
        <f t="shared" si="71"/>
        <v/>
      </c>
      <c r="CF104" s="213" t="str">
        <f t="shared" si="72"/>
        <v/>
      </c>
      <c r="CG104" s="213" t="str">
        <f t="shared" si="73"/>
        <v/>
      </c>
      <c r="CH104" s="698">
        <f t="shared" si="74"/>
        <v>0</v>
      </c>
      <c r="CI104" s="79" t="str">
        <f>IFERROR(($G104*'Inputs Yr 2'!$P104*'Inputs Yr 2'!$Q104*(((INDEX(avoidedcosttbl2,$H104,CI$2)+(($H104-ROUNDDOWN($H104,0))*(INDEX(avoidedcosttbl2,ROUNDUP($H104,0),CI$2)-INDEX(avoidedcosttbl2,ROUNDDOWN($H104,0),CI$2))))*'Inputs Yr 2'!AS104))),"")</f>
        <v/>
      </c>
      <c r="CJ104" s="504" t="str">
        <f>IFERROR($G104*'Inputs Yr 2'!AT104*'Inputs Yr 2'!$P104*'Inputs Yr 2'!$Q104/((1+realdiscrt1)^-0.5),"")</f>
        <v/>
      </c>
      <c r="CK104" s="79" t="str">
        <f>IFERROR((O104*1000*(((INDEX(avoidedcosttbl2,$H104,CK$2)+(($H104-ROUNDDOWN($H104,0))*(INDEX(avoidedcosttbl2,ROUNDUP($H104,0),CK$2)-INDEX(avoidedcosttbl2,ROUNDDOWN($H104,0),CK$2))))*'Inputs Yr 2'!AU104))),"")</f>
        <v/>
      </c>
      <c r="CL104" s="504" t="str">
        <f>IFERROR(O104*1000*'Inputs Yr 2'!AV104/((1+realdiscrt1)^-0.5),"")</f>
        <v/>
      </c>
      <c r="CM104" s="79" t="str">
        <f>IFERROR((AB104*'Inputs Yr 2'!AW104*(((INDEX(avoidedcosttbl2,$H104,CM$2)+(($H104-ROUNDDOWN($H104,0))*(INDEX(avoidedcosttbl2,ROUNDUP($H104,0),CM$2)-INDEX(avoidedcosttbl2,ROUNDDOWN($H104,0),CM$2)))))))*10,"")</f>
        <v/>
      </c>
      <c r="CN104" s="504">
        <f>IFERROR(10*AB104*'Inputs Yr 2'!AX104/((1+realdiscrt1)^-0.5),"")</f>
        <v>0</v>
      </c>
      <c r="CO104" s="505">
        <f t="shared" si="75"/>
        <v>0</v>
      </c>
      <c r="CP104" s="230">
        <f t="shared" si="76"/>
        <v>0</v>
      </c>
      <c r="CQ104" s="199">
        <f>ROUND(IFERROR(IF(LEFT($A104,1)="C",'Avoided Costs'!$K$13,'Avoided Costs'!$K$12)+1,""),4)</f>
        <v>1.0720000000000001</v>
      </c>
      <c r="CR104" s="199">
        <f>ROUND(IFERROR(IF(LEFT($A104,1)="C",'Avoided Costs'!$L$13,'Avoided Costs'!$L$12)+1,""),4)</f>
        <v>1.04</v>
      </c>
      <c r="CS104" s="199">
        <f>ROUND(IFERROR(IF(LEFT($A104,1)="C",'Avoided Costs'!$M$13,'Avoided Costs'!$M$12)+1,""),4)</f>
        <v>1.0720000000000001</v>
      </c>
      <c r="CT104" s="199">
        <f>ROUND(IFERROR(IF(LEFT($A104,1)="C",'Avoided Costs'!$N$13,'Avoided Costs'!$N$12)+1,""),4)</f>
        <v>1.04</v>
      </c>
      <c r="CU104" s="199">
        <f>ROUND(IFERROR(IF(LEFT($A104,1)="C",'Avoided Costs'!$O$13,'Avoided Costs'!$O$12)+1,""),4)</f>
        <v>1.1120000000000001</v>
      </c>
      <c r="CV104" s="199">
        <f>ROUND(IFERROR(IF(LEFT($A104,1)="C",'Avoided Costs'!$P$13,'Avoided Costs'!$P$12)+1,""),4)</f>
        <v>1.095</v>
      </c>
      <c r="CW104" s="199">
        <f>ROUND(IFERROR(IF(LEFT($A104,1)="C",'Avoided Costs'!$Q$13,'Avoided Costs'!$Q$12)+1,""),4)</f>
        <v>1.1120000000000001</v>
      </c>
      <c r="CX104" s="200">
        <f>ROUND(IFERROR(IF(LEFT($A104,1)="C",'Avoided Costs'!$R$13,'Avoided Costs'!$R$12)+1,""),4)</f>
        <v>1.1120000000000001</v>
      </c>
    </row>
    <row r="105" spans="1:102" ht="12.75" customHeight="1">
      <c r="A105" s="91" t="str">
        <f>IF('Inputs Yr 2'!$B105=0,"",'Inputs Yr 2'!A105)</f>
        <v>B - Low Income</v>
      </c>
      <c r="B105" s="91" t="str">
        <f>IF('Inputs Yr 2'!$B105=0,"",'Inputs Yr 2'!B105)</f>
        <v>B1 - Low-Income Whole House</v>
      </c>
      <c r="C105" s="91" t="str">
        <f>IF('Inputs Yr 2'!$B105=0,"",'Inputs Yr 2'!C105)</f>
        <v>B1a - Low-Income Single Family Retrofit</v>
      </c>
      <c r="D105" s="91" t="str">
        <f>IF('Inputs Yr 2'!$B105=0,"",'Inputs Yr 2'!E105)</f>
        <v>Boiler Retrofit, Gas</v>
      </c>
      <c r="E105" s="93" t="str">
        <f>IF('Inputs Yr 2'!$B105=0,"",'Inputs Yr 2'!F105)</f>
        <v>G16B1a05</v>
      </c>
      <c r="F105" s="93" t="str">
        <f>IF('Inputs Yr 2'!$B105=0,"",'Inputs Yr 2'!G105)</f>
        <v>HVAC</v>
      </c>
      <c r="G105" s="95">
        <f>IF('Inputs Yr 2'!$H105&lt;&gt;0,('Inputs Yr 2'!H105),"")</f>
        <v>357</v>
      </c>
      <c r="H105" s="94">
        <f>IFERROR('Inputs Yr 2'!I105,"")</f>
        <v>20</v>
      </c>
      <c r="I105" s="298">
        <f>IFERROR('Inputs Yr 2'!J105*'Inputs Yr 2'!P105*G105,"")</f>
        <v>1692601.26</v>
      </c>
      <c r="J105" s="298">
        <f>IFERROR('Inputs Yr 2'!K105*G105,"")</f>
        <v>1692601.26</v>
      </c>
      <c r="K105" s="298">
        <f t="shared" si="53"/>
        <v>0</v>
      </c>
      <c r="L105" s="194">
        <f>IFERROR(('Inputs Yr 2'!W105*G105)/1000,"")</f>
        <v>0</v>
      </c>
      <c r="M105" s="194">
        <f>IFERROR(L105*('Inputs Yr 2'!$Q105*'Inputs Yr 2'!$V105*'Inputs Yr 2'!$R105),"")</f>
        <v>0</v>
      </c>
      <c r="N105" s="194">
        <f t="shared" si="54"/>
        <v>0</v>
      </c>
      <c r="O105" s="194">
        <f>IFERROR(M105*'Inputs Yr 2'!P105,"")</f>
        <v>0</v>
      </c>
      <c r="P105" s="194">
        <f t="shared" si="55"/>
        <v>0</v>
      </c>
      <c r="Q105" s="194">
        <f>IFERROR($P105*'Inputs Yr 2'!AA105,"")</f>
        <v>0</v>
      </c>
      <c r="R105" s="194">
        <f>IFERROR($P105*'Inputs Yr 2'!AB105,"")</f>
        <v>0</v>
      </c>
      <c r="S105" s="194">
        <f>IFERROR($P105*'Inputs Yr 2'!AC105,"")</f>
        <v>0</v>
      </c>
      <c r="T105" s="194">
        <f>IFERROR($P105*'Inputs Yr 2'!AD105,"")</f>
        <v>0</v>
      </c>
      <c r="U105" s="194">
        <f>IFERROR(G105*'Inputs Yr 2'!$AE105*'Inputs Yr 2'!$P105*'Inputs Yr 2'!$Q105,"")</f>
        <v>0</v>
      </c>
      <c r="V105" s="194">
        <f>IFERROR($G105*'Inputs Yr 2'!$AE105*'Inputs Yr 2'!$AG105*'Inputs Yr 2'!Q105*'Inputs Yr 2'!$S105,"")</f>
        <v>0</v>
      </c>
      <c r="W105" s="194">
        <f>IFERROR($G105*'Inputs Yr 2'!$AE105*'Inputs Yr 2'!$AG105*'Inputs Yr 2'!P105*'Inputs Yr 2'!Q105*'Inputs Yr 2'!$S105,"")</f>
        <v>0</v>
      </c>
      <c r="X105" s="194">
        <f>IFERROR($G105*'Inputs Yr 2'!$AE105*'Inputs Yr 2'!$AF105*'Inputs Yr 2'!Q105*'Inputs Yr 2'!$T105,"")</f>
        <v>0</v>
      </c>
      <c r="Y105" s="194">
        <f>IFERROR($G105*'Inputs Yr 2'!$AE105*'Inputs Yr 2'!$AF105*'Inputs Yr 2'!P105*'Inputs Yr 2'!Q105*'Inputs Yr 2'!$T105,"")</f>
        <v>0</v>
      </c>
      <c r="Z105" s="257">
        <f>IFERROR($G105*'Inputs Yr 2'!$Q105*'Inputs Yr 2'!$U105*(IF(IFERROR(SEARCH("NG", 'Inputs Yr 2'!$AJ105),0),'Inputs Yr 2'!$AK105,0)+IF(IFERROR(SEARCH("NG", 'Inputs Yr 2'!$AL105),0),'Inputs Yr 2'!$AM105,0)+IF(IFERROR(SEARCH("NG", 'Inputs Yr 2'!$AN105),0),'Inputs Yr 2'!$AO105,0)),0)</f>
        <v>6925.7999999999993</v>
      </c>
      <c r="AA105" s="257">
        <f t="shared" si="56"/>
        <v>138516</v>
      </c>
      <c r="AB105" s="257">
        <f>IFERROR(Z105*'Inputs Yr 2'!$P105,0)</f>
        <v>6925.7999999999993</v>
      </c>
      <c r="AC105" s="257">
        <f t="shared" si="57"/>
        <v>138516</v>
      </c>
      <c r="AD105" s="257">
        <f>IFERROR($G105*'Inputs Yr 2'!$Q105*'Inputs Yr 2'!$U105*(IF(IFERROR(SEARCH("Oil", 'Inputs Yr 2'!$AJ105), 0),'Inputs Yr 2'!$AK105,0)+IF(IFERROR(SEARCH("Oil", 'Inputs Yr 2'!$AL105), 0),'Inputs Yr 2'!$AM105,0)+IF(IFERROR(SEARCH("Oil", 'Inputs Yr 2'!$AN105), 0),'Inputs Yr 2'!$AO105,0)),0)</f>
        <v>0</v>
      </c>
      <c r="AE105" s="257">
        <f t="shared" si="58"/>
        <v>0</v>
      </c>
      <c r="AF105" s="257">
        <f>IFERROR(AD105*'Inputs Yr 2'!$P105,0)</f>
        <v>0</v>
      </c>
      <c r="AG105" s="257">
        <f t="shared" si="59"/>
        <v>0</v>
      </c>
      <c r="AH105" s="257">
        <f>IFERROR($G105*'Inputs Yr 2'!$Q105*'Inputs Yr 2'!$U105*(IF('Inputs Yr 2'!$AJ105=CD$4,'Inputs Yr 2'!$AK105,IF('Inputs Yr 2'!$AL105=CD$4,'Inputs Yr 2'!$AM105,IF('Inputs Yr 2'!$AN105=CD$4,'Inputs Yr 2'!$AO105,0)))),0)</f>
        <v>0</v>
      </c>
      <c r="AI105" s="257">
        <f t="shared" si="60"/>
        <v>0</v>
      </c>
      <c r="AJ105" s="257">
        <f>IFERROR(AH105*'Inputs Yr 2'!$P105,0)</f>
        <v>0</v>
      </c>
      <c r="AK105" s="257">
        <f t="shared" si="61"/>
        <v>0</v>
      </c>
      <c r="AL105" s="258">
        <f>IFERROR($G105*'Inputs Yr 2'!$P105*'Inputs Yr 2'!$Q105*'Inputs Yr 2'!AP105,0)</f>
        <v>0</v>
      </c>
      <c r="AM105" s="260">
        <f>IFERROR($G105*'Inputs Yr 2'!$P105*'Inputs Yr 2'!$Q105*'Inputs Yr 2'!AQ105,0)</f>
        <v>0</v>
      </c>
      <c r="AN105" s="258">
        <f>IFERROR($G105*'Inputs Yr 2'!$P105*'Inputs Yr 2'!$Q105*'Inputs Yr 2'!AR105,0)</f>
        <v>0</v>
      </c>
      <c r="AO105" s="257">
        <f t="shared" si="62"/>
        <v>0</v>
      </c>
      <c r="AP105" s="195">
        <f>IFERROR($CQ105*(INDEX(avoidedcosttbl2,$H105,AP$2)+(($H105-ROUNDDOWN($H105,0))*(INDEX(avoidedcosttbl2,ROUNDUP($H105,0),AP$2)-(INDEX(avoidedcosttbl2,ROUNDDOWN($H105,0),AP$2)))))*$O105*1000*'Inputs Yr 2'!AA105,"")</f>
        <v>0</v>
      </c>
      <c r="AQ105" s="195">
        <f>IFERROR($CR105*(INDEX(avoidedcosttbl2,$H105,AQ$2)+(($H105-ROUNDDOWN($H105,0))*(INDEX(avoidedcosttbl2,ROUNDUP($H105,0),AQ$2)-(INDEX(avoidedcosttbl2,ROUNDDOWN($H105,0),AQ$2)))))*$O105*1000*'Inputs Yr 2'!AB105,"")</f>
        <v>0</v>
      </c>
      <c r="AR105" s="195">
        <f>IFERROR($CS105*(INDEX(avoidedcosttbl2,$H105,AR$2)+(($H105-ROUNDDOWN($H105,0))*(INDEX(avoidedcosttbl2,ROUNDUP($H105,0),AR$2)-(INDEX(avoidedcosttbl2,ROUNDDOWN($H105,0),AR$2)))))*$O105*1000*'Inputs Yr 2'!AC105,"")</f>
        <v>0</v>
      </c>
      <c r="AS105" s="195">
        <f>IFERROR($CT105*(INDEX(avoidedcosttbl2,$H105,AS$2)+(($H105-ROUNDDOWN($H105,0))*(INDEX(avoidedcosttbl2,ROUNDUP($H105,0),AS$2)-(INDEX(avoidedcosttbl2,ROUNDDOWN($H105,0),AS$2)))))*$O105*1000*'Inputs Yr 2'!AD105,"")</f>
        <v>0</v>
      </c>
      <c r="AT105" s="196">
        <f t="shared" si="63"/>
        <v>0</v>
      </c>
      <c r="AU105" s="197">
        <f>IFERROR($CQ105*((INDEX(avoidedcosttbl2,$H105,AU$2))+(($H105-ROUNDDOWN($H105,0))*((INDEX(avoidedcosttbl2,ROUNDUP($H105,0),AU$2))-(INDEX(avoidedcosttbl2,ROUNDDOWN($H105,0),AU$2)))))*$O105*1000*'Inputs Yr 2'!AA105,"")</f>
        <v>0</v>
      </c>
      <c r="AV105" s="197">
        <f>IFERROR($CR105*((INDEX(avoidedcosttbl2,$H105,AV$2))+(($H105-ROUNDDOWN($H105,0))*((INDEX(avoidedcosttbl2,ROUNDUP($H105,0),AV$2))-(INDEX(avoidedcosttbl2,ROUNDDOWN($H105,0),AV$2)))))*$O105*1000*'Inputs Yr 2'!AB105,"")</f>
        <v>0</v>
      </c>
      <c r="AW105" s="197">
        <f>IFERROR($CS105*((INDEX(avoidedcosttbl2,$H105,AW$2))+(($H105-ROUNDDOWN($H105,0))*((INDEX(avoidedcosttbl2,ROUNDUP($H105,0),AW$2))-(INDEX(avoidedcosttbl2,ROUNDDOWN($H105,0),AW$2)))))*$O105*1000*'Inputs Yr 2'!AC105,"")</f>
        <v>0</v>
      </c>
      <c r="AX105" s="197">
        <f>IFERROR($CT105*((INDEX(avoidedcosttbl2,$H105,AX$2))+(($H105-ROUNDDOWN($H105,0))*((INDEX(avoidedcosttbl2,ROUNDUP($H105,0),AX$2))-(INDEX(avoidedcosttbl2,ROUNDDOWN($H105,0),AX$2)))))*$O105*1000*'Inputs Yr 2'!AD105,"")</f>
        <v>0</v>
      </c>
      <c r="AY105" s="197">
        <f>IFERROR(((INDEX(avoidedcosttbl2,$H105,AY$2))+(($H105-ROUNDDOWN($H105,0))*((INDEX(avoidedcosttbl2,ROUNDUP($H105,0),AY$2))-(INDEX(avoidedcosttbl2,ROUNDDOWN($H105,0),AY$2)))))*$O105*1000*('Inputs Yr 2'!AC105+'Inputs Yr 2'!AD105),"")</f>
        <v>0</v>
      </c>
      <c r="AZ105" s="197">
        <f>IFERROR(((INDEX(avoidedcosttbl2,$H105,AZ$2))+(($H105-ROUNDDOWN($H105,0))*((INDEX(avoidedcosttbl2,ROUNDUP($H105,0),AZ$2))-(INDEX(avoidedcosttbl2,ROUNDDOWN($H105,0),AZ$2)))))*$O105*1000*('Inputs Yr 2'!AA105+'Inputs Yr 2'!AB105),"")</f>
        <v>0</v>
      </c>
      <c r="BA105" s="198">
        <f t="shared" si="64"/>
        <v>0</v>
      </c>
      <c r="BB105" s="198">
        <f t="shared" si="65"/>
        <v>0</v>
      </c>
      <c r="BC105" s="195">
        <f t="shared" si="47"/>
        <v>0</v>
      </c>
      <c r="BD105" s="195">
        <f t="shared" si="48"/>
        <v>0</v>
      </c>
      <c r="BE105" s="195">
        <f t="shared" si="49"/>
        <v>0</v>
      </c>
      <c r="BF105" s="195">
        <f t="shared" si="50"/>
        <v>0</v>
      </c>
      <c r="BG105" s="195">
        <f t="shared" si="51"/>
        <v>0</v>
      </c>
      <c r="BH105" s="196">
        <f t="shared" si="66"/>
        <v>0</v>
      </c>
      <c r="BI105" s="196">
        <f t="shared" si="67"/>
        <v>0</v>
      </c>
      <c r="BJ105" s="195">
        <f>IFERROR($G105*(IF('Inputs Yr 2'!$AJ105=BJ$4,'Inputs Yr 2'!$AK105,IF('Inputs Yr 2'!$AL105=BJ$4,'Inputs Yr 2'!$AM105,IF('Inputs Yr 2'!$AN105=BJ$4,'Inputs Yr 2'!$AO105,0))))*(INDEX(avoidedcosttbl2,$H105,BJ$2)+(($H105-ROUNDDOWN($H105,0))*(INDEX(avoidedcosttbl2,ROUNDUP($H105,0),BJ$2)-(INDEX(avoidedcosttbl2,ROUNDDOWN($H105,0),BJ$2)))))*'Inputs Yr 2'!P105*'Inputs Yr 2'!Q105*'Inputs Yr 2'!U105,"")</f>
        <v>0</v>
      </c>
      <c r="BK105" s="195">
        <f>IFERROR($G105*(IF('Inputs Yr 2'!$AJ105=BK$4,'Inputs Yr 2'!$AK105,IF('Inputs Yr 2'!$AL105=BK$4,'Inputs Yr 2'!$AM105,IF('Inputs Yr 2'!$AN105=BK$4,'Inputs Yr 2'!$AO105,0))))*(INDEX(avoidedcosttbl2,$H105,BK$2)+(($H105-ROUNDDOWN($H105,0))*(INDEX(avoidedcosttbl2,ROUNDUP($H105,0),BK$2)-(INDEX(avoidedcosttbl2,ROUNDDOWN($H105,0),BK$2)))))*'Inputs Yr 2'!P105*'Inputs Yr 2'!Q105*'Inputs Yr 2'!U105,"")</f>
        <v>0</v>
      </c>
      <c r="BL105" s="195">
        <f>IFERROR($G105*(IF('Inputs Yr 2'!$AJ105=BL$4,'Inputs Yr 2'!$AK105,IF('Inputs Yr 2'!$AL105=BL$4,'Inputs Yr 2'!$AM105,IF('Inputs Yr 2'!$AN105=BL$4,'Inputs Yr 2'!$AO105,0))))*(INDEX(avoidedcosttbl2,$H105,BL$2)+(($H105-ROUNDDOWN($H105,0))*(INDEX(avoidedcosttbl2,ROUNDUP($H105,0),BL$2)-(INDEX(avoidedcosttbl2,ROUNDDOWN($H105,0),BL$2)))))*'Inputs Yr 2'!P105*'Inputs Yr 2'!Q105*'Inputs Yr 2'!U105,"")</f>
        <v>1200368.0733185743</v>
      </c>
      <c r="BM105" s="195">
        <f>IFERROR($G105*(IF('Inputs Yr 2'!$AJ105=BM$4,'Inputs Yr 2'!$AK105,IF('Inputs Yr 2'!$AL105=BM$4,'Inputs Yr 2'!$AM105,IF('Inputs Yr 2'!$AN105=BM$4,'Inputs Yr 2'!$AO105,0))))*(INDEX(avoidedcosttbl2,$H105,BM$2)+(($H105-ROUNDDOWN($H105,0))*(INDEX(avoidedcosttbl2,ROUNDUP($H105,0),BM$2)-(INDEX(avoidedcosttbl2,ROUNDDOWN($H105,0),BM$2)))))*'Inputs Yr 2'!P105*'Inputs Yr 2'!Q105*'Inputs Yr 2'!U105,"")</f>
        <v>0</v>
      </c>
      <c r="BN105" s="195">
        <f>IFERROR($G105*(IF('Inputs Yr 2'!$AJ105=BN$4,'Inputs Yr 2'!$AK105,IF('Inputs Yr 2'!$AL105=BN$4,'Inputs Yr 2'!$AM105,IF('Inputs Yr 2'!$AN105=BN$4,'Inputs Yr 2'!$AO105,0))))*(INDEX(avoidedcosttbl2,$H105,BN$2)+(($H105-ROUNDDOWN($H105,0))*(INDEX(avoidedcosttbl2,ROUNDUP($H105,0),BN$2)-(INDEX(avoidedcosttbl2,ROUNDDOWN($H105,0),BN$2)))))*'Inputs Yr 2'!P105*'Inputs Yr 2'!Q105*'Inputs Yr 2'!U105,"")</f>
        <v>0</v>
      </c>
      <c r="BO105" s="195">
        <f>IFERROR($G105*(IF('Inputs Yr 2'!$AJ105=BO$4,'Inputs Yr 2'!$AK105,IF('Inputs Yr 2'!$AL105=BO$4,'Inputs Yr 2'!$AM105,IF('Inputs Yr 2'!$AN105=BO$4,'Inputs Yr 2'!$AO105,0))))*(INDEX(avoidedcosttbl2,$H105,BO$2)+(($H105-ROUNDDOWN($H105,0))*(INDEX(avoidedcosttbl2,ROUNDUP($H105,0),BO$2)-(INDEX(avoidedcosttbl2,ROUNDDOWN($H105,0),BO$2)))))*'Inputs Yr 2'!P105*'Inputs Yr 2'!Q105*'Inputs Yr 2'!U105,"")</f>
        <v>0</v>
      </c>
      <c r="BP105" s="195">
        <f>IFERROR($G105*(IF('Inputs Yr 2'!$AJ105=BP$4,'Inputs Yr 2'!$AK105,IF('Inputs Yr 2'!$AL105=BP$4,'Inputs Yr 2'!$AM105,IF('Inputs Yr 2'!$AN105=BP$4,'Inputs Yr 2'!$AO105,0))))*(INDEX(avoidedcosttbl2,$H105,BP$2)+(($H105-ROUNDDOWN($H105,0))*(INDEX(avoidedcosttbl2,ROUNDUP($H105,0),BP$2)-(INDEX(avoidedcosttbl2,ROUNDDOWN($H105,0),BP$2)))))*'Inputs Yr 2'!P105*'Inputs Yr 2'!Q105*'Inputs Yr 2'!U105,"")</f>
        <v>0</v>
      </c>
      <c r="BQ105" s="230">
        <f t="shared" si="68"/>
        <v>1200368.0733185743</v>
      </c>
      <c r="BR105" s="197">
        <f t="shared" si="52"/>
        <v>18572.390196260651</v>
      </c>
      <c r="BS105" s="197">
        <f>IFERROR(($G105*IF('Inputs Yr 2'!$AJ105=BM$4,'Inputs Yr 2'!$AK105,IF('Inputs Yr 2'!$AL105=BM$4,'Inputs Yr 2'!$AM105,IF('Inputs Yr 2'!$AN105=BM$4,'Inputs Yr 2'!$AO105,0))))*(INDEX(avoidedcosttbl2,$H105,BS$2)+(($H105-ROUNDDOWN($H105,0))*(INDEX(avoidedcosttbl2,ROUNDUP($H105,0),BS$2)-(INDEX(avoidedcosttbl2,ROUNDDOWN($H105,0),BS$2)))))*'Inputs Yr 2'!P105*'Inputs Yr 2'!Q105*'Inputs Yr 2'!U105,"")</f>
        <v>0</v>
      </c>
      <c r="BT105" s="197">
        <f>IFERROR(($G105*IF('Inputs Yr 2'!$AJ105=BK$4,'Inputs Yr 2'!$AK105,IF('Inputs Yr 2'!$AL105=BK$4,'Inputs Yr 2'!$AM105,IF('Inputs Yr 2'!$AN105=BK$4,'Inputs Yr 2'!$AO105,0))))*(INDEX(avoidedcosttbl2,$H105,BT$2)+(($H105-ROUNDDOWN($H105,0))*(INDEX(avoidedcosttbl2,ROUNDUP($H105,0),BT$2)-(INDEX(avoidedcosttbl2,ROUNDDOWN($H105,0),BT$2)))))*'Inputs Yr 2'!P105*'Inputs Yr 2'!Q105*'Inputs Yr 2'!U105,"")</f>
        <v>0</v>
      </c>
      <c r="BU105" s="197">
        <f>IFERROR(($G105*IF('Inputs Yr 2'!$AJ105=BL$4,'Inputs Yr 2'!$AK105,IF('Inputs Yr 2'!$AL105=BL$4,'Inputs Yr 2'!$AM105,IF('Inputs Yr 2'!$AN105=BL$4,'Inputs Yr 2'!$AO105,0))))*(INDEX(avoidedcosttbl2,$H105,BU$2)+(($H105-ROUNDDOWN($H105,0))*(INDEX(avoidedcosttbl2,ROUNDUP($H105,0),BU$2)-(INDEX(avoidedcosttbl2,ROUNDDOWN($H105,0),BU$2)))))*'Inputs Yr 2'!P105*'Inputs Yr 2'!Q105*'Inputs Yr 2'!U105,"")</f>
        <v>56376.418699602778</v>
      </c>
      <c r="BV105" s="775">
        <f>IFERROR(($G105*IF('Inputs Yr 2'!$AJ105=BJ$4,'Inputs Yr 2'!$AK105,IF('Inputs Yr 2'!$AL105=BJ$4,'Inputs Yr 2'!$AM105,IF('Inputs Yr 2'!$AN105=BJ$4,'Inputs Yr 2'!$AO105,0))))*(INDEX(avoidedcosttbl2,$H105,BV$2)+(($H105-ROUNDDOWN($H105,0))*(INDEX(avoidedcosttbl2,ROUNDUP($H105,0),BV$2)-(INDEX(avoidedcosttbl2,ROUNDDOWN($H105,0),BV$2)))))*'Inputs Yr 2'!P105*'Inputs Yr 2'!Q105*'Inputs Yr 2'!U105,"")</f>
        <v>0</v>
      </c>
      <c r="BW105" s="197">
        <f>IFERROR(($G105*IF('Inputs Yr 2'!$AJ105=BN$4,'Inputs Yr 2'!$AK105,IF('Inputs Yr 2'!$AL105=BN$4,'Inputs Yr 2'!$AM105,IF('Inputs Yr 2'!$AN105=BN$4,'Inputs Yr 2'!$AO105,0))))*(INDEX(avoidedcosttbl2,$H105,BW$2)+(($H105-ROUNDDOWN($H105,0))*(INDEX(avoidedcosttbl2,ROUNDUP($H105,0),BW$2)-(INDEX(avoidedcosttbl2,ROUNDDOWN($H105,0),BW$2)))))*'Inputs Yr 2'!P105*'Inputs Yr 2'!Q105*'Inputs Yr 2'!U105,"")</f>
        <v>0</v>
      </c>
      <c r="BX105" s="197">
        <f>IFERROR(($G105*IF('Inputs Yr 2'!$AJ105=BO$4,'Inputs Yr 2'!$AK105,IF('Inputs Yr 2'!$AL105=BO$4,'Inputs Yr 2'!$AM105,IF('Inputs Yr 2'!$AN105=BO$4,'Inputs Yr 2'!$AO105,0))))*(INDEX(avoidedcosttbl2,$H105,BX$2)+(($H105-ROUNDDOWN($H105,0))*(INDEX(avoidedcosttbl2,ROUNDUP($H105,0),BX$2)-(INDEX(avoidedcosttbl2,ROUNDDOWN($H105,0),BX$2)))))*'Inputs Yr 2'!P105*'Inputs Yr 2'!Q105*'Inputs Yr 2'!U105,"")</f>
        <v>0</v>
      </c>
      <c r="BY105" s="197">
        <f>IFERROR(($G105*IF('Inputs Yr 2'!$AJ105=BP$4,'Inputs Yr 2'!$AK105,IF('Inputs Yr 2'!$AL105=BP$4,'Inputs Yr 2'!$AM105,IF('Inputs Yr 2'!$AN105=BP$4,'Inputs Yr 2'!$AO105,0))))*(INDEX(avoidedcosttbl2,$H105,BY$2)+(($H105-ROUNDDOWN($H105,0))*(INDEX(avoidedcosttbl2,ROUNDUP($H105,0),BY$2)-(INDEX(avoidedcosttbl2,ROUNDDOWN($H105,0),BY$2)))))*'Inputs Yr 2'!P105*'Inputs Yr 2'!Q105*'Inputs Yr 2'!U105,"")</f>
        <v>0</v>
      </c>
      <c r="BZ105" s="193">
        <f t="shared" si="69"/>
        <v>74948.808895863433</v>
      </c>
      <c r="CA105" s="193">
        <f t="shared" si="70"/>
        <v>1275316.8822144377</v>
      </c>
      <c r="CB105" s="195">
        <f>IFERROR(G105*(IF('Inputs Yr 2'!$AJ105=CB$4,'Inputs Yr 2'!$AK105,IF('Inputs Yr 2'!$AL105=CB$4,'Inputs Yr 2'!$AM105,IF('Inputs Yr 2'!$AN105=CB$4,'Inputs Yr 2'!$AO105,0))))*(INDEX(avoidedcosttbl2,$H105,CB$2)+(($H105-ROUNDDOWN($H105,0))*(INDEX(avoidedcosttbl2,ROUNDUP($H105,0),CB$2)-(INDEX(avoidedcosttbl2,ROUNDDOWN($H105,0),CB$2)))))*'Inputs Yr 2'!P105*'Inputs Yr 2'!Q105*'Inputs Yr 2'!U105,"")</f>
        <v>0</v>
      </c>
      <c r="CC105" s="195">
        <f>IFERROR(H105*(IF('Inputs Yr 2'!$AJ105=CC$4,'Inputs Yr 2'!$AK105,IF('Inputs Yr 2'!$AL105=CC$4,'Inputs Yr 2'!$AM105,IF('Inputs Yr 2'!$AN105=CC$4,'Inputs Yr 2'!$AO105,0))))*(INDEX(avoidedcosttbl2,$H105,CC$2)+(($H105-ROUNDDOWN($H105,0))*(INDEX(avoidedcosttbl2,ROUNDUP($H105,0),CC$2)-(INDEX(avoidedcosttbl2,ROUNDDOWN($H105,0),CC$2)))))*'Inputs Yr 2'!Q105*'Inputs Yr 2'!R105*'Inputs Yr 2'!V105,"")</f>
        <v>0</v>
      </c>
      <c r="CD105" s="195">
        <f>IFERROR(I105*(IF('Inputs Yr 2'!$AJ105=CD$4,'Inputs Yr 2'!$AK105,IF('Inputs Yr 2'!$AL105=CD$4,'Inputs Yr 2'!$AM105,IF('Inputs Yr 2'!$AN105=CD$4,'Inputs Yr 2'!$AO105,0))))*(INDEX(avoidedcosttbl2,$H105,CD$2)+(($H105-ROUNDDOWN($H105,0))*(INDEX(avoidedcosttbl2,ROUNDUP($H105,0),CD$2)-(INDEX(avoidedcosttbl2,ROUNDDOWN($H105,0),CD$2)))))*'Inputs Yr 2'!R105*'Inputs Yr 2'!S105*'Inputs Yr 2'!W105,"")</f>
        <v>0</v>
      </c>
      <c r="CE105" s="213">
        <f t="shared" si="71"/>
        <v>0</v>
      </c>
      <c r="CF105" s="213">
        <f t="shared" si="72"/>
        <v>0</v>
      </c>
      <c r="CG105" s="213">
        <f t="shared" si="73"/>
        <v>0</v>
      </c>
      <c r="CH105" s="698">
        <f t="shared" si="74"/>
        <v>1275316.8822144377</v>
      </c>
      <c r="CI105" s="79">
        <f>IFERROR(($G105*'Inputs Yr 2'!$P105*'Inputs Yr 2'!$Q105*(((INDEX(avoidedcosttbl2,$H105,CI$2)+(($H105-ROUNDDOWN($H105,0))*(INDEX(avoidedcosttbl2,ROUNDUP($H105,0),CI$2)-INDEX(avoidedcosttbl2,ROUNDDOWN($H105,0),CI$2))))*'Inputs Yr 2'!AS105))),"")</f>
        <v>2124610.3263189816</v>
      </c>
      <c r="CJ105" s="504">
        <f>IFERROR($G105*'Inputs Yr 2'!AT105*'Inputs Yr 2'!$P105*'Inputs Yr 2'!$Q105/((1+realdiscrt1)^-0.5),"")</f>
        <v>0</v>
      </c>
      <c r="CK105" s="79">
        <f>IFERROR((O105*1000*(((INDEX(avoidedcosttbl2,$H105,CK$2)+(($H105-ROUNDDOWN($H105,0))*(INDEX(avoidedcosttbl2,ROUNDUP($H105,0),CK$2)-INDEX(avoidedcosttbl2,ROUNDDOWN($H105,0),CK$2))))*'Inputs Yr 2'!AU105))),"")</f>
        <v>0</v>
      </c>
      <c r="CL105" s="504">
        <f>IFERROR(O105*1000*'Inputs Yr 2'!AV105/((1+realdiscrt1)^-0.5),"")</f>
        <v>0</v>
      </c>
      <c r="CM105" s="79">
        <f>IFERROR((AB105*'Inputs Yr 2'!AW105*(((INDEX(avoidedcosttbl2,$H105,CM$2)+(($H105-ROUNDDOWN($H105,0))*(INDEX(avoidedcosttbl2,ROUNDUP($H105,0),CM$2)-INDEX(avoidedcosttbl2,ROUNDDOWN($H105,0),CM$2)))))))*10,"")</f>
        <v>172391.32755216752</v>
      </c>
      <c r="CN105" s="504">
        <f>IFERROR(10*AB105*'Inputs Yr 2'!AX105/((1+realdiscrt1)^-0.5),"")</f>
        <v>5275.1752276152611</v>
      </c>
      <c r="CO105" s="505">
        <f t="shared" si="75"/>
        <v>2302276.8290987643</v>
      </c>
      <c r="CP105" s="230">
        <f t="shared" si="76"/>
        <v>3577593.711313202</v>
      </c>
      <c r="CQ105" s="199">
        <f>ROUND(IFERROR(IF(LEFT($A105,1)="C",'Avoided Costs'!$K$13,'Avoided Costs'!$K$12)+1,""),4)</f>
        <v>1.0720000000000001</v>
      </c>
      <c r="CR105" s="199">
        <f>ROUND(IFERROR(IF(LEFT($A105,1)="C",'Avoided Costs'!$L$13,'Avoided Costs'!$L$12)+1,""),4)</f>
        <v>1.04</v>
      </c>
      <c r="CS105" s="199">
        <f>ROUND(IFERROR(IF(LEFT($A105,1)="C",'Avoided Costs'!$M$13,'Avoided Costs'!$M$12)+1,""),4)</f>
        <v>1.0720000000000001</v>
      </c>
      <c r="CT105" s="199">
        <f>ROUND(IFERROR(IF(LEFT($A105,1)="C",'Avoided Costs'!$N$13,'Avoided Costs'!$N$12)+1,""),4)</f>
        <v>1.04</v>
      </c>
      <c r="CU105" s="199">
        <f>ROUND(IFERROR(IF(LEFT($A105,1)="C",'Avoided Costs'!$O$13,'Avoided Costs'!$O$12)+1,""),4)</f>
        <v>1.1120000000000001</v>
      </c>
      <c r="CV105" s="199">
        <f>ROUND(IFERROR(IF(LEFT($A105,1)="C",'Avoided Costs'!$P$13,'Avoided Costs'!$P$12)+1,""),4)</f>
        <v>1.095</v>
      </c>
      <c r="CW105" s="199">
        <f>ROUND(IFERROR(IF(LEFT($A105,1)="C",'Avoided Costs'!$Q$13,'Avoided Costs'!$Q$12)+1,""),4)</f>
        <v>1.1120000000000001</v>
      </c>
      <c r="CX105" s="200">
        <f>ROUND(IFERROR(IF(LEFT($A105,1)="C",'Avoided Costs'!$R$13,'Avoided Costs'!$R$12)+1,""),4)</f>
        <v>1.1120000000000001</v>
      </c>
    </row>
    <row r="106" spans="1:102" ht="12.75" customHeight="1">
      <c r="A106" s="91" t="str">
        <f>IF('Inputs Yr 2'!$B106=0,"",'Inputs Yr 2'!A106)</f>
        <v>B - Low Income</v>
      </c>
      <c r="B106" s="91" t="str">
        <f>IF('Inputs Yr 2'!$B106=0,"",'Inputs Yr 2'!B106)</f>
        <v>B1 - Low-Income Whole House</v>
      </c>
      <c r="C106" s="91" t="str">
        <f>IF('Inputs Yr 2'!$B106=0,"",'Inputs Yr 2'!C106)</f>
        <v>B1a - Low-Income Single Family Retrofit</v>
      </c>
      <c r="D106" s="91" t="str">
        <f>IF('Inputs Yr 2'!$B106=0,"",'Inputs Yr 2'!E106)</f>
        <v>Furnace Retrofit, Gas</v>
      </c>
      <c r="E106" s="93" t="str">
        <f>IF('Inputs Yr 2'!$B106=0,"",'Inputs Yr 2'!F106)</f>
        <v>G16B1a06</v>
      </c>
      <c r="F106" s="93" t="str">
        <f>IF('Inputs Yr 2'!$B106=0,"",'Inputs Yr 2'!G106)</f>
        <v>HVAC</v>
      </c>
      <c r="G106" s="95">
        <f>IF('Inputs Yr 2'!$H106&lt;&gt;0,('Inputs Yr 2'!H106),"")</f>
        <v>153</v>
      </c>
      <c r="H106" s="94">
        <f>IFERROR('Inputs Yr 2'!I106,"")</f>
        <v>18</v>
      </c>
      <c r="I106" s="298">
        <f>IFERROR('Inputs Yr 2'!J106*'Inputs Yr 2'!P106*G106,"")</f>
        <v>608791.59000000008</v>
      </c>
      <c r="J106" s="298">
        <f>IFERROR('Inputs Yr 2'!K106*G106,"")</f>
        <v>608791.59000000008</v>
      </c>
      <c r="K106" s="298">
        <f t="shared" si="53"/>
        <v>0</v>
      </c>
      <c r="L106" s="194">
        <f>IFERROR(('Inputs Yr 2'!W106*G106)/1000,"")</f>
        <v>26.315999999999999</v>
      </c>
      <c r="M106" s="194">
        <f>IFERROR(L106*('Inputs Yr 2'!$Q106*'Inputs Yr 2'!$V106*'Inputs Yr 2'!$R106),"")</f>
        <v>26.315999999999999</v>
      </c>
      <c r="N106" s="194">
        <f t="shared" si="54"/>
        <v>473.68799999999999</v>
      </c>
      <c r="O106" s="194">
        <f>IFERROR(M106*'Inputs Yr 2'!P106,"")</f>
        <v>26.315999999999999</v>
      </c>
      <c r="P106" s="194">
        <f t="shared" si="55"/>
        <v>473.68799999999999</v>
      </c>
      <c r="Q106" s="194">
        <f>IFERROR($P106*'Inputs Yr 2'!AA106,"")</f>
        <v>179.106676841959</v>
      </c>
      <c r="R106" s="194">
        <f>IFERROR($P106*'Inputs Yr 2'!AB106,"")</f>
        <v>291.44451452976858</v>
      </c>
      <c r="S106" s="194">
        <f>IFERROR($P106*'Inputs Yr 2'!AC106,"")</f>
        <v>0.82431358581153313</v>
      </c>
      <c r="T106" s="194">
        <f>IFERROR($P106*'Inputs Yr 2'!AD106,"")</f>
        <v>2.3124950424611739</v>
      </c>
      <c r="U106" s="194">
        <f>IFERROR(G106*'Inputs Yr 2'!$AE106*'Inputs Yr 2'!$P106*'Inputs Yr 2'!$Q106,"")</f>
        <v>13.77</v>
      </c>
      <c r="V106" s="194">
        <f>IFERROR($G106*'Inputs Yr 2'!$AE106*'Inputs Yr 2'!$AG106*'Inputs Yr 2'!Q106*'Inputs Yr 2'!$S106,"")</f>
        <v>13.77</v>
      </c>
      <c r="W106" s="194">
        <f>IFERROR($G106*'Inputs Yr 2'!$AE106*'Inputs Yr 2'!$AG106*'Inputs Yr 2'!P106*'Inputs Yr 2'!Q106*'Inputs Yr 2'!$S106,"")</f>
        <v>13.77</v>
      </c>
      <c r="X106" s="194">
        <f>IFERROR($G106*'Inputs Yr 2'!$AE106*'Inputs Yr 2'!$AF106*'Inputs Yr 2'!Q106*'Inputs Yr 2'!$T106,"")</f>
        <v>0</v>
      </c>
      <c r="Y106" s="194">
        <f>IFERROR($G106*'Inputs Yr 2'!$AE106*'Inputs Yr 2'!$AF106*'Inputs Yr 2'!P106*'Inputs Yr 2'!Q106*'Inputs Yr 2'!$T106,"")</f>
        <v>0</v>
      </c>
      <c r="Z106" s="257">
        <f>IFERROR($G106*'Inputs Yr 2'!$Q106*'Inputs Yr 2'!$U106*(IF(IFERROR(SEARCH("NG", 'Inputs Yr 2'!$AJ106),0),'Inputs Yr 2'!$AK106,0)+IF(IFERROR(SEARCH("NG", 'Inputs Yr 2'!$AL106),0),'Inputs Yr 2'!$AM106,0)+IF(IFERROR(SEARCH("NG", 'Inputs Yr 2'!$AN106),0),'Inputs Yr 2'!$AO106,0)),0)</f>
        <v>3167.1</v>
      </c>
      <c r="AA106" s="257">
        <f t="shared" si="56"/>
        <v>57007.799999999996</v>
      </c>
      <c r="AB106" s="257">
        <f>IFERROR(Z106*'Inputs Yr 2'!$P106,0)</f>
        <v>3167.1</v>
      </c>
      <c r="AC106" s="257">
        <f t="shared" si="57"/>
        <v>57007.799999999996</v>
      </c>
      <c r="AD106" s="257">
        <f>IFERROR($G106*'Inputs Yr 2'!$Q106*'Inputs Yr 2'!$U106*(IF(IFERROR(SEARCH("Oil", 'Inputs Yr 2'!$AJ106), 0),'Inputs Yr 2'!$AK106,0)+IF(IFERROR(SEARCH("Oil", 'Inputs Yr 2'!$AL106), 0),'Inputs Yr 2'!$AM106,0)+IF(IFERROR(SEARCH("Oil", 'Inputs Yr 2'!$AN106), 0),'Inputs Yr 2'!$AO106,0)),0)</f>
        <v>0</v>
      </c>
      <c r="AE106" s="257">
        <f t="shared" si="58"/>
        <v>0</v>
      </c>
      <c r="AF106" s="257">
        <f>IFERROR(AD106*'Inputs Yr 2'!$P106,0)</f>
        <v>0</v>
      </c>
      <c r="AG106" s="257">
        <f t="shared" si="59"/>
        <v>0</v>
      </c>
      <c r="AH106" s="257">
        <f>IFERROR($G106*'Inputs Yr 2'!$Q106*'Inputs Yr 2'!$U106*(IF('Inputs Yr 2'!$AJ106=CD$4,'Inputs Yr 2'!$AK106,IF('Inputs Yr 2'!$AL106=CD$4,'Inputs Yr 2'!$AM106,IF('Inputs Yr 2'!$AN106=CD$4,'Inputs Yr 2'!$AO106,0)))),0)</f>
        <v>0</v>
      </c>
      <c r="AI106" s="257">
        <f t="shared" si="60"/>
        <v>0</v>
      </c>
      <c r="AJ106" s="257">
        <f>IFERROR(AH106*'Inputs Yr 2'!$P106,0)</f>
        <v>0</v>
      </c>
      <c r="AK106" s="257">
        <f t="shared" si="61"/>
        <v>0</v>
      </c>
      <c r="AL106" s="258">
        <f>IFERROR($G106*'Inputs Yr 2'!$P106*'Inputs Yr 2'!$Q106*'Inputs Yr 2'!AP106,0)</f>
        <v>0</v>
      </c>
      <c r="AM106" s="260">
        <f>IFERROR($G106*'Inputs Yr 2'!$P106*'Inputs Yr 2'!$Q106*'Inputs Yr 2'!AQ106,0)</f>
        <v>0</v>
      </c>
      <c r="AN106" s="258">
        <f>IFERROR($G106*'Inputs Yr 2'!$P106*'Inputs Yr 2'!$Q106*'Inputs Yr 2'!AR106,0)</f>
        <v>0</v>
      </c>
      <c r="AO106" s="257">
        <f t="shared" si="62"/>
        <v>0</v>
      </c>
      <c r="AP106" s="195">
        <f>IFERROR($CQ106*(INDEX(avoidedcosttbl2,$H106,AP$2)+(($H106-ROUNDDOWN($H106,0))*(INDEX(avoidedcosttbl2,ROUNDUP($H106,0),AP$2)-(INDEX(avoidedcosttbl2,ROUNDDOWN($H106,0),AP$2)))))*$O106*1000*'Inputs Yr 2'!AA106,"")</f>
        <v>15832.88498289766</v>
      </c>
      <c r="AQ106" s="195">
        <f>IFERROR($CR106*(INDEX(avoidedcosttbl2,$H106,AQ$2)+(($H106-ROUNDDOWN($H106,0))*(INDEX(avoidedcosttbl2,ROUNDUP($H106,0),AQ$2)-(INDEX(avoidedcosttbl2,ROUNDDOWN($H106,0),AQ$2)))))*$O106*1000*'Inputs Yr 2'!AB106,"")</f>
        <v>23004.583379772383</v>
      </c>
      <c r="AR106" s="195">
        <f>IFERROR($CS106*(INDEX(avoidedcosttbl2,$H106,AR$2)+(($H106-ROUNDDOWN($H106,0))*(INDEX(avoidedcosttbl2,ROUNDUP($H106,0),AR$2)-(INDEX(avoidedcosttbl2,ROUNDDOWN($H106,0),AR$2)))))*$O106*1000*'Inputs Yr 2'!AC106,"")</f>
        <v>73.243042946430933</v>
      </c>
      <c r="AS106" s="195">
        <f>IFERROR($CT106*(INDEX(avoidedcosttbl2,$H106,AS$2)+(($H106-ROUNDDOWN($H106,0))*(INDEX(avoidedcosttbl2,ROUNDUP($H106,0),AS$2)-(INDEX(avoidedcosttbl2,ROUNDDOWN($H106,0),AS$2)))))*$O106*1000*'Inputs Yr 2'!AD106,"")</f>
        <v>157.70898291117339</v>
      </c>
      <c r="AT106" s="196">
        <f t="shared" si="63"/>
        <v>39068.420388527644</v>
      </c>
      <c r="AU106" s="197">
        <f>IFERROR($CQ106*((INDEX(avoidedcosttbl2,$H106,AU$2))+(($H106-ROUNDDOWN($H106,0))*((INDEX(avoidedcosttbl2,ROUNDUP($H106,0),AU$2))-(INDEX(avoidedcosttbl2,ROUNDDOWN($H106,0),AU$2)))))*$O106*1000*'Inputs Yr 2'!AA106,"")</f>
        <v>324.62748297406017</v>
      </c>
      <c r="AV106" s="197">
        <f>IFERROR($CR106*((INDEX(avoidedcosttbl2,$H106,AV$2))+(($H106-ROUNDDOWN($H106,0))*((INDEX(avoidedcosttbl2,ROUNDUP($H106,0),AV$2))-(INDEX(avoidedcosttbl2,ROUNDDOWN($H106,0),AV$2)))))*$O106*1000*'Inputs Yr 2'!AB106,"")</f>
        <v>254.13678171475797</v>
      </c>
      <c r="AW106" s="197">
        <f>IFERROR($CS106*((INDEX(avoidedcosttbl2,$H106,AW$2))+(($H106-ROUNDDOWN($H106,0))*((INDEX(avoidedcosttbl2,ROUNDUP($H106,0),AW$2))-(INDEX(avoidedcosttbl2,ROUNDDOWN($H106,0),AW$2)))))*$O106*1000*'Inputs Yr 2'!AC106,"")</f>
        <v>1.7641899606051623</v>
      </c>
      <c r="AX106" s="197">
        <f>IFERROR($CT106*((INDEX(avoidedcosttbl2,$H106,AX$2))+(($H106-ROUNDDOWN($H106,0))*((INDEX(avoidedcosttbl2,ROUNDUP($H106,0),AX$2))-(INDEX(avoidedcosttbl2,ROUNDDOWN($H106,0),AX$2)))))*$O106*1000*'Inputs Yr 2'!AD106,"")</f>
        <v>1.6237987193346572</v>
      </c>
      <c r="AY106" s="197">
        <f>IFERROR(((INDEX(avoidedcosttbl2,$H106,AY$2))+(($H106-ROUNDDOWN($H106,0))*((INDEX(avoidedcosttbl2,ROUNDUP($H106,0),AY$2))-(INDEX(avoidedcosttbl2,ROUNDDOWN($H106,0),AY$2)))))*$O106*1000*('Inputs Yr 2'!AC106+'Inputs Yr 2'!AD106),"")</f>
        <v>8.8153310581991544</v>
      </c>
      <c r="AZ106" s="197">
        <f>IFERROR(((INDEX(avoidedcosttbl2,$H106,AZ$2))+(($H106-ROUNDDOWN($H106,0))*((INDEX(avoidedcosttbl2,ROUNDUP($H106,0),AZ$2))-(INDEX(avoidedcosttbl2,ROUNDDOWN($H106,0),AZ$2)))))*$O106*1000*('Inputs Yr 2'!AA106+'Inputs Yr 2'!AB106),"")</f>
        <v>1829.0349565255656</v>
      </c>
      <c r="BA106" s="198">
        <f t="shared" si="64"/>
        <v>2420.0025409525224</v>
      </c>
      <c r="BB106" s="198">
        <f t="shared" si="65"/>
        <v>41488.422929480163</v>
      </c>
      <c r="BC106" s="195">
        <f t="shared" si="47"/>
        <v>0</v>
      </c>
      <c r="BD106" s="195">
        <f t="shared" si="48"/>
        <v>0</v>
      </c>
      <c r="BE106" s="195">
        <f t="shared" si="49"/>
        <v>0</v>
      </c>
      <c r="BF106" s="195">
        <f t="shared" si="50"/>
        <v>0</v>
      </c>
      <c r="BG106" s="195">
        <f t="shared" si="51"/>
        <v>0</v>
      </c>
      <c r="BH106" s="196">
        <f t="shared" si="66"/>
        <v>0</v>
      </c>
      <c r="BI106" s="196">
        <f t="shared" si="67"/>
        <v>41488.422929480163</v>
      </c>
      <c r="BJ106" s="195">
        <f>IFERROR($G106*(IF('Inputs Yr 2'!$AJ106=BJ$4,'Inputs Yr 2'!$AK106,IF('Inputs Yr 2'!$AL106=BJ$4,'Inputs Yr 2'!$AM106,IF('Inputs Yr 2'!$AN106=BJ$4,'Inputs Yr 2'!$AO106,0))))*(INDEX(avoidedcosttbl2,$H106,BJ$2)+(($H106-ROUNDDOWN($H106,0))*(INDEX(avoidedcosttbl2,ROUNDUP($H106,0),BJ$2)-(INDEX(avoidedcosttbl2,ROUNDDOWN($H106,0),BJ$2)))))*'Inputs Yr 2'!P106*'Inputs Yr 2'!Q106*'Inputs Yr 2'!U106,"")</f>
        <v>0</v>
      </c>
      <c r="BK106" s="195">
        <f>IFERROR($G106*(IF('Inputs Yr 2'!$AJ106=BK$4,'Inputs Yr 2'!$AK106,IF('Inputs Yr 2'!$AL106=BK$4,'Inputs Yr 2'!$AM106,IF('Inputs Yr 2'!$AN106=BK$4,'Inputs Yr 2'!$AO106,0))))*(INDEX(avoidedcosttbl2,$H106,BK$2)+(($H106-ROUNDDOWN($H106,0))*(INDEX(avoidedcosttbl2,ROUNDUP($H106,0),BK$2)-(INDEX(avoidedcosttbl2,ROUNDDOWN($H106,0),BK$2)))))*'Inputs Yr 2'!P106*'Inputs Yr 2'!Q106*'Inputs Yr 2'!U106,"")</f>
        <v>0</v>
      </c>
      <c r="BL106" s="195">
        <f>IFERROR($G106*(IF('Inputs Yr 2'!$AJ106=BL$4,'Inputs Yr 2'!$AK106,IF('Inputs Yr 2'!$AL106=BL$4,'Inputs Yr 2'!$AM106,IF('Inputs Yr 2'!$AN106=BL$4,'Inputs Yr 2'!$AO106,0))))*(INDEX(avoidedcosttbl2,$H106,BL$2)+(($H106-ROUNDDOWN($H106,0))*(INDEX(avoidedcosttbl2,ROUNDUP($H106,0),BL$2)-(INDEX(avoidedcosttbl2,ROUNDDOWN($H106,0),BL$2)))))*'Inputs Yr 2'!P106*'Inputs Yr 2'!Q106*'Inputs Yr 2'!U106,"")</f>
        <v>488723.90086101886</v>
      </c>
      <c r="BM106" s="195">
        <f>IFERROR($G106*(IF('Inputs Yr 2'!$AJ106=BM$4,'Inputs Yr 2'!$AK106,IF('Inputs Yr 2'!$AL106=BM$4,'Inputs Yr 2'!$AM106,IF('Inputs Yr 2'!$AN106=BM$4,'Inputs Yr 2'!$AO106,0))))*(INDEX(avoidedcosttbl2,$H106,BM$2)+(($H106-ROUNDDOWN($H106,0))*(INDEX(avoidedcosttbl2,ROUNDUP($H106,0),BM$2)-(INDEX(avoidedcosttbl2,ROUNDDOWN($H106,0),BM$2)))))*'Inputs Yr 2'!P106*'Inputs Yr 2'!Q106*'Inputs Yr 2'!U106,"")</f>
        <v>0</v>
      </c>
      <c r="BN106" s="195">
        <f>IFERROR($G106*(IF('Inputs Yr 2'!$AJ106=BN$4,'Inputs Yr 2'!$AK106,IF('Inputs Yr 2'!$AL106=BN$4,'Inputs Yr 2'!$AM106,IF('Inputs Yr 2'!$AN106=BN$4,'Inputs Yr 2'!$AO106,0))))*(INDEX(avoidedcosttbl2,$H106,BN$2)+(($H106-ROUNDDOWN($H106,0))*(INDEX(avoidedcosttbl2,ROUNDUP($H106,0),BN$2)-(INDEX(avoidedcosttbl2,ROUNDDOWN($H106,0),BN$2)))))*'Inputs Yr 2'!P106*'Inputs Yr 2'!Q106*'Inputs Yr 2'!U106,"")</f>
        <v>0</v>
      </c>
      <c r="BO106" s="195">
        <f>IFERROR($G106*(IF('Inputs Yr 2'!$AJ106=BO$4,'Inputs Yr 2'!$AK106,IF('Inputs Yr 2'!$AL106=BO$4,'Inputs Yr 2'!$AM106,IF('Inputs Yr 2'!$AN106=BO$4,'Inputs Yr 2'!$AO106,0))))*(INDEX(avoidedcosttbl2,$H106,BO$2)+(($H106-ROUNDDOWN($H106,0))*(INDEX(avoidedcosttbl2,ROUNDUP($H106,0),BO$2)-(INDEX(avoidedcosttbl2,ROUNDDOWN($H106,0),BO$2)))))*'Inputs Yr 2'!P106*'Inputs Yr 2'!Q106*'Inputs Yr 2'!U106,"")</f>
        <v>0</v>
      </c>
      <c r="BP106" s="195">
        <f>IFERROR($G106*(IF('Inputs Yr 2'!$AJ106=BP$4,'Inputs Yr 2'!$AK106,IF('Inputs Yr 2'!$AL106=BP$4,'Inputs Yr 2'!$AM106,IF('Inputs Yr 2'!$AN106=BP$4,'Inputs Yr 2'!$AO106,0))))*(INDEX(avoidedcosttbl2,$H106,BP$2)+(($H106-ROUNDDOWN($H106,0))*(INDEX(avoidedcosttbl2,ROUNDUP($H106,0),BP$2)-(INDEX(avoidedcosttbl2,ROUNDDOWN($H106,0),BP$2)))))*'Inputs Yr 2'!P106*'Inputs Yr 2'!Q106*'Inputs Yr 2'!U106,"")</f>
        <v>0</v>
      </c>
      <c r="BQ106" s="230">
        <f t="shared" si="68"/>
        <v>488723.90086101886</v>
      </c>
      <c r="BR106" s="197">
        <f t="shared" si="52"/>
        <v>7676.837322770104</v>
      </c>
      <c r="BS106" s="197">
        <f>IFERROR(($G106*IF('Inputs Yr 2'!$AJ106=BM$4,'Inputs Yr 2'!$AK106,IF('Inputs Yr 2'!$AL106=BM$4,'Inputs Yr 2'!$AM106,IF('Inputs Yr 2'!$AN106=BM$4,'Inputs Yr 2'!$AO106,0))))*(INDEX(avoidedcosttbl2,$H106,BS$2)+(($H106-ROUNDDOWN($H106,0))*(INDEX(avoidedcosttbl2,ROUNDUP($H106,0),BS$2)-(INDEX(avoidedcosttbl2,ROUNDDOWN($H106,0),BS$2)))))*'Inputs Yr 2'!P106*'Inputs Yr 2'!Q106*'Inputs Yr 2'!U106,"")</f>
        <v>0</v>
      </c>
      <c r="BT106" s="197">
        <f>IFERROR(($G106*IF('Inputs Yr 2'!$AJ106=BK$4,'Inputs Yr 2'!$AK106,IF('Inputs Yr 2'!$AL106=BK$4,'Inputs Yr 2'!$AM106,IF('Inputs Yr 2'!$AN106=BK$4,'Inputs Yr 2'!$AO106,0))))*(INDEX(avoidedcosttbl2,$H106,BT$2)+(($H106-ROUNDDOWN($H106,0))*(INDEX(avoidedcosttbl2,ROUNDUP($H106,0),BT$2)-(INDEX(avoidedcosttbl2,ROUNDDOWN($H106,0),BT$2)))))*'Inputs Yr 2'!P106*'Inputs Yr 2'!Q106*'Inputs Yr 2'!U106,"")</f>
        <v>0</v>
      </c>
      <c r="BU106" s="197">
        <f>IFERROR(($G106*IF('Inputs Yr 2'!$AJ106=BL$4,'Inputs Yr 2'!$AK106,IF('Inputs Yr 2'!$AL106=BL$4,'Inputs Yr 2'!$AM106,IF('Inputs Yr 2'!$AN106=BL$4,'Inputs Yr 2'!$AO106,0))))*(INDEX(avoidedcosttbl2,$H106,BU$2)+(($H106-ROUNDDOWN($H106,0))*(INDEX(avoidedcosttbl2,ROUNDUP($H106,0),BU$2)-(INDEX(avoidedcosttbl2,ROUNDDOWN($H106,0),BU$2)))))*'Inputs Yr 2'!P106*'Inputs Yr 2'!Q106*'Inputs Yr 2'!U106,"")</f>
        <v>25279.665523733678</v>
      </c>
      <c r="BV106" s="775">
        <f>IFERROR(($G106*IF('Inputs Yr 2'!$AJ106=BJ$4,'Inputs Yr 2'!$AK106,IF('Inputs Yr 2'!$AL106=BJ$4,'Inputs Yr 2'!$AM106,IF('Inputs Yr 2'!$AN106=BJ$4,'Inputs Yr 2'!$AO106,0))))*(INDEX(avoidedcosttbl2,$H106,BV$2)+(($H106-ROUNDDOWN($H106,0))*(INDEX(avoidedcosttbl2,ROUNDUP($H106,0),BV$2)-(INDEX(avoidedcosttbl2,ROUNDDOWN($H106,0),BV$2)))))*'Inputs Yr 2'!P106*'Inputs Yr 2'!Q106*'Inputs Yr 2'!U106,"")</f>
        <v>0</v>
      </c>
      <c r="BW106" s="197">
        <f>IFERROR(($G106*IF('Inputs Yr 2'!$AJ106=BN$4,'Inputs Yr 2'!$AK106,IF('Inputs Yr 2'!$AL106=BN$4,'Inputs Yr 2'!$AM106,IF('Inputs Yr 2'!$AN106=BN$4,'Inputs Yr 2'!$AO106,0))))*(INDEX(avoidedcosttbl2,$H106,BW$2)+(($H106-ROUNDDOWN($H106,0))*(INDEX(avoidedcosttbl2,ROUNDUP($H106,0),BW$2)-(INDEX(avoidedcosttbl2,ROUNDDOWN($H106,0),BW$2)))))*'Inputs Yr 2'!P106*'Inputs Yr 2'!Q106*'Inputs Yr 2'!U106,"")</f>
        <v>0</v>
      </c>
      <c r="BX106" s="197">
        <f>IFERROR(($G106*IF('Inputs Yr 2'!$AJ106=BO$4,'Inputs Yr 2'!$AK106,IF('Inputs Yr 2'!$AL106=BO$4,'Inputs Yr 2'!$AM106,IF('Inputs Yr 2'!$AN106=BO$4,'Inputs Yr 2'!$AO106,0))))*(INDEX(avoidedcosttbl2,$H106,BX$2)+(($H106-ROUNDDOWN($H106,0))*(INDEX(avoidedcosttbl2,ROUNDUP($H106,0),BX$2)-(INDEX(avoidedcosttbl2,ROUNDDOWN($H106,0),BX$2)))))*'Inputs Yr 2'!P106*'Inputs Yr 2'!Q106*'Inputs Yr 2'!U106,"")</f>
        <v>0</v>
      </c>
      <c r="BY106" s="197">
        <f>IFERROR(($G106*IF('Inputs Yr 2'!$AJ106=BP$4,'Inputs Yr 2'!$AK106,IF('Inputs Yr 2'!$AL106=BP$4,'Inputs Yr 2'!$AM106,IF('Inputs Yr 2'!$AN106=BP$4,'Inputs Yr 2'!$AO106,0))))*(INDEX(avoidedcosttbl2,$H106,BY$2)+(($H106-ROUNDDOWN($H106,0))*(INDEX(avoidedcosttbl2,ROUNDUP($H106,0),BY$2)-(INDEX(avoidedcosttbl2,ROUNDDOWN($H106,0),BY$2)))))*'Inputs Yr 2'!P106*'Inputs Yr 2'!Q106*'Inputs Yr 2'!U106,"")</f>
        <v>0</v>
      </c>
      <c r="BZ106" s="193">
        <f t="shared" si="69"/>
        <v>32956.502846503783</v>
      </c>
      <c r="CA106" s="193">
        <f t="shared" si="70"/>
        <v>521680.40370752267</v>
      </c>
      <c r="CB106" s="195">
        <f>IFERROR(G106*(IF('Inputs Yr 2'!$AJ106=CB$4,'Inputs Yr 2'!$AK106,IF('Inputs Yr 2'!$AL106=CB$4,'Inputs Yr 2'!$AM106,IF('Inputs Yr 2'!$AN106=CB$4,'Inputs Yr 2'!$AO106,0))))*(INDEX(avoidedcosttbl2,$H106,CB$2)+(($H106-ROUNDDOWN($H106,0))*(INDEX(avoidedcosttbl2,ROUNDUP($H106,0),CB$2)-(INDEX(avoidedcosttbl2,ROUNDDOWN($H106,0),CB$2)))))*'Inputs Yr 2'!P106*'Inputs Yr 2'!Q106*'Inputs Yr 2'!U106,"")</f>
        <v>0</v>
      </c>
      <c r="CC106" s="195">
        <f>IFERROR(H106*(IF('Inputs Yr 2'!$AJ106=CC$4,'Inputs Yr 2'!$AK106,IF('Inputs Yr 2'!$AL106=CC$4,'Inputs Yr 2'!$AM106,IF('Inputs Yr 2'!$AN106=CC$4,'Inputs Yr 2'!$AO106,0))))*(INDEX(avoidedcosttbl2,$H106,CC$2)+(($H106-ROUNDDOWN($H106,0))*(INDEX(avoidedcosttbl2,ROUNDUP($H106,0),CC$2)-(INDEX(avoidedcosttbl2,ROUNDDOWN($H106,0),CC$2)))))*'Inputs Yr 2'!Q106*'Inputs Yr 2'!R106*'Inputs Yr 2'!V106,"")</f>
        <v>0</v>
      </c>
      <c r="CD106" s="195">
        <f>IFERROR(I106*(IF('Inputs Yr 2'!$AJ106=CD$4,'Inputs Yr 2'!$AK106,IF('Inputs Yr 2'!$AL106=CD$4,'Inputs Yr 2'!$AM106,IF('Inputs Yr 2'!$AN106=CD$4,'Inputs Yr 2'!$AO106,0))))*(INDEX(avoidedcosttbl2,$H106,CD$2)+(($H106-ROUNDDOWN($H106,0))*(INDEX(avoidedcosttbl2,ROUNDUP($H106,0),CD$2)-(INDEX(avoidedcosttbl2,ROUNDDOWN($H106,0),CD$2)))))*'Inputs Yr 2'!R106*'Inputs Yr 2'!S106*'Inputs Yr 2'!W106,"")</f>
        <v>0</v>
      </c>
      <c r="CE106" s="213">
        <f t="shared" si="71"/>
        <v>0</v>
      </c>
      <c r="CF106" s="213">
        <f t="shared" si="72"/>
        <v>0</v>
      </c>
      <c r="CG106" s="213">
        <f t="shared" si="73"/>
        <v>0</v>
      </c>
      <c r="CH106" s="698">
        <f t="shared" si="74"/>
        <v>521680.40370752267</v>
      </c>
      <c r="CI106" s="79">
        <f>IFERROR(($G106*'Inputs Yr 2'!$P106*'Inputs Yr 2'!$Q106*(((INDEX(avoidedcosttbl2,$H106,CI$2)+(($H106-ROUNDDOWN($H106,0))*(INDEX(avoidedcosttbl2,ROUNDUP($H106,0),CI$2)-INDEX(avoidedcosttbl2,ROUNDDOWN($H106,0),CI$2))))*'Inputs Yr 2'!AS106))),"")</f>
        <v>823048.08877521078</v>
      </c>
      <c r="CJ106" s="504">
        <f>IFERROR($G106*'Inputs Yr 2'!AT106*'Inputs Yr 2'!$P106*'Inputs Yr 2'!$Q106/((1+realdiscrt1)^-0.5),"")</f>
        <v>0</v>
      </c>
      <c r="CK106" s="79">
        <f>IFERROR((O106*1000*(((INDEX(avoidedcosttbl2,$H106,CK$2)+(($H106-ROUNDDOWN($H106,0))*(INDEX(avoidedcosttbl2,ROUNDUP($H106,0),CK$2)-INDEX(avoidedcosttbl2,ROUNDDOWN($H106,0),CK$2))))*'Inputs Yr 2'!AU106))),"")</f>
        <v>0</v>
      </c>
      <c r="CL106" s="504">
        <f>IFERROR(O106*1000*'Inputs Yr 2'!AV106/((1+realdiscrt1)^-0.5),"")</f>
        <v>0</v>
      </c>
      <c r="CM106" s="79">
        <f>IFERROR((AB106*'Inputs Yr 2'!AW106*(((INDEX(avoidedcosttbl2,$H106,CM$2)+(($H106-ROUNDDOWN($H106,0))*(INDEX(avoidedcosttbl2,ROUNDUP($H106,0),CM$2)-INDEX(avoidedcosttbl2,ROUNDDOWN($H106,0),CM$2)))))))*10,"")</f>
        <v>71257.396785731049</v>
      </c>
      <c r="CN106" s="504">
        <f>IFERROR(10*AB106*'Inputs Yr 2'!AX106/((1+realdiscrt1)^-0.5),"")</f>
        <v>2412.2855790493941</v>
      </c>
      <c r="CO106" s="505">
        <f t="shared" si="75"/>
        <v>896717.77113999124</v>
      </c>
      <c r="CP106" s="230">
        <f t="shared" si="76"/>
        <v>1459886.5977769941</v>
      </c>
      <c r="CQ106" s="199">
        <f>ROUND(IFERROR(IF(LEFT($A106,1)="C",'Avoided Costs'!$K$13,'Avoided Costs'!$K$12)+1,""),4)</f>
        <v>1.0720000000000001</v>
      </c>
      <c r="CR106" s="199">
        <f>ROUND(IFERROR(IF(LEFT($A106,1)="C",'Avoided Costs'!$L$13,'Avoided Costs'!$L$12)+1,""),4)</f>
        <v>1.04</v>
      </c>
      <c r="CS106" s="199">
        <f>ROUND(IFERROR(IF(LEFT($A106,1)="C",'Avoided Costs'!$M$13,'Avoided Costs'!$M$12)+1,""),4)</f>
        <v>1.0720000000000001</v>
      </c>
      <c r="CT106" s="199">
        <f>ROUND(IFERROR(IF(LEFT($A106,1)="C",'Avoided Costs'!$N$13,'Avoided Costs'!$N$12)+1,""),4)</f>
        <v>1.04</v>
      </c>
      <c r="CU106" s="199">
        <f>ROUND(IFERROR(IF(LEFT($A106,1)="C",'Avoided Costs'!$O$13,'Avoided Costs'!$O$12)+1,""),4)</f>
        <v>1.1120000000000001</v>
      </c>
      <c r="CV106" s="199">
        <f>ROUND(IFERROR(IF(LEFT($A106,1)="C",'Avoided Costs'!$P$13,'Avoided Costs'!$P$12)+1,""),4)</f>
        <v>1.095</v>
      </c>
      <c r="CW106" s="199">
        <f>ROUND(IFERROR(IF(LEFT($A106,1)="C",'Avoided Costs'!$Q$13,'Avoided Costs'!$Q$12)+1,""),4)</f>
        <v>1.1120000000000001</v>
      </c>
      <c r="CX106" s="200">
        <f>ROUND(IFERROR(IF(LEFT($A106,1)="C",'Avoided Costs'!$R$13,'Avoided Costs'!$R$12)+1,""),4)</f>
        <v>1.1120000000000001</v>
      </c>
    </row>
    <row r="107" spans="1:102" ht="12.75" customHeight="1">
      <c r="A107" s="91" t="str">
        <f>IF('Inputs Yr 2'!$B107=0,"",'Inputs Yr 2'!A107)</f>
        <v>B - Low Income</v>
      </c>
      <c r="B107" s="91" t="str">
        <f>IF('Inputs Yr 2'!$B107=0,"",'Inputs Yr 2'!B107)</f>
        <v>B1 - Low-Income Whole House</v>
      </c>
      <c r="C107" s="91" t="str">
        <f>IF('Inputs Yr 2'!$B107=0,"",'Inputs Yr 2'!C107)</f>
        <v>B1a - Low-Income Single Family Retrofit</v>
      </c>
      <c r="D107" s="91" t="str">
        <f>IF('Inputs Yr 2'!$B107=0,"",'Inputs Yr 2'!E107)</f>
        <v>Duct Seal, Gas</v>
      </c>
      <c r="E107" s="93" t="str">
        <f>IF('Inputs Yr 2'!$B107=0,"",'Inputs Yr 2'!F107)</f>
        <v>G16B1a07</v>
      </c>
      <c r="F107" s="93" t="str">
        <f>IF('Inputs Yr 2'!$B107=0,"",'Inputs Yr 2'!G107)</f>
        <v>HVAC</v>
      </c>
      <c r="G107" s="95" t="str">
        <f>IF('Inputs Yr 2'!$H107&lt;&gt;0,('Inputs Yr 2'!H107),"")</f>
        <v/>
      </c>
      <c r="H107" s="94">
        <f>IFERROR('Inputs Yr 2'!I107,"")</f>
        <v>0</v>
      </c>
      <c r="I107" s="298" t="str">
        <f>IFERROR('Inputs Yr 2'!J107*'Inputs Yr 2'!P107*G107,"")</f>
        <v/>
      </c>
      <c r="J107" s="298" t="str">
        <f>IFERROR('Inputs Yr 2'!K107*G107,"")</f>
        <v/>
      </c>
      <c r="K107" s="298" t="str">
        <f t="shared" si="53"/>
        <v/>
      </c>
      <c r="L107" s="194" t="str">
        <f>IFERROR(('Inputs Yr 2'!W107*G107)/1000,"")</f>
        <v/>
      </c>
      <c r="M107" s="194" t="str">
        <f>IFERROR(L107*('Inputs Yr 2'!$Q107*'Inputs Yr 2'!$V107*'Inputs Yr 2'!$R107),"")</f>
        <v/>
      </c>
      <c r="N107" s="194" t="str">
        <f t="shared" si="54"/>
        <v/>
      </c>
      <c r="O107" s="194" t="str">
        <f>IFERROR(M107*'Inputs Yr 2'!P107,"")</f>
        <v/>
      </c>
      <c r="P107" s="194" t="str">
        <f t="shared" si="55"/>
        <v/>
      </c>
      <c r="Q107" s="194" t="str">
        <f>IFERROR($P107*'Inputs Yr 2'!AA107,"")</f>
        <v/>
      </c>
      <c r="R107" s="194" t="str">
        <f>IFERROR($P107*'Inputs Yr 2'!AB107,"")</f>
        <v/>
      </c>
      <c r="S107" s="194" t="str">
        <f>IFERROR($P107*'Inputs Yr 2'!AC107,"")</f>
        <v/>
      </c>
      <c r="T107" s="194" t="str">
        <f>IFERROR($P107*'Inputs Yr 2'!AD107,"")</f>
        <v/>
      </c>
      <c r="U107" s="194" t="str">
        <f>IFERROR(G107*'Inputs Yr 2'!$AE107*'Inputs Yr 2'!$P107*'Inputs Yr 2'!$Q107,"")</f>
        <v/>
      </c>
      <c r="V107" s="194" t="str">
        <f>IFERROR($G107*'Inputs Yr 2'!$AE107*'Inputs Yr 2'!$AG107*'Inputs Yr 2'!Q107*'Inputs Yr 2'!$S107,"")</f>
        <v/>
      </c>
      <c r="W107" s="194" t="str">
        <f>IFERROR($G107*'Inputs Yr 2'!$AE107*'Inputs Yr 2'!$AG107*'Inputs Yr 2'!P107*'Inputs Yr 2'!Q107*'Inputs Yr 2'!$S107,"")</f>
        <v/>
      </c>
      <c r="X107" s="194" t="str">
        <f>IFERROR($G107*'Inputs Yr 2'!$AE107*'Inputs Yr 2'!$AF107*'Inputs Yr 2'!Q107*'Inputs Yr 2'!$T107,"")</f>
        <v/>
      </c>
      <c r="Y107" s="194" t="str">
        <f>IFERROR($G107*'Inputs Yr 2'!$AE107*'Inputs Yr 2'!$AF107*'Inputs Yr 2'!P107*'Inputs Yr 2'!Q107*'Inputs Yr 2'!$T107,"")</f>
        <v/>
      </c>
      <c r="Z107" s="257">
        <f>IFERROR($G107*'Inputs Yr 2'!$Q107*'Inputs Yr 2'!$U107*(IF(IFERROR(SEARCH("NG", 'Inputs Yr 2'!$AJ107),0),'Inputs Yr 2'!$AK107,0)+IF(IFERROR(SEARCH("NG", 'Inputs Yr 2'!$AL107),0),'Inputs Yr 2'!$AM107,0)+IF(IFERROR(SEARCH("NG", 'Inputs Yr 2'!$AN107),0),'Inputs Yr 2'!$AO107,0)),0)</f>
        <v>0</v>
      </c>
      <c r="AA107" s="257">
        <f t="shared" si="56"/>
        <v>0</v>
      </c>
      <c r="AB107" s="257">
        <f>IFERROR(Z107*'Inputs Yr 2'!$P107,0)</f>
        <v>0</v>
      </c>
      <c r="AC107" s="257">
        <f t="shared" si="57"/>
        <v>0</v>
      </c>
      <c r="AD107" s="257">
        <f>IFERROR($G107*'Inputs Yr 2'!$Q107*'Inputs Yr 2'!$U107*(IF(IFERROR(SEARCH("Oil", 'Inputs Yr 2'!$AJ107), 0),'Inputs Yr 2'!$AK107,0)+IF(IFERROR(SEARCH("Oil", 'Inputs Yr 2'!$AL107), 0),'Inputs Yr 2'!$AM107,0)+IF(IFERROR(SEARCH("Oil", 'Inputs Yr 2'!$AN107), 0),'Inputs Yr 2'!$AO107,0)),0)</f>
        <v>0</v>
      </c>
      <c r="AE107" s="257">
        <f t="shared" si="58"/>
        <v>0</v>
      </c>
      <c r="AF107" s="257">
        <f>IFERROR(AD107*'Inputs Yr 2'!$P107,0)</f>
        <v>0</v>
      </c>
      <c r="AG107" s="257">
        <f t="shared" si="59"/>
        <v>0</v>
      </c>
      <c r="AH107" s="257">
        <f>IFERROR($G107*'Inputs Yr 2'!$Q107*'Inputs Yr 2'!$U107*(IF('Inputs Yr 2'!$AJ107=CD$4,'Inputs Yr 2'!$AK107,IF('Inputs Yr 2'!$AL107=CD$4,'Inputs Yr 2'!$AM107,IF('Inputs Yr 2'!$AN107=CD$4,'Inputs Yr 2'!$AO107,0)))),0)</f>
        <v>0</v>
      </c>
      <c r="AI107" s="257">
        <f t="shared" si="60"/>
        <v>0</v>
      </c>
      <c r="AJ107" s="257">
        <f>IFERROR(AH107*'Inputs Yr 2'!$P107,0)</f>
        <v>0</v>
      </c>
      <c r="AK107" s="257">
        <f t="shared" si="61"/>
        <v>0</v>
      </c>
      <c r="AL107" s="258">
        <f>IFERROR($G107*'Inputs Yr 2'!$P107*'Inputs Yr 2'!$Q107*'Inputs Yr 2'!AP107,0)</f>
        <v>0</v>
      </c>
      <c r="AM107" s="260">
        <f>IFERROR($G107*'Inputs Yr 2'!$P107*'Inputs Yr 2'!$Q107*'Inputs Yr 2'!AQ107,0)</f>
        <v>0</v>
      </c>
      <c r="AN107" s="258">
        <f>IFERROR($G107*'Inputs Yr 2'!$P107*'Inputs Yr 2'!$Q107*'Inputs Yr 2'!AR107,0)</f>
        <v>0</v>
      </c>
      <c r="AO107" s="257">
        <f t="shared" si="62"/>
        <v>0</v>
      </c>
      <c r="AP107" s="195" t="str">
        <f>IFERROR($CQ107*(INDEX(avoidedcosttbl2,$H107,AP$2)+(($H107-ROUNDDOWN($H107,0))*(INDEX(avoidedcosttbl2,ROUNDUP($H107,0),AP$2)-(INDEX(avoidedcosttbl2,ROUNDDOWN($H107,0),AP$2)))))*$O107*1000*'Inputs Yr 2'!AA107,"")</f>
        <v/>
      </c>
      <c r="AQ107" s="195" t="str">
        <f>IFERROR($CR107*(INDEX(avoidedcosttbl2,$H107,AQ$2)+(($H107-ROUNDDOWN($H107,0))*(INDEX(avoidedcosttbl2,ROUNDUP($H107,0),AQ$2)-(INDEX(avoidedcosttbl2,ROUNDDOWN($H107,0),AQ$2)))))*$O107*1000*'Inputs Yr 2'!AB107,"")</f>
        <v/>
      </c>
      <c r="AR107" s="195" t="str">
        <f>IFERROR($CS107*(INDEX(avoidedcosttbl2,$H107,AR$2)+(($H107-ROUNDDOWN($H107,0))*(INDEX(avoidedcosttbl2,ROUNDUP($H107,0),AR$2)-(INDEX(avoidedcosttbl2,ROUNDDOWN($H107,0),AR$2)))))*$O107*1000*'Inputs Yr 2'!AC107,"")</f>
        <v/>
      </c>
      <c r="AS107" s="195" t="str">
        <f>IFERROR($CT107*(INDEX(avoidedcosttbl2,$H107,AS$2)+(($H107-ROUNDDOWN($H107,0))*(INDEX(avoidedcosttbl2,ROUNDUP($H107,0),AS$2)-(INDEX(avoidedcosttbl2,ROUNDDOWN($H107,0),AS$2)))))*$O107*1000*'Inputs Yr 2'!AD107,"")</f>
        <v/>
      </c>
      <c r="AT107" s="196">
        <f t="shared" si="63"/>
        <v>0</v>
      </c>
      <c r="AU107" s="197" t="str">
        <f>IFERROR($CQ107*((INDEX(avoidedcosttbl2,$H107,AU$2))+(($H107-ROUNDDOWN($H107,0))*((INDEX(avoidedcosttbl2,ROUNDUP($H107,0),AU$2))-(INDEX(avoidedcosttbl2,ROUNDDOWN($H107,0),AU$2)))))*$O107*1000*'Inputs Yr 2'!AA107,"")</f>
        <v/>
      </c>
      <c r="AV107" s="197" t="str">
        <f>IFERROR($CR107*((INDEX(avoidedcosttbl2,$H107,AV$2))+(($H107-ROUNDDOWN($H107,0))*((INDEX(avoidedcosttbl2,ROUNDUP($H107,0),AV$2))-(INDEX(avoidedcosttbl2,ROUNDDOWN($H107,0),AV$2)))))*$O107*1000*'Inputs Yr 2'!AB107,"")</f>
        <v/>
      </c>
      <c r="AW107" s="197" t="str">
        <f>IFERROR($CS107*((INDEX(avoidedcosttbl2,$H107,AW$2))+(($H107-ROUNDDOWN($H107,0))*((INDEX(avoidedcosttbl2,ROUNDUP($H107,0),AW$2))-(INDEX(avoidedcosttbl2,ROUNDDOWN($H107,0),AW$2)))))*$O107*1000*'Inputs Yr 2'!AC107,"")</f>
        <v/>
      </c>
      <c r="AX107" s="197" t="str">
        <f>IFERROR($CT107*((INDEX(avoidedcosttbl2,$H107,AX$2))+(($H107-ROUNDDOWN($H107,0))*((INDEX(avoidedcosttbl2,ROUNDUP($H107,0),AX$2))-(INDEX(avoidedcosttbl2,ROUNDDOWN($H107,0),AX$2)))))*$O107*1000*'Inputs Yr 2'!AD107,"")</f>
        <v/>
      </c>
      <c r="AY107" s="197" t="str">
        <f>IFERROR(((INDEX(avoidedcosttbl2,$H107,AY$2))+(($H107-ROUNDDOWN($H107,0))*((INDEX(avoidedcosttbl2,ROUNDUP($H107,0),AY$2))-(INDEX(avoidedcosttbl2,ROUNDDOWN($H107,0),AY$2)))))*$O107*1000*('Inputs Yr 2'!AC107+'Inputs Yr 2'!AD107),"")</f>
        <v/>
      </c>
      <c r="AZ107" s="197" t="str">
        <f>IFERROR(((INDEX(avoidedcosttbl2,$H107,AZ$2))+(($H107-ROUNDDOWN($H107,0))*((INDEX(avoidedcosttbl2,ROUNDUP($H107,0),AZ$2))-(INDEX(avoidedcosttbl2,ROUNDDOWN($H107,0),AZ$2)))))*$O107*1000*('Inputs Yr 2'!AA107+'Inputs Yr 2'!AB107),"")</f>
        <v/>
      </c>
      <c r="BA107" s="198">
        <f t="shared" si="64"/>
        <v>0</v>
      </c>
      <c r="BB107" s="198">
        <f t="shared" si="65"/>
        <v>0</v>
      </c>
      <c r="BC107" s="195" t="str">
        <f t="shared" si="47"/>
        <v/>
      </c>
      <c r="BD107" s="195" t="str">
        <f t="shared" si="48"/>
        <v/>
      </c>
      <c r="BE107" s="195" t="str">
        <f t="shared" si="49"/>
        <v/>
      </c>
      <c r="BF107" s="195" t="str">
        <f t="shared" si="50"/>
        <v/>
      </c>
      <c r="BG107" s="195" t="str">
        <f t="shared" si="51"/>
        <v/>
      </c>
      <c r="BH107" s="196">
        <f t="shared" si="66"/>
        <v>0</v>
      </c>
      <c r="BI107" s="196">
        <f t="shared" si="67"/>
        <v>0</v>
      </c>
      <c r="BJ107" s="195" t="str">
        <f>IFERROR($G107*(IF('Inputs Yr 2'!$AJ107=BJ$4,'Inputs Yr 2'!$AK107,IF('Inputs Yr 2'!$AL107=BJ$4,'Inputs Yr 2'!$AM107,IF('Inputs Yr 2'!$AN107=BJ$4,'Inputs Yr 2'!$AO107,0))))*(INDEX(avoidedcosttbl2,$H107,BJ$2)+(($H107-ROUNDDOWN($H107,0))*(INDEX(avoidedcosttbl2,ROUNDUP($H107,0),BJ$2)-(INDEX(avoidedcosttbl2,ROUNDDOWN($H107,0),BJ$2)))))*'Inputs Yr 2'!P107*'Inputs Yr 2'!Q107*'Inputs Yr 2'!U107,"")</f>
        <v/>
      </c>
      <c r="BK107" s="195" t="str">
        <f>IFERROR($G107*(IF('Inputs Yr 2'!$AJ107=BK$4,'Inputs Yr 2'!$AK107,IF('Inputs Yr 2'!$AL107=BK$4,'Inputs Yr 2'!$AM107,IF('Inputs Yr 2'!$AN107=BK$4,'Inputs Yr 2'!$AO107,0))))*(INDEX(avoidedcosttbl2,$H107,BK$2)+(($H107-ROUNDDOWN($H107,0))*(INDEX(avoidedcosttbl2,ROUNDUP($H107,0),BK$2)-(INDEX(avoidedcosttbl2,ROUNDDOWN($H107,0),BK$2)))))*'Inputs Yr 2'!P107*'Inputs Yr 2'!Q107*'Inputs Yr 2'!U107,"")</f>
        <v/>
      </c>
      <c r="BL107" s="195" t="str">
        <f>IFERROR($G107*(IF('Inputs Yr 2'!$AJ107=BL$4,'Inputs Yr 2'!$AK107,IF('Inputs Yr 2'!$AL107=BL$4,'Inputs Yr 2'!$AM107,IF('Inputs Yr 2'!$AN107=BL$4,'Inputs Yr 2'!$AO107,0))))*(INDEX(avoidedcosttbl2,$H107,BL$2)+(($H107-ROUNDDOWN($H107,0))*(INDEX(avoidedcosttbl2,ROUNDUP($H107,0),BL$2)-(INDEX(avoidedcosttbl2,ROUNDDOWN($H107,0),BL$2)))))*'Inputs Yr 2'!P107*'Inputs Yr 2'!Q107*'Inputs Yr 2'!U107,"")</f>
        <v/>
      </c>
      <c r="BM107" s="195" t="str">
        <f>IFERROR($G107*(IF('Inputs Yr 2'!$AJ107=BM$4,'Inputs Yr 2'!$AK107,IF('Inputs Yr 2'!$AL107=BM$4,'Inputs Yr 2'!$AM107,IF('Inputs Yr 2'!$AN107=BM$4,'Inputs Yr 2'!$AO107,0))))*(INDEX(avoidedcosttbl2,$H107,BM$2)+(($H107-ROUNDDOWN($H107,0))*(INDEX(avoidedcosttbl2,ROUNDUP($H107,0),BM$2)-(INDEX(avoidedcosttbl2,ROUNDDOWN($H107,0),BM$2)))))*'Inputs Yr 2'!P107*'Inputs Yr 2'!Q107*'Inputs Yr 2'!U107,"")</f>
        <v/>
      </c>
      <c r="BN107" s="195" t="str">
        <f>IFERROR($G107*(IF('Inputs Yr 2'!$AJ107=BN$4,'Inputs Yr 2'!$AK107,IF('Inputs Yr 2'!$AL107=BN$4,'Inputs Yr 2'!$AM107,IF('Inputs Yr 2'!$AN107=BN$4,'Inputs Yr 2'!$AO107,0))))*(INDEX(avoidedcosttbl2,$H107,BN$2)+(($H107-ROUNDDOWN($H107,0))*(INDEX(avoidedcosttbl2,ROUNDUP($H107,0),BN$2)-(INDEX(avoidedcosttbl2,ROUNDDOWN($H107,0),BN$2)))))*'Inputs Yr 2'!P107*'Inputs Yr 2'!Q107*'Inputs Yr 2'!U107,"")</f>
        <v/>
      </c>
      <c r="BO107" s="195" t="str">
        <f>IFERROR($G107*(IF('Inputs Yr 2'!$AJ107=BO$4,'Inputs Yr 2'!$AK107,IF('Inputs Yr 2'!$AL107=BO$4,'Inputs Yr 2'!$AM107,IF('Inputs Yr 2'!$AN107=BO$4,'Inputs Yr 2'!$AO107,0))))*(INDEX(avoidedcosttbl2,$H107,BO$2)+(($H107-ROUNDDOWN($H107,0))*(INDEX(avoidedcosttbl2,ROUNDUP($H107,0),BO$2)-(INDEX(avoidedcosttbl2,ROUNDDOWN($H107,0),BO$2)))))*'Inputs Yr 2'!P107*'Inputs Yr 2'!Q107*'Inputs Yr 2'!U107,"")</f>
        <v/>
      </c>
      <c r="BP107" s="195" t="str">
        <f>IFERROR($G107*(IF('Inputs Yr 2'!$AJ107=BP$4,'Inputs Yr 2'!$AK107,IF('Inputs Yr 2'!$AL107=BP$4,'Inputs Yr 2'!$AM107,IF('Inputs Yr 2'!$AN107=BP$4,'Inputs Yr 2'!$AO107,0))))*(INDEX(avoidedcosttbl2,$H107,BP$2)+(($H107-ROUNDDOWN($H107,0))*(INDEX(avoidedcosttbl2,ROUNDUP($H107,0),BP$2)-(INDEX(avoidedcosttbl2,ROUNDDOWN($H107,0),BP$2)))))*'Inputs Yr 2'!P107*'Inputs Yr 2'!Q107*'Inputs Yr 2'!U107,"")</f>
        <v/>
      </c>
      <c r="BQ107" s="230">
        <f t="shared" si="68"/>
        <v>0</v>
      </c>
      <c r="BR107" s="197" t="str">
        <f t="shared" si="52"/>
        <v/>
      </c>
      <c r="BS107" s="197" t="str">
        <f>IFERROR(($G107*IF('Inputs Yr 2'!$AJ107=BM$4,'Inputs Yr 2'!$AK107,IF('Inputs Yr 2'!$AL107=BM$4,'Inputs Yr 2'!$AM107,IF('Inputs Yr 2'!$AN107=BM$4,'Inputs Yr 2'!$AO107,0))))*(INDEX(avoidedcosttbl2,$H107,BS$2)+(($H107-ROUNDDOWN($H107,0))*(INDEX(avoidedcosttbl2,ROUNDUP($H107,0),BS$2)-(INDEX(avoidedcosttbl2,ROUNDDOWN($H107,0),BS$2)))))*'Inputs Yr 2'!P107*'Inputs Yr 2'!Q107*'Inputs Yr 2'!U107,"")</f>
        <v/>
      </c>
      <c r="BT107" s="197" t="str">
        <f>IFERROR(($G107*IF('Inputs Yr 2'!$AJ107=BK$4,'Inputs Yr 2'!$AK107,IF('Inputs Yr 2'!$AL107=BK$4,'Inputs Yr 2'!$AM107,IF('Inputs Yr 2'!$AN107=BK$4,'Inputs Yr 2'!$AO107,0))))*(INDEX(avoidedcosttbl2,$H107,BT$2)+(($H107-ROUNDDOWN($H107,0))*(INDEX(avoidedcosttbl2,ROUNDUP($H107,0),BT$2)-(INDEX(avoidedcosttbl2,ROUNDDOWN($H107,0),BT$2)))))*'Inputs Yr 2'!P107*'Inputs Yr 2'!Q107*'Inputs Yr 2'!U107,"")</f>
        <v/>
      </c>
      <c r="BU107" s="197" t="str">
        <f>IFERROR(($G107*IF('Inputs Yr 2'!$AJ107=BL$4,'Inputs Yr 2'!$AK107,IF('Inputs Yr 2'!$AL107=BL$4,'Inputs Yr 2'!$AM107,IF('Inputs Yr 2'!$AN107=BL$4,'Inputs Yr 2'!$AO107,0))))*(INDEX(avoidedcosttbl2,$H107,BU$2)+(($H107-ROUNDDOWN($H107,0))*(INDEX(avoidedcosttbl2,ROUNDUP($H107,0),BU$2)-(INDEX(avoidedcosttbl2,ROUNDDOWN($H107,0),BU$2)))))*'Inputs Yr 2'!P107*'Inputs Yr 2'!Q107*'Inputs Yr 2'!U107,"")</f>
        <v/>
      </c>
      <c r="BV107" s="775" t="str">
        <f>IFERROR(($G107*IF('Inputs Yr 2'!$AJ107=BJ$4,'Inputs Yr 2'!$AK107,IF('Inputs Yr 2'!$AL107=BJ$4,'Inputs Yr 2'!$AM107,IF('Inputs Yr 2'!$AN107=BJ$4,'Inputs Yr 2'!$AO107,0))))*(INDEX(avoidedcosttbl2,$H107,BV$2)+(($H107-ROUNDDOWN($H107,0))*(INDEX(avoidedcosttbl2,ROUNDUP($H107,0),BV$2)-(INDEX(avoidedcosttbl2,ROUNDDOWN($H107,0),BV$2)))))*'Inputs Yr 2'!P107*'Inputs Yr 2'!Q107*'Inputs Yr 2'!U107,"")</f>
        <v/>
      </c>
      <c r="BW107" s="197" t="str">
        <f>IFERROR(($G107*IF('Inputs Yr 2'!$AJ107=BN$4,'Inputs Yr 2'!$AK107,IF('Inputs Yr 2'!$AL107=BN$4,'Inputs Yr 2'!$AM107,IF('Inputs Yr 2'!$AN107=BN$4,'Inputs Yr 2'!$AO107,0))))*(INDEX(avoidedcosttbl2,$H107,BW$2)+(($H107-ROUNDDOWN($H107,0))*(INDEX(avoidedcosttbl2,ROUNDUP($H107,0),BW$2)-(INDEX(avoidedcosttbl2,ROUNDDOWN($H107,0),BW$2)))))*'Inputs Yr 2'!P107*'Inputs Yr 2'!Q107*'Inputs Yr 2'!U107,"")</f>
        <v/>
      </c>
      <c r="BX107" s="197" t="str">
        <f>IFERROR(($G107*IF('Inputs Yr 2'!$AJ107=BO$4,'Inputs Yr 2'!$AK107,IF('Inputs Yr 2'!$AL107=BO$4,'Inputs Yr 2'!$AM107,IF('Inputs Yr 2'!$AN107=BO$4,'Inputs Yr 2'!$AO107,0))))*(INDEX(avoidedcosttbl2,$H107,BX$2)+(($H107-ROUNDDOWN($H107,0))*(INDEX(avoidedcosttbl2,ROUNDUP($H107,0),BX$2)-(INDEX(avoidedcosttbl2,ROUNDDOWN($H107,0),BX$2)))))*'Inputs Yr 2'!P107*'Inputs Yr 2'!Q107*'Inputs Yr 2'!U107,"")</f>
        <v/>
      </c>
      <c r="BY107" s="197" t="str">
        <f>IFERROR(($G107*IF('Inputs Yr 2'!$AJ107=BP$4,'Inputs Yr 2'!$AK107,IF('Inputs Yr 2'!$AL107=BP$4,'Inputs Yr 2'!$AM107,IF('Inputs Yr 2'!$AN107=BP$4,'Inputs Yr 2'!$AO107,0))))*(INDEX(avoidedcosttbl2,$H107,BY$2)+(($H107-ROUNDDOWN($H107,0))*(INDEX(avoidedcosttbl2,ROUNDUP($H107,0),BY$2)-(INDEX(avoidedcosttbl2,ROUNDDOWN($H107,0),BY$2)))))*'Inputs Yr 2'!P107*'Inputs Yr 2'!Q107*'Inputs Yr 2'!U107,"")</f>
        <v/>
      </c>
      <c r="BZ107" s="193">
        <f t="shared" si="69"/>
        <v>0</v>
      </c>
      <c r="CA107" s="193">
        <f t="shared" si="70"/>
        <v>0</v>
      </c>
      <c r="CB107" s="195" t="str">
        <f>IFERROR(G107*(IF('Inputs Yr 2'!$AJ107=CB$4,'Inputs Yr 2'!$AK107,IF('Inputs Yr 2'!$AL107=CB$4,'Inputs Yr 2'!$AM107,IF('Inputs Yr 2'!$AN107=CB$4,'Inputs Yr 2'!$AO107,0))))*(INDEX(avoidedcosttbl2,$H107,CB$2)+(($H107-ROUNDDOWN($H107,0))*(INDEX(avoidedcosttbl2,ROUNDUP($H107,0),CB$2)-(INDEX(avoidedcosttbl2,ROUNDDOWN($H107,0),CB$2)))))*'Inputs Yr 2'!P107*'Inputs Yr 2'!Q107*'Inputs Yr 2'!U107,"")</f>
        <v/>
      </c>
      <c r="CC107" s="195" t="str">
        <f>IFERROR(H107*(IF('Inputs Yr 2'!$AJ107=CC$4,'Inputs Yr 2'!$AK107,IF('Inputs Yr 2'!$AL107=CC$4,'Inputs Yr 2'!$AM107,IF('Inputs Yr 2'!$AN107=CC$4,'Inputs Yr 2'!$AO107,0))))*(INDEX(avoidedcosttbl2,$H107,CC$2)+(($H107-ROUNDDOWN($H107,0))*(INDEX(avoidedcosttbl2,ROUNDUP($H107,0),CC$2)-(INDEX(avoidedcosttbl2,ROUNDDOWN($H107,0),CC$2)))))*'Inputs Yr 2'!Q107*'Inputs Yr 2'!R107*'Inputs Yr 2'!V107,"")</f>
        <v/>
      </c>
      <c r="CD107" s="195" t="str">
        <f>IFERROR(I107*(IF('Inputs Yr 2'!$AJ107=CD$4,'Inputs Yr 2'!$AK107,IF('Inputs Yr 2'!$AL107=CD$4,'Inputs Yr 2'!$AM107,IF('Inputs Yr 2'!$AN107=CD$4,'Inputs Yr 2'!$AO107,0))))*(INDEX(avoidedcosttbl2,$H107,CD$2)+(($H107-ROUNDDOWN($H107,0))*(INDEX(avoidedcosttbl2,ROUNDUP($H107,0),CD$2)-(INDEX(avoidedcosttbl2,ROUNDDOWN($H107,0),CD$2)))))*'Inputs Yr 2'!R107*'Inputs Yr 2'!S107*'Inputs Yr 2'!W107,"")</f>
        <v/>
      </c>
      <c r="CE107" s="213" t="str">
        <f t="shared" si="71"/>
        <v/>
      </c>
      <c r="CF107" s="213" t="str">
        <f t="shared" si="72"/>
        <v/>
      </c>
      <c r="CG107" s="213" t="str">
        <f t="shared" si="73"/>
        <v/>
      </c>
      <c r="CH107" s="698">
        <f t="shared" si="74"/>
        <v>0</v>
      </c>
      <c r="CI107" s="79" t="str">
        <f>IFERROR(($G107*'Inputs Yr 2'!$P107*'Inputs Yr 2'!$Q107*(((INDEX(avoidedcosttbl2,$H107,CI$2)+(($H107-ROUNDDOWN($H107,0))*(INDEX(avoidedcosttbl2,ROUNDUP($H107,0),CI$2)-INDEX(avoidedcosttbl2,ROUNDDOWN($H107,0),CI$2))))*'Inputs Yr 2'!AS107))),"")</f>
        <v/>
      </c>
      <c r="CJ107" s="504" t="str">
        <f>IFERROR($G107*'Inputs Yr 2'!AT107*'Inputs Yr 2'!$P107*'Inputs Yr 2'!$Q107/((1+realdiscrt1)^-0.5),"")</f>
        <v/>
      </c>
      <c r="CK107" s="79" t="str">
        <f>IFERROR((O107*1000*(((INDEX(avoidedcosttbl2,$H107,CK$2)+(($H107-ROUNDDOWN($H107,0))*(INDEX(avoidedcosttbl2,ROUNDUP($H107,0),CK$2)-INDEX(avoidedcosttbl2,ROUNDDOWN($H107,0),CK$2))))*'Inputs Yr 2'!AU107))),"")</f>
        <v/>
      </c>
      <c r="CL107" s="504" t="str">
        <f>IFERROR(O107*1000*'Inputs Yr 2'!AV107/((1+realdiscrt1)^-0.5),"")</f>
        <v/>
      </c>
      <c r="CM107" s="79" t="str">
        <f>IFERROR((AB107*'Inputs Yr 2'!AW107*(((INDEX(avoidedcosttbl2,$H107,CM$2)+(($H107-ROUNDDOWN($H107,0))*(INDEX(avoidedcosttbl2,ROUNDUP($H107,0),CM$2)-INDEX(avoidedcosttbl2,ROUNDDOWN($H107,0),CM$2)))))))*10,"")</f>
        <v/>
      </c>
      <c r="CN107" s="504">
        <f>IFERROR(10*AB107*'Inputs Yr 2'!AX107/((1+realdiscrt1)^-0.5),"")</f>
        <v>0</v>
      </c>
      <c r="CO107" s="505">
        <f t="shared" si="75"/>
        <v>0</v>
      </c>
      <c r="CP107" s="230">
        <f t="shared" si="76"/>
        <v>0</v>
      </c>
      <c r="CQ107" s="199">
        <f>ROUND(IFERROR(IF(LEFT($A107,1)="C",'Avoided Costs'!$K$13,'Avoided Costs'!$K$12)+1,""),4)</f>
        <v>1.0720000000000001</v>
      </c>
      <c r="CR107" s="199">
        <f>ROUND(IFERROR(IF(LEFT($A107,1)="C",'Avoided Costs'!$L$13,'Avoided Costs'!$L$12)+1,""),4)</f>
        <v>1.04</v>
      </c>
      <c r="CS107" s="199">
        <f>ROUND(IFERROR(IF(LEFT($A107,1)="C",'Avoided Costs'!$M$13,'Avoided Costs'!$M$12)+1,""),4)</f>
        <v>1.0720000000000001</v>
      </c>
      <c r="CT107" s="199">
        <f>ROUND(IFERROR(IF(LEFT($A107,1)="C",'Avoided Costs'!$N$13,'Avoided Costs'!$N$12)+1,""),4)</f>
        <v>1.04</v>
      </c>
      <c r="CU107" s="199">
        <f>ROUND(IFERROR(IF(LEFT($A107,1)="C",'Avoided Costs'!$O$13,'Avoided Costs'!$O$12)+1,""),4)</f>
        <v>1.1120000000000001</v>
      </c>
      <c r="CV107" s="199">
        <f>ROUND(IFERROR(IF(LEFT($A107,1)="C",'Avoided Costs'!$P$13,'Avoided Costs'!$P$12)+1,""),4)</f>
        <v>1.095</v>
      </c>
      <c r="CW107" s="199">
        <f>ROUND(IFERROR(IF(LEFT($A107,1)="C",'Avoided Costs'!$Q$13,'Avoided Costs'!$Q$12)+1,""),4)</f>
        <v>1.1120000000000001</v>
      </c>
      <c r="CX107" s="200">
        <f>ROUND(IFERROR(IF(LEFT($A107,1)="C",'Avoided Costs'!$R$13,'Avoided Costs'!$R$12)+1,""),4)</f>
        <v>1.1120000000000001</v>
      </c>
    </row>
    <row r="108" spans="1:102" ht="12.75" customHeight="1">
      <c r="A108" s="91" t="str">
        <f>IF('Inputs Yr 2'!$B108=0,"",'Inputs Yr 2'!A108)</f>
        <v>B - Low Income</v>
      </c>
      <c r="B108" s="91" t="str">
        <f>IF('Inputs Yr 2'!$B108=0,"",'Inputs Yr 2'!B108)</f>
        <v>B1 - Low-Income Whole House</v>
      </c>
      <c r="C108" s="91" t="str">
        <f>IF('Inputs Yr 2'!$B108=0,"",'Inputs Yr 2'!C108)</f>
        <v>B1a - Low-Income Single Family Retrofit</v>
      </c>
      <c r="D108" s="91" t="str">
        <f>IF('Inputs Yr 2'!$B108=0,"",'Inputs Yr 2'!E108)</f>
        <v>Duct Insulation, Gas</v>
      </c>
      <c r="E108" s="93" t="str">
        <f>IF('Inputs Yr 2'!$B108=0,"",'Inputs Yr 2'!F108)</f>
        <v>G16B1a08</v>
      </c>
      <c r="F108" s="93" t="str">
        <f>IF('Inputs Yr 2'!$B108=0,"",'Inputs Yr 2'!G108)</f>
        <v>HVAC</v>
      </c>
      <c r="G108" s="95" t="str">
        <f>IF('Inputs Yr 2'!$H108&lt;&gt;0,('Inputs Yr 2'!H108),"")</f>
        <v/>
      </c>
      <c r="H108" s="94">
        <f>IFERROR('Inputs Yr 2'!I108,"")</f>
        <v>0</v>
      </c>
      <c r="I108" s="298" t="str">
        <f>IFERROR('Inputs Yr 2'!J108*'Inputs Yr 2'!P108*G108,"")</f>
        <v/>
      </c>
      <c r="J108" s="298" t="str">
        <f>IFERROR('Inputs Yr 2'!K108*G108,"")</f>
        <v/>
      </c>
      <c r="K108" s="298" t="str">
        <f t="shared" si="53"/>
        <v/>
      </c>
      <c r="L108" s="194" t="str">
        <f>IFERROR(('Inputs Yr 2'!W108*G108)/1000,"")</f>
        <v/>
      </c>
      <c r="M108" s="194" t="str">
        <f>IFERROR(L108*('Inputs Yr 2'!$Q108*'Inputs Yr 2'!$V108*'Inputs Yr 2'!$R108),"")</f>
        <v/>
      </c>
      <c r="N108" s="194" t="str">
        <f t="shared" si="54"/>
        <v/>
      </c>
      <c r="O108" s="194" t="str">
        <f>IFERROR(M108*'Inputs Yr 2'!P108,"")</f>
        <v/>
      </c>
      <c r="P108" s="194" t="str">
        <f t="shared" si="55"/>
        <v/>
      </c>
      <c r="Q108" s="194" t="str">
        <f>IFERROR($P108*'Inputs Yr 2'!AA108,"")</f>
        <v/>
      </c>
      <c r="R108" s="194" t="str">
        <f>IFERROR($P108*'Inputs Yr 2'!AB108,"")</f>
        <v/>
      </c>
      <c r="S108" s="194" t="str">
        <f>IFERROR($P108*'Inputs Yr 2'!AC108,"")</f>
        <v/>
      </c>
      <c r="T108" s="194" t="str">
        <f>IFERROR($P108*'Inputs Yr 2'!AD108,"")</f>
        <v/>
      </c>
      <c r="U108" s="194" t="str">
        <f>IFERROR(G108*'Inputs Yr 2'!$AE108*'Inputs Yr 2'!$P108*'Inputs Yr 2'!$Q108,"")</f>
        <v/>
      </c>
      <c r="V108" s="194" t="str">
        <f>IFERROR($G108*'Inputs Yr 2'!$AE108*'Inputs Yr 2'!$AG108*'Inputs Yr 2'!Q108*'Inputs Yr 2'!$S108,"")</f>
        <v/>
      </c>
      <c r="W108" s="194" t="str">
        <f>IFERROR($G108*'Inputs Yr 2'!$AE108*'Inputs Yr 2'!$AG108*'Inputs Yr 2'!P108*'Inputs Yr 2'!Q108*'Inputs Yr 2'!$S108,"")</f>
        <v/>
      </c>
      <c r="X108" s="194" t="str">
        <f>IFERROR($G108*'Inputs Yr 2'!$AE108*'Inputs Yr 2'!$AF108*'Inputs Yr 2'!Q108*'Inputs Yr 2'!$T108,"")</f>
        <v/>
      </c>
      <c r="Y108" s="194" t="str">
        <f>IFERROR($G108*'Inputs Yr 2'!$AE108*'Inputs Yr 2'!$AF108*'Inputs Yr 2'!P108*'Inputs Yr 2'!Q108*'Inputs Yr 2'!$T108,"")</f>
        <v/>
      </c>
      <c r="Z108" s="257">
        <f>IFERROR($G108*'Inputs Yr 2'!$Q108*'Inputs Yr 2'!$U108*(IF(IFERROR(SEARCH("NG", 'Inputs Yr 2'!$AJ108),0),'Inputs Yr 2'!$AK108,0)+IF(IFERROR(SEARCH("NG", 'Inputs Yr 2'!$AL108),0),'Inputs Yr 2'!$AM108,0)+IF(IFERROR(SEARCH("NG", 'Inputs Yr 2'!$AN108),0),'Inputs Yr 2'!$AO108,0)),0)</f>
        <v>0</v>
      </c>
      <c r="AA108" s="257">
        <f t="shared" si="56"/>
        <v>0</v>
      </c>
      <c r="AB108" s="257">
        <f>IFERROR(Z108*'Inputs Yr 2'!$P108,0)</f>
        <v>0</v>
      </c>
      <c r="AC108" s="257">
        <f t="shared" si="57"/>
        <v>0</v>
      </c>
      <c r="AD108" s="257">
        <f>IFERROR($G108*'Inputs Yr 2'!$Q108*'Inputs Yr 2'!$U108*(IF(IFERROR(SEARCH("Oil", 'Inputs Yr 2'!$AJ108), 0),'Inputs Yr 2'!$AK108,0)+IF(IFERROR(SEARCH("Oil", 'Inputs Yr 2'!$AL108), 0),'Inputs Yr 2'!$AM108,0)+IF(IFERROR(SEARCH("Oil", 'Inputs Yr 2'!$AN108), 0),'Inputs Yr 2'!$AO108,0)),0)</f>
        <v>0</v>
      </c>
      <c r="AE108" s="257">
        <f t="shared" si="58"/>
        <v>0</v>
      </c>
      <c r="AF108" s="257">
        <f>IFERROR(AD108*'Inputs Yr 2'!$P108,0)</f>
        <v>0</v>
      </c>
      <c r="AG108" s="257">
        <f t="shared" si="59"/>
        <v>0</v>
      </c>
      <c r="AH108" s="257">
        <f>IFERROR($G108*'Inputs Yr 2'!$Q108*'Inputs Yr 2'!$U108*(IF('Inputs Yr 2'!$AJ108=CD$4,'Inputs Yr 2'!$AK108,IF('Inputs Yr 2'!$AL108=CD$4,'Inputs Yr 2'!$AM108,IF('Inputs Yr 2'!$AN108=CD$4,'Inputs Yr 2'!$AO108,0)))),0)</f>
        <v>0</v>
      </c>
      <c r="AI108" s="257">
        <f t="shared" si="60"/>
        <v>0</v>
      </c>
      <c r="AJ108" s="257">
        <f>IFERROR(AH108*'Inputs Yr 2'!$P108,0)</f>
        <v>0</v>
      </c>
      <c r="AK108" s="257">
        <f t="shared" si="61"/>
        <v>0</v>
      </c>
      <c r="AL108" s="258">
        <f>IFERROR($G108*'Inputs Yr 2'!$P108*'Inputs Yr 2'!$Q108*'Inputs Yr 2'!AP108,0)</f>
        <v>0</v>
      </c>
      <c r="AM108" s="260">
        <f>IFERROR($G108*'Inputs Yr 2'!$P108*'Inputs Yr 2'!$Q108*'Inputs Yr 2'!AQ108,0)</f>
        <v>0</v>
      </c>
      <c r="AN108" s="258">
        <f>IFERROR($G108*'Inputs Yr 2'!$P108*'Inputs Yr 2'!$Q108*'Inputs Yr 2'!AR108,0)</f>
        <v>0</v>
      </c>
      <c r="AO108" s="257">
        <f t="shared" si="62"/>
        <v>0</v>
      </c>
      <c r="AP108" s="195" t="str">
        <f>IFERROR($CQ108*(INDEX(avoidedcosttbl2,$H108,AP$2)+(($H108-ROUNDDOWN($H108,0))*(INDEX(avoidedcosttbl2,ROUNDUP($H108,0),AP$2)-(INDEX(avoidedcosttbl2,ROUNDDOWN($H108,0),AP$2)))))*$O108*1000*'Inputs Yr 2'!AA108,"")</f>
        <v/>
      </c>
      <c r="AQ108" s="195" t="str">
        <f>IFERROR($CR108*(INDEX(avoidedcosttbl2,$H108,AQ$2)+(($H108-ROUNDDOWN($H108,0))*(INDEX(avoidedcosttbl2,ROUNDUP($H108,0),AQ$2)-(INDEX(avoidedcosttbl2,ROUNDDOWN($H108,0),AQ$2)))))*$O108*1000*'Inputs Yr 2'!AB108,"")</f>
        <v/>
      </c>
      <c r="AR108" s="195" t="str">
        <f>IFERROR($CS108*(INDEX(avoidedcosttbl2,$H108,AR$2)+(($H108-ROUNDDOWN($H108,0))*(INDEX(avoidedcosttbl2,ROUNDUP($H108,0),AR$2)-(INDEX(avoidedcosttbl2,ROUNDDOWN($H108,0),AR$2)))))*$O108*1000*'Inputs Yr 2'!AC108,"")</f>
        <v/>
      </c>
      <c r="AS108" s="195" t="str">
        <f>IFERROR($CT108*(INDEX(avoidedcosttbl2,$H108,AS$2)+(($H108-ROUNDDOWN($H108,0))*(INDEX(avoidedcosttbl2,ROUNDUP($H108,0),AS$2)-(INDEX(avoidedcosttbl2,ROUNDDOWN($H108,0),AS$2)))))*$O108*1000*'Inputs Yr 2'!AD108,"")</f>
        <v/>
      </c>
      <c r="AT108" s="196">
        <f t="shared" si="63"/>
        <v>0</v>
      </c>
      <c r="AU108" s="197" t="str">
        <f>IFERROR($CQ108*((INDEX(avoidedcosttbl2,$H108,AU$2))+(($H108-ROUNDDOWN($H108,0))*((INDEX(avoidedcosttbl2,ROUNDUP($H108,0),AU$2))-(INDEX(avoidedcosttbl2,ROUNDDOWN($H108,0),AU$2)))))*$O108*1000*'Inputs Yr 2'!AA108,"")</f>
        <v/>
      </c>
      <c r="AV108" s="197" t="str">
        <f>IFERROR($CR108*((INDEX(avoidedcosttbl2,$H108,AV$2))+(($H108-ROUNDDOWN($H108,0))*((INDEX(avoidedcosttbl2,ROUNDUP($H108,0),AV$2))-(INDEX(avoidedcosttbl2,ROUNDDOWN($H108,0),AV$2)))))*$O108*1000*'Inputs Yr 2'!AB108,"")</f>
        <v/>
      </c>
      <c r="AW108" s="197" t="str">
        <f>IFERROR($CS108*((INDEX(avoidedcosttbl2,$H108,AW$2))+(($H108-ROUNDDOWN($H108,0))*((INDEX(avoidedcosttbl2,ROUNDUP($H108,0),AW$2))-(INDEX(avoidedcosttbl2,ROUNDDOWN($H108,0),AW$2)))))*$O108*1000*'Inputs Yr 2'!AC108,"")</f>
        <v/>
      </c>
      <c r="AX108" s="197" t="str">
        <f>IFERROR($CT108*((INDEX(avoidedcosttbl2,$H108,AX$2))+(($H108-ROUNDDOWN($H108,0))*((INDEX(avoidedcosttbl2,ROUNDUP($H108,0),AX$2))-(INDEX(avoidedcosttbl2,ROUNDDOWN($H108,0),AX$2)))))*$O108*1000*'Inputs Yr 2'!AD108,"")</f>
        <v/>
      </c>
      <c r="AY108" s="197" t="str">
        <f>IFERROR(((INDEX(avoidedcosttbl2,$H108,AY$2))+(($H108-ROUNDDOWN($H108,0))*((INDEX(avoidedcosttbl2,ROUNDUP($H108,0),AY$2))-(INDEX(avoidedcosttbl2,ROUNDDOWN($H108,0),AY$2)))))*$O108*1000*('Inputs Yr 2'!AC108+'Inputs Yr 2'!AD108),"")</f>
        <v/>
      </c>
      <c r="AZ108" s="197" t="str">
        <f>IFERROR(((INDEX(avoidedcosttbl2,$H108,AZ$2))+(($H108-ROUNDDOWN($H108,0))*((INDEX(avoidedcosttbl2,ROUNDUP($H108,0),AZ$2))-(INDEX(avoidedcosttbl2,ROUNDDOWN($H108,0),AZ$2)))))*$O108*1000*('Inputs Yr 2'!AA108+'Inputs Yr 2'!AB108),"")</f>
        <v/>
      </c>
      <c r="BA108" s="198">
        <f t="shared" si="64"/>
        <v>0</v>
      </c>
      <c r="BB108" s="198">
        <f t="shared" si="65"/>
        <v>0</v>
      </c>
      <c r="BC108" s="195" t="str">
        <f t="shared" si="47"/>
        <v/>
      </c>
      <c r="BD108" s="195" t="str">
        <f t="shared" si="48"/>
        <v/>
      </c>
      <c r="BE108" s="195" t="str">
        <f t="shared" si="49"/>
        <v/>
      </c>
      <c r="BF108" s="195" t="str">
        <f t="shared" si="50"/>
        <v/>
      </c>
      <c r="BG108" s="195" t="str">
        <f t="shared" si="51"/>
        <v/>
      </c>
      <c r="BH108" s="196">
        <f t="shared" si="66"/>
        <v>0</v>
      </c>
      <c r="BI108" s="196">
        <f t="shared" si="67"/>
        <v>0</v>
      </c>
      <c r="BJ108" s="195" t="str">
        <f>IFERROR($G108*(IF('Inputs Yr 2'!$AJ108=BJ$4,'Inputs Yr 2'!$AK108,IF('Inputs Yr 2'!$AL108=BJ$4,'Inputs Yr 2'!$AM108,IF('Inputs Yr 2'!$AN108=BJ$4,'Inputs Yr 2'!$AO108,0))))*(INDEX(avoidedcosttbl2,$H108,BJ$2)+(($H108-ROUNDDOWN($H108,0))*(INDEX(avoidedcosttbl2,ROUNDUP($H108,0),BJ$2)-(INDEX(avoidedcosttbl2,ROUNDDOWN($H108,0),BJ$2)))))*'Inputs Yr 2'!P108*'Inputs Yr 2'!Q108*'Inputs Yr 2'!U108,"")</f>
        <v/>
      </c>
      <c r="BK108" s="195" t="str">
        <f>IFERROR($G108*(IF('Inputs Yr 2'!$AJ108=BK$4,'Inputs Yr 2'!$AK108,IF('Inputs Yr 2'!$AL108=BK$4,'Inputs Yr 2'!$AM108,IF('Inputs Yr 2'!$AN108=BK$4,'Inputs Yr 2'!$AO108,0))))*(INDEX(avoidedcosttbl2,$H108,BK$2)+(($H108-ROUNDDOWN($H108,0))*(INDEX(avoidedcosttbl2,ROUNDUP($H108,0),BK$2)-(INDEX(avoidedcosttbl2,ROUNDDOWN($H108,0),BK$2)))))*'Inputs Yr 2'!P108*'Inputs Yr 2'!Q108*'Inputs Yr 2'!U108,"")</f>
        <v/>
      </c>
      <c r="BL108" s="195" t="str">
        <f>IFERROR($G108*(IF('Inputs Yr 2'!$AJ108=BL$4,'Inputs Yr 2'!$AK108,IF('Inputs Yr 2'!$AL108=BL$4,'Inputs Yr 2'!$AM108,IF('Inputs Yr 2'!$AN108=BL$4,'Inputs Yr 2'!$AO108,0))))*(INDEX(avoidedcosttbl2,$H108,BL$2)+(($H108-ROUNDDOWN($H108,0))*(INDEX(avoidedcosttbl2,ROUNDUP($H108,0),BL$2)-(INDEX(avoidedcosttbl2,ROUNDDOWN($H108,0),BL$2)))))*'Inputs Yr 2'!P108*'Inputs Yr 2'!Q108*'Inputs Yr 2'!U108,"")</f>
        <v/>
      </c>
      <c r="BM108" s="195" t="str">
        <f>IFERROR($G108*(IF('Inputs Yr 2'!$AJ108=BM$4,'Inputs Yr 2'!$AK108,IF('Inputs Yr 2'!$AL108=BM$4,'Inputs Yr 2'!$AM108,IF('Inputs Yr 2'!$AN108=BM$4,'Inputs Yr 2'!$AO108,0))))*(INDEX(avoidedcosttbl2,$H108,BM$2)+(($H108-ROUNDDOWN($H108,0))*(INDEX(avoidedcosttbl2,ROUNDUP($H108,0),BM$2)-(INDEX(avoidedcosttbl2,ROUNDDOWN($H108,0),BM$2)))))*'Inputs Yr 2'!P108*'Inputs Yr 2'!Q108*'Inputs Yr 2'!U108,"")</f>
        <v/>
      </c>
      <c r="BN108" s="195" t="str">
        <f>IFERROR($G108*(IF('Inputs Yr 2'!$AJ108=BN$4,'Inputs Yr 2'!$AK108,IF('Inputs Yr 2'!$AL108=BN$4,'Inputs Yr 2'!$AM108,IF('Inputs Yr 2'!$AN108=BN$4,'Inputs Yr 2'!$AO108,0))))*(INDEX(avoidedcosttbl2,$H108,BN$2)+(($H108-ROUNDDOWN($H108,0))*(INDEX(avoidedcosttbl2,ROUNDUP($H108,0),BN$2)-(INDEX(avoidedcosttbl2,ROUNDDOWN($H108,0),BN$2)))))*'Inputs Yr 2'!P108*'Inputs Yr 2'!Q108*'Inputs Yr 2'!U108,"")</f>
        <v/>
      </c>
      <c r="BO108" s="195" t="str">
        <f>IFERROR($G108*(IF('Inputs Yr 2'!$AJ108=BO$4,'Inputs Yr 2'!$AK108,IF('Inputs Yr 2'!$AL108=BO$4,'Inputs Yr 2'!$AM108,IF('Inputs Yr 2'!$AN108=BO$4,'Inputs Yr 2'!$AO108,0))))*(INDEX(avoidedcosttbl2,$H108,BO$2)+(($H108-ROUNDDOWN($H108,0))*(INDEX(avoidedcosttbl2,ROUNDUP($H108,0),BO$2)-(INDEX(avoidedcosttbl2,ROUNDDOWN($H108,0),BO$2)))))*'Inputs Yr 2'!P108*'Inputs Yr 2'!Q108*'Inputs Yr 2'!U108,"")</f>
        <v/>
      </c>
      <c r="BP108" s="195" t="str">
        <f>IFERROR($G108*(IF('Inputs Yr 2'!$AJ108=BP$4,'Inputs Yr 2'!$AK108,IF('Inputs Yr 2'!$AL108=BP$4,'Inputs Yr 2'!$AM108,IF('Inputs Yr 2'!$AN108=BP$4,'Inputs Yr 2'!$AO108,0))))*(INDEX(avoidedcosttbl2,$H108,BP$2)+(($H108-ROUNDDOWN($H108,0))*(INDEX(avoidedcosttbl2,ROUNDUP($H108,0),BP$2)-(INDEX(avoidedcosttbl2,ROUNDDOWN($H108,0),BP$2)))))*'Inputs Yr 2'!P108*'Inputs Yr 2'!Q108*'Inputs Yr 2'!U108,"")</f>
        <v/>
      </c>
      <c r="BQ108" s="230">
        <f t="shared" si="68"/>
        <v>0</v>
      </c>
      <c r="BR108" s="197" t="str">
        <f t="shared" si="52"/>
        <v/>
      </c>
      <c r="BS108" s="197" t="str">
        <f>IFERROR(($G108*IF('Inputs Yr 2'!$AJ108=BM$4,'Inputs Yr 2'!$AK108,IF('Inputs Yr 2'!$AL108=BM$4,'Inputs Yr 2'!$AM108,IF('Inputs Yr 2'!$AN108=BM$4,'Inputs Yr 2'!$AO108,0))))*(INDEX(avoidedcosttbl2,$H108,BS$2)+(($H108-ROUNDDOWN($H108,0))*(INDEX(avoidedcosttbl2,ROUNDUP($H108,0),BS$2)-(INDEX(avoidedcosttbl2,ROUNDDOWN($H108,0),BS$2)))))*'Inputs Yr 2'!P108*'Inputs Yr 2'!Q108*'Inputs Yr 2'!U108,"")</f>
        <v/>
      </c>
      <c r="BT108" s="197" t="str">
        <f>IFERROR(($G108*IF('Inputs Yr 2'!$AJ108=BK$4,'Inputs Yr 2'!$AK108,IF('Inputs Yr 2'!$AL108=BK$4,'Inputs Yr 2'!$AM108,IF('Inputs Yr 2'!$AN108=BK$4,'Inputs Yr 2'!$AO108,0))))*(INDEX(avoidedcosttbl2,$H108,BT$2)+(($H108-ROUNDDOWN($H108,0))*(INDEX(avoidedcosttbl2,ROUNDUP($H108,0),BT$2)-(INDEX(avoidedcosttbl2,ROUNDDOWN($H108,0),BT$2)))))*'Inputs Yr 2'!P108*'Inputs Yr 2'!Q108*'Inputs Yr 2'!U108,"")</f>
        <v/>
      </c>
      <c r="BU108" s="197" t="str">
        <f>IFERROR(($G108*IF('Inputs Yr 2'!$AJ108=BL$4,'Inputs Yr 2'!$AK108,IF('Inputs Yr 2'!$AL108=BL$4,'Inputs Yr 2'!$AM108,IF('Inputs Yr 2'!$AN108=BL$4,'Inputs Yr 2'!$AO108,0))))*(INDEX(avoidedcosttbl2,$H108,BU$2)+(($H108-ROUNDDOWN($H108,0))*(INDEX(avoidedcosttbl2,ROUNDUP($H108,0),BU$2)-(INDEX(avoidedcosttbl2,ROUNDDOWN($H108,0),BU$2)))))*'Inputs Yr 2'!P108*'Inputs Yr 2'!Q108*'Inputs Yr 2'!U108,"")</f>
        <v/>
      </c>
      <c r="BV108" s="775" t="str">
        <f>IFERROR(($G108*IF('Inputs Yr 2'!$AJ108=BJ$4,'Inputs Yr 2'!$AK108,IF('Inputs Yr 2'!$AL108=BJ$4,'Inputs Yr 2'!$AM108,IF('Inputs Yr 2'!$AN108=BJ$4,'Inputs Yr 2'!$AO108,0))))*(INDEX(avoidedcosttbl2,$H108,BV$2)+(($H108-ROUNDDOWN($H108,0))*(INDEX(avoidedcosttbl2,ROUNDUP($H108,0),BV$2)-(INDEX(avoidedcosttbl2,ROUNDDOWN($H108,0),BV$2)))))*'Inputs Yr 2'!P108*'Inputs Yr 2'!Q108*'Inputs Yr 2'!U108,"")</f>
        <v/>
      </c>
      <c r="BW108" s="197" t="str">
        <f>IFERROR(($G108*IF('Inputs Yr 2'!$AJ108=BN$4,'Inputs Yr 2'!$AK108,IF('Inputs Yr 2'!$AL108=BN$4,'Inputs Yr 2'!$AM108,IF('Inputs Yr 2'!$AN108=BN$4,'Inputs Yr 2'!$AO108,0))))*(INDEX(avoidedcosttbl2,$H108,BW$2)+(($H108-ROUNDDOWN($H108,0))*(INDEX(avoidedcosttbl2,ROUNDUP($H108,0),BW$2)-(INDEX(avoidedcosttbl2,ROUNDDOWN($H108,0),BW$2)))))*'Inputs Yr 2'!P108*'Inputs Yr 2'!Q108*'Inputs Yr 2'!U108,"")</f>
        <v/>
      </c>
      <c r="BX108" s="197" t="str">
        <f>IFERROR(($G108*IF('Inputs Yr 2'!$AJ108=BO$4,'Inputs Yr 2'!$AK108,IF('Inputs Yr 2'!$AL108=BO$4,'Inputs Yr 2'!$AM108,IF('Inputs Yr 2'!$AN108=BO$4,'Inputs Yr 2'!$AO108,0))))*(INDEX(avoidedcosttbl2,$H108,BX$2)+(($H108-ROUNDDOWN($H108,0))*(INDEX(avoidedcosttbl2,ROUNDUP($H108,0),BX$2)-(INDEX(avoidedcosttbl2,ROUNDDOWN($H108,0),BX$2)))))*'Inputs Yr 2'!P108*'Inputs Yr 2'!Q108*'Inputs Yr 2'!U108,"")</f>
        <v/>
      </c>
      <c r="BY108" s="197" t="str">
        <f>IFERROR(($G108*IF('Inputs Yr 2'!$AJ108=BP$4,'Inputs Yr 2'!$AK108,IF('Inputs Yr 2'!$AL108=BP$4,'Inputs Yr 2'!$AM108,IF('Inputs Yr 2'!$AN108=BP$4,'Inputs Yr 2'!$AO108,0))))*(INDEX(avoidedcosttbl2,$H108,BY$2)+(($H108-ROUNDDOWN($H108,0))*(INDEX(avoidedcosttbl2,ROUNDUP($H108,0),BY$2)-(INDEX(avoidedcosttbl2,ROUNDDOWN($H108,0),BY$2)))))*'Inputs Yr 2'!P108*'Inputs Yr 2'!Q108*'Inputs Yr 2'!U108,"")</f>
        <v/>
      </c>
      <c r="BZ108" s="193">
        <f t="shared" si="69"/>
        <v>0</v>
      </c>
      <c r="CA108" s="193">
        <f t="shared" si="70"/>
        <v>0</v>
      </c>
      <c r="CB108" s="195" t="str">
        <f>IFERROR(G108*(IF('Inputs Yr 2'!$AJ108=CB$4,'Inputs Yr 2'!$AK108,IF('Inputs Yr 2'!$AL108=CB$4,'Inputs Yr 2'!$AM108,IF('Inputs Yr 2'!$AN108=CB$4,'Inputs Yr 2'!$AO108,0))))*(INDEX(avoidedcosttbl2,$H108,CB$2)+(($H108-ROUNDDOWN($H108,0))*(INDEX(avoidedcosttbl2,ROUNDUP($H108,0),CB$2)-(INDEX(avoidedcosttbl2,ROUNDDOWN($H108,0),CB$2)))))*'Inputs Yr 2'!P108*'Inputs Yr 2'!Q108*'Inputs Yr 2'!U108,"")</f>
        <v/>
      </c>
      <c r="CC108" s="195" t="str">
        <f>IFERROR(H108*(IF('Inputs Yr 2'!$AJ108=CC$4,'Inputs Yr 2'!$AK108,IF('Inputs Yr 2'!$AL108=CC$4,'Inputs Yr 2'!$AM108,IF('Inputs Yr 2'!$AN108=CC$4,'Inputs Yr 2'!$AO108,0))))*(INDEX(avoidedcosttbl2,$H108,CC$2)+(($H108-ROUNDDOWN($H108,0))*(INDEX(avoidedcosttbl2,ROUNDUP($H108,0),CC$2)-(INDEX(avoidedcosttbl2,ROUNDDOWN($H108,0),CC$2)))))*'Inputs Yr 2'!Q108*'Inputs Yr 2'!R108*'Inputs Yr 2'!V108,"")</f>
        <v/>
      </c>
      <c r="CD108" s="195" t="str">
        <f>IFERROR(I108*(IF('Inputs Yr 2'!$AJ108=CD$4,'Inputs Yr 2'!$AK108,IF('Inputs Yr 2'!$AL108=CD$4,'Inputs Yr 2'!$AM108,IF('Inputs Yr 2'!$AN108=CD$4,'Inputs Yr 2'!$AO108,0))))*(INDEX(avoidedcosttbl2,$H108,CD$2)+(($H108-ROUNDDOWN($H108,0))*(INDEX(avoidedcosttbl2,ROUNDUP($H108,0),CD$2)-(INDEX(avoidedcosttbl2,ROUNDDOWN($H108,0),CD$2)))))*'Inputs Yr 2'!R108*'Inputs Yr 2'!S108*'Inputs Yr 2'!W108,"")</f>
        <v/>
      </c>
      <c r="CE108" s="213" t="str">
        <f t="shared" si="71"/>
        <v/>
      </c>
      <c r="CF108" s="213" t="str">
        <f t="shared" si="72"/>
        <v/>
      </c>
      <c r="CG108" s="213" t="str">
        <f t="shared" si="73"/>
        <v/>
      </c>
      <c r="CH108" s="698">
        <f t="shared" si="74"/>
        <v>0</v>
      </c>
      <c r="CI108" s="79" t="str">
        <f>IFERROR(($G108*'Inputs Yr 2'!$P108*'Inputs Yr 2'!$Q108*(((INDEX(avoidedcosttbl2,$H108,CI$2)+(($H108-ROUNDDOWN($H108,0))*(INDEX(avoidedcosttbl2,ROUNDUP($H108,0),CI$2)-INDEX(avoidedcosttbl2,ROUNDDOWN($H108,0),CI$2))))*'Inputs Yr 2'!AS108))),"")</f>
        <v/>
      </c>
      <c r="CJ108" s="504" t="str">
        <f>IFERROR($G108*'Inputs Yr 2'!AT108*'Inputs Yr 2'!$P108*'Inputs Yr 2'!$Q108/((1+realdiscrt1)^-0.5),"")</f>
        <v/>
      </c>
      <c r="CK108" s="79" t="str">
        <f>IFERROR((O108*1000*(((INDEX(avoidedcosttbl2,$H108,CK$2)+(($H108-ROUNDDOWN($H108,0))*(INDEX(avoidedcosttbl2,ROUNDUP($H108,0),CK$2)-INDEX(avoidedcosttbl2,ROUNDDOWN($H108,0),CK$2))))*'Inputs Yr 2'!AU108))),"")</f>
        <v/>
      </c>
      <c r="CL108" s="504" t="str">
        <f>IFERROR(O108*1000*'Inputs Yr 2'!AV108/((1+realdiscrt1)^-0.5),"")</f>
        <v/>
      </c>
      <c r="CM108" s="79" t="str">
        <f>IFERROR((AB108*'Inputs Yr 2'!AW108*(((INDEX(avoidedcosttbl2,$H108,CM$2)+(($H108-ROUNDDOWN($H108,0))*(INDEX(avoidedcosttbl2,ROUNDUP($H108,0),CM$2)-INDEX(avoidedcosttbl2,ROUNDDOWN($H108,0),CM$2)))))))*10,"")</f>
        <v/>
      </c>
      <c r="CN108" s="504">
        <f>IFERROR(10*AB108*'Inputs Yr 2'!AX108/((1+realdiscrt1)^-0.5),"")</f>
        <v>0</v>
      </c>
      <c r="CO108" s="505">
        <f t="shared" si="75"/>
        <v>0</v>
      </c>
      <c r="CP108" s="230">
        <f t="shared" si="76"/>
        <v>0</v>
      </c>
      <c r="CQ108" s="199">
        <f>ROUND(IFERROR(IF(LEFT($A108,1)="C",'Avoided Costs'!$K$13,'Avoided Costs'!$K$12)+1,""),4)</f>
        <v>1.0720000000000001</v>
      </c>
      <c r="CR108" s="199">
        <f>ROUND(IFERROR(IF(LEFT($A108,1)="C",'Avoided Costs'!$L$13,'Avoided Costs'!$L$12)+1,""),4)</f>
        <v>1.04</v>
      </c>
      <c r="CS108" s="199">
        <f>ROUND(IFERROR(IF(LEFT($A108,1)="C",'Avoided Costs'!$M$13,'Avoided Costs'!$M$12)+1,""),4)</f>
        <v>1.0720000000000001</v>
      </c>
      <c r="CT108" s="199">
        <f>ROUND(IFERROR(IF(LEFT($A108,1)="C",'Avoided Costs'!$N$13,'Avoided Costs'!$N$12)+1,""),4)</f>
        <v>1.04</v>
      </c>
      <c r="CU108" s="199">
        <f>ROUND(IFERROR(IF(LEFT($A108,1)="C",'Avoided Costs'!$O$13,'Avoided Costs'!$O$12)+1,""),4)</f>
        <v>1.1120000000000001</v>
      </c>
      <c r="CV108" s="199">
        <f>ROUND(IFERROR(IF(LEFT($A108,1)="C",'Avoided Costs'!$P$13,'Avoided Costs'!$P$12)+1,""),4)</f>
        <v>1.095</v>
      </c>
      <c r="CW108" s="199">
        <f>ROUND(IFERROR(IF(LEFT($A108,1)="C",'Avoided Costs'!$Q$13,'Avoided Costs'!$Q$12)+1,""),4)</f>
        <v>1.1120000000000001</v>
      </c>
      <c r="CX108" s="200">
        <f>ROUND(IFERROR(IF(LEFT($A108,1)="C",'Avoided Costs'!$R$13,'Avoided Costs'!$R$12)+1,""),4)</f>
        <v>1.1120000000000001</v>
      </c>
    </row>
    <row r="109" spans="1:102" ht="12.75" customHeight="1">
      <c r="A109" s="91" t="str">
        <f>IF('Inputs Yr 2'!$B109=0,"",'Inputs Yr 2'!A109)</f>
        <v>B - Low Income</v>
      </c>
      <c r="B109" s="91" t="str">
        <f>IF('Inputs Yr 2'!$B109=0,"",'Inputs Yr 2'!B109)</f>
        <v>B1 - Low-Income Whole House</v>
      </c>
      <c r="C109" s="91" t="str">
        <f>IF('Inputs Yr 2'!$B109=0,"",'Inputs Yr 2'!C109)</f>
        <v>B1a - Low-Income Single Family Retrofit</v>
      </c>
      <c r="D109" s="91" t="str">
        <f>IF('Inputs Yr 2'!$B109=0,"",'Inputs Yr 2'!E109)</f>
        <v>Pipe Wrap (Water Heating), Gas</v>
      </c>
      <c r="E109" s="93" t="str">
        <f>IF('Inputs Yr 2'!$B109=0,"",'Inputs Yr 2'!F109)</f>
        <v>G16B1a09</v>
      </c>
      <c r="F109" s="93" t="str">
        <f>IF('Inputs Yr 2'!$B109=0,"",'Inputs Yr 2'!G109)</f>
        <v>Hot Water</v>
      </c>
      <c r="G109" s="95" t="str">
        <f>IF('Inputs Yr 2'!$H109&lt;&gt;0,('Inputs Yr 2'!H109),"")</f>
        <v/>
      </c>
      <c r="H109" s="94">
        <f>IFERROR('Inputs Yr 2'!I109,"")</f>
        <v>0</v>
      </c>
      <c r="I109" s="298" t="str">
        <f>IFERROR('Inputs Yr 2'!J109*'Inputs Yr 2'!P109*G109,"")</f>
        <v/>
      </c>
      <c r="J109" s="298" t="str">
        <f>IFERROR('Inputs Yr 2'!K109*G109,"")</f>
        <v/>
      </c>
      <c r="K109" s="298" t="str">
        <f t="shared" si="53"/>
        <v/>
      </c>
      <c r="L109" s="194" t="str">
        <f>IFERROR(('Inputs Yr 2'!W109*G109)/1000,"")</f>
        <v/>
      </c>
      <c r="M109" s="194" t="str">
        <f>IFERROR(L109*('Inputs Yr 2'!$Q109*'Inputs Yr 2'!$V109*'Inputs Yr 2'!$R109),"")</f>
        <v/>
      </c>
      <c r="N109" s="194" t="str">
        <f t="shared" si="54"/>
        <v/>
      </c>
      <c r="O109" s="194" t="str">
        <f>IFERROR(M109*'Inputs Yr 2'!P109,"")</f>
        <v/>
      </c>
      <c r="P109" s="194" t="str">
        <f t="shared" si="55"/>
        <v/>
      </c>
      <c r="Q109" s="194" t="str">
        <f>IFERROR($P109*'Inputs Yr 2'!AA109,"")</f>
        <v/>
      </c>
      <c r="R109" s="194" t="str">
        <f>IFERROR($P109*'Inputs Yr 2'!AB109,"")</f>
        <v/>
      </c>
      <c r="S109" s="194" t="str">
        <f>IFERROR($P109*'Inputs Yr 2'!AC109,"")</f>
        <v/>
      </c>
      <c r="T109" s="194" t="str">
        <f>IFERROR($P109*'Inputs Yr 2'!AD109,"")</f>
        <v/>
      </c>
      <c r="U109" s="194" t="str">
        <f>IFERROR(G109*'Inputs Yr 2'!$AE109*'Inputs Yr 2'!$P109*'Inputs Yr 2'!$Q109,"")</f>
        <v/>
      </c>
      <c r="V109" s="194" t="str">
        <f>IFERROR($G109*'Inputs Yr 2'!$AE109*'Inputs Yr 2'!$AG109*'Inputs Yr 2'!Q109*'Inputs Yr 2'!$S109,"")</f>
        <v/>
      </c>
      <c r="W109" s="194" t="str">
        <f>IFERROR($G109*'Inputs Yr 2'!$AE109*'Inputs Yr 2'!$AG109*'Inputs Yr 2'!P109*'Inputs Yr 2'!Q109*'Inputs Yr 2'!$S109,"")</f>
        <v/>
      </c>
      <c r="X109" s="194" t="str">
        <f>IFERROR($G109*'Inputs Yr 2'!$AE109*'Inputs Yr 2'!$AF109*'Inputs Yr 2'!Q109*'Inputs Yr 2'!$T109,"")</f>
        <v/>
      </c>
      <c r="Y109" s="194" t="str">
        <f>IFERROR($G109*'Inputs Yr 2'!$AE109*'Inputs Yr 2'!$AF109*'Inputs Yr 2'!P109*'Inputs Yr 2'!Q109*'Inputs Yr 2'!$T109,"")</f>
        <v/>
      </c>
      <c r="Z109" s="257">
        <f>IFERROR($G109*'Inputs Yr 2'!$Q109*'Inputs Yr 2'!$U109*(IF(IFERROR(SEARCH("NG", 'Inputs Yr 2'!$AJ109),0),'Inputs Yr 2'!$AK109,0)+IF(IFERROR(SEARCH("NG", 'Inputs Yr 2'!$AL109),0),'Inputs Yr 2'!$AM109,0)+IF(IFERROR(SEARCH("NG", 'Inputs Yr 2'!$AN109),0),'Inputs Yr 2'!$AO109,0)),0)</f>
        <v>0</v>
      </c>
      <c r="AA109" s="257">
        <f t="shared" si="56"/>
        <v>0</v>
      </c>
      <c r="AB109" s="257">
        <f>IFERROR(Z109*'Inputs Yr 2'!$P109,0)</f>
        <v>0</v>
      </c>
      <c r="AC109" s="257">
        <f t="shared" si="57"/>
        <v>0</v>
      </c>
      <c r="AD109" s="257">
        <f>IFERROR($G109*'Inputs Yr 2'!$Q109*'Inputs Yr 2'!$U109*(IF(IFERROR(SEARCH("Oil", 'Inputs Yr 2'!$AJ109), 0),'Inputs Yr 2'!$AK109,0)+IF(IFERROR(SEARCH("Oil", 'Inputs Yr 2'!$AL109), 0),'Inputs Yr 2'!$AM109,0)+IF(IFERROR(SEARCH("Oil", 'Inputs Yr 2'!$AN109), 0),'Inputs Yr 2'!$AO109,0)),0)</f>
        <v>0</v>
      </c>
      <c r="AE109" s="257">
        <f t="shared" si="58"/>
        <v>0</v>
      </c>
      <c r="AF109" s="257">
        <f>IFERROR(AD109*'Inputs Yr 2'!$P109,0)</f>
        <v>0</v>
      </c>
      <c r="AG109" s="257">
        <f t="shared" si="59"/>
        <v>0</v>
      </c>
      <c r="AH109" s="257">
        <f>IFERROR($G109*'Inputs Yr 2'!$Q109*'Inputs Yr 2'!$U109*(IF('Inputs Yr 2'!$AJ109=CD$4,'Inputs Yr 2'!$AK109,IF('Inputs Yr 2'!$AL109=CD$4,'Inputs Yr 2'!$AM109,IF('Inputs Yr 2'!$AN109=CD$4,'Inputs Yr 2'!$AO109,0)))),0)</f>
        <v>0</v>
      </c>
      <c r="AI109" s="257">
        <f t="shared" si="60"/>
        <v>0</v>
      </c>
      <c r="AJ109" s="257">
        <f>IFERROR(AH109*'Inputs Yr 2'!$P109,0)</f>
        <v>0</v>
      </c>
      <c r="AK109" s="257">
        <f t="shared" si="61"/>
        <v>0</v>
      </c>
      <c r="AL109" s="258">
        <f>IFERROR($G109*'Inputs Yr 2'!$P109*'Inputs Yr 2'!$Q109*'Inputs Yr 2'!AP109,0)</f>
        <v>0</v>
      </c>
      <c r="AM109" s="260">
        <f>IFERROR($G109*'Inputs Yr 2'!$P109*'Inputs Yr 2'!$Q109*'Inputs Yr 2'!AQ109,0)</f>
        <v>0</v>
      </c>
      <c r="AN109" s="258">
        <f>IFERROR($G109*'Inputs Yr 2'!$P109*'Inputs Yr 2'!$Q109*'Inputs Yr 2'!AR109,0)</f>
        <v>0</v>
      </c>
      <c r="AO109" s="257">
        <f t="shared" si="62"/>
        <v>0</v>
      </c>
      <c r="AP109" s="195" t="str">
        <f>IFERROR($CQ109*(INDEX(avoidedcosttbl2,$H109,AP$2)+(($H109-ROUNDDOWN($H109,0))*(INDEX(avoidedcosttbl2,ROUNDUP($H109,0),AP$2)-(INDEX(avoidedcosttbl2,ROUNDDOWN($H109,0),AP$2)))))*$O109*1000*'Inputs Yr 2'!AA109,"")</f>
        <v/>
      </c>
      <c r="AQ109" s="195" t="str">
        <f>IFERROR($CR109*(INDEX(avoidedcosttbl2,$H109,AQ$2)+(($H109-ROUNDDOWN($H109,0))*(INDEX(avoidedcosttbl2,ROUNDUP($H109,0),AQ$2)-(INDEX(avoidedcosttbl2,ROUNDDOWN($H109,0),AQ$2)))))*$O109*1000*'Inputs Yr 2'!AB109,"")</f>
        <v/>
      </c>
      <c r="AR109" s="195" t="str">
        <f>IFERROR($CS109*(INDEX(avoidedcosttbl2,$H109,AR$2)+(($H109-ROUNDDOWN($H109,0))*(INDEX(avoidedcosttbl2,ROUNDUP($H109,0),AR$2)-(INDEX(avoidedcosttbl2,ROUNDDOWN($H109,0),AR$2)))))*$O109*1000*'Inputs Yr 2'!AC109,"")</f>
        <v/>
      </c>
      <c r="AS109" s="195" t="str">
        <f>IFERROR($CT109*(INDEX(avoidedcosttbl2,$H109,AS$2)+(($H109-ROUNDDOWN($H109,0))*(INDEX(avoidedcosttbl2,ROUNDUP($H109,0),AS$2)-(INDEX(avoidedcosttbl2,ROUNDDOWN($H109,0),AS$2)))))*$O109*1000*'Inputs Yr 2'!AD109,"")</f>
        <v/>
      </c>
      <c r="AT109" s="196">
        <f t="shared" si="63"/>
        <v>0</v>
      </c>
      <c r="AU109" s="197" t="str">
        <f>IFERROR($CQ109*((INDEX(avoidedcosttbl2,$H109,AU$2))+(($H109-ROUNDDOWN($H109,0))*((INDEX(avoidedcosttbl2,ROUNDUP($H109,0),AU$2))-(INDEX(avoidedcosttbl2,ROUNDDOWN($H109,0),AU$2)))))*$O109*1000*'Inputs Yr 2'!AA109,"")</f>
        <v/>
      </c>
      <c r="AV109" s="197" t="str">
        <f>IFERROR($CR109*((INDEX(avoidedcosttbl2,$H109,AV$2))+(($H109-ROUNDDOWN($H109,0))*((INDEX(avoidedcosttbl2,ROUNDUP($H109,0),AV$2))-(INDEX(avoidedcosttbl2,ROUNDDOWN($H109,0),AV$2)))))*$O109*1000*'Inputs Yr 2'!AB109,"")</f>
        <v/>
      </c>
      <c r="AW109" s="197" t="str">
        <f>IFERROR($CS109*((INDEX(avoidedcosttbl2,$H109,AW$2))+(($H109-ROUNDDOWN($H109,0))*((INDEX(avoidedcosttbl2,ROUNDUP($H109,0),AW$2))-(INDEX(avoidedcosttbl2,ROUNDDOWN($H109,0),AW$2)))))*$O109*1000*'Inputs Yr 2'!AC109,"")</f>
        <v/>
      </c>
      <c r="AX109" s="197" t="str">
        <f>IFERROR($CT109*((INDEX(avoidedcosttbl2,$H109,AX$2))+(($H109-ROUNDDOWN($H109,0))*((INDEX(avoidedcosttbl2,ROUNDUP($H109,0),AX$2))-(INDEX(avoidedcosttbl2,ROUNDDOWN($H109,0),AX$2)))))*$O109*1000*'Inputs Yr 2'!AD109,"")</f>
        <v/>
      </c>
      <c r="AY109" s="197" t="str">
        <f>IFERROR(((INDEX(avoidedcosttbl2,$H109,AY$2))+(($H109-ROUNDDOWN($H109,0))*((INDEX(avoidedcosttbl2,ROUNDUP($H109,0),AY$2))-(INDEX(avoidedcosttbl2,ROUNDDOWN($H109,0),AY$2)))))*$O109*1000*('Inputs Yr 2'!AC109+'Inputs Yr 2'!AD109),"")</f>
        <v/>
      </c>
      <c r="AZ109" s="197" t="str">
        <f>IFERROR(((INDEX(avoidedcosttbl2,$H109,AZ$2))+(($H109-ROUNDDOWN($H109,0))*((INDEX(avoidedcosttbl2,ROUNDUP($H109,0),AZ$2))-(INDEX(avoidedcosttbl2,ROUNDDOWN($H109,0),AZ$2)))))*$O109*1000*('Inputs Yr 2'!AA109+'Inputs Yr 2'!AB109),"")</f>
        <v/>
      </c>
      <c r="BA109" s="198">
        <f t="shared" si="64"/>
        <v>0</v>
      </c>
      <c r="BB109" s="198">
        <f t="shared" si="65"/>
        <v>0</v>
      </c>
      <c r="BC109" s="195" t="str">
        <f t="shared" si="47"/>
        <v/>
      </c>
      <c r="BD109" s="195" t="str">
        <f t="shared" si="48"/>
        <v/>
      </c>
      <c r="BE109" s="195" t="str">
        <f t="shared" si="49"/>
        <v/>
      </c>
      <c r="BF109" s="195" t="str">
        <f t="shared" si="50"/>
        <v/>
      </c>
      <c r="BG109" s="195" t="str">
        <f t="shared" si="51"/>
        <v/>
      </c>
      <c r="BH109" s="196">
        <f t="shared" si="66"/>
        <v>0</v>
      </c>
      <c r="BI109" s="196">
        <f t="shared" si="67"/>
        <v>0</v>
      </c>
      <c r="BJ109" s="195" t="str">
        <f>IFERROR($G109*(IF('Inputs Yr 2'!$AJ109=BJ$4,'Inputs Yr 2'!$AK109,IF('Inputs Yr 2'!$AL109=BJ$4,'Inputs Yr 2'!$AM109,IF('Inputs Yr 2'!$AN109=BJ$4,'Inputs Yr 2'!$AO109,0))))*(INDEX(avoidedcosttbl2,$H109,BJ$2)+(($H109-ROUNDDOWN($H109,0))*(INDEX(avoidedcosttbl2,ROUNDUP($H109,0),BJ$2)-(INDEX(avoidedcosttbl2,ROUNDDOWN($H109,0),BJ$2)))))*'Inputs Yr 2'!P109*'Inputs Yr 2'!Q109*'Inputs Yr 2'!U109,"")</f>
        <v/>
      </c>
      <c r="BK109" s="195" t="str">
        <f>IFERROR($G109*(IF('Inputs Yr 2'!$AJ109=BK$4,'Inputs Yr 2'!$AK109,IF('Inputs Yr 2'!$AL109=BK$4,'Inputs Yr 2'!$AM109,IF('Inputs Yr 2'!$AN109=BK$4,'Inputs Yr 2'!$AO109,0))))*(INDEX(avoidedcosttbl2,$H109,BK$2)+(($H109-ROUNDDOWN($H109,0))*(INDEX(avoidedcosttbl2,ROUNDUP($H109,0),BK$2)-(INDEX(avoidedcosttbl2,ROUNDDOWN($H109,0),BK$2)))))*'Inputs Yr 2'!P109*'Inputs Yr 2'!Q109*'Inputs Yr 2'!U109,"")</f>
        <v/>
      </c>
      <c r="BL109" s="195" t="str">
        <f>IFERROR($G109*(IF('Inputs Yr 2'!$AJ109=BL$4,'Inputs Yr 2'!$AK109,IF('Inputs Yr 2'!$AL109=BL$4,'Inputs Yr 2'!$AM109,IF('Inputs Yr 2'!$AN109=BL$4,'Inputs Yr 2'!$AO109,0))))*(INDEX(avoidedcosttbl2,$H109,BL$2)+(($H109-ROUNDDOWN($H109,0))*(INDEX(avoidedcosttbl2,ROUNDUP($H109,0),BL$2)-(INDEX(avoidedcosttbl2,ROUNDDOWN($H109,0),BL$2)))))*'Inputs Yr 2'!P109*'Inputs Yr 2'!Q109*'Inputs Yr 2'!U109,"")</f>
        <v/>
      </c>
      <c r="BM109" s="195" t="str">
        <f>IFERROR($G109*(IF('Inputs Yr 2'!$AJ109=BM$4,'Inputs Yr 2'!$AK109,IF('Inputs Yr 2'!$AL109=BM$4,'Inputs Yr 2'!$AM109,IF('Inputs Yr 2'!$AN109=BM$4,'Inputs Yr 2'!$AO109,0))))*(INDEX(avoidedcosttbl2,$H109,BM$2)+(($H109-ROUNDDOWN($H109,0))*(INDEX(avoidedcosttbl2,ROUNDUP($H109,0),BM$2)-(INDEX(avoidedcosttbl2,ROUNDDOWN($H109,0),BM$2)))))*'Inputs Yr 2'!P109*'Inputs Yr 2'!Q109*'Inputs Yr 2'!U109,"")</f>
        <v/>
      </c>
      <c r="BN109" s="195" t="str">
        <f>IFERROR($G109*(IF('Inputs Yr 2'!$AJ109=BN$4,'Inputs Yr 2'!$AK109,IF('Inputs Yr 2'!$AL109=BN$4,'Inputs Yr 2'!$AM109,IF('Inputs Yr 2'!$AN109=BN$4,'Inputs Yr 2'!$AO109,0))))*(INDEX(avoidedcosttbl2,$H109,BN$2)+(($H109-ROUNDDOWN($H109,0))*(INDEX(avoidedcosttbl2,ROUNDUP($H109,0),BN$2)-(INDEX(avoidedcosttbl2,ROUNDDOWN($H109,0),BN$2)))))*'Inputs Yr 2'!P109*'Inputs Yr 2'!Q109*'Inputs Yr 2'!U109,"")</f>
        <v/>
      </c>
      <c r="BO109" s="195" t="str">
        <f>IFERROR($G109*(IF('Inputs Yr 2'!$AJ109=BO$4,'Inputs Yr 2'!$AK109,IF('Inputs Yr 2'!$AL109=BO$4,'Inputs Yr 2'!$AM109,IF('Inputs Yr 2'!$AN109=BO$4,'Inputs Yr 2'!$AO109,0))))*(INDEX(avoidedcosttbl2,$H109,BO$2)+(($H109-ROUNDDOWN($H109,0))*(INDEX(avoidedcosttbl2,ROUNDUP($H109,0),BO$2)-(INDEX(avoidedcosttbl2,ROUNDDOWN($H109,0),BO$2)))))*'Inputs Yr 2'!P109*'Inputs Yr 2'!Q109*'Inputs Yr 2'!U109,"")</f>
        <v/>
      </c>
      <c r="BP109" s="195" t="str">
        <f>IFERROR($G109*(IF('Inputs Yr 2'!$AJ109=BP$4,'Inputs Yr 2'!$AK109,IF('Inputs Yr 2'!$AL109=BP$4,'Inputs Yr 2'!$AM109,IF('Inputs Yr 2'!$AN109=BP$4,'Inputs Yr 2'!$AO109,0))))*(INDEX(avoidedcosttbl2,$H109,BP$2)+(($H109-ROUNDDOWN($H109,0))*(INDEX(avoidedcosttbl2,ROUNDUP($H109,0),BP$2)-(INDEX(avoidedcosttbl2,ROUNDDOWN($H109,0),BP$2)))))*'Inputs Yr 2'!P109*'Inputs Yr 2'!Q109*'Inputs Yr 2'!U109,"")</f>
        <v/>
      </c>
      <c r="BQ109" s="230">
        <f t="shared" si="68"/>
        <v>0</v>
      </c>
      <c r="BR109" s="197" t="str">
        <f t="shared" si="52"/>
        <v/>
      </c>
      <c r="BS109" s="197" t="str">
        <f>IFERROR(($G109*IF('Inputs Yr 2'!$AJ109=BM$4,'Inputs Yr 2'!$AK109,IF('Inputs Yr 2'!$AL109=BM$4,'Inputs Yr 2'!$AM109,IF('Inputs Yr 2'!$AN109=BM$4,'Inputs Yr 2'!$AO109,0))))*(INDEX(avoidedcosttbl2,$H109,BS$2)+(($H109-ROUNDDOWN($H109,0))*(INDEX(avoidedcosttbl2,ROUNDUP($H109,0),BS$2)-(INDEX(avoidedcosttbl2,ROUNDDOWN($H109,0),BS$2)))))*'Inputs Yr 2'!P109*'Inputs Yr 2'!Q109*'Inputs Yr 2'!U109,"")</f>
        <v/>
      </c>
      <c r="BT109" s="197" t="str">
        <f>IFERROR(($G109*IF('Inputs Yr 2'!$AJ109=BK$4,'Inputs Yr 2'!$AK109,IF('Inputs Yr 2'!$AL109=BK$4,'Inputs Yr 2'!$AM109,IF('Inputs Yr 2'!$AN109=BK$4,'Inputs Yr 2'!$AO109,0))))*(INDEX(avoidedcosttbl2,$H109,BT$2)+(($H109-ROUNDDOWN($H109,0))*(INDEX(avoidedcosttbl2,ROUNDUP($H109,0),BT$2)-(INDEX(avoidedcosttbl2,ROUNDDOWN($H109,0),BT$2)))))*'Inputs Yr 2'!P109*'Inputs Yr 2'!Q109*'Inputs Yr 2'!U109,"")</f>
        <v/>
      </c>
      <c r="BU109" s="197" t="str">
        <f>IFERROR(($G109*IF('Inputs Yr 2'!$AJ109=BL$4,'Inputs Yr 2'!$AK109,IF('Inputs Yr 2'!$AL109=BL$4,'Inputs Yr 2'!$AM109,IF('Inputs Yr 2'!$AN109=BL$4,'Inputs Yr 2'!$AO109,0))))*(INDEX(avoidedcosttbl2,$H109,BU$2)+(($H109-ROUNDDOWN($H109,0))*(INDEX(avoidedcosttbl2,ROUNDUP($H109,0),BU$2)-(INDEX(avoidedcosttbl2,ROUNDDOWN($H109,0),BU$2)))))*'Inputs Yr 2'!P109*'Inputs Yr 2'!Q109*'Inputs Yr 2'!U109,"")</f>
        <v/>
      </c>
      <c r="BV109" s="775" t="str">
        <f>IFERROR(($G109*IF('Inputs Yr 2'!$AJ109=BJ$4,'Inputs Yr 2'!$AK109,IF('Inputs Yr 2'!$AL109=BJ$4,'Inputs Yr 2'!$AM109,IF('Inputs Yr 2'!$AN109=BJ$4,'Inputs Yr 2'!$AO109,0))))*(INDEX(avoidedcosttbl2,$H109,BV$2)+(($H109-ROUNDDOWN($H109,0))*(INDEX(avoidedcosttbl2,ROUNDUP($H109,0),BV$2)-(INDEX(avoidedcosttbl2,ROUNDDOWN($H109,0),BV$2)))))*'Inputs Yr 2'!P109*'Inputs Yr 2'!Q109*'Inputs Yr 2'!U109,"")</f>
        <v/>
      </c>
      <c r="BW109" s="197" t="str">
        <f>IFERROR(($G109*IF('Inputs Yr 2'!$AJ109=BN$4,'Inputs Yr 2'!$AK109,IF('Inputs Yr 2'!$AL109=BN$4,'Inputs Yr 2'!$AM109,IF('Inputs Yr 2'!$AN109=BN$4,'Inputs Yr 2'!$AO109,0))))*(INDEX(avoidedcosttbl2,$H109,BW$2)+(($H109-ROUNDDOWN($H109,0))*(INDEX(avoidedcosttbl2,ROUNDUP($H109,0),BW$2)-(INDEX(avoidedcosttbl2,ROUNDDOWN($H109,0),BW$2)))))*'Inputs Yr 2'!P109*'Inputs Yr 2'!Q109*'Inputs Yr 2'!U109,"")</f>
        <v/>
      </c>
      <c r="BX109" s="197" t="str">
        <f>IFERROR(($G109*IF('Inputs Yr 2'!$AJ109=BO$4,'Inputs Yr 2'!$AK109,IF('Inputs Yr 2'!$AL109=BO$4,'Inputs Yr 2'!$AM109,IF('Inputs Yr 2'!$AN109=BO$4,'Inputs Yr 2'!$AO109,0))))*(INDEX(avoidedcosttbl2,$H109,BX$2)+(($H109-ROUNDDOWN($H109,0))*(INDEX(avoidedcosttbl2,ROUNDUP($H109,0),BX$2)-(INDEX(avoidedcosttbl2,ROUNDDOWN($H109,0),BX$2)))))*'Inputs Yr 2'!P109*'Inputs Yr 2'!Q109*'Inputs Yr 2'!U109,"")</f>
        <v/>
      </c>
      <c r="BY109" s="197" t="str">
        <f>IFERROR(($G109*IF('Inputs Yr 2'!$AJ109=BP$4,'Inputs Yr 2'!$AK109,IF('Inputs Yr 2'!$AL109=BP$4,'Inputs Yr 2'!$AM109,IF('Inputs Yr 2'!$AN109=BP$4,'Inputs Yr 2'!$AO109,0))))*(INDEX(avoidedcosttbl2,$H109,BY$2)+(($H109-ROUNDDOWN($H109,0))*(INDEX(avoidedcosttbl2,ROUNDUP($H109,0),BY$2)-(INDEX(avoidedcosttbl2,ROUNDDOWN($H109,0),BY$2)))))*'Inputs Yr 2'!P109*'Inputs Yr 2'!Q109*'Inputs Yr 2'!U109,"")</f>
        <v/>
      </c>
      <c r="BZ109" s="193">
        <f t="shared" si="69"/>
        <v>0</v>
      </c>
      <c r="CA109" s="193">
        <f t="shared" si="70"/>
        <v>0</v>
      </c>
      <c r="CB109" s="195" t="str">
        <f>IFERROR(G109*(IF('Inputs Yr 2'!$AJ109=CB$4,'Inputs Yr 2'!$AK109,IF('Inputs Yr 2'!$AL109=CB$4,'Inputs Yr 2'!$AM109,IF('Inputs Yr 2'!$AN109=CB$4,'Inputs Yr 2'!$AO109,0))))*(INDEX(avoidedcosttbl2,$H109,CB$2)+(($H109-ROUNDDOWN($H109,0))*(INDEX(avoidedcosttbl2,ROUNDUP($H109,0),CB$2)-(INDEX(avoidedcosttbl2,ROUNDDOWN($H109,0),CB$2)))))*'Inputs Yr 2'!P109*'Inputs Yr 2'!Q109*'Inputs Yr 2'!U109,"")</f>
        <v/>
      </c>
      <c r="CC109" s="195" t="str">
        <f>IFERROR(H109*(IF('Inputs Yr 2'!$AJ109=CC$4,'Inputs Yr 2'!$AK109,IF('Inputs Yr 2'!$AL109=CC$4,'Inputs Yr 2'!$AM109,IF('Inputs Yr 2'!$AN109=CC$4,'Inputs Yr 2'!$AO109,0))))*(INDEX(avoidedcosttbl2,$H109,CC$2)+(($H109-ROUNDDOWN($H109,0))*(INDEX(avoidedcosttbl2,ROUNDUP($H109,0),CC$2)-(INDEX(avoidedcosttbl2,ROUNDDOWN($H109,0),CC$2)))))*'Inputs Yr 2'!Q109*'Inputs Yr 2'!R109*'Inputs Yr 2'!V109,"")</f>
        <v/>
      </c>
      <c r="CD109" s="195" t="str">
        <f>IFERROR(I109*(IF('Inputs Yr 2'!$AJ109=CD$4,'Inputs Yr 2'!$AK109,IF('Inputs Yr 2'!$AL109=CD$4,'Inputs Yr 2'!$AM109,IF('Inputs Yr 2'!$AN109=CD$4,'Inputs Yr 2'!$AO109,0))))*(INDEX(avoidedcosttbl2,$H109,CD$2)+(($H109-ROUNDDOWN($H109,0))*(INDEX(avoidedcosttbl2,ROUNDUP($H109,0),CD$2)-(INDEX(avoidedcosttbl2,ROUNDDOWN($H109,0),CD$2)))))*'Inputs Yr 2'!R109*'Inputs Yr 2'!S109*'Inputs Yr 2'!W109,"")</f>
        <v/>
      </c>
      <c r="CE109" s="213" t="str">
        <f t="shared" si="71"/>
        <v/>
      </c>
      <c r="CF109" s="213" t="str">
        <f t="shared" si="72"/>
        <v/>
      </c>
      <c r="CG109" s="213" t="str">
        <f t="shared" si="73"/>
        <v/>
      </c>
      <c r="CH109" s="698">
        <f t="shared" si="74"/>
        <v>0</v>
      </c>
      <c r="CI109" s="79" t="str">
        <f>IFERROR(($G109*'Inputs Yr 2'!$P109*'Inputs Yr 2'!$Q109*(((INDEX(avoidedcosttbl2,$H109,CI$2)+(($H109-ROUNDDOWN($H109,0))*(INDEX(avoidedcosttbl2,ROUNDUP($H109,0),CI$2)-INDEX(avoidedcosttbl2,ROUNDDOWN($H109,0),CI$2))))*'Inputs Yr 2'!AS109))),"")</f>
        <v/>
      </c>
      <c r="CJ109" s="504" t="str">
        <f>IFERROR($G109*'Inputs Yr 2'!AT109*'Inputs Yr 2'!$P109*'Inputs Yr 2'!$Q109/((1+realdiscrt1)^-0.5),"")</f>
        <v/>
      </c>
      <c r="CK109" s="79" t="str">
        <f>IFERROR((O109*1000*(((INDEX(avoidedcosttbl2,$H109,CK$2)+(($H109-ROUNDDOWN($H109,0))*(INDEX(avoidedcosttbl2,ROUNDUP($H109,0),CK$2)-INDEX(avoidedcosttbl2,ROUNDDOWN($H109,0),CK$2))))*'Inputs Yr 2'!AU109))),"")</f>
        <v/>
      </c>
      <c r="CL109" s="504" t="str">
        <f>IFERROR(O109*1000*'Inputs Yr 2'!AV109/((1+realdiscrt1)^-0.5),"")</f>
        <v/>
      </c>
      <c r="CM109" s="79" t="str">
        <f>IFERROR((AB109*'Inputs Yr 2'!AW109*(((INDEX(avoidedcosttbl2,$H109,CM$2)+(($H109-ROUNDDOWN($H109,0))*(INDEX(avoidedcosttbl2,ROUNDUP($H109,0),CM$2)-INDEX(avoidedcosttbl2,ROUNDDOWN($H109,0),CM$2)))))))*10,"")</f>
        <v/>
      </c>
      <c r="CN109" s="504">
        <f>IFERROR(10*AB109*'Inputs Yr 2'!AX109/((1+realdiscrt1)^-0.5),"")</f>
        <v>0</v>
      </c>
      <c r="CO109" s="505">
        <f t="shared" si="75"/>
        <v>0</v>
      </c>
      <c r="CP109" s="230">
        <f t="shared" si="76"/>
        <v>0</v>
      </c>
      <c r="CQ109" s="199">
        <f>ROUND(IFERROR(IF(LEFT($A109,1)="C",'Avoided Costs'!$K$13,'Avoided Costs'!$K$12)+1,""),4)</f>
        <v>1.0720000000000001</v>
      </c>
      <c r="CR109" s="199">
        <f>ROUND(IFERROR(IF(LEFT($A109,1)="C",'Avoided Costs'!$L$13,'Avoided Costs'!$L$12)+1,""),4)</f>
        <v>1.04</v>
      </c>
      <c r="CS109" s="199">
        <f>ROUND(IFERROR(IF(LEFT($A109,1)="C",'Avoided Costs'!$M$13,'Avoided Costs'!$M$12)+1,""),4)</f>
        <v>1.0720000000000001</v>
      </c>
      <c r="CT109" s="199">
        <f>ROUND(IFERROR(IF(LEFT($A109,1)="C",'Avoided Costs'!$N$13,'Avoided Costs'!$N$12)+1,""),4)</f>
        <v>1.04</v>
      </c>
      <c r="CU109" s="199">
        <f>ROUND(IFERROR(IF(LEFT($A109,1)="C",'Avoided Costs'!$O$13,'Avoided Costs'!$O$12)+1,""),4)</f>
        <v>1.1120000000000001</v>
      </c>
      <c r="CV109" s="199">
        <f>ROUND(IFERROR(IF(LEFT($A109,1)="C",'Avoided Costs'!$P$13,'Avoided Costs'!$P$12)+1,""),4)</f>
        <v>1.095</v>
      </c>
      <c r="CW109" s="199">
        <f>ROUND(IFERROR(IF(LEFT($A109,1)="C",'Avoided Costs'!$Q$13,'Avoided Costs'!$Q$12)+1,""),4)</f>
        <v>1.1120000000000001</v>
      </c>
      <c r="CX109" s="200">
        <f>ROUND(IFERROR(IF(LEFT($A109,1)="C",'Avoided Costs'!$R$13,'Avoided Costs'!$R$12)+1,""),4)</f>
        <v>1.1120000000000001</v>
      </c>
    </row>
    <row r="110" spans="1:102" ht="12.75" customHeight="1">
      <c r="A110" s="91" t="str">
        <f>IF('Inputs Yr 2'!$B110=0,"",'Inputs Yr 2'!A110)</f>
        <v>B - Low Income</v>
      </c>
      <c r="B110" s="91" t="str">
        <f>IF('Inputs Yr 2'!$B110=0,"",'Inputs Yr 2'!B110)</f>
        <v>B1 - Low-Income Whole House</v>
      </c>
      <c r="C110" s="91" t="str">
        <f>IF('Inputs Yr 2'!$B110=0,"",'Inputs Yr 2'!C110)</f>
        <v>B1a - Low-Income Single Family Retrofit</v>
      </c>
      <c r="D110" s="91" t="str">
        <f>IF('Inputs Yr 2'!$B110=0,"",'Inputs Yr 2'!E110)</f>
        <v>Faucet Aerator, Gas</v>
      </c>
      <c r="E110" s="93" t="str">
        <f>IF('Inputs Yr 2'!$B110=0,"",'Inputs Yr 2'!F110)</f>
        <v>G16B1a10</v>
      </c>
      <c r="F110" s="93" t="str">
        <f>IF('Inputs Yr 2'!$B110=0,"",'Inputs Yr 2'!G110)</f>
        <v>Hot Water</v>
      </c>
      <c r="G110" s="95" t="str">
        <f>IF('Inputs Yr 2'!$H110&lt;&gt;0,('Inputs Yr 2'!H110),"")</f>
        <v/>
      </c>
      <c r="H110" s="94">
        <f>IFERROR('Inputs Yr 2'!I110,"")</f>
        <v>0</v>
      </c>
      <c r="I110" s="298" t="str">
        <f>IFERROR('Inputs Yr 2'!J110*'Inputs Yr 2'!P110*G110,"")</f>
        <v/>
      </c>
      <c r="J110" s="298" t="str">
        <f>IFERROR('Inputs Yr 2'!K110*G110,"")</f>
        <v/>
      </c>
      <c r="K110" s="298" t="str">
        <f t="shared" si="53"/>
        <v/>
      </c>
      <c r="L110" s="194" t="str">
        <f>IFERROR(('Inputs Yr 2'!W110*G110)/1000,"")</f>
        <v/>
      </c>
      <c r="M110" s="194" t="str">
        <f>IFERROR(L110*('Inputs Yr 2'!$Q110*'Inputs Yr 2'!$V110*'Inputs Yr 2'!$R110),"")</f>
        <v/>
      </c>
      <c r="N110" s="194" t="str">
        <f t="shared" si="54"/>
        <v/>
      </c>
      <c r="O110" s="194" t="str">
        <f>IFERROR(M110*'Inputs Yr 2'!P110,"")</f>
        <v/>
      </c>
      <c r="P110" s="194" t="str">
        <f t="shared" si="55"/>
        <v/>
      </c>
      <c r="Q110" s="194" t="str">
        <f>IFERROR($P110*'Inputs Yr 2'!AA110,"")</f>
        <v/>
      </c>
      <c r="R110" s="194" t="str">
        <f>IFERROR($P110*'Inputs Yr 2'!AB110,"")</f>
        <v/>
      </c>
      <c r="S110" s="194" t="str">
        <f>IFERROR($P110*'Inputs Yr 2'!AC110,"")</f>
        <v/>
      </c>
      <c r="T110" s="194" t="str">
        <f>IFERROR($P110*'Inputs Yr 2'!AD110,"")</f>
        <v/>
      </c>
      <c r="U110" s="194" t="str">
        <f>IFERROR(G110*'Inputs Yr 2'!$AE110*'Inputs Yr 2'!$P110*'Inputs Yr 2'!$Q110,"")</f>
        <v/>
      </c>
      <c r="V110" s="194" t="str">
        <f>IFERROR($G110*'Inputs Yr 2'!$AE110*'Inputs Yr 2'!$AG110*'Inputs Yr 2'!Q110*'Inputs Yr 2'!$S110,"")</f>
        <v/>
      </c>
      <c r="W110" s="194" t="str">
        <f>IFERROR($G110*'Inputs Yr 2'!$AE110*'Inputs Yr 2'!$AG110*'Inputs Yr 2'!P110*'Inputs Yr 2'!Q110*'Inputs Yr 2'!$S110,"")</f>
        <v/>
      </c>
      <c r="X110" s="194" t="str">
        <f>IFERROR($G110*'Inputs Yr 2'!$AE110*'Inputs Yr 2'!$AF110*'Inputs Yr 2'!Q110*'Inputs Yr 2'!$T110,"")</f>
        <v/>
      </c>
      <c r="Y110" s="194" t="str">
        <f>IFERROR($G110*'Inputs Yr 2'!$AE110*'Inputs Yr 2'!$AF110*'Inputs Yr 2'!P110*'Inputs Yr 2'!Q110*'Inputs Yr 2'!$T110,"")</f>
        <v/>
      </c>
      <c r="Z110" s="257">
        <f>IFERROR($G110*'Inputs Yr 2'!$Q110*'Inputs Yr 2'!$U110*(IF(IFERROR(SEARCH("NG", 'Inputs Yr 2'!$AJ110),0),'Inputs Yr 2'!$AK110,0)+IF(IFERROR(SEARCH("NG", 'Inputs Yr 2'!$AL110),0),'Inputs Yr 2'!$AM110,0)+IF(IFERROR(SEARCH("NG", 'Inputs Yr 2'!$AN110),0),'Inputs Yr 2'!$AO110,0)),0)</f>
        <v>0</v>
      </c>
      <c r="AA110" s="257">
        <f t="shared" si="56"/>
        <v>0</v>
      </c>
      <c r="AB110" s="257">
        <f>IFERROR(Z110*'Inputs Yr 2'!$P110,0)</f>
        <v>0</v>
      </c>
      <c r="AC110" s="257">
        <f t="shared" si="57"/>
        <v>0</v>
      </c>
      <c r="AD110" s="257">
        <f>IFERROR($G110*'Inputs Yr 2'!$Q110*'Inputs Yr 2'!$U110*(IF(IFERROR(SEARCH("Oil", 'Inputs Yr 2'!$AJ110), 0),'Inputs Yr 2'!$AK110,0)+IF(IFERROR(SEARCH("Oil", 'Inputs Yr 2'!$AL110), 0),'Inputs Yr 2'!$AM110,0)+IF(IFERROR(SEARCH("Oil", 'Inputs Yr 2'!$AN110), 0),'Inputs Yr 2'!$AO110,0)),0)</f>
        <v>0</v>
      </c>
      <c r="AE110" s="257">
        <f t="shared" si="58"/>
        <v>0</v>
      </c>
      <c r="AF110" s="257">
        <f>IFERROR(AD110*'Inputs Yr 2'!$P110,0)</f>
        <v>0</v>
      </c>
      <c r="AG110" s="257">
        <f t="shared" si="59"/>
        <v>0</v>
      </c>
      <c r="AH110" s="257">
        <f>IFERROR($G110*'Inputs Yr 2'!$Q110*'Inputs Yr 2'!$U110*(IF('Inputs Yr 2'!$AJ110=CD$4,'Inputs Yr 2'!$AK110,IF('Inputs Yr 2'!$AL110=CD$4,'Inputs Yr 2'!$AM110,IF('Inputs Yr 2'!$AN110=CD$4,'Inputs Yr 2'!$AO110,0)))),0)</f>
        <v>0</v>
      </c>
      <c r="AI110" s="257">
        <f t="shared" si="60"/>
        <v>0</v>
      </c>
      <c r="AJ110" s="257">
        <f>IFERROR(AH110*'Inputs Yr 2'!$P110,0)</f>
        <v>0</v>
      </c>
      <c r="AK110" s="257">
        <f t="shared" si="61"/>
        <v>0</v>
      </c>
      <c r="AL110" s="258">
        <f>IFERROR($G110*'Inputs Yr 2'!$P110*'Inputs Yr 2'!$Q110*'Inputs Yr 2'!AP110,0)</f>
        <v>0</v>
      </c>
      <c r="AM110" s="260">
        <f>IFERROR($G110*'Inputs Yr 2'!$P110*'Inputs Yr 2'!$Q110*'Inputs Yr 2'!AQ110,0)</f>
        <v>0</v>
      </c>
      <c r="AN110" s="258">
        <f>IFERROR($G110*'Inputs Yr 2'!$P110*'Inputs Yr 2'!$Q110*'Inputs Yr 2'!AR110,0)</f>
        <v>0</v>
      </c>
      <c r="AO110" s="257">
        <f t="shared" si="62"/>
        <v>0</v>
      </c>
      <c r="AP110" s="195" t="str">
        <f>IFERROR($CQ110*(INDEX(avoidedcosttbl2,$H110,AP$2)+(($H110-ROUNDDOWN($H110,0))*(INDEX(avoidedcosttbl2,ROUNDUP($H110,0),AP$2)-(INDEX(avoidedcosttbl2,ROUNDDOWN($H110,0),AP$2)))))*$O110*1000*'Inputs Yr 2'!AA110,"")</f>
        <v/>
      </c>
      <c r="AQ110" s="195" t="str">
        <f>IFERROR($CR110*(INDEX(avoidedcosttbl2,$H110,AQ$2)+(($H110-ROUNDDOWN($H110,0))*(INDEX(avoidedcosttbl2,ROUNDUP($H110,0),AQ$2)-(INDEX(avoidedcosttbl2,ROUNDDOWN($H110,0),AQ$2)))))*$O110*1000*'Inputs Yr 2'!AB110,"")</f>
        <v/>
      </c>
      <c r="AR110" s="195" t="str">
        <f>IFERROR($CS110*(INDEX(avoidedcosttbl2,$H110,AR$2)+(($H110-ROUNDDOWN($H110,0))*(INDEX(avoidedcosttbl2,ROUNDUP($H110,0),AR$2)-(INDEX(avoidedcosttbl2,ROUNDDOWN($H110,0),AR$2)))))*$O110*1000*'Inputs Yr 2'!AC110,"")</f>
        <v/>
      </c>
      <c r="AS110" s="195" t="str">
        <f>IFERROR($CT110*(INDEX(avoidedcosttbl2,$H110,AS$2)+(($H110-ROUNDDOWN($H110,0))*(INDEX(avoidedcosttbl2,ROUNDUP($H110,0),AS$2)-(INDEX(avoidedcosttbl2,ROUNDDOWN($H110,0),AS$2)))))*$O110*1000*'Inputs Yr 2'!AD110,"")</f>
        <v/>
      </c>
      <c r="AT110" s="196">
        <f t="shared" si="63"/>
        <v>0</v>
      </c>
      <c r="AU110" s="197" t="str">
        <f>IFERROR($CQ110*((INDEX(avoidedcosttbl2,$H110,AU$2))+(($H110-ROUNDDOWN($H110,0))*((INDEX(avoidedcosttbl2,ROUNDUP($H110,0),AU$2))-(INDEX(avoidedcosttbl2,ROUNDDOWN($H110,0),AU$2)))))*$O110*1000*'Inputs Yr 2'!AA110,"")</f>
        <v/>
      </c>
      <c r="AV110" s="197" t="str">
        <f>IFERROR($CR110*((INDEX(avoidedcosttbl2,$H110,AV$2))+(($H110-ROUNDDOWN($H110,0))*((INDEX(avoidedcosttbl2,ROUNDUP($H110,0),AV$2))-(INDEX(avoidedcosttbl2,ROUNDDOWN($H110,0),AV$2)))))*$O110*1000*'Inputs Yr 2'!AB110,"")</f>
        <v/>
      </c>
      <c r="AW110" s="197" t="str">
        <f>IFERROR($CS110*((INDEX(avoidedcosttbl2,$H110,AW$2))+(($H110-ROUNDDOWN($H110,0))*((INDEX(avoidedcosttbl2,ROUNDUP($H110,0),AW$2))-(INDEX(avoidedcosttbl2,ROUNDDOWN($H110,0),AW$2)))))*$O110*1000*'Inputs Yr 2'!AC110,"")</f>
        <v/>
      </c>
      <c r="AX110" s="197" t="str">
        <f>IFERROR($CT110*((INDEX(avoidedcosttbl2,$H110,AX$2))+(($H110-ROUNDDOWN($H110,0))*((INDEX(avoidedcosttbl2,ROUNDUP($H110,0),AX$2))-(INDEX(avoidedcosttbl2,ROUNDDOWN($H110,0),AX$2)))))*$O110*1000*'Inputs Yr 2'!AD110,"")</f>
        <v/>
      </c>
      <c r="AY110" s="197" t="str">
        <f>IFERROR(((INDEX(avoidedcosttbl2,$H110,AY$2))+(($H110-ROUNDDOWN($H110,0))*((INDEX(avoidedcosttbl2,ROUNDUP($H110,0),AY$2))-(INDEX(avoidedcosttbl2,ROUNDDOWN($H110,0),AY$2)))))*$O110*1000*('Inputs Yr 2'!AC110+'Inputs Yr 2'!AD110),"")</f>
        <v/>
      </c>
      <c r="AZ110" s="197" t="str">
        <f>IFERROR(((INDEX(avoidedcosttbl2,$H110,AZ$2))+(($H110-ROUNDDOWN($H110,0))*((INDEX(avoidedcosttbl2,ROUNDUP($H110,0),AZ$2))-(INDEX(avoidedcosttbl2,ROUNDDOWN($H110,0),AZ$2)))))*$O110*1000*('Inputs Yr 2'!AA110+'Inputs Yr 2'!AB110),"")</f>
        <v/>
      </c>
      <c r="BA110" s="198">
        <f t="shared" si="64"/>
        <v>0</v>
      </c>
      <c r="BB110" s="198">
        <f t="shared" si="65"/>
        <v>0</v>
      </c>
      <c r="BC110" s="195" t="str">
        <f t="shared" si="47"/>
        <v/>
      </c>
      <c r="BD110" s="195" t="str">
        <f t="shared" si="48"/>
        <v/>
      </c>
      <c r="BE110" s="195" t="str">
        <f t="shared" si="49"/>
        <v/>
      </c>
      <c r="BF110" s="195" t="str">
        <f t="shared" si="50"/>
        <v/>
      </c>
      <c r="BG110" s="195" t="str">
        <f t="shared" si="51"/>
        <v/>
      </c>
      <c r="BH110" s="196">
        <f t="shared" si="66"/>
        <v>0</v>
      </c>
      <c r="BI110" s="196">
        <f t="shared" si="67"/>
        <v>0</v>
      </c>
      <c r="BJ110" s="195" t="str">
        <f>IFERROR($G110*(IF('Inputs Yr 2'!$AJ110=BJ$4,'Inputs Yr 2'!$AK110,IF('Inputs Yr 2'!$AL110=BJ$4,'Inputs Yr 2'!$AM110,IF('Inputs Yr 2'!$AN110=BJ$4,'Inputs Yr 2'!$AO110,0))))*(INDEX(avoidedcosttbl2,$H110,BJ$2)+(($H110-ROUNDDOWN($H110,0))*(INDEX(avoidedcosttbl2,ROUNDUP($H110,0),BJ$2)-(INDEX(avoidedcosttbl2,ROUNDDOWN($H110,0),BJ$2)))))*'Inputs Yr 2'!P110*'Inputs Yr 2'!Q110*'Inputs Yr 2'!U110,"")</f>
        <v/>
      </c>
      <c r="BK110" s="195" t="str">
        <f>IFERROR($G110*(IF('Inputs Yr 2'!$AJ110=BK$4,'Inputs Yr 2'!$AK110,IF('Inputs Yr 2'!$AL110=BK$4,'Inputs Yr 2'!$AM110,IF('Inputs Yr 2'!$AN110=BK$4,'Inputs Yr 2'!$AO110,0))))*(INDEX(avoidedcosttbl2,$H110,BK$2)+(($H110-ROUNDDOWN($H110,0))*(INDEX(avoidedcosttbl2,ROUNDUP($H110,0),BK$2)-(INDEX(avoidedcosttbl2,ROUNDDOWN($H110,0),BK$2)))))*'Inputs Yr 2'!P110*'Inputs Yr 2'!Q110*'Inputs Yr 2'!U110,"")</f>
        <v/>
      </c>
      <c r="BL110" s="195" t="str">
        <f>IFERROR($G110*(IF('Inputs Yr 2'!$AJ110=BL$4,'Inputs Yr 2'!$AK110,IF('Inputs Yr 2'!$AL110=BL$4,'Inputs Yr 2'!$AM110,IF('Inputs Yr 2'!$AN110=BL$4,'Inputs Yr 2'!$AO110,0))))*(INDEX(avoidedcosttbl2,$H110,BL$2)+(($H110-ROUNDDOWN($H110,0))*(INDEX(avoidedcosttbl2,ROUNDUP($H110,0),BL$2)-(INDEX(avoidedcosttbl2,ROUNDDOWN($H110,0),BL$2)))))*'Inputs Yr 2'!P110*'Inputs Yr 2'!Q110*'Inputs Yr 2'!U110,"")</f>
        <v/>
      </c>
      <c r="BM110" s="195" t="str">
        <f>IFERROR($G110*(IF('Inputs Yr 2'!$AJ110=BM$4,'Inputs Yr 2'!$AK110,IF('Inputs Yr 2'!$AL110=BM$4,'Inputs Yr 2'!$AM110,IF('Inputs Yr 2'!$AN110=BM$4,'Inputs Yr 2'!$AO110,0))))*(INDEX(avoidedcosttbl2,$H110,BM$2)+(($H110-ROUNDDOWN($H110,0))*(INDEX(avoidedcosttbl2,ROUNDUP($H110,0),BM$2)-(INDEX(avoidedcosttbl2,ROUNDDOWN($H110,0),BM$2)))))*'Inputs Yr 2'!P110*'Inputs Yr 2'!Q110*'Inputs Yr 2'!U110,"")</f>
        <v/>
      </c>
      <c r="BN110" s="195" t="str">
        <f>IFERROR($G110*(IF('Inputs Yr 2'!$AJ110=BN$4,'Inputs Yr 2'!$AK110,IF('Inputs Yr 2'!$AL110=BN$4,'Inputs Yr 2'!$AM110,IF('Inputs Yr 2'!$AN110=BN$4,'Inputs Yr 2'!$AO110,0))))*(INDEX(avoidedcosttbl2,$H110,BN$2)+(($H110-ROUNDDOWN($H110,0))*(INDEX(avoidedcosttbl2,ROUNDUP($H110,0),BN$2)-(INDEX(avoidedcosttbl2,ROUNDDOWN($H110,0),BN$2)))))*'Inputs Yr 2'!P110*'Inputs Yr 2'!Q110*'Inputs Yr 2'!U110,"")</f>
        <v/>
      </c>
      <c r="BO110" s="195" t="str">
        <f>IFERROR($G110*(IF('Inputs Yr 2'!$AJ110=BO$4,'Inputs Yr 2'!$AK110,IF('Inputs Yr 2'!$AL110=BO$4,'Inputs Yr 2'!$AM110,IF('Inputs Yr 2'!$AN110=BO$4,'Inputs Yr 2'!$AO110,0))))*(INDEX(avoidedcosttbl2,$H110,BO$2)+(($H110-ROUNDDOWN($H110,0))*(INDEX(avoidedcosttbl2,ROUNDUP($H110,0),BO$2)-(INDEX(avoidedcosttbl2,ROUNDDOWN($H110,0),BO$2)))))*'Inputs Yr 2'!P110*'Inputs Yr 2'!Q110*'Inputs Yr 2'!U110,"")</f>
        <v/>
      </c>
      <c r="BP110" s="195" t="str">
        <f>IFERROR($G110*(IF('Inputs Yr 2'!$AJ110=BP$4,'Inputs Yr 2'!$AK110,IF('Inputs Yr 2'!$AL110=BP$4,'Inputs Yr 2'!$AM110,IF('Inputs Yr 2'!$AN110=BP$4,'Inputs Yr 2'!$AO110,0))))*(INDEX(avoidedcosttbl2,$H110,BP$2)+(($H110-ROUNDDOWN($H110,0))*(INDEX(avoidedcosttbl2,ROUNDUP($H110,0),BP$2)-(INDEX(avoidedcosttbl2,ROUNDDOWN($H110,0),BP$2)))))*'Inputs Yr 2'!P110*'Inputs Yr 2'!Q110*'Inputs Yr 2'!U110,"")</f>
        <v/>
      </c>
      <c r="BQ110" s="230">
        <f t="shared" si="68"/>
        <v>0</v>
      </c>
      <c r="BR110" s="197" t="str">
        <f t="shared" si="52"/>
        <v/>
      </c>
      <c r="BS110" s="197" t="str">
        <f>IFERROR(($G110*IF('Inputs Yr 2'!$AJ110=BM$4,'Inputs Yr 2'!$AK110,IF('Inputs Yr 2'!$AL110=BM$4,'Inputs Yr 2'!$AM110,IF('Inputs Yr 2'!$AN110=BM$4,'Inputs Yr 2'!$AO110,0))))*(INDEX(avoidedcosttbl2,$H110,BS$2)+(($H110-ROUNDDOWN($H110,0))*(INDEX(avoidedcosttbl2,ROUNDUP($H110,0),BS$2)-(INDEX(avoidedcosttbl2,ROUNDDOWN($H110,0),BS$2)))))*'Inputs Yr 2'!P110*'Inputs Yr 2'!Q110*'Inputs Yr 2'!U110,"")</f>
        <v/>
      </c>
      <c r="BT110" s="197" t="str">
        <f>IFERROR(($G110*IF('Inputs Yr 2'!$AJ110=BK$4,'Inputs Yr 2'!$AK110,IF('Inputs Yr 2'!$AL110=BK$4,'Inputs Yr 2'!$AM110,IF('Inputs Yr 2'!$AN110=BK$4,'Inputs Yr 2'!$AO110,0))))*(INDEX(avoidedcosttbl2,$H110,BT$2)+(($H110-ROUNDDOWN($H110,0))*(INDEX(avoidedcosttbl2,ROUNDUP($H110,0),BT$2)-(INDEX(avoidedcosttbl2,ROUNDDOWN($H110,0),BT$2)))))*'Inputs Yr 2'!P110*'Inputs Yr 2'!Q110*'Inputs Yr 2'!U110,"")</f>
        <v/>
      </c>
      <c r="BU110" s="197" t="str">
        <f>IFERROR(($G110*IF('Inputs Yr 2'!$AJ110=BL$4,'Inputs Yr 2'!$AK110,IF('Inputs Yr 2'!$AL110=BL$4,'Inputs Yr 2'!$AM110,IF('Inputs Yr 2'!$AN110=BL$4,'Inputs Yr 2'!$AO110,0))))*(INDEX(avoidedcosttbl2,$H110,BU$2)+(($H110-ROUNDDOWN($H110,0))*(INDEX(avoidedcosttbl2,ROUNDUP($H110,0),BU$2)-(INDEX(avoidedcosttbl2,ROUNDDOWN($H110,0),BU$2)))))*'Inputs Yr 2'!P110*'Inputs Yr 2'!Q110*'Inputs Yr 2'!U110,"")</f>
        <v/>
      </c>
      <c r="BV110" s="775" t="str">
        <f>IFERROR(($G110*IF('Inputs Yr 2'!$AJ110=BJ$4,'Inputs Yr 2'!$AK110,IF('Inputs Yr 2'!$AL110=BJ$4,'Inputs Yr 2'!$AM110,IF('Inputs Yr 2'!$AN110=BJ$4,'Inputs Yr 2'!$AO110,0))))*(INDEX(avoidedcosttbl2,$H110,BV$2)+(($H110-ROUNDDOWN($H110,0))*(INDEX(avoidedcosttbl2,ROUNDUP($H110,0),BV$2)-(INDEX(avoidedcosttbl2,ROUNDDOWN($H110,0),BV$2)))))*'Inputs Yr 2'!P110*'Inputs Yr 2'!Q110*'Inputs Yr 2'!U110,"")</f>
        <v/>
      </c>
      <c r="BW110" s="197" t="str">
        <f>IFERROR(($G110*IF('Inputs Yr 2'!$AJ110=BN$4,'Inputs Yr 2'!$AK110,IF('Inputs Yr 2'!$AL110=BN$4,'Inputs Yr 2'!$AM110,IF('Inputs Yr 2'!$AN110=BN$4,'Inputs Yr 2'!$AO110,0))))*(INDEX(avoidedcosttbl2,$H110,BW$2)+(($H110-ROUNDDOWN($H110,0))*(INDEX(avoidedcosttbl2,ROUNDUP($H110,0),BW$2)-(INDEX(avoidedcosttbl2,ROUNDDOWN($H110,0),BW$2)))))*'Inputs Yr 2'!P110*'Inputs Yr 2'!Q110*'Inputs Yr 2'!U110,"")</f>
        <v/>
      </c>
      <c r="BX110" s="197" t="str">
        <f>IFERROR(($G110*IF('Inputs Yr 2'!$AJ110=BO$4,'Inputs Yr 2'!$AK110,IF('Inputs Yr 2'!$AL110=BO$4,'Inputs Yr 2'!$AM110,IF('Inputs Yr 2'!$AN110=BO$4,'Inputs Yr 2'!$AO110,0))))*(INDEX(avoidedcosttbl2,$H110,BX$2)+(($H110-ROUNDDOWN($H110,0))*(INDEX(avoidedcosttbl2,ROUNDUP($H110,0),BX$2)-(INDEX(avoidedcosttbl2,ROUNDDOWN($H110,0),BX$2)))))*'Inputs Yr 2'!P110*'Inputs Yr 2'!Q110*'Inputs Yr 2'!U110,"")</f>
        <v/>
      </c>
      <c r="BY110" s="197" t="str">
        <f>IFERROR(($G110*IF('Inputs Yr 2'!$AJ110=BP$4,'Inputs Yr 2'!$AK110,IF('Inputs Yr 2'!$AL110=BP$4,'Inputs Yr 2'!$AM110,IF('Inputs Yr 2'!$AN110=BP$4,'Inputs Yr 2'!$AO110,0))))*(INDEX(avoidedcosttbl2,$H110,BY$2)+(($H110-ROUNDDOWN($H110,0))*(INDEX(avoidedcosttbl2,ROUNDUP($H110,0),BY$2)-(INDEX(avoidedcosttbl2,ROUNDDOWN($H110,0),BY$2)))))*'Inputs Yr 2'!P110*'Inputs Yr 2'!Q110*'Inputs Yr 2'!U110,"")</f>
        <v/>
      </c>
      <c r="BZ110" s="193">
        <f t="shared" si="69"/>
        <v>0</v>
      </c>
      <c r="CA110" s="193">
        <f t="shared" si="70"/>
        <v>0</v>
      </c>
      <c r="CB110" s="195" t="str">
        <f>IFERROR(G110*(IF('Inputs Yr 2'!$AJ110=CB$4,'Inputs Yr 2'!$AK110,IF('Inputs Yr 2'!$AL110=CB$4,'Inputs Yr 2'!$AM110,IF('Inputs Yr 2'!$AN110=CB$4,'Inputs Yr 2'!$AO110,0))))*(INDEX(avoidedcosttbl2,$H110,CB$2)+(($H110-ROUNDDOWN($H110,0))*(INDEX(avoidedcosttbl2,ROUNDUP($H110,0),CB$2)-(INDEX(avoidedcosttbl2,ROUNDDOWN($H110,0),CB$2)))))*'Inputs Yr 2'!P110*'Inputs Yr 2'!Q110*'Inputs Yr 2'!U110,"")</f>
        <v/>
      </c>
      <c r="CC110" s="195" t="str">
        <f>IFERROR(H110*(IF('Inputs Yr 2'!$AJ110=CC$4,'Inputs Yr 2'!$AK110,IF('Inputs Yr 2'!$AL110=CC$4,'Inputs Yr 2'!$AM110,IF('Inputs Yr 2'!$AN110=CC$4,'Inputs Yr 2'!$AO110,0))))*(INDEX(avoidedcosttbl2,$H110,CC$2)+(($H110-ROUNDDOWN($H110,0))*(INDEX(avoidedcosttbl2,ROUNDUP($H110,0),CC$2)-(INDEX(avoidedcosttbl2,ROUNDDOWN($H110,0),CC$2)))))*'Inputs Yr 2'!Q110*'Inputs Yr 2'!R110*'Inputs Yr 2'!V110,"")</f>
        <v/>
      </c>
      <c r="CD110" s="195" t="str">
        <f>IFERROR(I110*(IF('Inputs Yr 2'!$AJ110=CD$4,'Inputs Yr 2'!$AK110,IF('Inputs Yr 2'!$AL110=CD$4,'Inputs Yr 2'!$AM110,IF('Inputs Yr 2'!$AN110=CD$4,'Inputs Yr 2'!$AO110,0))))*(INDEX(avoidedcosttbl2,$H110,CD$2)+(($H110-ROUNDDOWN($H110,0))*(INDEX(avoidedcosttbl2,ROUNDUP($H110,0),CD$2)-(INDEX(avoidedcosttbl2,ROUNDDOWN($H110,0),CD$2)))))*'Inputs Yr 2'!R110*'Inputs Yr 2'!S110*'Inputs Yr 2'!W110,"")</f>
        <v/>
      </c>
      <c r="CE110" s="213" t="str">
        <f t="shared" si="71"/>
        <v/>
      </c>
      <c r="CF110" s="213" t="str">
        <f t="shared" si="72"/>
        <v/>
      </c>
      <c r="CG110" s="213" t="str">
        <f t="shared" si="73"/>
        <v/>
      </c>
      <c r="CH110" s="698">
        <f t="shared" si="74"/>
        <v>0</v>
      </c>
      <c r="CI110" s="79" t="str">
        <f>IFERROR(($G110*'Inputs Yr 2'!$P110*'Inputs Yr 2'!$Q110*(((INDEX(avoidedcosttbl2,$H110,CI$2)+(($H110-ROUNDDOWN($H110,0))*(INDEX(avoidedcosttbl2,ROUNDUP($H110,0),CI$2)-INDEX(avoidedcosttbl2,ROUNDDOWN($H110,0),CI$2))))*'Inputs Yr 2'!AS110))),"")</f>
        <v/>
      </c>
      <c r="CJ110" s="504" t="str">
        <f>IFERROR($G110*'Inputs Yr 2'!AT110*'Inputs Yr 2'!$P110*'Inputs Yr 2'!$Q110/((1+realdiscrt1)^-0.5),"")</f>
        <v/>
      </c>
      <c r="CK110" s="79" t="str">
        <f>IFERROR((O110*1000*(((INDEX(avoidedcosttbl2,$H110,CK$2)+(($H110-ROUNDDOWN($H110,0))*(INDEX(avoidedcosttbl2,ROUNDUP($H110,0),CK$2)-INDEX(avoidedcosttbl2,ROUNDDOWN($H110,0),CK$2))))*'Inputs Yr 2'!AU110))),"")</f>
        <v/>
      </c>
      <c r="CL110" s="504" t="str">
        <f>IFERROR(O110*1000*'Inputs Yr 2'!AV110/((1+realdiscrt1)^-0.5),"")</f>
        <v/>
      </c>
      <c r="CM110" s="79" t="str">
        <f>IFERROR((AB110*'Inputs Yr 2'!AW110*(((INDEX(avoidedcosttbl2,$H110,CM$2)+(($H110-ROUNDDOWN($H110,0))*(INDEX(avoidedcosttbl2,ROUNDUP($H110,0),CM$2)-INDEX(avoidedcosttbl2,ROUNDDOWN($H110,0),CM$2)))))))*10,"")</f>
        <v/>
      </c>
      <c r="CN110" s="504">
        <f>IFERROR(10*AB110*'Inputs Yr 2'!AX110/((1+realdiscrt1)^-0.5),"")</f>
        <v>0</v>
      </c>
      <c r="CO110" s="505">
        <f t="shared" si="75"/>
        <v>0</v>
      </c>
      <c r="CP110" s="230">
        <f t="shared" si="76"/>
        <v>0</v>
      </c>
      <c r="CQ110" s="199">
        <f>ROUND(IFERROR(IF(LEFT($A110,1)="C",'Avoided Costs'!$K$13,'Avoided Costs'!$K$12)+1,""),4)</f>
        <v>1.0720000000000001</v>
      </c>
      <c r="CR110" s="199">
        <f>ROUND(IFERROR(IF(LEFT($A110,1)="C",'Avoided Costs'!$L$13,'Avoided Costs'!$L$12)+1,""),4)</f>
        <v>1.04</v>
      </c>
      <c r="CS110" s="199">
        <f>ROUND(IFERROR(IF(LEFT($A110,1)="C",'Avoided Costs'!$M$13,'Avoided Costs'!$M$12)+1,""),4)</f>
        <v>1.0720000000000001</v>
      </c>
      <c r="CT110" s="199">
        <f>ROUND(IFERROR(IF(LEFT($A110,1)="C",'Avoided Costs'!$N$13,'Avoided Costs'!$N$12)+1,""),4)</f>
        <v>1.04</v>
      </c>
      <c r="CU110" s="199">
        <f>ROUND(IFERROR(IF(LEFT($A110,1)="C",'Avoided Costs'!$O$13,'Avoided Costs'!$O$12)+1,""),4)</f>
        <v>1.1120000000000001</v>
      </c>
      <c r="CV110" s="199">
        <f>ROUND(IFERROR(IF(LEFT($A110,1)="C",'Avoided Costs'!$P$13,'Avoided Costs'!$P$12)+1,""),4)</f>
        <v>1.095</v>
      </c>
      <c r="CW110" s="199">
        <f>ROUND(IFERROR(IF(LEFT($A110,1)="C",'Avoided Costs'!$Q$13,'Avoided Costs'!$Q$12)+1,""),4)</f>
        <v>1.1120000000000001</v>
      </c>
      <c r="CX110" s="200">
        <f>ROUND(IFERROR(IF(LEFT($A110,1)="C",'Avoided Costs'!$R$13,'Avoided Costs'!$R$12)+1,""),4)</f>
        <v>1.1120000000000001</v>
      </c>
    </row>
    <row r="111" spans="1:102" ht="12.75" customHeight="1">
      <c r="A111" s="91" t="str">
        <f>IF('Inputs Yr 2'!$B111=0,"",'Inputs Yr 2'!A111)</f>
        <v>B - Low Income</v>
      </c>
      <c r="B111" s="91" t="str">
        <f>IF('Inputs Yr 2'!$B111=0,"",'Inputs Yr 2'!B111)</f>
        <v>B1 - Low-Income Whole House</v>
      </c>
      <c r="C111" s="91" t="str">
        <f>IF('Inputs Yr 2'!$B111=0,"",'Inputs Yr 2'!C111)</f>
        <v>B1a - Low-Income Single Family Retrofit</v>
      </c>
      <c r="D111" s="91" t="str">
        <f>IF('Inputs Yr 2'!$B111=0,"",'Inputs Yr 2'!E111)</f>
        <v>Low-Flow Showerhead, Gas</v>
      </c>
      <c r="E111" s="93" t="str">
        <f>IF('Inputs Yr 2'!$B111=0,"",'Inputs Yr 2'!F111)</f>
        <v>G16B1a11</v>
      </c>
      <c r="F111" s="93" t="str">
        <f>IF('Inputs Yr 2'!$B111=0,"",'Inputs Yr 2'!G111)</f>
        <v>Hot Water</v>
      </c>
      <c r="G111" s="95" t="str">
        <f>IF('Inputs Yr 2'!$H111&lt;&gt;0,('Inputs Yr 2'!H111),"")</f>
        <v/>
      </c>
      <c r="H111" s="94">
        <f>IFERROR('Inputs Yr 2'!I111,"")</f>
        <v>0</v>
      </c>
      <c r="I111" s="298" t="str">
        <f>IFERROR('Inputs Yr 2'!J111*'Inputs Yr 2'!P111*G111,"")</f>
        <v/>
      </c>
      <c r="J111" s="298" t="str">
        <f>IFERROR('Inputs Yr 2'!K111*G111,"")</f>
        <v/>
      </c>
      <c r="K111" s="298" t="str">
        <f t="shared" si="53"/>
        <v/>
      </c>
      <c r="L111" s="194" t="str">
        <f>IFERROR(('Inputs Yr 2'!W111*G111)/1000,"")</f>
        <v/>
      </c>
      <c r="M111" s="194" t="str">
        <f>IFERROR(L111*('Inputs Yr 2'!$Q111*'Inputs Yr 2'!$V111*'Inputs Yr 2'!$R111),"")</f>
        <v/>
      </c>
      <c r="N111" s="194" t="str">
        <f t="shared" si="54"/>
        <v/>
      </c>
      <c r="O111" s="194" t="str">
        <f>IFERROR(M111*'Inputs Yr 2'!P111,"")</f>
        <v/>
      </c>
      <c r="P111" s="194" t="str">
        <f t="shared" si="55"/>
        <v/>
      </c>
      <c r="Q111" s="194" t="str">
        <f>IFERROR($P111*'Inputs Yr 2'!AA111,"")</f>
        <v/>
      </c>
      <c r="R111" s="194" t="str">
        <f>IFERROR($P111*'Inputs Yr 2'!AB111,"")</f>
        <v/>
      </c>
      <c r="S111" s="194" t="str">
        <f>IFERROR($P111*'Inputs Yr 2'!AC111,"")</f>
        <v/>
      </c>
      <c r="T111" s="194" t="str">
        <f>IFERROR($P111*'Inputs Yr 2'!AD111,"")</f>
        <v/>
      </c>
      <c r="U111" s="194" t="str">
        <f>IFERROR(G111*'Inputs Yr 2'!$AE111*'Inputs Yr 2'!$P111*'Inputs Yr 2'!$Q111,"")</f>
        <v/>
      </c>
      <c r="V111" s="194" t="str">
        <f>IFERROR($G111*'Inputs Yr 2'!$AE111*'Inputs Yr 2'!$AG111*'Inputs Yr 2'!Q111*'Inputs Yr 2'!$S111,"")</f>
        <v/>
      </c>
      <c r="W111" s="194" t="str">
        <f>IFERROR($G111*'Inputs Yr 2'!$AE111*'Inputs Yr 2'!$AG111*'Inputs Yr 2'!P111*'Inputs Yr 2'!Q111*'Inputs Yr 2'!$S111,"")</f>
        <v/>
      </c>
      <c r="X111" s="194" t="str">
        <f>IFERROR($G111*'Inputs Yr 2'!$AE111*'Inputs Yr 2'!$AF111*'Inputs Yr 2'!Q111*'Inputs Yr 2'!$T111,"")</f>
        <v/>
      </c>
      <c r="Y111" s="194" t="str">
        <f>IFERROR($G111*'Inputs Yr 2'!$AE111*'Inputs Yr 2'!$AF111*'Inputs Yr 2'!P111*'Inputs Yr 2'!Q111*'Inputs Yr 2'!$T111,"")</f>
        <v/>
      </c>
      <c r="Z111" s="257">
        <f>IFERROR($G111*'Inputs Yr 2'!$Q111*'Inputs Yr 2'!$U111*(IF(IFERROR(SEARCH("NG", 'Inputs Yr 2'!$AJ111),0),'Inputs Yr 2'!$AK111,0)+IF(IFERROR(SEARCH("NG", 'Inputs Yr 2'!$AL111),0),'Inputs Yr 2'!$AM111,0)+IF(IFERROR(SEARCH("NG", 'Inputs Yr 2'!$AN111),0),'Inputs Yr 2'!$AO111,0)),0)</f>
        <v>0</v>
      </c>
      <c r="AA111" s="257">
        <f t="shared" si="56"/>
        <v>0</v>
      </c>
      <c r="AB111" s="257">
        <f>IFERROR(Z111*'Inputs Yr 2'!$P111,0)</f>
        <v>0</v>
      </c>
      <c r="AC111" s="257">
        <f t="shared" si="57"/>
        <v>0</v>
      </c>
      <c r="AD111" s="257">
        <f>IFERROR($G111*'Inputs Yr 2'!$Q111*'Inputs Yr 2'!$U111*(IF(IFERROR(SEARCH("Oil", 'Inputs Yr 2'!$AJ111), 0),'Inputs Yr 2'!$AK111,0)+IF(IFERROR(SEARCH("Oil", 'Inputs Yr 2'!$AL111), 0),'Inputs Yr 2'!$AM111,0)+IF(IFERROR(SEARCH("Oil", 'Inputs Yr 2'!$AN111), 0),'Inputs Yr 2'!$AO111,0)),0)</f>
        <v>0</v>
      </c>
      <c r="AE111" s="257">
        <f t="shared" si="58"/>
        <v>0</v>
      </c>
      <c r="AF111" s="257">
        <f>IFERROR(AD111*'Inputs Yr 2'!$P111,0)</f>
        <v>0</v>
      </c>
      <c r="AG111" s="257">
        <f t="shared" si="59"/>
        <v>0</v>
      </c>
      <c r="AH111" s="257">
        <f>IFERROR($G111*'Inputs Yr 2'!$Q111*'Inputs Yr 2'!$U111*(IF('Inputs Yr 2'!$AJ111=CD$4,'Inputs Yr 2'!$AK111,IF('Inputs Yr 2'!$AL111=CD$4,'Inputs Yr 2'!$AM111,IF('Inputs Yr 2'!$AN111=CD$4,'Inputs Yr 2'!$AO111,0)))),0)</f>
        <v>0</v>
      </c>
      <c r="AI111" s="257">
        <f t="shared" si="60"/>
        <v>0</v>
      </c>
      <c r="AJ111" s="257">
        <f>IFERROR(AH111*'Inputs Yr 2'!$P111,0)</f>
        <v>0</v>
      </c>
      <c r="AK111" s="257">
        <f t="shared" si="61"/>
        <v>0</v>
      </c>
      <c r="AL111" s="258">
        <f>IFERROR($G111*'Inputs Yr 2'!$P111*'Inputs Yr 2'!$Q111*'Inputs Yr 2'!AP111,0)</f>
        <v>0</v>
      </c>
      <c r="AM111" s="260">
        <f>IFERROR($G111*'Inputs Yr 2'!$P111*'Inputs Yr 2'!$Q111*'Inputs Yr 2'!AQ111,0)</f>
        <v>0</v>
      </c>
      <c r="AN111" s="258">
        <f>IFERROR($G111*'Inputs Yr 2'!$P111*'Inputs Yr 2'!$Q111*'Inputs Yr 2'!AR111,0)</f>
        <v>0</v>
      </c>
      <c r="AO111" s="257">
        <f t="shared" si="62"/>
        <v>0</v>
      </c>
      <c r="AP111" s="195" t="str">
        <f>IFERROR($CQ111*(INDEX(avoidedcosttbl2,$H111,AP$2)+(($H111-ROUNDDOWN($H111,0))*(INDEX(avoidedcosttbl2,ROUNDUP($H111,0),AP$2)-(INDEX(avoidedcosttbl2,ROUNDDOWN($H111,0),AP$2)))))*$O111*1000*'Inputs Yr 2'!AA111,"")</f>
        <v/>
      </c>
      <c r="AQ111" s="195" t="str">
        <f>IFERROR($CR111*(INDEX(avoidedcosttbl2,$H111,AQ$2)+(($H111-ROUNDDOWN($H111,0))*(INDEX(avoidedcosttbl2,ROUNDUP($H111,0),AQ$2)-(INDEX(avoidedcosttbl2,ROUNDDOWN($H111,0),AQ$2)))))*$O111*1000*'Inputs Yr 2'!AB111,"")</f>
        <v/>
      </c>
      <c r="AR111" s="195" t="str">
        <f>IFERROR($CS111*(INDEX(avoidedcosttbl2,$H111,AR$2)+(($H111-ROUNDDOWN($H111,0))*(INDEX(avoidedcosttbl2,ROUNDUP($H111,0),AR$2)-(INDEX(avoidedcosttbl2,ROUNDDOWN($H111,0),AR$2)))))*$O111*1000*'Inputs Yr 2'!AC111,"")</f>
        <v/>
      </c>
      <c r="AS111" s="195" t="str">
        <f>IFERROR($CT111*(INDEX(avoidedcosttbl2,$H111,AS$2)+(($H111-ROUNDDOWN($H111,0))*(INDEX(avoidedcosttbl2,ROUNDUP($H111,0),AS$2)-(INDEX(avoidedcosttbl2,ROUNDDOWN($H111,0),AS$2)))))*$O111*1000*'Inputs Yr 2'!AD111,"")</f>
        <v/>
      </c>
      <c r="AT111" s="196">
        <f t="shared" si="63"/>
        <v>0</v>
      </c>
      <c r="AU111" s="197" t="str">
        <f>IFERROR($CQ111*((INDEX(avoidedcosttbl2,$H111,AU$2))+(($H111-ROUNDDOWN($H111,0))*((INDEX(avoidedcosttbl2,ROUNDUP($H111,0),AU$2))-(INDEX(avoidedcosttbl2,ROUNDDOWN($H111,0),AU$2)))))*$O111*1000*'Inputs Yr 2'!AA111,"")</f>
        <v/>
      </c>
      <c r="AV111" s="197" t="str">
        <f>IFERROR($CR111*((INDEX(avoidedcosttbl2,$H111,AV$2))+(($H111-ROUNDDOWN($H111,0))*((INDEX(avoidedcosttbl2,ROUNDUP($H111,0),AV$2))-(INDEX(avoidedcosttbl2,ROUNDDOWN($H111,0),AV$2)))))*$O111*1000*'Inputs Yr 2'!AB111,"")</f>
        <v/>
      </c>
      <c r="AW111" s="197" t="str">
        <f>IFERROR($CS111*((INDEX(avoidedcosttbl2,$H111,AW$2))+(($H111-ROUNDDOWN($H111,0))*((INDEX(avoidedcosttbl2,ROUNDUP($H111,0),AW$2))-(INDEX(avoidedcosttbl2,ROUNDDOWN($H111,0),AW$2)))))*$O111*1000*'Inputs Yr 2'!AC111,"")</f>
        <v/>
      </c>
      <c r="AX111" s="197" t="str">
        <f>IFERROR($CT111*((INDEX(avoidedcosttbl2,$H111,AX$2))+(($H111-ROUNDDOWN($H111,0))*((INDEX(avoidedcosttbl2,ROUNDUP($H111,0),AX$2))-(INDEX(avoidedcosttbl2,ROUNDDOWN($H111,0),AX$2)))))*$O111*1000*'Inputs Yr 2'!AD111,"")</f>
        <v/>
      </c>
      <c r="AY111" s="197" t="str">
        <f>IFERROR(((INDEX(avoidedcosttbl2,$H111,AY$2))+(($H111-ROUNDDOWN($H111,0))*((INDEX(avoidedcosttbl2,ROUNDUP($H111,0),AY$2))-(INDEX(avoidedcosttbl2,ROUNDDOWN($H111,0),AY$2)))))*$O111*1000*('Inputs Yr 2'!AC111+'Inputs Yr 2'!AD111),"")</f>
        <v/>
      </c>
      <c r="AZ111" s="197" t="str">
        <f>IFERROR(((INDEX(avoidedcosttbl2,$H111,AZ$2))+(($H111-ROUNDDOWN($H111,0))*((INDEX(avoidedcosttbl2,ROUNDUP($H111,0),AZ$2))-(INDEX(avoidedcosttbl2,ROUNDDOWN($H111,0),AZ$2)))))*$O111*1000*('Inputs Yr 2'!AA111+'Inputs Yr 2'!AB111),"")</f>
        <v/>
      </c>
      <c r="BA111" s="198">
        <f t="shared" si="64"/>
        <v>0</v>
      </c>
      <c r="BB111" s="198">
        <f t="shared" si="65"/>
        <v>0</v>
      </c>
      <c r="BC111" s="195" t="str">
        <f t="shared" si="47"/>
        <v/>
      </c>
      <c r="BD111" s="195" t="str">
        <f t="shared" si="48"/>
        <v/>
      </c>
      <c r="BE111" s="195" t="str">
        <f t="shared" si="49"/>
        <v/>
      </c>
      <c r="BF111" s="195" t="str">
        <f t="shared" si="50"/>
        <v/>
      </c>
      <c r="BG111" s="195" t="str">
        <f t="shared" si="51"/>
        <v/>
      </c>
      <c r="BH111" s="196">
        <f t="shared" si="66"/>
        <v>0</v>
      </c>
      <c r="BI111" s="196">
        <f t="shared" si="67"/>
        <v>0</v>
      </c>
      <c r="BJ111" s="195" t="str">
        <f>IFERROR($G111*(IF('Inputs Yr 2'!$AJ111=BJ$4,'Inputs Yr 2'!$AK111,IF('Inputs Yr 2'!$AL111=BJ$4,'Inputs Yr 2'!$AM111,IF('Inputs Yr 2'!$AN111=BJ$4,'Inputs Yr 2'!$AO111,0))))*(INDEX(avoidedcosttbl2,$H111,BJ$2)+(($H111-ROUNDDOWN($H111,0))*(INDEX(avoidedcosttbl2,ROUNDUP($H111,0),BJ$2)-(INDEX(avoidedcosttbl2,ROUNDDOWN($H111,0),BJ$2)))))*'Inputs Yr 2'!P111*'Inputs Yr 2'!Q111*'Inputs Yr 2'!U111,"")</f>
        <v/>
      </c>
      <c r="BK111" s="195" t="str">
        <f>IFERROR($G111*(IF('Inputs Yr 2'!$AJ111=BK$4,'Inputs Yr 2'!$AK111,IF('Inputs Yr 2'!$AL111=BK$4,'Inputs Yr 2'!$AM111,IF('Inputs Yr 2'!$AN111=BK$4,'Inputs Yr 2'!$AO111,0))))*(INDEX(avoidedcosttbl2,$H111,BK$2)+(($H111-ROUNDDOWN($H111,0))*(INDEX(avoidedcosttbl2,ROUNDUP($H111,0),BK$2)-(INDEX(avoidedcosttbl2,ROUNDDOWN($H111,0),BK$2)))))*'Inputs Yr 2'!P111*'Inputs Yr 2'!Q111*'Inputs Yr 2'!U111,"")</f>
        <v/>
      </c>
      <c r="BL111" s="195" t="str">
        <f>IFERROR($G111*(IF('Inputs Yr 2'!$AJ111=BL$4,'Inputs Yr 2'!$AK111,IF('Inputs Yr 2'!$AL111=BL$4,'Inputs Yr 2'!$AM111,IF('Inputs Yr 2'!$AN111=BL$4,'Inputs Yr 2'!$AO111,0))))*(INDEX(avoidedcosttbl2,$H111,BL$2)+(($H111-ROUNDDOWN($H111,0))*(INDEX(avoidedcosttbl2,ROUNDUP($H111,0),BL$2)-(INDEX(avoidedcosttbl2,ROUNDDOWN($H111,0),BL$2)))))*'Inputs Yr 2'!P111*'Inputs Yr 2'!Q111*'Inputs Yr 2'!U111,"")</f>
        <v/>
      </c>
      <c r="BM111" s="195" t="str">
        <f>IFERROR($G111*(IF('Inputs Yr 2'!$AJ111=BM$4,'Inputs Yr 2'!$AK111,IF('Inputs Yr 2'!$AL111=BM$4,'Inputs Yr 2'!$AM111,IF('Inputs Yr 2'!$AN111=BM$4,'Inputs Yr 2'!$AO111,0))))*(INDEX(avoidedcosttbl2,$H111,BM$2)+(($H111-ROUNDDOWN($H111,0))*(INDEX(avoidedcosttbl2,ROUNDUP($H111,0),BM$2)-(INDEX(avoidedcosttbl2,ROUNDDOWN($H111,0),BM$2)))))*'Inputs Yr 2'!P111*'Inputs Yr 2'!Q111*'Inputs Yr 2'!U111,"")</f>
        <v/>
      </c>
      <c r="BN111" s="195" t="str">
        <f>IFERROR($G111*(IF('Inputs Yr 2'!$AJ111=BN$4,'Inputs Yr 2'!$AK111,IF('Inputs Yr 2'!$AL111=BN$4,'Inputs Yr 2'!$AM111,IF('Inputs Yr 2'!$AN111=BN$4,'Inputs Yr 2'!$AO111,0))))*(INDEX(avoidedcosttbl2,$H111,BN$2)+(($H111-ROUNDDOWN($H111,0))*(INDEX(avoidedcosttbl2,ROUNDUP($H111,0),BN$2)-(INDEX(avoidedcosttbl2,ROUNDDOWN($H111,0),BN$2)))))*'Inputs Yr 2'!P111*'Inputs Yr 2'!Q111*'Inputs Yr 2'!U111,"")</f>
        <v/>
      </c>
      <c r="BO111" s="195" t="str">
        <f>IFERROR($G111*(IF('Inputs Yr 2'!$AJ111=BO$4,'Inputs Yr 2'!$AK111,IF('Inputs Yr 2'!$AL111=BO$4,'Inputs Yr 2'!$AM111,IF('Inputs Yr 2'!$AN111=BO$4,'Inputs Yr 2'!$AO111,0))))*(INDEX(avoidedcosttbl2,$H111,BO$2)+(($H111-ROUNDDOWN($H111,0))*(INDEX(avoidedcosttbl2,ROUNDUP($H111,0),BO$2)-(INDEX(avoidedcosttbl2,ROUNDDOWN($H111,0),BO$2)))))*'Inputs Yr 2'!P111*'Inputs Yr 2'!Q111*'Inputs Yr 2'!U111,"")</f>
        <v/>
      </c>
      <c r="BP111" s="195" t="str">
        <f>IFERROR($G111*(IF('Inputs Yr 2'!$AJ111=BP$4,'Inputs Yr 2'!$AK111,IF('Inputs Yr 2'!$AL111=BP$4,'Inputs Yr 2'!$AM111,IF('Inputs Yr 2'!$AN111=BP$4,'Inputs Yr 2'!$AO111,0))))*(INDEX(avoidedcosttbl2,$H111,BP$2)+(($H111-ROUNDDOWN($H111,0))*(INDEX(avoidedcosttbl2,ROUNDUP($H111,0),BP$2)-(INDEX(avoidedcosttbl2,ROUNDDOWN($H111,0),BP$2)))))*'Inputs Yr 2'!P111*'Inputs Yr 2'!Q111*'Inputs Yr 2'!U111,"")</f>
        <v/>
      </c>
      <c r="BQ111" s="230">
        <f t="shared" si="68"/>
        <v>0</v>
      </c>
      <c r="BR111" s="197" t="str">
        <f t="shared" si="52"/>
        <v/>
      </c>
      <c r="BS111" s="197" t="str">
        <f>IFERROR(($G111*IF('Inputs Yr 2'!$AJ111=BM$4,'Inputs Yr 2'!$AK111,IF('Inputs Yr 2'!$AL111=BM$4,'Inputs Yr 2'!$AM111,IF('Inputs Yr 2'!$AN111=BM$4,'Inputs Yr 2'!$AO111,0))))*(INDEX(avoidedcosttbl2,$H111,BS$2)+(($H111-ROUNDDOWN($H111,0))*(INDEX(avoidedcosttbl2,ROUNDUP($H111,0),BS$2)-(INDEX(avoidedcosttbl2,ROUNDDOWN($H111,0),BS$2)))))*'Inputs Yr 2'!P111*'Inputs Yr 2'!Q111*'Inputs Yr 2'!U111,"")</f>
        <v/>
      </c>
      <c r="BT111" s="197" t="str">
        <f>IFERROR(($G111*IF('Inputs Yr 2'!$AJ111=BK$4,'Inputs Yr 2'!$AK111,IF('Inputs Yr 2'!$AL111=BK$4,'Inputs Yr 2'!$AM111,IF('Inputs Yr 2'!$AN111=BK$4,'Inputs Yr 2'!$AO111,0))))*(INDEX(avoidedcosttbl2,$H111,BT$2)+(($H111-ROUNDDOWN($H111,0))*(INDEX(avoidedcosttbl2,ROUNDUP($H111,0),BT$2)-(INDEX(avoidedcosttbl2,ROUNDDOWN($H111,0),BT$2)))))*'Inputs Yr 2'!P111*'Inputs Yr 2'!Q111*'Inputs Yr 2'!U111,"")</f>
        <v/>
      </c>
      <c r="BU111" s="197" t="str">
        <f>IFERROR(($G111*IF('Inputs Yr 2'!$AJ111=BL$4,'Inputs Yr 2'!$AK111,IF('Inputs Yr 2'!$AL111=BL$4,'Inputs Yr 2'!$AM111,IF('Inputs Yr 2'!$AN111=BL$4,'Inputs Yr 2'!$AO111,0))))*(INDEX(avoidedcosttbl2,$H111,BU$2)+(($H111-ROUNDDOWN($H111,0))*(INDEX(avoidedcosttbl2,ROUNDUP($H111,0),BU$2)-(INDEX(avoidedcosttbl2,ROUNDDOWN($H111,0),BU$2)))))*'Inputs Yr 2'!P111*'Inputs Yr 2'!Q111*'Inputs Yr 2'!U111,"")</f>
        <v/>
      </c>
      <c r="BV111" s="775" t="str">
        <f>IFERROR(($G111*IF('Inputs Yr 2'!$AJ111=BJ$4,'Inputs Yr 2'!$AK111,IF('Inputs Yr 2'!$AL111=BJ$4,'Inputs Yr 2'!$AM111,IF('Inputs Yr 2'!$AN111=BJ$4,'Inputs Yr 2'!$AO111,0))))*(INDEX(avoidedcosttbl2,$H111,BV$2)+(($H111-ROUNDDOWN($H111,0))*(INDEX(avoidedcosttbl2,ROUNDUP($H111,0),BV$2)-(INDEX(avoidedcosttbl2,ROUNDDOWN($H111,0),BV$2)))))*'Inputs Yr 2'!P111*'Inputs Yr 2'!Q111*'Inputs Yr 2'!U111,"")</f>
        <v/>
      </c>
      <c r="BW111" s="197" t="str">
        <f>IFERROR(($G111*IF('Inputs Yr 2'!$AJ111=BN$4,'Inputs Yr 2'!$AK111,IF('Inputs Yr 2'!$AL111=BN$4,'Inputs Yr 2'!$AM111,IF('Inputs Yr 2'!$AN111=BN$4,'Inputs Yr 2'!$AO111,0))))*(INDEX(avoidedcosttbl2,$H111,BW$2)+(($H111-ROUNDDOWN($H111,0))*(INDEX(avoidedcosttbl2,ROUNDUP($H111,0),BW$2)-(INDEX(avoidedcosttbl2,ROUNDDOWN($H111,0),BW$2)))))*'Inputs Yr 2'!P111*'Inputs Yr 2'!Q111*'Inputs Yr 2'!U111,"")</f>
        <v/>
      </c>
      <c r="BX111" s="197" t="str">
        <f>IFERROR(($G111*IF('Inputs Yr 2'!$AJ111=BO$4,'Inputs Yr 2'!$AK111,IF('Inputs Yr 2'!$AL111=BO$4,'Inputs Yr 2'!$AM111,IF('Inputs Yr 2'!$AN111=BO$4,'Inputs Yr 2'!$AO111,0))))*(INDEX(avoidedcosttbl2,$H111,BX$2)+(($H111-ROUNDDOWN($H111,0))*(INDEX(avoidedcosttbl2,ROUNDUP($H111,0),BX$2)-(INDEX(avoidedcosttbl2,ROUNDDOWN($H111,0),BX$2)))))*'Inputs Yr 2'!P111*'Inputs Yr 2'!Q111*'Inputs Yr 2'!U111,"")</f>
        <v/>
      </c>
      <c r="BY111" s="197" t="str">
        <f>IFERROR(($G111*IF('Inputs Yr 2'!$AJ111=BP$4,'Inputs Yr 2'!$AK111,IF('Inputs Yr 2'!$AL111=BP$4,'Inputs Yr 2'!$AM111,IF('Inputs Yr 2'!$AN111=BP$4,'Inputs Yr 2'!$AO111,0))))*(INDEX(avoidedcosttbl2,$H111,BY$2)+(($H111-ROUNDDOWN($H111,0))*(INDEX(avoidedcosttbl2,ROUNDUP($H111,0),BY$2)-(INDEX(avoidedcosttbl2,ROUNDDOWN($H111,0),BY$2)))))*'Inputs Yr 2'!P111*'Inputs Yr 2'!Q111*'Inputs Yr 2'!U111,"")</f>
        <v/>
      </c>
      <c r="BZ111" s="193">
        <f t="shared" si="69"/>
        <v>0</v>
      </c>
      <c r="CA111" s="193">
        <f t="shared" si="70"/>
        <v>0</v>
      </c>
      <c r="CB111" s="195" t="str">
        <f>IFERROR(G111*(IF('Inputs Yr 2'!$AJ111=CB$4,'Inputs Yr 2'!$AK111,IF('Inputs Yr 2'!$AL111=CB$4,'Inputs Yr 2'!$AM111,IF('Inputs Yr 2'!$AN111=CB$4,'Inputs Yr 2'!$AO111,0))))*(INDEX(avoidedcosttbl2,$H111,CB$2)+(($H111-ROUNDDOWN($H111,0))*(INDEX(avoidedcosttbl2,ROUNDUP($H111,0),CB$2)-(INDEX(avoidedcosttbl2,ROUNDDOWN($H111,0),CB$2)))))*'Inputs Yr 2'!P111*'Inputs Yr 2'!Q111*'Inputs Yr 2'!U111,"")</f>
        <v/>
      </c>
      <c r="CC111" s="195" t="str">
        <f>IFERROR(H111*(IF('Inputs Yr 2'!$AJ111=CC$4,'Inputs Yr 2'!$AK111,IF('Inputs Yr 2'!$AL111=CC$4,'Inputs Yr 2'!$AM111,IF('Inputs Yr 2'!$AN111=CC$4,'Inputs Yr 2'!$AO111,0))))*(INDEX(avoidedcosttbl2,$H111,CC$2)+(($H111-ROUNDDOWN($H111,0))*(INDEX(avoidedcosttbl2,ROUNDUP($H111,0),CC$2)-(INDEX(avoidedcosttbl2,ROUNDDOWN($H111,0),CC$2)))))*'Inputs Yr 2'!Q111*'Inputs Yr 2'!R111*'Inputs Yr 2'!V111,"")</f>
        <v/>
      </c>
      <c r="CD111" s="195" t="str">
        <f>IFERROR(I111*(IF('Inputs Yr 2'!$AJ111=CD$4,'Inputs Yr 2'!$AK111,IF('Inputs Yr 2'!$AL111=CD$4,'Inputs Yr 2'!$AM111,IF('Inputs Yr 2'!$AN111=CD$4,'Inputs Yr 2'!$AO111,0))))*(INDEX(avoidedcosttbl2,$H111,CD$2)+(($H111-ROUNDDOWN($H111,0))*(INDEX(avoidedcosttbl2,ROUNDUP($H111,0),CD$2)-(INDEX(avoidedcosttbl2,ROUNDDOWN($H111,0),CD$2)))))*'Inputs Yr 2'!R111*'Inputs Yr 2'!S111*'Inputs Yr 2'!W111,"")</f>
        <v/>
      </c>
      <c r="CE111" s="213" t="str">
        <f t="shared" si="71"/>
        <v/>
      </c>
      <c r="CF111" s="213" t="str">
        <f t="shared" si="72"/>
        <v/>
      </c>
      <c r="CG111" s="213" t="str">
        <f t="shared" si="73"/>
        <v/>
      </c>
      <c r="CH111" s="698">
        <f t="shared" si="74"/>
        <v>0</v>
      </c>
      <c r="CI111" s="79" t="str">
        <f>IFERROR(($G111*'Inputs Yr 2'!$P111*'Inputs Yr 2'!$Q111*(((INDEX(avoidedcosttbl2,$H111,CI$2)+(($H111-ROUNDDOWN($H111,0))*(INDEX(avoidedcosttbl2,ROUNDUP($H111,0),CI$2)-INDEX(avoidedcosttbl2,ROUNDDOWN($H111,0),CI$2))))*'Inputs Yr 2'!AS111))),"")</f>
        <v/>
      </c>
      <c r="CJ111" s="504" t="str">
        <f>IFERROR($G111*'Inputs Yr 2'!AT111*'Inputs Yr 2'!$P111*'Inputs Yr 2'!$Q111/((1+realdiscrt1)^-0.5),"")</f>
        <v/>
      </c>
      <c r="CK111" s="79" t="str">
        <f>IFERROR((O111*1000*(((INDEX(avoidedcosttbl2,$H111,CK$2)+(($H111-ROUNDDOWN($H111,0))*(INDEX(avoidedcosttbl2,ROUNDUP($H111,0),CK$2)-INDEX(avoidedcosttbl2,ROUNDDOWN($H111,0),CK$2))))*'Inputs Yr 2'!AU111))),"")</f>
        <v/>
      </c>
      <c r="CL111" s="504" t="str">
        <f>IFERROR(O111*1000*'Inputs Yr 2'!AV111/((1+realdiscrt1)^-0.5),"")</f>
        <v/>
      </c>
      <c r="CM111" s="79" t="str">
        <f>IFERROR((AB111*'Inputs Yr 2'!AW111*(((INDEX(avoidedcosttbl2,$H111,CM$2)+(($H111-ROUNDDOWN($H111,0))*(INDEX(avoidedcosttbl2,ROUNDUP($H111,0),CM$2)-INDEX(avoidedcosttbl2,ROUNDDOWN($H111,0),CM$2)))))))*10,"")</f>
        <v/>
      </c>
      <c r="CN111" s="504">
        <f>IFERROR(10*AB111*'Inputs Yr 2'!AX111/((1+realdiscrt1)^-0.5),"")</f>
        <v>0</v>
      </c>
      <c r="CO111" s="505">
        <f t="shared" si="75"/>
        <v>0</v>
      </c>
      <c r="CP111" s="230">
        <f t="shared" si="76"/>
        <v>0</v>
      </c>
      <c r="CQ111" s="199">
        <f>ROUND(IFERROR(IF(LEFT($A111,1)="C",'Avoided Costs'!$K$13,'Avoided Costs'!$K$12)+1,""),4)</f>
        <v>1.0720000000000001</v>
      </c>
      <c r="CR111" s="199">
        <f>ROUND(IFERROR(IF(LEFT($A111,1)="C",'Avoided Costs'!$L$13,'Avoided Costs'!$L$12)+1,""),4)</f>
        <v>1.04</v>
      </c>
      <c r="CS111" s="199">
        <f>ROUND(IFERROR(IF(LEFT($A111,1)="C",'Avoided Costs'!$M$13,'Avoided Costs'!$M$12)+1,""),4)</f>
        <v>1.0720000000000001</v>
      </c>
      <c r="CT111" s="199">
        <f>ROUND(IFERROR(IF(LEFT($A111,1)="C",'Avoided Costs'!$N$13,'Avoided Costs'!$N$12)+1,""),4)</f>
        <v>1.04</v>
      </c>
      <c r="CU111" s="199">
        <f>ROUND(IFERROR(IF(LEFT($A111,1)="C",'Avoided Costs'!$O$13,'Avoided Costs'!$O$12)+1,""),4)</f>
        <v>1.1120000000000001</v>
      </c>
      <c r="CV111" s="199">
        <f>ROUND(IFERROR(IF(LEFT($A111,1)="C",'Avoided Costs'!$P$13,'Avoided Costs'!$P$12)+1,""),4)</f>
        <v>1.095</v>
      </c>
      <c r="CW111" s="199">
        <f>ROUND(IFERROR(IF(LEFT($A111,1)="C",'Avoided Costs'!$Q$13,'Avoided Costs'!$Q$12)+1,""),4)</f>
        <v>1.1120000000000001</v>
      </c>
      <c r="CX111" s="200">
        <f>ROUND(IFERROR(IF(LEFT($A111,1)="C",'Avoided Costs'!$R$13,'Avoided Costs'!$R$12)+1,""),4)</f>
        <v>1.1120000000000001</v>
      </c>
    </row>
    <row r="112" spans="1:102" ht="12.75" customHeight="1">
      <c r="A112" s="91" t="str">
        <f>IF('Inputs Yr 2'!$B112=0,"",'Inputs Yr 2'!A112)</f>
        <v>B - Low Income</v>
      </c>
      <c r="B112" s="91" t="str">
        <f>IF('Inputs Yr 2'!$B112=0,"",'Inputs Yr 2'!B112)</f>
        <v>B1 - Low-Income Whole House</v>
      </c>
      <c r="C112" s="91" t="str">
        <f>IF('Inputs Yr 2'!$B112=0,"",'Inputs Yr 2'!C112)</f>
        <v>B1a - Low-Income Single Family Retrofit</v>
      </c>
      <c r="D112" s="91" t="str">
        <f>IF('Inputs Yr 2'!$B112=0,"",'Inputs Yr 2'!E112)</f>
        <v>Wi-Fi Thermostat (controls gas heat only)</v>
      </c>
      <c r="E112" s="93" t="str">
        <f>IF('Inputs Yr 2'!$B112=0,"",'Inputs Yr 2'!F112)</f>
        <v>G16B1a12</v>
      </c>
      <c r="F112" s="93" t="str">
        <f>IF('Inputs Yr 2'!$B112=0,"",'Inputs Yr 2'!G112)</f>
        <v>HVAC</v>
      </c>
      <c r="G112" s="95" t="str">
        <f>IF('Inputs Yr 2'!$H112&lt;&gt;0,('Inputs Yr 2'!H112),"")</f>
        <v/>
      </c>
      <c r="H112" s="94">
        <f>IFERROR('Inputs Yr 2'!I112,"")</f>
        <v>0</v>
      </c>
      <c r="I112" s="298" t="str">
        <f>IFERROR('Inputs Yr 2'!J112*'Inputs Yr 2'!P112*G112,"")</f>
        <v/>
      </c>
      <c r="J112" s="298" t="str">
        <f>IFERROR('Inputs Yr 2'!K112*G112,"")</f>
        <v/>
      </c>
      <c r="K112" s="298" t="str">
        <f t="shared" si="53"/>
        <v/>
      </c>
      <c r="L112" s="194" t="str">
        <f>IFERROR(('Inputs Yr 2'!W112*G112)/1000,"")</f>
        <v/>
      </c>
      <c r="M112" s="194" t="str">
        <f>IFERROR(L112*('Inputs Yr 2'!$Q112*'Inputs Yr 2'!$V112*'Inputs Yr 2'!$R112),"")</f>
        <v/>
      </c>
      <c r="N112" s="194" t="str">
        <f t="shared" si="54"/>
        <v/>
      </c>
      <c r="O112" s="194" t="str">
        <f>IFERROR(M112*'Inputs Yr 2'!P112,"")</f>
        <v/>
      </c>
      <c r="P112" s="194" t="str">
        <f t="shared" si="55"/>
        <v/>
      </c>
      <c r="Q112" s="194" t="str">
        <f>IFERROR($P112*'Inputs Yr 2'!AA112,"")</f>
        <v/>
      </c>
      <c r="R112" s="194" t="str">
        <f>IFERROR($P112*'Inputs Yr 2'!AB112,"")</f>
        <v/>
      </c>
      <c r="S112" s="194" t="str">
        <f>IFERROR($P112*'Inputs Yr 2'!AC112,"")</f>
        <v/>
      </c>
      <c r="T112" s="194" t="str">
        <f>IFERROR($P112*'Inputs Yr 2'!AD112,"")</f>
        <v/>
      </c>
      <c r="U112" s="194" t="str">
        <f>IFERROR(G112*'Inputs Yr 2'!$AE112*'Inputs Yr 2'!$P112*'Inputs Yr 2'!$Q112,"")</f>
        <v/>
      </c>
      <c r="V112" s="194" t="str">
        <f>IFERROR($G112*'Inputs Yr 2'!$AE112*'Inputs Yr 2'!$AG112*'Inputs Yr 2'!Q112*'Inputs Yr 2'!$S112,"")</f>
        <v/>
      </c>
      <c r="W112" s="194" t="str">
        <f>IFERROR($G112*'Inputs Yr 2'!$AE112*'Inputs Yr 2'!$AG112*'Inputs Yr 2'!P112*'Inputs Yr 2'!Q112*'Inputs Yr 2'!$S112,"")</f>
        <v/>
      </c>
      <c r="X112" s="194" t="str">
        <f>IFERROR($G112*'Inputs Yr 2'!$AE112*'Inputs Yr 2'!$AF112*'Inputs Yr 2'!Q112*'Inputs Yr 2'!$T112,"")</f>
        <v/>
      </c>
      <c r="Y112" s="194" t="str">
        <f>IFERROR($G112*'Inputs Yr 2'!$AE112*'Inputs Yr 2'!$AF112*'Inputs Yr 2'!P112*'Inputs Yr 2'!Q112*'Inputs Yr 2'!$T112,"")</f>
        <v/>
      </c>
      <c r="Z112" s="257">
        <f>IFERROR($G112*'Inputs Yr 2'!$Q112*'Inputs Yr 2'!$U112*(IF(IFERROR(SEARCH("NG", 'Inputs Yr 2'!$AJ112),0),'Inputs Yr 2'!$AK112,0)+IF(IFERROR(SEARCH("NG", 'Inputs Yr 2'!$AL112),0),'Inputs Yr 2'!$AM112,0)+IF(IFERROR(SEARCH("NG", 'Inputs Yr 2'!$AN112),0),'Inputs Yr 2'!$AO112,0)),0)</f>
        <v>0</v>
      </c>
      <c r="AA112" s="257">
        <f t="shared" si="56"/>
        <v>0</v>
      </c>
      <c r="AB112" s="257">
        <f>IFERROR(Z112*'Inputs Yr 2'!$P112,0)</f>
        <v>0</v>
      </c>
      <c r="AC112" s="257">
        <f t="shared" si="57"/>
        <v>0</v>
      </c>
      <c r="AD112" s="257">
        <f>IFERROR($G112*'Inputs Yr 2'!$Q112*'Inputs Yr 2'!$U112*(IF(IFERROR(SEARCH("Oil", 'Inputs Yr 2'!$AJ112), 0),'Inputs Yr 2'!$AK112,0)+IF(IFERROR(SEARCH("Oil", 'Inputs Yr 2'!$AL112), 0),'Inputs Yr 2'!$AM112,0)+IF(IFERROR(SEARCH("Oil", 'Inputs Yr 2'!$AN112), 0),'Inputs Yr 2'!$AO112,0)),0)</f>
        <v>0</v>
      </c>
      <c r="AE112" s="257">
        <f t="shared" si="58"/>
        <v>0</v>
      </c>
      <c r="AF112" s="257">
        <f>IFERROR(AD112*'Inputs Yr 2'!$P112,0)</f>
        <v>0</v>
      </c>
      <c r="AG112" s="257">
        <f t="shared" si="59"/>
        <v>0</v>
      </c>
      <c r="AH112" s="257">
        <f>IFERROR($G112*'Inputs Yr 2'!$Q112*'Inputs Yr 2'!$U112*(IF('Inputs Yr 2'!$AJ112=CD$4,'Inputs Yr 2'!$AK112,IF('Inputs Yr 2'!$AL112=CD$4,'Inputs Yr 2'!$AM112,IF('Inputs Yr 2'!$AN112=CD$4,'Inputs Yr 2'!$AO112,0)))),0)</f>
        <v>0</v>
      </c>
      <c r="AI112" s="257">
        <f t="shared" si="60"/>
        <v>0</v>
      </c>
      <c r="AJ112" s="257">
        <f>IFERROR(AH112*'Inputs Yr 2'!$P112,0)</f>
        <v>0</v>
      </c>
      <c r="AK112" s="257">
        <f t="shared" si="61"/>
        <v>0</v>
      </c>
      <c r="AL112" s="258">
        <f>IFERROR($G112*'Inputs Yr 2'!$P112*'Inputs Yr 2'!$Q112*'Inputs Yr 2'!AP112,0)</f>
        <v>0</v>
      </c>
      <c r="AM112" s="260">
        <f>IFERROR($G112*'Inputs Yr 2'!$P112*'Inputs Yr 2'!$Q112*'Inputs Yr 2'!AQ112,0)</f>
        <v>0</v>
      </c>
      <c r="AN112" s="258">
        <f>IFERROR($G112*'Inputs Yr 2'!$P112*'Inputs Yr 2'!$Q112*'Inputs Yr 2'!AR112,0)</f>
        <v>0</v>
      </c>
      <c r="AO112" s="257">
        <f t="shared" si="62"/>
        <v>0</v>
      </c>
      <c r="AP112" s="195" t="str">
        <f>IFERROR($CQ112*(INDEX(avoidedcosttbl2,$H112,AP$2)+(($H112-ROUNDDOWN($H112,0))*(INDEX(avoidedcosttbl2,ROUNDUP($H112,0),AP$2)-(INDEX(avoidedcosttbl2,ROUNDDOWN($H112,0),AP$2)))))*$O112*1000*'Inputs Yr 2'!AA112,"")</f>
        <v/>
      </c>
      <c r="AQ112" s="195" t="str">
        <f>IFERROR($CR112*(INDEX(avoidedcosttbl2,$H112,AQ$2)+(($H112-ROUNDDOWN($H112,0))*(INDEX(avoidedcosttbl2,ROUNDUP($H112,0),AQ$2)-(INDEX(avoidedcosttbl2,ROUNDDOWN($H112,0),AQ$2)))))*$O112*1000*'Inputs Yr 2'!AB112,"")</f>
        <v/>
      </c>
      <c r="AR112" s="195" t="str">
        <f>IFERROR($CS112*(INDEX(avoidedcosttbl2,$H112,AR$2)+(($H112-ROUNDDOWN($H112,0))*(INDEX(avoidedcosttbl2,ROUNDUP($H112,0),AR$2)-(INDEX(avoidedcosttbl2,ROUNDDOWN($H112,0),AR$2)))))*$O112*1000*'Inputs Yr 2'!AC112,"")</f>
        <v/>
      </c>
      <c r="AS112" s="195" t="str">
        <f>IFERROR($CT112*(INDEX(avoidedcosttbl2,$H112,AS$2)+(($H112-ROUNDDOWN($H112,0))*(INDEX(avoidedcosttbl2,ROUNDUP($H112,0),AS$2)-(INDEX(avoidedcosttbl2,ROUNDDOWN($H112,0),AS$2)))))*$O112*1000*'Inputs Yr 2'!AD112,"")</f>
        <v/>
      </c>
      <c r="AT112" s="196">
        <f t="shared" si="63"/>
        <v>0</v>
      </c>
      <c r="AU112" s="197" t="str">
        <f>IFERROR($CQ112*((INDEX(avoidedcosttbl2,$H112,AU$2))+(($H112-ROUNDDOWN($H112,0))*((INDEX(avoidedcosttbl2,ROUNDUP($H112,0),AU$2))-(INDEX(avoidedcosttbl2,ROUNDDOWN($H112,0),AU$2)))))*$O112*1000*'Inputs Yr 2'!AA112,"")</f>
        <v/>
      </c>
      <c r="AV112" s="197" t="str">
        <f>IFERROR($CR112*((INDEX(avoidedcosttbl2,$H112,AV$2))+(($H112-ROUNDDOWN($H112,0))*((INDEX(avoidedcosttbl2,ROUNDUP($H112,0),AV$2))-(INDEX(avoidedcosttbl2,ROUNDDOWN($H112,0),AV$2)))))*$O112*1000*'Inputs Yr 2'!AB112,"")</f>
        <v/>
      </c>
      <c r="AW112" s="197" t="str">
        <f>IFERROR($CS112*((INDEX(avoidedcosttbl2,$H112,AW$2))+(($H112-ROUNDDOWN($H112,0))*((INDEX(avoidedcosttbl2,ROUNDUP($H112,0),AW$2))-(INDEX(avoidedcosttbl2,ROUNDDOWN($H112,0),AW$2)))))*$O112*1000*'Inputs Yr 2'!AC112,"")</f>
        <v/>
      </c>
      <c r="AX112" s="197" t="str">
        <f>IFERROR($CT112*((INDEX(avoidedcosttbl2,$H112,AX$2))+(($H112-ROUNDDOWN($H112,0))*((INDEX(avoidedcosttbl2,ROUNDUP($H112,0),AX$2))-(INDEX(avoidedcosttbl2,ROUNDDOWN($H112,0),AX$2)))))*$O112*1000*'Inputs Yr 2'!AD112,"")</f>
        <v/>
      </c>
      <c r="AY112" s="197" t="str">
        <f>IFERROR(((INDEX(avoidedcosttbl2,$H112,AY$2))+(($H112-ROUNDDOWN($H112,0))*((INDEX(avoidedcosttbl2,ROUNDUP($H112,0),AY$2))-(INDEX(avoidedcosttbl2,ROUNDDOWN($H112,0),AY$2)))))*$O112*1000*('Inputs Yr 2'!AC112+'Inputs Yr 2'!AD112),"")</f>
        <v/>
      </c>
      <c r="AZ112" s="197" t="str">
        <f>IFERROR(((INDEX(avoidedcosttbl2,$H112,AZ$2))+(($H112-ROUNDDOWN($H112,0))*((INDEX(avoidedcosttbl2,ROUNDUP($H112,0),AZ$2))-(INDEX(avoidedcosttbl2,ROUNDDOWN($H112,0),AZ$2)))))*$O112*1000*('Inputs Yr 2'!AA112+'Inputs Yr 2'!AB112),"")</f>
        <v/>
      </c>
      <c r="BA112" s="198">
        <f t="shared" si="64"/>
        <v>0</v>
      </c>
      <c r="BB112" s="198">
        <f t="shared" si="65"/>
        <v>0</v>
      </c>
      <c r="BC112" s="195" t="str">
        <f t="shared" si="47"/>
        <v/>
      </c>
      <c r="BD112" s="195" t="str">
        <f t="shared" si="48"/>
        <v/>
      </c>
      <c r="BE112" s="195" t="str">
        <f t="shared" si="49"/>
        <v/>
      </c>
      <c r="BF112" s="195" t="str">
        <f t="shared" si="50"/>
        <v/>
      </c>
      <c r="BG112" s="195" t="str">
        <f t="shared" si="51"/>
        <v/>
      </c>
      <c r="BH112" s="196">
        <f t="shared" si="66"/>
        <v>0</v>
      </c>
      <c r="BI112" s="196">
        <f t="shared" si="67"/>
        <v>0</v>
      </c>
      <c r="BJ112" s="195" t="str">
        <f>IFERROR($G112*(IF('Inputs Yr 2'!$AJ112=BJ$4,'Inputs Yr 2'!$AK112,IF('Inputs Yr 2'!$AL112=BJ$4,'Inputs Yr 2'!$AM112,IF('Inputs Yr 2'!$AN112=BJ$4,'Inputs Yr 2'!$AO112,0))))*(INDEX(avoidedcosttbl2,$H112,BJ$2)+(($H112-ROUNDDOWN($H112,0))*(INDEX(avoidedcosttbl2,ROUNDUP($H112,0),BJ$2)-(INDEX(avoidedcosttbl2,ROUNDDOWN($H112,0),BJ$2)))))*'Inputs Yr 2'!P112*'Inputs Yr 2'!Q112*'Inputs Yr 2'!U112,"")</f>
        <v/>
      </c>
      <c r="BK112" s="195" t="str">
        <f>IFERROR($G112*(IF('Inputs Yr 2'!$AJ112=BK$4,'Inputs Yr 2'!$AK112,IF('Inputs Yr 2'!$AL112=BK$4,'Inputs Yr 2'!$AM112,IF('Inputs Yr 2'!$AN112=BK$4,'Inputs Yr 2'!$AO112,0))))*(INDEX(avoidedcosttbl2,$H112,BK$2)+(($H112-ROUNDDOWN($H112,0))*(INDEX(avoidedcosttbl2,ROUNDUP($H112,0),BK$2)-(INDEX(avoidedcosttbl2,ROUNDDOWN($H112,0),BK$2)))))*'Inputs Yr 2'!P112*'Inputs Yr 2'!Q112*'Inputs Yr 2'!U112,"")</f>
        <v/>
      </c>
      <c r="BL112" s="195" t="str">
        <f>IFERROR($G112*(IF('Inputs Yr 2'!$AJ112=BL$4,'Inputs Yr 2'!$AK112,IF('Inputs Yr 2'!$AL112=BL$4,'Inputs Yr 2'!$AM112,IF('Inputs Yr 2'!$AN112=BL$4,'Inputs Yr 2'!$AO112,0))))*(INDEX(avoidedcosttbl2,$H112,BL$2)+(($H112-ROUNDDOWN($H112,0))*(INDEX(avoidedcosttbl2,ROUNDUP($H112,0),BL$2)-(INDEX(avoidedcosttbl2,ROUNDDOWN($H112,0),BL$2)))))*'Inputs Yr 2'!P112*'Inputs Yr 2'!Q112*'Inputs Yr 2'!U112,"")</f>
        <v/>
      </c>
      <c r="BM112" s="195" t="str">
        <f>IFERROR($G112*(IF('Inputs Yr 2'!$AJ112=BM$4,'Inputs Yr 2'!$AK112,IF('Inputs Yr 2'!$AL112=BM$4,'Inputs Yr 2'!$AM112,IF('Inputs Yr 2'!$AN112=BM$4,'Inputs Yr 2'!$AO112,0))))*(INDEX(avoidedcosttbl2,$H112,BM$2)+(($H112-ROUNDDOWN($H112,0))*(INDEX(avoidedcosttbl2,ROUNDUP($H112,0),BM$2)-(INDEX(avoidedcosttbl2,ROUNDDOWN($H112,0),BM$2)))))*'Inputs Yr 2'!P112*'Inputs Yr 2'!Q112*'Inputs Yr 2'!U112,"")</f>
        <v/>
      </c>
      <c r="BN112" s="195" t="str">
        <f>IFERROR($G112*(IF('Inputs Yr 2'!$AJ112=BN$4,'Inputs Yr 2'!$AK112,IF('Inputs Yr 2'!$AL112=BN$4,'Inputs Yr 2'!$AM112,IF('Inputs Yr 2'!$AN112=BN$4,'Inputs Yr 2'!$AO112,0))))*(INDEX(avoidedcosttbl2,$H112,BN$2)+(($H112-ROUNDDOWN($H112,0))*(INDEX(avoidedcosttbl2,ROUNDUP($H112,0),BN$2)-(INDEX(avoidedcosttbl2,ROUNDDOWN($H112,0),BN$2)))))*'Inputs Yr 2'!P112*'Inputs Yr 2'!Q112*'Inputs Yr 2'!U112,"")</f>
        <v/>
      </c>
      <c r="BO112" s="195" t="str">
        <f>IFERROR($G112*(IF('Inputs Yr 2'!$AJ112=BO$4,'Inputs Yr 2'!$AK112,IF('Inputs Yr 2'!$AL112=BO$4,'Inputs Yr 2'!$AM112,IF('Inputs Yr 2'!$AN112=BO$4,'Inputs Yr 2'!$AO112,0))))*(INDEX(avoidedcosttbl2,$H112,BO$2)+(($H112-ROUNDDOWN($H112,0))*(INDEX(avoidedcosttbl2,ROUNDUP($H112,0),BO$2)-(INDEX(avoidedcosttbl2,ROUNDDOWN($H112,0),BO$2)))))*'Inputs Yr 2'!P112*'Inputs Yr 2'!Q112*'Inputs Yr 2'!U112,"")</f>
        <v/>
      </c>
      <c r="BP112" s="195" t="str">
        <f>IFERROR($G112*(IF('Inputs Yr 2'!$AJ112=BP$4,'Inputs Yr 2'!$AK112,IF('Inputs Yr 2'!$AL112=BP$4,'Inputs Yr 2'!$AM112,IF('Inputs Yr 2'!$AN112=BP$4,'Inputs Yr 2'!$AO112,0))))*(INDEX(avoidedcosttbl2,$H112,BP$2)+(($H112-ROUNDDOWN($H112,0))*(INDEX(avoidedcosttbl2,ROUNDUP($H112,0),BP$2)-(INDEX(avoidedcosttbl2,ROUNDDOWN($H112,0),BP$2)))))*'Inputs Yr 2'!P112*'Inputs Yr 2'!Q112*'Inputs Yr 2'!U112,"")</f>
        <v/>
      </c>
      <c r="BQ112" s="230">
        <f t="shared" si="68"/>
        <v>0</v>
      </c>
      <c r="BR112" s="197" t="str">
        <f t="shared" si="52"/>
        <v/>
      </c>
      <c r="BS112" s="197" t="str">
        <f>IFERROR(($G112*IF('Inputs Yr 2'!$AJ112=BM$4,'Inputs Yr 2'!$AK112,IF('Inputs Yr 2'!$AL112=BM$4,'Inputs Yr 2'!$AM112,IF('Inputs Yr 2'!$AN112=BM$4,'Inputs Yr 2'!$AO112,0))))*(INDEX(avoidedcosttbl2,$H112,BS$2)+(($H112-ROUNDDOWN($H112,0))*(INDEX(avoidedcosttbl2,ROUNDUP($H112,0),BS$2)-(INDEX(avoidedcosttbl2,ROUNDDOWN($H112,0),BS$2)))))*'Inputs Yr 2'!P112*'Inputs Yr 2'!Q112*'Inputs Yr 2'!U112,"")</f>
        <v/>
      </c>
      <c r="BT112" s="197" t="str">
        <f>IFERROR(($G112*IF('Inputs Yr 2'!$AJ112=BK$4,'Inputs Yr 2'!$AK112,IF('Inputs Yr 2'!$AL112=BK$4,'Inputs Yr 2'!$AM112,IF('Inputs Yr 2'!$AN112=BK$4,'Inputs Yr 2'!$AO112,0))))*(INDEX(avoidedcosttbl2,$H112,BT$2)+(($H112-ROUNDDOWN($H112,0))*(INDEX(avoidedcosttbl2,ROUNDUP($H112,0),BT$2)-(INDEX(avoidedcosttbl2,ROUNDDOWN($H112,0),BT$2)))))*'Inputs Yr 2'!P112*'Inputs Yr 2'!Q112*'Inputs Yr 2'!U112,"")</f>
        <v/>
      </c>
      <c r="BU112" s="197" t="str">
        <f>IFERROR(($G112*IF('Inputs Yr 2'!$AJ112=BL$4,'Inputs Yr 2'!$AK112,IF('Inputs Yr 2'!$AL112=BL$4,'Inputs Yr 2'!$AM112,IF('Inputs Yr 2'!$AN112=BL$4,'Inputs Yr 2'!$AO112,0))))*(INDEX(avoidedcosttbl2,$H112,BU$2)+(($H112-ROUNDDOWN($H112,0))*(INDEX(avoidedcosttbl2,ROUNDUP($H112,0),BU$2)-(INDEX(avoidedcosttbl2,ROUNDDOWN($H112,0),BU$2)))))*'Inputs Yr 2'!P112*'Inputs Yr 2'!Q112*'Inputs Yr 2'!U112,"")</f>
        <v/>
      </c>
      <c r="BV112" s="775" t="str">
        <f>IFERROR(($G112*IF('Inputs Yr 2'!$AJ112=BJ$4,'Inputs Yr 2'!$AK112,IF('Inputs Yr 2'!$AL112=BJ$4,'Inputs Yr 2'!$AM112,IF('Inputs Yr 2'!$AN112=BJ$4,'Inputs Yr 2'!$AO112,0))))*(INDEX(avoidedcosttbl2,$H112,BV$2)+(($H112-ROUNDDOWN($H112,0))*(INDEX(avoidedcosttbl2,ROUNDUP($H112,0),BV$2)-(INDEX(avoidedcosttbl2,ROUNDDOWN($H112,0),BV$2)))))*'Inputs Yr 2'!P112*'Inputs Yr 2'!Q112*'Inputs Yr 2'!U112,"")</f>
        <v/>
      </c>
      <c r="BW112" s="197" t="str">
        <f>IFERROR(($G112*IF('Inputs Yr 2'!$AJ112=BN$4,'Inputs Yr 2'!$AK112,IF('Inputs Yr 2'!$AL112=BN$4,'Inputs Yr 2'!$AM112,IF('Inputs Yr 2'!$AN112=BN$4,'Inputs Yr 2'!$AO112,0))))*(INDEX(avoidedcosttbl2,$H112,BW$2)+(($H112-ROUNDDOWN($H112,0))*(INDEX(avoidedcosttbl2,ROUNDUP($H112,0),BW$2)-(INDEX(avoidedcosttbl2,ROUNDDOWN($H112,0),BW$2)))))*'Inputs Yr 2'!P112*'Inputs Yr 2'!Q112*'Inputs Yr 2'!U112,"")</f>
        <v/>
      </c>
      <c r="BX112" s="197" t="str">
        <f>IFERROR(($G112*IF('Inputs Yr 2'!$AJ112=BO$4,'Inputs Yr 2'!$AK112,IF('Inputs Yr 2'!$AL112=BO$4,'Inputs Yr 2'!$AM112,IF('Inputs Yr 2'!$AN112=BO$4,'Inputs Yr 2'!$AO112,0))))*(INDEX(avoidedcosttbl2,$H112,BX$2)+(($H112-ROUNDDOWN($H112,0))*(INDEX(avoidedcosttbl2,ROUNDUP($H112,0),BX$2)-(INDEX(avoidedcosttbl2,ROUNDDOWN($H112,0),BX$2)))))*'Inputs Yr 2'!P112*'Inputs Yr 2'!Q112*'Inputs Yr 2'!U112,"")</f>
        <v/>
      </c>
      <c r="BY112" s="197" t="str">
        <f>IFERROR(($G112*IF('Inputs Yr 2'!$AJ112=BP$4,'Inputs Yr 2'!$AK112,IF('Inputs Yr 2'!$AL112=BP$4,'Inputs Yr 2'!$AM112,IF('Inputs Yr 2'!$AN112=BP$4,'Inputs Yr 2'!$AO112,0))))*(INDEX(avoidedcosttbl2,$H112,BY$2)+(($H112-ROUNDDOWN($H112,0))*(INDEX(avoidedcosttbl2,ROUNDUP($H112,0),BY$2)-(INDEX(avoidedcosttbl2,ROUNDDOWN($H112,0),BY$2)))))*'Inputs Yr 2'!P112*'Inputs Yr 2'!Q112*'Inputs Yr 2'!U112,"")</f>
        <v/>
      </c>
      <c r="BZ112" s="193">
        <f t="shared" si="69"/>
        <v>0</v>
      </c>
      <c r="CA112" s="193">
        <f t="shared" si="70"/>
        <v>0</v>
      </c>
      <c r="CB112" s="195" t="str">
        <f>IFERROR(G112*(IF('Inputs Yr 2'!$AJ112=CB$4,'Inputs Yr 2'!$AK112,IF('Inputs Yr 2'!$AL112=CB$4,'Inputs Yr 2'!$AM112,IF('Inputs Yr 2'!$AN112=CB$4,'Inputs Yr 2'!$AO112,0))))*(INDEX(avoidedcosttbl2,$H112,CB$2)+(($H112-ROUNDDOWN($H112,0))*(INDEX(avoidedcosttbl2,ROUNDUP($H112,0),CB$2)-(INDEX(avoidedcosttbl2,ROUNDDOWN($H112,0),CB$2)))))*'Inputs Yr 2'!P112*'Inputs Yr 2'!Q112*'Inputs Yr 2'!U112,"")</f>
        <v/>
      </c>
      <c r="CC112" s="195" t="str">
        <f>IFERROR(H112*(IF('Inputs Yr 2'!$AJ112=CC$4,'Inputs Yr 2'!$AK112,IF('Inputs Yr 2'!$AL112=CC$4,'Inputs Yr 2'!$AM112,IF('Inputs Yr 2'!$AN112=CC$4,'Inputs Yr 2'!$AO112,0))))*(INDEX(avoidedcosttbl2,$H112,CC$2)+(($H112-ROUNDDOWN($H112,0))*(INDEX(avoidedcosttbl2,ROUNDUP($H112,0),CC$2)-(INDEX(avoidedcosttbl2,ROUNDDOWN($H112,0),CC$2)))))*'Inputs Yr 2'!Q112*'Inputs Yr 2'!R112*'Inputs Yr 2'!V112,"")</f>
        <v/>
      </c>
      <c r="CD112" s="195" t="str">
        <f>IFERROR(I112*(IF('Inputs Yr 2'!$AJ112=CD$4,'Inputs Yr 2'!$AK112,IF('Inputs Yr 2'!$AL112=CD$4,'Inputs Yr 2'!$AM112,IF('Inputs Yr 2'!$AN112=CD$4,'Inputs Yr 2'!$AO112,0))))*(INDEX(avoidedcosttbl2,$H112,CD$2)+(($H112-ROUNDDOWN($H112,0))*(INDEX(avoidedcosttbl2,ROUNDUP($H112,0),CD$2)-(INDEX(avoidedcosttbl2,ROUNDDOWN($H112,0),CD$2)))))*'Inputs Yr 2'!R112*'Inputs Yr 2'!S112*'Inputs Yr 2'!W112,"")</f>
        <v/>
      </c>
      <c r="CE112" s="213" t="str">
        <f t="shared" si="71"/>
        <v/>
      </c>
      <c r="CF112" s="213" t="str">
        <f t="shared" si="72"/>
        <v/>
      </c>
      <c r="CG112" s="213" t="str">
        <f t="shared" si="73"/>
        <v/>
      </c>
      <c r="CH112" s="698">
        <f t="shared" si="74"/>
        <v>0</v>
      </c>
      <c r="CI112" s="79" t="str">
        <f>IFERROR(($G112*'Inputs Yr 2'!$P112*'Inputs Yr 2'!$Q112*(((INDEX(avoidedcosttbl2,$H112,CI$2)+(($H112-ROUNDDOWN($H112,0))*(INDEX(avoidedcosttbl2,ROUNDUP($H112,0),CI$2)-INDEX(avoidedcosttbl2,ROUNDDOWN($H112,0),CI$2))))*'Inputs Yr 2'!AS112))),"")</f>
        <v/>
      </c>
      <c r="CJ112" s="504" t="str">
        <f>IFERROR($G112*'Inputs Yr 2'!AT112*'Inputs Yr 2'!$P112*'Inputs Yr 2'!$Q112/((1+realdiscrt1)^-0.5),"")</f>
        <v/>
      </c>
      <c r="CK112" s="79" t="str">
        <f>IFERROR((O112*1000*(((INDEX(avoidedcosttbl2,$H112,CK$2)+(($H112-ROUNDDOWN($H112,0))*(INDEX(avoidedcosttbl2,ROUNDUP($H112,0),CK$2)-INDEX(avoidedcosttbl2,ROUNDDOWN($H112,0),CK$2))))*'Inputs Yr 2'!AU112))),"")</f>
        <v/>
      </c>
      <c r="CL112" s="504" t="str">
        <f>IFERROR(O112*1000*'Inputs Yr 2'!AV112/((1+realdiscrt1)^-0.5),"")</f>
        <v/>
      </c>
      <c r="CM112" s="79" t="str">
        <f>IFERROR((AB112*'Inputs Yr 2'!AW112*(((INDEX(avoidedcosttbl2,$H112,CM$2)+(($H112-ROUNDDOWN($H112,0))*(INDEX(avoidedcosttbl2,ROUNDUP($H112,0),CM$2)-INDEX(avoidedcosttbl2,ROUNDDOWN($H112,0),CM$2)))))))*10,"")</f>
        <v/>
      </c>
      <c r="CN112" s="504">
        <f>IFERROR(10*AB112*'Inputs Yr 2'!AX112/((1+realdiscrt1)^-0.5),"")</f>
        <v>0</v>
      </c>
      <c r="CO112" s="505">
        <f t="shared" si="75"/>
        <v>0</v>
      </c>
      <c r="CP112" s="230">
        <f t="shared" si="76"/>
        <v>0</v>
      </c>
      <c r="CQ112" s="199">
        <f>ROUND(IFERROR(IF(LEFT($A112,1)="C",'Avoided Costs'!$K$13,'Avoided Costs'!$K$12)+1,""),4)</f>
        <v>1.0720000000000001</v>
      </c>
      <c r="CR112" s="199">
        <f>ROUND(IFERROR(IF(LEFT($A112,1)="C",'Avoided Costs'!$L$13,'Avoided Costs'!$L$12)+1,""),4)</f>
        <v>1.04</v>
      </c>
      <c r="CS112" s="199">
        <f>ROUND(IFERROR(IF(LEFT($A112,1)="C",'Avoided Costs'!$M$13,'Avoided Costs'!$M$12)+1,""),4)</f>
        <v>1.0720000000000001</v>
      </c>
      <c r="CT112" s="199">
        <f>ROUND(IFERROR(IF(LEFT($A112,1)="C",'Avoided Costs'!$N$13,'Avoided Costs'!$N$12)+1,""),4)</f>
        <v>1.04</v>
      </c>
      <c r="CU112" s="199">
        <f>ROUND(IFERROR(IF(LEFT($A112,1)="C",'Avoided Costs'!$O$13,'Avoided Costs'!$O$12)+1,""),4)</f>
        <v>1.1120000000000001</v>
      </c>
      <c r="CV112" s="199">
        <f>ROUND(IFERROR(IF(LEFT($A112,1)="C",'Avoided Costs'!$P$13,'Avoided Costs'!$P$12)+1,""),4)</f>
        <v>1.095</v>
      </c>
      <c r="CW112" s="199">
        <f>ROUND(IFERROR(IF(LEFT($A112,1)="C",'Avoided Costs'!$Q$13,'Avoided Costs'!$Q$12)+1,""),4)</f>
        <v>1.1120000000000001</v>
      </c>
      <c r="CX112" s="200">
        <f>ROUND(IFERROR(IF(LEFT($A112,1)="C",'Avoided Costs'!$R$13,'Avoided Costs'!$R$12)+1,""),4)</f>
        <v>1.1120000000000001</v>
      </c>
    </row>
    <row r="113" spans="1:102" ht="12.75" customHeight="1">
      <c r="A113" s="91" t="str">
        <f>IF('Inputs Yr 2'!$B113=0,"",'Inputs Yr 2'!A113)</f>
        <v>B - Low Income</v>
      </c>
      <c r="B113" s="91" t="str">
        <f>IF('Inputs Yr 2'!$B113=0,"",'Inputs Yr 2'!B113)</f>
        <v>B1 - Low-Income Whole House</v>
      </c>
      <c r="C113" s="91" t="str">
        <f>IF('Inputs Yr 2'!$B113=0,"",'Inputs Yr 2'!C113)</f>
        <v>B1a - Low-Income Single Family Retrofit</v>
      </c>
      <c r="D113" s="91" t="str">
        <f>IF('Inputs Yr 2'!$B113=0,"",'Inputs Yr 2'!E113)</f>
        <v>Wi-Fi Thermostat (controls elec cooling &amp; gas heat )</v>
      </c>
      <c r="E113" s="93" t="str">
        <f>IF('Inputs Yr 2'!$B113=0,"",'Inputs Yr 2'!F113)</f>
        <v>G16B1a13</v>
      </c>
      <c r="F113" s="93" t="str">
        <f>IF('Inputs Yr 2'!$B113=0,"",'Inputs Yr 2'!G113)</f>
        <v>HVAC</v>
      </c>
      <c r="G113" s="95" t="str">
        <f>IF('Inputs Yr 2'!$H113&lt;&gt;0,('Inputs Yr 2'!H113),"")</f>
        <v/>
      </c>
      <c r="H113" s="94">
        <f>IFERROR('Inputs Yr 2'!I113,"")</f>
        <v>0</v>
      </c>
      <c r="I113" s="298" t="str">
        <f>IFERROR('Inputs Yr 2'!J113*'Inputs Yr 2'!P113*G113,"")</f>
        <v/>
      </c>
      <c r="J113" s="298" t="str">
        <f>IFERROR('Inputs Yr 2'!K113*G113,"")</f>
        <v/>
      </c>
      <c r="K113" s="298" t="str">
        <f t="shared" si="53"/>
        <v/>
      </c>
      <c r="L113" s="194" t="str">
        <f>IFERROR(('Inputs Yr 2'!W113*G113)/1000,"")</f>
        <v/>
      </c>
      <c r="M113" s="194" t="str">
        <f>IFERROR(L113*('Inputs Yr 2'!$Q113*'Inputs Yr 2'!$V113*'Inputs Yr 2'!$R113),"")</f>
        <v/>
      </c>
      <c r="N113" s="194" t="str">
        <f t="shared" si="54"/>
        <v/>
      </c>
      <c r="O113" s="194" t="str">
        <f>IFERROR(M113*'Inputs Yr 2'!P113,"")</f>
        <v/>
      </c>
      <c r="P113" s="194" t="str">
        <f t="shared" si="55"/>
        <v/>
      </c>
      <c r="Q113" s="194" t="str">
        <f>IFERROR($P113*'Inputs Yr 2'!AA113,"")</f>
        <v/>
      </c>
      <c r="R113" s="194" t="str">
        <f>IFERROR($P113*'Inputs Yr 2'!AB113,"")</f>
        <v/>
      </c>
      <c r="S113" s="194" t="str">
        <f>IFERROR($P113*'Inputs Yr 2'!AC113,"")</f>
        <v/>
      </c>
      <c r="T113" s="194" t="str">
        <f>IFERROR($P113*'Inputs Yr 2'!AD113,"")</f>
        <v/>
      </c>
      <c r="U113" s="194" t="str">
        <f>IFERROR(G113*'Inputs Yr 2'!$AE113*'Inputs Yr 2'!$P113*'Inputs Yr 2'!$Q113,"")</f>
        <v/>
      </c>
      <c r="V113" s="194" t="str">
        <f>IFERROR($G113*'Inputs Yr 2'!$AE113*'Inputs Yr 2'!$AG113*'Inputs Yr 2'!Q113*'Inputs Yr 2'!$S113,"")</f>
        <v/>
      </c>
      <c r="W113" s="194" t="str">
        <f>IFERROR($G113*'Inputs Yr 2'!$AE113*'Inputs Yr 2'!$AG113*'Inputs Yr 2'!P113*'Inputs Yr 2'!Q113*'Inputs Yr 2'!$S113,"")</f>
        <v/>
      </c>
      <c r="X113" s="194" t="str">
        <f>IFERROR($G113*'Inputs Yr 2'!$AE113*'Inputs Yr 2'!$AF113*'Inputs Yr 2'!Q113*'Inputs Yr 2'!$T113,"")</f>
        <v/>
      </c>
      <c r="Y113" s="194" t="str">
        <f>IFERROR($G113*'Inputs Yr 2'!$AE113*'Inputs Yr 2'!$AF113*'Inputs Yr 2'!P113*'Inputs Yr 2'!Q113*'Inputs Yr 2'!$T113,"")</f>
        <v/>
      </c>
      <c r="Z113" s="257">
        <f>IFERROR($G113*'Inputs Yr 2'!$Q113*'Inputs Yr 2'!$U113*(IF(IFERROR(SEARCH("NG", 'Inputs Yr 2'!$AJ113),0),'Inputs Yr 2'!$AK113,0)+IF(IFERROR(SEARCH("NG", 'Inputs Yr 2'!$AL113),0),'Inputs Yr 2'!$AM113,0)+IF(IFERROR(SEARCH("NG", 'Inputs Yr 2'!$AN113),0),'Inputs Yr 2'!$AO113,0)),0)</f>
        <v>0</v>
      </c>
      <c r="AA113" s="257">
        <f t="shared" si="56"/>
        <v>0</v>
      </c>
      <c r="AB113" s="257">
        <f>IFERROR(Z113*'Inputs Yr 2'!$P113,0)</f>
        <v>0</v>
      </c>
      <c r="AC113" s="257">
        <f t="shared" si="57"/>
        <v>0</v>
      </c>
      <c r="AD113" s="257">
        <f>IFERROR($G113*'Inputs Yr 2'!$Q113*'Inputs Yr 2'!$U113*(IF(IFERROR(SEARCH("Oil", 'Inputs Yr 2'!$AJ113), 0),'Inputs Yr 2'!$AK113,0)+IF(IFERROR(SEARCH("Oil", 'Inputs Yr 2'!$AL113), 0),'Inputs Yr 2'!$AM113,0)+IF(IFERROR(SEARCH("Oil", 'Inputs Yr 2'!$AN113), 0),'Inputs Yr 2'!$AO113,0)),0)</f>
        <v>0</v>
      </c>
      <c r="AE113" s="257">
        <f t="shared" si="58"/>
        <v>0</v>
      </c>
      <c r="AF113" s="257">
        <f>IFERROR(AD113*'Inputs Yr 2'!$P113,0)</f>
        <v>0</v>
      </c>
      <c r="AG113" s="257">
        <f t="shared" si="59"/>
        <v>0</v>
      </c>
      <c r="AH113" s="257">
        <f>IFERROR($G113*'Inputs Yr 2'!$Q113*'Inputs Yr 2'!$U113*(IF('Inputs Yr 2'!$AJ113=CD$4,'Inputs Yr 2'!$AK113,IF('Inputs Yr 2'!$AL113=CD$4,'Inputs Yr 2'!$AM113,IF('Inputs Yr 2'!$AN113=CD$4,'Inputs Yr 2'!$AO113,0)))),0)</f>
        <v>0</v>
      </c>
      <c r="AI113" s="257">
        <f t="shared" si="60"/>
        <v>0</v>
      </c>
      <c r="AJ113" s="257">
        <f>IFERROR(AH113*'Inputs Yr 2'!$P113,0)</f>
        <v>0</v>
      </c>
      <c r="AK113" s="257">
        <f t="shared" si="61"/>
        <v>0</v>
      </c>
      <c r="AL113" s="258">
        <f>IFERROR($G113*'Inputs Yr 2'!$P113*'Inputs Yr 2'!$Q113*'Inputs Yr 2'!AP113,0)</f>
        <v>0</v>
      </c>
      <c r="AM113" s="260">
        <f>IFERROR($G113*'Inputs Yr 2'!$P113*'Inputs Yr 2'!$Q113*'Inputs Yr 2'!AQ113,0)</f>
        <v>0</v>
      </c>
      <c r="AN113" s="258">
        <f>IFERROR($G113*'Inputs Yr 2'!$P113*'Inputs Yr 2'!$Q113*'Inputs Yr 2'!AR113,0)</f>
        <v>0</v>
      </c>
      <c r="AO113" s="257">
        <f t="shared" si="62"/>
        <v>0</v>
      </c>
      <c r="AP113" s="195" t="str">
        <f>IFERROR($CQ113*(INDEX(avoidedcosttbl2,$H113,AP$2)+(($H113-ROUNDDOWN($H113,0))*(INDEX(avoidedcosttbl2,ROUNDUP($H113,0),AP$2)-(INDEX(avoidedcosttbl2,ROUNDDOWN($H113,0),AP$2)))))*$O113*1000*'Inputs Yr 2'!AA113,"")</f>
        <v/>
      </c>
      <c r="AQ113" s="195" t="str">
        <f>IFERROR($CR113*(INDEX(avoidedcosttbl2,$H113,AQ$2)+(($H113-ROUNDDOWN($H113,0))*(INDEX(avoidedcosttbl2,ROUNDUP($H113,0),AQ$2)-(INDEX(avoidedcosttbl2,ROUNDDOWN($H113,0),AQ$2)))))*$O113*1000*'Inputs Yr 2'!AB113,"")</f>
        <v/>
      </c>
      <c r="AR113" s="195" t="str">
        <f>IFERROR($CS113*(INDEX(avoidedcosttbl2,$H113,AR$2)+(($H113-ROUNDDOWN($H113,0))*(INDEX(avoidedcosttbl2,ROUNDUP($H113,0),AR$2)-(INDEX(avoidedcosttbl2,ROUNDDOWN($H113,0),AR$2)))))*$O113*1000*'Inputs Yr 2'!AC113,"")</f>
        <v/>
      </c>
      <c r="AS113" s="195" t="str">
        <f>IFERROR($CT113*(INDEX(avoidedcosttbl2,$H113,AS$2)+(($H113-ROUNDDOWN($H113,0))*(INDEX(avoidedcosttbl2,ROUNDUP($H113,0),AS$2)-(INDEX(avoidedcosttbl2,ROUNDDOWN($H113,0),AS$2)))))*$O113*1000*'Inputs Yr 2'!AD113,"")</f>
        <v/>
      </c>
      <c r="AT113" s="196">
        <f t="shared" si="63"/>
        <v>0</v>
      </c>
      <c r="AU113" s="197" t="str">
        <f>IFERROR($CQ113*((INDEX(avoidedcosttbl2,$H113,AU$2))+(($H113-ROUNDDOWN($H113,0))*((INDEX(avoidedcosttbl2,ROUNDUP($H113,0),AU$2))-(INDEX(avoidedcosttbl2,ROUNDDOWN($H113,0),AU$2)))))*$O113*1000*'Inputs Yr 2'!AA113,"")</f>
        <v/>
      </c>
      <c r="AV113" s="197" t="str">
        <f>IFERROR($CR113*((INDEX(avoidedcosttbl2,$H113,AV$2))+(($H113-ROUNDDOWN($H113,0))*((INDEX(avoidedcosttbl2,ROUNDUP($H113,0),AV$2))-(INDEX(avoidedcosttbl2,ROUNDDOWN($H113,0),AV$2)))))*$O113*1000*'Inputs Yr 2'!AB113,"")</f>
        <v/>
      </c>
      <c r="AW113" s="197" t="str">
        <f>IFERROR($CS113*((INDEX(avoidedcosttbl2,$H113,AW$2))+(($H113-ROUNDDOWN($H113,0))*((INDEX(avoidedcosttbl2,ROUNDUP($H113,0),AW$2))-(INDEX(avoidedcosttbl2,ROUNDDOWN($H113,0),AW$2)))))*$O113*1000*'Inputs Yr 2'!AC113,"")</f>
        <v/>
      </c>
      <c r="AX113" s="197" t="str">
        <f>IFERROR($CT113*((INDEX(avoidedcosttbl2,$H113,AX$2))+(($H113-ROUNDDOWN($H113,0))*((INDEX(avoidedcosttbl2,ROUNDUP($H113,0),AX$2))-(INDEX(avoidedcosttbl2,ROUNDDOWN($H113,0),AX$2)))))*$O113*1000*'Inputs Yr 2'!AD113,"")</f>
        <v/>
      </c>
      <c r="AY113" s="197" t="str">
        <f>IFERROR(((INDEX(avoidedcosttbl2,$H113,AY$2))+(($H113-ROUNDDOWN($H113,0))*((INDEX(avoidedcosttbl2,ROUNDUP($H113,0),AY$2))-(INDEX(avoidedcosttbl2,ROUNDDOWN($H113,0),AY$2)))))*$O113*1000*('Inputs Yr 2'!AC113+'Inputs Yr 2'!AD113),"")</f>
        <v/>
      </c>
      <c r="AZ113" s="197" t="str">
        <f>IFERROR(((INDEX(avoidedcosttbl2,$H113,AZ$2))+(($H113-ROUNDDOWN($H113,0))*((INDEX(avoidedcosttbl2,ROUNDUP($H113,0),AZ$2))-(INDEX(avoidedcosttbl2,ROUNDDOWN($H113,0),AZ$2)))))*$O113*1000*('Inputs Yr 2'!AA113+'Inputs Yr 2'!AB113),"")</f>
        <v/>
      </c>
      <c r="BA113" s="198">
        <f t="shared" si="64"/>
        <v>0</v>
      </c>
      <c r="BB113" s="198">
        <f t="shared" si="65"/>
        <v>0</v>
      </c>
      <c r="BC113" s="195" t="str">
        <f t="shared" si="47"/>
        <v/>
      </c>
      <c r="BD113" s="195" t="str">
        <f t="shared" si="48"/>
        <v/>
      </c>
      <c r="BE113" s="195" t="str">
        <f t="shared" si="49"/>
        <v/>
      </c>
      <c r="BF113" s="195" t="str">
        <f t="shared" si="50"/>
        <v/>
      </c>
      <c r="BG113" s="195" t="str">
        <f t="shared" si="51"/>
        <v/>
      </c>
      <c r="BH113" s="196">
        <f t="shared" si="66"/>
        <v>0</v>
      </c>
      <c r="BI113" s="196">
        <f t="shared" si="67"/>
        <v>0</v>
      </c>
      <c r="BJ113" s="195" t="str">
        <f>IFERROR($G113*(IF('Inputs Yr 2'!$AJ113=BJ$4,'Inputs Yr 2'!$AK113,IF('Inputs Yr 2'!$AL113=BJ$4,'Inputs Yr 2'!$AM113,IF('Inputs Yr 2'!$AN113=BJ$4,'Inputs Yr 2'!$AO113,0))))*(INDEX(avoidedcosttbl2,$H113,BJ$2)+(($H113-ROUNDDOWN($H113,0))*(INDEX(avoidedcosttbl2,ROUNDUP($H113,0),BJ$2)-(INDEX(avoidedcosttbl2,ROUNDDOWN($H113,0),BJ$2)))))*'Inputs Yr 2'!P113*'Inputs Yr 2'!Q113*'Inputs Yr 2'!U113,"")</f>
        <v/>
      </c>
      <c r="BK113" s="195" t="str">
        <f>IFERROR($G113*(IF('Inputs Yr 2'!$AJ113=BK$4,'Inputs Yr 2'!$AK113,IF('Inputs Yr 2'!$AL113=BK$4,'Inputs Yr 2'!$AM113,IF('Inputs Yr 2'!$AN113=BK$4,'Inputs Yr 2'!$AO113,0))))*(INDEX(avoidedcosttbl2,$H113,BK$2)+(($H113-ROUNDDOWN($H113,0))*(INDEX(avoidedcosttbl2,ROUNDUP($H113,0),BK$2)-(INDEX(avoidedcosttbl2,ROUNDDOWN($H113,0),BK$2)))))*'Inputs Yr 2'!P113*'Inputs Yr 2'!Q113*'Inputs Yr 2'!U113,"")</f>
        <v/>
      </c>
      <c r="BL113" s="195" t="str">
        <f>IFERROR($G113*(IF('Inputs Yr 2'!$AJ113=BL$4,'Inputs Yr 2'!$AK113,IF('Inputs Yr 2'!$AL113=BL$4,'Inputs Yr 2'!$AM113,IF('Inputs Yr 2'!$AN113=BL$4,'Inputs Yr 2'!$AO113,0))))*(INDEX(avoidedcosttbl2,$H113,BL$2)+(($H113-ROUNDDOWN($H113,0))*(INDEX(avoidedcosttbl2,ROUNDUP($H113,0),BL$2)-(INDEX(avoidedcosttbl2,ROUNDDOWN($H113,0),BL$2)))))*'Inputs Yr 2'!P113*'Inputs Yr 2'!Q113*'Inputs Yr 2'!U113,"")</f>
        <v/>
      </c>
      <c r="BM113" s="195" t="str">
        <f>IFERROR($G113*(IF('Inputs Yr 2'!$AJ113=BM$4,'Inputs Yr 2'!$AK113,IF('Inputs Yr 2'!$AL113=BM$4,'Inputs Yr 2'!$AM113,IF('Inputs Yr 2'!$AN113=BM$4,'Inputs Yr 2'!$AO113,0))))*(INDEX(avoidedcosttbl2,$H113,BM$2)+(($H113-ROUNDDOWN($H113,0))*(INDEX(avoidedcosttbl2,ROUNDUP($H113,0),BM$2)-(INDEX(avoidedcosttbl2,ROUNDDOWN($H113,0),BM$2)))))*'Inputs Yr 2'!P113*'Inputs Yr 2'!Q113*'Inputs Yr 2'!U113,"")</f>
        <v/>
      </c>
      <c r="BN113" s="195" t="str">
        <f>IFERROR($G113*(IF('Inputs Yr 2'!$AJ113=BN$4,'Inputs Yr 2'!$AK113,IF('Inputs Yr 2'!$AL113=BN$4,'Inputs Yr 2'!$AM113,IF('Inputs Yr 2'!$AN113=BN$4,'Inputs Yr 2'!$AO113,0))))*(INDEX(avoidedcosttbl2,$H113,BN$2)+(($H113-ROUNDDOWN($H113,0))*(INDEX(avoidedcosttbl2,ROUNDUP($H113,0),BN$2)-(INDEX(avoidedcosttbl2,ROUNDDOWN($H113,0),BN$2)))))*'Inputs Yr 2'!P113*'Inputs Yr 2'!Q113*'Inputs Yr 2'!U113,"")</f>
        <v/>
      </c>
      <c r="BO113" s="195" t="str">
        <f>IFERROR($G113*(IF('Inputs Yr 2'!$AJ113=BO$4,'Inputs Yr 2'!$AK113,IF('Inputs Yr 2'!$AL113=BO$4,'Inputs Yr 2'!$AM113,IF('Inputs Yr 2'!$AN113=BO$4,'Inputs Yr 2'!$AO113,0))))*(INDEX(avoidedcosttbl2,$H113,BO$2)+(($H113-ROUNDDOWN($H113,0))*(INDEX(avoidedcosttbl2,ROUNDUP($H113,0),BO$2)-(INDEX(avoidedcosttbl2,ROUNDDOWN($H113,0),BO$2)))))*'Inputs Yr 2'!P113*'Inputs Yr 2'!Q113*'Inputs Yr 2'!U113,"")</f>
        <v/>
      </c>
      <c r="BP113" s="195" t="str">
        <f>IFERROR($G113*(IF('Inputs Yr 2'!$AJ113=BP$4,'Inputs Yr 2'!$AK113,IF('Inputs Yr 2'!$AL113=BP$4,'Inputs Yr 2'!$AM113,IF('Inputs Yr 2'!$AN113=BP$4,'Inputs Yr 2'!$AO113,0))))*(INDEX(avoidedcosttbl2,$H113,BP$2)+(($H113-ROUNDDOWN($H113,0))*(INDEX(avoidedcosttbl2,ROUNDUP($H113,0),BP$2)-(INDEX(avoidedcosttbl2,ROUNDDOWN($H113,0),BP$2)))))*'Inputs Yr 2'!P113*'Inputs Yr 2'!Q113*'Inputs Yr 2'!U113,"")</f>
        <v/>
      </c>
      <c r="BQ113" s="230">
        <f t="shared" si="68"/>
        <v>0</v>
      </c>
      <c r="BR113" s="197" t="str">
        <f t="shared" si="52"/>
        <v/>
      </c>
      <c r="BS113" s="197" t="str">
        <f>IFERROR(($G113*IF('Inputs Yr 2'!$AJ113=BM$4,'Inputs Yr 2'!$AK113,IF('Inputs Yr 2'!$AL113=BM$4,'Inputs Yr 2'!$AM113,IF('Inputs Yr 2'!$AN113=BM$4,'Inputs Yr 2'!$AO113,0))))*(INDEX(avoidedcosttbl2,$H113,BS$2)+(($H113-ROUNDDOWN($H113,0))*(INDEX(avoidedcosttbl2,ROUNDUP($H113,0),BS$2)-(INDEX(avoidedcosttbl2,ROUNDDOWN($H113,0),BS$2)))))*'Inputs Yr 2'!P113*'Inputs Yr 2'!Q113*'Inputs Yr 2'!U113,"")</f>
        <v/>
      </c>
      <c r="BT113" s="197" t="str">
        <f>IFERROR(($G113*IF('Inputs Yr 2'!$AJ113=BK$4,'Inputs Yr 2'!$AK113,IF('Inputs Yr 2'!$AL113=BK$4,'Inputs Yr 2'!$AM113,IF('Inputs Yr 2'!$AN113=BK$4,'Inputs Yr 2'!$AO113,0))))*(INDEX(avoidedcosttbl2,$H113,BT$2)+(($H113-ROUNDDOWN($H113,0))*(INDEX(avoidedcosttbl2,ROUNDUP($H113,0),BT$2)-(INDEX(avoidedcosttbl2,ROUNDDOWN($H113,0),BT$2)))))*'Inputs Yr 2'!P113*'Inputs Yr 2'!Q113*'Inputs Yr 2'!U113,"")</f>
        <v/>
      </c>
      <c r="BU113" s="197" t="str">
        <f>IFERROR(($G113*IF('Inputs Yr 2'!$AJ113=BL$4,'Inputs Yr 2'!$AK113,IF('Inputs Yr 2'!$AL113=BL$4,'Inputs Yr 2'!$AM113,IF('Inputs Yr 2'!$AN113=BL$4,'Inputs Yr 2'!$AO113,0))))*(INDEX(avoidedcosttbl2,$H113,BU$2)+(($H113-ROUNDDOWN($H113,0))*(INDEX(avoidedcosttbl2,ROUNDUP($H113,0),BU$2)-(INDEX(avoidedcosttbl2,ROUNDDOWN($H113,0),BU$2)))))*'Inputs Yr 2'!P113*'Inputs Yr 2'!Q113*'Inputs Yr 2'!U113,"")</f>
        <v/>
      </c>
      <c r="BV113" s="775" t="str">
        <f>IFERROR(($G113*IF('Inputs Yr 2'!$AJ113=BJ$4,'Inputs Yr 2'!$AK113,IF('Inputs Yr 2'!$AL113=BJ$4,'Inputs Yr 2'!$AM113,IF('Inputs Yr 2'!$AN113=BJ$4,'Inputs Yr 2'!$AO113,0))))*(INDEX(avoidedcosttbl2,$H113,BV$2)+(($H113-ROUNDDOWN($H113,0))*(INDEX(avoidedcosttbl2,ROUNDUP($H113,0),BV$2)-(INDEX(avoidedcosttbl2,ROUNDDOWN($H113,0),BV$2)))))*'Inputs Yr 2'!P113*'Inputs Yr 2'!Q113*'Inputs Yr 2'!U113,"")</f>
        <v/>
      </c>
      <c r="BW113" s="197" t="str">
        <f>IFERROR(($G113*IF('Inputs Yr 2'!$AJ113=BN$4,'Inputs Yr 2'!$AK113,IF('Inputs Yr 2'!$AL113=BN$4,'Inputs Yr 2'!$AM113,IF('Inputs Yr 2'!$AN113=BN$4,'Inputs Yr 2'!$AO113,0))))*(INDEX(avoidedcosttbl2,$H113,BW$2)+(($H113-ROUNDDOWN($H113,0))*(INDEX(avoidedcosttbl2,ROUNDUP($H113,0),BW$2)-(INDEX(avoidedcosttbl2,ROUNDDOWN($H113,0),BW$2)))))*'Inputs Yr 2'!P113*'Inputs Yr 2'!Q113*'Inputs Yr 2'!U113,"")</f>
        <v/>
      </c>
      <c r="BX113" s="197" t="str">
        <f>IFERROR(($G113*IF('Inputs Yr 2'!$AJ113=BO$4,'Inputs Yr 2'!$AK113,IF('Inputs Yr 2'!$AL113=BO$4,'Inputs Yr 2'!$AM113,IF('Inputs Yr 2'!$AN113=BO$4,'Inputs Yr 2'!$AO113,0))))*(INDEX(avoidedcosttbl2,$H113,BX$2)+(($H113-ROUNDDOWN($H113,0))*(INDEX(avoidedcosttbl2,ROUNDUP($H113,0),BX$2)-(INDEX(avoidedcosttbl2,ROUNDDOWN($H113,0),BX$2)))))*'Inputs Yr 2'!P113*'Inputs Yr 2'!Q113*'Inputs Yr 2'!U113,"")</f>
        <v/>
      </c>
      <c r="BY113" s="197" t="str">
        <f>IFERROR(($G113*IF('Inputs Yr 2'!$AJ113=BP$4,'Inputs Yr 2'!$AK113,IF('Inputs Yr 2'!$AL113=BP$4,'Inputs Yr 2'!$AM113,IF('Inputs Yr 2'!$AN113=BP$4,'Inputs Yr 2'!$AO113,0))))*(INDEX(avoidedcosttbl2,$H113,BY$2)+(($H113-ROUNDDOWN($H113,0))*(INDEX(avoidedcosttbl2,ROUNDUP($H113,0),BY$2)-(INDEX(avoidedcosttbl2,ROUNDDOWN($H113,0),BY$2)))))*'Inputs Yr 2'!P113*'Inputs Yr 2'!Q113*'Inputs Yr 2'!U113,"")</f>
        <v/>
      </c>
      <c r="BZ113" s="193">
        <f t="shared" si="69"/>
        <v>0</v>
      </c>
      <c r="CA113" s="193">
        <f t="shared" si="70"/>
        <v>0</v>
      </c>
      <c r="CB113" s="195" t="str">
        <f>IFERROR(G113*(IF('Inputs Yr 2'!$AJ113=CB$4,'Inputs Yr 2'!$AK113,IF('Inputs Yr 2'!$AL113=CB$4,'Inputs Yr 2'!$AM113,IF('Inputs Yr 2'!$AN113=CB$4,'Inputs Yr 2'!$AO113,0))))*(INDEX(avoidedcosttbl2,$H113,CB$2)+(($H113-ROUNDDOWN($H113,0))*(INDEX(avoidedcosttbl2,ROUNDUP($H113,0),CB$2)-(INDEX(avoidedcosttbl2,ROUNDDOWN($H113,0),CB$2)))))*'Inputs Yr 2'!P113*'Inputs Yr 2'!Q113*'Inputs Yr 2'!U113,"")</f>
        <v/>
      </c>
      <c r="CC113" s="195" t="str">
        <f>IFERROR(H113*(IF('Inputs Yr 2'!$AJ113=CC$4,'Inputs Yr 2'!$AK113,IF('Inputs Yr 2'!$AL113=CC$4,'Inputs Yr 2'!$AM113,IF('Inputs Yr 2'!$AN113=CC$4,'Inputs Yr 2'!$AO113,0))))*(INDEX(avoidedcosttbl2,$H113,CC$2)+(($H113-ROUNDDOWN($H113,0))*(INDEX(avoidedcosttbl2,ROUNDUP($H113,0),CC$2)-(INDEX(avoidedcosttbl2,ROUNDDOWN($H113,0),CC$2)))))*'Inputs Yr 2'!Q113*'Inputs Yr 2'!R113*'Inputs Yr 2'!V113,"")</f>
        <v/>
      </c>
      <c r="CD113" s="195" t="str">
        <f>IFERROR(I113*(IF('Inputs Yr 2'!$AJ113=CD$4,'Inputs Yr 2'!$AK113,IF('Inputs Yr 2'!$AL113=CD$4,'Inputs Yr 2'!$AM113,IF('Inputs Yr 2'!$AN113=CD$4,'Inputs Yr 2'!$AO113,0))))*(INDEX(avoidedcosttbl2,$H113,CD$2)+(($H113-ROUNDDOWN($H113,0))*(INDEX(avoidedcosttbl2,ROUNDUP($H113,0),CD$2)-(INDEX(avoidedcosttbl2,ROUNDDOWN($H113,0),CD$2)))))*'Inputs Yr 2'!R113*'Inputs Yr 2'!S113*'Inputs Yr 2'!W113,"")</f>
        <v/>
      </c>
      <c r="CE113" s="213" t="str">
        <f t="shared" si="71"/>
        <v/>
      </c>
      <c r="CF113" s="213" t="str">
        <f t="shared" si="72"/>
        <v/>
      </c>
      <c r="CG113" s="213" t="str">
        <f t="shared" si="73"/>
        <v/>
      </c>
      <c r="CH113" s="698">
        <f t="shared" si="74"/>
        <v>0</v>
      </c>
      <c r="CI113" s="79" t="str">
        <f>IFERROR(($G113*'Inputs Yr 2'!$P113*'Inputs Yr 2'!$Q113*(((INDEX(avoidedcosttbl2,$H113,CI$2)+(($H113-ROUNDDOWN($H113,0))*(INDEX(avoidedcosttbl2,ROUNDUP($H113,0),CI$2)-INDEX(avoidedcosttbl2,ROUNDDOWN($H113,0),CI$2))))*'Inputs Yr 2'!AS113))),"")</f>
        <v/>
      </c>
      <c r="CJ113" s="504" t="str">
        <f>IFERROR($G113*'Inputs Yr 2'!AT113*'Inputs Yr 2'!$P113*'Inputs Yr 2'!$Q113/((1+realdiscrt1)^-0.5),"")</f>
        <v/>
      </c>
      <c r="CK113" s="79" t="str">
        <f>IFERROR((O113*1000*(((INDEX(avoidedcosttbl2,$H113,CK$2)+(($H113-ROUNDDOWN($H113,0))*(INDEX(avoidedcosttbl2,ROUNDUP($H113,0),CK$2)-INDEX(avoidedcosttbl2,ROUNDDOWN($H113,0),CK$2))))*'Inputs Yr 2'!AU113))),"")</f>
        <v/>
      </c>
      <c r="CL113" s="504" t="str">
        <f>IFERROR(O113*1000*'Inputs Yr 2'!AV113/((1+realdiscrt1)^-0.5),"")</f>
        <v/>
      </c>
      <c r="CM113" s="79" t="str">
        <f>IFERROR((AB113*'Inputs Yr 2'!AW113*(((INDEX(avoidedcosttbl2,$H113,CM$2)+(($H113-ROUNDDOWN($H113,0))*(INDEX(avoidedcosttbl2,ROUNDUP($H113,0),CM$2)-INDEX(avoidedcosttbl2,ROUNDDOWN($H113,0),CM$2)))))))*10,"")</f>
        <v/>
      </c>
      <c r="CN113" s="504">
        <f>IFERROR(10*AB113*'Inputs Yr 2'!AX113/((1+realdiscrt1)^-0.5),"")</f>
        <v>0</v>
      </c>
      <c r="CO113" s="505">
        <f t="shared" si="75"/>
        <v>0</v>
      </c>
      <c r="CP113" s="230">
        <f t="shared" si="76"/>
        <v>0</v>
      </c>
      <c r="CQ113" s="199">
        <f>ROUND(IFERROR(IF(LEFT($A113,1)="C",'Avoided Costs'!$K$13,'Avoided Costs'!$K$12)+1,""),4)</f>
        <v>1.0720000000000001</v>
      </c>
      <c r="CR113" s="199">
        <f>ROUND(IFERROR(IF(LEFT($A113,1)="C",'Avoided Costs'!$L$13,'Avoided Costs'!$L$12)+1,""),4)</f>
        <v>1.04</v>
      </c>
      <c r="CS113" s="199">
        <f>ROUND(IFERROR(IF(LEFT($A113,1)="C",'Avoided Costs'!$M$13,'Avoided Costs'!$M$12)+1,""),4)</f>
        <v>1.0720000000000001</v>
      </c>
      <c r="CT113" s="199">
        <f>ROUND(IFERROR(IF(LEFT($A113,1)="C",'Avoided Costs'!$N$13,'Avoided Costs'!$N$12)+1,""),4)</f>
        <v>1.04</v>
      </c>
      <c r="CU113" s="199">
        <f>ROUND(IFERROR(IF(LEFT($A113,1)="C",'Avoided Costs'!$O$13,'Avoided Costs'!$O$12)+1,""),4)</f>
        <v>1.1120000000000001</v>
      </c>
      <c r="CV113" s="199">
        <f>ROUND(IFERROR(IF(LEFT($A113,1)="C",'Avoided Costs'!$P$13,'Avoided Costs'!$P$12)+1,""),4)</f>
        <v>1.095</v>
      </c>
      <c r="CW113" s="199">
        <f>ROUND(IFERROR(IF(LEFT($A113,1)="C",'Avoided Costs'!$Q$13,'Avoided Costs'!$Q$12)+1,""),4)</f>
        <v>1.1120000000000001</v>
      </c>
      <c r="CX113" s="200">
        <f>ROUND(IFERROR(IF(LEFT($A113,1)="C",'Avoided Costs'!$R$13,'Avoided Costs'!$R$12)+1,""),4)</f>
        <v>1.1120000000000001</v>
      </c>
    </row>
    <row r="114" spans="1:102" ht="12.75" customHeight="1">
      <c r="A114" s="91" t="str">
        <f>IF('Inputs Yr 2'!$B114=0,"",'Inputs Yr 2'!A114)</f>
        <v>B - Low Income</v>
      </c>
      <c r="B114" s="91" t="str">
        <f>IF('Inputs Yr 2'!$B114=0,"",'Inputs Yr 2'!B114)</f>
        <v>B1 - Low-Income Whole House</v>
      </c>
      <c r="C114" s="91" t="str">
        <f>IF('Inputs Yr 2'!$B114=0,"",'Inputs Yr 2'!C114)</f>
        <v>B1a - Low-Income Single Family Retrofit</v>
      </c>
      <c r="D114" s="91" t="str">
        <f>IF('Inputs Yr 2'!$B114=0,"",'Inputs Yr 2'!E114)</f>
        <v>Repairs</v>
      </c>
      <c r="E114" s="93">
        <f>IF('Inputs Yr 2'!$B114=0,"",'Inputs Yr 2'!F114)</f>
        <v>0</v>
      </c>
      <c r="F114" s="93">
        <f>IF('Inputs Yr 2'!$B114=0,"",'Inputs Yr 2'!G114)</f>
        <v>0</v>
      </c>
      <c r="G114" s="95" t="str">
        <f>IF('Inputs Yr 2'!$H114&lt;&gt;0,('Inputs Yr 2'!H114),"")</f>
        <v/>
      </c>
      <c r="H114" s="94">
        <f>IFERROR('Inputs Yr 2'!I114,"")</f>
        <v>0</v>
      </c>
      <c r="I114" s="298" t="str">
        <f>IFERROR('Inputs Yr 2'!J114*'Inputs Yr 2'!P114*G114,"")</f>
        <v/>
      </c>
      <c r="J114" s="298" t="str">
        <f>IFERROR('Inputs Yr 2'!K114*G114,"")</f>
        <v/>
      </c>
      <c r="K114" s="298" t="str">
        <f t="shared" si="53"/>
        <v/>
      </c>
      <c r="L114" s="194" t="str">
        <f>IFERROR(('Inputs Yr 2'!W114*G114)/1000,"")</f>
        <v/>
      </c>
      <c r="M114" s="194" t="str">
        <f>IFERROR(L114*('Inputs Yr 2'!$Q114*'Inputs Yr 2'!$V114*'Inputs Yr 2'!$R114),"")</f>
        <v/>
      </c>
      <c r="N114" s="194" t="str">
        <f t="shared" si="54"/>
        <v/>
      </c>
      <c r="O114" s="194" t="str">
        <f>IFERROR(M114*'Inputs Yr 2'!P114,"")</f>
        <v/>
      </c>
      <c r="P114" s="194" t="str">
        <f t="shared" si="55"/>
        <v/>
      </c>
      <c r="Q114" s="194" t="str">
        <f>IFERROR($P114*'Inputs Yr 2'!AA114,"")</f>
        <v/>
      </c>
      <c r="R114" s="194" t="str">
        <f>IFERROR($P114*'Inputs Yr 2'!AB114,"")</f>
        <v/>
      </c>
      <c r="S114" s="194" t="str">
        <f>IFERROR($P114*'Inputs Yr 2'!AC114,"")</f>
        <v/>
      </c>
      <c r="T114" s="194" t="str">
        <f>IFERROR($P114*'Inputs Yr 2'!AD114,"")</f>
        <v/>
      </c>
      <c r="U114" s="194" t="str">
        <f>IFERROR(G114*'Inputs Yr 2'!$AE114*'Inputs Yr 2'!$P114*'Inputs Yr 2'!$Q114,"")</f>
        <v/>
      </c>
      <c r="V114" s="194" t="str">
        <f>IFERROR($G114*'Inputs Yr 2'!$AE114*'Inputs Yr 2'!$AG114*'Inputs Yr 2'!Q114*'Inputs Yr 2'!$S114,"")</f>
        <v/>
      </c>
      <c r="W114" s="194" t="str">
        <f>IFERROR($G114*'Inputs Yr 2'!$AE114*'Inputs Yr 2'!$AG114*'Inputs Yr 2'!P114*'Inputs Yr 2'!Q114*'Inputs Yr 2'!$S114,"")</f>
        <v/>
      </c>
      <c r="X114" s="194" t="str">
        <f>IFERROR($G114*'Inputs Yr 2'!$AE114*'Inputs Yr 2'!$AF114*'Inputs Yr 2'!Q114*'Inputs Yr 2'!$T114,"")</f>
        <v/>
      </c>
      <c r="Y114" s="194" t="str">
        <f>IFERROR($G114*'Inputs Yr 2'!$AE114*'Inputs Yr 2'!$AF114*'Inputs Yr 2'!P114*'Inputs Yr 2'!Q114*'Inputs Yr 2'!$T114,"")</f>
        <v/>
      </c>
      <c r="Z114" s="257">
        <f>IFERROR($G114*'Inputs Yr 2'!$Q114*'Inputs Yr 2'!$U114*(IF(IFERROR(SEARCH("NG", 'Inputs Yr 2'!$AJ114),0),'Inputs Yr 2'!$AK114,0)+IF(IFERROR(SEARCH("NG", 'Inputs Yr 2'!$AL114),0),'Inputs Yr 2'!$AM114,0)+IF(IFERROR(SEARCH("NG", 'Inputs Yr 2'!$AN114),0),'Inputs Yr 2'!$AO114,0)),0)</f>
        <v>0</v>
      </c>
      <c r="AA114" s="257">
        <f t="shared" si="56"/>
        <v>0</v>
      </c>
      <c r="AB114" s="257">
        <f>IFERROR(Z114*'Inputs Yr 2'!$P114,0)</f>
        <v>0</v>
      </c>
      <c r="AC114" s="257">
        <f t="shared" si="57"/>
        <v>0</v>
      </c>
      <c r="AD114" s="257">
        <f>IFERROR($G114*'Inputs Yr 2'!$Q114*'Inputs Yr 2'!$U114*(IF(IFERROR(SEARCH("Oil", 'Inputs Yr 2'!$AJ114), 0),'Inputs Yr 2'!$AK114,0)+IF(IFERROR(SEARCH("Oil", 'Inputs Yr 2'!$AL114), 0),'Inputs Yr 2'!$AM114,0)+IF(IFERROR(SEARCH("Oil", 'Inputs Yr 2'!$AN114), 0),'Inputs Yr 2'!$AO114,0)),0)</f>
        <v>0</v>
      </c>
      <c r="AE114" s="257">
        <f t="shared" si="58"/>
        <v>0</v>
      </c>
      <c r="AF114" s="257">
        <f>IFERROR(AD114*'Inputs Yr 2'!$P114,0)</f>
        <v>0</v>
      </c>
      <c r="AG114" s="257">
        <f t="shared" si="59"/>
        <v>0</v>
      </c>
      <c r="AH114" s="257">
        <f>IFERROR($G114*'Inputs Yr 2'!$Q114*'Inputs Yr 2'!$U114*(IF('Inputs Yr 2'!$AJ114=CD$4,'Inputs Yr 2'!$AK114,IF('Inputs Yr 2'!$AL114=CD$4,'Inputs Yr 2'!$AM114,IF('Inputs Yr 2'!$AN114=CD$4,'Inputs Yr 2'!$AO114,0)))),0)</f>
        <v>0</v>
      </c>
      <c r="AI114" s="257">
        <f t="shared" si="60"/>
        <v>0</v>
      </c>
      <c r="AJ114" s="257">
        <f>IFERROR(AH114*'Inputs Yr 2'!$P114,0)</f>
        <v>0</v>
      </c>
      <c r="AK114" s="257">
        <f t="shared" si="61"/>
        <v>0</v>
      </c>
      <c r="AL114" s="258">
        <f>IFERROR($G114*'Inputs Yr 2'!$P114*'Inputs Yr 2'!$Q114*'Inputs Yr 2'!AP114,0)</f>
        <v>0</v>
      </c>
      <c r="AM114" s="260">
        <f>IFERROR($G114*'Inputs Yr 2'!$P114*'Inputs Yr 2'!$Q114*'Inputs Yr 2'!AQ114,0)</f>
        <v>0</v>
      </c>
      <c r="AN114" s="258">
        <f>IFERROR($G114*'Inputs Yr 2'!$P114*'Inputs Yr 2'!$Q114*'Inputs Yr 2'!AR114,0)</f>
        <v>0</v>
      </c>
      <c r="AO114" s="257">
        <f t="shared" si="62"/>
        <v>0</v>
      </c>
      <c r="AP114" s="195" t="str">
        <f>IFERROR($CQ114*(INDEX(avoidedcosttbl2,$H114,AP$2)+(($H114-ROUNDDOWN($H114,0))*(INDEX(avoidedcosttbl2,ROUNDUP($H114,0),AP$2)-(INDEX(avoidedcosttbl2,ROUNDDOWN($H114,0),AP$2)))))*$O114*1000*'Inputs Yr 2'!AA114,"")</f>
        <v/>
      </c>
      <c r="AQ114" s="195" t="str">
        <f>IFERROR($CR114*(INDEX(avoidedcosttbl2,$H114,AQ$2)+(($H114-ROUNDDOWN($H114,0))*(INDEX(avoidedcosttbl2,ROUNDUP($H114,0),AQ$2)-(INDEX(avoidedcosttbl2,ROUNDDOWN($H114,0),AQ$2)))))*$O114*1000*'Inputs Yr 2'!AB114,"")</f>
        <v/>
      </c>
      <c r="AR114" s="195" t="str">
        <f>IFERROR($CS114*(INDEX(avoidedcosttbl2,$H114,AR$2)+(($H114-ROUNDDOWN($H114,0))*(INDEX(avoidedcosttbl2,ROUNDUP($H114,0),AR$2)-(INDEX(avoidedcosttbl2,ROUNDDOWN($H114,0),AR$2)))))*$O114*1000*'Inputs Yr 2'!AC114,"")</f>
        <v/>
      </c>
      <c r="AS114" s="195" t="str">
        <f>IFERROR($CT114*(INDEX(avoidedcosttbl2,$H114,AS$2)+(($H114-ROUNDDOWN($H114,0))*(INDEX(avoidedcosttbl2,ROUNDUP($H114,0),AS$2)-(INDEX(avoidedcosttbl2,ROUNDDOWN($H114,0),AS$2)))))*$O114*1000*'Inputs Yr 2'!AD114,"")</f>
        <v/>
      </c>
      <c r="AT114" s="196">
        <f t="shared" si="63"/>
        <v>0</v>
      </c>
      <c r="AU114" s="197" t="str">
        <f>IFERROR($CQ114*((INDEX(avoidedcosttbl2,$H114,AU$2))+(($H114-ROUNDDOWN($H114,0))*((INDEX(avoidedcosttbl2,ROUNDUP($H114,0),AU$2))-(INDEX(avoidedcosttbl2,ROUNDDOWN($H114,0),AU$2)))))*$O114*1000*'Inputs Yr 2'!AA114,"")</f>
        <v/>
      </c>
      <c r="AV114" s="197" t="str">
        <f>IFERROR($CR114*((INDEX(avoidedcosttbl2,$H114,AV$2))+(($H114-ROUNDDOWN($H114,0))*((INDEX(avoidedcosttbl2,ROUNDUP($H114,0),AV$2))-(INDEX(avoidedcosttbl2,ROUNDDOWN($H114,0),AV$2)))))*$O114*1000*'Inputs Yr 2'!AB114,"")</f>
        <v/>
      </c>
      <c r="AW114" s="197" t="str">
        <f>IFERROR($CS114*((INDEX(avoidedcosttbl2,$H114,AW$2))+(($H114-ROUNDDOWN($H114,0))*((INDEX(avoidedcosttbl2,ROUNDUP($H114,0),AW$2))-(INDEX(avoidedcosttbl2,ROUNDDOWN($H114,0),AW$2)))))*$O114*1000*'Inputs Yr 2'!AC114,"")</f>
        <v/>
      </c>
      <c r="AX114" s="197" t="str">
        <f>IFERROR($CT114*((INDEX(avoidedcosttbl2,$H114,AX$2))+(($H114-ROUNDDOWN($H114,0))*((INDEX(avoidedcosttbl2,ROUNDUP($H114,0),AX$2))-(INDEX(avoidedcosttbl2,ROUNDDOWN($H114,0),AX$2)))))*$O114*1000*'Inputs Yr 2'!AD114,"")</f>
        <v/>
      </c>
      <c r="AY114" s="197" t="str">
        <f>IFERROR(((INDEX(avoidedcosttbl2,$H114,AY$2))+(($H114-ROUNDDOWN($H114,0))*((INDEX(avoidedcosttbl2,ROUNDUP($H114,0),AY$2))-(INDEX(avoidedcosttbl2,ROUNDDOWN($H114,0),AY$2)))))*$O114*1000*('Inputs Yr 2'!AC114+'Inputs Yr 2'!AD114),"")</f>
        <v/>
      </c>
      <c r="AZ114" s="197" t="str">
        <f>IFERROR(((INDEX(avoidedcosttbl2,$H114,AZ$2))+(($H114-ROUNDDOWN($H114,0))*((INDEX(avoidedcosttbl2,ROUNDUP($H114,0),AZ$2))-(INDEX(avoidedcosttbl2,ROUNDDOWN($H114,0),AZ$2)))))*$O114*1000*('Inputs Yr 2'!AA114+'Inputs Yr 2'!AB114),"")</f>
        <v/>
      </c>
      <c r="BA114" s="198">
        <f t="shared" si="64"/>
        <v>0</v>
      </c>
      <c r="BB114" s="198">
        <f t="shared" si="65"/>
        <v>0</v>
      </c>
      <c r="BC114" s="195" t="str">
        <f t="shared" si="47"/>
        <v/>
      </c>
      <c r="BD114" s="195" t="str">
        <f t="shared" si="48"/>
        <v/>
      </c>
      <c r="BE114" s="195" t="str">
        <f t="shared" si="49"/>
        <v/>
      </c>
      <c r="BF114" s="195" t="str">
        <f t="shared" si="50"/>
        <v/>
      </c>
      <c r="BG114" s="195" t="str">
        <f t="shared" si="51"/>
        <v/>
      </c>
      <c r="BH114" s="196">
        <f t="shared" si="66"/>
        <v>0</v>
      </c>
      <c r="BI114" s="196">
        <f t="shared" si="67"/>
        <v>0</v>
      </c>
      <c r="BJ114" s="195" t="str">
        <f>IFERROR($G114*(IF('Inputs Yr 2'!$AJ114=BJ$4,'Inputs Yr 2'!$AK114,IF('Inputs Yr 2'!$AL114=BJ$4,'Inputs Yr 2'!$AM114,IF('Inputs Yr 2'!$AN114=BJ$4,'Inputs Yr 2'!$AO114,0))))*(INDEX(avoidedcosttbl2,$H114,BJ$2)+(($H114-ROUNDDOWN($H114,0))*(INDEX(avoidedcosttbl2,ROUNDUP($H114,0),BJ$2)-(INDEX(avoidedcosttbl2,ROUNDDOWN($H114,0),BJ$2)))))*'Inputs Yr 2'!P114*'Inputs Yr 2'!Q114*'Inputs Yr 2'!U114,"")</f>
        <v/>
      </c>
      <c r="BK114" s="195" t="str">
        <f>IFERROR($G114*(IF('Inputs Yr 2'!$AJ114=BK$4,'Inputs Yr 2'!$AK114,IF('Inputs Yr 2'!$AL114=BK$4,'Inputs Yr 2'!$AM114,IF('Inputs Yr 2'!$AN114=BK$4,'Inputs Yr 2'!$AO114,0))))*(INDEX(avoidedcosttbl2,$H114,BK$2)+(($H114-ROUNDDOWN($H114,0))*(INDEX(avoidedcosttbl2,ROUNDUP($H114,0),BK$2)-(INDEX(avoidedcosttbl2,ROUNDDOWN($H114,0),BK$2)))))*'Inputs Yr 2'!P114*'Inputs Yr 2'!Q114*'Inputs Yr 2'!U114,"")</f>
        <v/>
      </c>
      <c r="BL114" s="195" t="str">
        <f>IFERROR($G114*(IF('Inputs Yr 2'!$AJ114=BL$4,'Inputs Yr 2'!$AK114,IF('Inputs Yr 2'!$AL114=BL$4,'Inputs Yr 2'!$AM114,IF('Inputs Yr 2'!$AN114=BL$4,'Inputs Yr 2'!$AO114,0))))*(INDEX(avoidedcosttbl2,$H114,BL$2)+(($H114-ROUNDDOWN($H114,0))*(INDEX(avoidedcosttbl2,ROUNDUP($H114,0),BL$2)-(INDEX(avoidedcosttbl2,ROUNDDOWN($H114,0),BL$2)))))*'Inputs Yr 2'!P114*'Inputs Yr 2'!Q114*'Inputs Yr 2'!U114,"")</f>
        <v/>
      </c>
      <c r="BM114" s="195" t="str">
        <f>IFERROR($G114*(IF('Inputs Yr 2'!$AJ114=BM$4,'Inputs Yr 2'!$AK114,IF('Inputs Yr 2'!$AL114=BM$4,'Inputs Yr 2'!$AM114,IF('Inputs Yr 2'!$AN114=BM$4,'Inputs Yr 2'!$AO114,0))))*(INDEX(avoidedcosttbl2,$H114,BM$2)+(($H114-ROUNDDOWN($H114,0))*(INDEX(avoidedcosttbl2,ROUNDUP($H114,0),BM$2)-(INDEX(avoidedcosttbl2,ROUNDDOWN($H114,0),BM$2)))))*'Inputs Yr 2'!P114*'Inputs Yr 2'!Q114*'Inputs Yr 2'!U114,"")</f>
        <v/>
      </c>
      <c r="BN114" s="195" t="str">
        <f>IFERROR($G114*(IF('Inputs Yr 2'!$AJ114=BN$4,'Inputs Yr 2'!$AK114,IF('Inputs Yr 2'!$AL114=BN$4,'Inputs Yr 2'!$AM114,IF('Inputs Yr 2'!$AN114=BN$4,'Inputs Yr 2'!$AO114,0))))*(INDEX(avoidedcosttbl2,$H114,BN$2)+(($H114-ROUNDDOWN($H114,0))*(INDEX(avoidedcosttbl2,ROUNDUP($H114,0),BN$2)-(INDEX(avoidedcosttbl2,ROUNDDOWN($H114,0),BN$2)))))*'Inputs Yr 2'!P114*'Inputs Yr 2'!Q114*'Inputs Yr 2'!U114,"")</f>
        <v/>
      </c>
      <c r="BO114" s="195" t="str">
        <f>IFERROR($G114*(IF('Inputs Yr 2'!$AJ114=BO$4,'Inputs Yr 2'!$AK114,IF('Inputs Yr 2'!$AL114=BO$4,'Inputs Yr 2'!$AM114,IF('Inputs Yr 2'!$AN114=BO$4,'Inputs Yr 2'!$AO114,0))))*(INDEX(avoidedcosttbl2,$H114,BO$2)+(($H114-ROUNDDOWN($H114,0))*(INDEX(avoidedcosttbl2,ROUNDUP($H114,0),BO$2)-(INDEX(avoidedcosttbl2,ROUNDDOWN($H114,0),BO$2)))))*'Inputs Yr 2'!P114*'Inputs Yr 2'!Q114*'Inputs Yr 2'!U114,"")</f>
        <v/>
      </c>
      <c r="BP114" s="195" t="str">
        <f>IFERROR($G114*(IF('Inputs Yr 2'!$AJ114=BP$4,'Inputs Yr 2'!$AK114,IF('Inputs Yr 2'!$AL114=BP$4,'Inputs Yr 2'!$AM114,IF('Inputs Yr 2'!$AN114=BP$4,'Inputs Yr 2'!$AO114,0))))*(INDEX(avoidedcosttbl2,$H114,BP$2)+(($H114-ROUNDDOWN($H114,0))*(INDEX(avoidedcosttbl2,ROUNDUP($H114,0),BP$2)-(INDEX(avoidedcosttbl2,ROUNDDOWN($H114,0),BP$2)))))*'Inputs Yr 2'!P114*'Inputs Yr 2'!Q114*'Inputs Yr 2'!U114,"")</f>
        <v/>
      </c>
      <c r="BQ114" s="230">
        <f t="shared" si="68"/>
        <v>0</v>
      </c>
      <c r="BR114" s="197" t="str">
        <f t="shared" si="52"/>
        <v/>
      </c>
      <c r="BS114" s="197" t="str">
        <f>IFERROR(($G114*IF('Inputs Yr 2'!$AJ114=BM$4,'Inputs Yr 2'!$AK114,IF('Inputs Yr 2'!$AL114=BM$4,'Inputs Yr 2'!$AM114,IF('Inputs Yr 2'!$AN114=BM$4,'Inputs Yr 2'!$AO114,0))))*(INDEX(avoidedcosttbl2,$H114,BS$2)+(($H114-ROUNDDOWN($H114,0))*(INDEX(avoidedcosttbl2,ROUNDUP($H114,0),BS$2)-(INDEX(avoidedcosttbl2,ROUNDDOWN($H114,0),BS$2)))))*'Inputs Yr 2'!P114*'Inputs Yr 2'!Q114*'Inputs Yr 2'!U114,"")</f>
        <v/>
      </c>
      <c r="BT114" s="197" t="str">
        <f>IFERROR(($G114*IF('Inputs Yr 2'!$AJ114=BK$4,'Inputs Yr 2'!$AK114,IF('Inputs Yr 2'!$AL114=BK$4,'Inputs Yr 2'!$AM114,IF('Inputs Yr 2'!$AN114=BK$4,'Inputs Yr 2'!$AO114,0))))*(INDEX(avoidedcosttbl2,$H114,BT$2)+(($H114-ROUNDDOWN($H114,0))*(INDEX(avoidedcosttbl2,ROUNDUP($H114,0),BT$2)-(INDEX(avoidedcosttbl2,ROUNDDOWN($H114,0),BT$2)))))*'Inputs Yr 2'!P114*'Inputs Yr 2'!Q114*'Inputs Yr 2'!U114,"")</f>
        <v/>
      </c>
      <c r="BU114" s="197" t="str">
        <f>IFERROR(($G114*IF('Inputs Yr 2'!$AJ114=BL$4,'Inputs Yr 2'!$AK114,IF('Inputs Yr 2'!$AL114=BL$4,'Inputs Yr 2'!$AM114,IF('Inputs Yr 2'!$AN114=BL$4,'Inputs Yr 2'!$AO114,0))))*(INDEX(avoidedcosttbl2,$H114,BU$2)+(($H114-ROUNDDOWN($H114,0))*(INDEX(avoidedcosttbl2,ROUNDUP($H114,0),BU$2)-(INDEX(avoidedcosttbl2,ROUNDDOWN($H114,0),BU$2)))))*'Inputs Yr 2'!P114*'Inputs Yr 2'!Q114*'Inputs Yr 2'!U114,"")</f>
        <v/>
      </c>
      <c r="BV114" s="775" t="str">
        <f>IFERROR(($G114*IF('Inputs Yr 2'!$AJ114=BJ$4,'Inputs Yr 2'!$AK114,IF('Inputs Yr 2'!$AL114=BJ$4,'Inputs Yr 2'!$AM114,IF('Inputs Yr 2'!$AN114=BJ$4,'Inputs Yr 2'!$AO114,0))))*(INDEX(avoidedcosttbl2,$H114,BV$2)+(($H114-ROUNDDOWN($H114,0))*(INDEX(avoidedcosttbl2,ROUNDUP($H114,0),BV$2)-(INDEX(avoidedcosttbl2,ROUNDDOWN($H114,0),BV$2)))))*'Inputs Yr 2'!P114*'Inputs Yr 2'!Q114*'Inputs Yr 2'!U114,"")</f>
        <v/>
      </c>
      <c r="BW114" s="197" t="str">
        <f>IFERROR(($G114*IF('Inputs Yr 2'!$AJ114=BN$4,'Inputs Yr 2'!$AK114,IF('Inputs Yr 2'!$AL114=BN$4,'Inputs Yr 2'!$AM114,IF('Inputs Yr 2'!$AN114=BN$4,'Inputs Yr 2'!$AO114,0))))*(INDEX(avoidedcosttbl2,$H114,BW$2)+(($H114-ROUNDDOWN($H114,0))*(INDEX(avoidedcosttbl2,ROUNDUP($H114,0),BW$2)-(INDEX(avoidedcosttbl2,ROUNDDOWN($H114,0),BW$2)))))*'Inputs Yr 2'!P114*'Inputs Yr 2'!Q114*'Inputs Yr 2'!U114,"")</f>
        <v/>
      </c>
      <c r="BX114" s="197" t="str">
        <f>IFERROR(($G114*IF('Inputs Yr 2'!$AJ114=BO$4,'Inputs Yr 2'!$AK114,IF('Inputs Yr 2'!$AL114=BO$4,'Inputs Yr 2'!$AM114,IF('Inputs Yr 2'!$AN114=BO$4,'Inputs Yr 2'!$AO114,0))))*(INDEX(avoidedcosttbl2,$H114,BX$2)+(($H114-ROUNDDOWN($H114,0))*(INDEX(avoidedcosttbl2,ROUNDUP($H114,0),BX$2)-(INDEX(avoidedcosttbl2,ROUNDDOWN($H114,0),BX$2)))))*'Inputs Yr 2'!P114*'Inputs Yr 2'!Q114*'Inputs Yr 2'!U114,"")</f>
        <v/>
      </c>
      <c r="BY114" s="197" t="str">
        <f>IFERROR(($G114*IF('Inputs Yr 2'!$AJ114=BP$4,'Inputs Yr 2'!$AK114,IF('Inputs Yr 2'!$AL114=BP$4,'Inputs Yr 2'!$AM114,IF('Inputs Yr 2'!$AN114=BP$4,'Inputs Yr 2'!$AO114,0))))*(INDEX(avoidedcosttbl2,$H114,BY$2)+(($H114-ROUNDDOWN($H114,0))*(INDEX(avoidedcosttbl2,ROUNDUP($H114,0),BY$2)-(INDEX(avoidedcosttbl2,ROUNDDOWN($H114,0),BY$2)))))*'Inputs Yr 2'!P114*'Inputs Yr 2'!Q114*'Inputs Yr 2'!U114,"")</f>
        <v/>
      </c>
      <c r="BZ114" s="193">
        <f t="shared" si="69"/>
        <v>0</v>
      </c>
      <c r="CA114" s="193">
        <f t="shared" si="70"/>
        <v>0</v>
      </c>
      <c r="CB114" s="195" t="str">
        <f>IFERROR(G114*(IF('Inputs Yr 2'!$AJ114=CB$4,'Inputs Yr 2'!$AK114,IF('Inputs Yr 2'!$AL114=CB$4,'Inputs Yr 2'!$AM114,IF('Inputs Yr 2'!$AN114=CB$4,'Inputs Yr 2'!$AO114,0))))*(INDEX(avoidedcosttbl2,$H114,CB$2)+(($H114-ROUNDDOWN($H114,0))*(INDEX(avoidedcosttbl2,ROUNDUP($H114,0),CB$2)-(INDEX(avoidedcosttbl2,ROUNDDOWN($H114,0),CB$2)))))*'Inputs Yr 2'!P114*'Inputs Yr 2'!Q114*'Inputs Yr 2'!U114,"")</f>
        <v/>
      </c>
      <c r="CC114" s="195" t="str">
        <f>IFERROR(H114*(IF('Inputs Yr 2'!$AJ114=CC$4,'Inputs Yr 2'!$AK114,IF('Inputs Yr 2'!$AL114=CC$4,'Inputs Yr 2'!$AM114,IF('Inputs Yr 2'!$AN114=CC$4,'Inputs Yr 2'!$AO114,0))))*(INDEX(avoidedcosttbl2,$H114,CC$2)+(($H114-ROUNDDOWN($H114,0))*(INDEX(avoidedcosttbl2,ROUNDUP($H114,0),CC$2)-(INDEX(avoidedcosttbl2,ROUNDDOWN($H114,0),CC$2)))))*'Inputs Yr 2'!Q114*'Inputs Yr 2'!R114*'Inputs Yr 2'!V114,"")</f>
        <v/>
      </c>
      <c r="CD114" s="195" t="str">
        <f>IFERROR(I114*(IF('Inputs Yr 2'!$AJ114=CD$4,'Inputs Yr 2'!$AK114,IF('Inputs Yr 2'!$AL114=CD$4,'Inputs Yr 2'!$AM114,IF('Inputs Yr 2'!$AN114=CD$4,'Inputs Yr 2'!$AO114,0))))*(INDEX(avoidedcosttbl2,$H114,CD$2)+(($H114-ROUNDDOWN($H114,0))*(INDEX(avoidedcosttbl2,ROUNDUP($H114,0),CD$2)-(INDEX(avoidedcosttbl2,ROUNDDOWN($H114,0),CD$2)))))*'Inputs Yr 2'!R114*'Inputs Yr 2'!S114*'Inputs Yr 2'!W114,"")</f>
        <v/>
      </c>
      <c r="CE114" s="213" t="str">
        <f t="shared" si="71"/>
        <v/>
      </c>
      <c r="CF114" s="213" t="str">
        <f t="shared" si="72"/>
        <v/>
      </c>
      <c r="CG114" s="213" t="str">
        <f t="shared" si="73"/>
        <v/>
      </c>
      <c r="CH114" s="698">
        <f t="shared" si="74"/>
        <v>0</v>
      </c>
      <c r="CI114" s="79" t="str">
        <f>IFERROR(($G114*'Inputs Yr 2'!$P114*'Inputs Yr 2'!$Q114*(((INDEX(avoidedcosttbl2,$H114,CI$2)+(($H114-ROUNDDOWN($H114,0))*(INDEX(avoidedcosttbl2,ROUNDUP($H114,0),CI$2)-INDEX(avoidedcosttbl2,ROUNDDOWN($H114,0),CI$2))))*'Inputs Yr 2'!AS114))),"")</f>
        <v/>
      </c>
      <c r="CJ114" s="504" t="str">
        <f>IFERROR($G114*'Inputs Yr 2'!AT114*'Inputs Yr 2'!$P114*'Inputs Yr 2'!$Q114/((1+realdiscrt1)^-0.5),"")</f>
        <v/>
      </c>
      <c r="CK114" s="79" t="str">
        <f>IFERROR((O114*1000*(((INDEX(avoidedcosttbl2,$H114,CK$2)+(($H114-ROUNDDOWN($H114,0))*(INDEX(avoidedcosttbl2,ROUNDUP($H114,0),CK$2)-INDEX(avoidedcosttbl2,ROUNDDOWN($H114,0),CK$2))))*'Inputs Yr 2'!AU114))),"")</f>
        <v/>
      </c>
      <c r="CL114" s="504" t="str">
        <f>IFERROR(O114*1000*'Inputs Yr 2'!AV114/((1+realdiscrt1)^-0.5),"")</f>
        <v/>
      </c>
      <c r="CM114" s="79" t="str">
        <f>IFERROR((AB114*'Inputs Yr 2'!AW114*(((INDEX(avoidedcosttbl2,$H114,CM$2)+(($H114-ROUNDDOWN($H114,0))*(INDEX(avoidedcosttbl2,ROUNDUP($H114,0),CM$2)-INDEX(avoidedcosttbl2,ROUNDDOWN($H114,0),CM$2)))))))*10,"")</f>
        <v/>
      </c>
      <c r="CN114" s="504">
        <f>IFERROR(10*AB114*'Inputs Yr 2'!AX114/((1+realdiscrt1)^-0.5),"")</f>
        <v>0</v>
      </c>
      <c r="CO114" s="505">
        <f t="shared" si="75"/>
        <v>0</v>
      </c>
      <c r="CP114" s="230">
        <f t="shared" si="76"/>
        <v>0</v>
      </c>
      <c r="CQ114" s="199">
        <f>ROUND(IFERROR(IF(LEFT($A114,1)="C",'Avoided Costs'!$K$13,'Avoided Costs'!$K$12)+1,""),4)</f>
        <v>1.0720000000000001</v>
      </c>
      <c r="CR114" s="199">
        <f>ROUND(IFERROR(IF(LEFT($A114,1)="C",'Avoided Costs'!$L$13,'Avoided Costs'!$L$12)+1,""),4)</f>
        <v>1.04</v>
      </c>
      <c r="CS114" s="199">
        <f>ROUND(IFERROR(IF(LEFT($A114,1)="C",'Avoided Costs'!$M$13,'Avoided Costs'!$M$12)+1,""),4)</f>
        <v>1.0720000000000001</v>
      </c>
      <c r="CT114" s="199">
        <f>ROUND(IFERROR(IF(LEFT($A114,1)="C",'Avoided Costs'!$N$13,'Avoided Costs'!$N$12)+1,""),4)</f>
        <v>1.04</v>
      </c>
      <c r="CU114" s="199">
        <f>ROUND(IFERROR(IF(LEFT($A114,1)="C",'Avoided Costs'!$O$13,'Avoided Costs'!$O$12)+1,""),4)</f>
        <v>1.1120000000000001</v>
      </c>
      <c r="CV114" s="199">
        <f>ROUND(IFERROR(IF(LEFT($A114,1)="C",'Avoided Costs'!$P$13,'Avoided Costs'!$P$12)+1,""),4)</f>
        <v>1.095</v>
      </c>
      <c r="CW114" s="199">
        <f>ROUND(IFERROR(IF(LEFT($A114,1)="C",'Avoided Costs'!$Q$13,'Avoided Costs'!$Q$12)+1,""),4)</f>
        <v>1.1120000000000001</v>
      </c>
      <c r="CX114" s="200">
        <f>ROUND(IFERROR(IF(LEFT($A114,1)="C",'Avoided Costs'!$R$13,'Avoided Costs'!$R$12)+1,""),4)</f>
        <v>1.1120000000000001</v>
      </c>
    </row>
    <row r="115" spans="1:102" ht="12.75" customHeight="1">
      <c r="A115" s="91" t="str">
        <f>IF('Inputs Yr 2'!$B115=0,"",'Inputs Yr 2'!A115)</f>
        <v>B - Low Income</v>
      </c>
      <c r="B115" s="91" t="str">
        <f>IF('Inputs Yr 2'!$B115=0,"",'Inputs Yr 2'!B115)</f>
        <v>B1 - Low-Income Whole House</v>
      </c>
      <c r="C115" s="91" t="str">
        <f>IF('Inputs Yr 2'!$B115=0,"",'Inputs Yr 2'!C115)</f>
        <v>B1a - Low-Income Single Family Retrofit</v>
      </c>
      <c r="D115" s="91" t="str">
        <f>IF('Inputs Yr 2'!$B115=0,"",'Inputs Yr 2'!E115)</f>
        <v>Rebate Cost Adjustment* (pre-wx, etc.)</v>
      </c>
      <c r="E115" s="93">
        <f>IF('Inputs Yr 2'!$B115=0,"",'Inputs Yr 2'!F115)</f>
        <v>0</v>
      </c>
      <c r="F115" s="93">
        <f>IF('Inputs Yr 2'!$B115=0,"",'Inputs Yr 2'!G115)</f>
        <v>0</v>
      </c>
      <c r="G115" s="95" t="str">
        <f>IF('Inputs Yr 2'!$H115&lt;&gt;0,('Inputs Yr 2'!H115),"")</f>
        <v/>
      </c>
      <c r="H115" s="94">
        <f>IFERROR('Inputs Yr 2'!I115,"")</f>
        <v>0</v>
      </c>
      <c r="I115" s="298" t="str">
        <f>IFERROR('Inputs Yr 2'!J115*'Inputs Yr 2'!P115*G115,"")</f>
        <v/>
      </c>
      <c r="J115" s="298" t="str">
        <f>IFERROR('Inputs Yr 2'!K115*G115,"")</f>
        <v/>
      </c>
      <c r="K115" s="298" t="str">
        <f t="shared" si="53"/>
        <v/>
      </c>
      <c r="L115" s="194" t="str">
        <f>IFERROR(('Inputs Yr 2'!W115*G115)/1000,"")</f>
        <v/>
      </c>
      <c r="M115" s="194" t="str">
        <f>IFERROR(L115*('Inputs Yr 2'!$Q115*'Inputs Yr 2'!$V115*'Inputs Yr 2'!$R115),"")</f>
        <v/>
      </c>
      <c r="N115" s="194" t="str">
        <f t="shared" si="54"/>
        <v/>
      </c>
      <c r="O115" s="194" t="str">
        <f>IFERROR(M115*'Inputs Yr 2'!P115,"")</f>
        <v/>
      </c>
      <c r="P115" s="194" t="str">
        <f t="shared" si="55"/>
        <v/>
      </c>
      <c r="Q115" s="194" t="str">
        <f>IFERROR($P115*'Inputs Yr 2'!AA115,"")</f>
        <v/>
      </c>
      <c r="R115" s="194" t="str">
        <f>IFERROR($P115*'Inputs Yr 2'!AB115,"")</f>
        <v/>
      </c>
      <c r="S115" s="194" t="str">
        <f>IFERROR($P115*'Inputs Yr 2'!AC115,"")</f>
        <v/>
      </c>
      <c r="T115" s="194" t="str">
        <f>IFERROR($P115*'Inputs Yr 2'!AD115,"")</f>
        <v/>
      </c>
      <c r="U115" s="194" t="str">
        <f>IFERROR(G115*'Inputs Yr 2'!$AE115*'Inputs Yr 2'!$P115*'Inputs Yr 2'!$Q115,"")</f>
        <v/>
      </c>
      <c r="V115" s="194" t="str">
        <f>IFERROR($G115*'Inputs Yr 2'!$AE115*'Inputs Yr 2'!$AG115*'Inputs Yr 2'!Q115*'Inputs Yr 2'!$S115,"")</f>
        <v/>
      </c>
      <c r="W115" s="194" t="str">
        <f>IFERROR($G115*'Inputs Yr 2'!$AE115*'Inputs Yr 2'!$AG115*'Inputs Yr 2'!P115*'Inputs Yr 2'!Q115*'Inputs Yr 2'!$S115,"")</f>
        <v/>
      </c>
      <c r="X115" s="194" t="str">
        <f>IFERROR($G115*'Inputs Yr 2'!$AE115*'Inputs Yr 2'!$AF115*'Inputs Yr 2'!Q115*'Inputs Yr 2'!$T115,"")</f>
        <v/>
      </c>
      <c r="Y115" s="194" t="str">
        <f>IFERROR($G115*'Inputs Yr 2'!$AE115*'Inputs Yr 2'!$AF115*'Inputs Yr 2'!P115*'Inputs Yr 2'!Q115*'Inputs Yr 2'!$T115,"")</f>
        <v/>
      </c>
      <c r="Z115" s="257">
        <f>IFERROR($G115*'Inputs Yr 2'!$Q115*'Inputs Yr 2'!$U115*(IF(IFERROR(SEARCH("NG", 'Inputs Yr 2'!$AJ115),0),'Inputs Yr 2'!$AK115,0)+IF(IFERROR(SEARCH("NG", 'Inputs Yr 2'!$AL115),0),'Inputs Yr 2'!$AM115,0)+IF(IFERROR(SEARCH("NG", 'Inputs Yr 2'!$AN115),0),'Inputs Yr 2'!$AO115,0)),0)</f>
        <v>0</v>
      </c>
      <c r="AA115" s="257">
        <f t="shared" si="56"/>
        <v>0</v>
      </c>
      <c r="AB115" s="257">
        <f>IFERROR(Z115*'Inputs Yr 2'!$P115,0)</f>
        <v>0</v>
      </c>
      <c r="AC115" s="257">
        <f t="shared" si="57"/>
        <v>0</v>
      </c>
      <c r="AD115" s="257">
        <f>IFERROR($G115*'Inputs Yr 2'!$Q115*'Inputs Yr 2'!$U115*(IF(IFERROR(SEARCH("Oil", 'Inputs Yr 2'!$AJ115), 0),'Inputs Yr 2'!$AK115,0)+IF(IFERROR(SEARCH("Oil", 'Inputs Yr 2'!$AL115), 0),'Inputs Yr 2'!$AM115,0)+IF(IFERROR(SEARCH("Oil", 'Inputs Yr 2'!$AN115), 0),'Inputs Yr 2'!$AO115,0)),0)</f>
        <v>0</v>
      </c>
      <c r="AE115" s="257">
        <f t="shared" si="58"/>
        <v>0</v>
      </c>
      <c r="AF115" s="257">
        <f>IFERROR(AD115*'Inputs Yr 2'!$P115,0)</f>
        <v>0</v>
      </c>
      <c r="AG115" s="257">
        <f t="shared" si="59"/>
        <v>0</v>
      </c>
      <c r="AH115" s="257">
        <f>IFERROR($G115*'Inputs Yr 2'!$Q115*'Inputs Yr 2'!$U115*(IF('Inputs Yr 2'!$AJ115=CD$4,'Inputs Yr 2'!$AK115,IF('Inputs Yr 2'!$AL115=CD$4,'Inputs Yr 2'!$AM115,IF('Inputs Yr 2'!$AN115=CD$4,'Inputs Yr 2'!$AO115,0)))),0)</f>
        <v>0</v>
      </c>
      <c r="AI115" s="257">
        <f t="shared" si="60"/>
        <v>0</v>
      </c>
      <c r="AJ115" s="257">
        <f>IFERROR(AH115*'Inputs Yr 2'!$P115,0)</f>
        <v>0</v>
      </c>
      <c r="AK115" s="257">
        <f t="shared" si="61"/>
        <v>0</v>
      </c>
      <c r="AL115" s="258">
        <f>IFERROR($G115*'Inputs Yr 2'!$P115*'Inputs Yr 2'!$Q115*'Inputs Yr 2'!AP115,0)</f>
        <v>0</v>
      </c>
      <c r="AM115" s="260">
        <f>IFERROR($G115*'Inputs Yr 2'!$P115*'Inputs Yr 2'!$Q115*'Inputs Yr 2'!AQ115,0)</f>
        <v>0</v>
      </c>
      <c r="AN115" s="258">
        <f>IFERROR($G115*'Inputs Yr 2'!$P115*'Inputs Yr 2'!$Q115*'Inputs Yr 2'!AR115,0)</f>
        <v>0</v>
      </c>
      <c r="AO115" s="257">
        <f t="shared" si="62"/>
        <v>0</v>
      </c>
      <c r="AP115" s="195" t="str">
        <f>IFERROR($CQ115*(INDEX(avoidedcosttbl2,$H115,AP$2)+(($H115-ROUNDDOWN($H115,0))*(INDEX(avoidedcosttbl2,ROUNDUP($H115,0),AP$2)-(INDEX(avoidedcosttbl2,ROUNDDOWN($H115,0),AP$2)))))*$O115*1000*'Inputs Yr 2'!AA115,"")</f>
        <v/>
      </c>
      <c r="AQ115" s="195" t="str">
        <f>IFERROR($CR115*(INDEX(avoidedcosttbl2,$H115,AQ$2)+(($H115-ROUNDDOWN($H115,0))*(INDEX(avoidedcosttbl2,ROUNDUP($H115,0),AQ$2)-(INDEX(avoidedcosttbl2,ROUNDDOWN($H115,0),AQ$2)))))*$O115*1000*'Inputs Yr 2'!AB115,"")</f>
        <v/>
      </c>
      <c r="AR115" s="195" t="str">
        <f>IFERROR($CS115*(INDEX(avoidedcosttbl2,$H115,AR$2)+(($H115-ROUNDDOWN($H115,0))*(INDEX(avoidedcosttbl2,ROUNDUP($H115,0),AR$2)-(INDEX(avoidedcosttbl2,ROUNDDOWN($H115,0),AR$2)))))*$O115*1000*'Inputs Yr 2'!AC115,"")</f>
        <v/>
      </c>
      <c r="AS115" s="195" t="str">
        <f>IFERROR($CT115*(INDEX(avoidedcosttbl2,$H115,AS$2)+(($H115-ROUNDDOWN($H115,0))*(INDEX(avoidedcosttbl2,ROUNDUP($H115,0),AS$2)-(INDEX(avoidedcosttbl2,ROUNDDOWN($H115,0),AS$2)))))*$O115*1000*'Inputs Yr 2'!AD115,"")</f>
        <v/>
      </c>
      <c r="AT115" s="196">
        <f t="shared" si="63"/>
        <v>0</v>
      </c>
      <c r="AU115" s="197" t="str">
        <f>IFERROR($CQ115*((INDEX(avoidedcosttbl2,$H115,AU$2))+(($H115-ROUNDDOWN($H115,0))*((INDEX(avoidedcosttbl2,ROUNDUP($H115,0),AU$2))-(INDEX(avoidedcosttbl2,ROUNDDOWN($H115,0),AU$2)))))*$O115*1000*'Inputs Yr 2'!AA115,"")</f>
        <v/>
      </c>
      <c r="AV115" s="197" t="str">
        <f>IFERROR($CR115*((INDEX(avoidedcosttbl2,$H115,AV$2))+(($H115-ROUNDDOWN($H115,0))*((INDEX(avoidedcosttbl2,ROUNDUP($H115,0),AV$2))-(INDEX(avoidedcosttbl2,ROUNDDOWN($H115,0),AV$2)))))*$O115*1000*'Inputs Yr 2'!AB115,"")</f>
        <v/>
      </c>
      <c r="AW115" s="197" t="str">
        <f>IFERROR($CS115*((INDEX(avoidedcosttbl2,$H115,AW$2))+(($H115-ROUNDDOWN($H115,0))*((INDEX(avoidedcosttbl2,ROUNDUP($H115,0),AW$2))-(INDEX(avoidedcosttbl2,ROUNDDOWN($H115,0),AW$2)))))*$O115*1000*'Inputs Yr 2'!AC115,"")</f>
        <v/>
      </c>
      <c r="AX115" s="197" t="str">
        <f>IFERROR($CT115*((INDEX(avoidedcosttbl2,$H115,AX$2))+(($H115-ROUNDDOWN($H115,0))*((INDEX(avoidedcosttbl2,ROUNDUP($H115,0),AX$2))-(INDEX(avoidedcosttbl2,ROUNDDOWN($H115,0),AX$2)))))*$O115*1000*'Inputs Yr 2'!AD115,"")</f>
        <v/>
      </c>
      <c r="AY115" s="197" t="str">
        <f>IFERROR(((INDEX(avoidedcosttbl2,$H115,AY$2))+(($H115-ROUNDDOWN($H115,0))*((INDEX(avoidedcosttbl2,ROUNDUP($H115,0),AY$2))-(INDEX(avoidedcosttbl2,ROUNDDOWN($H115,0),AY$2)))))*$O115*1000*('Inputs Yr 2'!AC115+'Inputs Yr 2'!AD115),"")</f>
        <v/>
      </c>
      <c r="AZ115" s="197" t="str">
        <f>IFERROR(((INDEX(avoidedcosttbl2,$H115,AZ$2))+(($H115-ROUNDDOWN($H115,0))*((INDEX(avoidedcosttbl2,ROUNDUP($H115,0),AZ$2))-(INDEX(avoidedcosttbl2,ROUNDDOWN($H115,0),AZ$2)))))*$O115*1000*('Inputs Yr 2'!AA115+'Inputs Yr 2'!AB115),"")</f>
        <v/>
      </c>
      <c r="BA115" s="198">
        <f t="shared" si="64"/>
        <v>0</v>
      </c>
      <c r="BB115" s="198">
        <f t="shared" si="65"/>
        <v>0</v>
      </c>
      <c r="BC115" s="195" t="str">
        <f t="shared" si="47"/>
        <v/>
      </c>
      <c r="BD115" s="195" t="str">
        <f t="shared" si="48"/>
        <v/>
      </c>
      <c r="BE115" s="195" t="str">
        <f t="shared" si="49"/>
        <v/>
      </c>
      <c r="BF115" s="195" t="str">
        <f t="shared" si="50"/>
        <v/>
      </c>
      <c r="BG115" s="195" t="str">
        <f t="shared" si="51"/>
        <v/>
      </c>
      <c r="BH115" s="196">
        <f t="shared" si="66"/>
        <v>0</v>
      </c>
      <c r="BI115" s="196">
        <f t="shared" si="67"/>
        <v>0</v>
      </c>
      <c r="BJ115" s="195" t="str">
        <f>IFERROR($G115*(IF('Inputs Yr 2'!$AJ115=BJ$4,'Inputs Yr 2'!$AK115,IF('Inputs Yr 2'!$AL115=BJ$4,'Inputs Yr 2'!$AM115,IF('Inputs Yr 2'!$AN115=BJ$4,'Inputs Yr 2'!$AO115,0))))*(INDEX(avoidedcosttbl2,$H115,BJ$2)+(($H115-ROUNDDOWN($H115,0))*(INDEX(avoidedcosttbl2,ROUNDUP($H115,0),BJ$2)-(INDEX(avoidedcosttbl2,ROUNDDOWN($H115,0),BJ$2)))))*'Inputs Yr 2'!P115*'Inputs Yr 2'!Q115*'Inputs Yr 2'!U115,"")</f>
        <v/>
      </c>
      <c r="BK115" s="195" t="str">
        <f>IFERROR($G115*(IF('Inputs Yr 2'!$AJ115=BK$4,'Inputs Yr 2'!$AK115,IF('Inputs Yr 2'!$AL115=BK$4,'Inputs Yr 2'!$AM115,IF('Inputs Yr 2'!$AN115=BK$4,'Inputs Yr 2'!$AO115,0))))*(INDEX(avoidedcosttbl2,$H115,BK$2)+(($H115-ROUNDDOWN($H115,0))*(INDEX(avoidedcosttbl2,ROUNDUP($H115,0),BK$2)-(INDEX(avoidedcosttbl2,ROUNDDOWN($H115,0),BK$2)))))*'Inputs Yr 2'!P115*'Inputs Yr 2'!Q115*'Inputs Yr 2'!U115,"")</f>
        <v/>
      </c>
      <c r="BL115" s="195" t="str">
        <f>IFERROR($G115*(IF('Inputs Yr 2'!$AJ115=BL$4,'Inputs Yr 2'!$AK115,IF('Inputs Yr 2'!$AL115=BL$4,'Inputs Yr 2'!$AM115,IF('Inputs Yr 2'!$AN115=BL$4,'Inputs Yr 2'!$AO115,0))))*(INDEX(avoidedcosttbl2,$H115,BL$2)+(($H115-ROUNDDOWN($H115,0))*(INDEX(avoidedcosttbl2,ROUNDUP($H115,0),BL$2)-(INDEX(avoidedcosttbl2,ROUNDDOWN($H115,0),BL$2)))))*'Inputs Yr 2'!P115*'Inputs Yr 2'!Q115*'Inputs Yr 2'!U115,"")</f>
        <v/>
      </c>
      <c r="BM115" s="195" t="str">
        <f>IFERROR($G115*(IF('Inputs Yr 2'!$AJ115=BM$4,'Inputs Yr 2'!$AK115,IF('Inputs Yr 2'!$AL115=BM$4,'Inputs Yr 2'!$AM115,IF('Inputs Yr 2'!$AN115=BM$4,'Inputs Yr 2'!$AO115,0))))*(INDEX(avoidedcosttbl2,$H115,BM$2)+(($H115-ROUNDDOWN($H115,0))*(INDEX(avoidedcosttbl2,ROUNDUP($H115,0),BM$2)-(INDEX(avoidedcosttbl2,ROUNDDOWN($H115,0),BM$2)))))*'Inputs Yr 2'!P115*'Inputs Yr 2'!Q115*'Inputs Yr 2'!U115,"")</f>
        <v/>
      </c>
      <c r="BN115" s="195" t="str">
        <f>IFERROR($G115*(IF('Inputs Yr 2'!$AJ115=BN$4,'Inputs Yr 2'!$AK115,IF('Inputs Yr 2'!$AL115=BN$4,'Inputs Yr 2'!$AM115,IF('Inputs Yr 2'!$AN115=BN$4,'Inputs Yr 2'!$AO115,0))))*(INDEX(avoidedcosttbl2,$H115,BN$2)+(($H115-ROUNDDOWN($H115,0))*(INDEX(avoidedcosttbl2,ROUNDUP($H115,0),BN$2)-(INDEX(avoidedcosttbl2,ROUNDDOWN($H115,0),BN$2)))))*'Inputs Yr 2'!P115*'Inputs Yr 2'!Q115*'Inputs Yr 2'!U115,"")</f>
        <v/>
      </c>
      <c r="BO115" s="195" t="str">
        <f>IFERROR($G115*(IF('Inputs Yr 2'!$AJ115=BO$4,'Inputs Yr 2'!$AK115,IF('Inputs Yr 2'!$AL115=BO$4,'Inputs Yr 2'!$AM115,IF('Inputs Yr 2'!$AN115=BO$4,'Inputs Yr 2'!$AO115,0))))*(INDEX(avoidedcosttbl2,$H115,BO$2)+(($H115-ROUNDDOWN($H115,0))*(INDEX(avoidedcosttbl2,ROUNDUP($H115,0),BO$2)-(INDEX(avoidedcosttbl2,ROUNDDOWN($H115,0),BO$2)))))*'Inputs Yr 2'!P115*'Inputs Yr 2'!Q115*'Inputs Yr 2'!U115,"")</f>
        <v/>
      </c>
      <c r="BP115" s="195" t="str">
        <f>IFERROR($G115*(IF('Inputs Yr 2'!$AJ115=BP$4,'Inputs Yr 2'!$AK115,IF('Inputs Yr 2'!$AL115=BP$4,'Inputs Yr 2'!$AM115,IF('Inputs Yr 2'!$AN115=BP$4,'Inputs Yr 2'!$AO115,0))))*(INDEX(avoidedcosttbl2,$H115,BP$2)+(($H115-ROUNDDOWN($H115,0))*(INDEX(avoidedcosttbl2,ROUNDUP($H115,0),BP$2)-(INDEX(avoidedcosttbl2,ROUNDDOWN($H115,0),BP$2)))))*'Inputs Yr 2'!P115*'Inputs Yr 2'!Q115*'Inputs Yr 2'!U115,"")</f>
        <v/>
      </c>
      <c r="BQ115" s="230">
        <f t="shared" si="68"/>
        <v>0</v>
      </c>
      <c r="BR115" s="197" t="str">
        <f t="shared" si="52"/>
        <v/>
      </c>
      <c r="BS115" s="197" t="str">
        <f>IFERROR(($G115*IF('Inputs Yr 2'!$AJ115=BM$4,'Inputs Yr 2'!$AK115,IF('Inputs Yr 2'!$AL115=BM$4,'Inputs Yr 2'!$AM115,IF('Inputs Yr 2'!$AN115=BM$4,'Inputs Yr 2'!$AO115,0))))*(INDEX(avoidedcosttbl2,$H115,BS$2)+(($H115-ROUNDDOWN($H115,0))*(INDEX(avoidedcosttbl2,ROUNDUP($H115,0),BS$2)-(INDEX(avoidedcosttbl2,ROUNDDOWN($H115,0),BS$2)))))*'Inputs Yr 2'!P115*'Inputs Yr 2'!Q115*'Inputs Yr 2'!U115,"")</f>
        <v/>
      </c>
      <c r="BT115" s="197" t="str">
        <f>IFERROR(($G115*IF('Inputs Yr 2'!$AJ115=BK$4,'Inputs Yr 2'!$AK115,IF('Inputs Yr 2'!$AL115=BK$4,'Inputs Yr 2'!$AM115,IF('Inputs Yr 2'!$AN115=BK$4,'Inputs Yr 2'!$AO115,0))))*(INDEX(avoidedcosttbl2,$H115,BT$2)+(($H115-ROUNDDOWN($H115,0))*(INDEX(avoidedcosttbl2,ROUNDUP($H115,0),BT$2)-(INDEX(avoidedcosttbl2,ROUNDDOWN($H115,0),BT$2)))))*'Inputs Yr 2'!P115*'Inputs Yr 2'!Q115*'Inputs Yr 2'!U115,"")</f>
        <v/>
      </c>
      <c r="BU115" s="197" t="str">
        <f>IFERROR(($G115*IF('Inputs Yr 2'!$AJ115=BL$4,'Inputs Yr 2'!$AK115,IF('Inputs Yr 2'!$AL115=BL$4,'Inputs Yr 2'!$AM115,IF('Inputs Yr 2'!$AN115=BL$4,'Inputs Yr 2'!$AO115,0))))*(INDEX(avoidedcosttbl2,$H115,BU$2)+(($H115-ROUNDDOWN($H115,0))*(INDEX(avoidedcosttbl2,ROUNDUP($H115,0),BU$2)-(INDEX(avoidedcosttbl2,ROUNDDOWN($H115,0),BU$2)))))*'Inputs Yr 2'!P115*'Inputs Yr 2'!Q115*'Inputs Yr 2'!U115,"")</f>
        <v/>
      </c>
      <c r="BV115" s="775" t="str">
        <f>IFERROR(($G115*IF('Inputs Yr 2'!$AJ115=BJ$4,'Inputs Yr 2'!$AK115,IF('Inputs Yr 2'!$AL115=BJ$4,'Inputs Yr 2'!$AM115,IF('Inputs Yr 2'!$AN115=BJ$4,'Inputs Yr 2'!$AO115,0))))*(INDEX(avoidedcosttbl2,$H115,BV$2)+(($H115-ROUNDDOWN($H115,0))*(INDEX(avoidedcosttbl2,ROUNDUP($H115,0),BV$2)-(INDEX(avoidedcosttbl2,ROUNDDOWN($H115,0),BV$2)))))*'Inputs Yr 2'!P115*'Inputs Yr 2'!Q115*'Inputs Yr 2'!U115,"")</f>
        <v/>
      </c>
      <c r="BW115" s="197" t="str">
        <f>IFERROR(($G115*IF('Inputs Yr 2'!$AJ115=BN$4,'Inputs Yr 2'!$AK115,IF('Inputs Yr 2'!$AL115=BN$4,'Inputs Yr 2'!$AM115,IF('Inputs Yr 2'!$AN115=BN$4,'Inputs Yr 2'!$AO115,0))))*(INDEX(avoidedcosttbl2,$H115,BW$2)+(($H115-ROUNDDOWN($H115,0))*(INDEX(avoidedcosttbl2,ROUNDUP($H115,0),BW$2)-(INDEX(avoidedcosttbl2,ROUNDDOWN($H115,0),BW$2)))))*'Inputs Yr 2'!P115*'Inputs Yr 2'!Q115*'Inputs Yr 2'!U115,"")</f>
        <v/>
      </c>
      <c r="BX115" s="197" t="str">
        <f>IFERROR(($G115*IF('Inputs Yr 2'!$AJ115=BO$4,'Inputs Yr 2'!$AK115,IF('Inputs Yr 2'!$AL115=BO$4,'Inputs Yr 2'!$AM115,IF('Inputs Yr 2'!$AN115=BO$4,'Inputs Yr 2'!$AO115,0))))*(INDEX(avoidedcosttbl2,$H115,BX$2)+(($H115-ROUNDDOWN($H115,0))*(INDEX(avoidedcosttbl2,ROUNDUP($H115,0),BX$2)-(INDEX(avoidedcosttbl2,ROUNDDOWN($H115,0),BX$2)))))*'Inputs Yr 2'!P115*'Inputs Yr 2'!Q115*'Inputs Yr 2'!U115,"")</f>
        <v/>
      </c>
      <c r="BY115" s="197" t="str">
        <f>IFERROR(($G115*IF('Inputs Yr 2'!$AJ115=BP$4,'Inputs Yr 2'!$AK115,IF('Inputs Yr 2'!$AL115=BP$4,'Inputs Yr 2'!$AM115,IF('Inputs Yr 2'!$AN115=BP$4,'Inputs Yr 2'!$AO115,0))))*(INDEX(avoidedcosttbl2,$H115,BY$2)+(($H115-ROUNDDOWN($H115,0))*(INDEX(avoidedcosttbl2,ROUNDUP($H115,0),BY$2)-(INDEX(avoidedcosttbl2,ROUNDDOWN($H115,0),BY$2)))))*'Inputs Yr 2'!P115*'Inputs Yr 2'!Q115*'Inputs Yr 2'!U115,"")</f>
        <v/>
      </c>
      <c r="BZ115" s="193">
        <f t="shared" si="69"/>
        <v>0</v>
      </c>
      <c r="CA115" s="193">
        <f t="shared" si="70"/>
        <v>0</v>
      </c>
      <c r="CB115" s="195" t="str">
        <f>IFERROR(G115*(IF('Inputs Yr 2'!$AJ115=CB$4,'Inputs Yr 2'!$AK115,IF('Inputs Yr 2'!$AL115=CB$4,'Inputs Yr 2'!$AM115,IF('Inputs Yr 2'!$AN115=CB$4,'Inputs Yr 2'!$AO115,0))))*(INDEX(avoidedcosttbl2,$H115,CB$2)+(($H115-ROUNDDOWN($H115,0))*(INDEX(avoidedcosttbl2,ROUNDUP($H115,0),CB$2)-(INDEX(avoidedcosttbl2,ROUNDDOWN($H115,0),CB$2)))))*'Inputs Yr 2'!P115*'Inputs Yr 2'!Q115*'Inputs Yr 2'!U115,"")</f>
        <v/>
      </c>
      <c r="CC115" s="195" t="str">
        <f>IFERROR(H115*(IF('Inputs Yr 2'!$AJ115=CC$4,'Inputs Yr 2'!$AK115,IF('Inputs Yr 2'!$AL115=CC$4,'Inputs Yr 2'!$AM115,IF('Inputs Yr 2'!$AN115=CC$4,'Inputs Yr 2'!$AO115,0))))*(INDEX(avoidedcosttbl2,$H115,CC$2)+(($H115-ROUNDDOWN($H115,0))*(INDEX(avoidedcosttbl2,ROUNDUP($H115,0),CC$2)-(INDEX(avoidedcosttbl2,ROUNDDOWN($H115,0),CC$2)))))*'Inputs Yr 2'!Q115*'Inputs Yr 2'!R115*'Inputs Yr 2'!V115,"")</f>
        <v/>
      </c>
      <c r="CD115" s="195" t="str">
        <f>IFERROR(I115*(IF('Inputs Yr 2'!$AJ115=CD$4,'Inputs Yr 2'!$AK115,IF('Inputs Yr 2'!$AL115=CD$4,'Inputs Yr 2'!$AM115,IF('Inputs Yr 2'!$AN115=CD$4,'Inputs Yr 2'!$AO115,0))))*(INDEX(avoidedcosttbl2,$H115,CD$2)+(($H115-ROUNDDOWN($H115,0))*(INDEX(avoidedcosttbl2,ROUNDUP($H115,0),CD$2)-(INDEX(avoidedcosttbl2,ROUNDDOWN($H115,0),CD$2)))))*'Inputs Yr 2'!R115*'Inputs Yr 2'!S115*'Inputs Yr 2'!W115,"")</f>
        <v/>
      </c>
      <c r="CE115" s="213" t="str">
        <f t="shared" si="71"/>
        <v/>
      </c>
      <c r="CF115" s="213" t="str">
        <f t="shared" si="72"/>
        <v/>
      </c>
      <c r="CG115" s="213" t="str">
        <f t="shared" si="73"/>
        <v/>
      </c>
      <c r="CH115" s="698">
        <f t="shared" si="74"/>
        <v>0</v>
      </c>
      <c r="CI115" s="79" t="str">
        <f>IFERROR(($G115*'Inputs Yr 2'!$P115*'Inputs Yr 2'!$Q115*(((INDEX(avoidedcosttbl2,$H115,CI$2)+(($H115-ROUNDDOWN($H115,0))*(INDEX(avoidedcosttbl2,ROUNDUP($H115,0),CI$2)-INDEX(avoidedcosttbl2,ROUNDDOWN($H115,0),CI$2))))*'Inputs Yr 2'!AS115))),"")</f>
        <v/>
      </c>
      <c r="CJ115" s="504" t="str">
        <f>IFERROR($G115*'Inputs Yr 2'!AT115*'Inputs Yr 2'!$P115*'Inputs Yr 2'!$Q115/((1+realdiscrt1)^-0.5),"")</f>
        <v/>
      </c>
      <c r="CK115" s="79" t="str">
        <f>IFERROR((O115*1000*(((INDEX(avoidedcosttbl2,$H115,CK$2)+(($H115-ROUNDDOWN($H115,0))*(INDEX(avoidedcosttbl2,ROUNDUP($H115,0),CK$2)-INDEX(avoidedcosttbl2,ROUNDDOWN($H115,0),CK$2))))*'Inputs Yr 2'!AU115))),"")</f>
        <v/>
      </c>
      <c r="CL115" s="504" t="str">
        <f>IFERROR(O115*1000*'Inputs Yr 2'!AV115/((1+realdiscrt1)^-0.5),"")</f>
        <v/>
      </c>
      <c r="CM115" s="79" t="str">
        <f>IFERROR((AB115*'Inputs Yr 2'!AW115*(((INDEX(avoidedcosttbl2,$H115,CM$2)+(($H115-ROUNDDOWN($H115,0))*(INDEX(avoidedcosttbl2,ROUNDUP($H115,0),CM$2)-INDEX(avoidedcosttbl2,ROUNDDOWN($H115,0),CM$2)))))))*10,"")</f>
        <v/>
      </c>
      <c r="CN115" s="504">
        <f>IFERROR(10*AB115*'Inputs Yr 2'!AX115/((1+realdiscrt1)^-0.5),"")</f>
        <v>0</v>
      </c>
      <c r="CO115" s="505">
        <f t="shared" si="75"/>
        <v>0</v>
      </c>
      <c r="CP115" s="230">
        <f t="shared" si="76"/>
        <v>0</v>
      </c>
      <c r="CQ115" s="199">
        <f>ROUND(IFERROR(IF(LEFT($A115,1)="C",'Avoided Costs'!$K$13,'Avoided Costs'!$K$12)+1,""),4)</f>
        <v>1.0720000000000001</v>
      </c>
      <c r="CR115" s="199">
        <f>ROUND(IFERROR(IF(LEFT($A115,1)="C",'Avoided Costs'!$L$13,'Avoided Costs'!$L$12)+1,""),4)</f>
        <v>1.04</v>
      </c>
      <c r="CS115" s="199">
        <f>ROUND(IFERROR(IF(LEFT($A115,1)="C",'Avoided Costs'!$M$13,'Avoided Costs'!$M$12)+1,""),4)</f>
        <v>1.0720000000000001</v>
      </c>
      <c r="CT115" s="199">
        <f>ROUND(IFERROR(IF(LEFT($A115,1)="C",'Avoided Costs'!$N$13,'Avoided Costs'!$N$12)+1,""),4)</f>
        <v>1.04</v>
      </c>
      <c r="CU115" s="199">
        <f>ROUND(IFERROR(IF(LEFT($A115,1)="C",'Avoided Costs'!$O$13,'Avoided Costs'!$O$12)+1,""),4)</f>
        <v>1.1120000000000001</v>
      </c>
      <c r="CV115" s="199">
        <f>ROUND(IFERROR(IF(LEFT($A115,1)="C",'Avoided Costs'!$P$13,'Avoided Costs'!$P$12)+1,""),4)</f>
        <v>1.095</v>
      </c>
      <c r="CW115" s="199">
        <f>ROUND(IFERROR(IF(LEFT($A115,1)="C",'Avoided Costs'!$Q$13,'Avoided Costs'!$Q$12)+1,""),4)</f>
        <v>1.1120000000000001</v>
      </c>
      <c r="CX115" s="200">
        <f>ROUND(IFERROR(IF(LEFT($A115,1)="C",'Avoided Costs'!$R$13,'Avoided Costs'!$R$12)+1,""),4)</f>
        <v>1.1120000000000001</v>
      </c>
    </row>
    <row r="116" spans="1:102" ht="12.75" customHeight="1">
      <c r="A116" s="91" t="str">
        <f>IF('Inputs Yr 2'!$B116=0,"",'Inputs Yr 2'!A116)</f>
        <v>B - Low Income</v>
      </c>
      <c r="B116" s="91" t="str">
        <f>IF('Inputs Yr 2'!$B116=0,"",'Inputs Yr 2'!B116)</f>
        <v>B1 - Low-Income Whole House</v>
      </c>
      <c r="C116" s="91" t="str">
        <f>IF('Inputs Yr 2'!$B116=0,"",'Inputs Yr 2'!C116)</f>
        <v>B1a - Low-Income Single Family Retrofit</v>
      </c>
      <c r="D116" s="91" t="str">
        <f>IF('Inputs Yr 2'!$B116=0,"",'Inputs Yr 2'!E116)</f>
        <v>Custom/Future</v>
      </c>
      <c r="E116" s="93">
        <f>IF('Inputs Yr 2'!$B116=0,"",'Inputs Yr 2'!F116)</f>
        <v>0</v>
      </c>
      <c r="F116" s="93">
        <f>IF('Inputs Yr 2'!$B116=0,"",'Inputs Yr 2'!G116)</f>
        <v>0</v>
      </c>
      <c r="G116" s="95" t="str">
        <f>IF('Inputs Yr 2'!$H116&lt;&gt;0,('Inputs Yr 2'!H116),"")</f>
        <v/>
      </c>
      <c r="H116" s="94">
        <f>IFERROR('Inputs Yr 2'!I116,"")</f>
        <v>0</v>
      </c>
      <c r="I116" s="298" t="str">
        <f>IFERROR('Inputs Yr 2'!J116*'Inputs Yr 2'!P116*G116,"")</f>
        <v/>
      </c>
      <c r="J116" s="298" t="str">
        <f>IFERROR('Inputs Yr 2'!K116*G116,"")</f>
        <v/>
      </c>
      <c r="K116" s="298" t="str">
        <f t="shared" si="53"/>
        <v/>
      </c>
      <c r="L116" s="194" t="str">
        <f>IFERROR(('Inputs Yr 2'!W116*G116)/1000,"")</f>
        <v/>
      </c>
      <c r="M116" s="194" t="str">
        <f>IFERROR(L116*('Inputs Yr 2'!$Q116*'Inputs Yr 2'!$V116*'Inputs Yr 2'!$R116),"")</f>
        <v/>
      </c>
      <c r="N116" s="194" t="str">
        <f t="shared" si="54"/>
        <v/>
      </c>
      <c r="O116" s="194" t="str">
        <f>IFERROR(M116*'Inputs Yr 2'!P116,"")</f>
        <v/>
      </c>
      <c r="P116" s="194" t="str">
        <f t="shared" si="55"/>
        <v/>
      </c>
      <c r="Q116" s="194" t="str">
        <f>IFERROR($P116*'Inputs Yr 2'!AA116,"")</f>
        <v/>
      </c>
      <c r="R116" s="194" t="str">
        <f>IFERROR($P116*'Inputs Yr 2'!AB116,"")</f>
        <v/>
      </c>
      <c r="S116" s="194" t="str">
        <f>IFERROR($P116*'Inputs Yr 2'!AC116,"")</f>
        <v/>
      </c>
      <c r="T116" s="194" t="str">
        <f>IFERROR($P116*'Inputs Yr 2'!AD116,"")</f>
        <v/>
      </c>
      <c r="U116" s="194" t="str">
        <f>IFERROR(G116*'Inputs Yr 2'!$AE116*'Inputs Yr 2'!$P116*'Inputs Yr 2'!$Q116,"")</f>
        <v/>
      </c>
      <c r="V116" s="194" t="str">
        <f>IFERROR($G116*'Inputs Yr 2'!$AE116*'Inputs Yr 2'!$AG116*'Inputs Yr 2'!Q116*'Inputs Yr 2'!$S116,"")</f>
        <v/>
      </c>
      <c r="W116" s="194" t="str">
        <f>IFERROR($G116*'Inputs Yr 2'!$AE116*'Inputs Yr 2'!$AG116*'Inputs Yr 2'!P116*'Inputs Yr 2'!Q116*'Inputs Yr 2'!$S116,"")</f>
        <v/>
      </c>
      <c r="X116" s="194" t="str">
        <f>IFERROR($G116*'Inputs Yr 2'!$AE116*'Inputs Yr 2'!$AF116*'Inputs Yr 2'!Q116*'Inputs Yr 2'!$T116,"")</f>
        <v/>
      </c>
      <c r="Y116" s="194" t="str">
        <f>IFERROR($G116*'Inputs Yr 2'!$AE116*'Inputs Yr 2'!$AF116*'Inputs Yr 2'!P116*'Inputs Yr 2'!Q116*'Inputs Yr 2'!$T116,"")</f>
        <v/>
      </c>
      <c r="Z116" s="257">
        <f>IFERROR($G116*'Inputs Yr 2'!$Q116*'Inputs Yr 2'!$U116*(IF(IFERROR(SEARCH("NG", 'Inputs Yr 2'!$AJ116),0),'Inputs Yr 2'!$AK116,0)+IF(IFERROR(SEARCH("NG", 'Inputs Yr 2'!$AL116),0),'Inputs Yr 2'!$AM116,0)+IF(IFERROR(SEARCH("NG", 'Inputs Yr 2'!$AN116),0),'Inputs Yr 2'!$AO116,0)),0)</f>
        <v>0</v>
      </c>
      <c r="AA116" s="257">
        <f t="shared" si="56"/>
        <v>0</v>
      </c>
      <c r="AB116" s="257">
        <f>IFERROR(Z116*'Inputs Yr 2'!$P116,0)</f>
        <v>0</v>
      </c>
      <c r="AC116" s="257">
        <f t="shared" si="57"/>
        <v>0</v>
      </c>
      <c r="AD116" s="257">
        <f>IFERROR($G116*'Inputs Yr 2'!$Q116*'Inputs Yr 2'!$U116*(IF(IFERROR(SEARCH("Oil", 'Inputs Yr 2'!$AJ116), 0),'Inputs Yr 2'!$AK116,0)+IF(IFERROR(SEARCH("Oil", 'Inputs Yr 2'!$AL116), 0),'Inputs Yr 2'!$AM116,0)+IF(IFERROR(SEARCH("Oil", 'Inputs Yr 2'!$AN116), 0),'Inputs Yr 2'!$AO116,0)),0)</f>
        <v>0</v>
      </c>
      <c r="AE116" s="257">
        <f t="shared" si="58"/>
        <v>0</v>
      </c>
      <c r="AF116" s="257">
        <f>IFERROR(AD116*'Inputs Yr 2'!$P116,0)</f>
        <v>0</v>
      </c>
      <c r="AG116" s="257">
        <f t="shared" si="59"/>
        <v>0</v>
      </c>
      <c r="AH116" s="257">
        <f>IFERROR($G116*'Inputs Yr 2'!$Q116*'Inputs Yr 2'!$U116*(IF('Inputs Yr 2'!$AJ116=CD$4,'Inputs Yr 2'!$AK116,IF('Inputs Yr 2'!$AL116=CD$4,'Inputs Yr 2'!$AM116,IF('Inputs Yr 2'!$AN116=CD$4,'Inputs Yr 2'!$AO116,0)))),0)</f>
        <v>0</v>
      </c>
      <c r="AI116" s="257">
        <f t="shared" si="60"/>
        <v>0</v>
      </c>
      <c r="AJ116" s="257">
        <f>IFERROR(AH116*'Inputs Yr 2'!$P116,0)</f>
        <v>0</v>
      </c>
      <c r="AK116" s="257">
        <f t="shared" si="61"/>
        <v>0</v>
      </c>
      <c r="AL116" s="258">
        <f>IFERROR($G116*'Inputs Yr 2'!$P116*'Inputs Yr 2'!$Q116*'Inputs Yr 2'!AP116,0)</f>
        <v>0</v>
      </c>
      <c r="AM116" s="260">
        <f>IFERROR($G116*'Inputs Yr 2'!$P116*'Inputs Yr 2'!$Q116*'Inputs Yr 2'!AQ116,0)</f>
        <v>0</v>
      </c>
      <c r="AN116" s="258">
        <f>IFERROR($G116*'Inputs Yr 2'!$P116*'Inputs Yr 2'!$Q116*'Inputs Yr 2'!AR116,0)</f>
        <v>0</v>
      </c>
      <c r="AO116" s="257">
        <f t="shared" si="62"/>
        <v>0</v>
      </c>
      <c r="AP116" s="195" t="str">
        <f>IFERROR($CQ116*(INDEX(avoidedcosttbl2,$H116,AP$2)+(($H116-ROUNDDOWN($H116,0))*(INDEX(avoidedcosttbl2,ROUNDUP($H116,0),AP$2)-(INDEX(avoidedcosttbl2,ROUNDDOWN($H116,0),AP$2)))))*$O116*1000*'Inputs Yr 2'!AA116,"")</f>
        <v/>
      </c>
      <c r="AQ116" s="195" t="str">
        <f>IFERROR($CR116*(INDEX(avoidedcosttbl2,$H116,AQ$2)+(($H116-ROUNDDOWN($H116,0))*(INDEX(avoidedcosttbl2,ROUNDUP($H116,0),AQ$2)-(INDEX(avoidedcosttbl2,ROUNDDOWN($H116,0),AQ$2)))))*$O116*1000*'Inputs Yr 2'!AB116,"")</f>
        <v/>
      </c>
      <c r="AR116" s="195" t="str">
        <f>IFERROR($CS116*(INDEX(avoidedcosttbl2,$H116,AR$2)+(($H116-ROUNDDOWN($H116,0))*(INDEX(avoidedcosttbl2,ROUNDUP($H116,0),AR$2)-(INDEX(avoidedcosttbl2,ROUNDDOWN($H116,0),AR$2)))))*$O116*1000*'Inputs Yr 2'!AC116,"")</f>
        <v/>
      </c>
      <c r="AS116" s="195" t="str">
        <f>IFERROR($CT116*(INDEX(avoidedcosttbl2,$H116,AS$2)+(($H116-ROUNDDOWN($H116,0))*(INDEX(avoidedcosttbl2,ROUNDUP($H116,0),AS$2)-(INDEX(avoidedcosttbl2,ROUNDDOWN($H116,0),AS$2)))))*$O116*1000*'Inputs Yr 2'!AD116,"")</f>
        <v/>
      </c>
      <c r="AT116" s="196">
        <f t="shared" si="63"/>
        <v>0</v>
      </c>
      <c r="AU116" s="197" t="str">
        <f>IFERROR($CQ116*((INDEX(avoidedcosttbl2,$H116,AU$2))+(($H116-ROUNDDOWN($H116,0))*((INDEX(avoidedcosttbl2,ROUNDUP($H116,0),AU$2))-(INDEX(avoidedcosttbl2,ROUNDDOWN($H116,0),AU$2)))))*$O116*1000*'Inputs Yr 2'!AA116,"")</f>
        <v/>
      </c>
      <c r="AV116" s="197" t="str">
        <f>IFERROR($CR116*((INDEX(avoidedcosttbl2,$H116,AV$2))+(($H116-ROUNDDOWN($H116,0))*((INDEX(avoidedcosttbl2,ROUNDUP($H116,0),AV$2))-(INDEX(avoidedcosttbl2,ROUNDDOWN($H116,0),AV$2)))))*$O116*1000*'Inputs Yr 2'!AB116,"")</f>
        <v/>
      </c>
      <c r="AW116" s="197" t="str">
        <f>IFERROR($CS116*((INDEX(avoidedcosttbl2,$H116,AW$2))+(($H116-ROUNDDOWN($H116,0))*((INDEX(avoidedcosttbl2,ROUNDUP($H116,0),AW$2))-(INDEX(avoidedcosttbl2,ROUNDDOWN($H116,0),AW$2)))))*$O116*1000*'Inputs Yr 2'!AC116,"")</f>
        <v/>
      </c>
      <c r="AX116" s="197" t="str">
        <f>IFERROR($CT116*((INDEX(avoidedcosttbl2,$H116,AX$2))+(($H116-ROUNDDOWN($H116,0))*((INDEX(avoidedcosttbl2,ROUNDUP($H116,0),AX$2))-(INDEX(avoidedcosttbl2,ROUNDDOWN($H116,0),AX$2)))))*$O116*1000*'Inputs Yr 2'!AD116,"")</f>
        <v/>
      </c>
      <c r="AY116" s="197" t="str">
        <f>IFERROR(((INDEX(avoidedcosttbl2,$H116,AY$2))+(($H116-ROUNDDOWN($H116,0))*((INDEX(avoidedcosttbl2,ROUNDUP($H116,0),AY$2))-(INDEX(avoidedcosttbl2,ROUNDDOWN($H116,0),AY$2)))))*$O116*1000*('Inputs Yr 2'!AC116+'Inputs Yr 2'!AD116),"")</f>
        <v/>
      </c>
      <c r="AZ116" s="197" t="str">
        <f>IFERROR(((INDEX(avoidedcosttbl2,$H116,AZ$2))+(($H116-ROUNDDOWN($H116,0))*((INDEX(avoidedcosttbl2,ROUNDUP($H116,0),AZ$2))-(INDEX(avoidedcosttbl2,ROUNDDOWN($H116,0),AZ$2)))))*$O116*1000*('Inputs Yr 2'!AA116+'Inputs Yr 2'!AB116),"")</f>
        <v/>
      </c>
      <c r="BA116" s="198">
        <f t="shared" si="64"/>
        <v>0</v>
      </c>
      <c r="BB116" s="198">
        <f t="shared" si="65"/>
        <v>0</v>
      </c>
      <c r="BC116" s="195" t="str">
        <f t="shared" si="47"/>
        <v/>
      </c>
      <c r="BD116" s="195" t="str">
        <f t="shared" si="48"/>
        <v/>
      </c>
      <c r="BE116" s="195" t="str">
        <f t="shared" si="49"/>
        <v/>
      </c>
      <c r="BF116" s="195" t="str">
        <f t="shared" si="50"/>
        <v/>
      </c>
      <c r="BG116" s="195" t="str">
        <f t="shared" si="51"/>
        <v/>
      </c>
      <c r="BH116" s="196">
        <f t="shared" si="66"/>
        <v>0</v>
      </c>
      <c r="BI116" s="196">
        <f t="shared" si="67"/>
        <v>0</v>
      </c>
      <c r="BJ116" s="195" t="str">
        <f>IFERROR($G116*(IF('Inputs Yr 2'!$AJ116=BJ$4,'Inputs Yr 2'!$AK116,IF('Inputs Yr 2'!$AL116=BJ$4,'Inputs Yr 2'!$AM116,IF('Inputs Yr 2'!$AN116=BJ$4,'Inputs Yr 2'!$AO116,0))))*(INDEX(avoidedcosttbl2,$H116,BJ$2)+(($H116-ROUNDDOWN($H116,0))*(INDEX(avoidedcosttbl2,ROUNDUP($H116,0),BJ$2)-(INDEX(avoidedcosttbl2,ROUNDDOWN($H116,0),BJ$2)))))*'Inputs Yr 2'!P116*'Inputs Yr 2'!Q116*'Inputs Yr 2'!U116,"")</f>
        <v/>
      </c>
      <c r="BK116" s="195" t="str">
        <f>IFERROR($G116*(IF('Inputs Yr 2'!$AJ116=BK$4,'Inputs Yr 2'!$AK116,IF('Inputs Yr 2'!$AL116=BK$4,'Inputs Yr 2'!$AM116,IF('Inputs Yr 2'!$AN116=BK$4,'Inputs Yr 2'!$AO116,0))))*(INDEX(avoidedcosttbl2,$H116,BK$2)+(($H116-ROUNDDOWN($H116,0))*(INDEX(avoidedcosttbl2,ROUNDUP($H116,0),BK$2)-(INDEX(avoidedcosttbl2,ROUNDDOWN($H116,0),BK$2)))))*'Inputs Yr 2'!P116*'Inputs Yr 2'!Q116*'Inputs Yr 2'!U116,"")</f>
        <v/>
      </c>
      <c r="BL116" s="195" t="str">
        <f>IFERROR($G116*(IF('Inputs Yr 2'!$AJ116=BL$4,'Inputs Yr 2'!$AK116,IF('Inputs Yr 2'!$AL116=BL$4,'Inputs Yr 2'!$AM116,IF('Inputs Yr 2'!$AN116=BL$4,'Inputs Yr 2'!$AO116,0))))*(INDEX(avoidedcosttbl2,$H116,BL$2)+(($H116-ROUNDDOWN($H116,0))*(INDEX(avoidedcosttbl2,ROUNDUP($H116,0),BL$2)-(INDEX(avoidedcosttbl2,ROUNDDOWN($H116,0),BL$2)))))*'Inputs Yr 2'!P116*'Inputs Yr 2'!Q116*'Inputs Yr 2'!U116,"")</f>
        <v/>
      </c>
      <c r="BM116" s="195" t="str">
        <f>IFERROR($G116*(IF('Inputs Yr 2'!$AJ116=BM$4,'Inputs Yr 2'!$AK116,IF('Inputs Yr 2'!$AL116=BM$4,'Inputs Yr 2'!$AM116,IF('Inputs Yr 2'!$AN116=BM$4,'Inputs Yr 2'!$AO116,0))))*(INDEX(avoidedcosttbl2,$H116,BM$2)+(($H116-ROUNDDOWN($H116,0))*(INDEX(avoidedcosttbl2,ROUNDUP($H116,0),BM$2)-(INDEX(avoidedcosttbl2,ROUNDDOWN($H116,0),BM$2)))))*'Inputs Yr 2'!P116*'Inputs Yr 2'!Q116*'Inputs Yr 2'!U116,"")</f>
        <v/>
      </c>
      <c r="BN116" s="195" t="str">
        <f>IFERROR($G116*(IF('Inputs Yr 2'!$AJ116=BN$4,'Inputs Yr 2'!$AK116,IF('Inputs Yr 2'!$AL116=BN$4,'Inputs Yr 2'!$AM116,IF('Inputs Yr 2'!$AN116=BN$4,'Inputs Yr 2'!$AO116,0))))*(INDEX(avoidedcosttbl2,$H116,BN$2)+(($H116-ROUNDDOWN($H116,0))*(INDEX(avoidedcosttbl2,ROUNDUP($H116,0),BN$2)-(INDEX(avoidedcosttbl2,ROUNDDOWN($H116,0),BN$2)))))*'Inputs Yr 2'!P116*'Inputs Yr 2'!Q116*'Inputs Yr 2'!U116,"")</f>
        <v/>
      </c>
      <c r="BO116" s="195" t="str">
        <f>IFERROR($G116*(IF('Inputs Yr 2'!$AJ116=BO$4,'Inputs Yr 2'!$AK116,IF('Inputs Yr 2'!$AL116=BO$4,'Inputs Yr 2'!$AM116,IF('Inputs Yr 2'!$AN116=BO$4,'Inputs Yr 2'!$AO116,0))))*(INDEX(avoidedcosttbl2,$H116,BO$2)+(($H116-ROUNDDOWN($H116,0))*(INDEX(avoidedcosttbl2,ROUNDUP($H116,0),BO$2)-(INDEX(avoidedcosttbl2,ROUNDDOWN($H116,0),BO$2)))))*'Inputs Yr 2'!P116*'Inputs Yr 2'!Q116*'Inputs Yr 2'!U116,"")</f>
        <v/>
      </c>
      <c r="BP116" s="195" t="str">
        <f>IFERROR($G116*(IF('Inputs Yr 2'!$AJ116=BP$4,'Inputs Yr 2'!$AK116,IF('Inputs Yr 2'!$AL116=BP$4,'Inputs Yr 2'!$AM116,IF('Inputs Yr 2'!$AN116=BP$4,'Inputs Yr 2'!$AO116,0))))*(INDEX(avoidedcosttbl2,$H116,BP$2)+(($H116-ROUNDDOWN($H116,0))*(INDEX(avoidedcosttbl2,ROUNDUP($H116,0),BP$2)-(INDEX(avoidedcosttbl2,ROUNDDOWN($H116,0),BP$2)))))*'Inputs Yr 2'!P116*'Inputs Yr 2'!Q116*'Inputs Yr 2'!U116,"")</f>
        <v/>
      </c>
      <c r="BQ116" s="230">
        <f t="shared" si="68"/>
        <v>0</v>
      </c>
      <c r="BR116" s="197" t="str">
        <f t="shared" si="52"/>
        <v/>
      </c>
      <c r="BS116" s="197" t="str">
        <f>IFERROR(($G116*IF('Inputs Yr 2'!$AJ116=BM$4,'Inputs Yr 2'!$AK116,IF('Inputs Yr 2'!$AL116=BM$4,'Inputs Yr 2'!$AM116,IF('Inputs Yr 2'!$AN116=BM$4,'Inputs Yr 2'!$AO116,0))))*(INDEX(avoidedcosttbl2,$H116,BS$2)+(($H116-ROUNDDOWN($H116,0))*(INDEX(avoidedcosttbl2,ROUNDUP($H116,0),BS$2)-(INDEX(avoidedcosttbl2,ROUNDDOWN($H116,0),BS$2)))))*'Inputs Yr 2'!P116*'Inputs Yr 2'!Q116*'Inputs Yr 2'!U116,"")</f>
        <v/>
      </c>
      <c r="BT116" s="197" t="str">
        <f>IFERROR(($G116*IF('Inputs Yr 2'!$AJ116=BK$4,'Inputs Yr 2'!$AK116,IF('Inputs Yr 2'!$AL116=BK$4,'Inputs Yr 2'!$AM116,IF('Inputs Yr 2'!$AN116=BK$4,'Inputs Yr 2'!$AO116,0))))*(INDEX(avoidedcosttbl2,$H116,BT$2)+(($H116-ROUNDDOWN($H116,0))*(INDEX(avoidedcosttbl2,ROUNDUP($H116,0),BT$2)-(INDEX(avoidedcosttbl2,ROUNDDOWN($H116,0),BT$2)))))*'Inputs Yr 2'!P116*'Inputs Yr 2'!Q116*'Inputs Yr 2'!U116,"")</f>
        <v/>
      </c>
      <c r="BU116" s="197" t="str">
        <f>IFERROR(($G116*IF('Inputs Yr 2'!$AJ116=BL$4,'Inputs Yr 2'!$AK116,IF('Inputs Yr 2'!$AL116=BL$4,'Inputs Yr 2'!$AM116,IF('Inputs Yr 2'!$AN116=BL$4,'Inputs Yr 2'!$AO116,0))))*(INDEX(avoidedcosttbl2,$H116,BU$2)+(($H116-ROUNDDOWN($H116,0))*(INDEX(avoidedcosttbl2,ROUNDUP($H116,0),BU$2)-(INDEX(avoidedcosttbl2,ROUNDDOWN($H116,0),BU$2)))))*'Inputs Yr 2'!P116*'Inputs Yr 2'!Q116*'Inputs Yr 2'!U116,"")</f>
        <v/>
      </c>
      <c r="BV116" s="775" t="str">
        <f>IFERROR(($G116*IF('Inputs Yr 2'!$AJ116=BJ$4,'Inputs Yr 2'!$AK116,IF('Inputs Yr 2'!$AL116=BJ$4,'Inputs Yr 2'!$AM116,IF('Inputs Yr 2'!$AN116=BJ$4,'Inputs Yr 2'!$AO116,0))))*(INDEX(avoidedcosttbl2,$H116,BV$2)+(($H116-ROUNDDOWN($H116,0))*(INDEX(avoidedcosttbl2,ROUNDUP($H116,0),BV$2)-(INDEX(avoidedcosttbl2,ROUNDDOWN($H116,0),BV$2)))))*'Inputs Yr 2'!P116*'Inputs Yr 2'!Q116*'Inputs Yr 2'!U116,"")</f>
        <v/>
      </c>
      <c r="BW116" s="197" t="str">
        <f>IFERROR(($G116*IF('Inputs Yr 2'!$AJ116=BN$4,'Inputs Yr 2'!$AK116,IF('Inputs Yr 2'!$AL116=BN$4,'Inputs Yr 2'!$AM116,IF('Inputs Yr 2'!$AN116=BN$4,'Inputs Yr 2'!$AO116,0))))*(INDEX(avoidedcosttbl2,$H116,BW$2)+(($H116-ROUNDDOWN($H116,0))*(INDEX(avoidedcosttbl2,ROUNDUP($H116,0),BW$2)-(INDEX(avoidedcosttbl2,ROUNDDOWN($H116,0),BW$2)))))*'Inputs Yr 2'!P116*'Inputs Yr 2'!Q116*'Inputs Yr 2'!U116,"")</f>
        <v/>
      </c>
      <c r="BX116" s="197" t="str">
        <f>IFERROR(($G116*IF('Inputs Yr 2'!$AJ116=BO$4,'Inputs Yr 2'!$AK116,IF('Inputs Yr 2'!$AL116=BO$4,'Inputs Yr 2'!$AM116,IF('Inputs Yr 2'!$AN116=BO$4,'Inputs Yr 2'!$AO116,0))))*(INDEX(avoidedcosttbl2,$H116,BX$2)+(($H116-ROUNDDOWN($H116,0))*(INDEX(avoidedcosttbl2,ROUNDUP($H116,0),BX$2)-(INDEX(avoidedcosttbl2,ROUNDDOWN($H116,0),BX$2)))))*'Inputs Yr 2'!P116*'Inputs Yr 2'!Q116*'Inputs Yr 2'!U116,"")</f>
        <v/>
      </c>
      <c r="BY116" s="197" t="str">
        <f>IFERROR(($G116*IF('Inputs Yr 2'!$AJ116=BP$4,'Inputs Yr 2'!$AK116,IF('Inputs Yr 2'!$AL116=BP$4,'Inputs Yr 2'!$AM116,IF('Inputs Yr 2'!$AN116=BP$4,'Inputs Yr 2'!$AO116,0))))*(INDEX(avoidedcosttbl2,$H116,BY$2)+(($H116-ROUNDDOWN($H116,0))*(INDEX(avoidedcosttbl2,ROUNDUP($H116,0),BY$2)-(INDEX(avoidedcosttbl2,ROUNDDOWN($H116,0),BY$2)))))*'Inputs Yr 2'!P116*'Inputs Yr 2'!Q116*'Inputs Yr 2'!U116,"")</f>
        <v/>
      </c>
      <c r="BZ116" s="193">
        <f t="shared" si="69"/>
        <v>0</v>
      </c>
      <c r="CA116" s="193">
        <f t="shared" si="70"/>
        <v>0</v>
      </c>
      <c r="CB116" s="195" t="str">
        <f>IFERROR(G116*(IF('Inputs Yr 2'!$AJ116=CB$4,'Inputs Yr 2'!$AK116,IF('Inputs Yr 2'!$AL116=CB$4,'Inputs Yr 2'!$AM116,IF('Inputs Yr 2'!$AN116=CB$4,'Inputs Yr 2'!$AO116,0))))*(INDEX(avoidedcosttbl2,$H116,CB$2)+(($H116-ROUNDDOWN($H116,0))*(INDEX(avoidedcosttbl2,ROUNDUP($H116,0),CB$2)-(INDEX(avoidedcosttbl2,ROUNDDOWN($H116,0),CB$2)))))*'Inputs Yr 2'!P116*'Inputs Yr 2'!Q116*'Inputs Yr 2'!U116,"")</f>
        <v/>
      </c>
      <c r="CC116" s="195" t="str">
        <f>IFERROR(H116*(IF('Inputs Yr 2'!$AJ116=CC$4,'Inputs Yr 2'!$AK116,IF('Inputs Yr 2'!$AL116=CC$4,'Inputs Yr 2'!$AM116,IF('Inputs Yr 2'!$AN116=CC$4,'Inputs Yr 2'!$AO116,0))))*(INDEX(avoidedcosttbl2,$H116,CC$2)+(($H116-ROUNDDOWN($H116,0))*(INDEX(avoidedcosttbl2,ROUNDUP($H116,0),CC$2)-(INDEX(avoidedcosttbl2,ROUNDDOWN($H116,0),CC$2)))))*'Inputs Yr 2'!Q116*'Inputs Yr 2'!R116*'Inputs Yr 2'!V116,"")</f>
        <v/>
      </c>
      <c r="CD116" s="195" t="str">
        <f>IFERROR(I116*(IF('Inputs Yr 2'!$AJ116=CD$4,'Inputs Yr 2'!$AK116,IF('Inputs Yr 2'!$AL116=CD$4,'Inputs Yr 2'!$AM116,IF('Inputs Yr 2'!$AN116=CD$4,'Inputs Yr 2'!$AO116,0))))*(INDEX(avoidedcosttbl2,$H116,CD$2)+(($H116-ROUNDDOWN($H116,0))*(INDEX(avoidedcosttbl2,ROUNDUP($H116,0),CD$2)-(INDEX(avoidedcosttbl2,ROUNDDOWN($H116,0),CD$2)))))*'Inputs Yr 2'!R116*'Inputs Yr 2'!S116*'Inputs Yr 2'!W116,"")</f>
        <v/>
      </c>
      <c r="CE116" s="213" t="str">
        <f t="shared" si="71"/>
        <v/>
      </c>
      <c r="CF116" s="213" t="str">
        <f t="shared" si="72"/>
        <v/>
      </c>
      <c r="CG116" s="213" t="str">
        <f t="shared" si="73"/>
        <v/>
      </c>
      <c r="CH116" s="698">
        <f t="shared" si="74"/>
        <v>0</v>
      </c>
      <c r="CI116" s="79" t="str">
        <f>IFERROR(($G116*'Inputs Yr 2'!$P116*'Inputs Yr 2'!$Q116*(((INDEX(avoidedcosttbl2,$H116,CI$2)+(($H116-ROUNDDOWN($H116,0))*(INDEX(avoidedcosttbl2,ROUNDUP($H116,0),CI$2)-INDEX(avoidedcosttbl2,ROUNDDOWN($H116,0),CI$2))))*'Inputs Yr 2'!AS116))),"")</f>
        <v/>
      </c>
      <c r="CJ116" s="504" t="str">
        <f>IFERROR($G116*'Inputs Yr 2'!AT116*'Inputs Yr 2'!$P116*'Inputs Yr 2'!$Q116/((1+realdiscrt1)^-0.5),"")</f>
        <v/>
      </c>
      <c r="CK116" s="79" t="str">
        <f>IFERROR((O116*1000*(((INDEX(avoidedcosttbl2,$H116,CK$2)+(($H116-ROUNDDOWN($H116,0))*(INDEX(avoidedcosttbl2,ROUNDUP($H116,0),CK$2)-INDEX(avoidedcosttbl2,ROUNDDOWN($H116,0),CK$2))))*'Inputs Yr 2'!AU116))),"")</f>
        <v/>
      </c>
      <c r="CL116" s="504" t="str">
        <f>IFERROR(O116*1000*'Inputs Yr 2'!AV116/((1+realdiscrt1)^-0.5),"")</f>
        <v/>
      </c>
      <c r="CM116" s="79" t="str">
        <f>IFERROR((AB116*'Inputs Yr 2'!AW116*(((INDEX(avoidedcosttbl2,$H116,CM$2)+(($H116-ROUNDDOWN($H116,0))*(INDEX(avoidedcosttbl2,ROUNDUP($H116,0),CM$2)-INDEX(avoidedcosttbl2,ROUNDDOWN($H116,0),CM$2)))))))*10,"")</f>
        <v/>
      </c>
      <c r="CN116" s="504">
        <f>IFERROR(10*AB116*'Inputs Yr 2'!AX116/((1+realdiscrt1)^-0.5),"")</f>
        <v>0</v>
      </c>
      <c r="CO116" s="505">
        <f t="shared" si="75"/>
        <v>0</v>
      </c>
      <c r="CP116" s="230">
        <f t="shared" si="76"/>
        <v>0</v>
      </c>
      <c r="CQ116" s="199">
        <f>ROUND(IFERROR(IF(LEFT($A116,1)="C",'Avoided Costs'!$K$13,'Avoided Costs'!$K$12)+1,""),4)</f>
        <v>1.0720000000000001</v>
      </c>
      <c r="CR116" s="199">
        <f>ROUND(IFERROR(IF(LEFT($A116,1)="C",'Avoided Costs'!$L$13,'Avoided Costs'!$L$12)+1,""),4)</f>
        <v>1.04</v>
      </c>
      <c r="CS116" s="199">
        <f>ROUND(IFERROR(IF(LEFT($A116,1)="C",'Avoided Costs'!$M$13,'Avoided Costs'!$M$12)+1,""),4)</f>
        <v>1.0720000000000001</v>
      </c>
      <c r="CT116" s="199">
        <f>ROUND(IFERROR(IF(LEFT($A116,1)="C",'Avoided Costs'!$N$13,'Avoided Costs'!$N$12)+1,""),4)</f>
        <v>1.04</v>
      </c>
      <c r="CU116" s="199">
        <f>ROUND(IFERROR(IF(LEFT($A116,1)="C",'Avoided Costs'!$O$13,'Avoided Costs'!$O$12)+1,""),4)</f>
        <v>1.1120000000000001</v>
      </c>
      <c r="CV116" s="199">
        <f>ROUND(IFERROR(IF(LEFT($A116,1)="C",'Avoided Costs'!$P$13,'Avoided Costs'!$P$12)+1,""),4)</f>
        <v>1.095</v>
      </c>
      <c r="CW116" s="199">
        <f>ROUND(IFERROR(IF(LEFT($A116,1)="C",'Avoided Costs'!$Q$13,'Avoided Costs'!$Q$12)+1,""),4)</f>
        <v>1.1120000000000001</v>
      </c>
      <c r="CX116" s="200">
        <f>ROUND(IFERROR(IF(LEFT($A116,1)="C",'Avoided Costs'!$R$13,'Avoided Costs'!$R$12)+1,""),4)</f>
        <v>1.1120000000000001</v>
      </c>
    </row>
    <row r="117" spans="1:102" ht="12.75" customHeight="1">
      <c r="A117" s="91" t="str">
        <f>IF('Inputs Yr 2'!$B117=0,"",'Inputs Yr 2'!A117)</f>
        <v>B - Low Income</v>
      </c>
      <c r="B117" s="91" t="str">
        <f>IF('Inputs Yr 2'!$B117=0,"",'Inputs Yr 2'!B117)</f>
        <v>B1 - Low-Income Whole House</v>
      </c>
      <c r="C117" s="91" t="str">
        <f>IF('Inputs Yr 2'!$B117=0,"",'Inputs Yr 2'!C117)</f>
        <v>B1a - Low-Income Single Family Retrofit</v>
      </c>
      <c r="D117" s="91" t="str">
        <f>IF('Inputs Yr 2'!$B117=0,"",'Inputs Yr 2'!E117)</f>
        <v>Custom/Future</v>
      </c>
      <c r="E117" s="93">
        <f>IF('Inputs Yr 2'!$B117=0,"",'Inputs Yr 2'!F117)</f>
        <v>0</v>
      </c>
      <c r="F117" s="93">
        <f>IF('Inputs Yr 2'!$B117=0,"",'Inputs Yr 2'!G117)</f>
        <v>0</v>
      </c>
      <c r="G117" s="95" t="str">
        <f>IF('Inputs Yr 2'!$H117&lt;&gt;0,('Inputs Yr 2'!H117),"")</f>
        <v/>
      </c>
      <c r="H117" s="94">
        <f>IFERROR('Inputs Yr 2'!I117,"")</f>
        <v>0</v>
      </c>
      <c r="I117" s="298" t="str">
        <f>IFERROR('Inputs Yr 2'!J117*'Inputs Yr 2'!P117*G117,"")</f>
        <v/>
      </c>
      <c r="J117" s="298" t="str">
        <f>IFERROR('Inputs Yr 2'!K117*G117,"")</f>
        <v/>
      </c>
      <c r="K117" s="298" t="str">
        <f t="shared" si="53"/>
        <v/>
      </c>
      <c r="L117" s="194" t="str">
        <f>IFERROR(('Inputs Yr 2'!W117*G117)/1000,"")</f>
        <v/>
      </c>
      <c r="M117" s="194" t="str">
        <f>IFERROR(L117*('Inputs Yr 2'!$Q117*'Inputs Yr 2'!$V117*'Inputs Yr 2'!$R117),"")</f>
        <v/>
      </c>
      <c r="N117" s="194" t="str">
        <f t="shared" si="54"/>
        <v/>
      </c>
      <c r="O117" s="194" t="str">
        <f>IFERROR(M117*'Inputs Yr 2'!P117,"")</f>
        <v/>
      </c>
      <c r="P117" s="194" t="str">
        <f t="shared" si="55"/>
        <v/>
      </c>
      <c r="Q117" s="194" t="str">
        <f>IFERROR($P117*'Inputs Yr 2'!AA117,"")</f>
        <v/>
      </c>
      <c r="R117" s="194" t="str">
        <f>IFERROR($P117*'Inputs Yr 2'!AB117,"")</f>
        <v/>
      </c>
      <c r="S117" s="194" t="str">
        <f>IFERROR($P117*'Inputs Yr 2'!AC117,"")</f>
        <v/>
      </c>
      <c r="T117" s="194" t="str">
        <f>IFERROR($P117*'Inputs Yr 2'!AD117,"")</f>
        <v/>
      </c>
      <c r="U117" s="194" t="str">
        <f>IFERROR(G117*'Inputs Yr 2'!$AE117*'Inputs Yr 2'!$P117*'Inputs Yr 2'!$Q117,"")</f>
        <v/>
      </c>
      <c r="V117" s="194" t="str">
        <f>IFERROR($G117*'Inputs Yr 2'!$AE117*'Inputs Yr 2'!$AG117*'Inputs Yr 2'!Q117*'Inputs Yr 2'!$S117,"")</f>
        <v/>
      </c>
      <c r="W117" s="194" t="str">
        <f>IFERROR($G117*'Inputs Yr 2'!$AE117*'Inputs Yr 2'!$AG117*'Inputs Yr 2'!P117*'Inputs Yr 2'!Q117*'Inputs Yr 2'!$S117,"")</f>
        <v/>
      </c>
      <c r="X117" s="194" t="str">
        <f>IFERROR($G117*'Inputs Yr 2'!$AE117*'Inputs Yr 2'!$AF117*'Inputs Yr 2'!Q117*'Inputs Yr 2'!$T117,"")</f>
        <v/>
      </c>
      <c r="Y117" s="194" t="str">
        <f>IFERROR($G117*'Inputs Yr 2'!$AE117*'Inputs Yr 2'!$AF117*'Inputs Yr 2'!P117*'Inputs Yr 2'!Q117*'Inputs Yr 2'!$T117,"")</f>
        <v/>
      </c>
      <c r="Z117" s="257">
        <f>IFERROR($G117*'Inputs Yr 2'!$Q117*'Inputs Yr 2'!$U117*(IF(IFERROR(SEARCH("NG", 'Inputs Yr 2'!$AJ117),0),'Inputs Yr 2'!$AK117,0)+IF(IFERROR(SEARCH("NG", 'Inputs Yr 2'!$AL117),0),'Inputs Yr 2'!$AM117,0)+IF(IFERROR(SEARCH("NG", 'Inputs Yr 2'!$AN117),0),'Inputs Yr 2'!$AO117,0)),0)</f>
        <v>0</v>
      </c>
      <c r="AA117" s="257">
        <f t="shared" si="56"/>
        <v>0</v>
      </c>
      <c r="AB117" s="257">
        <f>IFERROR(Z117*'Inputs Yr 2'!$P117,0)</f>
        <v>0</v>
      </c>
      <c r="AC117" s="257">
        <f t="shared" si="57"/>
        <v>0</v>
      </c>
      <c r="AD117" s="257">
        <f>IFERROR($G117*'Inputs Yr 2'!$Q117*'Inputs Yr 2'!$U117*(IF(IFERROR(SEARCH("Oil", 'Inputs Yr 2'!$AJ117), 0),'Inputs Yr 2'!$AK117,0)+IF(IFERROR(SEARCH("Oil", 'Inputs Yr 2'!$AL117), 0),'Inputs Yr 2'!$AM117,0)+IF(IFERROR(SEARCH("Oil", 'Inputs Yr 2'!$AN117), 0),'Inputs Yr 2'!$AO117,0)),0)</f>
        <v>0</v>
      </c>
      <c r="AE117" s="257">
        <f t="shared" si="58"/>
        <v>0</v>
      </c>
      <c r="AF117" s="257">
        <f>IFERROR(AD117*'Inputs Yr 2'!$P117,0)</f>
        <v>0</v>
      </c>
      <c r="AG117" s="257">
        <f t="shared" si="59"/>
        <v>0</v>
      </c>
      <c r="AH117" s="257">
        <f>IFERROR($G117*'Inputs Yr 2'!$Q117*'Inputs Yr 2'!$U117*(IF('Inputs Yr 2'!$AJ117=CD$4,'Inputs Yr 2'!$AK117,IF('Inputs Yr 2'!$AL117=CD$4,'Inputs Yr 2'!$AM117,IF('Inputs Yr 2'!$AN117=CD$4,'Inputs Yr 2'!$AO117,0)))),0)</f>
        <v>0</v>
      </c>
      <c r="AI117" s="257">
        <f t="shared" si="60"/>
        <v>0</v>
      </c>
      <c r="AJ117" s="257">
        <f>IFERROR(AH117*'Inputs Yr 2'!$P117,0)</f>
        <v>0</v>
      </c>
      <c r="AK117" s="257">
        <f t="shared" si="61"/>
        <v>0</v>
      </c>
      <c r="AL117" s="258">
        <f>IFERROR($G117*'Inputs Yr 2'!$P117*'Inputs Yr 2'!$Q117*'Inputs Yr 2'!AP117,0)</f>
        <v>0</v>
      </c>
      <c r="AM117" s="260">
        <f>IFERROR($G117*'Inputs Yr 2'!$P117*'Inputs Yr 2'!$Q117*'Inputs Yr 2'!AQ117,0)</f>
        <v>0</v>
      </c>
      <c r="AN117" s="258">
        <f>IFERROR($G117*'Inputs Yr 2'!$P117*'Inputs Yr 2'!$Q117*'Inputs Yr 2'!AR117,0)</f>
        <v>0</v>
      </c>
      <c r="AO117" s="257">
        <f t="shared" si="62"/>
        <v>0</v>
      </c>
      <c r="AP117" s="195" t="str">
        <f>IFERROR($CQ117*(INDEX(avoidedcosttbl2,$H117,AP$2)+(($H117-ROUNDDOWN($H117,0))*(INDEX(avoidedcosttbl2,ROUNDUP($H117,0),AP$2)-(INDEX(avoidedcosttbl2,ROUNDDOWN($H117,0),AP$2)))))*$O117*1000*'Inputs Yr 2'!AA117,"")</f>
        <v/>
      </c>
      <c r="AQ117" s="195" t="str">
        <f>IFERROR($CR117*(INDEX(avoidedcosttbl2,$H117,AQ$2)+(($H117-ROUNDDOWN($H117,0))*(INDEX(avoidedcosttbl2,ROUNDUP($H117,0),AQ$2)-(INDEX(avoidedcosttbl2,ROUNDDOWN($H117,0),AQ$2)))))*$O117*1000*'Inputs Yr 2'!AB117,"")</f>
        <v/>
      </c>
      <c r="AR117" s="195" t="str">
        <f>IFERROR($CS117*(INDEX(avoidedcosttbl2,$H117,AR$2)+(($H117-ROUNDDOWN($H117,0))*(INDEX(avoidedcosttbl2,ROUNDUP($H117,0),AR$2)-(INDEX(avoidedcosttbl2,ROUNDDOWN($H117,0),AR$2)))))*$O117*1000*'Inputs Yr 2'!AC117,"")</f>
        <v/>
      </c>
      <c r="AS117" s="195" t="str">
        <f>IFERROR($CT117*(INDEX(avoidedcosttbl2,$H117,AS$2)+(($H117-ROUNDDOWN($H117,0))*(INDEX(avoidedcosttbl2,ROUNDUP($H117,0),AS$2)-(INDEX(avoidedcosttbl2,ROUNDDOWN($H117,0),AS$2)))))*$O117*1000*'Inputs Yr 2'!AD117,"")</f>
        <v/>
      </c>
      <c r="AT117" s="196">
        <f t="shared" si="63"/>
        <v>0</v>
      </c>
      <c r="AU117" s="197" t="str">
        <f>IFERROR($CQ117*((INDEX(avoidedcosttbl2,$H117,AU$2))+(($H117-ROUNDDOWN($H117,0))*((INDEX(avoidedcosttbl2,ROUNDUP($H117,0),AU$2))-(INDEX(avoidedcosttbl2,ROUNDDOWN($H117,0),AU$2)))))*$O117*1000*'Inputs Yr 2'!AA117,"")</f>
        <v/>
      </c>
      <c r="AV117" s="197" t="str">
        <f>IFERROR($CR117*((INDEX(avoidedcosttbl2,$H117,AV$2))+(($H117-ROUNDDOWN($H117,0))*((INDEX(avoidedcosttbl2,ROUNDUP($H117,0),AV$2))-(INDEX(avoidedcosttbl2,ROUNDDOWN($H117,0),AV$2)))))*$O117*1000*'Inputs Yr 2'!AB117,"")</f>
        <v/>
      </c>
      <c r="AW117" s="197" t="str">
        <f>IFERROR($CS117*((INDEX(avoidedcosttbl2,$H117,AW$2))+(($H117-ROUNDDOWN($H117,0))*((INDEX(avoidedcosttbl2,ROUNDUP($H117,0),AW$2))-(INDEX(avoidedcosttbl2,ROUNDDOWN($H117,0),AW$2)))))*$O117*1000*'Inputs Yr 2'!AC117,"")</f>
        <v/>
      </c>
      <c r="AX117" s="197" t="str">
        <f>IFERROR($CT117*((INDEX(avoidedcosttbl2,$H117,AX$2))+(($H117-ROUNDDOWN($H117,0))*((INDEX(avoidedcosttbl2,ROUNDUP($H117,0),AX$2))-(INDEX(avoidedcosttbl2,ROUNDDOWN($H117,0),AX$2)))))*$O117*1000*'Inputs Yr 2'!AD117,"")</f>
        <v/>
      </c>
      <c r="AY117" s="197" t="str">
        <f>IFERROR(((INDEX(avoidedcosttbl2,$H117,AY$2))+(($H117-ROUNDDOWN($H117,0))*((INDEX(avoidedcosttbl2,ROUNDUP($H117,0),AY$2))-(INDEX(avoidedcosttbl2,ROUNDDOWN($H117,0),AY$2)))))*$O117*1000*('Inputs Yr 2'!AC117+'Inputs Yr 2'!AD117),"")</f>
        <v/>
      </c>
      <c r="AZ117" s="197" t="str">
        <f>IFERROR(((INDEX(avoidedcosttbl2,$H117,AZ$2))+(($H117-ROUNDDOWN($H117,0))*((INDEX(avoidedcosttbl2,ROUNDUP($H117,0),AZ$2))-(INDEX(avoidedcosttbl2,ROUNDDOWN($H117,0),AZ$2)))))*$O117*1000*('Inputs Yr 2'!AA117+'Inputs Yr 2'!AB117),"")</f>
        <v/>
      </c>
      <c r="BA117" s="198">
        <f t="shared" si="64"/>
        <v>0</v>
      </c>
      <c r="BB117" s="198">
        <f t="shared" si="65"/>
        <v>0</v>
      </c>
      <c r="BC117" s="195" t="str">
        <f t="shared" si="47"/>
        <v/>
      </c>
      <c r="BD117" s="195" t="str">
        <f t="shared" si="48"/>
        <v/>
      </c>
      <c r="BE117" s="195" t="str">
        <f t="shared" si="49"/>
        <v/>
      </c>
      <c r="BF117" s="195" t="str">
        <f t="shared" si="50"/>
        <v/>
      </c>
      <c r="BG117" s="195" t="str">
        <f t="shared" si="51"/>
        <v/>
      </c>
      <c r="BH117" s="196">
        <f t="shared" si="66"/>
        <v>0</v>
      </c>
      <c r="BI117" s="196">
        <f t="shared" si="67"/>
        <v>0</v>
      </c>
      <c r="BJ117" s="195" t="str">
        <f>IFERROR($G117*(IF('Inputs Yr 2'!$AJ117=BJ$4,'Inputs Yr 2'!$AK117,IF('Inputs Yr 2'!$AL117=BJ$4,'Inputs Yr 2'!$AM117,IF('Inputs Yr 2'!$AN117=BJ$4,'Inputs Yr 2'!$AO117,0))))*(INDEX(avoidedcosttbl2,$H117,BJ$2)+(($H117-ROUNDDOWN($H117,0))*(INDEX(avoidedcosttbl2,ROUNDUP($H117,0),BJ$2)-(INDEX(avoidedcosttbl2,ROUNDDOWN($H117,0),BJ$2)))))*'Inputs Yr 2'!P117*'Inputs Yr 2'!Q117*'Inputs Yr 2'!U117,"")</f>
        <v/>
      </c>
      <c r="BK117" s="195" t="str">
        <f>IFERROR($G117*(IF('Inputs Yr 2'!$AJ117=BK$4,'Inputs Yr 2'!$AK117,IF('Inputs Yr 2'!$AL117=BK$4,'Inputs Yr 2'!$AM117,IF('Inputs Yr 2'!$AN117=BK$4,'Inputs Yr 2'!$AO117,0))))*(INDEX(avoidedcosttbl2,$H117,BK$2)+(($H117-ROUNDDOWN($H117,0))*(INDEX(avoidedcosttbl2,ROUNDUP($H117,0),BK$2)-(INDEX(avoidedcosttbl2,ROUNDDOWN($H117,0),BK$2)))))*'Inputs Yr 2'!P117*'Inputs Yr 2'!Q117*'Inputs Yr 2'!U117,"")</f>
        <v/>
      </c>
      <c r="BL117" s="195" t="str">
        <f>IFERROR($G117*(IF('Inputs Yr 2'!$AJ117=BL$4,'Inputs Yr 2'!$AK117,IF('Inputs Yr 2'!$AL117=BL$4,'Inputs Yr 2'!$AM117,IF('Inputs Yr 2'!$AN117=BL$4,'Inputs Yr 2'!$AO117,0))))*(INDEX(avoidedcosttbl2,$H117,BL$2)+(($H117-ROUNDDOWN($H117,0))*(INDEX(avoidedcosttbl2,ROUNDUP($H117,0),BL$2)-(INDEX(avoidedcosttbl2,ROUNDDOWN($H117,0),BL$2)))))*'Inputs Yr 2'!P117*'Inputs Yr 2'!Q117*'Inputs Yr 2'!U117,"")</f>
        <v/>
      </c>
      <c r="BM117" s="195" t="str">
        <f>IFERROR($G117*(IF('Inputs Yr 2'!$AJ117=BM$4,'Inputs Yr 2'!$AK117,IF('Inputs Yr 2'!$AL117=BM$4,'Inputs Yr 2'!$AM117,IF('Inputs Yr 2'!$AN117=BM$4,'Inputs Yr 2'!$AO117,0))))*(INDEX(avoidedcosttbl2,$H117,BM$2)+(($H117-ROUNDDOWN($H117,0))*(INDEX(avoidedcosttbl2,ROUNDUP($H117,0),BM$2)-(INDEX(avoidedcosttbl2,ROUNDDOWN($H117,0),BM$2)))))*'Inputs Yr 2'!P117*'Inputs Yr 2'!Q117*'Inputs Yr 2'!U117,"")</f>
        <v/>
      </c>
      <c r="BN117" s="195" t="str">
        <f>IFERROR($G117*(IF('Inputs Yr 2'!$AJ117=BN$4,'Inputs Yr 2'!$AK117,IF('Inputs Yr 2'!$AL117=BN$4,'Inputs Yr 2'!$AM117,IF('Inputs Yr 2'!$AN117=BN$4,'Inputs Yr 2'!$AO117,0))))*(INDEX(avoidedcosttbl2,$H117,BN$2)+(($H117-ROUNDDOWN($H117,0))*(INDEX(avoidedcosttbl2,ROUNDUP($H117,0),BN$2)-(INDEX(avoidedcosttbl2,ROUNDDOWN($H117,0),BN$2)))))*'Inputs Yr 2'!P117*'Inputs Yr 2'!Q117*'Inputs Yr 2'!U117,"")</f>
        <v/>
      </c>
      <c r="BO117" s="195" t="str">
        <f>IFERROR($G117*(IF('Inputs Yr 2'!$AJ117=BO$4,'Inputs Yr 2'!$AK117,IF('Inputs Yr 2'!$AL117=BO$4,'Inputs Yr 2'!$AM117,IF('Inputs Yr 2'!$AN117=BO$4,'Inputs Yr 2'!$AO117,0))))*(INDEX(avoidedcosttbl2,$H117,BO$2)+(($H117-ROUNDDOWN($H117,0))*(INDEX(avoidedcosttbl2,ROUNDUP($H117,0),BO$2)-(INDEX(avoidedcosttbl2,ROUNDDOWN($H117,0),BO$2)))))*'Inputs Yr 2'!P117*'Inputs Yr 2'!Q117*'Inputs Yr 2'!U117,"")</f>
        <v/>
      </c>
      <c r="BP117" s="195" t="str">
        <f>IFERROR($G117*(IF('Inputs Yr 2'!$AJ117=BP$4,'Inputs Yr 2'!$AK117,IF('Inputs Yr 2'!$AL117=BP$4,'Inputs Yr 2'!$AM117,IF('Inputs Yr 2'!$AN117=BP$4,'Inputs Yr 2'!$AO117,0))))*(INDEX(avoidedcosttbl2,$H117,BP$2)+(($H117-ROUNDDOWN($H117,0))*(INDEX(avoidedcosttbl2,ROUNDUP($H117,0),BP$2)-(INDEX(avoidedcosttbl2,ROUNDDOWN($H117,0),BP$2)))))*'Inputs Yr 2'!P117*'Inputs Yr 2'!Q117*'Inputs Yr 2'!U117,"")</f>
        <v/>
      </c>
      <c r="BQ117" s="230">
        <f t="shared" si="68"/>
        <v>0</v>
      </c>
      <c r="BR117" s="197" t="str">
        <f t="shared" si="52"/>
        <v/>
      </c>
      <c r="BS117" s="197" t="str">
        <f>IFERROR(($G117*IF('Inputs Yr 2'!$AJ117=BM$4,'Inputs Yr 2'!$AK117,IF('Inputs Yr 2'!$AL117=BM$4,'Inputs Yr 2'!$AM117,IF('Inputs Yr 2'!$AN117=BM$4,'Inputs Yr 2'!$AO117,0))))*(INDEX(avoidedcosttbl2,$H117,BS$2)+(($H117-ROUNDDOWN($H117,0))*(INDEX(avoidedcosttbl2,ROUNDUP($H117,0),BS$2)-(INDEX(avoidedcosttbl2,ROUNDDOWN($H117,0),BS$2)))))*'Inputs Yr 2'!P117*'Inputs Yr 2'!Q117*'Inputs Yr 2'!U117,"")</f>
        <v/>
      </c>
      <c r="BT117" s="197" t="str">
        <f>IFERROR(($G117*IF('Inputs Yr 2'!$AJ117=BK$4,'Inputs Yr 2'!$AK117,IF('Inputs Yr 2'!$AL117=BK$4,'Inputs Yr 2'!$AM117,IF('Inputs Yr 2'!$AN117=BK$4,'Inputs Yr 2'!$AO117,0))))*(INDEX(avoidedcosttbl2,$H117,BT$2)+(($H117-ROUNDDOWN($H117,0))*(INDEX(avoidedcosttbl2,ROUNDUP($H117,0),BT$2)-(INDEX(avoidedcosttbl2,ROUNDDOWN($H117,0),BT$2)))))*'Inputs Yr 2'!P117*'Inputs Yr 2'!Q117*'Inputs Yr 2'!U117,"")</f>
        <v/>
      </c>
      <c r="BU117" s="197" t="str">
        <f>IFERROR(($G117*IF('Inputs Yr 2'!$AJ117=BL$4,'Inputs Yr 2'!$AK117,IF('Inputs Yr 2'!$AL117=BL$4,'Inputs Yr 2'!$AM117,IF('Inputs Yr 2'!$AN117=BL$4,'Inputs Yr 2'!$AO117,0))))*(INDEX(avoidedcosttbl2,$H117,BU$2)+(($H117-ROUNDDOWN($H117,0))*(INDEX(avoidedcosttbl2,ROUNDUP($H117,0),BU$2)-(INDEX(avoidedcosttbl2,ROUNDDOWN($H117,0),BU$2)))))*'Inputs Yr 2'!P117*'Inputs Yr 2'!Q117*'Inputs Yr 2'!U117,"")</f>
        <v/>
      </c>
      <c r="BV117" s="775" t="str">
        <f>IFERROR(($G117*IF('Inputs Yr 2'!$AJ117=BJ$4,'Inputs Yr 2'!$AK117,IF('Inputs Yr 2'!$AL117=BJ$4,'Inputs Yr 2'!$AM117,IF('Inputs Yr 2'!$AN117=BJ$4,'Inputs Yr 2'!$AO117,0))))*(INDEX(avoidedcosttbl2,$H117,BV$2)+(($H117-ROUNDDOWN($H117,0))*(INDEX(avoidedcosttbl2,ROUNDUP($H117,0),BV$2)-(INDEX(avoidedcosttbl2,ROUNDDOWN($H117,0),BV$2)))))*'Inputs Yr 2'!P117*'Inputs Yr 2'!Q117*'Inputs Yr 2'!U117,"")</f>
        <v/>
      </c>
      <c r="BW117" s="197" t="str">
        <f>IFERROR(($G117*IF('Inputs Yr 2'!$AJ117=BN$4,'Inputs Yr 2'!$AK117,IF('Inputs Yr 2'!$AL117=BN$4,'Inputs Yr 2'!$AM117,IF('Inputs Yr 2'!$AN117=BN$4,'Inputs Yr 2'!$AO117,0))))*(INDEX(avoidedcosttbl2,$H117,BW$2)+(($H117-ROUNDDOWN($H117,0))*(INDEX(avoidedcosttbl2,ROUNDUP($H117,0),BW$2)-(INDEX(avoidedcosttbl2,ROUNDDOWN($H117,0),BW$2)))))*'Inputs Yr 2'!P117*'Inputs Yr 2'!Q117*'Inputs Yr 2'!U117,"")</f>
        <v/>
      </c>
      <c r="BX117" s="197" t="str">
        <f>IFERROR(($G117*IF('Inputs Yr 2'!$AJ117=BO$4,'Inputs Yr 2'!$AK117,IF('Inputs Yr 2'!$AL117=BO$4,'Inputs Yr 2'!$AM117,IF('Inputs Yr 2'!$AN117=BO$4,'Inputs Yr 2'!$AO117,0))))*(INDEX(avoidedcosttbl2,$H117,BX$2)+(($H117-ROUNDDOWN($H117,0))*(INDEX(avoidedcosttbl2,ROUNDUP($H117,0),BX$2)-(INDEX(avoidedcosttbl2,ROUNDDOWN($H117,0),BX$2)))))*'Inputs Yr 2'!P117*'Inputs Yr 2'!Q117*'Inputs Yr 2'!U117,"")</f>
        <v/>
      </c>
      <c r="BY117" s="197" t="str">
        <f>IFERROR(($G117*IF('Inputs Yr 2'!$AJ117=BP$4,'Inputs Yr 2'!$AK117,IF('Inputs Yr 2'!$AL117=BP$4,'Inputs Yr 2'!$AM117,IF('Inputs Yr 2'!$AN117=BP$4,'Inputs Yr 2'!$AO117,0))))*(INDEX(avoidedcosttbl2,$H117,BY$2)+(($H117-ROUNDDOWN($H117,0))*(INDEX(avoidedcosttbl2,ROUNDUP($H117,0),BY$2)-(INDEX(avoidedcosttbl2,ROUNDDOWN($H117,0),BY$2)))))*'Inputs Yr 2'!P117*'Inputs Yr 2'!Q117*'Inputs Yr 2'!U117,"")</f>
        <v/>
      </c>
      <c r="BZ117" s="193">
        <f t="shared" si="69"/>
        <v>0</v>
      </c>
      <c r="CA117" s="193">
        <f t="shared" si="70"/>
        <v>0</v>
      </c>
      <c r="CB117" s="195" t="str">
        <f>IFERROR(G117*(IF('Inputs Yr 2'!$AJ117=CB$4,'Inputs Yr 2'!$AK117,IF('Inputs Yr 2'!$AL117=CB$4,'Inputs Yr 2'!$AM117,IF('Inputs Yr 2'!$AN117=CB$4,'Inputs Yr 2'!$AO117,0))))*(INDEX(avoidedcosttbl2,$H117,CB$2)+(($H117-ROUNDDOWN($H117,0))*(INDEX(avoidedcosttbl2,ROUNDUP($H117,0),CB$2)-(INDEX(avoidedcosttbl2,ROUNDDOWN($H117,0),CB$2)))))*'Inputs Yr 2'!P117*'Inputs Yr 2'!Q117*'Inputs Yr 2'!U117,"")</f>
        <v/>
      </c>
      <c r="CC117" s="195" t="str">
        <f>IFERROR(H117*(IF('Inputs Yr 2'!$AJ117=CC$4,'Inputs Yr 2'!$AK117,IF('Inputs Yr 2'!$AL117=CC$4,'Inputs Yr 2'!$AM117,IF('Inputs Yr 2'!$AN117=CC$4,'Inputs Yr 2'!$AO117,0))))*(INDEX(avoidedcosttbl2,$H117,CC$2)+(($H117-ROUNDDOWN($H117,0))*(INDEX(avoidedcosttbl2,ROUNDUP($H117,0),CC$2)-(INDEX(avoidedcosttbl2,ROUNDDOWN($H117,0),CC$2)))))*'Inputs Yr 2'!Q117*'Inputs Yr 2'!R117*'Inputs Yr 2'!V117,"")</f>
        <v/>
      </c>
      <c r="CD117" s="195" t="str">
        <f>IFERROR(I117*(IF('Inputs Yr 2'!$AJ117=CD$4,'Inputs Yr 2'!$AK117,IF('Inputs Yr 2'!$AL117=CD$4,'Inputs Yr 2'!$AM117,IF('Inputs Yr 2'!$AN117=CD$4,'Inputs Yr 2'!$AO117,0))))*(INDEX(avoidedcosttbl2,$H117,CD$2)+(($H117-ROUNDDOWN($H117,0))*(INDEX(avoidedcosttbl2,ROUNDUP($H117,0),CD$2)-(INDEX(avoidedcosttbl2,ROUNDDOWN($H117,0),CD$2)))))*'Inputs Yr 2'!R117*'Inputs Yr 2'!S117*'Inputs Yr 2'!W117,"")</f>
        <v/>
      </c>
      <c r="CE117" s="213" t="str">
        <f t="shared" si="71"/>
        <v/>
      </c>
      <c r="CF117" s="213" t="str">
        <f t="shared" si="72"/>
        <v/>
      </c>
      <c r="CG117" s="213" t="str">
        <f t="shared" si="73"/>
        <v/>
      </c>
      <c r="CH117" s="698">
        <f t="shared" si="74"/>
        <v>0</v>
      </c>
      <c r="CI117" s="79" t="str">
        <f>IFERROR(($G117*'Inputs Yr 2'!$P117*'Inputs Yr 2'!$Q117*(((INDEX(avoidedcosttbl2,$H117,CI$2)+(($H117-ROUNDDOWN($H117,0))*(INDEX(avoidedcosttbl2,ROUNDUP($H117,0),CI$2)-INDEX(avoidedcosttbl2,ROUNDDOWN($H117,0),CI$2))))*'Inputs Yr 2'!AS117))),"")</f>
        <v/>
      </c>
      <c r="CJ117" s="504" t="str">
        <f>IFERROR($G117*'Inputs Yr 2'!AT117*'Inputs Yr 2'!$P117*'Inputs Yr 2'!$Q117/((1+realdiscrt1)^-0.5),"")</f>
        <v/>
      </c>
      <c r="CK117" s="79" t="str">
        <f>IFERROR((O117*1000*(((INDEX(avoidedcosttbl2,$H117,CK$2)+(($H117-ROUNDDOWN($H117,0))*(INDEX(avoidedcosttbl2,ROUNDUP($H117,0),CK$2)-INDEX(avoidedcosttbl2,ROUNDDOWN($H117,0),CK$2))))*'Inputs Yr 2'!AU117))),"")</f>
        <v/>
      </c>
      <c r="CL117" s="504" t="str">
        <f>IFERROR(O117*1000*'Inputs Yr 2'!AV117/((1+realdiscrt1)^-0.5),"")</f>
        <v/>
      </c>
      <c r="CM117" s="79" t="str">
        <f>IFERROR((AB117*'Inputs Yr 2'!AW117*(((INDEX(avoidedcosttbl2,$H117,CM$2)+(($H117-ROUNDDOWN($H117,0))*(INDEX(avoidedcosttbl2,ROUNDUP($H117,0),CM$2)-INDEX(avoidedcosttbl2,ROUNDDOWN($H117,0),CM$2)))))))*10,"")</f>
        <v/>
      </c>
      <c r="CN117" s="504">
        <f>IFERROR(10*AB117*'Inputs Yr 2'!AX117/((1+realdiscrt1)^-0.5),"")</f>
        <v>0</v>
      </c>
      <c r="CO117" s="505">
        <f t="shared" si="75"/>
        <v>0</v>
      </c>
      <c r="CP117" s="230">
        <f t="shared" si="76"/>
        <v>0</v>
      </c>
      <c r="CQ117" s="199">
        <f>ROUND(IFERROR(IF(LEFT($A117,1)="C",'Avoided Costs'!$K$13,'Avoided Costs'!$K$12)+1,""),4)</f>
        <v>1.0720000000000001</v>
      </c>
      <c r="CR117" s="199">
        <f>ROUND(IFERROR(IF(LEFT($A117,1)="C",'Avoided Costs'!$L$13,'Avoided Costs'!$L$12)+1,""),4)</f>
        <v>1.04</v>
      </c>
      <c r="CS117" s="199">
        <f>ROUND(IFERROR(IF(LEFT($A117,1)="C",'Avoided Costs'!$M$13,'Avoided Costs'!$M$12)+1,""),4)</f>
        <v>1.0720000000000001</v>
      </c>
      <c r="CT117" s="199">
        <f>ROUND(IFERROR(IF(LEFT($A117,1)="C",'Avoided Costs'!$N$13,'Avoided Costs'!$N$12)+1,""),4)</f>
        <v>1.04</v>
      </c>
      <c r="CU117" s="199">
        <f>ROUND(IFERROR(IF(LEFT($A117,1)="C",'Avoided Costs'!$O$13,'Avoided Costs'!$O$12)+1,""),4)</f>
        <v>1.1120000000000001</v>
      </c>
      <c r="CV117" s="199">
        <f>ROUND(IFERROR(IF(LEFT($A117,1)="C",'Avoided Costs'!$P$13,'Avoided Costs'!$P$12)+1,""),4)</f>
        <v>1.095</v>
      </c>
      <c r="CW117" s="199">
        <f>ROUND(IFERROR(IF(LEFT($A117,1)="C",'Avoided Costs'!$Q$13,'Avoided Costs'!$Q$12)+1,""),4)</f>
        <v>1.1120000000000001</v>
      </c>
      <c r="CX117" s="200">
        <f>ROUND(IFERROR(IF(LEFT($A117,1)="C",'Avoided Costs'!$R$13,'Avoided Costs'!$R$12)+1,""),4)</f>
        <v>1.1120000000000001</v>
      </c>
    </row>
    <row r="118" spans="1:102" ht="12.75" customHeight="1">
      <c r="A118" s="91" t="str">
        <f>IF('Inputs Yr 2'!$B118=0,"",'Inputs Yr 2'!A118)</f>
        <v>B - Low Income</v>
      </c>
      <c r="B118" s="91" t="str">
        <f>IF('Inputs Yr 2'!$B118=0,"",'Inputs Yr 2'!B118)</f>
        <v>B1 - Low-Income Whole House</v>
      </c>
      <c r="C118" s="91" t="str">
        <f>IF('Inputs Yr 2'!$B118=0,"",'Inputs Yr 2'!C118)</f>
        <v>B1a - Low-Income Single Family Retrofit</v>
      </c>
      <c r="D118" s="91" t="str">
        <f>IF('Inputs Yr 2'!$B118=0,"",'Inputs Yr 2'!E118)</f>
        <v>Custom/Future</v>
      </c>
      <c r="E118" s="93">
        <f>IF('Inputs Yr 2'!$B118=0,"",'Inputs Yr 2'!F118)</f>
        <v>0</v>
      </c>
      <c r="F118" s="93">
        <f>IF('Inputs Yr 2'!$B118=0,"",'Inputs Yr 2'!G118)</f>
        <v>0</v>
      </c>
      <c r="G118" s="95" t="str">
        <f>IF('Inputs Yr 2'!$H118&lt;&gt;0,('Inputs Yr 2'!H118),"")</f>
        <v/>
      </c>
      <c r="H118" s="94">
        <f>IFERROR('Inputs Yr 2'!I118,"")</f>
        <v>0</v>
      </c>
      <c r="I118" s="298" t="str">
        <f>IFERROR('Inputs Yr 2'!J118*'Inputs Yr 2'!P118*G118,"")</f>
        <v/>
      </c>
      <c r="J118" s="298" t="str">
        <f>IFERROR('Inputs Yr 2'!K118*G118,"")</f>
        <v/>
      </c>
      <c r="K118" s="298" t="str">
        <f t="shared" si="53"/>
        <v/>
      </c>
      <c r="L118" s="194" t="str">
        <f>IFERROR(('Inputs Yr 2'!W118*G118)/1000,"")</f>
        <v/>
      </c>
      <c r="M118" s="194" t="str">
        <f>IFERROR(L118*('Inputs Yr 2'!$Q118*'Inputs Yr 2'!$V118*'Inputs Yr 2'!$R118),"")</f>
        <v/>
      </c>
      <c r="N118" s="194" t="str">
        <f t="shared" si="54"/>
        <v/>
      </c>
      <c r="O118" s="194" t="str">
        <f>IFERROR(M118*'Inputs Yr 2'!P118,"")</f>
        <v/>
      </c>
      <c r="P118" s="194" t="str">
        <f t="shared" si="55"/>
        <v/>
      </c>
      <c r="Q118" s="194" t="str">
        <f>IFERROR($P118*'Inputs Yr 2'!AA118,"")</f>
        <v/>
      </c>
      <c r="R118" s="194" t="str">
        <f>IFERROR($P118*'Inputs Yr 2'!AB118,"")</f>
        <v/>
      </c>
      <c r="S118" s="194" t="str">
        <f>IFERROR($P118*'Inputs Yr 2'!AC118,"")</f>
        <v/>
      </c>
      <c r="T118" s="194" t="str">
        <f>IFERROR($P118*'Inputs Yr 2'!AD118,"")</f>
        <v/>
      </c>
      <c r="U118" s="194" t="str">
        <f>IFERROR(G118*'Inputs Yr 2'!$AE118*'Inputs Yr 2'!$P118*'Inputs Yr 2'!$Q118,"")</f>
        <v/>
      </c>
      <c r="V118" s="194" t="str">
        <f>IFERROR($G118*'Inputs Yr 2'!$AE118*'Inputs Yr 2'!$AG118*'Inputs Yr 2'!Q118*'Inputs Yr 2'!$S118,"")</f>
        <v/>
      </c>
      <c r="W118" s="194" t="str">
        <f>IFERROR($G118*'Inputs Yr 2'!$AE118*'Inputs Yr 2'!$AG118*'Inputs Yr 2'!P118*'Inputs Yr 2'!Q118*'Inputs Yr 2'!$S118,"")</f>
        <v/>
      </c>
      <c r="X118" s="194" t="str">
        <f>IFERROR($G118*'Inputs Yr 2'!$AE118*'Inputs Yr 2'!$AF118*'Inputs Yr 2'!Q118*'Inputs Yr 2'!$T118,"")</f>
        <v/>
      </c>
      <c r="Y118" s="194" t="str">
        <f>IFERROR($G118*'Inputs Yr 2'!$AE118*'Inputs Yr 2'!$AF118*'Inputs Yr 2'!P118*'Inputs Yr 2'!Q118*'Inputs Yr 2'!$T118,"")</f>
        <v/>
      </c>
      <c r="Z118" s="257">
        <f>IFERROR($G118*'Inputs Yr 2'!$Q118*'Inputs Yr 2'!$U118*(IF(IFERROR(SEARCH("NG", 'Inputs Yr 2'!$AJ118),0),'Inputs Yr 2'!$AK118,0)+IF(IFERROR(SEARCH("NG", 'Inputs Yr 2'!$AL118),0),'Inputs Yr 2'!$AM118,0)+IF(IFERROR(SEARCH("NG", 'Inputs Yr 2'!$AN118),0),'Inputs Yr 2'!$AO118,0)),0)</f>
        <v>0</v>
      </c>
      <c r="AA118" s="257">
        <f t="shared" si="56"/>
        <v>0</v>
      </c>
      <c r="AB118" s="257">
        <f>IFERROR(Z118*'Inputs Yr 2'!$P118,0)</f>
        <v>0</v>
      </c>
      <c r="AC118" s="257">
        <f t="shared" si="57"/>
        <v>0</v>
      </c>
      <c r="AD118" s="257">
        <f>IFERROR($G118*'Inputs Yr 2'!$Q118*'Inputs Yr 2'!$U118*(IF(IFERROR(SEARCH("Oil", 'Inputs Yr 2'!$AJ118), 0),'Inputs Yr 2'!$AK118,0)+IF(IFERROR(SEARCH("Oil", 'Inputs Yr 2'!$AL118), 0),'Inputs Yr 2'!$AM118,0)+IF(IFERROR(SEARCH("Oil", 'Inputs Yr 2'!$AN118), 0),'Inputs Yr 2'!$AO118,0)),0)</f>
        <v>0</v>
      </c>
      <c r="AE118" s="257">
        <f t="shared" si="58"/>
        <v>0</v>
      </c>
      <c r="AF118" s="257">
        <f>IFERROR(AD118*'Inputs Yr 2'!$P118,0)</f>
        <v>0</v>
      </c>
      <c r="AG118" s="257">
        <f t="shared" si="59"/>
        <v>0</v>
      </c>
      <c r="AH118" s="257">
        <f>IFERROR($G118*'Inputs Yr 2'!$Q118*'Inputs Yr 2'!$U118*(IF('Inputs Yr 2'!$AJ118=CD$4,'Inputs Yr 2'!$AK118,IF('Inputs Yr 2'!$AL118=CD$4,'Inputs Yr 2'!$AM118,IF('Inputs Yr 2'!$AN118=CD$4,'Inputs Yr 2'!$AO118,0)))),0)</f>
        <v>0</v>
      </c>
      <c r="AI118" s="257">
        <f t="shared" si="60"/>
        <v>0</v>
      </c>
      <c r="AJ118" s="257">
        <f>IFERROR(AH118*'Inputs Yr 2'!$P118,0)</f>
        <v>0</v>
      </c>
      <c r="AK118" s="257">
        <f t="shared" si="61"/>
        <v>0</v>
      </c>
      <c r="AL118" s="258">
        <f>IFERROR($G118*'Inputs Yr 2'!$P118*'Inputs Yr 2'!$Q118*'Inputs Yr 2'!AP118,0)</f>
        <v>0</v>
      </c>
      <c r="AM118" s="260">
        <f>IFERROR($G118*'Inputs Yr 2'!$P118*'Inputs Yr 2'!$Q118*'Inputs Yr 2'!AQ118,0)</f>
        <v>0</v>
      </c>
      <c r="AN118" s="258">
        <f>IFERROR($G118*'Inputs Yr 2'!$P118*'Inputs Yr 2'!$Q118*'Inputs Yr 2'!AR118,0)</f>
        <v>0</v>
      </c>
      <c r="AO118" s="257">
        <f t="shared" si="62"/>
        <v>0</v>
      </c>
      <c r="AP118" s="195" t="str">
        <f>IFERROR($CQ118*(INDEX(avoidedcosttbl2,$H118,AP$2)+(($H118-ROUNDDOWN($H118,0))*(INDEX(avoidedcosttbl2,ROUNDUP($H118,0),AP$2)-(INDEX(avoidedcosttbl2,ROUNDDOWN($H118,0),AP$2)))))*$O118*1000*'Inputs Yr 2'!AA118,"")</f>
        <v/>
      </c>
      <c r="AQ118" s="195" t="str">
        <f>IFERROR($CR118*(INDEX(avoidedcosttbl2,$H118,AQ$2)+(($H118-ROUNDDOWN($H118,0))*(INDEX(avoidedcosttbl2,ROUNDUP($H118,0),AQ$2)-(INDEX(avoidedcosttbl2,ROUNDDOWN($H118,0),AQ$2)))))*$O118*1000*'Inputs Yr 2'!AB118,"")</f>
        <v/>
      </c>
      <c r="AR118" s="195" t="str">
        <f>IFERROR($CS118*(INDEX(avoidedcosttbl2,$H118,AR$2)+(($H118-ROUNDDOWN($H118,0))*(INDEX(avoidedcosttbl2,ROUNDUP($H118,0),AR$2)-(INDEX(avoidedcosttbl2,ROUNDDOWN($H118,0),AR$2)))))*$O118*1000*'Inputs Yr 2'!AC118,"")</f>
        <v/>
      </c>
      <c r="AS118" s="195" t="str">
        <f>IFERROR($CT118*(INDEX(avoidedcosttbl2,$H118,AS$2)+(($H118-ROUNDDOWN($H118,0))*(INDEX(avoidedcosttbl2,ROUNDUP($H118,0),AS$2)-(INDEX(avoidedcosttbl2,ROUNDDOWN($H118,0),AS$2)))))*$O118*1000*'Inputs Yr 2'!AD118,"")</f>
        <v/>
      </c>
      <c r="AT118" s="196">
        <f t="shared" si="63"/>
        <v>0</v>
      </c>
      <c r="AU118" s="197" t="str">
        <f>IFERROR($CQ118*((INDEX(avoidedcosttbl2,$H118,AU$2))+(($H118-ROUNDDOWN($H118,0))*((INDEX(avoidedcosttbl2,ROUNDUP($H118,0),AU$2))-(INDEX(avoidedcosttbl2,ROUNDDOWN($H118,0),AU$2)))))*$O118*1000*'Inputs Yr 2'!AA118,"")</f>
        <v/>
      </c>
      <c r="AV118" s="197" t="str">
        <f>IFERROR($CR118*((INDEX(avoidedcosttbl2,$H118,AV$2))+(($H118-ROUNDDOWN($H118,0))*((INDEX(avoidedcosttbl2,ROUNDUP($H118,0),AV$2))-(INDEX(avoidedcosttbl2,ROUNDDOWN($H118,0),AV$2)))))*$O118*1000*'Inputs Yr 2'!AB118,"")</f>
        <v/>
      </c>
      <c r="AW118" s="197" t="str">
        <f>IFERROR($CS118*((INDEX(avoidedcosttbl2,$H118,AW$2))+(($H118-ROUNDDOWN($H118,0))*((INDEX(avoidedcosttbl2,ROUNDUP($H118,0),AW$2))-(INDEX(avoidedcosttbl2,ROUNDDOWN($H118,0),AW$2)))))*$O118*1000*'Inputs Yr 2'!AC118,"")</f>
        <v/>
      </c>
      <c r="AX118" s="197" t="str">
        <f>IFERROR($CT118*((INDEX(avoidedcosttbl2,$H118,AX$2))+(($H118-ROUNDDOWN($H118,0))*((INDEX(avoidedcosttbl2,ROUNDUP($H118,0),AX$2))-(INDEX(avoidedcosttbl2,ROUNDDOWN($H118,0),AX$2)))))*$O118*1000*'Inputs Yr 2'!AD118,"")</f>
        <v/>
      </c>
      <c r="AY118" s="197" t="str">
        <f>IFERROR(((INDEX(avoidedcosttbl2,$H118,AY$2))+(($H118-ROUNDDOWN($H118,0))*((INDEX(avoidedcosttbl2,ROUNDUP($H118,0),AY$2))-(INDEX(avoidedcosttbl2,ROUNDDOWN($H118,0),AY$2)))))*$O118*1000*('Inputs Yr 2'!AC118+'Inputs Yr 2'!AD118),"")</f>
        <v/>
      </c>
      <c r="AZ118" s="197" t="str">
        <f>IFERROR(((INDEX(avoidedcosttbl2,$H118,AZ$2))+(($H118-ROUNDDOWN($H118,0))*((INDEX(avoidedcosttbl2,ROUNDUP($H118,0),AZ$2))-(INDEX(avoidedcosttbl2,ROUNDDOWN($H118,0),AZ$2)))))*$O118*1000*('Inputs Yr 2'!AA118+'Inputs Yr 2'!AB118),"")</f>
        <v/>
      </c>
      <c r="BA118" s="198">
        <f t="shared" si="64"/>
        <v>0</v>
      </c>
      <c r="BB118" s="198">
        <f t="shared" si="65"/>
        <v>0</v>
      </c>
      <c r="BC118" s="195" t="str">
        <f t="shared" si="47"/>
        <v/>
      </c>
      <c r="BD118" s="195" t="str">
        <f t="shared" si="48"/>
        <v/>
      </c>
      <c r="BE118" s="195" t="str">
        <f t="shared" si="49"/>
        <v/>
      </c>
      <c r="BF118" s="195" t="str">
        <f t="shared" si="50"/>
        <v/>
      </c>
      <c r="BG118" s="195" t="str">
        <f t="shared" si="51"/>
        <v/>
      </c>
      <c r="BH118" s="196">
        <f t="shared" si="66"/>
        <v>0</v>
      </c>
      <c r="BI118" s="196">
        <f t="shared" si="67"/>
        <v>0</v>
      </c>
      <c r="BJ118" s="195" t="str">
        <f>IFERROR($G118*(IF('Inputs Yr 2'!$AJ118=BJ$4,'Inputs Yr 2'!$AK118,IF('Inputs Yr 2'!$AL118=BJ$4,'Inputs Yr 2'!$AM118,IF('Inputs Yr 2'!$AN118=BJ$4,'Inputs Yr 2'!$AO118,0))))*(INDEX(avoidedcosttbl2,$H118,BJ$2)+(($H118-ROUNDDOWN($H118,0))*(INDEX(avoidedcosttbl2,ROUNDUP($H118,0),BJ$2)-(INDEX(avoidedcosttbl2,ROUNDDOWN($H118,0),BJ$2)))))*'Inputs Yr 2'!P118*'Inputs Yr 2'!Q118*'Inputs Yr 2'!U118,"")</f>
        <v/>
      </c>
      <c r="BK118" s="195" t="str">
        <f>IFERROR($G118*(IF('Inputs Yr 2'!$AJ118=BK$4,'Inputs Yr 2'!$AK118,IF('Inputs Yr 2'!$AL118=BK$4,'Inputs Yr 2'!$AM118,IF('Inputs Yr 2'!$AN118=BK$4,'Inputs Yr 2'!$AO118,0))))*(INDEX(avoidedcosttbl2,$H118,BK$2)+(($H118-ROUNDDOWN($H118,0))*(INDEX(avoidedcosttbl2,ROUNDUP($H118,0),BK$2)-(INDEX(avoidedcosttbl2,ROUNDDOWN($H118,0),BK$2)))))*'Inputs Yr 2'!P118*'Inputs Yr 2'!Q118*'Inputs Yr 2'!U118,"")</f>
        <v/>
      </c>
      <c r="BL118" s="195" t="str">
        <f>IFERROR($G118*(IF('Inputs Yr 2'!$AJ118=BL$4,'Inputs Yr 2'!$AK118,IF('Inputs Yr 2'!$AL118=BL$4,'Inputs Yr 2'!$AM118,IF('Inputs Yr 2'!$AN118=BL$4,'Inputs Yr 2'!$AO118,0))))*(INDEX(avoidedcosttbl2,$H118,BL$2)+(($H118-ROUNDDOWN($H118,0))*(INDEX(avoidedcosttbl2,ROUNDUP($H118,0),BL$2)-(INDEX(avoidedcosttbl2,ROUNDDOWN($H118,0),BL$2)))))*'Inputs Yr 2'!P118*'Inputs Yr 2'!Q118*'Inputs Yr 2'!U118,"")</f>
        <v/>
      </c>
      <c r="BM118" s="195" t="str">
        <f>IFERROR($G118*(IF('Inputs Yr 2'!$AJ118=BM$4,'Inputs Yr 2'!$AK118,IF('Inputs Yr 2'!$AL118=BM$4,'Inputs Yr 2'!$AM118,IF('Inputs Yr 2'!$AN118=BM$4,'Inputs Yr 2'!$AO118,0))))*(INDEX(avoidedcosttbl2,$H118,BM$2)+(($H118-ROUNDDOWN($H118,0))*(INDEX(avoidedcosttbl2,ROUNDUP($H118,0),BM$2)-(INDEX(avoidedcosttbl2,ROUNDDOWN($H118,0),BM$2)))))*'Inputs Yr 2'!P118*'Inputs Yr 2'!Q118*'Inputs Yr 2'!U118,"")</f>
        <v/>
      </c>
      <c r="BN118" s="195" t="str">
        <f>IFERROR($G118*(IF('Inputs Yr 2'!$AJ118=BN$4,'Inputs Yr 2'!$AK118,IF('Inputs Yr 2'!$AL118=BN$4,'Inputs Yr 2'!$AM118,IF('Inputs Yr 2'!$AN118=BN$4,'Inputs Yr 2'!$AO118,0))))*(INDEX(avoidedcosttbl2,$H118,BN$2)+(($H118-ROUNDDOWN($H118,0))*(INDEX(avoidedcosttbl2,ROUNDUP($H118,0),BN$2)-(INDEX(avoidedcosttbl2,ROUNDDOWN($H118,0),BN$2)))))*'Inputs Yr 2'!P118*'Inputs Yr 2'!Q118*'Inputs Yr 2'!U118,"")</f>
        <v/>
      </c>
      <c r="BO118" s="195" t="str">
        <f>IFERROR($G118*(IF('Inputs Yr 2'!$AJ118=BO$4,'Inputs Yr 2'!$AK118,IF('Inputs Yr 2'!$AL118=BO$4,'Inputs Yr 2'!$AM118,IF('Inputs Yr 2'!$AN118=BO$4,'Inputs Yr 2'!$AO118,0))))*(INDEX(avoidedcosttbl2,$H118,BO$2)+(($H118-ROUNDDOWN($H118,0))*(INDEX(avoidedcosttbl2,ROUNDUP($H118,0),BO$2)-(INDEX(avoidedcosttbl2,ROUNDDOWN($H118,0),BO$2)))))*'Inputs Yr 2'!P118*'Inputs Yr 2'!Q118*'Inputs Yr 2'!U118,"")</f>
        <v/>
      </c>
      <c r="BP118" s="195" t="str">
        <f>IFERROR($G118*(IF('Inputs Yr 2'!$AJ118=BP$4,'Inputs Yr 2'!$AK118,IF('Inputs Yr 2'!$AL118=BP$4,'Inputs Yr 2'!$AM118,IF('Inputs Yr 2'!$AN118=BP$4,'Inputs Yr 2'!$AO118,0))))*(INDEX(avoidedcosttbl2,$H118,BP$2)+(($H118-ROUNDDOWN($H118,0))*(INDEX(avoidedcosttbl2,ROUNDUP($H118,0),BP$2)-(INDEX(avoidedcosttbl2,ROUNDDOWN($H118,0),BP$2)))))*'Inputs Yr 2'!P118*'Inputs Yr 2'!Q118*'Inputs Yr 2'!U118,"")</f>
        <v/>
      </c>
      <c r="BQ118" s="230">
        <f t="shared" si="68"/>
        <v>0</v>
      </c>
      <c r="BR118" s="197" t="str">
        <f t="shared" si="52"/>
        <v/>
      </c>
      <c r="BS118" s="197" t="str">
        <f>IFERROR(($G118*IF('Inputs Yr 2'!$AJ118=BM$4,'Inputs Yr 2'!$AK118,IF('Inputs Yr 2'!$AL118=BM$4,'Inputs Yr 2'!$AM118,IF('Inputs Yr 2'!$AN118=BM$4,'Inputs Yr 2'!$AO118,0))))*(INDEX(avoidedcosttbl2,$H118,BS$2)+(($H118-ROUNDDOWN($H118,0))*(INDEX(avoidedcosttbl2,ROUNDUP($H118,0),BS$2)-(INDEX(avoidedcosttbl2,ROUNDDOWN($H118,0),BS$2)))))*'Inputs Yr 2'!P118*'Inputs Yr 2'!Q118*'Inputs Yr 2'!U118,"")</f>
        <v/>
      </c>
      <c r="BT118" s="197" t="str">
        <f>IFERROR(($G118*IF('Inputs Yr 2'!$AJ118=BK$4,'Inputs Yr 2'!$AK118,IF('Inputs Yr 2'!$AL118=BK$4,'Inputs Yr 2'!$AM118,IF('Inputs Yr 2'!$AN118=BK$4,'Inputs Yr 2'!$AO118,0))))*(INDEX(avoidedcosttbl2,$H118,BT$2)+(($H118-ROUNDDOWN($H118,0))*(INDEX(avoidedcosttbl2,ROUNDUP($H118,0),BT$2)-(INDEX(avoidedcosttbl2,ROUNDDOWN($H118,0),BT$2)))))*'Inputs Yr 2'!P118*'Inputs Yr 2'!Q118*'Inputs Yr 2'!U118,"")</f>
        <v/>
      </c>
      <c r="BU118" s="197" t="str">
        <f>IFERROR(($G118*IF('Inputs Yr 2'!$AJ118=BL$4,'Inputs Yr 2'!$AK118,IF('Inputs Yr 2'!$AL118=BL$4,'Inputs Yr 2'!$AM118,IF('Inputs Yr 2'!$AN118=BL$4,'Inputs Yr 2'!$AO118,0))))*(INDEX(avoidedcosttbl2,$H118,BU$2)+(($H118-ROUNDDOWN($H118,0))*(INDEX(avoidedcosttbl2,ROUNDUP($H118,0),BU$2)-(INDEX(avoidedcosttbl2,ROUNDDOWN($H118,0),BU$2)))))*'Inputs Yr 2'!P118*'Inputs Yr 2'!Q118*'Inputs Yr 2'!U118,"")</f>
        <v/>
      </c>
      <c r="BV118" s="775" t="str">
        <f>IFERROR(($G118*IF('Inputs Yr 2'!$AJ118=BJ$4,'Inputs Yr 2'!$AK118,IF('Inputs Yr 2'!$AL118=BJ$4,'Inputs Yr 2'!$AM118,IF('Inputs Yr 2'!$AN118=BJ$4,'Inputs Yr 2'!$AO118,0))))*(INDEX(avoidedcosttbl2,$H118,BV$2)+(($H118-ROUNDDOWN($H118,0))*(INDEX(avoidedcosttbl2,ROUNDUP($H118,0),BV$2)-(INDEX(avoidedcosttbl2,ROUNDDOWN($H118,0),BV$2)))))*'Inputs Yr 2'!P118*'Inputs Yr 2'!Q118*'Inputs Yr 2'!U118,"")</f>
        <v/>
      </c>
      <c r="BW118" s="197" t="str">
        <f>IFERROR(($G118*IF('Inputs Yr 2'!$AJ118=BN$4,'Inputs Yr 2'!$AK118,IF('Inputs Yr 2'!$AL118=BN$4,'Inputs Yr 2'!$AM118,IF('Inputs Yr 2'!$AN118=BN$4,'Inputs Yr 2'!$AO118,0))))*(INDEX(avoidedcosttbl2,$H118,BW$2)+(($H118-ROUNDDOWN($H118,0))*(INDEX(avoidedcosttbl2,ROUNDUP($H118,0),BW$2)-(INDEX(avoidedcosttbl2,ROUNDDOWN($H118,0),BW$2)))))*'Inputs Yr 2'!P118*'Inputs Yr 2'!Q118*'Inputs Yr 2'!U118,"")</f>
        <v/>
      </c>
      <c r="BX118" s="197" t="str">
        <f>IFERROR(($G118*IF('Inputs Yr 2'!$AJ118=BO$4,'Inputs Yr 2'!$AK118,IF('Inputs Yr 2'!$AL118=BO$4,'Inputs Yr 2'!$AM118,IF('Inputs Yr 2'!$AN118=BO$4,'Inputs Yr 2'!$AO118,0))))*(INDEX(avoidedcosttbl2,$H118,BX$2)+(($H118-ROUNDDOWN($H118,0))*(INDEX(avoidedcosttbl2,ROUNDUP($H118,0),BX$2)-(INDEX(avoidedcosttbl2,ROUNDDOWN($H118,0),BX$2)))))*'Inputs Yr 2'!P118*'Inputs Yr 2'!Q118*'Inputs Yr 2'!U118,"")</f>
        <v/>
      </c>
      <c r="BY118" s="197" t="str">
        <f>IFERROR(($G118*IF('Inputs Yr 2'!$AJ118=BP$4,'Inputs Yr 2'!$AK118,IF('Inputs Yr 2'!$AL118=BP$4,'Inputs Yr 2'!$AM118,IF('Inputs Yr 2'!$AN118=BP$4,'Inputs Yr 2'!$AO118,0))))*(INDEX(avoidedcosttbl2,$H118,BY$2)+(($H118-ROUNDDOWN($H118,0))*(INDEX(avoidedcosttbl2,ROUNDUP($H118,0),BY$2)-(INDEX(avoidedcosttbl2,ROUNDDOWN($H118,0),BY$2)))))*'Inputs Yr 2'!P118*'Inputs Yr 2'!Q118*'Inputs Yr 2'!U118,"")</f>
        <v/>
      </c>
      <c r="BZ118" s="193">
        <f t="shared" si="69"/>
        <v>0</v>
      </c>
      <c r="CA118" s="193">
        <f t="shared" si="70"/>
        <v>0</v>
      </c>
      <c r="CB118" s="195" t="str">
        <f>IFERROR(G118*(IF('Inputs Yr 2'!$AJ118=CB$4,'Inputs Yr 2'!$AK118,IF('Inputs Yr 2'!$AL118=CB$4,'Inputs Yr 2'!$AM118,IF('Inputs Yr 2'!$AN118=CB$4,'Inputs Yr 2'!$AO118,0))))*(INDEX(avoidedcosttbl2,$H118,CB$2)+(($H118-ROUNDDOWN($H118,0))*(INDEX(avoidedcosttbl2,ROUNDUP($H118,0),CB$2)-(INDEX(avoidedcosttbl2,ROUNDDOWN($H118,0),CB$2)))))*'Inputs Yr 2'!P118*'Inputs Yr 2'!Q118*'Inputs Yr 2'!U118,"")</f>
        <v/>
      </c>
      <c r="CC118" s="195" t="str">
        <f>IFERROR(H118*(IF('Inputs Yr 2'!$AJ118=CC$4,'Inputs Yr 2'!$AK118,IF('Inputs Yr 2'!$AL118=CC$4,'Inputs Yr 2'!$AM118,IF('Inputs Yr 2'!$AN118=CC$4,'Inputs Yr 2'!$AO118,0))))*(INDEX(avoidedcosttbl2,$H118,CC$2)+(($H118-ROUNDDOWN($H118,0))*(INDEX(avoidedcosttbl2,ROUNDUP($H118,0),CC$2)-(INDEX(avoidedcosttbl2,ROUNDDOWN($H118,0),CC$2)))))*'Inputs Yr 2'!Q118*'Inputs Yr 2'!R118*'Inputs Yr 2'!V118,"")</f>
        <v/>
      </c>
      <c r="CD118" s="195" t="str">
        <f>IFERROR(I118*(IF('Inputs Yr 2'!$AJ118=CD$4,'Inputs Yr 2'!$AK118,IF('Inputs Yr 2'!$AL118=CD$4,'Inputs Yr 2'!$AM118,IF('Inputs Yr 2'!$AN118=CD$4,'Inputs Yr 2'!$AO118,0))))*(INDEX(avoidedcosttbl2,$H118,CD$2)+(($H118-ROUNDDOWN($H118,0))*(INDEX(avoidedcosttbl2,ROUNDUP($H118,0),CD$2)-(INDEX(avoidedcosttbl2,ROUNDDOWN($H118,0),CD$2)))))*'Inputs Yr 2'!R118*'Inputs Yr 2'!S118*'Inputs Yr 2'!W118,"")</f>
        <v/>
      </c>
      <c r="CE118" s="213" t="str">
        <f t="shared" si="71"/>
        <v/>
      </c>
      <c r="CF118" s="213" t="str">
        <f t="shared" si="72"/>
        <v/>
      </c>
      <c r="CG118" s="213" t="str">
        <f t="shared" si="73"/>
        <v/>
      </c>
      <c r="CH118" s="698">
        <f t="shared" si="74"/>
        <v>0</v>
      </c>
      <c r="CI118" s="79" t="str">
        <f>IFERROR(($G118*'Inputs Yr 2'!$P118*'Inputs Yr 2'!$Q118*(((INDEX(avoidedcosttbl2,$H118,CI$2)+(($H118-ROUNDDOWN($H118,0))*(INDEX(avoidedcosttbl2,ROUNDUP($H118,0),CI$2)-INDEX(avoidedcosttbl2,ROUNDDOWN($H118,0),CI$2))))*'Inputs Yr 2'!AS118))),"")</f>
        <v/>
      </c>
      <c r="CJ118" s="504" t="str">
        <f>IFERROR($G118*'Inputs Yr 2'!AT118*'Inputs Yr 2'!$P118*'Inputs Yr 2'!$Q118/((1+realdiscrt1)^-0.5),"")</f>
        <v/>
      </c>
      <c r="CK118" s="79" t="str">
        <f>IFERROR((O118*1000*(((INDEX(avoidedcosttbl2,$H118,CK$2)+(($H118-ROUNDDOWN($H118,0))*(INDEX(avoidedcosttbl2,ROUNDUP($H118,0),CK$2)-INDEX(avoidedcosttbl2,ROUNDDOWN($H118,0),CK$2))))*'Inputs Yr 2'!AU118))),"")</f>
        <v/>
      </c>
      <c r="CL118" s="504" t="str">
        <f>IFERROR(O118*1000*'Inputs Yr 2'!AV118/((1+realdiscrt1)^-0.5),"")</f>
        <v/>
      </c>
      <c r="CM118" s="79" t="str">
        <f>IFERROR((AB118*'Inputs Yr 2'!AW118*(((INDEX(avoidedcosttbl2,$H118,CM$2)+(($H118-ROUNDDOWN($H118,0))*(INDEX(avoidedcosttbl2,ROUNDUP($H118,0),CM$2)-INDEX(avoidedcosttbl2,ROUNDDOWN($H118,0),CM$2)))))))*10,"")</f>
        <v/>
      </c>
      <c r="CN118" s="504">
        <f>IFERROR(10*AB118*'Inputs Yr 2'!AX118/((1+realdiscrt1)^-0.5),"")</f>
        <v>0</v>
      </c>
      <c r="CO118" s="505">
        <f t="shared" si="75"/>
        <v>0</v>
      </c>
      <c r="CP118" s="230">
        <f t="shared" si="76"/>
        <v>0</v>
      </c>
      <c r="CQ118" s="199">
        <f>ROUND(IFERROR(IF(LEFT($A118,1)="C",'Avoided Costs'!$K$13,'Avoided Costs'!$K$12)+1,""),4)</f>
        <v>1.0720000000000001</v>
      </c>
      <c r="CR118" s="199">
        <f>ROUND(IFERROR(IF(LEFT($A118,1)="C",'Avoided Costs'!$L$13,'Avoided Costs'!$L$12)+1,""),4)</f>
        <v>1.04</v>
      </c>
      <c r="CS118" s="199">
        <f>ROUND(IFERROR(IF(LEFT($A118,1)="C",'Avoided Costs'!$M$13,'Avoided Costs'!$M$12)+1,""),4)</f>
        <v>1.0720000000000001</v>
      </c>
      <c r="CT118" s="199">
        <f>ROUND(IFERROR(IF(LEFT($A118,1)="C",'Avoided Costs'!$N$13,'Avoided Costs'!$N$12)+1,""),4)</f>
        <v>1.04</v>
      </c>
      <c r="CU118" s="199">
        <f>ROUND(IFERROR(IF(LEFT($A118,1)="C",'Avoided Costs'!$O$13,'Avoided Costs'!$O$12)+1,""),4)</f>
        <v>1.1120000000000001</v>
      </c>
      <c r="CV118" s="199">
        <f>ROUND(IFERROR(IF(LEFT($A118,1)="C",'Avoided Costs'!$P$13,'Avoided Costs'!$P$12)+1,""),4)</f>
        <v>1.095</v>
      </c>
      <c r="CW118" s="199">
        <f>ROUND(IFERROR(IF(LEFT($A118,1)="C",'Avoided Costs'!$Q$13,'Avoided Costs'!$Q$12)+1,""),4)</f>
        <v>1.1120000000000001</v>
      </c>
      <c r="CX118" s="200">
        <f>ROUND(IFERROR(IF(LEFT($A118,1)="C",'Avoided Costs'!$R$13,'Avoided Costs'!$R$12)+1,""),4)</f>
        <v>1.1120000000000001</v>
      </c>
    </row>
    <row r="119" spans="1:102" ht="12.75" customHeight="1">
      <c r="A119" s="91" t="str">
        <f>IF('Inputs Yr 2'!$B119=0,"",'Inputs Yr 2'!A119)</f>
        <v>B - Low Income</v>
      </c>
      <c r="B119" s="91" t="str">
        <f>IF('Inputs Yr 2'!$B119=0,"",'Inputs Yr 2'!B119)</f>
        <v>B1 - Low-Income Whole House</v>
      </c>
      <c r="C119" s="91" t="str">
        <f>IF('Inputs Yr 2'!$B119=0,"",'Inputs Yr 2'!C119)</f>
        <v>B1a - Low-Income Single Family Retrofit</v>
      </c>
      <c r="D119" s="91" t="str">
        <f>IF('Inputs Yr 2'!$B119=0,"",'Inputs Yr 2'!E119)</f>
        <v>Custom/Future</v>
      </c>
      <c r="E119" s="93">
        <f>IF('Inputs Yr 2'!$B119=0,"",'Inputs Yr 2'!F119)</f>
        <v>0</v>
      </c>
      <c r="F119" s="93">
        <f>IF('Inputs Yr 2'!$B119=0,"",'Inputs Yr 2'!G119)</f>
        <v>0</v>
      </c>
      <c r="G119" s="95" t="str">
        <f>IF('Inputs Yr 2'!$H119&lt;&gt;0,('Inputs Yr 2'!H119),"")</f>
        <v/>
      </c>
      <c r="H119" s="94">
        <f>IFERROR('Inputs Yr 2'!I119,"")</f>
        <v>0</v>
      </c>
      <c r="I119" s="298" t="str">
        <f>IFERROR('Inputs Yr 2'!J119*'Inputs Yr 2'!P119*G119,"")</f>
        <v/>
      </c>
      <c r="J119" s="298" t="str">
        <f>IFERROR('Inputs Yr 2'!K119*G119,"")</f>
        <v/>
      </c>
      <c r="K119" s="298" t="str">
        <f t="shared" si="53"/>
        <v/>
      </c>
      <c r="L119" s="194" t="str">
        <f>IFERROR(('Inputs Yr 2'!W119*G119)/1000,"")</f>
        <v/>
      </c>
      <c r="M119" s="194" t="str">
        <f>IFERROR(L119*('Inputs Yr 2'!$Q119*'Inputs Yr 2'!$V119*'Inputs Yr 2'!$R119),"")</f>
        <v/>
      </c>
      <c r="N119" s="194" t="str">
        <f t="shared" si="54"/>
        <v/>
      </c>
      <c r="O119" s="194" t="str">
        <f>IFERROR(M119*'Inputs Yr 2'!P119,"")</f>
        <v/>
      </c>
      <c r="P119" s="194" t="str">
        <f t="shared" si="55"/>
        <v/>
      </c>
      <c r="Q119" s="194" t="str">
        <f>IFERROR($P119*'Inputs Yr 2'!AA119,"")</f>
        <v/>
      </c>
      <c r="R119" s="194" t="str">
        <f>IFERROR($P119*'Inputs Yr 2'!AB119,"")</f>
        <v/>
      </c>
      <c r="S119" s="194" t="str">
        <f>IFERROR($P119*'Inputs Yr 2'!AC119,"")</f>
        <v/>
      </c>
      <c r="T119" s="194" t="str">
        <f>IFERROR($P119*'Inputs Yr 2'!AD119,"")</f>
        <v/>
      </c>
      <c r="U119" s="194" t="str">
        <f>IFERROR(G119*'Inputs Yr 2'!$AE119*'Inputs Yr 2'!$P119*'Inputs Yr 2'!$Q119,"")</f>
        <v/>
      </c>
      <c r="V119" s="194" t="str">
        <f>IFERROR($G119*'Inputs Yr 2'!$AE119*'Inputs Yr 2'!$AG119*'Inputs Yr 2'!Q119*'Inputs Yr 2'!$S119,"")</f>
        <v/>
      </c>
      <c r="W119" s="194" t="str">
        <f>IFERROR($G119*'Inputs Yr 2'!$AE119*'Inputs Yr 2'!$AG119*'Inputs Yr 2'!P119*'Inputs Yr 2'!Q119*'Inputs Yr 2'!$S119,"")</f>
        <v/>
      </c>
      <c r="X119" s="194" t="str">
        <f>IFERROR($G119*'Inputs Yr 2'!$AE119*'Inputs Yr 2'!$AF119*'Inputs Yr 2'!Q119*'Inputs Yr 2'!$T119,"")</f>
        <v/>
      </c>
      <c r="Y119" s="194" t="str">
        <f>IFERROR($G119*'Inputs Yr 2'!$AE119*'Inputs Yr 2'!$AF119*'Inputs Yr 2'!P119*'Inputs Yr 2'!Q119*'Inputs Yr 2'!$T119,"")</f>
        <v/>
      </c>
      <c r="Z119" s="257">
        <f>IFERROR($G119*'Inputs Yr 2'!$Q119*'Inputs Yr 2'!$U119*(IF(IFERROR(SEARCH("NG", 'Inputs Yr 2'!$AJ119),0),'Inputs Yr 2'!$AK119,0)+IF(IFERROR(SEARCH("NG", 'Inputs Yr 2'!$AL119),0),'Inputs Yr 2'!$AM119,0)+IF(IFERROR(SEARCH("NG", 'Inputs Yr 2'!$AN119),0),'Inputs Yr 2'!$AO119,0)),0)</f>
        <v>0</v>
      </c>
      <c r="AA119" s="257">
        <f t="shared" si="56"/>
        <v>0</v>
      </c>
      <c r="AB119" s="257">
        <f>IFERROR(Z119*'Inputs Yr 2'!$P119,0)</f>
        <v>0</v>
      </c>
      <c r="AC119" s="257">
        <f t="shared" si="57"/>
        <v>0</v>
      </c>
      <c r="AD119" s="257">
        <f>IFERROR($G119*'Inputs Yr 2'!$Q119*'Inputs Yr 2'!$U119*(IF(IFERROR(SEARCH("Oil", 'Inputs Yr 2'!$AJ119), 0),'Inputs Yr 2'!$AK119,0)+IF(IFERROR(SEARCH("Oil", 'Inputs Yr 2'!$AL119), 0),'Inputs Yr 2'!$AM119,0)+IF(IFERROR(SEARCH("Oil", 'Inputs Yr 2'!$AN119), 0),'Inputs Yr 2'!$AO119,0)),0)</f>
        <v>0</v>
      </c>
      <c r="AE119" s="257">
        <f t="shared" si="58"/>
        <v>0</v>
      </c>
      <c r="AF119" s="257">
        <f>IFERROR(AD119*'Inputs Yr 2'!$P119,0)</f>
        <v>0</v>
      </c>
      <c r="AG119" s="257">
        <f t="shared" si="59"/>
        <v>0</v>
      </c>
      <c r="AH119" s="257">
        <f>IFERROR($G119*'Inputs Yr 2'!$Q119*'Inputs Yr 2'!$U119*(IF('Inputs Yr 2'!$AJ119=CD$4,'Inputs Yr 2'!$AK119,IF('Inputs Yr 2'!$AL119=CD$4,'Inputs Yr 2'!$AM119,IF('Inputs Yr 2'!$AN119=CD$4,'Inputs Yr 2'!$AO119,0)))),0)</f>
        <v>0</v>
      </c>
      <c r="AI119" s="257">
        <f t="shared" si="60"/>
        <v>0</v>
      </c>
      <c r="AJ119" s="257">
        <f>IFERROR(AH119*'Inputs Yr 2'!$P119,0)</f>
        <v>0</v>
      </c>
      <c r="AK119" s="257">
        <f t="shared" si="61"/>
        <v>0</v>
      </c>
      <c r="AL119" s="258">
        <f>IFERROR($G119*'Inputs Yr 2'!$P119*'Inputs Yr 2'!$Q119*'Inputs Yr 2'!AP119,0)</f>
        <v>0</v>
      </c>
      <c r="AM119" s="260">
        <f>IFERROR($G119*'Inputs Yr 2'!$P119*'Inputs Yr 2'!$Q119*'Inputs Yr 2'!AQ119,0)</f>
        <v>0</v>
      </c>
      <c r="AN119" s="258">
        <f>IFERROR($G119*'Inputs Yr 2'!$P119*'Inputs Yr 2'!$Q119*'Inputs Yr 2'!AR119,0)</f>
        <v>0</v>
      </c>
      <c r="AO119" s="257">
        <f t="shared" si="62"/>
        <v>0</v>
      </c>
      <c r="AP119" s="195" t="str">
        <f>IFERROR($CQ119*(INDEX(avoidedcosttbl2,$H119,AP$2)+(($H119-ROUNDDOWN($H119,0))*(INDEX(avoidedcosttbl2,ROUNDUP($H119,0),AP$2)-(INDEX(avoidedcosttbl2,ROUNDDOWN($H119,0),AP$2)))))*$O119*1000*'Inputs Yr 2'!AA119,"")</f>
        <v/>
      </c>
      <c r="AQ119" s="195" t="str">
        <f>IFERROR($CR119*(INDEX(avoidedcosttbl2,$H119,AQ$2)+(($H119-ROUNDDOWN($H119,0))*(INDEX(avoidedcosttbl2,ROUNDUP($H119,0),AQ$2)-(INDEX(avoidedcosttbl2,ROUNDDOWN($H119,0),AQ$2)))))*$O119*1000*'Inputs Yr 2'!AB119,"")</f>
        <v/>
      </c>
      <c r="AR119" s="195" t="str">
        <f>IFERROR($CS119*(INDEX(avoidedcosttbl2,$H119,AR$2)+(($H119-ROUNDDOWN($H119,0))*(INDEX(avoidedcosttbl2,ROUNDUP($H119,0),AR$2)-(INDEX(avoidedcosttbl2,ROUNDDOWN($H119,0),AR$2)))))*$O119*1000*'Inputs Yr 2'!AC119,"")</f>
        <v/>
      </c>
      <c r="AS119" s="195" t="str">
        <f>IFERROR($CT119*(INDEX(avoidedcosttbl2,$H119,AS$2)+(($H119-ROUNDDOWN($H119,0))*(INDEX(avoidedcosttbl2,ROUNDUP($H119,0),AS$2)-(INDEX(avoidedcosttbl2,ROUNDDOWN($H119,0),AS$2)))))*$O119*1000*'Inputs Yr 2'!AD119,"")</f>
        <v/>
      </c>
      <c r="AT119" s="196">
        <f t="shared" si="63"/>
        <v>0</v>
      </c>
      <c r="AU119" s="197" t="str">
        <f>IFERROR($CQ119*((INDEX(avoidedcosttbl2,$H119,AU$2))+(($H119-ROUNDDOWN($H119,0))*((INDEX(avoidedcosttbl2,ROUNDUP($H119,0),AU$2))-(INDEX(avoidedcosttbl2,ROUNDDOWN($H119,0),AU$2)))))*$O119*1000*'Inputs Yr 2'!AA119,"")</f>
        <v/>
      </c>
      <c r="AV119" s="197" t="str">
        <f>IFERROR($CR119*((INDEX(avoidedcosttbl2,$H119,AV$2))+(($H119-ROUNDDOWN($H119,0))*((INDEX(avoidedcosttbl2,ROUNDUP($H119,0),AV$2))-(INDEX(avoidedcosttbl2,ROUNDDOWN($H119,0),AV$2)))))*$O119*1000*'Inputs Yr 2'!AB119,"")</f>
        <v/>
      </c>
      <c r="AW119" s="197" t="str">
        <f>IFERROR($CS119*((INDEX(avoidedcosttbl2,$H119,AW$2))+(($H119-ROUNDDOWN($H119,0))*((INDEX(avoidedcosttbl2,ROUNDUP($H119,0),AW$2))-(INDEX(avoidedcosttbl2,ROUNDDOWN($H119,0),AW$2)))))*$O119*1000*'Inputs Yr 2'!AC119,"")</f>
        <v/>
      </c>
      <c r="AX119" s="197" t="str">
        <f>IFERROR($CT119*((INDEX(avoidedcosttbl2,$H119,AX$2))+(($H119-ROUNDDOWN($H119,0))*((INDEX(avoidedcosttbl2,ROUNDUP($H119,0),AX$2))-(INDEX(avoidedcosttbl2,ROUNDDOWN($H119,0),AX$2)))))*$O119*1000*'Inputs Yr 2'!AD119,"")</f>
        <v/>
      </c>
      <c r="AY119" s="197" t="str">
        <f>IFERROR(((INDEX(avoidedcosttbl2,$H119,AY$2))+(($H119-ROUNDDOWN($H119,0))*((INDEX(avoidedcosttbl2,ROUNDUP($H119,0),AY$2))-(INDEX(avoidedcosttbl2,ROUNDDOWN($H119,0),AY$2)))))*$O119*1000*('Inputs Yr 2'!AC119+'Inputs Yr 2'!AD119),"")</f>
        <v/>
      </c>
      <c r="AZ119" s="197" t="str">
        <f>IFERROR(((INDEX(avoidedcosttbl2,$H119,AZ$2))+(($H119-ROUNDDOWN($H119,0))*((INDEX(avoidedcosttbl2,ROUNDUP($H119,0),AZ$2))-(INDEX(avoidedcosttbl2,ROUNDDOWN($H119,0),AZ$2)))))*$O119*1000*('Inputs Yr 2'!AA119+'Inputs Yr 2'!AB119),"")</f>
        <v/>
      </c>
      <c r="BA119" s="198">
        <f t="shared" si="64"/>
        <v>0</v>
      </c>
      <c r="BB119" s="198">
        <f t="shared" si="65"/>
        <v>0</v>
      </c>
      <c r="BC119" s="195" t="str">
        <f t="shared" si="47"/>
        <v/>
      </c>
      <c r="BD119" s="195" t="str">
        <f t="shared" si="48"/>
        <v/>
      </c>
      <c r="BE119" s="195" t="str">
        <f t="shared" si="49"/>
        <v/>
      </c>
      <c r="BF119" s="195" t="str">
        <f t="shared" si="50"/>
        <v/>
      </c>
      <c r="BG119" s="195" t="str">
        <f t="shared" si="51"/>
        <v/>
      </c>
      <c r="BH119" s="196">
        <f t="shared" si="66"/>
        <v>0</v>
      </c>
      <c r="BI119" s="196">
        <f t="shared" si="67"/>
        <v>0</v>
      </c>
      <c r="BJ119" s="195" t="str">
        <f>IFERROR($G119*(IF('Inputs Yr 2'!$AJ119=BJ$4,'Inputs Yr 2'!$AK119,IF('Inputs Yr 2'!$AL119=BJ$4,'Inputs Yr 2'!$AM119,IF('Inputs Yr 2'!$AN119=BJ$4,'Inputs Yr 2'!$AO119,0))))*(INDEX(avoidedcosttbl2,$H119,BJ$2)+(($H119-ROUNDDOWN($H119,0))*(INDEX(avoidedcosttbl2,ROUNDUP($H119,0),BJ$2)-(INDEX(avoidedcosttbl2,ROUNDDOWN($H119,0),BJ$2)))))*'Inputs Yr 2'!P119*'Inputs Yr 2'!Q119*'Inputs Yr 2'!U119,"")</f>
        <v/>
      </c>
      <c r="BK119" s="195" t="str">
        <f>IFERROR($G119*(IF('Inputs Yr 2'!$AJ119=BK$4,'Inputs Yr 2'!$AK119,IF('Inputs Yr 2'!$AL119=BK$4,'Inputs Yr 2'!$AM119,IF('Inputs Yr 2'!$AN119=BK$4,'Inputs Yr 2'!$AO119,0))))*(INDEX(avoidedcosttbl2,$H119,BK$2)+(($H119-ROUNDDOWN($H119,0))*(INDEX(avoidedcosttbl2,ROUNDUP($H119,0),BK$2)-(INDEX(avoidedcosttbl2,ROUNDDOWN($H119,0),BK$2)))))*'Inputs Yr 2'!P119*'Inputs Yr 2'!Q119*'Inputs Yr 2'!U119,"")</f>
        <v/>
      </c>
      <c r="BL119" s="195" t="str">
        <f>IFERROR($G119*(IF('Inputs Yr 2'!$AJ119=BL$4,'Inputs Yr 2'!$AK119,IF('Inputs Yr 2'!$AL119=BL$4,'Inputs Yr 2'!$AM119,IF('Inputs Yr 2'!$AN119=BL$4,'Inputs Yr 2'!$AO119,0))))*(INDEX(avoidedcosttbl2,$H119,BL$2)+(($H119-ROUNDDOWN($H119,0))*(INDEX(avoidedcosttbl2,ROUNDUP($H119,0),BL$2)-(INDEX(avoidedcosttbl2,ROUNDDOWN($H119,0),BL$2)))))*'Inputs Yr 2'!P119*'Inputs Yr 2'!Q119*'Inputs Yr 2'!U119,"")</f>
        <v/>
      </c>
      <c r="BM119" s="195" t="str">
        <f>IFERROR($G119*(IF('Inputs Yr 2'!$AJ119=BM$4,'Inputs Yr 2'!$AK119,IF('Inputs Yr 2'!$AL119=BM$4,'Inputs Yr 2'!$AM119,IF('Inputs Yr 2'!$AN119=BM$4,'Inputs Yr 2'!$AO119,0))))*(INDEX(avoidedcosttbl2,$H119,BM$2)+(($H119-ROUNDDOWN($H119,0))*(INDEX(avoidedcosttbl2,ROUNDUP($H119,0),BM$2)-(INDEX(avoidedcosttbl2,ROUNDDOWN($H119,0),BM$2)))))*'Inputs Yr 2'!P119*'Inputs Yr 2'!Q119*'Inputs Yr 2'!U119,"")</f>
        <v/>
      </c>
      <c r="BN119" s="195" t="str">
        <f>IFERROR($G119*(IF('Inputs Yr 2'!$AJ119=BN$4,'Inputs Yr 2'!$AK119,IF('Inputs Yr 2'!$AL119=BN$4,'Inputs Yr 2'!$AM119,IF('Inputs Yr 2'!$AN119=BN$4,'Inputs Yr 2'!$AO119,0))))*(INDEX(avoidedcosttbl2,$H119,BN$2)+(($H119-ROUNDDOWN($H119,0))*(INDEX(avoidedcosttbl2,ROUNDUP($H119,0),BN$2)-(INDEX(avoidedcosttbl2,ROUNDDOWN($H119,0),BN$2)))))*'Inputs Yr 2'!P119*'Inputs Yr 2'!Q119*'Inputs Yr 2'!U119,"")</f>
        <v/>
      </c>
      <c r="BO119" s="195" t="str">
        <f>IFERROR($G119*(IF('Inputs Yr 2'!$AJ119=BO$4,'Inputs Yr 2'!$AK119,IF('Inputs Yr 2'!$AL119=BO$4,'Inputs Yr 2'!$AM119,IF('Inputs Yr 2'!$AN119=BO$4,'Inputs Yr 2'!$AO119,0))))*(INDEX(avoidedcosttbl2,$H119,BO$2)+(($H119-ROUNDDOWN($H119,0))*(INDEX(avoidedcosttbl2,ROUNDUP($H119,0),BO$2)-(INDEX(avoidedcosttbl2,ROUNDDOWN($H119,0),BO$2)))))*'Inputs Yr 2'!P119*'Inputs Yr 2'!Q119*'Inputs Yr 2'!U119,"")</f>
        <v/>
      </c>
      <c r="BP119" s="195" t="str">
        <f>IFERROR($G119*(IF('Inputs Yr 2'!$AJ119=BP$4,'Inputs Yr 2'!$AK119,IF('Inputs Yr 2'!$AL119=BP$4,'Inputs Yr 2'!$AM119,IF('Inputs Yr 2'!$AN119=BP$4,'Inputs Yr 2'!$AO119,0))))*(INDEX(avoidedcosttbl2,$H119,BP$2)+(($H119-ROUNDDOWN($H119,0))*(INDEX(avoidedcosttbl2,ROUNDUP($H119,0),BP$2)-(INDEX(avoidedcosttbl2,ROUNDDOWN($H119,0),BP$2)))))*'Inputs Yr 2'!P119*'Inputs Yr 2'!Q119*'Inputs Yr 2'!U119,"")</f>
        <v/>
      </c>
      <c r="BQ119" s="230">
        <f t="shared" si="68"/>
        <v>0</v>
      </c>
      <c r="BR119" s="197" t="str">
        <f t="shared" si="52"/>
        <v/>
      </c>
      <c r="BS119" s="197" t="str">
        <f>IFERROR(($G119*IF('Inputs Yr 2'!$AJ119=BM$4,'Inputs Yr 2'!$AK119,IF('Inputs Yr 2'!$AL119=BM$4,'Inputs Yr 2'!$AM119,IF('Inputs Yr 2'!$AN119=BM$4,'Inputs Yr 2'!$AO119,0))))*(INDEX(avoidedcosttbl2,$H119,BS$2)+(($H119-ROUNDDOWN($H119,0))*(INDEX(avoidedcosttbl2,ROUNDUP($H119,0),BS$2)-(INDEX(avoidedcosttbl2,ROUNDDOWN($H119,0),BS$2)))))*'Inputs Yr 2'!P119*'Inputs Yr 2'!Q119*'Inputs Yr 2'!U119,"")</f>
        <v/>
      </c>
      <c r="BT119" s="197" t="str">
        <f>IFERROR(($G119*IF('Inputs Yr 2'!$AJ119=BK$4,'Inputs Yr 2'!$AK119,IF('Inputs Yr 2'!$AL119=BK$4,'Inputs Yr 2'!$AM119,IF('Inputs Yr 2'!$AN119=BK$4,'Inputs Yr 2'!$AO119,0))))*(INDEX(avoidedcosttbl2,$H119,BT$2)+(($H119-ROUNDDOWN($H119,0))*(INDEX(avoidedcosttbl2,ROUNDUP($H119,0),BT$2)-(INDEX(avoidedcosttbl2,ROUNDDOWN($H119,0),BT$2)))))*'Inputs Yr 2'!P119*'Inputs Yr 2'!Q119*'Inputs Yr 2'!U119,"")</f>
        <v/>
      </c>
      <c r="BU119" s="197" t="str">
        <f>IFERROR(($G119*IF('Inputs Yr 2'!$AJ119=BL$4,'Inputs Yr 2'!$AK119,IF('Inputs Yr 2'!$AL119=BL$4,'Inputs Yr 2'!$AM119,IF('Inputs Yr 2'!$AN119=BL$4,'Inputs Yr 2'!$AO119,0))))*(INDEX(avoidedcosttbl2,$H119,BU$2)+(($H119-ROUNDDOWN($H119,0))*(INDEX(avoidedcosttbl2,ROUNDUP($H119,0),BU$2)-(INDEX(avoidedcosttbl2,ROUNDDOWN($H119,0),BU$2)))))*'Inputs Yr 2'!P119*'Inputs Yr 2'!Q119*'Inputs Yr 2'!U119,"")</f>
        <v/>
      </c>
      <c r="BV119" s="775" t="str">
        <f>IFERROR(($G119*IF('Inputs Yr 2'!$AJ119=BJ$4,'Inputs Yr 2'!$AK119,IF('Inputs Yr 2'!$AL119=BJ$4,'Inputs Yr 2'!$AM119,IF('Inputs Yr 2'!$AN119=BJ$4,'Inputs Yr 2'!$AO119,0))))*(INDEX(avoidedcosttbl2,$H119,BV$2)+(($H119-ROUNDDOWN($H119,0))*(INDEX(avoidedcosttbl2,ROUNDUP($H119,0),BV$2)-(INDEX(avoidedcosttbl2,ROUNDDOWN($H119,0),BV$2)))))*'Inputs Yr 2'!P119*'Inputs Yr 2'!Q119*'Inputs Yr 2'!U119,"")</f>
        <v/>
      </c>
      <c r="BW119" s="197" t="str">
        <f>IFERROR(($G119*IF('Inputs Yr 2'!$AJ119=BN$4,'Inputs Yr 2'!$AK119,IF('Inputs Yr 2'!$AL119=BN$4,'Inputs Yr 2'!$AM119,IF('Inputs Yr 2'!$AN119=BN$4,'Inputs Yr 2'!$AO119,0))))*(INDEX(avoidedcosttbl2,$H119,BW$2)+(($H119-ROUNDDOWN($H119,0))*(INDEX(avoidedcosttbl2,ROUNDUP($H119,0),BW$2)-(INDEX(avoidedcosttbl2,ROUNDDOWN($H119,0),BW$2)))))*'Inputs Yr 2'!P119*'Inputs Yr 2'!Q119*'Inputs Yr 2'!U119,"")</f>
        <v/>
      </c>
      <c r="BX119" s="197" t="str">
        <f>IFERROR(($G119*IF('Inputs Yr 2'!$AJ119=BO$4,'Inputs Yr 2'!$AK119,IF('Inputs Yr 2'!$AL119=BO$4,'Inputs Yr 2'!$AM119,IF('Inputs Yr 2'!$AN119=BO$4,'Inputs Yr 2'!$AO119,0))))*(INDEX(avoidedcosttbl2,$H119,BX$2)+(($H119-ROUNDDOWN($H119,0))*(INDEX(avoidedcosttbl2,ROUNDUP($H119,0),BX$2)-(INDEX(avoidedcosttbl2,ROUNDDOWN($H119,0),BX$2)))))*'Inputs Yr 2'!P119*'Inputs Yr 2'!Q119*'Inputs Yr 2'!U119,"")</f>
        <v/>
      </c>
      <c r="BY119" s="197" t="str">
        <f>IFERROR(($G119*IF('Inputs Yr 2'!$AJ119=BP$4,'Inputs Yr 2'!$AK119,IF('Inputs Yr 2'!$AL119=BP$4,'Inputs Yr 2'!$AM119,IF('Inputs Yr 2'!$AN119=BP$4,'Inputs Yr 2'!$AO119,0))))*(INDEX(avoidedcosttbl2,$H119,BY$2)+(($H119-ROUNDDOWN($H119,0))*(INDEX(avoidedcosttbl2,ROUNDUP($H119,0),BY$2)-(INDEX(avoidedcosttbl2,ROUNDDOWN($H119,0),BY$2)))))*'Inputs Yr 2'!P119*'Inputs Yr 2'!Q119*'Inputs Yr 2'!U119,"")</f>
        <v/>
      </c>
      <c r="BZ119" s="193">
        <f t="shared" si="69"/>
        <v>0</v>
      </c>
      <c r="CA119" s="193">
        <f t="shared" si="70"/>
        <v>0</v>
      </c>
      <c r="CB119" s="195" t="str">
        <f>IFERROR(G119*(IF('Inputs Yr 2'!$AJ119=CB$4,'Inputs Yr 2'!$AK119,IF('Inputs Yr 2'!$AL119=CB$4,'Inputs Yr 2'!$AM119,IF('Inputs Yr 2'!$AN119=CB$4,'Inputs Yr 2'!$AO119,0))))*(INDEX(avoidedcosttbl2,$H119,CB$2)+(($H119-ROUNDDOWN($H119,0))*(INDEX(avoidedcosttbl2,ROUNDUP($H119,0),CB$2)-(INDEX(avoidedcosttbl2,ROUNDDOWN($H119,0),CB$2)))))*'Inputs Yr 2'!P119*'Inputs Yr 2'!Q119*'Inputs Yr 2'!U119,"")</f>
        <v/>
      </c>
      <c r="CC119" s="195" t="str">
        <f>IFERROR(H119*(IF('Inputs Yr 2'!$AJ119=CC$4,'Inputs Yr 2'!$AK119,IF('Inputs Yr 2'!$AL119=CC$4,'Inputs Yr 2'!$AM119,IF('Inputs Yr 2'!$AN119=CC$4,'Inputs Yr 2'!$AO119,0))))*(INDEX(avoidedcosttbl2,$H119,CC$2)+(($H119-ROUNDDOWN($H119,0))*(INDEX(avoidedcosttbl2,ROUNDUP($H119,0),CC$2)-(INDEX(avoidedcosttbl2,ROUNDDOWN($H119,0),CC$2)))))*'Inputs Yr 2'!Q119*'Inputs Yr 2'!R119*'Inputs Yr 2'!V119,"")</f>
        <v/>
      </c>
      <c r="CD119" s="195" t="str">
        <f>IFERROR(I119*(IF('Inputs Yr 2'!$AJ119=CD$4,'Inputs Yr 2'!$AK119,IF('Inputs Yr 2'!$AL119=CD$4,'Inputs Yr 2'!$AM119,IF('Inputs Yr 2'!$AN119=CD$4,'Inputs Yr 2'!$AO119,0))))*(INDEX(avoidedcosttbl2,$H119,CD$2)+(($H119-ROUNDDOWN($H119,0))*(INDEX(avoidedcosttbl2,ROUNDUP($H119,0),CD$2)-(INDEX(avoidedcosttbl2,ROUNDDOWN($H119,0),CD$2)))))*'Inputs Yr 2'!R119*'Inputs Yr 2'!S119*'Inputs Yr 2'!W119,"")</f>
        <v/>
      </c>
      <c r="CE119" s="213" t="str">
        <f t="shared" si="71"/>
        <v/>
      </c>
      <c r="CF119" s="213" t="str">
        <f t="shared" si="72"/>
        <v/>
      </c>
      <c r="CG119" s="213" t="str">
        <f t="shared" si="73"/>
        <v/>
      </c>
      <c r="CH119" s="698">
        <f t="shared" si="74"/>
        <v>0</v>
      </c>
      <c r="CI119" s="79" t="str">
        <f>IFERROR(($G119*'Inputs Yr 2'!$P119*'Inputs Yr 2'!$Q119*(((INDEX(avoidedcosttbl2,$H119,CI$2)+(($H119-ROUNDDOWN($H119,0))*(INDEX(avoidedcosttbl2,ROUNDUP($H119,0),CI$2)-INDEX(avoidedcosttbl2,ROUNDDOWN($H119,0),CI$2))))*'Inputs Yr 2'!AS119))),"")</f>
        <v/>
      </c>
      <c r="CJ119" s="504" t="str">
        <f>IFERROR($G119*'Inputs Yr 2'!AT119*'Inputs Yr 2'!$P119*'Inputs Yr 2'!$Q119/((1+realdiscrt1)^-0.5),"")</f>
        <v/>
      </c>
      <c r="CK119" s="79" t="str">
        <f>IFERROR((O119*1000*(((INDEX(avoidedcosttbl2,$H119,CK$2)+(($H119-ROUNDDOWN($H119,0))*(INDEX(avoidedcosttbl2,ROUNDUP($H119,0),CK$2)-INDEX(avoidedcosttbl2,ROUNDDOWN($H119,0),CK$2))))*'Inputs Yr 2'!AU119))),"")</f>
        <v/>
      </c>
      <c r="CL119" s="504" t="str">
        <f>IFERROR(O119*1000*'Inputs Yr 2'!AV119/((1+realdiscrt1)^-0.5),"")</f>
        <v/>
      </c>
      <c r="CM119" s="79" t="str">
        <f>IFERROR((AB119*'Inputs Yr 2'!AW119*(((INDEX(avoidedcosttbl2,$H119,CM$2)+(($H119-ROUNDDOWN($H119,0))*(INDEX(avoidedcosttbl2,ROUNDUP($H119,0),CM$2)-INDEX(avoidedcosttbl2,ROUNDDOWN($H119,0),CM$2)))))))*10,"")</f>
        <v/>
      </c>
      <c r="CN119" s="504">
        <f>IFERROR(10*AB119*'Inputs Yr 2'!AX119/((1+realdiscrt1)^-0.5),"")</f>
        <v>0</v>
      </c>
      <c r="CO119" s="505">
        <f t="shared" si="75"/>
        <v>0</v>
      </c>
      <c r="CP119" s="230">
        <f t="shared" si="76"/>
        <v>0</v>
      </c>
      <c r="CQ119" s="199">
        <f>ROUND(IFERROR(IF(LEFT($A119,1)="C",'Avoided Costs'!$K$13,'Avoided Costs'!$K$12)+1,""),4)</f>
        <v>1.0720000000000001</v>
      </c>
      <c r="CR119" s="199">
        <f>ROUND(IFERROR(IF(LEFT($A119,1)="C",'Avoided Costs'!$L$13,'Avoided Costs'!$L$12)+1,""),4)</f>
        <v>1.04</v>
      </c>
      <c r="CS119" s="199">
        <f>ROUND(IFERROR(IF(LEFT($A119,1)="C",'Avoided Costs'!$M$13,'Avoided Costs'!$M$12)+1,""),4)</f>
        <v>1.0720000000000001</v>
      </c>
      <c r="CT119" s="199">
        <f>ROUND(IFERROR(IF(LEFT($A119,1)="C",'Avoided Costs'!$N$13,'Avoided Costs'!$N$12)+1,""),4)</f>
        <v>1.04</v>
      </c>
      <c r="CU119" s="199">
        <f>ROUND(IFERROR(IF(LEFT($A119,1)="C",'Avoided Costs'!$O$13,'Avoided Costs'!$O$12)+1,""),4)</f>
        <v>1.1120000000000001</v>
      </c>
      <c r="CV119" s="199">
        <f>ROUND(IFERROR(IF(LEFT($A119,1)="C",'Avoided Costs'!$P$13,'Avoided Costs'!$P$12)+1,""),4)</f>
        <v>1.095</v>
      </c>
      <c r="CW119" s="199">
        <f>ROUND(IFERROR(IF(LEFT($A119,1)="C",'Avoided Costs'!$Q$13,'Avoided Costs'!$Q$12)+1,""),4)</f>
        <v>1.1120000000000001</v>
      </c>
      <c r="CX119" s="200">
        <f>ROUND(IFERROR(IF(LEFT($A119,1)="C",'Avoided Costs'!$R$13,'Avoided Costs'!$R$12)+1,""),4)</f>
        <v>1.1120000000000001</v>
      </c>
    </row>
    <row r="120" spans="1:102" ht="12.75" customHeight="1">
      <c r="A120" s="91" t="str">
        <f>IF('Inputs Yr 2'!$B120=0,"",'Inputs Yr 2'!A120)</f>
        <v>B - Low Income</v>
      </c>
      <c r="B120" s="91" t="str">
        <f>IF('Inputs Yr 2'!$B120=0,"",'Inputs Yr 2'!B120)</f>
        <v>B1 - Low-Income Whole House</v>
      </c>
      <c r="C120" s="91" t="str">
        <f>IF('Inputs Yr 2'!$B120=0,"",'Inputs Yr 2'!C120)</f>
        <v>B1b - Low-Income Multi-Family Retrofit</v>
      </c>
      <c r="D120" s="91" t="str">
        <f>IF('Inputs Yr 2'!$B120=0,"",'Inputs Yr 2'!E120)</f>
        <v>Participant</v>
      </c>
      <c r="E120" s="93" t="str">
        <f>IF('Inputs Yr 2'!$B120=0,"",'Inputs Yr 2'!F120)</f>
        <v>G16B1b01</v>
      </c>
      <c r="F120" s="93" t="str">
        <f>IF('Inputs Yr 2'!$B120=0,"",'Inputs Yr 2'!G120)</f>
        <v>Behavior</v>
      </c>
      <c r="G120" s="95" t="str">
        <f>IF('Inputs Yr 2'!$H120&lt;&gt;0,('Inputs Yr 2'!H120),"")</f>
        <v>5325</v>
      </c>
      <c r="H120" s="94">
        <f>IFERROR('Inputs Yr 2'!I120,"")</f>
        <v>5</v>
      </c>
      <c r="I120" s="298">
        <f>IFERROR('Inputs Yr 2'!J120*'Inputs Yr 2'!P120*G120,"")</f>
        <v>0</v>
      </c>
      <c r="J120" s="298">
        <f>IFERROR('Inputs Yr 2'!K120*G120,"")</f>
        <v>0</v>
      </c>
      <c r="K120" s="298">
        <f t="shared" si="53"/>
        <v>0</v>
      </c>
      <c r="L120" s="194">
        <f>IFERROR(('Inputs Yr 2'!W120*G120)/1000,"")</f>
        <v>0</v>
      </c>
      <c r="M120" s="194">
        <f>IFERROR(L120*('Inputs Yr 2'!$Q120*'Inputs Yr 2'!$V120*'Inputs Yr 2'!$R120),"")</f>
        <v>0</v>
      </c>
      <c r="N120" s="194">
        <f t="shared" si="54"/>
        <v>0</v>
      </c>
      <c r="O120" s="194">
        <f>IFERROR(M120*'Inputs Yr 2'!P120,"")</f>
        <v>0</v>
      </c>
      <c r="P120" s="194">
        <f t="shared" si="55"/>
        <v>0</v>
      </c>
      <c r="Q120" s="194">
        <f>IFERROR($P120*'Inputs Yr 2'!AA120,"")</f>
        <v>0</v>
      </c>
      <c r="R120" s="194">
        <f>IFERROR($P120*'Inputs Yr 2'!AB120,"")</f>
        <v>0</v>
      </c>
      <c r="S120" s="194">
        <f>IFERROR($P120*'Inputs Yr 2'!AC120,"")</f>
        <v>0</v>
      </c>
      <c r="T120" s="194">
        <f>IFERROR($P120*'Inputs Yr 2'!AD120,"")</f>
        <v>0</v>
      </c>
      <c r="U120" s="194">
        <f>IFERROR(G120*'Inputs Yr 2'!$AE120*'Inputs Yr 2'!$P120*'Inputs Yr 2'!$Q120,"")</f>
        <v>0</v>
      </c>
      <c r="V120" s="194">
        <f>IFERROR($G120*'Inputs Yr 2'!$AE120*'Inputs Yr 2'!$AG120*'Inputs Yr 2'!Q120*'Inputs Yr 2'!$S120,"")</f>
        <v>0</v>
      </c>
      <c r="W120" s="194">
        <f>IFERROR($G120*'Inputs Yr 2'!$AE120*'Inputs Yr 2'!$AG120*'Inputs Yr 2'!P120*'Inputs Yr 2'!Q120*'Inputs Yr 2'!$S120,"")</f>
        <v>0</v>
      </c>
      <c r="X120" s="194">
        <f>IFERROR($G120*'Inputs Yr 2'!$AE120*'Inputs Yr 2'!$AF120*'Inputs Yr 2'!Q120*'Inputs Yr 2'!$T120,"")</f>
        <v>0</v>
      </c>
      <c r="Y120" s="194">
        <f>IFERROR($G120*'Inputs Yr 2'!$AE120*'Inputs Yr 2'!$AF120*'Inputs Yr 2'!P120*'Inputs Yr 2'!Q120*'Inputs Yr 2'!$T120,"")</f>
        <v>0</v>
      </c>
      <c r="Z120" s="257">
        <f>IFERROR($G120*'Inputs Yr 2'!$Q120*'Inputs Yr 2'!$U120*(IF(IFERROR(SEARCH("NG", 'Inputs Yr 2'!$AJ120),0),'Inputs Yr 2'!$AK120,0)+IF(IFERROR(SEARCH("NG", 'Inputs Yr 2'!$AL120),0),'Inputs Yr 2'!$AM120,0)+IF(IFERROR(SEARCH("NG", 'Inputs Yr 2'!$AN120),0),'Inputs Yr 2'!$AO120,0)),0)</f>
        <v>0</v>
      </c>
      <c r="AA120" s="257">
        <f t="shared" si="56"/>
        <v>0</v>
      </c>
      <c r="AB120" s="257">
        <f>IFERROR(Z120*'Inputs Yr 2'!$P120,0)</f>
        <v>0</v>
      </c>
      <c r="AC120" s="257">
        <f t="shared" si="57"/>
        <v>0</v>
      </c>
      <c r="AD120" s="257">
        <f>IFERROR($G120*'Inputs Yr 2'!$Q120*'Inputs Yr 2'!$U120*(IF(IFERROR(SEARCH("Oil", 'Inputs Yr 2'!$AJ120), 0),'Inputs Yr 2'!$AK120,0)+IF(IFERROR(SEARCH("Oil", 'Inputs Yr 2'!$AL120), 0),'Inputs Yr 2'!$AM120,0)+IF(IFERROR(SEARCH("Oil", 'Inputs Yr 2'!$AN120), 0),'Inputs Yr 2'!$AO120,0)),0)</f>
        <v>0</v>
      </c>
      <c r="AE120" s="257">
        <f t="shared" si="58"/>
        <v>0</v>
      </c>
      <c r="AF120" s="257">
        <f>IFERROR(AD120*'Inputs Yr 2'!$P120,0)</f>
        <v>0</v>
      </c>
      <c r="AG120" s="257">
        <f t="shared" si="59"/>
        <v>0</v>
      </c>
      <c r="AH120" s="257">
        <f>IFERROR($G120*'Inputs Yr 2'!$Q120*'Inputs Yr 2'!$U120*(IF('Inputs Yr 2'!$AJ120=CD$4,'Inputs Yr 2'!$AK120,IF('Inputs Yr 2'!$AL120=CD$4,'Inputs Yr 2'!$AM120,IF('Inputs Yr 2'!$AN120=CD$4,'Inputs Yr 2'!$AO120,0)))),0)</f>
        <v>0</v>
      </c>
      <c r="AI120" s="257">
        <f t="shared" si="60"/>
        <v>0</v>
      </c>
      <c r="AJ120" s="257">
        <f>IFERROR(AH120*'Inputs Yr 2'!$P120,0)</f>
        <v>0</v>
      </c>
      <c r="AK120" s="257">
        <f t="shared" si="61"/>
        <v>0</v>
      </c>
      <c r="AL120" s="258">
        <f>IFERROR($G120*'Inputs Yr 2'!$P120*'Inputs Yr 2'!$Q120*'Inputs Yr 2'!AP120,0)</f>
        <v>0</v>
      </c>
      <c r="AM120" s="260">
        <f>IFERROR($G120*'Inputs Yr 2'!$P120*'Inputs Yr 2'!$Q120*'Inputs Yr 2'!AQ120,0)</f>
        <v>0</v>
      </c>
      <c r="AN120" s="258">
        <f>IFERROR($G120*'Inputs Yr 2'!$P120*'Inputs Yr 2'!$Q120*'Inputs Yr 2'!AR120,0)</f>
        <v>0</v>
      </c>
      <c r="AO120" s="257">
        <f t="shared" si="62"/>
        <v>0</v>
      </c>
      <c r="AP120" s="195">
        <f>IFERROR($CQ120*(INDEX(avoidedcosttbl2,$H120,AP$2)+(($H120-ROUNDDOWN($H120,0))*(INDEX(avoidedcosttbl2,ROUNDUP($H120,0),AP$2)-(INDEX(avoidedcosttbl2,ROUNDDOWN($H120,0),AP$2)))))*$O120*1000*'Inputs Yr 2'!AA120,"")</f>
        <v>0</v>
      </c>
      <c r="AQ120" s="195">
        <f>IFERROR($CR120*(INDEX(avoidedcosttbl2,$H120,AQ$2)+(($H120-ROUNDDOWN($H120,0))*(INDEX(avoidedcosttbl2,ROUNDUP($H120,0),AQ$2)-(INDEX(avoidedcosttbl2,ROUNDDOWN($H120,0),AQ$2)))))*$O120*1000*'Inputs Yr 2'!AB120,"")</f>
        <v>0</v>
      </c>
      <c r="AR120" s="195">
        <f>IFERROR($CS120*(INDEX(avoidedcosttbl2,$H120,AR$2)+(($H120-ROUNDDOWN($H120,0))*(INDEX(avoidedcosttbl2,ROUNDUP($H120,0),AR$2)-(INDEX(avoidedcosttbl2,ROUNDDOWN($H120,0),AR$2)))))*$O120*1000*'Inputs Yr 2'!AC120,"")</f>
        <v>0</v>
      </c>
      <c r="AS120" s="195">
        <f>IFERROR($CT120*(INDEX(avoidedcosttbl2,$H120,AS$2)+(($H120-ROUNDDOWN($H120,0))*(INDEX(avoidedcosttbl2,ROUNDUP($H120,0),AS$2)-(INDEX(avoidedcosttbl2,ROUNDDOWN($H120,0),AS$2)))))*$O120*1000*'Inputs Yr 2'!AD120,"")</f>
        <v>0</v>
      </c>
      <c r="AT120" s="196">
        <f t="shared" si="63"/>
        <v>0</v>
      </c>
      <c r="AU120" s="197">
        <f>IFERROR($CQ120*((INDEX(avoidedcosttbl2,$H120,AU$2))+(($H120-ROUNDDOWN($H120,0))*((INDEX(avoidedcosttbl2,ROUNDUP($H120,0),AU$2))-(INDEX(avoidedcosttbl2,ROUNDDOWN($H120,0),AU$2)))))*$O120*1000*'Inputs Yr 2'!AA120,"")</f>
        <v>0</v>
      </c>
      <c r="AV120" s="197">
        <f>IFERROR($CR120*((INDEX(avoidedcosttbl2,$H120,AV$2))+(($H120-ROUNDDOWN($H120,0))*((INDEX(avoidedcosttbl2,ROUNDUP($H120,0),AV$2))-(INDEX(avoidedcosttbl2,ROUNDDOWN($H120,0),AV$2)))))*$O120*1000*'Inputs Yr 2'!AB120,"")</f>
        <v>0</v>
      </c>
      <c r="AW120" s="197">
        <f>IFERROR($CS120*((INDEX(avoidedcosttbl2,$H120,AW$2))+(($H120-ROUNDDOWN($H120,0))*((INDEX(avoidedcosttbl2,ROUNDUP($H120,0),AW$2))-(INDEX(avoidedcosttbl2,ROUNDDOWN($H120,0),AW$2)))))*$O120*1000*'Inputs Yr 2'!AC120,"")</f>
        <v>0</v>
      </c>
      <c r="AX120" s="197">
        <f>IFERROR($CT120*((INDEX(avoidedcosttbl2,$H120,AX$2))+(($H120-ROUNDDOWN($H120,0))*((INDEX(avoidedcosttbl2,ROUNDUP($H120,0),AX$2))-(INDEX(avoidedcosttbl2,ROUNDDOWN($H120,0),AX$2)))))*$O120*1000*'Inputs Yr 2'!AD120,"")</f>
        <v>0</v>
      </c>
      <c r="AY120" s="197">
        <f>IFERROR(((INDEX(avoidedcosttbl2,$H120,AY$2))+(($H120-ROUNDDOWN($H120,0))*((INDEX(avoidedcosttbl2,ROUNDUP($H120,0),AY$2))-(INDEX(avoidedcosttbl2,ROUNDDOWN($H120,0),AY$2)))))*$O120*1000*('Inputs Yr 2'!AC120+'Inputs Yr 2'!AD120),"")</f>
        <v>0</v>
      </c>
      <c r="AZ120" s="197">
        <f>IFERROR(((INDEX(avoidedcosttbl2,$H120,AZ$2))+(($H120-ROUNDDOWN($H120,0))*((INDEX(avoidedcosttbl2,ROUNDUP($H120,0),AZ$2))-(INDEX(avoidedcosttbl2,ROUNDDOWN($H120,0),AZ$2)))))*$O120*1000*('Inputs Yr 2'!AA120+'Inputs Yr 2'!AB120),"")</f>
        <v>0</v>
      </c>
      <c r="BA120" s="198">
        <f t="shared" si="64"/>
        <v>0</v>
      </c>
      <c r="BB120" s="198">
        <f t="shared" si="65"/>
        <v>0</v>
      </c>
      <c r="BC120" s="195">
        <f t="shared" si="47"/>
        <v>0</v>
      </c>
      <c r="BD120" s="195">
        <f t="shared" si="48"/>
        <v>0</v>
      </c>
      <c r="BE120" s="195">
        <f t="shared" si="49"/>
        <v>0</v>
      </c>
      <c r="BF120" s="195">
        <f t="shared" si="50"/>
        <v>0</v>
      </c>
      <c r="BG120" s="195">
        <f t="shared" si="51"/>
        <v>0</v>
      </c>
      <c r="BH120" s="196">
        <f t="shared" si="66"/>
        <v>0</v>
      </c>
      <c r="BI120" s="196">
        <f t="shared" si="67"/>
        <v>0</v>
      </c>
      <c r="BJ120" s="195">
        <f>IFERROR($G120*(IF('Inputs Yr 2'!$AJ120=BJ$4,'Inputs Yr 2'!$AK120,IF('Inputs Yr 2'!$AL120=BJ$4,'Inputs Yr 2'!$AM120,IF('Inputs Yr 2'!$AN120=BJ$4,'Inputs Yr 2'!$AO120,0))))*(INDEX(avoidedcosttbl2,$H120,BJ$2)+(($H120-ROUNDDOWN($H120,0))*(INDEX(avoidedcosttbl2,ROUNDUP($H120,0),BJ$2)-(INDEX(avoidedcosttbl2,ROUNDDOWN($H120,0),BJ$2)))))*'Inputs Yr 2'!P120*'Inputs Yr 2'!Q120*'Inputs Yr 2'!U120,"")</f>
        <v>0</v>
      </c>
      <c r="BK120" s="195">
        <f>IFERROR($G120*(IF('Inputs Yr 2'!$AJ120=BK$4,'Inputs Yr 2'!$AK120,IF('Inputs Yr 2'!$AL120=BK$4,'Inputs Yr 2'!$AM120,IF('Inputs Yr 2'!$AN120=BK$4,'Inputs Yr 2'!$AO120,0))))*(INDEX(avoidedcosttbl2,$H120,BK$2)+(($H120-ROUNDDOWN($H120,0))*(INDEX(avoidedcosttbl2,ROUNDUP($H120,0),BK$2)-(INDEX(avoidedcosttbl2,ROUNDDOWN($H120,0),BK$2)))))*'Inputs Yr 2'!P120*'Inputs Yr 2'!Q120*'Inputs Yr 2'!U120,"")</f>
        <v>0</v>
      </c>
      <c r="BL120" s="195">
        <f>IFERROR($G120*(IF('Inputs Yr 2'!$AJ120=BL$4,'Inputs Yr 2'!$AK120,IF('Inputs Yr 2'!$AL120=BL$4,'Inputs Yr 2'!$AM120,IF('Inputs Yr 2'!$AN120=BL$4,'Inputs Yr 2'!$AO120,0))))*(INDEX(avoidedcosttbl2,$H120,BL$2)+(($H120-ROUNDDOWN($H120,0))*(INDEX(avoidedcosttbl2,ROUNDUP($H120,0),BL$2)-(INDEX(avoidedcosttbl2,ROUNDDOWN($H120,0),BL$2)))))*'Inputs Yr 2'!P120*'Inputs Yr 2'!Q120*'Inputs Yr 2'!U120,"")</f>
        <v>0</v>
      </c>
      <c r="BM120" s="195">
        <f>IFERROR($G120*(IF('Inputs Yr 2'!$AJ120=BM$4,'Inputs Yr 2'!$AK120,IF('Inputs Yr 2'!$AL120=BM$4,'Inputs Yr 2'!$AM120,IF('Inputs Yr 2'!$AN120=BM$4,'Inputs Yr 2'!$AO120,0))))*(INDEX(avoidedcosttbl2,$H120,BM$2)+(($H120-ROUNDDOWN($H120,0))*(INDEX(avoidedcosttbl2,ROUNDUP($H120,0),BM$2)-(INDEX(avoidedcosttbl2,ROUNDDOWN($H120,0),BM$2)))))*'Inputs Yr 2'!P120*'Inputs Yr 2'!Q120*'Inputs Yr 2'!U120,"")</f>
        <v>0</v>
      </c>
      <c r="BN120" s="195">
        <f>IFERROR($G120*(IF('Inputs Yr 2'!$AJ120=BN$4,'Inputs Yr 2'!$AK120,IF('Inputs Yr 2'!$AL120=BN$4,'Inputs Yr 2'!$AM120,IF('Inputs Yr 2'!$AN120=BN$4,'Inputs Yr 2'!$AO120,0))))*(INDEX(avoidedcosttbl2,$H120,BN$2)+(($H120-ROUNDDOWN($H120,0))*(INDEX(avoidedcosttbl2,ROUNDUP($H120,0),BN$2)-(INDEX(avoidedcosttbl2,ROUNDDOWN($H120,0),BN$2)))))*'Inputs Yr 2'!P120*'Inputs Yr 2'!Q120*'Inputs Yr 2'!U120,"")</f>
        <v>0</v>
      </c>
      <c r="BO120" s="195">
        <f>IFERROR($G120*(IF('Inputs Yr 2'!$AJ120=BO$4,'Inputs Yr 2'!$AK120,IF('Inputs Yr 2'!$AL120=BO$4,'Inputs Yr 2'!$AM120,IF('Inputs Yr 2'!$AN120=BO$4,'Inputs Yr 2'!$AO120,0))))*(INDEX(avoidedcosttbl2,$H120,BO$2)+(($H120-ROUNDDOWN($H120,0))*(INDEX(avoidedcosttbl2,ROUNDUP($H120,0),BO$2)-(INDEX(avoidedcosttbl2,ROUNDDOWN($H120,0),BO$2)))))*'Inputs Yr 2'!P120*'Inputs Yr 2'!Q120*'Inputs Yr 2'!U120,"")</f>
        <v>0</v>
      </c>
      <c r="BP120" s="195">
        <f>IFERROR($G120*(IF('Inputs Yr 2'!$AJ120=BP$4,'Inputs Yr 2'!$AK120,IF('Inputs Yr 2'!$AL120=BP$4,'Inputs Yr 2'!$AM120,IF('Inputs Yr 2'!$AN120=BP$4,'Inputs Yr 2'!$AO120,0))))*(INDEX(avoidedcosttbl2,$H120,BP$2)+(($H120-ROUNDDOWN($H120,0))*(INDEX(avoidedcosttbl2,ROUNDUP($H120,0),BP$2)-(INDEX(avoidedcosttbl2,ROUNDDOWN($H120,0),BP$2)))))*'Inputs Yr 2'!P120*'Inputs Yr 2'!Q120*'Inputs Yr 2'!U120,"")</f>
        <v>0</v>
      </c>
      <c r="BQ120" s="230">
        <f t="shared" si="68"/>
        <v>0</v>
      </c>
      <c r="BR120" s="197">
        <f t="shared" si="52"/>
        <v>0</v>
      </c>
      <c r="BS120" s="197">
        <f>IFERROR(($G120*IF('Inputs Yr 2'!$AJ120=BM$4,'Inputs Yr 2'!$AK120,IF('Inputs Yr 2'!$AL120=BM$4,'Inputs Yr 2'!$AM120,IF('Inputs Yr 2'!$AN120=BM$4,'Inputs Yr 2'!$AO120,0))))*(INDEX(avoidedcosttbl2,$H120,BS$2)+(($H120-ROUNDDOWN($H120,0))*(INDEX(avoidedcosttbl2,ROUNDUP($H120,0),BS$2)-(INDEX(avoidedcosttbl2,ROUNDDOWN($H120,0),BS$2)))))*'Inputs Yr 2'!P120*'Inputs Yr 2'!Q120*'Inputs Yr 2'!U120,"")</f>
        <v>0</v>
      </c>
      <c r="BT120" s="197">
        <f>IFERROR(($G120*IF('Inputs Yr 2'!$AJ120=BK$4,'Inputs Yr 2'!$AK120,IF('Inputs Yr 2'!$AL120=BK$4,'Inputs Yr 2'!$AM120,IF('Inputs Yr 2'!$AN120=BK$4,'Inputs Yr 2'!$AO120,0))))*(INDEX(avoidedcosttbl2,$H120,BT$2)+(($H120-ROUNDDOWN($H120,0))*(INDEX(avoidedcosttbl2,ROUNDUP($H120,0),BT$2)-(INDEX(avoidedcosttbl2,ROUNDDOWN($H120,0),BT$2)))))*'Inputs Yr 2'!P120*'Inputs Yr 2'!Q120*'Inputs Yr 2'!U120,"")</f>
        <v>0</v>
      </c>
      <c r="BU120" s="197">
        <f>IFERROR(($G120*IF('Inputs Yr 2'!$AJ120=BL$4,'Inputs Yr 2'!$AK120,IF('Inputs Yr 2'!$AL120=BL$4,'Inputs Yr 2'!$AM120,IF('Inputs Yr 2'!$AN120=BL$4,'Inputs Yr 2'!$AO120,0))))*(INDEX(avoidedcosttbl2,$H120,BU$2)+(($H120-ROUNDDOWN($H120,0))*(INDEX(avoidedcosttbl2,ROUNDUP($H120,0),BU$2)-(INDEX(avoidedcosttbl2,ROUNDDOWN($H120,0),BU$2)))))*'Inputs Yr 2'!P120*'Inputs Yr 2'!Q120*'Inputs Yr 2'!U120,"")</f>
        <v>0</v>
      </c>
      <c r="BV120" s="775">
        <f>IFERROR(($G120*IF('Inputs Yr 2'!$AJ120=BJ$4,'Inputs Yr 2'!$AK120,IF('Inputs Yr 2'!$AL120=BJ$4,'Inputs Yr 2'!$AM120,IF('Inputs Yr 2'!$AN120=BJ$4,'Inputs Yr 2'!$AO120,0))))*(INDEX(avoidedcosttbl2,$H120,BV$2)+(($H120-ROUNDDOWN($H120,0))*(INDEX(avoidedcosttbl2,ROUNDUP($H120,0),BV$2)-(INDEX(avoidedcosttbl2,ROUNDDOWN($H120,0),BV$2)))))*'Inputs Yr 2'!P120*'Inputs Yr 2'!Q120*'Inputs Yr 2'!U120,"")</f>
        <v>0</v>
      </c>
      <c r="BW120" s="197">
        <f>IFERROR(($G120*IF('Inputs Yr 2'!$AJ120=BN$4,'Inputs Yr 2'!$AK120,IF('Inputs Yr 2'!$AL120=BN$4,'Inputs Yr 2'!$AM120,IF('Inputs Yr 2'!$AN120=BN$4,'Inputs Yr 2'!$AO120,0))))*(INDEX(avoidedcosttbl2,$H120,BW$2)+(($H120-ROUNDDOWN($H120,0))*(INDEX(avoidedcosttbl2,ROUNDUP($H120,0),BW$2)-(INDEX(avoidedcosttbl2,ROUNDDOWN($H120,0),BW$2)))))*'Inputs Yr 2'!P120*'Inputs Yr 2'!Q120*'Inputs Yr 2'!U120,"")</f>
        <v>0</v>
      </c>
      <c r="BX120" s="197">
        <f>IFERROR(($G120*IF('Inputs Yr 2'!$AJ120=BO$4,'Inputs Yr 2'!$AK120,IF('Inputs Yr 2'!$AL120=BO$4,'Inputs Yr 2'!$AM120,IF('Inputs Yr 2'!$AN120=BO$4,'Inputs Yr 2'!$AO120,0))))*(INDEX(avoidedcosttbl2,$H120,BX$2)+(($H120-ROUNDDOWN($H120,0))*(INDEX(avoidedcosttbl2,ROUNDUP($H120,0),BX$2)-(INDEX(avoidedcosttbl2,ROUNDDOWN($H120,0),BX$2)))))*'Inputs Yr 2'!P120*'Inputs Yr 2'!Q120*'Inputs Yr 2'!U120,"")</f>
        <v>0</v>
      </c>
      <c r="BY120" s="197">
        <f>IFERROR(($G120*IF('Inputs Yr 2'!$AJ120=BP$4,'Inputs Yr 2'!$AK120,IF('Inputs Yr 2'!$AL120=BP$4,'Inputs Yr 2'!$AM120,IF('Inputs Yr 2'!$AN120=BP$4,'Inputs Yr 2'!$AO120,0))))*(INDEX(avoidedcosttbl2,$H120,BY$2)+(($H120-ROUNDDOWN($H120,0))*(INDEX(avoidedcosttbl2,ROUNDUP($H120,0),BY$2)-(INDEX(avoidedcosttbl2,ROUNDDOWN($H120,0),BY$2)))))*'Inputs Yr 2'!P120*'Inputs Yr 2'!Q120*'Inputs Yr 2'!U120,"")</f>
        <v>0</v>
      </c>
      <c r="BZ120" s="193">
        <f t="shared" si="69"/>
        <v>0</v>
      </c>
      <c r="CA120" s="193">
        <f t="shared" si="70"/>
        <v>0</v>
      </c>
      <c r="CB120" s="195">
        <f>IFERROR(G120*(IF('Inputs Yr 2'!$AJ120=CB$4,'Inputs Yr 2'!$AK120,IF('Inputs Yr 2'!$AL120=CB$4,'Inputs Yr 2'!$AM120,IF('Inputs Yr 2'!$AN120=CB$4,'Inputs Yr 2'!$AO120,0))))*(INDEX(avoidedcosttbl2,$H120,CB$2)+(($H120-ROUNDDOWN($H120,0))*(INDEX(avoidedcosttbl2,ROUNDUP($H120,0),CB$2)-(INDEX(avoidedcosttbl2,ROUNDDOWN($H120,0),CB$2)))))*'Inputs Yr 2'!P120*'Inputs Yr 2'!Q120*'Inputs Yr 2'!U120,"")</f>
        <v>0</v>
      </c>
      <c r="CC120" s="195">
        <f>IFERROR(H120*(IF('Inputs Yr 2'!$AJ120=CC$4,'Inputs Yr 2'!$AK120,IF('Inputs Yr 2'!$AL120=CC$4,'Inputs Yr 2'!$AM120,IF('Inputs Yr 2'!$AN120=CC$4,'Inputs Yr 2'!$AO120,0))))*(INDEX(avoidedcosttbl2,$H120,CC$2)+(($H120-ROUNDDOWN($H120,0))*(INDEX(avoidedcosttbl2,ROUNDUP($H120,0),CC$2)-(INDEX(avoidedcosttbl2,ROUNDDOWN($H120,0),CC$2)))))*'Inputs Yr 2'!Q120*'Inputs Yr 2'!R120*'Inputs Yr 2'!V120,"")</f>
        <v>0</v>
      </c>
      <c r="CD120" s="195">
        <f>IFERROR(I120*(IF('Inputs Yr 2'!$AJ120=CD$4,'Inputs Yr 2'!$AK120,IF('Inputs Yr 2'!$AL120=CD$4,'Inputs Yr 2'!$AM120,IF('Inputs Yr 2'!$AN120=CD$4,'Inputs Yr 2'!$AO120,0))))*(INDEX(avoidedcosttbl2,$H120,CD$2)+(($H120-ROUNDDOWN($H120,0))*(INDEX(avoidedcosttbl2,ROUNDUP($H120,0),CD$2)-(INDEX(avoidedcosttbl2,ROUNDDOWN($H120,0),CD$2)))))*'Inputs Yr 2'!R120*'Inputs Yr 2'!S120*'Inputs Yr 2'!W120,"")</f>
        <v>0</v>
      </c>
      <c r="CE120" s="213">
        <f t="shared" si="71"/>
        <v>0</v>
      </c>
      <c r="CF120" s="213">
        <f t="shared" si="72"/>
        <v>0</v>
      </c>
      <c r="CG120" s="213">
        <f t="shared" si="73"/>
        <v>0</v>
      </c>
      <c r="CH120" s="698">
        <f t="shared" si="74"/>
        <v>0</v>
      </c>
      <c r="CI120" s="79">
        <f>IFERROR(($G120*'Inputs Yr 2'!$P120*'Inputs Yr 2'!$Q120*(((INDEX(avoidedcosttbl2,$H120,CI$2)+(($H120-ROUNDDOWN($H120,0))*(INDEX(avoidedcosttbl2,ROUNDUP($H120,0),CI$2)-INDEX(avoidedcosttbl2,ROUNDDOWN($H120,0),CI$2))))*'Inputs Yr 2'!AS120))),"")</f>
        <v>202778.52167617893</v>
      </c>
      <c r="CJ120" s="504">
        <f>IFERROR($G120*'Inputs Yr 2'!AT120*'Inputs Yr 2'!$P120*'Inputs Yr 2'!$Q120/((1+realdiscrt1)^-0.5),"")</f>
        <v>0</v>
      </c>
      <c r="CK120" s="79">
        <f>IFERROR((O120*1000*(((INDEX(avoidedcosttbl2,$H120,CK$2)+(($H120-ROUNDDOWN($H120,0))*(INDEX(avoidedcosttbl2,ROUNDUP($H120,0),CK$2)-INDEX(avoidedcosttbl2,ROUNDDOWN($H120,0),CK$2))))*'Inputs Yr 2'!AU120))),"")</f>
        <v>0</v>
      </c>
      <c r="CL120" s="504">
        <f>IFERROR(O120*1000*'Inputs Yr 2'!AV120/((1+realdiscrt1)^-0.5),"")</f>
        <v>0</v>
      </c>
      <c r="CM120" s="79">
        <f>IFERROR((AB120*'Inputs Yr 2'!AW120*(((INDEX(avoidedcosttbl2,$H120,CM$2)+(($H120-ROUNDDOWN($H120,0))*(INDEX(avoidedcosttbl2,ROUNDUP($H120,0),CM$2)-INDEX(avoidedcosttbl2,ROUNDDOWN($H120,0),CM$2)))))))*10,"")</f>
        <v>0</v>
      </c>
      <c r="CN120" s="504">
        <f>IFERROR(10*AB120*'Inputs Yr 2'!AX120/((1+realdiscrt1)^-0.5),"")</f>
        <v>0</v>
      </c>
      <c r="CO120" s="943">
        <f t="shared" si="75"/>
        <v>202778.52167617893</v>
      </c>
      <c r="CP120" s="230">
        <f t="shared" si="76"/>
        <v>202778.52167617893</v>
      </c>
      <c r="CQ120" s="199">
        <f>ROUND(IFERROR(IF(LEFT($A120,1)="C",'Avoided Costs'!$K$13,'Avoided Costs'!$K$12)+1,""),4)</f>
        <v>1.0720000000000001</v>
      </c>
      <c r="CR120" s="199">
        <f>ROUND(IFERROR(IF(LEFT($A120,1)="C",'Avoided Costs'!$L$13,'Avoided Costs'!$L$12)+1,""),4)</f>
        <v>1.04</v>
      </c>
      <c r="CS120" s="199">
        <f>ROUND(IFERROR(IF(LEFT($A120,1)="C",'Avoided Costs'!$M$13,'Avoided Costs'!$M$12)+1,""),4)</f>
        <v>1.0720000000000001</v>
      </c>
      <c r="CT120" s="199">
        <f>ROUND(IFERROR(IF(LEFT($A120,1)="C",'Avoided Costs'!$N$13,'Avoided Costs'!$N$12)+1,""),4)</f>
        <v>1.04</v>
      </c>
      <c r="CU120" s="199">
        <f>ROUND(IFERROR(IF(LEFT($A120,1)="C",'Avoided Costs'!$O$13,'Avoided Costs'!$O$12)+1,""),4)</f>
        <v>1.1120000000000001</v>
      </c>
      <c r="CV120" s="199">
        <f>ROUND(IFERROR(IF(LEFT($A120,1)="C",'Avoided Costs'!$P$13,'Avoided Costs'!$P$12)+1,""),4)</f>
        <v>1.095</v>
      </c>
      <c r="CW120" s="199">
        <f>ROUND(IFERROR(IF(LEFT($A120,1)="C",'Avoided Costs'!$Q$13,'Avoided Costs'!$Q$12)+1,""),4)</f>
        <v>1.1120000000000001</v>
      </c>
      <c r="CX120" s="200">
        <f>ROUND(IFERROR(IF(LEFT($A120,1)="C",'Avoided Costs'!$R$13,'Avoided Costs'!$R$12)+1,""),4)</f>
        <v>1.1120000000000001</v>
      </c>
    </row>
    <row r="121" spans="1:102" ht="12.75" customHeight="1">
      <c r="A121" s="91" t="str">
        <f>IF('Inputs Yr 2'!$B121=0,"",'Inputs Yr 2'!A121)</f>
        <v>B - Low Income</v>
      </c>
      <c r="B121" s="91" t="str">
        <f>IF('Inputs Yr 2'!$B121=0,"",'Inputs Yr 2'!B121)</f>
        <v>B1 - Low-Income Whole House</v>
      </c>
      <c r="C121" s="91" t="str">
        <f>IF('Inputs Yr 2'!$B121=0,"",'Inputs Yr 2'!C121)</f>
        <v>B1b - Low-Income Multi-Family Retrofit</v>
      </c>
      <c r="D121" s="91" t="str">
        <f>IF('Inputs Yr 2'!$B121=0,"",'Inputs Yr 2'!E121)</f>
        <v>Air Sealing, Gas</v>
      </c>
      <c r="E121" s="93" t="str">
        <f>IF('Inputs Yr 2'!$B121=0,"",'Inputs Yr 2'!F121)</f>
        <v>G16B1b02</v>
      </c>
      <c r="F121" s="93" t="str">
        <f>IF('Inputs Yr 2'!$B121=0,"",'Inputs Yr 2'!G121)</f>
        <v>Envelope</v>
      </c>
      <c r="G121" s="95">
        <f>IF('Inputs Yr 2'!$H121&lt;&gt;0,('Inputs Yr 2'!H121),"")</f>
        <v>3492</v>
      </c>
      <c r="H121" s="94">
        <f>IFERROR('Inputs Yr 2'!I121,"")</f>
        <v>15</v>
      </c>
      <c r="I121" s="298">
        <f>IFERROR('Inputs Yr 2'!J121*'Inputs Yr 2'!P121*G121,"")</f>
        <v>710219.35000000009</v>
      </c>
      <c r="J121" s="298">
        <f>IFERROR('Inputs Yr 2'!K121*G121,"")</f>
        <v>710219.35000000009</v>
      </c>
      <c r="K121" s="298">
        <f t="shared" si="53"/>
        <v>0</v>
      </c>
      <c r="L121" s="194">
        <f>IFERROR(('Inputs Yr 2'!W121*G121)/1000,"")</f>
        <v>0</v>
      </c>
      <c r="M121" s="194">
        <f>IFERROR(L121*('Inputs Yr 2'!$Q121*'Inputs Yr 2'!$V121*'Inputs Yr 2'!$R121),"")</f>
        <v>0</v>
      </c>
      <c r="N121" s="194">
        <f t="shared" si="54"/>
        <v>0</v>
      </c>
      <c r="O121" s="194">
        <f>IFERROR(M121*'Inputs Yr 2'!P121,"")</f>
        <v>0</v>
      </c>
      <c r="P121" s="194">
        <f t="shared" si="55"/>
        <v>0</v>
      </c>
      <c r="Q121" s="194">
        <f>IFERROR($P121*'Inputs Yr 2'!AA121,"")</f>
        <v>0</v>
      </c>
      <c r="R121" s="194">
        <f>IFERROR($P121*'Inputs Yr 2'!AB121,"")</f>
        <v>0</v>
      </c>
      <c r="S121" s="194">
        <f>IFERROR($P121*'Inputs Yr 2'!AC121,"")</f>
        <v>0</v>
      </c>
      <c r="T121" s="194">
        <f>IFERROR($P121*'Inputs Yr 2'!AD121,"")</f>
        <v>0</v>
      </c>
      <c r="U121" s="194">
        <f>IFERROR(G121*'Inputs Yr 2'!$AE121*'Inputs Yr 2'!$P121*'Inputs Yr 2'!$Q121,"")</f>
        <v>0</v>
      </c>
      <c r="V121" s="194">
        <f>IFERROR($G121*'Inputs Yr 2'!$AE121*'Inputs Yr 2'!$AG121*'Inputs Yr 2'!Q121*'Inputs Yr 2'!$S121,"")</f>
        <v>0</v>
      </c>
      <c r="W121" s="194">
        <f>IFERROR($G121*'Inputs Yr 2'!$AE121*'Inputs Yr 2'!$AG121*'Inputs Yr 2'!P121*'Inputs Yr 2'!Q121*'Inputs Yr 2'!$S121,"")</f>
        <v>0</v>
      </c>
      <c r="X121" s="194">
        <f>IFERROR($G121*'Inputs Yr 2'!$AE121*'Inputs Yr 2'!$AF121*'Inputs Yr 2'!Q121*'Inputs Yr 2'!$T121,"")</f>
        <v>0</v>
      </c>
      <c r="Y121" s="194">
        <f>IFERROR($G121*'Inputs Yr 2'!$AE121*'Inputs Yr 2'!$AF121*'Inputs Yr 2'!P121*'Inputs Yr 2'!Q121*'Inputs Yr 2'!$T121,"")</f>
        <v>0</v>
      </c>
      <c r="Z121" s="257">
        <f>IFERROR($G121*'Inputs Yr 2'!$Q121*'Inputs Yr 2'!$U121*(IF(IFERROR(SEARCH("NG", 'Inputs Yr 2'!$AJ121),0),'Inputs Yr 2'!$AK121,0)+IF(IFERROR(SEARCH("NG", 'Inputs Yr 2'!$AL121),0),'Inputs Yr 2'!$AM121,0)+IF(IFERROR(SEARCH("NG", 'Inputs Yr 2'!$AN121),0),'Inputs Yr 2'!$AO121,0)),0)</f>
        <v>10513.832315</v>
      </c>
      <c r="AA121" s="257">
        <f t="shared" si="56"/>
        <v>157707.48472499999</v>
      </c>
      <c r="AB121" s="257">
        <f>IFERROR(Z121*'Inputs Yr 2'!$P121,0)</f>
        <v>10513.832315</v>
      </c>
      <c r="AC121" s="257">
        <f t="shared" si="57"/>
        <v>157707.48472499999</v>
      </c>
      <c r="AD121" s="257">
        <f>IFERROR($G121*'Inputs Yr 2'!$Q121*'Inputs Yr 2'!$U121*(IF(IFERROR(SEARCH("Oil", 'Inputs Yr 2'!$AJ121), 0),'Inputs Yr 2'!$AK121,0)+IF(IFERROR(SEARCH("Oil", 'Inputs Yr 2'!$AL121), 0),'Inputs Yr 2'!$AM121,0)+IF(IFERROR(SEARCH("Oil", 'Inputs Yr 2'!$AN121), 0),'Inputs Yr 2'!$AO121,0)),0)</f>
        <v>0</v>
      </c>
      <c r="AE121" s="257">
        <f t="shared" si="58"/>
        <v>0</v>
      </c>
      <c r="AF121" s="257">
        <f>IFERROR(AD121*'Inputs Yr 2'!$P121,0)</f>
        <v>0</v>
      </c>
      <c r="AG121" s="257">
        <f t="shared" si="59"/>
        <v>0</v>
      </c>
      <c r="AH121" s="257">
        <f>IFERROR($G121*'Inputs Yr 2'!$Q121*'Inputs Yr 2'!$U121*(IF('Inputs Yr 2'!$AJ121=CD$4,'Inputs Yr 2'!$AK121,IF('Inputs Yr 2'!$AL121=CD$4,'Inputs Yr 2'!$AM121,IF('Inputs Yr 2'!$AN121=CD$4,'Inputs Yr 2'!$AO121,0)))),0)</f>
        <v>0</v>
      </c>
      <c r="AI121" s="257">
        <f t="shared" si="60"/>
        <v>0</v>
      </c>
      <c r="AJ121" s="257">
        <f>IFERROR(AH121*'Inputs Yr 2'!$P121,0)</f>
        <v>0</v>
      </c>
      <c r="AK121" s="257">
        <f t="shared" si="61"/>
        <v>0</v>
      </c>
      <c r="AL121" s="258">
        <f>IFERROR($G121*'Inputs Yr 2'!$P121*'Inputs Yr 2'!$Q121*'Inputs Yr 2'!AP121,0)</f>
        <v>0</v>
      </c>
      <c r="AM121" s="260">
        <f>IFERROR($G121*'Inputs Yr 2'!$P121*'Inputs Yr 2'!$Q121*'Inputs Yr 2'!AQ121,0)</f>
        <v>0</v>
      </c>
      <c r="AN121" s="258">
        <f>IFERROR($G121*'Inputs Yr 2'!$P121*'Inputs Yr 2'!$Q121*'Inputs Yr 2'!AR121,0)</f>
        <v>0</v>
      </c>
      <c r="AO121" s="257">
        <f t="shared" si="62"/>
        <v>0</v>
      </c>
      <c r="AP121" s="195">
        <f>IFERROR($CQ121*(INDEX(avoidedcosttbl2,$H121,AP$2)+(($H121-ROUNDDOWN($H121,0))*(INDEX(avoidedcosttbl2,ROUNDUP($H121,0),AP$2)-(INDEX(avoidedcosttbl2,ROUNDDOWN($H121,0),AP$2)))))*$O121*1000*'Inputs Yr 2'!AA121,"")</f>
        <v>0</v>
      </c>
      <c r="AQ121" s="195">
        <f>IFERROR($CR121*(INDEX(avoidedcosttbl2,$H121,AQ$2)+(($H121-ROUNDDOWN($H121,0))*(INDEX(avoidedcosttbl2,ROUNDUP($H121,0),AQ$2)-(INDEX(avoidedcosttbl2,ROUNDDOWN($H121,0),AQ$2)))))*$O121*1000*'Inputs Yr 2'!AB121,"")</f>
        <v>0</v>
      </c>
      <c r="AR121" s="195">
        <f>IFERROR($CS121*(INDEX(avoidedcosttbl2,$H121,AR$2)+(($H121-ROUNDDOWN($H121,0))*(INDEX(avoidedcosttbl2,ROUNDUP($H121,0),AR$2)-(INDEX(avoidedcosttbl2,ROUNDDOWN($H121,0),AR$2)))))*$O121*1000*'Inputs Yr 2'!AC121,"")</f>
        <v>0</v>
      </c>
      <c r="AS121" s="195">
        <f>IFERROR($CT121*(INDEX(avoidedcosttbl2,$H121,AS$2)+(($H121-ROUNDDOWN($H121,0))*(INDEX(avoidedcosttbl2,ROUNDUP($H121,0),AS$2)-(INDEX(avoidedcosttbl2,ROUNDDOWN($H121,0),AS$2)))))*$O121*1000*'Inputs Yr 2'!AD121,"")</f>
        <v>0</v>
      </c>
      <c r="AT121" s="196">
        <f t="shared" si="63"/>
        <v>0</v>
      </c>
      <c r="AU121" s="197">
        <f>IFERROR($CQ121*((INDEX(avoidedcosttbl2,$H121,AU$2))+(($H121-ROUNDDOWN($H121,0))*((INDEX(avoidedcosttbl2,ROUNDUP($H121,0),AU$2))-(INDEX(avoidedcosttbl2,ROUNDDOWN($H121,0),AU$2)))))*$O121*1000*'Inputs Yr 2'!AA121,"")</f>
        <v>0</v>
      </c>
      <c r="AV121" s="197">
        <f>IFERROR($CR121*((INDEX(avoidedcosttbl2,$H121,AV$2))+(($H121-ROUNDDOWN($H121,0))*((INDEX(avoidedcosttbl2,ROUNDUP($H121,0),AV$2))-(INDEX(avoidedcosttbl2,ROUNDDOWN($H121,0),AV$2)))))*$O121*1000*'Inputs Yr 2'!AB121,"")</f>
        <v>0</v>
      </c>
      <c r="AW121" s="197">
        <f>IFERROR($CS121*((INDEX(avoidedcosttbl2,$H121,AW$2))+(($H121-ROUNDDOWN($H121,0))*((INDEX(avoidedcosttbl2,ROUNDUP($H121,0),AW$2))-(INDEX(avoidedcosttbl2,ROUNDDOWN($H121,0),AW$2)))))*$O121*1000*'Inputs Yr 2'!AC121,"")</f>
        <v>0</v>
      </c>
      <c r="AX121" s="197">
        <f>IFERROR($CT121*((INDEX(avoidedcosttbl2,$H121,AX$2))+(($H121-ROUNDDOWN($H121,0))*((INDEX(avoidedcosttbl2,ROUNDUP($H121,0),AX$2))-(INDEX(avoidedcosttbl2,ROUNDDOWN($H121,0),AX$2)))))*$O121*1000*'Inputs Yr 2'!AD121,"")</f>
        <v>0</v>
      </c>
      <c r="AY121" s="197">
        <f>IFERROR(((INDEX(avoidedcosttbl2,$H121,AY$2))+(($H121-ROUNDDOWN($H121,0))*((INDEX(avoidedcosttbl2,ROUNDUP($H121,0),AY$2))-(INDEX(avoidedcosttbl2,ROUNDDOWN($H121,0),AY$2)))))*$O121*1000*('Inputs Yr 2'!AC121+'Inputs Yr 2'!AD121),"")</f>
        <v>0</v>
      </c>
      <c r="AZ121" s="197">
        <f>IFERROR(((INDEX(avoidedcosttbl2,$H121,AZ$2))+(($H121-ROUNDDOWN($H121,0))*((INDEX(avoidedcosttbl2,ROUNDUP($H121,0),AZ$2))-(INDEX(avoidedcosttbl2,ROUNDDOWN($H121,0),AZ$2)))))*$O121*1000*('Inputs Yr 2'!AA121+'Inputs Yr 2'!AB121),"")</f>
        <v>0</v>
      </c>
      <c r="BA121" s="198">
        <f t="shared" si="64"/>
        <v>0</v>
      </c>
      <c r="BB121" s="198">
        <f t="shared" si="65"/>
        <v>0</v>
      </c>
      <c r="BC121" s="195">
        <f t="shared" si="47"/>
        <v>0</v>
      </c>
      <c r="BD121" s="195">
        <f t="shared" si="48"/>
        <v>0</v>
      </c>
      <c r="BE121" s="195">
        <f t="shared" si="49"/>
        <v>0</v>
      </c>
      <c r="BF121" s="195">
        <f t="shared" si="50"/>
        <v>0</v>
      </c>
      <c r="BG121" s="195">
        <f t="shared" si="51"/>
        <v>0</v>
      </c>
      <c r="BH121" s="196">
        <f t="shared" si="66"/>
        <v>0</v>
      </c>
      <c r="BI121" s="196">
        <f t="shared" si="67"/>
        <v>0</v>
      </c>
      <c r="BJ121" s="195">
        <f>IFERROR($G121*(IF('Inputs Yr 2'!$AJ121=BJ$4,'Inputs Yr 2'!$AK121,IF('Inputs Yr 2'!$AL121=BJ$4,'Inputs Yr 2'!$AM121,IF('Inputs Yr 2'!$AN121=BJ$4,'Inputs Yr 2'!$AO121,0))))*(INDEX(avoidedcosttbl2,$H121,BJ$2)+(($H121-ROUNDDOWN($H121,0))*(INDEX(avoidedcosttbl2,ROUNDUP($H121,0),BJ$2)-(INDEX(avoidedcosttbl2,ROUNDDOWN($H121,0),BJ$2)))))*'Inputs Yr 2'!P121*'Inputs Yr 2'!Q121*'Inputs Yr 2'!U121,"")</f>
        <v>0</v>
      </c>
      <c r="BK121" s="195">
        <f>IFERROR($G121*(IF('Inputs Yr 2'!$AJ121=BK$4,'Inputs Yr 2'!$AK121,IF('Inputs Yr 2'!$AL121=BK$4,'Inputs Yr 2'!$AM121,IF('Inputs Yr 2'!$AN121=BK$4,'Inputs Yr 2'!$AO121,0))))*(INDEX(avoidedcosttbl2,$H121,BK$2)+(($H121-ROUNDDOWN($H121,0))*(INDEX(avoidedcosttbl2,ROUNDUP($H121,0),BK$2)-(INDEX(avoidedcosttbl2,ROUNDDOWN($H121,0),BK$2)))))*'Inputs Yr 2'!P121*'Inputs Yr 2'!Q121*'Inputs Yr 2'!U121,"")</f>
        <v>0</v>
      </c>
      <c r="BL121" s="195">
        <f>IFERROR($G121*(IF('Inputs Yr 2'!$AJ121=BL$4,'Inputs Yr 2'!$AK121,IF('Inputs Yr 2'!$AL121=BL$4,'Inputs Yr 2'!$AM121,IF('Inputs Yr 2'!$AN121=BL$4,'Inputs Yr 2'!$AO121,0))))*(INDEX(avoidedcosttbl2,$H121,BL$2)+(($H121-ROUNDDOWN($H121,0))*(INDEX(avoidedcosttbl2,ROUNDUP($H121,0),BL$2)-(INDEX(avoidedcosttbl2,ROUNDDOWN($H121,0),BL$2)))))*'Inputs Yr 2'!P121*'Inputs Yr 2'!Q121*'Inputs Yr 2'!U121,"")</f>
        <v>1329903.4131772746</v>
      </c>
      <c r="BM121" s="195">
        <f>IFERROR($G121*(IF('Inputs Yr 2'!$AJ121=BM$4,'Inputs Yr 2'!$AK121,IF('Inputs Yr 2'!$AL121=BM$4,'Inputs Yr 2'!$AM121,IF('Inputs Yr 2'!$AN121=BM$4,'Inputs Yr 2'!$AO121,0))))*(INDEX(avoidedcosttbl2,$H121,BM$2)+(($H121-ROUNDDOWN($H121,0))*(INDEX(avoidedcosttbl2,ROUNDUP($H121,0),BM$2)-(INDEX(avoidedcosttbl2,ROUNDDOWN($H121,0),BM$2)))))*'Inputs Yr 2'!P121*'Inputs Yr 2'!Q121*'Inputs Yr 2'!U121,"")</f>
        <v>0</v>
      </c>
      <c r="BN121" s="195">
        <f>IFERROR($G121*(IF('Inputs Yr 2'!$AJ121=BN$4,'Inputs Yr 2'!$AK121,IF('Inputs Yr 2'!$AL121=BN$4,'Inputs Yr 2'!$AM121,IF('Inputs Yr 2'!$AN121=BN$4,'Inputs Yr 2'!$AO121,0))))*(INDEX(avoidedcosttbl2,$H121,BN$2)+(($H121-ROUNDDOWN($H121,0))*(INDEX(avoidedcosttbl2,ROUNDUP($H121,0),BN$2)-(INDEX(avoidedcosttbl2,ROUNDDOWN($H121,0),BN$2)))))*'Inputs Yr 2'!P121*'Inputs Yr 2'!Q121*'Inputs Yr 2'!U121,"")</f>
        <v>0</v>
      </c>
      <c r="BO121" s="195">
        <f>IFERROR($G121*(IF('Inputs Yr 2'!$AJ121=BO$4,'Inputs Yr 2'!$AK121,IF('Inputs Yr 2'!$AL121=BO$4,'Inputs Yr 2'!$AM121,IF('Inputs Yr 2'!$AN121=BO$4,'Inputs Yr 2'!$AO121,0))))*(INDEX(avoidedcosttbl2,$H121,BO$2)+(($H121-ROUNDDOWN($H121,0))*(INDEX(avoidedcosttbl2,ROUNDUP($H121,0),BO$2)-(INDEX(avoidedcosttbl2,ROUNDDOWN($H121,0),BO$2)))))*'Inputs Yr 2'!P121*'Inputs Yr 2'!Q121*'Inputs Yr 2'!U121,"")</f>
        <v>0</v>
      </c>
      <c r="BP121" s="195">
        <f>IFERROR($G121*(IF('Inputs Yr 2'!$AJ121=BP$4,'Inputs Yr 2'!$AK121,IF('Inputs Yr 2'!$AL121=BP$4,'Inputs Yr 2'!$AM121,IF('Inputs Yr 2'!$AN121=BP$4,'Inputs Yr 2'!$AO121,0))))*(INDEX(avoidedcosttbl2,$H121,BP$2)+(($H121-ROUNDDOWN($H121,0))*(INDEX(avoidedcosttbl2,ROUNDUP($H121,0),BP$2)-(INDEX(avoidedcosttbl2,ROUNDDOWN($H121,0),BP$2)))))*'Inputs Yr 2'!P121*'Inputs Yr 2'!Q121*'Inputs Yr 2'!U121,"")</f>
        <v>0</v>
      </c>
      <c r="BQ121" s="230">
        <f t="shared" si="68"/>
        <v>1329903.4131772746</v>
      </c>
      <c r="BR121" s="197">
        <f t="shared" si="52"/>
        <v>21375.972885694795</v>
      </c>
      <c r="BS121" s="197">
        <f>IFERROR(($G121*IF('Inputs Yr 2'!$AJ121=BM$4,'Inputs Yr 2'!$AK121,IF('Inputs Yr 2'!$AL121=BM$4,'Inputs Yr 2'!$AM121,IF('Inputs Yr 2'!$AN121=BM$4,'Inputs Yr 2'!$AO121,0))))*(INDEX(avoidedcosttbl2,$H121,BS$2)+(($H121-ROUNDDOWN($H121,0))*(INDEX(avoidedcosttbl2,ROUNDUP($H121,0),BS$2)-(INDEX(avoidedcosttbl2,ROUNDDOWN($H121,0),BS$2)))))*'Inputs Yr 2'!P121*'Inputs Yr 2'!Q121*'Inputs Yr 2'!U121,"")</f>
        <v>0</v>
      </c>
      <c r="BT121" s="197">
        <f>IFERROR(($G121*IF('Inputs Yr 2'!$AJ121=BK$4,'Inputs Yr 2'!$AK121,IF('Inputs Yr 2'!$AL121=BK$4,'Inputs Yr 2'!$AM121,IF('Inputs Yr 2'!$AN121=BK$4,'Inputs Yr 2'!$AO121,0))))*(INDEX(avoidedcosttbl2,$H121,BT$2)+(($H121-ROUNDDOWN($H121,0))*(INDEX(avoidedcosttbl2,ROUNDUP($H121,0),BT$2)-(INDEX(avoidedcosttbl2,ROUNDDOWN($H121,0),BT$2)))))*'Inputs Yr 2'!P121*'Inputs Yr 2'!Q121*'Inputs Yr 2'!U121,"")</f>
        <v>0</v>
      </c>
      <c r="BU121" s="197">
        <f>IFERROR(($G121*IF('Inputs Yr 2'!$AJ121=BL$4,'Inputs Yr 2'!$AK121,IF('Inputs Yr 2'!$AL121=BL$4,'Inputs Yr 2'!$AM121,IF('Inputs Yr 2'!$AN121=BL$4,'Inputs Yr 2'!$AO121,0))))*(INDEX(avoidedcosttbl2,$H121,BU$2)+(($H121-ROUNDDOWN($H121,0))*(INDEX(avoidedcosttbl2,ROUNDUP($H121,0),BU$2)-(INDEX(avoidedcosttbl2,ROUNDDOWN($H121,0),BU$2)))))*'Inputs Yr 2'!P121*'Inputs Yr 2'!Q121*'Inputs Yr 2'!U121,"")</f>
        <v>81400.126480524748</v>
      </c>
      <c r="BV121" s="775">
        <f>IFERROR(($G121*IF('Inputs Yr 2'!$AJ121=BJ$4,'Inputs Yr 2'!$AK121,IF('Inputs Yr 2'!$AL121=BJ$4,'Inputs Yr 2'!$AM121,IF('Inputs Yr 2'!$AN121=BJ$4,'Inputs Yr 2'!$AO121,0))))*(INDEX(avoidedcosttbl2,$H121,BV$2)+(($H121-ROUNDDOWN($H121,0))*(INDEX(avoidedcosttbl2,ROUNDUP($H121,0),BV$2)-(INDEX(avoidedcosttbl2,ROUNDDOWN($H121,0),BV$2)))))*'Inputs Yr 2'!P121*'Inputs Yr 2'!Q121*'Inputs Yr 2'!U121,"")</f>
        <v>0</v>
      </c>
      <c r="BW121" s="197">
        <f>IFERROR(($G121*IF('Inputs Yr 2'!$AJ121=BN$4,'Inputs Yr 2'!$AK121,IF('Inputs Yr 2'!$AL121=BN$4,'Inputs Yr 2'!$AM121,IF('Inputs Yr 2'!$AN121=BN$4,'Inputs Yr 2'!$AO121,0))))*(INDEX(avoidedcosttbl2,$H121,BW$2)+(($H121-ROUNDDOWN($H121,0))*(INDEX(avoidedcosttbl2,ROUNDUP($H121,0),BW$2)-(INDEX(avoidedcosttbl2,ROUNDDOWN($H121,0),BW$2)))))*'Inputs Yr 2'!P121*'Inputs Yr 2'!Q121*'Inputs Yr 2'!U121,"")</f>
        <v>0</v>
      </c>
      <c r="BX121" s="197">
        <f>IFERROR(($G121*IF('Inputs Yr 2'!$AJ121=BO$4,'Inputs Yr 2'!$AK121,IF('Inputs Yr 2'!$AL121=BO$4,'Inputs Yr 2'!$AM121,IF('Inputs Yr 2'!$AN121=BO$4,'Inputs Yr 2'!$AO121,0))))*(INDEX(avoidedcosttbl2,$H121,BX$2)+(($H121-ROUNDDOWN($H121,0))*(INDEX(avoidedcosttbl2,ROUNDUP($H121,0),BX$2)-(INDEX(avoidedcosttbl2,ROUNDDOWN($H121,0),BX$2)))))*'Inputs Yr 2'!P121*'Inputs Yr 2'!Q121*'Inputs Yr 2'!U121,"")</f>
        <v>0</v>
      </c>
      <c r="BY121" s="197">
        <f>IFERROR(($G121*IF('Inputs Yr 2'!$AJ121=BP$4,'Inputs Yr 2'!$AK121,IF('Inputs Yr 2'!$AL121=BP$4,'Inputs Yr 2'!$AM121,IF('Inputs Yr 2'!$AN121=BP$4,'Inputs Yr 2'!$AO121,0))))*(INDEX(avoidedcosttbl2,$H121,BY$2)+(($H121-ROUNDDOWN($H121,0))*(INDEX(avoidedcosttbl2,ROUNDUP($H121,0),BY$2)-(INDEX(avoidedcosttbl2,ROUNDDOWN($H121,0),BY$2)))))*'Inputs Yr 2'!P121*'Inputs Yr 2'!Q121*'Inputs Yr 2'!U121,"")</f>
        <v>0</v>
      </c>
      <c r="BZ121" s="193">
        <f t="shared" si="69"/>
        <v>102776.09936621954</v>
      </c>
      <c r="CA121" s="193">
        <f t="shared" si="70"/>
        <v>1432679.5125434941</v>
      </c>
      <c r="CB121" s="195">
        <f>IFERROR(G121*(IF('Inputs Yr 2'!$AJ121=CB$4,'Inputs Yr 2'!$AK121,IF('Inputs Yr 2'!$AL121=CB$4,'Inputs Yr 2'!$AM121,IF('Inputs Yr 2'!$AN121=CB$4,'Inputs Yr 2'!$AO121,0))))*(INDEX(avoidedcosttbl2,$H121,CB$2)+(($H121-ROUNDDOWN($H121,0))*(INDEX(avoidedcosttbl2,ROUNDUP($H121,0),CB$2)-(INDEX(avoidedcosttbl2,ROUNDDOWN($H121,0),CB$2)))))*'Inputs Yr 2'!P121*'Inputs Yr 2'!Q121*'Inputs Yr 2'!U121,"")</f>
        <v>0</v>
      </c>
      <c r="CC121" s="195">
        <f>IFERROR(H121*(IF('Inputs Yr 2'!$AJ121=CC$4,'Inputs Yr 2'!$AK121,IF('Inputs Yr 2'!$AL121=CC$4,'Inputs Yr 2'!$AM121,IF('Inputs Yr 2'!$AN121=CC$4,'Inputs Yr 2'!$AO121,0))))*(INDEX(avoidedcosttbl2,$H121,CC$2)+(($H121-ROUNDDOWN($H121,0))*(INDEX(avoidedcosttbl2,ROUNDUP($H121,0),CC$2)-(INDEX(avoidedcosttbl2,ROUNDDOWN($H121,0),CC$2)))))*'Inputs Yr 2'!Q121*'Inputs Yr 2'!R121*'Inputs Yr 2'!V121,"")</f>
        <v>0</v>
      </c>
      <c r="CD121" s="195">
        <f>IFERROR(I121*(IF('Inputs Yr 2'!$AJ121=CD$4,'Inputs Yr 2'!$AK121,IF('Inputs Yr 2'!$AL121=CD$4,'Inputs Yr 2'!$AM121,IF('Inputs Yr 2'!$AN121=CD$4,'Inputs Yr 2'!$AO121,0))))*(INDEX(avoidedcosttbl2,$H121,CD$2)+(($H121-ROUNDDOWN($H121,0))*(INDEX(avoidedcosttbl2,ROUNDUP($H121,0),CD$2)-(INDEX(avoidedcosttbl2,ROUNDDOWN($H121,0),CD$2)))))*'Inputs Yr 2'!R121*'Inputs Yr 2'!S121*'Inputs Yr 2'!W121,"")</f>
        <v>0</v>
      </c>
      <c r="CE121" s="213">
        <f t="shared" si="71"/>
        <v>0</v>
      </c>
      <c r="CF121" s="213">
        <f t="shared" si="72"/>
        <v>0</v>
      </c>
      <c r="CG121" s="213">
        <f t="shared" si="73"/>
        <v>0</v>
      </c>
      <c r="CH121" s="698">
        <f t="shared" si="74"/>
        <v>1432679.5125434941</v>
      </c>
      <c r="CI121" s="79">
        <f>IFERROR(($G121*'Inputs Yr 2'!$P121*'Inputs Yr 2'!$Q121*(((INDEX(avoidedcosttbl2,$H121,CI$2)+(($H121-ROUNDDOWN($H121,0))*(INDEX(avoidedcosttbl2,ROUNDUP($H121,0),CI$2)-INDEX(avoidedcosttbl2,ROUNDDOWN($H121,0),CI$2))))*'Inputs Yr 2'!AS121))),"")</f>
        <v>2855506.1009762064</v>
      </c>
      <c r="CJ121" s="504">
        <f>IFERROR($G121*'Inputs Yr 2'!AT121*'Inputs Yr 2'!$P121*'Inputs Yr 2'!$Q121/((1+realdiscrt1)^-0.5),"")</f>
        <v>0</v>
      </c>
      <c r="CK121" s="79">
        <f>IFERROR((O121*1000*(((INDEX(avoidedcosttbl2,$H121,CK$2)+(($H121-ROUNDDOWN($H121,0))*(INDEX(avoidedcosttbl2,ROUNDUP($H121,0),CK$2)-INDEX(avoidedcosttbl2,ROUNDDOWN($H121,0),CK$2))))*'Inputs Yr 2'!AU121))),"")</f>
        <v>0</v>
      </c>
      <c r="CL121" s="504">
        <f>IFERROR(O121*1000*'Inputs Yr 2'!AV121/((1+realdiscrt1)^-0.5),"")</f>
        <v>0</v>
      </c>
      <c r="CM121" s="79">
        <f>IFERROR((AB121*'Inputs Yr 2'!AW121*(((INDEX(avoidedcosttbl2,$H121,CM$2)+(($H121-ROUNDDOWN($H121,0))*(INDEX(avoidedcosttbl2,ROUNDUP($H121,0),CM$2)-INDEX(avoidedcosttbl2,ROUNDDOWN($H121,0),CM$2)))))))*10,"")</f>
        <v>204519.60754182172</v>
      </c>
      <c r="CN121" s="504">
        <f>IFERROR(10*AB121*'Inputs Yr 2'!AX121/((1+realdiscrt1)^-0.5),"")</f>
        <v>8008.0723924151434</v>
      </c>
      <c r="CO121" s="505">
        <f t="shared" si="75"/>
        <v>3068033.7809104435</v>
      </c>
      <c r="CP121" s="230">
        <f t="shared" si="76"/>
        <v>4500713.2934539374</v>
      </c>
      <c r="CQ121" s="199">
        <f>ROUND(IFERROR(IF(LEFT($A121,1)="C",'Avoided Costs'!$K$13,'Avoided Costs'!$K$12)+1,""),4)</f>
        <v>1.0720000000000001</v>
      </c>
      <c r="CR121" s="199">
        <f>ROUND(IFERROR(IF(LEFT($A121,1)="C",'Avoided Costs'!$L$13,'Avoided Costs'!$L$12)+1,""),4)</f>
        <v>1.04</v>
      </c>
      <c r="CS121" s="199">
        <f>ROUND(IFERROR(IF(LEFT($A121,1)="C",'Avoided Costs'!$M$13,'Avoided Costs'!$M$12)+1,""),4)</f>
        <v>1.0720000000000001</v>
      </c>
      <c r="CT121" s="199">
        <f>ROUND(IFERROR(IF(LEFT($A121,1)="C",'Avoided Costs'!$N$13,'Avoided Costs'!$N$12)+1,""),4)</f>
        <v>1.04</v>
      </c>
      <c r="CU121" s="199">
        <f>ROUND(IFERROR(IF(LEFT($A121,1)="C",'Avoided Costs'!$O$13,'Avoided Costs'!$O$12)+1,""),4)</f>
        <v>1.1120000000000001</v>
      </c>
      <c r="CV121" s="199">
        <f>ROUND(IFERROR(IF(LEFT($A121,1)="C",'Avoided Costs'!$P$13,'Avoided Costs'!$P$12)+1,""),4)</f>
        <v>1.095</v>
      </c>
      <c r="CW121" s="199">
        <f>ROUND(IFERROR(IF(LEFT($A121,1)="C",'Avoided Costs'!$Q$13,'Avoided Costs'!$Q$12)+1,""),4)</f>
        <v>1.1120000000000001</v>
      </c>
      <c r="CX121" s="200">
        <f>ROUND(IFERROR(IF(LEFT($A121,1)="C",'Avoided Costs'!$R$13,'Avoided Costs'!$R$12)+1,""),4)</f>
        <v>1.1120000000000001</v>
      </c>
    </row>
    <row r="122" spans="1:102" ht="12.75" customHeight="1">
      <c r="A122" s="91" t="str">
        <f>IF('Inputs Yr 2'!$B122=0,"",'Inputs Yr 2'!A122)</f>
        <v>B - Low Income</v>
      </c>
      <c r="B122" s="91" t="str">
        <f>IF('Inputs Yr 2'!$B122=0,"",'Inputs Yr 2'!B122)</f>
        <v>B1 - Low-Income Whole House</v>
      </c>
      <c r="C122" s="91" t="str">
        <f>IF('Inputs Yr 2'!$B122=0,"",'Inputs Yr 2'!C122)</f>
        <v>B1b - Low-Income Multi-Family Retrofit</v>
      </c>
      <c r="D122" s="91" t="str">
        <f>IF('Inputs Yr 2'!$B122=0,"",'Inputs Yr 2'!E122)</f>
        <v>Insulation, Gas</v>
      </c>
      <c r="E122" s="93" t="str">
        <f>IF('Inputs Yr 2'!$B122=0,"",'Inputs Yr 2'!F122)</f>
        <v>G16B1b03</v>
      </c>
      <c r="F122" s="93" t="str">
        <f>IF('Inputs Yr 2'!$B122=0,"",'Inputs Yr 2'!G122)</f>
        <v>Envelope</v>
      </c>
      <c r="G122" s="95">
        <f>IF('Inputs Yr 2'!$H122&lt;&gt;0,('Inputs Yr 2'!H122),"")</f>
        <v>1992</v>
      </c>
      <c r="H122" s="94">
        <f>IFERROR('Inputs Yr 2'!I122,"")</f>
        <v>25</v>
      </c>
      <c r="I122" s="298">
        <f>IFERROR('Inputs Yr 2'!J122*'Inputs Yr 2'!P122*G122,"")</f>
        <v>2303976.9600000009</v>
      </c>
      <c r="J122" s="298">
        <f>IFERROR('Inputs Yr 2'!K122*G122,"")</f>
        <v>2303976.9600000009</v>
      </c>
      <c r="K122" s="298">
        <f t="shared" si="53"/>
        <v>0</v>
      </c>
      <c r="L122" s="194">
        <f>IFERROR(('Inputs Yr 2'!W122*G122)/1000,"")</f>
        <v>0</v>
      </c>
      <c r="M122" s="194">
        <f>IFERROR(L122*('Inputs Yr 2'!$Q122*'Inputs Yr 2'!$V122*'Inputs Yr 2'!$R122),"")</f>
        <v>0</v>
      </c>
      <c r="N122" s="194">
        <f t="shared" si="54"/>
        <v>0</v>
      </c>
      <c r="O122" s="194">
        <f>IFERROR(M122*'Inputs Yr 2'!P122,"")</f>
        <v>0</v>
      </c>
      <c r="P122" s="194">
        <f t="shared" si="55"/>
        <v>0</v>
      </c>
      <c r="Q122" s="194">
        <f>IFERROR($P122*'Inputs Yr 2'!AA122,"")</f>
        <v>0</v>
      </c>
      <c r="R122" s="194">
        <f>IFERROR($P122*'Inputs Yr 2'!AB122,"")</f>
        <v>0</v>
      </c>
      <c r="S122" s="194">
        <f>IFERROR($P122*'Inputs Yr 2'!AC122,"")</f>
        <v>0</v>
      </c>
      <c r="T122" s="194">
        <f>IFERROR($P122*'Inputs Yr 2'!AD122,"")</f>
        <v>0</v>
      </c>
      <c r="U122" s="194">
        <f>IFERROR(G122*'Inputs Yr 2'!$AE122*'Inputs Yr 2'!$P122*'Inputs Yr 2'!$Q122,"")</f>
        <v>0</v>
      </c>
      <c r="V122" s="194">
        <f>IFERROR($G122*'Inputs Yr 2'!$AE122*'Inputs Yr 2'!$AG122*'Inputs Yr 2'!Q122*'Inputs Yr 2'!$S122,"")</f>
        <v>0</v>
      </c>
      <c r="W122" s="194">
        <f>IFERROR($G122*'Inputs Yr 2'!$AE122*'Inputs Yr 2'!$AG122*'Inputs Yr 2'!P122*'Inputs Yr 2'!Q122*'Inputs Yr 2'!$S122,"")</f>
        <v>0</v>
      </c>
      <c r="X122" s="194">
        <f>IFERROR($G122*'Inputs Yr 2'!$AE122*'Inputs Yr 2'!$AF122*'Inputs Yr 2'!Q122*'Inputs Yr 2'!$T122,"")</f>
        <v>0</v>
      </c>
      <c r="Y122" s="194">
        <f>IFERROR($G122*'Inputs Yr 2'!$AE122*'Inputs Yr 2'!$AF122*'Inputs Yr 2'!P122*'Inputs Yr 2'!Q122*'Inputs Yr 2'!$T122,"")</f>
        <v>0</v>
      </c>
      <c r="Z122" s="257">
        <f>IFERROR($G122*'Inputs Yr 2'!$Q122*'Inputs Yr 2'!$U122*(IF(IFERROR(SEARCH("NG", 'Inputs Yr 2'!$AJ122),0),'Inputs Yr 2'!$AK122,0)+IF(IFERROR(SEARCH("NG", 'Inputs Yr 2'!$AL122),0),'Inputs Yr 2'!$AM122,0)+IF(IFERROR(SEARCH("NG", 'Inputs Yr 2'!$AN122),0),'Inputs Yr 2'!$AO122,0)),0)</f>
        <v>17678.327802</v>
      </c>
      <c r="AA122" s="257">
        <f t="shared" si="56"/>
        <v>441958.19504999998</v>
      </c>
      <c r="AB122" s="257">
        <f>IFERROR(Z122*'Inputs Yr 2'!$P122,0)</f>
        <v>17678.327802</v>
      </c>
      <c r="AC122" s="257">
        <f t="shared" si="57"/>
        <v>441958.19504999998</v>
      </c>
      <c r="AD122" s="257">
        <f>IFERROR($G122*'Inputs Yr 2'!$Q122*'Inputs Yr 2'!$U122*(IF(IFERROR(SEARCH("Oil", 'Inputs Yr 2'!$AJ122), 0),'Inputs Yr 2'!$AK122,0)+IF(IFERROR(SEARCH("Oil", 'Inputs Yr 2'!$AL122), 0),'Inputs Yr 2'!$AM122,0)+IF(IFERROR(SEARCH("Oil", 'Inputs Yr 2'!$AN122), 0),'Inputs Yr 2'!$AO122,0)),0)</f>
        <v>0</v>
      </c>
      <c r="AE122" s="257">
        <f t="shared" si="58"/>
        <v>0</v>
      </c>
      <c r="AF122" s="257">
        <f>IFERROR(AD122*'Inputs Yr 2'!$P122,0)</f>
        <v>0</v>
      </c>
      <c r="AG122" s="257">
        <f t="shared" si="59"/>
        <v>0</v>
      </c>
      <c r="AH122" s="257">
        <f>IFERROR($G122*'Inputs Yr 2'!$Q122*'Inputs Yr 2'!$U122*(IF('Inputs Yr 2'!$AJ122=CD$4,'Inputs Yr 2'!$AK122,IF('Inputs Yr 2'!$AL122=CD$4,'Inputs Yr 2'!$AM122,IF('Inputs Yr 2'!$AN122=CD$4,'Inputs Yr 2'!$AO122,0)))),0)</f>
        <v>0</v>
      </c>
      <c r="AI122" s="257">
        <f t="shared" si="60"/>
        <v>0</v>
      </c>
      <c r="AJ122" s="257">
        <f>IFERROR(AH122*'Inputs Yr 2'!$P122,0)</f>
        <v>0</v>
      </c>
      <c r="AK122" s="257">
        <f t="shared" si="61"/>
        <v>0</v>
      </c>
      <c r="AL122" s="258">
        <f>IFERROR($G122*'Inputs Yr 2'!$P122*'Inputs Yr 2'!$Q122*'Inputs Yr 2'!AP122,0)</f>
        <v>0</v>
      </c>
      <c r="AM122" s="260">
        <f>IFERROR($G122*'Inputs Yr 2'!$P122*'Inputs Yr 2'!$Q122*'Inputs Yr 2'!AQ122,0)</f>
        <v>0</v>
      </c>
      <c r="AN122" s="258">
        <f>IFERROR($G122*'Inputs Yr 2'!$P122*'Inputs Yr 2'!$Q122*'Inputs Yr 2'!AR122,0)</f>
        <v>0</v>
      </c>
      <c r="AO122" s="257">
        <f t="shared" si="62"/>
        <v>0</v>
      </c>
      <c r="AP122" s="195">
        <f>IFERROR($CQ122*(INDEX(avoidedcosttbl2,$H122,AP$2)+(($H122-ROUNDDOWN($H122,0))*(INDEX(avoidedcosttbl2,ROUNDUP($H122,0),AP$2)-(INDEX(avoidedcosttbl2,ROUNDDOWN($H122,0),AP$2)))))*$O122*1000*'Inputs Yr 2'!AA122,"")</f>
        <v>0</v>
      </c>
      <c r="AQ122" s="195">
        <f>IFERROR($CR122*(INDEX(avoidedcosttbl2,$H122,AQ$2)+(($H122-ROUNDDOWN($H122,0))*(INDEX(avoidedcosttbl2,ROUNDUP($H122,0),AQ$2)-(INDEX(avoidedcosttbl2,ROUNDDOWN($H122,0),AQ$2)))))*$O122*1000*'Inputs Yr 2'!AB122,"")</f>
        <v>0</v>
      </c>
      <c r="AR122" s="195">
        <f>IFERROR($CS122*(INDEX(avoidedcosttbl2,$H122,AR$2)+(($H122-ROUNDDOWN($H122,0))*(INDEX(avoidedcosttbl2,ROUNDUP($H122,0),AR$2)-(INDEX(avoidedcosttbl2,ROUNDDOWN($H122,0),AR$2)))))*$O122*1000*'Inputs Yr 2'!AC122,"")</f>
        <v>0</v>
      </c>
      <c r="AS122" s="195">
        <f>IFERROR($CT122*(INDEX(avoidedcosttbl2,$H122,AS$2)+(($H122-ROUNDDOWN($H122,0))*(INDEX(avoidedcosttbl2,ROUNDUP($H122,0),AS$2)-(INDEX(avoidedcosttbl2,ROUNDDOWN($H122,0),AS$2)))))*$O122*1000*'Inputs Yr 2'!AD122,"")</f>
        <v>0</v>
      </c>
      <c r="AT122" s="196">
        <f t="shared" si="63"/>
        <v>0</v>
      </c>
      <c r="AU122" s="197">
        <f>IFERROR($CQ122*((INDEX(avoidedcosttbl2,$H122,AU$2))+(($H122-ROUNDDOWN($H122,0))*((INDEX(avoidedcosttbl2,ROUNDUP($H122,0),AU$2))-(INDEX(avoidedcosttbl2,ROUNDDOWN($H122,0),AU$2)))))*$O122*1000*'Inputs Yr 2'!AA122,"")</f>
        <v>0</v>
      </c>
      <c r="AV122" s="197">
        <f>IFERROR($CR122*((INDEX(avoidedcosttbl2,$H122,AV$2))+(($H122-ROUNDDOWN($H122,0))*((INDEX(avoidedcosttbl2,ROUNDUP($H122,0),AV$2))-(INDEX(avoidedcosttbl2,ROUNDDOWN($H122,0),AV$2)))))*$O122*1000*'Inputs Yr 2'!AB122,"")</f>
        <v>0</v>
      </c>
      <c r="AW122" s="197">
        <f>IFERROR($CS122*((INDEX(avoidedcosttbl2,$H122,AW$2))+(($H122-ROUNDDOWN($H122,0))*((INDEX(avoidedcosttbl2,ROUNDUP($H122,0),AW$2))-(INDEX(avoidedcosttbl2,ROUNDDOWN($H122,0),AW$2)))))*$O122*1000*'Inputs Yr 2'!AC122,"")</f>
        <v>0</v>
      </c>
      <c r="AX122" s="197">
        <f>IFERROR($CT122*((INDEX(avoidedcosttbl2,$H122,AX$2))+(($H122-ROUNDDOWN($H122,0))*((INDEX(avoidedcosttbl2,ROUNDUP($H122,0),AX$2))-(INDEX(avoidedcosttbl2,ROUNDDOWN($H122,0),AX$2)))))*$O122*1000*'Inputs Yr 2'!AD122,"")</f>
        <v>0</v>
      </c>
      <c r="AY122" s="197">
        <f>IFERROR(((INDEX(avoidedcosttbl2,$H122,AY$2))+(($H122-ROUNDDOWN($H122,0))*((INDEX(avoidedcosttbl2,ROUNDUP($H122,0),AY$2))-(INDEX(avoidedcosttbl2,ROUNDDOWN($H122,0),AY$2)))))*$O122*1000*('Inputs Yr 2'!AC122+'Inputs Yr 2'!AD122),"")</f>
        <v>0</v>
      </c>
      <c r="AZ122" s="197">
        <f>IFERROR(((INDEX(avoidedcosttbl2,$H122,AZ$2))+(($H122-ROUNDDOWN($H122,0))*((INDEX(avoidedcosttbl2,ROUNDUP($H122,0),AZ$2))-(INDEX(avoidedcosttbl2,ROUNDDOWN($H122,0),AZ$2)))))*$O122*1000*('Inputs Yr 2'!AA122+'Inputs Yr 2'!AB122),"")</f>
        <v>0</v>
      </c>
      <c r="BA122" s="198">
        <f t="shared" si="64"/>
        <v>0</v>
      </c>
      <c r="BB122" s="198">
        <f t="shared" si="65"/>
        <v>0</v>
      </c>
      <c r="BC122" s="195">
        <f t="shared" si="47"/>
        <v>0</v>
      </c>
      <c r="BD122" s="195">
        <f t="shared" si="48"/>
        <v>0</v>
      </c>
      <c r="BE122" s="195">
        <f t="shared" si="49"/>
        <v>0</v>
      </c>
      <c r="BF122" s="195">
        <f t="shared" si="50"/>
        <v>0</v>
      </c>
      <c r="BG122" s="195">
        <f t="shared" si="51"/>
        <v>0</v>
      </c>
      <c r="BH122" s="196">
        <f t="shared" si="66"/>
        <v>0</v>
      </c>
      <c r="BI122" s="196">
        <f t="shared" si="67"/>
        <v>0</v>
      </c>
      <c r="BJ122" s="195">
        <f>IFERROR($G122*(IF('Inputs Yr 2'!$AJ122=BJ$4,'Inputs Yr 2'!$AK122,IF('Inputs Yr 2'!$AL122=BJ$4,'Inputs Yr 2'!$AM122,IF('Inputs Yr 2'!$AN122=BJ$4,'Inputs Yr 2'!$AO122,0))))*(INDEX(avoidedcosttbl2,$H122,BJ$2)+(($H122-ROUNDDOWN($H122,0))*(INDEX(avoidedcosttbl2,ROUNDUP($H122,0),BJ$2)-(INDEX(avoidedcosttbl2,ROUNDDOWN($H122,0),BJ$2)))))*'Inputs Yr 2'!P122*'Inputs Yr 2'!Q122*'Inputs Yr 2'!U122,"")</f>
        <v>0</v>
      </c>
      <c r="BK122" s="195">
        <f>IFERROR($G122*(IF('Inputs Yr 2'!$AJ122=BK$4,'Inputs Yr 2'!$AK122,IF('Inputs Yr 2'!$AL122=BK$4,'Inputs Yr 2'!$AM122,IF('Inputs Yr 2'!$AN122=BK$4,'Inputs Yr 2'!$AO122,0))))*(INDEX(avoidedcosttbl2,$H122,BK$2)+(($H122-ROUNDDOWN($H122,0))*(INDEX(avoidedcosttbl2,ROUNDUP($H122,0),BK$2)-(INDEX(avoidedcosttbl2,ROUNDDOWN($H122,0),BK$2)))))*'Inputs Yr 2'!P122*'Inputs Yr 2'!Q122*'Inputs Yr 2'!U122,"")</f>
        <v>0</v>
      </c>
      <c r="BL122" s="195">
        <f>IFERROR($G122*(IF('Inputs Yr 2'!$AJ122=BL$4,'Inputs Yr 2'!$AK122,IF('Inputs Yr 2'!$AL122=BL$4,'Inputs Yr 2'!$AM122,IF('Inputs Yr 2'!$AN122=BL$4,'Inputs Yr 2'!$AO122,0))))*(INDEX(avoidedcosttbl2,$H122,BL$2)+(($H122-ROUNDDOWN($H122,0))*(INDEX(avoidedcosttbl2,ROUNDUP($H122,0),BL$2)-(INDEX(avoidedcosttbl2,ROUNDDOWN($H122,0),BL$2)))))*'Inputs Yr 2'!P122*'Inputs Yr 2'!Q122*'Inputs Yr 2'!U122,"")</f>
        <v>3933199.0738768824</v>
      </c>
      <c r="BM122" s="195">
        <f>IFERROR($G122*(IF('Inputs Yr 2'!$AJ122=BM$4,'Inputs Yr 2'!$AK122,IF('Inputs Yr 2'!$AL122=BM$4,'Inputs Yr 2'!$AM122,IF('Inputs Yr 2'!$AN122=BM$4,'Inputs Yr 2'!$AO122,0))))*(INDEX(avoidedcosttbl2,$H122,BM$2)+(($H122-ROUNDDOWN($H122,0))*(INDEX(avoidedcosttbl2,ROUNDUP($H122,0),BM$2)-(INDEX(avoidedcosttbl2,ROUNDDOWN($H122,0),BM$2)))))*'Inputs Yr 2'!P122*'Inputs Yr 2'!Q122*'Inputs Yr 2'!U122,"")</f>
        <v>0</v>
      </c>
      <c r="BN122" s="195">
        <f>IFERROR($G122*(IF('Inputs Yr 2'!$AJ122=BN$4,'Inputs Yr 2'!$AK122,IF('Inputs Yr 2'!$AL122=BN$4,'Inputs Yr 2'!$AM122,IF('Inputs Yr 2'!$AN122=BN$4,'Inputs Yr 2'!$AO122,0))))*(INDEX(avoidedcosttbl2,$H122,BN$2)+(($H122-ROUNDDOWN($H122,0))*(INDEX(avoidedcosttbl2,ROUNDUP($H122,0),BN$2)-(INDEX(avoidedcosttbl2,ROUNDDOWN($H122,0),BN$2)))))*'Inputs Yr 2'!P122*'Inputs Yr 2'!Q122*'Inputs Yr 2'!U122,"")</f>
        <v>0</v>
      </c>
      <c r="BO122" s="195">
        <f>IFERROR($G122*(IF('Inputs Yr 2'!$AJ122=BO$4,'Inputs Yr 2'!$AK122,IF('Inputs Yr 2'!$AL122=BO$4,'Inputs Yr 2'!$AM122,IF('Inputs Yr 2'!$AN122=BO$4,'Inputs Yr 2'!$AO122,0))))*(INDEX(avoidedcosttbl2,$H122,BO$2)+(($H122-ROUNDDOWN($H122,0))*(INDEX(avoidedcosttbl2,ROUNDUP($H122,0),BO$2)-(INDEX(avoidedcosttbl2,ROUNDDOWN($H122,0),BO$2)))))*'Inputs Yr 2'!P122*'Inputs Yr 2'!Q122*'Inputs Yr 2'!U122,"")</f>
        <v>0</v>
      </c>
      <c r="BP122" s="195">
        <f>IFERROR($G122*(IF('Inputs Yr 2'!$AJ122=BP$4,'Inputs Yr 2'!$AK122,IF('Inputs Yr 2'!$AL122=BP$4,'Inputs Yr 2'!$AM122,IF('Inputs Yr 2'!$AN122=BP$4,'Inputs Yr 2'!$AO122,0))))*(INDEX(avoidedcosttbl2,$H122,BP$2)+(($H122-ROUNDDOWN($H122,0))*(INDEX(avoidedcosttbl2,ROUNDUP($H122,0),BP$2)-(INDEX(avoidedcosttbl2,ROUNDDOWN($H122,0),BP$2)))))*'Inputs Yr 2'!P122*'Inputs Yr 2'!Q122*'Inputs Yr 2'!U122,"")</f>
        <v>0</v>
      </c>
      <c r="BQ122" s="230">
        <f t="shared" si="68"/>
        <v>3933199.0738768824</v>
      </c>
      <c r="BR122" s="197">
        <f t="shared" si="52"/>
        <v>58622.016711299111</v>
      </c>
      <c r="BS122" s="197">
        <f>IFERROR(($G122*IF('Inputs Yr 2'!$AJ122=BM$4,'Inputs Yr 2'!$AK122,IF('Inputs Yr 2'!$AL122=BM$4,'Inputs Yr 2'!$AM122,IF('Inputs Yr 2'!$AN122=BM$4,'Inputs Yr 2'!$AO122,0))))*(INDEX(avoidedcosttbl2,$H122,BS$2)+(($H122-ROUNDDOWN($H122,0))*(INDEX(avoidedcosttbl2,ROUNDUP($H122,0),BS$2)-(INDEX(avoidedcosttbl2,ROUNDDOWN($H122,0),BS$2)))))*'Inputs Yr 2'!P122*'Inputs Yr 2'!Q122*'Inputs Yr 2'!U122,"")</f>
        <v>0</v>
      </c>
      <c r="BT122" s="197">
        <f>IFERROR(($G122*IF('Inputs Yr 2'!$AJ122=BK$4,'Inputs Yr 2'!$AK122,IF('Inputs Yr 2'!$AL122=BK$4,'Inputs Yr 2'!$AM122,IF('Inputs Yr 2'!$AN122=BK$4,'Inputs Yr 2'!$AO122,0))))*(INDEX(avoidedcosttbl2,$H122,BT$2)+(($H122-ROUNDDOWN($H122,0))*(INDEX(avoidedcosttbl2,ROUNDUP($H122,0),BT$2)-(INDEX(avoidedcosttbl2,ROUNDDOWN($H122,0),BT$2)))))*'Inputs Yr 2'!P122*'Inputs Yr 2'!Q122*'Inputs Yr 2'!U122,"")</f>
        <v>0</v>
      </c>
      <c r="BU122" s="197">
        <f>IFERROR(($G122*IF('Inputs Yr 2'!$AJ122=BL$4,'Inputs Yr 2'!$AK122,IF('Inputs Yr 2'!$AL122=BL$4,'Inputs Yr 2'!$AM122,IF('Inputs Yr 2'!$AN122=BL$4,'Inputs Yr 2'!$AO122,0))))*(INDEX(avoidedcosttbl2,$H122,BU$2)+(($H122-ROUNDDOWN($H122,0))*(INDEX(avoidedcosttbl2,ROUNDUP($H122,0),BU$2)-(INDEX(avoidedcosttbl2,ROUNDDOWN($H122,0),BU$2)))))*'Inputs Yr 2'!P122*'Inputs Yr 2'!Q122*'Inputs Yr 2'!U122,"")</f>
        <v>150783.49725654031</v>
      </c>
      <c r="BV122" s="775">
        <f>IFERROR(($G122*IF('Inputs Yr 2'!$AJ122=BJ$4,'Inputs Yr 2'!$AK122,IF('Inputs Yr 2'!$AL122=BJ$4,'Inputs Yr 2'!$AM122,IF('Inputs Yr 2'!$AN122=BJ$4,'Inputs Yr 2'!$AO122,0))))*(INDEX(avoidedcosttbl2,$H122,BV$2)+(($H122-ROUNDDOWN($H122,0))*(INDEX(avoidedcosttbl2,ROUNDUP($H122,0),BV$2)-(INDEX(avoidedcosttbl2,ROUNDDOWN($H122,0),BV$2)))))*'Inputs Yr 2'!P122*'Inputs Yr 2'!Q122*'Inputs Yr 2'!U122,"")</f>
        <v>0</v>
      </c>
      <c r="BW122" s="197">
        <f>IFERROR(($G122*IF('Inputs Yr 2'!$AJ122=BN$4,'Inputs Yr 2'!$AK122,IF('Inputs Yr 2'!$AL122=BN$4,'Inputs Yr 2'!$AM122,IF('Inputs Yr 2'!$AN122=BN$4,'Inputs Yr 2'!$AO122,0))))*(INDEX(avoidedcosttbl2,$H122,BW$2)+(($H122-ROUNDDOWN($H122,0))*(INDEX(avoidedcosttbl2,ROUNDUP($H122,0),BW$2)-(INDEX(avoidedcosttbl2,ROUNDDOWN($H122,0),BW$2)))))*'Inputs Yr 2'!P122*'Inputs Yr 2'!Q122*'Inputs Yr 2'!U122,"")</f>
        <v>0</v>
      </c>
      <c r="BX122" s="197">
        <f>IFERROR(($G122*IF('Inputs Yr 2'!$AJ122=BO$4,'Inputs Yr 2'!$AK122,IF('Inputs Yr 2'!$AL122=BO$4,'Inputs Yr 2'!$AM122,IF('Inputs Yr 2'!$AN122=BO$4,'Inputs Yr 2'!$AO122,0))))*(INDEX(avoidedcosttbl2,$H122,BX$2)+(($H122-ROUNDDOWN($H122,0))*(INDEX(avoidedcosttbl2,ROUNDUP($H122,0),BX$2)-(INDEX(avoidedcosttbl2,ROUNDDOWN($H122,0),BX$2)))))*'Inputs Yr 2'!P122*'Inputs Yr 2'!Q122*'Inputs Yr 2'!U122,"")</f>
        <v>0</v>
      </c>
      <c r="BY122" s="197">
        <f>IFERROR(($G122*IF('Inputs Yr 2'!$AJ122=BP$4,'Inputs Yr 2'!$AK122,IF('Inputs Yr 2'!$AL122=BP$4,'Inputs Yr 2'!$AM122,IF('Inputs Yr 2'!$AN122=BP$4,'Inputs Yr 2'!$AO122,0))))*(INDEX(avoidedcosttbl2,$H122,BY$2)+(($H122-ROUNDDOWN($H122,0))*(INDEX(avoidedcosttbl2,ROUNDUP($H122,0),BY$2)-(INDEX(avoidedcosttbl2,ROUNDDOWN($H122,0),BY$2)))))*'Inputs Yr 2'!P122*'Inputs Yr 2'!Q122*'Inputs Yr 2'!U122,"")</f>
        <v>0</v>
      </c>
      <c r="BZ122" s="193">
        <f t="shared" si="69"/>
        <v>209405.51396783942</v>
      </c>
      <c r="CA122" s="193">
        <f t="shared" si="70"/>
        <v>4142604.587844722</v>
      </c>
      <c r="CB122" s="195">
        <f>IFERROR(G122*(IF('Inputs Yr 2'!$AJ122=CB$4,'Inputs Yr 2'!$AK122,IF('Inputs Yr 2'!$AL122=CB$4,'Inputs Yr 2'!$AM122,IF('Inputs Yr 2'!$AN122=CB$4,'Inputs Yr 2'!$AO122,0))))*(INDEX(avoidedcosttbl2,$H122,CB$2)+(($H122-ROUNDDOWN($H122,0))*(INDEX(avoidedcosttbl2,ROUNDUP($H122,0),CB$2)-(INDEX(avoidedcosttbl2,ROUNDDOWN($H122,0),CB$2)))))*'Inputs Yr 2'!P122*'Inputs Yr 2'!Q122*'Inputs Yr 2'!U122,"")</f>
        <v>0</v>
      </c>
      <c r="CC122" s="195">
        <f>IFERROR(H122*(IF('Inputs Yr 2'!$AJ122=CC$4,'Inputs Yr 2'!$AK122,IF('Inputs Yr 2'!$AL122=CC$4,'Inputs Yr 2'!$AM122,IF('Inputs Yr 2'!$AN122=CC$4,'Inputs Yr 2'!$AO122,0))))*(INDEX(avoidedcosttbl2,$H122,CC$2)+(($H122-ROUNDDOWN($H122,0))*(INDEX(avoidedcosttbl2,ROUNDUP($H122,0),CC$2)-(INDEX(avoidedcosttbl2,ROUNDDOWN($H122,0),CC$2)))))*'Inputs Yr 2'!Q122*'Inputs Yr 2'!R122*'Inputs Yr 2'!V122,"")</f>
        <v>0</v>
      </c>
      <c r="CD122" s="195">
        <f>IFERROR(I122*(IF('Inputs Yr 2'!$AJ122=CD$4,'Inputs Yr 2'!$AK122,IF('Inputs Yr 2'!$AL122=CD$4,'Inputs Yr 2'!$AM122,IF('Inputs Yr 2'!$AN122=CD$4,'Inputs Yr 2'!$AO122,0))))*(INDEX(avoidedcosttbl2,$H122,CD$2)+(($H122-ROUNDDOWN($H122,0))*(INDEX(avoidedcosttbl2,ROUNDUP($H122,0),CD$2)-(INDEX(avoidedcosttbl2,ROUNDDOWN($H122,0),CD$2)))))*'Inputs Yr 2'!R122*'Inputs Yr 2'!S122*'Inputs Yr 2'!W122,"")</f>
        <v>0</v>
      </c>
      <c r="CE122" s="213">
        <f t="shared" si="71"/>
        <v>0</v>
      </c>
      <c r="CF122" s="213">
        <f t="shared" si="72"/>
        <v>0</v>
      </c>
      <c r="CG122" s="213">
        <f t="shared" si="73"/>
        <v>0</v>
      </c>
      <c r="CH122" s="698">
        <f t="shared" si="74"/>
        <v>4142604.587844722</v>
      </c>
      <c r="CI122" s="79">
        <f>IFERROR(($G122*'Inputs Yr 2'!$P122*'Inputs Yr 2'!$Q122*(((INDEX(avoidedcosttbl2,$H122,CI$2)+(($H122-ROUNDDOWN($H122,0))*(INDEX(avoidedcosttbl2,ROUNDUP($H122,0),CI$2)-INDEX(avoidedcosttbl2,ROUNDDOWN($H122,0),CI$2))))*'Inputs Yr 2'!AS122))),"")</f>
        <v>2474709.5428555524</v>
      </c>
      <c r="CJ122" s="504">
        <f>IFERROR($G122*'Inputs Yr 2'!AT122*'Inputs Yr 2'!$P122*'Inputs Yr 2'!$Q122/((1+realdiscrt1)^-0.5),"")</f>
        <v>0</v>
      </c>
      <c r="CK122" s="79">
        <f>IFERROR((O122*1000*(((INDEX(avoidedcosttbl2,$H122,CK$2)+(($H122-ROUNDDOWN($H122,0))*(INDEX(avoidedcosttbl2,ROUNDUP($H122,0),CK$2)-INDEX(avoidedcosttbl2,ROUNDDOWN($H122,0),CK$2))))*'Inputs Yr 2'!AU122))),"")</f>
        <v>0</v>
      </c>
      <c r="CL122" s="504">
        <f>IFERROR(O122*1000*'Inputs Yr 2'!AV122/((1+realdiscrt1)^-0.5),"")</f>
        <v>0</v>
      </c>
      <c r="CM122" s="79">
        <f>IFERROR((AB122*'Inputs Yr 2'!AW122*(((INDEX(avoidedcosttbl2,$H122,CM$2)+(($H122-ROUNDDOWN($H122,0))*(INDEX(avoidedcosttbl2,ROUNDUP($H122,0),CM$2)-INDEX(avoidedcosttbl2,ROUNDDOWN($H122,0),CM$2)))))))*10,"")</f>
        <v>560879.82124680304</v>
      </c>
      <c r="CN122" s="504">
        <f>IFERROR(10*AB122*'Inputs Yr 2'!AX122/((1+realdiscrt1)^-0.5),"")</f>
        <v>13465.054850959099</v>
      </c>
      <c r="CO122" s="505">
        <f t="shared" si="75"/>
        <v>3049054.4189533144</v>
      </c>
      <c r="CP122" s="230">
        <f t="shared" si="76"/>
        <v>7191659.0067980364</v>
      </c>
      <c r="CQ122" s="199">
        <f>ROUND(IFERROR(IF(LEFT($A122,1)="C",'Avoided Costs'!$K$13,'Avoided Costs'!$K$12)+1,""),4)</f>
        <v>1.0720000000000001</v>
      </c>
      <c r="CR122" s="199">
        <f>ROUND(IFERROR(IF(LEFT($A122,1)="C",'Avoided Costs'!$L$13,'Avoided Costs'!$L$12)+1,""),4)</f>
        <v>1.04</v>
      </c>
      <c r="CS122" s="199">
        <f>ROUND(IFERROR(IF(LEFT($A122,1)="C",'Avoided Costs'!$M$13,'Avoided Costs'!$M$12)+1,""),4)</f>
        <v>1.0720000000000001</v>
      </c>
      <c r="CT122" s="199">
        <f>ROUND(IFERROR(IF(LEFT($A122,1)="C",'Avoided Costs'!$N$13,'Avoided Costs'!$N$12)+1,""),4)</f>
        <v>1.04</v>
      </c>
      <c r="CU122" s="199">
        <f>ROUND(IFERROR(IF(LEFT($A122,1)="C",'Avoided Costs'!$O$13,'Avoided Costs'!$O$12)+1,""),4)</f>
        <v>1.1120000000000001</v>
      </c>
      <c r="CV122" s="199">
        <f>ROUND(IFERROR(IF(LEFT($A122,1)="C",'Avoided Costs'!$P$13,'Avoided Costs'!$P$12)+1,""),4)</f>
        <v>1.095</v>
      </c>
      <c r="CW122" s="199">
        <f>ROUND(IFERROR(IF(LEFT($A122,1)="C",'Avoided Costs'!$Q$13,'Avoided Costs'!$Q$12)+1,""),4)</f>
        <v>1.1120000000000001</v>
      </c>
      <c r="CX122" s="200">
        <f>ROUND(IFERROR(IF(LEFT($A122,1)="C",'Avoided Costs'!$R$13,'Avoided Costs'!$R$12)+1,""),4)</f>
        <v>1.1120000000000001</v>
      </c>
    </row>
    <row r="123" spans="1:102" ht="12.75" customHeight="1">
      <c r="A123" s="91" t="str">
        <f>IF('Inputs Yr 2'!$B123=0,"",'Inputs Yr 2'!A123)</f>
        <v>B - Low Income</v>
      </c>
      <c r="B123" s="91" t="str">
        <f>IF('Inputs Yr 2'!$B123=0,"",'Inputs Yr 2'!B123)</f>
        <v>B1 - Low-Income Whole House</v>
      </c>
      <c r="C123" s="91" t="str">
        <f>IF('Inputs Yr 2'!$B123=0,"",'Inputs Yr 2'!C123)</f>
        <v>B1b - Low-Income Multi-Family Retrofit</v>
      </c>
      <c r="D123" s="91" t="str">
        <f>IF('Inputs Yr 2'!$B123=0,"",'Inputs Yr 2'!E123)</f>
        <v>Boiler Retrofit, Gas</v>
      </c>
      <c r="E123" s="93" t="str">
        <f>IF('Inputs Yr 2'!$B123=0,"",'Inputs Yr 2'!F123)</f>
        <v>G16B1b04</v>
      </c>
      <c r="F123" s="93" t="str">
        <f>IF('Inputs Yr 2'!$B123=0,"",'Inputs Yr 2'!G123)</f>
        <v>HVAC</v>
      </c>
      <c r="G123" s="95">
        <f>IF('Inputs Yr 2'!$H123&lt;&gt;0,('Inputs Yr 2'!H123),"")</f>
        <v>420</v>
      </c>
      <c r="H123" s="94">
        <f>IFERROR('Inputs Yr 2'!I123,"")</f>
        <v>0</v>
      </c>
      <c r="I123" s="298">
        <f>IFERROR('Inputs Yr 2'!J123*'Inputs Yr 2'!P123*G123,"")</f>
        <v>0</v>
      </c>
      <c r="J123" s="298">
        <f>IFERROR('Inputs Yr 2'!K123*G123,"")</f>
        <v>0</v>
      </c>
      <c r="K123" s="298">
        <f t="shared" si="53"/>
        <v>0</v>
      </c>
      <c r="L123" s="194">
        <f>IFERROR(('Inputs Yr 2'!W123*G123)/1000,"")</f>
        <v>0</v>
      </c>
      <c r="M123" s="194">
        <f>IFERROR(L123*('Inputs Yr 2'!$Q123*'Inputs Yr 2'!$V123*'Inputs Yr 2'!$R123),"")</f>
        <v>0</v>
      </c>
      <c r="N123" s="194">
        <f t="shared" si="54"/>
        <v>0</v>
      </c>
      <c r="O123" s="194">
        <f>IFERROR(M123*'Inputs Yr 2'!P123,"")</f>
        <v>0</v>
      </c>
      <c r="P123" s="194">
        <f t="shared" si="55"/>
        <v>0</v>
      </c>
      <c r="Q123" s="194">
        <f>IFERROR($P123*'Inputs Yr 2'!AA123,"")</f>
        <v>0</v>
      </c>
      <c r="R123" s="194">
        <f>IFERROR($P123*'Inputs Yr 2'!AB123,"")</f>
        <v>0</v>
      </c>
      <c r="S123" s="194">
        <f>IFERROR($P123*'Inputs Yr 2'!AC123,"")</f>
        <v>0</v>
      </c>
      <c r="T123" s="194">
        <f>IFERROR($P123*'Inputs Yr 2'!AD123,"")</f>
        <v>0</v>
      </c>
      <c r="U123" s="194">
        <f>IFERROR(G123*'Inputs Yr 2'!$AE123*'Inputs Yr 2'!$P123*'Inputs Yr 2'!$Q123,"")</f>
        <v>0</v>
      </c>
      <c r="V123" s="194">
        <f>IFERROR($G123*'Inputs Yr 2'!$AE123*'Inputs Yr 2'!$AG123*'Inputs Yr 2'!Q123*'Inputs Yr 2'!$S123,"")</f>
        <v>0</v>
      </c>
      <c r="W123" s="194">
        <f>IFERROR($G123*'Inputs Yr 2'!$AE123*'Inputs Yr 2'!$AG123*'Inputs Yr 2'!P123*'Inputs Yr 2'!Q123*'Inputs Yr 2'!$S123,"")</f>
        <v>0</v>
      </c>
      <c r="X123" s="194">
        <f>IFERROR($G123*'Inputs Yr 2'!$AE123*'Inputs Yr 2'!$AF123*'Inputs Yr 2'!Q123*'Inputs Yr 2'!$T123,"")</f>
        <v>0</v>
      </c>
      <c r="Y123" s="194">
        <f>IFERROR($G123*'Inputs Yr 2'!$AE123*'Inputs Yr 2'!$AF123*'Inputs Yr 2'!P123*'Inputs Yr 2'!Q123*'Inputs Yr 2'!$T123,"")</f>
        <v>0</v>
      </c>
      <c r="Z123" s="257">
        <f>IFERROR($G123*'Inputs Yr 2'!$Q123*'Inputs Yr 2'!$U123*(IF(IFERROR(SEARCH("NG", 'Inputs Yr 2'!$AJ123),0),'Inputs Yr 2'!$AK123,0)+IF(IFERROR(SEARCH("NG", 'Inputs Yr 2'!$AL123),0),'Inputs Yr 2'!$AM123,0)+IF(IFERROR(SEARCH("NG", 'Inputs Yr 2'!$AN123),0),'Inputs Yr 2'!$AO123,0)),0)</f>
        <v>0</v>
      </c>
      <c r="AA123" s="257">
        <f t="shared" si="56"/>
        <v>0</v>
      </c>
      <c r="AB123" s="257">
        <f>IFERROR(Z123*'Inputs Yr 2'!$P123,0)</f>
        <v>0</v>
      </c>
      <c r="AC123" s="257">
        <f t="shared" si="57"/>
        <v>0</v>
      </c>
      <c r="AD123" s="257">
        <f>IFERROR($G123*'Inputs Yr 2'!$Q123*'Inputs Yr 2'!$U123*(IF(IFERROR(SEARCH("Oil", 'Inputs Yr 2'!$AJ123), 0),'Inputs Yr 2'!$AK123,0)+IF(IFERROR(SEARCH("Oil", 'Inputs Yr 2'!$AL123), 0),'Inputs Yr 2'!$AM123,0)+IF(IFERROR(SEARCH("Oil", 'Inputs Yr 2'!$AN123), 0),'Inputs Yr 2'!$AO123,0)),0)</f>
        <v>0</v>
      </c>
      <c r="AE123" s="257">
        <f t="shared" si="58"/>
        <v>0</v>
      </c>
      <c r="AF123" s="257">
        <f>IFERROR(AD123*'Inputs Yr 2'!$P123,0)</f>
        <v>0</v>
      </c>
      <c r="AG123" s="257">
        <f t="shared" si="59"/>
        <v>0</v>
      </c>
      <c r="AH123" s="257">
        <f>IFERROR($G123*'Inputs Yr 2'!$Q123*'Inputs Yr 2'!$U123*(IF('Inputs Yr 2'!$AJ123=CD$4,'Inputs Yr 2'!$AK123,IF('Inputs Yr 2'!$AL123=CD$4,'Inputs Yr 2'!$AM123,IF('Inputs Yr 2'!$AN123=CD$4,'Inputs Yr 2'!$AO123,0)))),0)</f>
        <v>0</v>
      </c>
      <c r="AI123" s="257">
        <f t="shared" si="60"/>
        <v>0</v>
      </c>
      <c r="AJ123" s="257">
        <f>IFERROR(AH123*'Inputs Yr 2'!$P123,0)</f>
        <v>0</v>
      </c>
      <c r="AK123" s="257">
        <f t="shared" si="61"/>
        <v>0</v>
      </c>
      <c r="AL123" s="258">
        <f>IFERROR($G123*'Inputs Yr 2'!$P123*'Inputs Yr 2'!$Q123*'Inputs Yr 2'!AP123,0)</f>
        <v>0</v>
      </c>
      <c r="AM123" s="260">
        <f>IFERROR($G123*'Inputs Yr 2'!$P123*'Inputs Yr 2'!$Q123*'Inputs Yr 2'!AQ123,0)</f>
        <v>0</v>
      </c>
      <c r="AN123" s="258">
        <f>IFERROR($G123*'Inputs Yr 2'!$P123*'Inputs Yr 2'!$Q123*'Inputs Yr 2'!AR123,0)</f>
        <v>0</v>
      </c>
      <c r="AO123" s="257">
        <f t="shared" si="62"/>
        <v>0</v>
      </c>
      <c r="AP123" s="195" t="str">
        <f>IFERROR($CQ123*(INDEX(avoidedcosttbl2,$H123,AP$2)+(($H123-ROUNDDOWN($H123,0))*(INDEX(avoidedcosttbl2,ROUNDUP($H123,0),AP$2)-(INDEX(avoidedcosttbl2,ROUNDDOWN($H123,0),AP$2)))))*$O123*1000*'Inputs Yr 2'!AA123,"")</f>
        <v/>
      </c>
      <c r="AQ123" s="195" t="str">
        <f>IFERROR($CR123*(INDEX(avoidedcosttbl2,$H123,AQ$2)+(($H123-ROUNDDOWN($H123,0))*(INDEX(avoidedcosttbl2,ROUNDUP($H123,0),AQ$2)-(INDEX(avoidedcosttbl2,ROUNDDOWN($H123,0),AQ$2)))))*$O123*1000*'Inputs Yr 2'!AB123,"")</f>
        <v/>
      </c>
      <c r="AR123" s="195" t="str">
        <f>IFERROR($CS123*(INDEX(avoidedcosttbl2,$H123,AR$2)+(($H123-ROUNDDOWN($H123,0))*(INDEX(avoidedcosttbl2,ROUNDUP($H123,0),AR$2)-(INDEX(avoidedcosttbl2,ROUNDDOWN($H123,0),AR$2)))))*$O123*1000*'Inputs Yr 2'!AC123,"")</f>
        <v/>
      </c>
      <c r="AS123" s="195" t="str">
        <f>IFERROR($CT123*(INDEX(avoidedcosttbl2,$H123,AS$2)+(($H123-ROUNDDOWN($H123,0))*(INDEX(avoidedcosttbl2,ROUNDUP($H123,0),AS$2)-(INDEX(avoidedcosttbl2,ROUNDDOWN($H123,0),AS$2)))))*$O123*1000*'Inputs Yr 2'!AD123,"")</f>
        <v/>
      </c>
      <c r="AT123" s="196">
        <f t="shared" si="63"/>
        <v>0</v>
      </c>
      <c r="AU123" s="197" t="str">
        <f>IFERROR($CQ123*((INDEX(avoidedcosttbl2,$H123,AU$2))+(($H123-ROUNDDOWN($H123,0))*((INDEX(avoidedcosttbl2,ROUNDUP($H123,0),AU$2))-(INDEX(avoidedcosttbl2,ROUNDDOWN($H123,0),AU$2)))))*$O123*1000*'Inputs Yr 2'!AA123,"")</f>
        <v/>
      </c>
      <c r="AV123" s="197" t="str">
        <f>IFERROR($CR123*((INDEX(avoidedcosttbl2,$H123,AV$2))+(($H123-ROUNDDOWN($H123,0))*((INDEX(avoidedcosttbl2,ROUNDUP($H123,0),AV$2))-(INDEX(avoidedcosttbl2,ROUNDDOWN($H123,0),AV$2)))))*$O123*1000*'Inputs Yr 2'!AB123,"")</f>
        <v/>
      </c>
      <c r="AW123" s="197" t="str">
        <f>IFERROR($CS123*((INDEX(avoidedcosttbl2,$H123,AW$2))+(($H123-ROUNDDOWN($H123,0))*((INDEX(avoidedcosttbl2,ROUNDUP($H123,0),AW$2))-(INDEX(avoidedcosttbl2,ROUNDDOWN($H123,0),AW$2)))))*$O123*1000*'Inputs Yr 2'!AC123,"")</f>
        <v/>
      </c>
      <c r="AX123" s="197" t="str">
        <f>IFERROR($CT123*((INDEX(avoidedcosttbl2,$H123,AX$2))+(($H123-ROUNDDOWN($H123,0))*((INDEX(avoidedcosttbl2,ROUNDUP($H123,0),AX$2))-(INDEX(avoidedcosttbl2,ROUNDDOWN($H123,0),AX$2)))))*$O123*1000*'Inputs Yr 2'!AD123,"")</f>
        <v/>
      </c>
      <c r="AY123" s="197" t="str">
        <f>IFERROR(((INDEX(avoidedcosttbl2,$H123,AY$2))+(($H123-ROUNDDOWN($H123,0))*((INDEX(avoidedcosttbl2,ROUNDUP($H123,0),AY$2))-(INDEX(avoidedcosttbl2,ROUNDDOWN($H123,0),AY$2)))))*$O123*1000*('Inputs Yr 2'!AC123+'Inputs Yr 2'!AD123),"")</f>
        <v/>
      </c>
      <c r="AZ123" s="197" t="str">
        <f>IFERROR(((INDEX(avoidedcosttbl2,$H123,AZ$2))+(($H123-ROUNDDOWN($H123,0))*((INDEX(avoidedcosttbl2,ROUNDUP($H123,0),AZ$2))-(INDEX(avoidedcosttbl2,ROUNDDOWN($H123,0),AZ$2)))))*$O123*1000*('Inputs Yr 2'!AA123+'Inputs Yr 2'!AB123),"")</f>
        <v/>
      </c>
      <c r="BA123" s="198">
        <f t="shared" si="64"/>
        <v>0</v>
      </c>
      <c r="BB123" s="198">
        <f t="shared" si="65"/>
        <v>0</v>
      </c>
      <c r="BC123" s="195" t="str">
        <f t="shared" si="47"/>
        <v/>
      </c>
      <c r="BD123" s="195" t="str">
        <f t="shared" si="48"/>
        <v/>
      </c>
      <c r="BE123" s="195" t="str">
        <f t="shared" si="49"/>
        <v/>
      </c>
      <c r="BF123" s="195" t="str">
        <f t="shared" si="50"/>
        <v/>
      </c>
      <c r="BG123" s="195" t="str">
        <f t="shared" si="51"/>
        <v/>
      </c>
      <c r="BH123" s="196">
        <f t="shared" si="66"/>
        <v>0</v>
      </c>
      <c r="BI123" s="196">
        <f t="shared" si="67"/>
        <v>0</v>
      </c>
      <c r="BJ123" s="195" t="str">
        <f>IFERROR($G123*(IF('Inputs Yr 2'!$AJ123=BJ$4,'Inputs Yr 2'!$AK123,IF('Inputs Yr 2'!$AL123=BJ$4,'Inputs Yr 2'!$AM123,IF('Inputs Yr 2'!$AN123=BJ$4,'Inputs Yr 2'!$AO123,0))))*(INDEX(avoidedcosttbl2,$H123,BJ$2)+(($H123-ROUNDDOWN($H123,0))*(INDEX(avoidedcosttbl2,ROUNDUP($H123,0),BJ$2)-(INDEX(avoidedcosttbl2,ROUNDDOWN($H123,0),BJ$2)))))*'Inputs Yr 2'!P123*'Inputs Yr 2'!Q123*'Inputs Yr 2'!U123,"")</f>
        <v/>
      </c>
      <c r="BK123" s="195" t="str">
        <f>IFERROR($G123*(IF('Inputs Yr 2'!$AJ123=BK$4,'Inputs Yr 2'!$AK123,IF('Inputs Yr 2'!$AL123=BK$4,'Inputs Yr 2'!$AM123,IF('Inputs Yr 2'!$AN123=BK$4,'Inputs Yr 2'!$AO123,0))))*(INDEX(avoidedcosttbl2,$H123,BK$2)+(($H123-ROUNDDOWN($H123,0))*(INDEX(avoidedcosttbl2,ROUNDUP($H123,0),BK$2)-(INDEX(avoidedcosttbl2,ROUNDDOWN($H123,0),BK$2)))))*'Inputs Yr 2'!P123*'Inputs Yr 2'!Q123*'Inputs Yr 2'!U123,"")</f>
        <v/>
      </c>
      <c r="BL123" s="195" t="str">
        <f>IFERROR($G123*(IF('Inputs Yr 2'!$AJ123=BL$4,'Inputs Yr 2'!$AK123,IF('Inputs Yr 2'!$AL123=BL$4,'Inputs Yr 2'!$AM123,IF('Inputs Yr 2'!$AN123=BL$4,'Inputs Yr 2'!$AO123,0))))*(INDEX(avoidedcosttbl2,$H123,BL$2)+(($H123-ROUNDDOWN($H123,0))*(INDEX(avoidedcosttbl2,ROUNDUP($H123,0),BL$2)-(INDEX(avoidedcosttbl2,ROUNDDOWN($H123,0),BL$2)))))*'Inputs Yr 2'!P123*'Inputs Yr 2'!Q123*'Inputs Yr 2'!U123,"")</f>
        <v/>
      </c>
      <c r="BM123" s="195" t="str">
        <f>IFERROR($G123*(IF('Inputs Yr 2'!$AJ123=BM$4,'Inputs Yr 2'!$AK123,IF('Inputs Yr 2'!$AL123=BM$4,'Inputs Yr 2'!$AM123,IF('Inputs Yr 2'!$AN123=BM$4,'Inputs Yr 2'!$AO123,0))))*(INDEX(avoidedcosttbl2,$H123,BM$2)+(($H123-ROUNDDOWN($H123,0))*(INDEX(avoidedcosttbl2,ROUNDUP($H123,0),BM$2)-(INDEX(avoidedcosttbl2,ROUNDDOWN($H123,0),BM$2)))))*'Inputs Yr 2'!P123*'Inputs Yr 2'!Q123*'Inputs Yr 2'!U123,"")</f>
        <v/>
      </c>
      <c r="BN123" s="195" t="str">
        <f>IFERROR($G123*(IF('Inputs Yr 2'!$AJ123=BN$4,'Inputs Yr 2'!$AK123,IF('Inputs Yr 2'!$AL123=BN$4,'Inputs Yr 2'!$AM123,IF('Inputs Yr 2'!$AN123=BN$4,'Inputs Yr 2'!$AO123,0))))*(INDEX(avoidedcosttbl2,$H123,BN$2)+(($H123-ROUNDDOWN($H123,0))*(INDEX(avoidedcosttbl2,ROUNDUP($H123,0),BN$2)-(INDEX(avoidedcosttbl2,ROUNDDOWN($H123,0),BN$2)))))*'Inputs Yr 2'!P123*'Inputs Yr 2'!Q123*'Inputs Yr 2'!U123,"")</f>
        <v/>
      </c>
      <c r="BO123" s="195" t="str">
        <f>IFERROR($G123*(IF('Inputs Yr 2'!$AJ123=BO$4,'Inputs Yr 2'!$AK123,IF('Inputs Yr 2'!$AL123=BO$4,'Inputs Yr 2'!$AM123,IF('Inputs Yr 2'!$AN123=BO$4,'Inputs Yr 2'!$AO123,0))))*(INDEX(avoidedcosttbl2,$H123,BO$2)+(($H123-ROUNDDOWN($H123,0))*(INDEX(avoidedcosttbl2,ROUNDUP($H123,0),BO$2)-(INDEX(avoidedcosttbl2,ROUNDDOWN($H123,0),BO$2)))))*'Inputs Yr 2'!P123*'Inputs Yr 2'!Q123*'Inputs Yr 2'!U123,"")</f>
        <v/>
      </c>
      <c r="BP123" s="195" t="str">
        <f>IFERROR($G123*(IF('Inputs Yr 2'!$AJ123=BP$4,'Inputs Yr 2'!$AK123,IF('Inputs Yr 2'!$AL123=BP$4,'Inputs Yr 2'!$AM123,IF('Inputs Yr 2'!$AN123=BP$4,'Inputs Yr 2'!$AO123,0))))*(INDEX(avoidedcosttbl2,$H123,BP$2)+(($H123-ROUNDDOWN($H123,0))*(INDEX(avoidedcosttbl2,ROUNDUP($H123,0),BP$2)-(INDEX(avoidedcosttbl2,ROUNDDOWN($H123,0),BP$2)))))*'Inputs Yr 2'!P123*'Inputs Yr 2'!Q123*'Inputs Yr 2'!U123,"")</f>
        <v/>
      </c>
      <c r="BQ123" s="230">
        <f t="shared" si="68"/>
        <v>0</v>
      </c>
      <c r="BR123" s="197" t="str">
        <f t="shared" si="52"/>
        <v/>
      </c>
      <c r="BS123" s="197" t="str">
        <f>IFERROR(($G123*IF('Inputs Yr 2'!$AJ123=BM$4,'Inputs Yr 2'!$AK123,IF('Inputs Yr 2'!$AL123=BM$4,'Inputs Yr 2'!$AM123,IF('Inputs Yr 2'!$AN123=BM$4,'Inputs Yr 2'!$AO123,0))))*(INDEX(avoidedcosttbl2,$H123,BS$2)+(($H123-ROUNDDOWN($H123,0))*(INDEX(avoidedcosttbl2,ROUNDUP($H123,0),BS$2)-(INDEX(avoidedcosttbl2,ROUNDDOWN($H123,0),BS$2)))))*'Inputs Yr 2'!P123*'Inputs Yr 2'!Q123*'Inputs Yr 2'!U123,"")</f>
        <v/>
      </c>
      <c r="BT123" s="197" t="str">
        <f>IFERROR(($G123*IF('Inputs Yr 2'!$AJ123=BK$4,'Inputs Yr 2'!$AK123,IF('Inputs Yr 2'!$AL123=BK$4,'Inputs Yr 2'!$AM123,IF('Inputs Yr 2'!$AN123=BK$4,'Inputs Yr 2'!$AO123,0))))*(INDEX(avoidedcosttbl2,$H123,BT$2)+(($H123-ROUNDDOWN($H123,0))*(INDEX(avoidedcosttbl2,ROUNDUP($H123,0),BT$2)-(INDEX(avoidedcosttbl2,ROUNDDOWN($H123,0),BT$2)))))*'Inputs Yr 2'!P123*'Inputs Yr 2'!Q123*'Inputs Yr 2'!U123,"")</f>
        <v/>
      </c>
      <c r="BU123" s="197" t="str">
        <f>IFERROR(($G123*IF('Inputs Yr 2'!$AJ123=BL$4,'Inputs Yr 2'!$AK123,IF('Inputs Yr 2'!$AL123=BL$4,'Inputs Yr 2'!$AM123,IF('Inputs Yr 2'!$AN123=BL$4,'Inputs Yr 2'!$AO123,0))))*(INDEX(avoidedcosttbl2,$H123,BU$2)+(($H123-ROUNDDOWN($H123,0))*(INDEX(avoidedcosttbl2,ROUNDUP($H123,0),BU$2)-(INDEX(avoidedcosttbl2,ROUNDDOWN($H123,0),BU$2)))))*'Inputs Yr 2'!P123*'Inputs Yr 2'!Q123*'Inputs Yr 2'!U123,"")</f>
        <v/>
      </c>
      <c r="BV123" s="775" t="str">
        <f>IFERROR(($G123*IF('Inputs Yr 2'!$AJ123=BJ$4,'Inputs Yr 2'!$AK123,IF('Inputs Yr 2'!$AL123=BJ$4,'Inputs Yr 2'!$AM123,IF('Inputs Yr 2'!$AN123=BJ$4,'Inputs Yr 2'!$AO123,0))))*(INDEX(avoidedcosttbl2,$H123,BV$2)+(($H123-ROUNDDOWN($H123,0))*(INDEX(avoidedcosttbl2,ROUNDUP($H123,0),BV$2)-(INDEX(avoidedcosttbl2,ROUNDDOWN($H123,0),BV$2)))))*'Inputs Yr 2'!P123*'Inputs Yr 2'!Q123*'Inputs Yr 2'!U123,"")</f>
        <v/>
      </c>
      <c r="BW123" s="197" t="str">
        <f>IFERROR(($G123*IF('Inputs Yr 2'!$AJ123=BN$4,'Inputs Yr 2'!$AK123,IF('Inputs Yr 2'!$AL123=BN$4,'Inputs Yr 2'!$AM123,IF('Inputs Yr 2'!$AN123=BN$4,'Inputs Yr 2'!$AO123,0))))*(INDEX(avoidedcosttbl2,$H123,BW$2)+(($H123-ROUNDDOWN($H123,0))*(INDEX(avoidedcosttbl2,ROUNDUP($H123,0),BW$2)-(INDEX(avoidedcosttbl2,ROUNDDOWN($H123,0),BW$2)))))*'Inputs Yr 2'!P123*'Inputs Yr 2'!Q123*'Inputs Yr 2'!U123,"")</f>
        <v/>
      </c>
      <c r="BX123" s="197" t="str">
        <f>IFERROR(($G123*IF('Inputs Yr 2'!$AJ123=BO$4,'Inputs Yr 2'!$AK123,IF('Inputs Yr 2'!$AL123=BO$4,'Inputs Yr 2'!$AM123,IF('Inputs Yr 2'!$AN123=BO$4,'Inputs Yr 2'!$AO123,0))))*(INDEX(avoidedcosttbl2,$H123,BX$2)+(($H123-ROUNDDOWN($H123,0))*(INDEX(avoidedcosttbl2,ROUNDUP($H123,0),BX$2)-(INDEX(avoidedcosttbl2,ROUNDDOWN($H123,0),BX$2)))))*'Inputs Yr 2'!P123*'Inputs Yr 2'!Q123*'Inputs Yr 2'!U123,"")</f>
        <v/>
      </c>
      <c r="BY123" s="197" t="str">
        <f>IFERROR(($G123*IF('Inputs Yr 2'!$AJ123=BP$4,'Inputs Yr 2'!$AK123,IF('Inputs Yr 2'!$AL123=BP$4,'Inputs Yr 2'!$AM123,IF('Inputs Yr 2'!$AN123=BP$4,'Inputs Yr 2'!$AO123,0))))*(INDEX(avoidedcosttbl2,$H123,BY$2)+(($H123-ROUNDDOWN($H123,0))*(INDEX(avoidedcosttbl2,ROUNDUP($H123,0),BY$2)-(INDEX(avoidedcosttbl2,ROUNDDOWN($H123,0),BY$2)))))*'Inputs Yr 2'!P123*'Inputs Yr 2'!Q123*'Inputs Yr 2'!U123,"")</f>
        <v/>
      </c>
      <c r="BZ123" s="193">
        <f t="shared" si="69"/>
        <v>0</v>
      </c>
      <c r="CA123" s="193">
        <f t="shared" si="70"/>
        <v>0</v>
      </c>
      <c r="CB123" s="195" t="str">
        <f>IFERROR(G123*(IF('Inputs Yr 2'!$AJ123=CB$4,'Inputs Yr 2'!$AK123,IF('Inputs Yr 2'!$AL123=CB$4,'Inputs Yr 2'!$AM123,IF('Inputs Yr 2'!$AN123=CB$4,'Inputs Yr 2'!$AO123,0))))*(INDEX(avoidedcosttbl2,$H123,CB$2)+(($H123-ROUNDDOWN($H123,0))*(INDEX(avoidedcosttbl2,ROUNDUP($H123,0),CB$2)-(INDEX(avoidedcosttbl2,ROUNDDOWN($H123,0),CB$2)))))*'Inputs Yr 2'!P123*'Inputs Yr 2'!Q123*'Inputs Yr 2'!U123,"")</f>
        <v/>
      </c>
      <c r="CC123" s="195" t="str">
        <f>IFERROR(H123*(IF('Inputs Yr 2'!$AJ123=CC$4,'Inputs Yr 2'!$AK123,IF('Inputs Yr 2'!$AL123=CC$4,'Inputs Yr 2'!$AM123,IF('Inputs Yr 2'!$AN123=CC$4,'Inputs Yr 2'!$AO123,0))))*(INDEX(avoidedcosttbl2,$H123,CC$2)+(($H123-ROUNDDOWN($H123,0))*(INDEX(avoidedcosttbl2,ROUNDUP($H123,0),CC$2)-(INDEX(avoidedcosttbl2,ROUNDDOWN($H123,0),CC$2)))))*'Inputs Yr 2'!Q123*'Inputs Yr 2'!R123*'Inputs Yr 2'!V123,"")</f>
        <v/>
      </c>
      <c r="CD123" s="195" t="str">
        <f>IFERROR(I123*(IF('Inputs Yr 2'!$AJ123=CD$4,'Inputs Yr 2'!$AK123,IF('Inputs Yr 2'!$AL123=CD$4,'Inputs Yr 2'!$AM123,IF('Inputs Yr 2'!$AN123=CD$4,'Inputs Yr 2'!$AO123,0))))*(INDEX(avoidedcosttbl2,$H123,CD$2)+(($H123-ROUNDDOWN($H123,0))*(INDEX(avoidedcosttbl2,ROUNDUP($H123,0),CD$2)-(INDEX(avoidedcosttbl2,ROUNDDOWN($H123,0),CD$2)))))*'Inputs Yr 2'!R123*'Inputs Yr 2'!S123*'Inputs Yr 2'!W123,"")</f>
        <v/>
      </c>
      <c r="CE123" s="213" t="str">
        <f t="shared" si="71"/>
        <v/>
      </c>
      <c r="CF123" s="213" t="str">
        <f t="shared" si="72"/>
        <v/>
      </c>
      <c r="CG123" s="213" t="str">
        <f t="shared" si="73"/>
        <v/>
      </c>
      <c r="CH123" s="698">
        <f t="shared" si="74"/>
        <v>0</v>
      </c>
      <c r="CI123" s="79" t="str">
        <f>IFERROR(($G123*'Inputs Yr 2'!$P123*'Inputs Yr 2'!$Q123*(((INDEX(avoidedcosttbl2,$H123,CI$2)+(($H123-ROUNDDOWN($H123,0))*(INDEX(avoidedcosttbl2,ROUNDUP($H123,0),CI$2)-INDEX(avoidedcosttbl2,ROUNDDOWN($H123,0),CI$2))))*'Inputs Yr 2'!AS123))),"")</f>
        <v/>
      </c>
      <c r="CJ123" s="504">
        <f>IFERROR($G123*'Inputs Yr 2'!AT123*'Inputs Yr 2'!$P123*'Inputs Yr 2'!$Q123/((1+realdiscrt1)^-0.5),"")</f>
        <v>0</v>
      </c>
      <c r="CK123" s="79" t="str">
        <f>IFERROR((O123*1000*(((INDEX(avoidedcosttbl2,$H123,CK$2)+(($H123-ROUNDDOWN($H123,0))*(INDEX(avoidedcosttbl2,ROUNDUP($H123,0),CK$2)-INDEX(avoidedcosttbl2,ROUNDDOWN($H123,0),CK$2))))*'Inputs Yr 2'!AU123))),"")</f>
        <v/>
      </c>
      <c r="CL123" s="504">
        <f>IFERROR(O123*1000*'Inputs Yr 2'!AV123/((1+realdiscrt1)^-0.5),"")</f>
        <v>0</v>
      </c>
      <c r="CM123" s="79" t="str">
        <f>IFERROR((AB123*'Inputs Yr 2'!AW123*(((INDEX(avoidedcosttbl2,$H123,CM$2)+(($H123-ROUNDDOWN($H123,0))*(INDEX(avoidedcosttbl2,ROUNDUP($H123,0),CM$2)-INDEX(avoidedcosttbl2,ROUNDDOWN($H123,0),CM$2)))))))*10,"")</f>
        <v/>
      </c>
      <c r="CN123" s="504">
        <f>IFERROR(10*AB123*'Inputs Yr 2'!AX123/((1+realdiscrt1)^-0.5),"")</f>
        <v>0</v>
      </c>
      <c r="CO123" s="505">
        <f t="shared" si="75"/>
        <v>0</v>
      </c>
      <c r="CP123" s="230">
        <f t="shared" si="76"/>
        <v>0</v>
      </c>
      <c r="CQ123" s="199">
        <f>ROUND(IFERROR(IF(LEFT($A123,1)="C",'Avoided Costs'!$K$13,'Avoided Costs'!$K$12)+1,""),4)</f>
        <v>1.0720000000000001</v>
      </c>
      <c r="CR123" s="199">
        <f>ROUND(IFERROR(IF(LEFT($A123,1)="C",'Avoided Costs'!$L$13,'Avoided Costs'!$L$12)+1,""),4)</f>
        <v>1.04</v>
      </c>
      <c r="CS123" s="199">
        <f>ROUND(IFERROR(IF(LEFT($A123,1)="C",'Avoided Costs'!$M$13,'Avoided Costs'!$M$12)+1,""),4)</f>
        <v>1.0720000000000001</v>
      </c>
      <c r="CT123" s="199">
        <f>ROUND(IFERROR(IF(LEFT($A123,1)="C",'Avoided Costs'!$N$13,'Avoided Costs'!$N$12)+1,""),4)</f>
        <v>1.04</v>
      </c>
      <c r="CU123" s="199">
        <f>ROUND(IFERROR(IF(LEFT($A123,1)="C",'Avoided Costs'!$O$13,'Avoided Costs'!$O$12)+1,""),4)</f>
        <v>1.1120000000000001</v>
      </c>
      <c r="CV123" s="199">
        <f>ROUND(IFERROR(IF(LEFT($A123,1)="C",'Avoided Costs'!$P$13,'Avoided Costs'!$P$12)+1,""),4)</f>
        <v>1.095</v>
      </c>
      <c r="CW123" s="199">
        <f>ROUND(IFERROR(IF(LEFT($A123,1)="C",'Avoided Costs'!$Q$13,'Avoided Costs'!$Q$12)+1,""),4)</f>
        <v>1.1120000000000001</v>
      </c>
      <c r="CX123" s="200">
        <f>ROUND(IFERROR(IF(LEFT($A123,1)="C",'Avoided Costs'!$R$13,'Avoided Costs'!$R$12)+1,""),4)</f>
        <v>1.1120000000000001</v>
      </c>
    </row>
    <row r="124" spans="1:102" ht="12.75" customHeight="1">
      <c r="A124" s="91" t="str">
        <f>IF('Inputs Yr 2'!$B124=0,"",'Inputs Yr 2'!A124)</f>
        <v>B - Low Income</v>
      </c>
      <c r="B124" s="91" t="str">
        <f>IF('Inputs Yr 2'!$B124=0,"",'Inputs Yr 2'!B124)</f>
        <v>B1 - Low-Income Whole House</v>
      </c>
      <c r="C124" s="91" t="str">
        <f>IF('Inputs Yr 2'!$B124=0,"",'Inputs Yr 2'!C124)</f>
        <v>B1b - Low-Income Multi-Family Retrofit</v>
      </c>
      <c r="D124" s="91" t="str">
        <f>IF('Inputs Yr 2'!$B124=0,"",'Inputs Yr 2'!E124)</f>
        <v>Furnace Retrofit, Gas</v>
      </c>
      <c r="E124" s="93" t="str">
        <f>IF('Inputs Yr 2'!$B124=0,"",'Inputs Yr 2'!F124)</f>
        <v>G16B1b05</v>
      </c>
      <c r="F124" s="93" t="str">
        <f>IF('Inputs Yr 2'!$B124=0,"",'Inputs Yr 2'!G124)</f>
        <v>HVAC</v>
      </c>
      <c r="G124" s="95">
        <f>IF('Inputs Yr 2'!$H124&lt;&gt;0,('Inputs Yr 2'!H124),"")</f>
        <v>5</v>
      </c>
      <c r="H124" s="94">
        <f>IFERROR('Inputs Yr 2'!I124,"")</f>
        <v>18</v>
      </c>
      <c r="I124" s="298">
        <f>IFERROR('Inputs Yr 2'!J124*'Inputs Yr 2'!P124*G124,"")</f>
        <v>44920</v>
      </c>
      <c r="J124" s="298">
        <f>IFERROR('Inputs Yr 2'!K124*G124,"")</f>
        <v>44920</v>
      </c>
      <c r="K124" s="298">
        <f t="shared" si="53"/>
        <v>0</v>
      </c>
      <c r="L124" s="194">
        <f>IFERROR(('Inputs Yr 2'!W124*G124)/1000,"")</f>
        <v>0</v>
      </c>
      <c r="M124" s="194">
        <f>IFERROR(L124*('Inputs Yr 2'!$Q124*'Inputs Yr 2'!$V124*'Inputs Yr 2'!$R124),"")</f>
        <v>0</v>
      </c>
      <c r="N124" s="194">
        <f t="shared" si="54"/>
        <v>0</v>
      </c>
      <c r="O124" s="194">
        <f>IFERROR(M124*'Inputs Yr 2'!P124,"")</f>
        <v>0</v>
      </c>
      <c r="P124" s="194">
        <f t="shared" si="55"/>
        <v>0</v>
      </c>
      <c r="Q124" s="194">
        <f>IFERROR($P124*'Inputs Yr 2'!AA124,"")</f>
        <v>0</v>
      </c>
      <c r="R124" s="194">
        <f>IFERROR($P124*'Inputs Yr 2'!AB124,"")</f>
        <v>0</v>
      </c>
      <c r="S124" s="194">
        <f>IFERROR($P124*'Inputs Yr 2'!AC124,"")</f>
        <v>0</v>
      </c>
      <c r="T124" s="194">
        <f>IFERROR($P124*'Inputs Yr 2'!AD124,"")</f>
        <v>0</v>
      </c>
      <c r="U124" s="194">
        <f>IFERROR(G124*'Inputs Yr 2'!$AE124*'Inputs Yr 2'!$P124*'Inputs Yr 2'!$Q124,"")</f>
        <v>0</v>
      </c>
      <c r="V124" s="194">
        <f>IFERROR($G124*'Inputs Yr 2'!$AE124*'Inputs Yr 2'!$AG124*'Inputs Yr 2'!Q124*'Inputs Yr 2'!$S124,"")</f>
        <v>0</v>
      </c>
      <c r="W124" s="194">
        <f>IFERROR($G124*'Inputs Yr 2'!$AE124*'Inputs Yr 2'!$AG124*'Inputs Yr 2'!P124*'Inputs Yr 2'!Q124*'Inputs Yr 2'!$S124,"")</f>
        <v>0</v>
      </c>
      <c r="X124" s="194">
        <f>IFERROR($G124*'Inputs Yr 2'!$AE124*'Inputs Yr 2'!$AF124*'Inputs Yr 2'!Q124*'Inputs Yr 2'!$T124,"")</f>
        <v>0</v>
      </c>
      <c r="Y124" s="194">
        <f>IFERROR($G124*'Inputs Yr 2'!$AE124*'Inputs Yr 2'!$AF124*'Inputs Yr 2'!P124*'Inputs Yr 2'!Q124*'Inputs Yr 2'!$T124,"")</f>
        <v>0</v>
      </c>
      <c r="Z124" s="257">
        <f>IFERROR($G124*'Inputs Yr 2'!$Q124*'Inputs Yr 2'!$U124*(IF(IFERROR(SEARCH("NG", 'Inputs Yr 2'!$AJ124),0),'Inputs Yr 2'!$AK124,0)+IF(IFERROR(SEARCH("NG", 'Inputs Yr 2'!$AL124),0),'Inputs Yr 2'!$AM124,0)+IF(IFERROR(SEARCH("NG", 'Inputs Yr 2'!$AN124),0),'Inputs Yr 2'!$AO124,0)),0)</f>
        <v>180.63145400000002</v>
      </c>
      <c r="AA124" s="257">
        <f t="shared" si="56"/>
        <v>3251.3661720000005</v>
      </c>
      <c r="AB124" s="257">
        <f>IFERROR(Z124*'Inputs Yr 2'!$P124,0)</f>
        <v>180.63145400000002</v>
      </c>
      <c r="AC124" s="257">
        <f t="shared" si="57"/>
        <v>3251.3661720000005</v>
      </c>
      <c r="AD124" s="257">
        <f>IFERROR($G124*'Inputs Yr 2'!$Q124*'Inputs Yr 2'!$U124*(IF(IFERROR(SEARCH("Oil", 'Inputs Yr 2'!$AJ124), 0),'Inputs Yr 2'!$AK124,0)+IF(IFERROR(SEARCH("Oil", 'Inputs Yr 2'!$AL124), 0),'Inputs Yr 2'!$AM124,0)+IF(IFERROR(SEARCH("Oil", 'Inputs Yr 2'!$AN124), 0),'Inputs Yr 2'!$AO124,0)),0)</f>
        <v>0</v>
      </c>
      <c r="AE124" s="257">
        <f t="shared" si="58"/>
        <v>0</v>
      </c>
      <c r="AF124" s="257">
        <f>IFERROR(AD124*'Inputs Yr 2'!$P124,0)</f>
        <v>0</v>
      </c>
      <c r="AG124" s="257">
        <f t="shared" si="59"/>
        <v>0</v>
      </c>
      <c r="AH124" s="257">
        <f>IFERROR($G124*'Inputs Yr 2'!$Q124*'Inputs Yr 2'!$U124*(IF('Inputs Yr 2'!$AJ124=CD$4,'Inputs Yr 2'!$AK124,IF('Inputs Yr 2'!$AL124=CD$4,'Inputs Yr 2'!$AM124,IF('Inputs Yr 2'!$AN124=CD$4,'Inputs Yr 2'!$AO124,0)))),0)</f>
        <v>0</v>
      </c>
      <c r="AI124" s="257">
        <f t="shared" si="60"/>
        <v>0</v>
      </c>
      <c r="AJ124" s="257">
        <f>IFERROR(AH124*'Inputs Yr 2'!$P124,0)</f>
        <v>0</v>
      </c>
      <c r="AK124" s="257">
        <f t="shared" si="61"/>
        <v>0</v>
      </c>
      <c r="AL124" s="258">
        <f>IFERROR($G124*'Inputs Yr 2'!$P124*'Inputs Yr 2'!$Q124*'Inputs Yr 2'!AP124,0)</f>
        <v>0</v>
      </c>
      <c r="AM124" s="260">
        <f>IFERROR($G124*'Inputs Yr 2'!$P124*'Inputs Yr 2'!$Q124*'Inputs Yr 2'!AQ124,0)</f>
        <v>0</v>
      </c>
      <c r="AN124" s="258">
        <f>IFERROR($G124*'Inputs Yr 2'!$P124*'Inputs Yr 2'!$Q124*'Inputs Yr 2'!AR124,0)</f>
        <v>0</v>
      </c>
      <c r="AO124" s="257">
        <f t="shared" si="62"/>
        <v>0</v>
      </c>
      <c r="AP124" s="195">
        <f>IFERROR($CQ124*(INDEX(avoidedcosttbl2,$H124,AP$2)+(($H124-ROUNDDOWN($H124,0))*(INDEX(avoidedcosttbl2,ROUNDUP($H124,0),AP$2)-(INDEX(avoidedcosttbl2,ROUNDDOWN($H124,0),AP$2)))))*$O124*1000*'Inputs Yr 2'!AA124,"")</f>
        <v>0</v>
      </c>
      <c r="AQ124" s="195">
        <f>IFERROR($CR124*(INDEX(avoidedcosttbl2,$H124,AQ$2)+(($H124-ROUNDDOWN($H124,0))*(INDEX(avoidedcosttbl2,ROUNDUP($H124,0),AQ$2)-(INDEX(avoidedcosttbl2,ROUNDDOWN($H124,0),AQ$2)))))*$O124*1000*'Inputs Yr 2'!AB124,"")</f>
        <v>0</v>
      </c>
      <c r="AR124" s="195">
        <f>IFERROR($CS124*(INDEX(avoidedcosttbl2,$H124,AR$2)+(($H124-ROUNDDOWN($H124,0))*(INDEX(avoidedcosttbl2,ROUNDUP($H124,0),AR$2)-(INDEX(avoidedcosttbl2,ROUNDDOWN($H124,0),AR$2)))))*$O124*1000*'Inputs Yr 2'!AC124,"")</f>
        <v>0</v>
      </c>
      <c r="AS124" s="195">
        <f>IFERROR($CT124*(INDEX(avoidedcosttbl2,$H124,AS$2)+(($H124-ROUNDDOWN($H124,0))*(INDEX(avoidedcosttbl2,ROUNDUP($H124,0),AS$2)-(INDEX(avoidedcosttbl2,ROUNDDOWN($H124,0),AS$2)))))*$O124*1000*'Inputs Yr 2'!AD124,"")</f>
        <v>0</v>
      </c>
      <c r="AT124" s="196">
        <f t="shared" si="63"/>
        <v>0</v>
      </c>
      <c r="AU124" s="197">
        <f>IFERROR($CQ124*((INDEX(avoidedcosttbl2,$H124,AU$2))+(($H124-ROUNDDOWN($H124,0))*((INDEX(avoidedcosttbl2,ROUNDUP($H124,0),AU$2))-(INDEX(avoidedcosttbl2,ROUNDDOWN($H124,0),AU$2)))))*$O124*1000*'Inputs Yr 2'!AA124,"")</f>
        <v>0</v>
      </c>
      <c r="AV124" s="197">
        <f>IFERROR($CR124*((INDEX(avoidedcosttbl2,$H124,AV$2))+(($H124-ROUNDDOWN($H124,0))*((INDEX(avoidedcosttbl2,ROUNDUP($H124,0),AV$2))-(INDEX(avoidedcosttbl2,ROUNDDOWN($H124,0),AV$2)))))*$O124*1000*'Inputs Yr 2'!AB124,"")</f>
        <v>0</v>
      </c>
      <c r="AW124" s="197">
        <f>IFERROR($CS124*((INDEX(avoidedcosttbl2,$H124,AW$2))+(($H124-ROUNDDOWN($H124,0))*((INDEX(avoidedcosttbl2,ROUNDUP($H124,0),AW$2))-(INDEX(avoidedcosttbl2,ROUNDDOWN($H124,0),AW$2)))))*$O124*1000*'Inputs Yr 2'!AC124,"")</f>
        <v>0</v>
      </c>
      <c r="AX124" s="197">
        <f>IFERROR($CT124*((INDEX(avoidedcosttbl2,$H124,AX$2))+(($H124-ROUNDDOWN($H124,0))*((INDEX(avoidedcosttbl2,ROUNDUP($H124,0),AX$2))-(INDEX(avoidedcosttbl2,ROUNDDOWN($H124,0),AX$2)))))*$O124*1000*'Inputs Yr 2'!AD124,"")</f>
        <v>0</v>
      </c>
      <c r="AY124" s="197">
        <f>IFERROR(((INDEX(avoidedcosttbl2,$H124,AY$2))+(($H124-ROUNDDOWN($H124,0))*((INDEX(avoidedcosttbl2,ROUNDUP($H124,0),AY$2))-(INDEX(avoidedcosttbl2,ROUNDDOWN($H124,0),AY$2)))))*$O124*1000*('Inputs Yr 2'!AC124+'Inputs Yr 2'!AD124),"")</f>
        <v>0</v>
      </c>
      <c r="AZ124" s="197">
        <f>IFERROR(((INDEX(avoidedcosttbl2,$H124,AZ$2))+(($H124-ROUNDDOWN($H124,0))*((INDEX(avoidedcosttbl2,ROUNDUP($H124,0),AZ$2))-(INDEX(avoidedcosttbl2,ROUNDDOWN($H124,0),AZ$2)))))*$O124*1000*('Inputs Yr 2'!AA124+'Inputs Yr 2'!AB124),"")</f>
        <v>0</v>
      </c>
      <c r="BA124" s="198">
        <f t="shared" si="64"/>
        <v>0</v>
      </c>
      <c r="BB124" s="198">
        <f t="shared" si="65"/>
        <v>0</v>
      </c>
      <c r="BC124" s="195">
        <f t="shared" si="47"/>
        <v>0</v>
      </c>
      <c r="BD124" s="195">
        <f t="shared" si="48"/>
        <v>0</v>
      </c>
      <c r="BE124" s="195">
        <f t="shared" si="49"/>
        <v>0</v>
      </c>
      <c r="BF124" s="195">
        <f t="shared" si="50"/>
        <v>0</v>
      </c>
      <c r="BG124" s="195">
        <f t="shared" si="51"/>
        <v>0</v>
      </c>
      <c r="BH124" s="196">
        <f t="shared" si="66"/>
        <v>0</v>
      </c>
      <c r="BI124" s="196">
        <f t="shared" si="67"/>
        <v>0</v>
      </c>
      <c r="BJ124" s="195">
        <f>IFERROR($G124*(IF('Inputs Yr 2'!$AJ124=BJ$4,'Inputs Yr 2'!$AK124,IF('Inputs Yr 2'!$AL124=BJ$4,'Inputs Yr 2'!$AM124,IF('Inputs Yr 2'!$AN124=BJ$4,'Inputs Yr 2'!$AO124,0))))*(INDEX(avoidedcosttbl2,$H124,BJ$2)+(($H124-ROUNDDOWN($H124,0))*(INDEX(avoidedcosttbl2,ROUNDUP($H124,0),BJ$2)-(INDEX(avoidedcosttbl2,ROUNDDOWN($H124,0),BJ$2)))))*'Inputs Yr 2'!P124*'Inputs Yr 2'!Q124*'Inputs Yr 2'!U124,"")</f>
        <v>0</v>
      </c>
      <c r="BK124" s="195">
        <f>IFERROR($G124*(IF('Inputs Yr 2'!$AJ124=BK$4,'Inputs Yr 2'!$AK124,IF('Inputs Yr 2'!$AL124=BK$4,'Inputs Yr 2'!$AM124,IF('Inputs Yr 2'!$AN124=BK$4,'Inputs Yr 2'!$AO124,0))))*(INDEX(avoidedcosttbl2,$H124,BK$2)+(($H124-ROUNDDOWN($H124,0))*(INDEX(avoidedcosttbl2,ROUNDUP($H124,0),BK$2)-(INDEX(avoidedcosttbl2,ROUNDDOWN($H124,0),BK$2)))))*'Inputs Yr 2'!P124*'Inputs Yr 2'!Q124*'Inputs Yr 2'!U124,"")</f>
        <v>0</v>
      </c>
      <c r="BL124" s="195">
        <f>IFERROR($G124*(IF('Inputs Yr 2'!$AJ124=BL$4,'Inputs Yr 2'!$AK124,IF('Inputs Yr 2'!$AL124=BL$4,'Inputs Yr 2'!$AM124,IF('Inputs Yr 2'!$AN124=BL$4,'Inputs Yr 2'!$AO124,0))))*(INDEX(avoidedcosttbl2,$H124,BL$2)+(($H124-ROUNDDOWN($H124,0))*(INDEX(avoidedcosttbl2,ROUNDUP($H124,0),BL$2)-(INDEX(avoidedcosttbl2,ROUNDDOWN($H124,0),BL$2)))))*'Inputs Yr 2'!P124*'Inputs Yr 2'!Q124*'Inputs Yr 2'!U124,"")</f>
        <v>27873.735852065834</v>
      </c>
      <c r="BM124" s="195">
        <f>IFERROR($G124*(IF('Inputs Yr 2'!$AJ124=BM$4,'Inputs Yr 2'!$AK124,IF('Inputs Yr 2'!$AL124=BM$4,'Inputs Yr 2'!$AM124,IF('Inputs Yr 2'!$AN124=BM$4,'Inputs Yr 2'!$AO124,0))))*(INDEX(avoidedcosttbl2,$H124,BM$2)+(($H124-ROUNDDOWN($H124,0))*(INDEX(avoidedcosttbl2,ROUNDUP($H124,0),BM$2)-(INDEX(avoidedcosttbl2,ROUNDDOWN($H124,0),BM$2)))))*'Inputs Yr 2'!P124*'Inputs Yr 2'!Q124*'Inputs Yr 2'!U124,"")</f>
        <v>0</v>
      </c>
      <c r="BN124" s="195">
        <f>IFERROR($G124*(IF('Inputs Yr 2'!$AJ124=BN$4,'Inputs Yr 2'!$AK124,IF('Inputs Yr 2'!$AL124=BN$4,'Inputs Yr 2'!$AM124,IF('Inputs Yr 2'!$AN124=BN$4,'Inputs Yr 2'!$AO124,0))))*(INDEX(avoidedcosttbl2,$H124,BN$2)+(($H124-ROUNDDOWN($H124,0))*(INDEX(avoidedcosttbl2,ROUNDUP($H124,0),BN$2)-(INDEX(avoidedcosttbl2,ROUNDDOWN($H124,0),BN$2)))))*'Inputs Yr 2'!P124*'Inputs Yr 2'!Q124*'Inputs Yr 2'!U124,"")</f>
        <v>0</v>
      </c>
      <c r="BO124" s="195">
        <f>IFERROR($G124*(IF('Inputs Yr 2'!$AJ124=BO$4,'Inputs Yr 2'!$AK124,IF('Inputs Yr 2'!$AL124=BO$4,'Inputs Yr 2'!$AM124,IF('Inputs Yr 2'!$AN124=BO$4,'Inputs Yr 2'!$AO124,0))))*(INDEX(avoidedcosttbl2,$H124,BO$2)+(($H124-ROUNDDOWN($H124,0))*(INDEX(avoidedcosttbl2,ROUNDUP($H124,0),BO$2)-(INDEX(avoidedcosttbl2,ROUNDDOWN($H124,0),BO$2)))))*'Inputs Yr 2'!P124*'Inputs Yr 2'!Q124*'Inputs Yr 2'!U124,"")</f>
        <v>0</v>
      </c>
      <c r="BP124" s="195">
        <f>IFERROR($G124*(IF('Inputs Yr 2'!$AJ124=BP$4,'Inputs Yr 2'!$AK124,IF('Inputs Yr 2'!$AL124=BP$4,'Inputs Yr 2'!$AM124,IF('Inputs Yr 2'!$AN124=BP$4,'Inputs Yr 2'!$AO124,0))))*(INDEX(avoidedcosttbl2,$H124,BP$2)+(($H124-ROUNDDOWN($H124,0))*(INDEX(avoidedcosttbl2,ROUNDUP($H124,0),BP$2)-(INDEX(avoidedcosttbl2,ROUNDDOWN($H124,0),BP$2)))))*'Inputs Yr 2'!P124*'Inputs Yr 2'!Q124*'Inputs Yr 2'!U124,"")</f>
        <v>0</v>
      </c>
      <c r="BQ124" s="230">
        <f t="shared" si="68"/>
        <v>27873.735852065834</v>
      </c>
      <c r="BR124" s="197">
        <f t="shared" si="52"/>
        <v>437.83849191166411</v>
      </c>
      <c r="BS124" s="197">
        <f>IFERROR(($G124*IF('Inputs Yr 2'!$AJ124=BM$4,'Inputs Yr 2'!$AK124,IF('Inputs Yr 2'!$AL124=BM$4,'Inputs Yr 2'!$AM124,IF('Inputs Yr 2'!$AN124=BM$4,'Inputs Yr 2'!$AO124,0))))*(INDEX(avoidedcosttbl2,$H124,BS$2)+(($H124-ROUNDDOWN($H124,0))*(INDEX(avoidedcosttbl2,ROUNDUP($H124,0),BS$2)-(INDEX(avoidedcosttbl2,ROUNDDOWN($H124,0),BS$2)))))*'Inputs Yr 2'!P124*'Inputs Yr 2'!Q124*'Inputs Yr 2'!U124,"")</f>
        <v>0</v>
      </c>
      <c r="BT124" s="197">
        <f>IFERROR(($G124*IF('Inputs Yr 2'!$AJ124=BK$4,'Inputs Yr 2'!$AK124,IF('Inputs Yr 2'!$AL124=BK$4,'Inputs Yr 2'!$AM124,IF('Inputs Yr 2'!$AN124=BK$4,'Inputs Yr 2'!$AO124,0))))*(INDEX(avoidedcosttbl2,$H124,BT$2)+(($H124-ROUNDDOWN($H124,0))*(INDEX(avoidedcosttbl2,ROUNDUP($H124,0),BT$2)-(INDEX(avoidedcosttbl2,ROUNDDOWN($H124,0),BT$2)))))*'Inputs Yr 2'!P124*'Inputs Yr 2'!Q124*'Inputs Yr 2'!U124,"")</f>
        <v>0</v>
      </c>
      <c r="BU124" s="197">
        <f>IFERROR(($G124*IF('Inputs Yr 2'!$AJ124=BL$4,'Inputs Yr 2'!$AK124,IF('Inputs Yr 2'!$AL124=BL$4,'Inputs Yr 2'!$AM124,IF('Inputs Yr 2'!$AN124=BL$4,'Inputs Yr 2'!$AO124,0))))*(INDEX(avoidedcosttbl2,$H124,BU$2)+(($H124-ROUNDDOWN($H124,0))*(INDEX(avoidedcosttbl2,ROUNDUP($H124,0),BU$2)-(INDEX(avoidedcosttbl2,ROUNDDOWN($H124,0),BU$2)))))*'Inputs Yr 2'!P124*'Inputs Yr 2'!Q124*'Inputs Yr 2'!U124,"")</f>
        <v>1441.7930410109204</v>
      </c>
      <c r="BV124" s="775">
        <f>IFERROR(($G124*IF('Inputs Yr 2'!$AJ124=BJ$4,'Inputs Yr 2'!$AK124,IF('Inputs Yr 2'!$AL124=BJ$4,'Inputs Yr 2'!$AM124,IF('Inputs Yr 2'!$AN124=BJ$4,'Inputs Yr 2'!$AO124,0))))*(INDEX(avoidedcosttbl2,$H124,BV$2)+(($H124-ROUNDDOWN($H124,0))*(INDEX(avoidedcosttbl2,ROUNDUP($H124,0),BV$2)-(INDEX(avoidedcosttbl2,ROUNDDOWN($H124,0),BV$2)))))*'Inputs Yr 2'!P124*'Inputs Yr 2'!Q124*'Inputs Yr 2'!U124,"")</f>
        <v>0</v>
      </c>
      <c r="BW124" s="197">
        <f>IFERROR(($G124*IF('Inputs Yr 2'!$AJ124=BN$4,'Inputs Yr 2'!$AK124,IF('Inputs Yr 2'!$AL124=BN$4,'Inputs Yr 2'!$AM124,IF('Inputs Yr 2'!$AN124=BN$4,'Inputs Yr 2'!$AO124,0))))*(INDEX(avoidedcosttbl2,$H124,BW$2)+(($H124-ROUNDDOWN($H124,0))*(INDEX(avoidedcosttbl2,ROUNDUP($H124,0),BW$2)-(INDEX(avoidedcosttbl2,ROUNDDOWN($H124,0),BW$2)))))*'Inputs Yr 2'!P124*'Inputs Yr 2'!Q124*'Inputs Yr 2'!U124,"")</f>
        <v>0</v>
      </c>
      <c r="BX124" s="197">
        <f>IFERROR(($G124*IF('Inputs Yr 2'!$AJ124=BO$4,'Inputs Yr 2'!$AK124,IF('Inputs Yr 2'!$AL124=BO$4,'Inputs Yr 2'!$AM124,IF('Inputs Yr 2'!$AN124=BO$4,'Inputs Yr 2'!$AO124,0))))*(INDEX(avoidedcosttbl2,$H124,BX$2)+(($H124-ROUNDDOWN($H124,0))*(INDEX(avoidedcosttbl2,ROUNDUP($H124,0),BX$2)-(INDEX(avoidedcosttbl2,ROUNDDOWN($H124,0),BX$2)))))*'Inputs Yr 2'!P124*'Inputs Yr 2'!Q124*'Inputs Yr 2'!U124,"")</f>
        <v>0</v>
      </c>
      <c r="BY124" s="197">
        <f>IFERROR(($G124*IF('Inputs Yr 2'!$AJ124=BP$4,'Inputs Yr 2'!$AK124,IF('Inputs Yr 2'!$AL124=BP$4,'Inputs Yr 2'!$AM124,IF('Inputs Yr 2'!$AN124=BP$4,'Inputs Yr 2'!$AO124,0))))*(INDEX(avoidedcosttbl2,$H124,BY$2)+(($H124-ROUNDDOWN($H124,0))*(INDEX(avoidedcosttbl2,ROUNDUP($H124,0),BY$2)-(INDEX(avoidedcosttbl2,ROUNDDOWN($H124,0),BY$2)))))*'Inputs Yr 2'!P124*'Inputs Yr 2'!Q124*'Inputs Yr 2'!U124,"")</f>
        <v>0</v>
      </c>
      <c r="BZ124" s="193">
        <f t="shared" si="69"/>
        <v>1879.6315329225845</v>
      </c>
      <c r="CA124" s="193">
        <f t="shared" si="70"/>
        <v>29753.367384988418</v>
      </c>
      <c r="CB124" s="195">
        <f>IFERROR(G124*(IF('Inputs Yr 2'!$AJ124=CB$4,'Inputs Yr 2'!$AK124,IF('Inputs Yr 2'!$AL124=CB$4,'Inputs Yr 2'!$AM124,IF('Inputs Yr 2'!$AN124=CB$4,'Inputs Yr 2'!$AO124,0))))*(INDEX(avoidedcosttbl2,$H124,CB$2)+(($H124-ROUNDDOWN($H124,0))*(INDEX(avoidedcosttbl2,ROUNDUP($H124,0),CB$2)-(INDEX(avoidedcosttbl2,ROUNDDOWN($H124,0),CB$2)))))*'Inputs Yr 2'!P124*'Inputs Yr 2'!Q124*'Inputs Yr 2'!U124,"")</f>
        <v>0</v>
      </c>
      <c r="CC124" s="195">
        <f>IFERROR(H124*(IF('Inputs Yr 2'!$AJ124=CC$4,'Inputs Yr 2'!$AK124,IF('Inputs Yr 2'!$AL124=CC$4,'Inputs Yr 2'!$AM124,IF('Inputs Yr 2'!$AN124=CC$4,'Inputs Yr 2'!$AO124,0))))*(INDEX(avoidedcosttbl2,$H124,CC$2)+(($H124-ROUNDDOWN($H124,0))*(INDEX(avoidedcosttbl2,ROUNDUP($H124,0),CC$2)-(INDEX(avoidedcosttbl2,ROUNDDOWN($H124,0),CC$2)))))*'Inputs Yr 2'!Q124*'Inputs Yr 2'!R124*'Inputs Yr 2'!V124,"")</f>
        <v>0</v>
      </c>
      <c r="CD124" s="195">
        <f>IFERROR(I124*(IF('Inputs Yr 2'!$AJ124=CD$4,'Inputs Yr 2'!$AK124,IF('Inputs Yr 2'!$AL124=CD$4,'Inputs Yr 2'!$AM124,IF('Inputs Yr 2'!$AN124=CD$4,'Inputs Yr 2'!$AO124,0))))*(INDEX(avoidedcosttbl2,$H124,CD$2)+(($H124-ROUNDDOWN($H124,0))*(INDEX(avoidedcosttbl2,ROUNDUP($H124,0),CD$2)-(INDEX(avoidedcosttbl2,ROUNDDOWN($H124,0),CD$2)))))*'Inputs Yr 2'!R124*'Inputs Yr 2'!S124*'Inputs Yr 2'!W124,"")</f>
        <v>0</v>
      </c>
      <c r="CE124" s="213">
        <f t="shared" si="71"/>
        <v>0</v>
      </c>
      <c r="CF124" s="213">
        <f t="shared" si="72"/>
        <v>0</v>
      </c>
      <c r="CG124" s="213">
        <f t="shared" si="73"/>
        <v>0</v>
      </c>
      <c r="CH124" s="698">
        <f t="shared" si="74"/>
        <v>29753.367384988418</v>
      </c>
      <c r="CI124" s="79">
        <f>IFERROR(($G124*'Inputs Yr 2'!$P124*'Inputs Yr 2'!$Q124*(((INDEX(avoidedcosttbl2,$H124,CI$2)+(($H124-ROUNDDOWN($H124,0))*(INDEX(avoidedcosttbl2,ROUNDUP($H124,0),CI$2)-INDEX(avoidedcosttbl2,ROUNDDOWN($H124,0),CI$2))))*'Inputs Yr 2'!AS124))),"")</f>
        <v>10722.62666370343</v>
      </c>
      <c r="CJ124" s="504">
        <f>IFERROR($G124*'Inputs Yr 2'!AT124*'Inputs Yr 2'!$P124*'Inputs Yr 2'!$Q124/((1+realdiscrt1)^-0.5),"")</f>
        <v>0</v>
      </c>
      <c r="CK124" s="79">
        <f>IFERROR((O124*1000*(((INDEX(avoidedcosttbl2,$H124,CK$2)+(($H124-ROUNDDOWN($H124,0))*(INDEX(avoidedcosttbl2,ROUNDUP($H124,0),CK$2)-INDEX(avoidedcosttbl2,ROUNDDOWN($H124,0),CK$2))))*'Inputs Yr 2'!AU124))),"")</f>
        <v>0</v>
      </c>
      <c r="CL124" s="504">
        <f>IFERROR(O124*1000*'Inputs Yr 2'!AV124/((1+realdiscrt1)^-0.5),"")</f>
        <v>0</v>
      </c>
      <c r="CM124" s="79">
        <f>IFERROR((AB124*'Inputs Yr 2'!AW124*(((INDEX(avoidedcosttbl2,$H124,CM$2)+(($H124-ROUNDDOWN($H124,0))*(INDEX(avoidedcosttbl2,ROUNDUP($H124,0),CM$2)-INDEX(avoidedcosttbl2,ROUNDDOWN($H124,0),CM$2)))))))*10,"")</f>
        <v>4189.1219179269674</v>
      </c>
      <c r="CN124" s="504">
        <f>IFERROR(10*AB124*'Inputs Yr 2'!AX124/((1+realdiscrt1)^-0.5),"")</f>
        <v>137.58158934259228</v>
      </c>
      <c r="CO124" s="505">
        <f t="shared" si="75"/>
        <v>15049.330170972988</v>
      </c>
      <c r="CP124" s="230">
        <f t="shared" si="76"/>
        <v>44802.697555961407</v>
      </c>
      <c r="CQ124" s="199">
        <f>ROUND(IFERROR(IF(LEFT($A124,1)="C",'Avoided Costs'!$K$13,'Avoided Costs'!$K$12)+1,""),4)</f>
        <v>1.0720000000000001</v>
      </c>
      <c r="CR124" s="199">
        <f>ROUND(IFERROR(IF(LEFT($A124,1)="C",'Avoided Costs'!$L$13,'Avoided Costs'!$L$12)+1,""),4)</f>
        <v>1.04</v>
      </c>
      <c r="CS124" s="199">
        <f>ROUND(IFERROR(IF(LEFT($A124,1)="C",'Avoided Costs'!$M$13,'Avoided Costs'!$M$12)+1,""),4)</f>
        <v>1.0720000000000001</v>
      </c>
      <c r="CT124" s="199">
        <f>ROUND(IFERROR(IF(LEFT($A124,1)="C",'Avoided Costs'!$N$13,'Avoided Costs'!$N$12)+1,""),4)</f>
        <v>1.04</v>
      </c>
      <c r="CU124" s="199">
        <f>ROUND(IFERROR(IF(LEFT($A124,1)="C",'Avoided Costs'!$O$13,'Avoided Costs'!$O$12)+1,""),4)</f>
        <v>1.1120000000000001</v>
      </c>
      <c r="CV124" s="199">
        <f>ROUND(IFERROR(IF(LEFT($A124,1)="C",'Avoided Costs'!$P$13,'Avoided Costs'!$P$12)+1,""),4)</f>
        <v>1.095</v>
      </c>
      <c r="CW124" s="199">
        <f>ROUND(IFERROR(IF(LEFT($A124,1)="C",'Avoided Costs'!$Q$13,'Avoided Costs'!$Q$12)+1,""),4)</f>
        <v>1.1120000000000001</v>
      </c>
      <c r="CX124" s="200">
        <f>ROUND(IFERROR(IF(LEFT($A124,1)="C",'Avoided Costs'!$R$13,'Avoided Costs'!$R$12)+1,""),4)</f>
        <v>1.1120000000000001</v>
      </c>
    </row>
    <row r="125" spans="1:102" ht="12.75" customHeight="1">
      <c r="A125" s="91" t="str">
        <f>IF('Inputs Yr 2'!$B125=0,"",'Inputs Yr 2'!A125)</f>
        <v>B - Low Income</v>
      </c>
      <c r="B125" s="91" t="str">
        <f>IF('Inputs Yr 2'!$B125=0,"",'Inputs Yr 2'!B125)</f>
        <v>B1 - Low-Income Whole House</v>
      </c>
      <c r="C125" s="91" t="str">
        <f>IF('Inputs Yr 2'!$B125=0,"",'Inputs Yr 2'!C125)</f>
        <v>B1b - Low-Income Multi-Family Retrofit</v>
      </c>
      <c r="D125" s="91" t="str">
        <f>IF('Inputs Yr 2'!$B125=0,"",'Inputs Yr 2'!E125)</f>
        <v>Commercial Boiler Retrofit, Gas</v>
      </c>
      <c r="E125" s="93" t="str">
        <f>IF('Inputs Yr 2'!$B125=0,"",'Inputs Yr 2'!F125)</f>
        <v>G16B1b06</v>
      </c>
      <c r="F125" s="93" t="str">
        <f>IF('Inputs Yr 2'!$B125=0,"",'Inputs Yr 2'!G125)</f>
        <v>HVAC</v>
      </c>
      <c r="G125" s="95">
        <f>IF('Inputs Yr 2'!$H125&lt;&gt;0,('Inputs Yr 2'!H125),"")</f>
        <v>420</v>
      </c>
      <c r="H125" s="94">
        <f>IFERROR('Inputs Yr 2'!I125,"")</f>
        <v>20</v>
      </c>
      <c r="I125" s="298">
        <f>IFERROR('Inputs Yr 2'!J125*'Inputs Yr 2'!P125*G125,"")</f>
        <v>8137645.0500000007</v>
      </c>
      <c r="J125" s="298">
        <f>IFERROR('Inputs Yr 2'!K125*G125,"")</f>
        <v>8137645.0500000007</v>
      </c>
      <c r="K125" s="298">
        <f t="shared" si="53"/>
        <v>0</v>
      </c>
      <c r="L125" s="194">
        <f>IFERROR(('Inputs Yr 2'!W125*G125)/1000,"")</f>
        <v>0</v>
      </c>
      <c r="M125" s="194">
        <f>IFERROR(L125*('Inputs Yr 2'!$Q125*'Inputs Yr 2'!$V125*'Inputs Yr 2'!$R125),"")</f>
        <v>0</v>
      </c>
      <c r="N125" s="194">
        <f t="shared" si="54"/>
        <v>0</v>
      </c>
      <c r="O125" s="194">
        <f>IFERROR(M125*'Inputs Yr 2'!P125,"")</f>
        <v>0</v>
      </c>
      <c r="P125" s="194">
        <f t="shared" si="55"/>
        <v>0</v>
      </c>
      <c r="Q125" s="194">
        <f>IFERROR($P125*'Inputs Yr 2'!AA125,"")</f>
        <v>0</v>
      </c>
      <c r="R125" s="194">
        <f>IFERROR($P125*'Inputs Yr 2'!AB125,"")</f>
        <v>0</v>
      </c>
      <c r="S125" s="194">
        <f>IFERROR($P125*'Inputs Yr 2'!AC125,"")</f>
        <v>0</v>
      </c>
      <c r="T125" s="194">
        <f>IFERROR($P125*'Inputs Yr 2'!AD125,"")</f>
        <v>0</v>
      </c>
      <c r="U125" s="194">
        <f>IFERROR(G125*'Inputs Yr 2'!$AE125*'Inputs Yr 2'!$P125*'Inputs Yr 2'!$Q125,"")</f>
        <v>0</v>
      </c>
      <c r="V125" s="194">
        <f>IFERROR($G125*'Inputs Yr 2'!$AE125*'Inputs Yr 2'!$AG125*'Inputs Yr 2'!Q125*'Inputs Yr 2'!$S125,"")</f>
        <v>0</v>
      </c>
      <c r="W125" s="194">
        <f>IFERROR($G125*'Inputs Yr 2'!$AE125*'Inputs Yr 2'!$AG125*'Inputs Yr 2'!P125*'Inputs Yr 2'!Q125*'Inputs Yr 2'!$S125,"")</f>
        <v>0</v>
      </c>
      <c r="X125" s="194">
        <f>IFERROR($G125*'Inputs Yr 2'!$AE125*'Inputs Yr 2'!$AF125*'Inputs Yr 2'!Q125*'Inputs Yr 2'!$T125,"")</f>
        <v>0</v>
      </c>
      <c r="Y125" s="194">
        <f>IFERROR($G125*'Inputs Yr 2'!$AE125*'Inputs Yr 2'!$AF125*'Inputs Yr 2'!P125*'Inputs Yr 2'!Q125*'Inputs Yr 2'!$T125,"")</f>
        <v>0</v>
      </c>
      <c r="Z125" s="257">
        <f>IFERROR($G125*'Inputs Yr 2'!$Q125*'Inputs Yr 2'!$U125*(IF(IFERROR(SEARCH("NG", 'Inputs Yr 2'!$AJ125),0),'Inputs Yr 2'!$AK125,0)+IF(IFERROR(SEARCH("NG", 'Inputs Yr 2'!$AL125),0),'Inputs Yr 2'!$AM125,0)+IF(IFERROR(SEARCH("NG", 'Inputs Yr 2'!$AN125),0),'Inputs Yr 2'!$AO125,0)),0)</f>
        <v>31275.369087000006</v>
      </c>
      <c r="AA125" s="257">
        <f t="shared" si="56"/>
        <v>625507.3817400001</v>
      </c>
      <c r="AB125" s="257">
        <f>IFERROR(Z125*'Inputs Yr 2'!$P125,0)</f>
        <v>31275.369087000006</v>
      </c>
      <c r="AC125" s="257">
        <f t="shared" si="57"/>
        <v>625507.3817400001</v>
      </c>
      <c r="AD125" s="257">
        <f>IFERROR($G125*'Inputs Yr 2'!$Q125*'Inputs Yr 2'!$U125*(IF(IFERROR(SEARCH("Oil", 'Inputs Yr 2'!$AJ125), 0),'Inputs Yr 2'!$AK125,0)+IF(IFERROR(SEARCH("Oil", 'Inputs Yr 2'!$AL125), 0),'Inputs Yr 2'!$AM125,0)+IF(IFERROR(SEARCH("Oil", 'Inputs Yr 2'!$AN125), 0),'Inputs Yr 2'!$AO125,0)),0)</f>
        <v>0</v>
      </c>
      <c r="AE125" s="257">
        <f t="shared" si="58"/>
        <v>0</v>
      </c>
      <c r="AF125" s="257">
        <f>IFERROR(AD125*'Inputs Yr 2'!$P125,0)</f>
        <v>0</v>
      </c>
      <c r="AG125" s="257">
        <f t="shared" si="59"/>
        <v>0</v>
      </c>
      <c r="AH125" s="257">
        <f>IFERROR($G125*'Inputs Yr 2'!$Q125*'Inputs Yr 2'!$U125*(IF('Inputs Yr 2'!$AJ125=CD$4,'Inputs Yr 2'!$AK125,IF('Inputs Yr 2'!$AL125=CD$4,'Inputs Yr 2'!$AM125,IF('Inputs Yr 2'!$AN125=CD$4,'Inputs Yr 2'!$AO125,0)))),0)</f>
        <v>0</v>
      </c>
      <c r="AI125" s="257">
        <f t="shared" si="60"/>
        <v>0</v>
      </c>
      <c r="AJ125" s="257">
        <f>IFERROR(AH125*'Inputs Yr 2'!$P125,0)</f>
        <v>0</v>
      </c>
      <c r="AK125" s="257">
        <f t="shared" si="61"/>
        <v>0</v>
      </c>
      <c r="AL125" s="258">
        <f>IFERROR($G125*'Inputs Yr 2'!$P125*'Inputs Yr 2'!$Q125*'Inputs Yr 2'!AP125,0)</f>
        <v>0</v>
      </c>
      <c r="AM125" s="260">
        <f>IFERROR($G125*'Inputs Yr 2'!$P125*'Inputs Yr 2'!$Q125*'Inputs Yr 2'!AQ125,0)</f>
        <v>0</v>
      </c>
      <c r="AN125" s="258">
        <f>IFERROR($G125*'Inputs Yr 2'!$P125*'Inputs Yr 2'!$Q125*'Inputs Yr 2'!AR125,0)</f>
        <v>0</v>
      </c>
      <c r="AO125" s="257">
        <f t="shared" si="62"/>
        <v>0</v>
      </c>
      <c r="AP125" s="195">
        <f>IFERROR($CQ125*(INDEX(avoidedcosttbl2,$H125,AP$2)+(($H125-ROUNDDOWN($H125,0))*(INDEX(avoidedcosttbl2,ROUNDUP($H125,0),AP$2)-(INDEX(avoidedcosttbl2,ROUNDDOWN($H125,0),AP$2)))))*$O125*1000*'Inputs Yr 2'!AA125,"")</f>
        <v>0</v>
      </c>
      <c r="AQ125" s="195">
        <f>IFERROR($CR125*(INDEX(avoidedcosttbl2,$H125,AQ$2)+(($H125-ROUNDDOWN($H125,0))*(INDEX(avoidedcosttbl2,ROUNDUP($H125,0),AQ$2)-(INDEX(avoidedcosttbl2,ROUNDDOWN($H125,0),AQ$2)))))*$O125*1000*'Inputs Yr 2'!AB125,"")</f>
        <v>0</v>
      </c>
      <c r="AR125" s="195">
        <f>IFERROR($CS125*(INDEX(avoidedcosttbl2,$H125,AR$2)+(($H125-ROUNDDOWN($H125,0))*(INDEX(avoidedcosttbl2,ROUNDUP($H125,0),AR$2)-(INDEX(avoidedcosttbl2,ROUNDDOWN($H125,0),AR$2)))))*$O125*1000*'Inputs Yr 2'!AC125,"")</f>
        <v>0</v>
      </c>
      <c r="AS125" s="195">
        <f>IFERROR($CT125*(INDEX(avoidedcosttbl2,$H125,AS$2)+(($H125-ROUNDDOWN($H125,0))*(INDEX(avoidedcosttbl2,ROUNDUP($H125,0),AS$2)-(INDEX(avoidedcosttbl2,ROUNDDOWN($H125,0),AS$2)))))*$O125*1000*'Inputs Yr 2'!AD125,"")</f>
        <v>0</v>
      </c>
      <c r="AT125" s="196">
        <f t="shared" si="63"/>
        <v>0</v>
      </c>
      <c r="AU125" s="197">
        <f>IFERROR($CQ125*((INDEX(avoidedcosttbl2,$H125,AU$2))+(($H125-ROUNDDOWN($H125,0))*((INDEX(avoidedcosttbl2,ROUNDUP($H125,0),AU$2))-(INDEX(avoidedcosttbl2,ROUNDDOWN($H125,0),AU$2)))))*$O125*1000*'Inputs Yr 2'!AA125,"")</f>
        <v>0</v>
      </c>
      <c r="AV125" s="197">
        <f>IFERROR($CR125*((INDEX(avoidedcosttbl2,$H125,AV$2))+(($H125-ROUNDDOWN($H125,0))*((INDEX(avoidedcosttbl2,ROUNDUP($H125,0),AV$2))-(INDEX(avoidedcosttbl2,ROUNDDOWN($H125,0),AV$2)))))*$O125*1000*'Inputs Yr 2'!AB125,"")</f>
        <v>0</v>
      </c>
      <c r="AW125" s="197">
        <f>IFERROR($CS125*((INDEX(avoidedcosttbl2,$H125,AW$2))+(($H125-ROUNDDOWN($H125,0))*((INDEX(avoidedcosttbl2,ROUNDUP($H125,0),AW$2))-(INDEX(avoidedcosttbl2,ROUNDDOWN($H125,0),AW$2)))))*$O125*1000*'Inputs Yr 2'!AC125,"")</f>
        <v>0</v>
      </c>
      <c r="AX125" s="197">
        <f>IFERROR($CT125*((INDEX(avoidedcosttbl2,$H125,AX$2))+(($H125-ROUNDDOWN($H125,0))*((INDEX(avoidedcosttbl2,ROUNDUP($H125,0),AX$2))-(INDEX(avoidedcosttbl2,ROUNDDOWN($H125,0),AX$2)))))*$O125*1000*'Inputs Yr 2'!AD125,"")</f>
        <v>0</v>
      </c>
      <c r="AY125" s="197">
        <f>IFERROR(((INDEX(avoidedcosttbl2,$H125,AY$2))+(($H125-ROUNDDOWN($H125,0))*((INDEX(avoidedcosttbl2,ROUNDUP($H125,0),AY$2))-(INDEX(avoidedcosttbl2,ROUNDDOWN($H125,0),AY$2)))))*$O125*1000*('Inputs Yr 2'!AC125+'Inputs Yr 2'!AD125),"")</f>
        <v>0</v>
      </c>
      <c r="AZ125" s="197">
        <f>IFERROR(((INDEX(avoidedcosttbl2,$H125,AZ$2))+(($H125-ROUNDDOWN($H125,0))*((INDEX(avoidedcosttbl2,ROUNDUP($H125,0),AZ$2))-(INDEX(avoidedcosttbl2,ROUNDDOWN($H125,0),AZ$2)))))*$O125*1000*('Inputs Yr 2'!AA125+'Inputs Yr 2'!AB125),"")</f>
        <v>0</v>
      </c>
      <c r="BA125" s="198">
        <f t="shared" si="64"/>
        <v>0</v>
      </c>
      <c r="BB125" s="198">
        <f t="shared" si="65"/>
        <v>0</v>
      </c>
      <c r="BC125" s="195">
        <f t="shared" si="47"/>
        <v>0</v>
      </c>
      <c r="BD125" s="195">
        <f t="shared" si="48"/>
        <v>0</v>
      </c>
      <c r="BE125" s="195">
        <f t="shared" si="49"/>
        <v>0</v>
      </c>
      <c r="BF125" s="195">
        <f t="shared" si="50"/>
        <v>0</v>
      </c>
      <c r="BG125" s="195">
        <f t="shared" si="51"/>
        <v>0</v>
      </c>
      <c r="BH125" s="196">
        <f t="shared" si="66"/>
        <v>0</v>
      </c>
      <c r="BI125" s="196">
        <f t="shared" si="67"/>
        <v>0</v>
      </c>
      <c r="BJ125" s="195">
        <f>IFERROR($G125*(IF('Inputs Yr 2'!$AJ125=BJ$4,'Inputs Yr 2'!$AK125,IF('Inputs Yr 2'!$AL125=BJ$4,'Inputs Yr 2'!$AM125,IF('Inputs Yr 2'!$AN125=BJ$4,'Inputs Yr 2'!$AO125,0))))*(INDEX(avoidedcosttbl2,$H125,BJ$2)+(($H125-ROUNDDOWN($H125,0))*(INDEX(avoidedcosttbl2,ROUNDUP($H125,0),BJ$2)-(INDEX(avoidedcosttbl2,ROUNDDOWN($H125,0),BJ$2)))))*'Inputs Yr 2'!P125*'Inputs Yr 2'!Q125*'Inputs Yr 2'!U125,"")</f>
        <v>0</v>
      </c>
      <c r="BK125" s="195">
        <f>IFERROR($G125*(IF('Inputs Yr 2'!$AJ125=BK$4,'Inputs Yr 2'!$AK125,IF('Inputs Yr 2'!$AL125=BK$4,'Inputs Yr 2'!$AM125,IF('Inputs Yr 2'!$AN125=BK$4,'Inputs Yr 2'!$AO125,0))))*(INDEX(avoidedcosttbl2,$H125,BK$2)+(($H125-ROUNDDOWN($H125,0))*(INDEX(avoidedcosttbl2,ROUNDUP($H125,0),BK$2)-(INDEX(avoidedcosttbl2,ROUNDDOWN($H125,0),BK$2)))))*'Inputs Yr 2'!P125*'Inputs Yr 2'!Q125*'Inputs Yr 2'!U125,"")</f>
        <v>0</v>
      </c>
      <c r="BL125" s="195">
        <f>IFERROR($G125*(IF('Inputs Yr 2'!$AJ125=BL$4,'Inputs Yr 2'!$AK125,IF('Inputs Yr 2'!$AL125=BL$4,'Inputs Yr 2'!$AM125,IF('Inputs Yr 2'!$AN125=BL$4,'Inputs Yr 2'!$AO125,0))))*(INDEX(avoidedcosttbl2,$H125,BL$2)+(($H125-ROUNDDOWN($H125,0))*(INDEX(avoidedcosttbl2,ROUNDUP($H125,0),BL$2)-(INDEX(avoidedcosttbl2,ROUNDDOWN($H125,0),BL$2)))))*'Inputs Yr 2'!P125*'Inputs Yr 2'!Q125*'Inputs Yr 2'!U125,"")</f>
        <v>5420594.6653512232</v>
      </c>
      <c r="BM125" s="195">
        <f>IFERROR($G125*(IF('Inputs Yr 2'!$AJ125=BM$4,'Inputs Yr 2'!$AK125,IF('Inputs Yr 2'!$AL125=BM$4,'Inputs Yr 2'!$AM125,IF('Inputs Yr 2'!$AN125=BM$4,'Inputs Yr 2'!$AO125,0))))*(INDEX(avoidedcosttbl2,$H125,BM$2)+(($H125-ROUNDDOWN($H125,0))*(INDEX(avoidedcosttbl2,ROUNDUP($H125,0),BM$2)-(INDEX(avoidedcosttbl2,ROUNDDOWN($H125,0),BM$2)))))*'Inputs Yr 2'!P125*'Inputs Yr 2'!Q125*'Inputs Yr 2'!U125,"")</f>
        <v>0</v>
      </c>
      <c r="BN125" s="195">
        <f>IFERROR($G125*(IF('Inputs Yr 2'!$AJ125=BN$4,'Inputs Yr 2'!$AK125,IF('Inputs Yr 2'!$AL125=BN$4,'Inputs Yr 2'!$AM125,IF('Inputs Yr 2'!$AN125=BN$4,'Inputs Yr 2'!$AO125,0))))*(INDEX(avoidedcosttbl2,$H125,BN$2)+(($H125-ROUNDDOWN($H125,0))*(INDEX(avoidedcosttbl2,ROUNDUP($H125,0),BN$2)-(INDEX(avoidedcosttbl2,ROUNDDOWN($H125,0),BN$2)))))*'Inputs Yr 2'!P125*'Inputs Yr 2'!Q125*'Inputs Yr 2'!U125,"")</f>
        <v>0</v>
      </c>
      <c r="BO125" s="195">
        <f>IFERROR($G125*(IF('Inputs Yr 2'!$AJ125=BO$4,'Inputs Yr 2'!$AK125,IF('Inputs Yr 2'!$AL125=BO$4,'Inputs Yr 2'!$AM125,IF('Inputs Yr 2'!$AN125=BO$4,'Inputs Yr 2'!$AO125,0))))*(INDEX(avoidedcosttbl2,$H125,BO$2)+(($H125-ROUNDDOWN($H125,0))*(INDEX(avoidedcosttbl2,ROUNDUP($H125,0),BO$2)-(INDEX(avoidedcosttbl2,ROUNDDOWN($H125,0),BO$2)))))*'Inputs Yr 2'!P125*'Inputs Yr 2'!Q125*'Inputs Yr 2'!U125,"")</f>
        <v>0</v>
      </c>
      <c r="BP125" s="195">
        <f>IFERROR($G125*(IF('Inputs Yr 2'!$AJ125=BP$4,'Inputs Yr 2'!$AK125,IF('Inputs Yr 2'!$AL125=BP$4,'Inputs Yr 2'!$AM125,IF('Inputs Yr 2'!$AN125=BP$4,'Inputs Yr 2'!$AO125,0))))*(INDEX(avoidedcosttbl2,$H125,BP$2)+(($H125-ROUNDDOWN($H125,0))*(INDEX(avoidedcosttbl2,ROUNDUP($H125,0),BP$2)-(INDEX(avoidedcosttbl2,ROUNDDOWN($H125,0),BP$2)))))*'Inputs Yr 2'!P125*'Inputs Yr 2'!Q125*'Inputs Yr 2'!U125,"")</f>
        <v>0</v>
      </c>
      <c r="BQ125" s="230">
        <f t="shared" si="68"/>
        <v>5420594.6653512232</v>
      </c>
      <c r="BR125" s="197">
        <f t="shared" si="52"/>
        <v>83868.774468773627</v>
      </c>
      <c r="BS125" s="197">
        <f>IFERROR(($G125*IF('Inputs Yr 2'!$AJ125=BM$4,'Inputs Yr 2'!$AK125,IF('Inputs Yr 2'!$AL125=BM$4,'Inputs Yr 2'!$AM125,IF('Inputs Yr 2'!$AN125=BM$4,'Inputs Yr 2'!$AO125,0))))*(INDEX(avoidedcosttbl2,$H125,BS$2)+(($H125-ROUNDDOWN($H125,0))*(INDEX(avoidedcosttbl2,ROUNDUP($H125,0),BS$2)-(INDEX(avoidedcosttbl2,ROUNDDOWN($H125,0),BS$2)))))*'Inputs Yr 2'!P125*'Inputs Yr 2'!Q125*'Inputs Yr 2'!U125,"")</f>
        <v>0</v>
      </c>
      <c r="BT125" s="197">
        <f>IFERROR(($G125*IF('Inputs Yr 2'!$AJ125=BK$4,'Inputs Yr 2'!$AK125,IF('Inputs Yr 2'!$AL125=BK$4,'Inputs Yr 2'!$AM125,IF('Inputs Yr 2'!$AN125=BK$4,'Inputs Yr 2'!$AO125,0))))*(INDEX(avoidedcosttbl2,$H125,BT$2)+(($H125-ROUNDDOWN($H125,0))*(INDEX(avoidedcosttbl2,ROUNDUP($H125,0),BT$2)-(INDEX(avoidedcosttbl2,ROUNDDOWN($H125,0),BT$2)))))*'Inputs Yr 2'!P125*'Inputs Yr 2'!Q125*'Inputs Yr 2'!U125,"")</f>
        <v>0</v>
      </c>
      <c r="BU125" s="197">
        <f>IFERROR(($G125*IF('Inputs Yr 2'!$AJ125=BL$4,'Inputs Yr 2'!$AK125,IF('Inputs Yr 2'!$AL125=BL$4,'Inputs Yr 2'!$AM125,IF('Inputs Yr 2'!$AN125=BL$4,'Inputs Yr 2'!$AO125,0))))*(INDEX(avoidedcosttbl2,$H125,BU$2)+(($H125-ROUNDDOWN($H125,0))*(INDEX(avoidedcosttbl2,ROUNDUP($H125,0),BU$2)-(INDEX(avoidedcosttbl2,ROUNDDOWN($H125,0),BU$2)))))*'Inputs Yr 2'!P125*'Inputs Yr 2'!Q125*'Inputs Yr 2'!U125,"")</f>
        <v>254583.34093293571</v>
      </c>
      <c r="BV125" s="775">
        <f>IFERROR(($G125*IF('Inputs Yr 2'!$AJ125=BJ$4,'Inputs Yr 2'!$AK125,IF('Inputs Yr 2'!$AL125=BJ$4,'Inputs Yr 2'!$AM125,IF('Inputs Yr 2'!$AN125=BJ$4,'Inputs Yr 2'!$AO125,0))))*(INDEX(avoidedcosttbl2,$H125,BV$2)+(($H125-ROUNDDOWN($H125,0))*(INDEX(avoidedcosttbl2,ROUNDUP($H125,0),BV$2)-(INDEX(avoidedcosttbl2,ROUNDDOWN($H125,0),BV$2)))))*'Inputs Yr 2'!P125*'Inputs Yr 2'!Q125*'Inputs Yr 2'!U125,"")</f>
        <v>0</v>
      </c>
      <c r="BW125" s="197">
        <f>IFERROR(($G125*IF('Inputs Yr 2'!$AJ125=BN$4,'Inputs Yr 2'!$AK125,IF('Inputs Yr 2'!$AL125=BN$4,'Inputs Yr 2'!$AM125,IF('Inputs Yr 2'!$AN125=BN$4,'Inputs Yr 2'!$AO125,0))))*(INDEX(avoidedcosttbl2,$H125,BW$2)+(($H125-ROUNDDOWN($H125,0))*(INDEX(avoidedcosttbl2,ROUNDUP($H125,0),BW$2)-(INDEX(avoidedcosttbl2,ROUNDDOWN($H125,0),BW$2)))))*'Inputs Yr 2'!P125*'Inputs Yr 2'!Q125*'Inputs Yr 2'!U125,"")</f>
        <v>0</v>
      </c>
      <c r="BX125" s="197">
        <f>IFERROR(($G125*IF('Inputs Yr 2'!$AJ125=BO$4,'Inputs Yr 2'!$AK125,IF('Inputs Yr 2'!$AL125=BO$4,'Inputs Yr 2'!$AM125,IF('Inputs Yr 2'!$AN125=BO$4,'Inputs Yr 2'!$AO125,0))))*(INDEX(avoidedcosttbl2,$H125,BX$2)+(($H125-ROUNDDOWN($H125,0))*(INDEX(avoidedcosttbl2,ROUNDUP($H125,0),BX$2)-(INDEX(avoidedcosttbl2,ROUNDDOWN($H125,0),BX$2)))))*'Inputs Yr 2'!P125*'Inputs Yr 2'!Q125*'Inputs Yr 2'!U125,"")</f>
        <v>0</v>
      </c>
      <c r="BY125" s="197">
        <f>IFERROR(($G125*IF('Inputs Yr 2'!$AJ125=BP$4,'Inputs Yr 2'!$AK125,IF('Inputs Yr 2'!$AL125=BP$4,'Inputs Yr 2'!$AM125,IF('Inputs Yr 2'!$AN125=BP$4,'Inputs Yr 2'!$AO125,0))))*(INDEX(avoidedcosttbl2,$H125,BY$2)+(($H125-ROUNDDOWN($H125,0))*(INDEX(avoidedcosttbl2,ROUNDUP($H125,0),BY$2)-(INDEX(avoidedcosttbl2,ROUNDDOWN($H125,0),BY$2)))))*'Inputs Yr 2'!P125*'Inputs Yr 2'!Q125*'Inputs Yr 2'!U125,"")</f>
        <v>0</v>
      </c>
      <c r="BZ125" s="193">
        <f t="shared" si="69"/>
        <v>338452.11540170934</v>
      </c>
      <c r="CA125" s="193">
        <f t="shared" si="70"/>
        <v>5759046.7807529327</v>
      </c>
      <c r="CB125" s="195">
        <f>IFERROR(G125*(IF('Inputs Yr 2'!$AJ125=CB$4,'Inputs Yr 2'!$AK125,IF('Inputs Yr 2'!$AL125=CB$4,'Inputs Yr 2'!$AM125,IF('Inputs Yr 2'!$AN125=CB$4,'Inputs Yr 2'!$AO125,0))))*(INDEX(avoidedcosttbl2,$H125,CB$2)+(($H125-ROUNDDOWN($H125,0))*(INDEX(avoidedcosttbl2,ROUNDUP($H125,0),CB$2)-(INDEX(avoidedcosttbl2,ROUNDDOWN($H125,0),CB$2)))))*'Inputs Yr 2'!P125*'Inputs Yr 2'!Q125*'Inputs Yr 2'!U125,"")</f>
        <v>0</v>
      </c>
      <c r="CC125" s="195">
        <f>IFERROR(H125*(IF('Inputs Yr 2'!$AJ125=CC$4,'Inputs Yr 2'!$AK125,IF('Inputs Yr 2'!$AL125=CC$4,'Inputs Yr 2'!$AM125,IF('Inputs Yr 2'!$AN125=CC$4,'Inputs Yr 2'!$AO125,0))))*(INDEX(avoidedcosttbl2,$H125,CC$2)+(($H125-ROUNDDOWN($H125,0))*(INDEX(avoidedcosttbl2,ROUNDUP($H125,0),CC$2)-(INDEX(avoidedcosttbl2,ROUNDDOWN($H125,0),CC$2)))))*'Inputs Yr 2'!Q125*'Inputs Yr 2'!R125*'Inputs Yr 2'!V125,"")</f>
        <v>0</v>
      </c>
      <c r="CD125" s="195">
        <f>IFERROR(I125*(IF('Inputs Yr 2'!$AJ125=CD$4,'Inputs Yr 2'!$AK125,IF('Inputs Yr 2'!$AL125=CD$4,'Inputs Yr 2'!$AM125,IF('Inputs Yr 2'!$AN125=CD$4,'Inputs Yr 2'!$AO125,0))))*(INDEX(avoidedcosttbl2,$H125,CD$2)+(($H125-ROUNDDOWN($H125,0))*(INDEX(avoidedcosttbl2,ROUNDUP($H125,0),CD$2)-(INDEX(avoidedcosttbl2,ROUNDDOWN($H125,0),CD$2)))))*'Inputs Yr 2'!R125*'Inputs Yr 2'!S125*'Inputs Yr 2'!W125,"")</f>
        <v>0</v>
      </c>
      <c r="CE125" s="213">
        <f t="shared" si="71"/>
        <v>0</v>
      </c>
      <c r="CF125" s="213">
        <f t="shared" si="72"/>
        <v>0</v>
      </c>
      <c r="CG125" s="213">
        <f t="shared" si="73"/>
        <v>0</v>
      </c>
      <c r="CH125" s="698">
        <f t="shared" si="74"/>
        <v>5759046.7807529327</v>
      </c>
      <c r="CI125" s="79">
        <f>IFERROR(($G125*'Inputs Yr 2'!$P125*'Inputs Yr 2'!$Q125*(((INDEX(avoidedcosttbl2,$H125,CI$2)+(($H125-ROUNDDOWN($H125,0))*(INDEX(avoidedcosttbl2,ROUNDUP($H125,0),CI$2)-INDEX(avoidedcosttbl2,ROUNDDOWN($H125,0),CI$2))))*'Inputs Yr 2'!AS125))),"")</f>
        <v>996455.16616080038</v>
      </c>
      <c r="CJ125" s="504">
        <f>IFERROR($G125*'Inputs Yr 2'!AT125*'Inputs Yr 2'!$P125*'Inputs Yr 2'!$Q125/((1+realdiscrt1)^-0.5),"")</f>
        <v>0</v>
      </c>
      <c r="CK125" s="79">
        <f>IFERROR((O125*1000*(((INDEX(avoidedcosttbl2,$H125,CK$2)+(($H125-ROUNDDOWN($H125,0))*(INDEX(avoidedcosttbl2,ROUNDUP($H125,0),CK$2)-INDEX(avoidedcosttbl2,ROUNDDOWN($H125,0),CK$2))))*'Inputs Yr 2'!AU125))),"")</f>
        <v>0</v>
      </c>
      <c r="CL125" s="504">
        <f>IFERROR(O125*1000*'Inputs Yr 2'!AV125/((1+realdiscrt1)^-0.5),"")</f>
        <v>0</v>
      </c>
      <c r="CM125" s="79">
        <f>IFERROR((AB125*'Inputs Yr 2'!AW125*(((INDEX(avoidedcosttbl2,$H125,CM$2)+(($H125-ROUNDDOWN($H125,0))*(INDEX(avoidedcosttbl2,ROUNDUP($H125,0),CM$2)-INDEX(avoidedcosttbl2,ROUNDDOWN($H125,0),CM$2)))))))*10,"")</f>
        <v>802434.06609324971</v>
      </c>
      <c r="CN125" s="504">
        <f>IFERROR(10*AB125*'Inputs Yr 2'!AX125/((1+realdiscrt1)^-0.5),"")</f>
        <v>23821.515527775351</v>
      </c>
      <c r="CO125" s="505">
        <f t="shared" si="75"/>
        <v>1822710.7477818255</v>
      </c>
      <c r="CP125" s="230">
        <f t="shared" si="76"/>
        <v>7581757.5285347579</v>
      </c>
      <c r="CQ125" s="199">
        <f>ROUND(IFERROR(IF(LEFT($A125,1)="C",'Avoided Costs'!$K$13,'Avoided Costs'!$K$12)+1,""),4)</f>
        <v>1.0720000000000001</v>
      </c>
      <c r="CR125" s="199">
        <f>ROUND(IFERROR(IF(LEFT($A125,1)="C",'Avoided Costs'!$L$13,'Avoided Costs'!$L$12)+1,""),4)</f>
        <v>1.04</v>
      </c>
      <c r="CS125" s="199">
        <f>ROUND(IFERROR(IF(LEFT($A125,1)="C",'Avoided Costs'!$M$13,'Avoided Costs'!$M$12)+1,""),4)</f>
        <v>1.0720000000000001</v>
      </c>
      <c r="CT125" s="199">
        <f>ROUND(IFERROR(IF(LEFT($A125,1)="C",'Avoided Costs'!$N$13,'Avoided Costs'!$N$12)+1,""),4)</f>
        <v>1.04</v>
      </c>
      <c r="CU125" s="199">
        <f>ROUND(IFERROR(IF(LEFT($A125,1)="C",'Avoided Costs'!$O$13,'Avoided Costs'!$O$12)+1,""),4)</f>
        <v>1.1120000000000001</v>
      </c>
      <c r="CV125" s="199">
        <f>ROUND(IFERROR(IF(LEFT($A125,1)="C",'Avoided Costs'!$P$13,'Avoided Costs'!$P$12)+1,""),4)</f>
        <v>1.095</v>
      </c>
      <c r="CW125" s="199">
        <f>ROUND(IFERROR(IF(LEFT($A125,1)="C",'Avoided Costs'!$Q$13,'Avoided Costs'!$Q$12)+1,""),4)</f>
        <v>1.1120000000000001</v>
      </c>
      <c r="CX125" s="200">
        <f>ROUND(IFERROR(IF(LEFT($A125,1)="C",'Avoided Costs'!$R$13,'Avoided Costs'!$R$12)+1,""),4)</f>
        <v>1.1120000000000001</v>
      </c>
    </row>
    <row r="126" spans="1:102" ht="12.75" customHeight="1">
      <c r="A126" s="91" t="str">
        <f>IF('Inputs Yr 2'!$B126=0,"",'Inputs Yr 2'!A126)</f>
        <v>B - Low Income</v>
      </c>
      <c r="B126" s="91" t="str">
        <f>IF('Inputs Yr 2'!$B126=0,"",'Inputs Yr 2'!B126)</f>
        <v>B1 - Low-Income Whole House</v>
      </c>
      <c r="C126" s="91" t="str">
        <f>IF('Inputs Yr 2'!$B126=0,"",'Inputs Yr 2'!C126)</f>
        <v>B1b - Low-Income Multi-Family Retrofit</v>
      </c>
      <c r="D126" s="91" t="str">
        <f>IF('Inputs Yr 2'!$B126=0,"",'Inputs Yr 2'!E126)</f>
        <v>Duct Seal</v>
      </c>
      <c r="E126" s="93" t="str">
        <f>IF('Inputs Yr 2'!$B126=0,"",'Inputs Yr 2'!F126)</f>
        <v>G16B1b07</v>
      </c>
      <c r="F126" s="93" t="str">
        <f>IF('Inputs Yr 2'!$B126=0,"",'Inputs Yr 2'!G126)</f>
        <v>HVAC</v>
      </c>
      <c r="G126" s="95">
        <f>IF('Inputs Yr 2'!$H126&lt;&gt;0,('Inputs Yr 2'!H126),"")</f>
        <v>134</v>
      </c>
      <c r="H126" s="94">
        <f>IFERROR('Inputs Yr 2'!I126,"")</f>
        <v>20</v>
      </c>
      <c r="I126" s="298">
        <f>IFERROR('Inputs Yr 2'!J126*'Inputs Yr 2'!P126*G126,"")</f>
        <v>10271.099999999999</v>
      </c>
      <c r="J126" s="298">
        <f>IFERROR('Inputs Yr 2'!K126*G126,"")</f>
        <v>10271.099999999999</v>
      </c>
      <c r="K126" s="298">
        <f t="shared" si="53"/>
        <v>0</v>
      </c>
      <c r="L126" s="194">
        <f>IFERROR(('Inputs Yr 2'!W126*G126)/1000,"")</f>
        <v>0</v>
      </c>
      <c r="M126" s="194">
        <f>IFERROR(L126*('Inputs Yr 2'!$Q126*'Inputs Yr 2'!$V126*'Inputs Yr 2'!$R126),"")</f>
        <v>0</v>
      </c>
      <c r="N126" s="194">
        <f t="shared" si="54"/>
        <v>0</v>
      </c>
      <c r="O126" s="194">
        <f>IFERROR(M126*'Inputs Yr 2'!P126,"")</f>
        <v>0</v>
      </c>
      <c r="P126" s="194">
        <f t="shared" si="55"/>
        <v>0</v>
      </c>
      <c r="Q126" s="194">
        <f>IFERROR($P126*'Inputs Yr 2'!AA126,"")</f>
        <v>0</v>
      </c>
      <c r="R126" s="194">
        <f>IFERROR($P126*'Inputs Yr 2'!AB126,"")</f>
        <v>0</v>
      </c>
      <c r="S126" s="194">
        <f>IFERROR($P126*'Inputs Yr 2'!AC126,"")</f>
        <v>0</v>
      </c>
      <c r="T126" s="194">
        <f>IFERROR($P126*'Inputs Yr 2'!AD126,"")</f>
        <v>0</v>
      </c>
      <c r="U126" s="194">
        <f>IFERROR(G126*'Inputs Yr 2'!$AE126*'Inputs Yr 2'!$P126*'Inputs Yr 2'!$Q126,"")</f>
        <v>0</v>
      </c>
      <c r="V126" s="194">
        <f>IFERROR($G126*'Inputs Yr 2'!$AE126*'Inputs Yr 2'!$AG126*'Inputs Yr 2'!Q126*'Inputs Yr 2'!$S126,"")</f>
        <v>0</v>
      </c>
      <c r="W126" s="194">
        <f>IFERROR($G126*'Inputs Yr 2'!$AE126*'Inputs Yr 2'!$AG126*'Inputs Yr 2'!P126*'Inputs Yr 2'!Q126*'Inputs Yr 2'!$S126,"")</f>
        <v>0</v>
      </c>
      <c r="X126" s="194">
        <f>IFERROR($G126*'Inputs Yr 2'!$AE126*'Inputs Yr 2'!$AF126*'Inputs Yr 2'!Q126*'Inputs Yr 2'!$T126,"")</f>
        <v>0</v>
      </c>
      <c r="Y126" s="194">
        <f>IFERROR($G126*'Inputs Yr 2'!$AE126*'Inputs Yr 2'!$AF126*'Inputs Yr 2'!P126*'Inputs Yr 2'!Q126*'Inputs Yr 2'!$T126,"")</f>
        <v>0</v>
      </c>
      <c r="Z126" s="257">
        <f>IFERROR($G126*'Inputs Yr 2'!$Q126*'Inputs Yr 2'!$U126*(IF(IFERROR(SEARCH("NG", 'Inputs Yr 2'!$AJ126),0),'Inputs Yr 2'!$AK126,0)+IF(IFERROR(SEARCH("NG", 'Inputs Yr 2'!$AL126),0),'Inputs Yr 2'!$AM126,0)+IF(IFERROR(SEARCH("NG", 'Inputs Yr 2'!$AN126),0),'Inputs Yr 2'!$AO126,0)),0)</f>
        <v>5.2587949999999992</v>
      </c>
      <c r="AA126" s="257">
        <f t="shared" si="56"/>
        <v>105.17589999999998</v>
      </c>
      <c r="AB126" s="257">
        <f>IFERROR(Z126*'Inputs Yr 2'!$P126,0)</f>
        <v>5.2587949999999992</v>
      </c>
      <c r="AC126" s="257">
        <f t="shared" si="57"/>
        <v>105.17589999999998</v>
      </c>
      <c r="AD126" s="257">
        <f>IFERROR($G126*'Inputs Yr 2'!$Q126*'Inputs Yr 2'!$U126*(IF(IFERROR(SEARCH("Oil", 'Inputs Yr 2'!$AJ126), 0),'Inputs Yr 2'!$AK126,0)+IF(IFERROR(SEARCH("Oil", 'Inputs Yr 2'!$AL126), 0),'Inputs Yr 2'!$AM126,0)+IF(IFERROR(SEARCH("Oil", 'Inputs Yr 2'!$AN126), 0),'Inputs Yr 2'!$AO126,0)),0)</f>
        <v>0</v>
      </c>
      <c r="AE126" s="257">
        <f t="shared" si="58"/>
        <v>0</v>
      </c>
      <c r="AF126" s="257">
        <f>IFERROR(AD126*'Inputs Yr 2'!$P126,0)</f>
        <v>0</v>
      </c>
      <c r="AG126" s="257">
        <f t="shared" si="59"/>
        <v>0</v>
      </c>
      <c r="AH126" s="257">
        <f>IFERROR($G126*'Inputs Yr 2'!$Q126*'Inputs Yr 2'!$U126*(IF('Inputs Yr 2'!$AJ126=CD$4,'Inputs Yr 2'!$AK126,IF('Inputs Yr 2'!$AL126=CD$4,'Inputs Yr 2'!$AM126,IF('Inputs Yr 2'!$AN126=CD$4,'Inputs Yr 2'!$AO126,0)))),0)</f>
        <v>0</v>
      </c>
      <c r="AI126" s="257">
        <f t="shared" si="60"/>
        <v>0</v>
      </c>
      <c r="AJ126" s="257">
        <f>IFERROR(AH126*'Inputs Yr 2'!$P126,0)</f>
        <v>0</v>
      </c>
      <c r="AK126" s="257">
        <f t="shared" si="61"/>
        <v>0</v>
      </c>
      <c r="AL126" s="258">
        <f>IFERROR($G126*'Inputs Yr 2'!$P126*'Inputs Yr 2'!$Q126*'Inputs Yr 2'!AP126,0)</f>
        <v>0</v>
      </c>
      <c r="AM126" s="260">
        <f>IFERROR($G126*'Inputs Yr 2'!$P126*'Inputs Yr 2'!$Q126*'Inputs Yr 2'!AQ126,0)</f>
        <v>0</v>
      </c>
      <c r="AN126" s="258">
        <f>IFERROR($G126*'Inputs Yr 2'!$P126*'Inputs Yr 2'!$Q126*'Inputs Yr 2'!AR126,0)</f>
        <v>0</v>
      </c>
      <c r="AO126" s="257">
        <f t="shared" si="62"/>
        <v>0</v>
      </c>
      <c r="AP126" s="195">
        <f>IFERROR($CQ126*(INDEX(avoidedcosttbl2,$H126,AP$2)+(($H126-ROUNDDOWN($H126,0))*(INDEX(avoidedcosttbl2,ROUNDUP($H126,0),AP$2)-(INDEX(avoidedcosttbl2,ROUNDDOWN($H126,0),AP$2)))))*$O126*1000*'Inputs Yr 2'!AA126,"")</f>
        <v>0</v>
      </c>
      <c r="AQ126" s="195">
        <f>IFERROR($CR126*(INDEX(avoidedcosttbl2,$H126,AQ$2)+(($H126-ROUNDDOWN($H126,0))*(INDEX(avoidedcosttbl2,ROUNDUP($H126,0),AQ$2)-(INDEX(avoidedcosttbl2,ROUNDDOWN($H126,0),AQ$2)))))*$O126*1000*'Inputs Yr 2'!AB126,"")</f>
        <v>0</v>
      </c>
      <c r="AR126" s="195">
        <f>IFERROR($CS126*(INDEX(avoidedcosttbl2,$H126,AR$2)+(($H126-ROUNDDOWN($H126,0))*(INDEX(avoidedcosttbl2,ROUNDUP($H126,0),AR$2)-(INDEX(avoidedcosttbl2,ROUNDDOWN($H126,0),AR$2)))))*$O126*1000*'Inputs Yr 2'!AC126,"")</f>
        <v>0</v>
      </c>
      <c r="AS126" s="195">
        <f>IFERROR($CT126*(INDEX(avoidedcosttbl2,$H126,AS$2)+(($H126-ROUNDDOWN($H126,0))*(INDEX(avoidedcosttbl2,ROUNDUP($H126,0),AS$2)-(INDEX(avoidedcosttbl2,ROUNDDOWN($H126,0),AS$2)))))*$O126*1000*'Inputs Yr 2'!AD126,"")</f>
        <v>0</v>
      </c>
      <c r="AT126" s="196">
        <f t="shared" si="63"/>
        <v>0</v>
      </c>
      <c r="AU126" s="197">
        <f>IFERROR($CQ126*((INDEX(avoidedcosttbl2,$H126,AU$2))+(($H126-ROUNDDOWN($H126,0))*((INDEX(avoidedcosttbl2,ROUNDUP($H126,0),AU$2))-(INDEX(avoidedcosttbl2,ROUNDDOWN($H126,0),AU$2)))))*$O126*1000*'Inputs Yr 2'!AA126,"")</f>
        <v>0</v>
      </c>
      <c r="AV126" s="197">
        <f>IFERROR($CR126*((INDEX(avoidedcosttbl2,$H126,AV$2))+(($H126-ROUNDDOWN($H126,0))*((INDEX(avoidedcosttbl2,ROUNDUP($H126,0),AV$2))-(INDEX(avoidedcosttbl2,ROUNDDOWN($H126,0),AV$2)))))*$O126*1000*'Inputs Yr 2'!AB126,"")</f>
        <v>0</v>
      </c>
      <c r="AW126" s="197">
        <f>IFERROR($CS126*((INDEX(avoidedcosttbl2,$H126,AW$2))+(($H126-ROUNDDOWN($H126,0))*((INDEX(avoidedcosttbl2,ROUNDUP($H126,0),AW$2))-(INDEX(avoidedcosttbl2,ROUNDDOWN($H126,0),AW$2)))))*$O126*1000*'Inputs Yr 2'!AC126,"")</f>
        <v>0</v>
      </c>
      <c r="AX126" s="197">
        <f>IFERROR($CT126*((INDEX(avoidedcosttbl2,$H126,AX$2))+(($H126-ROUNDDOWN($H126,0))*((INDEX(avoidedcosttbl2,ROUNDUP($H126,0),AX$2))-(INDEX(avoidedcosttbl2,ROUNDDOWN($H126,0),AX$2)))))*$O126*1000*'Inputs Yr 2'!AD126,"")</f>
        <v>0</v>
      </c>
      <c r="AY126" s="197">
        <f>IFERROR(((INDEX(avoidedcosttbl2,$H126,AY$2))+(($H126-ROUNDDOWN($H126,0))*((INDEX(avoidedcosttbl2,ROUNDUP($H126,0),AY$2))-(INDEX(avoidedcosttbl2,ROUNDDOWN($H126,0),AY$2)))))*$O126*1000*('Inputs Yr 2'!AC126+'Inputs Yr 2'!AD126),"")</f>
        <v>0</v>
      </c>
      <c r="AZ126" s="197">
        <f>IFERROR(((INDEX(avoidedcosttbl2,$H126,AZ$2))+(($H126-ROUNDDOWN($H126,0))*((INDEX(avoidedcosttbl2,ROUNDUP($H126,0),AZ$2))-(INDEX(avoidedcosttbl2,ROUNDDOWN($H126,0),AZ$2)))))*$O126*1000*('Inputs Yr 2'!AA126+'Inputs Yr 2'!AB126),"")</f>
        <v>0</v>
      </c>
      <c r="BA126" s="198">
        <f t="shared" si="64"/>
        <v>0</v>
      </c>
      <c r="BB126" s="198">
        <f t="shared" si="65"/>
        <v>0</v>
      </c>
      <c r="BC126" s="195">
        <f t="shared" si="47"/>
        <v>0</v>
      </c>
      <c r="BD126" s="195">
        <f t="shared" si="48"/>
        <v>0</v>
      </c>
      <c r="BE126" s="195">
        <f t="shared" si="49"/>
        <v>0</v>
      </c>
      <c r="BF126" s="195">
        <f t="shared" si="50"/>
        <v>0</v>
      </c>
      <c r="BG126" s="195">
        <f t="shared" si="51"/>
        <v>0</v>
      </c>
      <c r="BH126" s="196">
        <f t="shared" si="66"/>
        <v>0</v>
      </c>
      <c r="BI126" s="196">
        <f t="shared" si="67"/>
        <v>0</v>
      </c>
      <c r="BJ126" s="195">
        <f>IFERROR($G126*(IF('Inputs Yr 2'!$AJ126=BJ$4,'Inputs Yr 2'!$AK126,IF('Inputs Yr 2'!$AL126=BJ$4,'Inputs Yr 2'!$AM126,IF('Inputs Yr 2'!$AN126=BJ$4,'Inputs Yr 2'!$AO126,0))))*(INDEX(avoidedcosttbl2,$H126,BJ$2)+(($H126-ROUNDDOWN($H126,0))*(INDEX(avoidedcosttbl2,ROUNDUP($H126,0),BJ$2)-(INDEX(avoidedcosttbl2,ROUNDDOWN($H126,0),BJ$2)))))*'Inputs Yr 2'!P126*'Inputs Yr 2'!Q126*'Inputs Yr 2'!U126,"")</f>
        <v>0</v>
      </c>
      <c r="BK126" s="195">
        <f>IFERROR($G126*(IF('Inputs Yr 2'!$AJ126=BK$4,'Inputs Yr 2'!$AK126,IF('Inputs Yr 2'!$AL126=BK$4,'Inputs Yr 2'!$AM126,IF('Inputs Yr 2'!$AN126=BK$4,'Inputs Yr 2'!$AO126,0))))*(INDEX(avoidedcosttbl2,$H126,BK$2)+(($H126-ROUNDDOWN($H126,0))*(INDEX(avoidedcosttbl2,ROUNDUP($H126,0),BK$2)-(INDEX(avoidedcosttbl2,ROUNDDOWN($H126,0),BK$2)))))*'Inputs Yr 2'!P126*'Inputs Yr 2'!Q126*'Inputs Yr 2'!U126,"")</f>
        <v>0</v>
      </c>
      <c r="BL126" s="195">
        <f>IFERROR($G126*(IF('Inputs Yr 2'!$AJ126=BL$4,'Inputs Yr 2'!$AK126,IF('Inputs Yr 2'!$AL126=BL$4,'Inputs Yr 2'!$AM126,IF('Inputs Yr 2'!$AN126=BL$4,'Inputs Yr 2'!$AO126,0))))*(INDEX(avoidedcosttbl2,$H126,BL$2)+(($H126-ROUNDDOWN($H126,0))*(INDEX(avoidedcosttbl2,ROUNDUP($H126,0),BL$2)-(INDEX(avoidedcosttbl2,ROUNDDOWN($H126,0),BL$2)))))*'Inputs Yr 2'!P126*'Inputs Yr 2'!Q126*'Inputs Yr 2'!U126,"")</f>
        <v>911.44555461135928</v>
      </c>
      <c r="BM126" s="195">
        <f>IFERROR($G126*(IF('Inputs Yr 2'!$AJ126=BM$4,'Inputs Yr 2'!$AK126,IF('Inputs Yr 2'!$AL126=BM$4,'Inputs Yr 2'!$AM126,IF('Inputs Yr 2'!$AN126=BM$4,'Inputs Yr 2'!$AO126,0))))*(INDEX(avoidedcosttbl2,$H126,BM$2)+(($H126-ROUNDDOWN($H126,0))*(INDEX(avoidedcosttbl2,ROUNDUP($H126,0),BM$2)-(INDEX(avoidedcosttbl2,ROUNDDOWN($H126,0),BM$2)))))*'Inputs Yr 2'!P126*'Inputs Yr 2'!Q126*'Inputs Yr 2'!U126,"")</f>
        <v>0</v>
      </c>
      <c r="BN126" s="195">
        <f>IFERROR($G126*(IF('Inputs Yr 2'!$AJ126=BN$4,'Inputs Yr 2'!$AK126,IF('Inputs Yr 2'!$AL126=BN$4,'Inputs Yr 2'!$AM126,IF('Inputs Yr 2'!$AN126=BN$4,'Inputs Yr 2'!$AO126,0))))*(INDEX(avoidedcosttbl2,$H126,BN$2)+(($H126-ROUNDDOWN($H126,0))*(INDEX(avoidedcosttbl2,ROUNDUP($H126,0),BN$2)-(INDEX(avoidedcosttbl2,ROUNDDOWN($H126,0),BN$2)))))*'Inputs Yr 2'!P126*'Inputs Yr 2'!Q126*'Inputs Yr 2'!U126,"")</f>
        <v>0</v>
      </c>
      <c r="BO126" s="195">
        <f>IFERROR($G126*(IF('Inputs Yr 2'!$AJ126=BO$4,'Inputs Yr 2'!$AK126,IF('Inputs Yr 2'!$AL126=BO$4,'Inputs Yr 2'!$AM126,IF('Inputs Yr 2'!$AN126=BO$4,'Inputs Yr 2'!$AO126,0))))*(INDEX(avoidedcosttbl2,$H126,BO$2)+(($H126-ROUNDDOWN($H126,0))*(INDEX(avoidedcosttbl2,ROUNDUP($H126,0),BO$2)-(INDEX(avoidedcosttbl2,ROUNDDOWN($H126,0),BO$2)))))*'Inputs Yr 2'!P126*'Inputs Yr 2'!Q126*'Inputs Yr 2'!U126,"")</f>
        <v>0</v>
      </c>
      <c r="BP126" s="195">
        <f>IFERROR($G126*(IF('Inputs Yr 2'!$AJ126=BP$4,'Inputs Yr 2'!$AK126,IF('Inputs Yr 2'!$AL126=BP$4,'Inputs Yr 2'!$AM126,IF('Inputs Yr 2'!$AN126=BP$4,'Inputs Yr 2'!$AO126,0))))*(INDEX(avoidedcosttbl2,$H126,BP$2)+(($H126-ROUNDDOWN($H126,0))*(INDEX(avoidedcosttbl2,ROUNDUP($H126,0),BP$2)-(INDEX(avoidedcosttbl2,ROUNDDOWN($H126,0),BP$2)))))*'Inputs Yr 2'!P126*'Inputs Yr 2'!Q126*'Inputs Yr 2'!U126,"")</f>
        <v>0</v>
      </c>
      <c r="BQ126" s="230">
        <f t="shared" si="68"/>
        <v>911.44555461135928</v>
      </c>
      <c r="BR126" s="197">
        <f t="shared" si="52"/>
        <v>14.102109893751555</v>
      </c>
      <c r="BS126" s="197">
        <f>IFERROR(($G126*IF('Inputs Yr 2'!$AJ126=BM$4,'Inputs Yr 2'!$AK126,IF('Inputs Yr 2'!$AL126=BM$4,'Inputs Yr 2'!$AM126,IF('Inputs Yr 2'!$AN126=BM$4,'Inputs Yr 2'!$AO126,0))))*(INDEX(avoidedcosttbl2,$H126,BS$2)+(($H126-ROUNDDOWN($H126,0))*(INDEX(avoidedcosttbl2,ROUNDUP($H126,0),BS$2)-(INDEX(avoidedcosttbl2,ROUNDDOWN($H126,0),BS$2)))))*'Inputs Yr 2'!P126*'Inputs Yr 2'!Q126*'Inputs Yr 2'!U126,"")</f>
        <v>0</v>
      </c>
      <c r="BT126" s="197">
        <f>IFERROR(($G126*IF('Inputs Yr 2'!$AJ126=BK$4,'Inputs Yr 2'!$AK126,IF('Inputs Yr 2'!$AL126=BK$4,'Inputs Yr 2'!$AM126,IF('Inputs Yr 2'!$AN126=BK$4,'Inputs Yr 2'!$AO126,0))))*(INDEX(avoidedcosttbl2,$H126,BT$2)+(($H126-ROUNDDOWN($H126,0))*(INDEX(avoidedcosttbl2,ROUNDUP($H126,0),BT$2)-(INDEX(avoidedcosttbl2,ROUNDDOWN($H126,0),BT$2)))))*'Inputs Yr 2'!P126*'Inputs Yr 2'!Q126*'Inputs Yr 2'!U126,"")</f>
        <v>0</v>
      </c>
      <c r="BU126" s="197">
        <f>IFERROR(($G126*IF('Inputs Yr 2'!$AJ126=BL$4,'Inputs Yr 2'!$AK126,IF('Inputs Yr 2'!$AL126=BL$4,'Inputs Yr 2'!$AM126,IF('Inputs Yr 2'!$AN126=BL$4,'Inputs Yr 2'!$AO126,0))))*(INDEX(avoidedcosttbl2,$H126,BU$2)+(($H126-ROUNDDOWN($H126,0))*(INDEX(avoidedcosttbl2,ROUNDUP($H126,0),BU$2)-(INDEX(avoidedcosttbl2,ROUNDDOWN($H126,0),BU$2)))))*'Inputs Yr 2'!P126*'Inputs Yr 2'!Q126*'Inputs Yr 2'!U126,"")</f>
        <v>42.806900109067193</v>
      </c>
      <c r="BV126" s="775">
        <f>IFERROR(($G126*IF('Inputs Yr 2'!$AJ126=BJ$4,'Inputs Yr 2'!$AK126,IF('Inputs Yr 2'!$AL126=BJ$4,'Inputs Yr 2'!$AM126,IF('Inputs Yr 2'!$AN126=BJ$4,'Inputs Yr 2'!$AO126,0))))*(INDEX(avoidedcosttbl2,$H126,BV$2)+(($H126-ROUNDDOWN($H126,0))*(INDEX(avoidedcosttbl2,ROUNDUP($H126,0),BV$2)-(INDEX(avoidedcosttbl2,ROUNDDOWN($H126,0),BV$2)))))*'Inputs Yr 2'!P126*'Inputs Yr 2'!Q126*'Inputs Yr 2'!U126,"")</f>
        <v>0</v>
      </c>
      <c r="BW126" s="197">
        <f>IFERROR(($G126*IF('Inputs Yr 2'!$AJ126=BN$4,'Inputs Yr 2'!$AK126,IF('Inputs Yr 2'!$AL126=BN$4,'Inputs Yr 2'!$AM126,IF('Inputs Yr 2'!$AN126=BN$4,'Inputs Yr 2'!$AO126,0))))*(INDEX(avoidedcosttbl2,$H126,BW$2)+(($H126-ROUNDDOWN($H126,0))*(INDEX(avoidedcosttbl2,ROUNDUP($H126,0),BW$2)-(INDEX(avoidedcosttbl2,ROUNDDOWN($H126,0),BW$2)))))*'Inputs Yr 2'!P126*'Inputs Yr 2'!Q126*'Inputs Yr 2'!U126,"")</f>
        <v>0</v>
      </c>
      <c r="BX126" s="197">
        <f>IFERROR(($G126*IF('Inputs Yr 2'!$AJ126=BO$4,'Inputs Yr 2'!$AK126,IF('Inputs Yr 2'!$AL126=BO$4,'Inputs Yr 2'!$AM126,IF('Inputs Yr 2'!$AN126=BO$4,'Inputs Yr 2'!$AO126,0))))*(INDEX(avoidedcosttbl2,$H126,BX$2)+(($H126-ROUNDDOWN($H126,0))*(INDEX(avoidedcosttbl2,ROUNDUP($H126,0),BX$2)-(INDEX(avoidedcosttbl2,ROUNDDOWN($H126,0),BX$2)))))*'Inputs Yr 2'!P126*'Inputs Yr 2'!Q126*'Inputs Yr 2'!U126,"")</f>
        <v>0</v>
      </c>
      <c r="BY126" s="197">
        <f>IFERROR(($G126*IF('Inputs Yr 2'!$AJ126=BP$4,'Inputs Yr 2'!$AK126,IF('Inputs Yr 2'!$AL126=BP$4,'Inputs Yr 2'!$AM126,IF('Inputs Yr 2'!$AN126=BP$4,'Inputs Yr 2'!$AO126,0))))*(INDEX(avoidedcosttbl2,$H126,BY$2)+(($H126-ROUNDDOWN($H126,0))*(INDEX(avoidedcosttbl2,ROUNDUP($H126,0),BY$2)-(INDEX(avoidedcosttbl2,ROUNDDOWN($H126,0),BY$2)))))*'Inputs Yr 2'!P126*'Inputs Yr 2'!Q126*'Inputs Yr 2'!U126,"")</f>
        <v>0</v>
      </c>
      <c r="BZ126" s="193">
        <f t="shared" si="69"/>
        <v>56.909010002818746</v>
      </c>
      <c r="CA126" s="193">
        <f t="shared" si="70"/>
        <v>968.354564614178</v>
      </c>
      <c r="CB126" s="195">
        <f>IFERROR(G126*(IF('Inputs Yr 2'!$AJ126=CB$4,'Inputs Yr 2'!$AK126,IF('Inputs Yr 2'!$AL126=CB$4,'Inputs Yr 2'!$AM126,IF('Inputs Yr 2'!$AN126=CB$4,'Inputs Yr 2'!$AO126,0))))*(INDEX(avoidedcosttbl2,$H126,CB$2)+(($H126-ROUNDDOWN($H126,0))*(INDEX(avoidedcosttbl2,ROUNDUP($H126,0),CB$2)-(INDEX(avoidedcosttbl2,ROUNDDOWN($H126,0),CB$2)))))*'Inputs Yr 2'!P126*'Inputs Yr 2'!Q126*'Inputs Yr 2'!U126,"")</f>
        <v>0</v>
      </c>
      <c r="CC126" s="195">
        <f>IFERROR(H126*(IF('Inputs Yr 2'!$AJ126=CC$4,'Inputs Yr 2'!$AK126,IF('Inputs Yr 2'!$AL126=CC$4,'Inputs Yr 2'!$AM126,IF('Inputs Yr 2'!$AN126=CC$4,'Inputs Yr 2'!$AO126,0))))*(INDEX(avoidedcosttbl2,$H126,CC$2)+(($H126-ROUNDDOWN($H126,0))*(INDEX(avoidedcosttbl2,ROUNDUP($H126,0),CC$2)-(INDEX(avoidedcosttbl2,ROUNDDOWN($H126,0),CC$2)))))*'Inputs Yr 2'!Q126*'Inputs Yr 2'!R126*'Inputs Yr 2'!V126,"")</f>
        <v>0</v>
      </c>
      <c r="CD126" s="195">
        <f>IFERROR(I126*(IF('Inputs Yr 2'!$AJ126=CD$4,'Inputs Yr 2'!$AK126,IF('Inputs Yr 2'!$AL126=CD$4,'Inputs Yr 2'!$AM126,IF('Inputs Yr 2'!$AN126=CD$4,'Inputs Yr 2'!$AO126,0))))*(INDEX(avoidedcosttbl2,$H126,CD$2)+(($H126-ROUNDDOWN($H126,0))*(INDEX(avoidedcosttbl2,ROUNDUP($H126,0),CD$2)-(INDEX(avoidedcosttbl2,ROUNDDOWN($H126,0),CD$2)))))*'Inputs Yr 2'!R126*'Inputs Yr 2'!S126*'Inputs Yr 2'!W126,"")</f>
        <v>0</v>
      </c>
      <c r="CE126" s="213">
        <f t="shared" si="71"/>
        <v>0</v>
      </c>
      <c r="CF126" s="213">
        <f t="shared" si="72"/>
        <v>0</v>
      </c>
      <c r="CG126" s="213">
        <f t="shared" si="73"/>
        <v>0</v>
      </c>
      <c r="CH126" s="698">
        <f t="shared" si="74"/>
        <v>968.354564614178</v>
      </c>
      <c r="CI126" s="79">
        <f>IFERROR(($G126*'Inputs Yr 2'!$P126*'Inputs Yr 2'!$Q126*(((INDEX(avoidedcosttbl2,$H126,CI$2)+(($H126-ROUNDDOWN($H126,0))*(INDEX(avoidedcosttbl2,ROUNDUP($H126,0),CI$2)-INDEX(avoidedcosttbl2,ROUNDDOWN($H126,0),CI$2))))*'Inputs Yr 2'!AS126))),"")</f>
        <v>2668.334389325762</v>
      </c>
      <c r="CJ126" s="504">
        <f>IFERROR($G126*'Inputs Yr 2'!AT126*'Inputs Yr 2'!$P126*'Inputs Yr 2'!$Q126/((1+realdiscrt1)^-0.5),"")</f>
        <v>0</v>
      </c>
      <c r="CK126" s="79">
        <f>IFERROR((O126*1000*(((INDEX(avoidedcosttbl2,$H126,CK$2)+(($H126-ROUNDDOWN($H126,0))*(INDEX(avoidedcosttbl2,ROUNDUP($H126,0),CK$2)-INDEX(avoidedcosttbl2,ROUNDDOWN($H126,0),CK$2))))*'Inputs Yr 2'!AU126))),"")</f>
        <v>0</v>
      </c>
      <c r="CL126" s="504">
        <f>IFERROR(O126*1000*'Inputs Yr 2'!AV126/((1+realdiscrt1)^-0.5),"")</f>
        <v>0</v>
      </c>
      <c r="CM126" s="79">
        <f>IFERROR((AB126*'Inputs Yr 2'!AW126*(((INDEX(avoidedcosttbl2,$H126,CM$2)+(($H126-ROUNDDOWN($H126,0))*(INDEX(avoidedcosttbl2,ROUNDUP($H126,0),CM$2)-INDEX(avoidedcosttbl2,ROUNDDOWN($H126,0),CM$2)))))))*10,"")</f>
        <v>134.92522639340737</v>
      </c>
      <c r="CN126" s="504">
        <f>IFERROR(10*AB126*'Inputs Yr 2'!AX126/((1+realdiscrt1)^-0.5),"")</f>
        <v>4.0054672544842456</v>
      </c>
      <c r="CO126" s="505">
        <f t="shared" si="75"/>
        <v>2807.2650829736535</v>
      </c>
      <c r="CP126" s="230">
        <f t="shared" si="76"/>
        <v>3775.6196475878314</v>
      </c>
      <c r="CQ126" s="199">
        <f>ROUND(IFERROR(IF(LEFT($A126,1)="C",'Avoided Costs'!$K$13,'Avoided Costs'!$K$12)+1,""),4)</f>
        <v>1.0720000000000001</v>
      </c>
      <c r="CR126" s="199">
        <f>ROUND(IFERROR(IF(LEFT($A126,1)="C",'Avoided Costs'!$L$13,'Avoided Costs'!$L$12)+1,""),4)</f>
        <v>1.04</v>
      </c>
      <c r="CS126" s="199">
        <f>ROUND(IFERROR(IF(LEFT($A126,1)="C",'Avoided Costs'!$M$13,'Avoided Costs'!$M$12)+1,""),4)</f>
        <v>1.0720000000000001</v>
      </c>
      <c r="CT126" s="199">
        <f>ROUND(IFERROR(IF(LEFT($A126,1)="C",'Avoided Costs'!$N$13,'Avoided Costs'!$N$12)+1,""),4)</f>
        <v>1.04</v>
      </c>
      <c r="CU126" s="199">
        <f>ROUND(IFERROR(IF(LEFT($A126,1)="C",'Avoided Costs'!$O$13,'Avoided Costs'!$O$12)+1,""),4)</f>
        <v>1.1120000000000001</v>
      </c>
      <c r="CV126" s="199">
        <f>ROUND(IFERROR(IF(LEFT($A126,1)="C",'Avoided Costs'!$P$13,'Avoided Costs'!$P$12)+1,""),4)</f>
        <v>1.095</v>
      </c>
      <c r="CW126" s="199">
        <f>ROUND(IFERROR(IF(LEFT($A126,1)="C",'Avoided Costs'!$Q$13,'Avoided Costs'!$Q$12)+1,""),4)</f>
        <v>1.1120000000000001</v>
      </c>
      <c r="CX126" s="200">
        <f>ROUND(IFERROR(IF(LEFT($A126,1)="C",'Avoided Costs'!$R$13,'Avoided Costs'!$R$12)+1,""),4)</f>
        <v>1.1120000000000001</v>
      </c>
    </row>
    <row r="127" spans="1:102" ht="12.75" customHeight="1">
      <c r="A127" s="91" t="str">
        <f>IF('Inputs Yr 2'!$B127=0,"",'Inputs Yr 2'!A127)</f>
        <v>B - Low Income</v>
      </c>
      <c r="B127" s="91" t="str">
        <f>IF('Inputs Yr 2'!$B127=0,"",'Inputs Yr 2'!B127)</f>
        <v>B1 - Low-Income Whole House</v>
      </c>
      <c r="C127" s="91" t="str">
        <f>IF('Inputs Yr 2'!$B127=0,"",'Inputs Yr 2'!C127)</f>
        <v>B1b - Low-Income Multi-Family Retrofit</v>
      </c>
      <c r="D127" s="91" t="str">
        <f>IF('Inputs Yr 2'!$B127=0,"",'Inputs Yr 2'!E127)</f>
        <v>Duct Insulation, Gas</v>
      </c>
      <c r="E127" s="93" t="str">
        <f>IF('Inputs Yr 2'!$B127=0,"",'Inputs Yr 2'!F127)</f>
        <v>G16B1b08</v>
      </c>
      <c r="F127" s="93" t="str">
        <f>IF('Inputs Yr 2'!$B127=0,"",'Inputs Yr 2'!G127)</f>
        <v>HVAC</v>
      </c>
      <c r="G127" s="95">
        <f>IF('Inputs Yr 2'!$H127&lt;&gt;0,('Inputs Yr 2'!H127),"")</f>
        <v>2277</v>
      </c>
      <c r="H127" s="94">
        <f>IFERROR('Inputs Yr 2'!I127,"")</f>
        <v>20</v>
      </c>
      <c r="I127" s="298">
        <f>IFERROR('Inputs Yr 2'!J127*'Inputs Yr 2'!P127*G127,"")</f>
        <v>8371.08</v>
      </c>
      <c r="J127" s="298">
        <f>IFERROR('Inputs Yr 2'!K127*G127,"")</f>
        <v>8371.08</v>
      </c>
      <c r="K127" s="298">
        <f t="shared" si="53"/>
        <v>0</v>
      </c>
      <c r="L127" s="194">
        <f>IFERROR(('Inputs Yr 2'!W127*G127)/1000,"")</f>
        <v>0</v>
      </c>
      <c r="M127" s="194">
        <f>IFERROR(L127*('Inputs Yr 2'!$Q127*'Inputs Yr 2'!$V127*'Inputs Yr 2'!$R127),"")</f>
        <v>0</v>
      </c>
      <c r="N127" s="194">
        <f t="shared" si="54"/>
        <v>0</v>
      </c>
      <c r="O127" s="194">
        <f>IFERROR(M127*'Inputs Yr 2'!P127,"")</f>
        <v>0</v>
      </c>
      <c r="P127" s="194">
        <f t="shared" si="55"/>
        <v>0</v>
      </c>
      <c r="Q127" s="194">
        <f>IFERROR($P127*'Inputs Yr 2'!AA127,"")</f>
        <v>0</v>
      </c>
      <c r="R127" s="194">
        <f>IFERROR($P127*'Inputs Yr 2'!AB127,"")</f>
        <v>0</v>
      </c>
      <c r="S127" s="194">
        <f>IFERROR($P127*'Inputs Yr 2'!AC127,"")</f>
        <v>0</v>
      </c>
      <c r="T127" s="194">
        <f>IFERROR($P127*'Inputs Yr 2'!AD127,"")</f>
        <v>0</v>
      </c>
      <c r="U127" s="194">
        <f>IFERROR(G127*'Inputs Yr 2'!$AE127*'Inputs Yr 2'!$P127*'Inputs Yr 2'!$Q127,"")</f>
        <v>0</v>
      </c>
      <c r="V127" s="194">
        <f>IFERROR($G127*'Inputs Yr 2'!$AE127*'Inputs Yr 2'!$AG127*'Inputs Yr 2'!Q127*'Inputs Yr 2'!$S127,"")</f>
        <v>0</v>
      </c>
      <c r="W127" s="194">
        <f>IFERROR($G127*'Inputs Yr 2'!$AE127*'Inputs Yr 2'!$AG127*'Inputs Yr 2'!P127*'Inputs Yr 2'!Q127*'Inputs Yr 2'!$S127,"")</f>
        <v>0</v>
      </c>
      <c r="X127" s="194">
        <f>IFERROR($G127*'Inputs Yr 2'!$AE127*'Inputs Yr 2'!$AF127*'Inputs Yr 2'!Q127*'Inputs Yr 2'!$T127,"")</f>
        <v>0</v>
      </c>
      <c r="Y127" s="194">
        <f>IFERROR($G127*'Inputs Yr 2'!$AE127*'Inputs Yr 2'!$AF127*'Inputs Yr 2'!P127*'Inputs Yr 2'!Q127*'Inputs Yr 2'!$T127,"")</f>
        <v>0</v>
      </c>
      <c r="Z127" s="257">
        <f>IFERROR($G127*'Inputs Yr 2'!$Q127*'Inputs Yr 2'!$U127*(IF(IFERROR(SEARCH("NG", 'Inputs Yr 2'!$AJ127),0),'Inputs Yr 2'!$AK127,0)+IF(IFERROR(SEARCH("NG", 'Inputs Yr 2'!$AL127),0),'Inputs Yr 2'!$AM127,0)+IF(IFERROR(SEARCH("NG", 'Inputs Yr 2'!$AN127),0),'Inputs Yr 2'!$AO127,0)),0)</f>
        <v>28.874999999999996</v>
      </c>
      <c r="AA127" s="257">
        <f t="shared" si="56"/>
        <v>577.49999999999989</v>
      </c>
      <c r="AB127" s="257">
        <f>IFERROR(Z127*'Inputs Yr 2'!$P127,0)</f>
        <v>28.874999999999996</v>
      </c>
      <c r="AC127" s="257">
        <f t="shared" si="57"/>
        <v>577.49999999999989</v>
      </c>
      <c r="AD127" s="257">
        <f>IFERROR($G127*'Inputs Yr 2'!$Q127*'Inputs Yr 2'!$U127*(IF(IFERROR(SEARCH("Oil", 'Inputs Yr 2'!$AJ127), 0),'Inputs Yr 2'!$AK127,0)+IF(IFERROR(SEARCH("Oil", 'Inputs Yr 2'!$AL127), 0),'Inputs Yr 2'!$AM127,0)+IF(IFERROR(SEARCH("Oil", 'Inputs Yr 2'!$AN127), 0),'Inputs Yr 2'!$AO127,0)),0)</f>
        <v>0</v>
      </c>
      <c r="AE127" s="257">
        <f t="shared" si="58"/>
        <v>0</v>
      </c>
      <c r="AF127" s="257">
        <f>IFERROR(AD127*'Inputs Yr 2'!$P127,0)</f>
        <v>0</v>
      </c>
      <c r="AG127" s="257">
        <f t="shared" si="59"/>
        <v>0</v>
      </c>
      <c r="AH127" s="257">
        <f>IFERROR($G127*'Inputs Yr 2'!$Q127*'Inputs Yr 2'!$U127*(IF('Inputs Yr 2'!$AJ127=CD$4,'Inputs Yr 2'!$AK127,IF('Inputs Yr 2'!$AL127=CD$4,'Inputs Yr 2'!$AM127,IF('Inputs Yr 2'!$AN127=CD$4,'Inputs Yr 2'!$AO127,0)))),0)</f>
        <v>0</v>
      </c>
      <c r="AI127" s="257">
        <f t="shared" si="60"/>
        <v>0</v>
      </c>
      <c r="AJ127" s="257">
        <f>IFERROR(AH127*'Inputs Yr 2'!$P127,0)</f>
        <v>0</v>
      </c>
      <c r="AK127" s="257">
        <f t="shared" si="61"/>
        <v>0</v>
      </c>
      <c r="AL127" s="258">
        <f>IFERROR($G127*'Inputs Yr 2'!$P127*'Inputs Yr 2'!$Q127*'Inputs Yr 2'!AP127,0)</f>
        <v>0</v>
      </c>
      <c r="AM127" s="260">
        <f>IFERROR($G127*'Inputs Yr 2'!$P127*'Inputs Yr 2'!$Q127*'Inputs Yr 2'!AQ127,0)</f>
        <v>0</v>
      </c>
      <c r="AN127" s="258">
        <f>IFERROR($G127*'Inputs Yr 2'!$P127*'Inputs Yr 2'!$Q127*'Inputs Yr 2'!AR127,0)</f>
        <v>0</v>
      </c>
      <c r="AO127" s="257">
        <f t="shared" si="62"/>
        <v>0</v>
      </c>
      <c r="AP127" s="195">
        <f>IFERROR($CQ127*(INDEX(avoidedcosttbl2,$H127,AP$2)+(($H127-ROUNDDOWN($H127,0))*(INDEX(avoidedcosttbl2,ROUNDUP($H127,0),AP$2)-(INDEX(avoidedcosttbl2,ROUNDDOWN($H127,0),AP$2)))))*$O127*1000*'Inputs Yr 2'!AA127,"")</f>
        <v>0</v>
      </c>
      <c r="AQ127" s="195">
        <f>IFERROR($CR127*(INDEX(avoidedcosttbl2,$H127,AQ$2)+(($H127-ROUNDDOWN($H127,0))*(INDEX(avoidedcosttbl2,ROUNDUP($H127,0),AQ$2)-(INDEX(avoidedcosttbl2,ROUNDDOWN($H127,0),AQ$2)))))*$O127*1000*'Inputs Yr 2'!AB127,"")</f>
        <v>0</v>
      </c>
      <c r="AR127" s="195">
        <f>IFERROR($CS127*(INDEX(avoidedcosttbl2,$H127,AR$2)+(($H127-ROUNDDOWN($H127,0))*(INDEX(avoidedcosttbl2,ROUNDUP($H127,0),AR$2)-(INDEX(avoidedcosttbl2,ROUNDDOWN($H127,0),AR$2)))))*$O127*1000*'Inputs Yr 2'!AC127,"")</f>
        <v>0</v>
      </c>
      <c r="AS127" s="195">
        <f>IFERROR($CT127*(INDEX(avoidedcosttbl2,$H127,AS$2)+(($H127-ROUNDDOWN($H127,0))*(INDEX(avoidedcosttbl2,ROUNDUP($H127,0),AS$2)-(INDEX(avoidedcosttbl2,ROUNDDOWN($H127,0),AS$2)))))*$O127*1000*'Inputs Yr 2'!AD127,"")</f>
        <v>0</v>
      </c>
      <c r="AT127" s="196">
        <f t="shared" si="63"/>
        <v>0</v>
      </c>
      <c r="AU127" s="197">
        <f>IFERROR($CQ127*((INDEX(avoidedcosttbl2,$H127,AU$2))+(($H127-ROUNDDOWN($H127,0))*((INDEX(avoidedcosttbl2,ROUNDUP($H127,0),AU$2))-(INDEX(avoidedcosttbl2,ROUNDDOWN($H127,0),AU$2)))))*$O127*1000*'Inputs Yr 2'!AA127,"")</f>
        <v>0</v>
      </c>
      <c r="AV127" s="197">
        <f>IFERROR($CR127*((INDEX(avoidedcosttbl2,$H127,AV$2))+(($H127-ROUNDDOWN($H127,0))*((INDEX(avoidedcosttbl2,ROUNDUP($H127,0),AV$2))-(INDEX(avoidedcosttbl2,ROUNDDOWN($H127,0),AV$2)))))*$O127*1000*'Inputs Yr 2'!AB127,"")</f>
        <v>0</v>
      </c>
      <c r="AW127" s="197">
        <f>IFERROR($CS127*((INDEX(avoidedcosttbl2,$H127,AW$2))+(($H127-ROUNDDOWN($H127,0))*((INDEX(avoidedcosttbl2,ROUNDUP($H127,0),AW$2))-(INDEX(avoidedcosttbl2,ROUNDDOWN($H127,0),AW$2)))))*$O127*1000*'Inputs Yr 2'!AC127,"")</f>
        <v>0</v>
      </c>
      <c r="AX127" s="197">
        <f>IFERROR($CT127*((INDEX(avoidedcosttbl2,$H127,AX$2))+(($H127-ROUNDDOWN($H127,0))*((INDEX(avoidedcosttbl2,ROUNDUP($H127,0),AX$2))-(INDEX(avoidedcosttbl2,ROUNDDOWN($H127,0),AX$2)))))*$O127*1000*'Inputs Yr 2'!AD127,"")</f>
        <v>0</v>
      </c>
      <c r="AY127" s="197">
        <f>IFERROR(((INDEX(avoidedcosttbl2,$H127,AY$2))+(($H127-ROUNDDOWN($H127,0))*((INDEX(avoidedcosttbl2,ROUNDUP($H127,0),AY$2))-(INDEX(avoidedcosttbl2,ROUNDDOWN($H127,0),AY$2)))))*$O127*1000*('Inputs Yr 2'!AC127+'Inputs Yr 2'!AD127),"")</f>
        <v>0</v>
      </c>
      <c r="AZ127" s="197">
        <f>IFERROR(((INDEX(avoidedcosttbl2,$H127,AZ$2))+(($H127-ROUNDDOWN($H127,0))*((INDEX(avoidedcosttbl2,ROUNDUP($H127,0),AZ$2))-(INDEX(avoidedcosttbl2,ROUNDDOWN($H127,0),AZ$2)))))*$O127*1000*('Inputs Yr 2'!AA127+'Inputs Yr 2'!AB127),"")</f>
        <v>0</v>
      </c>
      <c r="BA127" s="198">
        <f t="shared" si="64"/>
        <v>0</v>
      </c>
      <c r="BB127" s="198">
        <f t="shared" si="65"/>
        <v>0</v>
      </c>
      <c r="BC127" s="195">
        <f t="shared" si="47"/>
        <v>0</v>
      </c>
      <c r="BD127" s="195">
        <f t="shared" si="48"/>
        <v>0</v>
      </c>
      <c r="BE127" s="195">
        <f t="shared" si="49"/>
        <v>0</v>
      </c>
      <c r="BF127" s="195">
        <f t="shared" si="50"/>
        <v>0</v>
      </c>
      <c r="BG127" s="195">
        <f t="shared" si="51"/>
        <v>0</v>
      </c>
      <c r="BH127" s="196">
        <f t="shared" si="66"/>
        <v>0</v>
      </c>
      <c r="BI127" s="196">
        <f t="shared" si="67"/>
        <v>0</v>
      </c>
      <c r="BJ127" s="195">
        <f>IFERROR($G127*(IF('Inputs Yr 2'!$AJ127=BJ$4,'Inputs Yr 2'!$AK127,IF('Inputs Yr 2'!$AL127=BJ$4,'Inputs Yr 2'!$AM127,IF('Inputs Yr 2'!$AN127=BJ$4,'Inputs Yr 2'!$AO127,0))))*(INDEX(avoidedcosttbl2,$H127,BJ$2)+(($H127-ROUNDDOWN($H127,0))*(INDEX(avoidedcosttbl2,ROUNDUP($H127,0),BJ$2)-(INDEX(avoidedcosttbl2,ROUNDDOWN($H127,0),BJ$2)))))*'Inputs Yr 2'!P127*'Inputs Yr 2'!Q127*'Inputs Yr 2'!U127,"")</f>
        <v>0</v>
      </c>
      <c r="BK127" s="195">
        <f>IFERROR($G127*(IF('Inputs Yr 2'!$AJ127=BK$4,'Inputs Yr 2'!$AK127,IF('Inputs Yr 2'!$AL127=BK$4,'Inputs Yr 2'!$AM127,IF('Inputs Yr 2'!$AN127=BK$4,'Inputs Yr 2'!$AO127,0))))*(INDEX(avoidedcosttbl2,$H127,BK$2)+(($H127-ROUNDDOWN($H127,0))*(INDEX(avoidedcosttbl2,ROUNDUP($H127,0),BK$2)-(INDEX(avoidedcosttbl2,ROUNDDOWN($H127,0),BK$2)))))*'Inputs Yr 2'!P127*'Inputs Yr 2'!Q127*'Inputs Yr 2'!U127,"")</f>
        <v>0</v>
      </c>
      <c r="BL127" s="195">
        <f>IFERROR($G127*(IF('Inputs Yr 2'!$AJ127=BL$4,'Inputs Yr 2'!$AK127,IF('Inputs Yr 2'!$AL127=BL$4,'Inputs Yr 2'!$AM127,IF('Inputs Yr 2'!$AN127=BL$4,'Inputs Yr 2'!$AO127,0))))*(INDEX(avoidedcosttbl2,$H127,BL$2)+(($H127-ROUNDDOWN($H127,0))*(INDEX(avoidedcosttbl2,ROUNDUP($H127,0),BL$2)-(INDEX(avoidedcosttbl2,ROUNDDOWN($H127,0),BL$2)))))*'Inputs Yr 2'!P127*'Inputs Yr 2'!Q127*'Inputs Yr 2'!U127,"")</f>
        <v>5004.5667095604604</v>
      </c>
      <c r="BM127" s="195">
        <f>IFERROR($G127*(IF('Inputs Yr 2'!$AJ127=BM$4,'Inputs Yr 2'!$AK127,IF('Inputs Yr 2'!$AL127=BM$4,'Inputs Yr 2'!$AM127,IF('Inputs Yr 2'!$AN127=BM$4,'Inputs Yr 2'!$AO127,0))))*(INDEX(avoidedcosttbl2,$H127,BM$2)+(($H127-ROUNDDOWN($H127,0))*(INDEX(avoidedcosttbl2,ROUNDUP($H127,0),BM$2)-(INDEX(avoidedcosttbl2,ROUNDDOWN($H127,0),BM$2)))))*'Inputs Yr 2'!P127*'Inputs Yr 2'!Q127*'Inputs Yr 2'!U127,"")</f>
        <v>0</v>
      </c>
      <c r="BN127" s="195">
        <f>IFERROR($G127*(IF('Inputs Yr 2'!$AJ127=BN$4,'Inputs Yr 2'!$AK127,IF('Inputs Yr 2'!$AL127=BN$4,'Inputs Yr 2'!$AM127,IF('Inputs Yr 2'!$AN127=BN$4,'Inputs Yr 2'!$AO127,0))))*(INDEX(avoidedcosttbl2,$H127,BN$2)+(($H127-ROUNDDOWN($H127,0))*(INDEX(avoidedcosttbl2,ROUNDUP($H127,0),BN$2)-(INDEX(avoidedcosttbl2,ROUNDDOWN($H127,0),BN$2)))))*'Inputs Yr 2'!P127*'Inputs Yr 2'!Q127*'Inputs Yr 2'!U127,"")</f>
        <v>0</v>
      </c>
      <c r="BO127" s="195">
        <f>IFERROR($G127*(IF('Inputs Yr 2'!$AJ127=BO$4,'Inputs Yr 2'!$AK127,IF('Inputs Yr 2'!$AL127=BO$4,'Inputs Yr 2'!$AM127,IF('Inputs Yr 2'!$AN127=BO$4,'Inputs Yr 2'!$AO127,0))))*(INDEX(avoidedcosttbl2,$H127,BO$2)+(($H127-ROUNDDOWN($H127,0))*(INDEX(avoidedcosttbl2,ROUNDUP($H127,0),BO$2)-(INDEX(avoidedcosttbl2,ROUNDDOWN($H127,0),BO$2)))))*'Inputs Yr 2'!P127*'Inputs Yr 2'!Q127*'Inputs Yr 2'!U127,"")</f>
        <v>0</v>
      </c>
      <c r="BP127" s="195">
        <f>IFERROR($G127*(IF('Inputs Yr 2'!$AJ127=BP$4,'Inputs Yr 2'!$AK127,IF('Inputs Yr 2'!$AL127=BP$4,'Inputs Yr 2'!$AM127,IF('Inputs Yr 2'!$AN127=BP$4,'Inputs Yr 2'!$AO127,0))))*(INDEX(avoidedcosttbl2,$H127,BP$2)+(($H127-ROUNDDOWN($H127,0))*(INDEX(avoidedcosttbl2,ROUNDUP($H127,0),BP$2)-(INDEX(avoidedcosttbl2,ROUNDDOWN($H127,0),BP$2)))))*'Inputs Yr 2'!P127*'Inputs Yr 2'!Q127*'Inputs Yr 2'!U127,"")</f>
        <v>0</v>
      </c>
      <c r="BQ127" s="230">
        <f t="shared" si="68"/>
        <v>5004.5667095604604</v>
      </c>
      <c r="BR127" s="197">
        <f t="shared" si="52"/>
        <v>77.431887567793794</v>
      </c>
      <c r="BS127" s="197">
        <f>IFERROR(($G127*IF('Inputs Yr 2'!$AJ127=BM$4,'Inputs Yr 2'!$AK127,IF('Inputs Yr 2'!$AL127=BM$4,'Inputs Yr 2'!$AM127,IF('Inputs Yr 2'!$AN127=BM$4,'Inputs Yr 2'!$AO127,0))))*(INDEX(avoidedcosttbl2,$H127,BS$2)+(($H127-ROUNDDOWN($H127,0))*(INDEX(avoidedcosttbl2,ROUNDUP($H127,0),BS$2)-(INDEX(avoidedcosttbl2,ROUNDDOWN($H127,0),BS$2)))))*'Inputs Yr 2'!P127*'Inputs Yr 2'!Q127*'Inputs Yr 2'!U127,"")</f>
        <v>0</v>
      </c>
      <c r="BT127" s="197">
        <f>IFERROR(($G127*IF('Inputs Yr 2'!$AJ127=BK$4,'Inputs Yr 2'!$AK127,IF('Inputs Yr 2'!$AL127=BK$4,'Inputs Yr 2'!$AM127,IF('Inputs Yr 2'!$AN127=BK$4,'Inputs Yr 2'!$AO127,0))))*(INDEX(avoidedcosttbl2,$H127,BT$2)+(($H127-ROUNDDOWN($H127,0))*(INDEX(avoidedcosttbl2,ROUNDUP($H127,0),BT$2)-(INDEX(avoidedcosttbl2,ROUNDDOWN($H127,0),BT$2)))))*'Inputs Yr 2'!P127*'Inputs Yr 2'!Q127*'Inputs Yr 2'!U127,"")</f>
        <v>0</v>
      </c>
      <c r="BU127" s="197">
        <f>IFERROR(($G127*IF('Inputs Yr 2'!$AJ127=BL$4,'Inputs Yr 2'!$AK127,IF('Inputs Yr 2'!$AL127=BL$4,'Inputs Yr 2'!$AM127,IF('Inputs Yr 2'!$AN127=BL$4,'Inputs Yr 2'!$AO127,0))))*(INDEX(avoidedcosttbl2,$H127,BU$2)+(($H127-ROUNDDOWN($H127,0))*(INDEX(avoidedcosttbl2,ROUNDUP($H127,0),BU$2)-(INDEX(avoidedcosttbl2,ROUNDDOWN($H127,0),BU$2)))))*'Inputs Yr 2'!P127*'Inputs Yr 2'!Q127*'Inputs Yr 2'!U127,"")</f>
        <v>235.04419560932027</v>
      </c>
      <c r="BV127" s="775">
        <f>IFERROR(($G127*IF('Inputs Yr 2'!$AJ127=BJ$4,'Inputs Yr 2'!$AK127,IF('Inputs Yr 2'!$AL127=BJ$4,'Inputs Yr 2'!$AM127,IF('Inputs Yr 2'!$AN127=BJ$4,'Inputs Yr 2'!$AO127,0))))*(INDEX(avoidedcosttbl2,$H127,BV$2)+(($H127-ROUNDDOWN($H127,0))*(INDEX(avoidedcosttbl2,ROUNDUP($H127,0),BV$2)-(INDEX(avoidedcosttbl2,ROUNDDOWN($H127,0),BV$2)))))*'Inputs Yr 2'!P127*'Inputs Yr 2'!Q127*'Inputs Yr 2'!U127,"")</f>
        <v>0</v>
      </c>
      <c r="BW127" s="197">
        <f>IFERROR(($G127*IF('Inputs Yr 2'!$AJ127=BN$4,'Inputs Yr 2'!$AK127,IF('Inputs Yr 2'!$AL127=BN$4,'Inputs Yr 2'!$AM127,IF('Inputs Yr 2'!$AN127=BN$4,'Inputs Yr 2'!$AO127,0))))*(INDEX(avoidedcosttbl2,$H127,BW$2)+(($H127-ROUNDDOWN($H127,0))*(INDEX(avoidedcosttbl2,ROUNDUP($H127,0),BW$2)-(INDEX(avoidedcosttbl2,ROUNDDOWN($H127,0),BW$2)))))*'Inputs Yr 2'!P127*'Inputs Yr 2'!Q127*'Inputs Yr 2'!U127,"")</f>
        <v>0</v>
      </c>
      <c r="BX127" s="197">
        <f>IFERROR(($G127*IF('Inputs Yr 2'!$AJ127=BO$4,'Inputs Yr 2'!$AK127,IF('Inputs Yr 2'!$AL127=BO$4,'Inputs Yr 2'!$AM127,IF('Inputs Yr 2'!$AN127=BO$4,'Inputs Yr 2'!$AO127,0))))*(INDEX(avoidedcosttbl2,$H127,BX$2)+(($H127-ROUNDDOWN($H127,0))*(INDEX(avoidedcosttbl2,ROUNDUP($H127,0),BX$2)-(INDEX(avoidedcosttbl2,ROUNDDOWN($H127,0),BX$2)))))*'Inputs Yr 2'!P127*'Inputs Yr 2'!Q127*'Inputs Yr 2'!U127,"")</f>
        <v>0</v>
      </c>
      <c r="BY127" s="197">
        <f>IFERROR(($G127*IF('Inputs Yr 2'!$AJ127=BP$4,'Inputs Yr 2'!$AK127,IF('Inputs Yr 2'!$AL127=BP$4,'Inputs Yr 2'!$AM127,IF('Inputs Yr 2'!$AN127=BP$4,'Inputs Yr 2'!$AO127,0))))*(INDEX(avoidedcosttbl2,$H127,BY$2)+(($H127-ROUNDDOWN($H127,0))*(INDEX(avoidedcosttbl2,ROUNDUP($H127,0),BY$2)-(INDEX(avoidedcosttbl2,ROUNDDOWN($H127,0),BY$2)))))*'Inputs Yr 2'!P127*'Inputs Yr 2'!Q127*'Inputs Yr 2'!U127,"")</f>
        <v>0</v>
      </c>
      <c r="BZ127" s="193">
        <f t="shared" si="69"/>
        <v>312.47608317711405</v>
      </c>
      <c r="CA127" s="193">
        <f t="shared" si="70"/>
        <v>5317.042792737574</v>
      </c>
      <c r="CB127" s="195">
        <f>IFERROR(G127*(IF('Inputs Yr 2'!$AJ127=CB$4,'Inputs Yr 2'!$AK127,IF('Inputs Yr 2'!$AL127=CB$4,'Inputs Yr 2'!$AM127,IF('Inputs Yr 2'!$AN127=CB$4,'Inputs Yr 2'!$AO127,0))))*(INDEX(avoidedcosttbl2,$H127,CB$2)+(($H127-ROUNDDOWN($H127,0))*(INDEX(avoidedcosttbl2,ROUNDUP($H127,0),CB$2)-(INDEX(avoidedcosttbl2,ROUNDDOWN($H127,0),CB$2)))))*'Inputs Yr 2'!P127*'Inputs Yr 2'!Q127*'Inputs Yr 2'!U127,"")</f>
        <v>0</v>
      </c>
      <c r="CC127" s="195">
        <f>IFERROR(H127*(IF('Inputs Yr 2'!$AJ127=CC$4,'Inputs Yr 2'!$AK127,IF('Inputs Yr 2'!$AL127=CC$4,'Inputs Yr 2'!$AM127,IF('Inputs Yr 2'!$AN127=CC$4,'Inputs Yr 2'!$AO127,0))))*(INDEX(avoidedcosttbl2,$H127,CC$2)+(($H127-ROUNDDOWN($H127,0))*(INDEX(avoidedcosttbl2,ROUNDUP($H127,0),CC$2)-(INDEX(avoidedcosttbl2,ROUNDDOWN($H127,0),CC$2)))))*'Inputs Yr 2'!Q127*'Inputs Yr 2'!R127*'Inputs Yr 2'!V127,"")</f>
        <v>0</v>
      </c>
      <c r="CD127" s="195">
        <f>IFERROR(I127*(IF('Inputs Yr 2'!$AJ127=CD$4,'Inputs Yr 2'!$AK127,IF('Inputs Yr 2'!$AL127=CD$4,'Inputs Yr 2'!$AM127,IF('Inputs Yr 2'!$AN127=CD$4,'Inputs Yr 2'!$AO127,0))))*(INDEX(avoidedcosttbl2,$H127,CD$2)+(($H127-ROUNDDOWN($H127,0))*(INDEX(avoidedcosttbl2,ROUNDUP($H127,0),CD$2)-(INDEX(avoidedcosttbl2,ROUNDDOWN($H127,0),CD$2)))))*'Inputs Yr 2'!R127*'Inputs Yr 2'!S127*'Inputs Yr 2'!W127,"")</f>
        <v>0</v>
      </c>
      <c r="CE127" s="213">
        <f t="shared" si="71"/>
        <v>0</v>
      </c>
      <c r="CF127" s="213">
        <f t="shared" si="72"/>
        <v>0</v>
      </c>
      <c r="CG127" s="213">
        <f t="shared" si="73"/>
        <v>0</v>
      </c>
      <c r="CH127" s="698">
        <f t="shared" si="74"/>
        <v>5317.042792737574</v>
      </c>
      <c r="CI127" s="79">
        <f>IFERROR(($G127*'Inputs Yr 2'!$P127*'Inputs Yr 2'!$Q127*(((INDEX(avoidedcosttbl2,$H127,CI$2)+(($H127-ROUNDDOWN($H127,0))*(INDEX(avoidedcosttbl2,ROUNDUP($H127,0),CI$2)-INDEX(avoidedcosttbl2,ROUNDDOWN($H127,0),CI$2))))*'Inputs Yr 2'!AS127))),"")</f>
        <v>0</v>
      </c>
      <c r="CJ127" s="504">
        <f>IFERROR($G127*'Inputs Yr 2'!AT127*'Inputs Yr 2'!$P127*'Inputs Yr 2'!$Q127/((1+realdiscrt1)^-0.5),"")</f>
        <v>0</v>
      </c>
      <c r="CK127" s="79">
        <f>IFERROR((O127*1000*(((INDEX(avoidedcosttbl2,$H127,CK$2)+(($H127-ROUNDDOWN($H127,0))*(INDEX(avoidedcosttbl2,ROUNDUP($H127,0),CK$2)-INDEX(avoidedcosttbl2,ROUNDDOWN($H127,0),CK$2))))*'Inputs Yr 2'!AU127))),"")</f>
        <v>0</v>
      </c>
      <c r="CL127" s="504">
        <f>IFERROR(O127*1000*'Inputs Yr 2'!AV127/((1+realdiscrt1)^-0.5),"")</f>
        <v>0</v>
      </c>
      <c r="CM127" s="79">
        <f>IFERROR((AB127*'Inputs Yr 2'!AW127*(((INDEX(avoidedcosttbl2,$H127,CM$2)+(($H127-ROUNDDOWN($H127,0))*(INDEX(avoidedcosttbl2,ROUNDUP($H127,0),CM$2)-INDEX(avoidedcosttbl2,ROUNDDOWN($H127,0),CM$2)))))))*10,"")</f>
        <v>8204.6112765358448</v>
      </c>
      <c r="CN127" s="504">
        <f>IFERROR(10*AB127*'Inputs Yr 2'!AX127/((1+realdiscrt1)^-0.5),"")</f>
        <v>21.993226009614865</v>
      </c>
      <c r="CO127" s="505">
        <f t="shared" si="75"/>
        <v>8226.6045025454605</v>
      </c>
      <c r="CP127" s="230">
        <f t="shared" si="76"/>
        <v>13543.647295283034</v>
      </c>
      <c r="CQ127" s="199">
        <f>ROUND(IFERROR(IF(LEFT($A127,1)="C",'Avoided Costs'!$K$13,'Avoided Costs'!$K$12)+1,""),4)</f>
        <v>1.0720000000000001</v>
      </c>
      <c r="CR127" s="199">
        <f>ROUND(IFERROR(IF(LEFT($A127,1)="C",'Avoided Costs'!$L$13,'Avoided Costs'!$L$12)+1,""),4)</f>
        <v>1.04</v>
      </c>
      <c r="CS127" s="199">
        <f>ROUND(IFERROR(IF(LEFT($A127,1)="C",'Avoided Costs'!$M$13,'Avoided Costs'!$M$12)+1,""),4)</f>
        <v>1.0720000000000001</v>
      </c>
      <c r="CT127" s="199">
        <f>ROUND(IFERROR(IF(LEFT($A127,1)="C",'Avoided Costs'!$N$13,'Avoided Costs'!$N$12)+1,""),4)</f>
        <v>1.04</v>
      </c>
      <c r="CU127" s="199">
        <f>ROUND(IFERROR(IF(LEFT($A127,1)="C",'Avoided Costs'!$O$13,'Avoided Costs'!$O$12)+1,""),4)</f>
        <v>1.1120000000000001</v>
      </c>
      <c r="CV127" s="199">
        <f>ROUND(IFERROR(IF(LEFT($A127,1)="C",'Avoided Costs'!$P$13,'Avoided Costs'!$P$12)+1,""),4)</f>
        <v>1.095</v>
      </c>
      <c r="CW127" s="199">
        <f>ROUND(IFERROR(IF(LEFT($A127,1)="C",'Avoided Costs'!$Q$13,'Avoided Costs'!$Q$12)+1,""),4)</f>
        <v>1.1120000000000001</v>
      </c>
      <c r="CX127" s="200">
        <f>ROUND(IFERROR(IF(LEFT($A127,1)="C",'Avoided Costs'!$R$13,'Avoided Costs'!$R$12)+1,""),4)</f>
        <v>1.1120000000000001</v>
      </c>
    </row>
    <row r="128" spans="1:102" ht="12.75" customHeight="1">
      <c r="A128" s="91" t="str">
        <f>IF('Inputs Yr 2'!$B128=0,"",'Inputs Yr 2'!A128)</f>
        <v>B - Low Income</v>
      </c>
      <c r="B128" s="91" t="str">
        <f>IF('Inputs Yr 2'!$B128=0,"",'Inputs Yr 2'!B128)</f>
        <v>B1 - Low-Income Whole House</v>
      </c>
      <c r="C128" s="91" t="str">
        <f>IF('Inputs Yr 2'!$B128=0,"",'Inputs Yr 2'!C128)</f>
        <v>B1b - Low-Income Multi-Family Retrofit</v>
      </c>
      <c r="D128" s="91" t="str">
        <f>IF('Inputs Yr 2'!$B128=0,"",'Inputs Yr 2'!E128)</f>
        <v>Pipe Wrap (Water Heating), Gas</v>
      </c>
      <c r="E128" s="93" t="str">
        <f>IF('Inputs Yr 2'!$B128=0,"",'Inputs Yr 2'!F128)</f>
        <v>G16B1b09</v>
      </c>
      <c r="F128" s="93" t="str">
        <f>IF('Inputs Yr 2'!$B128=0,"",'Inputs Yr 2'!G128)</f>
        <v>Hot Water</v>
      </c>
      <c r="G128" s="95">
        <f>IF('Inputs Yr 2'!$H128&lt;&gt;0,('Inputs Yr 2'!H128),"")</f>
        <v>49</v>
      </c>
      <c r="H128" s="94">
        <f>IFERROR('Inputs Yr 2'!I128,"")</f>
        <v>15</v>
      </c>
      <c r="I128" s="298">
        <f>IFERROR('Inputs Yr 2'!J128*'Inputs Yr 2'!P128*G128,"")</f>
        <v>780.06</v>
      </c>
      <c r="J128" s="298">
        <f>IFERROR('Inputs Yr 2'!K128*G128,"")</f>
        <v>780.06</v>
      </c>
      <c r="K128" s="298">
        <f t="shared" si="53"/>
        <v>0</v>
      </c>
      <c r="L128" s="194">
        <f>IFERROR(('Inputs Yr 2'!W128*G128)/1000,"")</f>
        <v>0</v>
      </c>
      <c r="M128" s="194">
        <f>IFERROR(L128*('Inputs Yr 2'!$Q128*'Inputs Yr 2'!$V128*'Inputs Yr 2'!$R128),"")</f>
        <v>0</v>
      </c>
      <c r="N128" s="194">
        <f t="shared" si="54"/>
        <v>0</v>
      </c>
      <c r="O128" s="194">
        <f>IFERROR(M128*'Inputs Yr 2'!P128,"")</f>
        <v>0</v>
      </c>
      <c r="P128" s="194">
        <f t="shared" si="55"/>
        <v>0</v>
      </c>
      <c r="Q128" s="194">
        <f>IFERROR($P128*'Inputs Yr 2'!AA128,"")</f>
        <v>0</v>
      </c>
      <c r="R128" s="194">
        <f>IFERROR($P128*'Inputs Yr 2'!AB128,"")</f>
        <v>0</v>
      </c>
      <c r="S128" s="194">
        <f>IFERROR($P128*'Inputs Yr 2'!AC128,"")</f>
        <v>0</v>
      </c>
      <c r="T128" s="194">
        <f>IFERROR($P128*'Inputs Yr 2'!AD128,"")</f>
        <v>0</v>
      </c>
      <c r="U128" s="194">
        <f>IFERROR(G128*'Inputs Yr 2'!$AE128*'Inputs Yr 2'!$P128*'Inputs Yr 2'!$Q128,"")</f>
        <v>0</v>
      </c>
      <c r="V128" s="194">
        <f>IFERROR($G128*'Inputs Yr 2'!$AE128*'Inputs Yr 2'!$AG128*'Inputs Yr 2'!Q128*'Inputs Yr 2'!$S128,"")</f>
        <v>0</v>
      </c>
      <c r="W128" s="194">
        <f>IFERROR($G128*'Inputs Yr 2'!$AE128*'Inputs Yr 2'!$AG128*'Inputs Yr 2'!P128*'Inputs Yr 2'!Q128*'Inputs Yr 2'!$S128,"")</f>
        <v>0</v>
      </c>
      <c r="X128" s="194">
        <f>IFERROR($G128*'Inputs Yr 2'!$AE128*'Inputs Yr 2'!$AF128*'Inputs Yr 2'!Q128*'Inputs Yr 2'!$T128,"")</f>
        <v>0</v>
      </c>
      <c r="Y128" s="194">
        <f>IFERROR($G128*'Inputs Yr 2'!$AE128*'Inputs Yr 2'!$AF128*'Inputs Yr 2'!P128*'Inputs Yr 2'!Q128*'Inputs Yr 2'!$T128,"")</f>
        <v>0</v>
      </c>
      <c r="Z128" s="257">
        <f>IFERROR($G128*'Inputs Yr 2'!$Q128*'Inputs Yr 2'!$U128*(IF(IFERROR(SEARCH("NG", 'Inputs Yr 2'!$AJ128),0),'Inputs Yr 2'!$AK128,0)+IF(IFERROR(SEARCH("NG", 'Inputs Yr 2'!$AL128),0),'Inputs Yr 2'!$AM128,0)+IF(IFERROR(SEARCH("NG", 'Inputs Yr 2'!$AN128),0),'Inputs Yr 2'!$AO128,0)),0)</f>
        <v>41.895000000000003</v>
      </c>
      <c r="AA128" s="257">
        <f t="shared" si="56"/>
        <v>628.42500000000007</v>
      </c>
      <c r="AB128" s="257">
        <f>IFERROR(Z128*'Inputs Yr 2'!$P128,0)</f>
        <v>41.895000000000003</v>
      </c>
      <c r="AC128" s="257">
        <f t="shared" si="57"/>
        <v>628.42500000000007</v>
      </c>
      <c r="AD128" s="257">
        <f>IFERROR($G128*'Inputs Yr 2'!$Q128*'Inputs Yr 2'!$U128*(IF(IFERROR(SEARCH("Oil", 'Inputs Yr 2'!$AJ128), 0),'Inputs Yr 2'!$AK128,0)+IF(IFERROR(SEARCH("Oil", 'Inputs Yr 2'!$AL128), 0),'Inputs Yr 2'!$AM128,0)+IF(IFERROR(SEARCH("Oil", 'Inputs Yr 2'!$AN128), 0),'Inputs Yr 2'!$AO128,0)),0)</f>
        <v>0</v>
      </c>
      <c r="AE128" s="257">
        <f t="shared" si="58"/>
        <v>0</v>
      </c>
      <c r="AF128" s="257">
        <f>IFERROR(AD128*'Inputs Yr 2'!$P128,0)</f>
        <v>0</v>
      </c>
      <c r="AG128" s="257">
        <f t="shared" si="59"/>
        <v>0</v>
      </c>
      <c r="AH128" s="257">
        <f>IFERROR($G128*'Inputs Yr 2'!$Q128*'Inputs Yr 2'!$U128*(IF('Inputs Yr 2'!$AJ128=CD$4,'Inputs Yr 2'!$AK128,IF('Inputs Yr 2'!$AL128=CD$4,'Inputs Yr 2'!$AM128,IF('Inputs Yr 2'!$AN128=CD$4,'Inputs Yr 2'!$AO128,0)))),0)</f>
        <v>0</v>
      </c>
      <c r="AI128" s="257">
        <f t="shared" si="60"/>
        <v>0</v>
      </c>
      <c r="AJ128" s="257">
        <f>IFERROR(AH128*'Inputs Yr 2'!$P128,0)</f>
        <v>0</v>
      </c>
      <c r="AK128" s="257">
        <f t="shared" si="61"/>
        <v>0</v>
      </c>
      <c r="AL128" s="258">
        <f>IFERROR($G128*'Inputs Yr 2'!$P128*'Inputs Yr 2'!$Q128*'Inputs Yr 2'!AP128,0)</f>
        <v>0</v>
      </c>
      <c r="AM128" s="260">
        <f>IFERROR($G128*'Inputs Yr 2'!$P128*'Inputs Yr 2'!$Q128*'Inputs Yr 2'!AQ128,0)</f>
        <v>0</v>
      </c>
      <c r="AN128" s="258">
        <f>IFERROR($G128*'Inputs Yr 2'!$P128*'Inputs Yr 2'!$Q128*'Inputs Yr 2'!AR128,0)</f>
        <v>0</v>
      </c>
      <c r="AO128" s="257">
        <f t="shared" si="62"/>
        <v>0</v>
      </c>
      <c r="AP128" s="195">
        <f>IFERROR($CQ128*(INDEX(avoidedcosttbl2,$H128,AP$2)+(($H128-ROUNDDOWN($H128,0))*(INDEX(avoidedcosttbl2,ROUNDUP($H128,0),AP$2)-(INDEX(avoidedcosttbl2,ROUNDDOWN($H128,0),AP$2)))))*$O128*1000*'Inputs Yr 2'!AA128,"")</f>
        <v>0</v>
      </c>
      <c r="AQ128" s="195">
        <f>IFERROR($CR128*(INDEX(avoidedcosttbl2,$H128,AQ$2)+(($H128-ROUNDDOWN($H128,0))*(INDEX(avoidedcosttbl2,ROUNDUP($H128,0),AQ$2)-(INDEX(avoidedcosttbl2,ROUNDDOWN($H128,0),AQ$2)))))*$O128*1000*'Inputs Yr 2'!AB128,"")</f>
        <v>0</v>
      </c>
      <c r="AR128" s="195">
        <f>IFERROR($CS128*(INDEX(avoidedcosttbl2,$H128,AR$2)+(($H128-ROUNDDOWN($H128,0))*(INDEX(avoidedcosttbl2,ROUNDUP($H128,0),AR$2)-(INDEX(avoidedcosttbl2,ROUNDDOWN($H128,0),AR$2)))))*$O128*1000*'Inputs Yr 2'!AC128,"")</f>
        <v>0</v>
      </c>
      <c r="AS128" s="195">
        <f>IFERROR($CT128*(INDEX(avoidedcosttbl2,$H128,AS$2)+(($H128-ROUNDDOWN($H128,0))*(INDEX(avoidedcosttbl2,ROUNDUP($H128,0),AS$2)-(INDEX(avoidedcosttbl2,ROUNDDOWN($H128,0),AS$2)))))*$O128*1000*'Inputs Yr 2'!AD128,"")</f>
        <v>0</v>
      </c>
      <c r="AT128" s="196">
        <f t="shared" si="63"/>
        <v>0</v>
      </c>
      <c r="AU128" s="197">
        <f>IFERROR($CQ128*((INDEX(avoidedcosttbl2,$H128,AU$2))+(($H128-ROUNDDOWN($H128,0))*((INDEX(avoidedcosttbl2,ROUNDUP($H128,0),AU$2))-(INDEX(avoidedcosttbl2,ROUNDDOWN($H128,0),AU$2)))))*$O128*1000*'Inputs Yr 2'!AA128,"")</f>
        <v>0</v>
      </c>
      <c r="AV128" s="197">
        <f>IFERROR($CR128*((INDEX(avoidedcosttbl2,$H128,AV$2))+(($H128-ROUNDDOWN($H128,0))*((INDEX(avoidedcosttbl2,ROUNDUP($H128,0),AV$2))-(INDEX(avoidedcosttbl2,ROUNDDOWN($H128,0),AV$2)))))*$O128*1000*'Inputs Yr 2'!AB128,"")</f>
        <v>0</v>
      </c>
      <c r="AW128" s="197">
        <f>IFERROR($CS128*((INDEX(avoidedcosttbl2,$H128,AW$2))+(($H128-ROUNDDOWN($H128,0))*((INDEX(avoidedcosttbl2,ROUNDUP($H128,0),AW$2))-(INDEX(avoidedcosttbl2,ROUNDDOWN($H128,0),AW$2)))))*$O128*1000*'Inputs Yr 2'!AC128,"")</f>
        <v>0</v>
      </c>
      <c r="AX128" s="197">
        <f>IFERROR($CT128*((INDEX(avoidedcosttbl2,$H128,AX$2))+(($H128-ROUNDDOWN($H128,0))*((INDEX(avoidedcosttbl2,ROUNDUP($H128,0),AX$2))-(INDEX(avoidedcosttbl2,ROUNDDOWN($H128,0),AX$2)))))*$O128*1000*'Inputs Yr 2'!AD128,"")</f>
        <v>0</v>
      </c>
      <c r="AY128" s="197">
        <f>IFERROR(((INDEX(avoidedcosttbl2,$H128,AY$2))+(($H128-ROUNDDOWN($H128,0))*((INDEX(avoidedcosttbl2,ROUNDUP($H128,0),AY$2))-(INDEX(avoidedcosttbl2,ROUNDDOWN($H128,0),AY$2)))))*$O128*1000*('Inputs Yr 2'!AC128+'Inputs Yr 2'!AD128),"")</f>
        <v>0</v>
      </c>
      <c r="AZ128" s="197">
        <f>IFERROR(((INDEX(avoidedcosttbl2,$H128,AZ$2))+(($H128-ROUNDDOWN($H128,0))*((INDEX(avoidedcosttbl2,ROUNDUP($H128,0),AZ$2))-(INDEX(avoidedcosttbl2,ROUNDDOWN($H128,0),AZ$2)))))*$O128*1000*('Inputs Yr 2'!AA128+'Inputs Yr 2'!AB128),"")</f>
        <v>0</v>
      </c>
      <c r="BA128" s="198">
        <f t="shared" si="64"/>
        <v>0</v>
      </c>
      <c r="BB128" s="198">
        <f t="shared" si="65"/>
        <v>0</v>
      </c>
      <c r="BC128" s="195">
        <f t="shared" si="47"/>
        <v>0</v>
      </c>
      <c r="BD128" s="195">
        <f t="shared" si="48"/>
        <v>0</v>
      </c>
      <c r="BE128" s="195">
        <f t="shared" si="49"/>
        <v>0</v>
      </c>
      <c r="BF128" s="195">
        <f t="shared" si="50"/>
        <v>0</v>
      </c>
      <c r="BG128" s="195">
        <f t="shared" si="51"/>
        <v>0</v>
      </c>
      <c r="BH128" s="196">
        <f t="shared" si="66"/>
        <v>0</v>
      </c>
      <c r="BI128" s="196">
        <f t="shared" si="67"/>
        <v>0</v>
      </c>
      <c r="BJ128" s="195">
        <f>IFERROR($G128*(IF('Inputs Yr 2'!$AJ128=BJ$4,'Inputs Yr 2'!$AK128,IF('Inputs Yr 2'!$AL128=BJ$4,'Inputs Yr 2'!$AM128,IF('Inputs Yr 2'!$AN128=BJ$4,'Inputs Yr 2'!$AO128,0))))*(INDEX(avoidedcosttbl2,$H128,BJ$2)+(($H128-ROUNDDOWN($H128,0))*(INDEX(avoidedcosttbl2,ROUNDUP($H128,0),BJ$2)-(INDEX(avoidedcosttbl2,ROUNDDOWN($H128,0),BJ$2)))))*'Inputs Yr 2'!P128*'Inputs Yr 2'!Q128*'Inputs Yr 2'!U128,"")</f>
        <v>0</v>
      </c>
      <c r="BK128" s="195">
        <f>IFERROR($G128*(IF('Inputs Yr 2'!$AJ128=BK$4,'Inputs Yr 2'!$AK128,IF('Inputs Yr 2'!$AL128=BK$4,'Inputs Yr 2'!$AM128,IF('Inputs Yr 2'!$AN128=BK$4,'Inputs Yr 2'!$AO128,0))))*(INDEX(avoidedcosttbl2,$H128,BK$2)+(($H128-ROUNDDOWN($H128,0))*(INDEX(avoidedcosttbl2,ROUNDUP($H128,0),BK$2)-(INDEX(avoidedcosttbl2,ROUNDDOWN($H128,0),BK$2)))))*'Inputs Yr 2'!P128*'Inputs Yr 2'!Q128*'Inputs Yr 2'!U128,"")</f>
        <v>5035.6484658305535</v>
      </c>
      <c r="BL128" s="195">
        <f>IFERROR($G128*(IF('Inputs Yr 2'!$AJ128=BL$4,'Inputs Yr 2'!$AK128,IF('Inputs Yr 2'!$AL128=BL$4,'Inputs Yr 2'!$AM128,IF('Inputs Yr 2'!$AN128=BL$4,'Inputs Yr 2'!$AO128,0))))*(INDEX(avoidedcosttbl2,$H128,BL$2)+(($H128-ROUNDDOWN($H128,0))*(INDEX(avoidedcosttbl2,ROUNDUP($H128,0),BL$2)-(INDEX(avoidedcosttbl2,ROUNDDOWN($H128,0),BL$2)))))*'Inputs Yr 2'!P128*'Inputs Yr 2'!Q128*'Inputs Yr 2'!U128,"")</f>
        <v>0</v>
      </c>
      <c r="BM128" s="195">
        <f>IFERROR($G128*(IF('Inputs Yr 2'!$AJ128=BM$4,'Inputs Yr 2'!$AK128,IF('Inputs Yr 2'!$AL128=BM$4,'Inputs Yr 2'!$AM128,IF('Inputs Yr 2'!$AN128=BM$4,'Inputs Yr 2'!$AO128,0))))*(INDEX(avoidedcosttbl2,$H128,BM$2)+(($H128-ROUNDDOWN($H128,0))*(INDEX(avoidedcosttbl2,ROUNDUP($H128,0),BM$2)-(INDEX(avoidedcosttbl2,ROUNDDOWN($H128,0),BM$2)))))*'Inputs Yr 2'!P128*'Inputs Yr 2'!Q128*'Inputs Yr 2'!U128,"")</f>
        <v>0</v>
      </c>
      <c r="BN128" s="195">
        <f>IFERROR($G128*(IF('Inputs Yr 2'!$AJ128=BN$4,'Inputs Yr 2'!$AK128,IF('Inputs Yr 2'!$AL128=BN$4,'Inputs Yr 2'!$AM128,IF('Inputs Yr 2'!$AN128=BN$4,'Inputs Yr 2'!$AO128,0))))*(INDEX(avoidedcosttbl2,$H128,BN$2)+(($H128-ROUNDDOWN($H128,0))*(INDEX(avoidedcosttbl2,ROUNDUP($H128,0),BN$2)-(INDEX(avoidedcosttbl2,ROUNDDOWN($H128,0),BN$2)))))*'Inputs Yr 2'!P128*'Inputs Yr 2'!Q128*'Inputs Yr 2'!U128,"")</f>
        <v>0</v>
      </c>
      <c r="BO128" s="195">
        <f>IFERROR($G128*(IF('Inputs Yr 2'!$AJ128=BO$4,'Inputs Yr 2'!$AK128,IF('Inputs Yr 2'!$AL128=BO$4,'Inputs Yr 2'!$AM128,IF('Inputs Yr 2'!$AN128=BO$4,'Inputs Yr 2'!$AO128,0))))*(INDEX(avoidedcosttbl2,$H128,BO$2)+(($H128-ROUNDDOWN($H128,0))*(INDEX(avoidedcosttbl2,ROUNDUP($H128,0),BO$2)-(INDEX(avoidedcosttbl2,ROUNDDOWN($H128,0),BO$2)))))*'Inputs Yr 2'!P128*'Inputs Yr 2'!Q128*'Inputs Yr 2'!U128,"")</f>
        <v>0</v>
      </c>
      <c r="BP128" s="195">
        <f>IFERROR($G128*(IF('Inputs Yr 2'!$AJ128=BP$4,'Inputs Yr 2'!$AK128,IF('Inputs Yr 2'!$AL128=BP$4,'Inputs Yr 2'!$AM128,IF('Inputs Yr 2'!$AN128=BP$4,'Inputs Yr 2'!$AO128,0))))*(INDEX(avoidedcosttbl2,$H128,BP$2)+(($H128-ROUNDDOWN($H128,0))*(INDEX(avoidedcosttbl2,ROUNDUP($H128,0),BP$2)-(INDEX(avoidedcosttbl2,ROUNDDOWN($H128,0),BP$2)))))*'Inputs Yr 2'!P128*'Inputs Yr 2'!Q128*'Inputs Yr 2'!U128,"")</f>
        <v>0</v>
      </c>
      <c r="BQ128" s="230">
        <f t="shared" si="68"/>
        <v>5035.6484658305535</v>
      </c>
      <c r="BR128" s="197">
        <f t="shared" si="52"/>
        <v>85.177921543271594</v>
      </c>
      <c r="BS128" s="197">
        <f>IFERROR(($G128*IF('Inputs Yr 2'!$AJ128=BM$4,'Inputs Yr 2'!$AK128,IF('Inputs Yr 2'!$AL128=BM$4,'Inputs Yr 2'!$AM128,IF('Inputs Yr 2'!$AN128=BM$4,'Inputs Yr 2'!$AO128,0))))*(INDEX(avoidedcosttbl2,$H128,BS$2)+(($H128-ROUNDDOWN($H128,0))*(INDEX(avoidedcosttbl2,ROUNDUP($H128,0),BS$2)-(INDEX(avoidedcosttbl2,ROUNDDOWN($H128,0),BS$2)))))*'Inputs Yr 2'!P128*'Inputs Yr 2'!Q128*'Inputs Yr 2'!U128,"")</f>
        <v>0</v>
      </c>
      <c r="BT128" s="197">
        <f>IFERROR(($G128*IF('Inputs Yr 2'!$AJ128=BK$4,'Inputs Yr 2'!$AK128,IF('Inputs Yr 2'!$AL128=BK$4,'Inputs Yr 2'!$AM128,IF('Inputs Yr 2'!$AN128=BK$4,'Inputs Yr 2'!$AO128,0))))*(INDEX(avoidedcosttbl2,$H128,BT$2)+(($H128-ROUNDDOWN($H128,0))*(INDEX(avoidedcosttbl2,ROUNDUP($H128,0),BT$2)-(INDEX(avoidedcosttbl2,ROUNDDOWN($H128,0),BT$2)))))*'Inputs Yr 2'!P128*'Inputs Yr 2'!Q128*'Inputs Yr 2'!U128,"")</f>
        <v>345.99926828576179</v>
      </c>
      <c r="BU128" s="197">
        <f>IFERROR(($G128*IF('Inputs Yr 2'!$AJ128=BL$4,'Inputs Yr 2'!$AK128,IF('Inputs Yr 2'!$AL128=BL$4,'Inputs Yr 2'!$AM128,IF('Inputs Yr 2'!$AN128=BL$4,'Inputs Yr 2'!$AO128,0))))*(INDEX(avoidedcosttbl2,$H128,BU$2)+(($H128-ROUNDDOWN($H128,0))*(INDEX(avoidedcosttbl2,ROUNDUP($H128,0),BU$2)-(INDEX(avoidedcosttbl2,ROUNDDOWN($H128,0),BU$2)))))*'Inputs Yr 2'!P128*'Inputs Yr 2'!Q128*'Inputs Yr 2'!U128,"")</f>
        <v>0</v>
      </c>
      <c r="BV128" s="775">
        <f>IFERROR(($G128*IF('Inputs Yr 2'!$AJ128=BJ$4,'Inputs Yr 2'!$AK128,IF('Inputs Yr 2'!$AL128=BJ$4,'Inputs Yr 2'!$AM128,IF('Inputs Yr 2'!$AN128=BJ$4,'Inputs Yr 2'!$AO128,0))))*(INDEX(avoidedcosttbl2,$H128,BV$2)+(($H128-ROUNDDOWN($H128,0))*(INDEX(avoidedcosttbl2,ROUNDUP($H128,0),BV$2)-(INDEX(avoidedcosttbl2,ROUNDDOWN($H128,0),BV$2)))))*'Inputs Yr 2'!P128*'Inputs Yr 2'!Q128*'Inputs Yr 2'!U128,"")</f>
        <v>0</v>
      </c>
      <c r="BW128" s="197">
        <f>IFERROR(($G128*IF('Inputs Yr 2'!$AJ128=BN$4,'Inputs Yr 2'!$AK128,IF('Inputs Yr 2'!$AL128=BN$4,'Inputs Yr 2'!$AM128,IF('Inputs Yr 2'!$AN128=BN$4,'Inputs Yr 2'!$AO128,0))))*(INDEX(avoidedcosttbl2,$H128,BW$2)+(($H128-ROUNDDOWN($H128,0))*(INDEX(avoidedcosttbl2,ROUNDUP($H128,0),BW$2)-(INDEX(avoidedcosttbl2,ROUNDDOWN($H128,0),BW$2)))))*'Inputs Yr 2'!P128*'Inputs Yr 2'!Q128*'Inputs Yr 2'!U128,"")</f>
        <v>0</v>
      </c>
      <c r="BX128" s="197">
        <f>IFERROR(($G128*IF('Inputs Yr 2'!$AJ128=BO$4,'Inputs Yr 2'!$AK128,IF('Inputs Yr 2'!$AL128=BO$4,'Inputs Yr 2'!$AM128,IF('Inputs Yr 2'!$AN128=BO$4,'Inputs Yr 2'!$AO128,0))))*(INDEX(avoidedcosttbl2,$H128,BX$2)+(($H128-ROUNDDOWN($H128,0))*(INDEX(avoidedcosttbl2,ROUNDUP($H128,0),BX$2)-(INDEX(avoidedcosttbl2,ROUNDDOWN($H128,0),BX$2)))))*'Inputs Yr 2'!P128*'Inputs Yr 2'!Q128*'Inputs Yr 2'!U128,"")</f>
        <v>0</v>
      </c>
      <c r="BY128" s="197">
        <f>IFERROR(($G128*IF('Inputs Yr 2'!$AJ128=BP$4,'Inputs Yr 2'!$AK128,IF('Inputs Yr 2'!$AL128=BP$4,'Inputs Yr 2'!$AM128,IF('Inputs Yr 2'!$AN128=BP$4,'Inputs Yr 2'!$AO128,0))))*(INDEX(avoidedcosttbl2,$H128,BY$2)+(($H128-ROUNDDOWN($H128,0))*(INDEX(avoidedcosttbl2,ROUNDUP($H128,0),BY$2)-(INDEX(avoidedcosttbl2,ROUNDDOWN($H128,0),BY$2)))))*'Inputs Yr 2'!P128*'Inputs Yr 2'!Q128*'Inputs Yr 2'!U128,"")</f>
        <v>0</v>
      </c>
      <c r="BZ128" s="193">
        <f t="shared" si="69"/>
        <v>431.17718982903341</v>
      </c>
      <c r="CA128" s="193">
        <f t="shared" si="70"/>
        <v>5466.825655659587</v>
      </c>
      <c r="CB128" s="195">
        <f>IFERROR(G128*(IF('Inputs Yr 2'!$AJ128=CB$4,'Inputs Yr 2'!$AK128,IF('Inputs Yr 2'!$AL128=CB$4,'Inputs Yr 2'!$AM128,IF('Inputs Yr 2'!$AN128=CB$4,'Inputs Yr 2'!$AO128,0))))*(INDEX(avoidedcosttbl2,$H128,CB$2)+(($H128-ROUNDDOWN($H128,0))*(INDEX(avoidedcosttbl2,ROUNDUP($H128,0),CB$2)-(INDEX(avoidedcosttbl2,ROUNDDOWN($H128,0),CB$2)))))*'Inputs Yr 2'!P128*'Inputs Yr 2'!Q128*'Inputs Yr 2'!U128,"")</f>
        <v>0</v>
      </c>
      <c r="CC128" s="195">
        <f>IFERROR(H128*(IF('Inputs Yr 2'!$AJ128=CC$4,'Inputs Yr 2'!$AK128,IF('Inputs Yr 2'!$AL128=CC$4,'Inputs Yr 2'!$AM128,IF('Inputs Yr 2'!$AN128=CC$4,'Inputs Yr 2'!$AO128,0))))*(INDEX(avoidedcosttbl2,$H128,CC$2)+(($H128-ROUNDDOWN($H128,0))*(INDEX(avoidedcosttbl2,ROUNDUP($H128,0),CC$2)-(INDEX(avoidedcosttbl2,ROUNDDOWN($H128,0),CC$2)))))*'Inputs Yr 2'!Q128*'Inputs Yr 2'!R128*'Inputs Yr 2'!V128,"")</f>
        <v>0</v>
      </c>
      <c r="CD128" s="195">
        <f>IFERROR(I128*(IF('Inputs Yr 2'!$AJ128=CD$4,'Inputs Yr 2'!$AK128,IF('Inputs Yr 2'!$AL128=CD$4,'Inputs Yr 2'!$AM128,IF('Inputs Yr 2'!$AN128=CD$4,'Inputs Yr 2'!$AO128,0))))*(INDEX(avoidedcosttbl2,$H128,CD$2)+(($H128-ROUNDDOWN($H128,0))*(INDEX(avoidedcosttbl2,ROUNDUP($H128,0),CD$2)-(INDEX(avoidedcosttbl2,ROUNDDOWN($H128,0),CD$2)))))*'Inputs Yr 2'!R128*'Inputs Yr 2'!S128*'Inputs Yr 2'!W128,"")</f>
        <v>0</v>
      </c>
      <c r="CE128" s="213">
        <f t="shared" si="71"/>
        <v>0</v>
      </c>
      <c r="CF128" s="213">
        <f t="shared" si="72"/>
        <v>0</v>
      </c>
      <c r="CG128" s="213">
        <f t="shared" si="73"/>
        <v>0</v>
      </c>
      <c r="CH128" s="698">
        <f t="shared" si="74"/>
        <v>5466.825655659587</v>
      </c>
      <c r="CI128" s="79">
        <f>IFERROR(($G128*'Inputs Yr 2'!$P128*'Inputs Yr 2'!$Q128*(((INDEX(avoidedcosttbl2,$H128,CI$2)+(($H128-ROUNDDOWN($H128,0))*(INDEX(avoidedcosttbl2,ROUNDUP($H128,0),CI$2)-INDEX(avoidedcosttbl2,ROUNDDOWN($H128,0),CI$2))))*'Inputs Yr 2'!AS128))),"")</f>
        <v>4701.8270009123507</v>
      </c>
      <c r="CJ128" s="504">
        <f>IFERROR($G128*'Inputs Yr 2'!AT128*'Inputs Yr 2'!$P128*'Inputs Yr 2'!$Q128/((1+realdiscrt1)^-0.5),"")</f>
        <v>0</v>
      </c>
      <c r="CK128" s="79">
        <f>IFERROR((O128*1000*(((INDEX(avoidedcosttbl2,$H128,CK$2)+(($H128-ROUNDDOWN($H128,0))*(INDEX(avoidedcosttbl2,ROUNDUP($H128,0),CK$2)-INDEX(avoidedcosttbl2,ROUNDDOWN($H128,0),CK$2))))*'Inputs Yr 2'!AU128))),"")</f>
        <v>0</v>
      </c>
      <c r="CL128" s="504">
        <f>IFERROR(O128*1000*'Inputs Yr 2'!AV128/((1+realdiscrt1)^-0.5),"")</f>
        <v>0</v>
      </c>
      <c r="CM128" s="79">
        <f>IFERROR((AB128*'Inputs Yr 2'!AW128*(((INDEX(avoidedcosttbl2,$H128,CM$2)+(($H128-ROUNDDOWN($H128,0))*(INDEX(avoidedcosttbl2,ROUNDUP($H128,0),CM$2)-INDEX(avoidedcosttbl2,ROUNDDOWN($H128,0),CM$2)))))))*10,"")</f>
        <v>814.95963614905918</v>
      </c>
      <c r="CN128" s="504">
        <f>IFERROR(10*AB128*'Inputs Yr 2'!AX128/((1+realdiscrt1)^-0.5),"")</f>
        <v>31.910171555768482</v>
      </c>
      <c r="CO128" s="505">
        <f t="shared" si="75"/>
        <v>5548.6968086171782</v>
      </c>
      <c r="CP128" s="230">
        <f t="shared" si="76"/>
        <v>11015.522464276764</v>
      </c>
      <c r="CQ128" s="199">
        <f>ROUND(IFERROR(IF(LEFT($A128,1)="C",'Avoided Costs'!$K$13,'Avoided Costs'!$K$12)+1,""),4)</f>
        <v>1.0720000000000001</v>
      </c>
      <c r="CR128" s="199">
        <f>ROUND(IFERROR(IF(LEFT($A128,1)="C",'Avoided Costs'!$L$13,'Avoided Costs'!$L$12)+1,""),4)</f>
        <v>1.04</v>
      </c>
      <c r="CS128" s="199">
        <f>ROUND(IFERROR(IF(LEFT($A128,1)="C",'Avoided Costs'!$M$13,'Avoided Costs'!$M$12)+1,""),4)</f>
        <v>1.0720000000000001</v>
      </c>
      <c r="CT128" s="199">
        <f>ROUND(IFERROR(IF(LEFT($A128,1)="C",'Avoided Costs'!$N$13,'Avoided Costs'!$N$12)+1,""),4)</f>
        <v>1.04</v>
      </c>
      <c r="CU128" s="199">
        <f>ROUND(IFERROR(IF(LEFT($A128,1)="C",'Avoided Costs'!$O$13,'Avoided Costs'!$O$12)+1,""),4)</f>
        <v>1.1120000000000001</v>
      </c>
      <c r="CV128" s="199">
        <f>ROUND(IFERROR(IF(LEFT($A128,1)="C",'Avoided Costs'!$P$13,'Avoided Costs'!$P$12)+1,""),4)</f>
        <v>1.095</v>
      </c>
      <c r="CW128" s="199">
        <f>ROUND(IFERROR(IF(LEFT($A128,1)="C",'Avoided Costs'!$Q$13,'Avoided Costs'!$Q$12)+1,""),4)</f>
        <v>1.1120000000000001</v>
      </c>
      <c r="CX128" s="200">
        <f>ROUND(IFERROR(IF(LEFT($A128,1)="C",'Avoided Costs'!$R$13,'Avoided Costs'!$R$12)+1,""),4)</f>
        <v>1.1120000000000001</v>
      </c>
    </row>
    <row r="129" spans="1:102" ht="12.75" customHeight="1">
      <c r="A129" s="91" t="str">
        <f>IF('Inputs Yr 2'!$B129=0,"",'Inputs Yr 2'!A129)</f>
        <v>B - Low Income</v>
      </c>
      <c r="B129" s="91" t="str">
        <f>IF('Inputs Yr 2'!$B129=0,"",'Inputs Yr 2'!B129)</f>
        <v>B1 - Low-Income Whole House</v>
      </c>
      <c r="C129" s="91" t="str">
        <f>IF('Inputs Yr 2'!$B129=0,"",'Inputs Yr 2'!C129)</f>
        <v>B1b - Low-Income Multi-Family Retrofit</v>
      </c>
      <c r="D129" s="91" t="str">
        <f>IF('Inputs Yr 2'!$B129=0,"",'Inputs Yr 2'!E129)</f>
        <v>Pipe Wrap (Heating), Gas</v>
      </c>
      <c r="E129" s="93" t="str">
        <f>IF('Inputs Yr 2'!$B129=0,"",'Inputs Yr 2'!F129)</f>
        <v>G16B1b10</v>
      </c>
      <c r="F129" s="93" t="str">
        <f>IF('Inputs Yr 2'!$B129=0,"",'Inputs Yr 2'!G129)</f>
        <v>HVAC</v>
      </c>
      <c r="G129" s="95">
        <f>IF('Inputs Yr 2'!$H129&lt;&gt;0,('Inputs Yr 2'!H129),"")</f>
        <v>58228</v>
      </c>
      <c r="H129" s="94">
        <f>IFERROR('Inputs Yr 2'!I129,"")</f>
        <v>15</v>
      </c>
      <c r="I129" s="298">
        <f>IFERROR('Inputs Yr 2'!J129*'Inputs Yr 2'!P129*G129,"")</f>
        <v>345755.89</v>
      </c>
      <c r="J129" s="298">
        <f>IFERROR('Inputs Yr 2'!K129*G129,"")</f>
        <v>345755.89</v>
      </c>
      <c r="K129" s="298">
        <f t="shared" si="53"/>
        <v>0</v>
      </c>
      <c r="L129" s="194">
        <f>IFERROR(('Inputs Yr 2'!W129*G129)/1000,"")</f>
        <v>0</v>
      </c>
      <c r="M129" s="194">
        <f>IFERROR(L129*('Inputs Yr 2'!$Q129*'Inputs Yr 2'!$V129*'Inputs Yr 2'!$R129),"")</f>
        <v>0</v>
      </c>
      <c r="N129" s="194">
        <f t="shared" si="54"/>
        <v>0</v>
      </c>
      <c r="O129" s="194">
        <f>IFERROR(M129*'Inputs Yr 2'!P129,"")</f>
        <v>0</v>
      </c>
      <c r="P129" s="194">
        <f t="shared" si="55"/>
        <v>0</v>
      </c>
      <c r="Q129" s="194">
        <f>IFERROR($P129*'Inputs Yr 2'!AA129,"")</f>
        <v>0</v>
      </c>
      <c r="R129" s="194">
        <f>IFERROR($P129*'Inputs Yr 2'!AB129,"")</f>
        <v>0</v>
      </c>
      <c r="S129" s="194">
        <f>IFERROR($P129*'Inputs Yr 2'!AC129,"")</f>
        <v>0</v>
      </c>
      <c r="T129" s="194">
        <f>IFERROR($P129*'Inputs Yr 2'!AD129,"")</f>
        <v>0</v>
      </c>
      <c r="U129" s="194">
        <f>IFERROR(G129*'Inputs Yr 2'!$AE129*'Inputs Yr 2'!$P129*'Inputs Yr 2'!$Q129,"")</f>
        <v>0</v>
      </c>
      <c r="V129" s="194">
        <f>IFERROR($G129*'Inputs Yr 2'!$AE129*'Inputs Yr 2'!$AG129*'Inputs Yr 2'!Q129*'Inputs Yr 2'!$S129,"")</f>
        <v>0</v>
      </c>
      <c r="W129" s="194">
        <f>IFERROR($G129*'Inputs Yr 2'!$AE129*'Inputs Yr 2'!$AG129*'Inputs Yr 2'!P129*'Inputs Yr 2'!Q129*'Inputs Yr 2'!$S129,"")</f>
        <v>0</v>
      </c>
      <c r="X129" s="194">
        <f>IFERROR($G129*'Inputs Yr 2'!$AE129*'Inputs Yr 2'!$AF129*'Inputs Yr 2'!Q129*'Inputs Yr 2'!$T129,"")</f>
        <v>0</v>
      </c>
      <c r="Y129" s="194">
        <f>IFERROR($G129*'Inputs Yr 2'!$AE129*'Inputs Yr 2'!$AF129*'Inputs Yr 2'!P129*'Inputs Yr 2'!Q129*'Inputs Yr 2'!$T129,"")</f>
        <v>0</v>
      </c>
      <c r="Z129" s="257">
        <f>IFERROR($G129*'Inputs Yr 2'!$Q129*'Inputs Yr 2'!$U129*(IF(IFERROR(SEARCH("NG", 'Inputs Yr 2'!$AJ129),0),'Inputs Yr 2'!$AK129,0)+IF(IFERROR(SEARCH("NG", 'Inputs Yr 2'!$AL129),0),'Inputs Yr 2'!$AM129,0)+IF(IFERROR(SEARCH("NG", 'Inputs Yr 2'!$AN129),0),'Inputs Yr 2'!$AO129,0)),0)</f>
        <v>6987.3600000000006</v>
      </c>
      <c r="AA129" s="257">
        <f t="shared" si="56"/>
        <v>104810.40000000001</v>
      </c>
      <c r="AB129" s="257">
        <f>IFERROR(Z129*'Inputs Yr 2'!$P129,0)</f>
        <v>6987.3600000000006</v>
      </c>
      <c r="AC129" s="257">
        <f t="shared" si="57"/>
        <v>104810.40000000001</v>
      </c>
      <c r="AD129" s="257">
        <f>IFERROR($G129*'Inputs Yr 2'!$Q129*'Inputs Yr 2'!$U129*(IF(IFERROR(SEARCH("Oil", 'Inputs Yr 2'!$AJ129), 0),'Inputs Yr 2'!$AK129,0)+IF(IFERROR(SEARCH("Oil", 'Inputs Yr 2'!$AL129), 0),'Inputs Yr 2'!$AM129,0)+IF(IFERROR(SEARCH("Oil", 'Inputs Yr 2'!$AN129), 0),'Inputs Yr 2'!$AO129,0)),0)</f>
        <v>0</v>
      </c>
      <c r="AE129" s="257">
        <f t="shared" si="58"/>
        <v>0</v>
      </c>
      <c r="AF129" s="257">
        <f>IFERROR(AD129*'Inputs Yr 2'!$P129,0)</f>
        <v>0</v>
      </c>
      <c r="AG129" s="257">
        <f t="shared" si="59"/>
        <v>0</v>
      </c>
      <c r="AH129" s="257">
        <f>IFERROR($G129*'Inputs Yr 2'!$Q129*'Inputs Yr 2'!$U129*(IF('Inputs Yr 2'!$AJ129=CD$4,'Inputs Yr 2'!$AK129,IF('Inputs Yr 2'!$AL129=CD$4,'Inputs Yr 2'!$AM129,IF('Inputs Yr 2'!$AN129=CD$4,'Inputs Yr 2'!$AO129,0)))),0)</f>
        <v>0</v>
      </c>
      <c r="AI129" s="257">
        <f t="shared" si="60"/>
        <v>0</v>
      </c>
      <c r="AJ129" s="257">
        <f>IFERROR(AH129*'Inputs Yr 2'!$P129,0)</f>
        <v>0</v>
      </c>
      <c r="AK129" s="257">
        <f t="shared" si="61"/>
        <v>0</v>
      </c>
      <c r="AL129" s="258">
        <f>IFERROR($G129*'Inputs Yr 2'!$P129*'Inputs Yr 2'!$Q129*'Inputs Yr 2'!AP129,0)</f>
        <v>0</v>
      </c>
      <c r="AM129" s="260">
        <f>IFERROR($G129*'Inputs Yr 2'!$P129*'Inputs Yr 2'!$Q129*'Inputs Yr 2'!AQ129,0)</f>
        <v>0</v>
      </c>
      <c r="AN129" s="258">
        <f>IFERROR($G129*'Inputs Yr 2'!$P129*'Inputs Yr 2'!$Q129*'Inputs Yr 2'!AR129,0)</f>
        <v>0</v>
      </c>
      <c r="AO129" s="257">
        <f t="shared" si="62"/>
        <v>0</v>
      </c>
      <c r="AP129" s="195">
        <f>IFERROR($CQ129*(INDEX(avoidedcosttbl2,$H129,AP$2)+(($H129-ROUNDDOWN($H129,0))*(INDEX(avoidedcosttbl2,ROUNDUP($H129,0),AP$2)-(INDEX(avoidedcosttbl2,ROUNDDOWN($H129,0),AP$2)))))*$O129*1000*'Inputs Yr 2'!AA129,"")</f>
        <v>0</v>
      </c>
      <c r="AQ129" s="195">
        <f>IFERROR($CR129*(INDEX(avoidedcosttbl2,$H129,AQ$2)+(($H129-ROUNDDOWN($H129,0))*(INDEX(avoidedcosttbl2,ROUNDUP($H129,0),AQ$2)-(INDEX(avoidedcosttbl2,ROUNDDOWN($H129,0),AQ$2)))))*$O129*1000*'Inputs Yr 2'!AB129,"")</f>
        <v>0</v>
      </c>
      <c r="AR129" s="195">
        <f>IFERROR($CS129*(INDEX(avoidedcosttbl2,$H129,AR$2)+(($H129-ROUNDDOWN($H129,0))*(INDEX(avoidedcosttbl2,ROUNDUP($H129,0),AR$2)-(INDEX(avoidedcosttbl2,ROUNDDOWN($H129,0),AR$2)))))*$O129*1000*'Inputs Yr 2'!AC129,"")</f>
        <v>0</v>
      </c>
      <c r="AS129" s="195">
        <f>IFERROR($CT129*(INDEX(avoidedcosttbl2,$H129,AS$2)+(($H129-ROUNDDOWN($H129,0))*(INDEX(avoidedcosttbl2,ROUNDUP($H129,0),AS$2)-(INDEX(avoidedcosttbl2,ROUNDDOWN($H129,0),AS$2)))))*$O129*1000*'Inputs Yr 2'!AD129,"")</f>
        <v>0</v>
      </c>
      <c r="AT129" s="196">
        <f t="shared" si="63"/>
        <v>0</v>
      </c>
      <c r="AU129" s="197">
        <f>IFERROR($CQ129*((INDEX(avoidedcosttbl2,$H129,AU$2))+(($H129-ROUNDDOWN($H129,0))*((INDEX(avoidedcosttbl2,ROUNDUP($H129,0),AU$2))-(INDEX(avoidedcosttbl2,ROUNDDOWN($H129,0),AU$2)))))*$O129*1000*'Inputs Yr 2'!AA129,"")</f>
        <v>0</v>
      </c>
      <c r="AV129" s="197">
        <f>IFERROR($CR129*((INDEX(avoidedcosttbl2,$H129,AV$2))+(($H129-ROUNDDOWN($H129,0))*((INDEX(avoidedcosttbl2,ROUNDUP($H129,0),AV$2))-(INDEX(avoidedcosttbl2,ROUNDDOWN($H129,0),AV$2)))))*$O129*1000*'Inputs Yr 2'!AB129,"")</f>
        <v>0</v>
      </c>
      <c r="AW129" s="197">
        <f>IFERROR($CS129*((INDEX(avoidedcosttbl2,$H129,AW$2))+(($H129-ROUNDDOWN($H129,0))*((INDEX(avoidedcosttbl2,ROUNDUP($H129,0),AW$2))-(INDEX(avoidedcosttbl2,ROUNDDOWN($H129,0),AW$2)))))*$O129*1000*'Inputs Yr 2'!AC129,"")</f>
        <v>0</v>
      </c>
      <c r="AX129" s="197">
        <f>IFERROR($CT129*((INDEX(avoidedcosttbl2,$H129,AX$2))+(($H129-ROUNDDOWN($H129,0))*((INDEX(avoidedcosttbl2,ROUNDUP($H129,0),AX$2))-(INDEX(avoidedcosttbl2,ROUNDDOWN($H129,0),AX$2)))))*$O129*1000*'Inputs Yr 2'!AD129,"")</f>
        <v>0</v>
      </c>
      <c r="AY129" s="197">
        <f>IFERROR(((INDEX(avoidedcosttbl2,$H129,AY$2))+(($H129-ROUNDDOWN($H129,0))*((INDEX(avoidedcosttbl2,ROUNDUP($H129,0),AY$2))-(INDEX(avoidedcosttbl2,ROUNDDOWN($H129,0),AY$2)))))*$O129*1000*('Inputs Yr 2'!AC129+'Inputs Yr 2'!AD129),"")</f>
        <v>0</v>
      </c>
      <c r="AZ129" s="197">
        <f>IFERROR(((INDEX(avoidedcosttbl2,$H129,AZ$2))+(($H129-ROUNDDOWN($H129,0))*((INDEX(avoidedcosttbl2,ROUNDUP($H129,0),AZ$2))-(INDEX(avoidedcosttbl2,ROUNDDOWN($H129,0),AZ$2)))))*$O129*1000*('Inputs Yr 2'!AA129+'Inputs Yr 2'!AB129),"")</f>
        <v>0</v>
      </c>
      <c r="BA129" s="198">
        <f t="shared" si="64"/>
        <v>0</v>
      </c>
      <c r="BB129" s="198">
        <f t="shared" si="65"/>
        <v>0</v>
      </c>
      <c r="BC129" s="195">
        <f t="shared" si="47"/>
        <v>0</v>
      </c>
      <c r="BD129" s="195">
        <f t="shared" si="48"/>
        <v>0</v>
      </c>
      <c r="BE129" s="195">
        <f t="shared" si="49"/>
        <v>0</v>
      </c>
      <c r="BF129" s="195">
        <f t="shared" si="50"/>
        <v>0</v>
      </c>
      <c r="BG129" s="195">
        <f t="shared" si="51"/>
        <v>0</v>
      </c>
      <c r="BH129" s="196">
        <f t="shared" si="66"/>
        <v>0</v>
      </c>
      <c r="BI129" s="196">
        <f t="shared" si="67"/>
        <v>0</v>
      </c>
      <c r="BJ129" s="195">
        <f>IFERROR($G129*(IF('Inputs Yr 2'!$AJ129=BJ$4,'Inputs Yr 2'!$AK129,IF('Inputs Yr 2'!$AL129=BJ$4,'Inputs Yr 2'!$AM129,IF('Inputs Yr 2'!$AN129=BJ$4,'Inputs Yr 2'!$AO129,0))))*(INDEX(avoidedcosttbl2,$H129,BJ$2)+(($H129-ROUNDDOWN($H129,0))*(INDEX(avoidedcosttbl2,ROUNDUP($H129,0),BJ$2)-(INDEX(avoidedcosttbl2,ROUNDDOWN($H129,0),BJ$2)))))*'Inputs Yr 2'!P129*'Inputs Yr 2'!Q129*'Inputs Yr 2'!U129,"")</f>
        <v>0</v>
      </c>
      <c r="BK129" s="195">
        <f>IFERROR($G129*(IF('Inputs Yr 2'!$AJ129=BK$4,'Inputs Yr 2'!$AK129,IF('Inputs Yr 2'!$AL129=BK$4,'Inputs Yr 2'!$AM129,IF('Inputs Yr 2'!$AN129=BK$4,'Inputs Yr 2'!$AO129,0))))*(INDEX(avoidedcosttbl2,$H129,BK$2)+(($H129-ROUNDDOWN($H129,0))*(INDEX(avoidedcosttbl2,ROUNDUP($H129,0),BK$2)-(INDEX(avoidedcosttbl2,ROUNDDOWN($H129,0),BK$2)))))*'Inputs Yr 2'!P129*'Inputs Yr 2'!Q129*'Inputs Yr 2'!U129,"")</f>
        <v>0</v>
      </c>
      <c r="BL129" s="195">
        <f>IFERROR($G129*(IF('Inputs Yr 2'!$AJ129=BL$4,'Inputs Yr 2'!$AK129,IF('Inputs Yr 2'!$AL129=BL$4,'Inputs Yr 2'!$AM129,IF('Inputs Yr 2'!$AN129=BL$4,'Inputs Yr 2'!$AO129,0))))*(INDEX(avoidedcosttbl2,$H129,BL$2)+(($H129-ROUNDDOWN($H129,0))*(INDEX(avoidedcosttbl2,ROUNDUP($H129,0),BL$2)-(INDEX(avoidedcosttbl2,ROUNDDOWN($H129,0),BL$2)))))*'Inputs Yr 2'!P129*'Inputs Yr 2'!Q129*'Inputs Yr 2'!U129,"")</f>
        <v>883836.99061290978</v>
      </c>
      <c r="BM129" s="195">
        <f>IFERROR($G129*(IF('Inputs Yr 2'!$AJ129=BM$4,'Inputs Yr 2'!$AK129,IF('Inputs Yr 2'!$AL129=BM$4,'Inputs Yr 2'!$AM129,IF('Inputs Yr 2'!$AN129=BM$4,'Inputs Yr 2'!$AO129,0))))*(INDEX(avoidedcosttbl2,$H129,BM$2)+(($H129-ROUNDDOWN($H129,0))*(INDEX(avoidedcosttbl2,ROUNDUP($H129,0),BM$2)-(INDEX(avoidedcosttbl2,ROUNDDOWN($H129,0),BM$2)))))*'Inputs Yr 2'!P129*'Inputs Yr 2'!Q129*'Inputs Yr 2'!U129,"")</f>
        <v>0</v>
      </c>
      <c r="BN129" s="195">
        <f>IFERROR($G129*(IF('Inputs Yr 2'!$AJ129=BN$4,'Inputs Yr 2'!$AK129,IF('Inputs Yr 2'!$AL129=BN$4,'Inputs Yr 2'!$AM129,IF('Inputs Yr 2'!$AN129=BN$4,'Inputs Yr 2'!$AO129,0))))*(INDEX(avoidedcosttbl2,$H129,BN$2)+(($H129-ROUNDDOWN($H129,0))*(INDEX(avoidedcosttbl2,ROUNDUP($H129,0),BN$2)-(INDEX(avoidedcosttbl2,ROUNDDOWN($H129,0),BN$2)))))*'Inputs Yr 2'!P129*'Inputs Yr 2'!Q129*'Inputs Yr 2'!U129,"")</f>
        <v>0</v>
      </c>
      <c r="BO129" s="195">
        <f>IFERROR($G129*(IF('Inputs Yr 2'!$AJ129=BO$4,'Inputs Yr 2'!$AK129,IF('Inputs Yr 2'!$AL129=BO$4,'Inputs Yr 2'!$AM129,IF('Inputs Yr 2'!$AN129=BO$4,'Inputs Yr 2'!$AO129,0))))*(INDEX(avoidedcosttbl2,$H129,BO$2)+(($H129-ROUNDDOWN($H129,0))*(INDEX(avoidedcosttbl2,ROUNDUP($H129,0),BO$2)-(INDEX(avoidedcosttbl2,ROUNDDOWN($H129,0),BO$2)))))*'Inputs Yr 2'!P129*'Inputs Yr 2'!Q129*'Inputs Yr 2'!U129,"")</f>
        <v>0</v>
      </c>
      <c r="BP129" s="195">
        <f>IFERROR($G129*(IF('Inputs Yr 2'!$AJ129=BP$4,'Inputs Yr 2'!$AK129,IF('Inputs Yr 2'!$AL129=BP$4,'Inputs Yr 2'!$AM129,IF('Inputs Yr 2'!$AN129=BP$4,'Inputs Yr 2'!$AO129,0))))*(INDEX(avoidedcosttbl2,$H129,BP$2)+(($H129-ROUNDDOWN($H129,0))*(INDEX(avoidedcosttbl2,ROUNDUP($H129,0),BP$2)-(INDEX(avoidedcosttbl2,ROUNDDOWN($H129,0),BP$2)))))*'Inputs Yr 2'!P129*'Inputs Yr 2'!Q129*'Inputs Yr 2'!U129,"")</f>
        <v>0</v>
      </c>
      <c r="BQ129" s="230">
        <f t="shared" si="68"/>
        <v>883836.99061290978</v>
      </c>
      <c r="BR129" s="197">
        <f t="shared" si="52"/>
        <v>14206.201262074095</v>
      </c>
      <c r="BS129" s="197">
        <f>IFERROR(($G129*IF('Inputs Yr 2'!$AJ129=BM$4,'Inputs Yr 2'!$AK129,IF('Inputs Yr 2'!$AL129=BM$4,'Inputs Yr 2'!$AM129,IF('Inputs Yr 2'!$AN129=BM$4,'Inputs Yr 2'!$AO129,0))))*(INDEX(avoidedcosttbl2,$H129,BS$2)+(($H129-ROUNDDOWN($H129,0))*(INDEX(avoidedcosttbl2,ROUNDUP($H129,0),BS$2)-(INDEX(avoidedcosttbl2,ROUNDDOWN($H129,0),BS$2)))))*'Inputs Yr 2'!P129*'Inputs Yr 2'!Q129*'Inputs Yr 2'!U129,"")</f>
        <v>0</v>
      </c>
      <c r="BT129" s="197">
        <f>IFERROR(($G129*IF('Inputs Yr 2'!$AJ129=BK$4,'Inputs Yr 2'!$AK129,IF('Inputs Yr 2'!$AL129=BK$4,'Inputs Yr 2'!$AM129,IF('Inputs Yr 2'!$AN129=BK$4,'Inputs Yr 2'!$AO129,0))))*(INDEX(avoidedcosttbl2,$H129,BT$2)+(($H129-ROUNDDOWN($H129,0))*(INDEX(avoidedcosttbl2,ROUNDUP($H129,0),BT$2)-(INDEX(avoidedcosttbl2,ROUNDDOWN($H129,0),BT$2)))))*'Inputs Yr 2'!P129*'Inputs Yr 2'!Q129*'Inputs Yr 2'!U129,"")</f>
        <v>0</v>
      </c>
      <c r="BU129" s="197">
        <f>IFERROR(($G129*IF('Inputs Yr 2'!$AJ129=BL$4,'Inputs Yr 2'!$AK129,IF('Inputs Yr 2'!$AL129=BL$4,'Inputs Yr 2'!$AM129,IF('Inputs Yr 2'!$AN129=BL$4,'Inputs Yr 2'!$AO129,0))))*(INDEX(avoidedcosttbl2,$H129,BU$2)+(($H129-ROUNDDOWN($H129,0))*(INDEX(avoidedcosttbl2,ROUNDUP($H129,0),BU$2)-(INDEX(avoidedcosttbl2,ROUNDDOWN($H129,0),BU$2)))))*'Inputs Yr 2'!P129*'Inputs Yr 2'!Q129*'Inputs Yr 2'!U129,"")</f>
        <v>54097.494683598576</v>
      </c>
      <c r="BV129" s="775">
        <f>IFERROR(($G129*IF('Inputs Yr 2'!$AJ129=BJ$4,'Inputs Yr 2'!$AK129,IF('Inputs Yr 2'!$AL129=BJ$4,'Inputs Yr 2'!$AM129,IF('Inputs Yr 2'!$AN129=BJ$4,'Inputs Yr 2'!$AO129,0))))*(INDEX(avoidedcosttbl2,$H129,BV$2)+(($H129-ROUNDDOWN($H129,0))*(INDEX(avoidedcosttbl2,ROUNDUP($H129,0),BV$2)-(INDEX(avoidedcosttbl2,ROUNDDOWN($H129,0),BV$2)))))*'Inputs Yr 2'!P129*'Inputs Yr 2'!Q129*'Inputs Yr 2'!U129,"")</f>
        <v>0</v>
      </c>
      <c r="BW129" s="197">
        <f>IFERROR(($G129*IF('Inputs Yr 2'!$AJ129=BN$4,'Inputs Yr 2'!$AK129,IF('Inputs Yr 2'!$AL129=BN$4,'Inputs Yr 2'!$AM129,IF('Inputs Yr 2'!$AN129=BN$4,'Inputs Yr 2'!$AO129,0))))*(INDEX(avoidedcosttbl2,$H129,BW$2)+(($H129-ROUNDDOWN($H129,0))*(INDEX(avoidedcosttbl2,ROUNDUP($H129,0),BW$2)-(INDEX(avoidedcosttbl2,ROUNDDOWN($H129,0),BW$2)))))*'Inputs Yr 2'!P129*'Inputs Yr 2'!Q129*'Inputs Yr 2'!U129,"")</f>
        <v>0</v>
      </c>
      <c r="BX129" s="197">
        <f>IFERROR(($G129*IF('Inputs Yr 2'!$AJ129=BO$4,'Inputs Yr 2'!$AK129,IF('Inputs Yr 2'!$AL129=BO$4,'Inputs Yr 2'!$AM129,IF('Inputs Yr 2'!$AN129=BO$4,'Inputs Yr 2'!$AO129,0))))*(INDEX(avoidedcosttbl2,$H129,BX$2)+(($H129-ROUNDDOWN($H129,0))*(INDEX(avoidedcosttbl2,ROUNDUP($H129,0),BX$2)-(INDEX(avoidedcosttbl2,ROUNDDOWN($H129,0),BX$2)))))*'Inputs Yr 2'!P129*'Inputs Yr 2'!Q129*'Inputs Yr 2'!U129,"")</f>
        <v>0</v>
      </c>
      <c r="BY129" s="197">
        <f>IFERROR(($G129*IF('Inputs Yr 2'!$AJ129=BP$4,'Inputs Yr 2'!$AK129,IF('Inputs Yr 2'!$AL129=BP$4,'Inputs Yr 2'!$AM129,IF('Inputs Yr 2'!$AN129=BP$4,'Inputs Yr 2'!$AO129,0))))*(INDEX(avoidedcosttbl2,$H129,BY$2)+(($H129-ROUNDDOWN($H129,0))*(INDEX(avoidedcosttbl2,ROUNDUP($H129,0),BY$2)-(INDEX(avoidedcosttbl2,ROUNDDOWN($H129,0),BY$2)))))*'Inputs Yr 2'!P129*'Inputs Yr 2'!Q129*'Inputs Yr 2'!U129,"")</f>
        <v>0</v>
      </c>
      <c r="BZ129" s="193">
        <f t="shared" si="69"/>
        <v>68303.695945672676</v>
      </c>
      <c r="CA129" s="193">
        <f t="shared" si="70"/>
        <v>952140.68655858247</v>
      </c>
      <c r="CB129" s="195">
        <f>IFERROR(G129*(IF('Inputs Yr 2'!$AJ129=CB$4,'Inputs Yr 2'!$AK129,IF('Inputs Yr 2'!$AL129=CB$4,'Inputs Yr 2'!$AM129,IF('Inputs Yr 2'!$AN129=CB$4,'Inputs Yr 2'!$AO129,0))))*(INDEX(avoidedcosttbl2,$H129,CB$2)+(($H129-ROUNDDOWN($H129,0))*(INDEX(avoidedcosttbl2,ROUNDUP($H129,0),CB$2)-(INDEX(avoidedcosttbl2,ROUNDDOWN($H129,0),CB$2)))))*'Inputs Yr 2'!P129*'Inputs Yr 2'!Q129*'Inputs Yr 2'!U129,"")</f>
        <v>0</v>
      </c>
      <c r="CC129" s="195">
        <f>IFERROR(H129*(IF('Inputs Yr 2'!$AJ129=CC$4,'Inputs Yr 2'!$AK129,IF('Inputs Yr 2'!$AL129=CC$4,'Inputs Yr 2'!$AM129,IF('Inputs Yr 2'!$AN129=CC$4,'Inputs Yr 2'!$AO129,0))))*(INDEX(avoidedcosttbl2,$H129,CC$2)+(($H129-ROUNDDOWN($H129,0))*(INDEX(avoidedcosttbl2,ROUNDUP($H129,0),CC$2)-(INDEX(avoidedcosttbl2,ROUNDDOWN($H129,0),CC$2)))))*'Inputs Yr 2'!Q129*'Inputs Yr 2'!R129*'Inputs Yr 2'!V129,"")</f>
        <v>0</v>
      </c>
      <c r="CD129" s="195">
        <f>IFERROR(I129*(IF('Inputs Yr 2'!$AJ129=CD$4,'Inputs Yr 2'!$AK129,IF('Inputs Yr 2'!$AL129=CD$4,'Inputs Yr 2'!$AM129,IF('Inputs Yr 2'!$AN129=CD$4,'Inputs Yr 2'!$AO129,0))))*(INDEX(avoidedcosttbl2,$H129,CD$2)+(($H129-ROUNDDOWN($H129,0))*(INDEX(avoidedcosttbl2,ROUNDUP($H129,0),CD$2)-(INDEX(avoidedcosttbl2,ROUNDDOWN($H129,0),CD$2)))))*'Inputs Yr 2'!R129*'Inputs Yr 2'!S129*'Inputs Yr 2'!W129,"")</f>
        <v>0</v>
      </c>
      <c r="CE129" s="213">
        <f t="shared" si="71"/>
        <v>0</v>
      </c>
      <c r="CF129" s="213">
        <f t="shared" si="72"/>
        <v>0</v>
      </c>
      <c r="CG129" s="213">
        <f t="shared" si="73"/>
        <v>0</v>
      </c>
      <c r="CH129" s="698">
        <f t="shared" si="74"/>
        <v>952140.68655858247</v>
      </c>
      <c r="CI129" s="79">
        <f>IFERROR(($G129*'Inputs Yr 2'!$P129*'Inputs Yr 2'!$Q129*(((INDEX(avoidedcosttbl2,$H129,CI$2)+(($H129-ROUNDDOWN($H129,0))*(INDEX(avoidedcosttbl2,ROUNDUP($H129,0),CI$2)-INDEX(avoidedcosttbl2,ROUNDDOWN($H129,0),CI$2))))*'Inputs Yr 2'!AS129))),"")</f>
        <v>5587305.7675331505</v>
      </c>
      <c r="CJ129" s="504">
        <f>IFERROR($G129*'Inputs Yr 2'!AT129*'Inputs Yr 2'!$P129*'Inputs Yr 2'!$Q129/((1+realdiscrt1)^-0.5),"")</f>
        <v>0</v>
      </c>
      <c r="CK129" s="79">
        <f>IFERROR((O129*1000*(((INDEX(avoidedcosttbl2,$H129,CK$2)+(($H129-ROUNDDOWN($H129,0))*(INDEX(avoidedcosttbl2,ROUNDUP($H129,0),CK$2)-INDEX(avoidedcosttbl2,ROUNDDOWN($H129,0),CK$2))))*'Inputs Yr 2'!AU129))),"")</f>
        <v>0</v>
      </c>
      <c r="CL129" s="504">
        <f>IFERROR(O129*1000*'Inputs Yr 2'!AV129/((1+realdiscrt1)^-0.5),"")</f>
        <v>0</v>
      </c>
      <c r="CM129" s="79">
        <f>IFERROR((AB129*'Inputs Yr 2'!AW129*(((INDEX(avoidedcosttbl2,$H129,CM$2)+(($H129-ROUNDDOWN($H129,0))*(INDEX(avoidedcosttbl2,ROUNDUP($H129,0),CM$2)-INDEX(avoidedcosttbl2,ROUNDDOWN($H129,0),CM$2)))))))*10,"")</f>
        <v>1505275.9623030312</v>
      </c>
      <c r="CN129" s="504">
        <f>IFERROR(10*AB129*'Inputs Yr 2'!AX129/((1+realdiscrt1)^-0.5),"")</f>
        <v>5322.0636429625129</v>
      </c>
      <c r="CO129" s="505">
        <f t="shared" si="75"/>
        <v>7097903.7934791446</v>
      </c>
      <c r="CP129" s="230">
        <f t="shared" si="76"/>
        <v>8050044.4800377274</v>
      </c>
      <c r="CQ129" s="199">
        <f>ROUND(IFERROR(IF(LEFT($A129,1)="C",'Avoided Costs'!$K$13,'Avoided Costs'!$K$12)+1,""),4)</f>
        <v>1.0720000000000001</v>
      </c>
      <c r="CR129" s="199">
        <f>ROUND(IFERROR(IF(LEFT($A129,1)="C",'Avoided Costs'!$L$13,'Avoided Costs'!$L$12)+1,""),4)</f>
        <v>1.04</v>
      </c>
      <c r="CS129" s="199">
        <f>ROUND(IFERROR(IF(LEFT($A129,1)="C",'Avoided Costs'!$M$13,'Avoided Costs'!$M$12)+1,""),4)</f>
        <v>1.0720000000000001</v>
      </c>
      <c r="CT129" s="199">
        <f>ROUND(IFERROR(IF(LEFT($A129,1)="C",'Avoided Costs'!$N$13,'Avoided Costs'!$N$12)+1,""),4)</f>
        <v>1.04</v>
      </c>
      <c r="CU129" s="199">
        <f>ROUND(IFERROR(IF(LEFT($A129,1)="C",'Avoided Costs'!$O$13,'Avoided Costs'!$O$12)+1,""),4)</f>
        <v>1.1120000000000001</v>
      </c>
      <c r="CV129" s="199">
        <f>ROUND(IFERROR(IF(LEFT($A129,1)="C",'Avoided Costs'!$P$13,'Avoided Costs'!$P$12)+1,""),4)</f>
        <v>1.095</v>
      </c>
      <c r="CW129" s="199">
        <f>ROUND(IFERROR(IF(LEFT($A129,1)="C",'Avoided Costs'!$Q$13,'Avoided Costs'!$Q$12)+1,""),4)</f>
        <v>1.1120000000000001</v>
      </c>
      <c r="CX129" s="200">
        <f>ROUND(IFERROR(IF(LEFT($A129,1)="C",'Avoided Costs'!$R$13,'Avoided Costs'!$R$12)+1,""),4)</f>
        <v>1.1120000000000001</v>
      </c>
    </row>
    <row r="130" spans="1:102" ht="12.75" customHeight="1">
      <c r="A130" s="91" t="str">
        <f>IF('Inputs Yr 2'!$B130=0,"",'Inputs Yr 2'!A130)</f>
        <v>B - Low Income</v>
      </c>
      <c r="B130" s="91" t="str">
        <f>IF('Inputs Yr 2'!$B130=0,"",'Inputs Yr 2'!B130)</f>
        <v>B1 - Low-Income Whole House</v>
      </c>
      <c r="C130" s="91" t="str">
        <f>IF('Inputs Yr 2'!$B130=0,"",'Inputs Yr 2'!C130)</f>
        <v>B1b - Low-Income Multi-Family Retrofit</v>
      </c>
      <c r="D130" s="91" t="str">
        <f>IF('Inputs Yr 2'!$B130=0,"",'Inputs Yr 2'!E130)</f>
        <v>On Demand Water Heater, Gas</v>
      </c>
      <c r="E130" s="93" t="str">
        <f>IF('Inputs Yr 2'!$B130=0,"",'Inputs Yr 2'!F130)</f>
        <v>G16B1b11</v>
      </c>
      <c r="F130" s="93" t="str">
        <f>IF('Inputs Yr 2'!$B130=0,"",'Inputs Yr 2'!G130)</f>
        <v>Hot Water</v>
      </c>
      <c r="G130" s="95">
        <f>IF('Inputs Yr 2'!$H130&lt;&gt;0,('Inputs Yr 2'!H130),"")</f>
        <v>45</v>
      </c>
      <c r="H130" s="94">
        <f>IFERROR('Inputs Yr 2'!I130,"")</f>
        <v>20</v>
      </c>
      <c r="I130" s="298">
        <f>IFERROR('Inputs Yr 2'!J130*'Inputs Yr 2'!P130*G130,"")</f>
        <v>905200</v>
      </c>
      <c r="J130" s="298">
        <f>IFERROR('Inputs Yr 2'!K130*G130,"")</f>
        <v>905200</v>
      </c>
      <c r="K130" s="298">
        <f t="shared" si="53"/>
        <v>0</v>
      </c>
      <c r="L130" s="194">
        <f>IFERROR(('Inputs Yr 2'!W130*G130)/1000,"")</f>
        <v>0</v>
      </c>
      <c r="M130" s="194">
        <f>IFERROR(L130*('Inputs Yr 2'!$Q130*'Inputs Yr 2'!$V130*'Inputs Yr 2'!$R130),"")</f>
        <v>0</v>
      </c>
      <c r="N130" s="194">
        <f t="shared" si="54"/>
        <v>0</v>
      </c>
      <c r="O130" s="194">
        <f>IFERROR(M130*'Inputs Yr 2'!P130,"")</f>
        <v>0</v>
      </c>
      <c r="P130" s="194">
        <f t="shared" si="55"/>
        <v>0</v>
      </c>
      <c r="Q130" s="194">
        <f>IFERROR($P130*'Inputs Yr 2'!AA130,"")</f>
        <v>0</v>
      </c>
      <c r="R130" s="194">
        <f>IFERROR($P130*'Inputs Yr 2'!AB130,"")</f>
        <v>0</v>
      </c>
      <c r="S130" s="194">
        <f>IFERROR($P130*'Inputs Yr 2'!AC130,"")</f>
        <v>0</v>
      </c>
      <c r="T130" s="194">
        <f>IFERROR($P130*'Inputs Yr 2'!AD130,"")</f>
        <v>0</v>
      </c>
      <c r="U130" s="194">
        <f>IFERROR(G130*'Inputs Yr 2'!$AE130*'Inputs Yr 2'!$P130*'Inputs Yr 2'!$Q130,"")</f>
        <v>0</v>
      </c>
      <c r="V130" s="194">
        <f>IFERROR($G130*'Inputs Yr 2'!$AE130*'Inputs Yr 2'!$AG130*'Inputs Yr 2'!Q130*'Inputs Yr 2'!$S130,"")</f>
        <v>0</v>
      </c>
      <c r="W130" s="194">
        <f>IFERROR($G130*'Inputs Yr 2'!$AE130*'Inputs Yr 2'!$AG130*'Inputs Yr 2'!P130*'Inputs Yr 2'!Q130*'Inputs Yr 2'!$S130,"")</f>
        <v>0</v>
      </c>
      <c r="X130" s="194">
        <f>IFERROR($G130*'Inputs Yr 2'!$AE130*'Inputs Yr 2'!$AF130*'Inputs Yr 2'!Q130*'Inputs Yr 2'!$T130,"")</f>
        <v>0</v>
      </c>
      <c r="Y130" s="194">
        <f>IFERROR($G130*'Inputs Yr 2'!$AE130*'Inputs Yr 2'!$AF130*'Inputs Yr 2'!P130*'Inputs Yr 2'!Q130*'Inputs Yr 2'!$T130,"")</f>
        <v>0</v>
      </c>
      <c r="Z130" s="257">
        <f>IFERROR($G130*'Inputs Yr 2'!$Q130*'Inputs Yr 2'!$U130*(IF(IFERROR(SEARCH("NG", 'Inputs Yr 2'!$AJ130),0),'Inputs Yr 2'!$AK130,0)+IF(IFERROR(SEARCH("NG", 'Inputs Yr 2'!$AL130),0),'Inputs Yr 2'!$AM130,0)+IF(IFERROR(SEARCH("NG", 'Inputs Yr 2'!$AN130),0),'Inputs Yr 2'!$AO130,0)),0)</f>
        <v>8636.7753599999996</v>
      </c>
      <c r="AA130" s="257">
        <f t="shared" si="56"/>
        <v>172735.50719999999</v>
      </c>
      <c r="AB130" s="257">
        <f>IFERROR(Z130*'Inputs Yr 2'!$P130,0)</f>
        <v>8636.7753599999996</v>
      </c>
      <c r="AC130" s="257">
        <f t="shared" si="57"/>
        <v>172735.50719999999</v>
      </c>
      <c r="AD130" s="257">
        <f>IFERROR($G130*'Inputs Yr 2'!$Q130*'Inputs Yr 2'!$U130*(IF(IFERROR(SEARCH("Oil", 'Inputs Yr 2'!$AJ130), 0),'Inputs Yr 2'!$AK130,0)+IF(IFERROR(SEARCH("Oil", 'Inputs Yr 2'!$AL130), 0),'Inputs Yr 2'!$AM130,0)+IF(IFERROR(SEARCH("Oil", 'Inputs Yr 2'!$AN130), 0),'Inputs Yr 2'!$AO130,0)),0)</f>
        <v>0</v>
      </c>
      <c r="AE130" s="257">
        <f t="shared" si="58"/>
        <v>0</v>
      </c>
      <c r="AF130" s="257">
        <f>IFERROR(AD130*'Inputs Yr 2'!$P130,0)</f>
        <v>0</v>
      </c>
      <c r="AG130" s="257">
        <f t="shared" si="59"/>
        <v>0</v>
      </c>
      <c r="AH130" s="257">
        <f>IFERROR($G130*'Inputs Yr 2'!$Q130*'Inputs Yr 2'!$U130*(IF('Inputs Yr 2'!$AJ130=CD$4,'Inputs Yr 2'!$AK130,IF('Inputs Yr 2'!$AL130=CD$4,'Inputs Yr 2'!$AM130,IF('Inputs Yr 2'!$AN130=CD$4,'Inputs Yr 2'!$AO130,0)))),0)</f>
        <v>0</v>
      </c>
      <c r="AI130" s="257">
        <f t="shared" si="60"/>
        <v>0</v>
      </c>
      <c r="AJ130" s="257">
        <f>IFERROR(AH130*'Inputs Yr 2'!$P130,0)</f>
        <v>0</v>
      </c>
      <c r="AK130" s="257">
        <f t="shared" si="61"/>
        <v>0</v>
      </c>
      <c r="AL130" s="258">
        <f>IFERROR($G130*'Inputs Yr 2'!$P130*'Inputs Yr 2'!$Q130*'Inputs Yr 2'!AP130,0)</f>
        <v>0</v>
      </c>
      <c r="AM130" s="260">
        <f>IFERROR($G130*'Inputs Yr 2'!$P130*'Inputs Yr 2'!$Q130*'Inputs Yr 2'!AQ130,0)</f>
        <v>0</v>
      </c>
      <c r="AN130" s="258">
        <f>IFERROR($G130*'Inputs Yr 2'!$P130*'Inputs Yr 2'!$Q130*'Inputs Yr 2'!AR130,0)</f>
        <v>0</v>
      </c>
      <c r="AO130" s="257">
        <f t="shared" si="62"/>
        <v>0</v>
      </c>
      <c r="AP130" s="195">
        <f>IFERROR($CQ130*(INDEX(avoidedcosttbl2,$H130,AP$2)+(($H130-ROUNDDOWN($H130,0))*(INDEX(avoidedcosttbl2,ROUNDUP($H130,0),AP$2)-(INDEX(avoidedcosttbl2,ROUNDDOWN($H130,0),AP$2)))))*$O130*1000*'Inputs Yr 2'!AA130,"")</f>
        <v>0</v>
      </c>
      <c r="AQ130" s="195">
        <f>IFERROR($CR130*(INDEX(avoidedcosttbl2,$H130,AQ$2)+(($H130-ROUNDDOWN($H130,0))*(INDEX(avoidedcosttbl2,ROUNDUP($H130,0),AQ$2)-(INDEX(avoidedcosttbl2,ROUNDDOWN($H130,0),AQ$2)))))*$O130*1000*'Inputs Yr 2'!AB130,"")</f>
        <v>0</v>
      </c>
      <c r="AR130" s="195">
        <f>IFERROR($CS130*(INDEX(avoidedcosttbl2,$H130,AR$2)+(($H130-ROUNDDOWN($H130,0))*(INDEX(avoidedcosttbl2,ROUNDUP($H130,0),AR$2)-(INDEX(avoidedcosttbl2,ROUNDDOWN($H130,0),AR$2)))))*$O130*1000*'Inputs Yr 2'!AC130,"")</f>
        <v>0</v>
      </c>
      <c r="AS130" s="195">
        <f>IFERROR($CT130*(INDEX(avoidedcosttbl2,$H130,AS$2)+(($H130-ROUNDDOWN($H130,0))*(INDEX(avoidedcosttbl2,ROUNDUP($H130,0),AS$2)-(INDEX(avoidedcosttbl2,ROUNDDOWN($H130,0),AS$2)))))*$O130*1000*'Inputs Yr 2'!AD130,"")</f>
        <v>0</v>
      </c>
      <c r="AT130" s="196">
        <f t="shared" si="63"/>
        <v>0</v>
      </c>
      <c r="AU130" s="197">
        <f>IFERROR($CQ130*((INDEX(avoidedcosttbl2,$H130,AU$2))+(($H130-ROUNDDOWN($H130,0))*((INDEX(avoidedcosttbl2,ROUNDUP($H130,0),AU$2))-(INDEX(avoidedcosttbl2,ROUNDDOWN($H130,0),AU$2)))))*$O130*1000*'Inputs Yr 2'!AA130,"")</f>
        <v>0</v>
      </c>
      <c r="AV130" s="197">
        <f>IFERROR($CR130*((INDEX(avoidedcosttbl2,$H130,AV$2))+(($H130-ROUNDDOWN($H130,0))*((INDEX(avoidedcosttbl2,ROUNDUP($H130,0),AV$2))-(INDEX(avoidedcosttbl2,ROUNDDOWN($H130,0),AV$2)))))*$O130*1000*'Inputs Yr 2'!AB130,"")</f>
        <v>0</v>
      </c>
      <c r="AW130" s="197">
        <f>IFERROR($CS130*((INDEX(avoidedcosttbl2,$H130,AW$2))+(($H130-ROUNDDOWN($H130,0))*((INDEX(avoidedcosttbl2,ROUNDUP($H130,0),AW$2))-(INDEX(avoidedcosttbl2,ROUNDDOWN($H130,0),AW$2)))))*$O130*1000*'Inputs Yr 2'!AC130,"")</f>
        <v>0</v>
      </c>
      <c r="AX130" s="197">
        <f>IFERROR($CT130*((INDEX(avoidedcosttbl2,$H130,AX$2))+(($H130-ROUNDDOWN($H130,0))*((INDEX(avoidedcosttbl2,ROUNDUP($H130,0),AX$2))-(INDEX(avoidedcosttbl2,ROUNDDOWN($H130,0),AX$2)))))*$O130*1000*'Inputs Yr 2'!AD130,"")</f>
        <v>0</v>
      </c>
      <c r="AY130" s="197">
        <f>IFERROR(((INDEX(avoidedcosttbl2,$H130,AY$2))+(($H130-ROUNDDOWN($H130,0))*((INDEX(avoidedcosttbl2,ROUNDUP($H130,0),AY$2))-(INDEX(avoidedcosttbl2,ROUNDDOWN($H130,0),AY$2)))))*$O130*1000*('Inputs Yr 2'!AC130+'Inputs Yr 2'!AD130),"")</f>
        <v>0</v>
      </c>
      <c r="AZ130" s="197">
        <f>IFERROR(((INDEX(avoidedcosttbl2,$H130,AZ$2))+(($H130-ROUNDDOWN($H130,0))*((INDEX(avoidedcosttbl2,ROUNDUP($H130,0),AZ$2))-(INDEX(avoidedcosttbl2,ROUNDDOWN($H130,0),AZ$2)))))*$O130*1000*('Inputs Yr 2'!AA130+'Inputs Yr 2'!AB130),"")</f>
        <v>0</v>
      </c>
      <c r="BA130" s="198">
        <f t="shared" si="64"/>
        <v>0</v>
      </c>
      <c r="BB130" s="198">
        <f t="shared" si="65"/>
        <v>0</v>
      </c>
      <c r="BC130" s="195">
        <f t="shared" si="47"/>
        <v>0</v>
      </c>
      <c r="BD130" s="195">
        <f t="shared" si="48"/>
        <v>0</v>
      </c>
      <c r="BE130" s="195">
        <f t="shared" si="49"/>
        <v>0</v>
      </c>
      <c r="BF130" s="195">
        <f t="shared" si="50"/>
        <v>0</v>
      </c>
      <c r="BG130" s="195">
        <f t="shared" si="51"/>
        <v>0</v>
      </c>
      <c r="BH130" s="196">
        <f t="shared" si="66"/>
        <v>0</v>
      </c>
      <c r="BI130" s="196">
        <f t="shared" si="67"/>
        <v>0</v>
      </c>
      <c r="BJ130" s="195">
        <f>IFERROR($G130*(IF('Inputs Yr 2'!$AJ130=BJ$4,'Inputs Yr 2'!$AK130,IF('Inputs Yr 2'!$AL130=BJ$4,'Inputs Yr 2'!$AM130,IF('Inputs Yr 2'!$AN130=BJ$4,'Inputs Yr 2'!$AO130,0))))*(INDEX(avoidedcosttbl2,$H130,BJ$2)+(($H130-ROUNDDOWN($H130,0))*(INDEX(avoidedcosttbl2,ROUNDUP($H130,0),BJ$2)-(INDEX(avoidedcosttbl2,ROUNDDOWN($H130,0),BJ$2)))))*'Inputs Yr 2'!P130*'Inputs Yr 2'!Q130*'Inputs Yr 2'!U130,"")</f>
        <v>0</v>
      </c>
      <c r="BK130" s="195">
        <f>IFERROR($G130*(IF('Inputs Yr 2'!$AJ130=BK$4,'Inputs Yr 2'!$AK130,IF('Inputs Yr 2'!$AL130=BK$4,'Inputs Yr 2'!$AM130,IF('Inputs Yr 2'!$AN130=BK$4,'Inputs Yr 2'!$AO130,0))))*(INDEX(avoidedcosttbl2,$H130,BK$2)+(($H130-ROUNDDOWN($H130,0))*(INDEX(avoidedcosttbl2,ROUNDUP($H130,0),BK$2)-(INDEX(avoidedcosttbl2,ROUNDDOWN($H130,0),BK$2)))))*'Inputs Yr 2'!P130*'Inputs Yr 2'!Q130*'Inputs Yr 2'!U130,"")</f>
        <v>1425702.1931684259</v>
      </c>
      <c r="BL130" s="195">
        <f>IFERROR($G130*(IF('Inputs Yr 2'!$AJ130=BL$4,'Inputs Yr 2'!$AK130,IF('Inputs Yr 2'!$AL130=BL$4,'Inputs Yr 2'!$AM130,IF('Inputs Yr 2'!$AN130=BL$4,'Inputs Yr 2'!$AO130,0))))*(INDEX(avoidedcosttbl2,$H130,BL$2)+(($H130-ROUNDDOWN($H130,0))*(INDEX(avoidedcosttbl2,ROUNDUP($H130,0),BL$2)-(INDEX(avoidedcosttbl2,ROUNDDOWN($H130,0),BL$2)))))*'Inputs Yr 2'!P130*'Inputs Yr 2'!Q130*'Inputs Yr 2'!U130,"")</f>
        <v>0</v>
      </c>
      <c r="BM130" s="195">
        <f>IFERROR($G130*(IF('Inputs Yr 2'!$AJ130=BM$4,'Inputs Yr 2'!$AK130,IF('Inputs Yr 2'!$AL130=BM$4,'Inputs Yr 2'!$AM130,IF('Inputs Yr 2'!$AN130=BM$4,'Inputs Yr 2'!$AO130,0))))*(INDEX(avoidedcosttbl2,$H130,BM$2)+(($H130-ROUNDDOWN($H130,0))*(INDEX(avoidedcosttbl2,ROUNDUP($H130,0),BM$2)-(INDEX(avoidedcosttbl2,ROUNDDOWN($H130,0),BM$2)))))*'Inputs Yr 2'!P130*'Inputs Yr 2'!Q130*'Inputs Yr 2'!U130,"")</f>
        <v>0</v>
      </c>
      <c r="BN130" s="195">
        <f>IFERROR($G130*(IF('Inputs Yr 2'!$AJ130=BN$4,'Inputs Yr 2'!$AK130,IF('Inputs Yr 2'!$AL130=BN$4,'Inputs Yr 2'!$AM130,IF('Inputs Yr 2'!$AN130=BN$4,'Inputs Yr 2'!$AO130,0))))*(INDEX(avoidedcosttbl2,$H130,BN$2)+(($H130-ROUNDDOWN($H130,0))*(INDEX(avoidedcosttbl2,ROUNDUP($H130,0),BN$2)-(INDEX(avoidedcosttbl2,ROUNDDOWN($H130,0),BN$2)))))*'Inputs Yr 2'!P130*'Inputs Yr 2'!Q130*'Inputs Yr 2'!U130,"")</f>
        <v>0</v>
      </c>
      <c r="BO130" s="195">
        <f>IFERROR($G130*(IF('Inputs Yr 2'!$AJ130=BO$4,'Inputs Yr 2'!$AK130,IF('Inputs Yr 2'!$AL130=BO$4,'Inputs Yr 2'!$AM130,IF('Inputs Yr 2'!$AN130=BO$4,'Inputs Yr 2'!$AO130,0))))*(INDEX(avoidedcosttbl2,$H130,BO$2)+(($H130-ROUNDDOWN($H130,0))*(INDEX(avoidedcosttbl2,ROUNDUP($H130,0),BO$2)-(INDEX(avoidedcosttbl2,ROUNDDOWN($H130,0),BO$2)))))*'Inputs Yr 2'!P130*'Inputs Yr 2'!Q130*'Inputs Yr 2'!U130,"")</f>
        <v>0</v>
      </c>
      <c r="BP130" s="195">
        <f>IFERROR($G130*(IF('Inputs Yr 2'!$AJ130=BP$4,'Inputs Yr 2'!$AK130,IF('Inputs Yr 2'!$AL130=BP$4,'Inputs Yr 2'!$AM130,IF('Inputs Yr 2'!$AN130=BP$4,'Inputs Yr 2'!$AO130,0))))*(INDEX(avoidedcosttbl2,$H130,BP$2)+(($H130-ROUNDDOWN($H130,0))*(INDEX(avoidedcosttbl2,ROUNDUP($H130,0),BP$2)-(INDEX(avoidedcosttbl2,ROUNDDOWN($H130,0),BP$2)))))*'Inputs Yr 2'!P130*'Inputs Yr 2'!Q130*'Inputs Yr 2'!U130,"")</f>
        <v>0</v>
      </c>
      <c r="BQ130" s="230">
        <f t="shared" si="68"/>
        <v>1425702.1931684259</v>
      </c>
      <c r="BR130" s="197">
        <f t="shared" si="52"/>
        <v>23160.582463162315</v>
      </c>
      <c r="BS130" s="197">
        <f>IFERROR(($G130*IF('Inputs Yr 2'!$AJ130=BM$4,'Inputs Yr 2'!$AK130,IF('Inputs Yr 2'!$AL130=BM$4,'Inputs Yr 2'!$AM130,IF('Inputs Yr 2'!$AN130=BM$4,'Inputs Yr 2'!$AO130,0))))*(INDEX(avoidedcosttbl2,$H130,BS$2)+(($H130-ROUNDDOWN($H130,0))*(INDEX(avoidedcosttbl2,ROUNDUP($H130,0),BS$2)-(INDEX(avoidedcosttbl2,ROUNDDOWN($H130,0),BS$2)))))*'Inputs Yr 2'!P130*'Inputs Yr 2'!Q130*'Inputs Yr 2'!U130,"")</f>
        <v>0</v>
      </c>
      <c r="BT130" s="197">
        <f>IFERROR(($G130*IF('Inputs Yr 2'!$AJ130=BK$4,'Inputs Yr 2'!$AK130,IF('Inputs Yr 2'!$AL130=BK$4,'Inputs Yr 2'!$AM130,IF('Inputs Yr 2'!$AN130=BK$4,'Inputs Yr 2'!$AO130,0))))*(INDEX(avoidedcosttbl2,$H130,BT$2)+(($H130-ROUNDDOWN($H130,0))*(INDEX(avoidedcosttbl2,ROUNDUP($H130,0),BT$2)-(INDEX(avoidedcosttbl2,ROUNDDOWN($H130,0),BT$2)))))*'Inputs Yr 2'!P130*'Inputs Yr 2'!Q130*'Inputs Yr 2'!U130,"")</f>
        <v>76025.787768770519</v>
      </c>
      <c r="BU130" s="197">
        <f>IFERROR(($G130*IF('Inputs Yr 2'!$AJ130=BL$4,'Inputs Yr 2'!$AK130,IF('Inputs Yr 2'!$AL130=BL$4,'Inputs Yr 2'!$AM130,IF('Inputs Yr 2'!$AN130=BL$4,'Inputs Yr 2'!$AO130,0))))*(INDEX(avoidedcosttbl2,$H130,BU$2)+(($H130-ROUNDDOWN($H130,0))*(INDEX(avoidedcosttbl2,ROUNDUP($H130,0),BU$2)-(INDEX(avoidedcosttbl2,ROUNDDOWN($H130,0),BU$2)))))*'Inputs Yr 2'!P130*'Inputs Yr 2'!Q130*'Inputs Yr 2'!U130,"")</f>
        <v>0</v>
      </c>
      <c r="BV130" s="775">
        <f>IFERROR(($G130*IF('Inputs Yr 2'!$AJ130=BJ$4,'Inputs Yr 2'!$AK130,IF('Inputs Yr 2'!$AL130=BJ$4,'Inputs Yr 2'!$AM130,IF('Inputs Yr 2'!$AN130=BJ$4,'Inputs Yr 2'!$AO130,0))))*(INDEX(avoidedcosttbl2,$H130,BV$2)+(($H130-ROUNDDOWN($H130,0))*(INDEX(avoidedcosttbl2,ROUNDUP($H130,0),BV$2)-(INDEX(avoidedcosttbl2,ROUNDDOWN($H130,0),BV$2)))))*'Inputs Yr 2'!P130*'Inputs Yr 2'!Q130*'Inputs Yr 2'!U130,"")</f>
        <v>0</v>
      </c>
      <c r="BW130" s="197">
        <f>IFERROR(($G130*IF('Inputs Yr 2'!$AJ130=BN$4,'Inputs Yr 2'!$AK130,IF('Inputs Yr 2'!$AL130=BN$4,'Inputs Yr 2'!$AM130,IF('Inputs Yr 2'!$AN130=BN$4,'Inputs Yr 2'!$AO130,0))))*(INDEX(avoidedcosttbl2,$H130,BW$2)+(($H130-ROUNDDOWN($H130,0))*(INDEX(avoidedcosttbl2,ROUNDUP($H130,0),BW$2)-(INDEX(avoidedcosttbl2,ROUNDDOWN($H130,0),BW$2)))))*'Inputs Yr 2'!P130*'Inputs Yr 2'!Q130*'Inputs Yr 2'!U130,"")</f>
        <v>0</v>
      </c>
      <c r="BX130" s="197">
        <f>IFERROR(($G130*IF('Inputs Yr 2'!$AJ130=BO$4,'Inputs Yr 2'!$AK130,IF('Inputs Yr 2'!$AL130=BO$4,'Inputs Yr 2'!$AM130,IF('Inputs Yr 2'!$AN130=BO$4,'Inputs Yr 2'!$AO130,0))))*(INDEX(avoidedcosttbl2,$H130,BX$2)+(($H130-ROUNDDOWN($H130,0))*(INDEX(avoidedcosttbl2,ROUNDUP($H130,0),BX$2)-(INDEX(avoidedcosttbl2,ROUNDDOWN($H130,0),BX$2)))))*'Inputs Yr 2'!P130*'Inputs Yr 2'!Q130*'Inputs Yr 2'!U130,"")</f>
        <v>0</v>
      </c>
      <c r="BY130" s="197">
        <f>IFERROR(($G130*IF('Inputs Yr 2'!$AJ130=BP$4,'Inputs Yr 2'!$AK130,IF('Inputs Yr 2'!$AL130=BP$4,'Inputs Yr 2'!$AM130,IF('Inputs Yr 2'!$AN130=BP$4,'Inputs Yr 2'!$AO130,0))))*(INDEX(avoidedcosttbl2,$H130,BY$2)+(($H130-ROUNDDOWN($H130,0))*(INDEX(avoidedcosttbl2,ROUNDUP($H130,0),BY$2)-(INDEX(avoidedcosttbl2,ROUNDDOWN($H130,0),BY$2)))))*'Inputs Yr 2'!P130*'Inputs Yr 2'!Q130*'Inputs Yr 2'!U130,"")</f>
        <v>0</v>
      </c>
      <c r="BZ130" s="193">
        <f t="shared" si="69"/>
        <v>99186.370231932829</v>
      </c>
      <c r="CA130" s="193">
        <f t="shared" si="70"/>
        <v>1524888.5634003587</v>
      </c>
      <c r="CB130" s="195">
        <f>IFERROR(G130*(IF('Inputs Yr 2'!$AJ130=CB$4,'Inputs Yr 2'!$AK130,IF('Inputs Yr 2'!$AL130=CB$4,'Inputs Yr 2'!$AM130,IF('Inputs Yr 2'!$AN130=CB$4,'Inputs Yr 2'!$AO130,0))))*(INDEX(avoidedcosttbl2,$H130,CB$2)+(($H130-ROUNDDOWN($H130,0))*(INDEX(avoidedcosttbl2,ROUNDUP($H130,0),CB$2)-(INDEX(avoidedcosttbl2,ROUNDDOWN($H130,0),CB$2)))))*'Inputs Yr 2'!P130*'Inputs Yr 2'!Q130*'Inputs Yr 2'!U130,"")</f>
        <v>0</v>
      </c>
      <c r="CC130" s="195">
        <f>IFERROR(H130*(IF('Inputs Yr 2'!$AJ130=CC$4,'Inputs Yr 2'!$AK130,IF('Inputs Yr 2'!$AL130=CC$4,'Inputs Yr 2'!$AM130,IF('Inputs Yr 2'!$AN130=CC$4,'Inputs Yr 2'!$AO130,0))))*(INDEX(avoidedcosttbl2,$H130,CC$2)+(($H130-ROUNDDOWN($H130,0))*(INDEX(avoidedcosttbl2,ROUNDUP($H130,0),CC$2)-(INDEX(avoidedcosttbl2,ROUNDDOWN($H130,0),CC$2)))))*'Inputs Yr 2'!Q130*'Inputs Yr 2'!R130*'Inputs Yr 2'!V130,"")</f>
        <v>0</v>
      </c>
      <c r="CD130" s="195">
        <f>IFERROR(I130*(IF('Inputs Yr 2'!$AJ130=CD$4,'Inputs Yr 2'!$AK130,IF('Inputs Yr 2'!$AL130=CD$4,'Inputs Yr 2'!$AM130,IF('Inputs Yr 2'!$AN130=CD$4,'Inputs Yr 2'!$AO130,0))))*(INDEX(avoidedcosttbl2,$H130,CD$2)+(($H130-ROUNDDOWN($H130,0))*(INDEX(avoidedcosttbl2,ROUNDUP($H130,0),CD$2)-(INDEX(avoidedcosttbl2,ROUNDDOWN($H130,0),CD$2)))))*'Inputs Yr 2'!R130*'Inputs Yr 2'!S130*'Inputs Yr 2'!W130,"")</f>
        <v>0</v>
      </c>
      <c r="CE130" s="213">
        <f t="shared" si="71"/>
        <v>0</v>
      </c>
      <c r="CF130" s="213">
        <f t="shared" si="72"/>
        <v>0</v>
      </c>
      <c r="CG130" s="213">
        <f t="shared" si="73"/>
        <v>0</v>
      </c>
      <c r="CH130" s="698">
        <f t="shared" si="74"/>
        <v>1524888.5634003587</v>
      </c>
      <c r="CI130" s="79">
        <f>IFERROR(($G130*'Inputs Yr 2'!$P130*'Inputs Yr 2'!$Q130*(((INDEX(avoidedcosttbl2,$H130,CI$2)+(($H130-ROUNDDOWN($H130,0))*(INDEX(avoidedcosttbl2,ROUNDUP($H130,0),CI$2)-INDEX(avoidedcosttbl2,ROUNDDOWN($H130,0),CI$2))))*'Inputs Yr 2'!AS130))),"")</f>
        <v>499.73828617539027</v>
      </c>
      <c r="CJ130" s="504">
        <f>IFERROR($G130*'Inputs Yr 2'!AT130*'Inputs Yr 2'!$P130*'Inputs Yr 2'!$Q130/((1+realdiscrt1)^-0.5),"")</f>
        <v>0</v>
      </c>
      <c r="CK130" s="79">
        <f>IFERROR((O130*1000*(((INDEX(avoidedcosttbl2,$H130,CK$2)+(($H130-ROUNDDOWN($H130,0))*(INDEX(avoidedcosttbl2,ROUNDUP($H130,0),CK$2)-INDEX(avoidedcosttbl2,ROUNDDOWN($H130,0),CK$2))))*'Inputs Yr 2'!AU130))),"")</f>
        <v>0</v>
      </c>
      <c r="CL130" s="504">
        <f>IFERROR(O130*1000*'Inputs Yr 2'!AV130/((1+realdiscrt1)^-0.5),"")</f>
        <v>0</v>
      </c>
      <c r="CM130" s="79">
        <f>IFERROR((AB130*'Inputs Yr 2'!AW130*(((INDEX(avoidedcosttbl2,$H130,CM$2)+(($H130-ROUNDDOWN($H130,0))*(INDEX(avoidedcosttbl2,ROUNDUP($H130,0),CM$2)-INDEX(avoidedcosttbl2,ROUNDDOWN($H130,0),CM$2)))))))*10,"")</f>
        <v>221594.27601893639</v>
      </c>
      <c r="CN130" s="504">
        <f>IFERROR(10*AB130*'Inputs Yr 2'!AX130/((1+realdiscrt1)^-0.5),"")</f>
        <v>6578.3741120953346</v>
      </c>
      <c r="CO130" s="505">
        <f t="shared" si="75"/>
        <v>228672.38841720711</v>
      </c>
      <c r="CP130" s="230">
        <f t="shared" si="76"/>
        <v>1753560.9518175658</v>
      </c>
      <c r="CQ130" s="199">
        <f>ROUND(IFERROR(IF(LEFT($A130,1)="C",'Avoided Costs'!$K$13,'Avoided Costs'!$K$12)+1,""),4)</f>
        <v>1.0720000000000001</v>
      </c>
      <c r="CR130" s="199">
        <f>ROUND(IFERROR(IF(LEFT($A130,1)="C",'Avoided Costs'!$L$13,'Avoided Costs'!$L$12)+1,""),4)</f>
        <v>1.04</v>
      </c>
      <c r="CS130" s="199">
        <f>ROUND(IFERROR(IF(LEFT($A130,1)="C",'Avoided Costs'!$M$13,'Avoided Costs'!$M$12)+1,""),4)</f>
        <v>1.0720000000000001</v>
      </c>
      <c r="CT130" s="199">
        <f>ROUND(IFERROR(IF(LEFT($A130,1)="C",'Avoided Costs'!$N$13,'Avoided Costs'!$N$12)+1,""),4)</f>
        <v>1.04</v>
      </c>
      <c r="CU130" s="199">
        <f>ROUND(IFERROR(IF(LEFT($A130,1)="C",'Avoided Costs'!$O$13,'Avoided Costs'!$O$12)+1,""),4)</f>
        <v>1.1120000000000001</v>
      </c>
      <c r="CV130" s="199">
        <f>ROUND(IFERROR(IF(LEFT($A130,1)="C",'Avoided Costs'!$P$13,'Avoided Costs'!$P$12)+1,""),4)</f>
        <v>1.095</v>
      </c>
      <c r="CW130" s="199">
        <f>ROUND(IFERROR(IF(LEFT($A130,1)="C",'Avoided Costs'!$Q$13,'Avoided Costs'!$Q$12)+1,""),4)</f>
        <v>1.1120000000000001</v>
      </c>
      <c r="CX130" s="200">
        <f>ROUND(IFERROR(IF(LEFT($A130,1)="C",'Avoided Costs'!$R$13,'Avoided Costs'!$R$12)+1,""),4)</f>
        <v>1.1120000000000001</v>
      </c>
    </row>
    <row r="131" spans="1:102" ht="12.75" customHeight="1">
      <c r="A131" s="91" t="str">
        <f>IF('Inputs Yr 2'!$B131=0,"",'Inputs Yr 2'!A131)</f>
        <v>B - Low Income</v>
      </c>
      <c r="B131" s="91" t="str">
        <f>IF('Inputs Yr 2'!$B131=0,"",'Inputs Yr 2'!B131)</f>
        <v>B1 - Low-Income Whole House</v>
      </c>
      <c r="C131" s="91" t="str">
        <f>IF('Inputs Yr 2'!$B131=0,"",'Inputs Yr 2'!C131)</f>
        <v>B1b - Low-Income Multi-Family Retrofit</v>
      </c>
      <c r="D131" s="91" t="str">
        <f>IF('Inputs Yr 2'!$B131=0,"",'Inputs Yr 2'!E131)</f>
        <v>Indirect Water Heater, Gas</v>
      </c>
      <c r="E131" s="93" t="str">
        <f>IF('Inputs Yr 2'!$B131=0,"",'Inputs Yr 2'!F131)</f>
        <v>G16B1b12</v>
      </c>
      <c r="F131" s="93" t="str">
        <f>IF('Inputs Yr 2'!$B131=0,"",'Inputs Yr 2'!G131)</f>
        <v>Hot Water</v>
      </c>
      <c r="G131" s="95">
        <f>IF('Inputs Yr 2'!$H131&lt;&gt;0,('Inputs Yr 2'!H131),"")</f>
        <v>157</v>
      </c>
      <c r="H131" s="94">
        <f>IFERROR('Inputs Yr 2'!I131,"")</f>
        <v>20</v>
      </c>
      <c r="I131" s="298">
        <f>IFERROR('Inputs Yr 2'!J131*'Inputs Yr 2'!P131*G131,"")</f>
        <v>1552309.49</v>
      </c>
      <c r="J131" s="298">
        <f>IFERROR('Inputs Yr 2'!K131*G131,"")</f>
        <v>1552309.49</v>
      </c>
      <c r="K131" s="298">
        <f t="shared" si="53"/>
        <v>0</v>
      </c>
      <c r="L131" s="194">
        <f>IFERROR(('Inputs Yr 2'!W131*G131)/1000,"")</f>
        <v>0</v>
      </c>
      <c r="M131" s="194">
        <f>IFERROR(L131*('Inputs Yr 2'!$Q131*'Inputs Yr 2'!$V131*'Inputs Yr 2'!$R131),"")</f>
        <v>0</v>
      </c>
      <c r="N131" s="194">
        <f t="shared" si="54"/>
        <v>0</v>
      </c>
      <c r="O131" s="194">
        <f>IFERROR(M131*'Inputs Yr 2'!P131,"")</f>
        <v>0</v>
      </c>
      <c r="P131" s="194">
        <f t="shared" si="55"/>
        <v>0</v>
      </c>
      <c r="Q131" s="194">
        <f>IFERROR($P131*'Inputs Yr 2'!AA131,"")</f>
        <v>0</v>
      </c>
      <c r="R131" s="194">
        <f>IFERROR($P131*'Inputs Yr 2'!AB131,"")</f>
        <v>0</v>
      </c>
      <c r="S131" s="194">
        <f>IFERROR($P131*'Inputs Yr 2'!AC131,"")</f>
        <v>0</v>
      </c>
      <c r="T131" s="194">
        <f>IFERROR($P131*'Inputs Yr 2'!AD131,"")</f>
        <v>0</v>
      </c>
      <c r="U131" s="194">
        <f>IFERROR(G131*'Inputs Yr 2'!$AE131*'Inputs Yr 2'!$P131*'Inputs Yr 2'!$Q131,"")</f>
        <v>0</v>
      </c>
      <c r="V131" s="194">
        <f>IFERROR($G131*'Inputs Yr 2'!$AE131*'Inputs Yr 2'!$AG131*'Inputs Yr 2'!Q131*'Inputs Yr 2'!$S131,"")</f>
        <v>0</v>
      </c>
      <c r="W131" s="194">
        <f>IFERROR($G131*'Inputs Yr 2'!$AE131*'Inputs Yr 2'!$AG131*'Inputs Yr 2'!P131*'Inputs Yr 2'!Q131*'Inputs Yr 2'!$S131,"")</f>
        <v>0</v>
      </c>
      <c r="X131" s="194">
        <f>IFERROR($G131*'Inputs Yr 2'!$AE131*'Inputs Yr 2'!$AF131*'Inputs Yr 2'!Q131*'Inputs Yr 2'!$T131,"")</f>
        <v>0</v>
      </c>
      <c r="Y131" s="194">
        <f>IFERROR($G131*'Inputs Yr 2'!$AE131*'Inputs Yr 2'!$AF131*'Inputs Yr 2'!P131*'Inputs Yr 2'!Q131*'Inputs Yr 2'!$T131,"")</f>
        <v>0</v>
      </c>
      <c r="Z131" s="257">
        <f>IFERROR($G131*'Inputs Yr 2'!$Q131*'Inputs Yr 2'!$U131*(IF(IFERROR(SEARCH("NG", 'Inputs Yr 2'!$AJ131),0),'Inputs Yr 2'!$AK131,0)+IF(IFERROR(SEARCH("NG", 'Inputs Yr 2'!$AL131),0),'Inputs Yr 2'!$AM131,0)+IF(IFERROR(SEARCH("NG", 'Inputs Yr 2'!$AN131),0),'Inputs Yr 2'!$AO131,0)),0)</f>
        <v>12490.642795999998</v>
      </c>
      <c r="AA131" s="257">
        <f t="shared" si="56"/>
        <v>249812.85591999997</v>
      </c>
      <c r="AB131" s="257">
        <f>IFERROR(Z131*'Inputs Yr 2'!$P131,0)</f>
        <v>12490.642795999998</v>
      </c>
      <c r="AC131" s="257">
        <f t="shared" si="57"/>
        <v>249812.85591999997</v>
      </c>
      <c r="AD131" s="257">
        <f>IFERROR($G131*'Inputs Yr 2'!$Q131*'Inputs Yr 2'!$U131*(IF(IFERROR(SEARCH("Oil", 'Inputs Yr 2'!$AJ131), 0),'Inputs Yr 2'!$AK131,0)+IF(IFERROR(SEARCH("Oil", 'Inputs Yr 2'!$AL131), 0),'Inputs Yr 2'!$AM131,0)+IF(IFERROR(SEARCH("Oil", 'Inputs Yr 2'!$AN131), 0),'Inputs Yr 2'!$AO131,0)),0)</f>
        <v>0</v>
      </c>
      <c r="AE131" s="257">
        <f t="shared" si="58"/>
        <v>0</v>
      </c>
      <c r="AF131" s="257">
        <f>IFERROR(AD131*'Inputs Yr 2'!$P131,0)</f>
        <v>0</v>
      </c>
      <c r="AG131" s="257">
        <f t="shared" si="59"/>
        <v>0</v>
      </c>
      <c r="AH131" s="257">
        <f>IFERROR($G131*'Inputs Yr 2'!$Q131*'Inputs Yr 2'!$U131*(IF('Inputs Yr 2'!$AJ131=CD$4,'Inputs Yr 2'!$AK131,IF('Inputs Yr 2'!$AL131=CD$4,'Inputs Yr 2'!$AM131,IF('Inputs Yr 2'!$AN131=CD$4,'Inputs Yr 2'!$AO131,0)))),0)</f>
        <v>0</v>
      </c>
      <c r="AI131" s="257">
        <f t="shared" si="60"/>
        <v>0</v>
      </c>
      <c r="AJ131" s="257">
        <f>IFERROR(AH131*'Inputs Yr 2'!$P131,0)</f>
        <v>0</v>
      </c>
      <c r="AK131" s="257">
        <f t="shared" si="61"/>
        <v>0</v>
      </c>
      <c r="AL131" s="258">
        <f>IFERROR($G131*'Inputs Yr 2'!$P131*'Inputs Yr 2'!$Q131*'Inputs Yr 2'!AP131,0)</f>
        <v>0</v>
      </c>
      <c r="AM131" s="260">
        <f>IFERROR($G131*'Inputs Yr 2'!$P131*'Inputs Yr 2'!$Q131*'Inputs Yr 2'!AQ131,0)</f>
        <v>0</v>
      </c>
      <c r="AN131" s="258">
        <f>IFERROR($G131*'Inputs Yr 2'!$P131*'Inputs Yr 2'!$Q131*'Inputs Yr 2'!AR131,0)</f>
        <v>0</v>
      </c>
      <c r="AO131" s="257">
        <f t="shared" si="62"/>
        <v>0</v>
      </c>
      <c r="AP131" s="195">
        <f>IFERROR($CQ131*(INDEX(avoidedcosttbl2,$H131,AP$2)+(($H131-ROUNDDOWN($H131,0))*(INDEX(avoidedcosttbl2,ROUNDUP($H131,0),AP$2)-(INDEX(avoidedcosttbl2,ROUNDDOWN($H131,0),AP$2)))))*$O131*1000*'Inputs Yr 2'!AA131,"")</f>
        <v>0</v>
      </c>
      <c r="AQ131" s="195">
        <f>IFERROR($CR131*(INDEX(avoidedcosttbl2,$H131,AQ$2)+(($H131-ROUNDDOWN($H131,0))*(INDEX(avoidedcosttbl2,ROUNDUP($H131,0),AQ$2)-(INDEX(avoidedcosttbl2,ROUNDDOWN($H131,0),AQ$2)))))*$O131*1000*'Inputs Yr 2'!AB131,"")</f>
        <v>0</v>
      </c>
      <c r="AR131" s="195">
        <f>IFERROR($CS131*(INDEX(avoidedcosttbl2,$H131,AR$2)+(($H131-ROUNDDOWN($H131,0))*(INDEX(avoidedcosttbl2,ROUNDUP($H131,0),AR$2)-(INDEX(avoidedcosttbl2,ROUNDDOWN($H131,0),AR$2)))))*$O131*1000*'Inputs Yr 2'!AC131,"")</f>
        <v>0</v>
      </c>
      <c r="AS131" s="195">
        <f>IFERROR($CT131*(INDEX(avoidedcosttbl2,$H131,AS$2)+(($H131-ROUNDDOWN($H131,0))*(INDEX(avoidedcosttbl2,ROUNDUP($H131,0),AS$2)-(INDEX(avoidedcosttbl2,ROUNDDOWN($H131,0),AS$2)))))*$O131*1000*'Inputs Yr 2'!AD131,"")</f>
        <v>0</v>
      </c>
      <c r="AT131" s="196">
        <f t="shared" si="63"/>
        <v>0</v>
      </c>
      <c r="AU131" s="197">
        <f>IFERROR($CQ131*((INDEX(avoidedcosttbl2,$H131,AU$2))+(($H131-ROUNDDOWN($H131,0))*((INDEX(avoidedcosttbl2,ROUNDUP($H131,0),AU$2))-(INDEX(avoidedcosttbl2,ROUNDDOWN($H131,0),AU$2)))))*$O131*1000*'Inputs Yr 2'!AA131,"")</f>
        <v>0</v>
      </c>
      <c r="AV131" s="197">
        <f>IFERROR($CR131*((INDEX(avoidedcosttbl2,$H131,AV$2))+(($H131-ROUNDDOWN($H131,0))*((INDEX(avoidedcosttbl2,ROUNDUP($H131,0),AV$2))-(INDEX(avoidedcosttbl2,ROUNDDOWN($H131,0),AV$2)))))*$O131*1000*'Inputs Yr 2'!AB131,"")</f>
        <v>0</v>
      </c>
      <c r="AW131" s="197">
        <f>IFERROR($CS131*((INDEX(avoidedcosttbl2,$H131,AW$2))+(($H131-ROUNDDOWN($H131,0))*((INDEX(avoidedcosttbl2,ROUNDUP($H131,0),AW$2))-(INDEX(avoidedcosttbl2,ROUNDDOWN($H131,0),AW$2)))))*$O131*1000*'Inputs Yr 2'!AC131,"")</f>
        <v>0</v>
      </c>
      <c r="AX131" s="197">
        <f>IFERROR($CT131*((INDEX(avoidedcosttbl2,$H131,AX$2))+(($H131-ROUNDDOWN($H131,0))*((INDEX(avoidedcosttbl2,ROUNDUP($H131,0),AX$2))-(INDEX(avoidedcosttbl2,ROUNDDOWN($H131,0),AX$2)))))*$O131*1000*'Inputs Yr 2'!AD131,"")</f>
        <v>0</v>
      </c>
      <c r="AY131" s="197">
        <f>IFERROR(((INDEX(avoidedcosttbl2,$H131,AY$2))+(($H131-ROUNDDOWN($H131,0))*((INDEX(avoidedcosttbl2,ROUNDUP($H131,0),AY$2))-(INDEX(avoidedcosttbl2,ROUNDDOWN($H131,0),AY$2)))))*$O131*1000*('Inputs Yr 2'!AC131+'Inputs Yr 2'!AD131),"")</f>
        <v>0</v>
      </c>
      <c r="AZ131" s="197">
        <f>IFERROR(((INDEX(avoidedcosttbl2,$H131,AZ$2))+(($H131-ROUNDDOWN($H131,0))*((INDEX(avoidedcosttbl2,ROUNDUP($H131,0),AZ$2))-(INDEX(avoidedcosttbl2,ROUNDDOWN($H131,0),AZ$2)))))*$O131*1000*('Inputs Yr 2'!AA131+'Inputs Yr 2'!AB131),"")</f>
        <v>0</v>
      </c>
      <c r="BA131" s="198">
        <f t="shared" si="64"/>
        <v>0</v>
      </c>
      <c r="BB131" s="198">
        <f t="shared" si="65"/>
        <v>0</v>
      </c>
      <c r="BC131" s="195">
        <f t="shared" si="47"/>
        <v>0</v>
      </c>
      <c r="BD131" s="195">
        <f t="shared" si="48"/>
        <v>0</v>
      </c>
      <c r="BE131" s="195">
        <f t="shared" si="49"/>
        <v>0</v>
      </c>
      <c r="BF131" s="195">
        <f t="shared" si="50"/>
        <v>0</v>
      </c>
      <c r="BG131" s="195">
        <f t="shared" si="51"/>
        <v>0</v>
      </c>
      <c r="BH131" s="196">
        <f t="shared" si="66"/>
        <v>0</v>
      </c>
      <c r="BI131" s="196">
        <f t="shared" si="67"/>
        <v>0</v>
      </c>
      <c r="BJ131" s="195">
        <f>IFERROR($G131*(IF('Inputs Yr 2'!$AJ131=BJ$4,'Inputs Yr 2'!$AK131,IF('Inputs Yr 2'!$AL131=BJ$4,'Inputs Yr 2'!$AM131,IF('Inputs Yr 2'!$AN131=BJ$4,'Inputs Yr 2'!$AO131,0))))*(INDEX(avoidedcosttbl2,$H131,BJ$2)+(($H131-ROUNDDOWN($H131,0))*(INDEX(avoidedcosttbl2,ROUNDUP($H131,0),BJ$2)-(INDEX(avoidedcosttbl2,ROUNDDOWN($H131,0),BJ$2)))))*'Inputs Yr 2'!P131*'Inputs Yr 2'!Q131*'Inputs Yr 2'!U131,"")</f>
        <v>0</v>
      </c>
      <c r="BK131" s="195">
        <f>IFERROR($G131*(IF('Inputs Yr 2'!$AJ131=BK$4,'Inputs Yr 2'!$AK131,IF('Inputs Yr 2'!$AL131=BK$4,'Inputs Yr 2'!$AM131,IF('Inputs Yr 2'!$AN131=BK$4,'Inputs Yr 2'!$AO131,0))))*(INDEX(avoidedcosttbl2,$H131,BK$2)+(($H131-ROUNDDOWN($H131,0))*(INDEX(avoidedcosttbl2,ROUNDUP($H131,0),BK$2)-(INDEX(avoidedcosttbl2,ROUNDDOWN($H131,0),BK$2)))))*'Inputs Yr 2'!P131*'Inputs Yr 2'!Q131*'Inputs Yr 2'!U131,"")</f>
        <v>2061873.336525057</v>
      </c>
      <c r="BL131" s="195">
        <f>IFERROR($G131*(IF('Inputs Yr 2'!$AJ131=BL$4,'Inputs Yr 2'!$AK131,IF('Inputs Yr 2'!$AL131=BL$4,'Inputs Yr 2'!$AM131,IF('Inputs Yr 2'!$AN131=BL$4,'Inputs Yr 2'!$AO131,0))))*(INDEX(avoidedcosttbl2,$H131,BL$2)+(($H131-ROUNDDOWN($H131,0))*(INDEX(avoidedcosttbl2,ROUNDUP($H131,0),BL$2)-(INDEX(avoidedcosttbl2,ROUNDDOWN($H131,0),BL$2)))))*'Inputs Yr 2'!P131*'Inputs Yr 2'!Q131*'Inputs Yr 2'!U131,"")</f>
        <v>0</v>
      </c>
      <c r="BM131" s="195">
        <f>IFERROR($G131*(IF('Inputs Yr 2'!$AJ131=BM$4,'Inputs Yr 2'!$AK131,IF('Inputs Yr 2'!$AL131=BM$4,'Inputs Yr 2'!$AM131,IF('Inputs Yr 2'!$AN131=BM$4,'Inputs Yr 2'!$AO131,0))))*(INDEX(avoidedcosttbl2,$H131,BM$2)+(($H131-ROUNDDOWN($H131,0))*(INDEX(avoidedcosttbl2,ROUNDUP($H131,0),BM$2)-(INDEX(avoidedcosttbl2,ROUNDDOWN($H131,0),BM$2)))))*'Inputs Yr 2'!P131*'Inputs Yr 2'!Q131*'Inputs Yr 2'!U131,"")</f>
        <v>0</v>
      </c>
      <c r="BN131" s="195">
        <f>IFERROR($G131*(IF('Inputs Yr 2'!$AJ131=BN$4,'Inputs Yr 2'!$AK131,IF('Inputs Yr 2'!$AL131=BN$4,'Inputs Yr 2'!$AM131,IF('Inputs Yr 2'!$AN131=BN$4,'Inputs Yr 2'!$AO131,0))))*(INDEX(avoidedcosttbl2,$H131,BN$2)+(($H131-ROUNDDOWN($H131,0))*(INDEX(avoidedcosttbl2,ROUNDUP($H131,0),BN$2)-(INDEX(avoidedcosttbl2,ROUNDDOWN($H131,0),BN$2)))))*'Inputs Yr 2'!P131*'Inputs Yr 2'!Q131*'Inputs Yr 2'!U131,"")</f>
        <v>0</v>
      </c>
      <c r="BO131" s="195">
        <f>IFERROR($G131*(IF('Inputs Yr 2'!$AJ131=BO$4,'Inputs Yr 2'!$AK131,IF('Inputs Yr 2'!$AL131=BO$4,'Inputs Yr 2'!$AM131,IF('Inputs Yr 2'!$AN131=BO$4,'Inputs Yr 2'!$AO131,0))))*(INDEX(avoidedcosttbl2,$H131,BO$2)+(($H131-ROUNDDOWN($H131,0))*(INDEX(avoidedcosttbl2,ROUNDUP($H131,0),BO$2)-(INDEX(avoidedcosttbl2,ROUNDDOWN($H131,0),BO$2)))))*'Inputs Yr 2'!P131*'Inputs Yr 2'!Q131*'Inputs Yr 2'!U131,"")</f>
        <v>0</v>
      </c>
      <c r="BP131" s="195">
        <f>IFERROR($G131*(IF('Inputs Yr 2'!$AJ131=BP$4,'Inputs Yr 2'!$AK131,IF('Inputs Yr 2'!$AL131=BP$4,'Inputs Yr 2'!$AM131,IF('Inputs Yr 2'!$AN131=BP$4,'Inputs Yr 2'!$AO131,0))))*(INDEX(avoidedcosttbl2,$H131,BP$2)+(($H131-ROUNDDOWN($H131,0))*(INDEX(avoidedcosttbl2,ROUNDUP($H131,0),BP$2)-(INDEX(avoidedcosttbl2,ROUNDDOWN($H131,0),BP$2)))))*'Inputs Yr 2'!P131*'Inputs Yr 2'!Q131*'Inputs Yr 2'!U131,"")</f>
        <v>0</v>
      </c>
      <c r="BQ131" s="230">
        <f t="shared" si="68"/>
        <v>2061873.336525057</v>
      </c>
      <c r="BR131" s="197">
        <f t="shared" si="52"/>
        <v>33495.205147336637</v>
      </c>
      <c r="BS131" s="197">
        <f>IFERROR(($G131*IF('Inputs Yr 2'!$AJ131=BM$4,'Inputs Yr 2'!$AK131,IF('Inputs Yr 2'!$AL131=BM$4,'Inputs Yr 2'!$AM131,IF('Inputs Yr 2'!$AN131=BM$4,'Inputs Yr 2'!$AO131,0))))*(INDEX(avoidedcosttbl2,$H131,BS$2)+(($H131-ROUNDDOWN($H131,0))*(INDEX(avoidedcosttbl2,ROUNDUP($H131,0),BS$2)-(INDEX(avoidedcosttbl2,ROUNDDOWN($H131,0),BS$2)))))*'Inputs Yr 2'!P131*'Inputs Yr 2'!Q131*'Inputs Yr 2'!U131,"")</f>
        <v>0</v>
      </c>
      <c r="BT131" s="197">
        <f>IFERROR(($G131*IF('Inputs Yr 2'!$AJ131=BK$4,'Inputs Yr 2'!$AK131,IF('Inputs Yr 2'!$AL131=BK$4,'Inputs Yr 2'!$AM131,IF('Inputs Yr 2'!$AN131=BK$4,'Inputs Yr 2'!$AO131,0))))*(INDEX(avoidedcosttbl2,$H131,BT$2)+(($H131-ROUNDDOWN($H131,0))*(INDEX(avoidedcosttbl2,ROUNDUP($H131,0),BT$2)-(INDEX(avoidedcosttbl2,ROUNDDOWN($H131,0),BT$2)))))*'Inputs Yr 2'!P131*'Inputs Yr 2'!Q131*'Inputs Yr 2'!U131,"")</f>
        <v>109949.71140527829</v>
      </c>
      <c r="BU131" s="197">
        <f>IFERROR(($G131*IF('Inputs Yr 2'!$AJ131=BL$4,'Inputs Yr 2'!$AK131,IF('Inputs Yr 2'!$AL131=BL$4,'Inputs Yr 2'!$AM131,IF('Inputs Yr 2'!$AN131=BL$4,'Inputs Yr 2'!$AO131,0))))*(INDEX(avoidedcosttbl2,$H131,BU$2)+(($H131-ROUNDDOWN($H131,0))*(INDEX(avoidedcosttbl2,ROUNDUP($H131,0),BU$2)-(INDEX(avoidedcosttbl2,ROUNDDOWN($H131,0),BU$2)))))*'Inputs Yr 2'!P131*'Inputs Yr 2'!Q131*'Inputs Yr 2'!U131,"")</f>
        <v>0</v>
      </c>
      <c r="BV131" s="775">
        <f>IFERROR(($G131*IF('Inputs Yr 2'!$AJ131=BJ$4,'Inputs Yr 2'!$AK131,IF('Inputs Yr 2'!$AL131=BJ$4,'Inputs Yr 2'!$AM131,IF('Inputs Yr 2'!$AN131=BJ$4,'Inputs Yr 2'!$AO131,0))))*(INDEX(avoidedcosttbl2,$H131,BV$2)+(($H131-ROUNDDOWN($H131,0))*(INDEX(avoidedcosttbl2,ROUNDUP($H131,0),BV$2)-(INDEX(avoidedcosttbl2,ROUNDDOWN($H131,0),BV$2)))))*'Inputs Yr 2'!P131*'Inputs Yr 2'!Q131*'Inputs Yr 2'!U131,"")</f>
        <v>0</v>
      </c>
      <c r="BW131" s="197">
        <f>IFERROR(($G131*IF('Inputs Yr 2'!$AJ131=BN$4,'Inputs Yr 2'!$AK131,IF('Inputs Yr 2'!$AL131=BN$4,'Inputs Yr 2'!$AM131,IF('Inputs Yr 2'!$AN131=BN$4,'Inputs Yr 2'!$AO131,0))))*(INDEX(avoidedcosttbl2,$H131,BW$2)+(($H131-ROUNDDOWN($H131,0))*(INDEX(avoidedcosttbl2,ROUNDUP($H131,0),BW$2)-(INDEX(avoidedcosttbl2,ROUNDDOWN($H131,0),BW$2)))))*'Inputs Yr 2'!P131*'Inputs Yr 2'!Q131*'Inputs Yr 2'!U131,"")</f>
        <v>0</v>
      </c>
      <c r="BX131" s="197">
        <f>IFERROR(($G131*IF('Inputs Yr 2'!$AJ131=BO$4,'Inputs Yr 2'!$AK131,IF('Inputs Yr 2'!$AL131=BO$4,'Inputs Yr 2'!$AM131,IF('Inputs Yr 2'!$AN131=BO$4,'Inputs Yr 2'!$AO131,0))))*(INDEX(avoidedcosttbl2,$H131,BX$2)+(($H131-ROUNDDOWN($H131,0))*(INDEX(avoidedcosttbl2,ROUNDUP($H131,0),BX$2)-(INDEX(avoidedcosttbl2,ROUNDDOWN($H131,0),BX$2)))))*'Inputs Yr 2'!P131*'Inputs Yr 2'!Q131*'Inputs Yr 2'!U131,"")</f>
        <v>0</v>
      </c>
      <c r="BY131" s="197">
        <f>IFERROR(($G131*IF('Inputs Yr 2'!$AJ131=BP$4,'Inputs Yr 2'!$AK131,IF('Inputs Yr 2'!$AL131=BP$4,'Inputs Yr 2'!$AM131,IF('Inputs Yr 2'!$AN131=BP$4,'Inputs Yr 2'!$AO131,0))))*(INDEX(avoidedcosttbl2,$H131,BY$2)+(($H131-ROUNDDOWN($H131,0))*(INDEX(avoidedcosttbl2,ROUNDUP($H131,0),BY$2)-(INDEX(avoidedcosttbl2,ROUNDDOWN($H131,0),BY$2)))))*'Inputs Yr 2'!P131*'Inputs Yr 2'!Q131*'Inputs Yr 2'!U131,"")</f>
        <v>0</v>
      </c>
      <c r="BZ131" s="193">
        <f t="shared" si="69"/>
        <v>143444.91655261492</v>
      </c>
      <c r="CA131" s="193">
        <f t="shared" si="70"/>
        <v>2205318.2530776719</v>
      </c>
      <c r="CB131" s="195">
        <f>IFERROR(G131*(IF('Inputs Yr 2'!$AJ131=CB$4,'Inputs Yr 2'!$AK131,IF('Inputs Yr 2'!$AL131=CB$4,'Inputs Yr 2'!$AM131,IF('Inputs Yr 2'!$AN131=CB$4,'Inputs Yr 2'!$AO131,0))))*(INDEX(avoidedcosttbl2,$H131,CB$2)+(($H131-ROUNDDOWN($H131,0))*(INDEX(avoidedcosttbl2,ROUNDUP($H131,0),CB$2)-(INDEX(avoidedcosttbl2,ROUNDDOWN($H131,0),CB$2)))))*'Inputs Yr 2'!P131*'Inputs Yr 2'!Q131*'Inputs Yr 2'!U131,"")</f>
        <v>0</v>
      </c>
      <c r="CC131" s="195">
        <f>IFERROR(H131*(IF('Inputs Yr 2'!$AJ131=CC$4,'Inputs Yr 2'!$AK131,IF('Inputs Yr 2'!$AL131=CC$4,'Inputs Yr 2'!$AM131,IF('Inputs Yr 2'!$AN131=CC$4,'Inputs Yr 2'!$AO131,0))))*(INDEX(avoidedcosttbl2,$H131,CC$2)+(($H131-ROUNDDOWN($H131,0))*(INDEX(avoidedcosttbl2,ROUNDUP($H131,0),CC$2)-(INDEX(avoidedcosttbl2,ROUNDDOWN($H131,0),CC$2)))))*'Inputs Yr 2'!Q131*'Inputs Yr 2'!R131*'Inputs Yr 2'!V131,"")</f>
        <v>0</v>
      </c>
      <c r="CD131" s="195">
        <f>IFERROR(I131*(IF('Inputs Yr 2'!$AJ131=CD$4,'Inputs Yr 2'!$AK131,IF('Inputs Yr 2'!$AL131=CD$4,'Inputs Yr 2'!$AM131,IF('Inputs Yr 2'!$AN131=CD$4,'Inputs Yr 2'!$AO131,0))))*(INDEX(avoidedcosttbl2,$H131,CD$2)+(($H131-ROUNDDOWN($H131,0))*(INDEX(avoidedcosttbl2,ROUNDUP($H131,0),CD$2)-(INDEX(avoidedcosttbl2,ROUNDDOWN($H131,0),CD$2)))))*'Inputs Yr 2'!R131*'Inputs Yr 2'!S131*'Inputs Yr 2'!W131,"")</f>
        <v>0</v>
      </c>
      <c r="CE131" s="213">
        <f t="shared" si="71"/>
        <v>0</v>
      </c>
      <c r="CF131" s="213">
        <f t="shared" si="72"/>
        <v>0</v>
      </c>
      <c r="CG131" s="213">
        <f t="shared" si="73"/>
        <v>0</v>
      </c>
      <c r="CH131" s="698">
        <f t="shared" si="74"/>
        <v>2205318.2530776719</v>
      </c>
      <c r="CI131" s="79">
        <f>IFERROR(($G131*'Inputs Yr 2'!$P131*'Inputs Yr 2'!$Q131*(((INDEX(avoidedcosttbl2,$H131,CI$2)+(($H131-ROUNDDOWN($H131,0))*(INDEX(avoidedcosttbl2,ROUNDUP($H131,0),CI$2)-INDEX(avoidedcosttbl2,ROUNDDOWN($H131,0),CI$2))))*'Inputs Yr 2'!AS131))),"")</f>
        <v>1743.5313539896949</v>
      </c>
      <c r="CJ131" s="504">
        <f>IFERROR($G131*'Inputs Yr 2'!AT131*'Inputs Yr 2'!$P131*'Inputs Yr 2'!$Q131/((1+realdiscrt1)^-0.5),"")</f>
        <v>0</v>
      </c>
      <c r="CK131" s="79">
        <f>IFERROR((O131*1000*(((INDEX(avoidedcosttbl2,$H131,CK$2)+(($H131-ROUNDDOWN($H131,0))*(INDEX(avoidedcosttbl2,ROUNDUP($H131,0),CK$2)-INDEX(avoidedcosttbl2,ROUNDDOWN($H131,0),CK$2))))*'Inputs Yr 2'!AU131))),"")</f>
        <v>0</v>
      </c>
      <c r="CL131" s="504">
        <f>IFERROR(O131*1000*'Inputs Yr 2'!AV131/((1+realdiscrt1)^-0.5),"")</f>
        <v>0</v>
      </c>
      <c r="CM131" s="79">
        <f>IFERROR((AB131*'Inputs Yr 2'!AW131*(((INDEX(avoidedcosttbl2,$H131,CM$2)+(($H131-ROUNDDOWN($H131,0))*(INDEX(avoidedcosttbl2,ROUNDUP($H131,0),CM$2)-INDEX(avoidedcosttbl2,ROUNDDOWN($H131,0),CM$2)))))))*10,"")</f>
        <v>320473.1895899123</v>
      </c>
      <c r="CN131" s="504">
        <f>IFERROR(10*AB131*'Inputs Yr 2'!AX131/((1+realdiscrt1)^-0.5),"")</f>
        <v>9513.7499573262594</v>
      </c>
      <c r="CO131" s="505">
        <f t="shared" si="75"/>
        <v>331730.47090122825</v>
      </c>
      <c r="CP131" s="230">
        <f t="shared" si="76"/>
        <v>2537048.7239789004</v>
      </c>
      <c r="CQ131" s="199">
        <f>ROUND(IFERROR(IF(LEFT($A131,1)="C",'Avoided Costs'!$K$13,'Avoided Costs'!$K$12)+1,""),4)</f>
        <v>1.0720000000000001</v>
      </c>
      <c r="CR131" s="199">
        <f>ROUND(IFERROR(IF(LEFT($A131,1)="C",'Avoided Costs'!$L$13,'Avoided Costs'!$L$12)+1,""),4)</f>
        <v>1.04</v>
      </c>
      <c r="CS131" s="199">
        <f>ROUND(IFERROR(IF(LEFT($A131,1)="C",'Avoided Costs'!$M$13,'Avoided Costs'!$M$12)+1,""),4)</f>
        <v>1.0720000000000001</v>
      </c>
      <c r="CT131" s="199">
        <f>ROUND(IFERROR(IF(LEFT($A131,1)="C",'Avoided Costs'!$N$13,'Avoided Costs'!$N$12)+1,""),4)</f>
        <v>1.04</v>
      </c>
      <c r="CU131" s="199">
        <f>ROUND(IFERROR(IF(LEFT($A131,1)="C",'Avoided Costs'!$O$13,'Avoided Costs'!$O$12)+1,""),4)</f>
        <v>1.1120000000000001</v>
      </c>
      <c r="CV131" s="199">
        <f>ROUND(IFERROR(IF(LEFT($A131,1)="C",'Avoided Costs'!$P$13,'Avoided Costs'!$P$12)+1,""),4)</f>
        <v>1.095</v>
      </c>
      <c r="CW131" s="199">
        <f>ROUND(IFERROR(IF(LEFT($A131,1)="C",'Avoided Costs'!$Q$13,'Avoided Costs'!$Q$12)+1,""),4)</f>
        <v>1.1120000000000001</v>
      </c>
      <c r="CX131" s="200">
        <f>ROUND(IFERROR(IF(LEFT($A131,1)="C",'Avoided Costs'!$R$13,'Avoided Costs'!$R$12)+1,""),4)</f>
        <v>1.1120000000000001</v>
      </c>
    </row>
    <row r="132" spans="1:102" ht="12.75" customHeight="1">
      <c r="A132" s="91" t="str">
        <f>IF('Inputs Yr 2'!$B132=0,"",'Inputs Yr 2'!A132)</f>
        <v>B - Low Income</v>
      </c>
      <c r="B132" s="91" t="str">
        <f>IF('Inputs Yr 2'!$B132=0,"",'Inputs Yr 2'!B132)</f>
        <v>B1 - Low-Income Whole House</v>
      </c>
      <c r="C132" s="91" t="str">
        <f>IF('Inputs Yr 2'!$B132=0,"",'Inputs Yr 2'!C132)</f>
        <v>B1b - Low-Income Multi-Family Retrofit</v>
      </c>
      <c r="D132" s="91" t="str">
        <f>IF('Inputs Yr 2'!$B132=0,"",'Inputs Yr 2'!E132)</f>
        <v>Stand Alone Water Heater, Gas 0.67</v>
      </c>
      <c r="E132" s="93" t="str">
        <f>IF('Inputs Yr 2'!$B132=0,"",'Inputs Yr 2'!F132)</f>
        <v>G16B1b13</v>
      </c>
      <c r="F132" s="93" t="str">
        <f>IF('Inputs Yr 2'!$B132=0,"",'Inputs Yr 2'!G132)</f>
        <v>Hot Water</v>
      </c>
      <c r="G132" s="95">
        <f>IF('Inputs Yr 2'!$H132&lt;&gt;0,('Inputs Yr 2'!H132),"")</f>
        <v>4</v>
      </c>
      <c r="H132" s="94">
        <f>IFERROR('Inputs Yr 2'!I132,"")</f>
        <v>13</v>
      </c>
      <c r="I132" s="298">
        <f>IFERROR('Inputs Yr 2'!J132*'Inputs Yr 2'!P132*G132,"")</f>
        <v>40000</v>
      </c>
      <c r="J132" s="298">
        <f>IFERROR('Inputs Yr 2'!K132*G132,"")</f>
        <v>40000</v>
      </c>
      <c r="K132" s="298">
        <f t="shared" si="53"/>
        <v>0</v>
      </c>
      <c r="L132" s="194">
        <f>IFERROR(('Inputs Yr 2'!W132*G132)/1000,"")</f>
        <v>0</v>
      </c>
      <c r="M132" s="194">
        <f>IFERROR(L132*('Inputs Yr 2'!$Q132*'Inputs Yr 2'!$V132*'Inputs Yr 2'!$R132),"")</f>
        <v>0</v>
      </c>
      <c r="N132" s="194">
        <f t="shared" si="54"/>
        <v>0</v>
      </c>
      <c r="O132" s="194">
        <f>IFERROR(M132*'Inputs Yr 2'!P132,"")</f>
        <v>0</v>
      </c>
      <c r="P132" s="194">
        <f t="shared" si="55"/>
        <v>0</v>
      </c>
      <c r="Q132" s="194">
        <f>IFERROR($P132*'Inputs Yr 2'!AA132,"")</f>
        <v>0</v>
      </c>
      <c r="R132" s="194">
        <f>IFERROR($P132*'Inputs Yr 2'!AB132,"")</f>
        <v>0</v>
      </c>
      <c r="S132" s="194">
        <f>IFERROR($P132*'Inputs Yr 2'!AC132,"")</f>
        <v>0</v>
      </c>
      <c r="T132" s="194">
        <f>IFERROR($P132*'Inputs Yr 2'!AD132,"")</f>
        <v>0</v>
      </c>
      <c r="U132" s="194">
        <f>IFERROR(G132*'Inputs Yr 2'!$AE132*'Inputs Yr 2'!$P132*'Inputs Yr 2'!$Q132,"")</f>
        <v>0</v>
      </c>
      <c r="V132" s="194">
        <f>IFERROR($G132*'Inputs Yr 2'!$AE132*'Inputs Yr 2'!$AG132*'Inputs Yr 2'!Q132*'Inputs Yr 2'!$S132,"")</f>
        <v>0</v>
      </c>
      <c r="W132" s="194">
        <f>IFERROR($G132*'Inputs Yr 2'!$AE132*'Inputs Yr 2'!$AG132*'Inputs Yr 2'!P132*'Inputs Yr 2'!Q132*'Inputs Yr 2'!$S132,"")</f>
        <v>0</v>
      </c>
      <c r="X132" s="194">
        <f>IFERROR($G132*'Inputs Yr 2'!$AE132*'Inputs Yr 2'!$AF132*'Inputs Yr 2'!Q132*'Inputs Yr 2'!$T132,"")</f>
        <v>0</v>
      </c>
      <c r="Y132" s="194">
        <f>IFERROR($G132*'Inputs Yr 2'!$AE132*'Inputs Yr 2'!$AF132*'Inputs Yr 2'!P132*'Inputs Yr 2'!Q132*'Inputs Yr 2'!$T132,"")</f>
        <v>0</v>
      </c>
      <c r="Z132" s="257">
        <f>IFERROR($G132*'Inputs Yr 2'!$Q132*'Inputs Yr 2'!$U132*(IF(IFERROR(SEARCH("NG", 'Inputs Yr 2'!$AJ132),0),'Inputs Yr 2'!$AK132,0)+IF(IFERROR(SEARCH("NG", 'Inputs Yr 2'!$AL132),0),'Inputs Yr 2'!$AM132,0)+IF(IFERROR(SEARCH("NG", 'Inputs Yr 2'!$AN132),0),'Inputs Yr 2'!$AO132,0)),0)</f>
        <v>265.289063</v>
      </c>
      <c r="AA132" s="257">
        <f t="shared" si="56"/>
        <v>3448.7578189999999</v>
      </c>
      <c r="AB132" s="257">
        <f>IFERROR(Z132*'Inputs Yr 2'!$P132,0)</f>
        <v>265.289063</v>
      </c>
      <c r="AC132" s="257">
        <f t="shared" si="57"/>
        <v>3448.7578189999999</v>
      </c>
      <c r="AD132" s="257">
        <f>IFERROR($G132*'Inputs Yr 2'!$Q132*'Inputs Yr 2'!$U132*(IF(IFERROR(SEARCH("Oil", 'Inputs Yr 2'!$AJ132), 0),'Inputs Yr 2'!$AK132,0)+IF(IFERROR(SEARCH("Oil", 'Inputs Yr 2'!$AL132), 0),'Inputs Yr 2'!$AM132,0)+IF(IFERROR(SEARCH("Oil", 'Inputs Yr 2'!$AN132), 0),'Inputs Yr 2'!$AO132,0)),0)</f>
        <v>0</v>
      </c>
      <c r="AE132" s="257">
        <f t="shared" si="58"/>
        <v>0</v>
      </c>
      <c r="AF132" s="257">
        <f>IFERROR(AD132*'Inputs Yr 2'!$P132,0)</f>
        <v>0</v>
      </c>
      <c r="AG132" s="257">
        <f t="shared" si="59"/>
        <v>0</v>
      </c>
      <c r="AH132" s="257">
        <f>IFERROR($G132*'Inputs Yr 2'!$Q132*'Inputs Yr 2'!$U132*(IF('Inputs Yr 2'!$AJ132=CD$4,'Inputs Yr 2'!$AK132,IF('Inputs Yr 2'!$AL132=CD$4,'Inputs Yr 2'!$AM132,IF('Inputs Yr 2'!$AN132=CD$4,'Inputs Yr 2'!$AO132,0)))),0)</f>
        <v>0</v>
      </c>
      <c r="AI132" s="257">
        <f t="shared" si="60"/>
        <v>0</v>
      </c>
      <c r="AJ132" s="257">
        <f>IFERROR(AH132*'Inputs Yr 2'!$P132,0)</f>
        <v>0</v>
      </c>
      <c r="AK132" s="257">
        <f t="shared" si="61"/>
        <v>0</v>
      </c>
      <c r="AL132" s="258">
        <f>IFERROR($G132*'Inputs Yr 2'!$P132*'Inputs Yr 2'!$Q132*'Inputs Yr 2'!AP132,0)</f>
        <v>0</v>
      </c>
      <c r="AM132" s="260">
        <f>IFERROR($G132*'Inputs Yr 2'!$P132*'Inputs Yr 2'!$Q132*'Inputs Yr 2'!AQ132,0)</f>
        <v>0</v>
      </c>
      <c r="AN132" s="258">
        <f>IFERROR($G132*'Inputs Yr 2'!$P132*'Inputs Yr 2'!$Q132*'Inputs Yr 2'!AR132,0)</f>
        <v>0</v>
      </c>
      <c r="AO132" s="257">
        <f t="shared" si="62"/>
        <v>0</v>
      </c>
      <c r="AP132" s="195">
        <f>IFERROR($CQ132*(INDEX(avoidedcosttbl2,$H132,AP$2)+(($H132-ROUNDDOWN($H132,0))*(INDEX(avoidedcosttbl2,ROUNDUP($H132,0),AP$2)-(INDEX(avoidedcosttbl2,ROUNDDOWN($H132,0),AP$2)))))*$O132*1000*'Inputs Yr 2'!AA132,"")</f>
        <v>0</v>
      </c>
      <c r="AQ132" s="195">
        <f>IFERROR($CR132*(INDEX(avoidedcosttbl2,$H132,AQ$2)+(($H132-ROUNDDOWN($H132,0))*(INDEX(avoidedcosttbl2,ROUNDUP($H132,0),AQ$2)-(INDEX(avoidedcosttbl2,ROUNDDOWN($H132,0),AQ$2)))))*$O132*1000*'Inputs Yr 2'!AB132,"")</f>
        <v>0</v>
      </c>
      <c r="AR132" s="195">
        <f>IFERROR($CS132*(INDEX(avoidedcosttbl2,$H132,AR$2)+(($H132-ROUNDDOWN($H132,0))*(INDEX(avoidedcosttbl2,ROUNDUP($H132,0),AR$2)-(INDEX(avoidedcosttbl2,ROUNDDOWN($H132,0),AR$2)))))*$O132*1000*'Inputs Yr 2'!AC132,"")</f>
        <v>0</v>
      </c>
      <c r="AS132" s="195">
        <f>IFERROR($CT132*(INDEX(avoidedcosttbl2,$H132,AS$2)+(($H132-ROUNDDOWN($H132,0))*(INDEX(avoidedcosttbl2,ROUNDUP($H132,0),AS$2)-(INDEX(avoidedcosttbl2,ROUNDDOWN($H132,0),AS$2)))))*$O132*1000*'Inputs Yr 2'!AD132,"")</f>
        <v>0</v>
      </c>
      <c r="AT132" s="196">
        <f t="shared" si="63"/>
        <v>0</v>
      </c>
      <c r="AU132" s="197">
        <f>IFERROR($CQ132*((INDEX(avoidedcosttbl2,$H132,AU$2))+(($H132-ROUNDDOWN($H132,0))*((INDEX(avoidedcosttbl2,ROUNDUP($H132,0),AU$2))-(INDEX(avoidedcosttbl2,ROUNDDOWN($H132,0),AU$2)))))*$O132*1000*'Inputs Yr 2'!AA132,"")</f>
        <v>0</v>
      </c>
      <c r="AV132" s="197">
        <f>IFERROR($CR132*((INDEX(avoidedcosttbl2,$H132,AV$2))+(($H132-ROUNDDOWN($H132,0))*((INDEX(avoidedcosttbl2,ROUNDUP($H132,0),AV$2))-(INDEX(avoidedcosttbl2,ROUNDDOWN($H132,0),AV$2)))))*$O132*1000*'Inputs Yr 2'!AB132,"")</f>
        <v>0</v>
      </c>
      <c r="AW132" s="197">
        <f>IFERROR($CS132*((INDEX(avoidedcosttbl2,$H132,AW$2))+(($H132-ROUNDDOWN($H132,0))*((INDEX(avoidedcosttbl2,ROUNDUP($H132,0),AW$2))-(INDEX(avoidedcosttbl2,ROUNDDOWN($H132,0),AW$2)))))*$O132*1000*'Inputs Yr 2'!AC132,"")</f>
        <v>0</v>
      </c>
      <c r="AX132" s="197">
        <f>IFERROR($CT132*((INDEX(avoidedcosttbl2,$H132,AX$2))+(($H132-ROUNDDOWN($H132,0))*((INDEX(avoidedcosttbl2,ROUNDUP($H132,0),AX$2))-(INDEX(avoidedcosttbl2,ROUNDDOWN($H132,0),AX$2)))))*$O132*1000*'Inputs Yr 2'!AD132,"")</f>
        <v>0</v>
      </c>
      <c r="AY132" s="197">
        <f>IFERROR(((INDEX(avoidedcosttbl2,$H132,AY$2))+(($H132-ROUNDDOWN($H132,0))*((INDEX(avoidedcosttbl2,ROUNDUP($H132,0),AY$2))-(INDEX(avoidedcosttbl2,ROUNDDOWN($H132,0),AY$2)))))*$O132*1000*('Inputs Yr 2'!AC132+'Inputs Yr 2'!AD132),"")</f>
        <v>0</v>
      </c>
      <c r="AZ132" s="197">
        <f>IFERROR(((INDEX(avoidedcosttbl2,$H132,AZ$2))+(($H132-ROUNDDOWN($H132,0))*((INDEX(avoidedcosttbl2,ROUNDUP($H132,0),AZ$2))-(INDEX(avoidedcosttbl2,ROUNDDOWN($H132,0),AZ$2)))))*$O132*1000*('Inputs Yr 2'!AA132+'Inputs Yr 2'!AB132),"")</f>
        <v>0</v>
      </c>
      <c r="BA132" s="198">
        <f t="shared" si="64"/>
        <v>0</v>
      </c>
      <c r="BB132" s="198">
        <f t="shared" si="65"/>
        <v>0</v>
      </c>
      <c r="BC132" s="195">
        <f t="shared" si="47"/>
        <v>0</v>
      </c>
      <c r="BD132" s="195">
        <f t="shared" si="48"/>
        <v>0</v>
      </c>
      <c r="BE132" s="195">
        <f t="shared" si="49"/>
        <v>0</v>
      </c>
      <c r="BF132" s="195">
        <f t="shared" si="50"/>
        <v>0</v>
      </c>
      <c r="BG132" s="195">
        <f t="shared" si="51"/>
        <v>0</v>
      </c>
      <c r="BH132" s="196">
        <f t="shared" si="66"/>
        <v>0</v>
      </c>
      <c r="BI132" s="196">
        <f t="shared" si="67"/>
        <v>0</v>
      </c>
      <c r="BJ132" s="195">
        <f>IFERROR($G132*(IF('Inputs Yr 2'!$AJ132=BJ$4,'Inputs Yr 2'!$AK132,IF('Inputs Yr 2'!$AL132=BJ$4,'Inputs Yr 2'!$AM132,IF('Inputs Yr 2'!$AN132=BJ$4,'Inputs Yr 2'!$AO132,0))))*(INDEX(avoidedcosttbl2,$H132,BJ$2)+(($H132-ROUNDDOWN($H132,0))*(INDEX(avoidedcosttbl2,ROUNDUP($H132,0),BJ$2)-(INDEX(avoidedcosttbl2,ROUNDDOWN($H132,0),BJ$2)))))*'Inputs Yr 2'!P132*'Inputs Yr 2'!Q132*'Inputs Yr 2'!U132,"")</f>
        <v>0</v>
      </c>
      <c r="BK132" s="195">
        <f>IFERROR($G132*(IF('Inputs Yr 2'!$AJ132=BK$4,'Inputs Yr 2'!$AK132,IF('Inputs Yr 2'!$AL132=BK$4,'Inputs Yr 2'!$AM132,IF('Inputs Yr 2'!$AN132=BK$4,'Inputs Yr 2'!$AO132,0))))*(INDEX(avoidedcosttbl2,$H132,BK$2)+(($H132-ROUNDDOWN($H132,0))*(INDEX(avoidedcosttbl2,ROUNDUP($H132,0),BK$2)-(INDEX(avoidedcosttbl2,ROUNDDOWN($H132,0),BK$2)))))*'Inputs Yr 2'!P132*'Inputs Yr 2'!Q132*'Inputs Yr 2'!U132,"")</f>
        <v>27297.128698239092</v>
      </c>
      <c r="BL132" s="195">
        <f>IFERROR($G132*(IF('Inputs Yr 2'!$AJ132=BL$4,'Inputs Yr 2'!$AK132,IF('Inputs Yr 2'!$AL132=BL$4,'Inputs Yr 2'!$AM132,IF('Inputs Yr 2'!$AN132=BL$4,'Inputs Yr 2'!$AO132,0))))*(INDEX(avoidedcosttbl2,$H132,BL$2)+(($H132-ROUNDDOWN($H132,0))*(INDEX(avoidedcosttbl2,ROUNDUP($H132,0),BL$2)-(INDEX(avoidedcosttbl2,ROUNDDOWN($H132,0),BL$2)))))*'Inputs Yr 2'!P132*'Inputs Yr 2'!Q132*'Inputs Yr 2'!U132,"")</f>
        <v>0</v>
      </c>
      <c r="BM132" s="195">
        <f>IFERROR($G132*(IF('Inputs Yr 2'!$AJ132=BM$4,'Inputs Yr 2'!$AK132,IF('Inputs Yr 2'!$AL132=BM$4,'Inputs Yr 2'!$AM132,IF('Inputs Yr 2'!$AN132=BM$4,'Inputs Yr 2'!$AO132,0))))*(INDEX(avoidedcosttbl2,$H132,BM$2)+(($H132-ROUNDDOWN($H132,0))*(INDEX(avoidedcosttbl2,ROUNDUP($H132,0),BM$2)-(INDEX(avoidedcosttbl2,ROUNDDOWN($H132,0),BM$2)))))*'Inputs Yr 2'!P132*'Inputs Yr 2'!Q132*'Inputs Yr 2'!U132,"")</f>
        <v>0</v>
      </c>
      <c r="BN132" s="195">
        <f>IFERROR($G132*(IF('Inputs Yr 2'!$AJ132=BN$4,'Inputs Yr 2'!$AK132,IF('Inputs Yr 2'!$AL132=BN$4,'Inputs Yr 2'!$AM132,IF('Inputs Yr 2'!$AN132=BN$4,'Inputs Yr 2'!$AO132,0))))*(INDEX(avoidedcosttbl2,$H132,BN$2)+(($H132-ROUNDDOWN($H132,0))*(INDEX(avoidedcosttbl2,ROUNDUP($H132,0),BN$2)-(INDEX(avoidedcosttbl2,ROUNDDOWN($H132,0),BN$2)))))*'Inputs Yr 2'!P132*'Inputs Yr 2'!Q132*'Inputs Yr 2'!U132,"")</f>
        <v>0</v>
      </c>
      <c r="BO132" s="195">
        <f>IFERROR($G132*(IF('Inputs Yr 2'!$AJ132=BO$4,'Inputs Yr 2'!$AK132,IF('Inputs Yr 2'!$AL132=BO$4,'Inputs Yr 2'!$AM132,IF('Inputs Yr 2'!$AN132=BO$4,'Inputs Yr 2'!$AO132,0))))*(INDEX(avoidedcosttbl2,$H132,BO$2)+(($H132-ROUNDDOWN($H132,0))*(INDEX(avoidedcosttbl2,ROUNDUP($H132,0),BO$2)-(INDEX(avoidedcosttbl2,ROUNDDOWN($H132,0),BO$2)))))*'Inputs Yr 2'!P132*'Inputs Yr 2'!Q132*'Inputs Yr 2'!U132,"")</f>
        <v>0</v>
      </c>
      <c r="BP132" s="195">
        <f>IFERROR($G132*(IF('Inputs Yr 2'!$AJ132=BP$4,'Inputs Yr 2'!$AK132,IF('Inputs Yr 2'!$AL132=BP$4,'Inputs Yr 2'!$AM132,IF('Inputs Yr 2'!$AN132=BP$4,'Inputs Yr 2'!$AO132,0))))*(INDEX(avoidedcosttbl2,$H132,BP$2)+(($H132-ROUNDDOWN($H132,0))*(INDEX(avoidedcosttbl2,ROUNDUP($H132,0),BP$2)-(INDEX(avoidedcosttbl2,ROUNDDOWN($H132,0),BP$2)))))*'Inputs Yr 2'!P132*'Inputs Yr 2'!Q132*'Inputs Yr 2'!U132,"")</f>
        <v>0</v>
      </c>
      <c r="BQ132" s="230">
        <f t="shared" si="68"/>
        <v>27297.128698239092</v>
      </c>
      <c r="BR132" s="197">
        <f t="shared" si="52"/>
        <v>469.4868749011369</v>
      </c>
      <c r="BS132" s="197">
        <f>IFERROR(($G132*IF('Inputs Yr 2'!$AJ132=BM$4,'Inputs Yr 2'!$AK132,IF('Inputs Yr 2'!$AL132=BM$4,'Inputs Yr 2'!$AM132,IF('Inputs Yr 2'!$AN132=BM$4,'Inputs Yr 2'!$AO132,0))))*(INDEX(avoidedcosttbl2,$H132,BS$2)+(($H132-ROUNDDOWN($H132,0))*(INDEX(avoidedcosttbl2,ROUNDUP($H132,0),BS$2)-(INDEX(avoidedcosttbl2,ROUNDDOWN($H132,0),BS$2)))))*'Inputs Yr 2'!P132*'Inputs Yr 2'!Q132*'Inputs Yr 2'!U132,"")</f>
        <v>0</v>
      </c>
      <c r="BT132" s="197">
        <f>IFERROR(($G132*IF('Inputs Yr 2'!$AJ132=BK$4,'Inputs Yr 2'!$AK132,IF('Inputs Yr 2'!$AL132=BK$4,'Inputs Yr 2'!$AM132,IF('Inputs Yr 2'!$AN132=BK$4,'Inputs Yr 2'!$AO132,0))))*(INDEX(avoidedcosttbl2,$H132,BT$2)+(($H132-ROUNDDOWN($H132,0))*(INDEX(avoidedcosttbl2,ROUNDUP($H132,0),BT$2)-(INDEX(avoidedcosttbl2,ROUNDDOWN($H132,0),BT$2)))))*'Inputs Yr 2'!P132*'Inputs Yr 2'!Q132*'Inputs Yr 2'!U132,"")</f>
        <v>2132.3465725674009</v>
      </c>
      <c r="BU132" s="197">
        <f>IFERROR(($G132*IF('Inputs Yr 2'!$AJ132=BL$4,'Inputs Yr 2'!$AK132,IF('Inputs Yr 2'!$AL132=BL$4,'Inputs Yr 2'!$AM132,IF('Inputs Yr 2'!$AN132=BL$4,'Inputs Yr 2'!$AO132,0))))*(INDEX(avoidedcosttbl2,$H132,BU$2)+(($H132-ROUNDDOWN($H132,0))*(INDEX(avoidedcosttbl2,ROUNDUP($H132,0),BU$2)-(INDEX(avoidedcosttbl2,ROUNDDOWN($H132,0),BU$2)))))*'Inputs Yr 2'!P132*'Inputs Yr 2'!Q132*'Inputs Yr 2'!U132,"")</f>
        <v>0</v>
      </c>
      <c r="BV132" s="775">
        <f>IFERROR(($G132*IF('Inputs Yr 2'!$AJ132=BJ$4,'Inputs Yr 2'!$AK132,IF('Inputs Yr 2'!$AL132=BJ$4,'Inputs Yr 2'!$AM132,IF('Inputs Yr 2'!$AN132=BJ$4,'Inputs Yr 2'!$AO132,0))))*(INDEX(avoidedcosttbl2,$H132,BV$2)+(($H132-ROUNDDOWN($H132,0))*(INDEX(avoidedcosttbl2,ROUNDUP($H132,0),BV$2)-(INDEX(avoidedcosttbl2,ROUNDDOWN($H132,0),BV$2)))))*'Inputs Yr 2'!P132*'Inputs Yr 2'!Q132*'Inputs Yr 2'!U132,"")</f>
        <v>0</v>
      </c>
      <c r="BW132" s="197">
        <f>IFERROR(($G132*IF('Inputs Yr 2'!$AJ132=BN$4,'Inputs Yr 2'!$AK132,IF('Inputs Yr 2'!$AL132=BN$4,'Inputs Yr 2'!$AM132,IF('Inputs Yr 2'!$AN132=BN$4,'Inputs Yr 2'!$AO132,0))))*(INDEX(avoidedcosttbl2,$H132,BW$2)+(($H132-ROUNDDOWN($H132,0))*(INDEX(avoidedcosttbl2,ROUNDUP($H132,0),BW$2)-(INDEX(avoidedcosttbl2,ROUNDDOWN($H132,0),BW$2)))))*'Inputs Yr 2'!P132*'Inputs Yr 2'!Q132*'Inputs Yr 2'!U132,"")</f>
        <v>0</v>
      </c>
      <c r="BX132" s="197">
        <f>IFERROR(($G132*IF('Inputs Yr 2'!$AJ132=BO$4,'Inputs Yr 2'!$AK132,IF('Inputs Yr 2'!$AL132=BO$4,'Inputs Yr 2'!$AM132,IF('Inputs Yr 2'!$AN132=BO$4,'Inputs Yr 2'!$AO132,0))))*(INDEX(avoidedcosttbl2,$H132,BX$2)+(($H132-ROUNDDOWN($H132,0))*(INDEX(avoidedcosttbl2,ROUNDUP($H132,0),BX$2)-(INDEX(avoidedcosttbl2,ROUNDDOWN($H132,0),BX$2)))))*'Inputs Yr 2'!P132*'Inputs Yr 2'!Q132*'Inputs Yr 2'!U132,"")</f>
        <v>0</v>
      </c>
      <c r="BY132" s="197">
        <f>IFERROR(($G132*IF('Inputs Yr 2'!$AJ132=BP$4,'Inputs Yr 2'!$AK132,IF('Inputs Yr 2'!$AL132=BP$4,'Inputs Yr 2'!$AM132,IF('Inputs Yr 2'!$AN132=BP$4,'Inputs Yr 2'!$AO132,0))))*(INDEX(avoidedcosttbl2,$H132,BY$2)+(($H132-ROUNDDOWN($H132,0))*(INDEX(avoidedcosttbl2,ROUNDUP($H132,0),BY$2)-(INDEX(avoidedcosttbl2,ROUNDDOWN($H132,0),BY$2)))))*'Inputs Yr 2'!P132*'Inputs Yr 2'!Q132*'Inputs Yr 2'!U132,"")</f>
        <v>0</v>
      </c>
      <c r="BZ132" s="193">
        <f t="shared" si="69"/>
        <v>2601.833447468538</v>
      </c>
      <c r="CA132" s="193">
        <f t="shared" si="70"/>
        <v>29898.962145707628</v>
      </c>
      <c r="CB132" s="195">
        <f>IFERROR(G132*(IF('Inputs Yr 2'!$AJ132=CB$4,'Inputs Yr 2'!$AK132,IF('Inputs Yr 2'!$AL132=CB$4,'Inputs Yr 2'!$AM132,IF('Inputs Yr 2'!$AN132=CB$4,'Inputs Yr 2'!$AO132,0))))*(INDEX(avoidedcosttbl2,$H132,CB$2)+(($H132-ROUNDDOWN($H132,0))*(INDEX(avoidedcosttbl2,ROUNDUP($H132,0),CB$2)-(INDEX(avoidedcosttbl2,ROUNDDOWN($H132,0),CB$2)))))*'Inputs Yr 2'!P132*'Inputs Yr 2'!Q132*'Inputs Yr 2'!U132,"")</f>
        <v>0</v>
      </c>
      <c r="CC132" s="195">
        <f>IFERROR(H132*(IF('Inputs Yr 2'!$AJ132=CC$4,'Inputs Yr 2'!$AK132,IF('Inputs Yr 2'!$AL132=CC$4,'Inputs Yr 2'!$AM132,IF('Inputs Yr 2'!$AN132=CC$4,'Inputs Yr 2'!$AO132,0))))*(INDEX(avoidedcosttbl2,$H132,CC$2)+(($H132-ROUNDDOWN($H132,0))*(INDEX(avoidedcosttbl2,ROUNDUP($H132,0),CC$2)-(INDEX(avoidedcosttbl2,ROUNDDOWN($H132,0),CC$2)))))*'Inputs Yr 2'!Q132*'Inputs Yr 2'!R132*'Inputs Yr 2'!V132,"")</f>
        <v>0</v>
      </c>
      <c r="CD132" s="195">
        <f>IFERROR(I132*(IF('Inputs Yr 2'!$AJ132=CD$4,'Inputs Yr 2'!$AK132,IF('Inputs Yr 2'!$AL132=CD$4,'Inputs Yr 2'!$AM132,IF('Inputs Yr 2'!$AN132=CD$4,'Inputs Yr 2'!$AO132,0))))*(INDEX(avoidedcosttbl2,$H132,CD$2)+(($H132-ROUNDDOWN($H132,0))*(INDEX(avoidedcosttbl2,ROUNDUP($H132,0),CD$2)-(INDEX(avoidedcosttbl2,ROUNDDOWN($H132,0),CD$2)))))*'Inputs Yr 2'!R132*'Inputs Yr 2'!S132*'Inputs Yr 2'!W132,"")</f>
        <v>0</v>
      </c>
      <c r="CE132" s="213">
        <f t="shared" si="71"/>
        <v>0</v>
      </c>
      <c r="CF132" s="213">
        <f t="shared" si="72"/>
        <v>0</v>
      </c>
      <c r="CG132" s="213">
        <f t="shared" si="73"/>
        <v>0</v>
      </c>
      <c r="CH132" s="698">
        <f t="shared" si="74"/>
        <v>29898.962145707628</v>
      </c>
      <c r="CI132" s="79">
        <f>IFERROR(($G132*'Inputs Yr 2'!$P132*'Inputs Yr 2'!$Q132*(((INDEX(avoidedcosttbl2,$H132,CI$2)+(($H132-ROUNDDOWN($H132,0))*(INDEX(avoidedcosttbl2,ROUNDUP($H132,0),CI$2)-INDEX(avoidedcosttbl2,ROUNDDOWN($H132,0),CI$2))))*'Inputs Yr 2'!AS132))),"")</f>
        <v>29.3154359521311</v>
      </c>
      <c r="CJ132" s="504">
        <f>IFERROR($G132*'Inputs Yr 2'!AT132*'Inputs Yr 2'!$P132*'Inputs Yr 2'!$Q132/((1+realdiscrt1)^-0.5),"")</f>
        <v>0</v>
      </c>
      <c r="CK132" s="79">
        <f>IFERROR((O132*1000*(((INDEX(avoidedcosttbl2,$H132,CK$2)+(($H132-ROUNDDOWN($H132,0))*(INDEX(avoidedcosttbl2,ROUNDUP($H132,0),CK$2)-INDEX(avoidedcosttbl2,ROUNDDOWN($H132,0),CK$2))))*'Inputs Yr 2'!AU132))),"")</f>
        <v>0</v>
      </c>
      <c r="CL132" s="504">
        <f>IFERROR(O132*1000*'Inputs Yr 2'!AV132/((1+realdiscrt1)^-0.5),"")</f>
        <v>0</v>
      </c>
      <c r="CM132" s="79">
        <f>IFERROR((AB132*'Inputs Yr 2'!AW132*(((INDEX(avoidedcosttbl2,$H132,CM$2)+(($H132-ROUNDDOWN($H132,0))*(INDEX(avoidedcosttbl2,ROUNDUP($H132,0),CM$2)-INDEX(avoidedcosttbl2,ROUNDDOWN($H132,0),CM$2)))))))*10,"")</f>
        <v>4491.9252056627929</v>
      </c>
      <c r="CN132" s="504">
        <f>IFERROR(10*AB132*'Inputs Yr 2'!AX132/((1+realdiscrt1)^-0.5),"")</f>
        <v>202.06276434417165</v>
      </c>
      <c r="CO132" s="505">
        <f t="shared" si="75"/>
        <v>4723.3034059590955</v>
      </c>
      <c r="CP132" s="230">
        <f t="shared" si="76"/>
        <v>34622.265551666722</v>
      </c>
      <c r="CQ132" s="199">
        <f>ROUND(IFERROR(IF(LEFT($A132,1)="C",'Avoided Costs'!$K$13,'Avoided Costs'!$K$12)+1,""),4)</f>
        <v>1.0720000000000001</v>
      </c>
      <c r="CR132" s="199">
        <f>ROUND(IFERROR(IF(LEFT($A132,1)="C",'Avoided Costs'!$L$13,'Avoided Costs'!$L$12)+1,""),4)</f>
        <v>1.04</v>
      </c>
      <c r="CS132" s="199">
        <f>ROUND(IFERROR(IF(LEFT($A132,1)="C",'Avoided Costs'!$M$13,'Avoided Costs'!$M$12)+1,""),4)</f>
        <v>1.0720000000000001</v>
      </c>
      <c r="CT132" s="199">
        <f>ROUND(IFERROR(IF(LEFT($A132,1)="C",'Avoided Costs'!$N$13,'Avoided Costs'!$N$12)+1,""),4)</f>
        <v>1.04</v>
      </c>
      <c r="CU132" s="199">
        <f>ROUND(IFERROR(IF(LEFT($A132,1)="C",'Avoided Costs'!$O$13,'Avoided Costs'!$O$12)+1,""),4)</f>
        <v>1.1120000000000001</v>
      </c>
      <c r="CV132" s="199">
        <f>ROUND(IFERROR(IF(LEFT($A132,1)="C",'Avoided Costs'!$P$13,'Avoided Costs'!$P$12)+1,""),4)</f>
        <v>1.095</v>
      </c>
      <c r="CW132" s="199">
        <f>ROUND(IFERROR(IF(LEFT($A132,1)="C",'Avoided Costs'!$Q$13,'Avoided Costs'!$Q$12)+1,""),4)</f>
        <v>1.1120000000000001</v>
      </c>
      <c r="CX132" s="200">
        <f>ROUND(IFERROR(IF(LEFT($A132,1)="C",'Avoided Costs'!$R$13,'Avoided Costs'!$R$12)+1,""),4)</f>
        <v>1.1120000000000001</v>
      </c>
    </row>
    <row r="133" spans="1:102" ht="12.75" customHeight="1">
      <c r="A133" s="91" t="str">
        <f>IF('Inputs Yr 2'!$B133=0,"",'Inputs Yr 2'!A133)</f>
        <v>B - Low Income</v>
      </c>
      <c r="B133" s="91" t="str">
        <f>IF('Inputs Yr 2'!$B133=0,"",'Inputs Yr 2'!B133)</f>
        <v>B1 - Low-Income Whole House</v>
      </c>
      <c r="C133" s="91" t="str">
        <f>IF('Inputs Yr 2'!$B133=0,"",'Inputs Yr 2'!C133)</f>
        <v>B1b - Low-Income Multi-Family Retrofit</v>
      </c>
      <c r="D133" s="91" t="str">
        <f>IF('Inputs Yr 2'!$B133=0,"",'Inputs Yr 2'!E133)</f>
        <v>Faucet Aerator, Gas</v>
      </c>
      <c r="E133" s="93" t="str">
        <f>IF('Inputs Yr 2'!$B133=0,"",'Inputs Yr 2'!F133)</f>
        <v>G16B1b14</v>
      </c>
      <c r="F133" s="93" t="str">
        <f>IF('Inputs Yr 2'!$B133=0,"",'Inputs Yr 2'!G133)</f>
        <v>Hot Water</v>
      </c>
      <c r="G133" s="95">
        <f>IF('Inputs Yr 2'!$H133&lt;&gt;0,('Inputs Yr 2'!H133),"")</f>
        <v>1167</v>
      </c>
      <c r="H133" s="94">
        <f>IFERROR('Inputs Yr 2'!I133,"")</f>
        <v>7</v>
      </c>
      <c r="I133" s="298">
        <f>IFERROR('Inputs Yr 2'!J133*'Inputs Yr 2'!P133*G133,"")</f>
        <v>11848.5</v>
      </c>
      <c r="J133" s="298">
        <f>IFERROR('Inputs Yr 2'!K133*G133,"")</f>
        <v>11848.5</v>
      </c>
      <c r="K133" s="298">
        <f t="shared" si="53"/>
        <v>0</v>
      </c>
      <c r="L133" s="194">
        <f>IFERROR(('Inputs Yr 2'!W133*G133)/1000,"")</f>
        <v>0</v>
      </c>
      <c r="M133" s="194">
        <f>IFERROR(L133*('Inputs Yr 2'!$Q133*'Inputs Yr 2'!$V133*'Inputs Yr 2'!$R133),"")</f>
        <v>0</v>
      </c>
      <c r="N133" s="194">
        <f t="shared" si="54"/>
        <v>0</v>
      </c>
      <c r="O133" s="194">
        <f>IFERROR(M133*'Inputs Yr 2'!P133,"")</f>
        <v>0</v>
      </c>
      <c r="P133" s="194">
        <f t="shared" si="55"/>
        <v>0</v>
      </c>
      <c r="Q133" s="194">
        <f>IFERROR($P133*'Inputs Yr 2'!AA133,"")</f>
        <v>0</v>
      </c>
      <c r="R133" s="194">
        <f>IFERROR($P133*'Inputs Yr 2'!AB133,"")</f>
        <v>0</v>
      </c>
      <c r="S133" s="194">
        <f>IFERROR($P133*'Inputs Yr 2'!AC133,"")</f>
        <v>0</v>
      </c>
      <c r="T133" s="194">
        <f>IFERROR($P133*'Inputs Yr 2'!AD133,"")</f>
        <v>0</v>
      </c>
      <c r="U133" s="194">
        <f>IFERROR(G133*'Inputs Yr 2'!$AE133*'Inputs Yr 2'!$P133*'Inputs Yr 2'!$Q133,"")</f>
        <v>0</v>
      </c>
      <c r="V133" s="194">
        <f>IFERROR($G133*'Inputs Yr 2'!$AE133*'Inputs Yr 2'!$AG133*'Inputs Yr 2'!Q133*'Inputs Yr 2'!$S133,"")</f>
        <v>0</v>
      </c>
      <c r="W133" s="194">
        <f>IFERROR($G133*'Inputs Yr 2'!$AE133*'Inputs Yr 2'!$AG133*'Inputs Yr 2'!P133*'Inputs Yr 2'!Q133*'Inputs Yr 2'!$S133,"")</f>
        <v>0</v>
      </c>
      <c r="X133" s="194">
        <f>IFERROR($G133*'Inputs Yr 2'!$AE133*'Inputs Yr 2'!$AF133*'Inputs Yr 2'!Q133*'Inputs Yr 2'!$T133,"")</f>
        <v>0</v>
      </c>
      <c r="Y133" s="194">
        <f>IFERROR($G133*'Inputs Yr 2'!$AE133*'Inputs Yr 2'!$AF133*'Inputs Yr 2'!P133*'Inputs Yr 2'!Q133*'Inputs Yr 2'!$T133,"")</f>
        <v>0</v>
      </c>
      <c r="Z133" s="257">
        <f>IFERROR($G133*'Inputs Yr 2'!$Q133*'Inputs Yr 2'!$U133*(IF(IFERROR(SEARCH("NG", 'Inputs Yr 2'!$AJ133),0),'Inputs Yr 2'!$AK133,0)+IF(IFERROR(SEARCH("NG", 'Inputs Yr 2'!$AL133),0),'Inputs Yr 2'!$AM133,0)+IF(IFERROR(SEARCH("NG", 'Inputs Yr 2'!$AN133),0),'Inputs Yr 2'!$AO133,0)),0)</f>
        <v>350.09999999999997</v>
      </c>
      <c r="AA133" s="257">
        <f t="shared" si="56"/>
        <v>2450.6999999999998</v>
      </c>
      <c r="AB133" s="257">
        <f>IFERROR(Z133*'Inputs Yr 2'!$P133,0)</f>
        <v>350.09999999999997</v>
      </c>
      <c r="AC133" s="257">
        <f t="shared" si="57"/>
        <v>2450.6999999999998</v>
      </c>
      <c r="AD133" s="257">
        <f>IFERROR($G133*'Inputs Yr 2'!$Q133*'Inputs Yr 2'!$U133*(IF(IFERROR(SEARCH("Oil", 'Inputs Yr 2'!$AJ133), 0),'Inputs Yr 2'!$AK133,0)+IF(IFERROR(SEARCH("Oil", 'Inputs Yr 2'!$AL133), 0),'Inputs Yr 2'!$AM133,0)+IF(IFERROR(SEARCH("Oil", 'Inputs Yr 2'!$AN133), 0),'Inputs Yr 2'!$AO133,0)),0)</f>
        <v>0</v>
      </c>
      <c r="AE133" s="257">
        <f t="shared" si="58"/>
        <v>0</v>
      </c>
      <c r="AF133" s="257">
        <f>IFERROR(AD133*'Inputs Yr 2'!$P133,0)</f>
        <v>0</v>
      </c>
      <c r="AG133" s="257">
        <f t="shared" si="59"/>
        <v>0</v>
      </c>
      <c r="AH133" s="257">
        <f>IFERROR($G133*'Inputs Yr 2'!$Q133*'Inputs Yr 2'!$U133*(IF('Inputs Yr 2'!$AJ133=CD$4,'Inputs Yr 2'!$AK133,IF('Inputs Yr 2'!$AL133=CD$4,'Inputs Yr 2'!$AM133,IF('Inputs Yr 2'!$AN133=CD$4,'Inputs Yr 2'!$AO133,0)))),0)</f>
        <v>0</v>
      </c>
      <c r="AI133" s="257">
        <f t="shared" si="60"/>
        <v>0</v>
      </c>
      <c r="AJ133" s="257">
        <f>IFERROR(AH133*'Inputs Yr 2'!$P133,0)</f>
        <v>0</v>
      </c>
      <c r="AK133" s="257">
        <f t="shared" si="61"/>
        <v>0</v>
      </c>
      <c r="AL133" s="258">
        <f>IFERROR($G133*'Inputs Yr 2'!$P133*'Inputs Yr 2'!$Q133*'Inputs Yr 2'!AP133,0)</f>
        <v>826236</v>
      </c>
      <c r="AM133" s="260">
        <f>IFERROR($G133*'Inputs Yr 2'!$P133*'Inputs Yr 2'!$Q133*'Inputs Yr 2'!AQ133,0)</f>
        <v>0</v>
      </c>
      <c r="AN133" s="258">
        <f>IFERROR($G133*'Inputs Yr 2'!$P133*'Inputs Yr 2'!$Q133*'Inputs Yr 2'!AR133,0)</f>
        <v>0</v>
      </c>
      <c r="AO133" s="257">
        <f t="shared" si="62"/>
        <v>5783652</v>
      </c>
      <c r="AP133" s="195">
        <f>IFERROR($CQ133*(INDEX(avoidedcosttbl2,$H133,AP$2)+(($H133-ROUNDDOWN($H133,0))*(INDEX(avoidedcosttbl2,ROUNDUP($H133,0),AP$2)-(INDEX(avoidedcosttbl2,ROUNDDOWN($H133,0),AP$2)))))*$O133*1000*'Inputs Yr 2'!AA133,"")</f>
        <v>0</v>
      </c>
      <c r="AQ133" s="195">
        <f>IFERROR($CR133*(INDEX(avoidedcosttbl2,$H133,AQ$2)+(($H133-ROUNDDOWN($H133,0))*(INDEX(avoidedcosttbl2,ROUNDUP($H133,0),AQ$2)-(INDEX(avoidedcosttbl2,ROUNDDOWN($H133,0),AQ$2)))))*$O133*1000*'Inputs Yr 2'!AB133,"")</f>
        <v>0</v>
      </c>
      <c r="AR133" s="195">
        <f>IFERROR($CS133*(INDEX(avoidedcosttbl2,$H133,AR$2)+(($H133-ROUNDDOWN($H133,0))*(INDEX(avoidedcosttbl2,ROUNDUP($H133,0),AR$2)-(INDEX(avoidedcosttbl2,ROUNDDOWN($H133,0),AR$2)))))*$O133*1000*'Inputs Yr 2'!AC133,"")</f>
        <v>0</v>
      </c>
      <c r="AS133" s="195">
        <f>IFERROR($CT133*(INDEX(avoidedcosttbl2,$H133,AS$2)+(($H133-ROUNDDOWN($H133,0))*(INDEX(avoidedcosttbl2,ROUNDUP($H133,0),AS$2)-(INDEX(avoidedcosttbl2,ROUNDDOWN($H133,0),AS$2)))))*$O133*1000*'Inputs Yr 2'!AD133,"")</f>
        <v>0</v>
      </c>
      <c r="AT133" s="196">
        <f t="shared" si="63"/>
        <v>0</v>
      </c>
      <c r="AU133" s="197">
        <f>IFERROR($CQ133*((INDEX(avoidedcosttbl2,$H133,AU$2))+(($H133-ROUNDDOWN($H133,0))*((INDEX(avoidedcosttbl2,ROUNDUP($H133,0),AU$2))-(INDEX(avoidedcosttbl2,ROUNDDOWN($H133,0),AU$2)))))*$O133*1000*'Inputs Yr 2'!AA133,"")</f>
        <v>0</v>
      </c>
      <c r="AV133" s="197">
        <f>IFERROR($CR133*((INDEX(avoidedcosttbl2,$H133,AV$2))+(($H133-ROUNDDOWN($H133,0))*((INDEX(avoidedcosttbl2,ROUNDUP($H133,0),AV$2))-(INDEX(avoidedcosttbl2,ROUNDDOWN($H133,0),AV$2)))))*$O133*1000*'Inputs Yr 2'!AB133,"")</f>
        <v>0</v>
      </c>
      <c r="AW133" s="197">
        <f>IFERROR($CS133*((INDEX(avoidedcosttbl2,$H133,AW$2))+(($H133-ROUNDDOWN($H133,0))*((INDEX(avoidedcosttbl2,ROUNDUP($H133,0),AW$2))-(INDEX(avoidedcosttbl2,ROUNDDOWN($H133,0),AW$2)))))*$O133*1000*'Inputs Yr 2'!AC133,"")</f>
        <v>0</v>
      </c>
      <c r="AX133" s="197">
        <f>IFERROR($CT133*((INDEX(avoidedcosttbl2,$H133,AX$2))+(($H133-ROUNDDOWN($H133,0))*((INDEX(avoidedcosttbl2,ROUNDUP($H133,0),AX$2))-(INDEX(avoidedcosttbl2,ROUNDDOWN($H133,0),AX$2)))))*$O133*1000*'Inputs Yr 2'!AD133,"")</f>
        <v>0</v>
      </c>
      <c r="AY133" s="197">
        <f>IFERROR(((INDEX(avoidedcosttbl2,$H133,AY$2))+(($H133-ROUNDDOWN($H133,0))*((INDEX(avoidedcosttbl2,ROUNDUP($H133,0),AY$2))-(INDEX(avoidedcosttbl2,ROUNDDOWN($H133,0),AY$2)))))*$O133*1000*('Inputs Yr 2'!AC133+'Inputs Yr 2'!AD133),"")</f>
        <v>0</v>
      </c>
      <c r="AZ133" s="197">
        <f>IFERROR(((INDEX(avoidedcosttbl2,$H133,AZ$2))+(($H133-ROUNDDOWN($H133,0))*((INDEX(avoidedcosttbl2,ROUNDUP($H133,0),AZ$2))-(INDEX(avoidedcosttbl2,ROUNDDOWN($H133,0),AZ$2)))))*$O133*1000*('Inputs Yr 2'!AA133+'Inputs Yr 2'!AB133),"")</f>
        <v>0</v>
      </c>
      <c r="BA133" s="198">
        <f t="shared" si="64"/>
        <v>0</v>
      </c>
      <c r="BB133" s="198">
        <f t="shared" si="65"/>
        <v>0</v>
      </c>
      <c r="BC133" s="195">
        <f t="shared" ref="BC133:BC196" si="77">IFERROR($CU133*(INDEX(avoidedcosttbl2,$H133,BC$2)+(($H133-ROUNDDOWN($H133,0))*(INDEX(avoidedcosttbl2,ROUNDUP($H133,0),BC$2)-(INDEX(avoidedcosttbl2,ROUNDDOWN($H133,0),BC$2)))))*$Y133,"")</f>
        <v>0</v>
      </c>
      <c r="BD133" s="195">
        <f t="shared" ref="BD133:BD196" si="78">IFERROR($CV133*(INDEX(avoidedcosttbl2,$H133,BD$2)+(($H133-ROUNDDOWN($H133,0))*(INDEX(avoidedcosttbl2,ROUNDUP($H133,0),BD$2)-(INDEX(avoidedcosttbl2,ROUNDDOWN($H133,0),BD$2)))))*$W133,"")</f>
        <v>0</v>
      </c>
      <c r="BE133" s="195">
        <f t="shared" ref="BE133:BE196" si="79">IFERROR($CU133*(INDEX(avoidedcosttbl2,$H133,BE$2)+(($H133-ROUNDDOWN($H133,0))*(INDEX(avoidedcosttbl2,ROUNDUP($H133,0),BE$2)-(INDEX(avoidedcosttbl2,ROUNDDOWN($H133,0),BE$2)))))*$Y133,"")</f>
        <v>0</v>
      </c>
      <c r="BF133" s="195">
        <f t="shared" ref="BF133:BF196" si="80">IFERROR($CW133*(INDEX(avoidedcosttbl2,$H133,BF$2)+(($H133-ROUNDDOWN($H133,0))*(INDEX(avoidedcosttbl2,ROUNDUP($H133,0),BF$2)-(INDEX(avoidedcosttbl2,ROUNDDOWN($H133,0),BF$2)))))*$Y133,"")</f>
        <v>0</v>
      </c>
      <c r="BG133" s="195">
        <f t="shared" ref="BG133:BG196" si="81">IFERROR($CX133*(INDEX(avoidedcosttbl2,$H133,BG$2)+(($H133-ROUNDDOWN($H133,0))*(INDEX(avoidedcosttbl2,ROUNDUP($H133,0),BG$2)-(INDEX(avoidedcosttbl2,ROUNDDOWN($H133,0),BG$2)))))*$Y133,"")</f>
        <v>0</v>
      </c>
      <c r="BH133" s="196">
        <f t="shared" si="66"/>
        <v>0</v>
      </c>
      <c r="BI133" s="196">
        <f t="shared" si="67"/>
        <v>0</v>
      </c>
      <c r="BJ133" s="195">
        <f>IFERROR($G133*(IF('Inputs Yr 2'!$AJ133=BJ$4,'Inputs Yr 2'!$AK133,IF('Inputs Yr 2'!$AL133=BJ$4,'Inputs Yr 2'!$AM133,IF('Inputs Yr 2'!$AN133=BJ$4,'Inputs Yr 2'!$AO133,0))))*(INDEX(avoidedcosttbl2,$H133,BJ$2)+(($H133-ROUNDDOWN($H133,0))*(INDEX(avoidedcosttbl2,ROUNDUP($H133,0),BJ$2)-(INDEX(avoidedcosttbl2,ROUNDDOWN($H133,0),BJ$2)))))*'Inputs Yr 2'!P133*'Inputs Yr 2'!Q133*'Inputs Yr 2'!U133,"")</f>
        <v>0</v>
      </c>
      <c r="BK133" s="195">
        <f>IFERROR($G133*(IF('Inputs Yr 2'!$AJ133=BK$4,'Inputs Yr 2'!$AK133,IF('Inputs Yr 2'!$AL133=BK$4,'Inputs Yr 2'!$AM133,IF('Inputs Yr 2'!$AN133=BK$4,'Inputs Yr 2'!$AO133,0))))*(INDEX(avoidedcosttbl2,$H133,BK$2)+(($H133-ROUNDDOWN($H133,0))*(INDEX(avoidedcosttbl2,ROUNDUP($H133,0),BK$2)-(INDEX(avoidedcosttbl2,ROUNDDOWN($H133,0),BK$2)))))*'Inputs Yr 2'!P133*'Inputs Yr 2'!Q133*'Inputs Yr 2'!U133,"")</f>
        <v>18912.465171488686</v>
      </c>
      <c r="BL133" s="195">
        <f>IFERROR($G133*(IF('Inputs Yr 2'!$AJ133=BL$4,'Inputs Yr 2'!$AK133,IF('Inputs Yr 2'!$AL133=BL$4,'Inputs Yr 2'!$AM133,IF('Inputs Yr 2'!$AN133=BL$4,'Inputs Yr 2'!$AO133,0))))*(INDEX(avoidedcosttbl2,$H133,BL$2)+(($H133-ROUNDDOWN($H133,0))*(INDEX(avoidedcosttbl2,ROUNDUP($H133,0),BL$2)-(INDEX(avoidedcosttbl2,ROUNDDOWN($H133,0),BL$2)))))*'Inputs Yr 2'!P133*'Inputs Yr 2'!Q133*'Inputs Yr 2'!U133,"")</f>
        <v>0</v>
      </c>
      <c r="BM133" s="195">
        <f>IFERROR($G133*(IF('Inputs Yr 2'!$AJ133=BM$4,'Inputs Yr 2'!$AK133,IF('Inputs Yr 2'!$AL133=BM$4,'Inputs Yr 2'!$AM133,IF('Inputs Yr 2'!$AN133=BM$4,'Inputs Yr 2'!$AO133,0))))*(INDEX(avoidedcosttbl2,$H133,BM$2)+(($H133-ROUNDDOWN($H133,0))*(INDEX(avoidedcosttbl2,ROUNDUP($H133,0),BM$2)-(INDEX(avoidedcosttbl2,ROUNDDOWN($H133,0),BM$2)))))*'Inputs Yr 2'!P133*'Inputs Yr 2'!Q133*'Inputs Yr 2'!U133,"")</f>
        <v>0</v>
      </c>
      <c r="BN133" s="195">
        <f>IFERROR($G133*(IF('Inputs Yr 2'!$AJ133=BN$4,'Inputs Yr 2'!$AK133,IF('Inputs Yr 2'!$AL133=BN$4,'Inputs Yr 2'!$AM133,IF('Inputs Yr 2'!$AN133=BN$4,'Inputs Yr 2'!$AO133,0))))*(INDEX(avoidedcosttbl2,$H133,BN$2)+(($H133-ROUNDDOWN($H133,0))*(INDEX(avoidedcosttbl2,ROUNDUP($H133,0),BN$2)-(INDEX(avoidedcosttbl2,ROUNDDOWN($H133,0),BN$2)))))*'Inputs Yr 2'!P133*'Inputs Yr 2'!Q133*'Inputs Yr 2'!U133,"")</f>
        <v>0</v>
      </c>
      <c r="BO133" s="195">
        <f>IFERROR($G133*(IF('Inputs Yr 2'!$AJ133=BO$4,'Inputs Yr 2'!$AK133,IF('Inputs Yr 2'!$AL133=BO$4,'Inputs Yr 2'!$AM133,IF('Inputs Yr 2'!$AN133=BO$4,'Inputs Yr 2'!$AO133,0))))*(INDEX(avoidedcosttbl2,$H133,BO$2)+(($H133-ROUNDDOWN($H133,0))*(INDEX(avoidedcosttbl2,ROUNDUP($H133,0),BO$2)-(INDEX(avoidedcosttbl2,ROUNDDOWN($H133,0),BO$2)))))*'Inputs Yr 2'!P133*'Inputs Yr 2'!Q133*'Inputs Yr 2'!U133,"")</f>
        <v>0</v>
      </c>
      <c r="BP133" s="195">
        <f>IFERROR($G133*(IF('Inputs Yr 2'!$AJ133=BP$4,'Inputs Yr 2'!$AK133,IF('Inputs Yr 2'!$AL133=BP$4,'Inputs Yr 2'!$AM133,IF('Inputs Yr 2'!$AN133=BP$4,'Inputs Yr 2'!$AO133,0))))*(INDEX(avoidedcosttbl2,$H133,BP$2)+(($H133-ROUNDDOWN($H133,0))*(INDEX(avoidedcosttbl2,ROUNDUP($H133,0),BP$2)-(INDEX(avoidedcosttbl2,ROUNDDOWN($H133,0),BP$2)))))*'Inputs Yr 2'!P133*'Inputs Yr 2'!Q133*'Inputs Yr 2'!U133,"")</f>
        <v>0</v>
      </c>
      <c r="BQ133" s="230">
        <f t="shared" si="68"/>
        <v>18912.465171488686</v>
      </c>
      <c r="BR133" s="197">
        <f t="shared" ref="BR133:BR196" si="82">IFERROR($AB133*((INDEX(avoidedcosttbl2,$H133,BR$2))+(($H133-ROUNDDOWN($H133,0))*((INDEX(avoidedcosttbl2,ROUNDUP($H133,0),BR$2))-(INDEX(avoidedcosttbl2,ROUNDDOWN($H133,0),BR$2))))),"")</f>
        <v>338.00970211441557</v>
      </c>
      <c r="BS133" s="197">
        <f>IFERROR(($G133*IF('Inputs Yr 2'!$AJ133=BM$4,'Inputs Yr 2'!$AK133,IF('Inputs Yr 2'!$AL133=BM$4,'Inputs Yr 2'!$AM133,IF('Inputs Yr 2'!$AN133=BM$4,'Inputs Yr 2'!$AO133,0))))*(INDEX(avoidedcosttbl2,$H133,BS$2)+(($H133-ROUNDDOWN($H133,0))*(INDEX(avoidedcosttbl2,ROUNDUP($H133,0),BS$2)-(INDEX(avoidedcosttbl2,ROUNDDOWN($H133,0),BS$2)))))*'Inputs Yr 2'!P133*'Inputs Yr 2'!Q133*'Inputs Yr 2'!U133,"")</f>
        <v>0</v>
      </c>
      <c r="BT133" s="197">
        <f>IFERROR(($G133*IF('Inputs Yr 2'!$AJ133=BK$4,'Inputs Yr 2'!$AK133,IF('Inputs Yr 2'!$AL133=BK$4,'Inputs Yr 2'!$AM133,IF('Inputs Yr 2'!$AN133=BK$4,'Inputs Yr 2'!$AO133,0))))*(INDEX(avoidedcosttbl2,$H133,BT$2)+(($H133-ROUNDDOWN($H133,0))*(INDEX(avoidedcosttbl2,ROUNDUP($H133,0),BT$2)-(INDEX(avoidedcosttbl2,ROUNDDOWN($H133,0),BT$2)))))*'Inputs Yr 2'!P133*'Inputs Yr 2'!Q133*'Inputs Yr 2'!U133,"")</f>
        <v>2576.5133898058352</v>
      </c>
      <c r="BU133" s="197">
        <f>IFERROR(($G133*IF('Inputs Yr 2'!$AJ133=BL$4,'Inputs Yr 2'!$AK133,IF('Inputs Yr 2'!$AL133=BL$4,'Inputs Yr 2'!$AM133,IF('Inputs Yr 2'!$AN133=BL$4,'Inputs Yr 2'!$AO133,0))))*(INDEX(avoidedcosttbl2,$H133,BU$2)+(($H133-ROUNDDOWN($H133,0))*(INDEX(avoidedcosttbl2,ROUNDUP($H133,0),BU$2)-(INDEX(avoidedcosttbl2,ROUNDDOWN($H133,0),BU$2)))))*'Inputs Yr 2'!P133*'Inputs Yr 2'!Q133*'Inputs Yr 2'!U133,"")</f>
        <v>0</v>
      </c>
      <c r="BV133" s="775">
        <f>IFERROR(($G133*IF('Inputs Yr 2'!$AJ133=BJ$4,'Inputs Yr 2'!$AK133,IF('Inputs Yr 2'!$AL133=BJ$4,'Inputs Yr 2'!$AM133,IF('Inputs Yr 2'!$AN133=BJ$4,'Inputs Yr 2'!$AO133,0))))*(INDEX(avoidedcosttbl2,$H133,BV$2)+(($H133-ROUNDDOWN($H133,0))*(INDEX(avoidedcosttbl2,ROUNDUP($H133,0),BV$2)-(INDEX(avoidedcosttbl2,ROUNDDOWN($H133,0),BV$2)))))*'Inputs Yr 2'!P133*'Inputs Yr 2'!Q133*'Inputs Yr 2'!U133,"")</f>
        <v>0</v>
      </c>
      <c r="BW133" s="197">
        <f>IFERROR(($G133*IF('Inputs Yr 2'!$AJ133=BN$4,'Inputs Yr 2'!$AK133,IF('Inputs Yr 2'!$AL133=BN$4,'Inputs Yr 2'!$AM133,IF('Inputs Yr 2'!$AN133=BN$4,'Inputs Yr 2'!$AO133,0))))*(INDEX(avoidedcosttbl2,$H133,BW$2)+(($H133-ROUNDDOWN($H133,0))*(INDEX(avoidedcosttbl2,ROUNDUP($H133,0),BW$2)-(INDEX(avoidedcosttbl2,ROUNDDOWN($H133,0),BW$2)))))*'Inputs Yr 2'!P133*'Inputs Yr 2'!Q133*'Inputs Yr 2'!U133,"")</f>
        <v>0</v>
      </c>
      <c r="BX133" s="197">
        <f>IFERROR(($G133*IF('Inputs Yr 2'!$AJ133=BO$4,'Inputs Yr 2'!$AK133,IF('Inputs Yr 2'!$AL133=BO$4,'Inputs Yr 2'!$AM133,IF('Inputs Yr 2'!$AN133=BO$4,'Inputs Yr 2'!$AO133,0))))*(INDEX(avoidedcosttbl2,$H133,BX$2)+(($H133-ROUNDDOWN($H133,0))*(INDEX(avoidedcosttbl2,ROUNDUP($H133,0),BX$2)-(INDEX(avoidedcosttbl2,ROUNDDOWN($H133,0),BX$2)))))*'Inputs Yr 2'!P133*'Inputs Yr 2'!Q133*'Inputs Yr 2'!U133,"")</f>
        <v>0</v>
      </c>
      <c r="BY133" s="197">
        <f>IFERROR(($G133*IF('Inputs Yr 2'!$AJ133=BP$4,'Inputs Yr 2'!$AK133,IF('Inputs Yr 2'!$AL133=BP$4,'Inputs Yr 2'!$AM133,IF('Inputs Yr 2'!$AN133=BP$4,'Inputs Yr 2'!$AO133,0))))*(INDEX(avoidedcosttbl2,$H133,BY$2)+(($H133-ROUNDDOWN($H133,0))*(INDEX(avoidedcosttbl2,ROUNDUP($H133,0),BY$2)-(INDEX(avoidedcosttbl2,ROUNDDOWN($H133,0),BY$2)))))*'Inputs Yr 2'!P133*'Inputs Yr 2'!Q133*'Inputs Yr 2'!U133,"")</f>
        <v>0</v>
      </c>
      <c r="BZ133" s="193">
        <f t="shared" si="69"/>
        <v>2914.5230919202509</v>
      </c>
      <c r="CA133" s="193">
        <f t="shared" si="70"/>
        <v>21826.988263408937</v>
      </c>
      <c r="CB133" s="195">
        <f>IFERROR(G133*(IF('Inputs Yr 2'!$AJ133=CB$4,'Inputs Yr 2'!$AK133,IF('Inputs Yr 2'!$AL133=CB$4,'Inputs Yr 2'!$AM133,IF('Inputs Yr 2'!$AN133=CB$4,'Inputs Yr 2'!$AO133,0))))*(INDEX(avoidedcosttbl2,$H133,CB$2)+(($H133-ROUNDDOWN($H133,0))*(INDEX(avoidedcosttbl2,ROUNDUP($H133,0),CB$2)-(INDEX(avoidedcosttbl2,ROUNDDOWN($H133,0),CB$2)))))*'Inputs Yr 2'!P133*'Inputs Yr 2'!Q133*'Inputs Yr 2'!U133,"")</f>
        <v>0</v>
      </c>
      <c r="CC133" s="195">
        <f>IFERROR(H133*(IF('Inputs Yr 2'!$AJ133=CC$4,'Inputs Yr 2'!$AK133,IF('Inputs Yr 2'!$AL133=CC$4,'Inputs Yr 2'!$AM133,IF('Inputs Yr 2'!$AN133=CC$4,'Inputs Yr 2'!$AO133,0))))*(INDEX(avoidedcosttbl2,$H133,CC$2)+(($H133-ROUNDDOWN($H133,0))*(INDEX(avoidedcosttbl2,ROUNDUP($H133,0),CC$2)-(INDEX(avoidedcosttbl2,ROUNDDOWN($H133,0),CC$2)))))*'Inputs Yr 2'!Q133*'Inputs Yr 2'!R133*'Inputs Yr 2'!V133,"")</f>
        <v>0</v>
      </c>
      <c r="CD133" s="195">
        <f>IFERROR(I133*(IF('Inputs Yr 2'!$AJ133=CD$4,'Inputs Yr 2'!$AK133,IF('Inputs Yr 2'!$AL133=CD$4,'Inputs Yr 2'!$AM133,IF('Inputs Yr 2'!$AN133=CD$4,'Inputs Yr 2'!$AO133,0))))*(INDEX(avoidedcosttbl2,$H133,CD$2)+(($H133-ROUNDDOWN($H133,0))*(INDEX(avoidedcosttbl2,ROUNDUP($H133,0),CD$2)-(INDEX(avoidedcosttbl2,ROUNDDOWN($H133,0),CD$2)))))*'Inputs Yr 2'!R133*'Inputs Yr 2'!S133*'Inputs Yr 2'!W133,"")</f>
        <v>0</v>
      </c>
      <c r="CE133" s="213">
        <f t="shared" si="71"/>
        <v>61702.301319080099</v>
      </c>
      <c r="CF133" s="213">
        <f t="shared" si="72"/>
        <v>0</v>
      </c>
      <c r="CG133" s="213">
        <f t="shared" si="73"/>
        <v>0</v>
      </c>
      <c r="CH133" s="698">
        <f t="shared" si="74"/>
        <v>83529.289582489029</v>
      </c>
      <c r="CI133" s="79">
        <f>IFERROR(($G133*'Inputs Yr 2'!$P133*'Inputs Yr 2'!$Q133*(((INDEX(avoidedcosttbl2,$H133,CI$2)+(($H133-ROUNDDOWN($H133,0))*(INDEX(avoidedcosttbl2,ROUNDUP($H133,0),CI$2)-INDEX(avoidedcosttbl2,ROUNDDOWN($H133,0),CI$2))))*'Inputs Yr 2'!AS133))),"")</f>
        <v>4665.9509338669604</v>
      </c>
      <c r="CJ133" s="504">
        <f>IFERROR($G133*'Inputs Yr 2'!AT133*'Inputs Yr 2'!$P133*'Inputs Yr 2'!$Q133/((1+realdiscrt1)^-0.5),"")</f>
        <v>0</v>
      </c>
      <c r="CK133" s="79">
        <f>IFERROR((O133*1000*(((INDEX(avoidedcosttbl2,$H133,CK$2)+(($H133-ROUNDDOWN($H133,0))*(INDEX(avoidedcosttbl2,ROUNDUP($H133,0),CK$2)-INDEX(avoidedcosttbl2,ROUNDDOWN($H133,0),CK$2))))*'Inputs Yr 2'!AU133))),"")</f>
        <v>0</v>
      </c>
      <c r="CL133" s="504">
        <f>IFERROR(O133*1000*'Inputs Yr 2'!AV133/((1+realdiscrt1)^-0.5),"")</f>
        <v>0</v>
      </c>
      <c r="CM133" s="79">
        <f>IFERROR((AB133*'Inputs Yr 2'!AW133*(((INDEX(avoidedcosttbl2,$H133,CM$2)+(($H133-ROUNDDOWN($H133,0))*(INDEX(avoidedcosttbl2,ROUNDUP($H133,0),CM$2)-INDEX(avoidedcosttbl2,ROUNDDOWN($H133,0),CM$2)))))))*10,"")</f>
        <v>3233.9866817491684</v>
      </c>
      <c r="CN133" s="504">
        <f>IFERROR(10*AB133*'Inputs Yr 2'!AX133/((1+realdiscrt1)^-0.5),"")</f>
        <v>266.66072470878493</v>
      </c>
      <c r="CO133" s="505">
        <f t="shared" si="75"/>
        <v>8166.5983403249138</v>
      </c>
      <c r="CP133" s="230">
        <f t="shared" si="76"/>
        <v>91695.887922813941</v>
      </c>
      <c r="CQ133" s="199">
        <f>ROUND(IFERROR(IF(LEFT($A133,1)="C",'Avoided Costs'!$K$13,'Avoided Costs'!$K$12)+1,""),4)</f>
        <v>1.0720000000000001</v>
      </c>
      <c r="CR133" s="199">
        <f>ROUND(IFERROR(IF(LEFT($A133,1)="C",'Avoided Costs'!$L$13,'Avoided Costs'!$L$12)+1,""),4)</f>
        <v>1.04</v>
      </c>
      <c r="CS133" s="199">
        <f>ROUND(IFERROR(IF(LEFT($A133,1)="C",'Avoided Costs'!$M$13,'Avoided Costs'!$M$12)+1,""),4)</f>
        <v>1.0720000000000001</v>
      </c>
      <c r="CT133" s="199">
        <f>ROUND(IFERROR(IF(LEFT($A133,1)="C",'Avoided Costs'!$N$13,'Avoided Costs'!$N$12)+1,""),4)</f>
        <v>1.04</v>
      </c>
      <c r="CU133" s="199">
        <f>ROUND(IFERROR(IF(LEFT($A133,1)="C",'Avoided Costs'!$O$13,'Avoided Costs'!$O$12)+1,""),4)</f>
        <v>1.1120000000000001</v>
      </c>
      <c r="CV133" s="199">
        <f>ROUND(IFERROR(IF(LEFT($A133,1)="C",'Avoided Costs'!$P$13,'Avoided Costs'!$P$12)+1,""),4)</f>
        <v>1.095</v>
      </c>
      <c r="CW133" s="199">
        <f>ROUND(IFERROR(IF(LEFT($A133,1)="C",'Avoided Costs'!$Q$13,'Avoided Costs'!$Q$12)+1,""),4)</f>
        <v>1.1120000000000001</v>
      </c>
      <c r="CX133" s="200">
        <f>ROUND(IFERROR(IF(LEFT($A133,1)="C",'Avoided Costs'!$R$13,'Avoided Costs'!$R$12)+1,""),4)</f>
        <v>1.1120000000000001</v>
      </c>
    </row>
    <row r="134" spans="1:102" ht="12.75" customHeight="1">
      <c r="A134" s="91" t="str">
        <f>IF('Inputs Yr 2'!$B134=0,"",'Inputs Yr 2'!A134)</f>
        <v>B - Low Income</v>
      </c>
      <c r="B134" s="91" t="str">
        <f>IF('Inputs Yr 2'!$B134=0,"",'Inputs Yr 2'!B134)</f>
        <v>B1 - Low-Income Whole House</v>
      </c>
      <c r="C134" s="91" t="str">
        <f>IF('Inputs Yr 2'!$B134=0,"",'Inputs Yr 2'!C134)</f>
        <v>B1b - Low-Income Multi-Family Retrofit</v>
      </c>
      <c r="D134" s="91" t="str">
        <f>IF('Inputs Yr 2'!$B134=0,"",'Inputs Yr 2'!E134)</f>
        <v>Low Flow Showerhead with TSV, Gas</v>
      </c>
      <c r="E134" s="93" t="str">
        <f>IF('Inputs Yr 2'!$B134=0,"",'Inputs Yr 2'!F134)</f>
        <v>G16B1b22</v>
      </c>
      <c r="F134" s="93" t="str">
        <f>IF('Inputs Yr 2'!$B134=0,"",'Inputs Yr 2'!G134)</f>
        <v>Hot Water</v>
      </c>
      <c r="G134" s="95">
        <f>IF('Inputs Yr 2'!$H134&lt;&gt;0,('Inputs Yr 2'!H134),"")</f>
        <v>78</v>
      </c>
      <c r="H134" s="94">
        <f>IFERROR('Inputs Yr 2'!I134,"")</f>
        <v>7</v>
      </c>
      <c r="I134" s="298">
        <f>IFERROR('Inputs Yr 2'!J134*'Inputs Yr 2'!P134*G134,"")</f>
        <v>1524.25</v>
      </c>
      <c r="J134" s="298">
        <f>IFERROR('Inputs Yr 2'!K134*G134,"")</f>
        <v>1524.25</v>
      </c>
      <c r="K134" s="298">
        <f t="shared" ref="K134:K197" si="83">IFERROR(I134-J134,"")</f>
        <v>0</v>
      </c>
      <c r="L134" s="194">
        <f>IFERROR(('Inputs Yr 2'!W134*G134)/1000,"")</f>
        <v>0</v>
      </c>
      <c r="M134" s="194">
        <f>IFERROR(L134*('Inputs Yr 2'!$Q134*'Inputs Yr 2'!$V134*'Inputs Yr 2'!$R134),"")</f>
        <v>0</v>
      </c>
      <c r="N134" s="194">
        <f t="shared" ref="N134:N197" si="84">IFERROR(M134*$H134,"")</f>
        <v>0</v>
      </c>
      <c r="O134" s="194">
        <f>IFERROR(M134*'Inputs Yr 2'!P134,"")</f>
        <v>0</v>
      </c>
      <c r="P134" s="194">
        <f t="shared" ref="P134:P197" si="85">IFERROR(O134*$H134,"")</f>
        <v>0</v>
      </c>
      <c r="Q134" s="194">
        <f>IFERROR($P134*'Inputs Yr 2'!AA134,"")</f>
        <v>0</v>
      </c>
      <c r="R134" s="194">
        <f>IFERROR($P134*'Inputs Yr 2'!AB134,"")</f>
        <v>0</v>
      </c>
      <c r="S134" s="194">
        <f>IFERROR($P134*'Inputs Yr 2'!AC134,"")</f>
        <v>0</v>
      </c>
      <c r="T134" s="194">
        <f>IFERROR($P134*'Inputs Yr 2'!AD134,"")</f>
        <v>0</v>
      </c>
      <c r="U134" s="194">
        <f>IFERROR(G134*'Inputs Yr 2'!$AE134*'Inputs Yr 2'!$P134*'Inputs Yr 2'!$Q134,"")</f>
        <v>0</v>
      </c>
      <c r="V134" s="194">
        <f>IFERROR($G134*'Inputs Yr 2'!$AE134*'Inputs Yr 2'!$AG134*'Inputs Yr 2'!Q134*'Inputs Yr 2'!$S134,"")</f>
        <v>0</v>
      </c>
      <c r="W134" s="194">
        <f>IFERROR($G134*'Inputs Yr 2'!$AE134*'Inputs Yr 2'!$AG134*'Inputs Yr 2'!P134*'Inputs Yr 2'!Q134*'Inputs Yr 2'!$S134,"")</f>
        <v>0</v>
      </c>
      <c r="X134" s="194">
        <f>IFERROR($G134*'Inputs Yr 2'!$AE134*'Inputs Yr 2'!$AF134*'Inputs Yr 2'!Q134*'Inputs Yr 2'!$T134,"")</f>
        <v>0</v>
      </c>
      <c r="Y134" s="194">
        <f>IFERROR($G134*'Inputs Yr 2'!$AE134*'Inputs Yr 2'!$AF134*'Inputs Yr 2'!P134*'Inputs Yr 2'!Q134*'Inputs Yr 2'!$T134,"")</f>
        <v>0</v>
      </c>
      <c r="Z134" s="257">
        <f>IFERROR($G134*'Inputs Yr 2'!$Q134*'Inputs Yr 2'!$U134*(IF(IFERROR(SEARCH("NG", 'Inputs Yr 2'!$AJ134),0),'Inputs Yr 2'!$AK134,0)+IF(IFERROR(SEARCH("NG", 'Inputs Yr 2'!$AL134),0),'Inputs Yr 2'!$AM134,0)+IF(IFERROR(SEARCH("NG", 'Inputs Yr 2'!$AN134),0),'Inputs Yr 2'!$AO134,0)),0)</f>
        <v>129.47999999999999</v>
      </c>
      <c r="AA134" s="257">
        <f t="shared" ref="AA134:AA197" si="86">IFERROR(Z134*$H134,0)</f>
        <v>906.3599999999999</v>
      </c>
      <c r="AB134" s="257">
        <f>IFERROR(Z134*'Inputs Yr 2'!$P134,0)</f>
        <v>129.47999999999999</v>
      </c>
      <c r="AC134" s="257">
        <f t="shared" ref="AC134:AC197" si="87">IFERROR(AB134*$H134,0)</f>
        <v>906.3599999999999</v>
      </c>
      <c r="AD134" s="257">
        <f>IFERROR($G134*'Inputs Yr 2'!$Q134*'Inputs Yr 2'!$U134*(IF(IFERROR(SEARCH("Oil", 'Inputs Yr 2'!$AJ134), 0),'Inputs Yr 2'!$AK134,0)+IF(IFERROR(SEARCH("Oil", 'Inputs Yr 2'!$AL134), 0),'Inputs Yr 2'!$AM134,0)+IF(IFERROR(SEARCH("Oil", 'Inputs Yr 2'!$AN134), 0),'Inputs Yr 2'!$AO134,0)),0)</f>
        <v>0</v>
      </c>
      <c r="AE134" s="257">
        <f t="shared" ref="AE134:AE197" si="88">IFERROR(AD134*$H134,0)</f>
        <v>0</v>
      </c>
      <c r="AF134" s="257">
        <f>IFERROR(AD134*'Inputs Yr 2'!$P134,0)</f>
        <v>0</v>
      </c>
      <c r="AG134" s="257">
        <f t="shared" ref="AG134:AG197" si="89">IFERROR(AF134*$H134,0)</f>
        <v>0</v>
      </c>
      <c r="AH134" s="257">
        <f>IFERROR($G134*'Inputs Yr 2'!$Q134*'Inputs Yr 2'!$U134*(IF('Inputs Yr 2'!$AJ134=CD$4,'Inputs Yr 2'!$AK134,IF('Inputs Yr 2'!$AL134=CD$4,'Inputs Yr 2'!$AM134,IF('Inputs Yr 2'!$AN134=CD$4,'Inputs Yr 2'!$AO134,0)))),0)</f>
        <v>0</v>
      </c>
      <c r="AI134" s="257">
        <f t="shared" ref="AI134:AI197" si="90">IFERROR(AH134*$H134,0)</f>
        <v>0</v>
      </c>
      <c r="AJ134" s="257">
        <f>IFERROR(AH134*'Inputs Yr 2'!$P134,0)</f>
        <v>0</v>
      </c>
      <c r="AK134" s="257">
        <f t="shared" ref="AK134:AK197" si="91">IFERROR(AJ134*$H134,0)</f>
        <v>0</v>
      </c>
      <c r="AL134" s="258">
        <f>IFERROR($G134*'Inputs Yr 2'!$P134*'Inputs Yr 2'!$Q134*'Inputs Yr 2'!AP134,0)</f>
        <v>212394</v>
      </c>
      <c r="AM134" s="260">
        <f>IFERROR($G134*'Inputs Yr 2'!$P134*'Inputs Yr 2'!$Q134*'Inputs Yr 2'!AQ134,0)</f>
        <v>0</v>
      </c>
      <c r="AN134" s="258">
        <f>IFERROR($G134*'Inputs Yr 2'!$P134*'Inputs Yr 2'!$Q134*'Inputs Yr 2'!AR134,0)</f>
        <v>0</v>
      </c>
      <c r="AO134" s="257">
        <f t="shared" ref="AO134:AO197" si="92">IFERROR(SUM(AL134:AM134)*$H134,0)</f>
        <v>1486758</v>
      </c>
      <c r="AP134" s="195">
        <f>IFERROR($CQ134*(INDEX(avoidedcosttbl2,$H134,AP$2)+(($H134-ROUNDDOWN($H134,0))*(INDEX(avoidedcosttbl2,ROUNDUP($H134,0),AP$2)-(INDEX(avoidedcosttbl2,ROUNDDOWN($H134,0),AP$2)))))*$O134*1000*'Inputs Yr 2'!AA134,"")</f>
        <v>0</v>
      </c>
      <c r="AQ134" s="195">
        <f>IFERROR($CR134*(INDEX(avoidedcosttbl2,$H134,AQ$2)+(($H134-ROUNDDOWN($H134,0))*(INDEX(avoidedcosttbl2,ROUNDUP($H134,0),AQ$2)-(INDEX(avoidedcosttbl2,ROUNDDOWN($H134,0),AQ$2)))))*$O134*1000*'Inputs Yr 2'!AB134,"")</f>
        <v>0</v>
      </c>
      <c r="AR134" s="195">
        <f>IFERROR($CS134*(INDEX(avoidedcosttbl2,$H134,AR$2)+(($H134-ROUNDDOWN($H134,0))*(INDEX(avoidedcosttbl2,ROUNDUP($H134,0),AR$2)-(INDEX(avoidedcosttbl2,ROUNDDOWN($H134,0),AR$2)))))*$O134*1000*'Inputs Yr 2'!AC134,"")</f>
        <v>0</v>
      </c>
      <c r="AS134" s="195">
        <f>IFERROR($CT134*(INDEX(avoidedcosttbl2,$H134,AS$2)+(($H134-ROUNDDOWN($H134,0))*(INDEX(avoidedcosttbl2,ROUNDUP($H134,0),AS$2)-(INDEX(avoidedcosttbl2,ROUNDDOWN($H134,0),AS$2)))))*$O134*1000*'Inputs Yr 2'!AD134,"")</f>
        <v>0</v>
      </c>
      <c r="AT134" s="196">
        <f t="shared" ref="AT134:AT197" si="93">IFERROR(SUM(AP134:AS134),"")</f>
        <v>0</v>
      </c>
      <c r="AU134" s="197">
        <f>IFERROR($CQ134*((INDEX(avoidedcosttbl2,$H134,AU$2))+(($H134-ROUNDDOWN($H134,0))*((INDEX(avoidedcosttbl2,ROUNDUP($H134,0),AU$2))-(INDEX(avoidedcosttbl2,ROUNDDOWN($H134,0),AU$2)))))*$O134*1000*'Inputs Yr 2'!AA134,"")</f>
        <v>0</v>
      </c>
      <c r="AV134" s="197">
        <f>IFERROR($CR134*((INDEX(avoidedcosttbl2,$H134,AV$2))+(($H134-ROUNDDOWN($H134,0))*((INDEX(avoidedcosttbl2,ROUNDUP($H134,0),AV$2))-(INDEX(avoidedcosttbl2,ROUNDDOWN($H134,0),AV$2)))))*$O134*1000*'Inputs Yr 2'!AB134,"")</f>
        <v>0</v>
      </c>
      <c r="AW134" s="197">
        <f>IFERROR($CS134*((INDEX(avoidedcosttbl2,$H134,AW$2))+(($H134-ROUNDDOWN($H134,0))*((INDEX(avoidedcosttbl2,ROUNDUP($H134,0),AW$2))-(INDEX(avoidedcosttbl2,ROUNDDOWN($H134,0),AW$2)))))*$O134*1000*'Inputs Yr 2'!AC134,"")</f>
        <v>0</v>
      </c>
      <c r="AX134" s="197">
        <f>IFERROR($CT134*((INDEX(avoidedcosttbl2,$H134,AX$2))+(($H134-ROUNDDOWN($H134,0))*((INDEX(avoidedcosttbl2,ROUNDUP($H134,0),AX$2))-(INDEX(avoidedcosttbl2,ROUNDDOWN($H134,0),AX$2)))))*$O134*1000*'Inputs Yr 2'!AD134,"")</f>
        <v>0</v>
      </c>
      <c r="AY134" s="197">
        <f>IFERROR(((INDEX(avoidedcosttbl2,$H134,AY$2))+(($H134-ROUNDDOWN($H134,0))*((INDEX(avoidedcosttbl2,ROUNDUP($H134,0),AY$2))-(INDEX(avoidedcosttbl2,ROUNDDOWN($H134,0),AY$2)))))*$O134*1000*('Inputs Yr 2'!AC134+'Inputs Yr 2'!AD134),"")</f>
        <v>0</v>
      </c>
      <c r="AZ134" s="197">
        <f>IFERROR(((INDEX(avoidedcosttbl2,$H134,AZ$2))+(($H134-ROUNDDOWN($H134,0))*((INDEX(avoidedcosttbl2,ROUNDUP($H134,0),AZ$2))-(INDEX(avoidedcosttbl2,ROUNDDOWN($H134,0),AZ$2)))))*$O134*1000*('Inputs Yr 2'!AA134+'Inputs Yr 2'!AB134),"")</f>
        <v>0</v>
      </c>
      <c r="BA134" s="198">
        <f t="shared" ref="BA134:BA197" si="94">IFERROR(SUM(AU134:AZ134),"")</f>
        <v>0</v>
      </c>
      <c r="BB134" s="198">
        <f t="shared" ref="BB134:BB197" si="95">IFERROR(SUM(AT134,BA134),"")</f>
        <v>0</v>
      </c>
      <c r="BC134" s="195">
        <f t="shared" si="77"/>
        <v>0</v>
      </c>
      <c r="BD134" s="195">
        <f t="shared" si="78"/>
        <v>0</v>
      </c>
      <c r="BE134" s="195">
        <f t="shared" si="79"/>
        <v>0</v>
      </c>
      <c r="BF134" s="195">
        <f t="shared" si="80"/>
        <v>0</v>
      </c>
      <c r="BG134" s="195">
        <f t="shared" si="81"/>
        <v>0</v>
      </c>
      <c r="BH134" s="196">
        <f t="shared" ref="BH134:BH197" si="96">IFERROR(SUM(BC134:BG134),"")</f>
        <v>0</v>
      </c>
      <c r="BI134" s="196">
        <f t="shared" ref="BI134:BI197" si="97">IFERROR(BB134+BH134,"")</f>
        <v>0</v>
      </c>
      <c r="BJ134" s="195">
        <f>IFERROR($G134*(IF('Inputs Yr 2'!$AJ134=BJ$4,'Inputs Yr 2'!$AK134,IF('Inputs Yr 2'!$AL134=BJ$4,'Inputs Yr 2'!$AM134,IF('Inputs Yr 2'!$AN134=BJ$4,'Inputs Yr 2'!$AO134,0))))*(INDEX(avoidedcosttbl2,$H134,BJ$2)+(($H134-ROUNDDOWN($H134,0))*(INDEX(avoidedcosttbl2,ROUNDUP($H134,0),BJ$2)-(INDEX(avoidedcosttbl2,ROUNDDOWN($H134,0),BJ$2)))))*'Inputs Yr 2'!P134*'Inputs Yr 2'!Q134*'Inputs Yr 2'!U134,"")</f>
        <v>0</v>
      </c>
      <c r="BK134" s="195">
        <f>IFERROR($G134*(IF('Inputs Yr 2'!$AJ134=BK$4,'Inputs Yr 2'!$AK134,IF('Inputs Yr 2'!$AL134=BK$4,'Inputs Yr 2'!$AM134,IF('Inputs Yr 2'!$AN134=BK$4,'Inputs Yr 2'!$AO134,0))))*(INDEX(avoidedcosttbl2,$H134,BK$2)+(($H134-ROUNDDOWN($H134,0))*(INDEX(avoidedcosttbl2,ROUNDUP($H134,0),BK$2)-(INDEX(avoidedcosttbl2,ROUNDDOWN($H134,0),BK$2)))))*'Inputs Yr 2'!P134*'Inputs Yr 2'!Q134*'Inputs Yr 2'!U134,"")</f>
        <v>6994.5329631658242</v>
      </c>
      <c r="BL134" s="195">
        <f>IFERROR($G134*(IF('Inputs Yr 2'!$AJ134=BL$4,'Inputs Yr 2'!$AK134,IF('Inputs Yr 2'!$AL134=BL$4,'Inputs Yr 2'!$AM134,IF('Inputs Yr 2'!$AN134=BL$4,'Inputs Yr 2'!$AO134,0))))*(INDEX(avoidedcosttbl2,$H134,BL$2)+(($H134-ROUNDDOWN($H134,0))*(INDEX(avoidedcosttbl2,ROUNDUP($H134,0),BL$2)-(INDEX(avoidedcosttbl2,ROUNDDOWN($H134,0),BL$2)))))*'Inputs Yr 2'!P134*'Inputs Yr 2'!Q134*'Inputs Yr 2'!U134,"")</f>
        <v>0</v>
      </c>
      <c r="BM134" s="195">
        <f>IFERROR($G134*(IF('Inputs Yr 2'!$AJ134=BM$4,'Inputs Yr 2'!$AK134,IF('Inputs Yr 2'!$AL134=BM$4,'Inputs Yr 2'!$AM134,IF('Inputs Yr 2'!$AN134=BM$4,'Inputs Yr 2'!$AO134,0))))*(INDEX(avoidedcosttbl2,$H134,BM$2)+(($H134-ROUNDDOWN($H134,0))*(INDEX(avoidedcosttbl2,ROUNDUP($H134,0),BM$2)-(INDEX(avoidedcosttbl2,ROUNDDOWN($H134,0),BM$2)))))*'Inputs Yr 2'!P134*'Inputs Yr 2'!Q134*'Inputs Yr 2'!U134,"")</f>
        <v>0</v>
      </c>
      <c r="BN134" s="195">
        <f>IFERROR($G134*(IF('Inputs Yr 2'!$AJ134=BN$4,'Inputs Yr 2'!$AK134,IF('Inputs Yr 2'!$AL134=BN$4,'Inputs Yr 2'!$AM134,IF('Inputs Yr 2'!$AN134=BN$4,'Inputs Yr 2'!$AO134,0))))*(INDEX(avoidedcosttbl2,$H134,BN$2)+(($H134-ROUNDDOWN($H134,0))*(INDEX(avoidedcosttbl2,ROUNDUP($H134,0),BN$2)-(INDEX(avoidedcosttbl2,ROUNDDOWN($H134,0),BN$2)))))*'Inputs Yr 2'!P134*'Inputs Yr 2'!Q134*'Inputs Yr 2'!U134,"")</f>
        <v>0</v>
      </c>
      <c r="BO134" s="195">
        <f>IFERROR($G134*(IF('Inputs Yr 2'!$AJ134=BO$4,'Inputs Yr 2'!$AK134,IF('Inputs Yr 2'!$AL134=BO$4,'Inputs Yr 2'!$AM134,IF('Inputs Yr 2'!$AN134=BO$4,'Inputs Yr 2'!$AO134,0))))*(INDEX(avoidedcosttbl2,$H134,BO$2)+(($H134-ROUNDDOWN($H134,0))*(INDEX(avoidedcosttbl2,ROUNDUP($H134,0),BO$2)-(INDEX(avoidedcosttbl2,ROUNDDOWN($H134,0),BO$2)))))*'Inputs Yr 2'!P134*'Inputs Yr 2'!Q134*'Inputs Yr 2'!U134,"")</f>
        <v>0</v>
      </c>
      <c r="BP134" s="195">
        <f>IFERROR($G134*(IF('Inputs Yr 2'!$AJ134=BP$4,'Inputs Yr 2'!$AK134,IF('Inputs Yr 2'!$AL134=BP$4,'Inputs Yr 2'!$AM134,IF('Inputs Yr 2'!$AN134=BP$4,'Inputs Yr 2'!$AO134,0))))*(INDEX(avoidedcosttbl2,$H134,BP$2)+(($H134-ROUNDDOWN($H134,0))*(INDEX(avoidedcosttbl2,ROUNDUP($H134,0),BP$2)-(INDEX(avoidedcosttbl2,ROUNDDOWN($H134,0),BP$2)))))*'Inputs Yr 2'!P134*'Inputs Yr 2'!Q134*'Inputs Yr 2'!U134,"")</f>
        <v>0</v>
      </c>
      <c r="BQ134" s="230">
        <f t="shared" ref="BQ134:BQ197" si="98">IFERROR(SUM(BJ134:BP134),"")</f>
        <v>6994.5329631658242</v>
      </c>
      <c r="BR134" s="197">
        <f t="shared" si="82"/>
        <v>125.00855821129542</v>
      </c>
      <c r="BS134" s="197">
        <f>IFERROR(($G134*IF('Inputs Yr 2'!$AJ134=BM$4,'Inputs Yr 2'!$AK134,IF('Inputs Yr 2'!$AL134=BM$4,'Inputs Yr 2'!$AM134,IF('Inputs Yr 2'!$AN134=BM$4,'Inputs Yr 2'!$AO134,0))))*(INDEX(avoidedcosttbl2,$H134,BS$2)+(($H134-ROUNDDOWN($H134,0))*(INDEX(avoidedcosttbl2,ROUNDUP($H134,0),BS$2)-(INDEX(avoidedcosttbl2,ROUNDDOWN($H134,0),BS$2)))))*'Inputs Yr 2'!P134*'Inputs Yr 2'!Q134*'Inputs Yr 2'!U134,"")</f>
        <v>0</v>
      </c>
      <c r="BT134" s="197">
        <f>IFERROR(($G134*IF('Inputs Yr 2'!$AJ134=BK$4,'Inputs Yr 2'!$AK134,IF('Inputs Yr 2'!$AL134=BK$4,'Inputs Yr 2'!$AM134,IF('Inputs Yr 2'!$AN134=BK$4,'Inputs Yr 2'!$AO134,0))))*(INDEX(avoidedcosttbl2,$H134,BT$2)+(($H134-ROUNDDOWN($H134,0))*(INDEX(avoidedcosttbl2,ROUNDUP($H134,0),BT$2)-(INDEX(avoidedcosttbl2,ROUNDDOWN($H134,0),BT$2)))))*'Inputs Yr 2'!P134*'Inputs Yr 2'!Q134*'Inputs Yr 2'!U134,"")</f>
        <v>952.89047047146403</v>
      </c>
      <c r="BU134" s="197">
        <f>IFERROR(($G134*IF('Inputs Yr 2'!$AJ134=BL$4,'Inputs Yr 2'!$AK134,IF('Inputs Yr 2'!$AL134=BL$4,'Inputs Yr 2'!$AM134,IF('Inputs Yr 2'!$AN134=BL$4,'Inputs Yr 2'!$AO134,0))))*(INDEX(avoidedcosttbl2,$H134,BU$2)+(($H134-ROUNDDOWN($H134,0))*(INDEX(avoidedcosttbl2,ROUNDUP($H134,0),BU$2)-(INDEX(avoidedcosttbl2,ROUNDDOWN($H134,0),BU$2)))))*'Inputs Yr 2'!P134*'Inputs Yr 2'!Q134*'Inputs Yr 2'!U134,"")</f>
        <v>0</v>
      </c>
      <c r="BV134" s="775">
        <f>IFERROR(($G134*IF('Inputs Yr 2'!$AJ134=BJ$4,'Inputs Yr 2'!$AK134,IF('Inputs Yr 2'!$AL134=BJ$4,'Inputs Yr 2'!$AM134,IF('Inputs Yr 2'!$AN134=BJ$4,'Inputs Yr 2'!$AO134,0))))*(INDEX(avoidedcosttbl2,$H134,BV$2)+(($H134-ROUNDDOWN($H134,0))*(INDEX(avoidedcosttbl2,ROUNDUP($H134,0),BV$2)-(INDEX(avoidedcosttbl2,ROUNDDOWN($H134,0),BV$2)))))*'Inputs Yr 2'!P134*'Inputs Yr 2'!Q134*'Inputs Yr 2'!U134,"")</f>
        <v>0</v>
      </c>
      <c r="BW134" s="197">
        <f>IFERROR(($G134*IF('Inputs Yr 2'!$AJ134=BN$4,'Inputs Yr 2'!$AK134,IF('Inputs Yr 2'!$AL134=BN$4,'Inputs Yr 2'!$AM134,IF('Inputs Yr 2'!$AN134=BN$4,'Inputs Yr 2'!$AO134,0))))*(INDEX(avoidedcosttbl2,$H134,BW$2)+(($H134-ROUNDDOWN($H134,0))*(INDEX(avoidedcosttbl2,ROUNDUP($H134,0),BW$2)-(INDEX(avoidedcosttbl2,ROUNDDOWN($H134,0),BW$2)))))*'Inputs Yr 2'!P134*'Inputs Yr 2'!Q134*'Inputs Yr 2'!U134,"")</f>
        <v>0</v>
      </c>
      <c r="BX134" s="197">
        <f>IFERROR(($G134*IF('Inputs Yr 2'!$AJ134=BO$4,'Inputs Yr 2'!$AK134,IF('Inputs Yr 2'!$AL134=BO$4,'Inputs Yr 2'!$AM134,IF('Inputs Yr 2'!$AN134=BO$4,'Inputs Yr 2'!$AO134,0))))*(INDEX(avoidedcosttbl2,$H134,BX$2)+(($H134-ROUNDDOWN($H134,0))*(INDEX(avoidedcosttbl2,ROUNDUP($H134,0),BX$2)-(INDEX(avoidedcosttbl2,ROUNDDOWN($H134,0),BX$2)))))*'Inputs Yr 2'!P134*'Inputs Yr 2'!Q134*'Inputs Yr 2'!U134,"")</f>
        <v>0</v>
      </c>
      <c r="BY134" s="197">
        <f>IFERROR(($G134*IF('Inputs Yr 2'!$AJ134=BP$4,'Inputs Yr 2'!$AK134,IF('Inputs Yr 2'!$AL134=BP$4,'Inputs Yr 2'!$AM134,IF('Inputs Yr 2'!$AN134=BP$4,'Inputs Yr 2'!$AO134,0))))*(INDEX(avoidedcosttbl2,$H134,BY$2)+(($H134-ROUNDDOWN($H134,0))*(INDEX(avoidedcosttbl2,ROUNDUP($H134,0),BY$2)-(INDEX(avoidedcosttbl2,ROUNDDOWN($H134,0),BY$2)))))*'Inputs Yr 2'!P134*'Inputs Yr 2'!Q134*'Inputs Yr 2'!U134,"")</f>
        <v>0</v>
      </c>
      <c r="BZ134" s="193">
        <f t="shared" ref="BZ134:BZ197" si="99">IFERROR(SUM(BR134:BY134),"")</f>
        <v>1077.8990286827595</v>
      </c>
      <c r="CA134" s="193">
        <f t="shared" ref="CA134:CA197" si="100">IFERROR(BQ134+BZ134,"")</f>
        <v>8072.4319918485835</v>
      </c>
      <c r="CB134" s="195">
        <f>IFERROR(G134*(IF('Inputs Yr 2'!$AJ134=CB$4,'Inputs Yr 2'!$AK134,IF('Inputs Yr 2'!$AL134=CB$4,'Inputs Yr 2'!$AM134,IF('Inputs Yr 2'!$AN134=CB$4,'Inputs Yr 2'!$AO134,0))))*(INDEX(avoidedcosttbl2,$H134,CB$2)+(($H134-ROUNDDOWN($H134,0))*(INDEX(avoidedcosttbl2,ROUNDUP($H134,0),CB$2)-(INDEX(avoidedcosttbl2,ROUNDDOWN($H134,0),CB$2)))))*'Inputs Yr 2'!P134*'Inputs Yr 2'!Q134*'Inputs Yr 2'!U134,"")</f>
        <v>0</v>
      </c>
      <c r="CC134" s="195">
        <f>IFERROR(H134*(IF('Inputs Yr 2'!$AJ134=CC$4,'Inputs Yr 2'!$AK134,IF('Inputs Yr 2'!$AL134=CC$4,'Inputs Yr 2'!$AM134,IF('Inputs Yr 2'!$AN134=CC$4,'Inputs Yr 2'!$AO134,0))))*(INDEX(avoidedcosttbl2,$H134,CC$2)+(($H134-ROUNDDOWN($H134,0))*(INDEX(avoidedcosttbl2,ROUNDUP($H134,0),CC$2)-(INDEX(avoidedcosttbl2,ROUNDDOWN($H134,0),CC$2)))))*'Inputs Yr 2'!Q134*'Inputs Yr 2'!R134*'Inputs Yr 2'!V134,"")</f>
        <v>0</v>
      </c>
      <c r="CD134" s="195">
        <f>IFERROR(I134*(IF('Inputs Yr 2'!$AJ134=CD$4,'Inputs Yr 2'!$AK134,IF('Inputs Yr 2'!$AL134=CD$4,'Inputs Yr 2'!$AM134,IF('Inputs Yr 2'!$AN134=CD$4,'Inputs Yr 2'!$AO134,0))))*(INDEX(avoidedcosttbl2,$H134,CD$2)+(($H134-ROUNDDOWN($H134,0))*(INDEX(avoidedcosttbl2,ROUNDUP($H134,0),CD$2)-(INDEX(avoidedcosttbl2,ROUNDDOWN($H134,0),CD$2)))))*'Inputs Yr 2'!R134*'Inputs Yr 2'!S134*'Inputs Yr 2'!W134,"")</f>
        <v>0</v>
      </c>
      <c r="CE134" s="213">
        <f t="shared" ref="CE134:CE197" si="101">IFERROR(AL134*(INDEX(avoidedcosttbl2,$H134,CE$2)+(($H134-ROUNDDOWN($H134,0))*(INDEX(avoidedcosttbl2,ROUNDUP($H134,0),CE$2)-(INDEX(avoidedcosttbl2,ROUNDDOWN($H134,0),CE$2))))),"")</f>
        <v>15861.326045300251</v>
      </c>
      <c r="CF134" s="213">
        <f t="shared" ref="CF134:CF197" si="102">IFERROR(AM134*(INDEX(avoidedcosttbl2,$H134,CF$2)+(($H134-ROUNDDOWN($H134,0))*(INDEX(avoidedcosttbl2,ROUNDUP($H134,0),CF$2)-(INDEX(avoidedcosttbl2,ROUNDDOWN($H134,0),CF$2))))),"")</f>
        <v>0</v>
      </c>
      <c r="CG134" s="213">
        <f t="shared" ref="CG134:CG197" si="103">IFERROR(AN134*(INDEX(avoidedcosttbl2,$H134,CG$2)+(($H134-ROUNDDOWN($H134,0))*(INDEX(avoidedcosttbl2,ROUNDUP($H134,0),CG$2)-(INDEX(avoidedcosttbl2,ROUNDDOWN($H134,0),CG$2))))),"")</f>
        <v>0</v>
      </c>
      <c r="CH134" s="698">
        <f t="shared" ref="CH134:CH197" si="104">IFERROR(SUM(CA134:CG134),"")</f>
        <v>23933.758037148837</v>
      </c>
      <c r="CI134" s="79">
        <f>IFERROR(($G134*'Inputs Yr 2'!$P134*'Inputs Yr 2'!$Q134*(((INDEX(avoidedcosttbl2,$H134,CI$2)+(($H134-ROUNDDOWN($H134,0))*(INDEX(avoidedcosttbl2,ROUNDUP($H134,0),CI$2)-INDEX(avoidedcosttbl2,ROUNDDOWN($H134,0),CI$2))))*'Inputs Yr 2'!AS134))),"")</f>
        <v>311.8630444229845</v>
      </c>
      <c r="CJ134" s="504">
        <f>IFERROR($G134*'Inputs Yr 2'!AT134*'Inputs Yr 2'!$P134*'Inputs Yr 2'!$Q134/((1+realdiscrt1)^-0.5),"")</f>
        <v>0</v>
      </c>
      <c r="CK134" s="79">
        <f>IFERROR((O134*1000*(((INDEX(avoidedcosttbl2,$H134,CK$2)+(($H134-ROUNDDOWN($H134,0))*(INDEX(avoidedcosttbl2,ROUNDUP($H134,0),CK$2)-INDEX(avoidedcosttbl2,ROUNDDOWN($H134,0),CK$2))))*'Inputs Yr 2'!AU134))),"")</f>
        <v>0</v>
      </c>
      <c r="CL134" s="504">
        <f>IFERROR(O134*1000*'Inputs Yr 2'!AV134/((1+realdiscrt1)^-0.5),"")</f>
        <v>0</v>
      </c>
      <c r="CM134" s="79">
        <f>IFERROR((AB134*'Inputs Yr 2'!AW134*(((INDEX(avoidedcosttbl2,$H134,CM$2)+(($H134-ROUNDDOWN($H134,0))*(INDEX(avoidedcosttbl2,ROUNDUP($H134,0),CM$2)-INDEX(avoidedcosttbl2,ROUNDDOWN($H134,0),CM$2)))))))*10,"")</f>
        <v>1196.0485448525633</v>
      </c>
      <c r="CN134" s="504">
        <f>IFERROR(10*AB134*'Inputs Yr 2'!AX134/((1+realdiscrt1)^-0.5),"")</f>
        <v>98.621052942854817</v>
      </c>
      <c r="CO134" s="505">
        <f t="shared" ref="CO134:CO197" si="105">SUM(CI134:CN134)</f>
        <v>1606.5326422184025</v>
      </c>
      <c r="CP134" s="230">
        <f t="shared" ref="CP134:CP197" si="106">IFERROR(CO134+CH134+BI134,"")</f>
        <v>25540.290679367237</v>
      </c>
      <c r="CQ134" s="199">
        <f>ROUND(IFERROR(IF(LEFT($A134,1)="C",'Avoided Costs'!$K$13,'Avoided Costs'!$K$12)+1,""),4)</f>
        <v>1.0720000000000001</v>
      </c>
      <c r="CR134" s="199">
        <f>ROUND(IFERROR(IF(LEFT($A134,1)="C",'Avoided Costs'!$L$13,'Avoided Costs'!$L$12)+1,""),4)</f>
        <v>1.04</v>
      </c>
      <c r="CS134" s="199">
        <f>ROUND(IFERROR(IF(LEFT($A134,1)="C",'Avoided Costs'!$M$13,'Avoided Costs'!$M$12)+1,""),4)</f>
        <v>1.0720000000000001</v>
      </c>
      <c r="CT134" s="199">
        <f>ROUND(IFERROR(IF(LEFT($A134,1)="C",'Avoided Costs'!$N$13,'Avoided Costs'!$N$12)+1,""),4)</f>
        <v>1.04</v>
      </c>
      <c r="CU134" s="199">
        <f>ROUND(IFERROR(IF(LEFT($A134,1)="C",'Avoided Costs'!$O$13,'Avoided Costs'!$O$12)+1,""),4)</f>
        <v>1.1120000000000001</v>
      </c>
      <c r="CV134" s="199">
        <f>ROUND(IFERROR(IF(LEFT($A134,1)="C",'Avoided Costs'!$P$13,'Avoided Costs'!$P$12)+1,""),4)</f>
        <v>1.095</v>
      </c>
      <c r="CW134" s="199">
        <f>ROUND(IFERROR(IF(LEFT($A134,1)="C",'Avoided Costs'!$Q$13,'Avoided Costs'!$Q$12)+1,""),4)</f>
        <v>1.1120000000000001</v>
      </c>
      <c r="CX134" s="200">
        <f>ROUND(IFERROR(IF(LEFT($A134,1)="C",'Avoided Costs'!$R$13,'Avoided Costs'!$R$12)+1,""),4)</f>
        <v>1.1120000000000001</v>
      </c>
    </row>
    <row r="135" spans="1:102" ht="12.75" customHeight="1">
      <c r="A135" s="91" t="str">
        <f>IF('Inputs Yr 2'!$B135=0,"",'Inputs Yr 2'!A135)</f>
        <v>B - Low Income</v>
      </c>
      <c r="B135" s="91" t="str">
        <f>IF('Inputs Yr 2'!$B135=0,"",'Inputs Yr 2'!B135)</f>
        <v>B1 - Low-Income Whole House</v>
      </c>
      <c r="C135" s="91" t="str">
        <f>IF('Inputs Yr 2'!$B135=0,"",'Inputs Yr 2'!C135)</f>
        <v>B1b - Low-Income Multi-Family Retrofit</v>
      </c>
      <c r="D135" s="91" t="str">
        <f>IF('Inputs Yr 2'!$B135=0,"",'Inputs Yr 2'!E135)</f>
        <v>Low Flow Showerhead, Gas</v>
      </c>
      <c r="E135" s="93" t="str">
        <f>IF('Inputs Yr 2'!$B135=0,"",'Inputs Yr 2'!F135)</f>
        <v>G16B1b15</v>
      </c>
      <c r="F135" s="93" t="str">
        <f>IF('Inputs Yr 2'!$B135=0,"",'Inputs Yr 2'!G135)</f>
        <v>Hot Water</v>
      </c>
      <c r="G135" s="95">
        <f>IF('Inputs Yr 2'!$H135&lt;&gt;0,('Inputs Yr 2'!H135),"")</f>
        <v>504</v>
      </c>
      <c r="H135" s="94">
        <f>IFERROR('Inputs Yr 2'!I135,"")</f>
        <v>7</v>
      </c>
      <c r="I135" s="298">
        <f>IFERROR('Inputs Yr 2'!J135*'Inputs Yr 2'!P135*G135,"")</f>
        <v>9672.75</v>
      </c>
      <c r="J135" s="298">
        <f>IFERROR('Inputs Yr 2'!K135*G135,"")</f>
        <v>9672.75</v>
      </c>
      <c r="K135" s="298">
        <f t="shared" si="83"/>
        <v>0</v>
      </c>
      <c r="L135" s="194">
        <f>IFERROR(('Inputs Yr 2'!W135*G135)/1000,"")</f>
        <v>0</v>
      </c>
      <c r="M135" s="194">
        <f>IFERROR(L135*('Inputs Yr 2'!$Q135*'Inputs Yr 2'!$V135*'Inputs Yr 2'!$R135),"")</f>
        <v>0</v>
      </c>
      <c r="N135" s="194">
        <f t="shared" si="84"/>
        <v>0</v>
      </c>
      <c r="O135" s="194">
        <f>IFERROR(M135*'Inputs Yr 2'!P135,"")</f>
        <v>0</v>
      </c>
      <c r="P135" s="194">
        <f t="shared" si="85"/>
        <v>0</v>
      </c>
      <c r="Q135" s="194">
        <f>IFERROR($P135*'Inputs Yr 2'!AA135,"")</f>
        <v>0</v>
      </c>
      <c r="R135" s="194">
        <f>IFERROR($P135*'Inputs Yr 2'!AB135,"")</f>
        <v>0</v>
      </c>
      <c r="S135" s="194">
        <f>IFERROR($P135*'Inputs Yr 2'!AC135,"")</f>
        <v>0</v>
      </c>
      <c r="T135" s="194">
        <f>IFERROR($P135*'Inputs Yr 2'!AD135,"")</f>
        <v>0</v>
      </c>
      <c r="U135" s="194">
        <f>IFERROR(G135*'Inputs Yr 2'!$AE135*'Inputs Yr 2'!$P135*'Inputs Yr 2'!$Q135,"")</f>
        <v>0</v>
      </c>
      <c r="V135" s="194">
        <f>IFERROR($G135*'Inputs Yr 2'!$AE135*'Inputs Yr 2'!$AG135*'Inputs Yr 2'!Q135*'Inputs Yr 2'!$S135,"")</f>
        <v>0</v>
      </c>
      <c r="W135" s="194">
        <f>IFERROR($G135*'Inputs Yr 2'!$AE135*'Inputs Yr 2'!$AG135*'Inputs Yr 2'!P135*'Inputs Yr 2'!Q135*'Inputs Yr 2'!$S135,"")</f>
        <v>0</v>
      </c>
      <c r="X135" s="194">
        <f>IFERROR($G135*'Inputs Yr 2'!$AE135*'Inputs Yr 2'!$AF135*'Inputs Yr 2'!Q135*'Inputs Yr 2'!$T135,"")</f>
        <v>0</v>
      </c>
      <c r="Y135" s="194">
        <f>IFERROR($G135*'Inputs Yr 2'!$AE135*'Inputs Yr 2'!$AF135*'Inputs Yr 2'!P135*'Inputs Yr 2'!Q135*'Inputs Yr 2'!$T135,"")</f>
        <v>0</v>
      </c>
      <c r="Z135" s="257">
        <f>IFERROR($G135*'Inputs Yr 2'!$Q135*'Inputs Yr 2'!$U135*(IF(IFERROR(SEARCH("NG", 'Inputs Yr 2'!$AJ135),0),'Inputs Yr 2'!$AK135,0)+IF(IFERROR(SEARCH("NG", 'Inputs Yr 2'!$AL135),0),'Inputs Yr 2'!$AM135,0)+IF(IFERROR(SEARCH("NG", 'Inputs Yr 2'!$AN135),0),'Inputs Yr 2'!$AO135,0)),0)</f>
        <v>539.28000000000009</v>
      </c>
      <c r="AA135" s="257">
        <f t="shared" si="86"/>
        <v>3774.9600000000005</v>
      </c>
      <c r="AB135" s="257">
        <f>IFERROR(Z135*'Inputs Yr 2'!$P135,0)</f>
        <v>539.28000000000009</v>
      </c>
      <c r="AC135" s="257">
        <f t="shared" si="87"/>
        <v>3774.9600000000005</v>
      </c>
      <c r="AD135" s="257">
        <f>IFERROR($G135*'Inputs Yr 2'!$Q135*'Inputs Yr 2'!$U135*(IF(IFERROR(SEARCH("Oil", 'Inputs Yr 2'!$AJ135), 0),'Inputs Yr 2'!$AK135,0)+IF(IFERROR(SEARCH("Oil", 'Inputs Yr 2'!$AL135), 0),'Inputs Yr 2'!$AM135,0)+IF(IFERROR(SEARCH("Oil", 'Inputs Yr 2'!$AN135), 0),'Inputs Yr 2'!$AO135,0)),0)</f>
        <v>0</v>
      </c>
      <c r="AE135" s="257">
        <f t="shared" si="88"/>
        <v>0</v>
      </c>
      <c r="AF135" s="257">
        <f>IFERROR(AD135*'Inputs Yr 2'!$P135,0)</f>
        <v>0</v>
      </c>
      <c r="AG135" s="257">
        <f t="shared" si="89"/>
        <v>0</v>
      </c>
      <c r="AH135" s="257">
        <f>IFERROR($G135*'Inputs Yr 2'!$Q135*'Inputs Yr 2'!$U135*(IF('Inputs Yr 2'!$AJ135=CD$4,'Inputs Yr 2'!$AK135,IF('Inputs Yr 2'!$AL135=CD$4,'Inputs Yr 2'!$AM135,IF('Inputs Yr 2'!$AN135=CD$4,'Inputs Yr 2'!$AO135,0)))),0)</f>
        <v>0</v>
      </c>
      <c r="AI135" s="257">
        <f t="shared" si="90"/>
        <v>0</v>
      </c>
      <c r="AJ135" s="257">
        <f>IFERROR(AH135*'Inputs Yr 2'!$P135,0)</f>
        <v>0</v>
      </c>
      <c r="AK135" s="257">
        <f t="shared" si="91"/>
        <v>0</v>
      </c>
      <c r="AL135" s="258">
        <f>IFERROR($G135*'Inputs Yr 2'!$P135*'Inputs Yr 2'!$Q135*'Inputs Yr 2'!AP135,0)</f>
        <v>886536</v>
      </c>
      <c r="AM135" s="260">
        <f>IFERROR($G135*'Inputs Yr 2'!$P135*'Inputs Yr 2'!$Q135*'Inputs Yr 2'!AQ135,0)</f>
        <v>0</v>
      </c>
      <c r="AN135" s="258">
        <f>IFERROR($G135*'Inputs Yr 2'!$P135*'Inputs Yr 2'!$Q135*'Inputs Yr 2'!AR135,0)</f>
        <v>0</v>
      </c>
      <c r="AO135" s="257">
        <f t="shared" si="92"/>
        <v>6205752</v>
      </c>
      <c r="AP135" s="195">
        <f>IFERROR($CQ135*(INDEX(avoidedcosttbl2,$H135,AP$2)+(($H135-ROUNDDOWN($H135,0))*(INDEX(avoidedcosttbl2,ROUNDUP($H135,0),AP$2)-(INDEX(avoidedcosttbl2,ROUNDDOWN($H135,0),AP$2)))))*$O135*1000*'Inputs Yr 2'!AA135,"")</f>
        <v>0</v>
      </c>
      <c r="AQ135" s="195">
        <f>IFERROR($CR135*(INDEX(avoidedcosttbl2,$H135,AQ$2)+(($H135-ROUNDDOWN($H135,0))*(INDEX(avoidedcosttbl2,ROUNDUP($H135,0),AQ$2)-(INDEX(avoidedcosttbl2,ROUNDDOWN($H135,0),AQ$2)))))*$O135*1000*'Inputs Yr 2'!AB135,"")</f>
        <v>0</v>
      </c>
      <c r="AR135" s="195">
        <f>IFERROR($CS135*(INDEX(avoidedcosttbl2,$H135,AR$2)+(($H135-ROUNDDOWN($H135,0))*(INDEX(avoidedcosttbl2,ROUNDUP($H135,0),AR$2)-(INDEX(avoidedcosttbl2,ROUNDDOWN($H135,0),AR$2)))))*$O135*1000*'Inputs Yr 2'!AC135,"")</f>
        <v>0</v>
      </c>
      <c r="AS135" s="195">
        <f>IFERROR($CT135*(INDEX(avoidedcosttbl2,$H135,AS$2)+(($H135-ROUNDDOWN($H135,0))*(INDEX(avoidedcosttbl2,ROUNDUP($H135,0),AS$2)-(INDEX(avoidedcosttbl2,ROUNDDOWN($H135,0),AS$2)))))*$O135*1000*'Inputs Yr 2'!AD135,"")</f>
        <v>0</v>
      </c>
      <c r="AT135" s="196">
        <f t="shared" si="93"/>
        <v>0</v>
      </c>
      <c r="AU135" s="197">
        <f>IFERROR($CQ135*((INDEX(avoidedcosttbl2,$H135,AU$2))+(($H135-ROUNDDOWN($H135,0))*((INDEX(avoidedcosttbl2,ROUNDUP($H135,0),AU$2))-(INDEX(avoidedcosttbl2,ROUNDDOWN($H135,0),AU$2)))))*$O135*1000*'Inputs Yr 2'!AA135,"")</f>
        <v>0</v>
      </c>
      <c r="AV135" s="197">
        <f>IFERROR($CR135*((INDEX(avoidedcosttbl2,$H135,AV$2))+(($H135-ROUNDDOWN($H135,0))*((INDEX(avoidedcosttbl2,ROUNDUP($H135,0),AV$2))-(INDEX(avoidedcosttbl2,ROUNDDOWN($H135,0),AV$2)))))*$O135*1000*'Inputs Yr 2'!AB135,"")</f>
        <v>0</v>
      </c>
      <c r="AW135" s="197">
        <f>IFERROR($CS135*((INDEX(avoidedcosttbl2,$H135,AW$2))+(($H135-ROUNDDOWN($H135,0))*((INDEX(avoidedcosttbl2,ROUNDUP($H135,0),AW$2))-(INDEX(avoidedcosttbl2,ROUNDDOWN($H135,0),AW$2)))))*$O135*1000*'Inputs Yr 2'!AC135,"")</f>
        <v>0</v>
      </c>
      <c r="AX135" s="197">
        <f>IFERROR($CT135*((INDEX(avoidedcosttbl2,$H135,AX$2))+(($H135-ROUNDDOWN($H135,0))*((INDEX(avoidedcosttbl2,ROUNDUP($H135,0),AX$2))-(INDEX(avoidedcosttbl2,ROUNDDOWN($H135,0),AX$2)))))*$O135*1000*'Inputs Yr 2'!AD135,"")</f>
        <v>0</v>
      </c>
      <c r="AY135" s="197">
        <f>IFERROR(((INDEX(avoidedcosttbl2,$H135,AY$2))+(($H135-ROUNDDOWN($H135,0))*((INDEX(avoidedcosttbl2,ROUNDUP($H135,0),AY$2))-(INDEX(avoidedcosttbl2,ROUNDDOWN($H135,0),AY$2)))))*$O135*1000*('Inputs Yr 2'!AC135+'Inputs Yr 2'!AD135),"")</f>
        <v>0</v>
      </c>
      <c r="AZ135" s="197">
        <f>IFERROR(((INDEX(avoidedcosttbl2,$H135,AZ$2))+(($H135-ROUNDDOWN($H135,0))*((INDEX(avoidedcosttbl2,ROUNDUP($H135,0),AZ$2))-(INDEX(avoidedcosttbl2,ROUNDDOWN($H135,0),AZ$2)))))*$O135*1000*('Inputs Yr 2'!AA135+'Inputs Yr 2'!AB135),"")</f>
        <v>0</v>
      </c>
      <c r="BA135" s="198">
        <f t="shared" si="94"/>
        <v>0</v>
      </c>
      <c r="BB135" s="198">
        <f t="shared" si="95"/>
        <v>0</v>
      </c>
      <c r="BC135" s="195">
        <f t="shared" si="77"/>
        <v>0</v>
      </c>
      <c r="BD135" s="195">
        <f t="shared" si="78"/>
        <v>0</v>
      </c>
      <c r="BE135" s="195">
        <f t="shared" si="79"/>
        <v>0</v>
      </c>
      <c r="BF135" s="195">
        <f t="shared" si="80"/>
        <v>0</v>
      </c>
      <c r="BG135" s="195">
        <f t="shared" si="81"/>
        <v>0</v>
      </c>
      <c r="BH135" s="196">
        <f t="shared" si="96"/>
        <v>0</v>
      </c>
      <c r="BI135" s="196">
        <f t="shared" si="97"/>
        <v>0</v>
      </c>
      <c r="BJ135" s="195">
        <f>IFERROR($G135*(IF('Inputs Yr 2'!$AJ135=BJ$4,'Inputs Yr 2'!$AK135,IF('Inputs Yr 2'!$AL135=BJ$4,'Inputs Yr 2'!$AM135,IF('Inputs Yr 2'!$AN135=BJ$4,'Inputs Yr 2'!$AO135,0))))*(INDEX(avoidedcosttbl2,$H135,BJ$2)+(($H135-ROUNDDOWN($H135,0))*(INDEX(avoidedcosttbl2,ROUNDUP($H135,0),BJ$2)-(INDEX(avoidedcosttbl2,ROUNDDOWN($H135,0),BJ$2)))))*'Inputs Yr 2'!P135*'Inputs Yr 2'!Q135*'Inputs Yr 2'!U135,"")</f>
        <v>0</v>
      </c>
      <c r="BK135" s="195">
        <f>IFERROR($G135*(IF('Inputs Yr 2'!$AJ135=BK$4,'Inputs Yr 2'!$AK135,IF('Inputs Yr 2'!$AL135=BK$4,'Inputs Yr 2'!$AM135,IF('Inputs Yr 2'!$AN135=BK$4,'Inputs Yr 2'!$AO135,0))))*(INDEX(avoidedcosttbl2,$H135,BK$2)+(($H135-ROUNDDOWN($H135,0))*(INDEX(avoidedcosttbl2,ROUNDUP($H135,0),BK$2)-(INDEX(avoidedcosttbl2,ROUNDDOWN($H135,0),BK$2)))))*'Inputs Yr 2'!P135*'Inputs Yr 2'!Q135*'Inputs Yr 2'!U135,"")</f>
        <v>29132.002906827824</v>
      </c>
      <c r="BL135" s="195">
        <f>IFERROR($G135*(IF('Inputs Yr 2'!$AJ135=BL$4,'Inputs Yr 2'!$AK135,IF('Inputs Yr 2'!$AL135=BL$4,'Inputs Yr 2'!$AM135,IF('Inputs Yr 2'!$AN135=BL$4,'Inputs Yr 2'!$AO135,0))))*(INDEX(avoidedcosttbl2,$H135,BL$2)+(($H135-ROUNDDOWN($H135,0))*(INDEX(avoidedcosttbl2,ROUNDUP($H135,0),BL$2)-(INDEX(avoidedcosttbl2,ROUNDDOWN($H135,0),BL$2)))))*'Inputs Yr 2'!P135*'Inputs Yr 2'!Q135*'Inputs Yr 2'!U135,"")</f>
        <v>0</v>
      </c>
      <c r="BM135" s="195">
        <f>IFERROR($G135*(IF('Inputs Yr 2'!$AJ135=BM$4,'Inputs Yr 2'!$AK135,IF('Inputs Yr 2'!$AL135=BM$4,'Inputs Yr 2'!$AM135,IF('Inputs Yr 2'!$AN135=BM$4,'Inputs Yr 2'!$AO135,0))))*(INDEX(avoidedcosttbl2,$H135,BM$2)+(($H135-ROUNDDOWN($H135,0))*(INDEX(avoidedcosttbl2,ROUNDUP($H135,0),BM$2)-(INDEX(avoidedcosttbl2,ROUNDDOWN($H135,0),BM$2)))))*'Inputs Yr 2'!P135*'Inputs Yr 2'!Q135*'Inputs Yr 2'!U135,"")</f>
        <v>0</v>
      </c>
      <c r="BN135" s="195">
        <f>IFERROR($G135*(IF('Inputs Yr 2'!$AJ135=BN$4,'Inputs Yr 2'!$AK135,IF('Inputs Yr 2'!$AL135=BN$4,'Inputs Yr 2'!$AM135,IF('Inputs Yr 2'!$AN135=BN$4,'Inputs Yr 2'!$AO135,0))))*(INDEX(avoidedcosttbl2,$H135,BN$2)+(($H135-ROUNDDOWN($H135,0))*(INDEX(avoidedcosttbl2,ROUNDUP($H135,0),BN$2)-(INDEX(avoidedcosttbl2,ROUNDDOWN($H135,0),BN$2)))))*'Inputs Yr 2'!P135*'Inputs Yr 2'!Q135*'Inputs Yr 2'!U135,"")</f>
        <v>0</v>
      </c>
      <c r="BO135" s="195">
        <f>IFERROR($G135*(IF('Inputs Yr 2'!$AJ135=BO$4,'Inputs Yr 2'!$AK135,IF('Inputs Yr 2'!$AL135=BO$4,'Inputs Yr 2'!$AM135,IF('Inputs Yr 2'!$AN135=BO$4,'Inputs Yr 2'!$AO135,0))))*(INDEX(avoidedcosttbl2,$H135,BO$2)+(($H135-ROUNDDOWN($H135,0))*(INDEX(avoidedcosttbl2,ROUNDUP($H135,0),BO$2)-(INDEX(avoidedcosttbl2,ROUNDDOWN($H135,0),BO$2)))))*'Inputs Yr 2'!P135*'Inputs Yr 2'!Q135*'Inputs Yr 2'!U135,"")</f>
        <v>0</v>
      </c>
      <c r="BP135" s="195">
        <f>IFERROR($G135*(IF('Inputs Yr 2'!$AJ135=BP$4,'Inputs Yr 2'!$AK135,IF('Inputs Yr 2'!$AL135=BP$4,'Inputs Yr 2'!$AM135,IF('Inputs Yr 2'!$AN135=BP$4,'Inputs Yr 2'!$AO135,0))))*(INDEX(avoidedcosttbl2,$H135,BP$2)+(($H135-ROUNDDOWN($H135,0))*(INDEX(avoidedcosttbl2,ROUNDUP($H135,0),BP$2)-(INDEX(avoidedcosttbl2,ROUNDDOWN($H135,0),BP$2)))))*'Inputs Yr 2'!P135*'Inputs Yr 2'!Q135*'Inputs Yr 2'!U135,"")</f>
        <v>0</v>
      </c>
      <c r="BQ135" s="230">
        <f t="shared" si="98"/>
        <v>29132.002906827824</v>
      </c>
      <c r="BR135" s="197">
        <f t="shared" si="82"/>
        <v>520.65658999217953</v>
      </c>
      <c r="BS135" s="197">
        <f>IFERROR(($G135*IF('Inputs Yr 2'!$AJ135=BM$4,'Inputs Yr 2'!$AK135,IF('Inputs Yr 2'!$AL135=BM$4,'Inputs Yr 2'!$AM135,IF('Inputs Yr 2'!$AN135=BM$4,'Inputs Yr 2'!$AO135,0))))*(INDEX(avoidedcosttbl2,$H135,BS$2)+(($H135-ROUNDDOWN($H135,0))*(INDEX(avoidedcosttbl2,ROUNDUP($H135,0),BS$2)-(INDEX(avoidedcosttbl2,ROUNDDOWN($H135,0),BS$2)))))*'Inputs Yr 2'!P135*'Inputs Yr 2'!Q135*'Inputs Yr 2'!U135,"")</f>
        <v>0</v>
      </c>
      <c r="BT135" s="197">
        <f>IFERROR(($G135*IF('Inputs Yr 2'!$AJ135=BK$4,'Inputs Yr 2'!$AK135,IF('Inputs Yr 2'!$AL135=BK$4,'Inputs Yr 2'!$AM135,IF('Inputs Yr 2'!$AN135=BK$4,'Inputs Yr 2'!$AO135,0))))*(INDEX(avoidedcosttbl2,$H135,BT$2)+(($H135-ROUNDDOWN($H135,0))*(INDEX(avoidedcosttbl2,ROUNDUP($H135,0),BT$2)-(INDEX(avoidedcosttbl2,ROUNDDOWN($H135,0),BT$2)))))*'Inputs Yr 2'!P135*'Inputs Yr 2'!Q135*'Inputs Yr 2'!U135,"")</f>
        <v>3968.7579001842082</v>
      </c>
      <c r="BU135" s="197">
        <f>IFERROR(($G135*IF('Inputs Yr 2'!$AJ135=BL$4,'Inputs Yr 2'!$AK135,IF('Inputs Yr 2'!$AL135=BL$4,'Inputs Yr 2'!$AM135,IF('Inputs Yr 2'!$AN135=BL$4,'Inputs Yr 2'!$AO135,0))))*(INDEX(avoidedcosttbl2,$H135,BU$2)+(($H135-ROUNDDOWN($H135,0))*(INDEX(avoidedcosttbl2,ROUNDUP($H135,0),BU$2)-(INDEX(avoidedcosttbl2,ROUNDDOWN($H135,0),BU$2)))))*'Inputs Yr 2'!P135*'Inputs Yr 2'!Q135*'Inputs Yr 2'!U135,"")</f>
        <v>0</v>
      </c>
      <c r="BV135" s="775">
        <f>IFERROR(($G135*IF('Inputs Yr 2'!$AJ135=BJ$4,'Inputs Yr 2'!$AK135,IF('Inputs Yr 2'!$AL135=BJ$4,'Inputs Yr 2'!$AM135,IF('Inputs Yr 2'!$AN135=BJ$4,'Inputs Yr 2'!$AO135,0))))*(INDEX(avoidedcosttbl2,$H135,BV$2)+(($H135-ROUNDDOWN($H135,0))*(INDEX(avoidedcosttbl2,ROUNDUP($H135,0),BV$2)-(INDEX(avoidedcosttbl2,ROUNDDOWN($H135,0),BV$2)))))*'Inputs Yr 2'!P135*'Inputs Yr 2'!Q135*'Inputs Yr 2'!U135,"")</f>
        <v>0</v>
      </c>
      <c r="BW135" s="197">
        <f>IFERROR(($G135*IF('Inputs Yr 2'!$AJ135=BN$4,'Inputs Yr 2'!$AK135,IF('Inputs Yr 2'!$AL135=BN$4,'Inputs Yr 2'!$AM135,IF('Inputs Yr 2'!$AN135=BN$4,'Inputs Yr 2'!$AO135,0))))*(INDEX(avoidedcosttbl2,$H135,BW$2)+(($H135-ROUNDDOWN($H135,0))*(INDEX(avoidedcosttbl2,ROUNDUP($H135,0),BW$2)-(INDEX(avoidedcosttbl2,ROUNDDOWN($H135,0),BW$2)))))*'Inputs Yr 2'!P135*'Inputs Yr 2'!Q135*'Inputs Yr 2'!U135,"")</f>
        <v>0</v>
      </c>
      <c r="BX135" s="197">
        <f>IFERROR(($G135*IF('Inputs Yr 2'!$AJ135=BO$4,'Inputs Yr 2'!$AK135,IF('Inputs Yr 2'!$AL135=BO$4,'Inputs Yr 2'!$AM135,IF('Inputs Yr 2'!$AN135=BO$4,'Inputs Yr 2'!$AO135,0))))*(INDEX(avoidedcosttbl2,$H135,BX$2)+(($H135-ROUNDDOWN($H135,0))*(INDEX(avoidedcosttbl2,ROUNDUP($H135,0),BX$2)-(INDEX(avoidedcosttbl2,ROUNDDOWN($H135,0),BX$2)))))*'Inputs Yr 2'!P135*'Inputs Yr 2'!Q135*'Inputs Yr 2'!U135,"")</f>
        <v>0</v>
      </c>
      <c r="BY135" s="197">
        <f>IFERROR(($G135*IF('Inputs Yr 2'!$AJ135=BP$4,'Inputs Yr 2'!$AK135,IF('Inputs Yr 2'!$AL135=BP$4,'Inputs Yr 2'!$AM135,IF('Inputs Yr 2'!$AN135=BP$4,'Inputs Yr 2'!$AO135,0))))*(INDEX(avoidedcosttbl2,$H135,BY$2)+(($H135-ROUNDDOWN($H135,0))*(INDEX(avoidedcosttbl2,ROUNDUP($H135,0),BY$2)-(INDEX(avoidedcosttbl2,ROUNDDOWN($H135,0),BY$2)))))*'Inputs Yr 2'!P135*'Inputs Yr 2'!Q135*'Inputs Yr 2'!U135,"")</f>
        <v>0</v>
      </c>
      <c r="BZ135" s="193">
        <f t="shared" si="99"/>
        <v>4489.4144901763875</v>
      </c>
      <c r="CA135" s="193">
        <f t="shared" si="100"/>
        <v>33621.41739700421</v>
      </c>
      <c r="CB135" s="195">
        <f>IFERROR(G135*(IF('Inputs Yr 2'!$AJ135=CB$4,'Inputs Yr 2'!$AK135,IF('Inputs Yr 2'!$AL135=CB$4,'Inputs Yr 2'!$AM135,IF('Inputs Yr 2'!$AN135=CB$4,'Inputs Yr 2'!$AO135,0))))*(INDEX(avoidedcosttbl2,$H135,CB$2)+(($H135-ROUNDDOWN($H135,0))*(INDEX(avoidedcosttbl2,ROUNDUP($H135,0),CB$2)-(INDEX(avoidedcosttbl2,ROUNDDOWN($H135,0),CB$2)))))*'Inputs Yr 2'!P135*'Inputs Yr 2'!Q135*'Inputs Yr 2'!U135,"")</f>
        <v>0</v>
      </c>
      <c r="CC135" s="195">
        <f>IFERROR(H135*(IF('Inputs Yr 2'!$AJ135=CC$4,'Inputs Yr 2'!$AK135,IF('Inputs Yr 2'!$AL135=CC$4,'Inputs Yr 2'!$AM135,IF('Inputs Yr 2'!$AN135=CC$4,'Inputs Yr 2'!$AO135,0))))*(INDEX(avoidedcosttbl2,$H135,CC$2)+(($H135-ROUNDDOWN($H135,0))*(INDEX(avoidedcosttbl2,ROUNDUP($H135,0),CC$2)-(INDEX(avoidedcosttbl2,ROUNDDOWN($H135,0),CC$2)))))*'Inputs Yr 2'!Q135*'Inputs Yr 2'!R135*'Inputs Yr 2'!V135,"")</f>
        <v>0</v>
      </c>
      <c r="CD135" s="195">
        <f>IFERROR(I135*(IF('Inputs Yr 2'!$AJ135=CD$4,'Inputs Yr 2'!$AK135,IF('Inputs Yr 2'!$AL135=CD$4,'Inputs Yr 2'!$AM135,IF('Inputs Yr 2'!$AN135=CD$4,'Inputs Yr 2'!$AO135,0))))*(INDEX(avoidedcosttbl2,$H135,CD$2)+(($H135-ROUNDDOWN($H135,0))*(INDEX(avoidedcosttbl2,ROUNDUP($H135,0),CD$2)-(INDEX(avoidedcosttbl2,ROUNDDOWN($H135,0),CD$2)))))*'Inputs Yr 2'!R135*'Inputs Yr 2'!S135*'Inputs Yr 2'!W135,"")</f>
        <v>0</v>
      </c>
      <c r="CE135" s="213">
        <f t="shared" si="101"/>
        <v>66205.432106821769</v>
      </c>
      <c r="CF135" s="213">
        <f t="shared" si="102"/>
        <v>0</v>
      </c>
      <c r="CG135" s="213">
        <f t="shared" si="103"/>
        <v>0</v>
      </c>
      <c r="CH135" s="698">
        <f t="shared" si="104"/>
        <v>99826.849503825972</v>
      </c>
      <c r="CI135" s="79">
        <f>IFERROR(($G135*'Inputs Yr 2'!$P135*'Inputs Yr 2'!$Q135*(((INDEX(avoidedcosttbl2,$H135,CI$2)+(($H135-ROUNDDOWN($H135,0))*(INDEX(avoidedcosttbl2,ROUNDUP($H135,0),CI$2)-INDEX(avoidedcosttbl2,ROUNDDOWN($H135,0),CI$2))))*'Inputs Yr 2'!AS135))),"")</f>
        <v>2015.1150562715923</v>
      </c>
      <c r="CJ135" s="504">
        <f>IFERROR($G135*'Inputs Yr 2'!AT135*'Inputs Yr 2'!$P135*'Inputs Yr 2'!$Q135/((1+realdiscrt1)^-0.5),"")</f>
        <v>0</v>
      </c>
      <c r="CK135" s="79">
        <f>IFERROR((O135*1000*(((INDEX(avoidedcosttbl2,$H135,CK$2)+(($H135-ROUNDDOWN($H135,0))*(INDEX(avoidedcosttbl2,ROUNDUP($H135,0),CK$2)-INDEX(avoidedcosttbl2,ROUNDDOWN($H135,0),CK$2))))*'Inputs Yr 2'!AU135))),"")</f>
        <v>0</v>
      </c>
      <c r="CL135" s="504">
        <f>IFERROR(O135*1000*'Inputs Yr 2'!AV135/((1+realdiscrt1)^-0.5),"")</f>
        <v>0</v>
      </c>
      <c r="CM135" s="79">
        <f>IFERROR((AB135*'Inputs Yr 2'!AW135*(((INDEX(avoidedcosttbl2,$H135,CM$2)+(($H135-ROUNDDOWN($H135,0))*(INDEX(avoidedcosttbl2,ROUNDUP($H135,0),CM$2)-INDEX(avoidedcosttbl2,ROUNDDOWN($H135,0),CM$2)))))))*10,"")</f>
        <v>4981.5033925555335</v>
      </c>
      <c r="CN135" s="504">
        <f>IFERROR(10*AB135*'Inputs Yr 2'!AX135/((1+realdiscrt1)^-0.5),"")</f>
        <v>410.75348649229807</v>
      </c>
      <c r="CO135" s="505">
        <f t="shared" si="105"/>
        <v>7407.3719353194238</v>
      </c>
      <c r="CP135" s="230">
        <f t="shared" si="106"/>
        <v>107234.22143914539</v>
      </c>
      <c r="CQ135" s="199">
        <f>ROUND(IFERROR(IF(LEFT($A135,1)="C",'Avoided Costs'!$K$13,'Avoided Costs'!$K$12)+1,""),4)</f>
        <v>1.0720000000000001</v>
      </c>
      <c r="CR135" s="199">
        <f>ROUND(IFERROR(IF(LEFT($A135,1)="C",'Avoided Costs'!$L$13,'Avoided Costs'!$L$12)+1,""),4)</f>
        <v>1.04</v>
      </c>
      <c r="CS135" s="199">
        <f>ROUND(IFERROR(IF(LEFT($A135,1)="C",'Avoided Costs'!$M$13,'Avoided Costs'!$M$12)+1,""),4)</f>
        <v>1.0720000000000001</v>
      </c>
      <c r="CT135" s="199">
        <f>ROUND(IFERROR(IF(LEFT($A135,1)="C",'Avoided Costs'!$N$13,'Avoided Costs'!$N$12)+1,""),4)</f>
        <v>1.04</v>
      </c>
      <c r="CU135" s="199">
        <f>ROUND(IFERROR(IF(LEFT($A135,1)="C",'Avoided Costs'!$O$13,'Avoided Costs'!$O$12)+1,""),4)</f>
        <v>1.1120000000000001</v>
      </c>
      <c r="CV135" s="199">
        <f>ROUND(IFERROR(IF(LEFT($A135,1)="C",'Avoided Costs'!$P$13,'Avoided Costs'!$P$12)+1,""),4)</f>
        <v>1.095</v>
      </c>
      <c r="CW135" s="199">
        <f>ROUND(IFERROR(IF(LEFT($A135,1)="C",'Avoided Costs'!$Q$13,'Avoided Costs'!$Q$12)+1,""),4)</f>
        <v>1.1120000000000001</v>
      </c>
      <c r="CX135" s="200">
        <f>ROUND(IFERROR(IF(LEFT($A135,1)="C",'Avoided Costs'!$R$13,'Avoided Costs'!$R$12)+1,""),4)</f>
        <v>1.1120000000000001</v>
      </c>
    </row>
    <row r="136" spans="1:102" ht="12.75" customHeight="1">
      <c r="A136" s="91" t="str">
        <f>IF('Inputs Yr 2'!$B136=0,"",'Inputs Yr 2'!A136)</f>
        <v>B - Low Income</v>
      </c>
      <c r="B136" s="91" t="str">
        <f>IF('Inputs Yr 2'!$B136=0,"",'Inputs Yr 2'!B136)</f>
        <v>B1 - Low-Income Whole House</v>
      </c>
      <c r="C136" s="91" t="str">
        <f>IF('Inputs Yr 2'!$B136=0,"",'Inputs Yr 2'!C136)</f>
        <v>B1b - Low-Income Multi-Family Retrofit</v>
      </c>
      <c r="D136" s="91" t="str">
        <f>IF('Inputs Yr 2'!$B136=0,"",'Inputs Yr 2'!E136)</f>
        <v>Programmable Thermostat, Gas</v>
      </c>
      <c r="E136" s="93" t="str">
        <f>IF('Inputs Yr 2'!$B136=0,"",'Inputs Yr 2'!F136)</f>
        <v>G16B1b16</v>
      </c>
      <c r="F136" s="93" t="str">
        <f>IF('Inputs Yr 2'!$B136=0,"",'Inputs Yr 2'!G136)</f>
        <v>HVAC</v>
      </c>
      <c r="G136" s="95">
        <f>IF('Inputs Yr 2'!$H136&lt;&gt;0,('Inputs Yr 2'!H136),"")</f>
        <v>26</v>
      </c>
      <c r="H136" s="94">
        <f>IFERROR('Inputs Yr 2'!I136,"")</f>
        <v>15</v>
      </c>
      <c r="I136" s="298">
        <f>IFERROR('Inputs Yr 2'!J136*'Inputs Yr 2'!P136*G136,"")</f>
        <v>2980.9</v>
      </c>
      <c r="J136" s="298">
        <f>IFERROR('Inputs Yr 2'!K136*G136,"")</f>
        <v>2980.9</v>
      </c>
      <c r="K136" s="298">
        <f t="shared" si="83"/>
        <v>0</v>
      </c>
      <c r="L136" s="194">
        <f>IFERROR(('Inputs Yr 2'!W136*G136)/1000,"")</f>
        <v>0</v>
      </c>
      <c r="M136" s="194">
        <f>IFERROR(L136*('Inputs Yr 2'!$Q136*'Inputs Yr 2'!$V136*'Inputs Yr 2'!$R136),"")</f>
        <v>0</v>
      </c>
      <c r="N136" s="194">
        <f t="shared" si="84"/>
        <v>0</v>
      </c>
      <c r="O136" s="194">
        <f>IFERROR(M136*'Inputs Yr 2'!P136,"")</f>
        <v>0</v>
      </c>
      <c r="P136" s="194">
        <f t="shared" si="85"/>
        <v>0</v>
      </c>
      <c r="Q136" s="194">
        <f>IFERROR($P136*'Inputs Yr 2'!AA136,"")</f>
        <v>0</v>
      </c>
      <c r="R136" s="194">
        <f>IFERROR($P136*'Inputs Yr 2'!AB136,"")</f>
        <v>0</v>
      </c>
      <c r="S136" s="194">
        <f>IFERROR($P136*'Inputs Yr 2'!AC136,"")</f>
        <v>0</v>
      </c>
      <c r="T136" s="194">
        <f>IFERROR($P136*'Inputs Yr 2'!AD136,"")</f>
        <v>0</v>
      </c>
      <c r="U136" s="194">
        <f>IFERROR(G136*'Inputs Yr 2'!$AE136*'Inputs Yr 2'!$P136*'Inputs Yr 2'!$Q136,"")</f>
        <v>0</v>
      </c>
      <c r="V136" s="194">
        <f>IFERROR($G136*'Inputs Yr 2'!$AE136*'Inputs Yr 2'!$AG136*'Inputs Yr 2'!Q136*'Inputs Yr 2'!$S136,"")</f>
        <v>0</v>
      </c>
      <c r="W136" s="194">
        <f>IFERROR($G136*'Inputs Yr 2'!$AE136*'Inputs Yr 2'!$AG136*'Inputs Yr 2'!P136*'Inputs Yr 2'!Q136*'Inputs Yr 2'!$S136,"")</f>
        <v>0</v>
      </c>
      <c r="X136" s="194">
        <f>IFERROR($G136*'Inputs Yr 2'!$AE136*'Inputs Yr 2'!$AF136*'Inputs Yr 2'!Q136*'Inputs Yr 2'!$T136,"")</f>
        <v>0</v>
      </c>
      <c r="Y136" s="194">
        <f>IFERROR($G136*'Inputs Yr 2'!$AE136*'Inputs Yr 2'!$AF136*'Inputs Yr 2'!P136*'Inputs Yr 2'!Q136*'Inputs Yr 2'!$T136,"")</f>
        <v>0</v>
      </c>
      <c r="Z136" s="257">
        <f>IFERROR($G136*'Inputs Yr 2'!$Q136*'Inputs Yr 2'!$U136*(IF(IFERROR(SEARCH("NG", 'Inputs Yr 2'!$AJ136),0),'Inputs Yr 2'!$AK136,0)+IF(IFERROR(SEARCH("NG", 'Inputs Yr 2'!$AL136),0),'Inputs Yr 2'!$AM136,0)+IF(IFERROR(SEARCH("NG", 'Inputs Yr 2'!$AN136),0),'Inputs Yr 2'!$AO136,0)),0)</f>
        <v>44.849999999999994</v>
      </c>
      <c r="AA136" s="257">
        <f t="shared" si="86"/>
        <v>672.74999999999989</v>
      </c>
      <c r="AB136" s="257">
        <f>IFERROR(Z136*'Inputs Yr 2'!$P136,0)</f>
        <v>44.849999999999994</v>
      </c>
      <c r="AC136" s="257">
        <f t="shared" si="87"/>
        <v>672.74999999999989</v>
      </c>
      <c r="AD136" s="257">
        <f>IFERROR($G136*'Inputs Yr 2'!$Q136*'Inputs Yr 2'!$U136*(IF(IFERROR(SEARCH("Oil", 'Inputs Yr 2'!$AJ136), 0),'Inputs Yr 2'!$AK136,0)+IF(IFERROR(SEARCH("Oil", 'Inputs Yr 2'!$AL136), 0),'Inputs Yr 2'!$AM136,0)+IF(IFERROR(SEARCH("Oil", 'Inputs Yr 2'!$AN136), 0),'Inputs Yr 2'!$AO136,0)),0)</f>
        <v>0</v>
      </c>
      <c r="AE136" s="257">
        <f t="shared" si="88"/>
        <v>0</v>
      </c>
      <c r="AF136" s="257">
        <f>IFERROR(AD136*'Inputs Yr 2'!$P136,0)</f>
        <v>0</v>
      </c>
      <c r="AG136" s="257">
        <f t="shared" si="89"/>
        <v>0</v>
      </c>
      <c r="AH136" s="257">
        <f>IFERROR($G136*'Inputs Yr 2'!$Q136*'Inputs Yr 2'!$U136*(IF('Inputs Yr 2'!$AJ136=CD$4,'Inputs Yr 2'!$AK136,IF('Inputs Yr 2'!$AL136=CD$4,'Inputs Yr 2'!$AM136,IF('Inputs Yr 2'!$AN136=CD$4,'Inputs Yr 2'!$AO136,0)))),0)</f>
        <v>0</v>
      </c>
      <c r="AI136" s="257">
        <f t="shared" si="90"/>
        <v>0</v>
      </c>
      <c r="AJ136" s="257">
        <f>IFERROR(AH136*'Inputs Yr 2'!$P136,0)</f>
        <v>0</v>
      </c>
      <c r="AK136" s="257">
        <f t="shared" si="91"/>
        <v>0</v>
      </c>
      <c r="AL136" s="258">
        <f>IFERROR($G136*'Inputs Yr 2'!$P136*'Inputs Yr 2'!$Q136*'Inputs Yr 2'!AP136,0)</f>
        <v>0</v>
      </c>
      <c r="AM136" s="260">
        <f>IFERROR($G136*'Inputs Yr 2'!$P136*'Inputs Yr 2'!$Q136*'Inputs Yr 2'!AQ136,0)</f>
        <v>0</v>
      </c>
      <c r="AN136" s="258">
        <f>IFERROR($G136*'Inputs Yr 2'!$P136*'Inputs Yr 2'!$Q136*'Inputs Yr 2'!AR136,0)</f>
        <v>0</v>
      </c>
      <c r="AO136" s="257">
        <f t="shared" si="92"/>
        <v>0</v>
      </c>
      <c r="AP136" s="195">
        <f>IFERROR($CQ136*(INDEX(avoidedcosttbl2,$H136,AP$2)+(($H136-ROUNDDOWN($H136,0))*(INDEX(avoidedcosttbl2,ROUNDUP($H136,0),AP$2)-(INDEX(avoidedcosttbl2,ROUNDDOWN($H136,0),AP$2)))))*$O136*1000*'Inputs Yr 2'!AA136,"")</f>
        <v>0</v>
      </c>
      <c r="AQ136" s="195">
        <f>IFERROR($CR136*(INDEX(avoidedcosttbl2,$H136,AQ$2)+(($H136-ROUNDDOWN($H136,0))*(INDEX(avoidedcosttbl2,ROUNDUP($H136,0),AQ$2)-(INDEX(avoidedcosttbl2,ROUNDDOWN($H136,0),AQ$2)))))*$O136*1000*'Inputs Yr 2'!AB136,"")</f>
        <v>0</v>
      </c>
      <c r="AR136" s="195">
        <f>IFERROR($CS136*(INDEX(avoidedcosttbl2,$H136,AR$2)+(($H136-ROUNDDOWN($H136,0))*(INDEX(avoidedcosttbl2,ROUNDUP($H136,0),AR$2)-(INDEX(avoidedcosttbl2,ROUNDDOWN($H136,0),AR$2)))))*$O136*1000*'Inputs Yr 2'!AC136,"")</f>
        <v>0</v>
      </c>
      <c r="AS136" s="195">
        <f>IFERROR($CT136*(INDEX(avoidedcosttbl2,$H136,AS$2)+(($H136-ROUNDDOWN($H136,0))*(INDEX(avoidedcosttbl2,ROUNDUP($H136,0),AS$2)-(INDEX(avoidedcosttbl2,ROUNDDOWN($H136,0),AS$2)))))*$O136*1000*'Inputs Yr 2'!AD136,"")</f>
        <v>0</v>
      </c>
      <c r="AT136" s="196">
        <f t="shared" si="93"/>
        <v>0</v>
      </c>
      <c r="AU136" s="197">
        <f>IFERROR($CQ136*((INDEX(avoidedcosttbl2,$H136,AU$2))+(($H136-ROUNDDOWN($H136,0))*((INDEX(avoidedcosttbl2,ROUNDUP($H136,0),AU$2))-(INDEX(avoidedcosttbl2,ROUNDDOWN($H136,0),AU$2)))))*$O136*1000*'Inputs Yr 2'!AA136,"")</f>
        <v>0</v>
      </c>
      <c r="AV136" s="197">
        <f>IFERROR($CR136*((INDEX(avoidedcosttbl2,$H136,AV$2))+(($H136-ROUNDDOWN($H136,0))*((INDEX(avoidedcosttbl2,ROUNDUP($H136,0),AV$2))-(INDEX(avoidedcosttbl2,ROUNDDOWN($H136,0),AV$2)))))*$O136*1000*'Inputs Yr 2'!AB136,"")</f>
        <v>0</v>
      </c>
      <c r="AW136" s="197">
        <f>IFERROR($CS136*((INDEX(avoidedcosttbl2,$H136,AW$2))+(($H136-ROUNDDOWN($H136,0))*((INDEX(avoidedcosttbl2,ROUNDUP($H136,0),AW$2))-(INDEX(avoidedcosttbl2,ROUNDDOWN($H136,0),AW$2)))))*$O136*1000*'Inputs Yr 2'!AC136,"")</f>
        <v>0</v>
      </c>
      <c r="AX136" s="197">
        <f>IFERROR($CT136*((INDEX(avoidedcosttbl2,$H136,AX$2))+(($H136-ROUNDDOWN($H136,0))*((INDEX(avoidedcosttbl2,ROUNDUP($H136,0),AX$2))-(INDEX(avoidedcosttbl2,ROUNDDOWN($H136,0),AX$2)))))*$O136*1000*'Inputs Yr 2'!AD136,"")</f>
        <v>0</v>
      </c>
      <c r="AY136" s="197">
        <f>IFERROR(((INDEX(avoidedcosttbl2,$H136,AY$2))+(($H136-ROUNDDOWN($H136,0))*((INDEX(avoidedcosttbl2,ROUNDUP($H136,0),AY$2))-(INDEX(avoidedcosttbl2,ROUNDDOWN($H136,0),AY$2)))))*$O136*1000*('Inputs Yr 2'!AC136+'Inputs Yr 2'!AD136),"")</f>
        <v>0</v>
      </c>
      <c r="AZ136" s="197">
        <f>IFERROR(((INDEX(avoidedcosttbl2,$H136,AZ$2))+(($H136-ROUNDDOWN($H136,0))*((INDEX(avoidedcosttbl2,ROUNDUP($H136,0),AZ$2))-(INDEX(avoidedcosttbl2,ROUNDDOWN($H136,0),AZ$2)))))*$O136*1000*('Inputs Yr 2'!AA136+'Inputs Yr 2'!AB136),"")</f>
        <v>0</v>
      </c>
      <c r="BA136" s="198">
        <f t="shared" si="94"/>
        <v>0</v>
      </c>
      <c r="BB136" s="198">
        <f t="shared" si="95"/>
        <v>0</v>
      </c>
      <c r="BC136" s="195">
        <f t="shared" si="77"/>
        <v>0</v>
      </c>
      <c r="BD136" s="195">
        <f t="shared" si="78"/>
        <v>0</v>
      </c>
      <c r="BE136" s="195">
        <f t="shared" si="79"/>
        <v>0</v>
      </c>
      <c r="BF136" s="195">
        <f t="shared" si="80"/>
        <v>0</v>
      </c>
      <c r="BG136" s="195">
        <f t="shared" si="81"/>
        <v>0</v>
      </c>
      <c r="BH136" s="196">
        <f t="shared" si="96"/>
        <v>0</v>
      </c>
      <c r="BI136" s="196">
        <f t="shared" si="97"/>
        <v>0</v>
      </c>
      <c r="BJ136" s="195">
        <f>IFERROR($G136*(IF('Inputs Yr 2'!$AJ136=BJ$4,'Inputs Yr 2'!$AK136,IF('Inputs Yr 2'!$AL136=BJ$4,'Inputs Yr 2'!$AM136,IF('Inputs Yr 2'!$AN136=BJ$4,'Inputs Yr 2'!$AO136,0))))*(INDEX(avoidedcosttbl2,$H136,BJ$2)+(($H136-ROUNDDOWN($H136,0))*(INDEX(avoidedcosttbl2,ROUNDUP($H136,0),BJ$2)-(INDEX(avoidedcosttbl2,ROUNDDOWN($H136,0),BJ$2)))))*'Inputs Yr 2'!P136*'Inputs Yr 2'!Q136*'Inputs Yr 2'!U136,"")</f>
        <v>0</v>
      </c>
      <c r="BK136" s="195">
        <f>IFERROR($G136*(IF('Inputs Yr 2'!$AJ136=BK$4,'Inputs Yr 2'!$AK136,IF('Inputs Yr 2'!$AL136=BK$4,'Inputs Yr 2'!$AM136,IF('Inputs Yr 2'!$AN136=BK$4,'Inputs Yr 2'!$AO136,0))))*(INDEX(avoidedcosttbl2,$H136,BK$2)+(($H136-ROUNDDOWN($H136,0))*(INDEX(avoidedcosttbl2,ROUNDUP($H136,0),BK$2)-(INDEX(avoidedcosttbl2,ROUNDDOWN($H136,0),BK$2)))))*'Inputs Yr 2'!P136*'Inputs Yr 2'!Q136*'Inputs Yr 2'!U136,"")</f>
        <v>0</v>
      </c>
      <c r="BL136" s="195">
        <f>IFERROR($G136*(IF('Inputs Yr 2'!$AJ136=BL$4,'Inputs Yr 2'!$AK136,IF('Inputs Yr 2'!$AL136=BL$4,'Inputs Yr 2'!$AM136,IF('Inputs Yr 2'!$AN136=BL$4,'Inputs Yr 2'!$AO136,0))))*(INDEX(avoidedcosttbl2,$H136,BL$2)+(($H136-ROUNDDOWN($H136,0))*(INDEX(avoidedcosttbl2,ROUNDUP($H136,0),BL$2)-(INDEX(avoidedcosttbl2,ROUNDDOWN($H136,0),BL$2)))))*'Inputs Yr 2'!P136*'Inputs Yr 2'!Q136*'Inputs Yr 2'!U136,"")</f>
        <v>5673.113884069091</v>
      </c>
      <c r="BM136" s="195">
        <f>IFERROR($G136*(IF('Inputs Yr 2'!$AJ136=BM$4,'Inputs Yr 2'!$AK136,IF('Inputs Yr 2'!$AL136=BM$4,'Inputs Yr 2'!$AM136,IF('Inputs Yr 2'!$AN136=BM$4,'Inputs Yr 2'!$AO136,0))))*(INDEX(avoidedcosttbl2,$H136,BM$2)+(($H136-ROUNDDOWN($H136,0))*(INDEX(avoidedcosttbl2,ROUNDUP($H136,0),BM$2)-(INDEX(avoidedcosttbl2,ROUNDDOWN($H136,0),BM$2)))))*'Inputs Yr 2'!P136*'Inputs Yr 2'!Q136*'Inputs Yr 2'!U136,"")</f>
        <v>0</v>
      </c>
      <c r="BN136" s="195">
        <f>IFERROR($G136*(IF('Inputs Yr 2'!$AJ136=BN$4,'Inputs Yr 2'!$AK136,IF('Inputs Yr 2'!$AL136=BN$4,'Inputs Yr 2'!$AM136,IF('Inputs Yr 2'!$AN136=BN$4,'Inputs Yr 2'!$AO136,0))))*(INDEX(avoidedcosttbl2,$H136,BN$2)+(($H136-ROUNDDOWN($H136,0))*(INDEX(avoidedcosttbl2,ROUNDUP($H136,0),BN$2)-(INDEX(avoidedcosttbl2,ROUNDDOWN($H136,0),BN$2)))))*'Inputs Yr 2'!P136*'Inputs Yr 2'!Q136*'Inputs Yr 2'!U136,"")</f>
        <v>0</v>
      </c>
      <c r="BO136" s="195">
        <f>IFERROR($G136*(IF('Inputs Yr 2'!$AJ136=BO$4,'Inputs Yr 2'!$AK136,IF('Inputs Yr 2'!$AL136=BO$4,'Inputs Yr 2'!$AM136,IF('Inputs Yr 2'!$AN136=BO$4,'Inputs Yr 2'!$AO136,0))))*(INDEX(avoidedcosttbl2,$H136,BO$2)+(($H136-ROUNDDOWN($H136,0))*(INDEX(avoidedcosttbl2,ROUNDUP($H136,0),BO$2)-(INDEX(avoidedcosttbl2,ROUNDDOWN($H136,0),BO$2)))))*'Inputs Yr 2'!P136*'Inputs Yr 2'!Q136*'Inputs Yr 2'!U136,"")</f>
        <v>0</v>
      </c>
      <c r="BP136" s="195">
        <f>IFERROR($G136*(IF('Inputs Yr 2'!$AJ136=BP$4,'Inputs Yr 2'!$AK136,IF('Inputs Yr 2'!$AL136=BP$4,'Inputs Yr 2'!$AM136,IF('Inputs Yr 2'!$AN136=BP$4,'Inputs Yr 2'!$AO136,0))))*(INDEX(avoidedcosttbl2,$H136,BP$2)+(($H136-ROUNDDOWN($H136,0))*(INDEX(avoidedcosttbl2,ROUNDUP($H136,0),BP$2)-(INDEX(avoidedcosttbl2,ROUNDDOWN($H136,0),BP$2)))))*'Inputs Yr 2'!P136*'Inputs Yr 2'!Q136*'Inputs Yr 2'!U136,"")</f>
        <v>0</v>
      </c>
      <c r="BQ136" s="230">
        <f t="shared" si="98"/>
        <v>5673.113884069091</v>
      </c>
      <c r="BR136" s="197">
        <f t="shared" si="82"/>
        <v>91.185816474895091</v>
      </c>
      <c r="BS136" s="197">
        <f>IFERROR(($G136*IF('Inputs Yr 2'!$AJ136=BM$4,'Inputs Yr 2'!$AK136,IF('Inputs Yr 2'!$AL136=BM$4,'Inputs Yr 2'!$AM136,IF('Inputs Yr 2'!$AN136=BM$4,'Inputs Yr 2'!$AO136,0))))*(INDEX(avoidedcosttbl2,$H136,BS$2)+(($H136-ROUNDDOWN($H136,0))*(INDEX(avoidedcosttbl2,ROUNDUP($H136,0),BS$2)-(INDEX(avoidedcosttbl2,ROUNDDOWN($H136,0),BS$2)))))*'Inputs Yr 2'!P136*'Inputs Yr 2'!Q136*'Inputs Yr 2'!U136,"")</f>
        <v>0</v>
      </c>
      <c r="BT136" s="197">
        <f>IFERROR(($G136*IF('Inputs Yr 2'!$AJ136=BK$4,'Inputs Yr 2'!$AK136,IF('Inputs Yr 2'!$AL136=BK$4,'Inputs Yr 2'!$AM136,IF('Inputs Yr 2'!$AN136=BK$4,'Inputs Yr 2'!$AO136,0))))*(INDEX(avoidedcosttbl2,$H136,BT$2)+(($H136-ROUNDDOWN($H136,0))*(INDEX(avoidedcosttbl2,ROUNDUP($H136,0),BT$2)-(INDEX(avoidedcosttbl2,ROUNDDOWN($H136,0),BT$2)))))*'Inputs Yr 2'!P136*'Inputs Yr 2'!Q136*'Inputs Yr 2'!U136,"")</f>
        <v>0</v>
      </c>
      <c r="BU136" s="197">
        <f>IFERROR(($G136*IF('Inputs Yr 2'!$AJ136=BL$4,'Inputs Yr 2'!$AK136,IF('Inputs Yr 2'!$AL136=BL$4,'Inputs Yr 2'!$AM136,IF('Inputs Yr 2'!$AN136=BL$4,'Inputs Yr 2'!$AO136,0))))*(INDEX(avoidedcosttbl2,$H136,BU$2)+(($H136-ROUNDDOWN($H136,0))*(INDEX(avoidedcosttbl2,ROUNDUP($H136,0),BU$2)-(INDEX(avoidedcosttbl2,ROUNDDOWN($H136,0),BU$2)))))*'Inputs Yr 2'!P136*'Inputs Yr 2'!Q136*'Inputs Yr 2'!U136,"")</f>
        <v>347.23738816368359</v>
      </c>
      <c r="BV136" s="775">
        <f>IFERROR(($G136*IF('Inputs Yr 2'!$AJ136=BJ$4,'Inputs Yr 2'!$AK136,IF('Inputs Yr 2'!$AL136=BJ$4,'Inputs Yr 2'!$AM136,IF('Inputs Yr 2'!$AN136=BJ$4,'Inputs Yr 2'!$AO136,0))))*(INDEX(avoidedcosttbl2,$H136,BV$2)+(($H136-ROUNDDOWN($H136,0))*(INDEX(avoidedcosttbl2,ROUNDUP($H136,0),BV$2)-(INDEX(avoidedcosttbl2,ROUNDDOWN($H136,0),BV$2)))))*'Inputs Yr 2'!P136*'Inputs Yr 2'!Q136*'Inputs Yr 2'!U136,"")</f>
        <v>0</v>
      </c>
      <c r="BW136" s="197">
        <f>IFERROR(($G136*IF('Inputs Yr 2'!$AJ136=BN$4,'Inputs Yr 2'!$AK136,IF('Inputs Yr 2'!$AL136=BN$4,'Inputs Yr 2'!$AM136,IF('Inputs Yr 2'!$AN136=BN$4,'Inputs Yr 2'!$AO136,0))))*(INDEX(avoidedcosttbl2,$H136,BW$2)+(($H136-ROUNDDOWN($H136,0))*(INDEX(avoidedcosttbl2,ROUNDUP($H136,0),BW$2)-(INDEX(avoidedcosttbl2,ROUNDDOWN($H136,0),BW$2)))))*'Inputs Yr 2'!P136*'Inputs Yr 2'!Q136*'Inputs Yr 2'!U136,"")</f>
        <v>0</v>
      </c>
      <c r="BX136" s="197">
        <f>IFERROR(($G136*IF('Inputs Yr 2'!$AJ136=BO$4,'Inputs Yr 2'!$AK136,IF('Inputs Yr 2'!$AL136=BO$4,'Inputs Yr 2'!$AM136,IF('Inputs Yr 2'!$AN136=BO$4,'Inputs Yr 2'!$AO136,0))))*(INDEX(avoidedcosttbl2,$H136,BX$2)+(($H136-ROUNDDOWN($H136,0))*(INDEX(avoidedcosttbl2,ROUNDUP($H136,0),BX$2)-(INDEX(avoidedcosttbl2,ROUNDDOWN($H136,0),BX$2)))))*'Inputs Yr 2'!P136*'Inputs Yr 2'!Q136*'Inputs Yr 2'!U136,"")</f>
        <v>0</v>
      </c>
      <c r="BY136" s="197">
        <f>IFERROR(($G136*IF('Inputs Yr 2'!$AJ136=BP$4,'Inputs Yr 2'!$AK136,IF('Inputs Yr 2'!$AL136=BP$4,'Inputs Yr 2'!$AM136,IF('Inputs Yr 2'!$AN136=BP$4,'Inputs Yr 2'!$AO136,0))))*(INDEX(avoidedcosttbl2,$H136,BY$2)+(($H136-ROUNDDOWN($H136,0))*(INDEX(avoidedcosttbl2,ROUNDUP($H136,0),BY$2)-(INDEX(avoidedcosttbl2,ROUNDDOWN($H136,0),BY$2)))))*'Inputs Yr 2'!P136*'Inputs Yr 2'!Q136*'Inputs Yr 2'!U136,"")</f>
        <v>0</v>
      </c>
      <c r="BZ136" s="193">
        <f t="shared" si="99"/>
        <v>438.42320463857868</v>
      </c>
      <c r="CA136" s="193">
        <f t="shared" si="100"/>
        <v>6111.5370887076697</v>
      </c>
      <c r="CB136" s="195">
        <f>IFERROR(G136*(IF('Inputs Yr 2'!$AJ136=CB$4,'Inputs Yr 2'!$AK136,IF('Inputs Yr 2'!$AL136=CB$4,'Inputs Yr 2'!$AM136,IF('Inputs Yr 2'!$AN136=CB$4,'Inputs Yr 2'!$AO136,0))))*(INDEX(avoidedcosttbl2,$H136,CB$2)+(($H136-ROUNDDOWN($H136,0))*(INDEX(avoidedcosttbl2,ROUNDUP($H136,0),CB$2)-(INDEX(avoidedcosttbl2,ROUNDDOWN($H136,0),CB$2)))))*'Inputs Yr 2'!P136*'Inputs Yr 2'!Q136*'Inputs Yr 2'!U136,"")</f>
        <v>0</v>
      </c>
      <c r="CC136" s="195">
        <f>IFERROR(H136*(IF('Inputs Yr 2'!$AJ136=CC$4,'Inputs Yr 2'!$AK136,IF('Inputs Yr 2'!$AL136=CC$4,'Inputs Yr 2'!$AM136,IF('Inputs Yr 2'!$AN136=CC$4,'Inputs Yr 2'!$AO136,0))))*(INDEX(avoidedcosttbl2,$H136,CC$2)+(($H136-ROUNDDOWN($H136,0))*(INDEX(avoidedcosttbl2,ROUNDUP($H136,0),CC$2)-(INDEX(avoidedcosttbl2,ROUNDDOWN($H136,0),CC$2)))))*'Inputs Yr 2'!Q136*'Inputs Yr 2'!R136*'Inputs Yr 2'!V136,"")</f>
        <v>0</v>
      </c>
      <c r="CD136" s="195">
        <f>IFERROR(I136*(IF('Inputs Yr 2'!$AJ136=CD$4,'Inputs Yr 2'!$AK136,IF('Inputs Yr 2'!$AL136=CD$4,'Inputs Yr 2'!$AM136,IF('Inputs Yr 2'!$AN136=CD$4,'Inputs Yr 2'!$AO136,0))))*(INDEX(avoidedcosttbl2,$H136,CD$2)+(($H136-ROUNDDOWN($H136,0))*(INDEX(avoidedcosttbl2,ROUNDUP($H136,0),CD$2)-(INDEX(avoidedcosttbl2,ROUNDDOWN($H136,0),CD$2)))))*'Inputs Yr 2'!R136*'Inputs Yr 2'!S136*'Inputs Yr 2'!W136,"")</f>
        <v>0</v>
      </c>
      <c r="CE136" s="213">
        <f t="shared" si="101"/>
        <v>0</v>
      </c>
      <c r="CF136" s="213">
        <f t="shared" si="102"/>
        <v>0</v>
      </c>
      <c r="CG136" s="213">
        <f t="shared" si="103"/>
        <v>0</v>
      </c>
      <c r="CH136" s="698">
        <f t="shared" si="104"/>
        <v>6111.5370887076697</v>
      </c>
      <c r="CI136" s="79">
        <f>IFERROR(($G136*'Inputs Yr 2'!$P136*'Inputs Yr 2'!$Q136*(((INDEX(avoidedcosttbl2,$H136,CI$2)+(($H136-ROUNDDOWN($H136,0))*(INDEX(avoidedcosttbl2,ROUNDUP($H136,0),CI$2)-INDEX(avoidedcosttbl2,ROUNDDOWN($H136,0),CI$2))))*'Inputs Yr 2'!AS136))),"")</f>
        <v>6046.5126506530378</v>
      </c>
      <c r="CJ136" s="504">
        <f>IFERROR($G136*'Inputs Yr 2'!AT136*'Inputs Yr 2'!$P136*'Inputs Yr 2'!$Q136/((1+realdiscrt1)^-0.5),"")</f>
        <v>0</v>
      </c>
      <c r="CK136" s="79">
        <f>IFERROR((O136*1000*(((INDEX(avoidedcosttbl2,$H136,CK$2)+(($H136-ROUNDDOWN($H136,0))*(INDEX(avoidedcosttbl2,ROUNDUP($H136,0),CK$2)-INDEX(avoidedcosttbl2,ROUNDDOWN($H136,0),CK$2))))*'Inputs Yr 2'!AU136))),"")</f>
        <v>0</v>
      </c>
      <c r="CL136" s="504">
        <f>IFERROR(O136*1000*'Inputs Yr 2'!AV136/((1+realdiscrt1)^-0.5),"")</f>
        <v>0</v>
      </c>
      <c r="CM136" s="79">
        <f>IFERROR((AB136*'Inputs Yr 2'!AW136*(((INDEX(avoidedcosttbl2,$H136,CM$2)+(($H136-ROUNDDOWN($H136,0))*(INDEX(avoidedcosttbl2,ROUNDUP($H136,0),CM$2)-INDEX(avoidedcosttbl2,ROUNDDOWN($H136,0),CM$2)))))))*10,"")</f>
        <v>872.44157253336436</v>
      </c>
      <c r="CN136" s="504">
        <f>IFERROR(10*AB136*'Inputs Yr 2'!AX136/((1+realdiscrt1)^-0.5),"")</f>
        <v>34.160906892856332</v>
      </c>
      <c r="CO136" s="505">
        <f t="shared" si="105"/>
        <v>6953.115130079259</v>
      </c>
      <c r="CP136" s="230">
        <f t="shared" si="106"/>
        <v>13064.652218786929</v>
      </c>
      <c r="CQ136" s="199">
        <f>ROUND(IFERROR(IF(LEFT($A136,1)="C",'Avoided Costs'!$K$13,'Avoided Costs'!$K$12)+1,""),4)</f>
        <v>1.0720000000000001</v>
      </c>
      <c r="CR136" s="199">
        <f>ROUND(IFERROR(IF(LEFT($A136,1)="C",'Avoided Costs'!$L$13,'Avoided Costs'!$L$12)+1,""),4)</f>
        <v>1.04</v>
      </c>
      <c r="CS136" s="199">
        <f>ROUND(IFERROR(IF(LEFT($A136,1)="C",'Avoided Costs'!$M$13,'Avoided Costs'!$M$12)+1,""),4)</f>
        <v>1.0720000000000001</v>
      </c>
      <c r="CT136" s="199">
        <f>ROUND(IFERROR(IF(LEFT($A136,1)="C",'Avoided Costs'!$N$13,'Avoided Costs'!$N$12)+1,""),4)</f>
        <v>1.04</v>
      </c>
      <c r="CU136" s="199">
        <f>ROUND(IFERROR(IF(LEFT($A136,1)="C",'Avoided Costs'!$O$13,'Avoided Costs'!$O$12)+1,""),4)</f>
        <v>1.1120000000000001</v>
      </c>
      <c r="CV136" s="199">
        <f>ROUND(IFERROR(IF(LEFT($A136,1)="C",'Avoided Costs'!$P$13,'Avoided Costs'!$P$12)+1,""),4)</f>
        <v>1.095</v>
      </c>
      <c r="CW136" s="199">
        <f>ROUND(IFERROR(IF(LEFT($A136,1)="C",'Avoided Costs'!$Q$13,'Avoided Costs'!$Q$12)+1,""),4)</f>
        <v>1.1120000000000001</v>
      </c>
      <c r="CX136" s="200">
        <f>ROUND(IFERROR(IF(LEFT($A136,1)="C",'Avoided Costs'!$R$13,'Avoided Costs'!$R$12)+1,""),4)</f>
        <v>1.1120000000000001</v>
      </c>
    </row>
    <row r="137" spans="1:102" ht="12.75" customHeight="1">
      <c r="A137" s="91" t="str">
        <f>IF('Inputs Yr 2'!$B137=0,"",'Inputs Yr 2'!A137)</f>
        <v>B - Low Income</v>
      </c>
      <c r="B137" s="91" t="str">
        <f>IF('Inputs Yr 2'!$B137=0,"",'Inputs Yr 2'!B137)</f>
        <v>B1 - Low-Income Whole House</v>
      </c>
      <c r="C137" s="91" t="str">
        <f>IF('Inputs Yr 2'!$B137=0,"",'Inputs Yr 2'!C137)</f>
        <v>B1b - Low-Income Multi-Family Retrofit</v>
      </c>
      <c r="D137" s="91" t="str">
        <f>IF('Inputs Yr 2'!$B137=0,"",'Inputs Yr 2'!E137)</f>
        <v>Wi-Fi Thermostat (controls gas heat only)</v>
      </c>
      <c r="E137" s="93" t="str">
        <f>IF('Inputs Yr 2'!$B137=0,"",'Inputs Yr 2'!F137)</f>
        <v>G16B1b17</v>
      </c>
      <c r="F137" s="93" t="str">
        <f>IF('Inputs Yr 2'!$B137=0,"",'Inputs Yr 2'!G137)</f>
        <v>HVAC</v>
      </c>
      <c r="G137" s="95" t="str">
        <f>IF('Inputs Yr 2'!$H137&lt;&gt;0,('Inputs Yr 2'!H137),"")</f>
        <v/>
      </c>
      <c r="H137" s="94">
        <f>IFERROR('Inputs Yr 2'!I137,"")</f>
        <v>0</v>
      </c>
      <c r="I137" s="298" t="str">
        <f>IFERROR('Inputs Yr 2'!J137*'Inputs Yr 2'!P137*G137,"")</f>
        <v/>
      </c>
      <c r="J137" s="298" t="str">
        <f>IFERROR('Inputs Yr 2'!K137*G137,"")</f>
        <v/>
      </c>
      <c r="K137" s="298" t="str">
        <f t="shared" si="83"/>
        <v/>
      </c>
      <c r="L137" s="194" t="str">
        <f>IFERROR(('Inputs Yr 2'!W137*G137)/1000,"")</f>
        <v/>
      </c>
      <c r="M137" s="194" t="str">
        <f>IFERROR(L137*('Inputs Yr 2'!$Q137*'Inputs Yr 2'!$V137*'Inputs Yr 2'!$R137),"")</f>
        <v/>
      </c>
      <c r="N137" s="194" t="str">
        <f t="shared" si="84"/>
        <v/>
      </c>
      <c r="O137" s="194" t="str">
        <f>IFERROR(M137*'Inputs Yr 2'!P137,"")</f>
        <v/>
      </c>
      <c r="P137" s="194" t="str">
        <f t="shared" si="85"/>
        <v/>
      </c>
      <c r="Q137" s="194" t="str">
        <f>IFERROR($P137*'Inputs Yr 2'!AA137,"")</f>
        <v/>
      </c>
      <c r="R137" s="194" t="str">
        <f>IFERROR($P137*'Inputs Yr 2'!AB137,"")</f>
        <v/>
      </c>
      <c r="S137" s="194" t="str">
        <f>IFERROR($P137*'Inputs Yr 2'!AC137,"")</f>
        <v/>
      </c>
      <c r="T137" s="194" t="str">
        <f>IFERROR($P137*'Inputs Yr 2'!AD137,"")</f>
        <v/>
      </c>
      <c r="U137" s="194" t="str">
        <f>IFERROR(G137*'Inputs Yr 2'!$AE137*'Inputs Yr 2'!$P137*'Inputs Yr 2'!$Q137,"")</f>
        <v/>
      </c>
      <c r="V137" s="194" t="str">
        <f>IFERROR($G137*'Inputs Yr 2'!$AE137*'Inputs Yr 2'!$AG137*'Inputs Yr 2'!Q137*'Inputs Yr 2'!$S137,"")</f>
        <v/>
      </c>
      <c r="W137" s="194" t="str">
        <f>IFERROR($G137*'Inputs Yr 2'!$AE137*'Inputs Yr 2'!$AG137*'Inputs Yr 2'!P137*'Inputs Yr 2'!Q137*'Inputs Yr 2'!$S137,"")</f>
        <v/>
      </c>
      <c r="X137" s="194" t="str">
        <f>IFERROR($G137*'Inputs Yr 2'!$AE137*'Inputs Yr 2'!$AF137*'Inputs Yr 2'!Q137*'Inputs Yr 2'!$T137,"")</f>
        <v/>
      </c>
      <c r="Y137" s="194" t="str">
        <f>IFERROR($G137*'Inputs Yr 2'!$AE137*'Inputs Yr 2'!$AF137*'Inputs Yr 2'!P137*'Inputs Yr 2'!Q137*'Inputs Yr 2'!$T137,"")</f>
        <v/>
      </c>
      <c r="Z137" s="257">
        <f>IFERROR($G137*'Inputs Yr 2'!$Q137*'Inputs Yr 2'!$U137*(IF(IFERROR(SEARCH("NG", 'Inputs Yr 2'!$AJ137),0),'Inputs Yr 2'!$AK137,0)+IF(IFERROR(SEARCH("NG", 'Inputs Yr 2'!$AL137),0),'Inputs Yr 2'!$AM137,0)+IF(IFERROR(SEARCH("NG", 'Inputs Yr 2'!$AN137),0),'Inputs Yr 2'!$AO137,0)),0)</f>
        <v>0</v>
      </c>
      <c r="AA137" s="257">
        <f t="shared" si="86"/>
        <v>0</v>
      </c>
      <c r="AB137" s="257">
        <f>IFERROR(Z137*'Inputs Yr 2'!$P137,0)</f>
        <v>0</v>
      </c>
      <c r="AC137" s="257">
        <f t="shared" si="87"/>
        <v>0</v>
      </c>
      <c r="AD137" s="257">
        <f>IFERROR($G137*'Inputs Yr 2'!$Q137*'Inputs Yr 2'!$U137*(IF(IFERROR(SEARCH("Oil", 'Inputs Yr 2'!$AJ137), 0),'Inputs Yr 2'!$AK137,0)+IF(IFERROR(SEARCH("Oil", 'Inputs Yr 2'!$AL137), 0),'Inputs Yr 2'!$AM137,0)+IF(IFERROR(SEARCH("Oil", 'Inputs Yr 2'!$AN137), 0),'Inputs Yr 2'!$AO137,0)),0)</f>
        <v>0</v>
      </c>
      <c r="AE137" s="257">
        <f t="shared" si="88"/>
        <v>0</v>
      </c>
      <c r="AF137" s="257">
        <f>IFERROR(AD137*'Inputs Yr 2'!$P137,0)</f>
        <v>0</v>
      </c>
      <c r="AG137" s="257">
        <f t="shared" si="89"/>
        <v>0</v>
      </c>
      <c r="AH137" s="257">
        <f>IFERROR($G137*'Inputs Yr 2'!$Q137*'Inputs Yr 2'!$U137*(IF('Inputs Yr 2'!$AJ137=CD$4,'Inputs Yr 2'!$AK137,IF('Inputs Yr 2'!$AL137=CD$4,'Inputs Yr 2'!$AM137,IF('Inputs Yr 2'!$AN137=CD$4,'Inputs Yr 2'!$AO137,0)))),0)</f>
        <v>0</v>
      </c>
      <c r="AI137" s="257">
        <f t="shared" si="90"/>
        <v>0</v>
      </c>
      <c r="AJ137" s="257">
        <f>IFERROR(AH137*'Inputs Yr 2'!$P137,0)</f>
        <v>0</v>
      </c>
      <c r="AK137" s="257">
        <f t="shared" si="91"/>
        <v>0</v>
      </c>
      <c r="AL137" s="258">
        <f>IFERROR($G137*'Inputs Yr 2'!$P137*'Inputs Yr 2'!$Q137*'Inputs Yr 2'!AP137,0)</f>
        <v>0</v>
      </c>
      <c r="AM137" s="260">
        <f>IFERROR($G137*'Inputs Yr 2'!$P137*'Inputs Yr 2'!$Q137*'Inputs Yr 2'!AQ137,0)</f>
        <v>0</v>
      </c>
      <c r="AN137" s="258">
        <f>IFERROR($G137*'Inputs Yr 2'!$P137*'Inputs Yr 2'!$Q137*'Inputs Yr 2'!AR137,0)</f>
        <v>0</v>
      </c>
      <c r="AO137" s="257">
        <f t="shared" si="92"/>
        <v>0</v>
      </c>
      <c r="AP137" s="195" t="str">
        <f>IFERROR($CQ137*(INDEX(avoidedcosttbl2,$H137,AP$2)+(($H137-ROUNDDOWN($H137,0))*(INDEX(avoidedcosttbl2,ROUNDUP($H137,0),AP$2)-(INDEX(avoidedcosttbl2,ROUNDDOWN($H137,0),AP$2)))))*$O137*1000*'Inputs Yr 2'!AA137,"")</f>
        <v/>
      </c>
      <c r="AQ137" s="195" t="str">
        <f>IFERROR($CR137*(INDEX(avoidedcosttbl2,$H137,AQ$2)+(($H137-ROUNDDOWN($H137,0))*(INDEX(avoidedcosttbl2,ROUNDUP($H137,0),AQ$2)-(INDEX(avoidedcosttbl2,ROUNDDOWN($H137,0),AQ$2)))))*$O137*1000*'Inputs Yr 2'!AB137,"")</f>
        <v/>
      </c>
      <c r="AR137" s="195" t="str">
        <f>IFERROR($CS137*(INDEX(avoidedcosttbl2,$H137,AR$2)+(($H137-ROUNDDOWN($H137,0))*(INDEX(avoidedcosttbl2,ROUNDUP($H137,0),AR$2)-(INDEX(avoidedcosttbl2,ROUNDDOWN($H137,0),AR$2)))))*$O137*1000*'Inputs Yr 2'!AC137,"")</f>
        <v/>
      </c>
      <c r="AS137" s="195" t="str">
        <f>IFERROR($CT137*(INDEX(avoidedcosttbl2,$H137,AS$2)+(($H137-ROUNDDOWN($H137,0))*(INDEX(avoidedcosttbl2,ROUNDUP($H137,0),AS$2)-(INDEX(avoidedcosttbl2,ROUNDDOWN($H137,0),AS$2)))))*$O137*1000*'Inputs Yr 2'!AD137,"")</f>
        <v/>
      </c>
      <c r="AT137" s="196">
        <f t="shared" si="93"/>
        <v>0</v>
      </c>
      <c r="AU137" s="197" t="str">
        <f>IFERROR($CQ137*((INDEX(avoidedcosttbl2,$H137,AU$2))+(($H137-ROUNDDOWN($H137,0))*((INDEX(avoidedcosttbl2,ROUNDUP($H137,0),AU$2))-(INDEX(avoidedcosttbl2,ROUNDDOWN($H137,0),AU$2)))))*$O137*1000*'Inputs Yr 2'!AA137,"")</f>
        <v/>
      </c>
      <c r="AV137" s="197" t="str">
        <f>IFERROR($CR137*((INDEX(avoidedcosttbl2,$H137,AV$2))+(($H137-ROUNDDOWN($H137,0))*((INDEX(avoidedcosttbl2,ROUNDUP($H137,0),AV$2))-(INDEX(avoidedcosttbl2,ROUNDDOWN($H137,0),AV$2)))))*$O137*1000*'Inputs Yr 2'!AB137,"")</f>
        <v/>
      </c>
      <c r="AW137" s="197" t="str">
        <f>IFERROR($CS137*((INDEX(avoidedcosttbl2,$H137,AW$2))+(($H137-ROUNDDOWN($H137,0))*((INDEX(avoidedcosttbl2,ROUNDUP($H137,0),AW$2))-(INDEX(avoidedcosttbl2,ROUNDDOWN($H137,0),AW$2)))))*$O137*1000*'Inputs Yr 2'!AC137,"")</f>
        <v/>
      </c>
      <c r="AX137" s="197" t="str">
        <f>IFERROR($CT137*((INDEX(avoidedcosttbl2,$H137,AX$2))+(($H137-ROUNDDOWN($H137,0))*((INDEX(avoidedcosttbl2,ROUNDUP($H137,0),AX$2))-(INDEX(avoidedcosttbl2,ROUNDDOWN($H137,0),AX$2)))))*$O137*1000*'Inputs Yr 2'!AD137,"")</f>
        <v/>
      </c>
      <c r="AY137" s="197" t="str">
        <f>IFERROR(((INDEX(avoidedcosttbl2,$H137,AY$2))+(($H137-ROUNDDOWN($H137,0))*((INDEX(avoidedcosttbl2,ROUNDUP($H137,0),AY$2))-(INDEX(avoidedcosttbl2,ROUNDDOWN($H137,0),AY$2)))))*$O137*1000*('Inputs Yr 2'!AC137+'Inputs Yr 2'!AD137),"")</f>
        <v/>
      </c>
      <c r="AZ137" s="197" t="str">
        <f>IFERROR(((INDEX(avoidedcosttbl2,$H137,AZ$2))+(($H137-ROUNDDOWN($H137,0))*((INDEX(avoidedcosttbl2,ROUNDUP($H137,0),AZ$2))-(INDEX(avoidedcosttbl2,ROUNDDOWN($H137,0),AZ$2)))))*$O137*1000*('Inputs Yr 2'!AA137+'Inputs Yr 2'!AB137),"")</f>
        <v/>
      </c>
      <c r="BA137" s="198">
        <f t="shared" si="94"/>
        <v>0</v>
      </c>
      <c r="BB137" s="198">
        <f t="shared" si="95"/>
        <v>0</v>
      </c>
      <c r="BC137" s="195" t="str">
        <f t="shared" si="77"/>
        <v/>
      </c>
      <c r="BD137" s="195" t="str">
        <f t="shared" si="78"/>
        <v/>
      </c>
      <c r="BE137" s="195" t="str">
        <f t="shared" si="79"/>
        <v/>
      </c>
      <c r="BF137" s="195" t="str">
        <f t="shared" si="80"/>
        <v/>
      </c>
      <c r="BG137" s="195" t="str">
        <f t="shared" si="81"/>
        <v/>
      </c>
      <c r="BH137" s="196">
        <f t="shared" si="96"/>
        <v>0</v>
      </c>
      <c r="BI137" s="196">
        <f t="shared" si="97"/>
        <v>0</v>
      </c>
      <c r="BJ137" s="195" t="str">
        <f>IFERROR($G137*(IF('Inputs Yr 2'!$AJ137=BJ$4,'Inputs Yr 2'!$AK137,IF('Inputs Yr 2'!$AL137=BJ$4,'Inputs Yr 2'!$AM137,IF('Inputs Yr 2'!$AN137=BJ$4,'Inputs Yr 2'!$AO137,0))))*(INDEX(avoidedcosttbl2,$H137,BJ$2)+(($H137-ROUNDDOWN($H137,0))*(INDEX(avoidedcosttbl2,ROUNDUP($H137,0),BJ$2)-(INDEX(avoidedcosttbl2,ROUNDDOWN($H137,0),BJ$2)))))*'Inputs Yr 2'!P137*'Inputs Yr 2'!Q137*'Inputs Yr 2'!U137,"")</f>
        <v/>
      </c>
      <c r="BK137" s="195" t="str">
        <f>IFERROR($G137*(IF('Inputs Yr 2'!$AJ137=BK$4,'Inputs Yr 2'!$AK137,IF('Inputs Yr 2'!$AL137=BK$4,'Inputs Yr 2'!$AM137,IF('Inputs Yr 2'!$AN137=BK$4,'Inputs Yr 2'!$AO137,0))))*(INDEX(avoidedcosttbl2,$H137,BK$2)+(($H137-ROUNDDOWN($H137,0))*(INDEX(avoidedcosttbl2,ROUNDUP($H137,0),BK$2)-(INDEX(avoidedcosttbl2,ROUNDDOWN($H137,0),BK$2)))))*'Inputs Yr 2'!P137*'Inputs Yr 2'!Q137*'Inputs Yr 2'!U137,"")</f>
        <v/>
      </c>
      <c r="BL137" s="195" t="str">
        <f>IFERROR($G137*(IF('Inputs Yr 2'!$AJ137=BL$4,'Inputs Yr 2'!$AK137,IF('Inputs Yr 2'!$AL137=BL$4,'Inputs Yr 2'!$AM137,IF('Inputs Yr 2'!$AN137=BL$4,'Inputs Yr 2'!$AO137,0))))*(INDEX(avoidedcosttbl2,$H137,BL$2)+(($H137-ROUNDDOWN($H137,0))*(INDEX(avoidedcosttbl2,ROUNDUP($H137,0),BL$2)-(INDEX(avoidedcosttbl2,ROUNDDOWN($H137,0),BL$2)))))*'Inputs Yr 2'!P137*'Inputs Yr 2'!Q137*'Inputs Yr 2'!U137,"")</f>
        <v/>
      </c>
      <c r="BM137" s="195" t="str">
        <f>IFERROR($G137*(IF('Inputs Yr 2'!$AJ137=BM$4,'Inputs Yr 2'!$AK137,IF('Inputs Yr 2'!$AL137=BM$4,'Inputs Yr 2'!$AM137,IF('Inputs Yr 2'!$AN137=BM$4,'Inputs Yr 2'!$AO137,0))))*(INDEX(avoidedcosttbl2,$H137,BM$2)+(($H137-ROUNDDOWN($H137,0))*(INDEX(avoidedcosttbl2,ROUNDUP($H137,0),BM$2)-(INDEX(avoidedcosttbl2,ROUNDDOWN($H137,0),BM$2)))))*'Inputs Yr 2'!P137*'Inputs Yr 2'!Q137*'Inputs Yr 2'!U137,"")</f>
        <v/>
      </c>
      <c r="BN137" s="195" t="str">
        <f>IFERROR($G137*(IF('Inputs Yr 2'!$AJ137=BN$4,'Inputs Yr 2'!$AK137,IF('Inputs Yr 2'!$AL137=BN$4,'Inputs Yr 2'!$AM137,IF('Inputs Yr 2'!$AN137=BN$4,'Inputs Yr 2'!$AO137,0))))*(INDEX(avoidedcosttbl2,$H137,BN$2)+(($H137-ROUNDDOWN($H137,0))*(INDEX(avoidedcosttbl2,ROUNDUP($H137,0),BN$2)-(INDEX(avoidedcosttbl2,ROUNDDOWN($H137,0),BN$2)))))*'Inputs Yr 2'!P137*'Inputs Yr 2'!Q137*'Inputs Yr 2'!U137,"")</f>
        <v/>
      </c>
      <c r="BO137" s="195" t="str">
        <f>IFERROR($G137*(IF('Inputs Yr 2'!$AJ137=BO$4,'Inputs Yr 2'!$AK137,IF('Inputs Yr 2'!$AL137=BO$4,'Inputs Yr 2'!$AM137,IF('Inputs Yr 2'!$AN137=BO$4,'Inputs Yr 2'!$AO137,0))))*(INDEX(avoidedcosttbl2,$H137,BO$2)+(($H137-ROUNDDOWN($H137,0))*(INDEX(avoidedcosttbl2,ROUNDUP($H137,0),BO$2)-(INDEX(avoidedcosttbl2,ROUNDDOWN($H137,0),BO$2)))))*'Inputs Yr 2'!P137*'Inputs Yr 2'!Q137*'Inputs Yr 2'!U137,"")</f>
        <v/>
      </c>
      <c r="BP137" s="195" t="str">
        <f>IFERROR($G137*(IF('Inputs Yr 2'!$AJ137=BP$4,'Inputs Yr 2'!$AK137,IF('Inputs Yr 2'!$AL137=BP$4,'Inputs Yr 2'!$AM137,IF('Inputs Yr 2'!$AN137=BP$4,'Inputs Yr 2'!$AO137,0))))*(INDEX(avoidedcosttbl2,$H137,BP$2)+(($H137-ROUNDDOWN($H137,0))*(INDEX(avoidedcosttbl2,ROUNDUP($H137,0),BP$2)-(INDEX(avoidedcosttbl2,ROUNDDOWN($H137,0),BP$2)))))*'Inputs Yr 2'!P137*'Inputs Yr 2'!Q137*'Inputs Yr 2'!U137,"")</f>
        <v/>
      </c>
      <c r="BQ137" s="230">
        <f t="shared" si="98"/>
        <v>0</v>
      </c>
      <c r="BR137" s="197" t="str">
        <f t="shared" si="82"/>
        <v/>
      </c>
      <c r="BS137" s="197" t="str">
        <f>IFERROR(($G137*IF('Inputs Yr 2'!$AJ137=BM$4,'Inputs Yr 2'!$AK137,IF('Inputs Yr 2'!$AL137=BM$4,'Inputs Yr 2'!$AM137,IF('Inputs Yr 2'!$AN137=BM$4,'Inputs Yr 2'!$AO137,0))))*(INDEX(avoidedcosttbl2,$H137,BS$2)+(($H137-ROUNDDOWN($H137,0))*(INDEX(avoidedcosttbl2,ROUNDUP($H137,0),BS$2)-(INDEX(avoidedcosttbl2,ROUNDDOWN($H137,0),BS$2)))))*'Inputs Yr 2'!P137*'Inputs Yr 2'!Q137*'Inputs Yr 2'!U137,"")</f>
        <v/>
      </c>
      <c r="BT137" s="197" t="str">
        <f>IFERROR(($G137*IF('Inputs Yr 2'!$AJ137=BK$4,'Inputs Yr 2'!$AK137,IF('Inputs Yr 2'!$AL137=BK$4,'Inputs Yr 2'!$AM137,IF('Inputs Yr 2'!$AN137=BK$4,'Inputs Yr 2'!$AO137,0))))*(INDEX(avoidedcosttbl2,$H137,BT$2)+(($H137-ROUNDDOWN($H137,0))*(INDEX(avoidedcosttbl2,ROUNDUP($H137,0),BT$2)-(INDEX(avoidedcosttbl2,ROUNDDOWN($H137,0),BT$2)))))*'Inputs Yr 2'!P137*'Inputs Yr 2'!Q137*'Inputs Yr 2'!U137,"")</f>
        <v/>
      </c>
      <c r="BU137" s="197" t="str">
        <f>IFERROR(($G137*IF('Inputs Yr 2'!$AJ137=BL$4,'Inputs Yr 2'!$AK137,IF('Inputs Yr 2'!$AL137=BL$4,'Inputs Yr 2'!$AM137,IF('Inputs Yr 2'!$AN137=BL$4,'Inputs Yr 2'!$AO137,0))))*(INDEX(avoidedcosttbl2,$H137,BU$2)+(($H137-ROUNDDOWN($H137,0))*(INDEX(avoidedcosttbl2,ROUNDUP($H137,0),BU$2)-(INDEX(avoidedcosttbl2,ROUNDDOWN($H137,0),BU$2)))))*'Inputs Yr 2'!P137*'Inputs Yr 2'!Q137*'Inputs Yr 2'!U137,"")</f>
        <v/>
      </c>
      <c r="BV137" s="775" t="str">
        <f>IFERROR(($G137*IF('Inputs Yr 2'!$AJ137=BJ$4,'Inputs Yr 2'!$AK137,IF('Inputs Yr 2'!$AL137=BJ$4,'Inputs Yr 2'!$AM137,IF('Inputs Yr 2'!$AN137=BJ$4,'Inputs Yr 2'!$AO137,0))))*(INDEX(avoidedcosttbl2,$H137,BV$2)+(($H137-ROUNDDOWN($H137,0))*(INDEX(avoidedcosttbl2,ROUNDUP($H137,0),BV$2)-(INDEX(avoidedcosttbl2,ROUNDDOWN($H137,0),BV$2)))))*'Inputs Yr 2'!P137*'Inputs Yr 2'!Q137*'Inputs Yr 2'!U137,"")</f>
        <v/>
      </c>
      <c r="BW137" s="197" t="str">
        <f>IFERROR(($G137*IF('Inputs Yr 2'!$AJ137=BN$4,'Inputs Yr 2'!$AK137,IF('Inputs Yr 2'!$AL137=BN$4,'Inputs Yr 2'!$AM137,IF('Inputs Yr 2'!$AN137=BN$4,'Inputs Yr 2'!$AO137,0))))*(INDEX(avoidedcosttbl2,$H137,BW$2)+(($H137-ROUNDDOWN($H137,0))*(INDEX(avoidedcosttbl2,ROUNDUP($H137,0),BW$2)-(INDEX(avoidedcosttbl2,ROUNDDOWN($H137,0),BW$2)))))*'Inputs Yr 2'!P137*'Inputs Yr 2'!Q137*'Inputs Yr 2'!U137,"")</f>
        <v/>
      </c>
      <c r="BX137" s="197" t="str">
        <f>IFERROR(($G137*IF('Inputs Yr 2'!$AJ137=BO$4,'Inputs Yr 2'!$AK137,IF('Inputs Yr 2'!$AL137=BO$4,'Inputs Yr 2'!$AM137,IF('Inputs Yr 2'!$AN137=BO$4,'Inputs Yr 2'!$AO137,0))))*(INDEX(avoidedcosttbl2,$H137,BX$2)+(($H137-ROUNDDOWN($H137,0))*(INDEX(avoidedcosttbl2,ROUNDUP($H137,0),BX$2)-(INDEX(avoidedcosttbl2,ROUNDDOWN($H137,0),BX$2)))))*'Inputs Yr 2'!P137*'Inputs Yr 2'!Q137*'Inputs Yr 2'!U137,"")</f>
        <v/>
      </c>
      <c r="BY137" s="197" t="str">
        <f>IFERROR(($G137*IF('Inputs Yr 2'!$AJ137=BP$4,'Inputs Yr 2'!$AK137,IF('Inputs Yr 2'!$AL137=BP$4,'Inputs Yr 2'!$AM137,IF('Inputs Yr 2'!$AN137=BP$4,'Inputs Yr 2'!$AO137,0))))*(INDEX(avoidedcosttbl2,$H137,BY$2)+(($H137-ROUNDDOWN($H137,0))*(INDEX(avoidedcosttbl2,ROUNDUP($H137,0),BY$2)-(INDEX(avoidedcosttbl2,ROUNDDOWN($H137,0),BY$2)))))*'Inputs Yr 2'!P137*'Inputs Yr 2'!Q137*'Inputs Yr 2'!U137,"")</f>
        <v/>
      </c>
      <c r="BZ137" s="193">
        <f t="shared" si="99"/>
        <v>0</v>
      </c>
      <c r="CA137" s="193">
        <f t="shared" si="100"/>
        <v>0</v>
      </c>
      <c r="CB137" s="195" t="str">
        <f>IFERROR(G137*(IF('Inputs Yr 2'!$AJ137=CB$4,'Inputs Yr 2'!$AK137,IF('Inputs Yr 2'!$AL137=CB$4,'Inputs Yr 2'!$AM137,IF('Inputs Yr 2'!$AN137=CB$4,'Inputs Yr 2'!$AO137,0))))*(INDEX(avoidedcosttbl2,$H137,CB$2)+(($H137-ROUNDDOWN($H137,0))*(INDEX(avoidedcosttbl2,ROUNDUP($H137,0),CB$2)-(INDEX(avoidedcosttbl2,ROUNDDOWN($H137,0),CB$2)))))*'Inputs Yr 2'!P137*'Inputs Yr 2'!Q137*'Inputs Yr 2'!U137,"")</f>
        <v/>
      </c>
      <c r="CC137" s="195" t="str">
        <f>IFERROR(H137*(IF('Inputs Yr 2'!$AJ137=CC$4,'Inputs Yr 2'!$AK137,IF('Inputs Yr 2'!$AL137=CC$4,'Inputs Yr 2'!$AM137,IF('Inputs Yr 2'!$AN137=CC$4,'Inputs Yr 2'!$AO137,0))))*(INDEX(avoidedcosttbl2,$H137,CC$2)+(($H137-ROUNDDOWN($H137,0))*(INDEX(avoidedcosttbl2,ROUNDUP($H137,0),CC$2)-(INDEX(avoidedcosttbl2,ROUNDDOWN($H137,0),CC$2)))))*'Inputs Yr 2'!Q137*'Inputs Yr 2'!R137*'Inputs Yr 2'!V137,"")</f>
        <v/>
      </c>
      <c r="CD137" s="195" t="str">
        <f>IFERROR(I137*(IF('Inputs Yr 2'!$AJ137=CD$4,'Inputs Yr 2'!$AK137,IF('Inputs Yr 2'!$AL137=CD$4,'Inputs Yr 2'!$AM137,IF('Inputs Yr 2'!$AN137=CD$4,'Inputs Yr 2'!$AO137,0))))*(INDEX(avoidedcosttbl2,$H137,CD$2)+(($H137-ROUNDDOWN($H137,0))*(INDEX(avoidedcosttbl2,ROUNDUP($H137,0),CD$2)-(INDEX(avoidedcosttbl2,ROUNDDOWN($H137,0),CD$2)))))*'Inputs Yr 2'!R137*'Inputs Yr 2'!S137*'Inputs Yr 2'!W137,"")</f>
        <v/>
      </c>
      <c r="CE137" s="213" t="str">
        <f t="shared" si="101"/>
        <v/>
      </c>
      <c r="CF137" s="213" t="str">
        <f t="shared" si="102"/>
        <v/>
      </c>
      <c r="CG137" s="213" t="str">
        <f t="shared" si="103"/>
        <v/>
      </c>
      <c r="CH137" s="698">
        <f t="shared" si="104"/>
        <v>0</v>
      </c>
      <c r="CI137" s="79" t="str">
        <f>IFERROR(($G137*'Inputs Yr 2'!$P137*'Inputs Yr 2'!$Q137*(((INDEX(avoidedcosttbl2,$H137,CI$2)+(($H137-ROUNDDOWN($H137,0))*(INDEX(avoidedcosttbl2,ROUNDUP($H137,0),CI$2)-INDEX(avoidedcosttbl2,ROUNDDOWN($H137,0),CI$2))))*'Inputs Yr 2'!AS137))),"")</f>
        <v/>
      </c>
      <c r="CJ137" s="504" t="str">
        <f>IFERROR($G137*'Inputs Yr 2'!AT137*'Inputs Yr 2'!$P137*'Inputs Yr 2'!$Q137/((1+realdiscrt1)^-0.5),"")</f>
        <v/>
      </c>
      <c r="CK137" s="79" t="str">
        <f>IFERROR((O137*1000*(((INDEX(avoidedcosttbl2,$H137,CK$2)+(($H137-ROUNDDOWN($H137,0))*(INDEX(avoidedcosttbl2,ROUNDUP($H137,0),CK$2)-INDEX(avoidedcosttbl2,ROUNDDOWN($H137,0),CK$2))))*'Inputs Yr 2'!AU137))),"")</f>
        <v/>
      </c>
      <c r="CL137" s="504" t="str">
        <f>IFERROR(O137*1000*'Inputs Yr 2'!AV137/((1+realdiscrt1)^-0.5),"")</f>
        <v/>
      </c>
      <c r="CM137" s="79" t="str">
        <f>IFERROR((AB137*'Inputs Yr 2'!AW137*(((INDEX(avoidedcosttbl2,$H137,CM$2)+(($H137-ROUNDDOWN($H137,0))*(INDEX(avoidedcosttbl2,ROUNDUP($H137,0),CM$2)-INDEX(avoidedcosttbl2,ROUNDDOWN($H137,0),CM$2)))))))*10,"")</f>
        <v/>
      </c>
      <c r="CN137" s="504">
        <f>IFERROR(10*AB137*'Inputs Yr 2'!AX137/((1+realdiscrt1)^-0.5),"")</f>
        <v>0</v>
      </c>
      <c r="CO137" s="505">
        <f t="shared" si="105"/>
        <v>0</v>
      </c>
      <c r="CP137" s="230">
        <f t="shared" si="106"/>
        <v>0</v>
      </c>
      <c r="CQ137" s="199">
        <f>ROUND(IFERROR(IF(LEFT($A137,1)="C",'Avoided Costs'!$K$13,'Avoided Costs'!$K$12)+1,""),4)</f>
        <v>1.0720000000000001</v>
      </c>
      <c r="CR137" s="199">
        <f>ROUND(IFERROR(IF(LEFT($A137,1)="C",'Avoided Costs'!$L$13,'Avoided Costs'!$L$12)+1,""),4)</f>
        <v>1.04</v>
      </c>
      <c r="CS137" s="199">
        <f>ROUND(IFERROR(IF(LEFT($A137,1)="C",'Avoided Costs'!$M$13,'Avoided Costs'!$M$12)+1,""),4)</f>
        <v>1.0720000000000001</v>
      </c>
      <c r="CT137" s="199">
        <f>ROUND(IFERROR(IF(LEFT($A137,1)="C",'Avoided Costs'!$N$13,'Avoided Costs'!$N$12)+1,""),4)</f>
        <v>1.04</v>
      </c>
      <c r="CU137" s="199">
        <f>ROUND(IFERROR(IF(LEFT($A137,1)="C",'Avoided Costs'!$O$13,'Avoided Costs'!$O$12)+1,""),4)</f>
        <v>1.1120000000000001</v>
      </c>
      <c r="CV137" s="199">
        <f>ROUND(IFERROR(IF(LEFT($A137,1)="C",'Avoided Costs'!$P$13,'Avoided Costs'!$P$12)+1,""),4)</f>
        <v>1.095</v>
      </c>
      <c r="CW137" s="199">
        <f>ROUND(IFERROR(IF(LEFT($A137,1)="C",'Avoided Costs'!$Q$13,'Avoided Costs'!$Q$12)+1,""),4)</f>
        <v>1.1120000000000001</v>
      </c>
      <c r="CX137" s="200">
        <f>ROUND(IFERROR(IF(LEFT($A137,1)="C",'Avoided Costs'!$R$13,'Avoided Costs'!$R$12)+1,""),4)</f>
        <v>1.1120000000000001</v>
      </c>
    </row>
    <row r="138" spans="1:102" ht="12.75" customHeight="1">
      <c r="A138" s="91" t="str">
        <f>IF('Inputs Yr 2'!$B138=0,"",'Inputs Yr 2'!A138)</f>
        <v>B - Low Income</v>
      </c>
      <c r="B138" s="91" t="str">
        <f>IF('Inputs Yr 2'!$B138=0,"",'Inputs Yr 2'!B138)</f>
        <v>B1 - Low-Income Whole House</v>
      </c>
      <c r="C138" s="91" t="str">
        <f>IF('Inputs Yr 2'!$B138=0,"",'Inputs Yr 2'!C138)</f>
        <v>B1b - Low-Income Multi-Family Retrofit</v>
      </c>
      <c r="D138" s="91" t="str">
        <f>IF('Inputs Yr 2'!$B138=0,"",'Inputs Yr 2'!E138)</f>
        <v>Wi-Fi Thermostat (controls elec cooling &amp; gas heat )</v>
      </c>
      <c r="E138" s="93" t="str">
        <f>IF('Inputs Yr 2'!$B138=0,"",'Inputs Yr 2'!F138)</f>
        <v>G16B1b18</v>
      </c>
      <c r="F138" s="93" t="str">
        <f>IF('Inputs Yr 2'!$B138=0,"",'Inputs Yr 2'!G138)</f>
        <v>HVAC</v>
      </c>
      <c r="G138" s="95" t="str">
        <f>IF('Inputs Yr 2'!$H138&lt;&gt;0,('Inputs Yr 2'!H138),"")</f>
        <v/>
      </c>
      <c r="H138" s="94">
        <f>IFERROR('Inputs Yr 2'!I138,"")</f>
        <v>0</v>
      </c>
      <c r="I138" s="298" t="str">
        <f>IFERROR('Inputs Yr 2'!J138*'Inputs Yr 2'!P138*G138,"")</f>
        <v/>
      </c>
      <c r="J138" s="298" t="str">
        <f>IFERROR('Inputs Yr 2'!K138*G138,"")</f>
        <v/>
      </c>
      <c r="K138" s="298" t="str">
        <f t="shared" si="83"/>
        <v/>
      </c>
      <c r="L138" s="194" t="str">
        <f>IFERROR(('Inputs Yr 2'!W138*G138)/1000,"")</f>
        <v/>
      </c>
      <c r="M138" s="194" t="str">
        <f>IFERROR(L138*('Inputs Yr 2'!$Q138*'Inputs Yr 2'!$V138*'Inputs Yr 2'!$R138),"")</f>
        <v/>
      </c>
      <c r="N138" s="194" t="str">
        <f t="shared" si="84"/>
        <v/>
      </c>
      <c r="O138" s="194" t="str">
        <f>IFERROR(M138*'Inputs Yr 2'!P138,"")</f>
        <v/>
      </c>
      <c r="P138" s="194" t="str">
        <f t="shared" si="85"/>
        <v/>
      </c>
      <c r="Q138" s="194" t="str">
        <f>IFERROR($P138*'Inputs Yr 2'!AA138,"")</f>
        <v/>
      </c>
      <c r="R138" s="194" t="str">
        <f>IFERROR($P138*'Inputs Yr 2'!AB138,"")</f>
        <v/>
      </c>
      <c r="S138" s="194" t="str">
        <f>IFERROR($P138*'Inputs Yr 2'!AC138,"")</f>
        <v/>
      </c>
      <c r="T138" s="194" t="str">
        <f>IFERROR($P138*'Inputs Yr 2'!AD138,"")</f>
        <v/>
      </c>
      <c r="U138" s="194" t="str">
        <f>IFERROR(G138*'Inputs Yr 2'!$AE138*'Inputs Yr 2'!$P138*'Inputs Yr 2'!$Q138,"")</f>
        <v/>
      </c>
      <c r="V138" s="194" t="str">
        <f>IFERROR($G138*'Inputs Yr 2'!$AE138*'Inputs Yr 2'!$AG138*'Inputs Yr 2'!Q138*'Inputs Yr 2'!$S138,"")</f>
        <v/>
      </c>
      <c r="W138" s="194" t="str">
        <f>IFERROR($G138*'Inputs Yr 2'!$AE138*'Inputs Yr 2'!$AG138*'Inputs Yr 2'!P138*'Inputs Yr 2'!Q138*'Inputs Yr 2'!$S138,"")</f>
        <v/>
      </c>
      <c r="X138" s="194" t="str">
        <f>IFERROR($G138*'Inputs Yr 2'!$AE138*'Inputs Yr 2'!$AF138*'Inputs Yr 2'!Q138*'Inputs Yr 2'!$T138,"")</f>
        <v/>
      </c>
      <c r="Y138" s="194" t="str">
        <f>IFERROR($G138*'Inputs Yr 2'!$AE138*'Inputs Yr 2'!$AF138*'Inputs Yr 2'!P138*'Inputs Yr 2'!Q138*'Inputs Yr 2'!$T138,"")</f>
        <v/>
      </c>
      <c r="Z138" s="257">
        <f>IFERROR($G138*'Inputs Yr 2'!$Q138*'Inputs Yr 2'!$U138*(IF(IFERROR(SEARCH("NG", 'Inputs Yr 2'!$AJ138),0),'Inputs Yr 2'!$AK138,0)+IF(IFERROR(SEARCH("NG", 'Inputs Yr 2'!$AL138),0),'Inputs Yr 2'!$AM138,0)+IF(IFERROR(SEARCH("NG", 'Inputs Yr 2'!$AN138),0),'Inputs Yr 2'!$AO138,0)),0)</f>
        <v>0</v>
      </c>
      <c r="AA138" s="257">
        <f t="shared" si="86"/>
        <v>0</v>
      </c>
      <c r="AB138" s="257">
        <f>IFERROR(Z138*'Inputs Yr 2'!$P138,0)</f>
        <v>0</v>
      </c>
      <c r="AC138" s="257">
        <f t="shared" si="87"/>
        <v>0</v>
      </c>
      <c r="AD138" s="257">
        <f>IFERROR($G138*'Inputs Yr 2'!$Q138*'Inputs Yr 2'!$U138*(IF(IFERROR(SEARCH("Oil", 'Inputs Yr 2'!$AJ138), 0),'Inputs Yr 2'!$AK138,0)+IF(IFERROR(SEARCH("Oil", 'Inputs Yr 2'!$AL138), 0),'Inputs Yr 2'!$AM138,0)+IF(IFERROR(SEARCH("Oil", 'Inputs Yr 2'!$AN138), 0),'Inputs Yr 2'!$AO138,0)),0)</f>
        <v>0</v>
      </c>
      <c r="AE138" s="257">
        <f t="shared" si="88"/>
        <v>0</v>
      </c>
      <c r="AF138" s="257">
        <f>IFERROR(AD138*'Inputs Yr 2'!$P138,0)</f>
        <v>0</v>
      </c>
      <c r="AG138" s="257">
        <f t="shared" si="89"/>
        <v>0</v>
      </c>
      <c r="AH138" s="257">
        <f>IFERROR($G138*'Inputs Yr 2'!$Q138*'Inputs Yr 2'!$U138*(IF('Inputs Yr 2'!$AJ138=CD$4,'Inputs Yr 2'!$AK138,IF('Inputs Yr 2'!$AL138=CD$4,'Inputs Yr 2'!$AM138,IF('Inputs Yr 2'!$AN138=CD$4,'Inputs Yr 2'!$AO138,0)))),0)</f>
        <v>0</v>
      </c>
      <c r="AI138" s="257">
        <f t="shared" si="90"/>
        <v>0</v>
      </c>
      <c r="AJ138" s="257">
        <f>IFERROR(AH138*'Inputs Yr 2'!$P138,0)</f>
        <v>0</v>
      </c>
      <c r="AK138" s="257">
        <f t="shared" si="91"/>
        <v>0</v>
      </c>
      <c r="AL138" s="258">
        <f>IFERROR($G138*'Inputs Yr 2'!$P138*'Inputs Yr 2'!$Q138*'Inputs Yr 2'!AP138,0)</f>
        <v>0</v>
      </c>
      <c r="AM138" s="260">
        <f>IFERROR($G138*'Inputs Yr 2'!$P138*'Inputs Yr 2'!$Q138*'Inputs Yr 2'!AQ138,0)</f>
        <v>0</v>
      </c>
      <c r="AN138" s="258">
        <f>IFERROR($G138*'Inputs Yr 2'!$P138*'Inputs Yr 2'!$Q138*'Inputs Yr 2'!AR138,0)</f>
        <v>0</v>
      </c>
      <c r="AO138" s="257">
        <f t="shared" si="92"/>
        <v>0</v>
      </c>
      <c r="AP138" s="195" t="str">
        <f>IFERROR($CQ138*(INDEX(avoidedcosttbl2,$H138,AP$2)+(($H138-ROUNDDOWN($H138,0))*(INDEX(avoidedcosttbl2,ROUNDUP($H138,0),AP$2)-(INDEX(avoidedcosttbl2,ROUNDDOWN($H138,0),AP$2)))))*$O138*1000*'Inputs Yr 2'!AA138,"")</f>
        <v/>
      </c>
      <c r="AQ138" s="195" t="str">
        <f>IFERROR($CR138*(INDEX(avoidedcosttbl2,$H138,AQ$2)+(($H138-ROUNDDOWN($H138,0))*(INDEX(avoidedcosttbl2,ROUNDUP($H138,0),AQ$2)-(INDEX(avoidedcosttbl2,ROUNDDOWN($H138,0),AQ$2)))))*$O138*1000*'Inputs Yr 2'!AB138,"")</f>
        <v/>
      </c>
      <c r="AR138" s="195" t="str">
        <f>IFERROR($CS138*(INDEX(avoidedcosttbl2,$H138,AR$2)+(($H138-ROUNDDOWN($H138,0))*(INDEX(avoidedcosttbl2,ROUNDUP($H138,0),AR$2)-(INDEX(avoidedcosttbl2,ROUNDDOWN($H138,0),AR$2)))))*$O138*1000*'Inputs Yr 2'!AC138,"")</f>
        <v/>
      </c>
      <c r="AS138" s="195" t="str">
        <f>IFERROR($CT138*(INDEX(avoidedcosttbl2,$H138,AS$2)+(($H138-ROUNDDOWN($H138,0))*(INDEX(avoidedcosttbl2,ROUNDUP($H138,0),AS$2)-(INDEX(avoidedcosttbl2,ROUNDDOWN($H138,0),AS$2)))))*$O138*1000*'Inputs Yr 2'!AD138,"")</f>
        <v/>
      </c>
      <c r="AT138" s="196">
        <f t="shared" si="93"/>
        <v>0</v>
      </c>
      <c r="AU138" s="197" t="str">
        <f>IFERROR($CQ138*((INDEX(avoidedcosttbl2,$H138,AU$2))+(($H138-ROUNDDOWN($H138,0))*((INDEX(avoidedcosttbl2,ROUNDUP($H138,0),AU$2))-(INDEX(avoidedcosttbl2,ROUNDDOWN($H138,0),AU$2)))))*$O138*1000*'Inputs Yr 2'!AA138,"")</f>
        <v/>
      </c>
      <c r="AV138" s="197" t="str">
        <f>IFERROR($CR138*((INDEX(avoidedcosttbl2,$H138,AV$2))+(($H138-ROUNDDOWN($H138,0))*((INDEX(avoidedcosttbl2,ROUNDUP($H138,0),AV$2))-(INDEX(avoidedcosttbl2,ROUNDDOWN($H138,0),AV$2)))))*$O138*1000*'Inputs Yr 2'!AB138,"")</f>
        <v/>
      </c>
      <c r="AW138" s="197" t="str">
        <f>IFERROR($CS138*((INDEX(avoidedcosttbl2,$H138,AW$2))+(($H138-ROUNDDOWN($H138,0))*((INDEX(avoidedcosttbl2,ROUNDUP($H138,0),AW$2))-(INDEX(avoidedcosttbl2,ROUNDDOWN($H138,0),AW$2)))))*$O138*1000*'Inputs Yr 2'!AC138,"")</f>
        <v/>
      </c>
      <c r="AX138" s="197" t="str">
        <f>IFERROR($CT138*((INDEX(avoidedcosttbl2,$H138,AX$2))+(($H138-ROUNDDOWN($H138,0))*((INDEX(avoidedcosttbl2,ROUNDUP($H138,0),AX$2))-(INDEX(avoidedcosttbl2,ROUNDDOWN($H138,0),AX$2)))))*$O138*1000*'Inputs Yr 2'!AD138,"")</f>
        <v/>
      </c>
      <c r="AY138" s="197" t="str">
        <f>IFERROR(((INDEX(avoidedcosttbl2,$H138,AY$2))+(($H138-ROUNDDOWN($H138,0))*((INDEX(avoidedcosttbl2,ROUNDUP($H138,0),AY$2))-(INDEX(avoidedcosttbl2,ROUNDDOWN($H138,0),AY$2)))))*$O138*1000*('Inputs Yr 2'!AC138+'Inputs Yr 2'!AD138),"")</f>
        <v/>
      </c>
      <c r="AZ138" s="197" t="str">
        <f>IFERROR(((INDEX(avoidedcosttbl2,$H138,AZ$2))+(($H138-ROUNDDOWN($H138,0))*((INDEX(avoidedcosttbl2,ROUNDUP($H138,0),AZ$2))-(INDEX(avoidedcosttbl2,ROUNDDOWN($H138,0),AZ$2)))))*$O138*1000*('Inputs Yr 2'!AA138+'Inputs Yr 2'!AB138),"")</f>
        <v/>
      </c>
      <c r="BA138" s="198">
        <f t="shared" si="94"/>
        <v>0</v>
      </c>
      <c r="BB138" s="198">
        <f t="shared" si="95"/>
        <v>0</v>
      </c>
      <c r="BC138" s="195" t="str">
        <f t="shared" si="77"/>
        <v/>
      </c>
      <c r="BD138" s="195" t="str">
        <f t="shared" si="78"/>
        <v/>
      </c>
      <c r="BE138" s="195" t="str">
        <f t="shared" si="79"/>
        <v/>
      </c>
      <c r="BF138" s="195" t="str">
        <f t="shared" si="80"/>
        <v/>
      </c>
      <c r="BG138" s="195" t="str">
        <f t="shared" si="81"/>
        <v/>
      </c>
      <c r="BH138" s="196">
        <f t="shared" si="96"/>
        <v>0</v>
      </c>
      <c r="BI138" s="196">
        <f t="shared" si="97"/>
        <v>0</v>
      </c>
      <c r="BJ138" s="195" t="str">
        <f>IFERROR($G138*(IF('Inputs Yr 2'!$AJ138=BJ$4,'Inputs Yr 2'!$AK138,IF('Inputs Yr 2'!$AL138=BJ$4,'Inputs Yr 2'!$AM138,IF('Inputs Yr 2'!$AN138=BJ$4,'Inputs Yr 2'!$AO138,0))))*(INDEX(avoidedcosttbl2,$H138,BJ$2)+(($H138-ROUNDDOWN($H138,0))*(INDEX(avoidedcosttbl2,ROUNDUP($H138,0),BJ$2)-(INDEX(avoidedcosttbl2,ROUNDDOWN($H138,0),BJ$2)))))*'Inputs Yr 2'!P138*'Inputs Yr 2'!Q138*'Inputs Yr 2'!U138,"")</f>
        <v/>
      </c>
      <c r="BK138" s="195" t="str">
        <f>IFERROR($G138*(IF('Inputs Yr 2'!$AJ138=BK$4,'Inputs Yr 2'!$AK138,IF('Inputs Yr 2'!$AL138=BK$4,'Inputs Yr 2'!$AM138,IF('Inputs Yr 2'!$AN138=BK$4,'Inputs Yr 2'!$AO138,0))))*(INDEX(avoidedcosttbl2,$H138,BK$2)+(($H138-ROUNDDOWN($H138,0))*(INDEX(avoidedcosttbl2,ROUNDUP($H138,0),BK$2)-(INDEX(avoidedcosttbl2,ROUNDDOWN($H138,0),BK$2)))))*'Inputs Yr 2'!P138*'Inputs Yr 2'!Q138*'Inputs Yr 2'!U138,"")</f>
        <v/>
      </c>
      <c r="BL138" s="195" t="str">
        <f>IFERROR($G138*(IF('Inputs Yr 2'!$AJ138=BL$4,'Inputs Yr 2'!$AK138,IF('Inputs Yr 2'!$AL138=BL$4,'Inputs Yr 2'!$AM138,IF('Inputs Yr 2'!$AN138=BL$4,'Inputs Yr 2'!$AO138,0))))*(INDEX(avoidedcosttbl2,$H138,BL$2)+(($H138-ROUNDDOWN($H138,0))*(INDEX(avoidedcosttbl2,ROUNDUP($H138,0),BL$2)-(INDEX(avoidedcosttbl2,ROUNDDOWN($H138,0),BL$2)))))*'Inputs Yr 2'!P138*'Inputs Yr 2'!Q138*'Inputs Yr 2'!U138,"")</f>
        <v/>
      </c>
      <c r="BM138" s="195" t="str">
        <f>IFERROR($G138*(IF('Inputs Yr 2'!$AJ138=BM$4,'Inputs Yr 2'!$AK138,IF('Inputs Yr 2'!$AL138=BM$4,'Inputs Yr 2'!$AM138,IF('Inputs Yr 2'!$AN138=BM$4,'Inputs Yr 2'!$AO138,0))))*(INDEX(avoidedcosttbl2,$H138,BM$2)+(($H138-ROUNDDOWN($H138,0))*(INDEX(avoidedcosttbl2,ROUNDUP($H138,0),BM$2)-(INDEX(avoidedcosttbl2,ROUNDDOWN($H138,0),BM$2)))))*'Inputs Yr 2'!P138*'Inputs Yr 2'!Q138*'Inputs Yr 2'!U138,"")</f>
        <v/>
      </c>
      <c r="BN138" s="195" t="str">
        <f>IFERROR($G138*(IF('Inputs Yr 2'!$AJ138=BN$4,'Inputs Yr 2'!$AK138,IF('Inputs Yr 2'!$AL138=BN$4,'Inputs Yr 2'!$AM138,IF('Inputs Yr 2'!$AN138=BN$4,'Inputs Yr 2'!$AO138,0))))*(INDEX(avoidedcosttbl2,$H138,BN$2)+(($H138-ROUNDDOWN($H138,0))*(INDEX(avoidedcosttbl2,ROUNDUP($H138,0),BN$2)-(INDEX(avoidedcosttbl2,ROUNDDOWN($H138,0),BN$2)))))*'Inputs Yr 2'!P138*'Inputs Yr 2'!Q138*'Inputs Yr 2'!U138,"")</f>
        <v/>
      </c>
      <c r="BO138" s="195" t="str">
        <f>IFERROR($G138*(IF('Inputs Yr 2'!$AJ138=BO$4,'Inputs Yr 2'!$AK138,IF('Inputs Yr 2'!$AL138=BO$4,'Inputs Yr 2'!$AM138,IF('Inputs Yr 2'!$AN138=BO$4,'Inputs Yr 2'!$AO138,0))))*(INDEX(avoidedcosttbl2,$H138,BO$2)+(($H138-ROUNDDOWN($H138,0))*(INDEX(avoidedcosttbl2,ROUNDUP($H138,0),BO$2)-(INDEX(avoidedcosttbl2,ROUNDDOWN($H138,0),BO$2)))))*'Inputs Yr 2'!P138*'Inputs Yr 2'!Q138*'Inputs Yr 2'!U138,"")</f>
        <v/>
      </c>
      <c r="BP138" s="195" t="str">
        <f>IFERROR($G138*(IF('Inputs Yr 2'!$AJ138=BP$4,'Inputs Yr 2'!$AK138,IF('Inputs Yr 2'!$AL138=BP$4,'Inputs Yr 2'!$AM138,IF('Inputs Yr 2'!$AN138=BP$4,'Inputs Yr 2'!$AO138,0))))*(INDEX(avoidedcosttbl2,$H138,BP$2)+(($H138-ROUNDDOWN($H138,0))*(INDEX(avoidedcosttbl2,ROUNDUP($H138,0),BP$2)-(INDEX(avoidedcosttbl2,ROUNDDOWN($H138,0),BP$2)))))*'Inputs Yr 2'!P138*'Inputs Yr 2'!Q138*'Inputs Yr 2'!U138,"")</f>
        <v/>
      </c>
      <c r="BQ138" s="230">
        <f t="shared" si="98"/>
        <v>0</v>
      </c>
      <c r="BR138" s="197" t="str">
        <f t="shared" si="82"/>
        <v/>
      </c>
      <c r="BS138" s="197" t="str">
        <f>IFERROR(($G138*IF('Inputs Yr 2'!$AJ138=BM$4,'Inputs Yr 2'!$AK138,IF('Inputs Yr 2'!$AL138=BM$4,'Inputs Yr 2'!$AM138,IF('Inputs Yr 2'!$AN138=BM$4,'Inputs Yr 2'!$AO138,0))))*(INDEX(avoidedcosttbl2,$H138,BS$2)+(($H138-ROUNDDOWN($H138,0))*(INDEX(avoidedcosttbl2,ROUNDUP($H138,0),BS$2)-(INDEX(avoidedcosttbl2,ROUNDDOWN($H138,0),BS$2)))))*'Inputs Yr 2'!P138*'Inputs Yr 2'!Q138*'Inputs Yr 2'!U138,"")</f>
        <v/>
      </c>
      <c r="BT138" s="197" t="str">
        <f>IFERROR(($G138*IF('Inputs Yr 2'!$AJ138=BK$4,'Inputs Yr 2'!$AK138,IF('Inputs Yr 2'!$AL138=BK$4,'Inputs Yr 2'!$AM138,IF('Inputs Yr 2'!$AN138=BK$4,'Inputs Yr 2'!$AO138,0))))*(INDEX(avoidedcosttbl2,$H138,BT$2)+(($H138-ROUNDDOWN($H138,0))*(INDEX(avoidedcosttbl2,ROUNDUP($H138,0),BT$2)-(INDEX(avoidedcosttbl2,ROUNDDOWN($H138,0),BT$2)))))*'Inputs Yr 2'!P138*'Inputs Yr 2'!Q138*'Inputs Yr 2'!U138,"")</f>
        <v/>
      </c>
      <c r="BU138" s="197" t="str">
        <f>IFERROR(($G138*IF('Inputs Yr 2'!$AJ138=BL$4,'Inputs Yr 2'!$AK138,IF('Inputs Yr 2'!$AL138=BL$4,'Inputs Yr 2'!$AM138,IF('Inputs Yr 2'!$AN138=BL$4,'Inputs Yr 2'!$AO138,0))))*(INDEX(avoidedcosttbl2,$H138,BU$2)+(($H138-ROUNDDOWN($H138,0))*(INDEX(avoidedcosttbl2,ROUNDUP($H138,0),BU$2)-(INDEX(avoidedcosttbl2,ROUNDDOWN($H138,0),BU$2)))))*'Inputs Yr 2'!P138*'Inputs Yr 2'!Q138*'Inputs Yr 2'!U138,"")</f>
        <v/>
      </c>
      <c r="BV138" s="775" t="str">
        <f>IFERROR(($G138*IF('Inputs Yr 2'!$AJ138=BJ$4,'Inputs Yr 2'!$AK138,IF('Inputs Yr 2'!$AL138=BJ$4,'Inputs Yr 2'!$AM138,IF('Inputs Yr 2'!$AN138=BJ$4,'Inputs Yr 2'!$AO138,0))))*(INDEX(avoidedcosttbl2,$H138,BV$2)+(($H138-ROUNDDOWN($H138,0))*(INDEX(avoidedcosttbl2,ROUNDUP($H138,0),BV$2)-(INDEX(avoidedcosttbl2,ROUNDDOWN($H138,0),BV$2)))))*'Inputs Yr 2'!P138*'Inputs Yr 2'!Q138*'Inputs Yr 2'!U138,"")</f>
        <v/>
      </c>
      <c r="BW138" s="197" t="str">
        <f>IFERROR(($G138*IF('Inputs Yr 2'!$AJ138=BN$4,'Inputs Yr 2'!$AK138,IF('Inputs Yr 2'!$AL138=BN$4,'Inputs Yr 2'!$AM138,IF('Inputs Yr 2'!$AN138=BN$4,'Inputs Yr 2'!$AO138,0))))*(INDEX(avoidedcosttbl2,$H138,BW$2)+(($H138-ROUNDDOWN($H138,0))*(INDEX(avoidedcosttbl2,ROUNDUP($H138,0),BW$2)-(INDEX(avoidedcosttbl2,ROUNDDOWN($H138,0),BW$2)))))*'Inputs Yr 2'!P138*'Inputs Yr 2'!Q138*'Inputs Yr 2'!U138,"")</f>
        <v/>
      </c>
      <c r="BX138" s="197" t="str">
        <f>IFERROR(($G138*IF('Inputs Yr 2'!$AJ138=BO$4,'Inputs Yr 2'!$AK138,IF('Inputs Yr 2'!$AL138=BO$4,'Inputs Yr 2'!$AM138,IF('Inputs Yr 2'!$AN138=BO$4,'Inputs Yr 2'!$AO138,0))))*(INDEX(avoidedcosttbl2,$H138,BX$2)+(($H138-ROUNDDOWN($H138,0))*(INDEX(avoidedcosttbl2,ROUNDUP($H138,0),BX$2)-(INDEX(avoidedcosttbl2,ROUNDDOWN($H138,0),BX$2)))))*'Inputs Yr 2'!P138*'Inputs Yr 2'!Q138*'Inputs Yr 2'!U138,"")</f>
        <v/>
      </c>
      <c r="BY138" s="197" t="str">
        <f>IFERROR(($G138*IF('Inputs Yr 2'!$AJ138=BP$4,'Inputs Yr 2'!$AK138,IF('Inputs Yr 2'!$AL138=BP$4,'Inputs Yr 2'!$AM138,IF('Inputs Yr 2'!$AN138=BP$4,'Inputs Yr 2'!$AO138,0))))*(INDEX(avoidedcosttbl2,$H138,BY$2)+(($H138-ROUNDDOWN($H138,0))*(INDEX(avoidedcosttbl2,ROUNDUP($H138,0),BY$2)-(INDEX(avoidedcosttbl2,ROUNDDOWN($H138,0),BY$2)))))*'Inputs Yr 2'!P138*'Inputs Yr 2'!Q138*'Inputs Yr 2'!U138,"")</f>
        <v/>
      </c>
      <c r="BZ138" s="193">
        <f t="shared" si="99"/>
        <v>0</v>
      </c>
      <c r="CA138" s="193">
        <f t="shared" si="100"/>
        <v>0</v>
      </c>
      <c r="CB138" s="195" t="str">
        <f>IFERROR(G138*(IF('Inputs Yr 2'!$AJ138=CB$4,'Inputs Yr 2'!$AK138,IF('Inputs Yr 2'!$AL138=CB$4,'Inputs Yr 2'!$AM138,IF('Inputs Yr 2'!$AN138=CB$4,'Inputs Yr 2'!$AO138,0))))*(INDEX(avoidedcosttbl2,$H138,CB$2)+(($H138-ROUNDDOWN($H138,0))*(INDEX(avoidedcosttbl2,ROUNDUP($H138,0),CB$2)-(INDEX(avoidedcosttbl2,ROUNDDOWN($H138,0),CB$2)))))*'Inputs Yr 2'!P138*'Inputs Yr 2'!Q138*'Inputs Yr 2'!U138,"")</f>
        <v/>
      </c>
      <c r="CC138" s="195" t="str">
        <f>IFERROR(H138*(IF('Inputs Yr 2'!$AJ138=CC$4,'Inputs Yr 2'!$AK138,IF('Inputs Yr 2'!$AL138=CC$4,'Inputs Yr 2'!$AM138,IF('Inputs Yr 2'!$AN138=CC$4,'Inputs Yr 2'!$AO138,0))))*(INDEX(avoidedcosttbl2,$H138,CC$2)+(($H138-ROUNDDOWN($H138,0))*(INDEX(avoidedcosttbl2,ROUNDUP($H138,0),CC$2)-(INDEX(avoidedcosttbl2,ROUNDDOWN($H138,0),CC$2)))))*'Inputs Yr 2'!Q138*'Inputs Yr 2'!R138*'Inputs Yr 2'!V138,"")</f>
        <v/>
      </c>
      <c r="CD138" s="195" t="str">
        <f>IFERROR(I138*(IF('Inputs Yr 2'!$AJ138=CD$4,'Inputs Yr 2'!$AK138,IF('Inputs Yr 2'!$AL138=CD$4,'Inputs Yr 2'!$AM138,IF('Inputs Yr 2'!$AN138=CD$4,'Inputs Yr 2'!$AO138,0))))*(INDEX(avoidedcosttbl2,$H138,CD$2)+(($H138-ROUNDDOWN($H138,0))*(INDEX(avoidedcosttbl2,ROUNDUP($H138,0),CD$2)-(INDEX(avoidedcosttbl2,ROUNDDOWN($H138,0),CD$2)))))*'Inputs Yr 2'!R138*'Inputs Yr 2'!S138*'Inputs Yr 2'!W138,"")</f>
        <v/>
      </c>
      <c r="CE138" s="213" t="str">
        <f t="shared" si="101"/>
        <v/>
      </c>
      <c r="CF138" s="213" t="str">
        <f t="shared" si="102"/>
        <v/>
      </c>
      <c r="CG138" s="213" t="str">
        <f t="shared" si="103"/>
        <v/>
      </c>
      <c r="CH138" s="698">
        <f t="shared" si="104"/>
        <v>0</v>
      </c>
      <c r="CI138" s="79" t="str">
        <f>IFERROR(($G138*'Inputs Yr 2'!$P138*'Inputs Yr 2'!$Q138*(((INDEX(avoidedcosttbl2,$H138,CI$2)+(($H138-ROUNDDOWN($H138,0))*(INDEX(avoidedcosttbl2,ROUNDUP($H138,0),CI$2)-INDEX(avoidedcosttbl2,ROUNDDOWN($H138,0),CI$2))))*'Inputs Yr 2'!AS138))),"")</f>
        <v/>
      </c>
      <c r="CJ138" s="504" t="str">
        <f>IFERROR($G138*'Inputs Yr 2'!AT138*'Inputs Yr 2'!$P138*'Inputs Yr 2'!$Q138/((1+realdiscrt1)^-0.5),"")</f>
        <v/>
      </c>
      <c r="CK138" s="79" t="str">
        <f>IFERROR((O138*1000*(((INDEX(avoidedcosttbl2,$H138,CK$2)+(($H138-ROUNDDOWN($H138,0))*(INDEX(avoidedcosttbl2,ROUNDUP($H138,0),CK$2)-INDEX(avoidedcosttbl2,ROUNDDOWN($H138,0),CK$2))))*'Inputs Yr 2'!AU138))),"")</f>
        <v/>
      </c>
      <c r="CL138" s="504" t="str">
        <f>IFERROR(O138*1000*'Inputs Yr 2'!AV138/((1+realdiscrt1)^-0.5),"")</f>
        <v/>
      </c>
      <c r="CM138" s="79" t="str">
        <f>IFERROR((AB138*'Inputs Yr 2'!AW138*(((INDEX(avoidedcosttbl2,$H138,CM$2)+(($H138-ROUNDDOWN($H138,0))*(INDEX(avoidedcosttbl2,ROUNDUP($H138,0),CM$2)-INDEX(avoidedcosttbl2,ROUNDDOWN($H138,0),CM$2)))))))*10,"")</f>
        <v/>
      </c>
      <c r="CN138" s="504">
        <f>IFERROR(10*AB138*'Inputs Yr 2'!AX138/((1+realdiscrt1)^-0.5),"")</f>
        <v>0</v>
      </c>
      <c r="CO138" s="505">
        <f t="shared" si="105"/>
        <v>0</v>
      </c>
      <c r="CP138" s="230">
        <f t="shared" si="106"/>
        <v>0</v>
      </c>
      <c r="CQ138" s="199">
        <f>ROUND(IFERROR(IF(LEFT($A138,1)="C",'Avoided Costs'!$K$13,'Avoided Costs'!$K$12)+1,""),4)</f>
        <v>1.0720000000000001</v>
      </c>
      <c r="CR138" s="199">
        <f>ROUND(IFERROR(IF(LEFT($A138,1)="C",'Avoided Costs'!$L$13,'Avoided Costs'!$L$12)+1,""),4)</f>
        <v>1.04</v>
      </c>
      <c r="CS138" s="199">
        <f>ROUND(IFERROR(IF(LEFT($A138,1)="C",'Avoided Costs'!$M$13,'Avoided Costs'!$M$12)+1,""),4)</f>
        <v>1.0720000000000001</v>
      </c>
      <c r="CT138" s="199">
        <f>ROUND(IFERROR(IF(LEFT($A138,1)="C",'Avoided Costs'!$N$13,'Avoided Costs'!$N$12)+1,""),4)</f>
        <v>1.04</v>
      </c>
      <c r="CU138" s="199">
        <f>ROUND(IFERROR(IF(LEFT($A138,1)="C",'Avoided Costs'!$O$13,'Avoided Costs'!$O$12)+1,""),4)</f>
        <v>1.1120000000000001</v>
      </c>
      <c r="CV138" s="199">
        <f>ROUND(IFERROR(IF(LEFT($A138,1)="C",'Avoided Costs'!$P$13,'Avoided Costs'!$P$12)+1,""),4)</f>
        <v>1.095</v>
      </c>
      <c r="CW138" s="199">
        <f>ROUND(IFERROR(IF(LEFT($A138,1)="C",'Avoided Costs'!$Q$13,'Avoided Costs'!$Q$12)+1,""),4)</f>
        <v>1.1120000000000001</v>
      </c>
      <c r="CX138" s="200">
        <f>ROUND(IFERROR(IF(LEFT($A138,1)="C",'Avoided Costs'!$R$13,'Avoided Costs'!$R$12)+1,""),4)</f>
        <v>1.1120000000000001</v>
      </c>
    </row>
    <row r="139" spans="1:102" ht="12.75" customHeight="1">
      <c r="A139" s="91" t="str">
        <f>IF('Inputs Yr 2'!$B139=0,"",'Inputs Yr 2'!A139)</f>
        <v>B - Low Income</v>
      </c>
      <c r="B139" s="91" t="str">
        <f>IF('Inputs Yr 2'!$B139=0,"",'Inputs Yr 2'!B139)</f>
        <v>B1 - Low-Income Whole House</v>
      </c>
      <c r="C139" s="91" t="str">
        <f>IF('Inputs Yr 2'!$B139=0,"",'Inputs Yr 2'!C139)</f>
        <v>B1b - Low-Income Multi-Family Retrofit</v>
      </c>
      <c r="D139" s="91" t="str">
        <f>IF('Inputs Yr 2'!$B139=0,"",'Inputs Yr 2'!E139)</f>
        <v>Boiler Reset Control, Gas</v>
      </c>
      <c r="E139" s="93" t="str">
        <f>IF('Inputs Yr 2'!$B139=0,"",'Inputs Yr 2'!F139)</f>
        <v>G16B1b19</v>
      </c>
      <c r="F139" s="93" t="str">
        <f>IF('Inputs Yr 2'!$B139=0,"",'Inputs Yr 2'!G139)</f>
        <v>HVAC</v>
      </c>
      <c r="G139" s="95" t="str">
        <f>IF('Inputs Yr 2'!$H139&lt;&gt;0,('Inputs Yr 2'!H139),"")</f>
        <v/>
      </c>
      <c r="H139" s="94">
        <f>IFERROR('Inputs Yr 2'!I139,"")</f>
        <v>0</v>
      </c>
      <c r="I139" s="298" t="str">
        <f>IFERROR('Inputs Yr 2'!J139*'Inputs Yr 2'!P139*G139,"")</f>
        <v/>
      </c>
      <c r="J139" s="298" t="str">
        <f>IFERROR('Inputs Yr 2'!K139*G139,"")</f>
        <v/>
      </c>
      <c r="K139" s="298" t="str">
        <f t="shared" si="83"/>
        <v/>
      </c>
      <c r="L139" s="194" t="str">
        <f>IFERROR(('Inputs Yr 2'!W139*G139)/1000,"")</f>
        <v/>
      </c>
      <c r="M139" s="194" t="str">
        <f>IFERROR(L139*('Inputs Yr 2'!$Q139*'Inputs Yr 2'!$V139*'Inputs Yr 2'!$R139),"")</f>
        <v/>
      </c>
      <c r="N139" s="194" t="str">
        <f t="shared" si="84"/>
        <v/>
      </c>
      <c r="O139" s="194" t="str">
        <f>IFERROR(M139*'Inputs Yr 2'!P139,"")</f>
        <v/>
      </c>
      <c r="P139" s="194" t="str">
        <f t="shared" si="85"/>
        <v/>
      </c>
      <c r="Q139" s="194" t="str">
        <f>IFERROR($P139*'Inputs Yr 2'!AA139,"")</f>
        <v/>
      </c>
      <c r="R139" s="194" t="str">
        <f>IFERROR($P139*'Inputs Yr 2'!AB139,"")</f>
        <v/>
      </c>
      <c r="S139" s="194" t="str">
        <f>IFERROR($P139*'Inputs Yr 2'!AC139,"")</f>
        <v/>
      </c>
      <c r="T139" s="194" t="str">
        <f>IFERROR($P139*'Inputs Yr 2'!AD139,"")</f>
        <v/>
      </c>
      <c r="U139" s="194" t="str">
        <f>IFERROR(G139*'Inputs Yr 2'!$AE139*'Inputs Yr 2'!$P139*'Inputs Yr 2'!$Q139,"")</f>
        <v/>
      </c>
      <c r="V139" s="194" t="str">
        <f>IFERROR($G139*'Inputs Yr 2'!$AE139*'Inputs Yr 2'!$AG139*'Inputs Yr 2'!Q139*'Inputs Yr 2'!$S139,"")</f>
        <v/>
      </c>
      <c r="W139" s="194" t="str">
        <f>IFERROR($G139*'Inputs Yr 2'!$AE139*'Inputs Yr 2'!$AG139*'Inputs Yr 2'!P139*'Inputs Yr 2'!Q139*'Inputs Yr 2'!$S139,"")</f>
        <v/>
      </c>
      <c r="X139" s="194" t="str">
        <f>IFERROR($G139*'Inputs Yr 2'!$AE139*'Inputs Yr 2'!$AF139*'Inputs Yr 2'!Q139*'Inputs Yr 2'!$T139,"")</f>
        <v/>
      </c>
      <c r="Y139" s="194" t="str">
        <f>IFERROR($G139*'Inputs Yr 2'!$AE139*'Inputs Yr 2'!$AF139*'Inputs Yr 2'!P139*'Inputs Yr 2'!Q139*'Inputs Yr 2'!$T139,"")</f>
        <v/>
      </c>
      <c r="Z139" s="257">
        <f>IFERROR($G139*'Inputs Yr 2'!$Q139*'Inputs Yr 2'!$U139*(IF(IFERROR(SEARCH("NG", 'Inputs Yr 2'!$AJ139),0),'Inputs Yr 2'!$AK139,0)+IF(IFERROR(SEARCH("NG", 'Inputs Yr 2'!$AL139),0),'Inputs Yr 2'!$AM139,0)+IF(IFERROR(SEARCH("NG", 'Inputs Yr 2'!$AN139),0),'Inputs Yr 2'!$AO139,0)),0)</f>
        <v>0</v>
      </c>
      <c r="AA139" s="257">
        <f t="shared" si="86"/>
        <v>0</v>
      </c>
      <c r="AB139" s="257">
        <f>IFERROR(Z139*'Inputs Yr 2'!$P139,0)</f>
        <v>0</v>
      </c>
      <c r="AC139" s="257">
        <f t="shared" si="87"/>
        <v>0</v>
      </c>
      <c r="AD139" s="257">
        <f>IFERROR($G139*'Inputs Yr 2'!$Q139*'Inputs Yr 2'!$U139*(IF(IFERROR(SEARCH("Oil", 'Inputs Yr 2'!$AJ139), 0),'Inputs Yr 2'!$AK139,0)+IF(IFERROR(SEARCH("Oil", 'Inputs Yr 2'!$AL139), 0),'Inputs Yr 2'!$AM139,0)+IF(IFERROR(SEARCH("Oil", 'Inputs Yr 2'!$AN139), 0),'Inputs Yr 2'!$AO139,0)),0)</f>
        <v>0</v>
      </c>
      <c r="AE139" s="257">
        <f t="shared" si="88"/>
        <v>0</v>
      </c>
      <c r="AF139" s="257">
        <f>IFERROR(AD139*'Inputs Yr 2'!$P139,0)</f>
        <v>0</v>
      </c>
      <c r="AG139" s="257">
        <f t="shared" si="89"/>
        <v>0</v>
      </c>
      <c r="AH139" s="257">
        <f>IFERROR($G139*'Inputs Yr 2'!$Q139*'Inputs Yr 2'!$U139*(IF('Inputs Yr 2'!$AJ139=CD$4,'Inputs Yr 2'!$AK139,IF('Inputs Yr 2'!$AL139=CD$4,'Inputs Yr 2'!$AM139,IF('Inputs Yr 2'!$AN139=CD$4,'Inputs Yr 2'!$AO139,0)))),0)</f>
        <v>0</v>
      </c>
      <c r="AI139" s="257">
        <f t="shared" si="90"/>
        <v>0</v>
      </c>
      <c r="AJ139" s="257">
        <f>IFERROR(AH139*'Inputs Yr 2'!$P139,0)</f>
        <v>0</v>
      </c>
      <c r="AK139" s="257">
        <f t="shared" si="91"/>
        <v>0</v>
      </c>
      <c r="AL139" s="258">
        <f>IFERROR($G139*'Inputs Yr 2'!$P139*'Inputs Yr 2'!$Q139*'Inputs Yr 2'!AP139,0)</f>
        <v>0</v>
      </c>
      <c r="AM139" s="260">
        <f>IFERROR($G139*'Inputs Yr 2'!$P139*'Inputs Yr 2'!$Q139*'Inputs Yr 2'!AQ139,0)</f>
        <v>0</v>
      </c>
      <c r="AN139" s="258">
        <f>IFERROR($G139*'Inputs Yr 2'!$P139*'Inputs Yr 2'!$Q139*'Inputs Yr 2'!AR139,0)</f>
        <v>0</v>
      </c>
      <c r="AO139" s="257">
        <f t="shared" si="92"/>
        <v>0</v>
      </c>
      <c r="AP139" s="195" t="str">
        <f>IFERROR($CQ139*(INDEX(avoidedcosttbl2,$H139,AP$2)+(($H139-ROUNDDOWN($H139,0))*(INDEX(avoidedcosttbl2,ROUNDUP($H139,0),AP$2)-(INDEX(avoidedcosttbl2,ROUNDDOWN($H139,0),AP$2)))))*$O139*1000*'Inputs Yr 2'!AA139,"")</f>
        <v/>
      </c>
      <c r="AQ139" s="195" t="str">
        <f>IFERROR($CR139*(INDEX(avoidedcosttbl2,$H139,AQ$2)+(($H139-ROUNDDOWN($H139,0))*(INDEX(avoidedcosttbl2,ROUNDUP($H139,0),AQ$2)-(INDEX(avoidedcosttbl2,ROUNDDOWN($H139,0),AQ$2)))))*$O139*1000*'Inputs Yr 2'!AB139,"")</f>
        <v/>
      </c>
      <c r="AR139" s="195" t="str">
        <f>IFERROR($CS139*(INDEX(avoidedcosttbl2,$H139,AR$2)+(($H139-ROUNDDOWN($H139,0))*(INDEX(avoidedcosttbl2,ROUNDUP($H139,0),AR$2)-(INDEX(avoidedcosttbl2,ROUNDDOWN($H139,0),AR$2)))))*$O139*1000*'Inputs Yr 2'!AC139,"")</f>
        <v/>
      </c>
      <c r="AS139" s="195" t="str">
        <f>IFERROR($CT139*(INDEX(avoidedcosttbl2,$H139,AS$2)+(($H139-ROUNDDOWN($H139,0))*(INDEX(avoidedcosttbl2,ROUNDUP($H139,0),AS$2)-(INDEX(avoidedcosttbl2,ROUNDDOWN($H139,0),AS$2)))))*$O139*1000*'Inputs Yr 2'!AD139,"")</f>
        <v/>
      </c>
      <c r="AT139" s="196">
        <f t="shared" si="93"/>
        <v>0</v>
      </c>
      <c r="AU139" s="197" t="str">
        <f>IFERROR($CQ139*((INDEX(avoidedcosttbl2,$H139,AU$2))+(($H139-ROUNDDOWN($H139,0))*((INDEX(avoidedcosttbl2,ROUNDUP($H139,0),AU$2))-(INDEX(avoidedcosttbl2,ROUNDDOWN($H139,0),AU$2)))))*$O139*1000*'Inputs Yr 2'!AA139,"")</f>
        <v/>
      </c>
      <c r="AV139" s="197" t="str">
        <f>IFERROR($CR139*((INDEX(avoidedcosttbl2,$H139,AV$2))+(($H139-ROUNDDOWN($H139,0))*((INDEX(avoidedcosttbl2,ROUNDUP($H139,0),AV$2))-(INDEX(avoidedcosttbl2,ROUNDDOWN($H139,0),AV$2)))))*$O139*1000*'Inputs Yr 2'!AB139,"")</f>
        <v/>
      </c>
      <c r="AW139" s="197" t="str">
        <f>IFERROR($CS139*((INDEX(avoidedcosttbl2,$H139,AW$2))+(($H139-ROUNDDOWN($H139,0))*((INDEX(avoidedcosttbl2,ROUNDUP($H139,0),AW$2))-(INDEX(avoidedcosttbl2,ROUNDDOWN($H139,0),AW$2)))))*$O139*1000*'Inputs Yr 2'!AC139,"")</f>
        <v/>
      </c>
      <c r="AX139" s="197" t="str">
        <f>IFERROR($CT139*((INDEX(avoidedcosttbl2,$H139,AX$2))+(($H139-ROUNDDOWN($H139,0))*((INDEX(avoidedcosttbl2,ROUNDUP($H139,0),AX$2))-(INDEX(avoidedcosttbl2,ROUNDDOWN($H139,0),AX$2)))))*$O139*1000*'Inputs Yr 2'!AD139,"")</f>
        <v/>
      </c>
      <c r="AY139" s="197" t="str">
        <f>IFERROR(((INDEX(avoidedcosttbl2,$H139,AY$2))+(($H139-ROUNDDOWN($H139,0))*((INDEX(avoidedcosttbl2,ROUNDUP($H139,0),AY$2))-(INDEX(avoidedcosttbl2,ROUNDDOWN($H139,0),AY$2)))))*$O139*1000*('Inputs Yr 2'!AC139+'Inputs Yr 2'!AD139),"")</f>
        <v/>
      </c>
      <c r="AZ139" s="197" t="str">
        <f>IFERROR(((INDEX(avoidedcosttbl2,$H139,AZ$2))+(($H139-ROUNDDOWN($H139,0))*((INDEX(avoidedcosttbl2,ROUNDUP($H139,0),AZ$2))-(INDEX(avoidedcosttbl2,ROUNDDOWN($H139,0),AZ$2)))))*$O139*1000*('Inputs Yr 2'!AA139+'Inputs Yr 2'!AB139),"")</f>
        <v/>
      </c>
      <c r="BA139" s="198">
        <f t="shared" si="94"/>
        <v>0</v>
      </c>
      <c r="BB139" s="198">
        <f t="shared" si="95"/>
        <v>0</v>
      </c>
      <c r="BC139" s="195" t="str">
        <f t="shared" si="77"/>
        <v/>
      </c>
      <c r="BD139" s="195" t="str">
        <f t="shared" si="78"/>
        <v/>
      </c>
      <c r="BE139" s="195" t="str">
        <f t="shared" si="79"/>
        <v/>
      </c>
      <c r="BF139" s="195" t="str">
        <f t="shared" si="80"/>
        <v/>
      </c>
      <c r="BG139" s="195" t="str">
        <f t="shared" si="81"/>
        <v/>
      </c>
      <c r="BH139" s="196">
        <f t="shared" si="96"/>
        <v>0</v>
      </c>
      <c r="BI139" s="196">
        <f t="shared" si="97"/>
        <v>0</v>
      </c>
      <c r="BJ139" s="195" t="str">
        <f>IFERROR($G139*(IF('Inputs Yr 2'!$AJ139=BJ$4,'Inputs Yr 2'!$AK139,IF('Inputs Yr 2'!$AL139=BJ$4,'Inputs Yr 2'!$AM139,IF('Inputs Yr 2'!$AN139=BJ$4,'Inputs Yr 2'!$AO139,0))))*(INDEX(avoidedcosttbl2,$H139,BJ$2)+(($H139-ROUNDDOWN($H139,0))*(INDEX(avoidedcosttbl2,ROUNDUP($H139,0),BJ$2)-(INDEX(avoidedcosttbl2,ROUNDDOWN($H139,0),BJ$2)))))*'Inputs Yr 2'!P139*'Inputs Yr 2'!Q139*'Inputs Yr 2'!U139,"")</f>
        <v/>
      </c>
      <c r="BK139" s="195" t="str">
        <f>IFERROR($G139*(IF('Inputs Yr 2'!$AJ139=BK$4,'Inputs Yr 2'!$AK139,IF('Inputs Yr 2'!$AL139=BK$4,'Inputs Yr 2'!$AM139,IF('Inputs Yr 2'!$AN139=BK$4,'Inputs Yr 2'!$AO139,0))))*(INDEX(avoidedcosttbl2,$H139,BK$2)+(($H139-ROUNDDOWN($H139,0))*(INDEX(avoidedcosttbl2,ROUNDUP($H139,0),BK$2)-(INDEX(avoidedcosttbl2,ROUNDDOWN($H139,0),BK$2)))))*'Inputs Yr 2'!P139*'Inputs Yr 2'!Q139*'Inputs Yr 2'!U139,"")</f>
        <v/>
      </c>
      <c r="BL139" s="195" t="str">
        <f>IFERROR($G139*(IF('Inputs Yr 2'!$AJ139=BL$4,'Inputs Yr 2'!$AK139,IF('Inputs Yr 2'!$AL139=BL$4,'Inputs Yr 2'!$AM139,IF('Inputs Yr 2'!$AN139=BL$4,'Inputs Yr 2'!$AO139,0))))*(INDEX(avoidedcosttbl2,$H139,BL$2)+(($H139-ROUNDDOWN($H139,0))*(INDEX(avoidedcosttbl2,ROUNDUP($H139,0),BL$2)-(INDEX(avoidedcosttbl2,ROUNDDOWN($H139,0),BL$2)))))*'Inputs Yr 2'!P139*'Inputs Yr 2'!Q139*'Inputs Yr 2'!U139,"")</f>
        <v/>
      </c>
      <c r="BM139" s="195" t="str">
        <f>IFERROR($G139*(IF('Inputs Yr 2'!$AJ139=BM$4,'Inputs Yr 2'!$AK139,IF('Inputs Yr 2'!$AL139=BM$4,'Inputs Yr 2'!$AM139,IF('Inputs Yr 2'!$AN139=BM$4,'Inputs Yr 2'!$AO139,0))))*(INDEX(avoidedcosttbl2,$H139,BM$2)+(($H139-ROUNDDOWN($H139,0))*(INDEX(avoidedcosttbl2,ROUNDUP($H139,0),BM$2)-(INDEX(avoidedcosttbl2,ROUNDDOWN($H139,0),BM$2)))))*'Inputs Yr 2'!P139*'Inputs Yr 2'!Q139*'Inputs Yr 2'!U139,"")</f>
        <v/>
      </c>
      <c r="BN139" s="195" t="str">
        <f>IFERROR($G139*(IF('Inputs Yr 2'!$AJ139=BN$4,'Inputs Yr 2'!$AK139,IF('Inputs Yr 2'!$AL139=BN$4,'Inputs Yr 2'!$AM139,IF('Inputs Yr 2'!$AN139=BN$4,'Inputs Yr 2'!$AO139,0))))*(INDEX(avoidedcosttbl2,$H139,BN$2)+(($H139-ROUNDDOWN($H139,0))*(INDEX(avoidedcosttbl2,ROUNDUP($H139,0),BN$2)-(INDEX(avoidedcosttbl2,ROUNDDOWN($H139,0),BN$2)))))*'Inputs Yr 2'!P139*'Inputs Yr 2'!Q139*'Inputs Yr 2'!U139,"")</f>
        <v/>
      </c>
      <c r="BO139" s="195" t="str">
        <f>IFERROR($G139*(IF('Inputs Yr 2'!$AJ139=BO$4,'Inputs Yr 2'!$AK139,IF('Inputs Yr 2'!$AL139=BO$4,'Inputs Yr 2'!$AM139,IF('Inputs Yr 2'!$AN139=BO$4,'Inputs Yr 2'!$AO139,0))))*(INDEX(avoidedcosttbl2,$H139,BO$2)+(($H139-ROUNDDOWN($H139,0))*(INDEX(avoidedcosttbl2,ROUNDUP($H139,0),BO$2)-(INDEX(avoidedcosttbl2,ROUNDDOWN($H139,0),BO$2)))))*'Inputs Yr 2'!P139*'Inputs Yr 2'!Q139*'Inputs Yr 2'!U139,"")</f>
        <v/>
      </c>
      <c r="BP139" s="195" t="str">
        <f>IFERROR($G139*(IF('Inputs Yr 2'!$AJ139=BP$4,'Inputs Yr 2'!$AK139,IF('Inputs Yr 2'!$AL139=BP$4,'Inputs Yr 2'!$AM139,IF('Inputs Yr 2'!$AN139=BP$4,'Inputs Yr 2'!$AO139,0))))*(INDEX(avoidedcosttbl2,$H139,BP$2)+(($H139-ROUNDDOWN($H139,0))*(INDEX(avoidedcosttbl2,ROUNDUP($H139,0),BP$2)-(INDEX(avoidedcosttbl2,ROUNDDOWN($H139,0),BP$2)))))*'Inputs Yr 2'!P139*'Inputs Yr 2'!Q139*'Inputs Yr 2'!U139,"")</f>
        <v/>
      </c>
      <c r="BQ139" s="230">
        <f t="shared" si="98"/>
        <v>0</v>
      </c>
      <c r="BR139" s="197" t="str">
        <f t="shared" si="82"/>
        <v/>
      </c>
      <c r="BS139" s="197" t="str">
        <f>IFERROR(($G139*IF('Inputs Yr 2'!$AJ139=BM$4,'Inputs Yr 2'!$AK139,IF('Inputs Yr 2'!$AL139=BM$4,'Inputs Yr 2'!$AM139,IF('Inputs Yr 2'!$AN139=BM$4,'Inputs Yr 2'!$AO139,0))))*(INDEX(avoidedcosttbl2,$H139,BS$2)+(($H139-ROUNDDOWN($H139,0))*(INDEX(avoidedcosttbl2,ROUNDUP($H139,0),BS$2)-(INDEX(avoidedcosttbl2,ROUNDDOWN($H139,0),BS$2)))))*'Inputs Yr 2'!P139*'Inputs Yr 2'!Q139*'Inputs Yr 2'!U139,"")</f>
        <v/>
      </c>
      <c r="BT139" s="197" t="str">
        <f>IFERROR(($G139*IF('Inputs Yr 2'!$AJ139=BK$4,'Inputs Yr 2'!$AK139,IF('Inputs Yr 2'!$AL139=BK$4,'Inputs Yr 2'!$AM139,IF('Inputs Yr 2'!$AN139=BK$4,'Inputs Yr 2'!$AO139,0))))*(INDEX(avoidedcosttbl2,$H139,BT$2)+(($H139-ROUNDDOWN($H139,0))*(INDEX(avoidedcosttbl2,ROUNDUP($H139,0),BT$2)-(INDEX(avoidedcosttbl2,ROUNDDOWN($H139,0),BT$2)))))*'Inputs Yr 2'!P139*'Inputs Yr 2'!Q139*'Inputs Yr 2'!U139,"")</f>
        <v/>
      </c>
      <c r="BU139" s="197" t="str">
        <f>IFERROR(($G139*IF('Inputs Yr 2'!$AJ139=BL$4,'Inputs Yr 2'!$AK139,IF('Inputs Yr 2'!$AL139=BL$4,'Inputs Yr 2'!$AM139,IF('Inputs Yr 2'!$AN139=BL$4,'Inputs Yr 2'!$AO139,0))))*(INDEX(avoidedcosttbl2,$H139,BU$2)+(($H139-ROUNDDOWN($H139,0))*(INDEX(avoidedcosttbl2,ROUNDUP($H139,0),BU$2)-(INDEX(avoidedcosttbl2,ROUNDDOWN($H139,0),BU$2)))))*'Inputs Yr 2'!P139*'Inputs Yr 2'!Q139*'Inputs Yr 2'!U139,"")</f>
        <v/>
      </c>
      <c r="BV139" s="775" t="str">
        <f>IFERROR(($G139*IF('Inputs Yr 2'!$AJ139=BJ$4,'Inputs Yr 2'!$AK139,IF('Inputs Yr 2'!$AL139=BJ$4,'Inputs Yr 2'!$AM139,IF('Inputs Yr 2'!$AN139=BJ$4,'Inputs Yr 2'!$AO139,0))))*(INDEX(avoidedcosttbl2,$H139,BV$2)+(($H139-ROUNDDOWN($H139,0))*(INDEX(avoidedcosttbl2,ROUNDUP($H139,0),BV$2)-(INDEX(avoidedcosttbl2,ROUNDDOWN($H139,0),BV$2)))))*'Inputs Yr 2'!P139*'Inputs Yr 2'!Q139*'Inputs Yr 2'!U139,"")</f>
        <v/>
      </c>
      <c r="BW139" s="197" t="str">
        <f>IFERROR(($G139*IF('Inputs Yr 2'!$AJ139=BN$4,'Inputs Yr 2'!$AK139,IF('Inputs Yr 2'!$AL139=BN$4,'Inputs Yr 2'!$AM139,IF('Inputs Yr 2'!$AN139=BN$4,'Inputs Yr 2'!$AO139,0))))*(INDEX(avoidedcosttbl2,$H139,BW$2)+(($H139-ROUNDDOWN($H139,0))*(INDEX(avoidedcosttbl2,ROUNDUP($H139,0),BW$2)-(INDEX(avoidedcosttbl2,ROUNDDOWN($H139,0),BW$2)))))*'Inputs Yr 2'!P139*'Inputs Yr 2'!Q139*'Inputs Yr 2'!U139,"")</f>
        <v/>
      </c>
      <c r="BX139" s="197" t="str">
        <f>IFERROR(($G139*IF('Inputs Yr 2'!$AJ139=BO$4,'Inputs Yr 2'!$AK139,IF('Inputs Yr 2'!$AL139=BO$4,'Inputs Yr 2'!$AM139,IF('Inputs Yr 2'!$AN139=BO$4,'Inputs Yr 2'!$AO139,0))))*(INDEX(avoidedcosttbl2,$H139,BX$2)+(($H139-ROUNDDOWN($H139,0))*(INDEX(avoidedcosttbl2,ROUNDUP($H139,0),BX$2)-(INDEX(avoidedcosttbl2,ROUNDDOWN($H139,0),BX$2)))))*'Inputs Yr 2'!P139*'Inputs Yr 2'!Q139*'Inputs Yr 2'!U139,"")</f>
        <v/>
      </c>
      <c r="BY139" s="197" t="str">
        <f>IFERROR(($G139*IF('Inputs Yr 2'!$AJ139=BP$4,'Inputs Yr 2'!$AK139,IF('Inputs Yr 2'!$AL139=BP$4,'Inputs Yr 2'!$AM139,IF('Inputs Yr 2'!$AN139=BP$4,'Inputs Yr 2'!$AO139,0))))*(INDEX(avoidedcosttbl2,$H139,BY$2)+(($H139-ROUNDDOWN($H139,0))*(INDEX(avoidedcosttbl2,ROUNDUP($H139,0),BY$2)-(INDEX(avoidedcosttbl2,ROUNDDOWN($H139,0),BY$2)))))*'Inputs Yr 2'!P139*'Inputs Yr 2'!Q139*'Inputs Yr 2'!U139,"")</f>
        <v/>
      </c>
      <c r="BZ139" s="193">
        <f t="shared" si="99"/>
        <v>0</v>
      </c>
      <c r="CA139" s="193">
        <f t="shared" si="100"/>
        <v>0</v>
      </c>
      <c r="CB139" s="195" t="str">
        <f>IFERROR(G139*(IF('Inputs Yr 2'!$AJ139=CB$4,'Inputs Yr 2'!$AK139,IF('Inputs Yr 2'!$AL139=CB$4,'Inputs Yr 2'!$AM139,IF('Inputs Yr 2'!$AN139=CB$4,'Inputs Yr 2'!$AO139,0))))*(INDEX(avoidedcosttbl2,$H139,CB$2)+(($H139-ROUNDDOWN($H139,0))*(INDEX(avoidedcosttbl2,ROUNDUP($H139,0),CB$2)-(INDEX(avoidedcosttbl2,ROUNDDOWN($H139,0),CB$2)))))*'Inputs Yr 2'!P139*'Inputs Yr 2'!Q139*'Inputs Yr 2'!U139,"")</f>
        <v/>
      </c>
      <c r="CC139" s="195" t="str">
        <f>IFERROR(H139*(IF('Inputs Yr 2'!$AJ139=CC$4,'Inputs Yr 2'!$AK139,IF('Inputs Yr 2'!$AL139=CC$4,'Inputs Yr 2'!$AM139,IF('Inputs Yr 2'!$AN139=CC$4,'Inputs Yr 2'!$AO139,0))))*(INDEX(avoidedcosttbl2,$H139,CC$2)+(($H139-ROUNDDOWN($H139,0))*(INDEX(avoidedcosttbl2,ROUNDUP($H139,0),CC$2)-(INDEX(avoidedcosttbl2,ROUNDDOWN($H139,0),CC$2)))))*'Inputs Yr 2'!Q139*'Inputs Yr 2'!R139*'Inputs Yr 2'!V139,"")</f>
        <v/>
      </c>
      <c r="CD139" s="195" t="str">
        <f>IFERROR(I139*(IF('Inputs Yr 2'!$AJ139=CD$4,'Inputs Yr 2'!$AK139,IF('Inputs Yr 2'!$AL139=CD$4,'Inputs Yr 2'!$AM139,IF('Inputs Yr 2'!$AN139=CD$4,'Inputs Yr 2'!$AO139,0))))*(INDEX(avoidedcosttbl2,$H139,CD$2)+(($H139-ROUNDDOWN($H139,0))*(INDEX(avoidedcosttbl2,ROUNDUP($H139,0),CD$2)-(INDEX(avoidedcosttbl2,ROUNDDOWN($H139,0),CD$2)))))*'Inputs Yr 2'!R139*'Inputs Yr 2'!S139*'Inputs Yr 2'!W139,"")</f>
        <v/>
      </c>
      <c r="CE139" s="213" t="str">
        <f t="shared" si="101"/>
        <v/>
      </c>
      <c r="CF139" s="213" t="str">
        <f t="shared" si="102"/>
        <v/>
      </c>
      <c r="CG139" s="213" t="str">
        <f t="shared" si="103"/>
        <v/>
      </c>
      <c r="CH139" s="698">
        <f t="shared" si="104"/>
        <v>0</v>
      </c>
      <c r="CI139" s="79" t="str">
        <f>IFERROR(($G139*'Inputs Yr 2'!$P139*'Inputs Yr 2'!$Q139*(((INDEX(avoidedcosttbl2,$H139,CI$2)+(($H139-ROUNDDOWN($H139,0))*(INDEX(avoidedcosttbl2,ROUNDUP($H139,0),CI$2)-INDEX(avoidedcosttbl2,ROUNDDOWN($H139,0),CI$2))))*'Inputs Yr 2'!AS139))),"")</f>
        <v/>
      </c>
      <c r="CJ139" s="504" t="str">
        <f>IFERROR($G139*'Inputs Yr 2'!AT139*'Inputs Yr 2'!$P139*'Inputs Yr 2'!$Q139/((1+realdiscrt1)^-0.5),"")</f>
        <v/>
      </c>
      <c r="CK139" s="79" t="str">
        <f>IFERROR((O139*1000*(((INDEX(avoidedcosttbl2,$H139,CK$2)+(($H139-ROUNDDOWN($H139,0))*(INDEX(avoidedcosttbl2,ROUNDUP($H139,0),CK$2)-INDEX(avoidedcosttbl2,ROUNDDOWN($H139,0),CK$2))))*'Inputs Yr 2'!AU139))),"")</f>
        <v/>
      </c>
      <c r="CL139" s="504" t="str">
        <f>IFERROR(O139*1000*'Inputs Yr 2'!AV139/((1+realdiscrt1)^-0.5),"")</f>
        <v/>
      </c>
      <c r="CM139" s="79" t="str">
        <f>IFERROR((AB139*'Inputs Yr 2'!AW139*(((INDEX(avoidedcosttbl2,$H139,CM$2)+(($H139-ROUNDDOWN($H139,0))*(INDEX(avoidedcosttbl2,ROUNDUP($H139,0),CM$2)-INDEX(avoidedcosttbl2,ROUNDDOWN($H139,0),CM$2)))))))*10,"")</f>
        <v/>
      </c>
      <c r="CN139" s="504">
        <f>IFERROR(10*AB139*'Inputs Yr 2'!AX139/((1+realdiscrt1)^-0.5),"")</f>
        <v>0</v>
      </c>
      <c r="CO139" s="505">
        <f t="shared" si="105"/>
        <v>0</v>
      </c>
      <c r="CP139" s="230">
        <f t="shared" si="106"/>
        <v>0</v>
      </c>
      <c r="CQ139" s="199">
        <f>ROUND(IFERROR(IF(LEFT($A139,1)="C",'Avoided Costs'!$K$13,'Avoided Costs'!$K$12)+1,""),4)</f>
        <v>1.0720000000000001</v>
      </c>
      <c r="CR139" s="199">
        <f>ROUND(IFERROR(IF(LEFT($A139,1)="C",'Avoided Costs'!$L$13,'Avoided Costs'!$L$12)+1,""),4)</f>
        <v>1.04</v>
      </c>
      <c r="CS139" s="199">
        <f>ROUND(IFERROR(IF(LEFT($A139,1)="C",'Avoided Costs'!$M$13,'Avoided Costs'!$M$12)+1,""),4)</f>
        <v>1.0720000000000001</v>
      </c>
      <c r="CT139" s="199">
        <f>ROUND(IFERROR(IF(LEFT($A139,1)="C",'Avoided Costs'!$N$13,'Avoided Costs'!$N$12)+1,""),4)</f>
        <v>1.04</v>
      </c>
      <c r="CU139" s="199">
        <f>ROUND(IFERROR(IF(LEFT($A139,1)="C",'Avoided Costs'!$O$13,'Avoided Costs'!$O$12)+1,""),4)</f>
        <v>1.1120000000000001</v>
      </c>
      <c r="CV139" s="199">
        <f>ROUND(IFERROR(IF(LEFT($A139,1)="C",'Avoided Costs'!$P$13,'Avoided Costs'!$P$12)+1,""),4)</f>
        <v>1.095</v>
      </c>
      <c r="CW139" s="199">
        <f>ROUND(IFERROR(IF(LEFT($A139,1)="C",'Avoided Costs'!$Q$13,'Avoided Costs'!$Q$12)+1,""),4)</f>
        <v>1.1120000000000001</v>
      </c>
      <c r="CX139" s="200">
        <f>ROUND(IFERROR(IF(LEFT($A139,1)="C",'Avoided Costs'!$R$13,'Avoided Costs'!$R$12)+1,""),4)</f>
        <v>1.1120000000000001</v>
      </c>
    </row>
    <row r="140" spans="1:102" ht="12.75" customHeight="1">
      <c r="A140" s="91" t="str">
        <f>IF('Inputs Yr 2'!$B140=0,"",'Inputs Yr 2'!A140)</f>
        <v>B - Low Income</v>
      </c>
      <c r="B140" s="91" t="str">
        <f>IF('Inputs Yr 2'!$B140=0,"",'Inputs Yr 2'!B140)</f>
        <v>B1 - Low-Income Whole House</v>
      </c>
      <c r="C140" s="91" t="str">
        <f>IF('Inputs Yr 2'!$B140=0,"",'Inputs Yr 2'!C140)</f>
        <v>B1b - Low-Income Multi-Family Retrofit</v>
      </c>
      <c r="D140" s="91" t="str">
        <f>IF('Inputs Yr 2'!$B140=0,"",'Inputs Yr 2'!E140)</f>
        <v>Demand Circulator, Gas</v>
      </c>
      <c r="E140" s="93" t="str">
        <f>IF('Inputs Yr 2'!$B140=0,"",'Inputs Yr 2'!F140)</f>
        <v>G16B1b20</v>
      </c>
      <c r="F140" s="93" t="str">
        <f>IF('Inputs Yr 2'!$B140=0,"",'Inputs Yr 2'!G140)</f>
        <v>Hot Water</v>
      </c>
      <c r="G140" s="95" t="str">
        <f>IF('Inputs Yr 2'!$H140&lt;&gt;0,('Inputs Yr 2'!H140),"")</f>
        <v/>
      </c>
      <c r="H140" s="94">
        <f>IFERROR('Inputs Yr 2'!I140,"")</f>
        <v>0</v>
      </c>
      <c r="I140" s="298" t="str">
        <f>IFERROR('Inputs Yr 2'!J140*'Inputs Yr 2'!P140*G140,"")</f>
        <v/>
      </c>
      <c r="J140" s="298" t="str">
        <f>IFERROR('Inputs Yr 2'!K140*G140,"")</f>
        <v/>
      </c>
      <c r="K140" s="298" t="str">
        <f t="shared" si="83"/>
        <v/>
      </c>
      <c r="L140" s="194" t="str">
        <f>IFERROR(('Inputs Yr 2'!W140*G140)/1000,"")</f>
        <v/>
      </c>
      <c r="M140" s="194" t="str">
        <f>IFERROR(L140*('Inputs Yr 2'!$Q140*'Inputs Yr 2'!$V140*'Inputs Yr 2'!$R140),"")</f>
        <v/>
      </c>
      <c r="N140" s="194" t="str">
        <f t="shared" si="84"/>
        <v/>
      </c>
      <c r="O140" s="194" t="str">
        <f>IFERROR(M140*'Inputs Yr 2'!P140,"")</f>
        <v/>
      </c>
      <c r="P140" s="194" t="str">
        <f t="shared" si="85"/>
        <v/>
      </c>
      <c r="Q140" s="194" t="str">
        <f>IFERROR($P140*'Inputs Yr 2'!AA140,"")</f>
        <v/>
      </c>
      <c r="R140" s="194" t="str">
        <f>IFERROR($P140*'Inputs Yr 2'!AB140,"")</f>
        <v/>
      </c>
      <c r="S140" s="194" t="str">
        <f>IFERROR($P140*'Inputs Yr 2'!AC140,"")</f>
        <v/>
      </c>
      <c r="T140" s="194" t="str">
        <f>IFERROR($P140*'Inputs Yr 2'!AD140,"")</f>
        <v/>
      </c>
      <c r="U140" s="194" t="str">
        <f>IFERROR(G140*'Inputs Yr 2'!$AE140*'Inputs Yr 2'!$P140*'Inputs Yr 2'!$Q140,"")</f>
        <v/>
      </c>
      <c r="V140" s="194" t="str">
        <f>IFERROR($G140*'Inputs Yr 2'!$AE140*'Inputs Yr 2'!$AG140*'Inputs Yr 2'!Q140*'Inputs Yr 2'!$S140,"")</f>
        <v/>
      </c>
      <c r="W140" s="194" t="str">
        <f>IFERROR($G140*'Inputs Yr 2'!$AE140*'Inputs Yr 2'!$AG140*'Inputs Yr 2'!P140*'Inputs Yr 2'!Q140*'Inputs Yr 2'!$S140,"")</f>
        <v/>
      </c>
      <c r="X140" s="194" t="str">
        <f>IFERROR($G140*'Inputs Yr 2'!$AE140*'Inputs Yr 2'!$AF140*'Inputs Yr 2'!Q140*'Inputs Yr 2'!$T140,"")</f>
        <v/>
      </c>
      <c r="Y140" s="194" t="str">
        <f>IFERROR($G140*'Inputs Yr 2'!$AE140*'Inputs Yr 2'!$AF140*'Inputs Yr 2'!P140*'Inputs Yr 2'!Q140*'Inputs Yr 2'!$T140,"")</f>
        <v/>
      </c>
      <c r="Z140" s="257">
        <f>IFERROR($G140*'Inputs Yr 2'!$Q140*'Inputs Yr 2'!$U140*(IF(IFERROR(SEARCH("NG", 'Inputs Yr 2'!$AJ140),0),'Inputs Yr 2'!$AK140,0)+IF(IFERROR(SEARCH("NG", 'Inputs Yr 2'!$AL140),0),'Inputs Yr 2'!$AM140,0)+IF(IFERROR(SEARCH("NG", 'Inputs Yr 2'!$AN140),0),'Inputs Yr 2'!$AO140,0)),0)</f>
        <v>0</v>
      </c>
      <c r="AA140" s="257">
        <f t="shared" si="86"/>
        <v>0</v>
      </c>
      <c r="AB140" s="257">
        <f>IFERROR(Z140*'Inputs Yr 2'!$P140,0)</f>
        <v>0</v>
      </c>
      <c r="AC140" s="257">
        <f t="shared" si="87"/>
        <v>0</v>
      </c>
      <c r="AD140" s="257">
        <f>IFERROR($G140*'Inputs Yr 2'!$Q140*'Inputs Yr 2'!$U140*(IF(IFERROR(SEARCH("Oil", 'Inputs Yr 2'!$AJ140), 0),'Inputs Yr 2'!$AK140,0)+IF(IFERROR(SEARCH("Oil", 'Inputs Yr 2'!$AL140), 0),'Inputs Yr 2'!$AM140,0)+IF(IFERROR(SEARCH("Oil", 'Inputs Yr 2'!$AN140), 0),'Inputs Yr 2'!$AO140,0)),0)</f>
        <v>0</v>
      </c>
      <c r="AE140" s="257">
        <f t="shared" si="88"/>
        <v>0</v>
      </c>
      <c r="AF140" s="257">
        <f>IFERROR(AD140*'Inputs Yr 2'!$P140,0)</f>
        <v>0</v>
      </c>
      <c r="AG140" s="257">
        <f t="shared" si="89"/>
        <v>0</v>
      </c>
      <c r="AH140" s="257">
        <f>IFERROR($G140*'Inputs Yr 2'!$Q140*'Inputs Yr 2'!$U140*(IF('Inputs Yr 2'!$AJ140=CD$4,'Inputs Yr 2'!$AK140,IF('Inputs Yr 2'!$AL140=CD$4,'Inputs Yr 2'!$AM140,IF('Inputs Yr 2'!$AN140=CD$4,'Inputs Yr 2'!$AO140,0)))),0)</f>
        <v>0</v>
      </c>
      <c r="AI140" s="257">
        <f t="shared" si="90"/>
        <v>0</v>
      </c>
      <c r="AJ140" s="257">
        <f>IFERROR(AH140*'Inputs Yr 2'!$P140,0)</f>
        <v>0</v>
      </c>
      <c r="AK140" s="257">
        <f t="shared" si="91"/>
        <v>0</v>
      </c>
      <c r="AL140" s="258">
        <f>IFERROR($G140*'Inputs Yr 2'!$P140*'Inputs Yr 2'!$Q140*'Inputs Yr 2'!AP140,0)</f>
        <v>0</v>
      </c>
      <c r="AM140" s="260">
        <f>IFERROR($G140*'Inputs Yr 2'!$P140*'Inputs Yr 2'!$Q140*'Inputs Yr 2'!AQ140,0)</f>
        <v>0</v>
      </c>
      <c r="AN140" s="258">
        <f>IFERROR($G140*'Inputs Yr 2'!$P140*'Inputs Yr 2'!$Q140*'Inputs Yr 2'!AR140,0)</f>
        <v>0</v>
      </c>
      <c r="AO140" s="257">
        <f t="shared" si="92"/>
        <v>0</v>
      </c>
      <c r="AP140" s="195" t="str">
        <f>IFERROR($CQ140*(INDEX(avoidedcosttbl2,$H140,AP$2)+(($H140-ROUNDDOWN($H140,0))*(INDEX(avoidedcosttbl2,ROUNDUP($H140,0),AP$2)-(INDEX(avoidedcosttbl2,ROUNDDOWN($H140,0),AP$2)))))*$O140*1000*'Inputs Yr 2'!AA140,"")</f>
        <v/>
      </c>
      <c r="AQ140" s="195" t="str">
        <f>IFERROR($CR140*(INDEX(avoidedcosttbl2,$H140,AQ$2)+(($H140-ROUNDDOWN($H140,0))*(INDEX(avoidedcosttbl2,ROUNDUP($H140,0),AQ$2)-(INDEX(avoidedcosttbl2,ROUNDDOWN($H140,0),AQ$2)))))*$O140*1000*'Inputs Yr 2'!AB140,"")</f>
        <v/>
      </c>
      <c r="AR140" s="195" t="str">
        <f>IFERROR($CS140*(INDEX(avoidedcosttbl2,$H140,AR$2)+(($H140-ROUNDDOWN($H140,0))*(INDEX(avoidedcosttbl2,ROUNDUP($H140,0),AR$2)-(INDEX(avoidedcosttbl2,ROUNDDOWN($H140,0),AR$2)))))*$O140*1000*'Inputs Yr 2'!AC140,"")</f>
        <v/>
      </c>
      <c r="AS140" s="195" t="str">
        <f>IFERROR($CT140*(INDEX(avoidedcosttbl2,$H140,AS$2)+(($H140-ROUNDDOWN($H140,0))*(INDEX(avoidedcosttbl2,ROUNDUP($H140,0),AS$2)-(INDEX(avoidedcosttbl2,ROUNDDOWN($H140,0),AS$2)))))*$O140*1000*'Inputs Yr 2'!AD140,"")</f>
        <v/>
      </c>
      <c r="AT140" s="196">
        <f t="shared" si="93"/>
        <v>0</v>
      </c>
      <c r="AU140" s="197" t="str">
        <f>IFERROR($CQ140*((INDEX(avoidedcosttbl2,$H140,AU$2))+(($H140-ROUNDDOWN($H140,0))*((INDEX(avoidedcosttbl2,ROUNDUP($H140,0),AU$2))-(INDEX(avoidedcosttbl2,ROUNDDOWN($H140,0),AU$2)))))*$O140*1000*'Inputs Yr 2'!AA140,"")</f>
        <v/>
      </c>
      <c r="AV140" s="197" t="str">
        <f>IFERROR($CR140*((INDEX(avoidedcosttbl2,$H140,AV$2))+(($H140-ROUNDDOWN($H140,0))*((INDEX(avoidedcosttbl2,ROUNDUP($H140,0),AV$2))-(INDEX(avoidedcosttbl2,ROUNDDOWN($H140,0),AV$2)))))*$O140*1000*'Inputs Yr 2'!AB140,"")</f>
        <v/>
      </c>
      <c r="AW140" s="197" t="str">
        <f>IFERROR($CS140*((INDEX(avoidedcosttbl2,$H140,AW$2))+(($H140-ROUNDDOWN($H140,0))*((INDEX(avoidedcosttbl2,ROUNDUP($H140,0),AW$2))-(INDEX(avoidedcosttbl2,ROUNDDOWN($H140,0),AW$2)))))*$O140*1000*'Inputs Yr 2'!AC140,"")</f>
        <v/>
      </c>
      <c r="AX140" s="197" t="str">
        <f>IFERROR($CT140*((INDEX(avoidedcosttbl2,$H140,AX$2))+(($H140-ROUNDDOWN($H140,0))*((INDEX(avoidedcosttbl2,ROUNDUP($H140,0),AX$2))-(INDEX(avoidedcosttbl2,ROUNDDOWN($H140,0),AX$2)))))*$O140*1000*'Inputs Yr 2'!AD140,"")</f>
        <v/>
      </c>
      <c r="AY140" s="197" t="str">
        <f>IFERROR(((INDEX(avoidedcosttbl2,$H140,AY$2))+(($H140-ROUNDDOWN($H140,0))*((INDEX(avoidedcosttbl2,ROUNDUP($H140,0),AY$2))-(INDEX(avoidedcosttbl2,ROUNDDOWN($H140,0),AY$2)))))*$O140*1000*('Inputs Yr 2'!AC140+'Inputs Yr 2'!AD140),"")</f>
        <v/>
      </c>
      <c r="AZ140" s="197" t="str">
        <f>IFERROR(((INDEX(avoidedcosttbl2,$H140,AZ$2))+(($H140-ROUNDDOWN($H140,0))*((INDEX(avoidedcosttbl2,ROUNDUP($H140,0),AZ$2))-(INDEX(avoidedcosttbl2,ROUNDDOWN($H140,0),AZ$2)))))*$O140*1000*('Inputs Yr 2'!AA140+'Inputs Yr 2'!AB140),"")</f>
        <v/>
      </c>
      <c r="BA140" s="198">
        <f t="shared" si="94"/>
        <v>0</v>
      </c>
      <c r="BB140" s="198">
        <f t="shared" si="95"/>
        <v>0</v>
      </c>
      <c r="BC140" s="195" t="str">
        <f t="shared" si="77"/>
        <v/>
      </c>
      <c r="BD140" s="195" t="str">
        <f t="shared" si="78"/>
        <v/>
      </c>
      <c r="BE140" s="195" t="str">
        <f t="shared" si="79"/>
        <v/>
      </c>
      <c r="BF140" s="195" t="str">
        <f t="shared" si="80"/>
        <v/>
      </c>
      <c r="BG140" s="195" t="str">
        <f t="shared" si="81"/>
        <v/>
      </c>
      <c r="BH140" s="196">
        <f t="shared" si="96"/>
        <v>0</v>
      </c>
      <c r="BI140" s="196">
        <f t="shared" si="97"/>
        <v>0</v>
      </c>
      <c r="BJ140" s="195" t="str">
        <f>IFERROR($G140*(IF('Inputs Yr 2'!$AJ140=BJ$4,'Inputs Yr 2'!$AK140,IF('Inputs Yr 2'!$AL140=BJ$4,'Inputs Yr 2'!$AM140,IF('Inputs Yr 2'!$AN140=BJ$4,'Inputs Yr 2'!$AO140,0))))*(INDEX(avoidedcosttbl2,$H140,BJ$2)+(($H140-ROUNDDOWN($H140,0))*(INDEX(avoidedcosttbl2,ROUNDUP($H140,0),BJ$2)-(INDEX(avoidedcosttbl2,ROUNDDOWN($H140,0),BJ$2)))))*'Inputs Yr 2'!P140*'Inputs Yr 2'!Q140*'Inputs Yr 2'!U140,"")</f>
        <v/>
      </c>
      <c r="BK140" s="195" t="str">
        <f>IFERROR($G140*(IF('Inputs Yr 2'!$AJ140=BK$4,'Inputs Yr 2'!$AK140,IF('Inputs Yr 2'!$AL140=BK$4,'Inputs Yr 2'!$AM140,IF('Inputs Yr 2'!$AN140=BK$4,'Inputs Yr 2'!$AO140,0))))*(INDEX(avoidedcosttbl2,$H140,BK$2)+(($H140-ROUNDDOWN($H140,0))*(INDEX(avoidedcosttbl2,ROUNDUP($H140,0),BK$2)-(INDEX(avoidedcosttbl2,ROUNDDOWN($H140,0),BK$2)))))*'Inputs Yr 2'!P140*'Inputs Yr 2'!Q140*'Inputs Yr 2'!U140,"")</f>
        <v/>
      </c>
      <c r="BL140" s="195" t="str">
        <f>IFERROR($G140*(IF('Inputs Yr 2'!$AJ140=BL$4,'Inputs Yr 2'!$AK140,IF('Inputs Yr 2'!$AL140=BL$4,'Inputs Yr 2'!$AM140,IF('Inputs Yr 2'!$AN140=BL$4,'Inputs Yr 2'!$AO140,0))))*(INDEX(avoidedcosttbl2,$H140,BL$2)+(($H140-ROUNDDOWN($H140,0))*(INDEX(avoidedcosttbl2,ROUNDUP($H140,0),BL$2)-(INDEX(avoidedcosttbl2,ROUNDDOWN($H140,0),BL$2)))))*'Inputs Yr 2'!P140*'Inputs Yr 2'!Q140*'Inputs Yr 2'!U140,"")</f>
        <v/>
      </c>
      <c r="BM140" s="195" t="str">
        <f>IFERROR($G140*(IF('Inputs Yr 2'!$AJ140=BM$4,'Inputs Yr 2'!$AK140,IF('Inputs Yr 2'!$AL140=BM$4,'Inputs Yr 2'!$AM140,IF('Inputs Yr 2'!$AN140=BM$4,'Inputs Yr 2'!$AO140,0))))*(INDEX(avoidedcosttbl2,$H140,BM$2)+(($H140-ROUNDDOWN($H140,0))*(INDEX(avoidedcosttbl2,ROUNDUP($H140,0),BM$2)-(INDEX(avoidedcosttbl2,ROUNDDOWN($H140,0),BM$2)))))*'Inputs Yr 2'!P140*'Inputs Yr 2'!Q140*'Inputs Yr 2'!U140,"")</f>
        <v/>
      </c>
      <c r="BN140" s="195" t="str">
        <f>IFERROR($G140*(IF('Inputs Yr 2'!$AJ140=BN$4,'Inputs Yr 2'!$AK140,IF('Inputs Yr 2'!$AL140=BN$4,'Inputs Yr 2'!$AM140,IF('Inputs Yr 2'!$AN140=BN$4,'Inputs Yr 2'!$AO140,0))))*(INDEX(avoidedcosttbl2,$H140,BN$2)+(($H140-ROUNDDOWN($H140,0))*(INDEX(avoidedcosttbl2,ROUNDUP($H140,0),BN$2)-(INDEX(avoidedcosttbl2,ROUNDDOWN($H140,0),BN$2)))))*'Inputs Yr 2'!P140*'Inputs Yr 2'!Q140*'Inputs Yr 2'!U140,"")</f>
        <v/>
      </c>
      <c r="BO140" s="195" t="str">
        <f>IFERROR($G140*(IF('Inputs Yr 2'!$AJ140=BO$4,'Inputs Yr 2'!$AK140,IF('Inputs Yr 2'!$AL140=BO$4,'Inputs Yr 2'!$AM140,IF('Inputs Yr 2'!$AN140=BO$4,'Inputs Yr 2'!$AO140,0))))*(INDEX(avoidedcosttbl2,$H140,BO$2)+(($H140-ROUNDDOWN($H140,0))*(INDEX(avoidedcosttbl2,ROUNDUP($H140,0),BO$2)-(INDEX(avoidedcosttbl2,ROUNDDOWN($H140,0),BO$2)))))*'Inputs Yr 2'!P140*'Inputs Yr 2'!Q140*'Inputs Yr 2'!U140,"")</f>
        <v/>
      </c>
      <c r="BP140" s="195" t="str">
        <f>IFERROR($G140*(IF('Inputs Yr 2'!$AJ140=BP$4,'Inputs Yr 2'!$AK140,IF('Inputs Yr 2'!$AL140=BP$4,'Inputs Yr 2'!$AM140,IF('Inputs Yr 2'!$AN140=BP$4,'Inputs Yr 2'!$AO140,0))))*(INDEX(avoidedcosttbl2,$H140,BP$2)+(($H140-ROUNDDOWN($H140,0))*(INDEX(avoidedcosttbl2,ROUNDUP($H140,0),BP$2)-(INDEX(avoidedcosttbl2,ROUNDDOWN($H140,0),BP$2)))))*'Inputs Yr 2'!P140*'Inputs Yr 2'!Q140*'Inputs Yr 2'!U140,"")</f>
        <v/>
      </c>
      <c r="BQ140" s="230">
        <f t="shared" si="98"/>
        <v>0</v>
      </c>
      <c r="BR140" s="197" t="str">
        <f t="shared" si="82"/>
        <v/>
      </c>
      <c r="BS140" s="197" t="str">
        <f>IFERROR(($G140*IF('Inputs Yr 2'!$AJ140=BM$4,'Inputs Yr 2'!$AK140,IF('Inputs Yr 2'!$AL140=BM$4,'Inputs Yr 2'!$AM140,IF('Inputs Yr 2'!$AN140=BM$4,'Inputs Yr 2'!$AO140,0))))*(INDEX(avoidedcosttbl2,$H140,BS$2)+(($H140-ROUNDDOWN($H140,0))*(INDEX(avoidedcosttbl2,ROUNDUP($H140,0),BS$2)-(INDEX(avoidedcosttbl2,ROUNDDOWN($H140,0),BS$2)))))*'Inputs Yr 2'!P140*'Inputs Yr 2'!Q140*'Inputs Yr 2'!U140,"")</f>
        <v/>
      </c>
      <c r="BT140" s="197" t="str">
        <f>IFERROR(($G140*IF('Inputs Yr 2'!$AJ140=BK$4,'Inputs Yr 2'!$AK140,IF('Inputs Yr 2'!$AL140=BK$4,'Inputs Yr 2'!$AM140,IF('Inputs Yr 2'!$AN140=BK$4,'Inputs Yr 2'!$AO140,0))))*(INDEX(avoidedcosttbl2,$H140,BT$2)+(($H140-ROUNDDOWN($H140,0))*(INDEX(avoidedcosttbl2,ROUNDUP($H140,0),BT$2)-(INDEX(avoidedcosttbl2,ROUNDDOWN($H140,0),BT$2)))))*'Inputs Yr 2'!P140*'Inputs Yr 2'!Q140*'Inputs Yr 2'!U140,"")</f>
        <v/>
      </c>
      <c r="BU140" s="197" t="str">
        <f>IFERROR(($G140*IF('Inputs Yr 2'!$AJ140=BL$4,'Inputs Yr 2'!$AK140,IF('Inputs Yr 2'!$AL140=BL$4,'Inputs Yr 2'!$AM140,IF('Inputs Yr 2'!$AN140=BL$4,'Inputs Yr 2'!$AO140,0))))*(INDEX(avoidedcosttbl2,$H140,BU$2)+(($H140-ROUNDDOWN($H140,0))*(INDEX(avoidedcosttbl2,ROUNDUP($H140,0),BU$2)-(INDEX(avoidedcosttbl2,ROUNDDOWN($H140,0),BU$2)))))*'Inputs Yr 2'!P140*'Inputs Yr 2'!Q140*'Inputs Yr 2'!U140,"")</f>
        <v/>
      </c>
      <c r="BV140" s="775" t="str">
        <f>IFERROR(($G140*IF('Inputs Yr 2'!$AJ140=BJ$4,'Inputs Yr 2'!$AK140,IF('Inputs Yr 2'!$AL140=BJ$4,'Inputs Yr 2'!$AM140,IF('Inputs Yr 2'!$AN140=BJ$4,'Inputs Yr 2'!$AO140,0))))*(INDEX(avoidedcosttbl2,$H140,BV$2)+(($H140-ROUNDDOWN($H140,0))*(INDEX(avoidedcosttbl2,ROUNDUP($H140,0),BV$2)-(INDEX(avoidedcosttbl2,ROUNDDOWN($H140,0),BV$2)))))*'Inputs Yr 2'!P140*'Inputs Yr 2'!Q140*'Inputs Yr 2'!U140,"")</f>
        <v/>
      </c>
      <c r="BW140" s="197" t="str">
        <f>IFERROR(($G140*IF('Inputs Yr 2'!$AJ140=BN$4,'Inputs Yr 2'!$AK140,IF('Inputs Yr 2'!$AL140=BN$4,'Inputs Yr 2'!$AM140,IF('Inputs Yr 2'!$AN140=BN$4,'Inputs Yr 2'!$AO140,0))))*(INDEX(avoidedcosttbl2,$H140,BW$2)+(($H140-ROUNDDOWN($H140,0))*(INDEX(avoidedcosttbl2,ROUNDUP($H140,0),BW$2)-(INDEX(avoidedcosttbl2,ROUNDDOWN($H140,0),BW$2)))))*'Inputs Yr 2'!P140*'Inputs Yr 2'!Q140*'Inputs Yr 2'!U140,"")</f>
        <v/>
      </c>
      <c r="BX140" s="197" t="str">
        <f>IFERROR(($G140*IF('Inputs Yr 2'!$AJ140=BO$4,'Inputs Yr 2'!$AK140,IF('Inputs Yr 2'!$AL140=BO$4,'Inputs Yr 2'!$AM140,IF('Inputs Yr 2'!$AN140=BO$4,'Inputs Yr 2'!$AO140,0))))*(INDEX(avoidedcosttbl2,$H140,BX$2)+(($H140-ROUNDDOWN($H140,0))*(INDEX(avoidedcosttbl2,ROUNDUP($H140,0),BX$2)-(INDEX(avoidedcosttbl2,ROUNDDOWN($H140,0),BX$2)))))*'Inputs Yr 2'!P140*'Inputs Yr 2'!Q140*'Inputs Yr 2'!U140,"")</f>
        <v/>
      </c>
      <c r="BY140" s="197" t="str">
        <f>IFERROR(($G140*IF('Inputs Yr 2'!$AJ140=BP$4,'Inputs Yr 2'!$AK140,IF('Inputs Yr 2'!$AL140=BP$4,'Inputs Yr 2'!$AM140,IF('Inputs Yr 2'!$AN140=BP$4,'Inputs Yr 2'!$AO140,0))))*(INDEX(avoidedcosttbl2,$H140,BY$2)+(($H140-ROUNDDOWN($H140,0))*(INDEX(avoidedcosttbl2,ROUNDUP($H140,0),BY$2)-(INDEX(avoidedcosttbl2,ROUNDDOWN($H140,0),BY$2)))))*'Inputs Yr 2'!P140*'Inputs Yr 2'!Q140*'Inputs Yr 2'!U140,"")</f>
        <v/>
      </c>
      <c r="BZ140" s="193">
        <f t="shared" si="99"/>
        <v>0</v>
      </c>
      <c r="CA140" s="193">
        <f t="shared" si="100"/>
        <v>0</v>
      </c>
      <c r="CB140" s="195" t="str">
        <f>IFERROR(G140*(IF('Inputs Yr 2'!$AJ140=CB$4,'Inputs Yr 2'!$AK140,IF('Inputs Yr 2'!$AL140=CB$4,'Inputs Yr 2'!$AM140,IF('Inputs Yr 2'!$AN140=CB$4,'Inputs Yr 2'!$AO140,0))))*(INDEX(avoidedcosttbl2,$H140,CB$2)+(($H140-ROUNDDOWN($H140,0))*(INDEX(avoidedcosttbl2,ROUNDUP($H140,0),CB$2)-(INDEX(avoidedcosttbl2,ROUNDDOWN($H140,0),CB$2)))))*'Inputs Yr 2'!P140*'Inputs Yr 2'!Q140*'Inputs Yr 2'!U140,"")</f>
        <v/>
      </c>
      <c r="CC140" s="195" t="str">
        <f>IFERROR(H140*(IF('Inputs Yr 2'!$AJ140=CC$4,'Inputs Yr 2'!$AK140,IF('Inputs Yr 2'!$AL140=CC$4,'Inputs Yr 2'!$AM140,IF('Inputs Yr 2'!$AN140=CC$4,'Inputs Yr 2'!$AO140,0))))*(INDEX(avoidedcosttbl2,$H140,CC$2)+(($H140-ROUNDDOWN($H140,0))*(INDEX(avoidedcosttbl2,ROUNDUP($H140,0),CC$2)-(INDEX(avoidedcosttbl2,ROUNDDOWN($H140,0),CC$2)))))*'Inputs Yr 2'!Q140*'Inputs Yr 2'!R140*'Inputs Yr 2'!V140,"")</f>
        <v/>
      </c>
      <c r="CD140" s="195" t="str">
        <f>IFERROR(I140*(IF('Inputs Yr 2'!$AJ140=CD$4,'Inputs Yr 2'!$AK140,IF('Inputs Yr 2'!$AL140=CD$4,'Inputs Yr 2'!$AM140,IF('Inputs Yr 2'!$AN140=CD$4,'Inputs Yr 2'!$AO140,0))))*(INDEX(avoidedcosttbl2,$H140,CD$2)+(($H140-ROUNDDOWN($H140,0))*(INDEX(avoidedcosttbl2,ROUNDUP($H140,0),CD$2)-(INDEX(avoidedcosttbl2,ROUNDDOWN($H140,0),CD$2)))))*'Inputs Yr 2'!R140*'Inputs Yr 2'!S140*'Inputs Yr 2'!W140,"")</f>
        <v/>
      </c>
      <c r="CE140" s="213" t="str">
        <f t="shared" si="101"/>
        <v/>
      </c>
      <c r="CF140" s="213" t="str">
        <f t="shared" si="102"/>
        <v/>
      </c>
      <c r="CG140" s="213" t="str">
        <f t="shared" si="103"/>
        <v/>
      </c>
      <c r="CH140" s="698">
        <f t="shared" si="104"/>
        <v>0</v>
      </c>
      <c r="CI140" s="79" t="str">
        <f>IFERROR(($G140*'Inputs Yr 2'!$P140*'Inputs Yr 2'!$Q140*(((INDEX(avoidedcosttbl2,$H140,CI$2)+(($H140-ROUNDDOWN($H140,0))*(INDEX(avoidedcosttbl2,ROUNDUP($H140,0),CI$2)-INDEX(avoidedcosttbl2,ROUNDDOWN($H140,0),CI$2))))*'Inputs Yr 2'!AS140))),"")</f>
        <v/>
      </c>
      <c r="CJ140" s="504" t="str">
        <f>IFERROR($G140*'Inputs Yr 2'!AT140*'Inputs Yr 2'!$P140*'Inputs Yr 2'!$Q140/((1+realdiscrt1)^-0.5),"")</f>
        <v/>
      </c>
      <c r="CK140" s="79" t="str">
        <f>IFERROR((O140*1000*(((INDEX(avoidedcosttbl2,$H140,CK$2)+(($H140-ROUNDDOWN($H140,0))*(INDEX(avoidedcosttbl2,ROUNDUP($H140,0),CK$2)-INDEX(avoidedcosttbl2,ROUNDDOWN($H140,0),CK$2))))*'Inputs Yr 2'!AU140))),"")</f>
        <v/>
      </c>
      <c r="CL140" s="504" t="str">
        <f>IFERROR(O140*1000*'Inputs Yr 2'!AV140/((1+realdiscrt1)^-0.5),"")</f>
        <v/>
      </c>
      <c r="CM140" s="79" t="str">
        <f>IFERROR((AB140*'Inputs Yr 2'!AW140*(((INDEX(avoidedcosttbl2,$H140,CM$2)+(($H140-ROUNDDOWN($H140,0))*(INDEX(avoidedcosttbl2,ROUNDUP($H140,0),CM$2)-INDEX(avoidedcosttbl2,ROUNDDOWN($H140,0),CM$2)))))))*10,"")</f>
        <v/>
      </c>
      <c r="CN140" s="504">
        <f>IFERROR(10*AB140*'Inputs Yr 2'!AX140/((1+realdiscrt1)^-0.5),"")</f>
        <v>0</v>
      </c>
      <c r="CO140" s="505">
        <f t="shared" si="105"/>
        <v>0</v>
      </c>
      <c r="CP140" s="230">
        <f t="shared" si="106"/>
        <v>0</v>
      </c>
      <c r="CQ140" s="199">
        <f>ROUND(IFERROR(IF(LEFT($A140,1)="C",'Avoided Costs'!$K$13,'Avoided Costs'!$K$12)+1,""),4)</f>
        <v>1.0720000000000001</v>
      </c>
      <c r="CR140" s="199">
        <f>ROUND(IFERROR(IF(LEFT($A140,1)="C",'Avoided Costs'!$L$13,'Avoided Costs'!$L$12)+1,""),4)</f>
        <v>1.04</v>
      </c>
      <c r="CS140" s="199">
        <f>ROUND(IFERROR(IF(LEFT($A140,1)="C",'Avoided Costs'!$M$13,'Avoided Costs'!$M$12)+1,""),4)</f>
        <v>1.0720000000000001</v>
      </c>
      <c r="CT140" s="199">
        <f>ROUND(IFERROR(IF(LEFT($A140,1)="C",'Avoided Costs'!$N$13,'Avoided Costs'!$N$12)+1,""),4)</f>
        <v>1.04</v>
      </c>
      <c r="CU140" s="199">
        <f>ROUND(IFERROR(IF(LEFT($A140,1)="C",'Avoided Costs'!$O$13,'Avoided Costs'!$O$12)+1,""),4)</f>
        <v>1.1120000000000001</v>
      </c>
      <c r="CV140" s="199">
        <f>ROUND(IFERROR(IF(LEFT($A140,1)="C",'Avoided Costs'!$P$13,'Avoided Costs'!$P$12)+1,""),4)</f>
        <v>1.095</v>
      </c>
      <c r="CW140" s="199">
        <f>ROUND(IFERROR(IF(LEFT($A140,1)="C",'Avoided Costs'!$Q$13,'Avoided Costs'!$Q$12)+1,""),4)</f>
        <v>1.1120000000000001</v>
      </c>
      <c r="CX140" s="200">
        <f>ROUND(IFERROR(IF(LEFT($A140,1)="C",'Avoided Costs'!$R$13,'Avoided Costs'!$R$12)+1,""),4)</f>
        <v>1.1120000000000001</v>
      </c>
    </row>
    <row r="141" spans="1:102" ht="12.75" customHeight="1">
      <c r="A141" s="91" t="str">
        <f>IF('Inputs Yr 2'!$B141=0,"",'Inputs Yr 2'!A141)</f>
        <v>B - Low Income</v>
      </c>
      <c r="B141" s="91" t="str">
        <f>IF('Inputs Yr 2'!$B141=0,"",'Inputs Yr 2'!B141)</f>
        <v>B1 - Low-Income Whole House</v>
      </c>
      <c r="C141" s="91" t="str">
        <f>IF('Inputs Yr 2'!$B141=0,"",'Inputs Yr 2'!C141)</f>
        <v>B1b - Low-Income Multi-Family Retrofit</v>
      </c>
      <c r="D141" s="91" t="str">
        <f>IF('Inputs Yr 2'!$B141=0,"",'Inputs Yr 2'!E141)</f>
        <v>Custom - Non Lighting</v>
      </c>
      <c r="E141" s="93" t="str">
        <f>IF('Inputs Yr 2'!$B141=0,"",'Inputs Yr 2'!F141)</f>
        <v>G16B1b21</v>
      </c>
      <c r="F141" s="93" t="str">
        <f>IF('Inputs Yr 2'!$B141=0,"",'Inputs Yr 2'!G141)</f>
        <v>Hot Water</v>
      </c>
      <c r="G141" s="95">
        <f>IF('Inputs Yr 2'!$H141&lt;&gt;0,('Inputs Yr 2'!H141),"")</f>
        <v>6</v>
      </c>
      <c r="H141" s="94">
        <f>IFERROR('Inputs Yr 2'!I141,"")</f>
        <v>15</v>
      </c>
      <c r="I141" s="298">
        <f>IFERROR('Inputs Yr 2'!J141*'Inputs Yr 2'!P141*G141,"")</f>
        <v>18000</v>
      </c>
      <c r="J141" s="298">
        <f>IFERROR('Inputs Yr 2'!K141*G141,"")</f>
        <v>18000</v>
      </c>
      <c r="K141" s="298">
        <f t="shared" si="83"/>
        <v>0</v>
      </c>
      <c r="L141" s="194">
        <f>IFERROR(('Inputs Yr 2'!W141*G141)/1000,"")</f>
        <v>0</v>
      </c>
      <c r="M141" s="194">
        <f>IFERROR(L141*('Inputs Yr 2'!$Q141*'Inputs Yr 2'!$V141*'Inputs Yr 2'!$R141),"")</f>
        <v>0</v>
      </c>
      <c r="N141" s="194">
        <f t="shared" si="84"/>
        <v>0</v>
      </c>
      <c r="O141" s="194">
        <f>IFERROR(M141*'Inputs Yr 2'!P141,"")</f>
        <v>0</v>
      </c>
      <c r="P141" s="194">
        <f t="shared" si="85"/>
        <v>0</v>
      </c>
      <c r="Q141" s="194">
        <f>IFERROR($P141*'Inputs Yr 2'!AA141,"")</f>
        <v>0</v>
      </c>
      <c r="R141" s="194">
        <f>IFERROR($P141*'Inputs Yr 2'!AB141,"")</f>
        <v>0</v>
      </c>
      <c r="S141" s="194">
        <f>IFERROR($P141*'Inputs Yr 2'!AC141,"")</f>
        <v>0</v>
      </c>
      <c r="T141" s="194">
        <f>IFERROR($P141*'Inputs Yr 2'!AD141,"")</f>
        <v>0</v>
      </c>
      <c r="U141" s="194">
        <f>IFERROR(G141*'Inputs Yr 2'!$AE141*'Inputs Yr 2'!$P141*'Inputs Yr 2'!$Q141,"")</f>
        <v>0</v>
      </c>
      <c r="V141" s="194">
        <f>IFERROR($G141*'Inputs Yr 2'!$AE141*'Inputs Yr 2'!$AG141*'Inputs Yr 2'!Q141*'Inputs Yr 2'!$S141,"")</f>
        <v>0</v>
      </c>
      <c r="W141" s="194">
        <f>IFERROR($G141*'Inputs Yr 2'!$AE141*'Inputs Yr 2'!$AG141*'Inputs Yr 2'!P141*'Inputs Yr 2'!Q141*'Inputs Yr 2'!$S141,"")</f>
        <v>0</v>
      </c>
      <c r="X141" s="194">
        <f>IFERROR($G141*'Inputs Yr 2'!$AE141*'Inputs Yr 2'!$AF141*'Inputs Yr 2'!Q141*'Inputs Yr 2'!$T141,"")</f>
        <v>0</v>
      </c>
      <c r="Y141" s="194">
        <f>IFERROR($G141*'Inputs Yr 2'!$AE141*'Inputs Yr 2'!$AF141*'Inputs Yr 2'!P141*'Inputs Yr 2'!Q141*'Inputs Yr 2'!$T141,"")</f>
        <v>0</v>
      </c>
      <c r="Z141" s="257">
        <f>IFERROR($G141*'Inputs Yr 2'!$Q141*'Inputs Yr 2'!$U141*(IF(IFERROR(SEARCH("NG", 'Inputs Yr 2'!$AJ141),0),'Inputs Yr 2'!$AK141,0)+IF(IFERROR(SEARCH("NG", 'Inputs Yr 2'!$AL141),0),'Inputs Yr 2'!$AM141,0)+IF(IFERROR(SEARCH("NG", 'Inputs Yr 2'!$AN141),0),'Inputs Yr 2'!$AO141,0)),0)</f>
        <v>191.4502</v>
      </c>
      <c r="AA141" s="257">
        <f t="shared" si="86"/>
        <v>2871.7529999999997</v>
      </c>
      <c r="AB141" s="257">
        <f>IFERROR(Z141*'Inputs Yr 2'!$P141,0)</f>
        <v>191.4502</v>
      </c>
      <c r="AC141" s="257">
        <f t="shared" si="87"/>
        <v>2871.7529999999997</v>
      </c>
      <c r="AD141" s="257">
        <f>IFERROR($G141*'Inputs Yr 2'!$Q141*'Inputs Yr 2'!$U141*(IF(IFERROR(SEARCH("Oil", 'Inputs Yr 2'!$AJ141), 0),'Inputs Yr 2'!$AK141,0)+IF(IFERROR(SEARCH("Oil", 'Inputs Yr 2'!$AL141), 0),'Inputs Yr 2'!$AM141,0)+IF(IFERROR(SEARCH("Oil", 'Inputs Yr 2'!$AN141), 0),'Inputs Yr 2'!$AO141,0)),0)</f>
        <v>0</v>
      </c>
      <c r="AE141" s="257">
        <f t="shared" si="88"/>
        <v>0</v>
      </c>
      <c r="AF141" s="257">
        <f>IFERROR(AD141*'Inputs Yr 2'!$P141,0)</f>
        <v>0</v>
      </c>
      <c r="AG141" s="257">
        <f t="shared" si="89"/>
        <v>0</v>
      </c>
      <c r="AH141" s="257">
        <f>IFERROR($G141*'Inputs Yr 2'!$Q141*'Inputs Yr 2'!$U141*(IF('Inputs Yr 2'!$AJ141=CD$4,'Inputs Yr 2'!$AK141,IF('Inputs Yr 2'!$AL141=CD$4,'Inputs Yr 2'!$AM141,IF('Inputs Yr 2'!$AN141=CD$4,'Inputs Yr 2'!$AO141,0)))),0)</f>
        <v>0</v>
      </c>
      <c r="AI141" s="257">
        <f t="shared" si="90"/>
        <v>0</v>
      </c>
      <c r="AJ141" s="257">
        <f>IFERROR(AH141*'Inputs Yr 2'!$P141,0)</f>
        <v>0</v>
      </c>
      <c r="AK141" s="257">
        <f t="shared" si="91"/>
        <v>0</v>
      </c>
      <c r="AL141" s="258">
        <f>IFERROR($G141*'Inputs Yr 2'!$P141*'Inputs Yr 2'!$Q141*'Inputs Yr 2'!AP141,0)</f>
        <v>0</v>
      </c>
      <c r="AM141" s="260">
        <f>IFERROR($G141*'Inputs Yr 2'!$P141*'Inputs Yr 2'!$Q141*'Inputs Yr 2'!AQ141,0)</f>
        <v>0</v>
      </c>
      <c r="AN141" s="258">
        <f>IFERROR($G141*'Inputs Yr 2'!$P141*'Inputs Yr 2'!$Q141*'Inputs Yr 2'!AR141,0)</f>
        <v>0</v>
      </c>
      <c r="AO141" s="257">
        <f t="shared" si="92"/>
        <v>0</v>
      </c>
      <c r="AP141" s="195">
        <f>IFERROR($CQ141*(INDEX(avoidedcosttbl2,$H141,AP$2)+(($H141-ROUNDDOWN($H141,0))*(INDEX(avoidedcosttbl2,ROUNDUP($H141,0),AP$2)-(INDEX(avoidedcosttbl2,ROUNDDOWN($H141,0),AP$2)))))*$O141*1000*'Inputs Yr 2'!AA141,"")</f>
        <v>0</v>
      </c>
      <c r="AQ141" s="195">
        <f>IFERROR($CR141*(INDEX(avoidedcosttbl2,$H141,AQ$2)+(($H141-ROUNDDOWN($H141,0))*(INDEX(avoidedcosttbl2,ROUNDUP($H141,0),AQ$2)-(INDEX(avoidedcosttbl2,ROUNDDOWN($H141,0),AQ$2)))))*$O141*1000*'Inputs Yr 2'!AB141,"")</f>
        <v>0</v>
      </c>
      <c r="AR141" s="195">
        <f>IFERROR($CS141*(INDEX(avoidedcosttbl2,$H141,AR$2)+(($H141-ROUNDDOWN($H141,0))*(INDEX(avoidedcosttbl2,ROUNDUP($H141,0),AR$2)-(INDEX(avoidedcosttbl2,ROUNDDOWN($H141,0),AR$2)))))*$O141*1000*'Inputs Yr 2'!AC141,"")</f>
        <v>0</v>
      </c>
      <c r="AS141" s="195">
        <f>IFERROR($CT141*(INDEX(avoidedcosttbl2,$H141,AS$2)+(($H141-ROUNDDOWN($H141,0))*(INDEX(avoidedcosttbl2,ROUNDUP($H141,0),AS$2)-(INDEX(avoidedcosttbl2,ROUNDDOWN($H141,0),AS$2)))))*$O141*1000*'Inputs Yr 2'!AD141,"")</f>
        <v>0</v>
      </c>
      <c r="AT141" s="196">
        <f t="shared" si="93"/>
        <v>0</v>
      </c>
      <c r="AU141" s="197">
        <f>IFERROR($CQ141*((INDEX(avoidedcosttbl2,$H141,AU$2))+(($H141-ROUNDDOWN($H141,0))*((INDEX(avoidedcosttbl2,ROUNDUP($H141,0),AU$2))-(INDEX(avoidedcosttbl2,ROUNDDOWN($H141,0),AU$2)))))*$O141*1000*'Inputs Yr 2'!AA141,"")</f>
        <v>0</v>
      </c>
      <c r="AV141" s="197">
        <f>IFERROR($CR141*((INDEX(avoidedcosttbl2,$H141,AV$2))+(($H141-ROUNDDOWN($H141,0))*((INDEX(avoidedcosttbl2,ROUNDUP($H141,0),AV$2))-(INDEX(avoidedcosttbl2,ROUNDDOWN($H141,0),AV$2)))))*$O141*1000*'Inputs Yr 2'!AB141,"")</f>
        <v>0</v>
      </c>
      <c r="AW141" s="197">
        <f>IFERROR($CS141*((INDEX(avoidedcosttbl2,$H141,AW$2))+(($H141-ROUNDDOWN($H141,0))*((INDEX(avoidedcosttbl2,ROUNDUP($H141,0),AW$2))-(INDEX(avoidedcosttbl2,ROUNDDOWN($H141,0),AW$2)))))*$O141*1000*'Inputs Yr 2'!AC141,"")</f>
        <v>0</v>
      </c>
      <c r="AX141" s="197">
        <f>IFERROR($CT141*((INDEX(avoidedcosttbl2,$H141,AX$2))+(($H141-ROUNDDOWN($H141,0))*((INDEX(avoidedcosttbl2,ROUNDUP($H141,0),AX$2))-(INDEX(avoidedcosttbl2,ROUNDDOWN($H141,0),AX$2)))))*$O141*1000*'Inputs Yr 2'!AD141,"")</f>
        <v>0</v>
      </c>
      <c r="AY141" s="197">
        <f>IFERROR(((INDEX(avoidedcosttbl2,$H141,AY$2))+(($H141-ROUNDDOWN($H141,0))*((INDEX(avoidedcosttbl2,ROUNDUP($H141,0),AY$2))-(INDEX(avoidedcosttbl2,ROUNDDOWN($H141,0),AY$2)))))*$O141*1000*('Inputs Yr 2'!AC141+'Inputs Yr 2'!AD141),"")</f>
        <v>0</v>
      </c>
      <c r="AZ141" s="197">
        <f>IFERROR(((INDEX(avoidedcosttbl2,$H141,AZ$2))+(($H141-ROUNDDOWN($H141,0))*((INDEX(avoidedcosttbl2,ROUNDUP($H141,0),AZ$2))-(INDEX(avoidedcosttbl2,ROUNDDOWN($H141,0),AZ$2)))))*$O141*1000*('Inputs Yr 2'!AA141+'Inputs Yr 2'!AB141),"")</f>
        <v>0</v>
      </c>
      <c r="BA141" s="198">
        <f t="shared" si="94"/>
        <v>0</v>
      </c>
      <c r="BB141" s="198">
        <f t="shared" si="95"/>
        <v>0</v>
      </c>
      <c r="BC141" s="195">
        <f t="shared" si="77"/>
        <v>0</v>
      </c>
      <c r="BD141" s="195">
        <f t="shared" si="78"/>
        <v>0</v>
      </c>
      <c r="BE141" s="195">
        <f t="shared" si="79"/>
        <v>0</v>
      </c>
      <c r="BF141" s="195">
        <f t="shared" si="80"/>
        <v>0</v>
      </c>
      <c r="BG141" s="195">
        <f t="shared" si="81"/>
        <v>0</v>
      </c>
      <c r="BH141" s="196">
        <f t="shared" si="96"/>
        <v>0</v>
      </c>
      <c r="BI141" s="196">
        <f t="shared" si="97"/>
        <v>0</v>
      </c>
      <c r="BJ141" s="195">
        <f>IFERROR($G141*(IF('Inputs Yr 2'!$AJ141=BJ$4,'Inputs Yr 2'!$AK141,IF('Inputs Yr 2'!$AL141=BJ$4,'Inputs Yr 2'!$AM141,IF('Inputs Yr 2'!$AN141=BJ$4,'Inputs Yr 2'!$AO141,0))))*(INDEX(avoidedcosttbl2,$H141,BJ$2)+(($H141-ROUNDDOWN($H141,0))*(INDEX(avoidedcosttbl2,ROUNDUP($H141,0),BJ$2)-(INDEX(avoidedcosttbl2,ROUNDDOWN($H141,0),BJ$2)))))*'Inputs Yr 2'!P141*'Inputs Yr 2'!Q141*'Inputs Yr 2'!U141,"")</f>
        <v>0</v>
      </c>
      <c r="BK141" s="195">
        <f>IFERROR($G141*(IF('Inputs Yr 2'!$AJ141=BK$4,'Inputs Yr 2'!$AK141,IF('Inputs Yr 2'!$AL141=BK$4,'Inputs Yr 2'!$AM141,IF('Inputs Yr 2'!$AN141=BK$4,'Inputs Yr 2'!$AO141,0))))*(INDEX(avoidedcosttbl2,$H141,BK$2)+(($H141-ROUNDDOWN($H141,0))*(INDEX(avoidedcosttbl2,ROUNDUP($H141,0),BK$2)-(INDEX(avoidedcosttbl2,ROUNDDOWN($H141,0),BK$2)))))*'Inputs Yr 2'!P141*'Inputs Yr 2'!Q141*'Inputs Yr 2'!U141,"")</f>
        <v>0</v>
      </c>
      <c r="BL141" s="195">
        <f>IFERROR($G141*(IF('Inputs Yr 2'!$AJ141=BL$4,'Inputs Yr 2'!$AK141,IF('Inputs Yr 2'!$AL141=BL$4,'Inputs Yr 2'!$AM141,IF('Inputs Yr 2'!$AN141=BL$4,'Inputs Yr 2'!$AO141,0))))*(INDEX(avoidedcosttbl2,$H141,BL$2)+(($H141-ROUNDDOWN($H141,0))*(INDEX(avoidedcosttbl2,ROUNDUP($H141,0),BL$2)-(INDEX(avoidedcosttbl2,ROUNDDOWN($H141,0),BL$2)))))*'Inputs Yr 2'!P141*'Inputs Yr 2'!Q141*'Inputs Yr 2'!U141,"")</f>
        <v>24216.695378546359</v>
      </c>
      <c r="BM141" s="195">
        <f>IFERROR($G141*(IF('Inputs Yr 2'!$AJ141=BM$4,'Inputs Yr 2'!$AK141,IF('Inputs Yr 2'!$AL141=BM$4,'Inputs Yr 2'!$AM141,IF('Inputs Yr 2'!$AN141=BM$4,'Inputs Yr 2'!$AO141,0))))*(INDEX(avoidedcosttbl2,$H141,BM$2)+(($H141-ROUNDDOWN($H141,0))*(INDEX(avoidedcosttbl2,ROUNDUP($H141,0),BM$2)-(INDEX(avoidedcosttbl2,ROUNDDOWN($H141,0),BM$2)))))*'Inputs Yr 2'!P141*'Inputs Yr 2'!Q141*'Inputs Yr 2'!U141,"")</f>
        <v>0</v>
      </c>
      <c r="BN141" s="195">
        <f>IFERROR($G141*(IF('Inputs Yr 2'!$AJ141=BN$4,'Inputs Yr 2'!$AK141,IF('Inputs Yr 2'!$AL141=BN$4,'Inputs Yr 2'!$AM141,IF('Inputs Yr 2'!$AN141=BN$4,'Inputs Yr 2'!$AO141,0))))*(INDEX(avoidedcosttbl2,$H141,BN$2)+(($H141-ROUNDDOWN($H141,0))*(INDEX(avoidedcosttbl2,ROUNDUP($H141,0),BN$2)-(INDEX(avoidedcosttbl2,ROUNDDOWN($H141,0),BN$2)))))*'Inputs Yr 2'!P141*'Inputs Yr 2'!Q141*'Inputs Yr 2'!U141,"")</f>
        <v>0</v>
      </c>
      <c r="BO141" s="195">
        <f>IFERROR($G141*(IF('Inputs Yr 2'!$AJ141=BO$4,'Inputs Yr 2'!$AK141,IF('Inputs Yr 2'!$AL141=BO$4,'Inputs Yr 2'!$AM141,IF('Inputs Yr 2'!$AN141=BO$4,'Inputs Yr 2'!$AO141,0))))*(INDEX(avoidedcosttbl2,$H141,BO$2)+(($H141-ROUNDDOWN($H141,0))*(INDEX(avoidedcosttbl2,ROUNDUP($H141,0),BO$2)-(INDEX(avoidedcosttbl2,ROUNDDOWN($H141,0),BO$2)))))*'Inputs Yr 2'!P141*'Inputs Yr 2'!Q141*'Inputs Yr 2'!U141,"")</f>
        <v>0</v>
      </c>
      <c r="BP141" s="195">
        <f>IFERROR($G141*(IF('Inputs Yr 2'!$AJ141=BP$4,'Inputs Yr 2'!$AK141,IF('Inputs Yr 2'!$AL141=BP$4,'Inputs Yr 2'!$AM141,IF('Inputs Yr 2'!$AN141=BP$4,'Inputs Yr 2'!$AO141,0))))*(INDEX(avoidedcosttbl2,$H141,BP$2)+(($H141-ROUNDDOWN($H141,0))*(INDEX(avoidedcosttbl2,ROUNDUP($H141,0),BP$2)-(INDEX(avoidedcosttbl2,ROUNDDOWN($H141,0),BP$2)))))*'Inputs Yr 2'!P141*'Inputs Yr 2'!Q141*'Inputs Yr 2'!U141,"")</f>
        <v>0</v>
      </c>
      <c r="BQ141" s="230">
        <f t="shared" si="98"/>
        <v>24216.695378546359</v>
      </c>
      <c r="BR141" s="197">
        <f t="shared" si="82"/>
        <v>389.24287182345512</v>
      </c>
      <c r="BS141" s="197">
        <f>IFERROR(($G141*IF('Inputs Yr 2'!$AJ141=BM$4,'Inputs Yr 2'!$AK141,IF('Inputs Yr 2'!$AL141=BM$4,'Inputs Yr 2'!$AM141,IF('Inputs Yr 2'!$AN141=BM$4,'Inputs Yr 2'!$AO141,0))))*(INDEX(avoidedcosttbl2,$H141,BS$2)+(($H141-ROUNDDOWN($H141,0))*(INDEX(avoidedcosttbl2,ROUNDUP($H141,0),BS$2)-(INDEX(avoidedcosttbl2,ROUNDDOWN($H141,0),BS$2)))))*'Inputs Yr 2'!P141*'Inputs Yr 2'!Q141*'Inputs Yr 2'!U141,"")</f>
        <v>0</v>
      </c>
      <c r="BT141" s="197">
        <f>IFERROR(($G141*IF('Inputs Yr 2'!$AJ141=BK$4,'Inputs Yr 2'!$AK141,IF('Inputs Yr 2'!$AL141=BK$4,'Inputs Yr 2'!$AM141,IF('Inputs Yr 2'!$AN141=BK$4,'Inputs Yr 2'!$AO141,0))))*(INDEX(avoidedcosttbl2,$H141,BT$2)+(($H141-ROUNDDOWN($H141,0))*(INDEX(avoidedcosttbl2,ROUNDUP($H141,0),BT$2)-(INDEX(avoidedcosttbl2,ROUNDDOWN($H141,0),BT$2)))))*'Inputs Yr 2'!P141*'Inputs Yr 2'!Q141*'Inputs Yr 2'!U141,"")</f>
        <v>0</v>
      </c>
      <c r="BU141" s="197">
        <f>IFERROR(($G141*IF('Inputs Yr 2'!$AJ141=BL$4,'Inputs Yr 2'!$AK141,IF('Inputs Yr 2'!$AL141=BL$4,'Inputs Yr 2'!$AM141,IF('Inputs Yr 2'!$AN141=BL$4,'Inputs Yr 2'!$AO141,0))))*(INDEX(avoidedcosttbl2,$H141,BU$2)+(($H141-ROUNDDOWN($H141,0))*(INDEX(avoidedcosttbl2,ROUNDUP($H141,0),BU$2)-(INDEX(avoidedcosttbl2,ROUNDDOWN($H141,0),BU$2)))))*'Inputs Yr 2'!P141*'Inputs Yr 2'!Q141*'Inputs Yr 2'!U141,"")</f>
        <v>1482.2445353715686</v>
      </c>
      <c r="BV141" s="775">
        <f>IFERROR(($G141*IF('Inputs Yr 2'!$AJ141=BJ$4,'Inputs Yr 2'!$AK141,IF('Inputs Yr 2'!$AL141=BJ$4,'Inputs Yr 2'!$AM141,IF('Inputs Yr 2'!$AN141=BJ$4,'Inputs Yr 2'!$AO141,0))))*(INDEX(avoidedcosttbl2,$H141,BV$2)+(($H141-ROUNDDOWN($H141,0))*(INDEX(avoidedcosttbl2,ROUNDUP($H141,0),BV$2)-(INDEX(avoidedcosttbl2,ROUNDDOWN($H141,0),BV$2)))))*'Inputs Yr 2'!P141*'Inputs Yr 2'!Q141*'Inputs Yr 2'!U141,"")</f>
        <v>0</v>
      </c>
      <c r="BW141" s="197">
        <f>IFERROR(($G141*IF('Inputs Yr 2'!$AJ141=BN$4,'Inputs Yr 2'!$AK141,IF('Inputs Yr 2'!$AL141=BN$4,'Inputs Yr 2'!$AM141,IF('Inputs Yr 2'!$AN141=BN$4,'Inputs Yr 2'!$AO141,0))))*(INDEX(avoidedcosttbl2,$H141,BW$2)+(($H141-ROUNDDOWN($H141,0))*(INDEX(avoidedcosttbl2,ROUNDUP($H141,0),BW$2)-(INDEX(avoidedcosttbl2,ROUNDDOWN($H141,0),BW$2)))))*'Inputs Yr 2'!P141*'Inputs Yr 2'!Q141*'Inputs Yr 2'!U141,"")</f>
        <v>0</v>
      </c>
      <c r="BX141" s="197">
        <f>IFERROR(($G141*IF('Inputs Yr 2'!$AJ141=BO$4,'Inputs Yr 2'!$AK141,IF('Inputs Yr 2'!$AL141=BO$4,'Inputs Yr 2'!$AM141,IF('Inputs Yr 2'!$AN141=BO$4,'Inputs Yr 2'!$AO141,0))))*(INDEX(avoidedcosttbl2,$H141,BX$2)+(($H141-ROUNDDOWN($H141,0))*(INDEX(avoidedcosttbl2,ROUNDUP($H141,0),BX$2)-(INDEX(avoidedcosttbl2,ROUNDDOWN($H141,0),BX$2)))))*'Inputs Yr 2'!P141*'Inputs Yr 2'!Q141*'Inputs Yr 2'!U141,"")</f>
        <v>0</v>
      </c>
      <c r="BY141" s="197">
        <f>IFERROR(($G141*IF('Inputs Yr 2'!$AJ141=BP$4,'Inputs Yr 2'!$AK141,IF('Inputs Yr 2'!$AL141=BP$4,'Inputs Yr 2'!$AM141,IF('Inputs Yr 2'!$AN141=BP$4,'Inputs Yr 2'!$AO141,0))))*(INDEX(avoidedcosttbl2,$H141,BY$2)+(($H141-ROUNDDOWN($H141,0))*(INDEX(avoidedcosttbl2,ROUNDUP($H141,0),BY$2)-(INDEX(avoidedcosttbl2,ROUNDDOWN($H141,0),BY$2)))))*'Inputs Yr 2'!P141*'Inputs Yr 2'!Q141*'Inputs Yr 2'!U141,"")</f>
        <v>0</v>
      </c>
      <c r="BZ141" s="193">
        <f t="shared" si="99"/>
        <v>1871.4874071950237</v>
      </c>
      <c r="CA141" s="193">
        <f t="shared" si="100"/>
        <v>26088.182785741385</v>
      </c>
      <c r="CB141" s="195">
        <f>IFERROR(G141*(IF('Inputs Yr 2'!$AJ141=CB$4,'Inputs Yr 2'!$AK141,IF('Inputs Yr 2'!$AL141=CB$4,'Inputs Yr 2'!$AM141,IF('Inputs Yr 2'!$AN141=CB$4,'Inputs Yr 2'!$AO141,0))))*(INDEX(avoidedcosttbl2,$H141,CB$2)+(($H141-ROUNDDOWN($H141,0))*(INDEX(avoidedcosttbl2,ROUNDUP($H141,0),CB$2)-(INDEX(avoidedcosttbl2,ROUNDDOWN($H141,0),CB$2)))))*'Inputs Yr 2'!P141*'Inputs Yr 2'!Q141*'Inputs Yr 2'!U141,"")</f>
        <v>0</v>
      </c>
      <c r="CC141" s="195">
        <f>IFERROR(H141*(IF('Inputs Yr 2'!$AJ141=CC$4,'Inputs Yr 2'!$AK141,IF('Inputs Yr 2'!$AL141=CC$4,'Inputs Yr 2'!$AM141,IF('Inputs Yr 2'!$AN141=CC$4,'Inputs Yr 2'!$AO141,0))))*(INDEX(avoidedcosttbl2,$H141,CC$2)+(($H141-ROUNDDOWN($H141,0))*(INDEX(avoidedcosttbl2,ROUNDUP($H141,0),CC$2)-(INDEX(avoidedcosttbl2,ROUNDDOWN($H141,0),CC$2)))))*'Inputs Yr 2'!Q141*'Inputs Yr 2'!R141*'Inputs Yr 2'!V141,"")</f>
        <v>0</v>
      </c>
      <c r="CD141" s="195">
        <f>IFERROR(I141*(IF('Inputs Yr 2'!$AJ141=CD$4,'Inputs Yr 2'!$AK141,IF('Inputs Yr 2'!$AL141=CD$4,'Inputs Yr 2'!$AM141,IF('Inputs Yr 2'!$AN141=CD$4,'Inputs Yr 2'!$AO141,0))))*(INDEX(avoidedcosttbl2,$H141,CD$2)+(($H141-ROUNDDOWN($H141,0))*(INDEX(avoidedcosttbl2,ROUNDUP($H141,0),CD$2)-(INDEX(avoidedcosttbl2,ROUNDDOWN($H141,0),CD$2)))))*'Inputs Yr 2'!R141*'Inputs Yr 2'!S141*'Inputs Yr 2'!W141,"")</f>
        <v>0</v>
      </c>
      <c r="CE141" s="213">
        <f t="shared" si="101"/>
        <v>0</v>
      </c>
      <c r="CF141" s="213">
        <f t="shared" si="102"/>
        <v>0</v>
      </c>
      <c r="CG141" s="213">
        <f t="shared" si="103"/>
        <v>0</v>
      </c>
      <c r="CH141" s="698">
        <f t="shared" si="104"/>
        <v>26088.182785741385</v>
      </c>
      <c r="CI141" s="79">
        <f>IFERROR(($G141*'Inputs Yr 2'!$P141*'Inputs Yr 2'!$Q141*(((INDEX(avoidedcosttbl2,$H141,CI$2)+(($H141-ROUNDDOWN($H141,0))*(INDEX(avoidedcosttbl2,ROUNDUP($H141,0),CI$2)-INDEX(avoidedcosttbl2,ROUNDDOWN($H141,0),CI$2))))*'Inputs Yr 2'!AS141))),"")</f>
        <v>0</v>
      </c>
      <c r="CJ141" s="504">
        <f>IFERROR($G141*'Inputs Yr 2'!AT141*'Inputs Yr 2'!$P141*'Inputs Yr 2'!$Q141/((1+realdiscrt1)^-0.5),"")</f>
        <v>0</v>
      </c>
      <c r="CK141" s="79">
        <f>IFERROR((O141*1000*(((INDEX(avoidedcosttbl2,$H141,CK$2)+(($H141-ROUNDDOWN($H141,0))*(INDEX(avoidedcosttbl2,ROUNDUP($H141,0),CK$2)-INDEX(avoidedcosttbl2,ROUNDDOWN($H141,0),CK$2))))*'Inputs Yr 2'!AU141))),"")</f>
        <v>0</v>
      </c>
      <c r="CL141" s="504">
        <f>IFERROR(O141*1000*'Inputs Yr 2'!AV141/((1+realdiscrt1)^-0.5),"")</f>
        <v>0</v>
      </c>
      <c r="CM141" s="79">
        <f>IFERROR((AB141*'Inputs Yr 2'!AW141*(((INDEX(avoidedcosttbl2,$H141,CM$2)+(($H141-ROUNDDOWN($H141,0))*(INDEX(avoidedcosttbl2,ROUNDUP($H141,0),CM$2)-INDEX(avoidedcosttbl2,ROUNDDOWN($H141,0),CM$2)))))))*10,"")</f>
        <v>0</v>
      </c>
      <c r="CN141" s="504">
        <f>IFERROR(10*AB141*'Inputs Yr 2'!AX141/((1+realdiscrt1)^-0.5),"")</f>
        <v>0</v>
      </c>
      <c r="CO141" s="505">
        <f t="shared" si="105"/>
        <v>0</v>
      </c>
      <c r="CP141" s="230">
        <f t="shared" si="106"/>
        <v>26088.182785741385</v>
      </c>
      <c r="CQ141" s="199">
        <f>ROUND(IFERROR(IF(LEFT($A141,1)="C",'Avoided Costs'!$K$13,'Avoided Costs'!$K$12)+1,""),4)</f>
        <v>1.0720000000000001</v>
      </c>
      <c r="CR141" s="199">
        <f>ROUND(IFERROR(IF(LEFT($A141,1)="C",'Avoided Costs'!$L$13,'Avoided Costs'!$L$12)+1,""),4)</f>
        <v>1.04</v>
      </c>
      <c r="CS141" s="199">
        <f>ROUND(IFERROR(IF(LEFT($A141,1)="C",'Avoided Costs'!$M$13,'Avoided Costs'!$M$12)+1,""),4)</f>
        <v>1.0720000000000001</v>
      </c>
      <c r="CT141" s="199">
        <f>ROUND(IFERROR(IF(LEFT($A141,1)="C",'Avoided Costs'!$N$13,'Avoided Costs'!$N$12)+1,""),4)</f>
        <v>1.04</v>
      </c>
      <c r="CU141" s="199">
        <f>ROUND(IFERROR(IF(LEFT($A141,1)="C",'Avoided Costs'!$O$13,'Avoided Costs'!$O$12)+1,""),4)</f>
        <v>1.1120000000000001</v>
      </c>
      <c r="CV141" s="199">
        <f>ROUND(IFERROR(IF(LEFT($A141,1)="C",'Avoided Costs'!$P$13,'Avoided Costs'!$P$12)+1,""),4)</f>
        <v>1.095</v>
      </c>
      <c r="CW141" s="199">
        <f>ROUND(IFERROR(IF(LEFT($A141,1)="C",'Avoided Costs'!$Q$13,'Avoided Costs'!$Q$12)+1,""),4)</f>
        <v>1.1120000000000001</v>
      </c>
      <c r="CX141" s="200">
        <f>ROUND(IFERROR(IF(LEFT($A141,1)="C",'Avoided Costs'!$R$13,'Avoided Costs'!$R$12)+1,""),4)</f>
        <v>1.1120000000000001</v>
      </c>
    </row>
    <row r="142" spans="1:102" ht="12.75" customHeight="1">
      <c r="A142" s="91" t="str">
        <f>IF('Inputs Yr 2'!$B142=0,"",'Inputs Yr 2'!A142)</f>
        <v>B - Low Income</v>
      </c>
      <c r="B142" s="91" t="str">
        <f>IF('Inputs Yr 2'!$B142=0,"",'Inputs Yr 2'!B142)</f>
        <v>B1 - Low-Income Whole House</v>
      </c>
      <c r="C142" s="91" t="str">
        <f>IF('Inputs Yr 2'!$B142=0,"",'Inputs Yr 2'!C142)</f>
        <v>B1b - Low-Income Multi-Family Retrofit</v>
      </c>
      <c r="D142" s="91" t="str">
        <f>IF('Inputs Yr 2'!$B142=0,"",'Inputs Yr 2'!E142)</f>
        <v>Rebate Cost Adjustment* (pre-wx, etc.)</v>
      </c>
      <c r="E142" s="93">
        <f>IF('Inputs Yr 2'!$B142=0,"",'Inputs Yr 2'!F142)</f>
        <v>0</v>
      </c>
      <c r="F142" s="93">
        <f>IF('Inputs Yr 2'!$B142=0,"",'Inputs Yr 2'!G142)</f>
        <v>0</v>
      </c>
      <c r="G142" s="95" t="str">
        <f>IF('Inputs Yr 2'!$H142&lt;&gt;0,('Inputs Yr 2'!H142),"")</f>
        <v/>
      </c>
      <c r="H142" s="94">
        <f>IFERROR('Inputs Yr 2'!I142,"")</f>
        <v>0</v>
      </c>
      <c r="I142" s="298" t="str">
        <f>IFERROR('Inputs Yr 2'!J142*'Inputs Yr 2'!P142*G142,"")</f>
        <v/>
      </c>
      <c r="J142" s="298" t="str">
        <f>IFERROR('Inputs Yr 2'!K142*G142,"")</f>
        <v/>
      </c>
      <c r="K142" s="298" t="str">
        <f t="shared" si="83"/>
        <v/>
      </c>
      <c r="L142" s="194" t="str">
        <f>IFERROR(('Inputs Yr 2'!W142*G142)/1000,"")</f>
        <v/>
      </c>
      <c r="M142" s="194" t="str">
        <f>IFERROR(L142*('Inputs Yr 2'!$Q142*'Inputs Yr 2'!$V142*'Inputs Yr 2'!$R142),"")</f>
        <v/>
      </c>
      <c r="N142" s="194" t="str">
        <f t="shared" si="84"/>
        <v/>
      </c>
      <c r="O142" s="194" t="str">
        <f>IFERROR(M142*'Inputs Yr 2'!P142,"")</f>
        <v/>
      </c>
      <c r="P142" s="194" t="str">
        <f t="shared" si="85"/>
        <v/>
      </c>
      <c r="Q142" s="194" t="str">
        <f>IFERROR($P142*'Inputs Yr 2'!AA142,"")</f>
        <v/>
      </c>
      <c r="R142" s="194" t="str">
        <f>IFERROR($P142*'Inputs Yr 2'!AB142,"")</f>
        <v/>
      </c>
      <c r="S142" s="194" t="str">
        <f>IFERROR($P142*'Inputs Yr 2'!AC142,"")</f>
        <v/>
      </c>
      <c r="T142" s="194" t="str">
        <f>IFERROR($P142*'Inputs Yr 2'!AD142,"")</f>
        <v/>
      </c>
      <c r="U142" s="194" t="str">
        <f>IFERROR(G142*'Inputs Yr 2'!$AE142*'Inputs Yr 2'!$P142*'Inputs Yr 2'!$Q142,"")</f>
        <v/>
      </c>
      <c r="V142" s="194" t="str">
        <f>IFERROR($G142*'Inputs Yr 2'!$AE142*'Inputs Yr 2'!$AG142*'Inputs Yr 2'!Q142*'Inputs Yr 2'!$S142,"")</f>
        <v/>
      </c>
      <c r="W142" s="194" t="str">
        <f>IFERROR($G142*'Inputs Yr 2'!$AE142*'Inputs Yr 2'!$AG142*'Inputs Yr 2'!P142*'Inputs Yr 2'!Q142*'Inputs Yr 2'!$S142,"")</f>
        <v/>
      </c>
      <c r="X142" s="194" t="str">
        <f>IFERROR($G142*'Inputs Yr 2'!$AE142*'Inputs Yr 2'!$AF142*'Inputs Yr 2'!Q142*'Inputs Yr 2'!$T142,"")</f>
        <v/>
      </c>
      <c r="Y142" s="194" t="str">
        <f>IFERROR($G142*'Inputs Yr 2'!$AE142*'Inputs Yr 2'!$AF142*'Inputs Yr 2'!P142*'Inputs Yr 2'!Q142*'Inputs Yr 2'!$T142,"")</f>
        <v/>
      </c>
      <c r="Z142" s="257">
        <f>IFERROR($G142*'Inputs Yr 2'!$Q142*'Inputs Yr 2'!$U142*(IF(IFERROR(SEARCH("NG", 'Inputs Yr 2'!$AJ142),0),'Inputs Yr 2'!$AK142,0)+IF(IFERROR(SEARCH("NG", 'Inputs Yr 2'!$AL142),0),'Inputs Yr 2'!$AM142,0)+IF(IFERROR(SEARCH("NG", 'Inputs Yr 2'!$AN142),0),'Inputs Yr 2'!$AO142,0)),0)</f>
        <v>0</v>
      </c>
      <c r="AA142" s="257">
        <f t="shared" si="86"/>
        <v>0</v>
      </c>
      <c r="AB142" s="257">
        <f>IFERROR(Z142*'Inputs Yr 2'!$P142,0)</f>
        <v>0</v>
      </c>
      <c r="AC142" s="257">
        <f t="shared" si="87"/>
        <v>0</v>
      </c>
      <c r="AD142" s="257">
        <f>IFERROR($G142*'Inputs Yr 2'!$Q142*'Inputs Yr 2'!$U142*(IF(IFERROR(SEARCH("Oil", 'Inputs Yr 2'!$AJ142), 0),'Inputs Yr 2'!$AK142,0)+IF(IFERROR(SEARCH("Oil", 'Inputs Yr 2'!$AL142), 0),'Inputs Yr 2'!$AM142,0)+IF(IFERROR(SEARCH("Oil", 'Inputs Yr 2'!$AN142), 0),'Inputs Yr 2'!$AO142,0)),0)</f>
        <v>0</v>
      </c>
      <c r="AE142" s="257">
        <f t="shared" si="88"/>
        <v>0</v>
      </c>
      <c r="AF142" s="257">
        <f>IFERROR(AD142*'Inputs Yr 2'!$P142,0)</f>
        <v>0</v>
      </c>
      <c r="AG142" s="257">
        <f t="shared" si="89"/>
        <v>0</v>
      </c>
      <c r="AH142" s="257">
        <f>IFERROR($G142*'Inputs Yr 2'!$Q142*'Inputs Yr 2'!$U142*(IF('Inputs Yr 2'!$AJ142=CD$4,'Inputs Yr 2'!$AK142,IF('Inputs Yr 2'!$AL142=CD$4,'Inputs Yr 2'!$AM142,IF('Inputs Yr 2'!$AN142=CD$4,'Inputs Yr 2'!$AO142,0)))),0)</f>
        <v>0</v>
      </c>
      <c r="AI142" s="257">
        <f t="shared" si="90"/>
        <v>0</v>
      </c>
      <c r="AJ142" s="257">
        <f>IFERROR(AH142*'Inputs Yr 2'!$P142,0)</f>
        <v>0</v>
      </c>
      <c r="AK142" s="257">
        <f t="shared" si="91"/>
        <v>0</v>
      </c>
      <c r="AL142" s="258">
        <f>IFERROR($G142*'Inputs Yr 2'!$P142*'Inputs Yr 2'!$Q142*'Inputs Yr 2'!AP142,0)</f>
        <v>0</v>
      </c>
      <c r="AM142" s="260">
        <f>IFERROR($G142*'Inputs Yr 2'!$P142*'Inputs Yr 2'!$Q142*'Inputs Yr 2'!AQ142,0)</f>
        <v>0</v>
      </c>
      <c r="AN142" s="258">
        <f>IFERROR($G142*'Inputs Yr 2'!$P142*'Inputs Yr 2'!$Q142*'Inputs Yr 2'!AR142,0)</f>
        <v>0</v>
      </c>
      <c r="AO142" s="257">
        <f t="shared" si="92"/>
        <v>0</v>
      </c>
      <c r="AP142" s="195" t="str">
        <f>IFERROR($CQ142*(INDEX(avoidedcosttbl2,$H142,AP$2)+(($H142-ROUNDDOWN($H142,0))*(INDEX(avoidedcosttbl2,ROUNDUP($H142,0),AP$2)-(INDEX(avoidedcosttbl2,ROUNDDOWN($H142,0),AP$2)))))*$O142*1000*'Inputs Yr 2'!AA142,"")</f>
        <v/>
      </c>
      <c r="AQ142" s="195" t="str">
        <f>IFERROR($CR142*(INDEX(avoidedcosttbl2,$H142,AQ$2)+(($H142-ROUNDDOWN($H142,0))*(INDEX(avoidedcosttbl2,ROUNDUP($H142,0),AQ$2)-(INDEX(avoidedcosttbl2,ROUNDDOWN($H142,0),AQ$2)))))*$O142*1000*'Inputs Yr 2'!AB142,"")</f>
        <v/>
      </c>
      <c r="AR142" s="195" t="str">
        <f>IFERROR($CS142*(INDEX(avoidedcosttbl2,$H142,AR$2)+(($H142-ROUNDDOWN($H142,0))*(INDEX(avoidedcosttbl2,ROUNDUP($H142,0),AR$2)-(INDEX(avoidedcosttbl2,ROUNDDOWN($H142,0),AR$2)))))*$O142*1000*'Inputs Yr 2'!AC142,"")</f>
        <v/>
      </c>
      <c r="AS142" s="195" t="str">
        <f>IFERROR($CT142*(INDEX(avoidedcosttbl2,$H142,AS$2)+(($H142-ROUNDDOWN($H142,0))*(INDEX(avoidedcosttbl2,ROUNDUP($H142,0),AS$2)-(INDEX(avoidedcosttbl2,ROUNDDOWN($H142,0),AS$2)))))*$O142*1000*'Inputs Yr 2'!AD142,"")</f>
        <v/>
      </c>
      <c r="AT142" s="196">
        <f t="shared" si="93"/>
        <v>0</v>
      </c>
      <c r="AU142" s="197" t="str">
        <f>IFERROR($CQ142*((INDEX(avoidedcosttbl2,$H142,AU$2))+(($H142-ROUNDDOWN($H142,0))*((INDEX(avoidedcosttbl2,ROUNDUP($H142,0),AU$2))-(INDEX(avoidedcosttbl2,ROUNDDOWN($H142,0),AU$2)))))*$O142*1000*'Inputs Yr 2'!AA142,"")</f>
        <v/>
      </c>
      <c r="AV142" s="197" t="str">
        <f>IFERROR($CR142*((INDEX(avoidedcosttbl2,$H142,AV$2))+(($H142-ROUNDDOWN($H142,0))*((INDEX(avoidedcosttbl2,ROUNDUP($H142,0),AV$2))-(INDEX(avoidedcosttbl2,ROUNDDOWN($H142,0),AV$2)))))*$O142*1000*'Inputs Yr 2'!AB142,"")</f>
        <v/>
      </c>
      <c r="AW142" s="197" t="str">
        <f>IFERROR($CS142*((INDEX(avoidedcosttbl2,$H142,AW$2))+(($H142-ROUNDDOWN($H142,0))*((INDEX(avoidedcosttbl2,ROUNDUP($H142,0),AW$2))-(INDEX(avoidedcosttbl2,ROUNDDOWN($H142,0),AW$2)))))*$O142*1000*'Inputs Yr 2'!AC142,"")</f>
        <v/>
      </c>
      <c r="AX142" s="197" t="str">
        <f>IFERROR($CT142*((INDEX(avoidedcosttbl2,$H142,AX$2))+(($H142-ROUNDDOWN($H142,0))*((INDEX(avoidedcosttbl2,ROUNDUP($H142,0),AX$2))-(INDEX(avoidedcosttbl2,ROUNDDOWN($H142,0),AX$2)))))*$O142*1000*'Inputs Yr 2'!AD142,"")</f>
        <v/>
      </c>
      <c r="AY142" s="197" t="str">
        <f>IFERROR(((INDEX(avoidedcosttbl2,$H142,AY$2))+(($H142-ROUNDDOWN($H142,0))*((INDEX(avoidedcosttbl2,ROUNDUP($H142,0),AY$2))-(INDEX(avoidedcosttbl2,ROUNDDOWN($H142,0),AY$2)))))*$O142*1000*('Inputs Yr 2'!AC142+'Inputs Yr 2'!AD142),"")</f>
        <v/>
      </c>
      <c r="AZ142" s="197" t="str">
        <f>IFERROR(((INDEX(avoidedcosttbl2,$H142,AZ$2))+(($H142-ROUNDDOWN($H142,0))*((INDEX(avoidedcosttbl2,ROUNDUP($H142,0),AZ$2))-(INDEX(avoidedcosttbl2,ROUNDDOWN($H142,0),AZ$2)))))*$O142*1000*('Inputs Yr 2'!AA142+'Inputs Yr 2'!AB142),"")</f>
        <v/>
      </c>
      <c r="BA142" s="198">
        <f t="shared" si="94"/>
        <v>0</v>
      </c>
      <c r="BB142" s="198">
        <f t="shared" si="95"/>
        <v>0</v>
      </c>
      <c r="BC142" s="195" t="str">
        <f t="shared" si="77"/>
        <v/>
      </c>
      <c r="BD142" s="195" t="str">
        <f t="shared" si="78"/>
        <v/>
      </c>
      <c r="BE142" s="195" t="str">
        <f t="shared" si="79"/>
        <v/>
      </c>
      <c r="BF142" s="195" t="str">
        <f t="shared" si="80"/>
        <v/>
      </c>
      <c r="BG142" s="195" t="str">
        <f t="shared" si="81"/>
        <v/>
      </c>
      <c r="BH142" s="196">
        <f t="shared" si="96"/>
        <v>0</v>
      </c>
      <c r="BI142" s="196">
        <f t="shared" si="97"/>
        <v>0</v>
      </c>
      <c r="BJ142" s="195" t="str">
        <f>IFERROR($G142*(IF('Inputs Yr 2'!$AJ142=BJ$4,'Inputs Yr 2'!$AK142,IF('Inputs Yr 2'!$AL142=BJ$4,'Inputs Yr 2'!$AM142,IF('Inputs Yr 2'!$AN142=BJ$4,'Inputs Yr 2'!$AO142,0))))*(INDEX(avoidedcosttbl2,$H142,BJ$2)+(($H142-ROUNDDOWN($H142,0))*(INDEX(avoidedcosttbl2,ROUNDUP($H142,0),BJ$2)-(INDEX(avoidedcosttbl2,ROUNDDOWN($H142,0),BJ$2)))))*'Inputs Yr 2'!P142*'Inputs Yr 2'!Q142*'Inputs Yr 2'!U142,"")</f>
        <v/>
      </c>
      <c r="BK142" s="195" t="str">
        <f>IFERROR($G142*(IF('Inputs Yr 2'!$AJ142=BK$4,'Inputs Yr 2'!$AK142,IF('Inputs Yr 2'!$AL142=BK$4,'Inputs Yr 2'!$AM142,IF('Inputs Yr 2'!$AN142=BK$4,'Inputs Yr 2'!$AO142,0))))*(INDEX(avoidedcosttbl2,$H142,BK$2)+(($H142-ROUNDDOWN($H142,0))*(INDEX(avoidedcosttbl2,ROUNDUP($H142,0),BK$2)-(INDEX(avoidedcosttbl2,ROUNDDOWN($H142,0),BK$2)))))*'Inputs Yr 2'!P142*'Inputs Yr 2'!Q142*'Inputs Yr 2'!U142,"")</f>
        <v/>
      </c>
      <c r="BL142" s="195" t="str">
        <f>IFERROR($G142*(IF('Inputs Yr 2'!$AJ142=BL$4,'Inputs Yr 2'!$AK142,IF('Inputs Yr 2'!$AL142=BL$4,'Inputs Yr 2'!$AM142,IF('Inputs Yr 2'!$AN142=BL$4,'Inputs Yr 2'!$AO142,0))))*(INDEX(avoidedcosttbl2,$H142,BL$2)+(($H142-ROUNDDOWN($H142,0))*(INDEX(avoidedcosttbl2,ROUNDUP($H142,0),BL$2)-(INDEX(avoidedcosttbl2,ROUNDDOWN($H142,0),BL$2)))))*'Inputs Yr 2'!P142*'Inputs Yr 2'!Q142*'Inputs Yr 2'!U142,"")</f>
        <v/>
      </c>
      <c r="BM142" s="195" t="str">
        <f>IFERROR($G142*(IF('Inputs Yr 2'!$AJ142=BM$4,'Inputs Yr 2'!$AK142,IF('Inputs Yr 2'!$AL142=BM$4,'Inputs Yr 2'!$AM142,IF('Inputs Yr 2'!$AN142=BM$4,'Inputs Yr 2'!$AO142,0))))*(INDEX(avoidedcosttbl2,$H142,BM$2)+(($H142-ROUNDDOWN($H142,0))*(INDEX(avoidedcosttbl2,ROUNDUP($H142,0),BM$2)-(INDEX(avoidedcosttbl2,ROUNDDOWN($H142,0),BM$2)))))*'Inputs Yr 2'!P142*'Inputs Yr 2'!Q142*'Inputs Yr 2'!U142,"")</f>
        <v/>
      </c>
      <c r="BN142" s="195" t="str">
        <f>IFERROR($G142*(IF('Inputs Yr 2'!$AJ142=BN$4,'Inputs Yr 2'!$AK142,IF('Inputs Yr 2'!$AL142=BN$4,'Inputs Yr 2'!$AM142,IF('Inputs Yr 2'!$AN142=BN$4,'Inputs Yr 2'!$AO142,0))))*(INDEX(avoidedcosttbl2,$H142,BN$2)+(($H142-ROUNDDOWN($H142,0))*(INDEX(avoidedcosttbl2,ROUNDUP($H142,0),BN$2)-(INDEX(avoidedcosttbl2,ROUNDDOWN($H142,0),BN$2)))))*'Inputs Yr 2'!P142*'Inputs Yr 2'!Q142*'Inputs Yr 2'!U142,"")</f>
        <v/>
      </c>
      <c r="BO142" s="195" t="str">
        <f>IFERROR($G142*(IF('Inputs Yr 2'!$AJ142=BO$4,'Inputs Yr 2'!$AK142,IF('Inputs Yr 2'!$AL142=BO$4,'Inputs Yr 2'!$AM142,IF('Inputs Yr 2'!$AN142=BO$4,'Inputs Yr 2'!$AO142,0))))*(INDEX(avoidedcosttbl2,$H142,BO$2)+(($H142-ROUNDDOWN($H142,0))*(INDEX(avoidedcosttbl2,ROUNDUP($H142,0),BO$2)-(INDEX(avoidedcosttbl2,ROUNDDOWN($H142,0),BO$2)))))*'Inputs Yr 2'!P142*'Inputs Yr 2'!Q142*'Inputs Yr 2'!U142,"")</f>
        <v/>
      </c>
      <c r="BP142" s="195" t="str">
        <f>IFERROR($G142*(IF('Inputs Yr 2'!$AJ142=BP$4,'Inputs Yr 2'!$AK142,IF('Inputs Yr 2'!$AL142=BP$4,'Inputs Yr 2'!$AM142,IF('Inputs Yr 2'!$AN142=BP$4,'Inputs Yr 2'!$AO142,0))))*(INDEX(avoidedcosttbl2,$H142,BP$2)+(($H142-ROUNDDOWN($H142,0))*(INDEX(avoidedcosttbl2,ROUNDUP($H142,0),BP$2)-(INDEX(avoidedcosttbl2,ROUNDDOWN($H142,0),BP$2)))))*'Inputs Yr 2'!P142*'Inputs Yr 2'!Q142*'Inputs Yr 2'!U142,"")</f>
        <v/>
      </c>
      <c r="BQ142" s="230">
        <f t="shared" si="98"/>
        <v>0</v>
      </c>
      <c r="BR142" s="197" t="str">
        <f t="shared" si="82"/>
        <v/>
      </c>
      <c r="BS142" s="197" t="str">
        <f>IFERROR(($G142*IF('Inputs Yr 2'!$AJ142=BM$4,'Inputs Yr 2'!$AK142,IF('Inputs Yr 2'!$AL142=BM$4,'Inputs Yr 2'!$AM142,IF('Inputs Yr 2'!$AN142=BM$4,'Inputs Yr 2'!$AO142,0))))*(INDEX(avoidedcosttbl2,$H142,BS$2)+(($H142-ROUNDDOWN($H142,0))*(INDEX(avoidedcosttbl2,ROUNDUP($H142,0),BS$2)-(INDEX(avoidedcosttbl2,ROUNDDOWN($H142,0),BS$2)))))*'Inputs Yr 2'!P142*'Inputs Yr 2'!Q142*'Inputs Yr 2'!U142,"")</f>
        <v/>
      </c>
      <c r="BT142" s="197" t="str">
        <f>IFERROR(($G142*IF('Inputs Yr 2'!$AJ142=BK$4,'Inputs Yr 2'!$AK142,IF('Inputs Yr 2'!$AL142=BK$4,'Inputs Yr 2'!$AM142,IF('Inputs Yr 2'!$AN142=BK$4,'Inputs Yr 2'!$AO142,0))))*(INDEX(avoidedcosttbl2,$H142,BT$2)+(($H142-ROUNDDOWN($H142,0))*(INDEX(avoidedcosttbl2,ROUNDUP($H142,0),BT$2)-(INDEX(avoidedcosttbl2,ROUNDDOWN($H142,0),BT$2)))))*'Inputs Yr 2'!P142*'Inputs Yr 2'!Q142*'Inputs Yr 2'!U142,"")</f>
        <v/>
      </c>
      <c r="BU142" s="197" t="str">
        <f>IFERROR(($G142*IF('Inputs Yr 2'!$AJ142=BL$4,'Inputs Yr 2'!$AK142,IF('Inputs Yr 2'!$AL142=BL$4,'Inputs Yr 2'!$AM142,IF('Inputs Yr 2'!$AN142=BL$4,'Inputs Yr 2'!$AO142,0))))*(INDEX(avoidedcosttbl2,$H142,BU$2)+(($H142-ROUNDDOWN($H142,0))*(INDEX(avoidedcosttbl2,ROUNDUP($H142,0),BU$2)-(INDEX(avoidedcosttbl2,ROUNDDOWN($H142,0),BU$2)))))*'Inputs Yr 2'!P142*'Inputs Yr 2'!Q142*'Inputs Yr 2'!U142,"")</f>
        <v/>
      </c>
      <c r="BV142" s="775" t="str">
        <f>IFERROR(($G142*IF('Inputs Yr 2'!$AJ142=BJ$4,'Inputs Yr 2'!$AK142,IF('Inputs Yr 2'!$AL142=BJ$4,'Inputs Yr 2'!$AM142,IF('Inputs Yr 2'!$AN142=BJ$4,'Inputs Yr 2'!$AO142,0))))*(INDEX(avoidedcosttbl2,$H142,BV$2)+(($H142-ROUNDDOWN($H142,0))*(INDEX(avoidedcosttbl2,ROUNDUP($H142,0),BV$2)-(INDEX(avoidedcosttbl2,ROUNDDOWN($H142,0),BV$2)))))*'Inputs Yr 2'!P142*'Inputs Yr 2'!Q142*'Inputs Yr 2'!U142,"")</f>
        <v/>
      </c>
      <c r="BW142" s="197" t="str">
        <f>IFERROR(($G142*IF('Inputs Yr 2'!$AJ142=BN$4,'Inputs Yr 2'!$AK142,IF('Inputs Yr 2'!$AL142=BN$4,'Inputs Yr 2'!$AM142,IF('Inputs Yr 2'!$AN142=BN$4,'Inputs Yr 2'!$AO142,0))))*(INDEX(avoidedcosttbl2,$H142,BW$2)+(($H142-ROUNDDOWN($H142,0))*(INDEX(avoidedcosttbl2,ROUNDUP($H142,0),BW$2)-(INDEX(avoidedcosttbl2,ROUNDDOWN($H142,0),BW$2)))))*'Inputs Yr 2'!P142*'Inputs Yr 2'!Q142*'Inputs Yr 2'!U142,"")</f>
        <v/>
      </c>
      <c r="BX142" s="197" t="str">
        <f>IFERROR(($G142*IF('Inputs Yr 2'!$AJ142=BO$4,'Inputs Yr 2'!$AK142,IF('Inputs Yr 2'!$AL142=BO$4,'Inputs Yr 2'!$AM142,IF('Inputs Yr 2'!$AN142=BO$4,'Inputs Yr 2'!$AO142,0))))*(INDEX(avoidedcosttbl2,$H142,BX$2)+(($H142-ROUNDDOWN($H142,0))*(INDEX(avoidedcosttbl2,ROUNDUP($H142,0),BX$2)-(INDEX(avoidedcosttbl2,ROUNDDOWN($H142,0),BX$2)))))*'Inputs Yr 2'!P142*'Inputs Yr 2'!Q142*'Inputs Yr 2'!U142,"")</f>
        <v/>
      </c>
      <c r="BY142" s="197" t="str">
        <f>IFERROR(($G142*IF('Inputs Yr 2'!$AJ142=BP$4,'Inputs Yr 2'!$AK142,IF('Inputs Yr 2'!$AL142=BP$4,'Inputs Yr 2'!$AM142,IF('Inputs Yr 2'!$AN142=BP$4,'Inputs Yr 2'!$AO142,0))))*(INDEX(avoidedcosttbl2,$H142,BY$2)+(($H142-ROUNDDOWN($H142,0))*(INDEX(avoidedcosttbl2,ROUNDUP($H142,0),BY$2)-(INDEX(avoidedcosttbl2,ROUNDDOWN($H142,0),BY$2)))))*'Inputs Yr 2'!P142*'Inputs Yr 2'!Q142*'Inputs Yr 2'!U142,"")</f>
        <v/>
      </c>
      <c r="BZ142" s="193">
        <f t="shared" si="99"/>
        <v>0</v>
      </c>
      <c r="CA142" s="193">
        <f t="shared" si="100"/>
        <v>0</v>
      </c>
      <c r="CB142" s="195" t="str">
        <f>IFERROR(G142*(IF('Inputs Yr 2'!$AJ142=CB$4,'Inputs Yr 2'!$AK142,IF('Inputs Yr 2'!$AL142=CB$4,'Inputs Yr 2'!$AM142,IF('Inputs Yr 2'!$AN142=CB$4,'Inputs Yr 2'!$AO142,0))))*(INDEX(avoidedcosttbl2,$H142,CB$2)+(($H142-ROUNDDOWN($H142,0))*(INDEX(avoidedcosttbl2,ROUNDUP($H142,0),CB$2)-(INDEX(avoidedcosttbl2,ROUNDDOWN($H142,0),CB$2)))))*'Inputs Yr 2'!P142*'Inputs Yr 2'!Q142*'Inputs Yr 2'!U142,"")</f>
        <v/>
      </c>
      <c r="CC142" s="195" t="str">
        <f>IFERROR(H142*(IF('Inputs Yr 2'!$AJ142=CC$4,'Inputs Yr 2'!$AK142,IF('Inputs Yr 2'!$AL142=CC$4,'Inputs Yr 2'!$AM142,IF('Inputs Yr 2'!$AN142=CC$4,'Inputs Yr 2'!$AO142,0))))*(INDEX(avoidedcosttbl2,$H142,CC$2)+(($H142-ROUNDDOWN($H142,0))*(INDEX(avoidedcosttbl2,ROUNDUP($H142,0),CC$2)-(INDEX(avoidedcosttbl2,ROUNDDOWN($H142,0),CC$2)))))*'Inputs Yr 2'!Q142*'Inputs Yr 2'!R142*'Inputs Yr 2'!V142,"")</f>
        <v/>
      </c>
      <c r="CD142" s="195" t="str">
        <f>IFERROR(I142*(IF('Inputs Yr 2'!$AJ142=CD$4,'Inputs Yr 2'!$AK142,IF('Inputs Yr 2'!$AL142=CD$4,'Inputs Yr 2'!$AM142,IF('Inputs Yr 2'!$AN142=CD$4,'Inputs Yr 2'!$AO142,0))))*(INDEX(avoidedcosttbl2,$H142,CD$2)+(($H142-ROUNDDOWN($H142,0))*(INDEX(avoidedcosttbl2,ROUNDUP($H142,0),CD$2)-(INDEX(avoidedcosttbl2,ROUNDDOWN($H142,0),CD$2)))))*'Inputs Yr 2'!R142*'Inputs Yr 2'!S142*'Inputs Yr 2'!W142,"")</f>
        <v/>
      </c>
      <c r="CE142" s="213" t="str">
        <f t="shared" si="101"/>
        <v/>
      </c>
      <c r="CF142" s="213" t="str">
        <f t="shared" si="102"/>
        <v/>
      </c>
      <c r="CG142" s="213" t="str">
        <f t="shared" si="103"/>
        <v/>
      </c>
      <c r="CH142" s="698">
        <f t="shared" si="104"/>
        <v>0</v>
      </c>
      <c r="CI142" s="79" t="str">
        <f>IFERROR(($G142*'Inputs Yr 2'!$P142*'Inputs Yr 2'!$Q142*(((INDEX(avoidedcosttbl2,$H142,CI$2)+(($H142-ROUNDDOWN($H142,0))*(INDEX(avoidedcosttbl2,ROUNDUP($H142,0),CI$2)-INDEX(avoidedcosttbl2,ROUNDDOWN($H142,0),CI$2))))*'Inputs Yr 2'!AS142))),"")</f>
        <v/>
      </c>
      <c r="CJ142" s="504" t="str">
        <f>IFERROR($G142*'Inputs Yr 2'!AT142*'Inputs Yr 2'!$P142*'Inputs Yr 2'!$Q142/((1+realdiscrt1)^-0.5),"")</f>
        <v/>
      </c>
      <c r="CK142" s="79" t="str">
        <f>IFERROR((O142*1000*(((INDEX(avoidedcosttbl2,$H142,CK$2)+(($H142-ROUNDDOWN($H142,0))*(INDEX(avoidedcosttbl2,ROUNDUP($H142,0),CK$2)-INDEX(avoidedcosttbl2,ROUNDDOWN($H142,0),CK$2))))*'Inputs Yr 2'!AU142))),"")</f>
        <v/>
      </c>
      <c r="CL142" s="504" t="str">
        <f>IFERROR(O142*1000*'Inputs Yr 2'!AV142/((1+realdiscrt1)^-0.5),"")</f>
        <v/>
      </c>
      <c r="CM142" s="79" t="str">
        <f>IFERROR((AB142*'Inputs Yr 2'!AW142*(((INDEX(avoidedcosttbl2,$H142,CM$2)+(($H142-ROUNDDOWN($H142,0))*(INDEX(avoidedcosttbl2,ROUNDUP($H142,0),CM$2)-INDEX(avoidedcosttbl2,ROUNDDOWN($H142,0),CM$2)))))))*10,"")</f>
        <v/>
      </c>
      <c r="CN142" s="504">
        <f>IFERROR(10*AB142*'Inputs Yr 2'!AX142/((1+realdiscrt1)^-0.5),"")</f>
        <v>0</v>
      </c>
      <c r="CO142" s="505">
        <f t="shared" si="105"/>
        <v>0</v>
      </c>
      <c r="CP142" s="230">
        <f t="shared" si="106"/>
        <v>0</v>
      </c>
      <c r="CQ142" s="199">
        <f>ROUND(IFERROR(IF(LEFT($A142,1)="C",'Avoided Costs'!$K$13,'Avoided Costs'!$K$12)+1,""),4)</f>
        <v>1.0720000000000001</v>
      </c>
      <c r="CR142" s="199">
        <f>ROUND(IFERROR(IF(LEFT($A142,1)="C",'Avoided Costs'!$L$13,'Avoided Costs'!$L$12)+1,""),4)</f>
        <v>1.04</v>
      </c>
      <c r="CS142" s="199">
        <f>ROUND(IFERROR(IF(LEFT($A142,1)="C",'Avoided Costs'!$M$13,'Avoided Costs'!$M$12)+1,""),4)</f>
        <v>1.0720000000000001</v>
      </c>
      <c r="CT142" s="199">
        <f>ROUND(IFERROR(IF(LEFT($A142,1)="C",'Avoided Costs'!$N$13,'Avoided Costs'!$N$12)+1,""),4)</f>
        <v>1.04</v>
      </c>
      <c r="CU142" s="199">
        <f>ROUND(IFERROR(IF(LEFT($A142,1)="C",'Avoided Costs'!$O$13,'Avoided Costs'!$O$12)+1,""),4)</f>
        <v>1.1120000000000001</v>
      </c>
      <c r="CV142" s="199">
        <f>ROUND(IFERROR(IF(LEFT($A142,1)="C",'Avoided Costs'!$P$13,'Avoided Costs'!$P$12)+1,""),4)</f>
        <v>1.095</v>
      </c>
      <c r="CW142" s="199">
        <f>ROUND(IFERROR(IF(LEFT($A142,1)="C",'Avoided Costs'!$Q$13,'Avoided Costs'!$Q$12)+1,""),4)</f>
        <v>1.1120000000000001</v>
      </c>
      <c r="CX142" s="200">
        <f>ROUND(IFERROR(IF(LEFT($A142,1)="C",'Avoided Costs'!$R$13,'Avoided Costs'!$R$12)+1,""),4)</f>
        <v>1.1120000000000001</v>
      </c>
    </row>
    <row r="143" spans="1:102" ht="12.75" customHeight="1">
      <c r="A143" s="91" t="str">
        <f>IF('Inputs Yr 2'!$B143=0,"",'Inputs Yr 2'!A143)</f>
        <v>B - Low Income</v>
      </c>
      <c r="B143" s="91" t="str">
        <f>IF('Inputs Yr 2'!$B143=0,"",'Inputs Yr 2'!B143)</f>
        <v>B1 - Low-Income Whole House</v>
      </c>
      <c r="C143" s="91" t="str">
        <f>IF('Inputs Yr 2'!$B143=0,"",'Inputs Yr 2'!C143)</f>
        <v>B1b - Low-Income Multi-Family Retrofit</v>
      </c>
      <c r="D143" s="91" t="str">
        <f>IF('Inputs Yr 2'!$B143=0,"",'Inputs Yr 2'!E143)</f>
        <v>Repairs</v>
      </c>
      <c r="E143" s="93">
        <f>IF('Inputs Yr 2'!$B143=0,"",'Inputs Yr 2'!F143)</f>
        <v>0</v>
      </c>
      <c r="F143" s="93">
        <f>IF('Inputs Yr 2'!$B143=0,"",'Inputs Yr 2'!G143)</f>
        <v>0</v>
      </c>
      <c r="G143" s="95" t="str">
        <f>IF('Inputs Yr 2'!$H143&lt;&gt;0,('Inputs Yr 2'!H143),"")</f>
        <v/>
      </c>
      <c r="H143" s="94">
        <f>IFERROR('Inputs Yr 2'!I143,"")</f>
        <v>0</v>
      </c>
      <c r="I143" s="298" t="str">
        <f>IFERROR('Inputs Yr 2'!J143*'Inputs Yr 2'!P143*G143,"")</f>
        <v/>
      </c>
      <c r="J143" s="298" t="str">
        <f>IFERROR('Inputs Yr 2'!K143*G143,"")</f>
        <v/>
      </c>
      <c r="K143" s="298" t="str">
        <f t="shared" si="83"/>
        <v/>
      </c>
      <c r="L143" s="194" t="str">
        <f>IFERROR(('Inputs Yr 2'!W143*G143)/1000,"")</f>
        <v/>
      </c>
      <c r="M143" s="194" t="str">
        <f>IFERROR(L143*('Inputs Yr 2'!$Q143*'Inputs Yr 2'!$V143*'Inputs Yr 2'!$R143),"")</f>
        <v/>
      </c>
      <c r="N143" s="194" t="str">
        <f t="shared" si="84"/>
        <v/>
      </c>
      <c r="O143" s="194" t="str">
        <f>IFERROR(M143*'Inputs Yr 2'!P143,"")</f>
        <v/>
      </c>
      <c r="P143" s="194" t="str">
        <f t="shared" si="85"/>
        <v/>
      </c>
      <c r="Q143" s="194" t="str">
        <f>IFERROR($P143*'Inputs Yr 2'!AA143,"")</f>
        <v/>
      </c>
      <c r="R143" s="194" t="str">
        <f>IFERROR($P143*'Inputs Yr 2'!AB143,"")</f>
        <v/>
      </c>
      <c r="S143" s="194" t="str">
        <f>IFERROR($P143*'Inputs Yr 2'!AC143,"")</f>
        <v/>
      </c>
      <c r="T143" s="194" t="str">
        <f>IFERROR($P143*'Inputs Yr 2'!AD143,"")</f>
        <v/>
      </c>
      <c r="U143" s="194" t="str">
        <f>IFERROR(G143*'Inputs Yr 2'!$AE143*'Inputs Yr 2'!$P143*'Inputs Yr 2'!$Q143,"")</f>
        <v/>
      </c>
      <c r="V143" s="194" t="str">
        <f>IFERROR($G143*'Inputs Yr 2'!$AE143*'Inputs Yr 2'!$AG143*'Inputs Yr 2'!Q143*'Inputs Yr 2'!$S143,"")</f>
        <v/>
      </c>
      <c r="W143" s="194" t="str">
        <f>IFERROR($G143*'Inputs Yr 2'!$AE143*'Inputs Yr 2'!$AG143*'Inputs Yr 2'!P143*'Inputs Yr 2'!Q143*'Inputs Yr 2'!$S143,"")</f>
        <v/>
      </c>
      <c r="X143" s="194" t="str">
        <f>IFERROR($G143*'Inputs Yr 2'!$AE143*'Inputs Yr 2'!$AF143*'Inputs Yr 2'!Q143*'Inputs Yr 2'!$T143,"")</f>
        <v/>
      </c>
      <c r="Y143" s="194" t="str">
        <f>IFERROR($G143*'Inputs Yr 2'!$AE143*'Inputs Yr 2'!$AF143*'Inputs Yr 2'!P143*'Inputs Yr 2'!Q143*'Inputs Yr 2'!$T143,"")</f>
        <v/>
      </c>
      <c r="Z143" s="257">
        <f>IFERROR($G143*'Inputs Yr 2'!$Q143*'Inputs Yr 2'!$U143*(IF(IFERROR(SEARCH("NG", 'Inputs Yr 2'!$AJ143),0),'Inputs Yr 2'!$AK143,0)+IF(IFERROR(SEARCH("NG", 'Inputs Yr 2'!$AL143),0),'Inputs Yr 2'!$AM143,0)+IF(IFERROR(SEARCH("NG", 'Inputs Yr 2'!$AN143),0),'Inputs Yr 2'!$AO143,0)),0)</f>
        <v>0</v>
      </c>
      <c r="AA143" s="257">
        <f t="shared" si="86"/>
        <v>0</v>
      </c>
      <c r="AB143" s="257">
        <f>IFERROR(Z143*'Inputs Yr 2'!$P143,0)</f>
        <v>0</v>
      </c>
      <c r="AC143" s="257">
        <f t="shared" si="87"/>
        <v>0</v>
      </c>
      <c r="AD143" s="257">
        <f>IFERROR($G143*'Inputs Yr 2'!$Q143*'Inputs Yr 2'!$U143*(IF(IFERROR(SEARCH("Oil", 'Inputs Yr 2'!$AJ143), 0),'Inputs Yr 2'!$AK143,0)+IF(IFERROR(SEARCH("Oil", 'Inputs Yr 2'!$AL143), 0),'Inputs Yr 2'!$AM143,0)+IF(IFERROR(SEARCH("Oil", 'Inputs Yr 2'!$AN143), 0),'Inputs Yr 2'!$AO143,0)),0)</f>
        <v>0</v>
      </c>
      <c r="AE143" s="257">
        <f t="shared" si="88"/>
        <v>0</v>
      </c>
      <c r="AF143" s="257">
        <f>IFERROR(AD143*'Inputs Yr 2'!$P143,0)</f>
        <v>0</v>
      </c>
      <c r="AG143" s="257">
        <f t="shared" si="89"/>
        <v>0</v>
      </c>
      <c r="AH143" s="257">
        <f>IFERROR($G143*'Inputs Yr 2'!$Q143*'Inputs Yr 2'!$U143*(IF('Inputs Yr 2'!$AJ143=CD$4,'Inputs Yr 2'!$AK143,IF('Inputs Yr 2'!$AL143=CD$4,'Inputs Yr 2'!$AM143,IF('Inputs Yr 2'!$AN143=CD$4,'Inputs Yr 2'!$AO143,0)))),0)</f>
        <v>0</v>
      </c>
      <c r="AI143" s="257">
        <f t="shared" si="90"/>
        <v>0</v>
      </c>
      <c r="AJ143" s="257">
        <f>IFERROR(AH143*'Inputs Yr 2'!$P143,0)</f>
        <v>0</v>
      </c>
      <c r="AK143" s="257">
        <f t="shared" si="91"/>
        <v>0</v>
      </c>
      <c r="AL143" s="258">
        <f>IFERROR($G143*'Inputs Yr 2'!$P143*'Inputs Yr 2'!$Q143*'Inputs Yr 2'!AP143,0)</f>
        <v>0</v>
      </c>
      <c r="AM143" s="260">
        <f>IFERROR($G143*'Inputs Yr 2'!$P143*'Inputs Yr 2'!$Q143*'Inputs Yr 2'!AQ143,0)</f>
        <v>0</v>
      </c>
      <c r="AN143" s="258">
        <f>IFERROR($G143*'Inputs Yr 2'!$P143*'Inputs Yr 2'!$Q143*'Inputs Yr 2'!AR143,0)</f>
        <v>0</v>
      </c>
      <c r="AO143" s="257">
        <f t="shared" si="92"/>
        <v>0</v>
      </c>
      <c r="AP143" s="195" t="str">
        <f>IFERROR($CQ143*(INDEX(avoidedcosttbl2,$H143,AP$2)+(($H143-ROUNDDOWN($H143,0))*(INDEX(avoidedcosttbl2,ROUNDUP($H143,0),AP$2)-(INDEX(avoidedcosttbl2,ROUNDDOWN($H143,0),AP$2)))))*$O143*1000*'Inputs Yr 2'!AA143,"")</f>
        <v/>
      </c>
      <c r="AQ143" s="195" t="str">
        <f>IFERROR($CR143*(INDEX(avoidedcosttbl2,$H143,AQ$2)+(($H143-ROUNDDOWN($H143,0))*(INDEX(avoidedcosttbl2,ROUNDUP($H143,0),AQ$2)-(INDEX(avoidedcosttbl2,ROUNDDOWN($H143,0),AQ$2)))))*$O143*1000*'Inputs Yr 2'!AB143,"")</f>
        <v/>
      </c>
      <c r="AR143" s="195" t="str">
        <f>IFERROR($CS143*(INDEX(avoidedcosttbl2,$H143,AR$2)+(($H143-ROUNDDOWN($H143,0))*(INDEX(avoidedcosttbl2,ROUNDUP($H143,0),AR$2)-(INDEX(avoidedcosttbl2,ROUNDDOWN($H143,0),AR$2)))))*$O143*1000*'Inputs Yr 2'!AC143,"")</f>
        <v/>
      </c>
      <c r="AS143" s="195" t="str">
        <f>IFERROR($CT143*(INDEX(avoidedcosttbl2,$H143,AS$2)+(($H143-ROUNDDOWN($H143,0))*(INDEX(avoidedcosttbl2,ROUNDUP($H143,0),AS$2)-(INDEX(avoidedcosttbl2,ROUNDDOWN($H143,0),AS$2)))))*$O143*1000*'Inputs Yr 2'!AD143,"")</f>
        <v/>
      </c>
      <c r="AT143" s="196">
        <f t="shared" si="93"/>
        <v>0</v>
      </c>
      <c r="AU143" s="197" t="str">
        <f>IFERROR($CQ143*((INDEX(avoidedcosttbl2,$H143,AU$2))+(($H143-ROUNDDOWN($H143,0))*((INDEX(avoidedcosttbl2,ROUNDUP($H143,0),AU$2))-(INDEX(avoidedcosttbl2,ROUNDDOWN($H143,0),AU$2)))))*$O143*1000*'Inputs Yr 2'!AA143,"")</f>
        <v/>
      </c>
      <c r="AV143" s="197" t="str">
        <f>IFERROR($CR143*((INDEX(avoidedcosttbl2,$H143,AV$2))+(($H143-ROUNDDOWN($H143,0))*((INDEX(avoidedcosttbl2,ROUNDUP($H143,0),AV$2))-(INDEX(avoidedcosttbl2,ROUNDDOWN($H143,0),AV$2)))))*$O143*1000*'Inputs Yr 2'!AB143,"")</f>
        <v/>
      </c>
      <c r="AW143" s="197" t="str">
        <f>IFERROR($CS143*((INDEX(avoidedcosttbl2,$H143,AW$2))+(($H143-ROUNDDOWN($H143,0))*((INDEX(avoidedcosttbl2,ROUNDUP($H143,0),AW$2))-(INDEX(avoidedcosttbl2,ROUNDDOWN($H143,0),AW$2)))))*$O143*1000*'Inputs Yr 2'!AC143,"")</f>
        <v/>
      </c>
      <c r="AX143" s="197" t="str">
        <f>IFERROR($CT143*((INDEX(avoidedcosttbl2,$H143,AX$2))+(($H143-ROUNDDOWN($H143,0))*((INDEX(avoidedcosttbl2,ROUNDUP($H143,0),AX$2))-(INDEX(avoidedcosttbl2,ROUNDDOWN($H143,0),AX$2)))))*$O143*1000*'Inputs Yr 2'!AD143,"")</f>
        <v/>
      </c>
      <c r="AY143" s="197" t="str">
        <f>IFERROR(((INDEX(avoidedcosttbl2,$H143,AY$2))+(($H143-ROUNDDOWN($H143,0))*((INDEX(avoidedcosttbl2,ROUNDUP($H143,0),AY$2))-(INDEX(avoidedcosttbl2,ROUNDDOWN($H143,0),AY$2)))))*$O143*1000*('Inputs Yr 2'!AC143+'Inputs Yr 2'!AD143),"")</f>
        <v/>
      </c>
      <c r="AZ143" s="197" t="str">
        <f>IFERROR(((INDEX(avoidedcosttbl2,$H143,AZ$2))+(($H143-ROUNDDOWN($H143,0))*((INDEX(avoidedcosttbl2,ROUNDUP($H143,0),AZ$2))-(INDEX(avoidedcosttbl2,ROUNDDOWN($H143,0),AZ$2)))))*$O143*1000*('Inputs Yr 2'!AA143+'Inputs Yr 2'!AB143),"")</f>
        <v/>
      </c>
      <c r="BA143" s="198">
        <f t="shared" si="94"/>
        <v>0</v>
      </c>
      <c r="BB143" s="198">
        <f t="shared" si="95"/>
        <v>0</v>
      </c>
      <c r="BC143" s="195" t="str">
        <f t="shared" si="77"/>
        <v/>
      </c>
      <c r="BD143" s="195" t="str">
        <f t="shared" si="78"/>
        <v/>
      </c>
      <c r="BE143" s="195" t="str">
        <f t="shared" si="79"/>
        <v/>
      </c>
      <c r="BF143" s="195" t="str">
        <f t="shared" si="80"/>
        <v/>
      </c>
      <c r="BG143" s="195" t="str">
        <f t="shared" si="81"/>
        <v/>
      </c>
      <c r="BH143" s="196">
        <f t="shared" si="96"/>
        <v>0</v>
      </c>
      <c r="BI143" s="196">
        <f t="shared" si="97"/>
        <v>0</v>
      </c>
      <c r="BJ143" s="195" t="str">
        <f>IFERROR($G143*(IF('Inputs Yr 2'!$AJ143=BJ$4,'Inputs Yr 2'!$AK143,IF('Inputs Yr 2'!$AL143=BJ$4,'Inputs Yr 2'!$AM143,IF('Inputs Yr 2'!$AN143=BJ$4,'Inputs Yr 2'!$AO143,0))))*(INDEX(avoidedcosttbl2,$H143,BJ$2)+(($H143-ROUNDDOWN($H143,0))*(INDEX(avoidedcosttbl2,ROUNDUP($H143,0),BJ$2)-(INDEX(avoidedcosttbl2,ROUNDDOWN($H143,0),BJ$2)))))*'Inputs Yr 2'!P143*'Inputs Yr 2'!Q143*'Inputs Yr 2'!U143,"")</f>
        <v/>
      </c>
      <c r="BK143" s="195" t="str">
        <f>IFERROR($G143*(IF('Inputs Yr 2'!$AJ143=BK$4,'Inputs Yr 2'!$AK143,IF('Inputs Yr 2'!$AL143=BK$4,'Inputs Yr 2'!$AM143,IF('Inputs Yr 2'!$AN143=BK$4,'Inputs Yr 2'!$AO143,0))))*(INDEX(avoidedcosttbl2,$H143,BK$2)+(($H143-ROUNDDOWN($H143,0))*(INDEX(avoidedcosttbl2,ROUNDUP($H143,0),BK$2)-(INDEX(avoidedcosttbl2,ROUNDDOWN($H143,0),BK$2)))))*'Inputs Yr 2'!P143*'Inputs Yr 2'!Q143*'Inputs Yr 2'!U143,"")</f>
        <v/>
      </c>
      <c r="BL143" s="195" t="str">
        <f>IFERROR($G143*(IF('Inputs Yr 2'!$AJ143=BL$4,'Inputs Yr 2'!$AK143,IF('Inputs Yr 2'!$AL143=BL$4,'Inputs Yr 2'!$AM143,IF('Inputs Yr 2'!$AN143=BL$4,'Inputs Yr 2'!$AO143,0))))*(INDEX(avoidedcosttbl2,$H143,BL$2)+(($H143-ROUNDDOWN($H143,0))*(INDEX(avoidedcosttbl2,ROUNDUP($H143,0),BL$2)-(INDEX(avoidedcosttbl2,ROUNDDOWN($H143,0),BL$2)))))*'Inputs Yr 2'!P143*'Inputs Yr 2'!Q143*'Inputs Yr 2'!U143,"")</f>
        <v/>
      </c>
      <c r="BM143" s="195" t="str">
        <f>IFERROR($G143*(IF('Inputs Yr 2'!$AJ143=BM$4,'Inputs Yr 2'!$AK143,IF('Inputs Yr 2'!$AL143=BM$4,'Inputs Yr 2'!$AM143,IF('Inputs Yr 2'!$AN143=BM$4,'Inputs Yr 2'!$AO143,0))))*(INDEX(avoidedcosttbl2,$H143,BM$2)+(($H143-ROUNDDOWN($H143,0))*(INDEX(avoidedcosttbl2,ROUNDUP($H143,0),BM$2)-(INDEX(avoidedcosttbl2,ROUNDDOWN($H143,0),BM$2)))))*'Inputs Yr 2'!P143*'Inputs Yr 2'!Q143*'Inputs Yr 2'!U143,"")</f>
        <v/>
      </c>
      <c r="BN143" s="195" t="str">
        <f>IFERROR($G143*(IF('Inputs Yr 2'!$AJ143=BN$4,'Inputs Yr 2'!$AK143,IF('Inputs Yr 2'!$AL143=BN$4,'Inputs Yr 2'!$AM143,IF('Inputs Yr 2'!$AN143=BN$4,'Inputs Yr 2'!$AO143,0))))*(INDEX(avoidedcosttbl2,$H143,BN$2)+(($H143-ROUNDDOWN($H143,0))*(INDEX(avoidedcosttbl2,ROUNDUP($H143,0),BN$2)-(INDEX(avoidedcosttbl2,ROUNDDOWN($H143,0),BN$2)))))*'Inputs Yr 2'!P143*'Inputs Yr 2'!Q143*'Inputs Yr 2'!U143,"")</f>
        <v/>
      </c>
      <c r="BO143" s="195" t="str">
        <f>IFERROR($G143*(IF('Inputs Yr 2'!$AJ143=BO$4,'Inputs Yr 2'!$AK143,IF('Inputs Yr 2'!$AL143=BO$4,'Inputs Yr 2'!$AM143,IF('Inputs Yr 2'!$AN143=BO$4,'Inputs Yr 2'!$AO143,0))))*(INDEX(avoidedcosttbl2,$H143,BO$2)+(($H143-ROUNDDOWN($H143,0))*(INDEX(avoidedcosttbl2,ROUNDUP($H143,0),BO$2)-(INDEX(avoidedcosttbl2,ROUNDDOWN($H143,0),BO$2)))))*'Inputs Yr 2'!P143*'Inputs Yr 2'!Q143*'Inputs Yr 2'!U143,"")</f>
        <v/>
      </c>
      <c r="BP143" s="195" t="str">
        <f>IFERROR($G143*(IF('Inputs Yr 2'!$AJ143=BP$4,'Inputs Yr 2'!$AK143,IF('Inputs Yr 2'!$AL143=BP$4,'Inputs Yr 2'!$AM143,IF('Inputs Yr 2'!$AN143=BP$4,'Inputs Yr 2'!$AO143,0))))*(INDEX(avoidedcosttbl2,$H143,BP$2)+(($H143-ROUNDDOWN($H143,0))*(INDEX(avoidedcosttbl2,ROUNDUP($H143,0),BP$2)-(INDEX(avoidedcosttbl2,ROUNDDOWN($H143,0),BP$2)))))*'Inputs Yr 2'!P143*'Inputs Yr 2'!Q143*'Inputs Yr 2'!U143,"")</f>
        <v/>
      </c>
      <c r="BQ143" s="230">
        <f t="shared" si="98"/>
        <v>0</v>
      </c>
      <c r="BR143" s="197" t="str">
        <f t="shared" si="82"/>
        <v/>
      </c>
      <c r="BS143" s="197" t="str">
        <f>IFERROR(($G143*IF('Inputs Yr 2'!$AJ143=BM$4,'Inputs Yr 2'!$AK143,IF('Inputs Yr 2'!$AL143=BM$4,'Inputs Yr 2'!$AM143,IF('Inputs Yr 2'!$AN143=BM$4,'Inputs Yr 2'!$AO143,0))))*(INDEX(avoidedcosttbl2,$H143,BS$2)+(($H143-ROUNDDOWN($H143,0))*(INDEX(avoidedcosttbl2,ROUNDUP($H143,0),BS$2)-(INDEX(avoidedcosttbl2,ROUNDDOWN($H143,0),BS$2)))))*'Inputs Yr 2'!P143*'Inputs Yr 2'!Q143*'Inputs Yr 2'!U143,"")</f>
        <v/>
      </c>
      <c r="BT143" s="197" t="str">
        <f>IFERROR(($G143*IF('Inputs Yr 2'!$AJ143=BK$4,'Inputs Yr 2'!$AK143,IF('Inputs Yr 2'!$AL143=BK$4,'Inputs Yr 2'!$AM143,IF('Inputs Yr 2'!$AN143=BK$4,'Inputs Yr 2'!$AO143,0))))*(INDEX(avoidedcosttbl2,$H143,BT$2)+(($H143-ROUNDDOWN($H143,0))*(INDEX(avoidedcosttbl2,ROUNDUP($H143,0),BT$2)-(INDEX(avoidedcosttbl2,ROUNDDOWN($H143,0),BT$2)))))*'Inputs Yr 2'!P143*'Inputs Yr 2'!Q143*'Inputs Yr 2'!U143,"")</f>
        <v/>
      </c>
      <c r="BU143" s="197" t="str">
        <f>IFERROR(($G143*IF('Inputs Yr 2'!$AJ143=BL$4,'Inputs Yr 2'!$AK143,IF('Inputs Yr 2'!$AL143=BL$4,'Inputs Yr 2'!$AM143,IF('Inputs Yr 2'!$AN143=BL$4,'Inputs Yr 2'!$AO143,0))))*(INDEX(avoidedcosttbl2,$H143,BU$2)+(($H143-ROUNDDOWN($H143,0))*(INDEX(avoidedcosttbl2,ROUNDUP($H143,0),BU$2)-(INDEX(avoidedcosttbl2,ROUNDDOWN($H143,0),BU$2)))))*'Inputs Yr 2'!P143*'Inputs Yr 2'!Q143*'Inputs Yr 2'!U143,"")</f>
        <v/>
      </c>
      <c r="BV143" s="775" t="str">
        <f>IFERROR(($G143*IF('Inputs Yr 2'!$AJ143=BJ$4,'Inputs Yr 2'!$AK143,IF('Inputs Yr 2'!$AL143=BJ$4,'Inputs Yr 2'!$AM143,IF('Inputs Yr 2'!$AN143=BJ$4,'Inputs Yr 2'!$AO143,0))))*(INDEX(avoidedcosttbl2,$H143,BV$2)+(($H143-ROUNDDOWN($H143,0))*(INDEX(avoidedcosttbl2,ROUNDUP($H143,0),BV$2)-(INDEX(avoidedcosttbl2,ROUNDDOWN($H143,0),BV$2)))))*'Inputs Yr 2'!P143*'Inputs Yr 2'!Q143*'Inputs Yr 2'!U143,"")</f>
        <v/>
      </c>
      <c r="BW143" s="197" t="str">
        <f>IFERROR(($G143*IF('Inputs Yr 2'!$AJ143=BN$4,'Inputs Yr 2'!$AK143,IF('Inputs Yr 2'!$AL143=BN$4,'Inputs Yr 2'!$AM143,IF('Inputs Yr 2'!$AN143=BN$4,'Inputs Yr 2'!$AO143,0))))*(INDEX(avoidedcosttbl2,$H143,BW$2)+(($H143-ROUNDDOWN($H143,0))*(INDEX(avoidedcosttbl2,ROUNDUP($H143,0),BW$2)-(INDEX(avoidedcosttbl2,ROUNDDOWN($H143,0),BW$2)))))*'Inputs Yr 2'!P143*'Inputs Yr 2'!Q143*'Inputs Yr 2'!U143,"")</f>
        <v/>
      </c>
      <c r="BX143" s="197" t="str">
        <f>IFERROR(($G143*IF('Inputs Yr 2'!$AJ143=BO$4,'Inputs Yr 2'!$AK143,IF('Inputs Yr 2'!$AL143=BO$4,'Inputs Yr 2'!$AM143,IF('Inputs Yr 2'!$AN143=BO$4,'Inputs Yr 2'!$AO143,0))))*(INDEX(avoidedcosttbl2,$H143,BX$2)+(($H143-ROUNDDOWN($H143,0))*(INDEX(avoidedcosttbl2,ROUNDUP($H143,0),BX$2)-(INDEX(avoidedcosttbl2,ROUNDDOWN($H143,0),BX$2)))))*'Inputs Yr 2'!P143*'Inputs Yr 2'!Q143*'Inputs Yr 2'!U143,"")</f>
        <v/>
      </c>
      <c r="BY143" s="197" t="str">
        <f>IFERROR(($G143*IF('Inputs Yr 2'!$AJ143=BP$4,'Inputs Yr 2'!$AK143,IF('Inputs Yr 2'!$AL143=BP$4,'Inputs Yr 2'!$AM143,IF('Inputs Yr 2'!$AN143=BP$4,'Inputs Yr 2'!$AO143,0))))*(INDEX(avoidedcosttbl2,$H143,BY$2)+(($H143-ROUNDDOWN($H143,0))*(INDEX(avoidedcosttbl2,ROUNDUP($H143,0),BY$2)-(INDEX(avoidedcosttbl2,ROUNDDOWN($H143,0),BY$2)))))*'Inputs Yr 2'!P143*'Inputs Yr 2'!Q143*'Inputs Yr 2'!U143,"")</f>
        <v/>
      </c>
      <c r="BZ143" s="193">
        <f t="shared" si="99"/>
        <v>0</v>
      </c>
      <c r="CA143" s="193">
        <f t="shared" si="100"/>
        <v>0</v>
      </c>
      <c r="CB143" s="195" t="str">
        <f>IFERROR(G143*(IF('Inputs Yr 2'!$AJ143=CB$4,'Inputs Yr 2'!$AK143,IF('Inputs Yr 2'!$AL143=CB$4,'Inputs Yr 2'!$AM143,IF('Inputs Yr 2'!$AN143=CB$4,'Inputs Yr 2'!$AO143,0))))*(INDEX(avoidedcosttbl2,$H143,CB$2)+(($H143-ROUNDDOWN($H143,0))*(INDEX(avoidedcosttbl2,ROUNDUP($H143,0),CB$2)-(INDEX(avoidedcosttbl2,ROUNDDOWN($H143,0),CB$2)))))*'Inputs Yr 2'!P143*'Inputs Yr 2'!Q143*'Inputs Yr 2'!U143,"")</f>
        <v/>
      </c>
      <c r="CC143" s="195" t="str">
        <f>IFERROR(H143*(IF('Inputs Yr 2'!$AJ143=CC$4,'Inputs Yr 2'!$AK143,IF('Inputs Yr 2'!$AL143=CC$4,'Inputs Yr 2'!$AM143,IF('Inputs Yr 2'!$AN143=CC$4,'Inputs Yr 2'!$AO143,0))))*(INDEX(avoidedcosttbl2,$H143,CC$2)+(($H143-ROUNDDOWN($H143,0))*(INDEX(avoidedcosttbl2,ROUNDUP($H143,0),CC$2)-(INDEX(avoidedcosttbl2,ROUNDDOWN($H143,0),CC$2)))))*'Inputs Yr 2'!Q143*'Inputs Yr 2'!R143*'Inputs Yr 2'!V143,"")</f>
        <v/>
      </c>
      <c r="CD143" s="195" t="str">
        <f>IFERROR(I143*(IF('Inputs Yr 2'!$AJ143=CD$4,'Inputs Yr 2'!$AK143,IF('Inputs Yr 2'!$AL143=CD$4,'Inputs Yr 2'!$AM143,IF('Inputs Yr 2'!$AN143=CD$4,'Inputs Yr 2'!$AO143,0))))*(INDEX(avoidedcosttbl2,$H143,CD$2)+(($H143-ROUNDDOWN($H143,0))*(INDEX(avoidedcosttbl2,ROUNDUP($H143,0),CD$2)-(INDEX(avoidedcosttbl2,ROUNDDOWN($H143,0),CD$2)))))*'Inputs Yr 2'!R143*'Inputs Yr 2'!S143*'Inputs Yr 2'!W143,"")</f>
        <v/>
      </c>
      <c r="CE143" s="213" t="str">
        <f t="shared" si="101"/>
        <v/>
      </c>
      <c r="CF143" s="213" t="str">
        <f t="shared" si="102"/>
        <v/>
      </c>
      <c r="CG143" s="213" t="str">
        <f t="shared" si="103"/>
        <v/>
      </c>
      <c r="CH143" s="698">
        <f t="shared" si="104"/>
        <v>0</v>
      </c>
      <c r="CI143" s="79" t="str">
        <f>IFERROR(($G143*'Inputs Yr 2'!$P143*'Inputs Yr 2'!$Q143*(((INDEX(avoidedcosttbl2,$H143,CI$2)+(($H143-ROUNDDOWN($H143,0))*(INDEX(avoidedcosttbl2,ROUNDUP($H143,0),CI$2)-INDEX(avoidedcosttbl2,ROUNDDOWN($H143,0),CI$2))))*'Inputs Yr 2'!AS143))),"")</f>
        <v/>
      </c>
      <c r="CJ143" s="504" t="str">
        <f>IFERROR($G143*'Inputs Yr 2'!AT143*'Inputs Yr 2'!$P143*'Inputs Yr 2'!$Q143/((1+realdiscrt1)^-0.5),"")</f>
        <v/>
      </c>
      <c r="CK143" s="79" t="str">
        <f>IFERROR((O143*1000*(((INDEX(avoidedcosttbl2,$H143,CK$2)+(($H143-ROUNDDOWN($H143,0))*(INDEX(avoidedcosttbl2,ROUNDUP($H143,0),CK$2)-INDEX(avoidedcosttbl2,ROUNDDOWN($H143,0),CK$2))))*'Inputs Yr 2'!AU143))),"")</f>
        <v/>
      </c>
      <c r="CL143" s="504" t="str">
        <f>IFERROR(O143*1000*'Inputs Yr 2'!AV143/((1+realdiscrt1)^-0.5),"")</f>
        <v/>
      </c>
      <c r="CM143" s="79" t="str">
        <f>IFERROR((AB143*'Inputs Yr 2'!AW143*(((INDEX(avoidedcosttbl2,$H143,CM$2)+(($H143-ROUNDDOWN($H143,0))*(INDEX(avoidedcosttbl2,ROUNDUP($H143,0),CM$2)-INDEX(avoidedcosttbl2,ROUNDDOWN($H143,0),CM$2)))))))*10,"")</f>
        <v/>
      </c>
      <c r="CN143" s="504">
        <f>IFERROR(10*AB143*'Inputs Yr 2'!AX143/((1+realdiscrt1)^-0.5),"")</f>
        <v>0</v>
      </c>
      <c r="CO143" s="505">
        <f t="shared" si="105"/>
        <v>0</v>
      </c>
      <c r="CP143" s="230">
        <f t="shared" si="106"/>
        <v>0</v>
      </c>
      <c r="CQ143" s="199">
        <f>ROUND(IFERROR(IF(LEFT($A143,1)="C",'Avoided Costs'!$K$13,'Avoided Costs'!$K$12)+1,""),4)</f>
        <v>1.0720000000000001</v>
      </c>
      <c r="CR143" s="199">
        <f>ROUND(IFERROR(IF(LEFT($A143,1)="C",'Avoided Costs'!$L$13,'Avoided Costs'!$L$12)+1,""),4)</f>
        <v>1.04</v>
      </c>
      <c r="CS143" s="199">
        <f>ROUND(IFERROR(IF(LEFT($A143,1)="C",'Avoided Costs'!$M$13,'Avoided Costs'!$M$12)+1,""),4)</f>
        <v>1.0720000000000001</v>
      </c>
      <c r="CT143" s="199">
        <f>ROUND(IFERROR(IF(LEFT($A143,1)="C",'Avoided Costs'!$N$13,'Avoided Costs'!$N$12)+1,""),4)</f>
        <v>1.04</v>
      </c>
      <c r="CU143" s="199">
        <f>ROUND(IFERROR(IF(LEFT($A143,1)="C",'Avoided Costs'!$O$13,'Avoided Costs'!$O$12)+1,""),4)</f>
        <v>1.1120000000000001</v>
      </c>
      <c r="CV143" s="199">
        <f>ROUND(IFERROR(IF(LEFT($A143,1)="C",'Avoided Costs'!$P$13,'Avoided Costs'!$P$12)+1,""),4)</f>
        <v>1.095</v>
      </c>
      <c r="CW143" s="199">
        <f>ROUND(IFERROR(IF(LEFT($A143,1)="C",'Avoided Costs'!$Q$13,'Avoided Costs'!$Q$12)+1,""),4)</f>
        <v>1.1120000000000001</v>
      </c>
      <c r="CX143" s="200">
        <f>ROUND(IFERROR(IF(LEFT($A143,1)="C",'Avoided Costs'!$R$13,'Avoided Costs'!$R$12)+1,""),4)</f>
        <v>1.1120000000000001</v>
      </c>
    </row>
    <row r="144" spans="1:102" ht="12.75" customHeight="1">
      <c r="A144" s="91" t="str">
        <f>IF('Inputs Yr 2'!$B144=0,"",'Inputs Yr 2'!A144)</f>
        <v>B - Low Income</v>
      </c>
      <c r="B144" s="91" t="str">
        <f>IF('Inputs Yr 2'!$B144=0,"",'Inputs Yr 2'!B144)</f>
        <v>B1 - Low-Income Whole House</v>
      </c>
      <c r="C144" s="91" t="str">
        <f>IF('Inputs Yr 2'!$B144=0,"",'Inputs Yr 2'!C144)</f>
        <v>B1b - Low-Income Multi-Family Retrofit</v>
      </c>
      <c r="D144" s="91" t="str">
        <f>IF('Inputs Yr 2'!$B144=0,"",'Inputs Yr 2'!E144)</f>
        <v>Custom/Future</v>
      </c>
      <c r="E144" s="93">
        <f>IF('Inputs Yr 2'!$B144=0,"",'Inputs Yr 2'!F144)</f>
        <v>0</v>
      </c>
      <c r="F144" s="93">
        <f>IF('Inputs Yr 2'!$B144=0,"",'Inputs Yr 2'!G144)</f>
        <v>0</v>
      </c>
      <c r="G144" s="95" t="str">
        <f>IF('Inputs Yr 2'!$H144&lt;&gt;0,('Inputs Yr 2'!H144),"")</f>
        <v/>
      </c>
      <c r="H144" s="94">
        <f>IFERROR('Inputs Yr 2'!I144,"")</f>
        <v>0</v>
      </c>
      <c r="I144" s="298" t="str">
        <f>IFERROR('Inputs Yr 2'!J144*'Inputs Yr 2'!P144*G144,"")</f>
        <v/>
      </c>
      <c r="J144" s="298" t="str">
        <f>IFERROR('Inputs Yr 2'!K144*G144,"")</f>
        <v/>
      </c>
      <c r="K144" s="298" t="str">
        <f t="shared" si="83"/>
        <v/>
      </c>
      <c r="L144" s="194" t="str">
        <f>IFERROR(('Inputs Yr 2'!W144*G144)/1000,"")</f>
        <v/>
      </c>
      <c r="M144" s="194" t="str">
        <f>IFERROR(L144*('Inputs Yr 2'!$Q144*'Inputs Yr 2'!$V144*'Inputs Yr 2'!$R144),"")</f>
        <v/>
      </c>
      <c r="N144" s="194" t="str">
        <f t="shared" si="84"/>
        <v/>
      </c>
      <c r="O144" s="194" t="str">
        <f>IFERROR(M144*'Inputs Yr 2'!P144,"")</f>
        <v/>
      </c>
      <c r="P144" s="194" t="str">
        <f t="shared" si="85"/>
        <v/>
      </c>
      <c r="Q144" s="194" t="str">
        <f>IFERROR($P144*'Inputs Yr 2'!AA144,"")</f>
        <v/>
      </c>
      <c r="R144" s="194" t="str">
        <f>IFERROR($P144*'Inputs Yr 2'!AB144,"")</f>
        <v/>
      </c>
      <c r="S144" s="194" t="str">
        <f>IFERROR($P144*'Inputs Yr 2'!AC144,"")</f>
        <v/>
      </c>
      <c r="T144" s="194" t="str">
        <f>IFERROR($P144*'Inputs Yr 2'!AD144,"")</f>
        <v/>
      </c>
      <c r="U144" s="194" t="str">
        <f>IFERROR(G144*'Inputs Yr 2'!$AE144*'Inputs Yr 2'!$P144*'Inputs Yr 2'!$Q144,"")</f>
        <v/>
      </c>
      <c r="V144" s="194" t="str">
        <f>IFERROR($G144*'Inputs Yr 2'!$AE144*'Inputs Yr 2'!$AG144*'Inputs Yr 2'!Q144*'Inputs Yr 2'!$S144,"")</f>
        <v/>
      </c>
      <c r="W144" s="194" t="str">
        <f>IFERROR($G144*'Inputs Yr 2'!$AE144*'Inputs Yr 2'!$AG144*'Inputs Yr 2'!P144*'Inputs Yr 2'!Q144*'Inputs Yr 2'!$S144,"")</f>
        <v/>
      </c>
      <c r="X144" s="194" t="str">
        <f>IFERROR($G144*'Inputs Yr 2'!$AE144*'Inputs Yr 2'!$AF144*'Inputs Yr 2'!Q144*'Inputs Yr 2'!$T144,"")</f>
        <v/>
      </c>
      <c r="Y144" s="194" t="str">
        <f>IFERROR($G144*'Inputs Yr 2'!$AE144*'Inputs Yr 2'!$AF144*'Inputs Yr 2'!P144*'Inputs Yr 2'!Q144*'Inputs Yr 2'!$T144,"")</f>
        <v/>
      </c>
      <c r="Z144" s="257">
        <f>IFERROR($G144*'Inputs Yr 2'!$Q144*'Inputs Yr 2'!$U144*(IF(IFERROR(SEARCH("NG", 'Inputs Yr 2'!$AJ144),0),'Inputs Yr 2'!$AK144,0)+IF(IFERROR(SEARCH("NG", 'Inputs Yr 2'!$AL144),0),'Inputs Yr 2'!$AM144,0)+IF(IFERROR(SEARCH("NG", 'Inputs Yr 2'!$AN144),0),'Inputs Yr 2'!$AO144,0)),0)</f>
        <v>0</v>
      </c>
      <c r="AA144" s="257">
        <f t="shared" si="86"/>
        <v>0</v>
      </c>
      <c r="AB144" s="257">
        <f>IFERROR(Z144*'Inputs Yr 2'!$P144,0)</f>
        <v>0</v>
      </c>
      <c r="AC144" s="257">
        <f t="shared" si="87"/>
        <v>0</v>
      </c>
      <c r="AD144" s="257">
        <f>IFERROR($G144*'Inputs Yr 2'!$Q144*'Inputs Yr 2'!$U144*(IF(IFERROR(SEARCH("Oil", 'Inputs Yr 2'!$AJ144), 0),'Inputs Yr 2'!$AK144,0)+IF(IFERROR(SEARCH("Oil", 'Inputs Yr 2'!$AL144), 0),'Inputs Yr 2'!$AM144,0)+IF(IFERROR(SEARCH("Oil", 'Inputs Yr 2'!$AN144), 0),'Inputs Yr 2'!$AO144,0)),0)</f>
        <v>0</v>
      </c>
      <c r="AE144" s="257">
        <f t="shared" si="88"/>
        <v>0</v>
      </c>
      <c r="AF144" s="257">
        <f>IFERROR(AD144*'Inputs Yr 2'!$P144,0)</f>
        <v>0</v>
      </c>
      <c r="AG144" s="257">
        <f t="shared" si="89"/>
        <v>0</v>
      </c>
      <c r="AH144" s="257">
        <f>IFERROR($G144*'Inputs Yr 2'!$Q144*'Inputs Yr 2'!$U144*(IF('Inputs Yr 2'!$AJ144=CD$4,'Inputs Yr 2'!$AK144,IF('Inputs Yr 2'!$AL144=CD$4,'Inputs Yr 2'!$AM144,IF('Inputs Yr 2'!$AN144=CD$4,'Inputs Yr 2'!$AO144,0)))),0)</f>
        <v>0</v>
      </c>
      <c r="AI144" s="257">
        <f t="shared" si="90"/>
        <v>0</v>
      </c>
      <c r="AJ144" s="257">
        <f>IFERROR(AH144*'Inputs Yr 2'!$P144,0)</f>
        <v>0</v>
      </c>
      <c r="AK144" s="257">
        <f t="shared" si="91"/>
        <v>0</v>
      </c>
      <c r="AL144" s="258">
        <f>IFERROR($G144*'Inputs Yr 2'!$P144*'Inputs Yr 2'!$Q144*'Inputs Yr 2'!AP144,0)</f>
        <v>0</v>
      </c>
      <c r="AM144" s="260">
        <f>IFERROR($G144*'Inputs Yr 2'!$P144*'Inputs Yr 2'!$Q144*'Inputs Yr 2'!AQ144,0)</f>
        <v>0</v>
      </c>
      <c r="AN144" s="258">
        <f>IFERROR($G144*'Inputs Yr 2'!$P144*'Inputs Yr 2'!$Q144*'Inputs Yr 2'!AR144,0)</f>
        <v>0</v>
      </c>
      <c r="AO144" s="257">
        <f t="shared" si="92"/>
        <v>0</v>
      </c>
      <c r="AP144" s="195" t="str">
        <f>IFERROR($CQ144*(INDEX(avoidedcosttbl2,$H144,AP$2)+(($H144-ROUNDDOWN($H144,0))*(INDEX(avoidedcosttbl2,ROUNDUP($H144,0),AP$2)-(INDEX(avoidedcosttbl2,ROUNDDOWN($H144,0),AP$2)))))*$O144*1000*'Inputs Yr 2'!AA144,"")</f>
        <v/>
      </c>
      <c r="AQ144" s="195" t="str">
        <f>IFERROR($CR144*(INDEX(avoidedcosttbl2,$H144,AQ$2)+(($H144-ROUNDDOWN($H144,0))*(INDEX(avoidedcosttbl2,ROUNDUP($H144,0),AQ$2)-(INDEX(avoidedcosttbl2,ROUNDDOWN($H144,0),AQ$2)))))*$O144*1000*'Inputs Yr 2'!AB144,"")</f>
        <v/>
      </c>
      <c r="AR144" s="195" t="str">
        <f>IFERROR($CS144*(INDEX(avoidedcosttbl2,$H144,AR$2)+(($H144-ROUNDDOWN($H144,0))*(INDEX(avoidedcosttbl2,ROUNDUP($H144,0),AR$2)-(INDEX(avoidedcosttbl2,ROUNDDOWN($H144,0),AR$2)))))*$O144*1000*'Inputs Yr 2'!AC144,"")</f>
        <v/>
      </c>
      <c r="AS144" s="195" t="str">
        <f>IFERROR($CT144*(INDEX(avoidedcosttbl2,$H144,AS$2)+(($H144-ROUNDDOWN($H144,0))*(INDEX(avoidedcosttbl2,ROUNDUP($H144,0),AS$2)-(INDEX(avoidedcosttbl2,ROUNDDOWN($H144,0),AS$2)))))*$O144*1000*'Inputs Yr 2'!AD144,"")</f>
        <v/>
      </c>
      <c r="AT144" s="196">
        <f t="shared" si="93"/>
        <v>0</v>
      </c>
      <c r="AU144" s="197" t="str">
        <f>IFERROR($CQ144*((INDEX(avoidedcosttbl2,$H144,AU$2))+(($H144-ROUNDDOWN($H144,0))*((INDEX(avoidedcosttbl2,ROUNDUP($H144,0),AU$2))-(INDEX(avoidedcosttbl2,ROUNDDOWN($H144,0),AU$2)))))*$O144*1000*'Inputs Yr 2'!AA144,"")</f>
        <v/>
      </c>
      <c r="AV144" s="197" t="str">
        <f>IFERROR($CR144*((INDEX(avoidedcosttbl2,$H144,AV$2))+(($H144-ROUNDDOWN($H144,0))*((INDEX(avoidedcosttbl2,ROUNDUP($H144,0),AV$2))-(INDEX(avoidedcosttbl2,ROUNDDOWN($H144,0),AV$2)))))*$O144*1000*'Inputs Yr 2'!AB144,"")</f>
        <v/>
      </c>
      <c r="AW144" s="197" t="str">
        <f>IFERROR($CS144*((INDEX(avoidedcosttbl2,$H144,AW$2))+(($H144-ROUNDDOWN($H144,0))*((INDEX(avoidedcosttbl2,ROUNDUP($H144,0),AW$2))-(INDEX(avoidedcosttbl2,ROUNDDOWN($H144,0),AW$2)))))*$O144*1000*'Inputs Yr 2'!AC144,"")</f>
        <v/>
      </c>
      <c r="AX144" s="197" t="str">
        <f>IFERROR($CT144*((INDEX(avoidedcosttbl2,$H144,AX$2))+(($H144-ROUNDDOWN($H144,0))*((INDEX(avoidedcosttbl2,ROUNDUP($H144,0),AX$2))-(INDEX(avoidedcosttbl2,ROUNDDOWN($H144,0),AX$2)))))*$O144*1000*'Inputs Yr 2'!AD144,"")</f>
        <v/>
      </c>
      <c r="AY144" s="197" t="str">
        <f>IFERROR(((INDEX(avoidedcosttbl2,$H144,AY$2))+(($H144-ROUNDDOWN($H144,0))*((INDEX(avoidedcosttbl2,ROUNDUP($H144,0),AY$2))-(INDEX(avoidedcosttbl2,ROUNDDOWN($H144,0),AY$2)))))*$O144*1000*('Inputs Yr 2'!AC144+'Inputs Yr 2'!AD144),"")</f>
        <v/>
      </c>
      <c r="AZ144" s="197" t="str">
        <f>IFERROR(((INDEX(avoidedcosttbl2,$H144,AZ$2))+(($H144-ROUNDDOWN($H144,0))*((INDEX(avoidedcosttbl2,ROUNDUP($H144,0),AZ$2))-(INDEX(avoidedcosttbl2,ROUNDDOWN($H144,0),AZ$2)))))*$O144*1000*('Inputs Yr 2'!AA144+'Inputs Yr 2'!AB144),"")</f>
        <v/>
      </c>
      <c r="BA144" s="198">
        <f t="shared" si="94"/>
        <v>0</v>
      </c>
      <c r="BB144" s="198">
        <f t="shared" si="95"/>
        <v>0</v>
      </c>
      <c r="BC144" s="195" t="str">
        <f t="shared" si="77"/>
        <v/>
      </c>
      <c r="BD144" s="195" t="str">
        <f t="shared" si="78"/>
        <v/>
      </c>
      <c r="BE144" s="195" t="str">
        <f t="shared" si="79"/>
        <v/>
      </c>
      <c r="BF144" s="195" t="str">
        <f t="shared" si="80"/>
        <v/>
      </c>
      <c r="BG144" s="195" t="str">
        <f t="shared" si="81"/>
        <v/>
      </c>
      <c r="BH144" s="196">
        <f t="shared" si="96"/>
        <v>0</v>
      </c>
      <c r="BI144" s="196">
        <f t="shared" si="97"/>
        <v>0</v>
      </c>
      <c r="BJ144" s="195" t="str">
        <f>IFERROR($G144*(IF('Inputs Yr 2'!$AJ144=BJ$4,'Inputs Yr 2'!$AK144,IF('Inputs Yr 2'!$AL144=BJ$4,'Inputs Yr 2'!$AM144,IF('Inputs Yr 2'!$AN144=BJ$4,'Inputs Yr 2'!$AO144,0))))*(INDEX(avoidedcosttbl2,$H144,BJ$2)+(($H144-ROUNDDOWN($H144,0))*(INDEX(avoidedcosttbl2,ROUNDUP($H144,0),BJ$2)-(INDEX(avoidedcosttbl2,ROUNDDOWN($H144,0),BJ$2)))))*'Inputs Yr 2'!P144*'Inputs Yr 2'!Q144*'Inputs Yr 2'!U144,"")</f>
        <v/>
      </c>
      <c r="BK144" s="195" t="str">
        <f>IFERROR($G144*(IF('Inputs Yr 2'!$AJ144=BK$4,'Inputs Yr 2'!$AK144,IF('Inputs Yr 2'!$AL144=BK$4,'Inputs Yr 2'!$AM144,IF('Inputs Yr 2'!$AN144=BK$4,'Inputs Yr 2'!$AO144,0))))*(INDEX(avoidedcosttbl2,$H144,BK$2)+(($H144-ROUNDDOWN($H144,0))*(INDEX(avoidedcosttbl2,ROUNDUP($H144,0),BK$2)-(INDEX(avoidedcosttbl2,ROUNDDOWN($H144,0),BK$2)))))*'Inputs Yr 2'!P144*'Inputs Yr 2'!Q144*'Inputs Yr 2'!U144,"")</f>
        <v/>
      </c>
      <c r="BL144" s="195" t="str">
        <f>IFERROR($G144*(IF('Inputs Yr 2'!$AJ144=BL$4,'Inputs Yr 2'!$AK144,IF('Inputs Yr 2'!$AL144=BL$4,'Inputs Yr 2'!$AM144,IF('Inputs Yr 2'!$AN144=BL$4,'Inputs Yr 2'!$AO144,0))))*(INDEX(avoidedcosttbl2,$H144,BL$2)+(($H144-ROUNDDOWN($H144,0))*(INDEX(avoidedcosttbl2,ROUNDUP($H144,0),BL$2)-(INDEX(avoidedcosttbl2,ROUNDDOWN($H144,0),BL$2)))))*'Inputs Yr 2'!P144*'Inputs Yr 2'!Q144*'Inputs Yr 2'!U144,"")</f>
        <v/>
      </c>
      <c r="BM144" s="195" t="str">
        <f>IFERROR($G144*(IF('Inputs Yr 2'!$AJ144=BM$4,'Inputs Yr 2'!$AK144,IF('Inputs Yr 2'!$AL144=BM$4,'Inputs Yr 2'!$AM144,IF('Inputs Yr 2'!$AN144=BM$4,'Inputs Yr 2'!$AO144,0))))*(INDEX(avoidedcosttbl2,$H144,BM$2)+(($H144-ROUNDDOWN($H144,0))*(INDEX(avoidedcosttbl2,ROUNDUP($H144,0),BM$2)-(INDEX(avoidedcosttbl2,ROUNDDOWN($H144,0),BM$2)))))*'Inputs Yr 2'!P144*'Inputs Yr 2'!Q144*'Inputs Yr 2'!U144,"")</f>
        <v/>
      </c>
      <c r="BN144" s="195" t="str">
        <f>IFERROR($G144*(IF('Inputs Yr 2'!$AJ144=BN$4,'Inputs Yr 2'!$AK144,IF('Inputs Yr 2'!$AL144=BN$4,'Inputs Yr 2'!$AM144,IF('Inputs Yr 2'!$AN144=BN$4,'Inputs Yr 2'!$AO144,0))))*(INDEX(avoidedcosttbl2,$H144,BN$2)+(($H144-ROUNDDOWN($H144,0))*(INDEX(avoidedcosttbl2,ROUNDUP($H144,0),BN$2)-(INDEX(avoidedcosttbl2,ROUNDDOWN($H144,0),BN$2)))))*'Inputs Yr 2'!P144*'Inputs Yr 2'!Q144*'Inputs Yr 2'!U144,"")</f>
        <v/>
      </c>
      <c r="BO144" s="195" t="str">
        <f>IFERROR($G144*(IF('Inputs Yr 2'!$AJ144=BO$4,'Inputs Yr 2'!$AK144,IF('Inputs Yr 2'!$AL144=BO$4,'Inputs Yr 2'!$AM144,IF('Inputs Yr 2'!$AN144=BO$4,'Inputs Yr 2'!$AO144,0))))*(INDEX(avoidedcosttbl2,$H144,BO$2)+(($H144-ROUNDDOWN($H144,0))*(INDEX(avoidedcosttbl2,ROUNDUP($H144,0),BO$2)-(INDEX(avoidedcosttbl2,ROUNDDOWN($H144,0),BO$2)))))*'Inputs Yr 2'!P144*'Inputs Yr 2'!Q144*'Inputs Yr 2'!U144,"")</f>
        <v/>
      </c>
      <c r="BP144" s="195" t="str">
        <f>IFERROR($G144*(IF('Inputs Yr 2'!$AJ144=BP$4,'Inputs Yr 2'!$AK144,IF('Inputs Yr 2'!$AL144=BP$4,'Inputs Yr 2'!$AM144,IF('Inputs Yr 2'!$AN144=BP$4,'Inputs Yr 2'!$AO144,0))))*(INDEX(avoidedcosttbl2,$H144,BP$2)+(($H144-ROUNDDOWN($H144,0))*(INDEX(avoidedcosttbl2,ROUNDUP($H144,0),BP$2)-(INDEX(avoidedcosttbl2,ROUNDDOWN($H144,0),BP$2)))))*'Inputs Yr 2'!P144*'Inputs Yr 2'!Q144*'Inputs Yr 2'!U144,"")</f>
        <v/>
      </c>
      <c r="BQ144" s="230">
        <f t="shared" si="98"/>
        <v>0</v>
      </c>
      <c r="BR144" s="197" t="str">
        <f t="shared" si="82"/>
        <v/>
      </c>
      <c r="BS144" s="197" t="str">
        <f>IFERROR(($G144*IF('Inputs Yr 2'!$AJ144=BM$4,'Inputs Yr 2'!$AK144,IF('Inputs Yr 2'!$AL144=BM$4,'Inputs Yr 2'!$AM144,IF('Inputs Yr 2'!$AN144=BM$4,'Inputs Yr 2'!$AO144,0))))*(INDEX(avoidedcosttbl2,$H144,BS$2)+(($H144-ROUNDDOWN($H144,0))*(INDEX(avoidedcosttbl2,ROUNDUP($H144,0),BS$2)-(INDEX(avoidedcosttbl2,ROUNDDOWN($H144,0),BS$2)))))*'Inputs Yr 2'!P144*'Inputs Yr 2'!Q144*'Inputs Yr 2'!U144,"")</f>
        <v/>
      </c>
      <c r="BT144" s="197" t="str">
        <f>IFERROR(($G144*IF('Inputs Yr 2'!$AJ144=BK$4,'Inputs Yr 2'!$AK144,IF('Inputs Yr 2'!$AL144=BK$4,'Inputs Yr 2'!$AM144,IF('Inputs Yr 2'!$AN144=BK$4,'Inputs Yr 2'!$AO144,0))))*(INDEX(avoidedcosttbl2,$H144,BT$2)+(($H144-ROUNDDOWN($H144,0))*(INDEX(avoidedcosttbl2,ROUNDUP($H144,0),BT$2)-(INDEX(avoidedcosttbl2,ROUNDDOWN($H144,0),BT$2)))))*'Inputs Yr 2'!P144*'Inputs Yr 2'!Q144*'Inputs Yr 2'!U144,"")</f>
        <v/>
      </c>
      <c r="BU144" s="197" t="str">
        <f>IFERROR(($G144*IF('Inputs Yr 2'!$AJ144=BL$4,'Inputs Yr 2'!$AK144,IF('Inputs Yr 2'!$AL144=BL$4,'Inputs Yr 2'!$AM144,IF('Inputs Yr 2'!$AN144=BL$4,'Inputs Yr 2'!$AO144,0))))*(INDEX(avoidedcosttbl2,$H144,BU$2)+(($H144-ROUNDDOWN($H144,0))*(INDEX(avoidedcosttbl2,ROUNDUP($H144,0),BU$2)-(INDEX(avoidedcosttbl2,ROUNDDOWN($H144,0),BU$2)))))*'Inputs Yr 2'!P144*'Inputs Yr 2'!Q144*'Inputs Yr 2'!U144,"")</f>
        <v/>
      </c>
      <c r="BV144" s="775" t="str">
        <f>IFERROR(($G144*IF('Inputs Yr 2'!$AJ144=BJ$4,'Inputs Yr 2'!$AK144,IF('Inputs Yr 2'!$AL144=BJ$4,'Inputs Yr 2'!$AM144,IF('Inputs Yr 2'!$AN144=BJ$4,'Inputs Yr 2'!$AO144,0))))*(INDEX(avoidedcosttbl2,$H144,BV$2)+(($H144-ROUNDDOWN($H144,0))*(INDEX(avoidedcosttbl2,ROUNDUP($H144,0),BV$2)-(INDEX(avoidedcosttbl2,ROUNDDOWN($H144,0),BV$2)))))*'Inputs Yr 2'!P144*'Inputs Yr 2'!Q144*'Inputs Yr 2'!U144,"")</f>
        <v/>
      </c>
      <c r="BW144" s="197" t="str">
        <f>IFERROR(($G144*IF('Inputs Yr 2'!$AJ144=BN$4,'Inputs Yr 2'!$AK144,IF('Inputs Yr 2'!$AL144=BN$4,'Inputs Yr 2'!$AM144,IF('Inputs Yr 2'!$AN144=BN$4,'Inputs Yr 2'!$AO144,0))))*(INDEX(avoidedcosttbl2,$H144,BW$2)+(($H144-ROUNDDOWN($H144,0))*(INDEX(avoidedcosttbl2,ROUNDUP($H144,0),BW$2)-(INDEX(avoidedcosttbl2,ROUNDDOWN($H144,0),BW$2)))))*'Inputs Yr 2'!P144*'Inputs Yr 2'!Q144*'Inputs Yr 2'!U144,"")</f>
        <v/>
      </c>
      <c r="BX144" s="197" t="str">
        <f>IFERROR(($G144*IF('Inputs Yr 2'!$AJ144=BO$4,'Inputs Yr 2'!$AK144,IF('Inputs Yr 2'!$AL144=BO$4,'Inputs Yr 2'!$AM144,IF('Inputs Yr 2'!$AN144=BO$4,'Inputs Yr 2'!$AO144,0))))*(INDEX(avoidedcosttbl2,$H144,BX$2)+(($H144-ROUNDDOWN($H144,0))*(INDEX(avoidedcosttbl2,ROUNDUP($H144,0),BX$2)-(INDEX(avoidedcosttbl2,ROUNDDOWN($H144,0),BX$2)))))*'Inputs Yr 2'!P144*'Inputs Yr 2'!Q144*'Inputs Yr 2'!U144,"")</f>
        <v/>
      </c>
      <c r="BY144" s="197" t="str">
        <f>IFERROR(($G144*IF('Inputs Yr 2'!$AJ144=BP$4,'Inputs Yr 2'!$AK144,IF('Inputs Yr 2'!$AL144=BP$4,'Inputs Yr 2'!$AM144,IF('Inputs Yr 2'!$AN144=BP$4,'Inputs Yr 2'!$AO144,0))))*(INDEX(avoidedcosttbl2,$H144,BY$2)+(($H144-ROUNDDOWN($H144,0))*(INDEX(avoidedcosttbl2,ROUNDUP($H144,0),BY$2)-(INDEX(avoidedcosttbl2,ROUNDDOWN($H144,0),BY$2)))))*'Inputs Yr 2'!P144*'Inputs Yr 2'!Q144*'Inputs Yr 2'!U144,"")</f>
        <v/>
      </c>
      <c r="BZ144" s="193">
        <f t="shared" si="99"/>
        <v>0</v>
      </c>
      <c r="CA144" s="193">
        <f t="shared" si="100"/>
        <v>0</v>
      </c>
      <c r="CB144" s="195" t="str">
        <f>IFERROR(G144*(IF('Inputs Yr 2'!$AJ144=CB$4,'Inputs Yr 2'!$AK144,IF('Inputs Yr 2'!$AL144=CB$4,'Inputs Yr 2'!$AM144,IF('Inputs Yr 2'!$AN144=CB$4,'Inputs Yr 2'!$AO144,0))))*(INDEX(avoidedcosttbl2,$H144,CB$2)+(($H144-ROUNDDOWN($H144,0))*(INDEX(avoidedcosttbl2,ROUNDUP($H144,0),CB$2)-(INDEX(avoidedcosttbl2,ROUNDDOWN($H144,0),CB$2)))))*'Inputs Yr 2'!P144*'Inputs Yr 2'!Q144*'Inputs Yr 2'!U144,"")</f>
        <v/>
      </c>
      <c r="CC144" s="195" t="str">
        <f>IFERROR(H144*(IF('Inputs Yr 2'!$AJ144=CC$4,'Inputs Yr 2'!$AK144,IF('Inputs Yr 2'!$AL144=CC$4,'Inputs Yr 2'!$AM144,IF('Inputs Yr 2'!$AN144=CC$4,'Inputs Yr 2'!$AO144,0))))*(INDEX(avoidedcosttbl2,$H144,CC$2)+(($H144-ROUNDDOWN($H144,0))*(INDEX(avoidedcosttbl2,ROUNDUP($H144,0),CC$2)-(INDEX(avoidedcosttbl2,ROUNDDOWN($H144,0),CC$2)))))*'Inputs Yr 2'!Q144*'Inputs Yr 2'!R144*'Inputs Yr 2'!V144,"")</f>
        <v/>
      </c>
      <c r="CD144" s="195" t="str">
        <f>IFERROR(I144*(IF('Inputs Yr 2'!$AJ144=CD$4,'Inputs Yr 2'!$AK144,IF('Inputs Yr 2'!$AL144=CD$4,'Inputs Yr 2'!$AM144,IF('Inputs Yr 2'!$AN144=CD$4,'Inputs Yr 2'!$AO144,0))))*(INDEX(avoidedcosttbl2,$H144,CD$2)+(($H144-ROUNDDOWN($H144,0))*(INDEX(avoidedcosttbl2,ROUNDUP($H144,0),CD$2)-(INDEX(avoidedcosttbl2,ROUNDDOWN($H144,0),CD$2)))))*'Inputs Yr 2'!R144*'Inputs Yr 2'!S144*'Inputs Yr 2'!W144,"")</f>
        <v/>
      </c>
      <c r="CE144" s="213" t="str">
        <f t="shared" si="101"/>
        <v/>
      </c>
      <c r="CF144" s="213" t="str">
        <f t="shared" si="102"/>
        <v/>
      </c>
      <c r="CG144" s="213" t="str">
        <f t="shared" si="103"/>
        <v/>
      </c>
      <c r="CH144" s="698">
        <f t="shared" si="104"/>
        <v>0</v>
      </c>
      <c r="CI144" s="79" t="str">
        <f>IFERROR(($G144*'Inputs Yr 2'!$P144*'Inputs Yr 2'!$Q144*(((INDEX(avoidedcosttbl2,$H144,CI$2)+(($H144-ROUNDDOWN($H144,0))*(INDEX(avoidedcosttbl2,ROUNDUP($H144,0),CI$2)-INDEX(avoidedcosttbl2,ROUNDDOWN($H144,0),CI$2))))*'Inputs Yr 2'!AS144))),"")</f>
        <v/>
      </c>
      <c r="CJ144" s="504" t="str">
        <f>IFERROR($G144*'Inputs Yr 2'!AT144*'Inputs Yr 2'!$P144*'Inputs Yr 2'!$Q144/((1+realdiscrt1)^-0.5),"")</f>
        <v/>
      </c>
      <c r="CK144" s="79" t="str">
        <f>IFERROR((O144*1000*(((INDEX(avoidedcosttbl2,$H144,CK$2)+(($H144-ROUNDDOWN($H144,0))*(INDEX(avoidedcosttbl2,ROUNDUP($H144,0),CK$2)-INDEX(avoidedcosttbl2,ROUNDDOWN($H144,0),CK$2))))*'Inputs Yr 2'!AU144))),"")</f>
        <v/>
      </c>
      <c r="CL144" s="504" t="str">
        <f>IFERROR(O144*1000*'Inputs Yr 2'!AV144/((1+realdiscrt1)^-0.5),"")</f>
        <v/>
      </c>
      <c r="CM144" s="79" t="str">
        <f>IFERROR((AB144*'Inputs Yr 2'!AW144*(((INDEX(avoidedcosttbl2,$H144,CM$2)+(($H144-ROUNDDOWN($H144,0))*(INDEX(avoidedcosttbl2,ROUNDUP($H144,0),CM$2)-INDEX(avoidedcosttbl2,ROUNDDOWN($H144,0),CM$2)))))))*10,"")</f>
        <v/>
      </c>
      <c r="CN144" s="504">
        <f>IFERROR(10*AB144*'Inputs Yr 2'!AX144/((1+realdiscrt1)^-0.5),"")</f>
        <v>0</v>
      </c>
      <c r="CO144" s="505">
        <f t="shared" si="105"/>
        <v>0</v>
      </c>
      <c r="CP144" s="230">
        <f t="shared" si="106"/>
        <v>0</v>
      </c>
      <c r="CQ144" s="199">
        <f>ROUND(IFERROR(IF(LEFT($A144,1)="C",'Avoided Costs'!$K$13,'Avoided Costs'!$K$12)+1,""),4)</f>
        <v>1.0720000000000001</v>
      </c>
      <c r="CR144" s="199">
        <f>ROUND(IFERROR(IF(LEFT($A144,1)="C",'Avoided Costs'!$L$13,'Avoided Costs'!$L$12)+1,""),4)</f>
        <v>1.04</v>
      </c>
      <c r="CS144" s="199">
        <f>ROUND(IFERROR(IF(LEFT($A144,1)="C",'Avoided Costs'!$M$13,'Avoided Costs'!$M$12)+1,""),4)</f>
        <v>1.0720000000000001</v>
      </c>
      <c r="CT144" s="199">
        <f>ROUND(IFERROR(IF(LEFT($A144,1)="C",'Avoided Costs'!$N$13,'Avoided Costs'!$N$12)+1,""),4)</f>
        <v>1.04</v>
      </c>
      <c r="CU144" s="199">
        <f>ROUND(IFERROR(IF(LEFT($A144,1)="C",'Avoided Costs'!$O$13,'Avoided Costs'!$O$12)+1,""),4)</f>
        <v>1.1120000000000001</v>
      </c>
      <c r="CV144" s="199">
        <f>ROUND(IFERROR(IF(LEFT($A144,1)="C",'Avoided Costs'!$P$13,'Avoided Costs'!$P$12)+1,""),4)</f>
        <v>1.095</v>
      </c>
      <c r="CW144" s="199">
        <f>ROUND(IFERROR(IF(LEFT($A144,1)="C",'Avoided Costs'!$Q$13,'Avoided Costs'!$Q$12)+1,""),4)</f>
        <v>1.1120000000000001</v>
      </c>
      <c r="CX144" s="200">
        <f>ROUND(IFERROR(IF(LEFT($A144,1)="C",'Avoided Costs'!$R$13,'Avoided Costs'!$R$12)+1,""),4)</f>
        <v>1.1120000000000001</v>
      </c>
    </row>
    <row r="145" spans="1:102" ht="12.75" customHeight="1">
      <c r="A145" s="91" t="str">
        <f>IF('Inputs Yr 2'!$B145=0,"",'Inputs Yr 2'!A145)</f>
        <v>B - Low Income</v>
      </c>
      <c r="B145" s="91" t="str">
        <f>IF('Inputs Yr 2'!$B145=0,"",'Inputs Yr 2'!B145)</f>
        <v>B1 - Low-Income Whole House</v>
      </c>
      <c r="C145" s="91" t="str">
        <f>IF('Inputs Yr 2'!$B145=0,"",'Inputs Yr 2'!C145)</f>
        <v>B1b - Low-Income Multi-Family Retrofit</v>
      </c>
      <c r="D145" s="91" t="str">
        <f>IF('Inputs Yr 2'!$B145=0,"",'Inputs Yr 2'!E145)</f>
        <v>Custom/Future</v>
      </c>
      <c r="E145" s="93">
        <f>IF('Inputs Yr 2'!$B145=0,"",'Inputs Yr 2'!F145)</f>
        <v>0</v>
      </c>
      <c r="F145" s="93">
        <f>IF('Inputs Yr 2'!$B145=0,"",'Inputs Yr 2'!G145)</f>
        <v>0</v>
      </c>
      <c r="G145" s="95" t="str">
        <f>IF('Inputs Yr 2'!$H145&lt;&gt;0,('Inputs Yr 2'!H145),"")</f>
        <v/>
      </c>
      <c r="H145" s="94">
        <f>IFERROR('Inputs Yr 2'!I145,"")</f>
        <v>0</v>
      </c>
      <c r="I145" s="298" t="str">
        <f>IFERROR('Inputs Yr 2'!J145*'Inputs Yr 2'!P145*G145,"")</f>
        <v/>
      </c>
      <c r="J145" s="298" t="str">
        <f>IFERROR('Inputs Yr 2'!K145*G145,"")</f>
        <v/>
      </c>
      <c r="K145" s="298" t="str">
        <f t="shared" si="83"/>
        <v/>
      </c>
      <c r="L145" s="194" t="str">
        <f>IFERROR(('Inputs Yr 2'!W145*G145)/1000,"")</f>
        <v/>
      </c>
      <c r="M145" s="194" t="str">
        <f>IFERROR(L145*('Inputs Yr 2'!$Q145*'Inputs Yr 2'!$V145*'Inputs Yr 2'!$R145),"")</f>
        <v/>
      </c>
      <c r="N145" s="194" t="str">
        <f t="shared" si="84"/>
        <v/>
      </c>
      <c r="O145" s="194" t="str">
        <f>IFERROR(M145*'Inputs Yr 2'!P145,"")</f>
        <v/>
      </c>
      <c r="P145" s="194" t="str">
        <f t="shared" si="85"/>
        <v/>
      </c>
      <c r="Q145" s="194" t="str">
        <f>IFERROR($P145*'Inputs Yr 2'!AA145,"")</f>
        <v/>
      </c>
      <c r="R145" s="194" t="str">
        <f>IFERROR($P145*'Inputs Yr 2'!AB145,"")</f>
        <v/>
      </c>
      <c r="S145" s="194" t="str">
        <f>IFERROR($P145*'Inputs Yr 2'!AC145,"")</f>
        <v/>
      </c>
      <c r="T145" s="194" t="str">
        <f>IFERROR($P145*'Inputs Yr 2'!AD145,"")</f>
        <v/>
      </c>
      <c r="U145" s="194" t="str">
        <f>IFERROR(G145*'Inputs Yr 2'!$AE145*'Inputs Yr 2'!$P145*'Inputs Yr 2'!$Q145,"")</f>
        <v/>
      </c>
      <c r="V145" s="194" t="str">
        <f>IFERROR($G145*'Inputs Yr 2'!$AE145*'Inputs Yr 2'!$AG145*'Inputs Yr 2'!Q145*'Inputs Yr 2'!$S145,"")</f>
        <v/>
      </c>
      <c r="W145" s="194" t="str">
        <f>IFERROR($G145*'Inputs Yr 2'!$AE145*'Inputs Yr 2'!$AG145*'Inputs Yr 2'!P145*'Inputs Yr 2'!Q145*'Inputs Yr 2'!$S145,"")</f>
        <v/>
      </c>
      <c r="X145" s="194" t="str">
        <f>IFERROR($G145*'Inputs Yr 2'!$AE145*'Inputs Yr 2'!$AF145*'Inputs Yr 2'!Q145*'Inputs Yr 2'!$T145,"")</f>
        <v/>
      </c>
      <c r="Y145" s="194" t="str">
        <f>IFERROR($G145*'Inputs Yr 2'!$AE145*'Inputs Yr 2'!$AF145*'Inputs Yr 2'!P145*'Inputs Yr 2'!Q145*'Inputs Yr 2'!$T145,"")</f>
        <v/>
      </c>
      <c r="Z145" s="257">
        <f>IFERROR($G145*'Inputs Yr 2'!$Q145*'Inputs Yr 2'!$U145*(IF(IFERROR(SEARCH("NG", 'Inputs Yr 2'!$AJ145),0),'Inputs Yr 2'!$AK145,0)+IF(IFERROR(SEARCH("NG", 'Inputs Yr 2'!$AL145),0),'Inputs Yr 2'!$AM145,0)+IF(IFERROR(SEARCH("NG", 'Inputs Yr 2'!$AN145),0),'Inputs Yr 2'!$AO145,0)),0)</f>
        <v>0</v>
      </c>
      <c r="AA145" s="257">
        <f t="shared" si="86"/>
        <v>0</v>
      </c>
      <c r="AB145" s="257">
        <f>IFERROR(Z145*'Inputs Yr 2'!$P145,0)</f>
        <v>0</v>
      </c>
      <c r="AC145" s="257">
        <f t="shared" si="87"/>
        <v>0</v>
      </c>
      <c r="AD145" s="257">
        <f>IFERROR($G145*'Inputs Yr 2'!$Q145*'Inputs Yr 2'!$U145*(IF(IFERROR(SEARCH("Oil", 'Inputs Yr 2'!$AJ145), 0),'Inputs Yr 2'!$AK145,0)+IF(IFERROR(SEARCH("Oil", 'Inputs Yr 2'!$AL145), 0),'Inputs Yr 2'!$AM145,0)+IF(IFERROR(SEARCH("Oil", 'Inputs Yr 2'!$AN145), 0),'Inputs Yr 2'!$AO145,0)),0)</f>
        <v>0</v>
      </c>
      <c r="AE145" s="257">
        <f t="shared" si="88"/>
        <v>0</v>
      </c>
      <c r="AF145" s="257">
        <f>IFERROR(AD145*'Inputs Yr 2'!$P145,0)</f>
        <v>0</v>
      </c>
      <c r="AG145" s="257">
        <f t="shared" si="89"/>
        <v>0</v>
      </c>
      <c r="AH145" s="257">
        <f>IFERROR($G145*'Inputs Yr 2'!$Q145*'Inputs Yr 2'!$U145*(IF('Inputs Yr 2'!$AJ145=CD$4,'Inputs Yr 2'!$AK145,IF('Inputs Yr 2'!$AL145=CD$4,'Inputs Yr 2'!$AM145,IF('Inputs Yr 2'!$AN145=CD$4,'Inputs Yr 2'!$AO145,0)))),0)</f>
        <v>0</v>
      </c>
      <c r="AI145" s="257">
        <f t="shared" si="90"/>
        <v>0</v>
      </c>
      <c r="AJ145" s="257">
        <f>IFERROR(AH145*'Inputs Yr 2'!$P145,0)</f>
        <v>0</v>
      </c>
      <c r="AK145" s="257">
        <f t="shared" si="91"/>
        <v>0</v>
      </c>
      <c r="AL145" s="258">
        <f>IFERROR($G145*'Inputs Yr 2'!$P145*'Inputs Yr 2'!$Q145*'Inputs Yr 2'!AP145,0)</f>
        <v>0</v>
      </c>
      <c r="AM145" s="260">
        <f>IFERROR($G145*'Inputs Yr 2'!$P145*'Inputs Yr 2'!$Q145*'Inputs Yr 2'!AQ145,0)</f>
        <v>0</v>
      </c>
      <c r="AN145" s="258">
        <f>IFERROR($G145*'Inputs Yr 2'!$P145*'Inputs Yr 2'!$Q145*'Inputs Yr 2'!AR145,0)</f>
        <v>0</v>
      </c>
      <c r="AO145" s="257">
        <f t="shared" si="92"/>
        <v>0</v>
      </c>
      <c r="AP145" s="195" t="str">
        <f>IFERROR($CQ145*(INDEX(avoidedcosttbl2,$H145,AP$2)+(($H145-ROUNDDOWN($H145,0))*(INDEX(avoidedcosttbl2,ROUNDUP($H145,0),AP$2)-(INDEX(avoidedcosttbl2,ROUNDDOWN($H145,0),AP$2)))))*$O145*1000*'Inputs Yr 2'!AA145,"")</f>
        <v/>
      </c>
      <c r="AQ145" s="195" t="str">
        <f>IFERROR($CR145*(INDEX(avoidedcosttbl2,$H145,AQ$2)+(($H145-ROUNDDOWN($H145,0))*(INDEX(avoidedcosttbl2,ROUNDUP($H145,0),AQ$2)-(INDEX(avoidedcosttbl2,ROUNDDOWN($H145,0),AQ$2)))))*$O145*1000*'Inputs Yr 2'!AB145,"")</f>
        <v/>
      </c>
      <c r="AR145" s="195" t="str">
        <f>IFERROR($CS145*(INDEX(avoidedcosttbl2,$H145,AR$2)+(($H145-ROUNDDOWN($H145,0))*(INDEX(avoidedcosttbl2,ROUNDUP($H145,0),AR$2)-(INDEX(avoidedcosttbl2,ROUNDDOWN($H145,0),AR$2)))))*$O145*1000*'Inputs Yr 2'!AC145,"")</f>
        <v/>
      </c>
      <c r="AS145" s="195" t="str">
        <f>IFERROR($CT145*(INDEX(avoidedcosttbl2,$H145,AS$2)+(($H145-ROUNDDOWN($H145,0))*(INDEX(avoidedcosttbl2,ROUNDUP($H145,0),AS$2)-(INDEX(avoidedcosttbl2,ROUNDDOWN($H145,0),AS$2)))))*$O145*1000*'Inputs Yr 2'!AD145,"")</f>
        <v/>
      </c>
      <c r="AT145" s="196">
        <f t="shared" si="93"/>
        <v>0</v>
      </c>
      <c r="AU145" s="197" t="str">
        <f>IFERROR($CQ145*((INDEX(avoidedcosttbl2,$H145,AU$2))+(($H145-ROUNDDOWN($H145,0))*((INDEX(avoidedcosttbl2,ROUNDUP($H145,0),AU$2))-(INDEX(avoidedcosttbl2,ROUNDDOWN($H145,0),AU$2)))))*$O145*1000*'Inputs Yr 2'!AA145,"")</f>
        <v/>
      </c>
      <c r="AV145" s="197" t="str">
        <f>IFERROR($CR145*((INDEX(avoidedcosttbl2,$H145,AV$2))+(($H145-ROUNDDOWN($H145,0))*((INDEX(avoidedcosttbl2,ROUNDUP($H145,0),AV$2))-(INDEX(avoidedcosttbl2,ROUNDDOWN($H145,0),AV$2)))))*$O145*1000*'Inputs Yr 2'!AB145,"")</f>
        <v/>
      </c>
      <c r="AW145" s="197" t="str">
        <f>IFERROR($CS145*((INDEX(avoidedcosttbl2,$H145,AW$2))+(($H145-ROUNDDOWN($H145,0))*((INDEX(avoidedcosttbl2,ROUNDUP($H145,0),AW$2))-(INDEX(avoidedcosttbl2,ROUNDDOWN($H145,0),AW$2)))))*$O145*1000*'Inputs Yr 2'!AC145,"")</f>
        <v/>
      </c>
      <c r="AX145" s="197" t="str">
        <f>IFERROR($CT145*((INDEX(avoidedcosttbl2,$H145,AX$2))+(($H145-ROUNDDOWN($H145,0))*((INDEX(avoidedcosttbl2,ROUNDUP($H145,0),AX$2))-(INDEX(avoidedcosttbl2,ROUNDDOWN($H145,0),AX$2)))))*$O145*1000*'Inputs Yr 2'!AD145,"")</f>
        <v/>
      </c>
      <c r="AY145" s="197" t="str">
        <f>IFERROR(((INDEX(avoidedcosttbl2,$H145,AY$2))+(($H145-ROUNDDOWN($H145,0))*((INDEX(avoidedcosttbl2,ROUNDUP($H145,0),AY$2))-(INDEX(avoidedcosttbl2,ROUNDDOWN($H145,0),AY$2)))))*$O145*1000*('Inputs Yr 2'!AC145+'Inputs Yr 2'!AD145),"")</f>
        <v/>
      </c>
      <c r="AZ145" s="197" t="str">
        <f>IFERROR(((INDEX(avoidedcosttbl2,$H145,AZ$2))+(($H145-ROUNDDOWN($H145,0))*((INDEX(avoidedcosttbl2,ROUNDUP($H145,0),AZ$2))-(INDEX(avoidedcosttbl2,ROUNDDOWN($H145,0),AZ$2)))))*$O145*1000*('Inputs Yr 2'!AA145+'Inputs Yr 2'!AB145),"")</f>
        <v/>
      </c>
      <c r="BA145" s="198">
        <f t="shared" si="94"/>
        <v>0</v>
      </c>
      <c r="BB145" s="198">
        <f t="shared" si="95"/>
        <v>0</v>
      </c>
      <c r="BC145" s="195" t="str">
        <f t="shared" si="77"/>
        <v/>
      </c>
      <c r="BD145" s="195" t="str">
        <f t="shared" si="78"/>
        <v/>
      </c>
      <c r="BE145" s="195" t="str">
        <f t="shared" si="79"/>
        <v/>
      </c>
      <c r="BF145" s="195" t="str">
        <f t="shared" si="80"/>
        <v/>
      </c>
      <c r="BG145" s="195" t="str">
        <f t="shared" si="81"/>
        <v/>
      </c>
      <c r="BH145" s="196">
        <f t="shared" si="96"/>
        <v>0</v>
      </c>
      <c r="BI145" s="196">
        <f t="shared" si="97"/>
        <v>0</v>
      </c>
      <c r="BJ145" s="195" t="str">
        <f>IFERROR($G145*(IF('Inputs Yr 2'!$AJ145=BJ$4,'Inputs Yr 2'!$AK145,IF('Inputs Yr 2'!$AL145=BJ$4,'Inputs Yr 2'!$AM145,IF('Inputs Yr 2'!$AN145=BJ$4,'Inputs Yr 2'!$AO145,0))))*(INDEX(avoidedcosttbl2,$H145,BJ$2)+(($H145-ROUNDDOWN($H145,0))*(INDEX(avoidedcosttbl2,ROUNDUP($H145,0),BJ$2)-(INDEX(avoidedcosttbl2,ROUNDDOWN($H145,0),BJ$2)))))*'Inputs Yr 2'!P145*'Inputs Yr 2'!Q145*'Inputs Yr 2'!U145,"")</f>
        <v/>
      </c>
      <c r="BK145" s="195" t="str">
        <f>IFERROR($G145*(IF('Inputs Yr 2'!$AJ145=BK$4,'Inputs Yr 2'!$AK145,IF('Inputs Yr 2'!$AL145=BK$4,'Inputs Yr 2'!$AM145,IF('Inputs Yr 2'!$AN145=BK$4,'Inputs Yr 2'!$AO145,0))))*(INDEX(avoidedcosttbl2,$H145,BK$2)+(($H145-ROUNDDOWN($H145,0))*(INDEX(avoidedcosttbl2,ROUNDUP($H145,0),BK$2)-(INDEX(avoidedcosttbl2,ROUNDDOWN($H145,0),BK$2)))))*'Inputs Yr 2'!P145*'Inputs Yr 2'!Q145*'Inputs Yr 2'!U145,"")</f>
        <v/>
      </c>
      <c r="BL145" s="195" t="str">
        <f>IFERROR($G145*(IF('Inputs Yr 2'!$AJ145=BL$4,'Inputs Yr 2'!$AK145,IF('Inputs Yr 2'!$AL145=BL$4,'Inputs Yr 2'!$AM145,IF('Inputs Yr 2'!$AN145=BL$4,'Inputs Yr 2'!$AO145,0))))*(INDEX(avoidedcosttbl2,$H145,BL$2)+(($H145-ROUNDDOWN($H145,0))*(INDEX(avoidedcosttbl2,ROUNDUP($H145,0),BL$2)-(INDEX(avoidedcosttbl2,ROUNDDOWN($H145,0),BL$2)))))*'Inputs Yr 2'!P145*'Inputs Yr 2'!Q145*'Inputs Yr 2'!U145,"")</f>
        <v/>
      </c>
      <c r="BM145" s="195" t="str">
        <f>IFERROR($G145*(IF('Inputs Yr 2'!$AJ145=BM$4,'Inputs Yr 2'!$AK145,IF('Inputs Yr 2'!$AL145=BM$4,'Inputs Yr 2'!$AM145,IF('Inputs Yr 2'!$AN145=BM$4,'Inputs Yr 2'!$AO145,0))))*(INDEX(avoidedcosttbl2,$H145,BM$2)+(($H145-ROUNDDOWN($H145,0))*(INDEX(avoidedcosttbl2,ROUNDUP($H145,0),BM$2)-(INDEX(avoidedcosttbl2,ROUNDDOWN($H145,0),BM$2)))))*'Inputs Yr 2'!P145*'Inputs Yr 2'!Q145*'Inputs Yr 2'!U145,"")</f>
        <v/>
      </c>
      <c r="BN145" s="195" t="str">
        <f>IFERROR($G145*(IF('Inputs Yr 2'!$AJ145=BN$4,'Inputs Yr 2'!$AK145,IF('Inputs Yr 2'!$AL145=BN$4,'Inputs Yr 2'!$AM145,IF('Inputs Yr 2'!$AN145=BN$4,'Inputs Yr 2'!$AO145,0))))*(INDEX(avoidedcosttbl2,$H145,BN$2)+(($H145-ROUNDDOWN($H145,0))*(INDEX(avoidedcosttbl2,ROUNDUP($H145,0),BN$2)-(INDEX(avoidedcosttbl2,ROUNDDOWN($H145,0),BN$2)))))*'Inputs Yr 2'!P145*'Inputs Yr 2'!Q145*'Inputs Yr 2'!U145,"")</f>
        <v/>
      </c>
      <c r="BO145" s="195" t="str">
        <f>IFERROR($G145*(IF('Inputs Yr 2'!$AJ145=BO$4,'Inputs Yr 2'!$AK145,IF('Inputs Yr 2'!$AL145=BO$4,'Inputs Yr 2'!$AM145,IF('Inputs Yr 2'!$AN145=BO$4,'Inputs Yr 2'!$AO145,0))))*(INDEX(avoidedcosttbl2,$H145,BO$2)+(($H145-ROUNDDOWN($H145,0))*(INDEX(avoidedcosttbl2,ROUNDUP($H145,0),BO$2)-(INDEX(avoidedcosttbl2,ROUNDDOWN($H145,0),BO$2)))))*'Inputs Yr 2'!P145*'Inputs Yr 2'!Q145*'Inputs Yr 2'!U145,"")</f>
        <v/>
      </c>
      <c r="BP145" s="195" t="str">
        <f>IFERROR($G145*(IF('Inputs Yr 2'!$AJ145=BP$4,'Inputs Yr 2'!$AK145,IF('Inputs Yr 2'!$AL145=BP$4,'Inputs Yr 2'!$AM145,IF('Inputs Yr 2'!$AN145=BP$4,'Inputs Yr 2'!$AO145,0))))*(INDEX(avoidedcosttbl2,$H145,BP$2)+(($H145-ROUNDDOWN($H145,0))*(INDEX(avoidedcosttbl2,ROUNDUP($H145,0),BP$2)-(INDEX(avoidedcosttbl2,ROUNDDOWN($H145,0),BP$2)))))*'Inputs Yr 2'!P145*'Inputs Yr 2'!Q145*'Inputs Yr 2'!U145,"")</f>
        <v/>
      </c>
      <c r="BQ145" s="230">
        <f t="shared" si="98"/>
        <v>0</v>
      </c>
      <c r="BR145" s="197" t="str">
        <f t="shared" si="82"/>
        <v/>
      </c>
      <c r="BS145" s="197" t="str">
        <f>IFERROR(($G145*IF('Inputs Yr 2'!$AJ145=BM$4,'Inputs Yr 2'!$AK145,IF('Inputs Yr 2'!$AL145=BM$4,'Inputs Yr 2'!$AM145,IF('Inputs Yr 2'!$AN145=BM$4,'Inputs Yr 2'!$AO145,0))))*(INDEX(avoidedcosttbl2,$H145,BS$2)+(($H145-ROUNDDOWN($H145,0))*(INDEX(avoidedcosttbl2,ROUNDUP($H145,0),BS$2)-(INDEX(avoidedcosttbl2,ROUNDDOWN($H145,0),BS$2)))))*'Inputs Yr 2'!P145*'Inputs Yr 2'!Q145*'Inputs Yr 2'!U145,"")</f>
        <v/>
      </c>
      <c r="BT145" s="197" t="str">
        <f>IFERROR(($G145*IF('Inputs Yr 2'!$AJ145=BK$4,'Inputs Yr 2'!$AK145,IF('Inputs Yr 2'!$AL145=BK$4,'Inputs Yr 2'!$AM145,IF('Inputs Yr 2'!$AN145=BK$4,'Inputs Yr 2'!$AO145,0))))*(INDEX(avoidedcosttbl2,$H145,BT$2)+(($H145-ROUNDDOWN($H145,0))*(INDEX(avoidedcosttbl2,ROUNDUP($H145,0),BT$2)-(INDEX(avoidedcosttbl2,ROUNDDOWN($H145,0),BT$2)))))*'Inputs Yr 2'!P145*'Inputs Yr 2'!Q145*'Inputs Yr 2'!U145,"")</f>
        <v/>
      </c>
      <c r="BU145" s="197" t="str">
        <f>IFERROR(($G145*IF('Inputs Yr 2'!$AJ145=BL$4,'Inputs Yr 2'!$AK145,IF('Inputs Yr 2'!$AL145=BL$4,'Inputs Yr 2'!$AM145,IF('Inputs Yr 2'!$AN145=BL$4,'Inputs Yr 2'!$AO145,0))))*(INDEX(avoidedcosttbl2,$H145,BU$2)+(($H145-ROUNDDOWN($H145,0))*(INDEX(avoidedcosttbl2,ROUNDUP($H145,0),BU$2)-(INDEX(avoidedcosttbl2,ROUNDDOWN($H145,0),BU$2)))))*'Inputs Yr 2'!P145*'Inputs Yr 2'!Q145*'Inputs Yr 2'!U145,"")</f>
        <v/>
      </c>
      <c r="BV145" s="775" t="str">
        <f>IFERROR(($G145*IF('Inputs Yr 2'!$AJ145=BJ$4,'Inputs Yr 2'!$AK145,IF('Inputs Yr 2'!$AL145=BJ$4,'Inputs Yr 2'!$AM145,IF('Inputs Yr 2'!$AN145=BJ$4,'Inputs Yr 2'!$AO145,0))))*(INDEX(avoidedcosttbl2,$H145,BV$2)+(($H145-ROUNDDOWN($H145,0))*(INDEX(avoidedcosttbl2,ROUNDUP($H145,0),BV$2)-(INDEX(avoidedcosttbl2,ROUNDDOWN($H145,0),BV$2)))))*'Inputs Yr 2'!P145*'Inputs Yr 2'!Q145*'Inputs Yr 2'!U145,"")</f>
        <v/>
      </c>
      <c r="BW145" s="197" t="str">
        <f>IFERROR(($G145*IF('Inputs Yr 2'!$AJ145=BN$4,'Inputs Yr 2'!$AK145,IF('Inputs Yr 2'!$AL145=BN$4,'Inputs Yr 2'!$AM145,IF('Inputs Yr 2'!$AN145=BN$4,'Inputs Yr 2'!$AO145,0))))*(INDEX(avoidedcosttbl2,$H145,BW$2)+(($H145-ROUNDDOWN($H145,0))*(INDEX(avoidedcosttbl2,ROUNDUP($H145,0),BW$2)-(INDEX(avoidedcosttbl2,ROUNDDOWN($H145,0),BW$2)))))*'Inputs Yr 2'!P145*'Inputs Yr 2'!Q145*'Inputs Yr 2'!U145,"")</f>
        <v/>
      </c>
      <c r="BX145" s="197" t="str">
        <f>IFERROR(($G145*IF('Inputs Yr 2'!$AJ145=BO$4,'Inputs Yr 2'!$AK145,IF('Inputs Yr 2'!$AL145=BO$4,'Inputs Yr 2'!$AM145,IF('Inputs Yr 2'!$AN145=BO$4,'Inputs Yr 2'!$AO145,0))))*(INDEX(avoidedcosttbl2,$H145,BX$2)+(($H145-ROUNDDOWN($H145,0))*(INDEX(avoidedcosttbl2,ROUNDUP($H145,0),BX$2)-(INDEX(avoidedcosttbl2,ROUNDDOWN($H145,0),BX$2)))))*'Inputs Yr 2'!P145*'Inputs Yr 2'!Q145*'Inputs Yr 2'!U145,"")</f>
        <v/>
      </c>
      <c r="BY145" s="197" t="str">
        <f>IFERROR(($G145*IF('Inputs Yr 2'!$AJ145=BP$4,'Inputs Yr 2'!$AK145,IF('Inputs Yr 2'!$AL145=BP$4,'Inputs Yr 2'!$AM145,IF('Inputs Yr 2'!$AN145=BP$4,'Inputs Yr 2'!$AO145,0))))*(INDEX(avoidedcosttbl2,$H145,BY$2)+(($H145-ROUNDDOWN($H145,0))*(INDEX(avoidedcosttbl2,ROUNDUP($H145,0),BY$2)-(INDEX(avoidedcosttbl2,ROUNDDOWN($H145,0),BY$2)))))*'Inputs Yr 2'!P145*'Inputs Yr 2'!Q145*'Inputs Yr 2'!U145,"")</f>
        <v/>
      </c>
      <c r="BZ145" s="193">
        <f t="shared" si="99"/>
        <v>0</v>
      </c>
      <c r="CA145" s="193">
        <f t="shared" si="100"/>
        <v>0</v>
      </c>
      <c r="CB145" s="195" t="str">
        <f>IFERROR(G145*(IF('Inputs Yr 2'!$AJ145=CB$4,'Inputs Yr 2'!$AK145,IF('Inputs Yr 2'!$AL145=CB$4,'Inputs Yr 2'!$AM145,IF('Inputs Yr 2'!$AN145=CB$4,'Inputs Yr 2'!$AO145,0))))*(INDEX(avoidedcosttbl2,$H145,CB$2)+(($H145-ROUNDDOWN($H145,0))*(INDEX(avoidedcosttbl2,ROUNDUP($H145,0),CB$2)-(INDEX(avoidedcosttbl2,ROUNDDOWN($H145,0),CB$2)))))*'Inputs Yr 2'!P145*'Inputs Yr 2'!Q145*'Inputs Yr 2'!U145,"")</f>
        <v/>
      </c>
      <c r="CC145" s="195" t="str">
        <f>IFERROR(H145*(IF('Inputs Yr 2'!$AJ145=CC$4,'Inputs Yr 2'!$AK145,IF('Inputs Yr 2'!$AL145=CC$4,'Inputs Yr 2'!$AM145,IF('Inputs Yr 2'!$AN145=CC$4,'Inputs Yr 2'!$AO145,0))))*(INDEX(avoidedcosttbl2,$H145,CC$2)+(($H145-ROUNDDOWN($H145,0))*(INDEX(avoidedcosttbl2,ROUNDUP($H145,0),CC$2)-(INDEX(avoidedcosttbl2,ROUNDDOWN($H145,0),CC$2)))))*'Inputs Yr 2'!Q145*'Inputs Yr 2'!R145*'Inputs Yr 2'!V145,"")</f>
        <v/>
      </c>
      <c r="CD145" s="195" t="str">
        <f>IFERROR(I145*(IF('Inputs Yr 2'!$AJ145=CD$4,'Inputs Yr 2'!$AK145,IF('Inputs Yr 2'!$AL145=CD$4,'Inputs Yr 2'!$AM145,IF('Inputs Yr 2'!$AN145=CD$4,'Inputs Yr 2'!$AO145,0))))*(INDEX(avoidedcosttbl2,$H145,CD$2)+(($H145-ROUNDDOWN($H145,0))*(INDEX(avoidedcosttbl2,ROUNDUP($H145,0),CD$2)-(INDEX(avoidedcosttbl2,ROUNDDOWN($H145,0),CD$2)))))*'Inputs Yr 2'!R145*'Inputs Yr 2'!S145*'Inputs Yr 2'!W145,"")</f>
        <v/>
      </c>
      <c r="CE145" s="213" t="str">
        <f t="shared" si="101"/>
        <v/>
      </c>
      <c r="CF145" s="213" t="str">
        <f t="shared" si="102"/>
        <v/>
      </c>
      <c r="CG145" s="213" t="str">
        <f t="shared" si="103"/>
        <v/>
      </c>
      <c r="CH145" s="698">
        <f t="shared" si="104"/>
        <v>0</v>
      </c>
      <c r="CI145" s="79" t="str">
        <f>IFERROR(($G145*'Inputs Yr 2'!$P145*'Inputs Yr 2'!$Q145*(((INDEX(avoidedcosttbl2,$H145,CI$2)+(($H145-ROUNDDOWN($H145,0))*(INDEX(avoidedcosttbl2,ROUNDUP($H145,0),CI$2)-INDEX(avoidedcosttbl2,ROUNDDOWN($H145,0),CI$2))))*'Inputs Yr 2'!AS145))),"")</f>
        <v/>
      </c>
      <c r="CJ145" s="504" t="str">
        <f>IFERROR($G145*'Inputs Yr 2'!AT145*'Inputs Yr 2'!$P145*'Inputs Yr 2'!$Q145/((1+realdiscrt1)^-0.5),"")</f>
        <v/>
      </c>
      <c r="CK145" s="79" t="str">
        <f>IFERROR((O145*1000*(((INDEX(avoidedcosttbl2,$H145,CK$2)+(($H145-ROUNDDOWN($H145,0))*(INDEX(avoidedcosttbl2,ROUNDUP($H145,0),CK$2)-INDEX(avoidedcosttbl2,ROUNDDOWN($H145,0),CK$2))))*'Inputs Yr 2'!AU145))),"")</f>
        <v/>
      </c>
      <c r="CL145" s="504" t="str">
        <f>IFERROR(O145*1000*'Inputs Yr 2'!AV145/((1+realdiscrt1)^-0.5),"")</f>
        <v/>
      </c>
      <c r="CM145" s="79" t="str">
        <f>IFERROR((AB145*'Inputs Yr 2'!AW145*(((INDEX(avoidedcosttbl2,$H145,CM$2)+(($H145-ROUNDDOWN($H145,0))*(INDEX(avoidedcosttbl2,ROUNDUP($H145,0),CM$2)-INDEX(avoidedcosttbl2,ROUNDDOWN($H145,0),CM$2)))))))*10,"")</f>
        <v/>
      </c>
      <c r="CN145" s="504">
        <f>IFERROR(10*AB145*'Inputs Yr 2'!AX145/((1+realdiscrt1)^-0.5),"")</f>
        <v>0</v>
      </c>
      <c r="CO145" s="505">
        <f t="shared" si="105"/>
        <v>0</v>
      </c>
      <c r="CP145" s="230">
        <f t="shared" si="106"/>
        <v>0</v>
      </c>
      <c r="CQ145" s="199">
        <f>ROUND(IFERROR(IF(LEFT($A145,1)="C",'Avoided Costs'!$K$13,'Avoided Costs'!$K$12)+1,""),4)</f>
        <v>1.0720000000000001</v>
      </c>
      <c r="CR145" s="199">
        <f>ROUND(IFERROR(IF(LEFT($A145,1)="C",'Avoided Costs'!$L$13,'Avoided Costs'!$L$12)+1,""),4)</f>
        <v>1.04</v>
      </c>
      <c r="CS145" s="199">
        <f>ROUND(IFERROR(IF(LEFT($A145,1)="C",'Avoided Costs'!$M$13,'Avoided Costs'!$M$12)+1,""),4)</f>
        <v>1.0720000000000001</v>
      </c>
      <c r="CT145" s="199">
        <f>ROUND(IFERROR(IF(LEFT($A145,1)="C",'Avoided Costs'!$N$13,'Avoided Costs'!$N$12)+1,""),4)</f>
        <v>1.04</v>
      </c>
      <c r="CU145" s="199">
        <f>ROUND(IFERROR(IF(LEFT($A145,1)="C",'Avoided Costs'!$O$13,'Avoided Costs'!$O$12)+1,""),4)</f>
        <v>1.1120000000000001</v>
      </c>
      <c r="CV145" s="199">
        <f>ROUND(IFERROR(IF(LEFT($A145,1)="C",'Avoided Costs'!$P$13,'Avoided Costs'!$P$12)+1,""),4)</f>
        <v>1.095</v>
      </c>
      <c r="CW145" s="199">
        <f>ROUND(IFERROR(IF(LEFT($A145,1)="C",'Avoided Costs'!$Q$13,'Avoided Costs'!$Q$12)+1,""),4)</f>
        <v>1.1120000000000001</v>
      </c>
      <c r="CX145" s="200">
        <f>ROUND(IFERROR(IF(LEFT($A145,1)="C",'Avoided Costs'!$R$13,'Avoided Costs'!$R$12)+1,""),4)</f>
        <v>1.1120000000000001</v>
      </c>
    </row>
    <row r="146" spans="1:102" ht="12.75" customHeight="1">
      <c r="A146" s="91" t="str">
        <f>IF('Inputs Yr 2'!$B146=0,"",'Inputs Yr 2'!A146)</f>
        <v>B - Low Income</v>
      </c>
      <c r="B146" s="91" t="str">
        <f>IF('Inputs Yr 2'!$B146=0,"",'Inputs Yr 2'!B146)</f>
        <v>B1 - Low-Income Whole House</v>
      </c>
      <c r="C146" s="91" t="str">
        <f>IF('Inputs Yr 2'!$B146=0,"",'Inputs Yr 2'!C146)</f>
        <v>B1b - Low-Income Multi-Family Retrofit</v>
      </c>
      <c r="D146" s="91" t="str">
        <f>IF('Inputs Yr 2'!$B146=0,"",'Inputs Yr 2'!E146)</f>
        <v>Custom/Future</v>
      </c>
      <c r="E146" s="93">
        <f>IF('Inputs Yr 2'!$B146=0,"",'Inputs Yr 2'!F146)</f>
        <v>0</v>
      </c>
      <c r="F146" s="93">
        <f>IF('Inputs Yr 2'!$B146=0,"",'Inputs Yr 2'!G146)</f>
        <v>0</v>
      </c>
      <c r="G146" s="95" t="str">
        <f>IF('Inputs Yr 2'!$H146&lt;&gt;0,('Inputs Yr 2'!H146),"")</f>
        <v/>
      </c>
      <c r="H146" s="94">
        <f>IFERROR('Inputs Yr 2'!I146,"")</f>
        <v>0</v>
      </c>
      <c r="I146" s="298" t="str">
        <f>IFERROR('Inputs Yr 2'!J146*'Inputs Yr 2'!P146*G146,"")</f>
        <v/>
      </c>
      <c r="J146" s="298" t="str">
        <f>IFERROR('Inputs Yr 2'!K146*G146,"")</f>
        <v/>
      </c>
      <c r="K146" s="298" t="str">
        <f t="shared" si="83"/>
        <v/>
      </c>
      <c r="L146" s="194" t="str">
        <f>IFERROR(('Inputs Yr 2'!W146*G146)/1000,"")</f>
        <v/>
      </c>
      <c r="M146" s="194" t="str">
        <f>IFERROR(L146*('Inputs Yr 2'!$Q146*'Inputs Yr 2'!$V146*'Inputs Yr 2'!$R146),"")</f>
        <v/>
      </c>
      <c r="N146" s="194" t="str">
        <f t="shared" si="84"/>
        <v/>
      </c>
      <c r="O146" s="194" t="str">
        <f>IFERROR(M146*'Inputs Yr 2'!P146,"")</f>
        <v/>
      </c>
      <c r="P146" s="194" t="str">
        <f t="shared" si="85"/>
        <v/>
      </c>
      <c r="Q146" s="194" t="str">
        <f>IFERROR($P146*'Inputs Yr 2'!AA146,"")</f>
        <v/>
      </c>
      <c r="R146" s="194" t="str">
        <f>IFERROR($P146*'Inputs Yr 2'!AB146,"")</f>
        <v/>
      </c>
      <c r="S146" s="194" t="str">
        <f>IFERROR($P146*'Inputs Yr 2'!AC146,"")</f>
        <v/>
      </c>
      <c r="T146" s="194" t="str">
        <f>IFERROR($P146*'Inputs Yr 2'!AD146,"")</f>
        <v/>
      </c>
      <c r="U146" s="194" t="str">
        <f>IFERROR(G146*'Inputs Yr 2'!$AE146*'Inputs Yr 2'!$P146*'Inputs Yr 2'!$Q146,"")</f>
        <v/>
      </c>
      <c r="V146" s="194" t="str">
        <f>IFERROR($G146*'Inputs Yr 2'!$AE146*'Inputs Yr 2'!$AG146*'Inputs Yr 2'!Q146*'Inputs Yr 2'!$S146,"")</f>
        <v/>
      </c>
      <c r="W146" s="194" t="str">
        <f>IFERROR($G146*'Inputs Yr 2'!$AE146*'Inputs Yr 2'!$AG146*'Inputs Yr 2'!P146*'Inputs Yr 2'!Q146*'Inputs Yr 2'!$S146,"")</f>
        <v/>
      </c>
      <c r="X146" s="194" t="str">
        <f>IFERROR($G146*'Inputs Yr 2'!$AE146*'Inputs Yr 2'!$AF146*'Inputs Yr 2'!Q146*'Inputs Yr 2'!$T146,"")</f>
        <v/>
      </c>
      <c r="Y146" s="194" t="str">
        <f>IFERROR($G146*'Inputs Yr 2'!$AE146*'Inputs Yr 2'!$AF146*'Inputs Yr 2'!P146*'Inputs Yr 2'!Q146*'Inputs Yr 2'!$T146,"")</f>
        <v/>
      </c>
      <c r="Z146" s="257">
        <f>IFERROR($G146*'Inputs Yr 2'!$Q146*'Inputs Yr 2'!$U146*(IF(IFERROR(SEARCH("NG", 'Inputs Yr 2'!$AJ146),0),'Inputs Yr 2'!$AK146,0)+IF(IFERROR(SEARCH("NG", 'Inputs Yr 2'!$AL146),0),'Inputs Yr 2'!$AM146,0)+IF(IFERROR(SEARCH("NG", 'Inputs Yr 2'!$AN146),0),'Inputs Yr 2'!$AO146,0)),0)</f>
        <v>0</v>
      </c>
      <c r="AA146" s="257">
        <f t="shared" si="86"/>
        <v>0</v>
      </c>
      <c r="AB146" s="257">
        <f>IFERROR(Z146*'Inputs Yr 2'!$P146,0)</f>
        <v>0</v>
      </c>
      <c r="AC146" s="257">
        <f t="shared" si="87"/>
        <v>0</v>
      </c>
      <c r="AD146" s="257">
        <f>IFERROR($G146*'Inputs Yr 2'!$Q146*'Inputs Yr 2'!$U146*(IF(IFERROR(SEARCH("Oil", 'Inputs Yr 2'!$AJ146), 0),'Inputs Yr 2'!$AK146,0)+IF(IFERROR(SEARCH("Oil", 'Inputs Yr 2'!$AL146), 0),'Inputs Yr 2'!$AM146,0)+IF(IFERROR(SEARCH("Oil", 'Inputs Yr 2'!$AN146), 0),'Inputs Yr 2'!$AO146,0)),0)</f>
        <v>0</v>
      </c>
      <c r="AE146" s="257">
        <f t="shared" si="88"/>
        <v>0</v>
      </c>
      <c r="AF146" s="257">
        <f>IFERROR(AD146*'Inputs Yr 2'!$P146,0)</f>
        <v>0</v>
      </c>
      <c r="AG146" s="257">
        <f t="shared" si="89"/>
        <v>0</v>
      </c>
      <c r="AH146" s="257">
        <f>IFERROR($G146*'Inputs Yr 2'!$Q146*'Inputs Yr 2'!$U146*(IF('Inputs Yr 2'!$AJ146=CD$4,'Inputs Yr 2'!$AK146,IF('Inputs Yr 2'!$AL146=CD$4,'Inputs Yr 2'!$AM146,IF('Inputs Yr 2'!$AN146=CD$4,'Inputs Yr 2'!$AO146,0)))),0)</f>
        <v>0</v>
      </c>
      <c r="AI146" s="257">
        <f t="shared" si="90"/>
        <v>0</v>
      </c>
      <c r="AJ146" s="257">
        <f>IFERROR(AH146*'Inputs Yr 2'!$P146,0)</f>
        <v>0</v>
      </c>
      <c r="AK146" s="257">
        <f t="shared" si="91"/>
        <v>0</v>
      </c>
      <c r="AL146" s="258">
        <f>IFERROR($G146*'Inputs Yr 2'!$P146*'Inputs Yr 2'!$Q146*'Inputs Yr 2'!AP146,0)</f>
        <v>0</v>
      </c>
      <c r="AM146" s="260">
        <f>IFERROR($G146*'Inputs Yr 2'!$P146*'Inputs Yr 2'!$Q146*'Inputs Yr 2'!AQ146,0)</f>
        <v>0</v>
      </c>
      <c r="AN146" s="258">
        <f>IFERROR($G146*'Inputs Yr 2'!$P146*'Inputs Yr 2'!$Q146*'Inputs Yr 2'!AR146,0)</f>
        <v>0</v>
      </c>
      <c r="AO146" s="257">
        <f t="shared" si="92"/>
        <v>0</v>
      </c>
      <c r="AP146" s="195" t="str">
        <f>IFERROR($CQ146*(INDEX(avoidedcosttbl2,$H146,AP$2)+(($H146-ROUNDDOWN($H146,0))*(INDEX(avoidedcosttbl2,ROUNDUP($H146,0),AP$2)-(INDEX(avoidedcosttbl2,ROUNDDOWN($H146,0),AP$2)))))*$O146*1000*'Inputs Yr 2'!AA146,"")</f>
        <v/>
      </c>
      <c r="AQ146" s="195" t="str">
        <f>IFERROR($CR146*(INDEX(avoidedcosttbl2,$H146,AQ$2)+(($H146-ROUNDDOWN($H146,0))*(INDEX(avoidedcosttbl2,ROUNDUP($H146,0),AQ$2)-(INDEX(avoidedcosttbl2,ROUNDDOWN($H146,0),AQ$2)))))*$O146*1000*'Inputs Yr 2'!AB146,"")</f>
        <v/>
      </c>
      <c r="AR146" s="195" t="str">
        <f>IFERROR($CS146*(INDEX(avoidedcosttbl2,$H146,AR$2)+(($H146-ROUNDDOWN($H146,0))*(INDEX(avoidedcosttbl2,ROUNDUP($H146,0),AR$2)-(INDEX(avoidedcosttbl2,ROUNDDOWN($H146,0),AR$2)))))*$O146*1000*'Inputs Yr 2'!AC146,"")</f>
        <v/>
      </c>
      <c r="AS146" s="195" t="str">
        <f>IFERROR($CT146*(INDEX(avoidedcosttbl2,$H146,AS$2)+(($H146-ROUNDDOWN($H146,0))*(INDEX(avoidedcosttbl2,ROUNDUP($H146,0),AS$2)-(INDEX(avoidedcosttbl2,ROUNDDOWN($H146,0),AS$2)))))*$O146*1000*'Inputs Yr 2'!AD146,"")</f>
        <v/>
      </c>
      <c r="AT146" s="196">
        <f t="shared" si="93"/>
        <v>0</v>
      </c>
      <c r="AU146" s="197" t="str">
        <f>IFERROR($CQ146*((INDEX(avoidedcosttbl2,$H146,AU$2))+(($H146-ROUNDDOWN($H146,0))*((INDEX(avoidedcosttbl2,ROUNDUP($H146,0),AU$2))-(INDEX(avoidedcosttbl2,ROUNDDOWN($H146,0),AU$2)))))*$O146*1000*'Inputs Yr 2'!AA146,"")</f>
        <v/>
      </c>
      <c r="AV146" s="197" t="str">
        <f>IFERROR($CR146*((INDEX(avoidedcosttbl2,$H146,AV$2))+(($H146-ROUNDDOWN($H146,0))*((INDEX(avoidedcosttbl2,ROUNDUP($H146,0),AV$2))-(INDEX(avoidedcosttbl2,ROUNDDOWN($H146,0),AV$2)))))*$O146*1000*'Inputs Yr 2'!AB146,"")</f>
        <v/>
      </c>
      <c r="AW146" s="197" t="str">
        <f>IFERROR($CS146*((INDEX(avoidedcosttbl2,$H146,AW$2))+(($H146-ROUNDDOWN($H146,0))*((INDEX(avoidedcosttbl2,ROUNDUP($H146,0),AW$2))-(INDEX(avoidedcosttbl2,ROUNDDOWN($H146,0),AW$2)))))*$O146*1000*'Inputs Yr 2'!AC146,"")</f>
        <v/>
      </c>
      <c r="AX146" s="197" t="str">
        <f>IFERROR($CT146*((INDEX(avoidedcosttbl2,$H146,AX$2))+(($H146-ROUNDDOWN($H146,0))*((INDEX(avoidedcosttbl2,ROUNDUP($H146,0),AX$2))-(INDEX(avoidedcosttbl2,ROUNDDOWN($H146,0),AX$2)))))*$O146*1000*'Inputs Yr 2'!AD146,"")</f>
        <v/>
      </c>
      <c r="AY146" s="197" t="str">
        <f>IFERROR(((INDEX(avoidedcosttbl2,$H146,AY$2))+(($H146-ROUNDDOWN($H146,0))*((INDEX(avoidedcosttbl2,ROUNDUP($H146,0),AY$2))-(INDEX(avoidedcosttbl2,ROUNDDOWN($H146,0),AY$2)))))*$O146*1000*('Inputs Yr 2'!AC146+'Inputs Yr 2'!AD146),"")</f>
        <v/>
      </c>
      <c r="AZ146" s="197" t="str">
        <f>IFERROR(((INDEX(avoidedcosttbl2,$H146,AZ$2))+(($H146-ROUNDDOWN($H146,0))*((INDEX(avoidedcosttbl2,ROUNDUP($H146,0),AZ$2))-(INDEX(avoidedcosttbl2,ROUNDDOWN($H146,0),AZ$2)))))*$O146*1000*('Inputs Yr 2'!AA146+'Inputs Yr 2'!AB146),"")</f>
        <v/>
      </c>
      <c r="BA146" s="198">
        <f t="shared" si="94"/>
        <v>0</v>
      </c>
      <c r="BB146" s="198">
        <f t="shared" si="95"/>
        <v>0</v>
      </c>
      <c r="BC146" s="195" t="str">
        <f t="shared" si="77"/>
        <v/>
      </c>
      <c r="BD146" s="195" t="str">
        <f t="shared" si="78"/>
        <v/>
      </c>
      <c r="BE146" s="195" t="str">
        <f t="shared" si="79"/>
        <v/>
      </c>
      <c r="BF146" s="195" t="str">
        <f t="shared" si="80"/>
        <v/>
      </c>
      <c r="BG146" s="195" t="str">
        <f t="shared" si="81"/>
        <v/>
      </c>
      <c r="BH146" s="196">
        <f t="shared" si="96"/>
        <v>0</v>
      </c>
      <c r="BI146" s="196">
        <f t="shared" si="97"/>
        <v>0</v>
      </c>
      <c r="BJ146" s="195" t="str">
        <f>IFERROR($G146*(IF('Inputs Yr 2'!$AJ146=BJ$4,'Inputs Yr 2'!$AK146,IF('Inputs Yr 2'!$AL146=BJ$4,'Inputs Yr 2'!$AM146,IF('Inputs Yr 2'!$AN146=BJ$4,'Inputs Yr 2'!$AO146,0))))*(INDEX(avoidedcosttbl2,$H146,BJ$2)+(($H146-ROUNDDOWN($H146,0))*(INDEX(avoidedcosttbl2,ROUNDUP($H146,0),BJ$2)-(INDEX(avoidedcosttbl2,ROUNDDOWN($H146,0),BJ$2)))))*'Inputs Yr 2'!P146*'Inputs Yr 2'!Q146*'Inputs Yr 2'!U146,"")</f>
        <v/>
      </c>
      <c r="BK146" s="195" t="str">
        <f>IFERROR($G146*(IF('Inputs Yr 2'!$AJ146=BK$4,'Inputs Yr 2'!$AK146,IF('Inputs Yr 2'!$AL146=BK$4,'Inputs Yr 2'!$AM146,IF('Inputs Yr 2'!$AN146=BK$4,'Inputs Yr 2'!$AO146,0))))*(INDEX(avoidedcosttbl2,$H146,BK$2)+(($H146-ROUNDDOWN($H146,0))*(INDEX(avoidedcosttbl2,ROUNDUP($H146,0),BK$2)-(INDEX(avoidedcosttbl2,ROUNDDOWN($H146,0),BK$2)))))*'Inputs Yr 2'!P146*'Inputs Yr 2'!Q146*'Inputs Yr 2'!U146,"")</f>
        <v/>
      </c>
      <c r="BL146" s="195" t="str">
        <f>IFERROR($G146*(IF('Inputs Yr 2'!$AJ146=BL$4,'Inputs Yr 2'!$AK146,IF('Inputs Yr 2'!$AL146=BL$4,'Inputs Yr 2'!$AM146,IF('Inputs Yr 2'!$AN146=BL$4,'Inputs Yr 2'!$AO146,0))))*(INDEX(avoidedcosttbl2,$H146,BL$2)+(($H146-ROUNDDOWN($H146,0))*(INDEX(avoidedcosttbl2,ROUNDUP($H146,0),BL$2)-(INDEX(avoidedcosttbl2,ROUNDDOWN($H146,0),BL$2)))))*'Inputs Yr 2'!P146*'Inputs Yr 2'!Q146*'Inputs Yr 2'!U146,"")</f>
        <v/>
      </c>
      <c r="BM146" s="195" t="str">
        <f>IFERROR($G146*(IF('Inputs Yr 2'!$AJ146=BM$4,'Inputs Yr 2'!$AK146,IF('Inputs Yr 2'!$AL146=BM$4,'Inputs Yr 2'!$AM146,IF('Inputs Yr 2'!$AN146=BM$4,'Inputs Yr 2'!$AO146,0))))*(INDEX(avoidedcosttbl2,$H146,BM$2)+(($H146-ROUNDDOWN($H146,0))*(INDEX(avoidedcosttbl2,ROUNDUP($H146,0),BM$2)-(INDEX(avoidedcosttbl2,ROUNDDOWN($H146,0),BM$2)))))*'Inputs Yr 2'!P146*'Inputs Yr 2'!Q146*'Inputs Yr 2'!U146,"")</f>
        <v/>
      </c>
      <c r="BN146" s="195" t="str">
        <f>IFERROR($G146*(IF('Inputs Yr 2'!$AJ146=BN$4,'Inputs Yr 2'!$AK146,IF('Inputs Yr 2'!$AL146=BN$4,'Inputs Yr 2'!$AM146,IF('Inputs Yr 2'!$AN146=BN$4,'Inputs Yr 2'!$AO146,0))))*(INDEX(avoidedcosttbl2,$H146,BN$2)+(($H146-ROUNDDOWN($H146,0))*(INDEX(avoidedcosttbl2,ROUNDUP($H146,0),BN$2)-(INDEX(avoidedcosttbl2,ROUNDDOWN($H146,0),BN$2)))))*'Inputs Yr 2'!P146*'Inputs Yr 2'!Q146*'Inputs Yr 2'!U146,"")</f>
        <v/>
      </c>
      <c r="BO146" s="195" t="str">
        <f>IFERROR($G146*(IF('Inputs Yr 2'!$AJ146=BO$4,'Inputs Yr 2'!$AK146,IF('Inputs Yr 2'!$AL146=BO$4,'Inputs Yr 2'!$AM146,IF('Inputs Yr 2'!$AN146=BO$4,'Inputs Yr 2'!$AO146,0))))*(INDEX(avoidedcosttbl2,$H146,BO$2)+(($H146-ROUNDDOWN($H146,0))*(INDEX(avoidedcosttbl2,ROUNDUP($H146,0),BO$2)-(INDEX(avoidedcosttbl2,ROUNDDOWN($H146,0),BO$2)))))*'Inputs Yr 2'!P146*'Inputs Yr 2'!Q146*'Inputs Yr 2'!U146,"")</f>
        <v/>
      </c>
      <c r="BP146" s="195" t="str">
        <f>IFERROR($G146*(IF('Inputs Yr 2'!$AJ146=BP$4,'Inputs Yr 2'!$AK146,IF('Inputs Yr 2'!$AL146=BP$4,'Inputs Yr 2'!$AM146,IF('Inputs Yr 2'!$AN146=BP$4,'Inputs Yr 2'!$AO146,0))))*(INDEX(avoidedcosttbl2,$H146,BP$2)+(($H146-ROUNDDOWN($H146,0))*(INDEX(avoidedcosttbl2,ROUNDUP($H146,0),BP$2)-(INDEX(avoidedcosttbl2,ROUNDDOWN($H146,0),BP$2)))))*'Inputs Yr 2'!P146*'Inputs Yr 2'!Q146*'Inputs Yr 2'!U146,"")</f>
        <v/>
      </c>
      <c r="BQ146" s="230">
        <f t="shared" si="98"/>
        <v>0</v>
      </c>
      <c r="BR146" s="197" t="str">
        <f t="shared" si="82"/>
        <v/>
      </c>
      <c r="BS146" s="197" t="str">
        <f>IFERROR(($G146*IF('Inputs Yr 2'!$AJ146=BM$4,'Inputs Yr 2'!$AK146,IF('Inputs Yr 2'!$AL146=BM$4,'Inputs Yr 2'!$AM146,IF('Inputs Yr 2'!$AN146=BM$4,'Inputs Yr 2'!$AO146,0))))*(INDEX(avoidedcosttbl2,$H146,BS$2)+(($H146-ROUNDDOWN($H146,0))*(INDEX(avoidedcosttbl2,ROUNDUP($H146,0),BS$2)-(INDEX(avoidedcosttbl2,ROUNDDOWN($H146,0),BS$2)))))*'Inputs Yr 2'!P146*'Inputs Yr 2'!Q146*'Inputs Yr 2'!U146,"")</f>
        <v/>
      </c>
      <c r="BT146" s="197" t="str">
        <f>IFERROR(($G146*IF('Inputs Yr 2'!$AJ146=BK$4,'Inputs Yr 2'!$AK146,IF('Inputs Yr 2'!$AL146=BK$4,'Inputs Yr 2'!$AM146,IF('Inputs Yr 2'!$AN146=BK$4,'Inputs Yr 2'!$AO146,0))))*(INDEX(avoidedcosttbl2,$H146,BT$2)+(($H146-ROUNDDOWN($H146,0))*(INDEX(avoidedcosttbl2,ROUNDUP($H146,0),BT$2)-(INDEX(avoidedcosttbl2,ROUNDDOWN($H146,0),BT$2)))))*'Inputs Yr 2'!P146*'Inputs Yr 2'!Q146*'Inputs Yr 2'!U146,"")</f>
        <v/>
      </c>
      <c r="BU146" s="197" t="str">
        <f>IFERROR(($G146*IF('Inputs Yr 2'!$AJ146=BL$4,'Inputs Yr 2'!$AK146,IF('Inputs Yr 2'!$AL146=BL$4,'Inputs Yr 2'!$AM146,IF('Inputs Yr 2'!$AN146=BL$4,'Inputs Yr 2'!$AO146,0))))*(INDEX(avoidedcosttbl2,$H146,BU$2)+(($H146-ROUNDDOWN($H146,0))*(INDEX(avoidedcosttbl2,ROUNDUP($H146,0),BU$2)-(INDEX(avoidedcosttbl2,ROUNDDOWN($H146,0),BU$2)))))*'Inputs Yr 2'!P146*'Inputs Yr 2'!Q146*'Inputs Yr 2'!U146,"")</f>
        <v/>
      </c>
      <c r="BV146" s="775" t="str">
        <f>IFERROR(($G146*IF('Inputs Yr 2'!$AJ146=BJ$4,'Inputs Yr 2'!$AK146,IF('Inputs Yr 2'!$AL146=BJ$4,'Inputs Yr 2'!$AM146,IF('Inputs Yr 2'!$AN146=BJ$4,'Inputs Yr 2'!$AO146,0))))*(INDEX(avoidedcosttbl2,$H146,BV$2)+(($H146-ROUNDDOWN($H146,0))*(INDEX(avoidedcosttbl2,ROUNDUP($H146,0),BV$2)-(INDEX(avoidedcosttbl2,ROUNDDOWN($H146,0),BV$2)))))*'Inputs Yr 2'!P146*'Inputs Yr 2'!Q146*'Inputs Yr 2'!U146,"")</f>
        <v/>
      </c>
      <c r="BW146" s="197" t="str">
        <f>IFERROR(($G146*IF('Inputs Yr 2'!$AJ146=BN$4,'Inputs Yr 2'!$AK146,IF('Inputs Yr 2'!$AL146=BN$4,'Inputs Yr 2'!$AM146,IF('Inputs Yr 2'!$AN146=BN$4,'Inputs Yr 2'!$AO146,0))))*(INDEX(avoidedcosttbl2,$H146,BW$2)+(($H146-ROUNDDOWN($H146,0))*(INDEX(avoidedcosttbl2,ROUNDUP($H146,0),BW$2)-(INDEX(avoidedcosttbl2,ROUNDDOWN($H146,0),BW$2)))))*'Inputs Yr 2'!P146*'Inputs Yr 2'!Q146*'Inputs Yr 2'!U146,"")</f>
        <v/>
      </c>
      <c r="BX146" s="197" t="str">
        <f>IFERROR(($G146*IF('Inputs Yr 2'!$AJ146=BO$4,'Inputs Yr 2'!$AK146,IF('Inputs Yr 2'!$AL146=BO$4,'Inputs Yr 2'!$AM146,IF('Inputs Yr 2'!$AN146=BO$4,'Inputs Yr 2'!$AO146,0))))*(INDEX(avoidedcosttbl2,$H146,BX$2)+(($H146-ROUNDDOWN($H146,0))*(INDEX(avoidedcosttbl2,ROUNDUP($H146,0),BX$2)-(INDEX(avoidedcosttbl2,ROUNDDOWN($H146,0),BX$2)))))*'Inputs Yr 2'!P146*'Inputs Yr 2'!Q146*'Inputs Yr 2'!U146,"")</f>
        <v/>
      </c>
      <c r="BY146" s="197" t="str">
        <f>IFERROR(($G146*IF('Inputs Yr 2'!$AJ146=BP$4,'Inputs Yr 2'!$AK146,IF('Inputs Yr 2'!$AL146=BP$4,'Inputs Yr 2'!$AM146,IF('Inputs Yr 2'!$AN146=BP$4,'Inputs Yr 2'!$AO146,0))))*(INDEX(avoidedcosttbl2,$H146,BY$2)+(($H146-ROUNDDOWN($H146,0))*(INDEX(avoidedcosttbl2,ROUNDUP($H146,0),BY$2)-(INDEX(avoidedcosttbl2,ROUNDDOWN($H146,0),BY$2)))))*'Inputs Yr 2'!P146*'Inputs Yr 2'!Q146*'Inputs Yr 2'!U146,"")</f>
        <v/>
      </c>
      <c r="BZ146" s="193">
        <f t="shared" si="99"/>
        <v>0</v>
      </c>
      <c r="CA146" s="193">
        <f t="shared" si="100"/>
        <v>0</v>
      </c>
      <c r="CB146" s="195" t="str">
        <f>IFERROR(G146*(IF('Inputs Yr 2'!$AJ146=CB$4,'Inputs Yr 2'!$AK146,IF('Inputs Yr 2'!$AL146=CB$4,'Inputs Yr 2'!$AM146,IF('Inputs Yr 2'!$AN146=CB$4,'Inputs Yr 2'!$AO146,0))))*(INDEX(avoidedcosttbl2,$H146,CB$2)+(($H146-ROUNDDOWN($H146,0))*(INDEX(avoidedcosttbl2,ROUNDUP($H146,0),CB$2)-(INDEX(avoidedcosttbl2,ROUNDDOWN($H146,0),CB$2)))))*'Inputs Yr 2'!P146*'Inputs Yr 2'!Q146*'Inputs Yr 2'!U146,"")</f>
        <v/>
      </c>
      <c r="CC146" s="195" t="str">
        <f>IFERROR(H146*(IF('Inputs Yr 2'!$AJ146=CC$4,'Inputs Yr 2'!$AK146,IF('Inputs Yr 2'!$AL146=CC$4,'Inputs Yr 2'!$AM146,IF('Inputs Yr 2'!$AN146=CC$4,'Inputs Yr 2'!$AO146,0))))*(INDEX(avoidedcosttbl2,$H146,CC$2)+(($H146-ROUNDDOWN($H146,0))*(INDEX(avoidedcosttbl2,ROUNDUP($H146,0),CC$2)-(INDEX(avoidedcosttbl2,ROUNDDOWN($H146,0),CC$2)))))*'Inputs Yr 2'!Q146*'Inputs Yr 2'!R146*'Inputs Yr 2'!V146,"")</f>
        <v/>
      </c>
      <c r="CD146" s="195" t="str">
        <f>IFERROR(I146*(IF('Inputs Yr 2'!$AJ146=CD$4,'Inputs Yr 2'!$AK146,IF('Inputs Yr 2'!$AL146=CD$4,'Inputs Yr 2'!$AM146,IF('Inputs Yr 2'!$AN146=CD$4,'Inputs Yr 2'!$AO146,0))))*(INDEX(avoidedcosttbl2,$H146,CD$2)+(($H146-ROUNDDOWN($H146,0))*(INDEX(avoidedcosttbl2,ROUNDUP($H146,0),CD$2)-(INDEX(avoidedcosttbl2,ROUNDDOWN($H146,0),CD$2)))))*'Inputs Yr 2'!R146*'Inputs Yr 2'!S146*'Inputs Yr 2'!W146,"")</f>
        <v/>
      </c>
      <c r="CE146" s="213" t="str">
        <f t="shared" si="101"/>
        <v/>
      </c>
      <c r="CF146" s="213" t="str">
        <f t="shared" si="102"/>
        <v/>
      </c>
      <c r="CG146" s="213" t="str">
        <f t="shared" si="103"/>
        <v/>
      </c>
      <c r="CH146" s="698">
        <f t="shared" si="104"/>
        <v>0</v>
      </c>
      <c r="CI146" s="79" t="str">
        <f>IFERROR(($G146*'Inputs Yr 2'!$P146*'Inputs Yr 2'!$Q146*(((INDEX(avoidedcosttbl2,$H146,CI$2)+(($H146-ROUNDDOWN($H146,0))*(INDEX(avoidedcosttbl2,ROUNDUP($H146,0),CI$2)-INDEX(avoidedcosttbl2,ROUNDDOWN($H146,0),CI$2))))*'Inputs Yr 2'!AS146))),"")</f>
        <v/>
      </c>
      <c r="CJ146" s="504" t="str">
        <f>IFERROR($G146*'Inputs Yr 2'!AT146*'Inputs Yr 2'!$P146*'Inputs Yr 2'!$Q146/((1+realdiscrt1)^-0.5),"")</f>
        <v/>
      </c>
      <c r="CK146" s="79" t="str">
        <f>IFERROR((O146*1000*(((INDEX(avoidedcosttbl2,$H146,CK$2)+(($H146-ROUNDDOWN($H146,0))*(INDEX(avoidedcosttbl2,ROUNDUP($H146,0),CK$2)-INDEX(avoidedcosttbl2,ROUNDDOWN($H146,0),CK$2))))*'Inputs Yr 2'!AU146))),"")</f>
        <v/>
      </c>
      <c r="CL146" s="504" t="str">
        <f>IFERROR(O146*1000*'Inputs Yr 2'!AV146/((1+realdiscrt1)^-0.5),"")</f>
        <v/>
      </c>
      <c r="CM146" s="79" t="str">
        <f>IFERROR((AB146*'Inputs Yr 2'!AW146*(((INDEX(avoidedcosttbl2,$H146,CM$2)+(($H146-ROUNDDOWN($H146,0))*(INDEX(avoidedcosttbl2,ROUNDUP($H146,0),CM$2)-INDEX(avoidedcosttbl2,ROUNDDOWN($H146,0),CM$2)))))))*10,"")</f>
        <v/>
      </c>
      <c r="CN146" s="504">
        <f>IFERROR(10*AB146*'Inputs Yr 2'!AX146/((1+realdiscrt1)^-0.5),"")</f>
        <v>0</v>
      </c>
      <c r="CO146" s="505">
        <f t="shared" si="105"/>
        <v>0</v>
      </c>
      <c r="CP146" s="230">
        <f t="shared" si="106"/>
        <v>0</v>
      </c>
      <c r="CQ146" s="199">
        <f>ROUND(IFERROR(IF(LEFT($A146,1)="C",'Avoided Costs'!$K$13,'Avoided Costs'!$K$12)+1,""),4)</f>
        <v>1.0720000000000001</v>
      </c>
      <c r="CR146" s="199">
        <f>ROUND(IFERROR(IF(LEFT($A146,1)="C",'Avoided Costs'!$L$13,'Avoided Costs'!$L$12)+1,""),4)</f>
        <v>1.04</v>
      </c>
      <c r="CS146" s="199">
        <f>ROUND(IFERROR(IF(LEFT($A146,1)="C",'Avoided Costs'!$M$13,'Avoided Costs'!$M$12)+1,""),4)</f>
        <v>1.0720000000000001</v>
      </c>
      <c r="CT146" s="199">
        <f>ROUND(IFERROR(IF(LEFT($A146,1)="C",'Avoided Costs'!$N$13,'Avoided Costs'!$N$12)+1,""),4)</f>
        <v>1.04</v>
      </c>
      <c r="CU146" s="199">
        <f>ROUND(IFERROR(IF(LEFT($A146,1)="C",'Avoided Costs'!$O$13,'Avoided Costs'!$O$12)+1,""),4)</f>
        <v>1.1120000000000001</v>
      </c>
      <c r="CV146" s="199">
        <f>ROUND(IFERROR(IF(LEFT($A146,1)="C",'Avoided Costs'!$P$13,'Avoided Costs'!$P$12)+1,""),4)</f>
        <v>1.095</v>
      </c>
      <c r="CW146" s="199">
        <f>ROUND(IFERROR(IF(LEFT($A146,1)="C",'Avoided Costs'!$Q$13,'Avoided Costs'!$Q$12)+1,""),4)</f>
        <v>1.1120000000000001</v>
      </c>
      <c r="CX146" s="200">
        <f>ROUND(IFERROR(IF(LEFT($A146,1)="C",'Avoided Costs'!$R$13,'Avoided Costs'!$R$12)+1,""),4)</f>
        <v>1.1120000000000001</v>
      </c>
    </row>
    <row r="147" spans="1:102" ht="12.75" customHeight="1">
      <c r="A147" s="91" t="str">
        <f>IF('Inputs Yr 2'!$B147=0,"",'Inputs Yr 2'!A147)</f>
        <v>C - Commercial &amp; Industrial</v>
      </c>
      <c r="B147" s="91" t="str">
        <f>IF('Inputs Yr 2'!$B147=0,"",'Inputs Yr 2'!B147)</f>
        <v>C1 - C&amp;I New Construction</v>
      </c>
      <c r="C147" s="91" t="str">
        <f>IF('Inputs Yr 2'!$B147=0,"",'Inputs Yr 2'!C147)</f>
        <v>C1a - C&amp;I New Buildings &amp; Major Renovations</v>
      </c>
      <c r="D147" s="91" t="str">
        <f>IF('Inputs Yr 2'!$B147=0,"",'Inputs Yr 2'!E147)</f>
        <v>Comprehensive Design - Custom 15</v>
      </c>
      <c r="E147" s="93" t="str">
        <f>IF('Inputs Yr 2'!$B147=0,"",'Inputs Yr 2'!F147)</f>
        <v>G16C1a01</v>
      </c>
      <c r="F147" s="93" t="str">
        <f>IF('Inputs Yr 2'!$B147=0,"",'Inputs Yr 2'!G147)</f>
        <v>Custom Measures</v>
      </c>
      <c r="G147" s="95">
        <f>IF('Inputs Yr 2'!$H147&lt;&gt;0,('Inputs Yr 2'!H147),"")</f>
        <v>1</v>
      </c>
      <c r="H147" s="94">
        <f>IFERROR('Inputs Yr 2'!I147,"")</f>
        <v>15</v>
      </c>
      <c r="I147" s="298">
        <f>IFERROR('Inputs Yr 2'!J147*'Inputs Yr 2'!P147*G147,"")</f>
        <v>52110.240800000007</v>
      </c>
      <c r="J147" s="298">
        <f>IFERROR('Inputs Yr 2'!K147*G147,"")</f>
        <v>42527.4</v>
      </c>
      <c r="K147" s="298">
        <f t="shared" si="83"/>
        <v>9582.8408000000054</v>
      </c>
      <c r="L147" s="194">
        <f>IFERROR(('Inputs Yr 2'!W147*G147)/1000,"")</f>
        <v>0</v>
      </c>
      <c r="M147" s="194">
        <f>IFERROR(L147*('Inputs Yr 2'!$Q147*'Inputs Yr 2'!$V147*'Inputs Yr 2'!$R147),"")</f>
        <v>0</v>
      </c>
      <c r="N147" s="194">
        <f t="shared" si="84"/>
        <v>0</v>
      </c>
      <c r="O147" s="194">
        <f>IFERROR(M147*'Inputs Yr 2'!P147,"")</f>
        <v>0</v>
      </c>
      <c r="P147" s="194">
        <f t="shared" si="85"/>
        <v>0</v>
      </c>
      <c r="Q147" s="194">
        <f>IFERROR($P147*'Inputs Yr 2'!AA147,"")</f>
        <v>0</v>
      </c>
      <c r="R147" s="194">
        <f>IFERROR($P147*'Inputs Yr 2'!AB147,"")</f>
        <v>0</v>
      </c>
      <c r="S147" s="194">
        <f>IFERROR($P147*'Inputs Yr 2'!AC147,"")</f>
        <v>0</v>
      </c>
      <c r="T147" s="194">
        <f>IFERROR($P147*'Inputs Yr 2'!AD147,"")</f>
        <v>0</v>
      </c>
      <c r="U147" s="194">
        <f>IFERROR(G147*'Inputs Yr 2'!$AE147*'Inputs Yr 2'!$P147*'Inputs Yr 2'!$Q147,"")</f>
        <v>0</v>
      </c>
      <c r="V147" s="194">
        <f>IFERROR($G147*'Inputs Yr 2'!$AE147*'Inputs Yr 2'!$AG147*'Inputs Yr 2'!Q147*'Inputs Yr 2'!$S147,"")</f>
        <v>0</v>
      </c>
      <c r="W147" s="194">
        <f>IFERROR($G147*'Inputs Yr 2'!$AE147*'Inputs Yr 2'!$AG147*'Inputs Yr 2'!P147*'Inputs Yr 2'!Q147*'Inputs Yr 2'!$S147,"")</f>
        <v>0</v>
      </c>
      <c r="X147" s="194">
        <f>IFERROR($G147*'Inputs Yr 2'!$AE147*'Inputs Yr 2'!$AF147*'Inputs Yr 2'!Q147*'Inputs Yr 2'!$T147,"")</f>
        <v>0</v>
      </c>
      <c r="Y147" s="194">
        <f>IFERROR($G147*'Inputs Yr 2'!$AE147*'Inputs Yr 2'!$AF147*'Inputs Yr 2'!P147*'Inputs Yr 2'!Q147*'Inputs Yr 2'!$T147,"")</f>
        <v>0</v>
      </c>
      <c r="Z147" s="257">
        <f>IFERROR($G147*'Inputs Yr 2'!$Q147*'Inputs Yr 2'!$U147*(IF(IFERROR(SEARCH("NG", 'Inputs Yr 2'!$AJ147),0),'Inputs Yr 2'!$AK147,0)+IF(IFERROR(SEARCH("NG", 'Inputs Yr 2'!$AL147),0),'Inputs Yr 2'!$AM147,0)+IF(IFERROR(SEARCH("NG", 'Inputs Yr 2'!$AN147),0),'Inputs Yr 2'!$AO147,0)),0)</f>
        <v>1623.8779999999999</v>
      </c>
      <c r="AA147" s="257">
        <f t="shared" si="86"/>
        <v>24358.17</v>
      </c>
      <c r="AB147" s="257">
        <f>IFERROR(Z147*'Inputs Yr 2'!$P147,0)</f>
        <v>1492.3438819999999</v>
      </c>
      <c r="AC147" s="257">
        <f t="shared" si="87"/>
        <v>22385.158229999997</v>
      </c>
      <c r="AD147" s="257">
        <f>IFERROR($G147*'Inputs Yr 2'!$Q147*'Inputs Yr 2'!$U147*(IF(IFERROR(SEARCH("Oil", 'Inputs Yr 2'!$AJ147), 0),'Inputs Yr 2'!$AK147,0)+IF(IFERROR(SEARCH("Oil", 'Inputs Yr 2'!$AL147), 0),'Inputs Yr 2'!$AM147,0)+IF(IFERROR(SEARCH("Oil", 'Inputs Yr 2'!$AN147), 0),'Inputs Yr 2'!$AO147,0)),0)</f>
        <v>0</v>
      </c>
      <c r="AE147" s="257">
        <f t="shared" si="88"/>
        <v>0</v>
      </c>
      <c r="AF147" s="257">
        <f>IFERROR(AD147*'Inputs Yr 2'!$P147,0)</f>
        <v>0</v>
      </c>
      <c r="AG147" s="257">
        <f t="shared" si="89"/>
        <v>0</v>
      </c>
      <c r="AH147" s="257">
        <f>IFERROR($G147*'Inputs Yr 2'!$Q147*'Inputs Yr 2'!$U147*(IF('Inputs Yr 2'!$AJ147=CD$4,'Inputs Yr 2'!$AK147,IF('Inputs Yr 2'!$AL147=CD$4,'Inputs Yr 2'!$AM147,IF('Inputs Yr 2'!$AN147=CD$4,'Inputs Yr 2'!$AO147,0)))),0)</f>
        <v>0</v>
      </c>
      <c r="AI147" s="257">
        <f t="shared" si="90"/>
        <v>0</v>
      </c>
      <c r="AJ147" s="257">
        <f>IFERROR(AH147*'Inputs Yr 2'!$P147,0)</f>
        <v>0</v>
      </c>
      <c r="AK147" s="257">
        <f t="shared" si="91"/>
        <v>0</v>
      </c>
      <c r="AL147" s="258">
        <f>IFERROR($G147*'Inputs Yr 2'!$P147*'Inputs Yr 2'!$Q147*'Inputs Yr 2'!AP147,0)</f>
        <v>0</v>
      </c>
      <c r="AM147" s="260">
        <f>IFERROR($G147*'Inputs Yr 2'!$P147*'Inputs Yr 2'!$Q147*'Inputs Yr 2'!AQ147,0)</f>
        <v>0</v>
      </c>
      <c r="AN147" s="258">
        <f>IFERROR($G147*'Inputs Yr 2'!$P147*'Inputs Yr 2'!$Q147*'Inputs Yr 2'!AR147,0)</f>
        <v>0</v>
      </c>
      <c r="AO147" s="257">
        <f t="shared" si="92"/>
        <v>0</v>
      </c>
      <c r="AP147" s="195">
        <f>IFERROR($CQ147*(INDEX(avoidedcosttbl2,$H147,AP$2)+(($H147-ROUNDDOWN($H147,0))*(INDEX(avoidedcosttbl2,ROUNDUP($H147,0),AP$2)-(INDEX(avoidedcosttbl2,ROUNDDOWN($H147,0),AP$2)))))*$O147*1000*'Inputs Yr 2'!AA147,"")</f>
        <v>0</v>
      </c>
      <c r="AQ147" s="195">
        <f>IFERROR($CR147*(INDEX(avoidedcosttbl2,$H147,AQ$2)+(($H147-ROUNDDOWN($H147,0))*(INDEX(avoidedcosttbl2,ROUNDUP($H147,0),AQ$2)-(INDEX(avoidedcosttbl2,ROUNDDOWN($H147,0),AQ$2)))))*$O147*1000*'Inputs Yr 2'!AB147,"")</f>
        <v>0</v>
      </c>
      <c r="AR147" s="195">
        <f>IFERROR($CS147*(INDEX(avoidedcosttbl2,$H147,AR$2)+(($H147-ROUNDDOWN($H147,0))*(INDEX(avoidedcosttbl2,ROUNDUP($H147,0),AR$2)-(INDEX(avoidedcosttbl2,ROUNDDOWN($H147,0),AR$2)))))*$O147*1000*'Inputs Yr 2'!AC147,"")</f>
        <v>0</v>
      </c>
      <c r="AS147" s="195">
        <f>IFERROR($CT147*(INDEX(avoidedcosttbl2,$H147,AS$2)+(($H147-ROUNDDOWN($H147,0))*(INDEX(avoidedcosttbl2,ROUNDUP($H147,0),AS$2)-(INDEX(avoidedcosttbl2,ROUNDDOWN($H147,0),AS$2)))))*$O147*1000*'Inputs Yr 2'!AD147,"")</f>
        <v>0</v>
      </c>
      <c r="AT147" s="196">
        <f t="shared" si="93"/>
        <v>0</v>
      </c>
      <c r="AU147" s="197">
        <f>IFERROR($CQ147*((INDEX(avoidedcosttbl2,$H147,AU$2))+(($H147-ROUNDDOWN($H147,0))*((INDEX(avoidedcosttbl2,ROUNDUP($H147,0),AU$2))-(INDEX(avoidedcosttbl2,ROUNDDOWN($H147,0),AU$2)))))*$O147*1000*'Inputs Yr 2'!AA147,"")</f>
        <v>0</v>
      </c>
      <c r="AV147" s="197">
        <f>IFERROR($CR147*((INDEX(avoidedcosttbl2,$H147,AV$2))+(($H147-ROUNDDOWN($H147,0))*((INDEX(avoidedcosttbl2,ROUNDUP($H147,0),AV$2))-(INDEX(avoidedcosttbl2,ROUNDDOWN($H147,0),AV$2)))))*$O147*1000*'Inputs Yr 2'!AB147,"")</f>
        <v>0</v>
      </c>
      <c r="AW147" s="197">
        <f>IFERROR($CS147*((INDEX(avoidedcosttbl2,$H147,AW$2))+(($H147-ROUNDDOWN($H147,0))*((INDEX(avoidedcosttbl2,ROUNDUP($H147,0),AW$2))-(INDEX(avoidedcosttbl2,ROUNDDOWN($H147,0),AW$2)))))*$O147*1000*'Inputs Yr 2'!AC147,"")</f>
        <v>0</v>
      </c>
      <c r="AX147" s="197">
        <f>IFERROR($CT147*((INDEX(avoidedcosttbl2,$H147,AX$2))+(($H147-ROUNDDOWN($H147,0))*((INDEX(avoidedcosttbl2,ROUNDUP($H147,0),AX$2))-(INDEX(avoidedcosttbl2,ROUNDDOWN($H147,0),AX$2)))))*$O147*1000*'Inputs Yr 2'!AD147,"")</f>
        <v>0</v>
      </c>
      <c r="AY147" s="197">
        <f>IFERROR(((INDEX(avoidedcosttbl2,$H147,AY$2))+(($H147-ROUNDDOWN($H147,0))*((INDEX(avoidedcosttbl2,ROUNDUP($H147,0),AY$2))-(INDEX(avoidedcosttbl2,ROUNDDOWN($H147,0),AY$2)))))*$O147*1000*('Inputs Yr 2'!AC147+'Inputs Yr 2'!AD147),"")</f>
        <v>0</v>
      </c>
      <c r="AZ147" s="197">
        <f>IFERROR(((INDEX(avoidedcosttbl2,$H147,AZ$2))+(($H147-ROUNDDOWN($H147,0))*((INDEX(avoidedcosttbl2,ROUNDUP($H147,0),AZ$2))-(INDEX(avoidedcosttbl2,ROUNDDOWN($H147,0),AZ$2)))))*$O147*1000*('Inputs Yr 2'!AA147+'Inputs Yr 2'!AB147),"")</f>
        <v>0</v>
      </c>
      <c r="BA147" s="198">
        <f t="shared" si="94"/>
        <v>0</v>
      </c>
      <c r="BB147" s="198">
        <f t="shared" si="95"/>
        <v>0</v>
      </c>
      <c r="BC147" s="195">
        <f t="shared" si="77"/>
        <v>0</v>
      </c>
      <c r="BD147" s="195">
        <f t="shared" si="78"/>
        <v>0</v>
      </c>
      <c r="BE147" s="195">
        <f t="shared" si="79"/>
        <v>0</v>
      </c>
      <c r="BF147" s="195">
        <f t="shared" si="80"/>
        <v>0</v>
      </c>
      <c r="BG147" s="195">
        <f t="shared" si="81"/>
        <v>0</v>
      </c>
      <c r="BH147" s="196">
        <f t="shared" si="96"/>
        <v>0</v>
      </c>
      <c r="BI147" s="196">
        <f t="shared" si="97"/>
        <v>0</v>
      </c>
      <c r="BJ147" s="195">
        <f>IFERROR($G147*(IF('Inputs Yr 2'!$AJ147=BJ$4,'Inputs Yr 2'!$AK147,IF('Inputs Yr 2'!$AL147=BJ$4,'Inputs Yr 2'!$AM147,IF('Inputs Yr 2'!$AN147=BJ$4,'Inputs Yr 2'!$AO147,0))))*(INDEX(avoidedcosttbl2,$H147,BJ$2)+(($H147-ROUNDDOWN($H147,0))*(INDEX(avoidedcosttbl2,ROUNDUP($H147,0),BJ$2)-(INDEX(avoidedcosttbl2,ROUNDDOWN($H147,0),BJ$2)))))*'Inputs Yr 2'!P147*'Inputs Yr 2'!Q147*'Inputs Yr 2'!U147,"")</f>
        <v>0</v>
      </c>
      <c r="BK147" s="195">
        <f>IFERROR($G147*(IF('Inputs Yr 2'!$AJ147=BK$4,'Inputs Yr 2'!$AK147,IF('Inputs Yr 2'!$AL147=BK$4,'Inputs Yr 2'!$AM147,IF('Inputs Yr 2'!$AN147=BK$4,'Inputs Yr 2'!$AO147,0))))*(INDEX(avoidedcosttbl2,$H147,BK$2)+(($H147-ROUNDDOWN($H147,0))*(INDEX(avoidedcosttbl2,ROUNDUP($H147,0),BK$2)-(INDEX(avoidedcosttbl2,ROUNDDOWN($H147,0),BK$2)))))*'Inputs Yr 2'!P147*'Inputs Yr 2'!Q147*'Inputs Yr 2'!U147,"")</f>
        <v>0</v>
      </c>
      <c r="BL147" s="195">
        <f>IFERROR($G147*(IF('Inputs Yr 2'!$AJ147=BL$4,'Inputs Yr 2'!$AK147,IF('Inputs Yr 2'!$AL147=BL$4,'Inputs Yr 2'!$AM147,IF('Inputs Yr 2'!$AN147=BL$4,'Inputs Yr 2'!$AO147,0))))*(INDEX(avoidedcosttbl2,$H147,BL$2)+(($H147-ROUNDDOWN($H147,0))*(INDEX(avoidedcosttbl2,ROUNDUP($H147,0),BL$2)-(INDEX(avoidedcosttbl2,ROUNDDOWN($H147,0),BL$2)))))*'Inputs Yr 2'!P147*'Inputs Yr 2'!Q147*'Inputs Yr 2'!U147,"")</f>
        <v>0</v>
      </c>
      <c r="BM147" s="195">
        <f>IFERROR($G147*(IF('Inputs Yr 2'!$AJ147=BM$4,'Inputs Yr 2'!$AK147,IF('Inputs Yr 2'!$AL147=BM$4,'Inputs Yr 2'!$AM147,IF('Inputs Yr 2'!$AN147=BM$4,'Inputs Yr 2'!$AO147,0))))*(INDEX(avoidedcosttbl2,$H147,BM$2)+(($H147-ROUNDDOWN($H147,0))*(INDEX(avoidedcosttbl2,ROUNDUP($H147,0),BM$2)-(INDEX(avoidedcosttbl2,ROUNDDOWN($H147,0),BM$2)))))*'Inputs Yr 2'!P147*'Inputs Yr 2'!Q147*'Inputs Yr 2'!U147,"")</f>
        <v>0</v>
      </c>
      <c r="BN147" s="195">
        <f>IFERROR($G147*(IF('Inputs Yr 2'!$AJ147=BN$4,'Inputs Yr 2'!$AK147,IF('Inputs Yr 2'!$AL147=BN$4,'Inputs Yr 2'!$AM147,IF('Inputs Yr 2'!$AN147=BN$4,'Inputs Yr 2'!$AO147,0))))*(INDEX(avoidedcosttbl2,$H147,BN$2)+(($H147-ROUNDDOWN($H147,0))*(INDEX(avoidedcosttbl2,ROUNDUP($H147,0),BN$2)-(INDEX(avoidedcosttbl2,ROUNDDOWN($H147,0),BN$2)))))*'Inputs Yr 2'!P147*'Inputs Yr 2'!Q147*'Inputs Yr 2'!U147,"")</f>
        <v>0</v>
      </c>
      <c r="BO147" s="195">
        <f>IFERROR($G147*(IF('Inputs Yr 2'!$AJ147=BO$4,'Inputs Yr 2'!$AK147,IF('Inputs Yr 2'!$AL147=BO$4,'Inputs Yr 2'!$AM147,IF('Inputs Yr 2'!$AN147=BO$4,'Inputs Yr 2'!$AO147,0))))*(INDEX(avoidedcosttbl2,$H147,BO$2)+(($H147-ROUNDDOWN($H147,0))*(INDEX(avoidedcosttbl2,ROUNDUP($H147,0),BO$2)-(INDEX(avoidedcosttbl2,ROUNDDOWN($H147,0),BO$2)))))*'Inputs Yr 2'!P147*'Inputs Yr 2'!Q147*'Inputs Yr 2'!U147,"")</f>
        <v>174583.27461383503</v>
      </c>
      <c r="BP147" s="195">
        <f>IFERROR($G147*(IF('Inputs Yr 2'!$AJ147=BP$4,'Inputs Yr 2'!$AK147,IF('Inputs Yr 2'!$AL147=BP$4,'Inputs Yr 2'!$AM147,IF('Inputs Yr 2'!$AN147=BP$4,'Inputs Yr 2'!$AO147,0))))*(INDEX(avoidedcosttbl2,$H147,BP$2)+(($H147-ROUNDDOWN($H147,0))*(INDEX(avoidedcosttbl2,ROUNDUP($H147,0),BP$2)-(INDEX(avoidedcosttbl2,ROUNDDOWN($H147,0),BP$2)))))*'Inputs Yr 2'!P147*'Inputs Yr 2'!Q147*'Inputs Yr 2'!U147,"")</f>
        <v>0</v>
      </c>
      <c r="BQ147" s="230">
        <f t="shared" si="98"/>
        <v>174583.27461383503</v>
      </c>
      <c r="BR147" s="197">
        <f t="shared" si="82"/>
        <v>3034.1269864322076</v>
      </c>
      <c r="BS147" s="197">
        <f>IFERROR(($G147*IF('Inputs Yr 2'!$AJ147=BM$4,'Inputs Yr 2'!$AK147,IF('Inputs Yr 2'!$AL147=BM$4,'Inputs Yr 2'!$AM147,IF('Inputs Yr 2'!$AN147=BM$4,'Inputs Yr 2'!$AO147,0))))*(INDEX(avoidedcosttbl2,$H147,BS$2)+(($H147-ROUNDDOWN($H147,0))*(INDEX(avoidedcosttbl2,ROUNDUP($H147,0),BS$2)-(INDEX(avoidedcosttbl2,ROUNDDOWN($H147,0),BS$2)))))*'Inputs Yr 2'!P147*'Inputs Yr 2'!Q147*'Inputs Yr 2'!U147,"")</f>
        <v>0</v>
      </c>
      <c r="BT147" s="197">
        <f>IFERROR(($G147*IF('Inputs Yr 2'!$AJ147=BK$4,'Inputs Yr 2'!$AK147,IF('Inputs Yr 2'!$AL147=BK$4,'Inputs Yr 2'!$AM147,IF('Inputs Yr 2'!$AN147=BK$4,'Inputs Yr 2'!$AO147,0))))*(INDEX(avoidedcosttbl2,$H147,BT$2)+(($H147-ROUNDDOWN($H147,0))*(INDEX(avoidedcosttbl2,ROUNDUP($H147,0),BT$2)-(INDEX(avoidedcosttbl2,ROUNDDOWN($H147,0),BT$2)))))*'Inputs Yr 2'!P147*'Inputs Yr 2'!Q147*'Inputs Yr 2'!U147,"")</f>
        <v>0</v>
      </c>
      <c r="BU147" s="197">
        <f>IFERROR(($G147*IF('Inputs Yr 2'!$AJ147=BL$4,'Inputs Yr 2'!$AK147,IF('Inputs Yr 2'!$AL147=BL$4,'Inputs Yr 2'!$AM147,IF('Inputs Yr 2'!$AN147=BL$4,'Inputs Yr 2'!$AO147,0))))*(INDEX(avoidedcosttbl2,$H147,BU$2)+(($H147-ROUNDDOWN($H147,0))*(INDEX(avoidedcosttbl2,ROUNDUP($H147,0),BU$2)-(INDEX(avoidedcosttbl2,ROUNDDOWN($H147,0),BU$2)))))*'Inputs Yr 2'!P147*'Inputs Yr 2'!Q147*'Inputs Yr 2'!U147,"")</f>
        <v>0</v>
      </c>
      <c r="BV147" s="775">
        <f>IFERROR(($G147*IF('Inputs Yr 2'!$AJ147=BJ$4,'Inputs Yr 2'!$AK147,IF('Inputs Yr 2'!$AL147=BJ$4,'Inputs Yr 2'!$AM147,IF('Inputs Yr 2'!$AN147=BJ$4,'Inputs Yr 2'!$AO147,0))))*(INDEX(avoidedcosttbl2,$H147,BV$2)+(($H147-ROUNDDOWN($H147,0))*(INDEX(avoidedcosttbl2,ROUNDUP($H147,0),BV$2)-(INDEX(avoidedcosttbl2,ROUNDDOWN($H147,0),BV$2)))))*'Inputs Yr 2'!P147*'Inputs Yr 2'!Q147*'Inputs Yr 2'!U147,"")</f>
        <v>0</v>
      </c>
      <c r="BW147" s="197">
        <f>IFERROR(($G147*IF('Inputs Yr 2'!$AJ147=BN$4,'Inputs Yr 2'!$AK147,IF('Inputs Yr 2'!$AL147=BN$4,'Inputs Yr 2'!$AM147,IF('Inputs Yr 2'!$AN147=BN$4,'Inputs Yr 2'!$AO147,0))))*(INDEX(avoidedcosttbl2,$H147,BW$2)+(($H147-ROUNDDOWN($H147,0))*(INDEX(avoidedcosttbl2,ROUNDUP($H147,0),BW$2)-(INDEX(avoidedcosttbl2,ROUNDDOWN($H147,0),BW$2)))))*'Inputs Yr 2'!P147*'Inputs Yr 2'!Q147*'Inputs Yr 2'!U147,"")</f>
        <v>0</v>
      </c>
      <c r="BX147" s="197">
        <f>IFERROR(($G147*IF('Inputs Yr 2'!$AJ147=BO$4,'Inputs Yr 2'!$AK147,IF('Inputs Yr 2'!$AL147=BO$4,'Inputs Yr 2'!$AM147,IF('Inputs Yr 2'!$AN147=BO$4,'Inputs Yr 2'!$AO147,0))))*(INDEX(avoidedcosttbl2,$H147,BX$2)+(($H147-ROUNDDOWN($H147,0))*(INDEX(avoidedcosttbl2,ROUNDUP($H147,0),BX$2)-(INDEX(avoidedcosttbl2,ROUNDDOWN($H147,0),BX$2)))))*'Inputs Yr 2'!P147*'Inputs Yr 2'!Q147*'Inputs Yr 2'!U147,"")</f>
        <v>12304.05768045787</v>
      </c>
      <c r="BY147" s="197">
        <f>IFERROR(($G147*IF('Inputs Yr 2'!$AJ147=BP$4,'Inputs Yr 2'!$AK147,IF('Inputs Yr 2'!$AL147=BP$4,'Inputs Yr 2'!$AM147,IF('Inputs Yr 2'!$AN147=BP$4,'Inputs Yr 2'!$AO147,0))))*(INDEX(avoidedcosttbl2,$H147,BY$2)+(($H147-ROUNDDOWN($H147,0))*(INDEX(avoidedcosttbl2,ROUNDUP($H147,0),BY$2)-(INDEX(avoidedcosttbl2,ROUNDDOWN($H147,0),BY$2)))))*'Inputs Yr 2'!P147*'Inputs Yr 2'!Q147*'Inputs Yr 2'!U147,"")</f>
        <v>0</v>
      </c>
      <c r="BZ147" s="193">
        <f t="shared" si="99"/>
        <v>15338.184666890078</v>
      </c>
      <c r="CA147" s="193">
        <f t="shared" si="100"/>
        <v>189921.4592807251</v>
      </c>
      <c r="CB147" s="195">
        <f>IFERROR(G147*(IF('Inputs Yr 2'!$AJ147=CB$4,'Inputs Yr 2'!$AK147,IF('Inputs Yr 2'!$AL147=CB$4,'Inputs Yr 2'!$AM147,IF('Inputs Yr 2'!$AN147=CB$4,'Inputs Yr 2'!$AO147,0))))*(INDEX(avoidedcosttbl2,$H147,CB$2)+(($H147-ROUNDDOWN($H147,0))*(INDEX(avoidedcosttbl2,ROUNDUP($H147,0),CB$2)-(INDEX(avoidedcosttbl2,ROUNDDOWN($H147,0),CB$2)))))*'Inputs Yr 2'!P147*'Inputs Yr 2'!Q147*'Inputs Yr 2'!U147,"")</f>
        <v>0</v>
      </c>
      <c r="CC147" s="195">
        <f>IFERROR(H147*(IF('Inputs Yr 2'!$AJ147=CC$4,'Inputs Yr 2'!$AK147,IF('Inputs Yr 2'!$AL147=CC$4,'Inputs Yr 2'!$AM147,IF('Inputs Yr 2'!$AN147=CC$4,'Inputs Yr 2'!$AO147,0))))*(INDEX(avoidedcosttbl2,$H147,CC$2)+(($H147-ROUNDDOWN($H147,0))*(INDEX(avoidedcosttbl2,ROUNDUP($H147,0),CC$2)-(INDEX(avoidedcosttbl2,ROUNDDOWN($H147,0),CC$2)))))*'Inputs Yr 2'!Q147*'Inputs Yr 2'!R147*'Inputs Yr 2'!V147,"")</f>
        <v>0</v>
      </c>
      <c r="CD147" s="195">
        <f>IFERROR(I147*(IF('Inputs Yr 2'!$AJ147=CD$4,'Inputs Yr 2'!$AK147,IF('Inputs Yr 2'!$AL147=CD$4,'Inputs Yr 2'!$AM147,IF('Inputs Yr 2'!$AN147=CD$4,'Inputs Yr 2'!$AO147,0))))*(INDEX(avoidedcosttbl2,$H147,CD$2)+(($H147-ROUNDDOWN($H147,0))*(INDEX(avoidedcosttbl2,ROUNDUP($H147,0),CD$2)-(INDEX(avoidedcosttbl2,ROUNDDOWN($H147,0),CD$2)))))*'Inputs Yr 2'!R147*'Inputs Yr 2'!S147*'Inputs Yr 2'!W147,"")</f>
        <v>0</v>
      </c>
      <c r="CE147" s="213">
        <f t="shared" si="101"/>
        <v>0</v>
      </c>
      <c r="CF147" s="213">
        <f t="shared" si="102"/>
        <v>0</v>
      </c>
      <c r="CG147" s="213">
        <f t="shared" si="103"/>
        <v>0</v>
      </c>
      <c r="CH147" s="698">
        <f t="shared" si="104"/>
        <v>189921.4592807251</v>
      </c>
      <c r="CI147" s="79">
        <f>IFERROR(($G147*'Inputs Yr 2'!$P147*'Inputs Yr 2'!$Q147*(((INDEX(avoidedcosttbl2,$H147,CI$2)+(($H147-ROUNDDOWN($H147,0))*(INDEX(avoidedcosttbl2,ROUNDUP($H147,0),CI$2)-INDEX(avoidedcosttbl2,ROUNDDOWN($H147,0),CI$2))))*'Inputs Yr 2'!AS147))),"")</f>
        <v>0</v>
      </c>
      <c r="CJ147" s="504">
        <f>IFERROR($G147*'Inputs Yr 2'!AT147*'Inputs Yr 2'!$P147*'Inputs Yr 2'!$Q147/((1+realdiscrt1)^-0.5),"")</f>
        <v>0</v>
      </c>
      <c r="CK147" s="79">
        <f>IFERROR((O147*1000*(((INDEX(avoidedcosttbl2,$H147,CK$2)+(($H147-ROUNDDOWN($H147,0))*(INDEX(avoidedcosttbl2,ROUNDUP($H147,0),CK$2)-INDEX(avoidedcosttbl2,ROUNDDOWN($H147,0),CK$2))))*'Inputs Yr 2'!AU147))),"")</f>
        <v>0</v>
      </c>
      <c r="CL147" s="504">
        <f>IFERROR(O147*1000*'Inputs Yr 2'!AV147/((1+realdiscrt1)^-0.5),"")</f>
        <v>0</v>
      </c>
      <c r="CM147" s="79">
        <f>IFERROR((AB147*'Inputs Yr 2'!AW147*(((INDEX(avoidedcosttbl2,$H147,CM$2)+(($H147-ROUNDDOWN($H147,0))*(INDEX(avoidedcosttbl2,ROUNDUP($H147,0),CM$2)-INDEX(avoidedcosttbl2,ROUNDDOWN($H147,0),CM$2)))))))*10,"")</f>
        <v>-866.55874019376392</v>
      </c>
      <c r="CN147" s="504">
        <f>IFERROR(10*AB147*'Inputs Yr 2'!AX147/((1+realdiscrt1)^-0.5),"")</f>
        <v>0</v>
      </c>
      <c r="CO147" s="505">
        <f t="shared" si="105"/>
        <v>-866.55874019376392</v>
      </c>
      <c r="CP147" s="230">
        <f t="shared" si="106"/>
        <v>189054.90054053135</v>
      </c>
      <c r="CQ147" s="199">
        <f>ROUND(IFERROR(IF(LEFT($A147,1)="C",'Avoided Costs'!$K$13,'Avoided Costs'!$K$12)+1,""),4)</f>
        <v>1.0720000000000001</v>
      </c>
      <c r="CR147" s="199">
        <f>ROUND(IFERROR(IF(LEFT($A147,1)="C",'Avoided Costs'!$L$13,'Avoided Costs'!$L$12)+1,""),4)</f>
        <v>1.04</v>
      </c>
      <c r="CS147" s="199">
        <f>ROUND(IFERROR(IF(LEFT($A147,1)="C",'Avoided Costs'!$M$13,'Avoided Costs'!$M$12)+1,""),4)</f>
        <v>1.0720000000000001</v>
      </c>
      <c r="CT147" s="199">
        <f>ROUND(IFERROR(IF(LEFT($A147,1)="C",'Avoided Costs'!$N$13,'Avoided Costs'!$N$12)+1,""),4)</f>
        <v>1.04</v>
      </c>
      <c r="CU147" s="199">
        <f>ROUND(IFERROR(IF(LEFT($A147,1)="C",'Avoided Costs'!$O$13,'Avoided Costs'!$O$12)+1,""),4)</f>
        <v>1.1120000000000001</v>
      </c>
      <c r="CV147" s="199">
        <f>ROUND(IFERROR(IF(LEFT($A147,1)="C",'Avoided Costs'!$P$13,'Avoided Costs'!$P$12)+1,""),4)</f>
        <v>1.095</v>
      </c>
      <c r="CW147" s="199">
        <f>ROUND(IFERROR(IF(LEFT($A147,1)="C",'Avoided Costs'!$Q$13,'Avoided Costs'!$Q$12)+1,""),4)</f>
        <v>1.1120000000000001</v>
      </c>
      <c r="CX147" s="200">
        <f>ROUND(IFERROR(IF(LEFT($A147,1)="C",'Avoided Costs'!$R$13,'Avoided Costs'!$R$12)+1,""),4)</f>
        <v>1.1120000000000001</v>
      </c>
    </row>
    <row r="148" spans="1:102" ht="12.75" customHeight="1">
      <c r="A148" s="91" t="str">
        <f>IF('Inputs Yr 2'!$B148=0,"",'Inputs Yr 2'!A148)</f>
        <v>C - Commercial &amp; Industrial</v>
      </c>
      <c r="B148" s="91" t="str">
        <f>IF('Inputs Yr 2'!$B148=0,"",'Inputs Yr 2'!B148)</f>
        <v>C1 - C&amp;I New Construction</v>
      </c>
      <c r="C148" s="91" t="str">
        <f>IF('Inputs Yr 2'!$B148=0,"",'Inputs Yr 2'!C148)</f>
        <v>C1a - C&amp;I New Buildings &amp; Major Renovations</v>
      </c>
      <c r="D148" s="91" t="str">
        <f>IF('Inputs Yr 2'!$B148=0,"",'Inputs Yr 2'!E148)</f>
        <v>Comprehensive Design - Custom 16</v>
      </c>
      <c r="E148" s="93" t="str">
        <f>IF('Inputs Yr 2'!$B148=0,"",'Inputs Yr 2'!F148)</f>
        <v>G16C1a01</v>
      </c>
      <c r="F148" s="93" t="str">
        <f>IF('Inputs Yr 2'!$B148=0,"",'Inputs Yr 2'!G148)</f>
        <v>Custom Measures</v>
      </c>
      <c r="G148" s="95">
        <f>IF('Inputs Yr 2'!$H148&lt;&gt;0,('Inputs Yr 2'!H148),"")</f>
        <v>1</v>
      </c>
      <c r="H148" s="94">
        <f>IFERROR('Inputs Yr 2'!I148,"")</f>
        <v>16</v>
      </c>
      <c r="I148" s="298">
        <f>IFERROR('Inputs Yr 2'!J148*'Inputs Yr 2'!P148*G148,"")</f>
        <v>241974.43997333333</v>
      </c>
      <c r="J148" s="298">
        <f>IFERROR('Inputs Yr 2'!K148*G148,"")</f>
        <v>197476.41999999998</v>
      </c>
      <c r="K148" s="298">
        <f t="shared" si="83"/>
        <v>44498.019973333343</v>
      </c>
      <c r="L148" s="194">
        <f>IFERROR(('Inputs Yr 2'!W148*G148)/1000,"")</f>
        <v>0</v>
      </c>
      <c r="M148" s="194">
        <f>IFERROR(L148*('Inputs Yr 2'!$Q148*'Inputs Yr 2'!$V148*'Inputs Yr 2'!$R148),"")</f>
        <v>0</v>
      </c>
      <c r="N148" s="194">
        <f t="shared" si="84"/>
        <v>0</v>
      </c>
      <c r="O148" s="194">
        <f>IFERROR(M148*'Inputs Yr 2'!P148,"")</f>
        <v>0</v>
      </c>
      <c r="P148" s="194">
        <f t="shared" si="85"/>
        <v>0</v>
      </c>
      <c r="Q148" s="194">
        <f>IFERROR($P148*'Inputs Yr 2'!AA148,"")</f>
        <v>0</v>
      </c>
      <c r="R148" s="194">
        <f>IFERROR($P148*'Inputs Yr 2'!AB148,"")</f>
        <v>0</v>
      </c>
      <c r="S148" s="194">
        <f>IFERROR($P148*'Inputs Yr 2'!AC148,"")</f>
        <v>0</v>
      </c>
      <c r="T148" s="194">
        <f>IFERROR($P148*'Inputs Yr 2'!AD148,"")</f>
        <v>0</v>
      </c>
      <c r="U148" s="194">
        <f>IFERROR(G148*'Inputs Yr 2'!$AE148*'Inputs Yr 2'!$P148*'Inputs Yr 2'!$Q148,"")</f>
        <v>0</v>
      </c>
      <c r="V148" s="194">
        <f>IFERROR($G148*'Inputs Yr 2'!$AE148*'Inputs Yr 2'!$AG148*'Inputs Yr 2'!Q148*'Inputs Yr 2'!$S148,"")</f>
        <v>0</v>
      </c>
      <c r="W148" s="194">
        <f>IFERROR($G148*'Inputs Yr 2'!$AE148*'Inputs Yr 2'!$AG148*'Inputs Yr 2'!P148*'Inputs Yr 2'!Q148*'Inputs Yr 2'!$S148,"")</f>
        <v>0</v>
      </c>
      <c r="X148" s="194">
        <f>IFERROR($G148*'Inputs Yr 2'!$AE148*'Inputs Yr 2'!$AF148*'Inputs Yr 2'!Q148*'Inputs Yr 2'!$T148,"")</f>
        <v>0</v>
      </c>
      <c r="Y148" s="194">
        <f>IFERROR($G148*'Inputs Yr 2'!$AE148*'Inputs Yr 2'!$AF148*'Inputs Yr 2'!P148*'Inputs Yr 2'!Q148*'Inputs Yr 2'!$T148,"")</f>
        <v>0</v>
      </c>
      <c r="Z148" s="257">
        <f>IFERROR($G148*'Inputs Yr 2'!$Q148*'Inputs Yr 2'!$U148*(IF(IFERROR(SEARCH("NG", 'Inputs Yr 2'!$AJ148),0),'Inputs Yr 2'!$AK148,0)+IF(IFERROR(SEARCH("NG", 'Inputs Yr 2'!$AL148),0),'Inputs Yr 2'!$AM148,0)+IF(IFERROR(SEARCH("NG", 'Inputs Yr 2'!$AN148),0),'Inputs Yr 2'!$AO148,0)),0)</f>
        <v>11732.4226</v>
      </c>
      <c r="AA148" s="257">
        <f t="shared" si="86"/>
        <v>187718.7616</v>
      </c>
      <c r="AB148" s="257">
        <f>IFERROR(Z148*'Inputs Yr 2'!$P148,0)</f>
        <v>10782.0963694</v>
      </c>
      <c r="AC148" s="257">
        <f t="shared" si="87"/>
        <v>172513.5419104</v>
      </c>
      <c r="AD148" s="257">
        <f>IFERROR($G148*'Inputs Yr 2'!$Q148*'Inputs Yr 2'!$U148*(IF(IFERROR(SEARCH("Oil", 'Inputs Yr 2'!$AJ148), 0),'Inputs Yr 2'!$AK148,0)+IF(IFERROR(SEARCH("Oil", 'Inputs Yr 2'!$AL148), 0),'Inputs Yr 2'!$AM148,0)+IF(IFERROR(SEARCH("Oil", 'Inputs Yr 2'!$AN148), 0),'Inputs Yr 2'!$AO148,0)),0)</f>
        <v>0</v>
      </c>
      <c r="AE148" s="257">
        <f t="shared" si="88"/>
        <v>0</v>
      </c>
      <c r="AF148" s="257">
        <f>IFERROR(AD148*'Inputs Yr 2'!$P148,0)</f>
        <v>0</v>
      </c>
      <c r="AG148" s="257">
        <f t="shared" si="89"/>
        <v>0</v>
      </c>
      <c r="AH148" s="257">
        <f>IFERROR($G148*'Inputs Yr 2'!$Q148*'Inputs Yr 2'!$U148*(IF('Inputs Yr 2'!$AJ148=CD$4,'Inputs Yr 2'!$AK148,IF('Inputs Yr 2'!$AL148=CD$4,'Inputs Yr 2'!$AM148,IF('Inputs Yr 2'!$AN148=CD$4,'Inputs Yr 2'!$AO148,0)))),0)</f>
        <v>0</v>
      </c>
      <c r="AI148" s="257">
        <f t="shared" si="90"/>
        <v>0</v>
      </c>
      <c r="AJ148" s="257">
        <f>IFERROR(AH148*'Inputs Yr 2'!$P148,0)</f>
        <v>0</v>
      </c>
      <c r="AK148" s="257">
        <f t="shared" si="91"/>
        <v>0</v>
      </c>
      <c r="AL148" s="258">
        <f>IFERROR($G148*'Inputs Yr 2'!$P148*'Inputs Yr 2'!$Q148*'Inputs Yr 2'!AP148,0)</f>
        <v>0</v>
      </c>
      <c r="AM148" s="260">
        <f>IFERROR($G148*'Inputs Yr 2'!$P148*'Inputs Yr 2'!$Q148*'Inputs Yr 2'!AQ148,0)</f>
        <v>0</v>
      </c>
      <c r="AN148" s="258">
        <f>IFERROR($G148*'Inputs Yr 2'!$P148*'Inputs Yr 2'!$Q148*'Inputs Yr 2'!AR148,0)</f>
        <v>0</v>
      </c>
      <c r="AO148" s="257">
        <f t="shared" si="92"/>
        <v>0</v>
      </c>
      <c r="AP148" s="195">
        <f>IFERROR($CQ148*(INDEX(avoidedcosttbl2,$H148,AP$2)+(($H148-ROUNDDOWN($H148,0))*(INDEX(avoidedcosttbl2,ROUNDUP($H148,0),AP$2)-(INDEX(avoidedcosttbl2,ROUNDDOWN($H148,0),AP$2)))))*$O148*1000*'Inputs Yr 2'!AA148,"")</f>
        <v>0</v>
      </c>
      <c r="AQ148" s="195">
        <f>IFERROR($CR148*(INDEX(avoidedcosttbl2,$H148,AQ$2)+(($H148-ROUNDDOWN($H148,0))*(INDEX(avoidedcosttbl2,ROUNDUP($H148,0),AQ$2)-(INDEX(avoidedcosttbl2,ROUNDDOWN($H148,0),AQ$2)))))*$O148*1000*'Inputs Yr 2'!AB148,"")</f>
        <v>0</v>
      </c>
      <c r="AR148" s="195">
        <f>IFERROR($CS148*(INDEX(avoidedcosttbl2,$H148,AR$2)+(($H148-ROUNDDOWN($H148,0))*(INDEX(avoidedcosttbl2,ROUNDUP($H148,0),AR$2)-(INDEX(avoidedcosttbl2,ROUNDDOWN($H148,0),AR$2)))))*$O148*1000*'Inputs Yr 2'!AC148,"")</f>
        <v>0</v>
      </c>
      <c r="AS148" s="195">
        <f>IFERROR($CT148*(INDEX(avoidedcosttbl2,$H148,AS$2)+(($H148-ROUNDDOWN($H148,0))*(INDEX(avoidedcosttbl2,ROUNDUP($H148,0),AS$2)-(INDEX(avoidedcosttbl2,ROUNDDOWN($H148,0),AS$2)))))*$O148*1000*'Inputs Yr 2'!AD148,"")</f>
        <v>0</v>
      </c>
      <c r="AT148" s="196">
        <f t="shared" si="93"/>
        <v>0</v>
      </c>
      <c r="AU148" s="197">
        <f>IFERROR($CQ148*((INDEX(avoidedcosttbl2,$H148,AU$2))+(($H148-ROUNDDOWN($H148,0))*((INDEX(avoidedcosttbl2,ROUNDUP($H148,0),AU$2))-(INDEX(avoidedcosttbl2,ROUNDDOWN($H148,0),AU$2)))))*$O148*1000*'Inputs Yr 2'!AA148,"")</f>
        <v>0</v>
      </c>
      <c r="AV148" s="197">
        <f>IFERROR($CR148*((INDEX(avoidedcosttbl2,$H148,AV$2))+(($H148-ROUNDDOWN($H148,0))*((INDEX(avoidedcosttbl2,ROUNDUP($H148,0),AV$2))-(INDEX(avoidedcosttbl2,ROUNDDOWN($H148,0),AV$2)))))*$O148*1000*'Inputs Yr 2'!AB148,"")</f>
        <v>0</v>
      </c>
      <c r="AW148" s="197">
        <f>IFERROR($CS148*((INDEX(avoidedcosttbl2,$H148,AW$2))+(($H148-ROUNDDOWN($H148,0))*((INDEX(avoidedcosttbl2,ROUNDUP($H148,0),AW$2))-(INDEX(avoidedcosttbl2,ROUNDDOWN($H148,0),AW$2)))))*$O148*1000*'Inputs Yr 2'!AC148,"")</f>
        <v>0</v>
      </c>
      <c r="AX148" s="197">
        <f>IFERROR($CT148*((INDEX(avoidedcosttbl2,$H148,AX$2))+(($H148-ROUNDDOWN($H148,0))*((INDEX(avoidedcosttbl2,ROUNDUP($H148,0),AX$2))-(INDEX(avoidedcosttbl2,ROUNDDOWN($H148,0),AX$2)))))*$O148*1000*'Inputs Yr 2'!AD148,"")</f>
        <v>0</v>
      </c>
      <c r="AY148" s="197">
        <f>IFERROR(((INDEX(avoidedcosttbl2,$H148,AY$2))+(($H148-ROUNDDOWN($H148,0))*((INDEX(avoidedcosttbl2,ROUNDUP($H148,0),AY$2))-(INDEX(avoidedcosttbl2,ROUNDDOWN($H148,0),AY$2)))))*$O148*1000*('Inputs Yr 2'!AC148+'Inputs Yr 2'!AD148),"")</f>
        <v>0</v>
      </c>
      <c r="AZ148" s="197">
        <f>IFERROR(((INDEX(avoidedcosttbl2,$H148,AZ$2))+(($H148-ROUNDDOWN($H148,0))*((INDEX(avoidedcosttbl2,ROUNDUP($H148,0),AZ$2))-(INDEX(avoidedcosttbl2,ROUNDDOWN($H148,0),AZ$2)))))*$O148*1000*('Inputs Yr 2'!AA148+'Inputs Yr 2'!AB148),"")</f>
        <v>0</v>
      </c>
      <c r="BA148" s="198">
        <f t="shared" si="94"/>
        <v>0</v>
      </c>
      <c r="BB148" s="198">
        <f t="shared" si="95"/>
        <v>0</v>
      </c>
      <c r="BC148" s="195">
        <f t="shared" si="77"/>
        <v>0</v>
      </c>
      <c r="BD148" s="195">
        <f t="shared" si="78"/>
        <v>0</v>
      </c>
      <c r="BE148" s="195">
        <f t="shared" si="79"/>
        <v>0</v>
      </c>
      <c r="BF148" s="195">
        <f t="shared" si="80"/>
        <v>0</v>
      </c>
      <c r="BG148" s="195">
        <f t="shared" si="81"/>
        <v>0</v>
      </c>
      <c r="BH148" s="196">
        <f t="shared" si="96"/>
        <v>0</v>
      </c>
      <c r="BI148" s="196">
        <f t="shared" si="97"/>
        <v>0</v>
      </c>
      <c r="BJ148" s="195">
        <f>IFERROR($G148*(IF('Inputs Yr 2'!$AJ148=BJ$4,'Inputs Yr 2'!$AK148,IF('Inputs Yr 2'!$AL148=BJ$4,'Inputs Yr 2'!$AM148,IF('Inputs Yr 2'!$AN148=BJ$4,'Inputs Yr 2'!$AO148,0))))*(INDEX(avoidedcosttbl2,$H148,BJ$2)+(($H148-ROUNDDOWN($H148,0))*(INDEX(avoidedcosttbl2,ROUNDUP($H148,0),BJ$2)-(INDEX(avoidedcosttbl2,ROUNDDOWN($H148,0),BJ$2)))))*'Inputs Yr 2'!P148*'Inputs Yr 2'!Q148*'Inputs Yr 2'!U148,"")</f>
        <v>0</v>
      </c>
      <c r="BK148" s="195">
        <f>IFERROR($G148*(IF('Inputs Yr 2'!$AJ148=BK$4,'Inputs Yr 2'!$AK148,IF('Inputs Yr 2'!$AL148=BK$4,'Inputs Yr 2'!$AM148,IF('Inputs Yr 2'!$AN148=BK$4,'Inputs Yr 2'!$AO148,0))))*(INDEX(avoidedcosttbl2,$H148,BK$2)+(($H148-ROUNDDOWN($H148,0))*(INDEX(avoidedcosttbl2,ROUNDUP($H148,0),BK$2)-(INDEX(avoidedcosttbl2,ROUNDDOWN($H148,0),BK$2)))))*'Inputs Yr 2'!P148*'Inputs Yr 2'!Q148*'Inputs Yr 2'!U148,"")</f>
        <v>0</v>
      </c>
      <c r="BL148" s="195">
        <f>IFERROR($G148*(IF('Inputs Yr 2'!$AJ148=BL$4,'Inputs Yr 2'!$AK148,IF('Inputs Yr 2'!$AL148=BL$4,'Inputs Yr 2'!$AM148,IF('Inputs Yr 2'!$AN148=BL$4,'Inputs Yr 2'!$AO148,0))))*(INDEX(avoidedcosttbl2,$H148,BL$2)+(($H148-ROUNDDOWN($H148,0))*(INDEX(avoidedcosttbl2,ROUNDUP($H148,0),BL$2)-(INDEX(avoidedcosttbl2,ROUNDDOWN($H148,0),BL$2)))))*'Inputs Yr 2'!P148*'Inputs Yr 2'!Q148*'Inputs Yr 2'!U148,"")</f>
        <v>0</v>
      </c>
      <c r="BM148" s="195">
        <f>IFERROR($G148*(IF('Inputs Yr 2'!$AJ148=BM$4,'Inputs Yr 2'!$AK148,IF('Inputs Yr 2'!$AL148=BM$4,'Inputs Yr 2'!$AM148,IF('Inputs Yr 2'!$AN148=BM$4,'Inputs Yr 2'!$AO148,0))))*(INDEX(avoidedcosttbl2,$H148,BM$2)+(($H148-ROUNDDOWN($H148,0))*(INDEX(avoidedcosttbl2,ROUNDUP($H148,0),BM$2)-(INDEX(avoidedcosttbl2,ROUNDDOWN($H148,0),BM$2)))))*'Inputs Yr 2'!P148*'Inputs Yr 2'!Q148*'Inputs Yr 2'!U148,"")</f>
        <v>0</v>
      </c>
      <c r="BN148" s="195">
        <f>IFERROR($G148*(IF('Inputs Yr 2'!$AJ148=BN$4,'Inputs Yr 2'!$AK148,IF('Inputs Yr 2'!$AL148=BN$4,'Inputs Yr 2'!$AM148,IF('Inputs Yr 2'!$AN148=BN$4,'Inputs Yr 2'!$AO148,0))))*(INDEX(avoidedcosttbl2,$H148,BN$2)+(($H148-ROUNDDOWN($H148,0))*(INDEX(avoidedcosttbl2,ROUNDUP($H148,0),BN$2)-(INDEX(avoidedcosttbl2,ROUNDDOWN($H148,0),BN$2)))))*'Inputs Yr 2'!P148*'Inputs Yr 2'!Q148*'Inputs Yr 2'!U148,"")</f>
        <v>0</v>
      </c>
      <c r="BO148" s="195">
        <f>IFERROR($G148*(IF('Inputs Yr 2'!$AJ148=BO$4,'Inputs Yr 2'!$AK148,IF('Inputs Yr 2'!$AL148=BO$4,'Inputs Yr 2'!$AM148,IF('Inputs Yr 2'!$AN148=BO$4,'Inputs Yr 2'!$AO148,0))))*(INDEX(avoidedcosttbl2,$H148,BO$2)+(($H148-ROUNDDOWN($H148,0))*(INDEX(avoidedcosttbl2,ROUNDUP($H148,0),BO$2)-(INDEX(avoidedcosttbl2,ROUNDDOWN($H148,0),BO$2)))))*'Inputs Yr 2'!P148*'Inputs Yr 2'!Q148*'Inputs Yr 2'!U148,"")</f>
        <v>1353869.278113855</v>
      </c>
      <c r="BP148" s="195">
        <f>IFERROR($G148*(IF('Inputs Yr 2'!$AJ148=BP$4,'Inputs Yr 2'!$AK148,IF('Inputs Yr 2'!$AL148=BP$4,'Inputs Yr 2'!$AM148,IF('Inputs Yr 2'!$AN148=BP$4,'Inputs Yr 2'!$AO148,0))))*(INDEX(avoidedcosttbl2,$H148,BP$2)+(($H148-ROUNDDOWN($H148,0))*(INDEX(avoidedcosttbl2,ROUNDUP($H148,0),BP$2)-(INDEX(avoidedcosttbl2,ROUNDDOWN($H148,0),BP$2)))))*'Inputs Yr 2'!P148*'Inputs Yr 2'!Q148*'Inputs Yr 2'!U148,"")</f>
        <v>0</v>
      </c>
      <c r="BQ148" s="230">
        <f t="shared" si="98"/>
        <v>1353869.278113855</v>
      </c>
      <c r="BR148" s="197">
        <f t="shared" si="82"/>
        <v>23332.121877411952</v>
      </c>
      <c r="BS148" s="197">
        <f>IFERROR(($G148*IF('Inputs Yr 2'!$AJ148=BM$4,'Inputs Yr 2'!$AK148,IF('Inputs Yr 2'!$AL148=BM$4,'Inputs Yr 2'!$AM148,IF('Inputs Yr 2'!$AN148=BM$4,'Inputs Yr 2'!$AO148,0))))*(INDEX(avoidedcosttbl2,$H148,BS$2)+(($H148-ROUNDDOWN($H148,0))*(INDEX(avoidedcosttbl2,ROUNDUP($H148,0),BS$2)-(INDEX(avoidedcosttbl2,ROUNDDOWN($H148,0),BS$2)))))*'Inputs Yr 2'!P148*'Inputs Yr 2'!Q148*'Inputs Yr 2'!U148,"")</f>
        <v>0</v>
      </c>
      <c r="BT148" s="197">
        <f>IFERROR(($G148*IF('Inputs Yr 2'!$AJ148=BK$4,'Inputs Yr 2'!$AK148,IF('Inputs Yr 2'!$AL148=BK$4,'Inputs Yr 2'!$AM148,IF('Inputs Yr 2'!$AN148=BK$4,'Inputs Yr 2'!$AO148,0))))*(INDEX(avoidedcosttbl2,$H148,BT$2)+(($H148-ROUNDDOWN($H148,0))*(INDEX(avoidedcosttbl2,ROUNDUP($H148,0),BT$2)-(INDEX(avoidedcosttbl2,ROUNDDOWN($H148,0),BT$2)))))*'Inputs Yr 2'!P148*'Inputs Yr 2'!Q148*'Inputs Yr 2'!U148,"")</f>
        <v>0</v>
      </c>
      <c r="BU148" s="197">
        <f>IFERROR(($G148*IF('Inputs Yr 2'!$AJ148=BL$4,'Inputs Yr 2'!$AK148,IF('Inputs Yr 2'!$AL148=BL$4,'Inputs Yr 2'!$AM148,IF('Inputs Yr 2'!$AN148=BL$4,'Inputs Yr 2'!$AO148,0))))*(INDEX(avoidedcosttbl2,$H148,BU$2)+(($H148-ROUNDDOWN($H148,0))*(INDEX(avoidedcosttbl2,ROUNDUP($H148,0),BU$2)-(INDEX(avoidedcosttbl2,ROUNDDOWN($H148,0),BU$2)))))*'Inputs Yr 2'!P148*'Inputs Yr 2'!Q148*'Inputs Yr 2'!U148,"")</f>
        <v>0</v>
      </c>
      <c r="BV148" s="775">
        <f>IFERROR(($G148*IF('Inputs Yr 2'!$AJ148=BJ$4,'Inputs Yr 2'!$AK148,IF('Inputs Yr 2'!$AL148=BJ$4,'Inputs Yr 2'!$AM148,IF('Inputs Yr 2'!$AN148=BJ$4,'Inputs Yr 2'!$AO148,0))))*(INDEX(avoidedcosttbl2,$H148,BV$2)+(($H148-ROUNDDOWN($H148,0))*(INDEX(avoidedcosttbl2,ROUNDUP($H148,0),BV$2)-(INDEX(avoidedcosttbl2,ROUNDDOWN($H148,0),BV$2)))))*'Inputs Yr 2'!P148*'Inputs Yr 2'!Q148*'Inputs Yr 2'!U148,"")</f>
        <v>0</v>
      </c>
      <c r="BW148" s="197">
        <f>IFERROR(($G148*IF('Inputs Yr 2'!$AJ148=BN$4,'Inputs Yr 2'!$AK148,IF('Inputs Yr 2'!$AL148=BN$4,'Inputs Yr 2'!$AM148,IF('Inputs Yr 2'!$AN148=BN$4,'Inputs Yr 2'!$AO148,0))))*(INDEX(avoidedcosttbl2,$H148,BW$2)+(($H148-ROUNDDOWN($H148,0))*(INDEX(avoidedcosttbl2,ROUNDUP($H148,0),BW$2)-(INDEX(avoidedcosttbl2,ROUNDDOWN($H148,0),BW$2)))))*'Inputs Yr 2'!P148*'Inputs Yr 2'!Q148*'Inputs Yr 2'!U148,"")</f>
        <v>0</v>
      </c>
      <c r="BX148" s="197">
        <f>IFERROR(($G148*IF('Inputs Yr 2'!$AJ148=BO$4,'Inputs Yr 2'!$AK148,IF('Inputs Yr 2'!$AL148=BO$4,'Inputs Yr 2'!$AM148,IF('Inputs Yr 2'!$AN148=BO$4,'Inputs Yr 2'!$AO148,0))))*(INDEX(avoidedcosttbl2,$H148,BX$2)+(($H148-ROUNDDOWN($H148,0))*(INDEX(avoidedcosttbl2,ROUNDUP($H148,0),BX$2)-(INDEX(avoidedcosttbl2,ROUNDDOWN($H148,0),BX$2)))))*'Inputs Yr 2'!P148*'Inputs Yr 2'!Q148*'Inputs Yr 2'!U148,"")</f>
        <v>90070.591926743597</v>
      </c>
      <c r="BY148" s="197">
        <f>IFERROR(($G148*IF('Inputs Yr 2'!$AJ148=BP$4,'Inputs Yr 2'!$AK148,IF('Inputs Yr 2'!$AL148=BP$4,'Inputs Yr 2'!$AM148,IF('Inputs Yr 2'!$AN148=BP$4,'Inputs Yr 2'!$AO148,0))))*(INDEX(avoidedcosttbl2,$H148,BY$2)+(($H148-ROUNDDOWN($H148,0))*(INDEX(avoidedcosttbl2,ROUNDUP($H148,0),BY$2)-(INDEX(avoidedcosttbl2,ROUNDDOWN($H148,0),BY$2)))))*'Inputs Yr 2'!P148*'Inputs Yr 2'!Q148*'Inputs Yr 2'!U148,"")</f>
        <v>0</v>
      </c>
      <c r="BZ148" s="193">
        <f t="shared" si="99"/>
        <v>113402.71380415554</v>
      </c>
      <c r="CA148" s="193">
        <f t="shared" si="100"/>
        <v>1467271.9919180106</v>
      </c>
      <c r="CB148" s="195">
        <f>IFERROR(G148*(IF('Inputs Yr 2'!$AJ148=CB$4,'Inputs Yr 2'!$AK148,IF('Inputs Yr 2'!$AL148=CB$4,'Inputs Yr 2'!$AM148,IF('Inputs Yr 2'!$AN148=CB$4,'Inputs Yr 2'!$AO148,0))))*(INDEX(avoidedcosttbl2,$H148,CB$2)+(($H148-ROUNDDOWN($H148,0))*(INDEX(avoidedcosttbl2,ROUNDUP($H148,0),CB$2)-(INDEX(avoidedcosttbl2,ROUNDDOWN($H148,0),CB$2)))))*'Inputs Yr 2'!P148*'Inputs Yr 2'!Q148*'Inputs Yr 2'!U148,"")</f>
        <v>0</v>
      </c>
      <c r="CC148" s="195">
        <f>IFERROR(H148*(IF('Inputs Yr 2'!$AJ148=CC$4,'Inputs Yr 2'!$AK148,IF('Inputs Yr 2'!$AL148=CC$4,'Inputs Yr 2'!$AM148,IF('Inputs Yr 2'!$AN148=CC$4,'Inputs Yr 2'!$AO148,0))))*(INDEX(avoidedcosttbl2,$H148,CC$2)+(($H148-ROUNDDOWN($H148,0))*(INDEX(avoidedcosttbl2,ROUNDUP($H148,0),CC$2)-(INDEX(avoidedcosttbl2,ROUNDDOWN($H148,0),CC$2)))))*'Inputs Yr 2'!Q148*'Inputs Yr 2'!R148*'Inputs Yr 2'!V148,"")</f>
        <v>0</v>
      </c>
      <c r="CD148" s="195">
        <f>IFERROR(I148*(IF('Inputs Yr 2'!$AJ148=CD$4,'Inputs Yr 2'!$AK148,IF('Inputs Yr 2'!$AL148=CD$4,'Inputs Yr 2'!$AM148,IF('Inputs Yr 2'!$AN148=CD$4,'Inputs Yr 2'!$AO148,0))))*(INDEX(avoidedcosttbl2,$H148,CD$2)+(($H148-ROUNDDOWN($H148,0))*(INDEX(avoidedcosttbl2,ROUNDUP($H148,0),CD$2)-(INDEX(avoidedcosttbl2,ROUNDDOWN($H148,0),CD$2)))))*'Inputs Yr 2'!R148*'Inputs Yr 2'!S148*'Inputs Yr 2'!W148,"")</f>
        <v>0</v>
      </c>
      <c r="CE148" s="213">
        <f t="shared" si="101"/>
        <v>0</v>
      </c>
      <c r="CF148" s="213">
        <f t="shared" si="102"/>
        <v>0</v>
      </c>
      <c r="CG148" s="213">
        <f t="shared" si="103"/>
        <v>0</v>
      </c>
      <c r="CH148" s="698">
        <f t="shared" si="104"/>
        <v>1467271.9919180106</v>
      </c>
      <c r="CI148" s="79">
        <f>IFERROR(($G148*'Inputs Yr 2'!$P148*'Inputs Yr 2'!$Q148*(((INDEX(avoidedcosttbl2,$H148,CI$2)+(($H148-ROUNDDOWN($H148,0))*(INDEX(avoidedcosttbl2,ROUNDUP($H148,0),CI$2)-INDEX(avoidedcosttbl2,ROUNDDOWN($H148,0),CI$2))))*'Inputs Yr 2'!AS148))),"")</f>
        <v>0</v>
      </c>
      <c r="CJ148" s="504">
        <f>IFERROR($G148*'Inputs Yr 2'!AT148*'Inputs Yr 2'!$P148*'Inputs Yr 2'!$Q148/((1+realdiscrt1)^-0.5),"")</f>
        <v>0</v>
      </c>
      <c r="CK148" s="79">
        <f>IFERROR((O148*1000*(((INDEX(avoidedcosttbl2,$H148,CK$2)+(($H148-ROUNDDOWN($H148,0))*(INDEX(avoidedcosttbl2,ROUNDUP($H148,0),CK$2)-INDEX(avoidedcosttbl2,ROUNDDOWN($H148,0),CK$2))))*'Inputs Yr 2'!AU148))),"")</f>
        <v>0</v>
      </c>
      <c r="CL148" s="504">
        <f>IFERROR(O148*1000*'Inputs Yr 2'!AV148/((1+realdiscrt1)^-0.5),"")</f>
        <v>0</v>
      </c>
      <c r="CM148" s="79">
        <f>IFERROR((AB148*'Inputs Yr 2'!AW148*(((INDEX(avoidedcosttbl2,$H148,CM$2)+(($H148-ROUNDDOWN($H148,0))*(INDEX(avoidedcosttbl2,ROUNDUP($H148,0),CM$2)-INDEX(avoidedcosttbl2,ROUNDDOWN($H148,0),CM$2)))))))*10,"")</f>
        <v>-6663.746847297356</v>
      </c>
      <c r="CN148" s="504">
        <f>IFERROR(10*AB148*'Inputs Yr 2'!AX148/((1+realdiscrt1)^-0.5),"")</f>
        <v>0</v>
      </c>
      <c r="CO148" s="505">
        <f t="shared" si="105"/>
        <v>-6663.746847297356</v>
      </c>
      <c r="CP148" s="230">
        <f t="shared" si="106"/>
        <v>1460608.2450707133</v>
      </c>
      <c r="CQ148" s="199">
        <f>ROUND(IFERROR(IF(LEFT($A148,1)="C",'Avoided Costs'!$K$13,'Avoided Costs'!$K$12)+1,""),4)</f>
        <v>1.0720000000000001</v>
      </c>
      <c r="CR148" s="199">
        <f>ROUND(IFERROR(IF(LEFT($A148,1)="C",'Avoided Costs'!$L$13,'Avoided Costs'!$L$12)+1,""),4)</f>
        <v>1.04</v>
      </c>
      <c r="CS148" s="199">
        <f>ROUND(IFERROR(IF(LEFT($A148,1)="C",'Avoided Costs'!$M$13,'Avoided Costs'!$M$12)+1,""),4)</f>
        <v>1.0720000000000001</v>
      </c>
      <c r="CT148" s="199">
        <f>ROUND(IFERROR(IF(LEFT($A148,1)="C",'Avoided Costs'!$N$13,'Avoided Costs'!$N$12)+1,""),4)</f>
        <v>1.04</v>
      </c>
      <c r="CU148" s="199">
        <f>ROUND(IFERROR(IF(LEFT($A148,1)="C",'Avoided Costs'!$O$13,'Avoided Costs'!$O$12)+1,""),4)</f>
        <v>1.1120000000000001</v>
      </c>
      <c r="CV148" s="199">
        <f>ROUND(IFERROR(IF(LEFT($A148,1)="C",'Avoided Costs'!$P$13,'Avoided Costs'!$P$12)+1,""),4)</f>
        <v>1.095</v>
      </c>
      <c r="CW148" s="199">
        <f>ROUND(IFERROR(IF(LEFT($A148,1)="C",'Avoided Costs'!$Q$13,'Avoided Costs'!$Q$12)+1,""),4)</f>
        <v>1.1120000000000001</v>
      </c>
      <c r="CX148" s="200">
        <f>ROUND(IFERROR(IF(LEFT($A148,1)="C",'Avoided Costs'!$R$13,'Avoided Costs'!$R$12)+1,""),4)</f>
        <v>1.1120000000000001</v>
      </c>
    </row>
    <row r="149" spans="1:102" ht="12.75" customHeight="1">
      <c r="A149" s="91" t="str">
        <f>IF('Inputs Yr 2'!$B149=0,"",'Inputs Yr 2'!A149)</f>
        <v>C - Commercial &amp; Industrial</v>
      </c>
      <c r="B149" s="91" t="str">
        <f>IF('Inputs Yr 2'!$B149=0,"",'Inputs Yr 2'!B149)</f>
        <v>C1 - C&amp;I New Construction</v>
      </c>
      <c r="C149" s="91" t="str">
        <f>IF('Inputs Yr 2'!$B149=0,"",'Inputs Yr 2'!C149)</f>
        <v>C1a - C&amp;I New Buildings &amp; Major Renovations</v>
      </c>
      <c r="D149" s="91" t="str">
        <f>IF('Inputs Yr 2'!$B149=0,"",'Inputs Yr 2'!E149)</f>
        <v>Comprehensive Design - Custom 17</v>
      </c>
      <c r="E149" s="93" t="str">
        <f>IF('Inputs Yr 2'!$B149=0,"",'Inputs Yr 2'!F149)</f>
        <v>G16C1a01</v>
      </c>
      <c r="F149" s="93" t="str">
        <f>IF('Inputs Yr 2'!$B149=0,"",'Inputs Yr 2'!G149)</f>
        <v>Custom Measures</v>
      </c>
      <c r="G149" s="95">
        <f>IF('Inputs Yr 2'!$H149&lt;&gt;0,('Inputs Yr 2'!H149),"")</f>
        <v>1</v>
      </c>
      <c r="H149" s="94">
        <f>IFERROR('Inputs Yr 2'!I149,"")</f>
        <v>17</v>
      </c>
      <c r="I149" s="298">
        <f>IFERROR('Inputs Yr 2'!J149*'Inputs Yr 2'!P149*G149,"")</f>
        <v>760082.74597333348</v>
      </c>
      <c r="J149" s="298">
        <f>IFERROR('Inputs Yr 2'!K149*G149,"")</f>
        <v>620306.92000000004</v>
      </c>
      <c r="K149" s="298">
        <f t="shared" si="83"/>
        <v>139775.82597333344</v>
      </c>
      <c r="L149" s="194">
        <f>IFERROR(('Inputs Yr 2'!W149*G149)/1000,"")</f>
        <v>0</v>
      </c>
      <c r="M149" s="194">
        <f>IFERROR(L149*('Inputs Yr 2'!$Q149*'Inputs Yr 2'!$V149*'Inputs Yr 2'!$R149),"")</f>
        <v>0</v>
      </c>
      <c r="N149" s="194">
        <f t="shared" si="84"/>
        <v>0</v>
      </c>
      <c r="O149" s="194">
        <f>IFERROR(M149*'Inputs Yr 2'!P149,"")</f>
        <v>0</v>
      </c>
      <c r="P149" s="194">
        <f t="shared" si="85"/>
        <v>0</v>
      </c>
      <c r="Q149" s="194">
        <f>IFERROR($P149*'Inputs Yr 2'!AA149,"")</f>
        <v>0</v>
      </c>
      <c r="R149" s="194">
        <f>IFERROR($P149*'Inputs Yr 2'!AB149,"")</f>
        <v>0</v>
      </c>
      <c r="S149" s="194">
        <f>IFERROR($P149*'Inputs Yr 2'!AC149,"")</f>
        <v>0</v>
      </c>
      <c r="T149" s="194">
        <f>IFERROR($P149*'Inputs Yr 2'!AD149,"")</f>
        <v>0</v>
      </c>
      <c r="U149" s="194">
        <f>IFERROR(G149*'Inputs Yr 2'!$AE149*'Inputs Yr 2'!$P149*'Inputs Yr 2'!$Q149,"")</f>
        <v>0</v>
      </c>
      <c r="V149" s="194">
        <f>IFERROR($G149*'Inputs Yr 2'!$AE149*'Inputs Yr 2'!$AG149*'Inputs Yr 2'!Q149*'Inputs Yr 2'!$S149,"")</f>
        <v>0</v>
      </c>
      <c r="W149" s="194">
        <f>IFERROR($G149*'Inputs Yr 2'!$AE149*'Inputs Yr 2'!$AG149*'Inputs Yr 2'!P149*'Inputs Yr 2'!Q149*'Inputs Yr 2'!$S149,"")</f>
        <v>0</v>
      </c>
      <c r="X149" s="194">
        <f>IFERROR($G149*'Inputs Yr 2'!$AE149*'Inputs Yr 2'!$AF149*'Inputs Yr 2'!Q149*'Inputs Yr 2'!$T149,"")</f>
        <v>0</v>
      </c>
      <c r="Y149" s="194">
        <f>IFERROR($G149*'Inputs Yr 2'!$AE149*'Inputs Yr 2'!$AF149*'Inputs Yr 2'!P149*'Inputs Yr 2'!Q149*'Inputs Yr 2'!$T149,"")</f>
        <v>0</v>
      </c>
      <c r="Z149" s="257">
        <f>IFERROR($G149*'Inputs Yr 2'!$Q149*'Inputs Yr 2'!$U149*(IF(IFERROR(SEARCH("NG", 'Inputs Yr 2'!$AJ149),0),'Inputs Yr 2'!$AK149,0)+IF(IFERROR(SEARCH("NG", 'Inputs Yr 2'!$AL149),0),'Inputs Yr 2'!$AM149,0)+IF(IFERROR(SEARCH("NG", 'Inputs Yr 2'!$AN149),0),'Inputs Yr 2'!$AO149,0)),0)</f>
        <v>36290.2696</v>
      </c>
      <c r="AA149" s="257">
        <f t="shared" si="86"/>
        <v>616934.58319999999</v>
      </c>
      <c r="AB149" s="257">
        <f>IFERROR(Z149*'Inputs Yr 2'!$P149,0)</f>
        <v>33350.757762400004</v>
      </c>
      <c r="AC149" s="257">
        <f t="shared" si="87"/>
        <v>566962.88196080003</v>
      </c>
      <c r="AD149" s="257">
        <f>IFERROR($G149*'Inputs Yr 2'!$Q149*'Inputs Yr 2'!$U149*(IF(IFERROR(SEARCH("Oil", 'Inputs Yr 2'!$AJ149), 0),'Inputs Yr 2'!$AK149,0)+IF(IFERROR(SEARCH("Oil", 'Inputs Yr 2'!$AL149), 0),'Inputs Yr 2'!$AM149,0)+IF(IFERROR(SEARCH("Oil", 'Inputs Yr 2'!$AN149), 0),'Inputs Yr 2'!$AO149,0)),0)</f>
        <v>0</v>
      </c>
      <c r="AE149" s="257">
        <f t="shared" si="88"/>
        <v>0</v>
      </c>
      <c r="AF149" s="257">
        <f>IFERROR(AD149*'Inputs Yr 2'!$P149,0)</f>
        <v>0</v>
      </c>
      <c r="AG149" s="257">
        <f t="shared" si="89"/>
        <v>0</v>
      </c>
      <c r="AH149" s="257">
        <f>IFERROR($G149*'Inputs Yr 2'!$Q149*'Inputs Yr 2'!$U149*(IF('Inputs Yr 2'!$AJ149=CD$4,'Inputs Yr 2'!$AK149,IF('Inputs Yr 2'!$AL149=CD$4,'Inputs Yr 2'!$AM149,IF('Inputs Yr 2'!$AN149=CD$4,'Inputs Yr 2'!$AO149,0)))),0)</f>
        <v>0</v>
      </c>
      <c r="AI149" s="257">
        <f t="shared" si="90"/>
        <v>0</v>
      </c>
      <c r="AJ149" s="257">
        <f>IFERROR(AH149*'Inputs Yr 2'!$P149,0)</f>
        <v>0</v>
      </c>
      <c r="AK149" s="257">
        <f t="shared" si="91"/>
        <v>0</v>
      </c>
      <c r="AL149" s="258">
        <f>IFERROR($G149*'Inputs Yr 2'!$P149*'Inputs Yr 2'!$Q149*'Inputs Yr 2'!AP149,0)</f>
        <v>0</v>
      </c>
      <c r="AM149" s="260">
        <f>IFERROR($G149*'Inputs Yr 2'!$P149*'Inputs Yr 2'!$Q149*'Inputs Yr 2'!AQ149,0)</f>
        <v>0</v>
      </c>
      <c r="AN149" s="258">
        <f>IFERROR($G149*'Inputs Yr 2'!$P149*'Inputs Yr 2'!$Q149*'Inputs Yr 2'!AR149,0)</f>
        <v>0</v>
      </c>
      <c r="AO149" s="257">
        <f t="shared" si="92"/>
        <v>0</v>
      </c>
      <c r="AP149" s="195">
        <f>IFERROR($CQ149*(INDEX(avoidedcosttbl2,$H149,AP$2)+(($H149-ROUNDDOWN($H149,0))*(INDEX(avoidedcosttbl2,ROUNDUP($H149,0),AP$2)-(INDEX(avoidedcosttbl2,ROUNDDOWN($H149,0),AP$2)))))*$O149*1000*'Inputs Yr 2'!AA149,"")</f>
        <v>0</v>
      </c>
      <c r="AQ149" s="195">
        <f>IFERROR($CR149*(INDEX(avoidedcosttbl2,$H149,AQ$2)+(($H149-ROUNDDOWN($H149,0))*(INDEX(avoidedcosttbl2,ROUNDUP($H149,0),AQ$2)-(INDEX(avoidedcosttbl2,ROUNDDOWN($H149,0),AQ$2)))))*$O149*1000*'Inputs Yr 2'!AB149,"")</f>
        <v>0</v>
      </c>
      <c r="AR149" s="195">
        <f>IFERROR($CS149*(INDEX(avoidedcosttbl2,$H149,AR$2)+(($H149-ROUNDDOWN($H149,0))*(INDEX(avoidedcosttbl2,ROUNDUP($H149,0),AR$2)-(INDEX(avoidedcosttbl2,ROUNDDOWN($H149,0),AR$2)))))*$O149*1000*'Inputs Yr 2'!AC149,"")</f>
        <v>0</v>
      </c>
      <c r="AS149" s="195">
        <f>IFERROR($CT149*(INDEX(avoidedcosttbl2,$H149,AS$2)+(($H149-ROUNDDOWN($H149,0))*(INDEX(avoidedcosttbl2,ROUNDUP($H149,0),AS$2)-(INDEX(avoidedcosttbl2,ROUNDDOWN($H149,0),AS$2)))))*$O149*1000*'Inputs Yr 2'!AD149,"")</f>
        <v>0</v>
      </c>
      <c r="AT149" s="196">
        <f t="shared" si="93"/>
        <v>0</v>
      </c>
      <c r="AU149" s="197">
        <f>IFERROR($CQ149*((INDEX(avoidedcosttbl2,$H149,AU$2))+(($H149-ROUNDDOWN($H149,0))*((INDEX(avoidedcosttbl2,ROUNDUP($H149,0),AU$2))-(INDEX(avoidedcosttbl2,ROUNDDOWN($H149,0),AU$2)))))*$O149*1000*'Inputs Yr 2'!AA149,"")</f>
        <v>0</v>
      </c>
      <c r="AV149" s="197">
        <f>IFERROR($CR149*((INDEX(avoidedcosttbl2,$H149,AV$2))+(($H149-ROUNDDOWN($H149,0))*((INDEX(avoidedcosttbl2,ROUNDUP($H149,0),AV$2))-(INDEX(avoidedcosttbl2,ROUNDDOWN($H149,0),AV$2)))))*$O149*1000*'Inputs Yr 2'!AB149,"")</f>
        <v>0</v>
      </c>
      <c r="AW149" s="197">
        <f>IFERROR($CS149*((INDEX(avoidedcosttbl2,$H149,AW$2))+(($H149-ROUNDDOWN($H149,0))*((INDEX(avoidedcosttbl2,ROUNDUP($H149,0),AW$2))-(INDEX(avoidedcosttbl2,ROUNDDOWN($H149,0),AW$2)))))*$O149*1000*'Inputs Yr 2'!AC149,"")</f>
        <v>0</v>
      </c>
      <c r="AX149" s="197">
        <f>IFERROR($CT149*((INDEX(avoidedcosttbl2,$H149,AX$2))+(($H149-ROUNDDOWN($H149,0))*((INDEX(avoidedcosttbl2,ROUNDUP($H149,0),AX$2))-(INDEX(avoidedcosttbl2,ROUNDDOWN($H149,0),AX$2)))))*$O149*1000*'Inputs Yr 2'!AD149,"")</f>
        <v>0</v>
      </c>
      <c r="AY149" s="197">
        <f>IFERROR(((INDEX(avoidedcosttbl2,$H149,AY$2))+(($H149-ROUNDDOWN($H149,0))*((INDEX(avoidedcosttbl2,ROUNDUP($H149,0),AY$2))-(INDEX(avoidedcosttbl2,ROUNDDOWN($H149,0),AY$2)))))*$O149*1000*('Inputs Yr 2'!AC149+'Inputs Yr 2'!AD149),"")</f>
        <v>0</v>
      </c>
      <c r="AZ149" s="197">
        <f>IFERROR(((INDEX(avoidedcosttbl2,$H149,AZ$2))+(($H149-ROUNDDOWN($H149,0))*((INDEX(avoidedcosttbl2,ROUNDUP($H149,0),AZ$2))-(INDEX(avoidedcosttbl2,ROUNDDOWN($H149,0),AZ$2)))))*$O149*1000*('Inputs Yr 2'!AA149+'Inputs Yr 2'!AB149),"")</f>
        <v>0</v>
      </c>
      <c r="BA149" s="198">
        <f t="shared" si="94"/>
        <v>0</v>
      </c>
      <c r="BB149" s="198">
        <f t="shared" si="95"/>
        <v>0</v>
      </c>
      <c r="BC149" s="195">
        <f t="shared" si="77"/>
        <v>0</v>
      </c>
      <c r="BD149" s="195">
        <f t="shared" si="78"/>
        <v>0</v>
      </c>
      <c r="BE149" s="195">
        <f t="shared" si="79"/>
        <v>0</v>
      </c>
      <c r="BF149" s="195">
        <f t="shared" si="80"/>
        <v>0</v>
      </c>
      <c r="BG149" s="195">
        <f t="shared" si="81"/>
        <v>0</v>
      </c>
      <c r="BH149" s="196">
        <f t="shared" si="96"/>
        <v>0</v>
      </c>
      <c r="BI149" s="196">
        <f t="shared" si="97"/>
        <v>0</v>
      </c>
      <c r="BJ149" s="195">
        <f>IFERROR($G149*(IF('Inputs Yr 2'!$AJ149=BJ$4,'Inputs Yr 2'!$AK149,IF('Inputs Yr 2'!$AL149=BJ$4,'Inputs Yr 2'!$AM149,IF('Inputs Yr 2'!$AN149=BJ$4,'Inputs Yr 2'!$AO149,0))))*(INDEX(avoidedcosttbl2,$H149,BJ$2)+(($H149-ROUNDDOWN($H149,0))*(INDEX(avoidedcosttbl2,ROUNDUP($H149,0),BJ$2)-(INDEX(avoidedcosttbl2,ROUNDDOWN($H149,0),BJ$2)))))*'Inputs Yr 2'!P149*'Inputs Yr 2'!Q149*'Inputs Yr 2'!U149,"")</f>
        <v>0</v>
      </c>
      <c r="BK149" s="195">
        <f>IFERROR($G149*(IF('Inputs Yr 2'!$AJ149=BK$4,'Inputs Yr 2'!$AK149,IF('Inputs Yr 2'!$AL149=BK$4,'Inputs Yr 2'!$AM149,IF('Inputs Yr 2'!$AN149=BK$4,'Inputs Yr 2'!$AO149,0))))*(INDEX(avoidedcosttbl2,$H149,BK$2)+(($H149-ROUNDDOWN($H149,0))*(INDEX(avoidedcosttbl2,ROUNDUP($H149,0),BK$2)-(INDEX(avoidedcosttbl2,ROUNDDOWN($H149,0),BK$2)))))*'Inputs Yr 2'!P149*'Inputs Yr 2'!Q149*'Inputs Yr 2'!U149,"")</f>
        <v>0</v>
      </c>
      <c r="BL149" s="195">
        <f>IFERROR($G149*(IF('Inputs Yr 2'!$AJ149=BL$4,'Inputs Yr 2'!$AK149,IF('Inputs Yr 2'!$AL149=BL$4,'Inputs Yr 2'!$AM149,IF('Inputs Yr 2'!$AN149=BL$4,'Inputs Yr 2'!$AO149,0))))*(INDEX(avoidedcosttbl2,$H149,BL$2)+(($H149-ROUNDDOWN($H149,0))*(INDEX(avoidedcosttbl2,ROUNDUP($H149,0),BL$2)-(INDEX(avoidedcosttbl2,ROUNDDOWN($H149,0),BL$2)))))*'Inputs Yr 2'!P149*'Inputs Yr 2'!Q149*'Inputs Yr 2'!U149,"")</f>
        <v>0</v>
      </c>
      <c r="BM149" s="195">
        <f>IFERROR($G149*(IF('Inputs Yr 2'!$AJ149=BM$4,'Inputs Yr 2'!$AK149,IF('Inputs Yr 2'!$AL149=BM$4,'Inputs Yr 2'!$AM149,IF('Inputs Yr 2'!$AN149=BM$4,'Inputs Yr 2'!$AO149,0))))*(INDEX(avoidedcosttbl2,$H149,BM$2)+(($H149-ROUNDDOWN($H149,0))*(INDEX(avoidedcosttbl2,ROUNDUP($H149,0),BM$2)-(INDEX(avoidedcosttbl2,ROUNDDOWN($H149,0),BM$2)))))*'Inputs Yr 2'!P149*'Inputs Yr 2'!Q149*'Inputs Yr 2'!U149,"")</f>
        <v>0</v>
      </c>
      <c r="BN149" s="195">
        <f>IFERROR($G149*(IF('Inputs Yr 2'!$AJ149=BN$4,'Inputs Yr 2'!$AK149,IF('Inputs Yr 2'!$AL149=BN$4,'Inputs Yr 2'!$AM149,IF('Inputs Yr 2'!$AN149=BN$4,'Inputs Yr 2'!$AO149,0))))*(INDEX(avoidedcosttbl2,$H149,BN$2)+(($H149-ROUNDDOWN($H149,0))*(INDEX(avoidedcosttbl2,ROUNDUP($H149,0),BN$2)-(INDEX(avoidedcosttbl2,ROUNDDOWN($H149,0),BN$2)))))*'Inputs Yr 2'!P149*'Inputs Yr 2'!Q149*'Inputs Yr 2'!U149,"")</f>
        <v>0</v>
      </c>
      <c r="BO149" s="195">
        <f>IFERROR($G149*(IF('Inputs Yr 2'!$AJ149=BO$4,'Inputs Yr 2'!$AK149,IF('Inputs Yr 2'!$AL149=BO$4,'Inputs Yr 2'!$AM149,IF('Inputs Yr 2'!$AN149=BO$4,'Inputs Yr 2'!$AO149,0))))*(INDEX(avoidedcosttbl2,$H149,BO$2)+(($H149-ROUNDDOWN($H149,0))*(INDEX(avoidedcosttbl2,ROUNDUP($H149,0),BO$2)-(INDEX(avoidedcosttbl2,ROUNDDOWN($H149,0),BO$2)))))*'Inputs Yr 2'!P149*'Inputs Yr 2'!Q149*'Inputs Yr 2'!U149,"")</f>
        <v>4477027.5110357478</v>
      </c>
      <c r="BP149" s="195">
        <f>IFERROR($G149*(IF('Inputs Yr 2'!$AJ149=BP$4,'Inputs Yr 2'!$AK149,IF('Inputs Yr 2'!$AL149=BP$4,'Inputs Yr 2'!$AM149,IF('Inputs Yr 2'!$AN149=BP$4,'Inputs Yr 2'!$AO149,0))))*(INDEX(avoidedcosttbl2,$H149,BP$2)+(($H149-ROUNDDOWN($H149,0))*(INDEX(avoidedcosttbl2,ROUNDUP($H149,0),BP$2)-(INDEX(avoidedcosttbl2,ROUNDDOWN($H149,0),BP$2)))))*'Inputs Yr 2'!P149*'Inputs Yr 2'!Q149*'Inputs Yr 2'!U149,"")</f>
        <v>0</v>
      </c>
      <c r="BQ149" s="230">
        <f t="shared" si="98"/>
        <v>4477027.5110357478</v>
      </c>
      <c r="BR149" s="197">
        <f t="shared" si="82"/>
        <v>76514.51487924828</v>
      </c>
      <c r="BS149" s="197">
        <f>IFERROR(($G149*IF('Inputs Yr 2'!$AJ149=BM$4,'Inputs Yr 2'!$AK149,IF('Inputs Yr 2'!$AL149=BM$4,'Inputs Yr 2'!$AM149,IF('Inputs Yr 2'!$AN149=BM$4,'Inputs Yr 2'!$AO149,0))))*(INDEX(avoidedcosttbl2,$H149,BS$2)+(($H149-ROUNDDOWN($H149,0))*(INDEX(avoidedcosttbl2,ROUNDUP($H149,0),BS$2)-(INDEX(avoidedcosttbl2,ROUNDDOWN($H149,0),BS$2)))))*'Inputs Yr 2'!P149*'Inputs Yr 2'!Q149*'Inputs Yr 2'!U149,"")</f>
        <v>0</v>
      </c>
      <c r="BT149" s="197">
        <f>IFERROR(($G149*IF('Inputs Yr 2'!$AJ149=BK$4,'Inputs Yr 2'!$AK149,IF('Inputs Yr 2'!$AL149=BK$4,'Inputs Yr 2'!$AM149,IF('Inputs Yr 2'!$AN149=BK$4,'Inputs Yr 2'!$AO149,0))))*(INDEX(avoidedcosttbl2,$H149,BT$2)+(($H149-ROUNDDOWN($H149,0))*(INDEX(avoidedcosttbl2,ROUNDUP($H149,0),BT$2)-(INDEX(avoidedcosttbl2,ROUNDDOWN($H149,0),BT$2)))))*'Inputs Yr 2'!P149*'Inputs Yr 2'!Q149*'Inputs Yr 2'!U149,"")</f>
        <v>0</v>
      </c>
      <c r="BU149" s="197">
        <f>IFERROR(($G149*IF('Inputs Yr 2'!$AJ149=BL$4,'Inputs Yr 2'!$AK149,IF('Inputs Yr 2'!$AL149=BL$4,'Inputs Yr 2'!$AM149,IF('Inputs Yr 2'!$AN149=BL$4,'Inputs Yr 2'!$AO149,0))))*(INDEX(avoidedcosttbl2,$H149,BU$2)+(($H149-ROUNDDOWN($H149,0))*(INDEX(avoidedcosttbl2,ROUNDUP($H149,0),BU$2)-(INDEX(avoidedcosttbl2,ROUNDDOWN($H149,0),BU$2)))))*'Inputs Yr 2'!P149*'Inputs Yr 2'!Q149*'Inputs Yr 2'!U149,"")</f>
        <v>0</v>
      </c>
      <c r="BV149" s="775">
        <f>IFERROR(($G149*IF('Inputs Yr 2'!$AJ149=BJ$4,'Inputs Yr 2'!$AK149,IF('Inputs Yr 2'!$AL149=BJ$4,'Inputs Yr 2'!$AM149,IF('Inputs Yr 2'!$AN149=BJ$4,'Inputs Yr 2'!$AO149,0))))*(INDEX(avoidedcosttbl2,$H149,BV$2)+(($H149-ROUNDDOWN($H149,0))*(INDEX(avoidedcosttbl2,ROUNDUP($H149,0),BV$2)-(INDEX(avoidedcosttbl2,ROUNDDOWN($H149,0),BV$2)))))*'Inputs Yr 2'!P149*'Inputs Yr 2'!Q149*'Inputs Yr 2'!U149,"")</f>
        <v>0</v>
      </c>
      <c r="BW149" s="197">
        <f>IFERROR(($G149*IF('Inputs Yr 2'!$AJ149=BN$4,'Inputs Yr 2'!$AK149,IF('Inputs Yr 2'!$AL149=BN$4,'Inputs Yr 2'!$AM149,IF('Inputs Yr 2'!$AN149=BN$4,'Inputs Yr 2'!$AO149,0))))*(INDEX(avoidedcosttbl2,$H149,BW$2)+(($H149-ROUNDDOWN($H149,0))*(INDEX(avoidedcosttbl2,ROUNDUP($H149,0),BW$2)-(INDEX(avoidedcosttbl2,ROUNDDOWN($H149,0),BW$2)))))*'Inputs Yr 2'!P149*'Inputs Yr 2'!Q149*'Inputs Yr 2'!U149,"")</f>
        <v>0</v>
      </c>
      <c r="BX149" s="197">
        <f>IFERROR(($G149*IF('Inputs Yr 2'!$AJ149=BO$4,'Inputs Yr 2'!$AK149,IF('Inputs Yr 2'!$AL149=BO$4,'Inputs Yr 2'!$AM149,IF('Inputs Yr 2'!$AN149=BO$4,'Inputs Yr 2'!$AO149,0))))*(INDEX(avoidedcosttbl2,$H149,BX$2)+(($H149-ROUNDDOWN($H149,0))*(INDEX(avoidedcosttbl2,ROUNDUP($H149,0),BX$2)-(INDEX(avoidedcosttbl2,ROUNDDOWN($H149,0),BX$2)))))*'Inputs Yr 2'!P149*'Inputs Yr 2'!Q149*'Inputs Yr 2'!U149,"")</f>
        <v>282219.83290176885</v>
      </c>
      <c r="BY149" s="197">
        <f>IFERROR(($G149*IF('Inputs Yr 2'!$AJ149=BP$4,'Inputs Yr 2'!$AK149,IF('Inputs Yr 2'!$AL149=BP$4,'Inputs Yr 2'!$AM149,IF('Inputs Yr 2'!$AN149=BP$4,'Inputs Yr 2'!$AO149,0))))*(INDEX(avoidedcosttbl2,$H149,BY$2)+(($H149-ROUNDDOWN($H149,0))*(INDEX(avoidedcosttbl2,ROUNDUP($H149,0),BY$2)-(INDEX(avoidedcosttbl2,ROUNDDOWN($H149,0),BY$2)))))*'Inputs Yr 2'!P149*'Inputs Yr 2'!Q149*'Inputs Yr 2'!U149,"")</f>
        <v>0</v>
      </c>
      <c r="BZ149" s="193">
        <f t="shared" si="99"/>
        <v>358734.34778101713</v>
      </c>
      <c r="CA149" s="193">
        <f t="shared" si="100"/>
        <v>4835761.8588167652</v>
      </c>
      <c r="CB149" s="195">
        <f>IFERROR(G149*(IF('Inputs Yr 2'!$AJ149=CB$4,'Inputs Yr 2'!$AK149,IF('Inputs Yr 2'!$AL149=CB$4,'Inputs Yr 2'!$AM149,IF('Inputs Yr 2'!$AN149=CB$4,'Inputs Yr 2'!$AO149,0))))*(INDEX(avoidedcosttbl2,$H149,CB$2)+(($H149-ROUNDDOWN($H149,0))*(INDEX(avoidedcosttbl2,ROUNDUP($H149,0),CB$2)-(INDEX(avoidedcosttbl2,ROUNDDOWN($H149,0),CB$2)))))*'Inputs Yr 2'!P149*'Inputs Yr 2'!Q149*'Inputs Yr 2'!U149,"")</f>
        <v>0</v>
      </c>
      <c r="CC149" s="195">
        <f>IFERROR(H149*(IF('Inputs Yr 2'!$AJ149=CC$4,'Inputs Yr 2'!$AK149,IF('Inputs Yr 2'!$AL149=CC$4,'Inputs Yr 2'!$AM149,IF('Inputs Yr 2'!$AN149=CC$4,'Inputs Yr 2'!$AO149,0))))*(INDEX(avoidedcosttbl2,$H149,CC$2)+(($H149-ROUNDDOWN($H149,0))*(INDEX(avoidedcosttbl2,ROUNDUP($H149,0),CC$2)-(INDEX(avoidedcosttbl2,ROUNDDOWN($H149,0),CC$2)))))*'Inputs Yr 2'!Q149*'Inputs Yr 2'!R149*'Inputs Yr 2'!V149,"")</f>
        <v>0</v>
      </c>
      <c r="CD149" s="195">
        <f>IFERROR(I149*(IF('Inputs Yr 2'!$AJ149=CD$4,'Inputs Yr 2'!$AK149,IF('Inputs Yr 2'!$AL149=CD$4,'Inputs Yr 2'!$AM149,IF('Inputs Yr 2'!$AN149=CD$4,'Inputs Yr 2'!$AO149,0))))*(INDEX(avoidedcosttbl2,$H149,CD$2)+(($H149-ROUNDDOWN($H149,0))*(INDEX(avoidedcosttbl2,ROUNDUP($H149,0),CD$2)-(INDEX(avoidedcosttbl2,ROUNDDOWN($H149,0),CD$2)))))*'Inputs Yr 2'!R149*'Inputs Yr 2'!S149*'Inputs Yr 2'!W149,"")</f>
        <v>0</v>
      </c>
      <c r="CE149" s="213">
        <f t="shared" si="101"/>
        <v>0</v>
      </c>
      <c r="CF149" s="213">
        <f t="shared" si="102"/>
        <v>0</v>
      </c>
      <c r="CG149" s="213">
        <f t="shared" si="103"/>
        <v>0</v>
      </c>
      <c r="CH149" s="698">
        <f t="shared" si="104"/>
        <v>4835761.8588167652</v>
      </c>
      <c r="CI149" s="79">
        <f>IFERROR(($G149*'Inputs Yr 2'!$P149*'Inputs Yr 2'!$Q149*(((INDEX(avoidedcosttbl2,$H149,CI$2)+(($H149-ROUNDDOWN($H149,0))*(INDEX(avoidedcosttbl2,ROUNDUP($H149,0),CI$2)-INDEX(avoidedcosttbl2,ROUNDDOWN($H149,0),CI$2))))*'Inputs Yr 2'!AS149))),"")</f>
        <v>0</v>
      </c>
      <c r="CJ149" s="504">
        <f>IFERROR($G149*'Inputs Yr 2'!AT149*'Inputs Yr 2'!$P149*'Inputs Yr 2'!$Q149/((1+realdiscrt1)^-0.5),"")</f>
        <v>0</v>
      </c>
      <c r="CK149" s="79">
        <f>IFERROR((O149*1000*(((INDEX(avoidedcosttbl2,$H149,CK$2)+(($H149-ROUNDDOWN($H149,0))*(INDEX(avoidedcosttbl2,ROUNDUP($H149,0),CK$2)-INDEX(avoidedcosttbl2,ROUNDDOWN($H149,0),CK$2))))*'Inputs Yr 2'!AU149))),"")</f>
        <v>0</v>
      </c>
      <c r="CL149" s="504">
        <f>IFERROR(O149*1000*'Inputs Yr 2'!AV149/((1+realdiscrt1)^-0.5),"")</f>
        <v>0</v>
      </c>
      <c r="CM149" s="79">
        <f>IFERROR((AB149*'Inputs Yr 2'!AW149*(((INDEX(avoidedcosttbl2,$H149,CM$2)+(($H149-ROUNDDOWN($H149,0))*(INDEX(avoidedcosttbl2,ROUNDUP($H149,0),CM$2)-INDEX(avoidedcosttbl2,ROUNDDOWN($H149,0),CM$2)))))))*10,"")</f>
        <v>-21852.849902721064</v>
      </c>
      <c r="CN149" s="504">
        <f>IFERROR(10*AB149*'Inputs Yr 2'!AX149/((1+realdiscrt1)^-0.5),"")</f>
        <v>0</v>
      </c>
      <c r="CO149" s="505">
        <f t="shared" si="105"/>
        <v>-21852.849902721064</v>
      </c>
      <c r="CP149" s="230">
        <f t="shared" si="106"/>
        <v>4813909.0089140441</v>
      </c>
      <c r="CQ149" s="199">
        <f>ROUND(IFERROR(IF(LEFT($A149,1)="C",'Avoided Costs'!$K$13,'Avoided Costs'!$K$12)+1,""),4)</f>
        <v>1.0720000000000001</v>
      </c>
      <c r="CR149" s="199">
        <f>ROUND(IFERROR(IF(LEFT($A149,1)="C",'Avoided Costs'!$L$13,'Avoided Costs'!$L$12)+1,""),4)</f>
        <v>1.04</v>
      </c>
      <c r="CS149" s="199">
        <f>ROUND(IFERROR(IF(LEFT($A149,1)="C",'Avoided Costs'!$M$13,'Avoided Costs'!$M$12)+1,""),4)</f>
        <v>1.0720000000000001</v>
      </c>
      <c r="CT149" s="199">
        <f>ROUND(IFERROR(IF(LEFT($A149,1)="C",'Avoided Costs'!$N$13,'Avoided Costs'!$N$12)+1,""),4)</f>
        <v>1.04</v>
      </c>
      <c r="CU149" s="199">
        <f>ROUND(IFERROR(IF(LEFT($A149,1)="C",'Avoided Costs'!$O$13,'Avoided Costs'!$O$12)+1,""),4)</f>
        <v>1.1120000000000001</v>
      </c>
      <c r="CV149" s="199">
        <f>ROUND(IFERROR(IF(LEFT($A149,1)="C",'Avoided Costs'!$P$13,'Avoided Costs'!$P$12)+1,""),4)</f>
        <v>1.095</v>
      </c>
      <c r="CW149" s="199">
        <f>ROUND(IFERROR(IF(LEFT($A149,1)="C",'Avoided Costs'!$Q$13,'Avoided Costs'!$Q$12)+1,""),4)</f>
        <v>1.1120000000000001</v>
      </c>
      <c r="CX149" s="200">
        <f>ROUND(IFERROR(IF(LEFT($A149,1)="C",'Avoided Costs'!$R$13,'Avoided Costs'!$R$12)+1,""),4)</f>
        <v>1.1120000000000001</v>
      </c>
    </row>
    <row r="150" spans="1:102" ht="12.75" customHeight="1">
      <c r="A150" s="91" t="str">
        <f>IF('Inputs Yr 2'!$B150=0,"",'Inputs Yr 2'!A150)</f>
        <v>C - Commercial &amp; Industrial</v>
      </c>
      <c r="B150" s="91" t="str">
        <f>IF('Inputs Yr 2'!$B150=0,"",'Inputs Yr 2'!B150)</f>
        <v>C1 - C&amp;I New Construction</v>
      </c>
      <c r="C150" s="91" t="str">
        <f>IF('Inputs Yr 2'!$B150=0,"",'Inputs Yr 2'!C150)</f>
        <v>C1a - C&amp;I New Buildings &amp; Major Renovations</v>
      </c>
      <c r="D150" s="91" t="str">
        <f>IF('Inputs Yr 2'!$B150=0,"",'Inputs Yr 2'!E150)</f>
        <v>Comprehensive Design - Custom 18</v>
      </c>
      <c r="E150" s="93" t="str">
        <f>IF('Inputs Yr 2'!$B150=0,"",'Inputs Yr 2'!F150)</f>
        <v>G16C1a01</v>
      </c>
      <c r="F150" s="93" t="str">
        <f>IF('Inputs Yr 2'!$B150=0,"",'Inputs Yr 2'!G150)</f>
        <v>Custom Measures</v>
      </c>
      <c r="G150" s="95">
        <f>IF('Inputs Yr 2'!$H150&lt;&gt;0,('Inputs Yr 2'!H150),"")</f>
        <v>1</v>
      </c>
      <c r="H150" s="94">
        <f>IFERROR('Inputs Yr 2'!I150,"")</f>
        <v>18</v>
      </c>
      <c r="I150" s="298">
        <f>IFERROR('Inputs Yr 2'!J150*'Inputs Yr 2'!P150*G150,"")</f>
        <v>276323.6211466667</v>
      </c>
      <c r="J150" s="298">
        <f>IFERROR('Inputs Yr 2'!K150*G150,"")</f>
        <v>225508.94</v>
      </c>
      <c r="K150" s="298">
        <f t="shared" si="83"/>
        <v>50814.681146666699</v>
      </c>
      <c r="L150" s="194">
        <f>IFERROR(('Inputs Yr 2'!W150*G150)/1000,"")</f>
        <v>0</v>
      </c>
      <c r="M150" s="194">
        <f>IFERROR(L150*('Inputs Yr 2'!$Q150*'Inputs Yr 2'!$V150*'Inputs Yr 2'!$R150),"")</f>
        <v>0</v>
      </c>
      <c r="N150" s="194">
        <f t="shared" si="84"/>
        <v>0</v>
      </c>
      <c r="O150" s="194">
        <f>IFERROR(M150*'Inputs Yr 2'!P150,"")</f>
        <v>0</v>
      </c>
      <c r="P150" s="194">
        <f t="shared" si="85"/>
        <v>0</v>
      </c>
      <c r="Q150" s="194">
        <f>IFERROR($P150*'Inputs Yr 2'!AA150,"")</f>
        <v>0</v>
      </c>
      <c r="R150" s="194">
        <f>IFERROR($P150*'Inputs Yr 2'!AB150,"")</f>
        <v>0</v>
      </c>
      <c r="S150" s="194">
        <f>IFERROR($P150*'Inputs Yr 2'!AC150,"")</f>
        <v>0</v>
      </c>
      <c r="T150" s="194">
        <f>IFERROR($P150*'Inputs Yr 2'!AD150,"")</f>
        <v>0</v>
      </c>
      <c r="U150" s="194">
        <f>IFERROR(G150*'Inputs Yr 2'!$AE150*'Inputs Yr 2'!$P150*'Inputs Yr 2'!$Q150,"")</f>
        <v>0</v>
      </c>
      <c r="V150" s="194">
        <f>IFERROR($G150*'Inputs Yr 2'!$AE150*'Inputs Yr 2'!$AG150*'Inputs Yr 2'!Q150*'Inputs Yr 2'!$S150,"")</f>
        <v>0</v>
      </c>
      <c r="W150" s="194">
        <f>IFERROR($G150*'Inputs Yr 2'!$AE150*'Inputs Yr 2'!$AG150*'Inputs Yr 2'!P150*'Inputs Yr 2'!Q150*'Inputs Yr 2'!$S150,"")</f>
        <v>0</v>
      </c>
      <c r="X150" s="194">
        <f>IFERROR($G150*'Inputs Yr 2'!$AE150*'Inputs Yr 2'!$AF150*'Inputs Yr 2'!Q150*'Inputs Yr 2'!$T150,"")</f>
        <v>0</v>
      </c>
      <c r="Y150" s="194">
        <f>IFERROR($G150*'Inputs Yr 2'!$AE150*'Inputs Yr 2'!$AF150*'Inputs Yr 2'!P150*'Inputs Yr 2'!Q150*'Inputs Yr 2'!$T150,"")</f>
        <v>0</v>
      </c>
      <c r="Z150" s="257">
        <f>IFERROR($G150*'Inputs Yr 2'!$Q150*'Inputs Yr 2'!$U150*(IF(IFERROR(SEARCH("NG", 'Inputs Yr 2'!$AJ150),0),'Inputs Yr 2'!$AK150,0)+IF(IFERROR(SEARCH("NG", 'Inputs Yr 2'!$AL150),0),'Inputs Yr 2'!$AM150,0)+IF(IFERROR(SEARCH("NG", 'Inputs Yr 2'!$AN150),0),'Inputs Yr 2'!$AO150,0)),0)</f>
        <v>13397.880279999999</v>
      </c>
      <c r="AA150" s="257">
        <f t="shared" si="86"/>
        <v>241161.84503999999</v>
      </c>
      <c r="AB150" s="257">
        <f>IFERROR(Z150*'Inputs Yr 2'!$P150,0)</f>
        <v>12312.65197732</v>
      </c>
      <c r="AC150" s="257">
        <f t="shared" si="87"/>
        <v>221627.73559175999</v>
      </c>
      <c r="AD150" s="257">
        <f>IFERROR($G150*'Inputs Yr 2'!$Q150*'Inputs Yr 2'!$U150*(IF(IFERROR(SEARCH("Oil", 'Inputs Yr 2'!$AJ150), 0),'Inputs Yr 2'!$AK150,0)+IF(IFERROR(SEARCH("Oil", 'Inputs Yr 2'!$AL150), 0),'Inputs Yr 2'!$AM150,0)+IF(IFERROR(SEARCH("Oil", 'Inputs Yr 2'!$AN150), 0),'Inputs Yr 2'!$AO150,0)),0)</f>
        <v>0</v>
      </c>
      <c r="AE150" s="257">
        <f t="shared" si="88"/>
        <v>0</v>
      </c>
      <c r="AF150" s="257">
        <f>IFERROR(AD150*'Inputs Yr 2'!$P150,0)</f>
        <v>0</v>
      </c>
      <c r="AG150" s="257">
        <f t="shared" si="89"/>
        <v>0</v>
      </c>
      <c r="AH150" s="257">
        <f>IFERROR($G150*'Inputs Yr 2'!$Q150*'Inputs Yr 2'!$U150*(IF('Inputs Yr 2'!$AJ150=CD$4,'Inputs Yr 2'!$AK150,IF('Inputs Yr 2'!$AL150=CD$4,'Inputs Yr 2'!$AM150,IF('Inputs Yr 2'!$AN150=CD$4,'Inputs Yr 2'!$AO150,0)))),0)</f>
        <v>0</v>
      </c>
      <c r="AI150" s="257">
        <f t="shared" si="90"/>
        <v>0</v>
      </c>
      <c r="AJ150" s="257">
        <f>IFERROR(AH150*'Inputs Yr 2'!$P150,0)</f>
        <v>0</v>
      </c>
      <c r="AK150" s="257">
        <f t="shared" si="91"/>
        <v>0</v>
      </c>
      <c r="AL150" s="258">
        <f>IFERROR($G150*'Inputs Yr 2'!$P150*'Inputs Yr 2'!$Q150*'Inputs Yr 2'!AP150,0)</f>
        <v>0</v>
      </c>
      <c r="AM150" s="260">
        <f>IFERROR($G150*'Inputs Yr 2'!$P150*'Inputs Yr 2'!$Q150*'Inputs Yr 2'!AQ150,0)</f>
        <v>0</v>
      </c>
      <c r="AN150" s="258">
        <f>IFERROR($G150*'Inputs Yr 2'!$P150*'Inputs Yr 2'!$Q150*'Inputs Yr 2'!AR150,0)</f>
        <v>0</v>
      </c>
      <c r="AO150" s="257">
        <f t="shared" si="92"/>
        <v>0</v>
      </c>
      <c r="AP150" s="195">
        <f>IFERROR($CQ150*(INDEX(avoidedcosttbl2,$H150,AP$2)+(($H150-ROUNDDOWN($H150,0))*(INDEX(avoidedcosttbl2,ROUNDUP($H150,0),AP$2)-(INDEX(avoidedcosttbl2,ROUNDDOWN($H150,0),AP$2)))))*$O150*1000*'Inputs Yr 2'!AA150,"")</f>
        <v>0</v>
      </c>
      <c r="AQ150" s="195">
        <f>IFERROR($CR150*(INDEX(avoidedcosttbl2,$H150,AQ$2)+(($H150-ROUNDDOWN($H150,0))*(INDEX(avoidedcosttbl2,ROUNDUP($H150,0),AQ$2)-(INDEX(avoidedcosttbl2,ROUNDDOWN($H150,0),AQ$2)))))*$O150*1000*'Inputs Yr 2'!AB150,"")</f>
        <v>0</v>
      </c>
      <c r="AR150" s="195">
        <f>IFERROR($CS150*(INDEX(avoidedcosttbl2,$H150,AR$2)+(($H150-ROUNDDOWN($H150,0))*(INDEX(avoidedcosttbl2,ROUNDUP($H150,0),AR$2)-(INDEX(avoidedcosttbl2,ROUNDDOWN($H150,0),AR$2)))))*$O150*1000*'Inputs Yr 2'!AC150,"")</f>
        <v>0</v>
      </c>
      <c r="AS150" s="195">
        <f>IFERROR($CT150*(INDEX(avoidedcosttbl2,$H150,AS$2)+(($H150-ROUNDDOWN($H150,0))*(INDEX(avoidedcosttbl2,ROUNDUP($H150,0),AS$2)-(INDEX(avoidedcosttbl2,ROUNDDOWN($H150,0),AS$2)))))*$O150*1000*'Inputs Yr 2'!AD150,"")</f>
        <v>0</v>
      </c>
      <c r="AT150" s="196">
        <f t="shared" si="93"/>
        <v>0</v>
      </c>
      <c r="AU150" s="197">
        <f>IFERROR($CQ150*((INDEX(avoidedcosttbl2,$H150,AU$2))+(($H150-ROUNDDOWN($H150,0))*((INDEX(avoidedcosttbl2,ROUNDUP($H150,0),AU$2))-(INDEX(avoidedcosttbl2,ROUNDDOWN($H150,0),AU$2)))))*$O150*1000*'Inputs Yr 2'!AA150,"")</f>
        <v>0</v>
      </c>
      <c r="AV150" s="197">
        <f>IFERROR($CR150*((INDEX(avoidedcosttbl2,$H150,AV$2))+(($H150-ROUNDDOWN($H150,0))*((INDEX(avoidedcosttbl2,ROUNDUP($H150,0),AV$2))-(INDEX(avoidedcosttbl2,ROUNDDOWN($H150,0),AV$2)))))*$O150*1000*'Inputs Yr 2'!AB150,"")</f>
        <v>0</v>
      </c>
      <c r="AW150" s="197">
        <f>IFERROR($CS150*((INDEX(avoidedcosttbl2,$H150,AW$2))+(($H150-ROUNDDOWN($H150,0))*((INDEX(avoidedcosttbl2,ROUNDUP($H150,0),AW$2))-(INDEX(avoidedcosttbl2,ROUNDDOWN($H150,0),AW$2)))))*$O150*1000*'Inputs Yr 2'!AC150,"")</f>
        <v>0</v>
      </c>
      <c r="AX150" s="197">
        <f>IFERROR($CT150*((INDEX(avoidedcosttbl2,$H150,AX$2))+(($H150-ROUNDDOWN($H150,0))*((INDEX(avoidedcosttbl2,ROUNDUP($H150,0),AX$2))-(INDEX(avoidedcosttbl2,ROUNDDOWN($H150,0),AX$2)))))*$O150*1000*'Inputs Yr 2'!AD150,"")</f>
        <v>0</v>
      </c>
      <c r="AY150" s="197">
        <f>IFERROR(((INDEX(avoidedcosttbl2,$H150,AY$2))+(($H150-ROUNDDOWN($H150,0))*((INDEX(avoidedcosttbl2,ROUNDUP($H150,0),AY$2))-(INDEX(avoidedcosttbl2,ROUNDDOWN($H150,0),AY$2)))))*$O150*1000*('Inputs Yr 2'!AC150+'Inputs Yr 2'!AD150),"")</f>
        <v>0</v>
      </c>
      <c r="AZ150" s="197">
        <f>IFERROR(((INDEX(avoidedcosttbl2,$H150,AZ$2))+(($H150-ROUNDDOWN($H150,0))*((INDEX(avoidedcosttbl2,ROUNDUP($H150,0),AZ$2))-(INDEX(avoidedcosttbl2,ROUNDDOWN($H150,0),AZ$2)))))*$O150*1000*('Inputs Yr 2'!AA150+'Inputs Yr 2'!AB150),"")</f>
        <v>0</v>
      </c>
      <c r="BA150" s="198">
        <f t="shared" si="94"/>
        <v>0</v>
      </c>
      <c r="BB150" s="198">
        <f t="shared" si="95"/>
        <v>0</v>
      </c>
      <c r="BC150" s="195">
        <f t="shared" si="77"/>
        <v>0</v>
      </c>
      <c r="BD150" s="195">
        <f t="shared" si="78"/>
        <v>0</v>
      </c>
      <c r="BE150" s="195">
        <f t="shared" si="79"/>
        <v>0</v>
      </c>
      <c r="BF150" s="195">
        <f t="shared" si="80"/>
        <v>0</v>
      </c>
      <c r="BG150" s="195">
        <f t="shared" si="81"/>
        <v>0</v>
      </c>
      <c r="BH150" s="196">
        <f t="shared" si="96"/>
        <v>0</v>
      </c>
      <c r="BI150" s="196">
        <f t="shared" si="97"/>
        <v>0</v>
      </c>
      <c r="BJ150" s="195">
        <f>IFERROR($G150*(IF('Inputs Yr 2'!$AJ150=BJ$4,'Inputs Yr 2'!$AK150,IF('Inputs Yr 2'!$AL150=BJ$4,'Inputs Yr 2'!$AM150,IF('Inputs Yr 2'!$AN150=BJ$4,'Inputs Yr 2'!$AO150,0))))*(INDEX(avoidedcosttbl2,$H150,BJ$2)+(($H150-ROUNDDOWN($H150,0))*(INDEX(avoidedcosttbl2,ROUNDUP($H150,0),BJ$2)-(INDEX(avoidedcosttbl2,ROUNDDOWN($H150,0),BJ$2)))))*'Inputs Yr 2'!P150*'Inputs Yr 2'!Q150*'Inputs Yr 2'!U150,"")</f>
        <v>0</v>
      </c>
      <c r="BK150" s="195">
        <f>IFERROR($G150*(IF('Inputs Yr 2'!$AJ150=BK$4,'Inputs Yr 2'!$AK150,IF('Inputs Yr 2'!$AL150=BK$4,'Inputs Yr 2'!$AM150,IF('Inputs Yr 2'!$AN150=BK$4,'Inputs Yr 2'!$AO150,0))))*(INDEX(avoidedcosttbl2,$H150,BK$2)+(($H150-ROUNDDOWN($H150,0))*(INDEX(avoidedcosttbl2,ROUNDUP($H150,0),BK$2)-(INDEX(avoidedcosttbl2,ROUNDDOWN($H150,0),BK$2)))))*'Inputs Yr 2'!P150*'Inputs Yr 2'!Q150*'Inputs Yr 2'!U150,"")</f>
        <v>0</v>
      </c>
      <c r="BL150" s="195">
        <f>IFERROR($G150*(IF('Inputs Yr 2'!$AJ150=BL$4,'Inputs Yr 2'!$AK150,IF('Inputs Yr 2'!$AL150=BL$4,'Inputs Yr 2'!$AM150,IF('Inputs Yr 2'!$AN150=BL$4,'Inputs Yr 2'!$AO150,0))))*(INDEX(avoidedcosttbl2,$H150,BL$2)+(($H150-ROUNDDOWN($H150,0))*(INDEX(avoidedcosttbl2,ROUNDUP($H150,0),BL$2)-(INDEX(avoidedcosttbl2,ROUNDDOWN($H150,0),BL$2)))))*'Inputs Yr 2'!P150*'Inputs Yr 2'!Q150*'Inputs Yr 2'!U150,"")</f>
        <v>0</v>
      </c>
      <c r="BM150" s="195">
        <f>IFERROR($G150*(IF('Inputs Yr 2'!$AJ150=BM$4,'Inputs Yr 2'!$AK150,IF('Inputs Yr 2'!$AL150=BM$4,'Inputs Yr 2'!$AM150,IF('Inputs Yr 2'!$AN150=BM$4,'Inputs Yr 2'!$AO150,0))))*(INDEX(avoidedcosttbl2,$H150,BM$2)+(($H150-ROUNDDOWN($H150,0))*(INDEX(avoidedcosttbl2,ROUNDUP($H150,0),BM$2)-(INDEX(avoidedcosttbl2,ROUNDDOWN($H150,0),BM$2)))))*'Inputs Yr 2'!P150*'Inputs Yr 2'!Q150*'Inputs Yr 2'!U150,"")</f>
        <v>0</v>
      </c>
      <c r="BN150" s="195">
        <f>IFERROR($G150*(IF('Inputs Yr 2'!$AJ150=BN$4,'Inputs Yr 2'!$AK150,IF('Inputs Yr 2'!$AL150=BN$4,'Inputs Yr 2'!$AM150,IF('Inputs Yr 2'!$AN150=BN$4,'Inputs Yr 2'!$AO150,0))))*(INDEX(avoidedcosttbl2,$H150,BN$2)+(($H150-ROUNDDOWN($H150,0))*(INDEX(avoidedcosttbl2,ROUNDUP($H150,0),BN$2)-(INDEX(avoidedcosttbl2,ROUNDDOWN($H150,0),BN$2)))))*'Inputs Yr 2'!P150*'Inputs Yr 2'!Q150*'Inputs Yr 2'!U150,"")</f>
        <v>0</v>
      </c>
      <c r="BO150" s="195">
        <f>IFERROR($G150*(IF('Inputs Yr 2'!$AJ150=BO$4,'Inputs Yr 2'!$AK150,IF('Inputs Yr 2'!$AL150=BO$4,'Inputs Yr 2'!$AM150,IF('Inputs Yr 2'!$AN150=BO$4,'Inputs Yr 2'!$AO150,0))))*(INDEX(avoidedcosttbl2,$H150,BO$2)+(($H150-ROUNDDOWN($H150,0))*(INDEX(avoidedcosttbl2,ROUNDUP($H150,0),BO$2)-(INDEX(avoidedcosttbl2,ROUNDDOWN($H150,0),BO$2)))))*'Inputs Yr 2'!P150*'Inputs Yr 2'!Q150*'Inputs Yr 2'!U150,"")</f>
        <v>1760828.2904846787</v>
      </c>
      <c r="BP150" s="195">
        <f>IFERROR($G150*(IF('Inputs Yr 2'!$AJ150=BP$4,'Inputs Yr 2'!$AK150,IF('Inputs Yr 2'!$AL150=BP$4,'Inputs Yr 2'!$AM150,IF('Inputs Yr 2'!$AN150=BP$4,'Inputs Yr 2'!$AO150,0))))*(INDEX(avoidedcosttbl2,$H150,BP$2)+(($H150-ROUNDDOWN($H150,0))*(INDEX(avoidedcosttbl2,ROUNDUP($H150,0),BP$2)-(INDEX(avoidedcosttbl2,ROUNDDOWN($H150,0),BP$2)))))*'Inputs Yr 2'!P150*'Inputs Yr 2'!Q150*'Inputs Yr 2'!U150,"")</f>
        <v>0</v>
      </c>
      <c r="BQ150" s="230">
        <f t="shared" si="98"/>
        <v>1760828.2904846787</v>
      </c>
      <c r="BR150" s="197">
        <f t="shared" si="82"/>
        <v>29845.040018240441</v>
      </c>
      <c r="BS150" s="197">
        <f>IFERROR(($G150*IF('Inputs Yr 2'!$AJ150=BM$4,'Inputs Yr 2'!$AK150,IF('Inputs Yr 2'!$AL150=BM$4,'Inputs Yr 2'!$AM150,IF('Inputs Yr 2'!$AN150=BM$4,'Inputs Yr 2'!$AO150,0))))*(INDEX(avoidedcosttbl2,$H150,BS$2)+(($H150-ROUNDDOWN($H150,0))*(INDEX(avoidedcosttbl2,ROUNDUP($H150,0),BS$2)-(INDEX(avoidedcosttbl2,ROUNDDOWN($H150,0),BS$2)))))*'Inputs Yr 2'!P150*'Inputs Yr 2'!Q150*'Inputs Yr 2'!U150,"")</f>
        <v>0</v>
      </c>
      <c r="BT150" s="197">
        <f>IFERROR(($G150*IF('Inputs Yr 2'!$AJ150=BK$4,'Inputs Yr 2'!$AK150,IF('Inputs Yr 2'!$AL150=BK$4,'Inputs Yr 2'!$AM150,IF('Inputs Yr 2'!$AN150=BK$4,'Inputs Yr 2'!$AO150,0))))*(INDEX(avoidedcosttbl2,$H150,BT$2)+(($H150-ROUNDDOWN($H150,0))*(INDEX(avoidedcosttbl2,ROUNDUP($H150,0),BT$2)-(INDEX(avoidedcosttbl2,ROUNDDOWN($H150,0),BT$2)))))*'Inputs Yr 2'!P150*'Inputs Yr 2'!Q150*'Inputs Yr 2'!U150,"")</f>
        <v>0</v>
      </c>
      <c r="BU150" s="197">
        <f>IFERROR(($G150*IF('Inputs Yr 2'!$AJ150=BL$4,'Inputs Yr 2'!$AK150,IF('Inputs Yr 2'!$AL150=BL$4,'Inputs Yr 2'!$AM150,IF('Inputs Yr 2'!$AN150=BL$4,'Inputs Yr 2'!$AO150,0))))*(INDEX(avoidedcosttbl2,$H150,BU$2)+(($H150-ROUNDDOWN($H150,0))*(INDEX(avoidedcosttbl2,ROUNDUP($H150,0),BU$2)-(INDEX(avoidedcosttbl2,ROUNDDOWN($H150,0),BU$2)))))*'Inputs Yr 2'!P150*'Inputs Yr 2'!Q150*'Inputs Yr 2'!U150,"")</f>
        <v>0</v>
      </c>
      <c r="BV150" s="775">
        <f>IFERROR(($G150*IF('Inputs Yr 2'!$AJ150=BJ$4,'Inputs Yr 2'!$AK150,IF('Inputs Yr 2'!$AL150=BJ$4,'Inputs Yr 2'!$AM150,IF('Inputs Yr 2'!$AN150=BJ$4,'Inputs Yr 2'!$AO150,0))))*(INDEX(avoidedcosttbl2,$H150,BV$2)+(($H150-ROUNDDOWN($H150,0))*(INDEX(avoidedcosttbl2,ROUNDUP($H150,0),BV$2)-(INDEX(avoidedcosttbl2,ROUNDDOWN($H150,0),BV$2)))))*'Inputs Yr 2'!P150*'Inputs Yr 2'!Q150*'Inputs Yr 2'!U150,"")</f>
        <v>0</v>
      </c>
      <c r="BW150" s="197">
        <f>IFERROR(($G150*IF('Inputs Yr 2'!$AJ150=BN$4,'Inputs Yr 2'!$AK150,IF('Inputs Yr 2'!$AL150=BN$4,'Inputs Yr 2'!$AM150,IF('Inputs Yr 2'!$AN150=BN$4,'Inputs Yr 2'!$AO150,0))))*(INDEX(avoidedcosttbl2,$H150,BW$2)+(($H150-ROUNDDOWN($H150,0))*(INDEX(avoidedcosttbl2,ROUNDUP($H150,0),BW$2)-(INDEX(avoidedcosttbl2,ROUNDDOWN($H150,0),BW$2)))))*'Inputs Yr 2'!P150*'Inputs Yr 2'!Q150*'Inputs Yr 2'!U150,"")</f>
        <v>0</v>
      </c>
      <c r="BX150" s="197">
        <f>IFERROR(($G150*IF('Inputs Yr 2'!$AJ150=BO$4,'Inputs Yr 2'!$AK150,IF('Inputs Yr 2'!$AL150=BO$4,'Inputs Yr 2'!$AM150,IF('Inputs Yr 2'!$AN150=BO$4,'Inputs Yr 2'!$AO150,0))))*(INDEX(avoidedcosttbl2,$H150,BX$2)+(($H150-ROUNDDOWN($H150,0))*(INDEX(avoidedcosttbl2,ROUNDUP($H150,0),BX$2)-(INDEX(avoidedcosttbl2,ROUNDDOWN($H150,0),BX$2)))))*'Inputs Yr 2'!P150*'Inputs Yr 2'!Q150*'Inputs Yr 2'!U150,"")</f>
        <v>105521.2745064706</v>
      </c>
      <c r="BY150" s="197">
        <f>IFERROR(($G150*IF('Inputs Yr 2'!$AJ150=BP$4,'Inputs Yr 2'!$AK150,IF('Inputs Yr 2'!$AL150=BP$4,'Inputs Yr 2'!$AM150,IF('Inputs Yr 2'!$AN150=BP$4,'Inputs Yr 2'!$AO150,0))))*(INDEX(avoidedcosttbl2,$H150,BY$2)+(($H150-ROUNDDOWN($H150,0))*(INDEX(avoidedcosttbl2,ROUNDUP($H150,0),BY$2)-(INDEX(avoidedcosttbl2,ROUNDDOWN($H150,0),BY$2)))))*'Inputs Yr 2'!P150*'Inputs Yr 2'!Q150*'Inputs Yr 2'!U150,"")</f>
        <v>0</v>
      </c>
      <c r="BZ150" s="193">
        <f t="shared" si="99"/>
        <v>135366.31452471105</v>
      </c>
      <c r="CA150" s="193">
        <f t="shared" si="100"/>
        <v>1896194.6050093898</v>
      </c>
      <c r="CB150" s="195">
        <f>IFERROR(G150*(IF('Inputs Yr 2'!$AJ150=CB$4,'Inputs Yr 2'!$AK150,IF('Inputs Yr 2'!$AL150=CB$4,'Inputs Yr 2'!$AM150,IF('Inputs Yr 2'!$AN150=CB$4,'Inputs Yr 2'!$AO150,0))))*(INDEX(avoidedcosttbl2,$H150,CB$2)+(($H150-ROUNDDOWN($H150,0))*(INDEX(avoidedcosttbl2,ROUNDUP($H150,0),CB$2)-(INDEX(avoidedcosttbl2,ROUNDDOWN($H150,0),CB$2)))))*'Inputs Yr 2'!P150*'Inputs Yr 2'!Q150*'Inputs Yr 2'!U150,"")</f>
        <v>0</v>
      </c>
      <c r="CC150" s="195">
        <f>IFERROR(H150*(IF('Inputs Yr 2'!$AJ150=CC$4,'Inputs Yr 2'!$AK150,IF('Inputs Yr 2'!$AL150=CC$4,'Inputs Yr 2'!$AM150,IF('Inputs Yr 2'!$AN150=CC$4,'Inputs Yr 2'!$AO150,0))))*(INDEX(avoidedcosttbl2,$H150,CC$2)+(($H150-ROUNDDOWN($H150,0))*(INDEX(avoidedcosttbl2,ROUNDUP($H150,0),CC$2)-(INDEX(avoidedcosttbl2,ROUNDDOWN($H150,0),CC$2)))))*'Inputs Yr 2'!Q150*'Inputs Yr 2'!R150*'Inputs Yr 2'!V150,"")</f>
        <v>0</v>
      </c>
      <c r="CD150" s="195">
        <f>IFERROR(I150*(IF('Inputs Yr 2'!$AJ150=CD$4,'Inputs Yr 2'!$AK150,IF('Inputs Yr 2'!$AL150=CD$4,'Inputs Yr 2'!$AM150,IF('Inputs Yr 2'!$AN150=CD$4,'Inputs Yr 2'!$AO150,0))))*(INDEX(avoidedcosttbl2,$H150,CD$2)+(($H150-ROUNDDOWN($H150,0))*(INDEX(avoidedcosttbl2,ROUNDUP($H150,0),CD$2)-(INDEX(avoidedcosttbl2,ROUNDDOWN($H150,0),CD$2)))))*'Inputs Yr 2'!R150*'Inputs Yr 2'!S150*'Inputs Yr 2'!W150,"")</f>
        <v>0</v>
      </c>
      <c r="CE150" s="213">
        <f t="shared" si="101"/>
        <v>0</v>
      </c>
      <c r="CF150" s="213">
        <f t="shared" si="102"/>
        <v>0</v>
      </c>
      <c r="CG150" s="213">
        <f t="shared" si="103"/>
        <v>0</v>
      </c>
      <c r="CH150" s="698">
        <f t="shared" si="104"/>
        <v>1896194.6050093898</v>
      </c>
      <c r="CI150" s="79">
        <f>IFERROR(($G150*'Inputs Yr 2'!$P150*'Inputs Yr 2'!$Q150*(((INDEX(avoidedcosttbl2,$H150,CI$2)+(($H150-ROUNDDOWN($H150,0))*(INDEX(avoidedcosttbl2,ROUNDUP($H150,0),CI$2)-INDEX(avoidedcosttbl2,ROUNDDOWN($H150,0),CI$2))))*'Inputs Yr 2'!AS150))),"")</f>
        <v>0</v>
      </c>
      <c r="CJ150" s="504">
        <f>IFERROR($G150*'Inputs Yr 2'!AT150*'Inputs Yr 2'!$P150*'Inputs Yr 2'!$Q150/((1+realdiscrt1)^-0.5),"")</f>
        <v>0</v>
      </c>
      <c r="CK150" s="79">
        <f>IFERROR((O150*1000*(((INDEX(avoidedcosttbl2,$H150,CK$2)+(($H150-ROUNDDOWN($H150,0))*(INDEX(avoidedcosttbl2,ROUNDUP($H150,0),CK$2)-INDEX(avoidedcosttbl2,ROUNDDOWN($H150,0),CK$2))))*'Inputs Yr 2'!AU150))),"")</f>
        <v>0</v>
      </c>
      <c r="CL150" s="504">
        <f>IFERROR(O150*1000*'Inputs Yr 2'!AV150/((1+realdiscrt1)^-0.5),"")</f>
        <v>0</v>
      </c>
      <c r="CM150" s="79">
        <f>IFERROR((AB150*'Inputs Yr 2'!AW150*(((INDEX(avoidedcosttbl2,$H150,CM$2)+(($H150-ROUNDDOWN($H150,0))*(INDEX(avoidedcosttbl2,ROUNDUP($H150,0),CM$2)-INDEX(avoidedcosttbl2,ROUNDDOWN($H150,0),CM$2)))))))*10,"")</f>
        <v>-8523.8621833855013</v>
      </c>
      <c r="CN150" s="504">
        <f>IFERROR(10*AB150*'Inputs Yr 2'!AX150/((1+realdiscrt1)^-0.5),"")</f>
        <v>0</v>
      </c>
      <c r="CO150" s="505">
        <f t="shared" si="105"/>
        <v>-8523.8621833855013</v>
      </c>
      <c r="CP150" s="230">
        <f t="shared" si="106"/>
        <v>1887670.7428260043</v>
      </c>
      <c r="CQ150" s="199">
        <f>ROUND(IFERROR(IF(LEFT($A150,1)="C",'Avoided Costs'!$K$13,'Avoided Costs'!$K$12)+1,""),4)</f>
        <v>1.0720000000000001</v>
      </c>
      <c r="CR150" s="199">
        <f>ROUND(IFERROR(IF(LEFT($A150,1)="C",'Avoided Costs'!$L$13,'Avoided Costs'!$L$12)+1,""),4)</f>
        <v>1.04</v>
      </c>
      <c r="CS150" s="199">
        <f>ROUND(IFERROR(IF(LEFT($A150,1)="C",'Avoided Costs'!$M$13,'Avoided Costs'!$M$12)+1,""),4)</f>
        <v>1.0720000000000001</v>
      </c>
      <c r="CT150" s="199">
        <f>ROUND(IFERROR(IF(LEFT($A150,1)="C",'Avoided Costs'!$N$13,'Avoided Costs'!$N$12)+1,""),4)</f>
        <v>1.04</v>
      </c>
      <c r="CU150" s="199">
        <f>ROUND(IFERROR(IF(LEFT($A150,1)="C",'Avoided Costs'!$O$13,'Avoided Costs'!$O$12)+1,""),4)</f>
        <v>1.1120000000000001</v>
      </c>
      <c r="CV150" s="199">
        <f>ROUND(IFERROR(IF(LEFT($A150,1)="C",'Avoided Costs'!$P$13,'Avoided Costs'!$P$12)+1,""),4)</f>
        <v>1.095</v>
      </c>
      <c r="CW150" s="199">
        <f>ROUND(IFERROR(IF(LEFT($A150,1)="C",'Avoided Costs'!$Q$13,'Avoided Costs'!$Q$12)+1,""),4)</f>
        <v>1.1120000000000001</v>
      </c>
      <c r="CX150" s="200">
        <f>ROUND(IFERROR(IF(LEFT($A150,1)="C",'Avoided Costs'!$R$13,'Avoided Costs'!$R$12)+1,""),4)</f>
        <v>1.1120000000000001</v>
      </c>
    </row>
    <row r="151" spans="1:102" ht="12.75" customHeight="1">
      <c r="A151" s="91" t="str">
        <f>IF('Inputs Yr 2'!$B151=0,"",'Inputs Yr 2'!A151)</f>
        <v>C - Commercial &amp; Industrial</v>
      </c>
      <c r="B151" s="91" t="str">
        <f>IF('Inputs Yr 2'!$B151=0,"",'Inputs Yr 2'!B151)</f>
        <v>C1 - C&amp;I New Construction</v>
      </c>
      <c r="C151" s="91" t="str">
        <f>IF('Inputs Yr 2'!$B151=0,"",'Inputs Yr 2'!C151)</f>
        <v>C1a - C&amp;I New Buildings &amp; Major Renovations</v>
      </c>
      <c r="D151" s="91" t="str">
        <f>IF('Inputs Yr 2'!$B151=0,"",'Inputs Yr 2'!E151)</f>
        <v>Comprehensive Design - Custom 19</v>
      </c>
      <c r="E151" s="93" t="str">
        <f>IF('Inputs Yr 2'!$B151=0,"",'Inputs Yr 2'!F151)</f>
        <v>G16C1a01</v>
      </c>
      <c r="F151" s="93" t="str">
        <f>IF('Inputs Yr 2'!$B151=0,"",'Inputs Yr 2'!G151)</f>
        <v>Custom Measures</v>
      </c>
      <c r="G151" s="95">
        <f>IF('Inputs Yr 2'!$H151&lt;&gt;0,('Inputs Yr 2'!H151),"")</f>
        <v>1</v>
      </c>
      <c r="H151" s="94">
        <f>IFERROR('Inputs Yr 2'!I151,"")</f>
        <v>19</v>
      </c>
      <c r="I151" s="298">
        <f>IFERROR('Inputs Yr 2'!J151*'Inputs Yr 2'!P151*G151,"")</f>
        <v>19547.497599999999</v>
      </c>
      <c r="J151" s="298">
        <f>IFERROR('Inputs Yr 2'!K151*G151,"")</f>
        <v>15952.8</v>
      </c>
      <c r="K151" s="298">
        <f t="shared" si="83"/>
        <v>3594.6975999999995</v>
      </c>
      <c r="L151" s="194">
        <f>IFERROR(('Inputs Yr 2'!W151*G151)/1000,"")</f>
        <v>0</v>
      </c>
      <c r="M151" s="194">
        <f>IFERROR(L151*('Inputs Yr 2'!$Q151*'Inputs Yr 2'!$V151*'Inputs Yr 2'!$R151),"")</f>
        <v>0</v>
      </c>
      <c r="N151" s="194">
        <f t="shared" si="84"/>
        <v>0</v>
      </c>
      <c r="O151" s="194">
        <f>IFERROR(M151*'Inputs Yr 2'!P151,"")</f>
        <v>0</v>
      </c>
      <c r="P151" s="194">
        <f t="shared" si="85"/>
        <v>0</v>
      </c>
      <c r="Q151" s="194">
        <f>IFERROR($P151*'Inputs Yr 2'!AA151,"")</f>
        <v>0</v>
      </c>
      <c r="R151" s="194">
        <f>IFERROR($P151*'Inputs Yr 2'!AB151,"")</f>
        <v>0</v>
      </c>
      <c r="S151" s="194">
        <f>IFERROR($P151*'Inputs Yr 2'!AC151,"")</f>
        <v>0</v>
      </c>
      <c r="T151" s="194">
        <f>IFERROR($P151*'Inputs Yr 2'!AD151,"")</f>
        <v>0</v>
      </c>
      <c r="U151" s="194">
        <f>IFERROR(G151*'Inputs Yr 2'!$AE151*'Inputs Yr 2'!$P151*'Inputs Yr 2'!$Q151,"")</f>
        <v>0</v>
      </c>
      <c r="V151" s="194">
        <f>IFERROR($G151*'Inputs Yr 2'!$AE151*'Inputs Yr 2'!$AG151*'Inputs Yr 2'!Q151*'Inputs Yr 2'!$S151,"")</f>
        <v>0</v>
      </c>
      <c r="W151" s="194">
        <f>IFERROR($G151*'Inputs Yr 2'!$AE151*'Inputs Yr 2'!$AG151*'Inputs Yr 2'!P151*'Inputs Yr 2'!Q151*'Inputs Yr 2'!$S151,"")</f>
        <v>0</v>
      </c>
      <c r="X151" s="194">
        <f>IFERROR($G151*'Inputs Yr 2'!$AE151*'Inputs Yr 2'!$AF151*'Inputs Yr 2'!Q151*'Inputs Yr 2'!$T151,"")</f>
        <v>0</v>
      </c>
      <c r="Y151" s="194">
        <f>IFERROR($G151*'Inputs Yr 2'!$AE151*'Inputs Yr 2'!$AF151*'Inputs Yr 2'!P151*'Inputs Yr 2'!Q151*'Inputs Yr 2'!$T151,"")</f>
        <v>0</v>
      </c>
      <c r="Z151" s="257">
        <f>IFERROR($G151*'Inputs Yr 2'!$Q151*'Inputs Yr 2'!$U151*(IF(IFERROR(SEARCH("NG", 'Inputs Yr 2'!$AJ151),0),'Inputs Yr 2'!$AK151,0)+IF(IFERROR(SEARCH("NG", 'Inputs Yr 2'!$AL151),0),'Inputs Yr 2'!$AM151,0)+IF(IFERROR(SEARCH("NG", 'Inputs Yr 2'!$AN151),0),'Inputs Yr 2'!$AO151,0)),0)</f>
        <v>947.78399999999999</v>
      </c>
      <c r="AA151" s="257">
        <f t="shared" si="86"/>
        <v>18007.896000000001</v>
      </c>
      <c r="AB151" s="257">
        <f>IFERROR(Z151*'Inputs Yr 2'!$P151,0)</f>
        <v>871.01349600000003</v>
      </c>
      <c r="AC151" s="257">
        <f t="shared" si="87"/>
        <v>16549.256423999999</v>
      </c>
      <c r="AD151" s="257">
        <f>IFERROR($G151*'Inputs Yr 2'!$Q151*'Inputs Yr 2'!$U151*(IF(IFERROR(SEARCH("Oil", 'Inputs Yr 2'!$AJ151), 0),'Inputs Yr 2'!$AK151,0)+IF(IFERROR(SEARCH("Oil", 'Inputs Yr 2'!$AL151), 0),'Inputs Yr 2'!$AM151,0)+IF(IFERROR(SEARCH("Oil", 'Inputs Yr 2'!$AN151), 0),'Inputs Yr 2'!$AO151,0)),0)</f>
        <v>0</v>
      </c>
      <c r="AE151" s="257">
        <f t="shared" si="88"/>
        <v>0</v>
      </c>
      <c r="AF151" s="257">
        <f>IFERROR(AD151*'Inputs Yr 2'!$P151,0)</f>
        <v>0</v>
      </c>
      <c r="AG151" s="257">
        <f t="shared" si="89"/>
        <v>0</v>
      </c>
      <c r="AH151" s="257">
        <f>IFERROR($G151*'Inputs Yr 2'!$Q151*'Inputs Yr 2'!$U151*(IF('Inputs Yr 2'!$AJ151=CD$4,'Inputs Yr 2'!$AK151,IF('Inputs Yr 2'!$AL151=CD$4,'Inputs Yr 2'!$AM151,IF('Inputs Yr 2'!$AN151=CD$4,'Inputs Yr 2'!$AO151,0)))),0)</f>
        <v>0</v>
      </c>
      <c r="AI151" s="257">
        <f t="shared" si="90"/>
        <v>0</v>
      </c>
      <c r="AJ151" s="257">
        <f>IFERROR(AH151*'Inputs Yr 2'!$P151,0)</f>
        <v>0</v>
      </c>
      <c r="AK151" s="257">
        <f t="shared" si="91"/>
        <v>0</v>
      </c>
      <c r="AL151" s="258">
        <f>IFERROR($G151*'Inputs Yr 2'!$P151*'Inputs Yr 2'!$Q151*'Inputs Yr 2'!AP151,0)</f>
        <v>0</v>
      </c>
      <c r="AM151" s="260">
        <f>IFERROR($G151*'Inputs Yr 2'!$P151*'Inputs Yr 2'!$Q151*'Inputs Yr 2'!AQ151,0)</f>
        <v>0</v>
      </c>
      <c r="AN151" s="258">
        <f>IFERROR($G151*'Inputs Yr 2'!$P151*'Inputs Yr 2'!$Q151*'Inputs Yr 2'!AR151,0)</f>
        <v>0</v>
      </c>
      <c r="AO151" s="257">
        <f t="shared" si="92"/>
        <v>0</v>
      </c>
      <c r="AP151" s="195">
        <f>IFERROR($CQ151*(INDEX(avoidedcosttbl2,$H151,AP$2)+(($H151-ROUNDDOWN($H151,0))*(INDEX(avoidedcosttbl2,ROUNDUP($H151,0),AP$2)-(INDEX(avoidedcosttbl2,ROUNDDOWN($H151,0),AP$2)))))*$O151*1000*'Inputs Yr 2'!AA151,"")</f>
        <v>0</v>
      </c>
      <c r="AQ151" s="195">
        <f>IFERROR($CR151*(INDEX(avoidedcosttbl2,$H151,AQ$2)+(($H151-ROUNDDOWN($H151,0))*(INDEX(avoidedcosttbl2,ROUNDUP($H151,0),AQ$2)-(INDEX(avoidedcosttbl2,ROUNDDOWN($H151,0),AQ$2)))))*$O151*1000*'Inputs Yr 2'!AB151,"")</f>
        <v>0</v>
      </c>
      <c r="AR151" s="195">
        <f>IFERROR($CS151*(INDEX(avoidedcosttbl2,$H151,AR$2)+(($H151-ROUNDDOWN($H151,0))*(INDEX(avoidedcosttbl2,ROUNDUP($H151,0),AR$2)-(INDEX(avoidedcosttbl2,ROUNDDOWN($H151,0),AR$2)))))*$O151*1000*'Inputs Yr 2'!AC151,"")</f>
        <v>0</v>
      </c>
      <c r="AS151" s="195">
        <f>IFERROR($CT151*(INDEX(avoidedcosttbl2,$H151,AS$2)+(($H151-ROUNDDOWN($H151,0))*(INDEX(avoidedcosttbl2,ROUNDUP($H151,0),AS$2)-(INDEX(avoidedcosttbl2,ROUNDDOWN($H151,0),AS$2)))))*$O151*1000*'Inputs Yr 2'!AD151,"")</f>
        <v>0</v>
      </c>
      <c r="AT151" s="196">
        <f t="shared" si="93"/>
        <v>0</v>
      </c>
      <c r="AU151" s="197">
        <f>IFERROR($CQ151*((INDEX(avoidedcosttbl2,$H151,AU$2))+(($H151-ROUNDDOWN($H151,0))*((INDEX(avoidedcosttbl2,ROUNDUP($H151,0),AU$2))-(INDEX(avoidedcosttbl2,ROUNDDOWN($H151,0),AU$2)))))*$O151*1000*'Inputs Yr 2'!AA151,"")</f>
        <v>0</v>
      </c>
      <c r="AV151" s="197">
        <f>IFERROR($CR151*((INDEX(avoidedcosttbl2,$H151,AV$2))+(($H151-ROUNDDOWN($H151,0))*((INDEX(avoidedcosttbl2,ROUNDUP($H151,0),AV$2))-(INDEX(avoidedcosttbl2,ROUNDDOWN($H151,0),AV$2)))))*$O151*1000*'Inputs Yr 2'!AB151,"")</f>
        <v>0</v>
      </c>
      <c r="AW151" s="197">
        <f>IFERROR($CS151*((INDEX(avoidedcosttbl2,$H151,AW$2))+(($H151-ROUNDDOWN($H151,0))*((INDEX(avoidedcosttbl2,ROUNDUP($H151,0),AW$2))-(INDEX(avoidedcosttbl2,ROUNDDOWN($H151,0),AW$2)))))*$O151*1000*'Inputs Yr 2'!AC151,"")</f>
        <v>0</v>
      </c>
      <c r="AX151" s="197">
        <f>IFERROR($CT151*((INDEX(avoidedcosttbl2,$H151,AX$2))+(($H151-ROUNDDOWN($H151,0))*((INDEX(avoidedcosttbl2,ROUNDUP($H151,0),AX$2))-(INDEX(avoidedcosttbl2,ROUNDDOWN($H151,0),AX$2)))))*$O151*1000*'Inputs Yr 2'!AD151,"")</f>
        <v>0</v>
      </c>
      <c r="AY151" s="197">
        <f>IFERROR(((INDEX(avoidedcosttbl2,$H151,AY$2))+(($H151-ROUNDDOWN($H151,0))*((INDEX(avoidedcosttbl2,ROUNDUP($H151,0),AY$2))-(INDEX(avoidedcosttbl2,ROUNDDOWN($H151,0),AY$2)))))*$O151*1000*('Inputs Yr 2'!AC151+'Inputs Yr 2'!AD151),"")</f>
        <v>0</v>
      </c>
      <c r="AZ151" s="197">
        <f>IFERROR(((INDEX(avoidedcosttbl2,$H151,AZ$2))+(($H151-ROUNDDOWN($H151,0))*((INDEX(avoidedcosttbl2,ROUNDUP($H151,0),AZ$2))-(INDEX(avoidedcosttbl2,ROUNDDOWN($H151,0),AZ$2)))))*$O151*1000*('Inputs Yr 2'!AA151+'Inputs Yr 2'!AB151),"")</f>
        <v>0</v>
      </c>
      <c r="BA151" s="198">
        <f t="shared" si="94"/>
        <v>0</v>
      </c>
      <c r="BB151" s="198">
        <f t="shared" si="95"/>
        <v>0</v>
      </c>
      <c r="BC151" s="195">
        <f t="shared" si="77"/>
        <v>0</v>
      </c>
      <c r="BD151" s="195">
        <f t="shared" si="78"/>
        <v>0</v>
      </c>
      <c r="BE151" s="195">
        <f t="shared" si="79"/>
        <v>0</v>
      </c>
      <c r="BF151" s="195">
        <f t="shared" si="80"/>
        <v>0</v>
      </c>
      <c r="BG151" s="195">
        <f t="shared" si="81"/>
        <v>0</v>
      </c>
      <c r="BH151" s="196">
        <f t="shared" si="96"/>
        <v>0</v>
      </c>
      <c r="BI151" s="196">
        <f t="shared" si="97"/>
        <v>0</v>
      </c>
      <c r="BJ151" s="195">
        <f>IFERROR($G151*(IF('Inputs Yr 2'!$AJ151=BJ$4,'Inputs Yr 2'!$AK151,IF('Inputs Yr 2'!$AL151=BJ$4,'Inputs Yr 2'!$AM151,IF('Inputs Yr 2'!$AN151=BJ$4,'Inputs Yr 2'!$AO151,0))))*(INDEX(avoidedcosttbl2,$H151,BJ$2)+(($H151-ROUNDDOWN($H151,0))*(INDEX(avoidedcosttbl2,ROUNDUP($H151,0),BJ$2)-(INDEX(avoidedcosttbl2,ROUNDDOWN($H151,0),BJ$2)))))*'Inputs Yr 2'!P151*'Inputs Yr 2'!Q151*'Inputs Yr 2'!U151,"")</f>
        <v>0</v>
      </c>
      <c r="BK151" s="195">
        <f>IFERROR($G151*(IF('Inputs Yr 2'!$AJ151=BK$4,'Inputs Yr 2'!$AK151,IF('Inputs Yr 2'!$AL151=BK$4,'Inputs Yr 2'!$AM151,IF('Inputs Yr 2'!$AN151=BK$4,'Inputs Yr 2'!$AO151,0))))*(INDEX(avoidedcosttbl2,$H151,BK$2)+(($H151-ROUNDDOWN($H151,0))*(INDEX(avoidedcosttbl2,ROUNDUP($H151,0),BK$2)-(INDEX(avoidedcosttbl2,ROUNDDOWN($H151,0),BK$2)))))*'Inputs Yr 2'!P151*'Inputs Yr 2'!Q151*'Inputs Yr 2'!U151,"")</f>
        <v>0</v>
      </c>
      <c r="BL151" s="195">
        <f>IFERROR($G151*(IF('Inputs Yr 2'!$AJ151=BL$4,'Inputs Yr 2'!$AK151,IF('Inputs Yr 2'!$AL151=BL$4,'Inputs Yr 2'!$AM151,IF('Inputs Yr 2'!$AN151=BL$4,'Inputs Yr 2'!$AO151,0))))*(INDEX(avoidedcosttbl2,$H151,BL$2)+(($H151-ROUNDDOWN($H151,0))*(INDEX(avoidedcosttbl2,ROUNDUP($H151,0),BL$2)-(INDEX(avoidedcosttbl2,ROUNDDOWN($H151,0),BL$2)))))*'Inputs Yr 2'!P151*'Inputs Yr 2'!Q151*'Inputs Yr 2'!U151,"")</f>
        <v>0</v>
      </c>
      <c r="BM151" s="195">
        <f>IFERROR($G151*(IF('Inputs Yr 2'!$AJ151=BM$4,'Inputs Yr 2'!$AK151,IF('Inputs Yr 2'!$AL151=BM$4,'Inputs Yr 2'!$AM151,IF('Inputs Yr 2'!$AN151=BM$4,'Inputs Yr 2'!$AO151,0))))*(INDEX(avoidedcosttbl2,$H151,BM$2)+(($H151-ROUNDDOWN($H151,0))*(INDEX(avoidedcosttbl2,ROUNDUP($H151,0),BM$2)-(INDEX(avoidedcosttbl2,ROUNDDOWN($H151,0),BM$2)))))*'Inputs Yr 2'!P151*'Inputs Yr 2'!Q151*'Inputs Yr 2'!U151,"")</f>
        <v>0</v>
      </c>
      <c r="BN151" s="195">
        <f>IFERROR($G151*(IF('Inputs Yr 2'!$AJ151=BN$4,'Inputs Yr 2'!$AK151,IF('Inputs Yr 2'!$AL151=BN$4,'Inputs Yr 2'!$AM151,IF('Inputs Yr 2'!$AN151=BN$4,'Inputs Yr 2'!$AO151,0))))*(INDEX(avoidedcosttbl2,$H151,BN$2)+(($H151-ROUNDDOWN($H151,0))*(INDEX(avoidedcosttbl2,ROUNDUP($H151,0),BN$2)-(INDEX(avoidedcosttbl2,ROUNDDOWN($H151,0),BN$2)))))*'Inputs Yr 2'!P151*'Inputs Yr 2'!Q151*'Inputs Yr 2'!U151,"")</f>
        <v>0</v>
      </c>
      <c r="BO151" s="195">
        <f>IFERROR($G151*(IF('Inputs Yr 2'!$AJ151=BO$4,'Inputs Yr 2'!$AK151,IF('Inputs Yr 2'!$AL151=BO$4,'Inputs Yr 2'!$AM151,IF('Inputs Yr 2'!$AN151=BO$4,'Inputs Yr 2'!$AO151,0))))*(INDEX(avoidedcosttbl2,$H151,BO$2)+(($H151-ROUNDDOWN($H151,0))*(INDEX(avoidedcosttbl2,ROUNDUP($H151,0),BO$2)-(INDEX(avoidedcosttbl2,ROUNDDOWN($H151,0),BO$2)))))*'Inputs Yr 2'!P151*'Inputs Yr 2'!Q151*'Inputs Yr 2'!U151,"")</f>
        <v>132284.7460194914</v>
      </c>
      <c r="BP151" s="195">
        <f>IFERROR($G151*(IF('Inputs Yr 2'!$AJ151=BP$4,'Inputs Yr 2'!$AK151,IF('Inputs Yr 2'!$AL151=BP$4,'Inputs Yr 2'!$AM151,IF('Inputs Yr 2'!$AN151=BP$4,'Inputs Yr 2'!$AO151,0))))*(INDEX(avoidedcosttbl2,$H151,BP$2)+(($H151-ROUNDDOWN($H151,0))*(INDEX(avoidedcosttbl2,ROUNDUP($H151,0),BP$2)-(INDEX(avoidedcosttbl2,ROUNDDOWN($H151,0),BP$2)))))*'Inputs Yr 2'!P151*'Inputs Yr 2'!Q151*'Inputs Yr 2'!U151,"")</f>
        <v>0</v>
      </c>
      <c r="BQ151" s="230">
        <f t="shared" si="98"/>
        <v>132284.7460194914</v>
      </c>
      <c r="BR151" s="197">
        <f t="shared" si="82"/>
        <v>2223.7506783252411</v>
      </c>
      <c r="BS151" s="197">
        <f>IFERROR(($G151*IF('Inputs Yr 2'!$AJ151=BM$4,'Inputs Yr 2'!$AK151,IF('Inputs Yr 2'!$AL151=BM$4,'Inputs Yr 2'!$AM151,IF('Inputs Yr 2'!$AN151=BM$4,'Inputs Yr 2'!$AO151,0))))*(INDEX(avoidedcosttbl2,$H151,BS$2)+(($H151-ROUNDDOWN($H151,0))*(INDEX(avoidedcosttbl2,ROUNDUP($H151,0),BS$2)-(INDEX(avoidedcosttbl2,ROUNDDOWN($H151,0),BS$2)))))*'Inputs Yr 2'!P151*'Inputs Yr 2'!Q151*'Inputs Yr 2'!U151,"")</f>
        <v>0</v>
      </c>
      <c r="BT151" s="197">
        <f>IFERROR(($G151*IF('Inputs Yr 2'!$AJ151=BK$4,'Inputs Yr 2'!$AK151,IF('Inputs Yr 2'!$AL151=BK$4,'Inputs Yr 2'!$AM151,IF('Inputs Yr 2'!$AN151=BK$4,'Inputs Yr 2'!$AO151,0))))*(INDEX(avoidedcosttbl2,$H151,BT$2)+(($H151-ROUNDDOWN($H151,0))*(INDEX(avoidedcosttbl2,ROUNDUP($H151,0),BT$2)-(INDEX(avoidedcosttbl2,ROUNDDOWN($H151,0),BT$2)))))*'Inputs Yr 2'!P151*'Inputs Yr 2'!Q151*'Inputs Yr 2'!U151,"")</f>
        <v>0</v>
      </c>
      <c r="BU151" s="197">
        <f>IFERROR(($G151*IF('Inputs Yr 2'!$AJ151=BL$4,'Inputs Yr 2'!$AK151,IF('Inputs Yr 2'!$AL151=BL$4,'Inputs Yr 2'!$AM151,IF('Inputs Yr 2'!$AN151=BL$4,'Inputs Yr 2'!$AO151,0))))*(INDEX(avoidedcosttbl2,$H151,BU$2)+(($H151-ROUNDDOWN($H151,0))*(INDEX(avoidedcosttbl2,ROUNDUP($H151,0),BU$2)-(INDEX(avoidedcosttbl2,ROUNDDOWN($H151,0),BU$2)))))*'Inputs Yr 2'!P151*'Inputs Yr 2'!Q151*'Inputs Yr 2'!U151,"")</f>
        <v>0</v>
      </c>
      <c r="BV151" s="775">
        <f>IFERROR(($G151*IF('Inputs Yr 2'!$AJ151=BJ$4,'Inputs Yr 2'!$AK151,IF('Inputs Yr 2'!$AL151=BJ$4,'Inputs Yr 2'!$AM151,IF('Inputs Yr 2'!$AN151=BJ$4,'Inputs Yr 2'!$AO151,0))))*(INDEX(avoidedcosttbl2,$H151,BV$2)+(($H151-ROUNDDOWN($H151,0))*(INDEX(avoidedcosttbl2,ROUNDUP($H151,0),BV$2)-(INDEX(avoidedcosttbl2,ROUNDDOWN($H151,0),BV$2)))))*'Inputs Yr 2'!P151*'Inputs Yr 2'!Q151*'Inputs Yr 2'!U151,"")</f>
        <v>0</v>
      </c>
      <c r="BW151" s="197">
        <f>IFERROR(($G151*IF('Inputs Yr 2'!$AJ151=BN$4,'Inputs Yr 2'!$AK151,IF('Inputs Yr 2'!$AL151=BN$4,'Inputs Yr 2'!$AM151,IF('Inputs Yr 2'!$AN151=BN$4,'Inputs Yr 2'!$AO151,0))))*(INDEX(avoidedcosttbl2,$H151,BW$2)+(($H151-ROUNDDOWN($H151,0))*(INDEX(avoidedcosttbl2,ROUNDUP($H151,0),BW$2)-(INDEX(avoidedcosttbl2,ROUNDDOWN($H151,0),BW$2)))))*'Inputs Yr 2'!P151*'Inputs Yr 2'!Q151*'Inputs Yr 2'!U151,"")</f>
        <v>0</v>
      </c>
      <c r="BX151" s="197">
        <f>IFERROR(($G151*IF('Inputs Yr 2'!$AJ151=BO$4,'Inputs Yr 2'!$AK151,IF('Inputs Yr 2'!$AL151=BO$4,'Inputs Yr 2'!$AM151,IF('Inputs Yr 2'!$AN151=BO$4,'Inputs Yr 2'!$AO151,0))))*(INDEX(avoidedcosttbl2,$H151,BX$2)+(($H151-ROUNDDOWN($H151,0))*(INDEX(avoidedcosttbl2,ROUNDUP($H151,0),BX$2)-(INDEX(avoidedcosttbl2,ROUNDDOWN($H151,0),BX$2)))))*'Inputs Yr 2'!P151*'Inputs Yr 2'!Q151*'Inputs Yr 2'!U151,"")</f>
        <v>7558.3550285710089</v>
      </c>
      <c r="BY151" s="197">
        <f>IFERROR(($G151*IF('Inputs Yr 2'!$AJ151=BP$4,'Inputs Yr 2'!$AK151,IF('Inputs Yr 2'!$AL151=BP$4,'Inputs Yr 2'!$AM151,IF('Inputs Yr 2'!$AN151=BP$4,'Inputs Yr 2'!$AO151,0))))*(INDEX(avoidedcosttbl2,$H151,BY$2)+(($H151-ROUNDDOWN($H151,0))*(INDEX(avoidedcosttbl2,ROUNDUP($H151,0),BY$2)-(INDEX(avoidedcosttbl2,ROUNDDOWN($H151,0),BY$2)))))*'Inputs Yr 2'!P151*'Inputs Yr 2'!Q151*'Inputs Yr 2'!U151,"")</f>
        <v>0</v>
      </c>
      <c r="BZ151" s="193">
        <f t="shared" si="99"/>
        <v>9782.1057068962509</v>
      </c>
      <c r="CA151" s="193">
        <f t="shared" si="100"/>
        <v>142066.85172638766</v>
      </c>
      <c r="CB151" s="195">
        <f>IFERROR(G151*(IF('Inputs Yr 2'!$AJ151=CB$4,'Inputs Yr 2'!$AK151,IF('Inputs Yr 2'!$AL151=CB$4,'Inputs Yr 2'!$AM151,IF('Inputs Yr 2'!$AN151=CB$4,'Inputs Yr 2'!$AO151,0))))*(INDEX(avoidedcosttbl2,$H151,CB$2)+(($H151-ROUNDDOWN($H151,0))*(INDEX(avoidedcosttbl2,ROUNDUP($H151,0),CB$2)-(INDEX(avoidedcosttbl2,ROUNDDOWN($H151,0),CB$2)))))*'Inputs Yr 2'!P151*'Inputs Yr 2'!Q151*'Inputs Yr 2'!U151,"")</f>
        <v>0</v>
      </c>
      <c r="CC151" s="195">
        <f>IFERROR(H151*(IF('Inputs Yr 2'!$AJ151=CC$4,'Inputs Yr 2'!$AK151,IF('Inputs Yr 2'!$AL151=CC$4,'Inputs Yr 2'!$AM151,IF('Inputs Yr 2'!$AN151=CC$4,'Inputs Yr 2'!$AO151,0))))*(INDEX(avoidedcosttbl2,$H151,CC$2)+(($H151-ROUNDDOWN($H151,0))*(INDEX(avoidedcosttbl2,ROUNDUP($H151,0),CC$2)-(INDEX(avoidedcosttbl2,ROUNDDOWN($H151,0),CC$2)))))*'Inputs Yr 2'!Q151*'Inputs Yr 2'!R151*'Inputs Yr 2'!V151,"")</f>
        <v>0</v>
      </c>
      <c r="CD151" s="195">
        <f>IFERROR(I151*(IF('Inputs Yr 2'!$AJ151=CD$4,'Inputs Yr 2'!$AK151,IF('Inputs Yr 2'!$AL151=CD$4,'Inputs Yr 2'!$AM151,IF('Inputs Yr 2'!$AN151=CD$4,'Inputs Yr 2'!$AO151,0))))*(INDEX(avoidedcosttbl2,$H151,CD$2)+(($H151-ROUNDDOWN($H151,0))*(INDEX(avoidedcosttbl2,ROUNDUP($H151,0),CD$2)-(INDEX(avoidedcosttbl2,ROUNDDOWN($H151,0),CD$2)))))*'Inputs Yr 2'!R151*'Inputs Yr 2'!S151*'Inputs Yr 2'!W151,"")</f>
        <v>0</v>
      </c>
      <c r="CE151" s="213">
        <f t="shared" si="101"/>
        <v>0</v>
      </c>
      <c r="CF151" s="213">
        <f t="shared" si="102"/>
        <v>0</v>
      </c>
      <c r="CG151" s="213">
        <f t="shared" si="103"/>
        <v>0</v>
      </c>
      <c r="CH151" s="698">
        <f t="shared" si="104"/>
        <v>142066.85172638766</v>
      </c>
      <c r="CI151" s="79">
        <f>IFERROR(($G151*'Inputs Yr 2'!$P151*'Inputs Yr 2'!$Q151*(((INDEX(avoidedcosttbl2,$H151,CI$2)+(($H151-ROUNDDOWN($H151,0))*(INDEX(avoidedcosttbl2,ROUNDUP($H151,0),CI$2)-INDEX(avoidedcosttbl2,ROUNDDOWN($H151,0),CI$2))))*'Inputs Yr 2'!AS151))),"")</f>
        <v>0</v>
      </c>
      <c r="CJ151" s="504">
        <f>IFERROR($G151*'Inputs Yr 2'!AT151*'Inputs Yr 2'!$P151*'Inputs Yr 2'!$Q151/((1+realdiscrt1)^-0.5),"")</f>
        <v>0</v>
      </c>
      <c r="CK151" s="79">
        <f>IFERROR((O151*1000*(((INDEX(avoidedcosttbl2,$H151,CK$2)+(($H151-ROUNDDOWN($H151,0))*(INDEX(avoidedcosttbl2,ROUNDUP($H151,0),CK$2)-INDEX(avoidedcosttbl2,ROUNDDOWN($H151,0),CK$2))))*'Inputs Yr 2'!AU151))),"")</f>
        <v>0</v>
      </c>
      <c r="CL151" s="504">
        <f>IFERROR(O151*1000*'Inputs Yr 2'!AV151/((1+realdiscrt1)^-0.5),"")</f>
        <v>0</v>
      </c>
      <c r="CM151" s="79">
        <f>IFERROR((AB151*'Inputs Yr 2'!AW151*(((INDEX(avoidedcosttbl2,$H151,CM$2)+(($H151-ROUNDDOWN($H151,0))*(INDEX(avoidedcosttbl2,ROUNDUP($H151,0),CM$2)-INDEX(avoidedcosttbl2,ROUNDDOWN($H151,0),CM$2)))))))*10,"")</f>
        <v>-635.11204209039943</v>
      </c>
      <c r="CN151" s="504">
        <f>IFERROR(10*AB151*'Inputs Yr 2'!AX151/((1+realdiscrt1)^-0.5),"")</f>
        <v>0</v>
      </c>
      <c r="CO151" s="505">
        <f t="shared" si="105"/>
        <v>-635.11204209039943</v>
      </c>
      <c r="CP151" s="230">
        <f t="shared" si="106"/>
        <v>141431.73968429727</v>
      </c>
      <c r="CQ151" s="199">
        <f>ROUND(IFERROR(IF(LEFT($A151,1)="C",'Avoided Costs'!$K$13,'Avoided Costs'!$K$12)+1,""),4)</f>
        <v>1.0720000000000001</v>
      </c>
      <c r="CR151" s="199">
        <f>ROUND(IFERROR(IF(LEFT($A151,1)="C",'Avoided Costs'!$L$13,'Avoided Costs'!$L$12)+1,""),4)</f>
        <v>1.04</v>
      </c>
      <c r="CS151" s="199">
        <f>ROUND(IFERROR(IF(LEFT($A151,1)="C",'Avoided Costs'!$M$13,'Avoided Costs'!$M$12)+1,""),4)</f>
        <v>1.0720000000000001</v>
      </c>
      <c r="CT151" s="199">
        <f>ROUND(IFERROR(IF(LEFT($A151,1)="C",'Avoided Costs'!$N$13,'Avoided Costs'!$N$12)+1,""),4)</f>
        <v>1.04</v>
      </c>
      <c r="CU151" s="199">
        <f>ROUND(IFERROR(IF(LEFT($A151,1)="C",'Avoided Costs'!$O$13,'Avoided Costs'!$O$12)+1,""),4)</f>
        <v>1.1120000000000001</v>
      </c>
      <c r="CV151" s="199">
        <f>ROUND(IFERROR(IF(LEFT($A151,1)="C",'Avoided Costs'!$P$13,'Avoided Costs'!$P$12)+1,""),4)</f>
        <v>1.095</v>
      </c>
      <c r="CW151" s="199">
        <f>ROUND(IFERROR(IF(LEFT($A151,1)="C",'Avoided Costs'!$Q$13,'Avoided Costs'!$Q$12)+1,""),4)</f>
        <v>1.1120000000000001</v>
      </c>
      <c r="CX151" s="200">
        <f>ROUND(IFERROR(IF(LEFT($A151,1)="C",'Avoided Costs'!$R$13,'Avoided Costs'!$R$12)+1,""),4)</f>
        <v>1.1120000000000001</v>
      </c>
    </row>
    <row r="152" spans="1:102" ht="12.75" customHeight="1">
      <c r="A152" s="91" t="str">
        <f>IF('Inputs Yr 2'!$B152=0,"",'Inputs Yr 2'!A152)</f>
        <v>C - Commercial &amp; Industrial</v>
      </c>
      <c r="B152" s="91" t="str">
        <f>IF('Inputs Yr 2'!$B152=0,"",'Inputs Yr 2'!B152)</f>
        <v>C1 - C&amp;I New Construction</v>
      </c>
      <c r="C152" s="91" t="str">
        <f>IF('Inputs Yr 2'!$B152=0,"",'Inputs Yr 2'!C152)</f>
        <v>C1a - C&amp;I New Buildings &amp; Major Renovations</v>
      </c>
      <c r="D152" s="91" t="str">
        <f>IF('Inputs Yr 2'!$B152=0,"",'Inputs Yr 2'!E152)</f>
        <v>Comprehensive Design - Custom 20</v>
      </c>
      <c r="E152" s="93" t="str">
        <f>IF('Inputs Yr 2'!$B152=0,"",'Inputs Yr 2'!F152)</f>
        <v>G16C1a01</v>
      </c>
      <c r="F152" s="93" t="str">
        <f>IF('Inputs Yr 2'!$B152=0,"",'Inputs Yr 2'!G152)</f>
        <v>Custom Measures</v>
      </c>
      <c r="G152" s="95">
        <f>IF('Inputs Yr 2'!$H152&lt;&gt;0,('Inputs Yr 2'!H152),"")</f>
        <v>1</v>
      </c>
      <c r="H152" s="94">
        <f>IFERROR('Inputs Yr 2'!I152,"")</f>
        <v>20</v>
      </c>
      <c r="I152" s="298">
        <f>IFERROR('Inputs Yr 2'!J152*'Inputs Yr 2'!P152*G152,"")</f>
        <v>133260.02386666666</v>
      </c>
      <c r="J152" s="298">
        <f>IFERROR('Inputs Yr 2'!K152*G152,"")</f>
        <v>108754.09999999999</v>
      </c>
      <c r="K152" s="298">
        <f t="shared" si="83"/>
        <v>24505.923866666664</v>
      </c>
      <c r="L152" s="194">
        <f>IFERROR(('Inputs Yr 2'!W152*G152)/1000,"")</f>
        <v>0</v>
      </c>
      <c r="M152" s="194">
        <f>IFERROR(L152*('Inputs Yr 2'!$Q152*'Inputs Yr 2'!$V152*'Inputs Yr 2'!$R152),"")</f>
        <v>0</v>
      </c>
      <c r="N152" s="194">
        <f t="shared" si="84"/>
        <v>0</v>
      </c>
      <c r="O152" s="194">
        <f>IFERROR(M152*'Inputs Yr 2'!P152,"")</f>
        <v>0</v>
      </c>
      <c r="P152" s="194">
        <f t="shared" si="85"/>
        <v>0</v>
      </c>
      <c r="Q152" s="194">
        <f>IFERROR($P152*'Inputs Yr 2'!AA152,"")</f>
        <v>0</v>
      </c>
      <c r="R152" s="194">
        <f>IFERROR($P152*'Inputs Yr 2'!AB152,"")</f>
        <v>0</v>
      </c>
      <c r="S152" s="194">
        <f>IFERROR($P152*'Inputs Yr 2'!AC152,"")</f>
        <v>0</v>
      </c>
      <c r="T152" s="194">
        <f>IFERROR($P152*'Inputs Yr 2'!AD152,"")</f>
        <v>0</v>
      </c>
      <c r="U152" s="194">
        <f>IFERROR(G152*'Inputs Yr 2'!$AE152*'Inputs Yr 2'!$P152*'Inputs Yr 2'!$Q152,"")</f>
        <v>0</v>
      </c>
      <c r="V152" s="194">
        <f>IFERROR($G152*'Inputs Yr 2'!$AE152*'Inputs Yr 2'!$AG152*'Inputs Yr 2'!Q152*'Inputs Yr 2'!$S152,"")</f>
        <v>0</v>
      </c>
      <c r="W152" s="194">
        <f>IFERROR($G152*'Inputs Yr 2'!$AE152*'Inputs Yr 2'!$AG152*'Inputs Yr 2'!P152*'Inputs Yr 2'!Q152*'Inputs Yr 2'!$S152,"")</f>
        <v>0</v>
      </c>
      <c r="X152" s="194">
        <f>IFERROR($G152*'Inputs Yr 2'!$AE152*'Inputs Yr 2'!$AF152*'Inputs Yr 2'!Q152*'Inputs Yr 2'!$T152,"")</f>
        <v>0</v>
      </c>
      <c r="Y152" s="194">
        <f>IFERROR($G152*'Inputs Yr 2'!$AE152*'Inputs Yr 2'!$AF152*'Inputs Yr 2'!P152*'Inputs Yr 2'!Q152*'Inputs Yr 2'!$T152,"")</f>
        <v>0</v>
      </c>
      <c r="Z152" s="257">
        <f>IFERROR($G152*'Inputs Yr 2'!$Q152*'Inputs Yr 2'!$U152*(IF(IFERROR(SEARCH("NG", 'Inputs Yr 2'!$AJ152),0),'Inputs Yr 2'!$AK152,0)+IF(IFERROR(SEARCH("NG", 'Inputs Yr 2'!$AL152),0),'Inputs Yr 2'!$AM152,0)+IF(IFERROR(SEARCH("NG", 'Inputs Yr 2'!$AN152),0),'Inputs Yr 2'!$AO152,0)),0)</f>
        <v>6461.2730000000001</v>
      </c>
      <c r="AA152" s="257">
        <f t="shared" si="86"/>
        <v>129225.46</v>
      </c>
      <c r="AB152" s="257">
        <f>IFERROR(Z152*'Inputs Yr 2'!$P152,0)</f>
        <v>5937.9098870000007</v>
      </c>
      <c r="AC152" s="257">
        <f t="shared" si="87"/>
        <v>118758.19774000002</v>
      </c>
      <c r="AD152" s="257">
        <f>IFERROR($G152*'Inputs Yr 2'!$Q152*'Inputs Yr 2'!$U152*(IF(IFERROR(SEARCH("Oil", 'Inputs Yr 2'!$AJ152), 0),'Inputs Yr 2'!$AK152,0)+IF(IFERROR(SEARCH("Oil", 'Inputs Yr 2'!$AL152), 0),'Inputs Yr 2'!$AM152,0)+IF(IFERROR(SEARCH("Oil", 'Inputs Yr 2'!$AN152), 0),'Inputs Yr 2'!$AO152,0)),0)</f>
        <v>0</v>
      </c>
      <c r="AE152" s="257">
        <f t="shared" si="88"/>
        <v>0</v>
      </c>
      <c r="AF152" s="257">
        <f>IFERROR(AD152*'Inputs Yr 2'!$P152,0)</f>
        <v>0</v>
      </c>
      <c r="AG152" s="257">
        <f t="shared" si="89"/>
        <v>0</v>
      </c>
      <c r="AH152" s="257">
        <f>IFERROR($G152*'Inputs Yr 2'!$Q152*'Inputs Yr 2'!$U152*(IF('Inputs Yr 2'!$AJ152=CD$4,'Inputs Yr 2'!$AK152,IF('Inputs Yr 2'!$AL152=CD$4,'Inputs Yr 2'!$AM152,IF('Inputs Yr 2'!$AN152=CD$4,'Inputs Yr 2'!$AO152,0)))),0)</f>
        <v>0</v>
      </c>
      <c r="AI152" s="257">
        <f t="shared" si="90"/>
        <v>0</v>
      </c>
      <c r="AJ152" s="257">
        <f>IFERROR(AH152*'Inputs Yr 2'!$P152,0)</f>
        <v>0</v>
      </c>
      <c r="AK152" s="257">
        <f t="shared" si="91"/>
        <v>0</v>
      </c>
      <c r="AL152" s="258">
        <f>IFERROR($G152*'Inputs Yr 2'!$P152*'Inputs Yr 2'!$Q152*'Inputs Yr 2'!AP152,0)</f>
        <v>0</v>
      </c>
      <c r="AM152" s="260">
        <f>IFERROR($G152*'Inputs Yr 2'!$P152*'Inputs Yr 2'!$Q152*'Inputs Yr 2'!AQ152,0)</f>
        <v>0</v>
      </c>
      <c r="AN152" s="258">
        <f>IFERROR($G152*'Inputs Yr 2'!$P152*'Inputs Yr 2'!$Q152*'Inputs Yr 2'!AR152,0)</f>
        <v>0</v>
      </c>
      <c r="AO152" s="257">
        <f t="shared" si="92"/>
        <v>0</v>
      </c>
      <c r="AP152" s="195">
        <f>IFERROR($CQ152*(INDEX(avoidedcosttbl2,$H152,AP$2)+(($H152-ROUNDDOWN($H152,0))*(INDEX(avoidedcosttbl2,ROUNDUP($H152,0),AP$2)-(INDEX(avoidedcosttbl2,ROUNDDOWN($H152,0),AP$2)))))*$O152*1000*'Inputs Yr 2'!AA152,"")</f>
        <v>0</v>
      </c>
      <c r="AQ152" s="195">
        <f>IFERROR($CR152*(INDEX(avoidedcosttbl2,$H152,AQ$2)+(($H152-ROUNDDOWN($H152,0))*(INDEX(avoidedcosttbl2,ROUNDUP($H152,0),AQ$2)-(INDEX(avoidedcosttbl2,ROUNDDOWN($H152,0),AQ$2)))))*$O152*1000*'Inputs Yr 2'!AB152,"")</f>
        <v>0</v>
      </c>
      <c r="AR152" s="195">
        <f>IFERROR($CS152*(INDEX(avoidedcosttbl2,$H152,AR$2)+(($H152-ROUNDDOWN($H152,0))*(INDEX(avoidedcosttbl2,ROUNDUP($H152,0),AR$2)-(INDEX(avoidedcosttbl2,ROUNDDOWN($H152,0),AR$2)))))*$O152*1000*'Inputs Yr 2'!AC152,"")</f>
        <v>0</v>
      </c>
      <c r="AS152" s="195">
        <f>IFERROR($CT152*(INDEX(avoidedcosttbl2,$H152,AS$2)+(($H152-ROUNDDOWN($H152,0))*(INDEX(avoidedcosttbl2,ROUNDUP($H152,0),AS$2)-(INDEX(avoidedcosttbl2,ROUNDDOWN($H152,0),AS$2)))))*$O152*1000*'Inputs Yr 2'!AD152,"")</f>
        <v>0</v>
      </c>
      <c r="AT152" s="196">
        <f t="shared" si="93"/>
        <v>0</v>
      </c>
      <c r="AU152" s="197">
        <f>IFERROR($CQ152*((INDEX(avoidedcosttbl2,$H152,AU$2))+(($H152-ROUNDDOWN($H152,0))*((INDEX(avoidedcosttbl2,ROUNDUP($H152,0),AU$2))-(INDEX(avoidedcosttbl2,ROUNDDOWN($H152,0),AU$2)))))*$O152*1000*'Inputs Yr 2'!AA152,"")</f>
        <v>0</v>
      </c>
      <c r="AV152" s="197">
        <f>IFERROR($CR152*((INDEX(avoidedcosttbl2,$H152,AV$2))+(($H152-ROUNDDOWN($H152,0))*((INDEX(avoidedcosttbl2,ROUNDUP($H152,0),AV$2))-(INDEX(avoidedcosttbl2,ROUNDDOWN($H152,0),AV$2)))))*$O152*1000*'Inputs Yr 2'!AB152,"")</f>
        <v>0</v>
      </c>
      <c r="AW152" s="197">
        <f>IFERROR($CS152*((INDEX(avoidedcosttbl2,$H152,AW$2))+(($H152-ROUNDDOWN($H152,0))*((INDEX(avoidedcosttbl2,ROUNDUP($H152,0),AW$2))-(INDEX(avoidedcosttbl2,ROUNDDOWN($H152,0),AW$2)))))*$O152*1000*'Inputs Yr 2'!AC152,"")</f>
        <v>0</v>
      </c>
      <c r="AX152" s="197">
        <f>IFERROR($CT152*((INDEX(avoidedcosttbl2,$H152,AX$2))+(($H152-ROUNDDOWN($H152,0))*((INDEX(avoidedcosttbl2,ROUNDUP($H152,0),AX$2))-(INDEX(avoidedcosttbl2,ROUNDDOWN($H152,0),AX$2)))))*$O152*1000*'Inputs Yr 2'!AD152,"")</f>
        <v>0</v>
      </c>
      <c r="AY152" s="197">
        <f>IFERROR(((INDEX(avoidedcosttbl2,$H152,AY$2))+(($H152-ROUNDDOWN($H152,0))*((INDEX(avoidedcosttbl2,ROUNDUP($H152,0),AY$2))-(INDEX(avoidedcosttbl2,ROUNDDOWN($H152,0),AY$2)))))*$O152*1000*('Inputs Yr 2'!AC152+'Inputs Yr 2'!AD152),"")</f>
        <v>0</v>
      </c>
      <c r="AZ152" s="197">
        <f>IFERROR(((INDEX(avoidedcosttbl2,$H152,AZ$2))+(($H152-ROUNDDOWN($H152,0))*((INDEX(avoidedcosttbl2,ROUNDUP($H152,0),AZ$2))-(INDEX(avoidedcosttbl2,ROUNDDOWN($H152,0),AZ$2)))))*$O152*1000*('Inputs Yr 2'!AA152+'Inputs Yr 2'!AB152),"")</f>
        <v>0</v>
      </c>
      <c r="BA152" s="198">
        <f t="shared" si="94"/>
        <v>0</v>
      </c>
      <c r="BB152" s="198">
        <f t="shared" si="95"/>
        <v>0</v>
      </c>
      <c r="BC152" s="195">
        <f t="shared" si="77"/>
        <v>0</v>
      </c>
      <c r="BD152" s="195">
        <f t="shared" si="78"/>
        <v>0</v>
      </c>
      <c r="BE152" s="195">
        <f t="shared" si="79"/>
        <v>0</v>
      </c>
      <c r="BF152" s="195">
        <f t="shared" si="80"/>
        <v>0</v>
      </c>
      <c r="BG152" s="195">
        <f t="shared" si="81"/>
        <v>0</v>
      </c>
      <c r="BH152" s="196">
        <f t="shared" si="96"/>
        <v>0</v>
      </c>
      <c r="BI152" s="196">
        <f t="shared" si="97"/>
        <v>0</v>
      </c>
      <c r="BJ152" s="195">
        <f>IFERROR($G152*(IF('Inputs Yr 2'!$AJ152=BJ$4,'Inputs Yr 2'!$AK152,IF('Inputs Yr 2'!$AL152=BJ$4,'Inputs Yr 2'!$AM152,IF('Inputs Yr 2'!$AN152=BJ$4,'Inputs Yr 2'!$AO152,0))))*(INDEX(avoidedcosttbl2,$H152,BJ$2)+(($H152-ROUNDDOWN($H152,0))*(INDEX(avoidedcosttbl2,ROUNDUP($H152,0),BJ$2)-(INDEX(avoidedcosttbl2,ROUNDDOWN($H152,0),BJ$2)))))*'Inputs Yr 2'!P152*'Inputs Yr 2'!Q152*'Inputs Yr 2'!U152,"")</f>
        <v>0</v>
      </c>
      <c r="BK152" s="195">
        <f>IFERROR($G152*(IF('Inputs Yr 2'!$AJ152=BK$4,'Inputs Yr 2'!$AK152,IF('Inputs Yr 2'!$AL152=BK$4,'Inputs Yr 2'!$AM152,IF('Inputs Yr 2'!$AN152=BK$4,'Inputs Yr 2'!$AO152,0))))*(INDEX(avoidedcosttbl2,$H152,BK$2)+(($H152-ROUNDDOWN($H152,0))*(INDEX(avoidedcosttbl2,ROUNDUP($H152,0),BK$2)-(INDEX(avoidedcosttbl2,ROUNDDOWN($H152,0),BK$2)))))*'Inputs Yr 2'!P152*'Inputs Yr 2'!Q152*'Inputs Yr 2'!U152,"")</f>
        <v>0</v>
      </c>
      <c r="BL152" s="195">
        <f>IFERROR($G152*(IF('Inputs Yr 2'!$AJ152=BL$4,'Inputs Yr 2'!$AK152,IF('Inputs Yr 2'!$AL152=BL$4,'Inputs Yr 2'!$AM152,IF('Inputs Yr 2'!$AN152=BL$4,'Inputs Yr 2'!$AO152,0))))*(INDEX(avoidedcosttbl2,$H152,BL$2)+(($H152-ROUNDDOWN($H152,0))*(INDEX(avoidedcosttbl2,ROUNDUP($H152,0),BL$2)-(INDEX(avoidedcosttbl2,ROUNDDOWN($H152,0),BL$2)))))*'Inputs Yr 2'!P152*'Inputs Yr 2'!Q152*'Inputs Yr 2'!U152,"")</f>
        <v>0</v>
      </c>
      <c r="BM152" s="195">
        <f>IFERROR($G152*(IF('Inputs Yr 2'!$AJ152=BM$4,'Inputs Yr 2'!$AK152,IF('Inputs Yr 2'!$AL152=BM$4,'Inputs Yr 2'!$AM152,IF('Inputs Yr 2'!$AN152=BM$4,'Inputs Yr 2'!$AO152,0))))*(INDEX(avoidedcosttbl2,$H152,BM$2)+(($H152-ROUNDDOWN($H152,0))*(INDEX(avoidedcosttbl2,ROUNDUP($H152,0),BM$2)-(INDEX(avoidedcosttbl2,ROUNDDOWN($H152,0),BM$2)))))*'Inputs Yr 2'!P152*'Inputs Yr 2'!Q152*'Inputs Yr 2'!U152,"")</f>
        <v>0</v>
      </c>
      <c r="BN152" s="195">
        <f>IFERROR($G152*(IF('Inputs Yr 2'!$AJ152=BN$4,'Inputs Yr 2'!$AK152,IF('Inputs Yr 2'!$AL152=BN$4,'Inputs Yr 2'!$AM152,IF('Inputs Yr 2'!$AN152=BN$4,'Inputs Yr 2'!$AO152,0))))*(INDEX(avoidedcosttbl2,$H152,BN$2)+(($H152-ROUNDDOWN($H152,0))*(INDEX(avoidedcosttbl2,ROUNDUP($H152,0),BN$2)-(INDEX(avoidedcosttbl2,ROUNDDOWN($H152,0),BN$2)))))*'Inputs Yr 2'!P152*'Inputs Yr 2'!Q152*'Inputs Yr 2'!U152,"")</f>
        <v>0</v>
      </c>
      <c r="BO152" s="195">
        <f>IFERROR($G152*(IF('Inputs Yr 2'!$AJ152=BO$4,'Inputs Yr 2'!$AK152,IF('Inputs Yr 2'!$AL152=BO$4,'Inputs Yr 2'!$AM152,IF('Inputs Yr 2'!$AN152=BO$4,'Inputs Yr 2'!$AO152,0))))*(INDEX(avoidedcosttbl2,$H152,BO$2)+(($H152-ROUNDDOWN($H152,0))*(INDEX(avoidedcosttbl2,ROUNDUP($H152,0),BO$2)-(INDEX(avoidedcosttbl2,ROUNDDOWN($H152,0),BO$2)))))*'Inputs Yr 2'!P152*'Inputs Yr 2'!Q152*'Inputs Yr 2'!U152,"")</f>
        <v>955030.95285368513</v>
      </c>
      <c r="BP152" s="195">
        <f>IFERROR($G152*(IF('Inputs Yr 2'!$AJ152=BP$4,'Inputs Yr 2'!$AK152,IF('Inputs Yr 2'!$AL152=BP$4,'Inputs Yr 2'!$AM152,IF('Inputs Yr 2'!$AN152=BP$4,'Inputs Yr 2'!$AO152,0))))*(INDEX(avoidedcosttbl2,$H152,BP$2)+(($H152-ROUNDDOWN($H152,0))*(INDEX(avoidedcosttbl2,ROUNDUP($H152,0),BP$2)-(INDEX(avoidedcosttbl2,ROUNDDOWN($H152,0),BP$2)))))*'Inputs Yr 2'!P152*'Inputs Yr 2'!Q152*'Inputs Yr 2'!U152,"")</f>
        <v>0</v>
      </c>
      <c r="BQ152" s="230">
        <f t="shared" si="98"/>
        <v>955030.95285368513</v>
      </c>
      <c r="BR152" s="197">
        <f t="shared" si="82"/>
        <v>15923.240545727282</v>
      </c>
      <c r="BS152" s="197">
        <f>IFERROR(($G152*IF('Inputs Yr 2'!$AJ152=BM$4,'Inputs Yr 2'!$AK152,IF('Inputs Yr 2'!$AL152=BM$4,'Inputs Yr 2'!$AM152,IF('Inputs Yr 2'!$AN152=BM$4,'Inputs Yr 2'!$AO152,0))))*(INDEX(avoidedcosttbl2,$H152,BS$2)+(($H152-ROUNDDOWN($H152,0))*(INDEX(avoidedcosttbl2,ROUNDUP($H152,0),BS$2)-(INDEX(avoidedcosttbl2,ROUNDDOWN($H152,0),BS$2)))))*'Inputs Yr 2'!P152*'Inputs Yr 2'!Q152*'Inputs Yr 2'!U152,"")</f>
        <v>0</v>
      </c>
      <c r="BT152" s="197">
        <f>IFERROR(($G152*IF('Inputs Yr 2'!$AJ152=BK$4,'Inputs Yr 2'!$AK152,IF('Inputs Yr 2'!$AL152=BK$4,'Inputs Yr 2'!$AM152,IF('Inputs Yr 2'!$AN152=BK$4,'Inputs Yr 2'!$AO152,0))))*(INDEX(avoidedcosttbl2,$H152,BT$2)+(($H152-ROUNDDOWN($H152,0))*(INDEX(avoidedcosttbl2,ROUNDUP($H152,0),BT$2)-(INDEX(avoidedcosttbl2,ROUNDDOWN($H152,0),BT$2)))))*'Inputs Yr 2'!P152*'Inputs Yr 2'!Q152*'Inputs Yr 2'!U152,"")</f>
        <v>0</v>
      </c>
      <c r="BU152" s="197">
        <f>IFERROR(($G152*IF('Inputs Yr 2'!$AJ152=BL$4,'Inputs Yr 2'!$AK152,IF('Inputs Yr 2'!$AL152=BL$4,'Inputs Yr 2'!$AM152,IF('Inputs Yr 2'!$AN152=BL$4,'Inputs Yr 2'!$AO152,0))))*(INDEX(avoidedcosttbl2,$H152,BU$2)+(($H152-ROUNDDOWN($H152,0))*(INDEX(avoidedcosttbl2,ROUNDUP($H152,0),BU$2)-(INDEX(avoidedcosttbl2,ROUNDDOWN($H152,0),BU$2)))))*'Inputs Yr 2'!P152*'Inputs Yr 2'!Q152*'Inputs Yr 2'!U152,"")</f>
        <v>0</v>
      </c>
      <c r="BV152" s="775">
        <f>IFERROR(($G152*IF('Inputs Yr 2'!$AJ152=BJ$4,'Inputs Yr 2'!$AK152,IF('Inputs Yr 2'!$AL152=BJ$4,'Inputs Yr 2'!$AM152,IF('Inputs Yr 2'!$AN152=BJ$4,'Inputs Yr 2'!$AO152,0))))*(INDEX(avoidedcosttbl2,$H152,BV$2)+(($H152-ROUNDDOWN($H152,0))*(INDEX(avoidedcosttbl2,ROUNDUP($H152,0),BV$2)-(INDEX(avoidedcosttbl2,ROUNDDOWN($H152,0),BV$2)))))*'Inputs Yr 2'!P152*'Inputs Yr 2'!Q152*'Inputs Yr 2'!U152,"")</f>
        <v>0</v>
      </c>
      <c r="BW152" s="197">
        <f>IFERROR(($G152*IF('Inputs Yr 2'!$AJ152=BN$4,'Inputs Yr 2'!$AK152,IF('Inputs Yr 2'!$AL152=BN$4,'Inputs Yr 2'!$AM152,IF('Inputs Yr 2'!$AN152=BN$4,'Inputs Yr 2'!$AO152,0))))*(INDEX(avoidedcosttbl2,$H152,BW$2)+(($H152-ROUNDDOWN($H152,0))*(INDEX(avoidedcosttbl2,ROUNDUP($H152,0),BW$2)-(INDEX(avoidedcosttbl2,ROUNDDOWN($H152,0),BW$2)))))*'Inputs Yr 2'!P152*'Inputs Yr 2'!Q152*'Inputs Yr 2'!U152,"")</f>
        <v>0</v>
      </c>
      <c r="BX152" s="197">
        <f>IFERROR(($G152*IF('Inputs Yr 2'!$AJ152=BO$4,'Inputs Yr 2'!$AK152,IF('Inputs Yr 2'!$AL152=BO$4,'Inputs Yr 2'!$AM152,IF('Inputs Yr 2'!$AN152=BO$4,'Inputs Yr 2'!$AO152,0))))*(INDEX(avoidedcosttbl2,$H152,BX$2)+(($H152-ROUNDDOWN($H152,0))*(INDEX(avoidedcosttbl2,ROUNDUP($H152,0),BX$2)-(INDEX(avoidedcosttbl2,ROUNDDOWN($H152,0),BX$2)))))*'Inputs Yr 2'!P152*'Inputs Yr 2'!Q152*'Inputs Yr 2'!U152,"")</f>
        <v>52162.697464061654</v>
      </c>
      <c r="BY152" s="197">
        <f>IFERROR(($G152*IF('Inputs Yr 2'!$AJ152=BP$4,'Inputs Yr 2'!$AK152,IF('Inputs Yr 2'!$AL152=BP$4,'Inputs Yr 2'!$AM152,IF('Inputs Yr 2'!$AN152=BP$4,'Inputs Yr 2'!$AO152,0))))*(INDEX(avoidedcosttbl2,$H152,BY$2)+(($H152-ROUNDDOWN($H152,0))*(INDEX(avoidedcosttbl2,ROUNDUP($H152,0),BY$2)-(INDEX(avoidedcosttbl2,ROUNDDOWN($H152,0),BY$2)))))*'Inputs Yr 2'!P152*'Inputs Yr 2'!Q152*'Inputs Yr 2'!U152,"")</f>
        <v>0</v>
      </c>
      <c r="BZ152" s="193">
        <f t="shared" si="99"/>
        <v>68085.938009788937</v>
      </c>
      <c r="CA152" s="193">
        <f t="shared" si="100"/>
        <v>1023116.8908634741</v>
      </c>
      <c r="CB152" s="195">
        <f>IFERROR(G152*(IF('Inputs Yr 2'!$AJ152=CB$4,'Inputs Yr 2'!$AK152,IF('Inputs Yr 2'!$AL152=CB$4,'Inputs Yr 2'!$AM152,IF('Inputs Yr 2'!$AN152=CB$4,'Inputs Yr 2'!$AO152,0))))*(INDEX(avoidedcosttbl2,$H152,CB$2)+(($H152-ROUNDDOWN($H152,0))*(INDEX(avoidedcosttbl2,ROUNDUP($H152,0),CB$2)-(INDEX(avoidedcosttbl2,ROUNDDOWN($H152,0),CB$2)))))*'Inputs Yr 2'!P152*'Inputs Yr 2'!Q152*'Inputs Yr 2'!U152,"")</f>
        <v>0</v>
      </c>
      <c r="CC152" s="195">
        <f>IFERROR(H152*(IF('Inputs Yr 2'!$AJ152=CC$4,'Inputs Yr 2'!$AK152,IF('Inputs Yr 2'!$AL152=CC$4,'Inputs Yr 2'!$AM152,IF('Inputs Yr 2'!$AN152=CC$4,'Inputs Yr 2'!$AO152,0))))*(INDEX(avoidedcosttbl2,$H152,CC$2)+(($H152-ROUNDDOWN($H152,0))*(INDEX(avoidedcosttbl2,ROUNDUP($H152,0),CC$2)-(INDEX(avoidedcosttbl2,ROUNDDOWN($H152,0),CC$2)))))*'Inputs Yr 2'!Q152*'Inputs Yr 2'!R152*'Inputs Yr 2'!V152,"")</f>
        <v>0</v>
      </c>
      <c r="CD152" s="195">
        <f>IFERROR(I152*(IF('Inputs Yr 2'!$AJ152=CD$4,'Inputs Yr 2'!$AK152,IF('Inputs Yr 2'!$AL152=CD$4,'Inputs Yr 2'!$AM152,IF('Inputs Yr 2'!$AN152=CD$4,'Inputs Yr 2'!$AO152,0))))*(INDEX(avoidedcosttbl2,$H152,CD$2)+(($H152-ROUNDDOWN($H152,0))*(INDEX(avoidedcosttbl2,ROUNDUP($H152,0),CD$2)-(INDEX(avoidedcosttbl2,ROUNDDOWN($H152,0),CD$2)))))*'Inputs Yr 2'!R152*'Inputs Yr 2'!S152*'Inputs Yr 2'!W152,"")</f>
        <v>0</v>
      </c>
      <c r="CE152" s="213">
        <f t="shared" si="101"/>
        <v>0</v>
      </c>
      <c r="CF152" s="213">
        <f t="shared" si="102"/>
        <v>0</v>
      </c>
      <c r="CG152" s="213">
        <f t="shared" si="103"/>
        <v>0</v>
      </c>
      <c r="CH152" s="698">
        <f t="shared" si="104"/>
        <v>1023116.8908634741</v>
      </c>
      <c r="CI152" s="79">
        <f>IFERROR(($G152*'Inputs Yr 2'!$P152*'Inputs Yr 2'!$Q152*(((INDEX(avoidedcosttbl2,$H152,CI$2)+(($H152-ROUNDDOWN($H152,0))*(INDEX(avoidedcosttbl2,ROUNDUP($H152,0),CI$2)-INDEX(avoidedcosttbl2,ROUNDDOWN($H152,0),CI$2))))*'Inputs Yr 2'!AS152))),"")</f>
        <v>0</v>
      </c>
      <c r="CJ152" s="504">
        <f>IFERROR($G152*'Inputs Yr 2'!AT152*'Inputs Yr 2'!$P152*'Inputs Yr 2'!$Q152/((1+realdiscrt1)^-0.5),"")</f>
        <v>0</v>
      </c>
      <c r="CK152" s="79">
        <f>IFERROR((O152*1000*(((INDEX(avoidedcosttbl2,$H152,CK$2)+(($H152-ROUNDDOWN($H152,0))*(INDEX(avoidedcosttbl2,ROUNDUP($H152,0),CK$2)-INDEX(avoidedcosttbl2,ROUNDDOWN($H152,0),CK$2))))*'Inputs Yr 2'!AU152))),"")</f>
        <v>0</v>
      </c>
      <c r="CL152" s="504">
        <f>IFERROR(O152*1000*'Inputs Yr 2'!AV152/((1+realdiscrt1)^-0.5),"")</f>
        <v>0</v>
      </c>
      <c r="CM152" s="79">
        <f>IFERROR((AB152*'Inputs Yr 2'!AW152*(((INDEX(avoidedcosttbl2,$H152,CM$2)+(($H152-ROUNDDOWN($H152,0))*(INDEX(avoidedcosttbl2,ROUNDUP($H152,0),CM$2)-INDEX(avoidedcosttbl2,ROUNDDOWN($H152,0),CM$2)))))))*10,"")</f>
        <v>-4547.7408588402841</v>
      </c>
      <c r="CN152" s="504">
        <f>IFERROR(10*AB152*'Inputs Yr 2'!AX152/((1+realdiscrt1)^-0.5),"")</f>
        <v>0</v>
      </c>
      <c r="CO152" s="505">
        <f t="shared" si="105"/>
        <v>-4547.7408588402841</v>
      </c>
      <c r="CP152" s="230">
        <f t="shared" si="106"/>
        <v>1018569.1500046338</v>
      </c>
      <c r="CQ152" s="199">
        <f>ROUND(IFERROR(IF(LEFT($A152,1)="C",'Avoided Costs'!$K$13,'Avoided Costs'!$K$12)+1,""),4)</f>
        <v>1.0720000000000001</v>
      </c>
      <c r="CR152" s="199">
        <f>ROUND(IFERROR(IF(LEFT($A152,1)="C",'Avoided Costs'!$L$13,'Avoided Costs'!$L$12)+1,""),4)</f>
        <v>1.04</v>
      </c>
      <c r="CS152" s="199">
        <f>ROUND(IFERROR(IF(LEFT($A152,1)="C",'Avoided Costs'!$M$13,'Avoided Costs'!$M$12)+1,""),4)</f>
        <v>1.0720000000000001</v>
      </c>
      <c r="CT152" s="199">
        <f>ROUND(IFERROR(IF(LEFT($A152,1)="C",'Avoided Costs'!$N$13,'Avoided Costs'!$N$12)+1,""),4)</f>
        <v>1.04</v>
      </c>
      <c r="CU152" s="199">
        <f>ROUND(IFERROR(IF(LEFT($A152,1)="C",'Avoided Costs'!$O$13,'Avoided Costs'!$O$12)+1,""),4)</f>
        <v>1.1120000000000001</v>
      </c>
      <c r="CV152" s="199">
        <f>ROUND(IFERROR(IF(LEFT($A152,1)="C",'Avoided Costs'!$P$13,'Avoided Costs'!$P$12)+1,""),4)</f>
        <v>1.095</v>
      </c>
      <c r="CW152" s="199">
        <f>ROUND(IFERROR(IF(LEFT($A152,1)="C",'Avoided Costs'!$Q$13,'Avoided Costs'!$Q$12)+1,""),4)</f>
        <v>1.1120000000000001</v>
      </c>
      <c r="CX152" s="200">
        <f>ROUND(IFERROR(IF(LEFT($A152,1)="C",'Avoided Costs'!$R$13,'Avoided Costs'!$R$12)+1,""),4)</f>
        <v>1.1120000000000001</v>
      </c>
    </row>
    <row r="153" spans="1:102" ht="12.75" customHeight="1">
      <c r="A153" s="91" t="str">
        <f>IF('Inputs Yr 2'!$B153=0,"",'Inputs Yr 2'!A153)</f>
        <v>C - Commercial &amp; Industrial</v>
      </c>
      <c r="B153" s="91" t="str">
        <f>IF('Inputs Yr 2'!$B153=0,"",'Inputs Yr 2'!B153)</f>
        <v>C1 - C&amp;I New Construction</v>
      </c>
      <c r="C153" s="91" t="str">
        <f>IF('Inputs Yr 2'!$B153=0,"",'Inputs Yr 2'!C153)</f>
        <v>C1a - C&amp;I New Buildings &amp; Major Renovations</v>
      </c>
      <c r="D153" s="91" t="str">
        <f>IF('Inputs Yr 2'!$B153=0,"",'Inputs Yr 2'!E153)</f>
        <v>Building Shell - Custom 25</v>
      </c>
      <c r="E153" s="93" t="str">
        <f>IF('Inputs Yr 2'!$B153=0,"",'Inputs Yr 2'!F153)</f>
        <v>G16C1a02</v>
      </c>
      <c r="F153" s="93" t="str">
        <f>IF('Inputs Yr 2'!$B153=0,"",'Inputs Yr 2'!G153)</f>
        <v>Envelope</v>
      </c>
      <c r="G153" s="95">
        <f>IF('Inputs Yr 2'!$H153&lt;&gt;0,('Inputs Yr 2'!H153),"")</f>
        <v>1</v>
      </c>
      <c r="H153" s="94">
        <f>IFERROR('Inputs Yr 2'!I153,"")</f>
        <v>25</v>
      </c>
      <c r="I153" s="298">
        <f>IFERROR('Inputs Yr 2'!J153*'Inputs Yr 2'!P153*G153,"")</f>
        <v>2727.5920000000001</v>
      </c>
      <c r="J153" s="298">
        <f>IFERROR('Inputs Yr 2'!K153*G153,"")</f>
        <v>2226</v>
      </c>
      <c r="K153" s="298">
        <f t="shared" si="83"/>
        <v>501.5920000000001</v>
      </c>
      <c r="L153" s="194">
        <f>IFERROR(('Inputs Yr 2'!W153*G153)/1000,"")</f>
        <v>0</v>
      </c>
      <c r="M153" s="194">
        <f>IFERROR(L153*('Inputs Yr 2'!$Q153*'Inputs Yr 2'!$V153*'Inputs Yr 2'!$R153),"")</f>
        <v>0</v>
      </c>
      <c r="N153" s="194">
        <f t="shared" si="84"/>
        <v>0</v>
      </c>
      <c r="O153" s="194">
        <f>IFERROR(M153*'Inputs Yr 2'!P153,"")</f>
        <v>0</v>
      </c>
      <c r="P153" s="194">
        <f t="shared" si="85"/>
        <v>0</v>
      </c>
      <c r="Q153" s="194">
        <f>IFERROR($P153*'Inputs Yr 2'!AA153,"")</f>
        <v>0</v>
      </c>
      <c r="R153" s="194">
        <f>IFERROR($P153*'Inputs Yr 2'!AB153,"")</f>
        <v>0</v>
      </c>
      <c r="S153" s="194">
        <f>IFERROR($P153*'Inputs Yr 2'!AC153,"")</f>
        <v>0</v>
      </c>
      <c r="T153" s="194">
        <f>IFERROR($P153*'Inputs Yr 2'!AD153,"")</f>
        <v>0</v>
      </c>
      <c r="U153" s="194">
        <f>IFERROR(G153*'Inputs Yr 2'!$AE153*'Inputs Yr 2'!$P153*'Inputs Yr 2'!$Q153,"")</f>
        <v>0</v>
      </c>
      <c r="V153" s="194">
        <f>IFERROR($G153*'Inputs Yr 2'!$AE153*'Inputs Yr 2'!$AG153*'Inputs Yr 2'!Q153*'Inputs Yr 2'!$S153,"")</f>
        <v>0</v>
      </c>
      <c r="W153" s="194">
        <f>IFERROR($G153*'Inputs Yr 2'!$AE153*'Inputs Yr 2'!$AG153*'Inputs Yr 2'!P153*'Inputs Yr 2'!Q153*'Inputs Yr 2'!$S153,"")</f>
        <v>0</v>
      </c>
      <c r="X153" s="194">
        <f>IFERROR($G153*'Inputs Yr 2'!$AE153*'Inputs Yr 2'!$AF153*'Inputs Yr 2'!Q153*'Inputs Yr 2'!$T153,"")</f>
        <v>0</v>
      </c>
      <c r="Y153" s="194">
        <f>IFERROR($G153*'Inputs Yr 2'!$AE153*'Inputs Yr 2'!$AF153*'Inputs Yr 2'!P153*'Inputs Yr 2'!Q153*'Inputs Yr 2'!$T153,"")</f>
        <v>0</v>
      </c>
      <c r="Z153" s="257">
        <f>IFERROR($G153*'Inputs Yr 2'!$Q153*'Inputs Yr 2'!$U153*(IF(IFERROR(SEARCH("NG", 'Inputs Yr 2'!$AJ153),0),'Inputs Yr 2'!$AK153,0)+IF(IFERROR(SEARCH("NG", 'Inputs Yr 2'!$AL153),0),'Inputs Yr 2'!$AM153,0)+IF(IFERROR(SEARCH("NG", 'Inputs Yr 2'!$AN153),0),'Inputs Yr 2'!$AO153,0)),0)</f>
        <v>115.60360000000001</v>
      </c>
      <c r="AA153" s="257">
        <f t="shared" si="86"/>
        <v>2890.09</v>
      </c>
      <c r="AB153" s="257">
        <f>IFERROR(Z153*'Inputs Yr 2'!$P153,0)</f>
        <v>106.23970840000001</v>
      </c>
      <c r="AC153" s="257">
        <f t="shared" si="87"/>
        <v>2655.9927100000004</v>
      </c>
      <c r="AD153" s="257">
        <f>IFERROR($G153*'Inputs Yr 2'!$Q153*'Inputs Yr 2'!$U153*(IF(IFERROR(SEARCH("Oil", 'Inputs Yr 2'!$AJ153), 0),'Inputs Yr 2'!$AK153,0)+IF(IFERROR(SEARCH("Oil", 'Inputs Yr 2'!$AL153), 0),'Inputs Yr 2'!$AM153,0)+IF(IFERROR(SEARCH("Oil", 'Inputs Yr 2'!$AN153), 0),'Inputs Yr 2'!$AO153,0)),0)</f>
        <v>0</v>
      </c>
      <c r="AE153" s="257">
        <f t="shared" si="88"/>
        <v>0</v>
      </c>
      <c r="AF153" s="257">
        <f>IFERROR(AD153*'Inputs Yr 2'!$P153,0)</f>
        <v>0</v>
      </c>
      <c r="AG153" s="257">
        <f t="shared" si="89"/>
        <v>0</v>
      </c>
      <c r="AH153" s="257">
        <f>IFERROR($G153*'Inputs Yr 2'!$Q153*'Inputs Yr 2'!$U153*(IF('Inputs Yr 2'!$AJ153=CD$4,'Inputs Yr 2'!$AK153,IF('Inputs Yr 2'!$AL153=CD$4,'Inputs Yr 2'!$AM153,IF('Inputs Yr 2'!$AN153=CD$4,'Inputs Yr 2'!$AO153,0)))),0)</f>
        <v>0</v>
      </c>
      <c r="AI153" s="257">
        <f t="shared" si="90"/>
        <v>0</v>
      </c>
      <c r="AJ153" s="257">
        <f>IFERROR(AH153*'Inputs Yr 2'!$P153,0)</f>
        <v>0</v>
      </c>
      <c r="AK153" s="257">
        <f t="shared" si="91"/>
        <v>0</v>
      </c>
      <c r="AL153" s="258">
        <f>IFERROR($G153*'Inputs Yr 2'!$P153*'Inputs Yr 2'!$Q153*'Inputs Yr 2'!AP153,0)</f>
        <v>0</v>
      </c>
      <c r="AM153" s="260">
        <f>IFERROR($G153*'Inputs Yr 2'!$P153*'Inputs Yr 2'!$Q153*'Inputs Yr 2'!AQ153,0)</f>
        <v>0</v>
      </c>
      <c r="AN153" s="258">
        <f>IFERROR($G153*'Inputs Yr 2'!$P153*'Inputs Yr 2'!$Q153*'Inputs Yr 2'!AR153,0)</f>
        <v>0</v>
      </c>
      <c r="AO153" s="257">
        <f t="shared" si="92"/>
        <v>0</v>
      </c>
      <c r="AP153" s="195">
        <f>IFERROR($CQ153*(INDEX(avoidedcosttbl2,$H153,AP$2)+(($H153-ROUNDDOWN($H153,0))*(INDEX(avoidedcosttbl2,ROUNDUP($H153,0),AP$2)-(INDEX(avoidedcosttbl2,ROUNDDOWN($H153,0),AP$2)))))*$O153*1000*'Inputs Yr 2'!AA153,"")</f>
        <v>0</v>
      </c>
      <c r="AQ153" s="195">
        <f>IFERROR($CR153*(INDEX(avoidedcosttbl2,$H153,AQ$2)+(($H153-ROUNDDOWN($H153,0))*(INDEX(avoidedcosttbl2,ROUNDUP($H153,0),AQ$2)-(INDEX(avoidedcosttbl2,ROUNDDOWN($H153,0),AQ$2)))))*$O153*1000*'Inputs Yr 2'!AB153,"")</f>
        <v>0</v>
      </c>
      <c r="AR153" s="195">
        <f>IFERROR($CS153*(INDEX(avoidedcosttbl2,$H153,AR$2)+(($H153-ROUNDDOWN($H153,0))*(INDEX(avoidedcosttbl2,ROUNDUP($H153,0),AR$2)-(INDEX(avoidedcosttbl2,ROUNDDOWN($H153,0),AR$2)))))*$O153*1000*'Inputs Yr 2'!AC153,"")</f>
        <v>0</v>
      </c>
      <c r="AS153" s="195">
        <f>IFERROR($CT153*(INDEX(avoidedcosttbl2,$H153,AS$2)+(($H153-ROUNDDOWN($H153,0))*(INDEX(avoidedcosttbl2,ROUNDUP($H153,0),AS$2)-(INDEX(avoidedcosttbl2,ROUNDDOWN($H153,0),AS$2)))))*$O153*1000*'Inputs Yr 2'!AD153,"")</f>
        <v>0</v>
      </c>
      <c r="AT153" s="196">
        <f t="shared" si="93"/>
        <v>0</v>
      </c>
      <c r="AU153" s="197">
        <f>IFERROR($CQ153*((INDEX(avoidedcosttbl2,$H153,AU$2))+(($H153-ROUNDDOWN($H153,0))*((INDEX(avoidedcosttbl2,ROUNDUP($H153,0),AU$2))-(INDEX(avoidedcosttbl2,ROUNDDOWN($H153,0),AU$2)))))*$O153*1000*'Inputs Yr 2'!AA153,"")</f>
        <v>0</v>
      </c>
      <c r="AV153" s="197">
        <f>IFERROR($CR153*((INDEX(avoidedcosttbl2,$H153,AV$2))+(($H153-ROUNDDOWN($H153,0))*((INDEX(avoidedcosttbl2,ROUNDUP($H153,0),AV$2))-(INDEX(avoidedcosttbl2,ROUNDDOWN($H153,0),AV$2)))))*$O153*1000*'Inputs Yr 2'!AB153,"")</f>
        <v>0</v>
      </c>
      <c r="AW153" s="197">
        <f>IFERROR($CS153*((INDEX(avoidedcosttbl2,$H153,AW$2))+(($H153-ROUNDDOWN($H153,0))*((INDEX(avoidedcosttbl2,ROUNDUP($H153,0),AW$2))-(INDEX(avoidedcosttbl2,ROUNDDOWN($H153,0),AW$2)))))*$O153*1000*'Inputs Yr 2'!AC153,"")</f>
        <v>0</v>
      </c>
      <c r="AX153" s="197">
        <f>IFERROR($CT153*((INDEX(avoidedcosttbl2,$H153,AX$2))+(($H153-ROUNDDOWN($H153,0))*((INDEX(avoidedcosttbl2,ROUNDUP($H153,0),AX$2))-(INDEX(avoidedcosttbl2,ROUNDDOWN($H153,0),AX$2)))))*$O153*1000*'Inputs Yr 2'!AD153,"")</f>
        <v>0</v>
      </c>
      <c r="AY153" s="197">
        <f>IFERROR(((INDEX(avoidedcosttbl2,$H153,AY$2))+(($H153-ROUNDDOWN($H153,0))*((INDEX(avoidedcosttbl2,ROUNDUP($H153,0),AY$2))-(INDEX(avoidedcosttbl2,ROUNDDOWN($H153,0),AY$2)))))*$O153*1000*('Inputs Yr 2'!AC153+'Inputs Yr 2'!AD153),"")</f>
        <v>0</v>
      </c>
      <c r="AZ153" s="197">
        <f>IFERROR(((INDEX(avoidedcosttbl2,$H153,AZ$2))+(($H153-ROUNDDOWN($H153,0))*((INDEX(avoidedcosttbl2,ROUNDUP($H153,0),AZ$2))-(INDEX(avoidedcosttbl2,ROUNDDOWN($H153,0),AZ$2)))))*$O153*1000*('Inputs Yr 2'!AA153+'Inputs Yr 2'!AB153),"")</f>
        <v>0</v>
      </c>
      <c r="BA153" s="198">
        <f t="shared" si="94"/>
        <v>0</v>
      </c>
      <c r="BB153" s="198">
        <f t="shared" si="95"/>
        <v>0</v>
      </c>
      <c r="BC153" s="195">
        <f t="shared" si="77"/>
        <v>0</v>
      </c>
      <c r="BD153" s="195">
        <f t="shared" si="78"/>
        <v>0</v>
      </c>
      <c r="BE153" s="195">
        <f t="shared" si="79"/>
        <v>0</v>
      </c>
      <c r="BF153" s="195">
        <f t="shared" si="80"/>
        <v>0</v>
      </c>
      <c r="BG153" s="195">
        <f t="shared" si="81"/>
        <v>0</v>
      </c>
      <c r="BH153" s="196">
        <f t="shared" si="96"/>
        <v>0</v>
      </c>
      <c r="BI153" s="196">
        <f t="shared" si="97"/>
        <v>0</v>
      </c>
      <c r="BJ153" s="195">
        <f>IFERROR($G153*(IF('Inputs Yr 2'!$AJ153=BJ$4,'Inputs Yr 2'!$AK153,IF('Inputs Yr 2'!$AL153=BJ$4,'Inputs Yr 2'!$AM153,IF('Inputs Yr 2'!$AN153=BJ$4,'Inputs Yr 2'!$AO153,0))))*(INDEX(avoidedcosttbl2,$H153,BJ$2)+(($H153-ROUNDDOWN($H153,0))*(INDEX(avoidedcosttbl2,ROUNDUP($H153,0),BJ$2)-(INDEX(avoidedcosttbl2,ROUNDDOWN($H153,0),BJ$2)))))*'Inputs Yr 2'!P153*'Inputs Yr 2'!Q153*'Inputs Yr 2'!U153,"")</f>
        <v>0</v>
      </c>
      <c r="BK153" s="195">
        <f>IFERROR($G153*(IF('Inputs Yr 2'!$AJ153=BK$4,'Inputs Yr 2'!$AK153,IF('Inputs Yr 2'!$AL153=BK$4,'Inputs Yr 2'!$AM153,IF('Inputs Yr 2'!$AN153=BK$4,'Inputs Yr 2'!$AO153,0))))*(INDEX(avoidedcosttbl2,$H153,BK$2)+(($H153-ROUNDDOWN($H153,0))*(INDEX(avoidedcosttbl2,ROUNDUP($H153,0),BK$2)-(INDEX(avoidedcosttbl2,ROUNDDOWN($H153,0),BK$2)))))*'Inputs Yr 2'!P153*'Inputs Yr 2'!Q153*'Inputs Yr 2'!U153,"")</f>
        <v>0</v>
      </c>
      <c r="BL153" s="195">
        <f>IFERROR($G153*(IF('Inputs Yr 2'!$AJ153=BL$4,'Inputs Yr 2'!$AK153,IF('Inputs Yr 2'!$AL153=BL$4,'Inputs Yr 2'!$AM153,IF('Inputs Yr 2'!$AN153=BL$4,'Inputs Yr 2'!$AO153,0))))*(INDEX(avoidedcosttbl2,$H153,BL$2)+(($H153-ROUNDDOWN($H153,0))*(INDEX(avoidedcosttbl2,ROUNDUP($H153,0),BL$2)-(INDEX(avoidedcosttbl2,ROUNDDOWN($H153,0),BL$2)))))*'Inputs Yr 2'!P153*'Inputs Yr 2'!Q153*'Inputs Yr 2'!U153,"")</f>
        <v>0</v>
      </c>
      <c r="BM153" s="195">
        <f>IFERROR($G153*(IF('Inputs Yr 2'!$AJ153=BM$4,'Inputs Yr 2'!$AK153,IF('Inputs Yr 2'!$AL153=BM$4,'Inputs Yr 2'!$AM153,IF('Inputs Yr 2'!$AN153=BM$4,'Inputs Yr 2'!$AO153,0))))*(INDEX(avoidedcosttbl2,$H153,BM$2)+(($H153-ROUNDDOWN($H153,0))*(INDEX(avoidedcosttbl2,ROUNDUP($H153,0),BM$2)-(INDEX(avoidedcosttbl2,ROUNDDOWN($H153,0),BM$2)))))*'Inputs Yr 2'!P153*'Inputs Yr 2'!Q153*'Inputs Yr 2'!U153,"")</f>
        <v>0</v>
      </c>
      <c r="BN153" s="195">
        <f>IFERROR($G153*(IF('Inputs Yr 2'!$AJ153=BN$4,'Inputs Yr 2'!$AK153,IF('Inputs Yr 2'!$AL153=BN$4,'Inputs Yr 2'!$AM153,IF('Inputs Yr 2'!$AN153=BN$4,'Inputs Yr 2'!$AO153,0))))*(INDEX(avoidedcosttbl2,$H153,BN$2)+(($H153-ROUNDDOWN($H153,0))*(INDEX(avoidedcosttbl2,ROUNDUP($H153,0),BN$2)-(INDEX(avoidedcosttbl2,ROUNDDOWN($H153,0),BN$2)))))*'Inputs Yr 2'!P153*'Inputs Yr 2'!Q153*'Inputs Yr 2'!U153,"")</f>
        <v>0</v>
      </c>
      <c r="BO153" s="195">
        <f>IFERROR($G153*(IF('Inputs Yr 2'!$AJ153=BO$4,'Inputs Yr 2'!$AK153,IF('Inputs Yr 2'!$AL153=BO$4,'Inputs Yr 2'!$AM153,IF('Inputs Yr 2'!$AN153=BO$4,'Inputs Yr 2'!$AO153,0))))*(INDEX(avoidedcosttbl2,$H153,BO$2)+(($H153-ROUNDDOWN($H153,0))*(INDEX(avoidedcosttbl2,ROUNDUP($H153,0),BO$2)-(INDEX(avoidedcosttbl2,ROUNDDOWN($H153,0),BO$2)))))*'Inputs Yr 2'!P153*'Inputs Yr 2'!Q153*'Inputs Yr 2'!U153,"")</f>
        <v>22005.988089666043</v>
      </c>
      <c r="BP153" s="195">
        <f>IFERROR($G153*(IF('Inputs Yr 2'!$AJ153=BP$4,'Inputs Yr 2'!$AK153,IF('Inputs Yr 2'!$AL153=BP$4,'Inputs Yr 2'!$AM153,IF('Inputs Yr 2'!$AN153=BP$4,'Inputs Yr 2'!$AO153,0))))*(INDEX(avoidedcosttbl2,$H153,BP$2)+(($H153-ROUNDDOWN($H153,0))*(INDEX(avoidedcosttbl2,ROUNDUP($H153,0),BP$2)-(INDEX(avoidedcosttbl2,ROUNDDOWN($H153,0),BP$2)))))*'Inputs Yr 2'!P153*'Inputs Yr 2'!Q153*'Inputs Yr 2'!U153,"")</f>
        <v>0</v>
      </c>
      <c r="BQ153" s="230">
        <f t="shared" si="98"/>
        <v>22005.988089666043</v>
      </c>
      <c r="BR153" s="197">
        <f t="shared" si="82"/>
        <v>352.29496991925646</v>
      </c>
      <c r="BS153" s="197">
        <f>IFERROR(($G153*IF('Inputs Yr 2'!$AJ153=BM$4,'Inputs Yr 2'!$AK153,IF('Inputs Yr 2'!$AL153=BM$4,'Inputs Yr 2'!$AM153,IF('Inputs Yr 2'!$AN153=BM$4,'Inputs Yr 2'!$AO153,0))))*(INDEX(avoidedcosttbl2,$H153,BS$2)+(($H153-ROUNDDOWN($H153,0))*(INDEX(avoidedcosttbl2,ROUNDUP($H153,0),BS$2)-(INDEX(avoidedcosttbl2,ROUNDDOWN($H153,0),BS$2)))))*'Inputs Yr 2'!P153*'Inputs Yr 2'!Q153*'Inputs Yr 2'!U153,"")</f>
        <v>0</v>
      </c>
      <c r="BT153" s="197">
        <f>IFERROR(($G153*IF('Inputs Yr 2'!$AJ153=BK$4,'Inputs Yr 2'!$AK153,IF('Inputs Yr 2'!$AL153=BK$4,'Inputs Yr 2'!$AM153,IF('Inputs Yr 2'!$AN153=BK$4,'Inputs Yr 2'!$AO153,0))))*(INDEX(avoidedcosttbl2,$H153,BT$2)+(($H153-ROUNDDOWN($H153,0))*(INDEX(avoidedcosttbl2,ROUNDUP($H153,0),BT$2)-(INDEX(avoidedcosttbl2,ROUNDDOWN($H153,0),BT$2)))))*'Inputs Yr 2'!P153*'Inputs Yr 2'!Q153*'Inputs Yr 2'!U153,"")</f>
        <v>0</v>
      </c>
      <c r="BU153" s="197">
        <f>IFERROR(($G153*IF('Inputs Yr 2'!$AJ153=BL$4,'Inputs Yr 2'!$AK153,IF('Inputs Yr 2'!$AL153=BL$4,'Inputs Yr 2'!$AM153,IF('Inputs Yr 2'!$AN153=BL$4,'Inputs Yr 2'!$AO153,0))))*(INDEX(avoidedcosttbl2,$H153,BU$2)+(($H153-ROUNDDOWN($H153,0))*(INDEX(avoidedcosttbl2,ROUNDUP($H153,0),BU$2)-(INDEX(avoidedcosttbl2,ROUNDDOWN($H153,0),BU$2)))))*'Inputs Yr 2'!P153*'Inputs Yr 2'!Q153*'Inputs Yr 2'!U153,"")</f>
        <v>0</v>
      </c>
      <c r="BV153" s="775">
        <f>IFERROR(($G153*IF('Inputs Yr 2'!$AJ153=BJ$4,'Inputs Yr 2'!$AK153,IF('Inputs Yr 2'!$AL153=BJ$4,'Inputs Yr 2'!$AM153,IF('Inputs Yr 2'!$AN153=BJ$4,'Inputs Yr 2'!$AO153,0))))*(INDEX(avoidedcosttbl2,$H153,BV$2)+(($H153-ROUNDDOWN($H153,0))*(INDEX(avoidedcosttbl2,ROUNDUP($H153,0),BV$2)-(INDEX(avoidedcosttbl2,ROUNDDOWN($H153,0),BV$2)))))*'Inputs Yr 2'!P153*'Inputs Yr 2'!Q153*'Inputs Yr 2'!U153,"")</f>
        <v>0</v>
      </c>
      <c r="BW153" s="197">
        <f>IFERROR(($G153*IF('Inputs Yr 2'!$AJ153=BN$4,'Inputs Yr 2'!$AK153,IF('Inputs Yr 2'!$AL153=BN$4,'Inputs Yr 2'!$AM153,IF('Inputs Yr 2'!$AN153=BN$4,'Inputs Yr 2'!$AO153,0))))*(INDEX(avoidedcosttbl2,$H153,BW$2)+(($H153-ROUNDDOWN($H153,0))*(INDEX(avoidedcosttbl2,ROUNDUP($H153,0),BW$2)-(INDEX(avoidedcosttbl2,ROUNDDOWN($H153,0),BW$2)))))*'Inputs Yr 2'!P153*'Inputs Yr 2'!Q153*'Inputs Yr 2'!U153,"")</f>
        <v>0</v>
      </c>
      <c r="BX153" s="197">
        <f>IFERROR(($G153*IF('Inputs Yr 2'!$AJ153=BO$4,'Inputs Yr 2'!$AK153,IF('Inputs Yr 2'!$AL153=BO$4,'Inputs Yr 2'!$AM153,IF('Inputs Yr 2'!$AN153=BO$4,'Inputs Yr 2'!$AO153,0))))*(INDEX(avoidedcosttbl2,$H153,BX$2)+(($H153-ROUNDDOWN($H153,0))*(INDEX(avoidedcosttbl2,ROUNDUP($H153,0),BX$2)-(INDEX(avoidedcosttbl2,ROUNDDOWN($H153,0),BX$2)))))*'Inputs Yr 2'!P153*'Inputs Yr 2'!Q153*'Inputs Yr 2'!U153,"")</f>
        <v>989.39660592879613</v>
      </c>
      <c r="BY153" s="197">
        <f>IFERROR(($G153*IF('Inputs Yr 2'!$AJ153=BP$4,'Inputs Yr 2'!$AK153,IF('Inputs Yr 2'!$AL153=BP$4,'Inputs Yr 2'!$AM153,IF('Inputs Yr 2'!$AN153=BP$4,'Inputs Yr 2'!$AO153,0))))*(INDEX(avoidedcosttbl2,$H153,BY$2)+(($H153-ROUNDDOWN($H153,0))*(INDEX(avoidedcosttbl2,ROUNDUP($H153,0),BY$2)-(INDEX(avoidedcosttbl2,ROUNDDOWN($H153,0),BY$2)))))*'Inputs Yr 2'!P153*'Inputs Yr 2'!Q153*'Inputs Yr 2'!U153,"")</f>
        <v>0</v>
      </c>
      <c r="BZ153" s="193">
        <f t="shared" si="99"/>
        <v>1341.6915758480527</v>
      </c>
      <c r="CA153" s="193">
        <f t="shared" si="100"/>
        <v>23347.679665514097</v>
      </c>
      <c r="CB153" s="195">
        <f>IFERROR(G153*(IF('Inputs Yr 2'!$AJ153=CB$4,'Inputs Yr 2'!$AK153,IF('Inputs Yr 2'!$AL153=CB$4,'Inputs Yr 2'!$AM153,IF('Inputs Yr 2'!$AN153=CB$4,'Inputs Yr 2'!$AO153,0))))*(INDEX(avoidedcosttbl2,$H153,CB$2)+(($H153-ROUNDDOWN($H153,0))*(INDEX(avoidedcosttbl2,ROUNDUP($H153,0),CB$2)-(INDEX(avoidedcosttbl2,ROUNDDOWN($H153,0),CB$2)))))*'Inputs Yr 2'!P153*'Inputs Yr 2'!Q153*'Inputs Yr 2'!U153,"")</f>
        <v>0</v>
      </c>
      <c r="CC153" s="195">
        <f>IFERROR(H153*(IF('Inputs Yr 2'!$AJ153=CC$4,'Inputs Yr 2'!$AK153,IF('Inputs Yr 2'!$AL153=CC$4,'Inputs Yr 2'!$AM153,IF('Inputs Yr 2'!$AN153=CC$4,'Inputs Yr 2'!$AO153,0))))*(INDEX(avoidedcosttbl2,$H153,CC$2)+(($H153-ROUNDDOWN($H153,0))*(INDEX(avoidedcosttbl2,ROUNDUP($H153,0),CC$2)-(INDEX(avoidedcosttbl2,ROUNDDOWN($H153,0),CC$2)))))*'Inputs Yr 2'!Q153*'Inputs Yr 2'!R153*'Inputs Yr 2'!V153,"")</f>
        <v>0</v>
      </c>
      <c r="CD153" s="195">
        <f>IFERROR(I153*(IF('Inputs Yr 2'!$AJ153=CD$4,'Inputs Yr 2'!$AK153,IF('Inputs Yr 2'!$AL153=CD$4,'Inputs Yr 2'!$AM153,IF('Inputs Yr 2'!$AN153=CD$4,'Inputs Yr 2'!$AO153,0))))*(INDEX(avoidedcosttbl2,$H153,CD$2)+(($H153-ROUNDDOWN($H153,0))*(INDEX(avoidedcosttbl2,ROUNDUP($H153,0),CD$2)-(INDEX(avoidedcosttbl2,ROUNDDOWN($H153,0),CD$2)))))*'Inputs Yr 2'!R153*'Inputs Yr 2'!S153*'Inputs Yr 2'!W153,"")</f>
        <v>0</v>
      </c>
      <c r="CE153" s="213">
        <f t="shared" si="101"/>
        <v>0</v>
      </c>
      <c r="CF153" s="213">
        <f t="shared" si="102"/>
        <v>0</v>
      </c>
      <c r="CG153" s="213">
        <f t="shared" si="103"/>
        <v>0</v>
      </c>
      <c r="CH153" s="698">
        <f t="shared" si="104"/>
        <v>23347.679665514097</v>
      </c>
      <c r="CI153" s="79">
        <f>IFERROR(($G153*'Inputs Yr 2'!$P153*'Inputs Yr 2'!$Q153*(((INDEX(avoidedcosttbl2,$H153,CI$2)+(($H153-ROUNDDOWN($H153,0))*(INDEX(avoidedcosttbl2,ROUNDUP($H153,0),CI$2)-INDEX(avoidedcosttbl2,ROUNDDOWN($H153,0),CI$2))))*'Inputs Yr 2'!AS153))),"")</f>
        <v>0</v>
      </c>
      <c r="CJ153" s="504">
        <f>IFERROR($G153*'Inputs Yr 2'!AT153*'Inputs Yr 2'!$P153*'Inputs Yr 2'!$Q153/((1+realdiscrt1)^-0.5),"")</f>
        <v>0</v>
      </c>
      <c r="CK153" s="79">
        <f>IFERROR((O153*1000*(((INDEX(avoidedcosttbl2,$H153,CK$2)+(($H153-ROUNDDOWN($H153,0))*(INDEX(avoidedcosttbl2,ROUNDUP($H153,0),CK$2)-INDEX(avoidedcosttbl2,ROUNDDOWN($H153,0),CK$2))))*'Inputs Yr 2'!AU153))),"")</f>
        <v>0</v>
      </c>
      <c r="CL153" s="504">
        <f>IFERROR(O153*1000*'Inputs Yr 2'!AV153/((1+realdiscrt1)^-0.5),"")</f>
        <v>0</v>
      </c>
      <c r="CM153" s="79">
        <f>IFERROR((AB153*'Inputs Yr 2'!AW153*(((INDEX(avoidedcosttbl2,$H153,CM$2)+(($H153-ROUNDDOWN($H153,0))*(INDEX(avoidedcosttbl2,ROUNDUP($H153,0),CM$2)-INDEX(avoidedcosttbl2,ROUNDDOWN($H153,0),CM$2)))))))*10,"")</f>
        <v>0</v>
      </c>
      <c r="CN153" s="504">
        <f>IFERROR(10*AB153*'Inputs Yr 2'!AX153/((1+realdiscrt1)^-0.5),"")</f>
        <v>0</v>
      </c>
      <c r="CO153" s="505">
        <f t="shared" si="105"/>
        <v>0</v>
      </c>
      <c r="CP153" s="230">
        <f t="shared" si="106"/>
        <v>23347.679665514097</v>
      </c>
      <c r="CQ153" s="199">
        <f>ROUND(IFERROR(IF(LEFT($A153,1)="C",'Avoided Costs'!$K$13,'Avoided Costs'!$K$12)+1,""),4)</f>
        <v>1.0720000000000001</v>
      </c>
      <c r="CR153" s="199">
        <f>ROUND(IFERROR(IF(LEFT($A153,1)="C",'Avoided Costs'!$L$13,'Avoided Costs'!$L$12)+1,""),4)</f>
        <v>1.04</v>
      </c>
      <c r="CS153" s="199">
        <f>ROUND(IFERROR(IF(LEFT($A153,1)="C",'Avoided Costs'!$M$13,'Avoided Costs'!$M$12)+1,""),4)</f>
        <v>1.0720000000000001</v>
      </c>
      <c r="CT153" s="199">
        <f>ROUND(IFERROR(IF(LEFT($A153,1)="C",'Avoided Costs'!$N$13,'Avoided Costs'!$N$12)+1,""),4)</f>
        <v>1.04</v>
      </c>
      <c r="CU153" s="199">
        <f>ROUND(IFERROR(IF(LEFT($A153,1)="C",'Avoided Costs'!$O$13,'Avoided Costs'!$O$12)+1,""),4)</f>
        <v>1.1120000000000001</v>
      </c>
      <c r="CV153" s="199">
        <f>ROUND(IFERROR(IF(LEFT($A153,1)="C",'Avoided Costs'!$P$13,'Avoided Costs'!$P$12)+1,""),4)</f>
        <v>1.095</v>
      </c>
      <c r="CW153" s="199">
        <f>ROUND(IFERROR(IF(LEFT($A153,1)="C",'Avoided Costs'!$Q$13,'Avoided Costs'!$Q$12)+1,""),4)</f>
        <v>1.1120000000000001</v>
      </c>
      <c r="CX153" s="200">
        <f>ROUND(IFERROR(IF(LEFT($A153,1)="C",'Avoided Costs'!$R$13,'Avoided Costs'!$R$12)+1,""),4)</f>
        <v>1.1120000000000001</v>
      </c>
    </row>
    <row r="154" spans="1:102" ht="12.75" customHeight="1">
      <c r="A154" s="91" t="str">
        <f>IF('Inputs Yr 2'!$B154=0,"",'Inputs Yr 2'!A154)</f>
        <v>C - Commercial &amp; Industrial</v>
      </c>
      <c r="B154" s="91" t="str">
        <f>IF('Inputs Yr 2'!$B154=0,"",'Inputs Yr 2'!B154)</f>
        <v>C1 - C&amp;I New Construction</v>
      </c>
      <c r="C154" s="91" t="str">
        <f>IF('Inputs Yr 2'!$B154=0,"",'Inputs Yr 2'!C154)</f>
        <v>C1a - C&amp;I New Buildings &amp; Major Renovations</v>
      </c>
      <c r="D154" s="91" t="str">
        <f>IF('Inputs Yr 2'!$B154=0,"",'Inputs Yr 2'!E154)</f>
        <v xml:space="preserve">Food Services - Custom </v>
      </c>
      <c r="E154" s="93" t="str">
        <f>IF('Inputs Yr 2'!$B154=0,"",'Inputs Yr 2'!F154)</f>
        <v>G16C1a03</v>
      </c>
      <c r="F154" s="93" t="str">
        <f>IF('Inputs Yr 2'!$B154=0,"",'Inputs Yr 2'!G154)</f>
        <v>Food Service</v>
      </c>
      <c r="G154" s="95" t="str">
        <f>IF('Inputs Yr 2'!$H154&lt;&gt;0,('Inputs Yr 2'!H154),"")</f>
        <v/>
      </c>
      <c r="H154" s="94">
        <f>IFERROR('Inputs Yr 2'!I154,"")</f>
        <v>15</v>
      </c>
      <c r="I154" s="298" t="str">
        <f>IFERROR('Inputs Yr 2'!J154*'Inputs Yr 2'!P154*G154,"")</f>
        <v/>
      </c>
      <c r="J154" s="298" t="str">
        <f>IFERROR('Inputs Yr 2'!K154*G154,"")</f>
        <v/>
      </c>
      <c r="K154" s="298" t="str">
        <f t="shared" si="83"/>
        <v/>
      </c>
      <c r="L154" s="194" t="str">
        <f>IFERROR(('Inputs Yr 2'!W154*G154)/1000,"")</f>
        <v/>
      </c>
      <c r="M154" s="194" t="str">
        <f>IFERROR(L154*('Inputs Yr 2'!$Q154*'Inputs Yr 2'!$V154*'Inputs Yr 2'!$R154),"")</f>
        <v/>
      </c>
      <c r="N154" s="194" t="str">
        <f t="shared" si="84"/>
        <v/>
      </c>
      <c r="O154" s="194" t="str">
        <f>IFERROR(M154*'Inputs Yr 2'!P154,"")</f>
        <v/>
      </c>
      <c r="P154" s="194" t="str">
        <f t="shared" si="85"/>
        <v/>
      </c>
      <c r="Q154" s="194" t="str">
        <f>IFERROR($P154*'Inputs Yr 2'!AA154,"")</f>
        <v/>
      </c>
      <c r="R154" s="194" t="str">
        <f>IFERROR($P154*'Inputs Yr 2'!AB154,"")</f>
        <v/>
      </c>
      <c r="S154" s="194" t="str">
        <f>IFERROR($P154*'Inputs Yr 2'!AC154,"")</f>
        <v/>
      </c>
      <c r="T154" s="194" t="str">
        <f>IFERROR($P154*'Inputs Yr 2'!AD154,"")</f>
        <v/>
      </c>
      <c r="U154" s="194" t="str">
        <f>IFERROR(G154*'Inputs Yr 2'!$AE154*'Inputs Yr 2'!$P154*'Inputs Yr 2'!$Q154,"")</f>
        <v/>
      </c>
      <c r="V154" s="194" t="str">
        <f>IFERROR($G154*'Inputs Yr 2'!$AE154*'Inputs Yr 2'!$AG154*'Inputs Yr 2'!Q154*'Inputs Yr 2'!$S154,"")</f>
        <v/>
      </c>
      <c r="W154" s="194" t="str">
        <f>IFERROR($G154*'Inputs Yr 2'!$AE154*'Inputs Yr 2'!$AG154*'Inputs Yr 2'!P154*'Inputs Yr 2'!Q154*'Inputs Yr 2'!$S154,"")</f>
        <v/>
      </c>
      <c r="X154" s="194" t="str">
        <f>IFERROR($G154*'Inputs Yr 2'!$AE154*'Inputs Yr 2'!$AF154*'Inputs Yr 2'!Q154*'Inputs Yr 2'!$T154,"")</f>
        <v/>
      </c>
      <c r="Y154" s="194" t="str">
        <f>IFERROR($G154*'Inputs Yr 2'!$AE154*'Inputs Yr 2'!$AF154*'Inputs Yr 2'!P154*'Inputs Yr 2'!Q154*'Inputs Yr 2'!$T154,"")</f>
        <v/>
      </c>
      <c r="Z154" s="257">
        <f>IFERROR($G154*'Inputs Yr 2'!$Q154*'Inputs Yr 2'!$U154*(IF(IFERROR(SEARCH("NG", 'Inputs Yr 2'!$AJ154),0),'Inputs Yr 2'!$AK154,0)+IF(IFERROR(SEARCH("NG", 'Inputs Yr 2'!$AL154),0),'Inputs Yr 2'!$AM154,0)+IF(IFERROR(SEARCH("NG", 'Inputs Yr 2'!$AN154),0),'Inputs Yr 2'!$AO154,0)),0)</f>
        <v>0</v>
      </c>
      <c r="AA154" s="257">
        <f t="shared" si="86"/>
        <v>0</v>
      </c>
      <c r="AB154" s="257">
        <f>IFERROR(Z154*'Inputs Yr 2'!$P154,0)</f>
        <v>0</v>
      </c>
      <c r="AC154" s="257">
        <f t="shared" si="87"/>
        <v>0</v>
      </c>
      <c r="AD154" s="257">
        <f>IFERROR($G154*'Inputs Yr 2'!$Q154*'Inputs Yr 2'!$U154*(IF(IFERROR(SEARCH("Oil", 'Inputs Yr 2'!$AJ154), 0),'Inputs Yr 2'!$AK154,0)+IF(IFERROR(SEARCH("Oil", 'Inputs Yr 2'!$AL154), 0),'Inputs Yr 2'!$AM154,0)+IF(IFERROR(SEARCH("Oil", 'Inputs Yr 2'!$AN154), 0),'Inputs Yr 2'!$AO154,0)),0)</f>
        <v>0</v>
      </c>
      <c r="AE154" s="257">
        <f t="shared" si="88"/>
        <v>0</v>
      </c>
      <c r="AF154" s="257">
        <f>IFERROR(AD154*'Inputs Yr 2'!$P154,0)</f>
        <v>0</v>
      </c>
      <c r="AG154" s="257">
        <f t="shared" si="89"/>
        <v>0</v>
      </c>
      <c r="AH154" s="257">
        <f>IFERROR($G154*'Inputs Yr 2'!$Q154*'Inputs Yr 2'!$U154*(IF('Inputs Yr 2'!$AJ154=CD$4,'Inputs Yr 2'!$AK154,IF('Inputs Yr 2'!$AL154=CD$4,'Inputs Yr 2'!$AM154,IF('Inputs Yr 2'!$AN154=CD$4,'Inputs Yr 2'!$AO154,0)))),0)</f>
        <v>0</v>
      </c>
      <c r="AI154" s="257">
        <f t="shared" si="90"/>
        <v>0</v>
      </c>
      <c r="AJ154" s="257">
        <f>IFERROR(AH154*'Inputs Yr 2'!$P154,0)</f>
        <v>0</v>
      </c>
      <c r="AK154" s="257">
        <f t="shared" si="91"/>
        <v>0</v>
      </c>
      <c r="AL154" s="258">
        <f>IFERROR($G154*'Inputs Yr 2'!$P154*'Inputs Yr 2'!$Q154*'Inputs Yr 2'!AP154,0)</f>
        <v>0</v>
      </c>
      <c r="AM154" s="260">
        <f>IFERROR($G154*'Inputs Yr 2'!$P154*'Inputs Yr 2'!$Q154*'Inputs Yr 2'!AQ154,0)</f>
        <v>0</v>
      </c>
      <c r="AN154" s="258">
        <f>IFERROR($G154*'Inputs Yr 2'!$P154*'Inputs Yr 2'!$Q154*'Inputs Yr 2'!AR154,0)</f>
        <v>0</v>
      </c>
      <c r="AO154" s="257">
        <f t="shared" si="92"/>
        <v>0</v>
      </c>
      <c r="AP154" s="195" t="str">
        <f>IFERROR($CQ154*(INDEX(avoidedcosttbl2,$H154,AP$2)+(($H154-ROUNDDOWN($H154,0))*(INDEX(avoidedcosttbl2,ROUNDUP($H154,0),AP$2)-(INDEX(avoidedcosttbl2,ROUNDDOWN($H154,0),AP$2)))))*$O154*1000*'Inputs Yr 2'!AA154,"")</f>
        <v/>
      </c>
      <c r="AQ154" s="195" t="str">
        <f>IFERROR($CR154*(INDEX(avoidedcosttbl2,$H154,AQ$2)+(($H154-ROUNDDOWN($H154,0))*(INDEX(avoidedcosttbl2,ROUNDUP($H154,0),AQ$2)-(INDEX(avoidedcosttbl2,ROUNDDOWN($H154,0),AQ$2)))))*$O154*1000*'Inputs Yr 2'!AB154,"")</f>
        <v/>
      </c>
      <c r="AR154" s="195" t="str">
        <f>IFERROR($CS154*(INDEX(avoidedcosttbl2,$H154,AR$2)+(($H154-ROUNDDOWN($H154,0))*(INDEX(avoidedcosttbl2,ROUNDUP($H154,0),AR$2)-(INDEX(avoidedcosttbl2,ROUNDDOWN($H154,0),AR$2)))))*$O154*1000*'Inputs Yr 2'!AC154,"")</f>
        <v/>
      </c>
      <c r="AS154" s="195" t="str">
        <f>IFERROR($CT154*(INDEX(avoidedcosttbl2,$H154,AS$2)+(($H154-ROUNDDOWN($H154,0))*(INDEX(avoidedcosttbl2,ROUNDUP($H154,0),AS$2)-(INDEX(avoidedcosttbl2,ROUNDDOWN($H154,0),AS$2)))))*$O154*1000*'Inputs Yr 2'!AD154,"")</f>
        <v/>
      </c>
      <c r="AT154" s="196">
        <f t="shared" si="93"/>
        <v>0</v>
      </c>
      <c r="AU154" s="197" t="str">
        <f>IFERROR($CQ154*((INDEX(avoidedcosttbl2,$H154,AU$2))+(($H154-ROUNDDOWN($H154,0))*((INDEX(avoidedcosttbl2,ROUNDUP($H154,0),AU$2))-(INDEX(avoidedcosttbl2,ROUNDDOWN($H154,0),AU$2)))))*$O154*1000*'Inputs Yr 2'!AA154,"")</f>
        <v/>
      </c>
      <c r="AV154" s="197" t="str">
        <f>IFERROR($CR154*((INDEX(avoidedcosttbl2,$H154,AV$2))+(($H154-ROUNDDOWN($H154,0))*((INDEX(avoidedcosttbl2,ROUNDUP($H154,0),AV$2))-(INDEX(avoidedcosttbl2,ROUNDDOWN($H154,0),AV$2)))))*$O154*1000*'Inputs Yr 2'!AB154,"")</f>
        <v/>
      </c>
      <c r="AW154" s="197" t="str">
        <f>IFERROR($CS154*((INDEX(avoidedcosttbl2,$H154,AW$2))+(($H154-ROUNDDOWN($H154,0))*((INDEX(avoidedcosttbl2,ROUNDUP($H154,0),AW$2))-(INDEX(avoidedcosttbl2,ROUNDDOWN($H154,0),AW$2)))))*$O154*1000*'Inputs Yr 2'!AC154,"")</f>
        <v/>
      </c>
      <c r="AX154" s="197" t="str">
        <f>IFERROR($CT154*((INDEX(avoidedcosttbl2,$H154,AX$2))+(($H154-ROUNDDOWN($H154,0))*((INDEX(avoidedcosttbl2,ROUNDUP($H154,0),AX$2))-(INDEX(avoidedcosttbl2,ROUNDDOWN($H154,0),AX$2)))))*$O154*1000*'Inputs Yr 2'!AD154,"")</f>
        <v/>
      </c>
      <c r="AY154" s="197" t="str">
        <f>IFERROR(((INDEX(avoidedcosttbl2,$H154,AY$2))+(($H154-ROUNDDOWN($H154,0))*((INDEX(avoidedcosttbl2,ROUNDUP($H154,0),AY$2))-(INDEX(avoidedcosttbl2,ROUNDDOWN($H154,0),AY$2)))))*$O154*1000*('Inputs Yr 2'!AC154+'Inputs Yr 2'!AD154),"")</f>
        <v/>
      </c>
      <c r="AZ154" s="197" t="str">
        <f>IFERROR(((INDEX(avoidedcosttbl2,$H154,AZ$2))+(($H154-ROUNDDOWN($H154,0))*((INDEX(avoidedcosttbl2,ROUNDUP($H154,0),AZ$2))-(INDEX(avoidedcosttbl2,ROUNDDOWN($H154,0),AZ$2)))))*$O154*1000*('Inputs Yr 2'!AA154+'Inputs Yr 2'!AB154),"")</f>
        <v/>
      </c>
      <c r="BA154" s="198">
        <f t="shared" si="94"/>
        <v>0</v>
      </c>
      <c r="BB154" s="198">
        <f t="shared" si="95"/>
        <v>0</v>
      </c>
      <c r="BC154" s="195" t="str">
        <f t="shared" si="77"/>
        <v/>
      </c>
      <c r="BD154" s="195" t="str">
        <f t="shared" si="78"/>
        <v/>
      </c>
      <c r="BE154" s="195" t="str">
        <f t="shared" si="79"/>
        <v/>
      </c>
      <c r="BF154" s="195" t="str">
        <f t="shared" si="80"/>
        <v/>
      </c>
      <c r="BG154" s="195" t="str">
        <f t="shared" si="81"/>
        <v/>
      </c>
      <c r="BH154" s="196">
        <f t="shared" si="96"/>
        <v>0</v>
      </c>
      <c r="BI154" s="196">
        <f t="shared" si="97"/>
        <v>0</v>
      </c>
      <c r="BJ154" s="195" t="str">
        <f>IFERROR($G154*(IF('Inputs Yr 2'!$AJ154=BJ$4,'Inputs Yr 2'!$AK154,IF('Inputs Yr 2'!$AL154=BJ$4,'Inputs Yr 2'!$AM154,IF('Inputs Yr 2'!$AN154=BJ$4,'Inputs Yr 2'!$AO154,0))))*(INDEX(avoidedcosttbl2,$H154,BJ$2)+(($H154-ROUNDDOWN($H154,0))*(INDEX(avoidedcosttbl2,ROUNDUP($H154,0),BJ$2)-(INDEX(avoidedcosttbl2,ROUNDDOWN($H154,0),BJ$2)))))*'Inputs Yr 2'!P154*'Inputs Yr 2'!Q154*'Inputs Yr 2'!U154,"")</f>
        <v/>
      </c>
      <c r="BK154" s="195" t="str">
        <f>IFERROR($G154*(IF('Inputs Yr 2'!$AJ154=BK$4,'Inputs Yr 2'!$AK154,IF('Inputs Yr 2'!$AL154=BK$4,'Inputs Yr 2'!$AM154,IF('Inputs Yr 2'!$AN154=BK$4,'Inputs Yr 2'!$AO154,0))))*(INDEX(avoidedcosttbl2,$H154,BK$2)+(($H154-ROUNDDOWN($H154,0))*(INDEX(avoidedcosttbl2,ROUNDUP($H154,0),BK$2)-(INDEX(avoidedcosttbl2,ROUNDDOWN($H154,0),BK$2)))))*'Inputs Yr 2'!P154*'Inputs Yr 2'!Q154*'Inputs Yr 2'!U154,"")</f>
        <v/>
      </c>
      <c r="BL154" s="195" t="str">
        <f>IFERROR($G154*(IF('Inputs Yr 2'!$AJ154=BL$4,'Inputs Yr 2'!$AK154,IF('Inputs Yr 2'!$AL154=BL$4,'Inputs Yr 2'!$AM154,IF('Inputs Yr 2'!$AN154=BL$4,'Inputs Yr 2'!$AO154,0))))*(INDEX(avoidedcosttbl2,$H154,BL$2)+(($H154-ROUNDDOWN($H154,0))*(INDEX(avoidedcosttbl2,ROUNDUP($H154,0),BL$2)-(INDEX(avoidedcosttbl2,ROUNDDOWN($H154,0),BL$2)))))*'Inputs Yr 2'!P154*'Inputs Yr 2'!Q154*'Inputs Yr 2'!U154,"")</f>
        <v/>
      </c>
      <c r="BM154" s="195" t="str">
        <f>IFERROR($G154*(IF('Inputs Yr 2'!$AJ154=BM$4,'Inputs Yr 2'!$AK154,IF('Inputs Yr 2'!$AL154=BM$4,'Inputs Yr 2'!$AM154,IF('Inputs Yr 2'!$AN154=BM$4,'Inputs Yr 2'!$AO154,0))))*(INDEX(avoidedcosttbl2,$H154,BM$2)+(($H154-ROUNDDOWN($H154,0))*(INDEX(avoidedcosttbl2,ROUNDUP($H154,0),BM$2)-(INDEX(avoidedcosttbl2,ROUNDDOWN($H154,0),BM$2)))))*'Inputs Yr 2'!P154*'Inputs Yr 2'!Q154*'Inputs Yr 2'!U154,"")</f>
        <v/>
      </c>
      <c r="BN154" s="195" t="str">
        <f>IFERROR($G154*(IF('Inputs Yr 2'!$AJ154=BN$4,'Inputs Yr 2'!$AK154,IF('Inputs Yr 2'!$AL154=BN$4,'Inputs Yr 2'!$AM154,IF('Inputs Yr 2'!$AN154=BN$4,'Inputs Yr 2'!$AO154,0))))*(INDEX(avoidedcosttbl2,$H154,BN$2)+(($H154-ROUNDDOWN($H154,0))*(INDEX(avoidedcosttbl2,ROUNDUP($H154,0),BN$2)-(INDEX(avoidedcosttbl2,ROUNDDOWN($H154,0),BN$2)))))*'Inputs Yr 2'!P154*'Inputs Yr 2'!Q154*'Inputs Yr 2'!U154,"")</f>
        <v/>
      </c>
      <c r="BO154" s="195" t="str">
        <f>IFERROR($G154*(IF('Inputs Yr 2'!$AJ154=BO$4,'Inputs Yr 2'!$AK154,IF('Inputs Yr 2'!$AL154=BO$4,'Inputs Yr 2'!$AM154,IF('Inputs Yr 2'!$AN154=BO$4,'Inputs Yr 2'!$AO154,0))))*(INDEX(avoidedcosttbl2,$H154,BO$2)+(($H154-ROUNDDOWN($H154,0))*(INDEX(avoidedcosttbl2,ROUNDUP($H154,0),BO$2)-(INDEX(avoidedcosttbl2,ROUNDDOWN($H154,0),BO$2)))))*'Inputs Yr 2'!P154*'Inputs Yr 2'!Q154*'Inputs Yr 2'!U154,"")</f>
        <v/>
      </c>
      <c r="BP154" s="195" t="str">
        <f>IFERROR($G154*(IF('Inputs Yr 2'!$AJ154=BP$4,'Inputs Yr 2'!$AK154,IF('Inputs Yr 2'!$AL154=BP$4,'Inputs Yr 2'!$AM154,IF('Inputs Yr 2'!$AN154=BP$4,'Inputs Yr 2'!$AO154,0))))*(INDEX(avoidedcosttbl2,$H154,BP$2)+(($H154-ROUNDDOWN($H154,0))*(INDEX(avoidedcosttbl2,ROUNDUP($H154,0),BP$2)-(INDEX(avoidedcosttbl2,ROUNDDOWN($H154,0),BP$2)))))*'Inputs Yr 2'!P154*'Inputs Yr 2'!Q154*'Inputs Yr 2'!U154,"")</f>
        <v/>
      </c>
      <c r="BQ154" s="230">
        <f t="shared" si="98"/>
        <v>0</v>
      </c>
      <c r="BR154" s="197">
        <f t="shared" si="82"/>
        <v>0</v>
      </c>
      <c r="BS154" s="197" t="str">
        <f>IFERROR(($G154*IF('Inputs Yr 2'!$AJ154=BM$4,'Inputs Yr 2'!$AK154,IF('Inputs Yr 2'!$AL154=BM$4,'Inputs Yr 2'!$AM154,IF('Inputs Yr 2'!$AN154=BM$4,'Inputs Yr 2'!$AO154,0))))*(INDEX(avoidedcosttbl2,$H154,BS$2)+(($H154-ROUNDDOWN($H154,0))*(INDEX(avoidedcosttbl2,ROUNDUP($H154,0),BS$2)-(INDEX(avoidedcosttbl2,ROUNDDOWN($H154,0),BS$2)))))*'Inputs Yr 2'!P154*'Inputs Yr 2'!Q154*'Inputs Yr 2'!U154,"")</f>
        <v/>
      </c>
      <c r="BT154" s="197" t="str">
        <f>IFERROR(($G154*IF('Inputs Yr 2'!$AJ154=BK$4,'Inputs Yr 2'!$AK154,IF('Inputs Yr 2'!$AL154=BK$4,'Inputs Yr 2'!$AM154,IF('Inputs Yr 2'!$AN154=BK$4,'Inputs Yr 2'!$AO154,0))))*(INDEX(avoidedcosttbl2,$H154,BT$2)+(($H154-ROUNDDOWN($H154,0))*(INDEX(avoidedcosttbl2,ROUNDUP($H154,0),BT$2)-(INDEX(avoidedcosttbl2,ROUNDDOWN($H154,0),BT$2)))))*'Inputs Yr 2'!P154*'Inputs Yr 2'!Q154*'Inputs Yr 2'!U154,"")</f>
        <v/>
      </c>
      <c r="BU154" s="197" t="str">
        <f>IFERROR(($G154*IF('Inputs Yr 2'!$AJ154=BL$4,'Inputs Yr 2'!$AK154,IF('Inputs Yr 2'!$AL154=BL$4,'Inputs Yr 2'!$AM154,IF('Inputs Yr 2'!$AN154=BL$4,'Inputs Yr 2'!$AO154,0))))*(INDEX(avoidedcosttbl2,$H154,BU$2)+(($H154-ROUNDDOWN($H154,0))*(INDEX(avoidedcosttbl2,ROUNDUP($H154,0),BU$2)-(INDEX(avoidedcosttbl2,ROUNDDOWN($H154,0),BU$2)))))*'Inputs Yr 2'!P154*'Inputs Yr 2'!Q154*'Inputs Yr 2'!U154,"")</f>
        <v/>
      </c>
      <c r="BV154" s="775" t="str">
        <f>IFERROR(($G154*IF('Inputs Yr 2'!$AJ154=BJ$4,'Inputs Yr 2'!$AK154,IF('Inputs Yr 2'!$AL154=BJ$4,'Inputs Yr 2'!$AM154,IF('Inputs Yr 2'!$AN154=BJ$4,'Inputs Yr 2'!$AO154,0))))*(INDEX(avoidedcosttbl2,$H154,BV$2)+(($H154-ROUNDDOWN($H154,0))*(INDEX(avoidedcosttbl2,ROUNDUP($H154,0),BV$2)-(INDEX(avoidedcosttbl2,ROUNDDOWN($H154,0),BV$2)))))*'Inputs Yr 2'!P154*'Inputs Yr 2'!Q154*'Inputs Yr 2'!U154,"")</f>
        <v/>
      </c>
      <c r="BW154" s="197" t="str">
        <f>IFERROR(($G154*IF('Inputs Yr 2'!$AJ154=BN$4,'Inputs Yr 2'!$AK154,IF('Inputs Yr 2'!$AL154=BN$4,'Inputs Yr 2'!$AM154,IF('Inputs Yr 2'!$AN154=BN$4,'Inputs Yr 2'!$AO154,0))))*(INDEX(avoidedcosttbl2,$H154,BW$2)+(($H154-ROUNDDOWN($H154,0))*(INDEX(avoidedcosttbl2,ROUNDUP($H154,0),BW$2)-(INDEX(avoidedcosttbl2,ROUNDDOWN($H154,0),BW$2)))))*'Inputs Yr 2'!P154*'Inputs Yr 2'!Q154*'Inputs Yr 2'!U154,"")</f>
        <v/>
      </c>
      <c r="BX154" s="197" t="str">
        <f>IFERROR(($G154*IF('Inputs Yr 2'!$AJ154=BO$4,'Inputs Yr 2'!$AK154,IF('Inputs Yr 2'!$AL154=BO$4,'Inputs Yr 2'!$AM154,IF('Inputs Yr 2'!$AN154=BO$4,'Inputs Yr 2'!$AO154,0))))*(INDEX(avoidedcosttbl2,$H154,BX$2)+(($H154-ROUNDDOWN($H154,0))*(INDEX(avoidedcosttbl2,ROUNDUP($H154,0),BX$2)-(INDEX(avoidedcosttbl2,ROUNDDOWN($H154,0),BX$2)))))*'Inputs Yr 2'!P154*'Inputs Yr 2'!Q154*'Inputs Yr 2'!U154,"")</f>
        <v/>
      </c>
      <c r="BY154" s="197" t="str">
        <f>IFERROR(($G154*IF('Inputs Yr 2'!$AJ154=BP$4,'Inputs Yr 2'!$AK154,IF('Inputs Yr 2'!$AL154=BP$4,'Inputs Yr 2'!$AM154,IF('Inputs Yr 2'!$AN154=BP$4,'Inputs Yr 2'!$AO154,0))))*(INDEX(avoidedcosttbl2,$H154,BY$2)+(($H154-ROUNDDOWN($H154,0))*(INDEX(avoidedcosttbl2,ROUNDUP($H154,0),BY$2)-(INDEX(avoidedcosttbl2,ROUNDDOWN($H154,0),BY$2)))))*'Inputs Yr 2'!P154*'Inputs Yr 2'!Q154*'Inputs Yr 2'!U154,"")</f>
        <v/>
      </c>
      <c r="BZ154" s="193">
        <f t="shared" si="99"/>
        <v>0</v>
      </c>
      <c r="CA154" s="193">
        <f t="shared" si="100"/>
        <v>0</v>
      </c>
      <c r="CB154" s="195" t="str">
        <f>IFERROR(G154*(IF('Inputs Yr 2'!$AJ154=CB$4,'Inputs Yr 2'!$AK154,IF('Inputs Yr 2'!$AL154=CB$4,'Inputs Yr 2'!$AM154,IF('Inputs Yr 2'!$AN154=CB$4,'Inputs Yr 2'!$AO154,0))))*(INDEX(avoidedcosttbl2,$H154,CB$2)+(($H154-ROUNDDOWN($H154,0))*(INDEX(avoidedcosttbl2,ROUNDUP($H154,0),CB$2)-(INDEX(avoidedcosttbl2,ROUNDDOWN($H154,0),CB$2)))))*'Inputs Yr 2'!P154*'Inputs Yr 2'!Q154*'Inputs Yr 2'!U154,"")</f>
        <v/>
      </c>
      <c r="CC154" s="195">
        <f>IFERROR(H154*(IF('Inputs Yr 2'!$AJ154=CC$4,'Inputs Yr 2'!$AK154,IF('Inputs Yr 2'!$AL154=CC$4,'Inputs Yr 2'!$AM154,IF('Inputs Yr 2'!$AN154=CC$4,'Inputs Yr 2'!$AO154,0))))*(INDEX(avoidedcosttbl2,$H154,CC$2)+(($H154-ROUNDDOWN($H154,0))*(INDEX(avoidedcosttbl2,ROUNDUP($H154,0),CC$2)-(INDEX(avoidedcosttbl2,ROUNDDOWN($H154,0),CC$2)))))*'Inputs Yr 2'!Q154*'Inputs Yr 2'!R154*'Inputs Yr 2'!V154,"")</f>
        <v>0</v>
      </c>
      <c r="CD154" s="195" t="str">
        <f>IFERROR(I154*(IF('Inputs Yr 2'!$AJ154=CD$4,'Inputs Yr 2'!$AK154,IF('Inputs Yr 2'!$AL154=CD$4,'Inputs Yr 2'!$AM154,IF('Inputs Yr 2'!$AN154=CD$4,'Inputs Yr 2'!$AO154,0))))*(INDEX(avoidedcosttbl2,$H154,CD$2)+(($H154-ROUNDDOWN($H154,0))*(INDEX(avoidedcosttbl2,ROUNDUP($H154,0),CD$2)-(INDEX(avoidedcosttbl2,ROUNDDOWN($H154,0),CD$2)))))*'Inputs Yr 2'!R154*'Inputs Yr 2'!S154*'Inputs Yr 2'!W154,"")</f>
        <v/>
      </c>
      <c r="CE154" s="213">
        <f t="shared" si="101"/>
        <v>0</v>
      </c>
      <c r="CF154" s="213">
        <f t="shared" si="102"/>
        <v>0</v>
      </c>
      <c r="CG154" s="213">
        <f t="shared" si="103"/>
        <v>0</v>
      </c>
      <c r="CH154" s="698">
        <f t="shared" si="104"/>
        <v>0</v>
      </c>
      <c r="CI154" s="79" t="str">
        <f>IFERROR(($G154*'Inputs Yr 2'!$P154*'Inputs Yr 2'!$Q154*(((INDEX(avoidedcosttbl2,$H154,CI$2)+(($H154-ROUNDDOWN($H154,0))*(INDEX(avoidedcosttbl2,ROUNDUP($H154,0),CI$2)-INDEX(avoidedcosttbl2,ROUNDDOWN($H154,0),CI$2))))*'Inputs Yr 2'!AS154))),"")</f>
        <v/>
      </c>
      <c r="CJ154" s="504" t="str">
        <f>IFERROR($G154*'Inputs Yr 2'!AT154*'Inputs Yr 2'!$P154*'Inputs Yr 2'!$Q154/((1+realdiscrt1)^-0.5),"")</f>
        <v/>
      </c>
      <c r="CK154" s="79" t="str">
        <f>IFERROR((O154*1000*(((INDEX(avoidedcosttbl2,$H154,CK$2)+(($H154-ROUNDDOWN($H154,0))*(INDEX(avoidedcosttbl2,ROUNDUP($H154,0),CK$2)-INDEX(avoidedcosttbl2,ROUNDDOWN($H154,0),CK$2))))*'Inputs Yr 2'!AU154))),"")</f>
        <v/>
      </c>
      <c r="CL154" s="504" t="str">
        <f>IFERROR(O154*1000*'Inputs Yr 2'!AV154/((1+realdiscrt1)^-0.5),"")</f>
        <v/>
      </c>
      <c r="CM154" s="79">
        <f>IFERROR((AB154*'Inputs Yr 2'!AW154*(((INDEX(avoidedcosttbl2,$H154,CM$2)+(($H154-ROUNDDOWN($H154,0))*(INDEX(avoidedcosttbl2,ROUNDUP($H154,0),CM$2)-INDEX(avoidedcosttbl2,ROUNDDOWN($H154,0),CM$2)))))))*10,"")</f>
        <v>0</v>
      </c>
      <c r="CN154" s="504">
        <f>IFERROR(10*AB154*'Inputs Yr 2'!AX154/((1+realdiscrt1)^-0.5),"")</f>
        <v>0</v>
      </c>
      <c r="CO154" s="505">
        <f t="shared" si="105"/>
        <v>0</v>
      </c>
      <c r="CP154" s="230">
        <f t="shared" si="106"/>
        <v>0</v>
      </c>
      <c r="CQ154" s="199">
        <f>ROUND(IFERROR(IF(LEFT($A154,1)="C",'Avoided Costs'!$K$13,'Avoided Costs'!$K$12)+1,""),4)</f>
        <v>1.0720000000000001</v>
      </c>
      <c r="CR154" s="199">
        <f>ROUND(IFERROR(IF(LEFT($A154,1)="C",'Avoided Costs'!$L$13,'Avoided Costs'!$L$12)+1,""),4)</f>
        <v>1.04</v>
      </c>
      <c r="CS154" s="199">
        <f>ROUND(IFERROR(IF(LEFT($A154,1)="C",'Avoided Costs'!$M$13,'Avoided Costs'!$M$12)+1,""),4)</f>
        <v>1.0720000000000001</v>
      </c>
      <c r="CT154" s="199">
        <f>ROUND(IFERROR(IF(LEFT($A154,1)="C",'Avoided Costs'!$N$13,'Avoided Costs'!$N$12)+1,""),4)</f>
        <v>1.04</v>
      </c>
      <c r="CU154" s="199">
        <f>ROUND(IFERROR(IF(LEFT($A154,1)="C",'Avoided Costs'!$O$13,'Avoided Costs'!$O$12)+1,""),4)</f>
        <v>1.1120000000000001</v>
      </c>
      <c r="CV154" s="199">
        <f>ROUND(IFERROR(IF(LEFT($A154,1)="C",'Avoided Costs'!$P$13,'Avoided Costs'!$P$12)+1,""),4)</f>
        <v>1.095</v>
      </c>
      <c r="CW154" s="199">
        <f>ROUND(IFERROR(IF(LEFT($A154,1)="C",'Avoided Costs'!$Q$13,'Avoided Costs'!$Q$12)+1,""),4)</f>
        <v>1.1120000000000001</v>
      </c>
      <c r="CX154" s="200">
        <f>ROUND(IFERROR(IF(LEFT($A154,1)="C",'Avoided Costs'!$R$13,'Avoided Costs'!$R$12)+1,""),4)</f>
        <v>1.1120000000000001</v>
      </c>
    </row>
    <row r="155" spans="1:102" ht="12.75" customHeight="1">
      <c r="A155" s="91" t="str">
        <f>IF('Inputs Yr 2'!$B155=0,"",'Inputs Yr 2'!A155)</f>
        <v>C - Commercial &amp; Industrial</v>
      </c>
      <c r="B155" s="91" t="str">
        <f>IF('Inputs Yr 2'!$B155=0,"",'Inputs Yr 2'!B155)</f>
        <v>C1 - C&amp;I New Construction</v>
      </c>
      <c r="C155" s="91" t="str">
        <f>IF('Inputs Yr 2'!$B155=0,"",'Inputs Yr 2'!C155)</f>
        <v>C1a - C&amp;I New Buildings &amp; Major Renovations</v>
      </c>
      <c r="D155" s="91" t="str">
        <f>IF('Inputs Yr 2'!$B155=0,"",'Inputs Yr 2'!E155)</f>
        <v>Food Services - Prescriptive</v>
      </c>
      <c r="E155" s="93" t="str">
        <f>IF('Inputs Yr 2'!$B155=0,"",'Inputs Yr 2'!F155)</f>
        <v>G16C1a04</v>
      </c>
      <c r="F155" s="93" t="str">
        <f>IF('Inputs Yr 2'!$B155=0,"",'Inputs Yr 2'!G155)</f>
        <v>Food Service</v>
      </c>
      <c r="G155" s="95" t="str">
        <f>IF('Inputs Yr 2'!$H155&lt;&gt;0,('Inputs Yr 2'!H155),"")</f>
        <v/>
      </c>
      <c r="H155" s="94">
        <f>IFERROR('Inputs Yr 2'!I155,"")</f>
        <v>0</v>
      </c>
      <c r="I155" s="298" t="str">
        <f>IFERROR('Inputs Yr 2'!J155*'Inputs Yr 2'!P155*G155,"")</f>
        <v/>
      </c>
      <c r="J155" s="298" t="str">
        <f>IFERROR('Inputs Yr 2'!K155*G155,"")</f>
        <v/>
      </c>
      <c r="K155" s="298" t="str">
        <f t="shared" si="83"/>
        <v/>
      </c>
      <c r="L155" s="194" t="str">
        <f>IFERROR(('Inputs Yr 2'!W155*G155)/1000,"")</f>
        <v/>
      </c>
      <c r="M155" s="194" t="str">
        <f>IFERROR(L155*('Inputs Yr 2'!$Q155*'Inputs Yr 2'!$V155*'Inputs Yr 2'!$R155),"")</f>
        <v/>
      </c>
      <c r="N155" s="194" t="str">
        <f t="shared" si="84"/>
        <v/>
      </c>
      <c r="O155" s="194" t="str">
        <f>IFERROR(M155*'Inputs Yr 2'!P155,"")</f>
        <v/>
      </c>
      <c r="P155" s="194" t="str">
        <f t="shared" si="85"/>
        <v/>
      </c>
      <c r="Q155" s="194" t="str">
        <f>IFERROR($P155*'Inputs Yr 2'!AA155,"")</f>
        <v/>
      </c>
      <c r="R155" s="194" t="str">
        <f>IFERROR($P155*'Inputs Yr 2'!AB155,"")</f>
        <v/>
      </c>
      <c r="S155" s="194" t="str">
        <f>IFERROR($P155*'Inputs Yr 2'!AC155,"")</f>
        <v/>
      </c>
      <c r="T155" s="194" t="str">
        <f>IFERROR($P155*'Inputs Yr 2'!AD155,"")</f>
        <v/>
      </c>
      <c r="U155" s="194" t="str">
        <f>IFERROR(G155*'Inputs Yr 2'!$AE155*'Inputs Yr 2'!$P155*'Inputs Yr 2'!$Q155,"")</f>
        <v/>
      </c>
      <c r="V155" s="194" t="str">
        <f>IFERROR($G155*'Inputs Yr 2'!$AE155*'Inputs Yr 2'!$AG155*'Inputs Yr 2'!Q155*'Inputs Yr 2'!$S155,"")</f>
        <v/>
      </c>
      <c r="W155" s="194" t="str">
        <f>IFERROR($G155*'Inputs Yr 2'!$AE155*'Inputs Yr 2'!$AG155*'Inputs Yr 2'!P155*'Inputs Yr 2'!Q155*'Inputs Yr 2'!$S155,"")</f>
        <v/>
      </c>
      <c r="X155" s="194" t="str">
        <f>IFERROR($G155*'Inputs Yr 2'!$AE155*'Inputs Yr 2'!$AF155*'Inputs Yr 2'!Q155*'Inputs Yr 2'!$T155,"")</f>
        <v/>
      </c>
      <c r="Y155" s="194" t="str">
        <f>IFERROR($G155*'Inputs Yr 2'!$AE155*'Inputs Yr 2'!$AF155*'Inputs Yr 2'!P155*'Inputs Yr 2'!Q155*'Inputs Yr 2'!$T155,"")</f>
        <v/>
      </c>
      <c r="Z155" s="257">
        <f>IFERROR($G155*'Inputs Yr 2'!$Q155*'Inputs Yr 2'!$U155*(IF(IFERROR(SEARCH("NG", 'Inputs Yr 2'!$AJ155),0),'Inputs Yr 2'!$AK155,0)+IF(IFERROR(SEARCH("NG", 'Inputs Yr 2'!$AL155),0),'Inputs Yr 2'!$AM155,0)+IF(IFERROR(SEARCH("NG", 'Inputs Yr 2'!$AN155),0),'Inputs Yr 2'!$AO155,0)),0)</f>
        <v>0</v>
      </c>
      <c r="AA155" s="257">
        <f t="shared" si="86"/>
        <v>0</v>
      </c>
      <c r="AB155" s="257">
        <f>IFERROR(Z155*'Inputs Yr 2'!$P155,0)</f>
        <v>0</v>
      </c>
      <c r="AC155" s="257">
        <f t="shared" si="87"/>
        <v>0</v>
      </c>
      <c r="AD155" s="257">
        <f>IFERROR($G155*'Inputs Yr 2'!$Q155*'Inputs Yr 2'!$U155*(IF(IFERROR(SEARCH("Oil", 'Inputs Yr 2'!$AJ155), 0),'Inputs Yr 2'!$AK155,0)+IF(IFERROR(SEARCH("Oil", 'Inputs Yr 2'!$AL155), 0),'Inputs Yr 2'!$AM155,0)+IF(IFERROR(SEARCH("Oil", 'Inputs Yr 2'!$AN155), 0),'Inputs Yr 2'!$AO155,0)),0)</f>
        <v>0</v>
      </c>
      <c r="AE155" s="257">
        <f t="shared" si="88"/>
        <v>0</v>
      </c>
      <c r="AF155" s="257">
        <f>IFERROR(AD155*'Inputs Yr 2'!$P155,0)</f>
        <v>0</v>
      </c>
      <c r="AG155" s="257">
        <f t="shared" si="89"/>
        <v>0</v>
      </c>
      <c r="AH155" s="257">
        <f>IFERROR($G155*'Inputs Yr 2'!$Q155*'Inputs Yr 2'!$U155*(IF('Inputs Yr 2'!$AJ155=CD$4,'Inputs Yr 2'!$AK155,IF('Inputs Yr 2'!$AL155=CD$4,'Inputs Yr 2'!$AM155,IF('Inputs Yr 2'!$AN155=CD$4,'Inputs Yr 2'!$AO155,0)))),0)</f>
        <v>0</v>
      </c>
      <c r="AI155" s="257">
        <f t="shared" si="90"/>
        <v>0</v>
      </c>
      <c r="AJ155" s="257">
        <f>IFERROR(AH155*'Inputs Yr 2'!$P155,0)</f>
        <v>0</v>
      </c>
      <c r="AK155" s="257">
        <f t="shared" si="91"/>
        <v>0</v>
      </c>
      <c r="AL155" s="258">
        <f>IFERROR($G155*'Inputs Yr 2'!$P155*'Inputs Yr 2'!$Q155*'Inputs Yr 2'!AP155,0)</f>
        <v>0</v>
      </c>
      <c r="AM155" s="260">
        <f>IFERROR($G155*'Inputs Yr 2'!$P155*'Inputs Yr 2'!$Q155*'Inputs Yr 2'!AQ155,0)</f>
        <v>0</v>
      </c>
      <c r="AN155" s="258">
        <f>IFERROR($G155*'Inputs Yr 2'!$P155*'Inputs Yr 2'!$Q155*'Inputs Yr 2'!AR155,0)</f>
        <v>0</v>
      </c>
      <c r="AO155" s="257">
        <f t="shared" si="92"/>
        <v>0</v>
      </c>
      <c r="AP155" s="195" t="str">
        <f>IFERROR($CQ155*(INDEX(avoidedcosttbl2,$H155,AP$2)+(($H155-ROUNDDOWN($H155,0))*(INDEX(avoidedcosttbl2,ROUNDUP($H155,0),AP$2)-(INDEX(avoidedcosttbl2,ROUNDDOWN($H155,0),AP$2)))))*$O155*1000*'Inputs Yr 2'!AA155,"")</f>
        <v/>
      </c>
      <c r="AQ155" s="195" t="str">
        <f>IFERROR($CR155*(INDEX(avoidedcosttbl2,$H155,AQ$2)+(($H155-ROUNDDOWN($H155,0))*(INDEX(avoidedcosttbl2,ROUNDUP($H155,0),AQ$2)-(INDEX(avoidedcosttbl2,ROUNDDOWN($H155,0),AQ$2)))))*$O155*1000*'Inputs Yr 2'!AB155,"")</f>
        <v/>
      </c>
      <c r="AR155" s="195" t="str">
        <f>IFERROR($CS155*(INDEX(avoidedcosttbl2,$H155,AR$2)+(($H155-ROUNDDOWN($H155,0))*(INDEX(avoidedcosttbl2,ROUNDUP($H155,0),AR$2)-(INDEX(avoidedcosttbl2,ROUNDDOWN($H155,0),AR$2)))))*$O155*1000*'Inputs Yr 2'!AC155,"")</f>
        <v/>
      </c>
      <c r="AS155" s="195" t="str">
        <f>IFERROR($CT155*(INDEX(avoidedcosttbl2,$H155,AS$2)+(($H155-ROUNDDOWN($H155,0))*(INDEX(avoidedcosttbl2,ROUNDUP($H155,0),AS$2)-(INDEX(avoidedcosttbl2,ROUNDDOWN($H155,0),AS$2)))))*$O155*1000*'Inputs Yr 2'!AD155,"")</f>
        <v/>
      </c>
      <c r="AT155" s="196">
        <f t="shared" si="93"/>
        <v>0</v>
      </c>
      <c r="AU155" s="197" t="str">
        <f>IFERROR($CQ155*((INDEX(avoidedcosttbl2,$H155,AU$2))+(($H155-ROUNDDOWN($H155,0))*((INDEX(avoidedcosttbl2,ROUNDUP($H155,0),AU$2))-(INDEX(avoidedcosttbl2,ROUNDDOWN($H155,0),AU$2)))))*$O155*1000*'Inputs Yr 2'!AA155,"")</f>
        <v/>
      </c>
      <c r="AV155" s="197" t="str">
        <f>IFERROR($CR155*((INDEX(avoidedcosttbl2,$H155,AV$2))+(($H155-ROUNDDOWN($H155,0))*((INDEX(avoidedcosttbl2,ROUNDUP($H155,0),AV$2))-(INDEX(avoidedcosttbl2,ROUNDDOWN($H155,0),AV$2)))))*$O155*1000*'Inputs Yr 2'!AB155,"")</f>
        <v/>
      </c>
      <c r="AW155" s="197" t="str">
        <f>IFERROR($CS155*((INDEX(avoidedcosttbl2,$H155,AW$2))+(($H155-ROUNDDOWN($H155,0))*((INDEX(avoidedcosttbl2,ROUNDUP($H155,0),AW$2))-(INDEX(avoidedcosttbl2,ROUNDDOWN($H155,0),AW$2)))))*$O155*1000*'Inputs Yr 2'!AC155,"")</f>
        <v/>
      </c>
      <c r="AX155" s="197" t="str">
        <f>IFERROR($CT155*((INDEX(avoidedcosttbl2,$H155,AX$2))+(($H155-ROUNDDOWN($H155,0))*((INDEX(avoidedcosttbl2,ROUNDUP($H155,0),AX$2))-(INDEX(avoidedcosttbl2,ROUNDDOWN($H155,0),AX$2)))))*$O155*1000*'Inputs Yr 2'!AD155,"")</f>
        <v/>
      </c>
      <c r="AY155" s="197" t="str">
        <f>IFERROR(((INDEX(avoidedcosttbl2,$H155,AY$2))+(($H155-ROUNDDOWN($H155,0))*((INDEX(avoidedcosttbl2,ROUNDUP($H155,0),AY$2))-(INDEX(avoidedcosttbl2,ROUNDDOWN($H155,0),AY$2)))))*$O155*1000*('Inputs Yr 2'!AC155+'Inputs Yr 2'!AD155),"")</f>
        <v/>
      </c>
      <c r="AZ155" s="197" t="str">
        <f>IFERROR(((INDEX(avoidedcosttbl2,$H155,AZ$2))+(($H155-ROUNDDOWN($H155,0))*((INDEX(avoidedcosttbl2,ROUNDUP($H155,0),AZ$2))-(INDEX(avoidedcosttbl2,ROUNDDOWN($H155,0),AZ$2)))))*$O155*1000*('Inputs Yr 2'!AA155+'Inputs Yr 2'!AB155),"")</f>
        <v/>
      </c>
      <c r="BA155" s="198">
        <f t="shared" si="94"/>
        <v>0</v>
      </c>
      <c r="BB155" s="198">
        <f t="shared" si="95"/>
        <v>0</v>
      </c>
      <c r="BC155" s="195" t="str">
        <f t="shared" si="77"/>
        <v/>
      </c>
      <c r="BD155" s="195" t="str">
        <f t="shared" si="78"/>
        <v/>
      </c>
      <c r="BE155" s="195" t="str">
        <f t="shared" si="79"/>
        <v/>
      </c>
      <c r="BF155" s="195" t="str">
        <f t="shared" si="80"/>
        <v/>
      </c>
      <c r="BG155" s="195" t="str">
        <f t="shared" si="81"/>
        <v/>
      </c>
      <c r="BH155" s="196">
        <f t="shared" si="96"/>
        <v>0</v>
      </c>
      <c r="BI155" s="196">
        <f t="shared" si="97"/>
        <v>0</v>
      </c>
      <c r="BJ155" s="195" t="str">
        <f>IFERROR($G155*(IF('Inputs Yr 2'!$AJ155=BJ$4,'Inputs Yr 2'!$AK155,IF('Inputs Yr 2'!$AL155=BJ$4,'Inputs Yr 2'!$AM155,IF('Inputs Yr 2'!$AN155=BJ$4,'Inputs Yr 2'!$AO155,0))))*(INDEX(avoidedcosttbl2,$H155,BJ$2)+(($H155-ROUNDDOWN($H155,0))*(INDEX(avoidedcosttbl2,ROUNDUP($H155,0),BJ$2)-(INDEX(avoidedcosttbl2,ROUNDDOWN($H155,0),BJ$2)))))*'Inputs Yr 2'!P155*'Inputs Yr 2'!Q155*'Inputs Yr 2'!U155,"")</f>
        <v/>
      </c>
      <c r="BK155" s="195" t="str">
        <f>IFERROR($G155*(IF('Inputs Yr 2'!$AJ155=BK$4,'Inputs Yr 2'!$AK155,IF('Inputs Yr 2'!$AL155=BK$4,'Inputs Yr 2'!$AM155,IF('Inputs Yr 2'!$AN155=BK$4,'Inputs Yr 2'!$AO155,0))))*(INDEX(avoidedcosttbl2,$H155,BK$2)+(($H155-ROUNDDOWN($H155,0))*(INDEX(avoidedcosttbl2,ROUNDUP($H155,0),BK$2)-(INDEX(avoidedcosttbl2,ROUNDDOWN($H155,0),BK$2)))))*'Inputs Yr 2'!P155*'Inputs Yr 2'!Q155*'Inputs Yr 2'!U155,"")</f>
        <v/>
      </c>
      <c r="BL155" s="195" t="str">
        <f>IFERROR($G155*(IF('Inputs Yr 2'!$AJ155=BL$4,'Inputs Yr 2'!$AK155,IF('Inputs Yr 2'!$AL155=BL$4,'Inputs Yr 2'!$AM155,IF('Inputs Yr 2'!$AN155=BL$4,'Inputs Yr 2'!$AO155,0))))*(INDEX(avoidedcosttbl2,$H155,BL$2)+(($H155-ROUNDDOWN($H155,0))*(INDEX(avoidedcosttbl2,ROUNDUP($H155,0),BL$2)-(INDEX(avoidedcosttbl2,ROUNDDOWN($H155,0),BL$2)))))*'Inputs Yr 2'!P155*'Inputs Yr 2'!Q155*'Inputs Yr 2'!U155,"")</f>
        <v/>
      </c>
      <c r="BM155" s="195" t="str">
        <f>IFERROR($G155*(IF('Inputs Yr 2'!$AJ155=BM$4,'Inputs Yr 2'!$AK155,IF('Inputs Yr 2'!$AL155=BM$4,'Inputs Yr 2'!$AM155,IF('Inputs Yr 2'!$AN155=BM$4,'Inputs Yr 2'!$AO155,0))))*(INDEX(avoidedcosttbl2,$H155,BM$2)+(($H155-ROUNDDOWN($H155,0))*(INDEX(avoidedcosttbl2,ROUNDUP($H155,0),BM$2)-(INDEX(avoidedcosttbl2,ROUNDDOWN($H155,0),BM$2)))))*'Inputs Yr 2'!P155*'Inputs Yr 2'!Q155*'Inputs Yr 2'!U155,"")</f>
        <v/>
      </c>
      <c r="BN155" s="195" t="str">
        <f>IFERROR($G155*(IF('Inputs Yr 2'!$AJ155=BN$4,'Inputs Yr 2'!$AK155,IF('Inputs Yr 2'!$AL155=BN$4,'Inputs Yr 2'!$AM155,IF('Inputs Yr 2'!$AN155=BN$4,'Inputs Yr 2'!$AO155,0))))*(INDEX(avoidedcosttbl2,$H155,BN$2)+(($H155-ROUNDDOWN($H155,0))*(INDEX(avoidedcosttbl2,ROUNDUP($H155,0),BN$2)-(INDEX(avoidedcosttbl2,ROUNDDOWN($H155,0),BN$2)))))*'Inputs Yr 2'!P155*'Inputs Yr 2'!Q155*'Inputs Yr 2'!U155,"")</f>
        <v/>
      </c>
      <c r="BO155" s="195" t="str">
        <f>IFERROR($G155*(IF('Inputs Yr 2'!$AJ155=BO$4,'Inputs Yr 2'!$AK155,IF('Inputs Yr 2'!$AL155=BO$4,'Inputs Yr 2'!$AM155,IF('Inputs Yr 2'!$AN155=BO$4,'Inputs Yr 2'!$AO155,0))))*(INDEX(avoidedcosttbl2,$H155,BO$2)+(($H155-ROUNDDOWN($H155,0))*(INDEX(avoidedcosttbl2,ROUNDUP($H155,0),BO$2)-(INDEX(avoidedcosttbl2,ROUNDDOWN($H155,0),BO$2)))))*'Inputs Yr 2'!P155*'Inputs Yr 2'!Q155*'Inputs Yr 2'!U155,"")</f>
        <v/>
      </c>
      <c r="BP155" s="195" t="str">
        <f>IFERROR($G155*(IF('Inputs Yr 2'!$AJ155=BP$4,'Inputs Yr 2'!$AK155,IF('Inputs Yr 2'!$AL155=BP$4,'Inputs Yr 2'!$AM155,IF('Inputs Yr 2'!$AN155=BP$4,'Inputs Yr 2'!$AO155,0))))*(INDEX(avoidedcosttbl2,$H155,BP$2)+(($H155-ROUNDDOWN($H155,0))*(INDEX(avoidedcosttbl2,ROUNDUP($H155,0),BP$2)-(INDEX(avoidedcosttbl2,ROUNDDOWN($H155,0),BP$2)))))*'Inputs Yr 2'!P155*'Inputs Yr 2'!Q155*'Inputs Yr 2'!U155,"")</f>
        <v/>
      </c>
      <c r="BQ155" s="230">
        <f t="shared" si="98"/>
        <v>0</v>
      </c>
      <c r="BR155" s="197" t="str">
        <f t="shared" si="82"/>
        <v/>
      </c>
      <c r="BS155" s="197" t="str">
        <f>IFERROR(($G155*IF('Inputs Yr 2'!$AJ155=BM$4,'Inputs Yr 2'!$AK155,IF('Inputs Yr 2'!$AL155=BM$4,'Inputs Yr 2'!$AM155,IF('Inputs Yr 2'!$AN155=BM$4,'Inputs Yr 2'!$AO155,0))))*(INDEX(avoidedcosttbl2,$H155,BS$2)+(($H155-ROUNDDOWN($H155,0))*(INDEX(avoidedcosttbl2,ROUNDUP($H155,0),BS$2)-(INDEX(avoidedcosttbl2,ROUNDDOWN($H155,0),BS$2)))))*'Inputs Yr 2'!P155*'Inputs Yr 2'!Q155*'Inputs Yr 2'!U155,"")</f>
        <v/>
      </c>
      <c r="BT155" s="197" t="str">
        <f>IFERROR(($G155*IF('Inputs Yr 2'!$AJ155=BK$4,'Inputs Yr 2'!$AK155,IF('Inputs Yr 2'!$AL155=BK$4,'Inputs Yr 2'!$AM155,IF('Inputs Yr 2'!$AN155=BK$4,'Inputs Yr 2'!$AO155,0))))*(INDEX(avoidedcosttbl2,$H155,BT$2)+(($H155-ROUNDDOWN($H155,0))*(INDEX(avoidedcosttbl2,ROUNDUP($H155,0),BT$2)-(INDEX(avoidedcosttbl2,ROUNDDOWN($H155,0),BT$2)))))*'Inputs Yr 2'!P155*'Inputs Yr 2'!Q155*'Inputs Yr 2'!U155,"")</f>
        <v/>
      </c>
      <c r="BU155" s="197" t="str">
        <f>IFERROR(($G155*IF('Inputs Yr 2'!$AJ155=BL$4,'Inputs Yr 2'!$AK155,IF('Inputs Yr 2'!$AL155=BL$4,'Inputs Yr 2'!$AM155,IF('Inputs Yr 2'!$AN155=BL$4,'Inputs Yr 2'!$AO155,0))))*(INDEX(avoidedcosttbl2,$H155,BU$2)+(($H155-ROUNDDOWN($H155,0))*(INDEX(avoidedcosttbl2,ROUNDUP($H155,0),BU$2)-(INDEX(avoidedcosttbl2,ROUNDDOWN($H155,0),BU$2)))))*'Inputs Yr 2'!P155*'Inputs Yr 2'!Q155*'Inputs Yr 2'!U155,"")</f>
        <v/>
      </c>
      <c r="BV155" s="775" t="str">
        <f>IFERROR(($G155*IF('Inputs Yr 2'!$AJ155=BJ$4,'Inputs Yr 2'!$AK155,IF('Inputs Yr 2'!$AL155=BJ$4,'Inputs Yr 2'!$AM155,IF('Inputs Yr 2'!$AN155=BJ$4,'Inputs Yr 2'!$AO155,0))))*(INDEX(avoidedcosttbl2,$H155,BV$2)+(($H155-ROUNDDOWN($H155,0))*(INDEX(avoidedcosttbl2,ROUNDUP($H155,0),BV$2)-(INDEX(avoidedcosttbl2,ROUNDDOWN($H155,0),BV$2)))))*'Inputs Yr 2'!P155*'Inputs Yr 2'!Q155*'Inputs Yr 2'!U155,"")</f>
        <v/>
      </c>
      <c r="BW155" s="197" t="str">
        <f>IFERROR(($G155*IF('Inputs Yr 2'!$AJ155=BN$4,'Inputs Yr 2'!$AK155,IF('Inputs Yr 2'!$AL155=BN$4,'Inputs Yr 2'!$AM155,IF('Inputs Yr 2'!$AN155=BN$4,'Inputs Yr 2'!$AO155,0))))*(INDEX(avoidedcosttbl2,$H155,BW$2)+(($H155-ROUNDDOWN($H155,0))*(INDEX(avoidedcosttbl2,ROUNDUP($H155,0),BW$2)-(INDEX(avoidedcosttbl2,ROUNDDOWN($H155,0),BW$2)))))*'Inputs Yr 2'!P155*'Inputs Yr 2'!Q155*'Inputs Yr 2'!U155,"")</f>
        <v/>
      </c>
      <c r="BX155" s="197" t="str">
        <f>IFERROR(($G155*IF('Inputs Yr 2'!$AJ155=BO$4,'Inputs Yr 2'!$AK155,IF('Inputs Yr 2'!$AL155=BO$4,'Inputs Yr 2'!$AM155,IF('Inputs Yr 2'!$AN155=BO$4,'Inputs Yr 2'!$AO155,0))))*(INDEX(avoidedcosttbl2,$H155,BX$2)+(($H155-ROUNDDOWN($H155,0))*(INDEX(avoidedcosttbl2,ROUNDUP($H155,0),BX$2)-(INDEX(avoidedcosttbl2,ROUNDDOWN($H155,0),BX$2)))))*'Inputs Yr 2'!P155*'Inputs Yr 2'!Q155*'Inputs Yr 2'!U155,"")</f>
        <v/>
      </c>
      <c r="BY155" s="197" t="str">
        <f>IFERROR(($G155*IF('Inputs Yr 2'!$AJ155=BP$4,'Inputs Yr 2'!$AK155,IF('Inputs Yr 2'!$AL155=BP$4,'Inputs Yr 2'!$AM155,IF('Inputs Yr 2'!$AN155=BP$4,'Inputs Yr 2'!$AO155,0))))*(INDEX(avoidedcosttbl2,$H155,BY$2)+(($H155-ROUNDDOWN($H155,0))*(INDEX(avoidedcosttbl2,ROUNDUP($H155,0),BY$2)-(INDEX(avoidedcosttbl2,ROUNDDOWN($H155,0),BY$2)))))*'Inputs Yr 2'!P155*'Inputs Yr 2'!Q155*'Inputs Yr 2'!U155,"")</f>
        <v/>
      </c>
      <c r="BZ155" s="193">
        <f t="shared" si="99"/>
        <v>0</v>
      </c>
      <c r="CA155" s="193">
        <f t="shared" si="100"/>
        <v>0</v>
      </c>
      <c r="CB155" s="195" t="str">
        <f>IFERROR(G155*(IF('Inputs Yr 2'!$AJ155=CB$4,'Inputs Yr 2'!$AK155,IF('Inputs Yr 2'!$AL155=CB$4,'Inputs Yr 2'!$AM155,IF('Inputs Yr 2'!$AN155=CB$4,'Inputs Yr 2'!$AO155,0))))*(INDEX(avoidedcosttbl2,$H155,CB$2)+(($H155-ROUNDDOWN($H155,0))*(INDEX(avoidedcosttbl2,ROUNDUP($H155,0),CB$2)-(INDEX(avoidedcosttbl2,ROUNDDOWN($H155,0),CB$2)))))*'Inputs Yr 2'!P155*'Inputs Yr 2'!Q155*'Inputs Yr 2'!U155,"")</f>
        <v/>
      </c>
      <c r="CC155" s="195" t="str">
        <f>IFERROR(H155*(IF('Inputs Yr 2'!$AJ155=CC$4,'Inputs Yr 2'!$AK155,IF('Inputs Yr 2'!$AL155=CC$4,'Inputs Yr 2'!$AM155,IF('Inputs Yr 2'!$AN155=CC$4,'Inputs Yr 2'!$AO155,0))))*(INDEX(avoidedcosttbl2,$H155,CC$2)+(($H155-ROUNDDOWN($H155,0))*(INDEX(avoidedcosttbl2,ROUNDUP($H155,0),CC$2)-(INDEX(avoidedcosttbl2,ROUNDDOWN($H155,0),CC$2)))))*'Inputs Yr 2'!Q155*'Inputs Yr 2'!R155*'Inputs Yr 2'!V155,"")</f>
        <v/>
      </c>
      <c r="CD155" s="195" t="str">
        <f>IFERROR(I155*(IF('Inputs Yr 2'!$AJ155=CD$4,'Inputs Yr 2'!$AK155,IF('Inputs Yr 2'!$AL155=CD$4,'Inputs Yr 2'!$AM155,IF('Inputs Yr 2'!$AN155=CD$4,'Inputs Yr 2'!$AO155,0))))*(INDEX(avoidedcosttbl2,$H155,CD$2)+(($H155-ROUNDDOWN($H155,0))*(INDEX(avoidedcosttbl2,ROUNDUP($H155,0),CD$2)-(INDEX(avoidedcosttbl2,ROUNDDOWN($H155,0),CD$2)))))*'Inputs Yr 2'!R155*'Inputs Yr 2'!S155*'Inputs Yr 2'!W155,"")</f>
        <v/>
      </c>
      <c r="CE155" s="213" t="str">
        <f t="shared" si="101"/>
        <v/>
      </c>
      <c r="CF155" s="213" t="str">
        <f t="shared" si="102"/>
        <v/>
      </c>
      <c r="CG155" s="213" t="str">
        <f t="shared" si="103"/>
        <v/>
      </c>
      <c r="CH155" s="698">
        <f t="shared" si="104"/>
        <v>0</v>
      </c>
      <c r="CI155" s="79" t="str">
        <f>IFERROR(($G155*'Inputs Yr 2'!$P155*'Inputs Yr 2'!$Q155*(((INDEX(avoidedcosttbl2,$H155,CI$2)+(($H155-ROUNDDOWN($H155,0))*(INDEX(avoidedcosttbl2,ROUNDUP($H155,0),CI$2)-INDEX(avoidedcosttbl2,ROUNDDOWN($H155,0),CI$2))))*'Inputs Yr 2'!AS155))),"")</f>
        <v/>
      </c>
      <c r="CJ155" s="504" t="str">
        <f>IFERROR($G155*'Inputs Yr 2'!AT155*'Inputs Yr 2'!$P155*'Inputs Yr 2'!$Q155/((1+realdiscrt1)^-0.5),"")</f>
        <v/>
      </c>
      <c r="CK155" s="79" t="str">
        <f>IFERROR((O155*1000*(((INDEX(avoidedcosttbl2,$H155,CK$2)+(($H155-ROUNDDOWN($H155,0))*(INDEX(avoidedcosttbl2,ROUNDUP($H155,0),CK$2)-INDEX(avoidedcosttbl2,ROUNDDOWN($H155,0),CK$2))))*'Inputs Yr 2'!AU155))),"")</f>
        <v/>
      </c>
      <c r="CL155" s="504" t="str">
        <f>IFERROR(O155*1000*'Inputs Yr 2'!AV155/((1+realdiscrt1)^-0.5),"")</f>
        <v/>
      </c>
      <c r="CM155" s="79" t="str">
        <f>IFERROR((AB155*'Inputs Yr 2'!AW155*(((INDEX(avoidedcosttbl2,$H155,CM$2)+(($H155-ROUNDDOWN($H155,0))*(INDEX(avoidedcosttbl2,ROUNDUP($H155,0),CM$2)-INDEX(avoidedcosttbl2,ROUNDDOWN($H155,0),CM$2)))))))*10,"")</f>
        <v/>
      </c>
      <c r="CN155" s="504">
        <f>IFERROR(10*AB155*'Inputs Yr 2'!AX155/((1+realdiscrt1)^-0.5),"")</f>
        <v>0</v>
      </c>
      <c r="CO155" s="505">
        <f t="shared" si="105"/>
        <v>0</v>
      </c>
      <c r="CP155" s="230">
        <f t="shared" si="106"/>
        <v>0</v>
      </c>
      <c r="CQ155" s="199">
        <f>ROUND(IFERROR(IF(LEFT($A155,1)="C",'Avoided Costs'!$K$13,'Avoided Costs'!$K$12)+1,""),4)</f>
        <v>1.0720000000000001</v>
      </c>
      <c r="CR155" s="199">
        <f>ROUND(IFERROR(IF(LEFT($A155,1)="C",'Avoided Costs'!$L$13,'Avoided Costs'!$L$12)+1,""),4)</f>
        <v>1.04</v>
      </c>
      <c r="CS155" s="199">
        <f>ROUND(IFERROR(IF(LEFT($A155,1)="C",'Avoided Costs'!$M$13,'Avoided Costs'!$M$12)+1,""),4)</f>
        <v>1.0720000000000001</v>
      </c>
      <c r="CT155" s="199">
        <f>ROUND(IFERROR(IF(LEFT($A155,1)="C",'Avoided Costs'!$N$13,'Avoided Costs'!$N$12)+1,""),4)</f>
        <v>1.04</v>
      </c>
      <c r="CU155" s="199">
        <f>ROUND(IFERROR(IF(LEFT($A155,1)="C",'Avoided Costs'!$O$13,'Avoided Costs'!$O$12)+1,""),4)</f>
        <v>1.1120000000000001</v>
      </c>
      <c r="CV155" s="199">
        <f>ROUND(IFERROR(IF(LEFT($A155,1)="C",'Avoided Costs'!$P$13,'Avoided Costs'!$P$12)+1,""),4)</f>
        <v>1.095</v>
      </c>
      <c r="CW155" s="199">
        <f>ROUND(IFERROR(IF(LEFT($A155,1)="C",'Avoided Costs'!$Q$13,'Avoided Costs'!$Q$12)+1,""),4)</f>
        <v>1.1120000000000001</v>
      </c>
      <c r="CX155" s="200">
        <f>ROUND(IFERROR(IF(LEFT($A155,1)="C",'Avoided Costs'!$R$13,'Avoided Costs'!$R$12)+1,""),4)</f>
        <v>1.1120000000000001</v>
      </c>
    </row>
    <row r="156" spans="1:102" ht="12.75" customHeight="1">
      <c r="A156" s="91" t="str">
        <f>IF('Inputs Yr 2'!$B156=0,"",'Inputs Yr 2'!A156)</f>
        <v>C - Commercial &amp; Industrial</v>
      </c>
      <c r="B156" s="91" t="str">
        <f>IF('Inputs Yr 2'!$B156=0,"",'Inputs Yr 2'!B156)</f>
        <v>C1 - C&amp;I New Construction</v>
      </c>
      <c r="C156" s="91" t="str">
        <f>IF('Inputs Yr 2'!$B156=0,"",'Inputs Yr 2'!C156)</f>
        <v>C1a - C&amp;I New Buildings &amp; Major Renovations</v>
      </c>
      <c r="D156" s="91" t="str">
        <f>IF('Inputs Yr 2'!$B156=0,"",'Inputs Yr 2'!E156)</f>
        <v>Heat Recovery - Custom  15</v>
      </c>
      <c r="E156" s="93" t="str">
        <f>IF('Inputs Yr 2'!$B156=0,"",'Inputs Yr 2'!F156)</f>
        <v>G16C1a05</v>
      </c>
      <c r="F156" s="93" t="str">
        <f>IF('Inputs Yr 2'!$B156=0,"",'Inputs Yr 2'!G156)</f>
        <v>HVAC</v>
      </c>
      <c r="G156" s="95">
        <f>IF('Inputs Yr 2'!$H156&lt;&gt;0,('Inputs Yr 2'!H156),"")</f>
        <v>1</v>
      </c>
      <c r="H156" s="94">
        <f>IFERROR('Inputs Yr 2'!I156,"")</f>
        <v>15</v>
      </c>
      <c r="I156" s="298">
        <f>IFERROR('Inputs Yr 2'!J156*'Inputs Yr 2'!P156*G156,"")</f>
        <v>582584.7333333334</v>
      </c>
      <c r="J156" s="298">
        <f>IFERROR('Inputs Yr 2'!K156*G156,"")</f>
        <v>475450</v>
      </c>
      <c r="K156" s="298">
        <f t="shared" si="83"/>
        <v>107134.7333333334</v>
      </c>
      <c r="L156" s="194">
        <f>IFERROR(('Inputs Yr 2'!W156*G156)/1000,"")</f>
        <v>0</v>
      </c>
      <c r="M156" s="194">
        <f>IFERROR(L156*('Inputs Yr 2'!$Q156*'Inputs Yr 2'!$V156*'Inputs Yr 2'!$R156),"")</f>
        <v>0</v>
      </c>
      <c r="N156" s="194">
        <f t="shared" si="84"/>
        <v>0</v>
      </c>
      <c r="O156" s="194">
        <f>IFERROR(M156*'Inputs Yr 2'!P156,"")</f>
        <v>0</v>
      </c>
      <c r="P156" s="194">
        <f t="shared" si="85"/>
        <v>0</v>
      </c>
      <c r="Q156" s="194">
        <f>IFERROR($P156*'Inputs Yr 2'!AA156,"")</f>
        <v>0</v>
      </c>
      <c r="R156" s="194">
        <f>IFERROR($P156*'Inputs Yr 2'!AB156,"")</f>
        <v>0</v>
      </c>
      <c r="S156" s="194">
        <f>IFERROR($P156*'Inputs Yr 2'!AC156,"")</f>
        <v>0</v>
      </c>
      <c r="T156" s="194">
        <f>IFERROR($P156*'Inputs Yr 2'!AD156,"")</f>
        <v>0</v>
      </c>
      <c r="U156" s="194">
        <f>IFERROR(G156*'Inputs Yr 2'!$AE156*'Inputs Yr 2'!$P156*'Inputs Yr 2'!$Q156,"")</f>
        <v>0</v>
      </c>
      <c r="V156" s="194">
        <f>IFERROR($G156*'Inputs Yr 2'!$AE156*'Inputs Yr 2'!$AG156*'Inputs Yr 2'!Q156*'Inputs Yr 2'!$S156,"")</f>
        <v>0</v>
      </c>
      <c r="W156" s="194">
        <f>IFERROR($G156*'Inputs Yr 2'!$AE156*'Inputs Yr 2'!$AG156*'Inputs Yr 2'!P156*'Inputs Yr 2'!Q156*'Inputs Yr 2'!$S156,"")</f>
        <v>0</v>
      </c>
      <c r="X156" s="194">
        <f>IFERROR($G156*'Inputs Yr 2'!$AE156*'Inputs Yr 2'!$AF156*'Inputs Yr 2'!Q156*'Inputs Yr 2'!$T156,"")</f>
        <v>0</v>
      </c>
      <c r="Y156" s="194">
        <f>IFERROR($G156*'Inputs Yr 2'!$AE156*'Inputs Yr 2'!$AF156*'Inputs Yr 2'!P156*'Inputs Yr 2'!Q156*'Inputs Yr 2'!$T156,"")</f>
        <v>0</v>
      </c>
      <c r="Z156" s="257">
        <f>IFERROR($G156*'Inputs Yr 2'!$Q156*'Inputs Yr 2'!$U156*(IF(IFERROR(SEARCH("NG", 'Inputs Yr 2'!$AJ156),0),'Inputs Yr 2'!$AK156,0)+IF(IFERROR(SEARCH("NG", 'Inputs Yr 2'!$AL156),0),'Inputs Yr 2'!$AM156,0)+IF(IFERROR(SEARCH("NG", 'Inputs Yr 2'!$AN156),0),'Inputs Yr 2'!$AO156,0)),0)</f>
        <v>14815.022000000001</v>
      </c>
      <c r="AA156" s="257">
        <f t="shared" si="86"/>
        <v>222225.33000000002</v>
      </c>
      <c r="AB156" s="257">
        <f>IFERROR(Z156*'Inputs Yr 2'!$P156,0)</f>
        <v>13615.005218000002</v>
      </c>
      <c r="AC156" s="257">
        <f t="shared" si="87"/>
        <v>204225.07827000003</v>
      </c>
      <c r="AD156" s="257">
        <f>IFERROR($G156*'Inputs Yr 2'!$Q156*'Inputs Yr 2'!$U156*(IF(IFERROR(SEARCH("Oil", 'Inputs Yr 2'!$AJ156), 0),'Inputs Yr 2'!$AK156,0)+IF(IFERROR(SEARCH("Oil", 'Inputs Yr 2'!$AL156), 0),'Inputs Yr 2'!$AM156,0)+IF(IFERROR(SEARCH("Oil", 'Inputs Yr 2'!$AN156), 0),'Inputs Yr 2'!$AO156,0)),0)</f>
        <v>0</v>
      </c>
      <c r="AE156" s="257">
        <f t="shared" si="88"/>
        <v>0</v>
      </c>
      <c r="AF156" s="257">
        <f>IFERROR(AD156*'Inputs Yr 2'!$P156,0)</f>
        <v>0</v>
      </c>
      <c r="AG156" s="257">
        <f t="shared" si="89"/>
        <v>0</v>
      </c>
      <c r="AH156" s="257">
        <f>IFERROR($G156*'Inputs Yr 2'!$Q156*'Inputs Yr 2'!$U156*(IF('Inputs Yr 2'!$AJ156=CD$4,'Inputs Yr 2'!$AK156,IF('Inputs Yr 2'!$AL156=CD$4,'Inputs Yr 2'!$AM156,IF('Inputs Yr 2'!$AN156=CD$4,'Inputs Yr 2'!$AO156,0)))),0)</f>
        <v>0</v>
      </c>
      <c r="AI156" s="257">
        <f t="shared" si="90"/>
        <v>0</v>
      </c>
      <c r="AJ156" s="257">
        <f>IFERROR(AH156*'Inputs Yr 2'!$P156,0)</f>
        <v>0</v>
      </c>
      <c r="AK156" s="257">
        <f t="shared" si="91"/>
        <v>0</v>
      </c>
      <c r="AL156" s="258">
        <f>IFERROR($G156*'Inputs Yr 2'!$P156*'Inputs Yr 2'!$Q156*'Inputs Yr 2'!AP156,0)</f>
        <v>0</v>
      </c>
      <c r="AM156" s="260">
        <f>IFERROR($G156*'Inputs Yr 2'!$P156*'Inputs Yr 2'!$Q156*'Inputs Yr 2'!AQ156,0)</f>
        <v>0</v>
      </c>
      <c r="AN156" s="258">
        <f>IFERROR($G156*'Inputs Yr 2'!$P156*'Inputs Yr 2'!$Q156*'Inputs Yr 2'!AR156,0)</f>
        <v>0</v>
      </c>
      <c r="AO156" s="257">
        <f t="shared" si="92"/>
        <v>0</v>
      </c>
      <c r="AP156" s="195">
        <f>IFERROR($CQ156*(INDEX(avoidedcosttbl2,$H156,AP$2)+(($H156-ROUNDDOWN($H156,0))*(INDEX(avoidedcosttbl2,ROUNDUP($H156,0),AP$2)-(INDEX(avoidedcosttbl2,ROUNDDOWN($H156,0),AP$2)))))*$O156*1000*'Inputs Yr 2'!AA156,"")</f>
        <v>0</v>
      </c>
      <c r="AQ156" s="195">
        <f>IFERROR($CR156*(INDEX(avoidedcosttbl2,$H156,AQ$2)+(($H156-ROUNDDOWN($H156,0))*(INDEX(avoidedcosttbl2,ROUNDUP($H156,0),AQ$2)-(INDEX(avoidedcosttbl2,ROUNDDOWN($H156,0),AQ$2)))))*$O156*1000*'Inputs Yr 2'!AB156,"")</f>
        <v>0</v>
      </c>
      <c r="AR156" s="195">
        <f>IFERROR($CS156*(INDEX(avoidedcosttbl2,$H156,AR$2)+(($H156-ROUNDDOWN($H156,0))*(INDEX(avoidedcosttbl2,ROUNDUP($H156,0),AR$2)-(INDEX(avoidedcosttbl2,ROUNDDOWN($H156,0),AR$2)))))*$O156*1000*'Inputs Yr 2'!AC156,"")</f>
        <v>0</v>
      </c>
      <c r="AS156" s="195">
        <f>IFERROR($CT156*(INDEX(avoidedcosttbl2,$H156,AS$2)+(($H156-ROUNDDOWN($H156,0))*(INDEX(avoidedcosttbl2,ROUNDUP($H156,0),AS$2)-(INDEX(avoidedcosttbl2,ROUNDDOWN($H156,0),AS$2)))))*$O156*1000*'Inputs Yr 2'!AD156,"")</f>
        <v>0</v>
      </c>
      <c r="AT156" s="196">
        <f t="shared" si="93"/>
        <v>0</v>
      </c>
      <c r="AU156" s="197">
        <f>IFERROR($CQ156*((INDEX(avoidedcosttbl2,$H156,AU$2))+(($H156-ROUNDDOWN($H156,0))*((INDEX(avoidedcosttbl2,ROUNDUP($H156,0),AU$2))-(INDEX(avoidedcosttbl2,ROUNDDOWN($H156,0),AU$2)))))*$O156*1000*'Inputs Yr 2'!AA156,"")</f>
        <v>0</v>
      </c>
      <c r="AV156" s="197">
        <f>IFERROR($CR156*((INDEX(avoidedcosttbl2,$H156,AV$2))+(($H156-ROUNDDOWN($H156,0))*((INDEX(avoidedcosttbl2,ROUNDUP($H156,0),AV$2))-(INDEX(avoidedcosttbl2,ROUNDDOWN($H156,0),AV$2)))))*$O156*1000*'Inputs Yr 2'!AB156,"")</f>
        <v>0</v>
      </c>
      <c r="AW156" s="197">
        <f>IFERROR($CS156*((INDEX(avoidedcosttbl2,$H156,AW$2))+(($H156-ROUNDDOWN($H156,0))*((INDEX(avoidedcosttbl2,ROUNDUP($H156,0),AW$2))-(INDEX(avoidedcosttbl2,ROUNDDOWN($H156,0),AW$2)))))*$O156*1000*'Inputs Yr 2'!AC156,"")</f>
        <v>0</v>
      </c>
      <c r="AX156" s="197">
        <f>IFERROR($CT156*((INDEX(avoidedcosttbl2,$H156,AX$2))+(($H156-ROUNDDOWN($H156,0))*((INDEX(avoidedcosttbl2,ROUNDUP($H156,0),AX$2))-(INDEX(avoidedcosttbl2,ROUNDDOWN($H156,0),AX$2)))))*$O156*1000*'Inputs Yr 2'!AD156,"")</f>
        <v>0</v>
      </c>
      <c r="AY156" s="197">
        <f>IFERROR(((INDEX(avoidedcosttbl2,$H156,AY$2))+(($H156-ROUNDDOWN($H156,0))*((INDEX(avoidedcosttbl2,ROUNDUP($H156,0),AY$2))-(INDEX(avoidedcosttbl2,ROUNDDOWN($H156,0),AY$2)))))*$O156*1000*('Inputs Yr 2'!AC156+'Inputs Yr 2'!AD156),"")</f>
        <v>0</v>
      </c>
      <c r="AZ156" s="197">
        <f>IFERROR(((INDEX(avoidedcosttbl2,$H156,AZ$2))+(($H156-ROUNDDOWN($H156,0))*((INDEX(avoidedcosttbl2,ROUNDUP($H156,0),AZ$2))-(INDEX(avoidedcosttbl2,ROUNDDOWN($H156,0),AZ$2)))))*$O156*1000*('Inputs Yr 2'!AA156+'Inputs Yr 2'!AB156),"")</f>
        <v>0</v>
      </c>
      <c r="BA156" s="198">
        <f t="shared" si="94"/>
        <v>0</v>
      </c>
      <c r="BB156" s="198">
        <f t="shared" si="95"/>
        <v>0</v>
      </c>
      <c r="BC156" s="195">
        <f t="shared" si="77"/>
        <v>0</v>
      </c>
      <c r="BD156" s="195">
        <f t="shared" si="78"/>
        <v>0</v>
      </c>
      <c r="BE156" s="195">
        <f t="shared" si="79"/>
        <v>0</v>
      </c>
      <c r="BF156" s="195">
        <f t="shared" si="80"/>
        <v>0</v>
      </c>
      <c r="BG156" s="195">
        <f t="shared" si="81"/>
        <v>0</v>
      </c>
      <c r="BH156" s="196">
        <f t="shared" si="96"/>
        <v>0</v>
      </c>
      <c r="BI156" s="196">
        <f t="shared" si="97"/>
        <v>0</v>
      </c>
      <c r="BJ156" s="195">
        <f>IFERROR($G156*(IF('Inputs Yr 2'!$AJ156=BJ$4,'Inputs Yr 2'!$AK156,IF('Inputs Yr 2'!$AL156=BJ$4,'Inputs Yr 2'!$AM156,IF('Inputs Yr 2'!$AN156=BJ$4,'Inputs Yr 2'!$AO156,0))))*(INDEX(avoidedcosttbl2,$H156,BJ$2)+(($H156-ROUNDDOWN($H156,0))*(INDEX(avoidedcosttbl2,ROUNDUP($H156,0),BJ$2)-(INDEX(avoidedcosttbl2,ROUNDDOWN($H156,0),BJ$2)))))*'Inputs Yr 2'!P156*'Inputs Yr 2'!Q156*'Inputs Yr 2'!U156,"")</f>
        <v>0</v>
      </c>
      <c r="BK156" s="195">
        <f>IFERROR($G156*(IF('Inputs Yr 2'!$AJ156=BK$4,'Inputs Yr 2'!$AK156,IF('Inputs Yr 2'!$AL156=BK$4,'Inputs Yr 2'!$AM156,IF('Inputs Yr 2'!$AN156=BK$4,'Inputs Yr 2'!$AO156,0))))*(INDEX(avoidedcosttbl2,$H156,BK$2)+(($H156-ROUNDDOWN($H156,0))*(INDEX(avoidedcosttbl2,ROUNDUP($H156,0),BK$2)-(INDEX(avoidedcosttbl2,ROUNDDOWN($H156,0),BK$2)))))*'Inputs Yr 2'!P156*'Inputs Yr 2'!Q156*'Inputs Yr 2'!U156,"")</f>
        <v>0</v>
      </c>
      <c r="BL156" s="195">
        <f>IFERROR($G156*(IF('Inputs Yr 2'!$AJ156=BL$4,'Inputs Yr 2'!$AK156,IF('Inputs Yr 2'!$AL156=BL$4,'Inputs Yr 2'!$AM156,IF('Inputs Yr 2'!$AN156=BL$4,'Inputs Yr 2'!$AO156,0))))*(INDEX(avoidedcosttbl2,$H156,BL$2)+(($H156-ROUNDDOWN($H156,0))*(INDEX(avoidedcosttbl2,ROUNDUP($H156,0),BL$2)-(INDEX(avoidedcosttbl2,ROUNDDOWN($H156,0),BL$2)))))*'Inputs Yr 2'!P156*'Inputs Yr 2'!Q156*'Inputs Yr 2'!U156,"")</f>
        <v>0</v>
      </c>
      <c r="BM156" s="195">
        <f>IFERROR($G156*(IF('Inputs Yr 2'!$AJ156=BM$4,'Inputs Yr 2'!$AK156,IF('Inputs Yr 2'!$AL156=BM$4,'Inputs Yr 2'!$AM156,IF('Inputs Yr 2'!$AN156=BM$4,'Inputs Yr 2'!$AO156,0))))*(INDEX(avoidedcosttbl2,$H156,BM$2)+(($H156-ROUNDDOWN($H156,0))*(INDEX(avoidedcosttbl2,ROUNDUP($H156,0),BM$2)-(INDEX(avoidedcosttbl2,ROUNDDOWN($H156,0),BM$2)))))*'Inputs Yr 2'!P156*'Inputs Yr 2'!Q156*'Inputs Yr 2'!U156,"")</f>
        <v>0</v>
      </c>
      <c r="BN156" s="195">
        <f>IFERROR($G156*(IF('Inputs Yr 2'!$AJ156=BN$4,'Inputs Yr 2'!$AK156,IF('Inputs Yr 2'!$AL156=BN$4,'Inputs Yr 2'!$AM156,IF('Inputs Yr 2'!$AN156=BN$4,'Inputs Yr 2'!$AO156,0))))*(INDEX(avoidedcosttbl2,$H156,BN$2)+(($H156-ROUNDDOWN($H156,0))*(INDEX(avoidedcosttbl2,ROUNDUP($H156,0),BN$2)-(INDEX(avoidedcosttbl2,ROUNDDOWN($H156,0),BN$2)))))*'Inputs Yr 2'!P156*'Inputs Yr 2'!Q156*'Inputs Yr 2'!U156,"")</f>
        <v>0</v>
      </c>
      <c r="BO156" s="195">
        <f>IFERROR($G156*(IF('Inputs Yr 2'!$AJ156=BO$4,'Inputs Yr 2'!$AK156,IF('Inputs Yr 2'!$AL156=BO$4,'Inputs Yr 2'!$AM156,IF('Inputs Yr 2'!$AN156=BO$4,'Inputs Yr 2'!$AO156,0))))*(INDEX(avoidedcosttbl2,$H156,BO$2)+(($H156-ROUNDDOWN($H156,0))*(INDEX(avoidedcosttbl2,ROUNDUP($H156,0),BO$2)-(INDEX(avoidedcosttbl2,ROUNDDOWN($H156,0),BO$2)))))*'Inputs Yr 2'!P156*'Inputs Yr 2'!Q156*'Inputs Yr 2'!U156,"")</f>
        <v>1592764.3913126527</v>
      </c>
      <c r="BP156" s="195">
        <f>IFERROR($G156*(IF('Inputs Yr 2'!$AJ156=BP$4,'Inputs Yr 2'!$AK156,IF('Inputs Yr 2'!$AL156=BP$4,'Inputs Yr 2'!$AM156,IF('Inputs Yr 2'!$AN156=BP$4,'Inputs Yr 2'!$AO156,0))))*(INDEX(avoidedcosttbl2,$H156,BP$2)+(($H156-ROUNDDOWN($H156,0))*(INDEX(avoidedcosttbl2,ROUNDUP($H156,0),BP$2)-(INDEX(avoidedcosttbl2,ROUNDDOWN($H156,0),BP$2)))))*'Inputs Yr 2'!P156*'Inputs Yr 2'!Q156*'Inputs Yr 2'!U156,"")</f>
        <v>0</v>
      </c>
      <c r="BQ156" s="230">
        <f t="shared" si="98"/>
        <v>1592764.3913126527</v>
      </c>
      <c r="BR156" s="197">
        <f t="shared" si="82"/>
        <v>27681.056122927257</v>
      </c>
      <c r="BS156" s="197">
        <f>IFERROR(($G156*IF('Inputs Yr 2'!$AJ156=BM$4,'Inputs Yr 2'!$AK156,IF('Inputs Yr 2'!$AL156=BM$4,'Inputs Yr 2'!$AM156,IF('Inputs Yr 2'!$AN156=BM$4,'Inputs Yr 2'!$AO156,0))))*(INDEX(avoidedcosttbl2,$H156,BS$2)+(($H156-ROUNDDOWN($H156,0))*(INDEX(avoidedcosttbl2,ROUNDUP($H156,0),BS$2)-(INDEX(avoidedcosttbl2,ROUNDDOWN($H156,0),BS$2)))))*'Inputs Yr 2'!P156*'Inputs Yr 2'!Q156*'Inputs Yr 2'!U156,"")</f>
        <v>0</v>
      </c>
      <c r="BT156" s="197">
        <f>IFERROR(($G156*IF('Inputs Yr 2'!$AJ156=BK$4,'Inputs Yr 2'!$AK156,IF('Inputs Yr 2'!$AL156=BK$4,'Inputs Yr 2'!$AM156,IF('Inputs Yr 2'!$AN156=BK$4,'Inputs Yr 2'!$AO156,0))))*(INDEX(avoidedcosttbl2,$H156,BT$2)+(($H156-ROUNDDOWN($H156,0))*(INDEX(avoidedcosttbl2,ROUNDUP($H156,0),BT$2)-(INDEX(avoidedcosttbl2,ROUNDDOWN($H156,0),BT$2)))))*'Inputs Yr 2'!P156*'Inputs Yr 2'!Q156*'Inputs Yr 2'!U156,"")</f>
        <v>0</v>
      </c>
      <c r="BU156" s="197">
        <f>IFERROR(($G156*IF('Inputs Yr 2'!$AJ156=BL$4,'Inputs Yr 2'!$AK156,IF('Inputs Yr 2'!$AL156=BL$4,'Inputs Yr 2'!$AM156,IF('Inputs Yr 2'!$AN156=BL$4,'Inputs Yr 2'!$AO156,0))))*(INDEX(avoidedcosttbl2,$H156,BU$2)+(($H156-ROUNDDOWN($H156,0))*(INDEX(avoidedcosttbl2,ROUNDUP($H156,0),BU$2)-(INDEX(avoidedcosttbl2,ROUNDDOWN($H156,0),BU$2)))))*'Inputs Yr 2'!P156*'Inputs Yr 2'!Q156*'Inputs Yr 2'!U156,"")</f>
        <v>0</v>
      </c>
      <c r="BV156" s="775">
        <f>IFERROR(($G156*IF('Inputs Yr 2'!$AJ156=BJ$4,'Inputs Yr 2'!$AK156,IF('Inputs Yr 2'!$AL156=BJ$4,'Inputs Yr 2'!$AM156,IF('Inputs Yr 2'!$AN156=BJ$4,'Inputs Yr 2'!$AO156,0))))*(INDEX(avoidedcosttbl2,$H156,BV$2)+(($H156-ROUNDDOWN($H156,0))*(INDEX(avoidedcosttbl2,ROUNDUP($H156,0),BV$2)-(INDEX(avoidedcosttbl2,ROUNDDOWN($H156,0),BV$2)))))*'Inputs Yr 2'!P156*'Inputs Yr 2'!Q156*'Inputs Yr 2'!U156,"")</f>
        <v>0</v>
      </c>
      <c r="BW156" s="197">
        <f>IFERROR(($G156*IF('Inputs Yr 2'!$AJ156=BN$4,'Inputs Yr 2'!$AK156,IF('Inputs Yr 2'!$AL156=BN$4,'Inputs Yr 2'!$AM156,IF('Inputs Yr 2'!$AN156=BN$4,'Inputs Yr 2'!$AO156,0))))*(INDEX(avoidedcosttbl2,$H156,BW$2)+(($H156-ROUNDDOWN($H156,0))*(INDEX(avoidedcosttbl2,ROUNDUP($H156,0),BW$2)-(INDEX(avoidedcosttbl2,ROUNDDOWN($H156,0),BW$2)))))*'Inputs Yr 2'!P156*'Inputs Yr 2'!Q156*'Inputs Yr 2'!U156,"")</f>
        <v>0</v>
      </c>
      <c r="BX156" s="197">
        <f>IFERROR(($G156*IF('Inputs Yr 2'!$AJ156=BO$4,'Inputs Yr 2'!$AK156,IF('Inputs Yr 2'!$AL156=BO$4,'Inputs Yr 2'!$AM156,IF('Inputs Yr 2'!$AN156=BO$4,'Inputs Yr 2'!$AO156,0))))*(INDEX(avoidedcosttbl2,$H156,BX$2)+(($H156-ROUNDDOWN($H156,0))*(INDEX(avoidedcosttbl2,ROUNDUP($H156,0),BX$2)-(INDEX(avoidedcosttbl2,ROUNDDOWN($H156,0),BX$2)))))*'Inputs Yr 2'!P156*'Inputs Yr 2'!Q156*'Inputs Yr 2'!U156,"")</f>
        <v>112252.82023973005</v>
      </c>
      <c r="BY156" s="197">
        <f>IFERROR(($G156*IF('Inputs Yr 2'!$AJ156=BP$4,'Inputs Yr 2'!$AK156,IF('Inputs Yr 2'!$AL156=BP$4,'Inputs Yr 2'!$AM156,IF('Inputs Yr 2'!$AN156=BP$4,'Inputs Yr 2'!$AO156,0))))*(INDEX(avoidedcosttbl2,$H156,BY$2)+(($H156-ROUNDDOWN($H156,0))*(INDEX(avoidedcosttbl2,ROUNDUP($H156,0),BY$2)-(INDEX(avoidedcosttbl2,ROUNDDOWN($H156,0),BY$2)))))*'Inputs Yr 2'!P156*'Inputs Yr 2'!Q156*'Inputs Yr 2'!U156,"")</f>
        <v>0</v>
      </c>
      <c r="BZ156" s="193">
        <f t="shared" si="99"/>
        <v>139933.87636265729</v>
      </c>
      <c r="CA156" s="193">
        <f t="shared" si="100"/>
        <v>1732698.2676753099</v>
      </c>
      <c r="CB156" s="195">
        <f>IFERROR(G156*(IF('Inputs Yr 2'!$AJ156=CB$4,'Inputs Yr 2'!$AK156,IF('Inputs Yr 2'!$AL156=CB$4,'Inputs Yr 2'!$AM156,IF('Inputs Yr 2'!$AN156=CB$4,'Inputs Yr 2'!$AO156,0))))*(INDEX(avoidedcosttbl2,$H156,CB$2)+(($H156-ROUNDDOWN($H156,0))*(INDEX(avoidedcosttbl2,ROUNDUP($H156,0),CB$2)-(INDEX(avoidedcosttbl2,ROUNDDOWN($H156,0),CB$2)))))*'Inputs Yr 2'!P156*'Inputs Yr 2'!Q156*'Inputs Yr 2'!U156,"")</f>
        <v>0</v>
      </c>
      <c r="CC156" s="195">
        <f>IFERROR(H156*(IF('Inputs Yr 2'!$AJ156=CC$4,'Inputs Yr 2'!$AK156,IF('Inputs Yr 2'!$AL156=CC$4,'Inputs Yr 2'!$AM156,IF('Inputs Yr 2'!$AN156=CC$4,'Inputs Yr 2'!$AO156,0))))*(INDEX(avoidedcosttbl2,$H156,CC$2)+(($H156-ROUNDDOWN($H156,0))*(INDEX(avoidedcosttbl2,ROUNDUP($H156,0),CC$2)-(INDEX(avoidedcosttbl2,ROUNDDOWN($H156,0),CC$2)))))*'Inputs Yr 2'!Q156*'Inputs Yr 2'!R156*'Inputs Yr 2'!V156,"")</f>
        <v>0</v>
      </c>
      <c r="CD156" s="195">
        <f>IFERROR(I156*(IF('Inputs Yr 2'!$AJ156=CD$4,'Inputs Yr 2'!$AK156,IF('Inputs Yr 2'!$AL156=CD$4,'Inputs Yr 2'!$AM156,IF('Inputs Yr 2'!$AN156=CD$4,'Inputs Yr 2'!$AO156,0))))*(INDEX(avoidedcosttbl2,$H156,CD$2)+(($H156-ROUNDDOWN($H156,0))*(INDEX(avoidedcosttbl2,ROUNDUP($H156,0),CD$2)-(INDEX(avoidedcosttbl2,ROUNDDOWN($H156,0),CD$2)))))*'Inputs Yr 2'!R156*'Inputs Yr 2'!S156*'Inputs Yr 2'!W156,"")</f>
        <v>0</v>
      </c>
      <c r="CE156" s="213">
        <f t="shared" si="101"/>
        <v>0</v>
      </c>
      <c r="CF156" s="213">
        <f t="shared" si="102"/>
        <v>0</v>
      </c>
      <c r="CG156" s="213">
        <f t="shared" si="103"/>
        <v>0</v>
      </c>
      <c r="CH156" s="698">
        <f t="shared" si="104"/>
        <v>1732698.2676753099</v>
      </c>
      <c r="CI156" s="79">
        <f>IFERROR(($G156*'Inputs Yr 2'!$P156*'Inputs Yr 2'!$Q156*(((INDEX(avoidedcosttbl2,$H156,CI$2)+(($H156-ROUNDDOWN($H156,0))*(INDEX(avoidedcosttbl2,ROUNDUP($H156,0),CI$2)-INDEX(avoidedcosttbl2,ROUNDDOWN($H156,0),CI$2))))*'Inputs Yr 2'!AS156))),"")</f>
        <v>0</v>
      </c>
      <c r="CJ156" s="504">
        <f>IFERROR($G156*'Inputs Yr 2'!AT156*'Inputs Yr 2'!$P156*'Inputs Yr 2'!$Q156/((1+realdiscrt1)^-0.5),"")</f>
        <v>0</v>
      </c>
      <c r="CK156" s="79">
        <f>IFERROR((O156*1000*(((INDEX(avoidedcosttbl2,$H156,CK$2)+(($H156-ROUNDDOWN($H156,0))*(INDEX(avoidedcosttbl2,ROUNDUP($H156,0),CK$2)-INDEX(avoidedcosttbl2,ROUNDDOWN($H156,0),CK$2))))*'Inputs Yr 2'!AU156))),"")</f>
        <v>0</v>
      </c>
      <c r="CL156" s="504">
        <f>IFERROR(O156*1000*'Inputs Yr 2'!AV156/((1+realdiscrt1)^-0.5),"")</f>
        <v>0</v>
      </c>
      <c r="CM156" s="79">
        <f>IFERROR((AB156*'Inputs Yr 2'!AW156*(((INDEX(avoidedcosttbl2,$H156,CM$2)+(($H156-ROUNDDOWN($H156,0))*(INDEX(avoidedcosttbl2,ROUNDUP($H156,0),CM$2)-INDEX(avoidedcosttbl2,ROUNDDOWN($H156,0),CM$2)))))))*10,"")</f>
        <v>0</v>
      </c>
      <c r="CN156" s="504">
        <f>IFERROR(10*AB156*'Inputs Yr 2'!AX156/((1+realdiscrt1)^-0.5),"")</f>
        <v>0</v>
      </c>
      <c r="CO156" s="505">
        <f t="shared" si="105"/>
        <v>0</v>
      </c>
      <c r="CP156" s="230">
        <f t="shared" si="106"/>
        <v>1732698.2676753099</v>
      </c>
      <c r="CQ156" s="199">
        <f>ROUND(IFERROR(IF(LEFT($A156,1)="C",'Avoided Costs'!$K$13,'Avoided Costs'!$K$12)+1,""),4)</f>
        <v>1.0720000000000001</v>
      </c>
      <c r="CR156" s="199">
        <f>ROUND(IFERROR(IF(LEFT($A156,1)="C",'Avoided Costs'!$L$13,'Avoided Costs'!$L$12)+1,""),4)</f>
        <v>1.04</v>
      </c>
      <c r="CS156" s="199">
        <f>ROUND(IFERROR(IF(LEFT($A156,1)="C",'Avoided Costs'!$M$13,'Avoided Costs'!$M$12)+1,""),4)</f>
        <v>1.0720000000000001</v>
      </c>
      <c r="CT156" s="199">
        <f>ROUND(IFERROR(IF(LEFT($A156,1)="C",'Avoided Costs'!$N$13,'Avoided Costs'!$N$12)+1,""),4)</f>
        <v>1.04</v>
      </c>
      <c r="CU156" s="199">
        <f>ROUND(IFERROR(IF(LEFT($A156,1)="C",'Avoided Costs'!$O$13,'Avoided Costs'!$O$12)+1,""),4)</f>
        <v>1.1120000000000001</v>
      </c>
      <c r="CV156" s="199">
        <f>ROUND(IFERROR(IF(LEFT($A156,1)="C",'Avoided Costs'!$P$13,'Avoided Costs'!$P$12)+1,""),4)</f>
        <v>1.095</v>
      </c>
      <c r="CW156" s="199">
        <f>ROUND(IFERROR(IF(LEFT($A156,1)="C",'Avoided Costs'!$Q$13,'Avoided Costs'!$Q$12)+1,""),4)</f>
        <v>1.1120000000000001</v>
      </c>
      <c r="CX156" s="200">
        <f>ROUND(IFERROR(IF(LEFT($A156,1)="C",'Avoided Costs'!$R$13,'Avoided Costs'!$R$12)+1,""),4)</f>
        <v>1.1120000000000001</v>
      </c>
    </row>
    <row r="157" spans="1:102" ht="12.75" customHeight="1">
      <c r="A157" s="91" t="str">
        <f>IF('Inputs Yr 2'!$B157=0,"",'Inputs Yr 2'!A157)</f>
        <v>C - Commercial &amp; Industrial</v>
      </c>
      <c r="B157" s="91" t="str">
        <f>IF('Inputs Yr 2'!$B157=0,"",'Inputs Yr 2'!B157)</f>
        <v>C1 - C&amp;I New Construction</v>
      </c>
      <c r="C157" s="91" t="str">
        <f>IF('Inputs Yr 2'!$B157=0,"",'Inputs Yr 2'!C157)</f>
        <v>C1a - C&amp;I New Buildings &amp; Major Renovations</v>
      </c>
      <c r="D157" s="91" t="str">
        <f>IF('Inputs Yr 2'!$B157=0,"",'Inputs Yr 2'!E157)</f>
        <v>Heat Recovery - Custom  20</v>
      </c>
      <c r="E157" s="93" t="str">
        <f>IF('Inputs Yr 2'!$B157=0,"",'Inputs Yr 2'!F157)</f>
        <v>G16C1a05</v>
      </c>
      <c r="F157" s="93" t="str">
        <f>IF('Inputs Yr 2'!$B157=0,"",'Inputs Yr 2'!G157)</f>
        <v>HVAC</v>
      </c>
      <c r="G157" s="95">
        <f>IF('Inputs Yr 2'!$H157&lt;&gt;0,('Inputs Yr 2'!H157),"")</f>
        <v>1</v>
      </c>
      <c r="H157" s="94">
        <f>IFERROR('Inputs Yr 2'!I157,"")</f>
        <v>20</v>
      </c>
      <c r="I157" s="298">
        <f>IFERROR('Inputs Yr 2'!J157*'Inputs Yr 2'!P157*G157,"")</f>
        <v>127948.08133333335</v>
      </c>
      <c r="J157" s="298">
        <f>IFERROR('Inputs Yr 2'!K157*G157,"")</f>
        <v>104419</v>
      </c>
      <c r="K157" s="298">
        <f t="shared" si="83"/>
        <v>23529.08133333335</v>
      </c>
      <c r="L157" s="194">
        <f>IFERROR(('Inputs Yr 2'!W157*G157)/1000,"")</f>
        <v>0</v>
      </c>
      <c r="M157" s="194">
        <f>IFERROR(L157*('Inputs Yr 2'!$Q157*'Inputs Yr 2'!$V157*'Inputs Yr 2'!$R157),"")</f>
        <v>0</v>
      </c>
      <c r="N157" s="194">
        <f t="shared" si="84"/>
        <v>0</v>
      </c>
      <c r="O157" s="194">
        <f>IFERROR(M157*'Inputs Yr 2'!P157,"")</f>
        <v>0</v>
      </c>
      <c r="P157" s="194">
        <f t="shared" si="85"/>
        <v>0</v>
      </c>
      <c r="Q157" s="194">
        <f>IFERROR($P157*'Inputs Yr 2'!AA157,"")</f>
        <v>0</v>
      </c>
      <c r="R157" s="194">
        <f>IFERROR($P157*'Inputs Yr 2'!AB157,"")</f>
        <v>0</v>
      </c>
      <c r="S157" s="194">
        <f>IFERROR($P157*'Inputs Yr 2'!AC157,"")</f>
        <v>0</v>
      </c>
      <c r="T157" s="194">
        <f>IFERROR($P157*'Inputs Yr 2'!AD157,"")</f>
        <v>0</v>
      </c>
      <c r="U157" s="194">
        <f>IFERROR(G157*'Inputs Yr 2'!$AE157*'Inputs Yr 2'!$P157*'Inputs Yr 2'!$Q157,"")</f>
        <v>0</v>
      </c>
      <c r="V157" s="194">
        <f>IFERROR($G157*'Inputs Yr 2'!$AE157*'Inputs Yr 2'!$AG157*'Inputs Yr 2'!Q157*'Inputs Yr 2'!$S157,"")</f>
        <v>0</v>
      </c>
      <c r="W157" s="194">
        <f>IFERROR($G157*'Inputs Yr 2'!$AE157*'Inputs Yr 2'!$AG157*'Inputs Yr 2'!P157*'Inputs Yr 2'!Q157*'Inputs Yr 2'!$S157,"")</f>
        <v>0</v>
      </c>
      <c r="X157" s="194">
        <f>IFERROR($G157*'Inputs Yr 2'!$AE157*'Inputs Yr 2'!$AF157*'Inputs Yr 2'!Q157*'Inputs Yr 2'!$T157,"")</f>
        <v>0</v>
      </c>
      <c r="Y157" s="194">
        <f>IFERROR($G157*'Inputs Yr 2'!$AE157*'Inputs Yr 2'!$AF157*'Inputs Yr 2'!P157*'Inputs Yr 2'!Q157*'Inputs Yr 2'!$T157,"")</f>
        <v>0</v>
      </c>
      <c r="Z157" s="257">
        <f>IFERROR($G157*'Inputs Yr 2'!$Q157*'Inputs Yr 2'!$U157*(IF(IFERROR(SEARCH("NG", 'Inputs Yr 2'!$AJ157),0),'Inputs Yr 2'!$AK157,0)+IF(IFERROR(SEARCH("NG", 'Inputs Yr 2'!$AL157),0),'Inputs Yr 2'!$AM157,0)+IF(IFERROR(SEARCH("NG", 'Inputs Yr 2'!$AN157),0),'Inputs Yr 2'!$AO157,0)),0)</f>
        <v>1950.2265</v>
      </c>
      <c r="AA157" s="257">
        <f t="shared" si="86"/>
        <v>39004.53</v>
      </c>
      <c r="AB157" s="257">
        <f>IFERROR(Z157*'Inputs Yr 2'!$P157,0)</f>
        <v>1792.2581535000002</v>
      </c>
      <c r="AC157" s="257">
        <f t="shared" si="87"/>
        <v>35845.163070000002</v>
      </c>
      <c r="AD157" s="257">
        <f>IFERROR($G157*'Inputs Yr 2'!$Q157*'Inputs Yr 2'!$U157*(IF(IFERROR(SEARCH("Oil", 'Inputs Yr 2'!$AJ157), 0),'Inputs Yr 2'!$AK157,0)+IF(IFERROR(SEARCH("Oil", 'Inputs Yr 2'!$AL157), 0),'Inputs Yr 2'!$AM157,0)+IF(IFERROR(SEARCH("Oil", 'Inputs Yr 2'!$AN157), 0),'Inputs Yr 2'!$AO157,0)),0)</f>
        <v>0</v>
      </c>
      <c r="AE157" s="257">
        <f t="shared" si="88"/>
        <v>0</v>
      </c>
      <c r="AF157" s="257">
        <f>IFERROR(AD157*'Inputs Yr 2'!$P157,0)</f>
        <v>0</v>
      </c>
      <c r="AG157" s="257">
        <f t="shared" si="89"/>
        <v>0</v>
      </c>
      <c r="AH157" s="257">
        <f>IFERROR($G157*'Inputs Yr 2'!$Q157*'Inputs Yr 2'!$U157*(IF('Inputs Yr 2'!$AJ157=CD$4,'Inputs Yr 2'!$AK157,IF('Inputs Yr 2'!$AL157=CD$4,'Inputs Yr 2'!$AM157,IF('Inputs Yr 2'!$AN157=CD$4,'Inputs Yr 2'!$AO157,0)))),0)</f>
        <v>0</v>
      </c>
      <c r="AI157" s="257">
        <f t="shared" si="90"/>
        <v>0</v>
      </c>
      <c r="AJ157" s="257">
        <f>IFERROR(AH157*'Inputs Yr 2'!$P157,0)</f>
        <v>0</v>
      </c>
      <c r="AK157" s="257">
        <f t="shared" si="91"/>
        <v>0</v>
      </c>
      <c r="AL157" s="258">
        <f>IFERROR($G157*'Inputs Yr 2'!$P157*'Inputs Yr 2'!$Q157*'Inputs Yr 2'!AP157,0)</f>
        <v>0</v>
      </c>
      <c r="AM157" s="260">
        <f>IFERROR($G157*'Inputs Yr 2'!$P157*'Inputs Yr 2'!$Q157*'Inputs Yr 2'!AQ157,0)</f>
        <v>0</v>
      </c>
      <c r="AN157" s="258">
        <f>IFERROR($G157*'Inputs Yr 2'!$P157*'Inputs Yr 2'!$Q157*'Inputs Yr 2'!AR157,0)</f>
        <v>0</v>
      </c>
      <c r="AO157" s="257">
        <f t="shared" si="92"/>
        <v>0</v>
      </c>
      <c r="AP157" s="195">
        <f>IFERROR($CQ157*(INDEX(avoidedcosttbl2,$H157,AP$2)+(($H157-ROUNDDOWN($H157,0))*(INDEX(avoidedcosttbl2,ROUNDUP($H157,0),AP$2)-(INDEX(avoidedcosttbl2,ROUNDDOWN($H157,0),AP$2)))))*$O157*1000*'Inputs Yr 2'!AA157,"")</f>
        <v>0</v>
      </c>
      <c r="AQ157" s="195">
        <f>IFERROR($CR157*(INDEX(avoidedcosttbl2,$H157,AQ$2)+(($H157-ROUNDDOWN($H157,0))*(INDEX(avoidedcosttbl2,ROUNDUP($H157,0),AQ$2)-(INDEX(avoidedcosttbl2,ROUNDDOWN($H157,0),AQ$2)))))*$O157*1000*'Inputs Yr 2'!AB157,"")</f>
        <v>0</v>
      </c>
      <c r="AR157" s="195">
        <f>IFERROR($CS157*(INDEX(avoidedcosttbl2,$H157,AR$2)+(($H157-ROUNDDOWN($H157,0))*(INDEX(avoidedcosttbl2,ROUNDUP($H157,0),AR$2)-(INDEX(avoidedcosttbl2,ROUNDDOWN($H157,0),AR$2)))))*$O157*1000*'Inputs Yr 2'!AC157,"")</f>
        <v>0</v>
      </c>
      <c r="AS157" s="195">
        <f>IFERROR($CT157*(INDEX(avoidedcosttbl2,$H157,AS$2)+(($H157-ROUNDDOWN($H157,0))*(INDEX(avoidedcosttbl2,ROUNDUP($H157,0),AS$2)-(INDEX(avoidedcosttbl2,ROUNDDOWN($H157,0),AS$2)))))*$O157*1000*'Inputs Yr 2'!AD157,"")</f>
        <v>0</v>
      </c>
      <c r="AT157" s="196">
        <f t="shared" si="93"/>
        <v>0</v>
      </c>
      <c r="AU157" s="197">
        <f>IFERROR($CQ157*((INDEX(avoidedcosttbl2,$H157,AU$2))+(($H157-ROUNDDOWN($H157,0))*((INDEX(avoidedcosttbl2,ROUNDUP($H157,0),AU$2))-(INDEX(avoidedcosttbl2,ROUNDDOWN($H157,0),AU$2)))))*$O157*1000*'Inputs Yr 2'!AA157,"")</f>
        <v>0</v>
      </c>
      <c r="AV157" s="197">
        <f>IFERROR($CR157*((INDEX(avoidedcosttbl2,$H157,AV$2))+(($H157-ROUNDDOWN($H157,0))*((INDEX(avoidedcosttbl2,ROUNDUP($H157,0),AV$2))-(INDEX(avoidedcosttbl2,ROUNDDOWN($H157,0),AV$2)))))*$O157*1000*'Inputs Yr 2'!AB157,"")</f>
        <v>0</v>
      </c>
      <c r="AW157" s="197">
        <f>IFERROR($CS157*((INDEX(avoidedcosttbl2,$H157,AW$2))+(($H157-ROUNDDOWN($H157,0))*((INDEX(avoidedcosttbl2,ROUNDUP($H157,0),AW$2))-(INDEX(avoidedcosttbl2,ROUNDDOWN($H157,0),AW$2)))))*$O157*1000*'Inputs Yr 2'!AC157,"")</f>
        <v>0</v>
      </c>
      <c r="AX157" s="197">
        <f>IFERROR($CT157*((INDEX(avoidedcosttbl2,$H157,AX$2))+(($H157-ROUNDDOWN($H157,0))*((INDEX(avoidedcosttbl2,ROUNDUP($H157,0),AX$2))-(INDEX(avoidedcosttbl2,ROUNDDOWN($H157,0),AX$2)))))*$O157*1000*'Inputs Yr 2'!AD157,"")</f>
        <v>0</v>
      </c>
      <c r="AY157" s="197">
        <f>IFERROR(((INDEX(avoidedcosttbl2,$H157,AY$2))+(($H157-ROUNDDOWN($H157,0))*((INDEX(avoidedcosttbl2,ROUNDUP($H157,0),AY$2))-(INDEX(avoidedcosttbl2,ROUNDDOWN($H157,0),AY$2)))))*$O157*1000*('Inputs Yr 2'!AC157+'Inputs Yr 2'!AD157),"")</f>
        <v>0</v>
      </c>
      <c r="AZ157" s="197">
        <f>IFERROR(((INDEX(avoidedcosttbl2,$H157,AZ$2))+(($H157-ROUNDDOWN($H157,0))*((INDEX(avoidedcosttbl2,ROUNDUP($H157,0),AZ$2))-(INDEX(avoidedcosttbl2,ROUNDDOWN($H157,0),AZ$2)))))*$O157*1000*('Inputs Yr 2'!AA157+'Inputs Yr 2'!AB157),"")</f>
        <v>0</v>
      </c>
      <c r="BA157" s="198">
        <f t="shared" si="94"/>
        <v>0</v>
      </c>
      <c r="BB157" s="198">
        <f t="shared" si="95"/>
        <v>0</v>
      </c>
      <c r="BC157" s="195">
        <f t="shared" si="77"/>
        <v>0</v>
      </c>
      <c r="BD157" s="195">
        <f t="shared" si="78"/>
        <v>0</v>
      </c>
      <c r="BE157" s="195">
        <f t="shared" si="79"/>
        <v>0</v>
      </c>
      <c r="BF157" s="195">
        <f t="shared" si="80"/>
        <v>0</v>
      </c>
      <c r="BG157" s="195">
        <f t="shared" si="81"/>
        <v>0</v>
      </c>
      <c r="BH157" s="196">
        <f t="shared" si="96"/>
        <v>0</v>
      </c>
      <c r="BI157" s="196">
        <f t="shared" si="97"/>
        <v>0</v>
      </c>
      <c r="BJ157" s="195">
        <f>IFERROR($G157*(IF('Inputs Yr 2'!$AJ157=BJ$4,'Inputs Yr 2'!$AK157,IF('Inputs Yr 2'!$AL157=BJ$4,'Inputs Yr 2'!$AM157,IF('Inputs Yr 2'!$AN157=BJ$4,'Inputs Yr 2'!$AO157,0))))*(INDEX(avoidedcosttbl2,$H157,BJ$2)+(($H157-ROUNDDOWN($H157,0))*(INDEX(avoidedcosttbl2,ROUNDUP($H157,0),BJ$2)-(INDEX(avoidedcosttbl2,ROUNDDOWN($H157,0),BJ$2)))))*'Inputs Yr 2'!P157*'Inputs Yr 2'!Q157*'Inputs Yr 2'!U157,"")</f>
        <v>0</v>
      </c>
      <c r="BK157" s="195">
        <f>IFERROR($G157*(IF('Inputs Yr 2'!$AJ157=BK$4,'Inputs Yr 2'!$AK157,IF('Inputs Yr 2'!$AL157=BK$4,'Inputs Yr 2'!$AM157,IF('Inputs Yr 2'!$AN157=BK$4,'Inputs Yr 2'!$AO157,0))))*(INDEX(avoidedcosttbl2,$H157,BK$2)+(($H157-ROUNDDOWN($H157,0))*(INDEX(avoidedcosttbl2,ROUNDUP($H157,0),BK$2)-(INDEX(avoidedcosttbl2,ROUNDDOWN($H157,0),BK$2)))))*'Inputs Yr 2'!P157*'Inputs Yr 2'!Q157*'Inputs Yr 2'!U157,"")</f>
        <v>0</v>
      </c>
      <c r="BL157" s="195">
        <f>IFERROR($G157*(IF('Inputs Yr 2'!$AJ157=BL$4,'Inputs Yr 2'!$AK157,IF('Inputs Yr 2'!$AL157=BL$4,'Inputs Yr 2'!$AM157,IF('Inputs Yr 2'!$AN157=BL$4,'Inputs Yr 2'!$AO157,0))))*(INDEX(avoidedcosttbl2,$H157,BL$2)+(($H157-ROUNDDOWN($H157,0))*(INDEX(avoidedcosttbl2,ROUNDUP($H157,0),BL$2)-(INDEX(avoidedcosttbl2,ROUNDDOWN($H157,0),BL$2)))))*'Inputs Yr 2'!P157*'Inputs Yr 2'!Q157*'Inputs Yr 2'!U157,"")</f>
        <v>0</v>
      </c>
      <c r="BM157" s="195">
        <f>IFERROR($G157*(IF('Inputs Yr 2'!$AJ157=BM$4,'Inputs Yr 2'!$AK157,IF('Inputs Yr 2'!$AL157=BM$4,'Inputs Yr 2'!$AM157,IF('Inputs Yr 2'!$AN157=BM$4,'Inputs Yr 2'!$AO157,0))))*(INDEX(avoidedcosttbl2,$H157,BM$2)+(($H157-ROUNDDOWN($H157,0))*(INDEX(avoidedcosttbl2,ROUNDUP($H157,0),BM$2)-(INDEX(avoidedcosttbl2,ROUNDDOWN($H157,0),BM$2)))))*'Inputs Yr 2'!P157*'Inputs Yr 2'!Q157*'Inputs Yr 2'!U157,"")</f>
        <v>0</v>
      </c>
      <c r="BN157" s="195">
        <f>IFERROR($G157*(IF('Inputs Yr 2'!$AJ157=BN$4,'Inputs Yr 2'!$AK157,IF('Inputs Yr 2'!$AL157=BN$4,'Inputs Yr 2'!$AM157,IF('Inputs Yr 2'!$AN157=BN$4,'Inputs Yr 2'!$AO157,0))))*(INDEX(avoidedcosttbl2,$H157,BN$2)+(($H157-ROUNDDOWN($H157,0))*(INDEX(avoidedcosttbl2,ROUNDUP($H157,0),BN$2)-(INDEX(avoidedcosttbl2,ROUNDDOWN($H157,0),BN$2)))))*'Inputs Yr 2'!P157*'Inputs Yr 2'!Q157*'Inputs Yr 2'!U157,"")</f>
        <v>0</v>
      </c>
      <c r="BO157" s="195">
        <f>IFERROR($G157*(IF('Inputs Yr 2'!$AJ157=BO$4,'Inputs Yr 2'!$AK157,IF('Inputs Yr 2'!$AL157=BO$4,'Inputs Yr 2'!$AM157,IF('Inputs Yr 2'!$AN157=BO$4,'Inputs Yr 2'!$AO157,0))))*(INDEX(avoidedcosttbl2,$H157,BO$2)+(($H157-ROUNDDOWN($H157,0))*(INDEX(avoidedcosttbl2,ROUNDUP($H157,0),BO$2)-(INDEX(avoidedcosttbl2,ROUNDDOWN($H157,0),BO$2)))))*'Inputs Yr 2'!P157*'Inputs Yr 2'!Q157*'Inputs Yr 2'!U157,"")</f>
        <v>288260.01820005244</v>
      </c>
      <c r="BP157" s="195">
        <f>IFERROR($G157*(IF('Inputs Yr 2'!$AJ157=BP$4,'Inputs Yr 2'!$AK157,IF('Inputs Yr 2'!$AL157=BP$4,'Inputs Yr 2'!$AM157,IF('Inputs Yr 2'!$AN157=BP$4,'Inputs Yr 2'!$AO157,0))))*(INDEX(avoidedcosttbl2,$H157,BP$2)+(($H157-ROUNDDOWN($H157,0))*(INDEX(avoidedcosttbl2,ROUNDUP($H157,0),BP$2)-(INDEX(avoidedcosttbl2,ROUNDDOWN($H157,0),BP$2)))))*'Inputs Yr 2'!P157*'Inputs Yr 2'!Q157*'Inputs Yr 2'!U157,"")</f>
        <v>0</v>
      </c>
      <c r="BQ157" s="230">
        <f t="shared" si="98"/>
        <v>288260.01820005244</v>
      </c>
      <c r="BR157" s="197">
        <f t="shared" si="82"/>
        <v>4806.1621414467099</v>
      </c>
      <c r="BS157" s="197">
        <f>IFERROR(($G157*IF('Inputs Yr 2'!$AJ157=BM$4,'Inputs Yr 2'!$AK157,IF('Inputs Yr 2'!$AL157=BM$4,'Inputs Yr 2'!$AM157,IF('Inputs Yr 2'!$AN157=BM$4,'Inputs Yr 2'!$AO157,0))))*(INDEX(avoidedcosttbl2,$H157,BS$2)+(($H157-ROUNDDOWN($H157,0))*(INDEX(avoidedcosttbl2,ROUNDUP($H157,0),BS$2)-(INDEX(avoidedcosttbl2,ROUNDDOWN($H157,0),BS$2)))))*'Inputs Yr 2'!P157*'Inputs Yr 2'!Q157*'Inputs Yr 2'!U157,"")</f>
        <v>0</v>
      </c>
      <c r="BT157" s="197">
        <f>IFERROR(($G157*IF('Inputs Yr 2'!$AJ157=BK$4,'Inputs Yr 2'!$AK157,IF('Inputs Yr 2'!$AL157=BK$4,'Inputs Yr 2'!$AM157,IF('Inputs Yr 2'!$AN157=BK$4,'Inputs Yr 2'!$AO157,0))))*(INDEX(avoidedcosttbl2,$H157,BT$2)+(($H157-ROUNDDOWN($H157,0))*(INDEX(avoidedcosttbl2,ROUNDUP($H157,0),BT$2)-(INDEX(avoidedcosttbl2,ROUNDDOWN($H157,0),BT$2)))))*'Inputs Yr 2'!P157*'Inputs Yr 2'!Q157*'Inputs Yr 2'!U157,"")</f>
        <v>0</v>
      </c>
      <c r="BU157" s="197">
        <f>IFERROR(($G157*IF('Inputs Yr 2'!$AJ157=BL$4,'Inputs Yr 2'!$AK157,IF('Inputs Yr 2'!$AL157=BL$4,'Inputs Yr 2'!$AM157,IF('Inputs Yr 2'!$AN157=BL$4,'Inputs Yr 2'!$AO157,0))))*(INDEX(avoidedcosttbl2,$H157,BU$2)+(($H157-ROUNDDOWN($H157,0))*(INDEX(avoidedcosttbl2,ROUNDUP($H157,0),BU$2)-(INDEX(avoidedcosttbl2,ROUNDDOWN($H157,0),BU$2)))))*'Inputs Yr 2'!P157*'Inputs Yr 2'!Q157*'Inputs Yr 2'!U157,"")</f>
        <v>0</v>
      </c>
      <c r="BV157" s="775">
        <f>IFERROR(($G157*IF('Inputs Yr 2'!$AJ157=BJ$4,'Inputs Yr 2'!$AK157,IF('Inputs Yr 2'!$AL157=BJ$4,'Inputs Yr 2'!$AM157,IF('Inputs Yr 2'!$AN157=BJ$4,'Inputs Yr 2'!$AO157,0))))*(INDEX(avoidedcosttbl2,$H157,BV$2)+(($H157-ROUNDDOWN($H157,0))*(INDEX(avoidedcosttbl2,ROUNDUP($H157,0),BV$2)-(INDEX(avoidedcosttbl2,ROUNDDOWN($H157,0),BV$2)))))*'Inputs Yr 2'!P157*'Inputs Yr 2'!Q157*'Inputs Yr 2'!U157,"")</f>
        <v>0</v>
      </c>
      <c r="BW157" s="197">
        <f>IFERROR(($G157*IF('Inputs Yr 2'!$AJ157=BN$4,'Inputs Yr 2'!$AK157,IF('Inputs Yr 2'!$AL157=BN$4,'Inputs Yr 2'!$AM157,IF('Inputs Yr 2'!$AN157=BN$4,'Inputs Yr 2'!$AO157,0))))*(INDEX(avoidedcosttbl2,$H157,BW$2)+(($H157-ROUNDDOWN($H157,0))*(INDEX(avoidedcosttbl2,ROUNDUP($H157,0),BW$2)-(INDEX(avoidedcosttbl2,ROUNDDOWN($H157,0),BW$2)))))*'Inputs Yr 2'!P157*'Inputs Yr 2'!Q157*'Inputs Yr 2'!U157,"")</f>
        <v>0</v>
      </c>
      <c r="BX157" s="197">
        <f>IFERROR(($G157*IF('Inputs Yr 2'!$AJ157=BO$4,'Inputs Yr 2'!$AK157,IF('Inputs Yr 2'!$AL157=BO$4,'Inputs Yr 2'!$AM157,IF('Inputs Yr 2'!$AN157=BO$4,'Inputs Yr 2'!$AO157,0))))*(INDEX(avoidedcosttbl2,$H157,BX$2)+(($H157-ROUNDDOWN($H157,0))*(INDEX(avoidedcosttbl2,ROUNDUP($H157,0),BX$2)-(INDEX(avoidedcosttbl2,ROUNDDOWN($H157,0),BX$2)))))*'Inputs Yr 2'!P157*'Inputs Yr 2'!Q157*'Inputs Yr 2'!U157,"")</f>
        <v>15744.432235860615</v>
      </c>
      <c r="BY157" s="197">
        <f>IFERROR(($G157*IF('Inputs Yr 2'!$AJ157=BP$4,'Inputs Yr 2'!$AK157,IF('Inputs Yr 2'!$AL157=BP$4,'Inputs Yr 2'!$AM157,IF('Inputs Yr 2'!$AN157=BP$4,'Inputs Yr 2'!$AO157,0))))*(INDEX(avoidedcosttbl2,$H157,BY$2)+(($H157-ROUNDDOWN($H157,0))*(INDEX(avoidedcosttbl2,ROUNDUP($H157,0),BY$2)-(INDEX(avoidedcosttbl2,ROUNDDOWN($H157,0),BY$2)))))*'Inputs Yr 2'!P157*'Inputs Yr 2'!Q157*'Inputs Yr 2'!U157,"")</f>
        <v>0</v>
      </c>
      <c r="BZ157" s="193">
        <f t="shared" si="99"/>
        <v>20550.594377307323</v>
      </c>
      <c r="CA157" s="193">
        <f t="shared" si="100"/>
        <v>308810.61257735977</v>
      </c>
      <c r="CB157" s="195">
        <f>IFERROR(G157*(IF('Inputs Yr 2'!$AJ157=CB$4,'Inputs Yr 2'!$AK157,IF('Inputs Yr 2'!$AL157=CB$4,'Inputs Yr 2'!$AM157,IF('Inputs Yr 2'!$AN157=CB$4,'Inputs Yr 2'!$AO157,0))))*(INDEX(avoidedcosttbl2,$H157,CB$2)+(($H157-ROUNDDOWN($H157,0))*(INDEX(avoidedcosttbl2,ROUNDUP($H157,0),CB$2)-(INDEX(avoidedcosttbl2,ROUNDDOWN($H157,0),CB$2)))))*'Inputs Yr 2'!P157*'Inputs Yr 2'!Q157*'Inputs Yr 2'!U157,"")</f>
        <v>0</v>
      </c>
      <c r="CC157" s="195">
        <f>IFERROR(H157*(IF('Inputs Yr 2'!$AJ157=CC$4,'Inputs Yr 2'!$AK157,IF('Inputs Yr 2'!$AL157=CC$4,'Inputs Yr 2'!$AM157,IF('Inputs Yr 2'!$AN157=CC$4,'Inputs Yr 2'!$AO157,0))))*(INDEX(avoidedcosttbl2,$H157,CC$2)+(($H157-ROUNDDOWN($H157,0))*(INDEX(avoidedcosttbl2,ROUNDUP($H157,0),CC$2)-(INDEX(avoidedcosttbl2,ROUNDDOWN($H157,0),CC$2)))))*'Inputs Yr 2'!Q157*'Inputs Yr 2'!R157*'Inputs Yr 2'!V157,"")</f>
        <v>0</v>
      </c>
      <c r="CD157" s="195">
        <f>IFERROR(I157*(IF('Inputs Yr 2'!$AJ157=CD$4,'Inputs Yr 2'!$AK157,IF('Inputs Yr 2'!$AL157=CD$4,'Inputs Yr 2'!$AM157,IF('Inputs Yr 2'!$AN157=CD$4,'Inputs Yr 2'!$AO157,0))))*(INDEX(avoidedcosttbl2,$H157,CD$2)+(($H157-ROUNDDOWN($H157,0))*(INDEX(avoidedcosttbl2,ROUNDUP($H157,0),CD$2)-(INDEX(avoidedcosttbl2,ROUNDDOWN($H157,0),CD$2)))))*'Inputs Yr 2'!R157*'Inputs Yr 2'!S157*'Inputs Yr 2'!W157,"")</f>
        <v>0</v>
      </c>
      <c r="CE157" s="213">
        <f t="shared" si="101"/>
        <v>0</v>
      </c>
      <c r="CF157" s="213">
        <f t="shared" si="102"/>
        <v>0</v>
      </c>
      <c r="CG157" s="213">
        <f t="shared" si="103"/>
        <v>0</v>
      </c>
      <c r="CH157" s="698">
        <f t="shared" si="104"/>
        <v>308810.61257735977</v>
      </c>
      <c r="CI157" s="79">
        <f>IFERROR(($G157*'Inputs Yr 2'!$P157*'Inputs Yr 2'!$Q157*(((INDEX(avoidedcosttbl2,$H157,CI$2)+(($H157-ROUNDDOWN($H157,0))*(INDEX(avoidedcosttbl2,ROUNDUP($H157,0),CI$2)-INDEX(avoidedcosttbl2,ROUNDDOWN($H157,0),CI$2))))*'Inputs Yr 2'!AS157))),"")</f>
        <v>0</v>
      </c>
      <c r="CJ157" s="504">
        <f>IFERROR($G157*'Inputs Yr 2'!AT157*'Inputs Yr 2'!$P157*'Inputs Yr 2'!$Q157/((1+realdiscrt1)^-0.5),"")</f>
        <v>0</v>
      </c>
      <c r="CK157" s="79">
        <f>IFERROR((O157*1000*(((INDEX(avoidedcosttbl2,$H157,CK$2)+(($H157-ROUNDDOWN($H157,0))*(INDEX(avoidedcosttbl2,ROUNDUP($H157,0),CK$2)-INDEX(avoidedcosttbl2,ROUNDDOWN($H157,0),CK$2))))*'Inputs Yr 2'!AU157))),"")</f>
        <v>0</v>
      </c>
      <c r="CL157" s="504">
        <f>IFERROR(O157*1000*'Inputs Yr 2'!AV157/((1+realdiscrt1)^-0.5),"")</f>
        <v>0</v>
      </c>
      <c r="CM157" s="79">
        <f>IFERROR((AB157*'Inputs Yr 2'!AW157*(((INDEX(avoidedcosttbl2,$H157,CM$2)+(($H157-ROUNDDOWN($H157,0))*(INDEX(avoidedcosttbl2,ROUNDUP($H157,0),CM$2)-INDEX(avoidedcosttbl2,ROUNDDOWN($H157,0),CM$2)))))))*10,"")</f>
        <v>0</v>
      </c>
      <c r="CN157" s="504">
        <f>IFERROR(10*AB157*'Inputs Yr 2'!AX157/((1+realdiscrt1)^-0.5),"")</f>
        <v>0</v>
      </c>
      <c r="CO157" s="505">
        <f t="shared" si="105"/>
        <v>0</v>
      </c>
      <c r="CP157" s="230">
        <f t="shared" si="106"/>
        <v>308810.61257735977</v>
      </c>
      <c r="CQ157" s="199">
        <f>ROUND(IFERROR(IF(LEFT($A157,1)="C",'Avoided Costs'!$K$13,'Avoided Costs'!$K$12)+1,""),4)</f>
        <v>1.0720000000000001</v>
      </c>
      <c r="CR157" s="199">
        <f>ROUND(IFERROR(IF(LEFT($A157,1)="C",'Avoided Costs'!$L$13,'Avoided Costs'!$L$12)+1,""),4)</f>
        <v>1.04</v>
      </c>
      <c r="CS157" s="199">
        <f>ROUND(IFERROR(IF(LEFT($A157,1)="C",'Avoided Costs'!$M$13,'Avoided Costs'!$M$12)+1,""),4)</f>
        <v>1.0720000000000001</v>
      </c>
      <c r="CT157" s="199">
        <f>ROUND(IFERROR(IF(LEFT($A157,1)="C",'Avoided Costs'!$N$13,'Avoided Costs'!$N$12)+1,""),4)</f>
        <v>1.04</v>
      </c>
      <c r="CU157" s="199">
        <f>ROUND(IFERROR(IF(LEFT($A157,1)="C",'Avoided Costs'!$O$13,'Avoided Costs'!$O$12)+1,""),4)</f>
        <v>1.1120000000000001</v>
      </c>
      <c r="CV157" s="199">
        <f>ROUND(IFERROR(IF(LEFT($A157,1)="C",'Avoided Costs'!$P$13,'Avoided Costs'!$P$12)+1,""),4)</f>
        <v>1.095</v>
      </c>
      <c r="CW157" s="199">
        <f>ROUND(IFERROR(IF(LEFT($A157,1)="C",'Avoided Costs'!$Q$13,'Avoided Costs'!$Q$12)+1,""),4)</f>
        <v>1.1120000000000001</v>
      </c>
      <c r="CX157" s="200">
        <f>ROUND(IFERROR(IF(LEFT($A157,1)="C",'Avoided Costs'!$R$13,'Avoided Costs'!$R$12)+1,""),4)</f>
        <v>1.1120000000000001</v>
      </c>
    </row>
    <row r="158" spans="1:102" ht="12.75" customHeight="1">
      <c r="A158" s="91" t="str">
        <f>IF('Inputs Yr 2'!$B158=0,"",'Inputs Yr 2'!A158)</f>
        <v>C - Commercial &amp; Industrial</v>
      </c>
      <c r="B158" s="91" t="str">
        <f>IF('Inputs Yr 2'!$B158=0,"",'Inputs Yr 2'!B158)</f>
        <v>C1 - C&amp;I New Construction</v>
      </c>
      <c r="C158" s="91" t="str">
        <f>IF('Inputs Yr 2'!$B158=0,"",'Inputs Yr 2'!C158)</f>
        <v>C1a - C&amp;I New Buildings &amp; Major Renovations</v>
      </c>
      <c r="D158" s="91" t="str">
        <f>IF('Inputs Yr 2'!$B158=0,"",'Inputs Yr 2'!E158)</f>
        <v>Heating - Custom 15</v>
      </c>
      <c r="E158" s="93" t="str">
        <f>IF('Inputs Yr 2'!$B158=0,"",'Inputs Yr 2'!F158)</f>
        <v>G16C1a06</v>
      </c>
      <c r="F158" s="93" t="str">
        <f>IF('Inputs Yr 2'!$B158=0,"",'Inputs Yr 2'!G158)</f>
        <v>HVAC</v>
      </c>
      <c r="G158" s="95">
        <f>IF('Inputs Yr 2'!$H158&lt;&gt;0,('Inputs Yr 2'!H158),"")</f>
        <v>1</v>
      </c>
      <c r="H158" s="94">
        <f>IFERROR('Inputs Yr 2'!I158,"")</f>
        <v>15</v>
      </c>
      <c r="I158" s="298">
        <f>IFERROR('Inputs Yr 2'!J158*'Inputs Yr 2'!P158*G158,"")</f>
        <v>196245.95573333337</v>
      </c>
      <c r="J158" s="298">
        <f>IFERROR('Inputs Yr 2'!K158*G158,"")</f>
        <v>160157.20000000001</v>
      </c>
      <c r="K158" s="298">
        <f t="shared" si="83"/>
        <v>36088.755733333353</v>
      </c>
      <c r="L158" s="194">
        <f>IFERROR(('Inputs Yr 2'!W158*G158)/1000,"")</f>
        <v>0</v>
      </c>
      <c r="M158" s="194">
        <f>IFERROR(L158*('Inputs Yr 2'!$Q158*'Inputs Yr 2'!$V158*'Inputs Yr 2'!$R158),"")</f>
        <v>0</v>
      </c>
      <c r="N158" s="194">
        <f t="shared" si="84"/>
        <v>0</v>
      </c>
      <c r="O158" s="194">
        <f>IFERROR(M158*'Inputs Yr 2'!P158,"")</f>
        <v>0</v>
      </c>
      <c r="P158" s="194">
        <f t="shared" si="85"/>
        <v>0</v>
      </c>
      <c r="Q158" s="194">
        <f>IFERROR($P158*'Inputs Yr 2'!AA158,"")</f>
        <v>0</v>
      </c>
      <c r="R158" s="194">
        <f>IFERROR($P158*'Inputs Yr 2'!AB158,"")</f>
        <v>0</v>
      </c>
      <c r="S158" s="194">
        <f>IFERROR($P158*'Inputs Yr 2'!AC158,"")</f>
        <v>0</v>
      </c>
      <c r="T158" s="194">
        <f>IFERROR($P158*'Inputs Yr 2'!AD158,"")</f>
        <v>0</v>
      </c>
      <c r="U158" s="194">
        <f>IFERROR(G158*'Inputs Yr 2'!$AE158*'Inputs Yr 2'!$P158*'Inputs Yr 2'!$Q158,"")</f>
        <v>0</v>
      </c>
      <c r="V158" s="194">
        <f>IFERROR($G158*'Inputs Yr 2'!$AE158*'Inputs Yr 2'!$AG158*'Inputs Yr 2'!Q158*'Inputs Yr 2'!$S158,"")</f>
        <v>0</v>
      </c>
      <c r="W158" s="194">
        <f>IFERROR($G158*'Inputs Yr 2'!$AE158*'Inputs Yr 2'!$AG158*'Inputs Yr 2'!P158*'Inputs Yr 2'!Q158*'Inputs Yr 2'!$S158,"")</f>
        <v>0</v>
      </c>
      <c r="X158" s="194">
        <f>IFERROR($G158*'Inputs Yr 2'!$AE158*'Inputs Yr 2'!$AF158*'Inputs Yr 2'!Q158*'Inputs Yr 2'!$T158,"")</f>
        <v>0</v>
      </c>
      <c r="Y158" s="194">
        <f>IFERROR($G158*'Inputs Yr 2'!$AE158*'Inputs Yr 2'!$AF158*'Inputs Yr 2'!P158*'Inputs Yr 2'!Q158*'Inputs Yr 2'!$T158,"")</f>
        <v>0</v>
      </c>
      <c r="Z158" s="257">
        <f>IFERROR($G158*'Inputs Yr 2'!$Q158*'Inputs Yr 2'!$U158*(IF(IFERROR(SEARCH("NG", 'Inputs Yr 2'!$AJ158),0),'Inputs Yr 2'!$AK158,0)+IF(IFERROR(SEARCH("NG", 'Inputs Yr 2'!$AL158),0),'Inputs Yr 2'!$AM158,0)+IF(IFERROR(SEARCH("NG", 'Inputs Yr 2'!$AN158),0),'Inputs Yr 2'!$AO158,0)),0)</f>
        <v>6530.1233000000011</v>
      </c>
      <c r="AA158" s="257">
        <f t="shared" si="86"/>
        <v>97951.849500000011</v>
      </c>
      <c r="AB158" s="257">
        <f>IFERROR(Z158*'Inputs Yr 2'!$P158,0)</f>
        <v>6001.1833127000009</v>
      </c>
      <c r="AC158" s="257">
        <f t="shared" si="87"/>
        <v>90017.749690500015</v>
      </c>
      <c r="AD158" s="257">
        <f>IFERROR($G158*'Inputs Yr 2'!$Q158*'Inputs Yr 2'!$U158*(IF(IFERROR(SEARCH("Oil", 'Inputs Yr 2'!$AJ158), 0),'Inputs Yr 2'!$AK158,0)+IF(IFERROR(SEARCH("Oil", 'Inputs Yr 2'!$AL158), 0),'Inputs Yr 2'!$AM158,0)+IF(IFERROR(SEARCH("Oil", 'Inputs Yr 2'!$AN158), 0),'Inputs Yr 2'!$AO158,0)),0)</f>
        <v>0</v>
      </c>
      <c r="AE158" s="257">
        <f t="shared" si="88"/>
        <v>0</v>
      </c>
      <c r="AF158" s="257">
        <f>IFERROR(AD158*'Inputs Yr 2'!$P158,0)</f>
        <v>0</v>
      </c>
      <c r="AG158" s="257">
        <f t="shared" si="89"/>
        <v>0</v>
      </c>
      <c r="AH158" s="257">
        <f>IFERROR($G158*'Inputs Yr 2'!$Q158*'Inputs Yr 2'!$U158*(IF('Inputs Yr 2'!$AJ158=CD$4,'Inputs Yr 2'!$AK158,IF('Inputs Yr 2'!$AL158=CD$4,'Inputs Yr 2'!$AM158,IF('Inputs Yr 2'!$AN158=CD$4,'Inputs Yr 2'!$AO158,0)))),0)</f>
        <v>0</v>
      </c>
      <c r="AI158" s="257">
        <f t="shared" si="90"/>
        <v>0</v>
      </c>
      <c r="AJ158" s="257">
        <f>IFERROR(AH158*'Inputs Yr 2'!$P158,0)</f>
        <v>0</v>
      </c>
      <c r="AK158" s="257">
        <f t="shared" si="91"/>
        <v>0</v>
      </c>
      <c r="AL158" s="258">
        <f>IFERROR($G158*'Inputs Yr 2'!$P158*'Inputs Yr 2'!$Q158*'Inputs Yr 2'!AP158,0)</f>
        <v>0</v>
      </c>
      <c r="AM158" s="260">
        <f>IFERROR($G158*'Inputs Yr 2'!$P158*'Inputs Yr 2'!$Q158*'Inputs Yr 2'!AQ158,0)</f>
        <v>0</v>
      </c>
      <c r="AN158" s="258">
        <f>IFERROR($G158*'Inputs Yr 2'!$P158*'Inputs Yr 2'!$Q158*'Inputs Yr 2'!AR158,0)</f>
        <v>0</v>
      </c>
      <c r="AO158" s="257">
        <f t="shared" si="92"/>
        <v>0</v>
      </c>
      <c r="AP158" s="195">
        <f>IFERROR($CQ158*(INDEX(avoidedcosttbl2,$H158,AP$2)+(($H158-ROUNDDOWN($H158,0))*(INDEX(avoidedcosttbl2,ROUNDUP($H158,0),AP$2)-(INDEX(avoidedcosttbl2,ROUNDDOWN($H158,0),AP$2)))))*$O158*1000*'Inputs Yr 2'!AA158,"")</f>
        <v>0</v>
      </c>
      <c r="AQ158" s="195">
        <f>IFERROR($CR158*(INDEX(avoidedcosttbl2,$H158,AQ$2)+(($H158-ROUNDDOWN($H158,0))*(INDEX(avoidedcosttbl2,ROUNDUP($H158,0),AQ$2)-(INDEX(avoidedcosttbl2,ROUNDDOWN($H158,0),AQ$2)))))*$O158*1000*'Inputs Yr 2'!AB158,"")</f>
        <v>0</v>
      </c>
      <c r="AR158" s="195">
        <f>IFERROR($CS158*(INDEX(avoidedcosttbl2,$H158,AR$2)+(($H158-ROUNDDOWN($H158,0))*(INDEX(avoidedcosttbl2,ROUNDUP($H158,0),AR$2)-(INDEX(avoidedcosttbl2,ROUNDDOWN($H158,0),AR$2)))))*$O158*1000*'Inputs Yr 2'!AC158,"")</f>
        <v>0</v>
      </c>
      <c r="AS158" s="195">
        <f>IFERROR($CT158*(INDEX(avoidedcosttbl2,$H158,AS$2)+(($H158-ROUNDDOWN($H158,0))*(INDEX(avoidedcosttbl2,ROUNDUP($H158,0),AS$2)-(INDEX(avoidedcosttbl2,ROUNDDOWN($H158,0),AS$2)))))*$O158*1000*'Inputs Yr 2'!AD158,"")</f>
        <v>0</v>
      </c>
      <c r="AT158" s="196">
        <f t="shared" si="93"/>
        <v>0</v>
      </c>
      <c r="AU158" s="197">
        <f>IFERROR($CQ158*((INDEX(avoidedcosttbl2,$H158,AU$2))+(($H158-ROUNDDOWN($H158,0))*((INDEX(avoidedcosttbl2,ROUNDUP($H158,0),AU$2))-(INDEX(avoidedcosttbl2,ROUNDDOWN($H158,0),AU$2)))))*$O158*1000*'Inputs Yr 2'!AA158,"")</f>
        <v>0</v>
      </c>
      <c r="AV158" s="197">
        <f>IFERROR($CR158*((INDEX(avoidedcosttbl2,$H158,AV$2))+(($H158-ROUNDDOWN($H158,0))*((INDEX(avoidedcosttbl2,ROUNDUP($H158,0),AV$2))-(INDEX(avoidedcosttbl2,ROUNDDOWN($H158,0),AV$2)))))*$O158*1000*'Inputs Yr 2'!AB158,"")</f>
        <v>0</v>
      </c>
      <c r="AW158" s="197">
        <f>IFERROR($CS158*((INDEX(avoidedcosttbl2,$H158,AW$2))+(($H158-ROUNDDOWN($H158,0))*((INDEX(avoidedcosttbl2,ROUNDUP($H158,0),AW$2))-(INDEX(avoidedcosttbl2,ROUNDDOWN($H158,0),AW$2)))))*$O158*1000*'Inputs Yr 2'!AC158,"")</f>
        <v>0</v>
      </c>
      <c r="AX158" s="197">
        <f>IFERROR($CT158*((INDEX(avoidedcosttbl2,$H158,AX$2))+(($H158-ROUNDDOWN($H158,0))*((INDEX(avoidedcosttbl2,ROUNDUP($H158,0),AX$2))-(INDEX(avoidedcosttbl2,ROUNDDOWN($H158,0),AX$2)))))*$O158*1000*'Inputs Yr 2'!AD158,"")</f>
        <v>0</v>
      </c>
      <c r="AY158" s="197">
        <f>IFERROR(((INDEX(avoidedcosttbl2,$H158,AY$2))+(($H158-ROUNDDOWN($H158,0))*((INDEX(avoidedcosttbl2,ROUNDUP($H158,0),AY$2))-(INDEX(avoidedcosttbl2,ROUNDDOWN($H158,0),AY$2)))))*$O158*1000*('Inputs Yr 2'!AC158+'Inputs Yr 2'!AD158),"")</f>
        <v>0</v>
      </c>
      <c r="AZ158" s="197">
        <f>IFERROR(((INDEX(avoidedcosttbl2,$H158,AZ$2))+(($H158-ROUNDDOWN($H158,0))*((INDEX(avoidedcosttbl2,ROUNDUP($H158,0),AZ$2))-(INDEX(avoidedcosttbl2,ROUNDDOWN($H158,0),AZ$2)))))*$O158*1000*('Inputs Yr 2'!AA158+'Inputs Yr 2'!AB158),"")</f>
        <v>0</v>
      </c>
      <c r="BA158" s="198">
        <f t="shared" si="94"/>
        <v>0</v>
      </c>
      <c r="BB158" s="198">
        <f t="shared" si="95"/>
        <v>0</v>
      </c>
      <c r="BC158" s="195">
        <f t="shared" si="77"/>
        <v>0</v>
      </c>
      <c r="BD158" s="195">
        <f t="shared" si="78"/>
        <v>0</v>
      </c>
      <c r="BE158" s="195">
        <f t="shared" si="79"/>
        <v>0</v>
      </c>
      <c r="BF158" s="195">
        <f t="shared" si="80"/>
        <v>0</v>
      </c>
      <c r="BG158" s="195">
        <f t="shared" si="81"/>
        <v>0</v>
      </c>
      <c r="BH158" s="196">
        <f t="shared" si="96"/>
        <v>0</v>
      </c>
      <c r="BI158" s="196">
        <f t="shared" si="97"/>
        <v>0</v>
      </c>
      <c r="BJ158" s="195">
        <f>IFERROR($G158*(IF('Inputs Yr 2'!$AJ158=BJ$4,'Inputs Yr 2'!$AK158,IF('Inputs Yr 2'!$AL158=BJ$4,'Inputs Yr 2'!$AM158,IF('Inputs Yr 2'!$AN158=BJ$4,'Inputs Yr 2'!$AO158,0))))*(INDEX(avoidedcosttbl2,$H158,BJ$2)+(($H158-ROUNDDOWN($H158,0))*(INDEX(avoidedcosttbl2,ROUNDUP($H158,0),BJ$2)-(INDEX(avoidedcosttbl2,ROUNDDOWN($H158,0),BJ$2)))))*'Inputs Yr 2'!P158*'Inputs Yr 2'!Q158*'Inputs Yr 2'!U158,"")</f>
        <v>0</v>
      </c>
      <c r="BK158" s="195">
        <f>IFERROR($G158*(IF('Inputs Yr 2'!$AJ158=BK$4,'Inputs Yr 2'!$AK158,IF('Inputs Yr 2'!$AL158=BK$4,'Inputs Yr 2'!$AM158,IF('Inputs Yr 2'!$AN158=BK$4,'Inputs Yr 2'!$AO158,0))))*(INDEX(avoidedcosttbl2,$H158,BK$2)+(($H158-ROUNDDOWN($H158,0))*(INDEX(avoidedcosttbl2,ROUNDUP($H158,0),BK$2)-(INDEX(avoidedcosttbl2,ROUNDDOWN($H158,0),BK$2)))))*'Inputs Yr 2'!P158*'Inputs Yr 2'!Q158*'Inputs Yr 2'!U158,"")</f>
        <v>0</v>
      </c>
      <c r="BL158" s="195">
        <f>IFERROR($G158*(IF('Inputs Yr 2'!$AJ158=BL$4,'Inputs Yr 2'!$AK158,IF('Inputs Yr 2'!$AL158=BL$4,'Inputs Yr 2'!$AM158,IF('Inputs Yr 2'!$AN158=BL$4,'Inputs Yr 2'!$AO158,0))))*(INDEX(avoidedcosttbl2,$H158,BL$2)+(($H158-ROUNDDOWN($H158,0))*(INDEX(avoidedcosttbl2,ROUNDUP($H158,0),BL$2)-(INDEX(avoidedcosttbl2,ROUNDDOWN($H158,0),BL$2)))))*'Inputs Yr 2'!P158*'Inputs Yr 2'!Q158*'Inputs Yr 2'!U158,"")</f>
        <v>0</v>
      </c>
      <c r="BM158" s="195">
        <f>IFERROR($G158*(IF('Inputs Yr 2'!$AJ158=BM$4,'Inputs Yr 2'!$AK158,IF('Inputs Yr 2'!$AL158=BM$4,'Inputs Yr 2'!$AM158,IF('Inputs Yr 2'!$AN158=BM$4,'Inputs Yr 2'!$AO158,0))))*(INDEX(avoidedcosttbl2,$H158,BM$2)+(($H158-ROUNDDOWN($H158,0))*(INDEX(avoidedcosttbl2,ROUNDUP($H158,0),BM$2)-(INDEX(avoidedcosttbl2,ROUNDDOWN($H158,0),BM$2)))))*'Inputs Yr 2'!P158*'Inputs Yr 2'!Q158*'Inputs Yr 2'!U158,"")</f>
        <v>0</v>
      </c>
      <c r="BN158" s="195">
        <f>IFERROR($G158*(IF('Inputs Yr 2'!$AJ158=BN$4,'Inputs Yr 2'!$AK158,IF('Inputs Yr 2'!$AL158=BN$4,'Inputs Yr 2'!$AM158,IF('Inputs Yr 2'!$AN158=BN$4,'Inputs Yr 2'!$AO158,0))))*(INDEX(avoidedcosttbl2,$H158,BN$2)+(($H158-ROUNDDOWN($H158,0))*(INDEX(avoidedcosttbl2,ROUNDUP($H158,0),BN$2)-(INDEX(avoidedcosttbl2,ROUNDDOWN($H158,0),BN$2)))))*'Inputs Yr 2'!P158*'Inputs Yr 2'!Q158*'Inputs Yr 2'!U158,"")</f>
        <v>0</v>
      </c>
      <c r="BO158" s="195">
        <f>IFERROR($G158*(IF('Inputs Yr 2'!$AJ158=BO$4,'Inputs Yr 2'!$AK158,IF('Inputs Yr 2'!$AL158=BO$4,'Inputs Yr 2'!$AM158,IF('Inputs Yr 2'!$AN158=BO$4,'Inputs Yr 2'!$AO158,0))))*(INDEX(avoidedcosttbl2,$H158,BO$2)+(($H158-ROUNDDOWN($H158,0))*(INDEX(avoidedcosttbl2,ROUNDUP($H158,0),BO$2)-(INDEX(avoidedcosttbl2,ROUNDDOWN($H158,0),BO$2)))))*'Inputs Yr 2'!P158*'Inputs Yr 2'!Q158*'Inputs Yr 2'!U158,"")</f>
        <v>702054.16253320943</v>
      </c>
      <c r="BP158" s="195">
        <f>IFERROR($G158*(IF('Inputs Yr 2'!$AJ158=BP$4,'Inputs Yr 2'!$AK158,IF('Inputs Yr 2'!$AL158=BP$4,'Inputs Yr 2'!$AM158,IF('Inputs Yr 2'!$AN158=BP$4,'Inputs Yr 2'!$AO158,0))))*(INDEX(avoidedcosttbl2,$H158,BP$2)+(($H158-ROUNDDOWN($H158,0))*(INDEX(avoidedcosttbl2,ROUNDUP($H158,0),BP$2)-(INDEX(avoidedcosttbl2,ROUNDDOWN($H158,0),BP$2)))))*'Inputs Yr 2'!P158*'Inputs Yr 2'!Q158*'Inputs Yr 2'!U158,"")</f>
        <v>0</v>
      </c>
      <c r="BQ158" s="230">
        <f t="shared" si="98"/>
        <v>702054.16253320943</v>
      </c>
      <c r="BR158" s="197">
        <f t="shared" si="82"/>
        <v>12201.177261629105</v>
      </c>
      <c r="BS158" s="197">
        <f>IFERROR(($G158*IF('Inputs Yr 2'!$AJ158=BM$4,'Inputs Yr 2'!$AK158,IF('Inputs Yr 2'!$AL158=BM$4,'Inputs Yr 2'!$AM158,IF('Inputs Yr 2'!$AN158=BM$4,'Inputs Yr 2'!$AO158,0))))*(INDEX(avoidedcosttbl2,$H158,BS$2)+(($H158-ROUNDDOWN($H158,0))*(INDEX(avoidedcosttbl2,ROUNDUP($H158,0),BS$2)-(INDEX(avoidedcosttbl2,ROUNDDOWN($H158,0),BS$2)))))*'Inputs Yr 2'!P158*'Inputs Yr 2'!Q158*'Inputs Yr 2'!U158,"")</f>
        <v>0</v>
      </c>
      <c r="BT158" s="197">
        <f>IFERROR(($G158*IF('Inputs Yr 2'!$AJ158=BK$4,'Inputs Yr 2'!$AK158,IF('Inputs Yr 2'!$AL158=BK$4,'Inputs Yr 2'!$AM158,IF('Inputs Yr 2'!$AN158=BK$4,'Inputs Yr 2'!$AO158,0))))*(INDEX(avoidedcosttbl2,$H158,BT$2)+(($H158-ROUNDDOWN($H158,0))*(INDEX(avoidedcosttbl2,ROUNDUP($H158,0),BT$2)-(INDEX(avoidedcosttbl2,ROUNDDOWN($H158,0),BT$2)))))*'Inputs Yr 2'!P158*'Inputs Yr 2'!Q158*'Inputs Yr 2'!U158,"")</f>
        <v>0</v>
      </c>
      <c r="BU158" s="197">
        <f>IFERROR(($G158*IF('Inputs Yr 2'!$AJ158=BL$4,'Inputs Yr 2'!$AK158,IF('Inputs Yr 2'!$AL158=BL$4,'Inputs Yr 2'!$AM158,IF('Inputs Yr 2'!$AN158=BL$4,'Inputs Yr 2'!$AO158,0))))*(INDEX(avoidedcosttbl2,$H158,BU$2)+(($H158-ROUNDDOWN($H158,0))*(INDEX(avoidedcosttbl2,ROUNDUP($H158,0),BU$2)-(INDEX(avoidedcosttbl2,ROUNDDOWN($H158,0),BU$2)))))*'Inputs Yr 2'!P158*'Inputs Yr 2'!Q158*'Inputs Yr 2'!U158,"")</f>
        <v>0</v>
      </c>
      <c r="BV158" s="775">
        <f>IFERROR(($G158*IF('Inputs Yr 2'!$AJ158=BJ$4,'Inputs Yr 2'!$AK158,IF('Inputs Yr 2'!$AL158=BJ$4,'Inputs Yr 2'!$AM158,IF('Inputs Yr 2'!$AN158=BJ$4,'Inputs Yr 2'!$AO158,0))))*(INDEX(avoidedcosttbl2,$H158,BV$2)+(($H158-ROUNDDOWN($H158,0))*(INDEX(avoidedcosttbl2,ROUNDUP($H158,0),BV$2)-(INDEX(avoidedcosttbl2,ROUNDDOWN($H158,0),BV$2)))))*'Inputs Yr 2'!P158*'Inputs Yr 2'!Q158*'Inputs Yr 2'!U158,"")</f>
        <v>0</v>
      </c>
      <c r="BW158" s="197">
        <f>IFERROR(($G158*IF('Inputs Yr 2'!$AJ158=BN$4,'Inputs Yr 2'!$AK158,IF('Inputs Yr 2'!$AL158=BN$4,'Inputs Yr 2'!$AM158,IF('Inputs Yr 2'!$AN158=BN$4,'Inputs Yr 2'!$AO158,0))))*(INDEX(avoidedcosttbl2,$H158,BW$2)+(($H158-ROUNDDOWN($H158,0))*(INDEX(avoidedcosttbl2,ROUNDUP($H158,0),BW$2)-(INDEX(avoidedcosttbl2,ROUNDDOWN($H158,0),BW$2)))))*'Inputs Yr 2'!P158*'Inputs Yr 2'!Q158*'Inputs Yr 2'!U158,"")</f>
        <v>0</v>
      </c>
      <c r="BX158" s="197">
        <f>IFERROR(($G158*IF('Inputs Yr 2'!$AJ158=BO$4,'Inputs Yr 2'!$AK158,IF('Inputs Yr 2'!$AL158=BO$4,'Inputs Yr 2'!$AM158,IF('Inputs Yr 2'!$AN158=BO$4,'Inputs Yr 2'!$AO158,0))))*(INDEX(avoidedcosttbl2,$H158,BX$2)+(($H158-ROUNDDOWN($H158,0))*(INDEX(avoidedcosttbl2,ROUNDUP($H158,0),BX$2)-(INDEX(avoidedcosttbl2,ROUNDDOWN($H158,0),BX$2)))))*'Inputs Yr 2'!P158*'Inputs Yr 2'!Q158*'Inputs Yr 2'!U158,"")</f>
        <v>49478.479136795933</v>
      </c>
      <c r="BY158" s="197">
        <f>IFERROR(($G158*IF('Inputs Yr 2'!$AJ158=BP$4,'Inputs Yr 2'!$AK158,IF('Inputs Yr 2'!$AL158=BP$4,'Inputs Yr 2'!$AM158,IF('Inputs Yr 2'!$AN158=BP$4,'Inputs Yr 2'!$AO158,0))))*(INDEX(avoidedcosttbl2,$H158,BY$2)+(($H158-ROUNDDOWN($H158,0))*(INDEX(avoidedcosttbl2,ROUNDUP($H158,0),BY$2)-(INDEX(avoidedcosttbl2,ROUNDDOWN($H158,0),BY$2)))))*'Inputs Yr 2'!P158*'Inputs Yr 2'!Q158*'Inputs Yr 2'!U158,"")</f>
        <v>0</v>
      </c>
      <c r="BZ158" s="193">
        <f t="shared" si="99"/>
        <v>61679.656398425039</v>
      </c>
      <c r="CA158" s="193">
        <f t="shared" si="100"/>
        <v>763733.81893163442</v>
      </c>
      <c r="CB158" s="195">
        <f>IFERROR(G158*(IF('Inputs Yr 2'!$AJ158=CB$4,'Inputs Yr 2'!$AK158,IF('Inputs Yr 2'!$AL158=CB$4,'Inputs Yr 2'!$AM158,IF('Inputs Yr 2'!$AN158=CB$4,'Inputs Yr 2'!$AO158,0))))*(INDEX(avoidedcosttbl2,$H158,CB$2)+(($H158-ROUNDDOWN($H158,0))*(INDEX(avoidedcosttbl2,ROUNDUP($H158,0),CB$2)-(INDEX(avoidedcosttbl2,ROUNDDOWN($H158,0),CB$2)))))*'Inputs Yr 2'!P158*'Inputs Yr 2'!Q158*'Inputs Yr 2'!U158,"")</f>
        <v>0</v>
      </c>
      <c r="CC158" s="195">
        <f>IFERROR(H158*(IF('Inputs Yr 2'!$AJ158=CC$4,'Inputs Yr 2'!$AK158,IF('Inputs Yr 2'!$AL158=CC$4,'Inputs Yr 2'!$AM158,IF('Inputs Yr 2'!$AN158=CC$4,'Inputs Yr 2'!$AO158,0))))*(INDEX(avoidedcosttbl2,$H158,CC$2)+(($H158-ROUNDDOWN($H158,0))*(INDEX(avoidedcosttbl2,ROUNDUP($H158,0),CC$2)-(INDEX(avoidedcosttbl2,ROUNDDOWN($H158,0),CC$2)))))*'Inputs Yr 2'!Q158*'Inputs Yr 2'!R158*'Inputs Yr 2'!V158,"")</f>
        <v>0</v>
      </c>
      <c r="CD158" s="195">
        <f>IFERROR(I158*(IF('Inputs Yr 2'!$AJ158=CD$4,'Inputs Yr 2'!$AK158,IF('Inputs Yr 2'!$AL158=CD$4,'Inputs Yr 2'!$AM158,IF('Inputs Yr 2'!$AN158=CD$4,'Inputs Yr 2'!$AO158,0))))*(INDEX(avoidedcosttbl2,$H158,CD$2)+(($H158-ROUNDDOWN($H158,0))*(INDEX(avoidedcosttbl2,ROUNDUP($H158,0),CD$2)-(INDEX(avoidedcosttbl2,ROUNDDOWN($H158,0),CD$2)))))*'Inputs Yr 2'!R158*'Inputs Yr 2'!S158*'Inputs Yr 2'!W158,"")</f>
        <v>0</v>
      </c>
      <c r="CE158" s="213">
        <f t="shared" si="101"/>
        <v>0</v>
      </c>
      <c r="CF158" s="213">
        <f t="shared" si="102"/>
        <v>0</v>
      </c>
      <c r="CG158" s="213">
        <f t="shared" si="103"/>
        <v>0</v>
      </c>
      <c r="CH158" s="698">
        <f t="shared" si="104"/>
        <v>763733.81893163442</v>
      </c>
      <c r="CI158" s="79">
        <f>IFERROR(($G158*'Inputs Yr 2'!$P158*'Inputs Yr 2'!$Q158*(((INDEX(avoidedcosttbl2,$H158,CI$2)+(($H158-ROUNDDOWN($H158,0))*(INDEX(avoidedcosttbl2,ROUNDUP($H158,0),CI$2)-INDEX(avoidedcosttbl2,ROUNDDOWN($H158,0),CI$2))))*'Inputs Yr 2'!AS158))),"")</f>
        <v>0</v>
      </c>
      <c r="CJ158" s="504">
        <f>IFERROR($G158*'Inputs Yr 2'!AT158*'Inputs Yr 2'!$P158*'Inputs Yr 2'!$Q158/((1+realdiscrt1)^-0.5),"")</f>
        <v>0</v>
      </c>
      <c r="CK158" s="79">
        <f>IFERROR((O158*1000*(((INDEX(avoidedcosttbl2,$H158,CK$2)+(($H158-ROUNDDOWN($H158,0))*(INDEX(avoidedcosttbl2,ROUNDUP($H158,0),CK$2)-INDEX(avoidedcosttbl2,ROUNDDOWN($H158,0),CK$2))))*'Inputs Yr 2'!AU158))),"")</f>
        <v>0</v>
      </c>
      <c r="CL158" s="504">
        <f>IFERROR(O158*1000*'Inputs Yr 2'!AV158/((1+realdiscrt1)^-0.5),"")</f>
        <v>0</v>
      </c>
      <c r="CM158" s="79">
        <f>IFERROR((AB158*'Inputs Yr 2'!AW158*(((INDEX(avoidedcosttbl2,$H158,CM$2)+(($H158-ROUNDDOWN($H158,0))*(INDEX(avoidedcosttbl2,ROUNDUP($H158,0),CM$2)-INDEX(avoidedcosttbl2,ROUNDDOWN($H158,0),CM$2)))))))*10,"")</f>
        <v>0</v>
      </c>
      <c r="CN158" s="504">
        <f>IFERROR(10*AB158*'Inputs Yr 2'!AX158/((1+realdiscrt1)^-0.5),"")</f>
        <v>0</v>
      </c>
      <c r="CO158" s="505">
        <f t="shared" si="105"/>
        <v>0</v>
      </c>
      <c r="CP158" s="230">
        <f t="shared" si="106"/>
        <v>763733.81893163442</v>
      </c>
      <c r="CQ158" s="199">
        <f>ROUND(IFERROR(IF(LEFT($A158,1)="C",'Avoided Costs'!$K$13,'Avoided Costs'!$K$12)+1,""),4)</f>
        <v>1.0720000000000001</v>
      </c>
      <c r="CR158" s="199">
        <f>ROUND(IFERROR(IF(LEFT($A158,1)="C",'Avoided Costs'!$L$13,'Avoided Costs'!$L$12)+1,""),4)</f>
        <v>1.04</v>
      </c>
      <c r="CS158" s="199">
        <f>ROUND(IFERROR(IF(LEFT($A158,1)="C",'Avoided Costs'!$M$13,'Avoided Costs'!$M$12)+1,""),4)</f>
        <v>1.0720000000000001</v>
      </c>
      <c r="CT158" s="199">
        <f>ROUND(IFERROR(IF(LEFT($A158,1)="C",'Avoided Costs'!$N$13,'Avoided Costs'!$N$12)+1,""),4)</f>
        <v>1.04</v>
      </c>
      <c r="CU158" s="199">
        <f>ROUND(IFERROR(IF(LEFT($A158,1)="C",'Avoided Costs'!$O$13,'Avoided Costs'!$O$12)+1,""),4)</f>
        <v>1.1120000000000001</v>
      </c>
      <c r="CV158" s="199">
        <f>ROUND(IFERROR(IF(LEFT($A158,1)="C",'Avoided Costs'!$P$13,'Avoided Costs'!$P$12)+1,""),4)</f>
        <v>1.095</v>
      </c>
      <c r="CW158" s="199">
        <f>ROUND(IFERROR(IF(LEFT($A158,1)="C",'Avoided Costs'!$Q$13,'Avoided Costs'!$Q$12)+1,""),4)</f>
        <v>1.1120000000000001</v>
      </c>
      <c r="CX158" s="200">
        <f>ROUND(IFERROR(IF(LEFT($A158,1)="C",'Avoided Costs'!$R$13,'Avoided Costs'!$R$12)+1,""),4)</f>
        <v>1.1120000000000001</v>
      </c>
    </row>
    <row r="159" spans="1:102" ht="12.75" customHeight="1">
      <c r="A159" s="91" t="str">
        <f>IF('Inputs Yr 2'!$B159=0,"",'Inputs Yr 2'!A159)</f>
        <v>C - Commercial &amp; Industrial</v>
      </c>
      <c r="B159" s="91" t="str">
        <f>IF('Inputs Yr 2'!$B159=0,"",'Inputs Yr 2'!B159)</f>
        <v>C1 - C&amp;I New Construction</v>
      </c>
      <c r="C159" s="91" t="str">
        <f>IF('Inputs Yr 2'!$B159=0,"",'Inputs Yr 2'!C159)</f>
        <v>C1a - C&amp;I New Buildings &amp; Major Renovations</v>
      </c>
      <c r="D159" s="91" t="str">
        <f>IF('Inputs Yr 2'!$B159=0,"",'Inputs Yr 2'!E159)</f>
        <v>Heating - Custom 20</v>
      </c>
      <c r="E159" s="93" t="str">
        <f>IF('Inputs Yr 2'!$B159=0,"",'Inputs Yr 2'!F159)</f>
        <v>G16C1a06</v>
      </c>
      <c r="F159" s="93" t="str">
        <f>IF('Inputs Yr 2'!$B159=0,"",'Inputs Yr 2'!G159)</f>
        <v>HVAC</v>
      </c>
      <c r="G159" s="95">
        <f>IF('Inputs Yr 2'!$H159&lt;&gt;0,('Inputs Yr 2'!H159),"")</f>
        <v>1</v>
      </c>
      <c r="H159" s="94">
        <f>IFERROR('Inputs Yr 2'!I159,"")</f>
        <v>20</v>
      </c>
      <c r="I159" s="298">
        <f>IFERROR('Inputs Yr 2'!J159*'Inputs Yr 2'!P159*G159,"")</f>
        <v>84429.755333333334</v>
      </c>
      <c r="J159" s="298">
        <f>IFERROR('Inputs Yr 2'!K159*G159,"")</f>
        <v>68903.5</v>
      </c>
      <c r="K159" s="298">
        <f t="shared" si="83"/>
        <v>15526.255333333334</v>
      </c>
      <c r="L159" s="194">
        <f>IFERROR(('Inputs Yr 2'!W159*G159)/1000,"")</f>
        <v>0</v>
      </c>
      <c r="M159" s="194">
        <f>IFERROR(L159*('Inputs Yr 2'!$Q159*'Inputs Yr 2'!$V159*'Inputs Yr 2'!$R159),"")</f>
        <v>0</v>
      </c>
      <c r="N159" s="194">
        <f t="shared" si="84"/>
        <v>0</v>
      </c>
      <c r="O159" s="194">
        <f>IFERROR(M159*'Inputs Yr 2'!P159,"")</f>
        <v>0</v>
      </c>
      <c r="P159" s="194">
        <f t="shared" si="85"/>
        <v>0</v>
      </c>
      <c r="Q159" s="194">
        <f>IFERROR($P159*'Inputs Yr 2'!AA159,"")</f>
        <v>0</v>
      </c>
      <c r="R159" s="194">
        <f>IFERROR($P159*'Inputs Yr 2'!AB159,"")</f>
        <v>0</v>
      </c>
      <c r="S159" s="194">
        <f>IFERROR($P159*'Inputs Yr 2'!AC159,"")</f>
        <v>0</v>
      </c>
      <c r="T159" s="194">
        <f>IFERROR($P159*'Inputs Yr 2'!AD159,"")</f>
        <v>0</v>
      </c>
      <c r="U159" s="194">
        <f>IFERROR(G159*'Inputs Yr 2'!$AE159*'Inputs Yr 2'!$P159*'Inputs Yr 2'!$Q159,"")</f>
        <v>0</v>
      </c>
      <c r="V159" s="194">
        <f>IFERROR($G159*'Inputs Yr 2'!$AE159*'Inputs Yr 2'!$AG159*'Inputs Yr 2'!Q159*'Inputs Yr 2'!$S159,"")</f>
        <v>0</v>
      </c>
      <c r="W159" s="194">
        <f>IFERROR($G159*'Inputs Yr 2'!$AE159*'Inputs Yr 2'!$AG159*'Inputs Yr 2'!P159*'Inputs Yr 2'!Q159*'Inputs Yr 2'!$S159,"")</f>
        <v>0</v>
      </c>
      <c r="X159" s="194">
        <f>IFERROR($G159*'Inputs Yr 2'!$AE159*'Inputs Yr 2'!$AF159*'Inputs Yr 2'!Q159*'Inputs Yr 2'!$T159,"")</f>
        <v>0</v>
      </c>
      <c r="Y159" s="194">
        <f>IFERROR($G159*'Inputs Yr 2'!$AE159*'Inputs Yr 2'!$AF159*'Inputs Yr 2'!P159*'Inputs Yr 2'!Q159*'Inputs Yr 2'!$T159,"")</f>
        <v>0</v>
      </c>
      <c r="Z159" s="257">
        <f>IFERROR($G159*'Inputs Yr 2'!$Q159*'Inputs Yr 2'!$U159*(IF(IFERROR(SEARCH("NG", 'Inputs Yr 2'!$AJ159),0),'Inputs Yr 2'!$AK159,0)+IF(IFERROR(SEARCH("NG", 'Inputs Yr 2'!$AL159),0),'Inputs Yr 2'!$AM159,0)+IF(IFERROR(SEARCH("NG", 'Inputs Yr 2'!$AN159),0),'Inputs Yr 2'!$AO159,0)),0)</f>
        <v>2005.3797000000002</v>
      </c>
      <c r="AA159" s="257">
        <f t="shared" si="86"/>
        <v>40107.594000000005</v>
      </c>
      <c r="AB159" s="257">
        <f>IFERROR(Z159*'Inputs Yr 2'!$P159,0)</f>
        <v>1842.9439443000003</v>
      </c>
      <c r="AC159" s="257">
        <f t="shared" si="87"/>
        <v>36858.878886000006</v>
      </c>
      <c r="AD159" s="257">
        <f>IFERROR($G159*'Inputs Yr 2'!$Q159*'Inputs Yr 2'!$U159*(IF(IFERROR(SEARCH("Oil", 'Inputs Yr 2'!$AJ159), 0),'Inputs Yr 2'!$AK159,0)+IF(IFERROR(SEARCH("Oil", 'Inputs Yr 2'!$AL159), 0),'Inputs Yr 2'!$AM159,0)+IF(IFERROR(SEARCH("Oil", 'Inputs Yr 2'!$AN159), 0),'Inputs Yr 2'!$AO159,0)),0)</f>
        <v>0</v>
      </c>
      <c r="AE159" s="257">
        <f t="shared" si="88"/>
        <v>0</v>
      </c>
      <c r="AF159" s="257">
        <f>IFERROR(AD159*'Inputs Yr 2'!$P159,0)</f>
        <v>0</v>
      </c>
      <c r="AG159" s="257">
        <f t="shared" si="89"/>
        <v>0</v>
      </c>
      <c r="AH159" s="257">
        <f>IFERROR($G159*'Inputs Yr 2'!$Q159*'Inputs Yr 2'!$U159*(IF('Inputs Yr 2'!$AJ159=CD$4,'Inputs Yr 2'!$AK159,IF('Inputs Yr 2'!$AL159=CD$4,'Inputs Yr 2'!$AM159,IF('Inputs Yr 2'!$AN159=CD$4,'Inputs Yr 2'!$AO159,0)))),0)</f>
        <v>0</v>
      </c>
      <c r="AI159" s="257">
        <f t="shared" si="90"/>
        <v>0</v>
      </c>
      <c r="AJ159" s="257">
        <f>IFERROR(AH159*'Inputs Yr 2'!$P159,0)</f>
        <v>0</v>
      </c>
      <c r="AK159" s="257">
        <f t="shared" si="91"/>
        <v>0</v>
      </c>
      <c r="AL159" s="258">
        <f>IFERROR($G159*'Inputs Yr 2'!$P159*'Inputs Yr 2'!$Q159*'Inputs Yr 2'!AP159,0)</f>
        <v>0</v>
      </c>
      <c r="AM159" s="260">
        <f>IFERROR($G159*'Inputs Yr 2'!$P159*'Inputs Yr 2'!$Q159*'Inputs Yr 2'!AQ159,0)</f>
        <v>0</v>
      </c>
      <c r="AN159" s="258">
        <f>IFERROR($G159*'Inputs Yr 2'!$P159*'Inputs Yr 2'!$Q159*'Inputs Yr 2'!AR159,0)</f>
        <v>0</v>
      </c>
      <c r="AO159" s="257">
        <f t="shared" si="92"/>
        <v>0</v>
      </c>
      <c r="AP159" s="195">
        <f>IFERROR($CQ159*(INDEX(avoidedcosttbl2,$H159,AP$2)+(($H159-ROUNDDOWN($H159,0))*(INDEX(avoidedcosttbl2,ROUNDUP($H159,0),AP$2)-(INDEX(avoidedcosttbl2,ROUNDDOWN($H159,0),AP$2)))))*$O159*1000*'Inputs Yr 2'!AA159,"")</f>
        <v>0</v>
      </c>
      <c r="AQ159" s="195">
        <f>IFERROR($CR159*(INDEX(avoidedcosttbl2,$H159,AQ$2)+(($H159-ROUNDDOWN($H159,0))*(INDEX(avoidedcosttbl2,ROUNDUP($H159,0),AQ$2)-(INDEX(avoidedcosttbl2,ROUNDDOWN($H159,0),AQ$2)))))*$O159*1000*'Inputs Yr 2'!AB159,"")</f>
        <v>0</v>
      </c>
      <c r="AR159" s="195">
        <f>IFERROR($CS159*(INDEX(avoidedcosttbl2,$H159,AR$2)+(($H159-ROUNDDOWN($H159,0))*(INDEX(avoidedcosttbl2,ROUNDUP($H159,0),AR$2)-(INDEX(avoidedcosttbl2,ROUNDDOWN($H159,0),AR$2)))))*$O159*1000*'Inputs Yr 2'!AC159,"")</f>
        <v>0</v>
      </c>
      <c r="AS159" s="195">
        <f>IFERROR($CT159*(INDEX(avoidedcosttbl2,$H159,AS$2)+(($H159-ROUNDDOWN($H159,0))*(INDEX(avoidedcosttbl2,ROUNDUP($H159,0),AS$2)-(INDEX(avoidedcosttbl2,ROUNDDOWN($H159,0),AS$2)))))*$O159*1000*'Inputs Yr 2'!AD159,"")</f>
        <v>0</v>
      </c>
      <c r="AT159" s="196">
        <f t="shared" si="93"/>
        <v>0</v>
      </c>
      <c r="AU159" s="197">
        <f>IFERROR($CQ159*((INDEX(avoidedcosttbl2,$H159,AU$2))+(($H159-ROUNDDOWN($H159,0))*((INDEX(avoidedcosttbl2,ROUNDUP($H159,0),AU$2))-(INDEX(avoidedcosttbl2,ROUNDDOWN($H159,0),AU$2)))))*$O159*1000*'Inputs Yr 2'!AA159,"")</f>
        <v>0</v>
      </c>
      <c r="AV159" s="197">
        <f>IFERROR($CR159*((INDEX(avoidedcosttbl2,$H159,AV$2))+(($H159-ROUNDDOWN($H159,0))*((INDEX(avoidedcosttbl2,ROUNDUP($H159,0),AV$2))-(INDEX(avoidedcosttbl2,ROUNDDOWN($H159,0),AV$2)))))*$O159*1000*'Inputs Yr 2'!AB159,"")</f>
        <v>0</v>
      </c>
      <c r="AW159" s="197">
        <f>IFERROR($CS159*((INDEX(avoidedcosttbl2,$H159,AW$2))+(($H159-ROUNDDOWN($H159,0))*((INDEX(avoidedcosttbl2,ROUNDUP($H159,0),AW$2))-(INDEX(avoidedcosttbl2,ROUNDDOWN($H159,0),AW$2)))))*$O159*1000*'Inputs Yr 2'!AC159,"")</f>
        <v>0</v>
      </c>
      <c r="AX159" s="197">
        <f>IFERROR($CT159*((INDEX(avoidedcosttbl2,$H159,AX$2))+(($H159-ROUNDDOWN($H159,0))*((INDEX(avoidedcosttbl2,ROUNDUP($H159,0),AX$2))-(INDEX(avoidedcosttbl2,ROUNDDOWN($H159,0),AX$2)))))*$O159*1000*'Inputs Yr 2'!AD159,"")</f>
        <v>0</v>
      </c>
      <c r="AY159" s="197">
        <f>IFERROR(((INDEX(avoidedcosttbl2,$H159,AY$2))+(($H159-ROUNDDOWN($H159,0))*((INDEX(avoidedcosttbl2,ROUNDUP($H159,0),AY$2))-(INDEX(avoidedcosttbl2,ROUNDDOWN($H159,0),AY$2)))))*$O159*1000*('Inputs Yr 2'!AC159+'Inputs Yr 2'!AD159),"")</f>
        <v>0</v>
      </c>
      <c r="AZ159" s="197">
        <f>IFERROR(((INDEX(avoidedcosttbl2,$H159,AZ$2))+(($H159-ROUNDDOWN($H159,0))*((INDEX(avoidedcosttbl2,ROUNDUP($H159,0),AZ$2))-(INDEX(avoidedcosttbl2,ROUNDDOWN($H159,0),AZ$2)))))*$O159*1000*('Inputs Yr 2'!AA159+'Inputs Yr 2'!AB159),"")</f>
        <v>0</v>
      </c>
      <c r="BA159" s="198">
        <f t="shared" si="94"/>
        <v>0</v>
      </c>
      <c r="BB159" s="198">
        <f t="shared" si="95"/>
        <v>0</v>
      </c>
      <c r="BC159" s="195">
        <f t="shared" si="77"/>
        <v>0</v>
      </c>
      <c r="BD159" s="195">
        <f t="shared" si="78"/>
        <v>0</v>
      </c>
      <c r="BE159" s="195">
        <f t="shared" si="79"/>
        <v>0</v>
      </c>
      <c r="BF159" s="195">
        <f t="shared" si="80"/>
        <v>0</v>
      </c>
      <c r="BG159" s="195">
        <f t="shared" si="81"/>
        <v>0</v>
      </c>
      <c r="BH159" s="196">
        <f t="shared" si="96"/>
        <v>0</v>
      </c>
      <c r="BI159" s="196">
        <f t="shared" si="97"/>
        <v>0</v>
      </c>
      <c r="BJ159" s="195">
        <f>IFERROR($G159*(IF('Inputs Yr 2'!$AJ159=BJ$4,'Inputs Yr 2'!$AK159,IF('Inputs Yr 2'!$AL159=BJ$4,'Inputs Yr 2'!$AM159,IF('Inputs Yr 2'!$AN159=BJ$4,'Inputs Yr 2'!$AO159,0))))*(INDEX(avoidedcosttbl2,$H159,BJ$2)+(($H159-ROUNDDOWN($H159,0))*(INDEX(avoidedcosttbl2,ROUNDUP($H159,0),BJ$2)-(INDEX(avoidedcosttbl2,ROUNDDOWN($H159,0),BJ$2)))))*'Inputs Yr 2'!P159*'Inputs Yr 2'!Q159*'Inputs Yr 2'!U159,"")</f>
        <v>0</v>
      </c>
      <c r="BK159" s="195">
        <f>IFERROR($G159*(IF('Inputs Yr 2'!$AJ159=BK$4,'Inputs Yr 2'!$AK159,IF('Inputs Yr 2'!$AL159=BK$4,'Inputs Yr 2'!$AM159,IF('Inputs Yr 2'!$AN159=BK$4,'Inputs Yr 2'!$AO159,0))))*(INDEX(avoidedcosttbl2,$H159,BK$2)+(($H159-ROUNDDOWN($H159,0))*(INDEX(avoidedcosttbl2,ROUNDUP($H159,0),BK$2)-(INDEX(avoidedcosttbl2,ROUNDDOWN($H159,0),BK$2)))))*'Inputs Yr 2'!P159*'Inputs Yr 2'!Q159*'Inputs Yr 2'!U159,"")</f>
        <v>0</v>
      </c>
      <c r="BL159" s="195">
        <f>IFERROR($G159*(IF('Inputs Yr 2'!$AJ159=BL$4,'Inputs Yr 2'!$AK159,IF('Inputs Yr 2'!$AL159=BL$4,'Inputs Yr 2'!$AM159,IF('Inputs Yr 2'!$AN159=BL$4,'Inputs Yr 2'!$AO159,0))))*(INDEX(avoidedcosttbl2,$H159,BL$2)+(($H159-ROUNDDOWN($H159,0))*(INDEX(avoidedcosttbl2,ROUNDUP($H159,0),BL$2)-(INDEX(avoidedcosttbl2,ROUNDDOWN($H159,0),BL$2)))))*'Inputs Yr 2'!P159*'Inputs Yr 2'!Q159*'Inputs Yr 2'!U159,"")</f>
        <v>0</v>
      </c>
      <c r="BM159" s="195">
        <f>IFERROR($G159*(IF('Inputs Yr 2'!$AJ159=BM$4,'Inputs Yr 2'!$AK159,IF('Inputs Yr 2'!$AL159=BM$4,'Inputs Yr 2'!$AM159,IF('Inputs Yr 2'!$AN159=BM$4,'Inputs Yr 2'!$AO159,0))))*(INDEX(avoidedcosttbl2,$H159,BM$2)+(($H159-ROUNDDOWN($H159,0))*(INDEX(avoidedcosttbl2,ROUNDUP($H159,0),BM$2)-(INDEX(avoidedcosttbl2,ROUNDDOWN($H159,0),BM$2)))))*'Inputs Yr 2'!P159*'Inputs Yr 2'!Q159*'Inputs Yr 2'!U159,"")</f>
        <v>0</v>
      </c>
      <c r="BN159" s="195">
        <f>IFERROR($G159*(IF('Inputs Yr 2'!$AJ159=BN$4,'Inputs Yr 2'!$AK159,IF('Inputs Yr 2'!$AL159=BN$4,'Inputs Yr 2'!$AM159,IF('Inputs Yr 2'!$AN159=BN$4,'Inputs Yr 2'!$AO159,0))))*(INDEX(avoidedcosttbl2,$H159,BN$2)+(($H159-ROUNDDOWN($H159,0))*(INDEX(avoidedcosttbl2,ROUNDUP($H159,0),BN$2)-(INDEX(avoidedcosttbl2,ROUNDDOWN($H159,0),BN$2)))))*'Inputs Yr 2'!P159*'Inputs Yr 2'!Q159*'Inputs Yr 2'!U159,"")</f>
        <v>0</v>
      </c>
      <c r="BO159" s="195">
        <f>IFERROR($G159*(IF('Inputs Yr 2'!$AJ159=BO$4,'Inputs Yr 2'!$AK159,IF('Inputs Yr 2'!$AL159=BO$4,'Inputs Yr 2'!$AM159,IF('Inputs Yr 2'!$AN159=BO$4,'Inputs Yr 2'!$AO159,0))))*(INDEX(avoidedcosttbl2,$H159,BO$2)+(($H159-ROUNDDOWN($H159,0))*(INDEX(avoidedcosttbl2,ROUNDUP($H159,0),BO$2)-(INDEX(avoidedcosttbl2,ROUNDDOWN($H159,0),BO$2)))))*'Inputs Yr 2'!P159*'Inputs Yr 2'!Q159*'Inputs Yr 2'!U159,"")</f>
        <v>296412.12896041345</v>
      </c>
      <c r="BP159" s="195">
        <f>IFERROR($G159*(IF('Inputs Yr 2'!$AJ159=BP$4,'Inputs Yr 2'!$AK159,IF('Inputs Yr 2'!$AL159=BP$4,'Inputs Yr 2'!$AM159,IF('Inputs Yr 2'!$AN159=BP$4,'Inputs Yr 2'!$AO159,0))))*(INDEX(avoidedcosttbl2,$H159,BP$2)+(($H159-ROUNDDOWN($H159,0))*(INDEX(avoidedcosttbl2,ROUNDUP($H159,0),BP$2)-(INDEX(avoidedcosttbl2,ROUNDDOWN($H159,0),BP$2)))))*'Inputs Yr 2'!P159*'Inputs Yr 2'!Q159*'Inputs Yr 2'!U159,"")</f>
        <v>0</v>
      </c>
      <c r="BQ159" s="230">
        <f t="shared" si="98"/>
        <v>296412.12896041345</v>
      </c>
      <c r="BR159" s="197">
        <f t="shared" si="82"/>
        <v>4942.0823649795348</v>
      </c>
      <c r="BS159" s="197">
        <f>IFERROR(($G159*IF('Inputs Yr 2'!$AJ159=BM$4,'Inputs Yr 2'!$AK159,IF('Inputs Yr 2'!$AL159=BM$4,'Inputs Yr 2'!$AM159,IF('Inputs Yr 2'!$AN159=BM$4,'Inputs Yr 2'!$AO159,0))))*(INDEX(avoidedcosttbl2,$H159,BS$2)+(($H159-ROUNDDOWN($H159,0))*(INDEX(avoidedcosttbl2,ROUNDUP($H159,0),BS$2)-(INDEX(avoidedcosttbl2,ROUNDDOWN($H159,0),BS$2)))))*'Inputs Yr 2'!P159*'Inputs Yr 2'!Q159*'Inputs Yr 2'!U159,"")</f>
        <v>0</v>
      </c>
      <c r="BT159" s="197">
        <f>IFERROR(($G159*IF('Inputs Yr 2'!$AJ159=BK$4,'Inputs Yr 2'!$AK159,IF('Inputs Yr 2'!$AL159=BK$4,'Inputs Yr 2'!$AM159,IF('Inputs Yr 2'!$AN159=BK$4,'Inputs Yr 2'!$AO159,0))))*(INDEX(avoidedcosttbl2,$H159,BT$2)+(($H159-ROUNDDOWN($H159,0))*(INDEX(avoidedcosttbl2,ROUNDUP($H159,0),BT$2)-(INDEX(avoidedcosttbl2,ROUNDDOWN($H159,0),BT$2)))))*'Inputs Yr 2'!P159*'Inputs Yr 2'!Q159*'Inputs Yr 2'!U159,"")</f>
        <v>0</v>
      </c>
      <c r="BU159" s="197">
        <f>IFERROR(($G159*IF('Inputs Yr 2'!$AJ159=BL$4,'Inputs Yr 2'!$AK159,IF('Inputs Yr 2'!$AL159=BL$4,'Inputs Yr 2'!$AM159,IF('Inputs Yr 2'!$AN159=BL$4,'Inputs Yr 2'!$AO159,0))))*(INDEX(avoidedcosttbl2,$H159,BU$2)+(($H159-ROUNDDOWN($H159,0))*(INDEX(avoidedcosttbl2,ROUNDUP($H159,0),BU$2)-(INDEX(avoidedcosttbl2,ROUNDDOWN($H159,0),BU$2)))))*'Inputs Yr 2'!P159*'Inputs Yr 2'!Q159*'Inputs Yr 2'!U159,"")</f>
        <v>0</v>
      </c>
      <c r="BV159" s="775">
        <f>IFERROR(($G159*IF('Inputs Yr 2'!$AJ159=BJ$4,'Inputs Yr 2'!$AK159,IF('Inputs Yr 2'!$AL159=BJ$4,'Inputs Yr 2'!$AM159,IF('Inputs Yr 2'!$AN159=BJ$4,'Inputs Yr 2'!$AO159,0))))*(INDEX(avoidedcosttbl2,$H159,BV$2)+(($H159-ROUNDDOWN($H159,0))*(INDEX(avoidedcosttbl2,ROUNDUP($H159,0),BV$2)-(INDEX(avoidedcosttbl2,ROUNDDOWN($H159,0),BV$2)))))*'Inputs Yr 2'!P159*'Inputs Yr 2'!Q159*'Inputs Yr 2'!U159,"")</f>
        <v>0</v>
      </c>
      <c r="BW159" s="197">
        <f>IFERROR(($G159*IF('Inputs Yr 2'!$AJ159=BN$4,'Inputs Yr 2'!$AK159,IF('Inputs Yr 2'!$AL159=BN$4,'Inputs Yr 2'!$AM159,IF('Inputs Yr 2'!$AN159=BN$4,'Inputs Yr 2'!$AO159,0))))*(INDEX(avoidedcosttbl2,$H159,BW$2)+(($H159-ROUNDDOWN($H159,0))*(INDEX(avoidedcosttbl2,ROUNDUP($H159,0),BW$2)-(INDEX(avoidedcosttbl2,ROUNDDOWN($H159,0),BW$2)))))*'Inputs Yr 2'!P159*'Inputs Yr 2'!Q159*'Inputs Yr 2'!U159,"")</f>
        <v>0</v>
      </c>
      <c r="BX159" s="197">
        <f>IFERROR(($G159*IF('Inputs Yr 2'!$AJ159=BO$4,'Inputs Yr 2'!$AK159,IF('Inputs Yr 2'!$AL159=BO$4,'Inputs Yr 2'!$AM159,IF('Inputs Yr 2'!$AN159=BO$4,'Inputs Yr 2'!$AO159,0))))*(INDEX(avoidedcosttbl2,$H159,BX$2)+(($H159-ROUNDDOWN($H159,0))*(INDEX(avoidedcosttbl2,ROUNDUP($H159,0),BX$2)-(INDEX(avoidedcosttbl2,ROUNDDOWN($H159,0),BX$2)))))*'Inputs Yr 2'!P159*'Inputs Yr 2'!Q159*'Inputs Yr 2'!U159,"")</f>
        <v>16189.691194238458</v>
      </c>
      <c r="BY159" s="197">
        <f>IFERROR(($G159*IF('Inputs Yr 2'!$AJ159=BP$4,'Inputs Yr 2'!$AK159,IF('Inputs Yr 2'!$AL159=BP$4,'Inputs Yr 2'!$AM159,IF('Inputs Yr 2'!$AN159=BP$4,'Inputs Yr 2'!$AO159,0))))*(INDEX(avoidedcosttbl2,$H159,BY$2)+(($H159-ROUNDDOWN($H159,0))*(INDEX(avoidedcosttbl2,ROUNDUP($H159,0),BY$2)-(INDEX(avoidedcosttbl2,ROUNDDOWN($H159,0),BY$2)))))*'Inputs Yr 2'!P159*'Inputs Yr 2'!Q159*'Inputs Yr 2'!U159,"")</f>
        <v>0</v>
      </c>
      <c r="BZ159" s="193">
        <f t="shared" si="99"/>
        <v>21131.773559217992</v>
      </c>
      <c r="CA159" s="193">
        <f t="shared" si="100"/>
        <v>317543.90251963143</v>
      </c>
      <c r="CB159" s="195">
        <f>IFERROR(G159*(IF('Inputs Yr 2'!$AJ159=CB$4,'Inputs Yr 2'!$AK159,IF('Inputs Yr 2'!$AL159=CB$4,'Inputs Yr 2'!$AM159,IF('Inputs Yr 2'!$AN159=CB$4,'Inputs Yr 2'!$AO159,0))))*(INDEX(avoidedcosttbl2,$H159,CB$2)+(($H159-ROUNDDOWN($H159,0))*(INDEX(avoidedcosttbl2,ROUNDUP($H159,0),CB$2)-(INDEX(avoidedcosttbl2,ROUNDDOWN($H159,0),CB$2)))))*'Inputs Yr 2'!P159*'Inputs Yr 2'!Q159*'Inputs Yr 2'!U159,"")</f>
        <v>0</v>
      </c>
      <c r="CC159" s="195">
        <f>IFERROR(H159*(IF('Inputs Yr 2'!$AJ159=CC$4,'Inputs Yr 2'!$AK159,IF('Inputs Yr 2'!$AL159=CC$4,'Inputs Yr 2'!$AM159,IF('Inputs Yr 2'!$AN159=CC$4,'Inputs Yr 2'!$AO159,0))))*(INDEX(avoidedcosttbl2,$H159,CC$2)+(($H159-ROUNDDOWN($H159,0))*(INDEX(avoidedcosttbl2,ROUNDUP($H159,0),CC$2)-(INDEX(avoidedcosttbl2,ROUNDDOWN($H159,0),CC$2)))))*'Inputs Yr 2'!Q159*'Inputs Yr 2'!R159*'Inputs Yr 2'!V159,"")</f>
        <v>0</v>
      </c>
      <c r="CD159" s="195">
        <f>IFERROR(I159*(IF('Inputs Yr 2'!$AJ159=CD$4,'Inputs Yr 2'!$AK159,IF('Inputs Yr 2'!$AL159=CD$4,'Inputs Yr 2'!$AM159,IF('Inputs Yr 2'!$AN159=CD$4,'Inputs Yr 2'!$AO159,0))))*(INDEX(avoidedcosttbl2,$H159,CD$2)+(($H159-ROUNDDOWN($H159,0))*(INDEX(avoidedcosttbl2,ROUNDUP($H159,0),CD$2)-(INDEX(avoidedcosttbl2,ROUNDDOWN($H159,0),CD$2)))))*'Inputs Yr 2'!R159*'Inputs Yr 2'!S159*'Inputs Yr 2'!W159,"")</f>
        <v>0</v>
      </c>
      <c r="CE159" s="213">
        <f t="shared" si="101"/>
        <v>0</v>
      </c>
      <c r="CF159" s="213">
        <f t="shared" si="102"/>
        <v>0</v>
      </c>
      <c r="CG159" s="213">
        <f t="shared" si="103"/>
        <v>0</v>
      </c>
      <c r="CH159" s="698">
        <f t="shared" si="104"/>
        <v>317543.90251963143</v>
      </c>
      <c r="CI159" s="79">
        <f>IFERROR(($G159*'Inputs Yr 2'!$P159*'Inputs Yr 2'!$Q159*(((INDEX(avoidedcosttbl2,$H159,CI$2)+(($H159-ROUNDDOWN($H159,0))*(INDEX(avoidedcosttbl2,ROUNDUP($H159,0),CI$2)-INDEX(avoidedcosttbl2,ROUNDDOWN($H159,0),CI$2))))*'Inputs Yr 2'!AS159))),"")</f>
        <v>0</v>
      </c>
      <c r="CJ159" s="504">
        <f>IFERROR($G159*'Inputs Yr 2'!AT159*'Inputs Yr 2'!$P159*'Inputs Yr 2'!$Q159/((1+realdiscrt1)^-0.5),"")</f>
        <v>0</v>
      </c>
      <c r="CK159" s="79">
        <f>IFERROR((O159*1000*(((INDEX(avoidedcosttbl2,$H159,CK$2)+(($H159-ROUNDDOWN($H159,0))*(INDEX(avoidedcosttbl2,ROUNDUP($H159,0),CK$2)-INDEX(avoidedcosttbl2,ROUNDDOWN($H159,0),CK$2))))*'Inputs Yr 2'!AU159))),"")</f>
        <v>0</v>
      </c>
      <c r="CL159" s="504">
        <f>IFERROR(O159*1000*'Inputs Yr 2'!AV159/((1+realdiscrt1)^-0.5),"")</f>
        <v>0</v>
      </c>
      <c r="CM159" s="79">
        <f>IFERROR((AB159*'Inputs Yr 2'!AW159*(((INDEX(avoidedcosttbl2,$H159,CM$2)+(($H159-ROUNDDOWN($H159,0))*(INDEX(avoidedcosttbl2,ROUNDUP($H159,0),CM$2)-INDEX(avoidedcosttbl2,ROUNDDOWN($H159,0),CM$2)))))))*10,"")</f>
        <v>0</v>
      </c>
      <c r="CN159" s="504">
        <f>IFERROR(10*AB159*'Inputs Yr 2'!AX159/((1+realdiscrt1)^-0.5),"")</f>
        <v>0</v>
      </c>
      <c r="CO159" s="505">
        <f t="shared" si="105"/>
        <v>0</v>
      </c>
      <c r="CP159" s="230">
        <f t="shared" si="106"/>
        <v>317543.90251963143</v>
      </c>
      <c r="CQ159" s="199">
        <f>ROUND(IFERROR(IF(LEFT($A159,1)="C",'Avoided Costs'!$K$13,'Avoided Costs'!$K$12)+1,""),4)</f>
        <v>1.0720000000000001</v>
      </c>
      <c r="CR159" s="199">
        <f>ROUND(IFERROR(IF(LEFT($A159,1)="C",'Avoided Costs'!$L$13,'Avoided Costs'!$L$12)+1,""),4)</f>
        <v>1.04</v>
      </c>
      <c r="CS159" s="199">
        <f>ROUND(IFERROR(IF(LEFT($A159,1)="C",'Avoided Costs'!$M$13,'Avoided Costs'!$M$12)+1,""),4)</f>
        <v>1.0720000000000001</v>
      </c>
      <c r="CT159" s="199">
        <f>ROUND(IFERROR(IF(LEFT($A159,1)="C",'Avoided Costs'!$N$13,'Avoided Costs'!$N$12)+1,""),4)</f>
        <v>1.04</v>
      </c>
      <c r="CU159" s="199">
        <f>ROUND(IFERROR(IF(LEFT($A159,1)="C",'Avoided Costs'!$O$13,'Avoided Costs'!$O$12)+1,""),4)</f>
        <v>1.1120000000000001</v>
      </c>
      <c r="CV159" s="199">
        <f>ROUND(IFERROR(IF(LEFT($A159,1)="C",'Avoided Costs'!$P$13,'Avoided Costs'!$P$12)+1,""),4)</f>
        <v>1.095</v>
      </c>
      <c r="CW159" s="199">
        <f>ROUND(IFERROR(IF(LEFT($A159,1)="C",'Avoided Costs'!$Q$13,'Avoided Costs'!$Q$12)+1,""),4)</f>
        <v>1.1120000000000001</v>
      </c>
      <c r="CX159" s="200">
        <f>ROUND(IFERROR(IF(LEFT($A159,1)="C",'Avoided Costs'!$R$13,'Avoided Costs'!$R$12)+1,""),4)</f>
        <v>1.1120000000000001</v>
      </c>
    </row>
    <row r="160" spans="1:102" ht="12.75" customHeight="1">
      <c r="A160" s="91" t="str">
        <f>IF('Inputs Yr 2'!$B160=0,"",'Inputs Yr 2'!A160)</f>
        <v>C - Commercial &amp; Industrial</v>
      </c>
      <c r="B160" s="91" t="str">
        <f>IF('Inputs Yr 2'!$B160=0,"",'Inputs Yr 2'!B160)</f>
        <v>C1 - C&amp;I New Construction</v>
      </c>
      <c r="C160" s="91" t="str">
        <f>IF('Inputs Yr 2'!$B160=0,"",'Inputs Yr 2'!C160)</f>
        <v>C1a - C&amp;I New Buildings &amp; Major Renovations</v>
      </c>
      <c r="D160" s="91" t="str">
        <f>IF('Inputs Yr 2'!$B160=0,"",'Inputs Yr 2'!E160)</f>
        <v>Heating - Custom 25</v>
      </c>
      <c r="E160" s="93" t="str">
        <f>IF('Inputs Yr 2'!$B160=0,"",'Inputs Yr 2'!F160)</f>
        <v>G16C1a06</v>
      </c>
      <c r="F160" s="93" t="str">
        <f>IF('Inputs Yr 2'!$B160=0,"",'Inputs Yr 2'!G160)</f>
        <v>HVAC</v>
      </c>
      <c r="G160" s="95">
        <f>IF('Inputs Yr 2'!$H160&lt;&gt;0,('Inputs Yr 2'!H160),"")</f>
        <v>1</v>
      </c>
      <c r="H160" s="94">
        <f>IFERROR('Inputs Yr 2'!I160,"")</f>
        <v>25</v>
      </c>
      <c r="I160" s="298">
        <f>IFERROR('Inputs Yr 2'!J160*'Inputs Yr 2'!P160*G160,"")</f>
        <v>90367.108000000007</v>
      </c>
      <c r="J160" s="298">
        <f>IFERROR('Inputs Yr 2'!K160*G160,"")</f>
        <v>73749</v>
      </c>
      <c r="K160" s="298">
        <f t="shared" si="83"/>
        <v>16618.108000000007</v>
      </c>
      <c r="L160" s="194">
        <f>IFERROR(('Inputs Yr 2'!W160*G160)/1000,"")</f>
        <v>0</v>
      </c>
      <c r="M160" s="194">
        <f>IFERROR(L160*('Inputs Yr 2'!$Q160*'Inputs Yr 2'!$V160*'Inputs Yr 2'!$R160),"")</f>
        <v>0</v>
      </c>
      <c r="N160" s="194">
        <f t="shared" si="84"/>
        <v>0</v>
      </c>
      <c r="O160" s="194">
        <f>IFERROR(M160*'Inputs Yr 2'!P160,"")</f>
        <v>0</v>
      </c>
      <c r="P160" s="194">
        <f t="shared" si="85"/>
        <v>0</v>
      </c>
      <c r="Q160" s="194">
        <f>IFERROR($P160*'Inputs Yr 2'!AA160,"")</f>
        <v>0</v>
      </c>
      <c r="R160" s="194">
        <f>IFERROR($P160*'Inputs Yr 2'!AB160,"")</f>
        <v>0</v>
      </c>
      <c r="S160" s="194">
        <f>IFERROR($P160*'Inputs Yr 2'!AC160,"")</f>
        <v>0</v>
      </c>
      <c r="T160" s="194">
        <f>IFERROR($P160*'Inputs Yr 2'!AD160,"")</f>
        <v>0</v>
      </c>
      <c r="U160" s="194">
        <f>IFERROR(G160*'Inputs Yr 2'!$AE160*'Inputs Yr 2'!$P160*'Inputs Yr 2'!$Q160,"")</f>
        <v>0</v>
      </c>
      <c r="V160" s="194">
        <f>IFERROR($G160*'Inputs Yr 2'!$AE160*'Inputs Yr 2'!$AG160*'Inputs Yr 2'!Q160*'Inputs Yr 2'!$S160,"")</f>
        <v>0</v>
      </c>
      <c r="W160" s="194">
        <f>IFERROR($G160*'Inputs Yr 2'!$AE160*'Inputs Yr 2'!$AG160*'Inputs Yr 2'!P160*'Inputs Yr 2'!Q160*'Inputs Yr 2'!$S160,"")</f>
        <v>0</v>
      </c>
      <c r="X160" s="194">
        <f>IFERROR($G160*'Inputs Yr 2'!$AE160*'Inputs Yr 2'!$AF160*'Inputs Yr 2'!Q160*'Inputs Yr 2'!$T160,"")</f>
        <v>0</v>
      </c>
      <c r="Y160" s="194">
        <f>IFERROR($G160*'Inputs Yr 2'!$AE160*'Inputs Yr 2'!$AF160*'Inputs Yr 2'!P160*'Inputs Yr 2'!Q160*'Inputs Yr 2'!$T160,"")</f>
        <v>0</v>
      </c>
      <c r="Z160" s="257">
        <f>IFERROR($G160*'Inputs Yr 2'!$Q160*'Inputs Yr 2'!$U160*(IF(IFERROR(SEARCH("NG", 'Inputs Yr 2'!$AJ160),0),'Inputs Yr 2'!$AK160,0)+IF(IFERROR(SEARCH("NG", 'Inputs Yr 2'!$AL160),0),'Inputs Yr 2'!$AM160,0)+IF(IFERROR(SEARCH("NG", 'Inputs Yr 2'!$AN160),0),'Inputs Yr 2'!$AO160,0)),0)</f>
        <v>2998.2152000000001</v>
      </c>
      <c r="AA160" s="257">
        <f t="shared" si="86"/>
        <v>74955.38</v>
      </c>
      <c r="AB160" s="257">
        <f>IFERROR(Z160*'Inputs Yr 2'!$P160,0)</f>
        <v>2755.3597688</v>
      </c>
      <c r="AC160" s="257">
        <f t="shared" si="87"/>
        <v>68883.994219999993</v>
      </c>
      <c r="AD160" s="257">
        <f>IFERROR($G160*'Inputs Yr 2'!$Q160*'Inputs Yr 2'!$U160*(IF(IFERROR(SEARCH("Oil", 'Inputs Yr 2'!$AJ160), 0),'Inputs Yr 2'!$AK160,0)+IF(IFERROR(SEARCH("Oil", 'Inputs Yr 2'!$AL160), 0),'Inputs Yr 2'!$AM160,0)+IF(IFERROR(SEARCH("Oil", 'Inputs Yr 2'!$AN160), 0),'Inputs Yr 2'!$AO160,0)),0)</f>
        <v>0</v>
      </c>
      <c r="AE160" s="257">
        <f t="shared" si="88"/>
        <v>0</v>
      </c>
      <c r="AF160" s="257">
        <f>IFERROR(AD160*'Inputs Yr 2'!$P160,0)</f>
        <v>0</v>
      </c>
      <c r="AG160" s="257">
        <f t="shared" si="89"/>
        <v>0</v>
      </c>
      <c r="AH160" s="257">
        <f>IFERROR($G160*'Inputs Yr 2'!$Q160*'Inputs Yr 2'!$U160*(IF('Inputs Yr 2'!$AJ160=CD$4,'Inputs Yr 2'!$AK160,IF('Inputs Yr 2'!$AL160=CD$4,'Inputs Yr 2'!$AM160,IF('Inputs Yr 2'!$AN160=CD$4,'Inputs Yr 2'!$AO160,0)))),0)</f>
        <v>0</v>
      </c>
      <c r="AI160" s="257">
        <f t="shared" si="90"/>
        <v>0</v>
      </c>
      <c r="AJ160" s="257">
        <f>IFERROR(AH160*'Inputs Yr 2'!$P160,0)</f>
        <v>0</v>
      </c>
      <c r="AK160" s="257">
        <f t="shared" si="91"/>
        <v>0</v>
      </c>
      <c r="AL160" s="258">
        <f>IFERROR($G160*'Inputs Yr 2'!$P160*'Inputs Yr 2'!$Q160*'Inputs Yr 2'!AP160,0)</f>
        <v>0</v>
      </c>
      <c r="AM160" s="260">
        <f>IFERROR($G160*'Inputs Yr 2'!$P160*'Inputs Yr 2'!$Q160*'Inputs Yr 2'!AQ160,0)</f>
        <v>0</v>
      </c>
      <c r="AN160" s="258">
        <f>IFERROR($G160*'Inputs Yr 2'!$P160*'Inputs Yr 2'!$Q160*'Inputs Yr 2'!AR160,0)</f>
        <v>0</v>
      </c>
      <c r="AO160" s="257">
        <f t="shared" si="92"/>
        <v>0</v>
      </c>
      <c r="AP160" s="195">
        <f>IFERROR($CQ160*(INDEX(avoidedcosttbl2,$H160,AP$2)+(($H160-ROUNDDOWN($H160,0))*(INDEX(avoidedcosttbl2,ROUNDUP($H160,0),AP$2)-(INDEX(avoidedcosttbl2,ROUNDDOWN($H160,0),AP$2)))))*$O160*1000*'Inputs Yr 2'!AA160,"")</f>
        <v>0</v>
      </c>
      <c r="AQ160" s="195">
        <f>IFERROR($CR160*(INDEX(avoidedcosttbl2,$H160,AQ$2)+(($H160-ROUNDDOWN($H160,0))*(INDEX(avoidedcosttbl2,ROUNDUP($H160,0),AQ$2)-(INDEX(avoidedcosttbl2,ROUNDDOWN($H160,0),AQ$2)))))*$O160*1000*'Inputs Yr 2'!AB160,"")</f>
        <v>0</v>
      </c>
      <c r="AR160" s="195">
        <f>IFERROR($CS160*(INDEX(avoidedcosttbl2,$H160,AR$2)+(($H160-ROUNDDOWN($H160,0))*(INDEX(avoidedcosttbl2,ROUNDUP($H160,0),AR$2)-(INDEX(avoidedcosttbl2,ROUNDDOWN($H160,0),AR$2)))))*$O160*1000*'Inputs Yr 2'!AC160,"")</f>
        <v>0</v>
      </c>
      <c r="AS160" s="195">
        <f>IFERROR($CT160*(INDEX(avoidedcosttbl2,$H160,AS$2)+(($H160-ROUNDDOWN($H160,0))*(INDEX(avoidedcosttbl2,ROUNDUP($H160,0),AS$2)-(INDEX(avoidedcosttbl2,ROUNDDOWN($H160,0),AS$2)))))*$O160*1000*'Inputs Yr 2'!AD160,"")</f>
        <v>0</v>
      </c>
      <c r="AT160" s="196">
        <f t="shared" si="93"/>
        <v>0</v>
      </c>
      <c r="AU160" s="197">
        <f>IFERROR($CQ160*((INDEX(avoidedcosttbl2,$H160,AU$2))+(($H160-ROUNDDOWN($H160,0))*((INDEX(avoidedcosttbl2,ROUNDUP($H160,0),AU$2))-(INDEX(avoidedcosttbl2,ROUNDDOWN($H160,0),AU$2)))))*$O160*1000*'Inputs Yr 2'!AA160,"")</f>
        <v>0</v>
      </c>
      <c r="AV160" s="197">
        <f>IFERROR($CR160*((INDEX(avoidedcosttbl2,$H160,AV$2))+(($H160-ROUNDDOWN($H160,0))*((INDEX(avoidedcosttbl2,ROUNDUP($H160,0),AV$2))-(INDEX(avoidedcosttbl2,ROUNDDOWN($H160,0),AV$2)))))*$O160*1000*'Inputs Yr 2'!AB160,"")</f>
        <v>0</v>
      </c>
      <c r="AW160" s="197">
        <f>IFERROR($CS160*((INDEX(avoidedcosttbl2,$H160,AW$2))+(($H160-ROUNDDOWN($H160,0))*((INDEX(avoidedcosttbl2,ROUNDUP($H160,0),AW$2))-(INDEX(avoidedcosttbl2,ROUNDDOWN($H160,0),AW$2)))))*$O160*1000*'Inputs Yr 2'!AC160,"")</f>
        <v>0</v>
      </c>
      <c r="AX160" s="197">
        <f>IFERROR($CT160*((INDEX(avoidedcosttbl2,$H160,AX$2))+(($H160-ROUNDDOWN($H160,0))*((INDEX(avoidedcosttbl2,ROUNDUP($H160,0),AX$2))-(INDEX(avoidedcosttbl2,ROUNDDOWN($H160,0),AX$2)))))*$O160*1000*'Inputs Yr 2'!AD160,"")</f>
        <v>0</v>
      </c>
      <c r="AY160" s="197">
        <f>IFERROR(((INDEX(avoidedcosttbl2,$H160,AY$2))+(($H160-ROUNDDOWN($H160,0))*((INDEX(avoidedcosttbl2,ROUNDUP($H160,0),AY$2))-(INDEX(avoidedcosttbl2,ROUNDDOWN($H160,0),AY$2)))))*$O160*1000*('Inputs Yr 2'!AC160+'Inputs Yr 2'!AD160),"")</f>
        <v>0</v>
      </c>
      <c r="AZ160" s="197">
        <f>IFERROR(((INDEX(avoidedcosttbl2,$H160,AZ$2))+(($H160-ROUNDDOWN($H160,0))*((INDEX(avoidedcosttbl2,ROUNDUP($H160,0),AZ$2))-(INDEX(avoidedcosttbl2,ROUNDDOWN($H160,0),AZ$2)))))*$O160*1000*('Inputs Yr 2'!AA160+'Inputs Yr 2'!AB160),"")</f>
        <v>0</v>
      </c>
      <c r="BA160" s="198">
        <f t="shared" si="94"/>
        <v>0</v>
      </c>
      <c r="BB160" s="198">
        <f t="shared" si="95"/>
        <v>0</v>
      </c>
      <c r="BC160" s="195">
        <f t="shared" si="77"/>
        <v>0</v>
      </c>
      <c r="BD160" s="195">
        <f t="shared" si="78"/>
        <v>0</v>
      </c>
      <c r="BE160" s="195">
        <f t="shared" si="79"/>
        <v>0</v>
      </c>
      <c r="BF160" s="195">
        <f t="shared" si="80"/>
        <v>0</v>
      </c>
      <c r="BG160" s="195">
        <f t="shared" si="81"/>
        <v>0</v>
      </c>
      <c r="BH160" s="196">
        <f t="shared" si="96"/>
        <v>0</v>
      </c>
      <c r="BI160" s="196">
        <f t="shared" si="97"/>
        <v>0</v>
      </c>
      <c r="BJ160" s="195">
        <f>IFERROR($G160*(IF('Inputs Yr 2'!$AJ160=BJ$4,'Inputs Yr 2'!$AK160,IF('Inputs Yr 2'!$AL160=BJ$4,'Inputs Yr 2'!$AM160,IF('Inputs Yr 2'!$AN160=BJ$4,'Inputs Yr 2'!$AO160,0))))*(INDEX(avoidedcosttbl2,$H160,BJ$2)+(($H160-ROUNDDOWN($H160,0))*(INDEX(avoidedcosttbl2,ROUNDUP($H160,0),BJ$2)-(INDEX(avoidedcosttbl2,ROUNDDOWN($H160,0),BJ$2)))))*'Inputs Yr 2'!P160*'Inputs Yr 2'!Q160*'Inputs Yr 2'!U160,"")</f>
        <v>0</v>
      </c>
      <c r="BK160" s="195">
        <f>IFERROR($G160*(IF('Inputs Yr 2'!$AJ160=BK$4,'Inputs Yr 2'!$AK160,IF('Inputs Yr 2'!$AL160=BK$4,'Inputs Yr 2'!$AM160,IF('Inputs Yr 2'!$AN160=BK$4,'Inputs Yr 2'!$AO160,0))))*(INDEX(avoidedcosttbl2,$H160,BK$2)+(($H160-ROUNDDOWN($H160,0))*(INDEX(avoidedcosttbl2,ROUNDUP($H160,0),BK$2)-(INDEX(avoidedcosttbl2,ROUNDDOWN($H160,0),BK$2)))))*'Inputs Yr 2'!P160*'Inputs Yr 2'!Q160*'Inputs Yr 2'!U160,"")</f>
        <v>0</v>
      </c>
      <c r="BL160" s="195">
        <f>IFERROR($G160*(IF('Inputs Yr 2'!$AJ160=BL$4,'Inputs Yr 2'!$AK160,IF('Inputs Yr 2'!$AL160=BL$4,'Inputs Yr 2'!$AM160,IF('Inputs Yr 2'!$AN160=BL$4,'Inputs Yr 2'!$AO160,0))))*(INDEX(avoidedcosttbl2,$H160,BL$2)+(($H160-ROUNDDOWN($H160,0))*(INDEX(avoidedcosttbl2,ROUNDUP($H160,0),BL$2)-(INDEX(avoidedcosttbl2,ROUNDDOWN($H160,0),BL$2)))))*'Inputs Yr 2'!P160*'Inputs Yr 2'!Q160*'Inputs Yr 2'!U160,"")</f>
        <v>0</v>
      </c>
      <c r="BM160" s="195">
        <f>IFERROR($G160*(IF('Inputs Yr 2'!$AJ160=BM$4,'Inputs Yr 2'!$AK160,IF('Inputs Yr 2'!$AL160=BM$4,'Inputs Yr 2'!$AM160,IF('Inputs Yr 2'!$AN160=BM$4,'Inputs Yr 2'!$AO160,0))))*(INDEX(avoidedcosttbl2,$H160,BM$2)+(($H160-ROUNDDOWN($H160,0))*(INDEX(avoidedcosttbl2,ROUNDUP($H160,0),BM$2)-(INDEX(avoidedcosttbl2,ROUNDDOWN($H160,0),BM$2)))))*'Inputs Yr 2'!P160*'Inputs Yr 2'!Q160*'Inputs Yr 2'!U160,"")</f>
        <v>0</v>
      </c>
      <c r="BN160" s="195">
        <f>IFERROR($G160*(IF('Inputs Yr 2'!$AJ160=BN$4,'Inputs Yr 2'!$AK160,IF('Inputs Yr 2'!$AL160=BN$4,'Inputs Yr 2'!$AM160,IF('Inputs Yr 2'!$AN160=BN$4,'Inputs Yr 2'!$AO160,0))))*(INDEX(avoidedcosttbl2,$H160,BN$2)+(($H160-ROUNDDOWN($H160,0))*(INDEX(avoidedcosttbl2,ROUNDUP($H160,0),BN$2)-(INDEX(avoidedcosttbl2,ROUNDDOWN($H160,0),BN$2)))))*'Inputs Yr 2'!P160*'Inputs Yr 2'!Q160*'Inputs Yr 2'!U160,"")</f>
        <v>0</v>
      </c>
      <c r="BO160" s="195">
        <f>IFERROR($G160*(IF('Inputs Yr 2'!$AJ160=BO$4,'Inputs Yr 2'!$AK160,IF('Inputs Yr 2'!$AL160=BO$4,'Inputs Yr 2'!$AM160,IF('Inputs Yr 2'!$AN160=BO$4,'Inputs Yr 2'!$AO160,0))))*(INDEX(avoidedcosttbl2,$H160,BO$2)+(($H160-ROUNDDOWN($H160,0))*(INDEX(avoidedcosttbl2,ROUNDUP($H160,0),BO$2)-(INDEX(avoidedcosttbl2,ROUNDDOWN($H160,0),BO$2)))))*'Inputs Yr 2'!P160*'Inputs Yr 2'!Q160*'Inputs Yr 2'!U160,"")</f>
        <v>570732.12236864341</v>
      </c>
      <c r="BP160" s="195">
        <f>IFERROR($G160*(IF('Inputs Yr 2'!$AJ160=BP$4,'Inputs Yr 2'!$AK160,IF('Inputs Yr 2'!$AL160=BP$4,'Inputs Yr 2'!$AM160,IF('Inputs Yr 2'!$AN160=BP$4,'Inputs Yr 2'!$AO160,0))))*(INDEX(avoidedcosttbl2,$H160,BP$2)+(($H160-ROUNDDOWN($H160,0))*(INDEX(avoidedcosttbl2,ROUNDUP($H160,0),BP$2)-(INDEX(avoidedcosttbl2,ROUNDDOWN($H160,0),BP$2)))))*'Inputs Yr 2'!P160*'Inputs Yr 2'!Q160*'Inputs Yr 2'!U160,"")</f>
        <v>0</v>
      </c>
      <c r="BQ160" s="230">
        <f t="shared" si="98"/>
        <v>570732.12236864341</v>
      </c>
      <c r="BR160" s="197">
        <f t="shared" si="82"/>
        <v>9136.8792468007687</v>
      </c>
      <c r="BS160" s="197">
        <f>IFERROR(($G160*IF('Inputs Yr 2'!$AJ160=BM$4,'Inputs Yr 2'!$AK160,IF('Inputs Yr 2'!$AL160=BM$4,'Inputs Yr 2'!$AM160,IF('Inputs Yr 2'!$AN160=BM$4,'Inputs Yr 2'!$AO160,0))))*(INDEX(avoidedcosttbl2,$H160,BS$2)+(($H160-ROUNDDOWN($H160,0))*(INDEX(avoidedcosttbl2,ROUNDUP($H160,0),BS$2)-(INDEX(avoidedcosttbl2,ROUNDDOWN($H160,0),BS$2)))))*'Inputs Yr 2'!P160*'Inputs Yr 2'!Q160*'Inputs Yr 2'!U160,"")</f>
        <v>0</v>
      </c>
      <c r="BT160" s="197">
        <f>IFERROR(($G160*IF('Inputs Yr 2'!$AJ160=BK$4,'Inputs Yr 2'!$AK160,IF('Inputs Yr 2'!$AL160=BK$4,'Inputs Yr 2'!$AM160,IF('Inputs Yr 2'!$AN160=BK$4,'Inputs Yr 2'!$AO160,0))))*(INDEX(avoidedcosttbl2,$H160,BT$2)+(($H160-ROUNDDOWN($H160,0))*(INDEX(avoidedcosttbl2,ROUNDUP($H160,0),BT$2)-(INDEX(avoidedcosttbl2,ROUNDDOWN($H160,0),BT$2)))))*'Inputs Yr 2'!P160*'Inputs Yr 2'!Q160*'Inputs Yr 2'!U160,"")</f>
        <v>0</v>
      </c>
      <c r="BU160" s="197">
        <f>IFERROR(($G160*IF('Inputs Yr 2'!$AJ160=BL$4,'Inputs Yr 2'!$AK160,IF('Inputs Yr 2'!$AL160=BL$4,'Inputs Yr 2'!$AM160,IF('Inputs Yr 2'!$AN160=BL$4,'Inputs Yr 2'!$AO160,0))))*(INDEX(avoidedcosttbl2,$H160,BU$2)+(($H160-ROUNDDOWN($H160,0))*(INDEX(avoidedcosttbl2,ROUNDUP($H160,0),BU$2)-(INDEX(avoidedcosttbl2,ROUNDDOWN($H160,0),BU$2)))))*'Inputs Yr 2'!P160*'Inputs Yr 2'!Q160*'Inputs Yr 2'!U160,"")</f>
        <v>0</v>
      </c>
      <c r="BV160" s="775">
        <f>IFERROR(($G160*IF('Inputs Yr 2'!$AJ160=BJ$4,'Inputs Yr 2'!$AK160,IF('Inputs Yr 2'!$AL160=BJ$4,'Inputs Yr 2'!$AM160,IF('Inputs Yr 2'!$AN160=BJ$4,'Inputs Yr 2'!$AO160,0))))*(INDEX(avoidedcosttbl2,$H160,BV$2)+(($H160-ROUNDDOWN($H160,0))*(INDEX(avoidedcosttbl2,ROUNDUP($H160,0),BV$2)-(INDEX(avoidedcosttbl2,ROUNDDOWN($H160,0),BV$2)))))*'Inputs Yr 2'!P160*'Inputs Yr 2'!Q160*'Inputs Yr 2'!U160,"")</f>
        <v>0</v>
      </c>
      <c r="BW160" s="197">
        <f>IFERROR(($G160*IF('Inputs Yr 2'!$AJ160=BN$4,'Inputs Yr 2'!$AK160,IF('Inputs Yr 2'!$AL160=BN$4,'Inputs Yr 2'!$AM160,IF('Inputs Yr 2'!$AN160=BN$4,'Inputs Yr 2'!$AO160,0))))*(INDEX(avoidedcosttbl2,$H160,BW$2)+(($H160-ROUNDDOWN($H160,0))*(INDEX(avoidedcosttbl2,ROUNDUP($H160,0),BW$2)-(INDEX(avoidedcosttbl2,ROUNDDOWN($H160,0),BW$2)))))*'Inputs Yr 2'!P160*'Inputs Yr 2'!Q160*'Inputs Yr 2'!U160,"")</f>
        <v>0</v>
      </c>
      <c r="BX160" s="197">
        <f>IFERROR(($G160*IF('Inputs Yr 2'!$AJ160=BO$4,'Inputs Yr 2'!$AK160,IF('Inputs Yr 2'!$AL160=BO$4,'Inputs Yr 2'!$AM160,IF('Inputs Yr 2'!$AN160=BO$4,'Inputs Yr 2'!$AO160,0))))*(INDEX(avoidedcosttbl2,$H160,BX$2)+(($H160-ROUNDDOWN($H160,0))*(INDEX(avoidedcosttbl2,ROUNDUP($H160,0),BX$2)-(INDEX(avoidedcosttbl2,ROUNDDOWN($H160,0),BX$2)))))*'Inputs Yr 2'!P160*'Inputs Yr 2'!Q160*'Inputs Yr 2'!U160,"")</f>
        <v>25660.307661042789</v>
      </c>
      <c r="BY160" s="197">
        <f>IFERROR(($G160*IF('Inputs Yr 2'!$AJ160=BP$4,'Inputs Yr 2'!$AK160,IF('Inputs Yr 2'!$AL160=BP$4,'Inputs Yr 2'!$AM160,IF('Inputs Yr 2'!$AN160=BP$4,'Inputs Yr 2'!$AO160,0))))*(INDEX(avoidedcosttbl2,$H160,BY$2)+(($H160-ROUNDDOWN($H160,0))*(INDEX(avoidedcosttbl2,ROUNDUP($H160,0),BY$2)-(INDEX(avoidedcosttbl2,ROUNDDOWN($H160,0),BY$2)))))*'Inputs Yr 2'!P160*'Inputs Yr 2'!Q160*'Inputs Yr 2'!U160,"")</f>
        <v>0</v>
      </c>
      <c r="BZ160" s="193">
        <f t="shared" si="99"/>
        <v>34797.186907843556</v>
      </c>
      <c r="CA160" s="193">
        <f t="shared" si="100"/>
        <v>605529.30927648698</v>
      </c>
      <c r="CB160" s="195">
        <f>IFERROR(G160*(IF('Inputs Yr 2'!$AJ160=CB$4,'Inputs Yr 2'!$AK160,IF('Inputs Yr 2'!$AL160=CB$4,'Inputs Yr 2'!$AM160,IF('Inputs Yr 2'!$AN160=CB$4,'Inputs Yr 2'!$AO160,0))))*(INDEX(avoidedcosttbl2,$H160,CB$2)+(($H160-ROUNDDOWN($H160,0))*(INDEX(avoidedcosttbl2,ROUNDUP($H160,0),CB$2)-(INDEX(avoidedcosttbl2,ROUNDDOWN($H160,0),CB$2)))))*'Inputs Yr 2'!P160*'Inputs Yr 2'!Q160*'Inputs Yr 2'!U160,"")</f>
        <v>0</v>
      </c>
      <c r="CC160" s="195">
        <f>IFERROR(H160*(IF('Inputs Yr 2'!$AJ160=CC$4,'Inputs Yr 2'!$AK160,IF('Inputs Yr 2'!$AL160=CC$4,'Inputs Yr 2'!$AM160,IF('Inputs Yr 2'!$AN160=CC$4,'Inputs Yr 2'!$AO160,0))))*(INDEX(avoidedcosttbl2,$H160,CC$2)+(($H160-ROUNDDOWN($H160,0))*(INDEX(avoidedcosttbl2,ROUNDUP($H160,0),CC$2)-(INDEX(avoidedcosttbl2,ROUNDDOWN($H160,0),CC$2)))))*'Inputs Yr 2'!Q160*'Inputs Yr 2'!R160*'Inputs Yr 2'!V160,"")</f>
        <v>0</v>
      </c>
      <c r="CD160" s="195">
        <f>IFERROR(I160*(IF('Inputs Yr 2'!$AJ160=CD$4,'Inputs Yr 2'!$AK160,IF('Inputs Yr 2'!$AL160=CD$4,'Inputs Yr 2'!$AM160,IF('Inputs Yr 2'!$AN160=CD$4,'Inputs Yr 2'!$AO160,0))))*(INDEX(avoidedcosttbl2,$H160,CD$2)+(($H160-ROUNDDOWN($H160,0))*(INDEX(avoidedcosttbl2,ROUNDUP($H160,0),CD$2)-(INDEX(avoidedcosttbl2,ROUNDDOWN($H160,0),CD$2)))))*'Inputs Yr 2'!R160*'Inputs Yr 2'!S160*'Inputs Yr 2'!W160,"")</f>
        <v>0</v>
      </c>
      <c r="CE160" s="213">
        <f t="shared" si="101"/>
        <v>0</v>
      </c>
      <c r="CF160" s="213">
        <f t="shared" si="102"/>
        <v>0</v>
      </c>
      <c r="CG160" s="213">
        <f t="shared" si="103"/>
        <v>0</v>
      </c>
      <c r="CH160" s="698">
        <f t="shared" si="104"/>
        <v>605529.30927648698</v>
      </c>
      <c r="CI160" s="79">
        <f>IFERROR(($G160*'Inputs Yr 2'!$P160*'Inputs Yr 2'!$Q160*(((INDEX(avoidedcosttbl2,$H160,CI$2)+(($H160-ROUNDDOWN($H160,0))*(INDEX(avoidedcosttbl2,ROUNDUP($H160,0),CI$2)-INDEX(avoidedcosttbl2,ROUNDDOWN($H160,0),CI$2))))*'Inputs Yr 2'!AS160))),"")</f>
        <v>0</v>
      </c>
      <c r="CJ160" s="504">
        <f>IFERROR($G160*'Inputs Yr 2'!AT160*'Inputs Yr 2'!$P160*'Inputs Yr 2'!$Q160/((1+realdiscrt1)^-0.5),"")</f>
        <v>0</v>
      </c>
      <c r="CK160" s="79">
        <f>IFERROR((O160*1000*(((INDEX(avoidedcosttbl2,$H160,CK$2)+(($H160-ROUNDDOWN($H160,0))*(INDEX(avoidedcosttbl2,ROUNDUP($H160,0),CK$2)-INDEX(avoidedcosttbl2,ROUNDDOWN($H160,0),CK$2))))*'Inputs Yr 2'!AU160))),"")</f>
        <v>0</v>
      </c>
      <c r="CL160" s="504">
        <f>IFERROR(O160*1000*'Inputs Yr 2'!AV160/((1+realdiscrt1)^-0.5),"")</f>
        <v>0</v>
      </c>
      <c r="CM160" s="79">
        <f>IFERROR((AB160*'Inputs Yr 2'!AW160*(((INDEX(avoidedcosttbl2,$H160,CM$2)+(($H160-ROUNDDOWN($H160,0))*(INDEX(avoidedcosttbl2,ROUNDUP($H160,0),CM$2)-INDEX(avoidedcosttbl2,ROUNDDOWN($H160,0),CM$2)))))))*10,"")</f>
        <v>0</v>
      </c>
      <c r="CN160" s="504">
        <f>IFERROR(10*AB160*'Inputs Yr 2'!AX160/((1+realdiscrt1)^-0.5),"")</f>
        <v>0</v>
      </c>
      <c r="CO160" s="505">
        <f t="shared" si="105"/>
        <v>0</v>
      </c>
      <c r="CP160" s="230">
        <f t="shared" si="106"/>
        <v>605529.30927648698</v>
      </c>
      <c r="CQ160" s="199">
        <f>ROUND(IFERROR(IF(LEFT($A160,1)="C",'Avoided Costs'!$K$13,'Avoided Costs'!$K$12)+1,""),4)</f>
        <v>1.0720000000000001</v>
      </c>
      <c r="CR160" s="199">
        <f>ROUND(IFERROR(IF(LEFT($A160,1)="C",'Avoided Costs'!$L$13,'Avoided Costs'!$L$12)+1,""),4)</f>
        <v>1.04</v>
      </c>
      <c r="CS160" s="199">
        <f>ROUND(IFERROR(IF(LEFT($A160,1)="C",'Avoided Costs'!$M$13,'Avoided Costs'!$M$12)+1,""),4)</f>
        <v>1.0720000000000001</v>
      </c>
      <c r="CT160" s="199">
        <f>ROUND(IFERROR(IF(LEFT($A160,1)="C",'Avoided Costs'!$N$13,'Avoided Costs'!$N$12)+1,""),4)</f>
        <v>1.04</v>
      </c>
      <c r="CU160" s="199">
        <f>ROUND(IFERROR(IF(LEFT($A160,1)="C",'Avoided Costs'!$O$13,'Avoided Costs'!$O$12)+1,""),4)</f>
        <v>1.1120000000000001</v>
      </c>
      <c r="CV160" s="199">
        <f>ROUND(IFERROR(IF(LEFT($A160,1)="C",'Avoided Costs'!$P$13,'Avoided Costs'!$P$12)+1,""),4)</f>
        <v>1.095</v>
      </c>
      <c r="CW160" s="199">
        <f>ROUND(IFERROR(IF(LEFT($A160,1)="C",'Avoided Costs'!$Q$13,'Avoided Costs'!$Q$12)+1,""),4)</f>
        <v>1.1120000000000001</v>
      </c>
      <c r="CX160" s="200">
        <f>ROUND(IFERROR(IF(LEFT($A160,1)="C",'Avoided Costs'!$R$13,'Avoided Costs'!$R$12)+1,""),4)</f>
        <v>1.1120000000000001</v>
      </c>
    </row>
    <row r="161" spans="1:102" ht="12.75" customHeight="1">
      <c r="A161" s="91" t="str">
        <f>IF('Inputs Yr 2'!$B161=0,"",'Inputs Yr 2'!A161)</f>
        <v>C - Commercial &amp; Industrial</v>
      </c>
      <c r="B161" s="91" t="str">
        <f>IF('Inputs Yr 2'!$B161=0,"",'Inputs Yr 2'!B161)</f>
        <v>C1 - C&amp;I New Construction</v>
      </c>
      <c r="C161" s="91" t="str">
        <f>IF('Inputs Yr 2'!$B161=0,"",'Inputs Yr 2'!C161)</f>
        <v>C1a - C&amp;I New Buildings &amp; Major Renovations</v>
      </c>
      <c r="D161" s="91" t="str">
        <f>IF('Inputs Yr 2'!$B161=0,"",'Inputs Yr 2'!E161)</f>
        <v>Heating - Prescriptive</v>
      </c>
      <c r="E161" s="93" t="str">
        <f>IF('Inputs Yr 2'!$B161=0,"",'Inputs Yr 2'!F161)</f>
        <v>G16C1a07</v>
      </c>
      <c r="F161" s="93" t="str">
        <f>IF('Inputs Yr 2'!$B161=0,"",'Inputs Yr 2'!G161)</f>
        <v>HVAC</v>
      </c>
      <c r="G161" s="95" t="str">
        <f>IF('Inputs Yr 2'!$H161&lt;&gt;0,('Inputs Yr 2'!H161),"")</f>
        <v/>
      </c>
      <c r="H161" s="94">
        <f>IFERROR('Inputs Yr 2'!I161,"")</f>
        <v>23</v>
      </c>
      <c r="I161" s="298" t="str">
        <f>IFERROR('Inputs Yr 2'!J161*'Inputs Yr 2'!P161*G161,"")</f>
        <v/>
      </c>
      <c r="J161" s="298" t="str">
        <f>IFERROR('Inputs Yr 2'!K161*G161,"")</f>
        <v/>
      </c>
      <c r="K161" s="298" t="str">
        <f t="shared" si="83"/>
        <v/>
      </c>
      <c r="L161" s="194" t="str">
        <f>IFERROR(('Inputs Yr 2'!W161*G161)/1000,"")</f>
        <v/>
      </c>
      <c r="M161" s="194" t="str">
        <f>IFERROR(L161*('Inputs Yr 2'!$Q161*'Inputs Yr 2'!$V161*'Inputs Yr 2'!$R161),"")</f>
        <v/>
      </c>
      <c r="N161" s="194" t="str">
        <f t="shared" si="84"/>
        <v/>
      </c>
      <c r="O161" s="194" t="str">
        <f>IFERROR(M161*'Inputs Yr 2'!P161,"")</f>
        <v/>
      </c>
      <c r="P161" s="194" t="str">
        <f t="shared" si="85"/>
        <v/>
      </c>
      <c r="Q161" s="194" t="str">
        <f>IFERROR($P161*'Inputs Yr 2'!AA161,"")</f>
        <v/>
      </c>
      <c r="R161" s="194" t="str">
        <f>IFERROR($P161*'Inputs Yr 2'!AB161,"")</f>
        <v/>
      </c>
      <c r="S161" s="194" t="str">
        <f>IFERROR($P161*'Inputs Yr 2'!AC161,"")</f>
        <v/>
      </c>
      <c r="T161" s="194" t="str">
        <f>IFERROR($P161*'Inputs Yr 2'!AD161,"")</f>
        <v/>
      </c>
      <c r="U161" s="194" t="str">
        <f>IFERROR(G161*'Inputs Yr 2'!$AE161*'Inputs Yr 2'!$P161*'Inputs Yr 2'!$Q161,"")</f>
        <v/>
      </c>
      <c r="V161" s="194" t="str">
        <f>IFERROR($G161*'Inputs Yr 2'!$AE161*'Inputs Yr 2'!$AG161*'Inputs Yr 2'!Q161*'Inputs Yr 2'!$S161,"")</f>
        <v/>
      </c>
      <c r="W161" s="194" t="str">
        <f>IFERROR($G161*'Inputs Yr 2'!$AE161*'Inputs Yr 2'!$AG161*'Inputs Yr 2'!P161*'Inputs Yr 2'!Q161*'Inputs Yr 2'!$S161,"")</f>
        <v/>
      </c>
      <c r="X161" s="194" t="str">
        <f>IFERROR($G161*'Inputs Yr 2'!$AE161*'Inputs Yr 2'!$AF161*'Inputs Yr 2'!Q161*'Inputs Yr 2'!$T161,"")</f>
        <v/>
      </c>
      <c r="Y161" s="194" t="str">
        <f>IFERROR($G161*'Inputs Yr 2'!$AE161*'Inputs Yr 2'!$AF161*'Inputs Yr 2'!P161*'Inputs Yr 2'!Q161*'Inputs Yr 2'!$T161,"")</f>
        <v/>
      </c>
      <c r="Z161" s="257">
        <f>IFERROR($G161*'Inputs Yr 2'!$Q161*'Inputs Yr 2'!$U161*(IF(IFERROR(SEARCH("NG", 'Inputs Yr 2'!$AJ161),0),'Inputs Yr 2'!$AK161,0)+IF(IFERROR(SEARCH("NG", 'Inputs Yr 2'!$AL161),0),'Inputs Yr 2'!$AM161,0)+IF(IFERROR(SEARCH("NG", 'Inputs Yr 2'!$AN161),0),'Inputs Yr 2'!$AO161,0)),0)</f>
        <v>0</v>
      </c>
      <c r="AA161" s="257">
        <f t="shared" si="86"/>
        <v>0</v>
      </c>
      <c r="AB161" s="257">
        <f>IFERROR(Z161*'Inputs Yr 2'!$P161,0)</f>
        <v>0</v>
      </c>
      <c r="AC161" s="257">
        <f t="shared" si="87"/>
        <v>0</v>
      </c>
      <c r="AD161" s="257">
        <f>IFERROR($G161*'Inputs Yr 2'!$Q161*'Inputs Yr 2'!$U161*(IF(IFERROR(SEARCH("Oil", 'Inputs Yr 2'!$AJ161), 0),'Inputs Yr 2'!$AK161,0)+IF(IFERROR(SEARCH("Oil", 'Inputs Yr 2'!$AL161), 0),'Inputs Yr 2'!$AM161,0)+IF(IFERROR(SEARCH("Oil", 'Inputs Yr 2'!$AN161), 0),'Inputs Yr 2'!$AO161,0)),0)</f>
        <v>0</v>
      </c>
      <c r="AE161" s="257">
        <f t="shared" si="88"/>
        <v>0</v>
      </c>
      <c r="AF161" s="257">
        <f>IFERROR(AD161*'Inputs Yr 2'!$P161,0)</f>
        <v>0</v>
      </c>
      <c r="AG161" s="257">
        <f t="shared" si="89"/>
        <v>0</v>
      </c>
      <c r="AH161" s="257">
        <f>IFERROR($G161*'Inputs Yr 2'!$Q161*'Inputs Yr 2'!$U161*(IF('Inputs Yr 2'!$AJ161=CD$4,'Inputs Yr 2'!$AK161,IF('Inputs Yr 2'!$AL161=CD$4,'Inputs Yr 2'!$AM161,IF('Inputs Yr 2'!$AN161=CD$4,'Inputs Yr 2'!$AO161,0)))),0)</f>
        <v>0</v>
      </c>
      <c r="AI161" s="257">
        <f t="shared" si="90"/>
        <v>0</v>
      </c>
      <c r="AJ161" s="257">
        <f>IFERROR(AH161*'Inputs Yr 2'!$P161,0)</f>
        <v>0</v>
      </c>
      <c r="AK161" s="257">
        <f t="shared" si="91"/>
        <v>0</v>
      </c>
      <c r="AL161" s="258">
        <f>IFERROR($G161*'Inputs Yr 2'!$P161*'Inputs Yr 2'!$Q161*'Inputs Yr 2'!AP161,0)</f>
        <v>0</v>
      </c>
      <c r="AM161" s="260">
        <f>IFERROR($G161*'Inputs Yr 2'!$P161*'Inputs Yr 2'!$Q161*'Inputs Yr 2'!AQ161,0)</f>
        <v>0</v>
      </c>
      <c r="AN161" s="258">
        <f>IFERROR($G161*'Inputs Yr 2'!$P161*'Inputs Yr 2'!$Q161*'Inputs Yr 2'!AR161,0)</f>
        <v>0</v>
      </c>
      <c r="AO161" s="257">
        <f t="shared" si="92"/>
        <v>0</v>
      </c>
      <c r="AP161" s="195" t="str">
        <f>IFERROR($CQ161*(INDEX(avoidedcosttbl2,$H161,AP$2)+(($H161-ROUNDDOWN($H161,0))*(INDEX(avoidedcosttbl2,ROUNDUP($H161,0),AP$2)-(INDEX(avoidedcosttbl2,ROUNDDOWN($H161,0),AP$2)))))*$O161*1000*'Inputs Yr 2'!AA161,"")</f>
        <v/>
      </c>
      <c r="AQ161" s="195" t="str">
        <f>IFERROR($CR161*(INDEX(avoidedcosttbl2,$H161,AQ$2)+(($H161-ROUNDDOWN($H161,0))*(INDEX(avoidedcosttbl2,ROUNDUP($H161,0),AQ$2)-(INDEX(avoidedcosttbl2,ROUNDDOWN($H161,0),AQ$2)))))*$O161*1000*'Inputs Yr 2'!AB161,"")</f>
        <v/>
      </c>
      <c r="AR161" s="195" t="str">
        <f>IFERROR($CS161*(INDEX(avoidedcosttbl2,$H161,AR$2)+(($H161-ROUNDDOWN($H161,0))*(INDEX(avoidedcosttbl2,ROUNDUP($H161,0),AR$2)-(INDEX(avoidedcosttbl2,ROUNDDOWN($H161,0),AR$2)))))*$O161*1000*'Inputs Yr 2'!AC161,"")</f>
        <v/>
      </c>
      <c r="AS161" s="195" t="str">
        <f>IFERROR($CT161*(INDEX(avoidedcosttbl2,$H161,AS$2)+(($H161-ROUNDDOWN($H161,0))*(INDEX(avoidedcosttbl2,ROUNDUP($H161,0),AS$2)-(INDEX(avoidedcosttbl2,ROUNDDOWN($H161,0),AS$2)))))*$O161*1000*'Inputs Yr 2'!AD161,"")</f>
        <v/>
      </c>
      <c r="AT161" s="196">
        <f t="shared" si="93"/>
        <v>0</v>
      </c>
      <c r="AU161" s="197" t="str">
        <f>IFERROR($CQ161*((INDEX(avoidedcosttbl2,$H161,AU$2))+(($H161-ROUNDDOWN($H161,0))*((INDEX(avoidedcosttbl2,ROUNDUP($H161,0),AU$2))-(INDEX(avoidedcosttbl2,ROUNDDOWN($H161,0),AU$2)))))*$O161*1000*'Inputs Yr 2'!AA161,"")</f>
        <v/>
      </c>
      <c r="AV161" s="197" t="str">
        <f>IFERROR($CR161*((INDEX(avoidedcosttbl2,$H161,AV$2))+(($H161-ROUNDDOWN($H161,0))*((INDEX(avoidedcosttbl2,ROUNDUP($H161,0),AV$2))-(INDEX(avoidedcosttbl2,ROUNDDOWN($H161,0),AV$2)))))*$O161*1000*'Inputs Yr 2'!AB161,"")</f>
        <v/>
      </c>
      <c r="AW161" s="197" t="str">
        <f>IFERROR($CS161*((INDEX(avoidedcosttbl2,$H161,AW$2))+(($H161-ROUNDDOWN($H161,0))*((INDEX(avoidedcosttbl2,ROUNDUP($H161,0),AW$2))-(INDEX(avoidedcosttbl2,ROUNDDOWN($H161,0),AW$2)))))*$O161*1000*'Inputs Yr 2'!AC161,"")</f>
        <v/>
      </c>
      <c r="AX161" s="197" t="str">
        <f>IFERROR($CT161*((INDEX(avoidedcosttbl2,$H161,AX$2))+(($H161-ROUNDDOWN($H161,0))*((INDEX(avoidedcosttbl2,ROUNDUP($H161,0),AX$2))-(INDEX(avoidedcosttbl2,ROUNDDOWN($H161,0),AX$2)))))*$O161*1000*'Inputs Yr 2'!AD161,"")</f>
        <v/>
      </c>
      <c r="AY161" s="197" t="str">
        <f>IFERROR(((INDEX(avoidedcosttbl2,$H161,AY$2))+(($H161-ROUNDDOWN($H161,0))*((INDEX(avoidedcosttbl2,ROUNDUP($H161,0),AY$2))-(INDEX(avoidedcosttbl2,ROUNDDOWN($H161,0),AY$2)))))*$O161*1000*('Inputs Yr 2'!AC161+'Inputs Yr 2'!AD161),"")</f>
        <v/>
      </c>
      <c r="AZ161" s="197" t="str">
        <f>IFERROR(((INDEX(avoidedcosttbl2,$H161,AZ$2))+(($H161-ROUNDDOWN($H161,0))*((INDEX(avoidedcosttbl2,ROUNDUP($H161,0),AZ$2))-(INDEX(avoidedcosttbl2,ROUNDDOWN($H161,0),AZ$2)))))*$O161*1000*('Inputs Yr 2'!AA161+'Inputs Yr 2'!AB161),"")</f>
        <v/>
      </c>
      <c r="BA161" s="198">
        <f t="shared" si="94"/>
        <v>0</v>
      </c>
      <c r="BB161" s="198">
        <f t="shared" si="95"/>
        <v>0</v>
      </c>
      <c r="BC161" s="195" t="str">
        <f t="shared" si="77"/>
        <v/>
      </c>
      <c r="BD161" s="195" t="str">
        <f t="shared" si="78"/>
        <v/>
      </c>
      <c r="BE161" s="195" t="str">
        <f t="shared" si="79"/>
        <v/>
      </c>
      <c r="BF161" s="195" t="str">
        <f t="shared" si="80"/>
        <v/>
      </c>
      <c r="BG161" s="195" t="str">
        <f t="shared" si="81"/>
        <v/>
      </c>
      <c r="BH161" s="196">
        <f t="shared" si="96"/>
        <v>0</v>
      </c>
      <c r="BI161" s="196">
        <f t="shared" si="97"/>
        <v>0</v>
      </c>
      <c r="BJ161" s="195" t="str">
        <f>IFERROR($G161*(IF('Inputs Yr 2'!$AJ161=BJ$4,'Inputs Yr 2'!$AK161,IF('Inputs Yr 2'!$AL161=BJ$4,'Inputs Yr 2'!$AM161,IF('Inputs Yr 2'!$AN161=BJ$4,'Inputs Yr 2'!$AO161,0))))*(INDEX(avoidedcosttbl2,$H161,BJ$2)+(($H161-ROUNDDOWN($H161,0))*(INDEX(avoidedcosttbl2,ROUNDUP($H161,0),BJ$2)-(INDEX(avoidedcosttbl2,ROUNDDOWN($H161,0),BJ$2)))))*'Inputs Yr 2'!P161*'Inputs Yr 2'!Q161*'Inputs Yr 2'!U161,"")</f>
        <v/>
      </c>
      <c r="BK161" s="195" t="str">
        <f>IFERROR($G161*(IF('Inputs Yr 2'!$AJ161=BK$4,'Inputs Yr 2'!$AK161,IF('Inputs Yr 2'!$AL161=BK$4,'Inputs Yr 2'!$AM161,IF('Inputs Yr 2'!$AN161=BK$4,'Inputs Yr 2'!$AO161,0))))*(INDEX(avoidedcosttbl2,$H161,BK$2)+(($H161-ROUNDDOWN($H161,0))*(INDEX(avoidedcosttbl2,ROUNDUP($H161,0),BK$2)-(INDEX(avoidedcosttbl2,ROUNDDOWN($H161,0),BK$2)))))*'Inputs Yr 2'!P161*'Inputs Yr 2'!Q161*'Inputs Yr 2'!U161,"")</f>
        <v/>
      </c>
      <c r="BL161" s="195" t="str">
        <f>IFERROR($G161*(IF('Inputs Yr 2'!$AJ161=BL$4,'Inputs Yr 2'!$AK161,IF('Inputs Yr 2'!$AL161=BL$4,'Inputs Yr 2'!$AM161,IF('Inputs Yr 2'!$AN161=BL$4,'Inputs Yr 2'!$AO161,0))))*(INDEX(avoidedcosttbl2,$H161,BL$2)+(($H161-ROUNDDOWN($H161,0))*(INDEX(avoidedcosttbl2,ROUNDUP($H161,0),BL$2)-(INDEX(avoidedcosttbl2,ROUNDDOWN($H161,0),BL$2)))))*'Inputs Yr 2'!P161*'Inputs Yr 2'!Q161*'Inputs Yr 2'!U161,"")</f>
        <v/>
      </c>
      <c r="BM161" s="195" t="str">
        <f>IFERROR($G161*(IF('Inputs Yr 2'!$AJ161=BM$4,'Inputs Yr 2'!$AK161,IF('Inputs Yr 2'!$AL161=BM$4,'Inputs Yr 2'!$AM161,IF('Inputs Yr 2'!$AN161=BM$4,'Inputs Yr 2'!$AO161,0))))*(INDEX(avoidedcosttbl2,$H161,BM$2)+(($H161-ROUNDDOWN($H161,0))*(INDEX(avoidedcosttbl2,ROUNDUP($H161,0),BM$2)-(INDEX(avoidedcosttbl2,ROUNDDOWN($H161,0),BM$2)))))*'Inputs Yr 2'!P161*'Inputs Yr 2'!Q161*'Inputs Yr 2'!U161,"")</f>
        <v/>
      </c>
      <c r="BN161" s="195" t="str">
        <f>IFERROR($G161*(IF('Inputs Yr 2'!$AJ161=BN$4,'Inputs Yr 2'!$AK161,IF('Inputs Yr 2'!$AL161=BN$4,'Inputs Yr 2'!$AM161,IF('Inputs Yr 2'!$AN161=BN$4,'Inputs Yr 2'!$AO161,0))))*(INDEX(avoidedcosttbl2,$H161,BN$2)+(($H161-ROUNDDOWN($H161,0))*(INDEX(avoidedcosttbl2,ROUNDUP($H161,0),BN$2)-(INDEX(avoidedcosttbl2,ROUNDDOWN($H161,0),BN$2)))))*'Inputs Yr 2'!P161*'Inputs Yr 2'!Q161*'Inputs Yr 2'!U161,"")</f>
        <v/>
      </c>
      <c r="BO161" s="195" t="str">
        <f>IFERROR($G161*(IF('Inputs Yr 2'!$AJ161=BO$4,'Inputs Yr 2'!$AK161,IF('Inputs Yr 2'!$AL161=BO$4,'Inputs Yr 2'!$AM161,IF('Inputs Yr 2'!$AN161=BO$4,'Inputs Yr 2'!$AO161,0))))*(INDEX(avoidedcosttbl2,$H161,BO$2)+(($H161-ROUNDDOWN($H161,0))*(INDEX(avoidedcosttbl2,ROUNDUP($H161,0),BO$2)-(INDEX(avoidedcosttbl2,ROUNDDOWN($H161,0),BO$2)))))*'Inputs Yr 2'!P161*'Inputs Yr 2'!Q161*'Inputs Yr 2'!U161,"")</f>
        <v/>
      </c>
      <c r="BP161" s="195" t="str">
        <f>IFERROR($G161*(IF('Inputs Yr 2'!$AJ161=BP$4,'Inputs Yr 2'!$AK161,IF('Inputs Yr 2'!$AL161=BP$4,'Inputs Yr 2'!$AM161,IF('Inputs Yr 2'!$AN161=BP$4,'Inputs Yr 2'!$AO161,0))))*(INDEX(avoidedcosttbl2,$H161,BP$2)+(($H161-ROUNDDOWN($H161,0))*(INDEX(avoidedcosttbl2,ROUNDUP($H161,0),BP$2)-(INDEX(avoidedcosttbl2,ROUNDDOWN($H161,0),BP$2)))))*'Inputs Yr 2'!P161*'Inputs Yr 2'!Q161*'Inputs Yr 2'!U161,"")</f>
        <v/>
      </c>
      <c r="BQ161" s="230">
        <f t="shared" si="98"/>
        <v>0</v>
      </c>
      <c r="BR161" s="197">
        <f t="shared" si="82"/>
        <v>0</v>
      </c>
      <c r="BS161" s="197" t="str">
        <f>IFERROR(($G161*IF('Inputs Yr 2'!$AJ161=BM$4,'Inputs Yr 2'!$AK161,IF('Inputs Yr 2'!$AL161=BM$4,'Inputs Yr 2'!$AM161,IF('Inputs Yr 2'!$AN161=BM$4,'Inputs Yr 2'!$AO161,0))))*(INDEX(avoidedcosttbl2,$H161,BS$2)+(($H161-ROUNDDOWN($H161,0))*(INDEX(avoidedcosttbl2,ROUNDUP($H161,0),BS$2)-(INDEX(avoidedcosttbl2,ROUNDDOWN($H161,0),BS$2)))))*'Inputs Yr 2'!P161*'Inputs Yr 2'!Q161*'Inputs Yr 2'!U161,"")</f>
        <v/>
      </c>
      <c r="BT161" s="197" t="str">
        <f>IFERROR(($G161*IF('Inputs Yr 2'!$AJ161=BK$4,'Inputs Yr 2'!$AK161,IF('Inputs Yr 2'!$AL161=BK$4,'Inputs Yr 2'!$AM161,IF('Inputs Yr 2'!$AN161=BK$4,'Inputs Yr 2'!$AO161,0))))*(INDEX(avoidedcosttbl2,$H161,BT$2)+(($H161-ROUNDDOWN($H161,0))*(INDEX(avoidedcosttbl2,ROUNDUP($H161,0),BT$2)-(INDEX(avoidedcosttbl2,ROUNDDOWN($H161,0),BT$2)))))*'Inputs Yr 2'!P161*'Inputs Yr 2'!Q161*'Inputs Yr 2'!U161,"")</f>
        <v/>
      </c>
      <c r="BU161" s="197" t="str">
        <f>IFERROR(($G161*IF('Inputs Yr 2'!$AJ161=BL$4,'Inputs Yr 2'!$AK161,IF('Inputs Yr 2'!$AL161=BL$4,'Inputs Yr 2'!$AM161,IF('Inputs Yr 2'!$AN161=BL$4,'Inputs Yr 2'!$AO161,0))))*(INDEX(avoidedcosttbl2,$H161,BU$2)+(($H161-ROUNDDOWN($H161,0))*(INDEX(avoidedcosttbl2,ROUNDUP($H161,0),BU$2)-(INDEX(avoidedcosttbl2,ROUNDDOWN($H161,0),BU$2)))))*'Inputs Yr 2'!P161*'Inputs Yr 2'!Q161*'Inputs Yr 2'!U161,"")</f>
        <v/>
      </c>
      <c r="BV161" s="775" t="str">
        <f>IFERROR(($G161*IF('Inputs Yr 2'!$AJ161=BJ$4,'Inputs Yr 2'!$AK161,IF('Inputs Yr 2'!$AL161=BJ$4,'Inputs Yr 2'!$AM161,IF('Inputs Yr 2'!$AN161=BJ$4,'Inputs Yr 2'!$AO161,0))))*(INDEX(avoidedcosttbl2,$H161,BV$2)+(($H161-ROUNDDOWN($H161,0))*(INDEX(avoidedcosttbl2,ROUNDUP($H161,0),BV$2)-(INDEX(avoidedcosttbl2,ROUNDDOWN($H161,0),BV$2)))))*'Inputs Yr 2'!P161*'Inputs Yr 2'!Q161*'Inputs Yr 2'!U161,"")</f>
        <v/>
      </c>
      <c r="BW161" s="197" t="str">
        <f>IFERROR(($G161*IF('Inputs Yr 2'!$AJ161=BN$4,'Inputs Yr 2'!$AK161,IF('Inputs Yr 2'!$AL161=BN$4,'Inputs Yr 2'!$AM161,IF('Inputs Yr 2'!$AN161=BN$4,'Inputs Yr 2'!$AO161,0))))*(INDEX(avoidedcosttbl2,$H161,BW$2)+(($H161-ROUNDDOWN($H161,0))*(INDEX(avoidedcosttbl2,ROUNDUP($H161,0),BW$2)-(INDEX(avoidedcosttbl2,ROUNDDOWN($H161,0),BW$2)))))*'Inputs Yr 2'!P161*'Inputs Yr 2'!Q161*'Inputs Yr 2'!U161,"")</f>
        <v/>
      </c>
      <c r="BX161" s="197" t="str">
        <f>IFERROR(($G161*IF('Inputs Yr 2'!$AJ161=BO$4,'Inputs Yr 2'!$AK161,IF('Inputs Yr 2'!$AL161=BO$4,'Inputs Yr 2'!$AM161,IF('Inputs Yr 2'!$AN161=BO$4,'Inputs Yr 2'!$AO161,0))))*(INDEX(avoidedcosttbl2,$H161,BX$2)+(($H161-ROUNDDOWN($H161,0))*(INDEX(avoidedcosttbl2,ROUNDUP($H161,0),BX$2)-(INDEX(avoidedcosttbl2,ROUNDDOWN($H161,0),BX$2)))))*'Inputs Yr 2'!P161*'Inputs Yr 2'!Q161*'Inputs Yr 2'!U161,"")</f>
        <v/>
      </c>
      <c r="BY161" s="197" t="str">
        <f>IFERROR(($G161*IF('Inputs Yr 2'!$AJ161=BP$4,'Inputs Yr 2'!$AK161,IF('Inputs Yr 2'!$AL161=BP$4,'Inputs Yr 2'!$AM161,IF('Inputs Yr 2'!$AN161=BP$4,'Inputs Yr 2'!$AO161,0))))*(INDEX(avoidedcosttbl2,$H161,BY$2)+(($H161-ROUNDDOWN($H161,0))*(INDEX(avoidedcosttbl2,ROUNDUP($H161,0),BY$2)-(INDEX(avoidedcosttbl2,ROUNDDOWN($H161,0),BY$2)))))*'Inputs Yr 2'!P161*'Inputs Yr 2'!Q161*'Inputs Yr 2'!U161,"")</f>
        <v/>
      </c>
      <c r="BZ161" s="193">
        <f t="shared" si="99"/>
        <v>0</v>
      </c>
      <c r="CA161" s="193">
        <f t="shared" si="100"/>
        <v>0</v>
      </c>
      <c r="CB161" s="195" t="str">
        <f>IFERROR(G161*(IF('Inputs Yr 2'!$AJ161=CB$4,'Inputs Yr 2'!$AK161,IF('Inputs Yr 2'!$AL161=CB$4,'Inputs Yr 2'!$AM161,IF('Inputs Yr 2'!$AN161=CB$4,'Inputs Yr 2'!$AO161,0))))*(INDEX(avoidedcosttbl2,$H161,CB$2)+(($H161-ROUNDDOWN($H161,0))*(INDEX(avoidedcosttbl2,ROUNDUP($H161,0),CB$2)-(INDEX(avoidedcosttbl2,ROUNDDOWN($H161,0),CB$2)))))*'Inputs Yr 2'!P161*'Inputs Yr 2'!Q161*'Inputs Yr 2'!U161,"")</f>
        <v/>
      </c>
      <c r="CC161" s="195">
        <f>IFERROR(H161*(IF('Inputs Yr 2'!$AJ161=CC$4,'Inputs Yr 2'!$AK161,IF('Inputs Yr 2'!$AL161=CC$4,'Inputs Yr 2'!$AM161,IF('Inputs Yr 2'!$AN161=CC$4,'Inputs Yr 2'!$AO161,0))))*(INDEX(avoidedcosttbl2,$H161,CC$2)+(($H161-ROUNDDOWN($H161,0))*(INDEX(avoidedcosttbl2,ROUNDUP($H161,0),CC$2)-(INDEX(avoidedcosttbl2,ROUNDDOWN($H161,0),CC$2)))))*'Inputs Yr 2'!Q161*'Inputs Yr 2'!R161*'Inputs Yr 2'!V161,"")</f>
        <v>0</v>
      </c>
      <c r="CD161" s="195" t="str">
        <f>IFERROR(I161*(IF('Inputs Yr 2'!$AJ161=CD$4,'Inputs Yr 2'!$AK161,IF('Inputs Yr 2'!$AL161=CD$4,'Inputs Yr 2'!$AM161,IF('Inputs Yr 2'!$AN161=CD$4,'Inputs Yr 2'!$AO161,0))))*(INDEX(avoidedcosttbl2,$H161,CD$2)+(($H161-ROUNDDOWN($H161,0))*(INDEX(avoidedcosttbl2,ROUNDUP($H161,0),CD$2)-(INDEX(avoidedcosttbl2,ROUNDDOWN($H161,0),CD$2)))))*'Inputs Yr 2'!R161*'Inputs Yr 2'!S161*'Inputs Yr 2'!W161,"")</f>
        <v/>
      </c>
      <c r="CE161" s="213">
        <f t="shared" si="101"/>
        <v>0</v>
      </c>
      <c r="CF161" s="213">
        <f t="shared" si="102"/>
        <v>0</v>
      </c>
      <c r="CG161" s="213">
        <f t="shared" si="103"/>
        <v>0</v>
      </c>
      <c r="CH161" s="698">
        <f t="shared" si="104"/>
        <v>0</v>
      </c>
      <c r="CI161" s="79" t="str">
        <f>IFERROR(($G161*'Inputs Yr 2'!$P161*'Inputs Yr 2'!$Q161*(((INDEX(avoidedcosttbl2,$H161,CI$2)+(($H161-ROUNDDOWN($H161,0))*(INDEX(avoidedcosttbl2,ROUNDUP($H161,0),CI$2)-INDEX(avoidedcosttbl2,ROUNDDOWN($H161,0),CI$2))))*'Inputs Yr 2'!AS161))),"")</f>
        <v/>
      </c>
      <c r="CJ161" s="504" t="str">
        <f>IFERROR($G161*'Inputs Yr 2'!AT161*'Inputs Yr 2'!$P161*'Inputs Yr 2'!$Q161/((1+realdiscrt1)^-0.5),"")</f>
        <v/>
      </c>
      <c r="CK161" s="79" t="str">
        <f>IFERROR((O161*1000*(((INDEX(avoidedcosttbl2,$H161,CK$2)+(($H161-ROUNDDOWN($H161,0))*(INDEX(avoidedcosttbl2,ROUNDUP($H161,0),CK$2)-INDEX(avoidedcosttbl2,ROUNDDOWN($H161,0),CK$2))))*'Inputs Yr 2'!AU161))),"")</f>
        <v/>
      </c>
      <c r="CL161" s="504" t="str">
        <f>IFERROR(O161*1000*'Inputs Yr 2'!AV161/((1+realdiscrt1)^-0.5),"")</f>
        <v/>
      </c>
      <c r="CM161" s="79">
        <f>IFERROR((AB161*'Inputs Yr 2'!AW161*(((INDEX(avoidedcosttbl2,$H161,CM$2)+(($H161-ROUNDDOWN($H161,0))*(INDEX(avoidedcosttbl2,ROUNDUP($H161,0),CM$2)-INDEX(avoidedcosttbl2,ROUNDDOWN($H161,0),CM$2)))))))*10,"")</f>
        <v>0</v>
      </c>
      <c r="CN161" s="504">
        <f>IFERROR(10*AB161*'Inputs Yr 2'!AX161/((1+realdiscrt1)^-0.5),"")</f>
        <v>0</v>
      </c>
      <c r="CO161" s="505">
        <f t="shared" si="105"/>
        <v>0</v>
      </c>
      <c r="CP161" s="230">
        <f t="shared" si="106"/>
        <v>0</v>
      </c>
      <c r="CQ161" s="199">
        <f>ROUND(IFERROR(IF(LEFT($A161,1)="C",'Avoided Costs'!$K$13,'Avoided Costs'!$K$12)+1,""),4)</f>
        <v>1.0720000000000001</v>
      </c>
      <c r="CR161" s="199">
        <f>ROUND(IFERROR(IF(LEFT($A161,1)="C",'Avoided Costs'!$L$13,'Avoided Costs'!$L$12)+1,""),4)</f>
        <v>1.04</v>
      </c>
      <c r="CS161" s="199">
        <f>ROUND(IFERROR(IF(LEFT($A161,1)="C",'Avoided Costs'!$M$13,'Avoided Costs'!$M$12)+1,""),4)</f>
        <v>1.0720000000000001</v>
      </c>
      <c r="CT161" s="199">
        <f>ROUND(IFERROR(IF(LEFT($A161,1)="C",'Avoided Costs'!$N$13,'Avoided Costs'!$N$12)+1,""),4)</f>
        <v>1.04</v>
      </c>
      <c r="CU161" s="199">
        <f>ROUND(IFERROR(IF(LEFT($A161,1)="C",'Avoided Costs'!$O$13,'Avoided Costs'!$O$12)+1,""),4)</f>
        <v>1.1120000000000001</v>
      </c>
      <c r="CV161" s="199">
        <f>ROUND(IFERROR(IF(LEFT($A161,1)="C",'Avoided Costs'!$P$13,'Avoided Costs'!$P$12)+1,""),4)</f>
        <v>1.095</v>
      </c>
      <c r="CW161" s="199">
        <f>ROUND(IFERROR(IF(LEFT($A161,1)="C",'Avoided Costs'!$Q$13,'Avoided Costs'!$Q$12)+1,""),4)</f>
        <v>1.1120000000000001</v>
      </c>
      <c r="CX161" s="200">
        <f>ROUND(IFERROR(IF(LEFT($A161,1)="C",'Avoided Costs'!$R$13,'Avoided Costs'!$R$12)+1,""),4)</f>
        <v>1.1120000000000001</v>
      </c>
    </row>
    <row r="162" spans="1:102" ht="12.75" customHeight="1">
      <c r="A162" s="91" t="str">
        <f>IF('Inputs Yr 2'!$B162=0,"",'Inputs Yr 2'!A162)</f>
        <v>C - Commercial &amp; Industrial</v>
      </c>
      <c r="B162" s="91" t="str">
        <f>IF('Inputs Yr 2'!$B162=0,"",'Inputs Yr 2'!B162)</f>
        <v>C1 - C&amp;I New Construction</v>
      </c>
      <c r="C162" s="91" t="str">
        <f>IF('Inputs Yr 2'!$B162=0,"",'Inputs Yr 2'!C162)</f>
        <v>C1a - C&amp;I New Buildings &amp; Major Renovations</v>
      </c>
      <c r="D162" s="91" t="str">
        <f>IF('Inputs Yr 2'!$B162=0,"",'Inputs Yr 2'!E162)</f>
        <v xml:space="preserve">Hot Water - Custom </v>
      </c>
      <c r="E162" s="93" t="str">
        <f>IF('Inputs Yr 2'!$B162=0,"",'Inputs Yr 2'!F162)</f>
        <v>G16C1a08</v>
      </c>
      <c r="F162" s="93" t="str">
        <f>IF('Inputs Yr 2'!$B162=0,"",'Inputs Yr 2'!G162)</f>
        <v>Hot Water</v>
      </c>
      <c r="G162" s="95" t="str">
        <f>IF('Inputs Yr 2'!$H162&lt;&gt;0,('Inputs Yr 2'!H162),"")</f>
        <v/>
      </c>
      <c r="H162" s="94">
        <f>IFERROR('Inputs Yr 2'!I162,"")</f>
        <v>15</v>
      </c>
      <c r="I162" s="298" t="str">
        <f>IFERROR('Inputs Yr 2'!J162*'Inputs Yr 2'!P162*G162,"")</f>
        <v/>
      </c>
      <c r="J162" s="298" t="str">
        <f>IFERROR('Inputs Yr 2'!K162*G162,"")</f>
        <v/>
      </c>
      <c r="K162" s="298" t="str">
        <f t="shared" si="83"/>
        <v/>
      </c>
      <c r="L162" s="194" t="str">
        <f>IFERROR(('Inputs Yr 2'!W162*G162)/1000,"")</f>
        <v/>
      </c>
      <c r="M162" s="194" t="str">
        <f>IFERROR(L162*('Inputs Yr 2'!$Q162*'Inputs Yr 2'!$V162*'Inputs Yr 2'!$R162),"")</f>
        <v/>
      </c>
      <c r="N162" s="194" t="str">
        <f t="shared" si="84"/>
        <v/>
      </c>
      <c r="O162" s="194" t="str">
        <f>IFERROR(M162*'Inputs Yr 2'!P162,"")</f>
        <v/>
      </c>
      <c r="P162" s="194" t="str">
        <f t="shared" si="85"/>
        <v/>
      </c>
      <c r="Q162" s="194" t="str">
        <f>IFERROR($P162*'Inputs Yr 2'!AA162,"")</f>
        <v/>
      </c>
      <c r="R162" s="194" t="str">
        <f>IFERROR($P162*'Inputs Yr 2'!AB162,"")</f>
        <v/>
      </c>
      <c r="S162" s="194" t="str">
        <f>IFERROR($P162*'Inputs Yr 2'!AC162,"")</f>
        <v/>
      </c>
      <c r="T162" s="194" t="str">
        <f>IFERROR($P162*'Inputs Yr 2'!AD162,"")</f>
        <v/>
      </c>
      <c r="U162" s="194" t="str">
        <f>IFERROR(G162*'Inputs Yr 2'!$AE162*'Inputs Yr 2'!$P162*'Inputs Yr 2'!$Q162,"")</f>
        <v/>
      </c>
      <c r="V162" s="194" t="str">
        <f>IFERROR($G162*'Inputs Yr 2'!$AE162*'Inputs Yr 2'!$AG162*'Inputs Yr 2'!Q162*'Inputs Yr 2'!$S162,"")</f>
        <v/>
      </c>
      <c r="W162" s="194" t="str">
        <f>IFERROR($G162*'Inputs Yr 2'!$AE162*'Inputs Yr 2'!$AG162*'Inputs Yr 2'!P162*'Inputs Yr 2'!Q162*'Inputs Yr 2'!$S162,"")</f>
        <v/>
      </c>
      <c r="X162" s="194" t="str">
        <f>IFERROR($G162*'Inputs Yr 2'!$AE162*'Inputs Yr 2'!$AF162*'Inputs Yr 2'!Q162*'Inputs Yr 2'!$T162,"")</f>
        <v/>
      </c>
      <c r="Y162" s="194" t="str">
        <f>IFERROR($G162*'Inputs Yr 2'!$AE162*'Inputs Yr 2'!$AF162*'Inputs Yr 2'!P162*'Inputs Yr 2'!Q162*'Inputs Yr 2'!$T162,"")</f>
        <v/>
      </c>
      <c r="Z162" s="257">
        <f>IFERROR($G162*'Inputs Yr 2'!$Q162*'Inputs Yr 2'!$U162*(IF(IFERROR(SEARCH("NG", 'Inputs Yr 2'!$AJ162),0),'Inputs Yr 2'!$AK162,0)+IF(IFERROR(SEARCH("NG", 'Inputs Yr 2'!$AL162),0),'Inputs Yr 2'!$AM162,0)+IF(IFERROR(SEARCH("NG", 'Inputs Yr 2'!$AN162),0),'Inputs Yr 2'!$AO162,0)),0)</f>
        <v>0</v>
      </c>
      <c r="AA162" s="257">
        <f t="shared" si="86"/>
        <v>0</v>
      </c>
      <c r="AB162" s="257">
        <f>IFERROR(Z162*'Inputs Yr 2'!$P162,0)</f>
        <v>0</v>
      </c>
      <c r="AC162" s="257">
        <f t="shared" si="87"/>
        <v>0</v>
      </c>
      <c r="AD162" s="257">
        <f>IFERROR($G162*'Inputs Yr 2'!$Q162*'Inputs Yr 2'!$U162*(IF(IFERROR(SEARCH("Oil", 'Inputs Yr 2'!$AJ162), 0),'Inputs Yr 2'!$AK162,0)+IF(IFERROR(SEARCH("Oil", 'Inputs Yr 2'!$AL162), 0),'Inputs Yr 2'!$AM162,0)+IF(IFERROR(SEARCH("Oil", 'Inputs Yr 2'!$AN162), 0),'Inputs Yr 2'!$AO162,0)),0)</f>
        <v>0</v>
      </c>
      <c r="AE162" s="257">
        <f t="shared" si="88"/>
        <v>0</v>
      </c>
      <c r="AF162" s="257">
        <f>IFERROR(AD162*'Inputs Yr 2'!$P162,0)</f>
        <v>0</v>
      </c>
      <c r="AG162" s="257">
        <f t="shared" si="89"/>
        <v>0</v>
      </c>
      <c r="AH162" s="257">
        <f>IFERROR($G162*'Inputs Yr 2'!$Q162*'Inputs Yr 2'!$U162*(IF('Inputs Yr 2'!$AJ162=CD$4,'Inputs Yr 2'!$AK162,IF('Inputs Yr 2'!$AL162=CD$4,'Inputs Yr 2'!$AM162,IF('Inputs Yr 2'!$AN162=CD$4,'Inputs Yr 2'!$AO162,0)))),0)</f>
        <v>0</v>
      </c>
      <c r="AI162" s="257">
        <f t="shared" si="90"/>
        <v>0</v>
      </c>
      <c r="AJ162" s="257">
        <f>IFERROR(AH162*'Inputs Yr 2'!$P162,0)</f>
        <v>0</v>
      </c>
      <c r="AK162" s="257">
        <f t="shared" si="91"/>
        <v>0</v>
      </c>
      <c r="AL162" s="258">
        <f>IFERROR($G162*'Inputs Yr 2'!$P162*'Inputs Yr 2'!$Q162*'Inputs Yr 2'!AP162,0)</f>
        <v>0</v>
      </c>
      <c r="AM162" s="260">
        <f>IFERROR($G162*'Inputs Yr 2'!$P162*'Inputs Yr 2'!$Q162*'Inputs Yr 2'!AQ162,0)</f>
        <v>0</v>
      </c>
      <c r="AN162" s="258">
        <f>IFERROR($G162*'Inputs Yr 2'!$P162*'Inputs Yr 2'!$Q162*'Inputs Yr 2'!AR162,0)</f>
        <v>0</v>
      </c>
      <c r="AO162" s="257">
        <f t="shared" si="92"/>
        <v>0</v>
      </c>
      <c r="AP162" s="195" t="str">
        <f>IFERROR($CQ162*(INDEX(avoidedcosttbl2,$H162,AP$2)+(($H162-ROUNDDOWN($H162,0))*(INDEX(avoidedcosttbl2,ROUNDUP($H162,0),AP$2)-(INDEX(avoidedcosttbl2,ROUNDDOWN($H162,0),AP$2)))))*$O162*1000*'Inputs Yr 2'!AA162,"")</f>
        <v/>
      </c>
      <c r="AQ162" s="195" t="str">
        <f>IFERROR($CR162*(INDEX(avoidedcosttbl2,$H162,AQ$2)+(($H162-ROUNDDOWN($H162,0))*(INDEX(avoidedcosttbl2,ROUNDUP($H162,0),AQ$2)-(INDEX(avoidedcosttbl2,ROUNDDOWN($H162,0),AQ$2)))))*$O162*1000*'Inputs Yr 2'!AB162,"")</f>
        <v/>
      </c>
      <c r="AR162" s="195" t="str">
        <f>IFERROR($CS162*(INDEX(avoidedcosttbl2,$H162,AR$2)+(($H162-ROUNDDOWN($H162,0))*(INDEX(avoidedcosttbl2,ROUNDUP($H162,0),AR$2)-(INDEX(avoidedcosttbl2,ROUNDDOWN($H162,0),AR$2)))))*$O162*1000*'Inputs Yr 2'!AC162,"")</f>
        <v/>
      </c>
      <c r="AS162" s="195" t="str">
        <f>IFERROR($CT162*(INDEX(avoidedcosttbl2,$H162,AS$2)+(($H162-ROUNDDOWN($H162,0))*(INDEX(avoidedcosttbl2,ROUNDUP($H162,0),AS$2)-(INDEX(avoidedcosttbl2,ROUNDDOWN($H162,0),AS$2)))))*$O162*1000*'Inputs Yr 2'!AD162,"")</f>
        <v/>
      </c>
      <c r="AT162" s="196">
        <f t="shared" si="93"/>
        <v>0</v>
      </c>
      <c r="AU162" s="197" t="str">
        <f>IFERROR($CQ162*((INDEX(avoidedcosttbl2,$H162,AU$2))+(($H162-ROUNDDOWN($H162,0))*((INDEX(avoidedcosttbl2,ROUNDUP($H162,0),AU$2))-(INDEX(avoidedcosttbl2,ROUNDDOWN($H162,0),AU$2)))))*$O162*1000*'Inputs Yr 2'!AA162,"")</f>
        <v/>
      </c>
      <c r="AV162" s="197" t="str">
        <f>IFERROR($CR162*((INDEX(avoidedcosttbl2,$H162,AV$2))+(($H162-ROUNDDOWN($H162,0))*((INDEX(avoidedcosttbl2,ROUNDUP($H162,0),AV$2))-(INDEX(avoidedcosttbl2,ROUNDDOWN($H162,0),AV$2)))))*$O162*1000*'Inputs Yr 2'!AB162,"")</f>
        <v/>
      </c>
      <c r="AW162" s="197" t="str">
        <f>IFERROR($CS162*((INDEX(avoidedcosttbl2,$H162,AW$2))+(($H162-ROUNDDOWN($H162,0))*((INDEX(avoidedcosttbl2,ROUNDUP($H162,0),AW$2))-(INDEX(avoidedcosttbl2,ROUNDDOWN($H162,0),AW$2)))))*$O162*1000*'Inputs Yr 2'!AC162,"")</f>
        <v/>
      </c>
      <c r="AX162" s="197" t="str">
        <f>IFERROR($CT162*((INDEX(avoidedcosttbl2,$H162,AX$2))+(($H162-ROUNDDOWN($H162,0))*((INDEX(avoidedcosttbl2,ROUNDUP($H162,0),AX$2))-(INDEX(avoidedcosttbl2,ROUNDDOWN($H162,0),AX$2)))))*$O162*1000*'Inputs Yr 2'!AD162,"")</f>
        <v/>
      </c>
      <c r="AY162" s="197" t="str">
        <f>IFERROR(((INDEX(avoidedcosttbl2,$H162,AY$2))+(($H162-ROUNDDOWN($H162,0))*((INDEX(avoidedcosttbl2,ROUNDUP($H162,0),AY$2))-(INDEX(avoidedcosttbl2,ROUNDDOWN($H162,0),AY$2)))))*$O162*1000*('Inputs Yr 2'!AC162+'Inputs Yr 2'!AD162),"")</f>
        <v/>
      </c>
      <c r="AZ162" s="197" t="str">
        <f>IFERROR(((INDEX(avoidedcosttbl2,$H162,AZ$2))+(($H162-ROUNDDOWN($H162,0))*((INDEX(avoidedcosttbl2,ROUNDUP($H162,0),AZ$2))-(INDEX(avoidedcosttbl2,ROUNDDOWN($H162,0),AZ$2)))))*$O162*1000*('Inputs Yr 2'!AA162+'Inputs Yr 2'!AB162),"")</f>
        <v/>
      </c>
      <c r="BA162" s="198">
        <f t="shared" si="94"/>
        <v>0</v>
      </c>
      <c r="BB162" s="198">
        <f t="shared" si="95"/>
        <v>0</v>
      </c>
      <c r="BC162" s="195" t="str">
        <f t="shared" si="77"/>
        <v/>
      </c>
      <c r="BD162" s="195" t="str">
        <f t="shared" si="78"/>
        <v/>
      </c>
      <c r="BE162" s="195" t="str">
        <f t="shared" si="79"/>
        <v/>
      </c>
      <c r="BF162" s="195" t="str">
        <f t="shared" si="80"/>
        <v/>
      </c>
      <c r="BG162" s="195" t="str">
        <f t="shared" si="81"/>
        <v/>
      </c>
      <c r="BH162" s="196">
        <f t="shared" si="96"/>
        <v>0</v>
      </c>
      <c r="BI162" s="196">
        <f t="shared" si="97"/>
        <v>0</v>
      </c>
      <c r="BJ162" s="195" t="str">
        <f>IFERROR($G162*(IF('Inputs Yr 2'!$AJ162=BJ$4,'Inputs Yr 2'!$AK162,IF('Inputs Yr 2'!$AL162=BJ$4,'Inputs Yr 2'!$AM162,IF('Inputs Yr 2'!$AN162=BJ$4,'Inputs Yr 2'!$AO162,0))))*(INDEX(avoidedcosttbl2,$H162,BJ$2)+(($H162-ROUNDDOWN($H162,0))*(INDEX(avoidedcosttbl2,ROUNDUP($H162,0),BJ$2)-(INDEX(avoidedcosttbl2,ROUNDDOWN($H162,0),BJ$2)))))*'Inputs Yr 2'!P162*'Inputs Yr 2'!Q162*'Inputs Yr 2'!U162,"")</f>
        <v/>
      </c>
      <c r="BK162" s="195" t="str">
        <f>IFERROR($G162*(IF('Inputs Yr 2'!$AJ162=BK$4,'Inputs Yr 2'!$AK162,IF('Inputs Yr 2'!$AL162=BK$4,'Inputs Yr 2'!$AM162,IF('Inputs Yr 2'!$AN162=BK$4,'Inputs Yr 2'!$AO162,0))))*(INDEX(avoidedcosttbl2,$H162,BK$2)+(($H162-ROUNDDOWN($H162,0))*(INDEX(avoidedcosttbl2,ROUNDUP($H162,0),BK$2)-(INDEX(avoidedcosttbl2,ROUNDDOWN($H162,0),BK$2)))))*'Inputs Yr 2'!P162*'Inputs Yr 2'!Q162*'Inputs Yr 2'!U162,"")</f>
        <v/>
      </c>
      <c r="BL162" s="195" t="str">
        <f>IFERROR($G162*(IF('Inputs Yr 2'!$AJ162=BL$4,'Inputs Yr 2'!$AK162,IF('Inputs Yr 2'!$AL162=BL$4,'Inputs Yr 2'!$AM162,IF('Inputs Yr 2'!$AN162=BL$4,'Inputs Yr 2'!$AO162,0))))*(INDEX(avoidedcosttbl2,$H162,BL$2)+(($H162-ROUNDDOWN($H162,0))*(INDEX(avoidedcosttbl2,ROUNDUP($H162,0),BL$2)-(INDEX(avoidedcosttbl2,ROUNDDOWN($H162,0),BL$2)))))*'Inputs Yr 2'!P162*'Inputs Yr 2'!Q162*'Inputs Yr 2'!U162,"")</f>
        <v/>
      </c>
      <c r="BM162" s="195" t="str">
        <f>IFERROR($G162*(IF('Inputs Yr 2'!$AJ162=BM$4,'Inputs Yr 2'!$AK162,IF('Inputs Yr 2'!$AL162=BM$4,'Inputs Yr 2'!$AM162,IF('Inputs Yr 2'!$AN162=BM$4,'Inputs Yr 2'!$AO162,0))))*(INDEX(avoidedcosttbl2,$H162,BM$2)+(($H162-ROUNDDOWN($H162,0))*(INDEX(avoidedcosttbl2,ROUNDUP($H162,0),BM$2)-(INDEX(avoidedcosttbl2,ROUNDDOWN($H162,0),BM$2)))))*'Inputs Yr 2'!P162*'Inputs Yr 2'!Q162*'Inputs Yr 2'!U162,"")</f>
        <v/>
      </c>
      <c r="BN162" s="195" t="str">
        <f>IFERROR($G162*(IF('Inputs Yr 2'!$AJ162=BN$4,'Inputs Yr 2'!$AK162,IF('Inputs Yr 2'!$AL162=BN$4,'Inputs Yr 2'!$AM162,IF('Inputs Yr 2'!$AN162=BN$4,'Inputs Yr 2'!$AO162,0))))*(INDEX(avoidedcosttbl2,$H162,BN$2)+(($H162-ROUNDDOWN($H162,0))*(INDEX(avoidedcosttbl2,ROUNDUP($H162,0),BN$2)-(INDEX(avoidedcosttbl2,ROUNDDOWN($H162,0),BN$2)))))*'Inputs Yr 2'!P162*'Inputs Yr 2'!Q162*'Inputs Yr 2'!U162,"")</f>
        <v/>
      </c>
      <c r="BO162" s="195" t="str">
        <f>IFERROR($G162*(IF('Inputs Yr 2'!$AJ162=BO$4,'Inputs Yr 2'!$AK162,IF('Inputs Yr 2'!$AL162=BO$4,'Inputs Yr 2'!$AM162,IF('Inputs Yr 2'!$AN162=BO$4,'Inputs Yr 2'!$AO162,0))))*(INDEX(avoidedcosttbl2,$H162,BO$2)+(($H162-ROUNDDOWN($H162,0))*(INDEX(avoidedcosttbl2,ROUNDUP($H162,0),BO$2)-(INDEX(avoidedcosttbl2,ROUNDDOWN($H162,0),BO$2)))))*'Inputs Yr 2'!P162*'Inputs Yr 2'!Q162*'Inputs Yr 2'!U162,"")</f>
        <v/>
      </c>
      <c r="BP162" s="195" t="str">
        <f>IFERROR($G162*(IF('Inputs Yr 2'!$AJ162=BP$4,'Inputs Yr 2'!$AK162,IF('Inputs Yr 2'!$AL162=BP$4,'Inputs Yr 2'!$AM162,IF('Inputs Yr 2'!$AN162=BP$4,'Inputs Yr 2'!$AO162,0))))*(INDEX(avoidedcosttbl2,$H162,BP$2)+(($H162-ROUNDDOWN($H162,0))*(INDEX(avoidedcosttbl2,ROUNDUP($H162,0),BP$2)-(INDEX(avoidedcosttbl2,ROUNDDOWN($H162,0),BP$2)))))*'Inputs Yr 2'!P162*'Inputs Yr 2'!Q162*'Inputs Yr 2'!U162,"")</f>
        <v/>
      </c>
      <c r="BQ162" s="230">
        <f t="shared" si="98"/>
        <v>0</v>
      </c>
      <c r="BR162" s="197">
        <f t="shared" si="82"/>
        <v>0</v>
      </c>
      <c r="BS162" s="197" t="str">
        <f>IFERROR(($G162*IF('Inputs Yr 2'!$AJ162=BM$4,'Inputs Yr 2'!$AK162,IF('Inputs Yr 2'!$AL162=BM$4,'Inputs Yr 2'!$AM162,IF('Inputs Yr 2'!$AN162=BM$4,'Inputs Yr 2'!$AO162,0))))*(INDEX(avoidedcosttbl2,$H162,BS$2)+(($H162-ROUNDDOWN($H162,0))*(INDEX(avoidedcosttbl2,ROUNDUP($H162,0),BS$2)-(INDEX(avoidedcosttbl2,ROUNDDOWN($H162,0),BS$2)))))*'Inputs Yr 2'!P162*'Inputs Yr 2'!Q162*'Inputs Yr 2'!U162,"")</f>
        <v/>
      </c>
      <c r="BT162" s="197" t="str">
        <f>IFERROR(($G162*IF('Inputs Yr 2'!$AJ162=BK$4,'Inputs Yr 2'!$AK162,IF('Inputs Yr 2'!$AL162=BK$4,'Inputs Yr 2'!$AM162,IF('Inputs Yr 2'!$AN162=BK$4,'Inputs Yr 2'!$AO162,0))))*(INDEX(avoidedcosttbl2,$H162,BT$2)+(($H162-ROUNDDOWN($H162,0))*(INDEX(avoidedcosttbl2,ROUNDUP($H162,0),BT$2)-(INDEX(avoidedcosttbl2,ROUNDDOWN($H162,0),BT$2)))))*'Inputs Yr 2'!P162*'Inputs Yr 2'!Q162*'Inputs Yr 2'!U162,"")</f>
        <v/>
      </c>
      <c r="BU162" s="197" t="str">
        <f>IFERROR(($G162*IF('Inputs Yr 2'!$AJ162=BL$4,'Inputs Yr 2'!$AK162,IF('Inputs Yr 2'!$AL162=BL$4,'Inputs Yr 2'!$AM162,IF('Inputs Yr 2'!$AN162=BL$4,'Inputs Yr 2'!$AO162,0))))*(INDEX(avoidedcosttbl2,$H162,BU$2)+(($H162-ROUNDDOWN($H162,0))*(INDEX(avoidedcosttbl2,ROUNDUP($H162,0),BU$2)-(INDEX(avoidedcosttbl2,ROUNDDOWN($H162,0),BU$2)))))*'Inputs Yr 2'!P162*'Inputs Yr 2'!Q162*'Inputs Yr 2'!U162,"")</f>
        <v/>
      </c>
      <c r="BV162" s="775" t="str">
        <f>IFERROR(($G162*IF('Inputs Yr 2'!$AJ162=BJ$4,'Inputs Yr 2'!$AK162,IF('Inputs Yr 2'!$AL162=BJ$4,'Inputs Yr 2'!$AM162,IF('Inputs Yr 2'!$AN162=BJ$4,'Inputs Yr 2'!$AO162,0))))*(INDEX(avoidedcosttbl2,$H162,BV$2)+(($H162-ROUNDDOWN($H162,0))*(INDEX(avoidedcosttbl2,ROUNDUP($H162,0),BV$2)-(INDEX(avoidedcosttbl2,ROUNDDOWN($H162,0),BV$2)))))*'Inputs Yr 2'!P162*'Inputs Yr 2'!Q162*'Inputs Yr 2'!U162,"")</f>
        <v/>
      </c>
      <c r="BW162" s="197" t="str">
        <f>IFERROR(($G162*IF('Inputs Yr 2'!$AJ162=BN$4,'Inputs Yr 2'!$AK162,IF('Inputs Yr 2'!$AL162=BN$4,'Inputs Yr 2'!$AM162,IF('Inputs Yr 2'!$AN162=BN$4,'Inputs Yr 2'!$AO162,0))))*(INDEX(avoidedcosttbl2,$H162,BW$2)+(($H162-ROUNDDOWN($H162,0))*(INDEX(avoidedcosttbl2,ROUNDUP($H162,0),BW$2)-(INDEX(avoidedcosttbl2,ROUNDDOWN($H162,0),BW$2)))))*'Inputs Yr 2'!P162*'Inputs Yr 2'!Q162*'Inputs Yr 2'!U162,"")</f>
        <v/>
      </c>
      <c r="BX162" s="197" t="str">
        <f>IFERROR(($G162*IF('Inputs Yr 2'!$AJ162=BO$4,'Inputs Yr 2'!$AK162,IF('Inputs Yr 2'!$AL162=BO$4,'Inputs Yr 2'!$AM162,IF('Inputs Yr 2'!$AN162=BO$4,'Inputs Yr 2'!$AO162,0))))*(INDEX(avoidedcosttbl2,$H162,BX$2)+(($H162-ROUNDDOWN($H162,0))*(INDEX(avoidedcosttbl2,ROUNDUP($H162,0),BX$2)-(INDEX(avoidedcosttbl2,ROUNDDOWN($H162,0),BX$2)))))*'Inputs Yr 2'!P162*'Inputs Yr 2'!Q162*'Inputs Yr 2'!U162,"")</f>
        <v/>
      </c>
      <c r="BY162" s="197" t="str">
        <f>IFERROR(($G162*IF('Inputs Yr 2'!$AJ162=BP$4,'Inputs Yr 2'!$AK162,IF('Inputs Yr 2'!$AL162=BP$4,'Inputs Yr 2'!$AM162,IF('Inputs Yr 2'!$AN162=BP$4,'Inputs Yr 2'!$AO162,0))))*(INDEX(avoidedcosttbl2,$H162,BY$2)+(($H162-ROUNDDOWN($H162,0))*(INDEX(avoidedcosttbl2,ROUNDUP($H162,0),BY$2)-(INDEX(avoidedcosttbl2,ROUNDDOWN($H162,0),BY$2)))))*'Inputs Yr 2'!P162*'Inputs Yr 2'!Q162*'Inputs Yr 2'!U162,"")</f>
        <v/>
      </c>
      <c r="BZ162" s="193">
        <f t="shared" si="99"/>
        <v>0</v>
      </c>
      <c r="CA162" s="193">
        <f t="shared" si="100"/>
        <v>0</v>
      </c>
      <c r="CB162" s="195" t="str">
        <f>IFERROR(G162*(IF('Inputs Yr 2'!$AJ162=CB$4,'Inputs Yr 2'!$AK162,IF('Inputs Yr 2'!$AL162=CB$4,'Inputs Yr 2'!$AM162,IF('Inputs Yr 2'!$AN162=CB$4,'Inputs Yr 2'!$AO162,0))))*(INDEX(avoidedcosttbl2,$H162,CB$2)+(($H162-ROUNDDOWN($H162,0))*(INDEX(avoidedcosttbl2,ROUNDUP($H162,0),CB$2)-(INDEX(avoidedcosttbl2,ROUNDDOWN($H162,0),CB$2)))))*'Inputs Yr 2'!P162*'Inputs Yr 2'!Q162*'Inputs Yr 2'!U162,"")</f>
        <v/>
      </c>
      <c r="CC162" s="195">
        <f>IFERROR(H162*(IF('Inputs Yr 2'!$AJ162=CC$4,'Inputs Yr 2'!$AK162,IF('Inputs Yr 2'!$AL162=CC$4,'Inputs Yr 2'!$AM162,IF('Inputs Yr 2'!$AN162=CC$4,'Inputs Yr 2'!$AO162,0))))*(INDEX(avoidedcosttbl2,$H162,CC$2)+(($H162-ROUNDDOWN($H162,0))*(INDEX(avoidedcosttbl2,ROUNDUP($H162,0),CC$2)-(INDEX(avoidedcosttbl2,ROUNDDOWN($H162,0),CC$2)))))*'Inputs Yr 2'!Q162*'Inputs Yr 2'!R162*'Inputs Yr 2'!V162,"")</f>
        <v>0</v>
      </c>
      <c r="CD162" s="195" t="str">
        <f>IFERROR(I162*(IF('Inputs Yr 2'!$AJ162=CD$4,'Inputs Yr 2'!$AK162,IF('Inputs Yr 2'!$AL162=CD$4,'Inputs Yr 2'!$AM162,IF('Inputs Yr 2'!$AN162=CD$4,'Inputs Yr 2'!$AO162,0))))*(INDEX(avoidedcosttbl2,$H162,CD$2)+(($H162-ROUNDDOWN($H162,0))*(INDEX(avoidedcosttbl2,ROUNDUP($H162,0),CD$2)-(INDEX(avoidedcosttbl2,ROUNDDOWN($H162,0),CD$2)))))*'Inputs Yr 2'!R162*'Inputs Yr 2'!S162*'Inputs Yr 2'!W162,"")</f>
        <v/>
      </c>
      <c r="CE162" s="213">
        <f t="shared" si="101"/>
        <v>0</v>
      </c>
      <c r="CF162" s="213">
        <f t="shared" si="102"/>
        <v>0</v>
      </c>
      <c r="CG162" s="213">
        <f t="shared" si="103"/>
        <v>0</v>
      </c>
      <c r="CH162" s="698">
        <f t="shared" si="104"/>
        <v>0</v>
      </c>
      <c r="CI162" s="79" t="str">
        <f>IFERROR(($G162*'Inputs Yr 2'!$P162*'Inputs Yr 2'!$Q162*(((INDEX(avoidedcosttbl2,$H162,CI$2)+(($H162-ROUNDDOWN($H162,0))*(INDEX(avoidedcosttbl2,ROUNDUP($H162,0),CI$2)-INDEX(avoidedcosttbl2,ROUNDDOWN($H162,0),CI$2))))*'Inputs Yr 2'!AS162))),"")</f>
        <v/>
      </c>
      <c r="CJ162" s="504" t="str">
        <f>IFERROR($G162*'Inputs Yr 2'!AT162*'Inputs Yr 2'!$P162*'Inputs Yr 2'!$Q162/((1+realdiscrt1)^-0.5),"")</f>
        <v/>
      </c>
      <c r="CK162" s="79" t="str">
        <f>IFERROR((O162*1000*(((INDEX(avoidedcosttbl2,$H162,CK$2)+(($H162-ROUNDDOWN($H162,0))*(INDEX(avoidedcosttbl2,ROUNDUP($H162,0),CK$2)-INDEX(avoidedcosttbl2,ROUNDDOWN($H162,0),CK$2))))*'Inputs Yr 2'!AU162))),"")</f>
        <v/>
      </c>
      <c r="CL162" s="504" t="str">
        <f>IFERROR(O162*1000*'Inputs Yr 2'!AV162/((1+realdiscrt1)^-0.5),"")</f>
        <v/>
      </c>
      <c r="CM162" s="79">
        <f>IFERROR((AB162*'Inputs Yr 2'!AW162*(((INDEX(avoidedcosttbl2,$H162,CM$2)+(($H162-ROUNDDOWN($H162,0))*(INDEX(avoidedcosttbl2,ROUNDUP($H162,0),CM$2)-INDEX(avoidedcosttbl2,ROUNDDOWN($H162,0),CM$2)))))))*10,"")</f>
        <v>0</v>
      </c>
      <c r="CN162" s="504">
        <f>IFERROR(10*AB162*'Inputs Yr 2'!AX162/((1+realdiscrt1)^-0.5),"")</f>
        <v>0</v>
      </c>
      <c r="CO162" s="505">
        <f t="shared" si="105"/>
        <v>0</v>
      </c>
      <c r="CP162" s="230">
        <f t="shared" si="106"/>
        <v>0</v>
      </c>
      <c r="CQ162" s="199">
        <f>ROUND(IFERROR(IF(LEFT($A162,1)="C",'Avoided Costs'!$K$13,'Avoided Costs'!$K$12)+1,""),4)</f>
        <v>1.0720000000000001</v>
      </c>
      <c r="CR162" s="199">
        <f>ROUND(IFERROR(IF(LEFT($A162,1)="C",'Avoided Costs'!$L$13,'Avoided Costs'!$L$12)+1,""),4)</f>
        <v>1.04</v>
      </c>
      <c r="CS162" s="199">
        <f>ROUND(IFERROR(IF(LEFT($A162,1)="C",'Avoided Costs'!$M$13,'Avoided Costs'!$M$12)+1,""),4)</f>
        <v>1.0720000000000001</v>
      </c>
      <c r="CT162" s="199">
        <f>ROUND(IFERROR(IF(LEFT($A162,1)="C",'Avoided Costs'!$N$13,'Avoided Costs'!$N$12)+1,""),4)</f>
        <v>1.04</v>
      </c>
      <c r="CU162" s="199">
        <f>ROUND(IFERROR(IF(LEFT($A162,1)="C",'Avoided Costs'!$O$13,'Avoided Costs'!$O$12)+1,""),4)</f>
        <v>1.1120000000000001</v>
      </c>
      <c r="CV162" s="199">
        <f>ROUND(IFERROR(IF(LEFT($A162,1)="C",'Avoided Costs'!$P$13,'Avoided Costs'!$P$12)+1,""),4)</f>
        <v>1.095</v>
      </c>
      <c r="CW162" s="199">
        <f>ROUND(IFERROR(IF(LEFT($A162,1)="C",'Avoided Costs'!$Q$13,'Avoided Costs'!$Q$12)+1,""),4)</f>
        <v>1.1120000000000001</v>
      </c>
      <c r="CX162" s="200">
        <f>ROUND(IFERROR(IF(LEFT($A162,1)="C",'Avoided Costs'!$R$13,'Avoided Costs'!$R$12)+1,""),4)</f>
        <v>1.1120000000000001</v>
      </c>
    </row>
    <row r="163" spans="1:102" ht="12.75" customHeight="1">
      <c r="A163" s="91" t="str">
        <f>IF('Inputs Yr 2'!$B163=0,"",'Inputs Yr 2'!A163)</f>
        <v>C - Commercial &amp; Industrial</v>
      </c>
      <c r="B163" s="91" t="str">
        <f>IF('Inputs Yr 2'!$B163=0,"",'Inputs Yr 2'!B163)</f>
        <v>C1 - C&amp;I New Construction</v>
      </c>
      <c r="C163" s="91" t="str">
        <f>IF('Inputs Yr 2'!$B163=0,"",'Inputs Yr 2'!C163)</f>
        <v>C1a - C&amp;I New Buildings &amp; Major Renovations</v>
      </c>
      <c r="D163" s="91" t="str">
        <f>IF('Inputs Yr 2'!$B163=0,"",'Inputs Yr 2'!E163)</f>
        <v>Hot Water - Prescriptive</v>
      </c>
      <c r="E163" s="93" t="str">
        <f>IF('Inputs Yr 2'!$B163=0,"",'Inputs Yr 2'!F163)</f>
        <v>G16C1a09</v>
      </c>
      <c r="F163" s="93" t="str">
        <f>IF('Inputs Yr 2'!$B163=0,"",'Inputs Yr 2'!G163)</f>
        <v>Hot Water</v>
      </c>
      <c r="G163" s="95" t="str">
        <f>IF('Inputs Yr 2'!$H163&lt;&gt;0,('Inputs Yr 2'!H163),"")</f>
        <v/>
      </c>
      <c r="H163" s="94">
        <f>IFERROR('Inputs Yr 2'!I163,"")</f>
        <v>0</v>
      </c>
      <c r="I163" s="298" t="str">
        <f>IFERROR('Inputs Yr 2'!J163*'Inputs Yr 2'!P163*G163,"")</f>
        <v/>
      </c>
      <c r="J163" s="298" t="str">
        <f>IFERROR('Inputs Yr 2'!K163*G163,"")</f>
        <v/>
      </c>
      <c r="K163" s="298" t="str">
        <f t="shared" si="83"/>
        <v/>
      </c>
      <c r="L163" s="194" t="str">
        <f>IFERROR(('Inputs Yr 2'!W163*G163)/1000,"")</f>
        <v/>
      </c>
      <c r="M163" s="194" t="str">
        <f>IFERROR(L163*('Inputs Yr 2'!$Q163*'Inputs Yr 2'!$V163*'Inputs Yr 2'!$R163),"")</f>
        <v/>
      </c>
      <c r="N163" s="194" t="str">
        <f t="shared" si="84"/>
        <v/>
      </c>
      <c r="O163" s="194" t="str">
        <f>IFERROR(M163*'Inputs Yr 2'!P163,"")</f>
        <v/>
      </c>
      <c r="P163" s="194" t="str">
        <f t="shared" si="85"/>
        <v/>
      </c>
      <c r="Q163" s="194" t="str">
        <f>IFERROR($P163*'Inputs Yr 2'!AA163,"")</f>
        <v/>
      </c>
      <c r="R163" s="194" t="str">
        <f>IFERROR($P163*'Inputs Yr 2'!AB163,"")</f>
        <v/>
      </c>
      <c r="S163" s="194" t="str">
        <f>IFERROR($P163*'Inputs Yr 2'!AC163,"")</f>
        <v/>
      </c>
      <c r="T163" s="194" t="str">
        <f>IFERROR($P163*'Inputs Yr 2'!AD163,"")</f>
        <v/>
      </c>
      <c r="U163" s="194" t="str">
        <f>IFERROR(G163*'Inputs Yr 2'!$AE163*'Inputs Yr 2'!$P163*'Inputs Yr 2'!$Q163,"")</f>
        <v/>
      </c>
      <c r="V163" s="194" t="str">
        <f>IFERROR($G163*'Inputs Yr 2'!$AE163*'Inputs Yr 2'!$AG163*'Inputs Yr 2'!Q163*'Inputs Yr 2'!$S163,"")</f>
        <v/>
      </c>
      <c r="W163" s="194" t="str">
        <f>IFERROR($G163*'Inputs Yr 2'!$AE163*'Inputs Yr 2'!$AG163*'Inputs Yr 2'!P163*'Inputs Yr 2'!Q163*'Inputs Yr 2'!$S163,"")</f>
        <v/>
      </c>
      <c r="X163" s="194" t="str">
        <f>IFERROR($G163*'Inputs Yr 2'!$AE163*'Inputs Yr 2'!$AF163*'Inputs Yr 2'!Q163*'Inputs Yr 2'!$T163,"")</f>
        <v/>
      </c>
      <c r="Y163" s="194" t="str">
        <f>IFERROR($G163*'Inputs Yr 2'!$AE163*'Inputs Yr 2'!$AF163*'Inputs Yr 2'!P163*'Inputs Yr 2'!Q163*'Inputs Yr 2'!$T163,"")</f>
        <v/>
      </c>
      <c r="Z163" s="257">
        <f>IFERROR($G163*'Inputs Yr 2'!$Q163*'Inputs Yr 2'!$U163*(IF(IFERROR(SEARCH("NG", 'Inputs Yr 2'!$AJ163),0),'Inputs Yr 2'!$AK163,0)+IF(IFERROR(SEARCH("NG", 'Inputs Yr 2'!$AL163),0),'Inputs Yr 2'!$AM163,0)+IF(IFERROR(SEARCH("NG", 'Inputs Yr 2'!$AN163),0),'Inputs Yr 2'!$AO163,0)),0)</f>
        <v>0</v>
      </c>
      <c r="AA163" s="257">
        <f t="shared" si="86"/>
        <v>0</v>
      </c>
      <c r="AB163" s="257">
        <f>IFERROR(Z163*'Inputs Yr 2'!$P163,0)</f>
        <v>0</v>
      </c>
      <c r="AC163" s="257">
        <f t="shared" si="87"/>
        <v>0</v>
      </c>
      <c r="AD163" s="257">
        <f>IFERROR($G163*'Inputs Yr 2'!$Q163*'Inputs Yr 2'!$U163*(IF(IFERROR(SEARCH("Oil", 'Inputs Yr 2'!$AJ163), 0),'Inputs Yr 2'!$AK163,0)+IF(IFERROR(SEARCH("Oil", 'Inputs Yr 2'!$AL163), 0),'Inputs Yr 2'!$AM163,0)+IF(IFERROR(SEARCH("Oil", 'Inputs Yr 2'!$AN163), 0),'Inputs Yr 2'!$AO163,0)),0)</f>
        <v>0</v>
      </c>
      <c r="AE163" s="257">
        <f t="shared" si="88"/>
        <v>0</v>
      </c>
      <c r="AF163" s="257">
        <f>IFERROR(AD163*'Inputs Yr 2'!$P163,0)</f>
        <v>0</v>
      </c>
      <c r="AG163" s="257">
        <f t="shared" si="89"/>
        <v>0</v>
      </c>
      <c r="AH163" s="257">
        <f>IFERROR($G163*'Inputs Yr 2'!$Q163*'Inputs Yr 2'!$U163*(IF('Inputs Yr 2'!$AJ163=CD$4,'Inputs Yr 2'!$AK163,IF('Inputs Yr 2'!$AL163=CD$4,'Inputs Yr 2'!$AM163,IF('Inputs Yr 2'!$AN163=CD$4,'Inputs Yr 2'!$AO163,0)))),0)</f>
        <v>0</v>
      </c>
      <c r="AI163" s="257">
        <f t="shared" si="90"/>
        <v>0</v>
      </c>
      <c r="AJ163" s="257">
        <f>IFERROR(AH163*'Inputs Yr 2'!$P163,0)</f>
        <v>0</v>
      </c>
      <c r="AK163" s="257">
        <f t="shared" si="91"/>
        <v>0</v>
      </c>
      <c r="AL163" s="258">
        <f>IFERROR($G163*'Inputs Yr 2'!$P163*'Inputs Yr 2'!$Q163*'Inputs Yr 2'!AP163,0)</f>
        <v>0</v>
      </c>
      <c r="AM163" s="260">
        <f>IFERROR($G163*'Inputs Yr 2'!$P163*'Inputs Yr 2'!$Q163*'Inputs Yr 2'!AQ163,0)</f>
        <v>0</v>
      </c>
      <c r="AN163" s="258">
        <f>IFERROR($G163*'Inputs Yr 2'!$P163*'Inputs Yr 2'!$Q163*'Inputs Yr 2'!AR163,0)</f>
        <v>0</v>
      </c>
      <c r="AO163" s="257">
        <f t="shared" si="92"/>
        <v>0</v>
      </c>
      <c r="AP163" s="195" t="str">
        <f>IFERROR($CQ163*(INDEX(avoidedcosttbl2,$H163,AP$2)+(($H163-ROUNDDOWN($H163,0))*(INDEX(avoidedcosttbl2,ROUNDUP($H163,0),AP$2)-(INDEX(avoidedcosttbl2,ROUNDDOWN($H163,0),AP$2)))))*$O163*1000*'Inputs Yr 2'!AA163,"")</f>
        <v/>
      </c>
      <c r="AQ163" s="195" t="str">
        <f>IFERROR($CR163*(INDEX(avoidedcosttbl2,$H163,AQ$2)+(($H163-ROUNDDOWN($H163,0))*(INDEX(avoidedcosttbl2,ROUNDUP($H163,0),AQ$2)-(INDEX(avoidedcosttbl2,ROUNDDOWN($H163,0),AQ$2)))))*$O163*1000*'Inputs Yr 2'!AB163,"")</f>
        <v/>
      </c>
      <c r="AR163" s="195" t="str">
        <f>IFERROR($CS163*(INDEX(avoidedcosttbl2,$H163,AR$2)+(($H163-ROUNDDOWN($H163,0))*(INDEX(avoidedcosttbl2,ROUNDUP($H163,0),AR$2)-(INDEX(avoidedcosttbl2,ROUNDDOWN($H163,0),AR$2)))))*$O163*1000*'Inputs Yr 2'!AC163,"")</f>
        <v/>
      </c>
      <c r="AS163" s="195" t="str">
        <f>IFERROR($CT163*(INDEX(avoidedcosttbl2,$H163,AS$2)+(($H163-ROUNDDOWN($H163,0))*(INDEX(avoidedcosttbl2,ROUNDUP($H163,0),AS$2)-(INDEX(avoidedcosttbl2,ROUNDDOWN($H163,0),AS$2)))))*$O163*1000*'Inputs Yr 2'!AD163,"")</f>
        <v/>
      </c>
      <c r="AT163" s="196">
        <f t="shared" si="93"/>
        <v>0</v>
      </c>
      <c r="AU163" s="197" t="str">
        <f>IFERROR($CQ163*((INDEX(avoidedcosttbl2,$H163,AU$2))+(($H163-ROUNDDOWN($H163,0))*((INDEX(avoidedcosttbl2,ROUNDUP($H163,0),AU$2))-(INDEX(avoidedcosttbl2,ROUNDDOWN($H163,0),AU$2)))))*$O163*1000*'Inputs Yr 2'!AA163,"")</f>
        <v/>
      </c>
      <c r="AV163" s="197" t="str">
        <f>IFERROR($CR163*((INDEX(avoidedcosttbl2,$H163,AV$2))+(($H163-ROUNDDOWN($H163,0))*((INDEX(avoidedcosttbl2,ROUNDUP($H163,0),AV$2))-(INDEX(avoidedcosttbl2,ROUNDDOWN($H163,0),AV$2)))))*$O163*1000*'Inputs Yr 2'!AB163,"")</f>
        <v/>
      </c>
      <c r="AW163" s="197" t="str">
        <f>IFERROR($CS163*((INDEX(avoidedcosttbl2,$H163,AW$2))+(($H163-ROUNDDOWN($H163,0))*((INDEX(avoidedcosttbl2,ROUNDUP($H163,0),AW$2))-(INDEX(avoidedcosttbl2,ROUNDDOWN($H163,0),AW$2)))))*$O163*1000*'Inputs Yr 2'!AC163,"")</f>
        <v/>
      </c>
      <c r="AX163" s="197" t="str">
        <f>IFERROR($CT163*((INDEX(avoidedcosttbl2,$H163,AX$2))+(($H163-ROUNDDOWN($H163,0))*((INDEX(avoidedcosttbl2,ROUNDUP($H163,0),AX$2))-(INDEX(avoidedcosttbl2,ROUNDDOWN($H163,0),AX$2)))))*$O163*1000*'Inputs Yr 2'!AD163,"")</f>
        <v/>
      </c>
      <c r="AY163" s="197" t="str">
        <f>IFERROR(((INDEX(avoidedcosttbl2,$H163,AY$2))+(($H163-ROUNDDOWN($H163,0))*((INDEX(avoidedcosttbl2,ROUNDUP($H163,0),AY$2))-(INDEX(avoidedcosttbl2,ROUNDDOWN($H163,0),AY$2)))))*$O163*1000*('Inputs Yr 2'!AC163+'Inputs Yr 2'!AD163),"")</f>
        <v/>
      </c>
      <c r="AZ163" s="197" t="str">
        <f>IFERROR(((INDEX(avoidedcosttbl2,$H163,AZ$2))+(($H163-ROUNDDOWN($H163,0))*((INDEX(avoidedcosttbl2,ROUNDUP($H163,0),AZ$2))-(INDEX(avoidedcosttbl2,ROUNDDOWN($H163,0),AZ$2)))))*$O163*1000*('Inputs Yr 2'!AA163+'Inputs Yr 2'!AB163),"")</f>
        <v/>
      </c>
      <c r="BA163" s="198">
        <f t="shared" si="94"/>
        <v>0</v>
      </c>
      <c r="BB163" s="198">
        <f t="shared" si="95"/>
        <v>0</v>
      </c>
      <c r="BC163" s="195" t="str">
        <f t="shared" si="77"/>
        <v/>
      </c>
      <c r="BD163" s="195" t="str">
        <f t="shared" si="78"/>
        <v/>
      </c>
      <c r="BE163" s="195" t="str">
        <f t="shared" si="79"/>
        <v/>
      </c>
      <c r="BF163" s="195" t="str">
        <f t="shared" si="80"/>
        <v/>
      </c>
      <c r="BG163" s="195" t="str">
        <f t="shared" si="81"/>
        <v/>
      </c>
      <c r="BH163" s="196">
        <f t="shared" si="96"/>
        <v>0</v>
      </c>
      <c r="BI163" s="196">
        <f t="shared" si="97"/>
        <v>0</v>
      </c>
      <c r="BJ163" s="195" t="str">
        <f>IFERROR($G163*(IF('Inputs Yr 2'!$AJ163=BJ$4,'Inputs Yr 2'!$AK163,IF('Inputs Yr 2'!$AL163=BJ$4,'Inputs Yr 2'!$AM163,IF('Inputs Yr 2'!$AN163=BJ$4,'Inputs Yr 2'!$AO163,0))))*(INDEX(avoidedcosttbl2,$H163,BJ$2)+(($H163-ROUNDDOWN($H163,0))*(INDEX(avoidedcosttbl2,ROUNDUP($H163,0),BJ$2)-(INDEX(avoidedcosttbl2,ROUNDDOWN($H163,0),BJ$2)))))*'Inputs Yr 2'!P163*'Inputs Yr 2'!Q163*'Inputs Yr 2'!U163,"")</f>
        <v/>
      </c>
      <c r="BK163" s="195" t="str">
        <f>IFERROR($G163*(IF('Inputs Yr 2'!$AJ163=BK$4,'Inputs Yr 2'!$AK163,IF('Inputs Yr 2'!$AL163=BK$4,'Inputs Yr 2'!$AM163,IF('Inputs Yr 2'!$AN163=BK$4,'Inputs Yr 2'!$AO163,0))))*(INDEX(avoidedcosttbl2,$H163,BK$2)+(($H163-ROUNDDOWN($H163,0))*(INDEX(avoidedcosttbl2,ROUNDUP($H163,0),BK$2)-(INDEX(avoidedcosttbl2,ROUNDDOWN($H163,0),BK$2)))))*'Inputs Yr 2'!P163*'Inputs Yr 2'!Q163*'Inputs Yr 2'!U163,"")</f>
        <v/>
      </c>
      <c r="BL163" s="195" t="str">
        <f>IFERROR($G163*(IF('Inputs Yr 2'!$AJ163=BL$4,'Inputs Yr 2'!$AK163,IF('Inputs Yr 2'!$AL163=BL$4,'Inputs Yr 2'!$AM163,IF('Inputs Yr 2'!$AN163=BL$4,'Inputs Yr 2'!$AO163,0))))*(INDEX(avoidedcosttbl2,$H163,BL$2)+(($H163-ROUNDDOWN($H163,0))*(INDEX(avoidedcosttbl2,ROUNDUP($H163,0),BL$2)-(INDEX(avoidedcosttbl2,ROUNDDOWN($H163,0),BL$2)))))*'Inputs Yr 2'!P163*'Inputs Yr 2'!Q163*'Inputs Yr 2'!U163,"")</f>
        <v/>
      </c>
      <c r="BM163" s="195" t="str">
        <f>IFERROR($G163*(IF('Inputs Yr 2'!$AJ163=BM$4,'Inputs Yr 2'!$AK163,IF('Inputs Yr 2'!$AL163=BM$4,'Inputs Yr 2'!$AM163,IF('Inputs Yr 2'!$AN163=BM$4,'Inputs Yr 2'!$AO163,0))))*(INDEX(avoidedcosttbl2,$H163,BM$2)+(($H163-ROUNDDOWN($H163,0))*(INDEX(avoidedcosttbl2,ROUNDUP($H163,0),BM$2)-(INDEX(avoidedcosttbl2,ROUNDDOWN($H163,0),BM$2)))))*'Inputs Yr 2'!P163*'Inputs Yr 2'!Q163*'Inputs Yr 2'!U163,"")</f>
        <v/>
      </c>
      <c r="BN163" s="195" t="str">
        <f>IFERROR($G163*(IF('Inputs Yr 2'!$AJ163=BN$4,'Inputs Yr 2'!$AK163,IF('Inputs Yr 2'!$AL163=BN$4,'Inputs Yr 2'!$AM163,IF('Inputs Yr 2'!$AN163=BN$4,'Inputs Yr 2'!$AO163,0))))*(INDEX(avoidedcosttbl2,$H163,BN$2)+(($H163-ROUNDDOWN($H163,0))*(INDEX(avoidedcosttbl2,ROUNDUP($H163,0),BN$2)-(INDEX(avoidedcosttbl2,ROUNDDOWN($H163,0),BN$2)))))*'Inputs Yr 2'!P163*'Inputs Yr 2'!Q163*'Inputs Yr 2'!U163,"")</f>
        <v/>
      </c>
      <c r="BO163" s="195" t="str">
        <f>IFERROR($G163*(IF('Inputs Yr 2'!$AJ163=BO$4,'Inputs Yr 2'!$AK163,IF('Inputs Yr 2'!$AL163=BO$4,'Inputs Yr 2'!$AM163,IF('Inputs Yr 2'!$AN163=BO$4,'Inputs Yr 2'!$AO163,0))))*(INDEX(avoidedcosttbl2,$H163,BO$2)+(($H163-ROUNDDOWN($H163,0))*(INDEX(avoidedcosttbl2,ROUNDUP($H163,0),BO$2)-(INDEX(avoidedcosttbl2,ROUNDDOWN($H163,0),BO$2)))))*'Inputs Yr 2'!P163*'Inputs Yr 2'!Q163*'Inputs Yr 2'!U163,"")</f>
        <v/>
      </c>
      <c r="BP163" s="195" t="str">
        <f>IFERROR($G163*(IF('Inputs Yr 2'!$AJ163=BP$4,'Inputs Yr 2'!$AK163,IF('Inputs Yr 2'!$AL163=BP$4,'Inputs Yr 2'!$AM163,IF('Inputs Yr 2'!$AN163=BP$4,'Inputs Yr 2'!$AO163,0))))*(INDEX(avoidedcosttbl2,$H163,BP$2)+(($H163-ROUNDDOWN($H163,0))*(INDEX(avoidedcosttbl2,ROUNDUP($H163,0),BP$2)-(INDEX(avoidedcosttbl2,ROUNDDOWN($H163,0),BP$2)))))*'Inputs Yr 2'!P163*'Inputs Yr 2'!Q163*'Inputs Yr 2'!U163,"")</f>
        <v/>
      </c>
      <c r="BQ163" s="230">
        <f t="shared" si="98"/>
        <v>0</v>
      </c>
      <c r="BR163" s="197" t="str">
        <f t="shared" si="82"/>
        <v/>
      </c>
      <c r="BS163" s="197" t="str">
        <f>IFERROR(($G163*IF('Inputs Yr 2'!$AJ163=BM$4,'Inputs Yr 2'!$AK163,IF('Inputs Yr 2'!$AL163=BM$4,'Inputs Yr 2'!$AM163,IF('Inputs Yr 2'!$AN163=BM$4,'Inputs Yr 2'!$AO163,0))))*(INDEX(avoidedcosttbl2,$H163,BS$2)+(($H163-ROUNDDOWN($H163,0))*(INDEX(avoidedcosttbl2,ROUNDUP($H163,0),BS$2)-(INDEX(avoidedcosttbl2,ROUNDDOWN($H163,0),BS$2)))))*'Inputs Yr 2'!P163*'Inputs Yr 2'!Q163*'Inputs Yr 2'!U163,"")</f>
        <v/>
      </c>
      <c r="BT163" s="197" t="str">
        <f>IFERROR(($G163*IF('Inputs Yr 2'!$AJ163=BK$4,'Inputs Yr 2'!$AK163,IF('Inputs Yr 2'!$AL163=BK$4,'Inputs Yr 2'!$AM163,IF('Inputs Yr 2'!$AN163=BK$4,'Inputs Yr 2'!$AO163,0))))*(INDEX(avoidedcosttbl2,$H163,BT$2)+(($H163-ROUNDDOWN($H163,0))*(INDEX(avoidedcosttbl2,ROUNDUP($H163,0),BT$2)-(INDEX(avoidedcosttbl2,ROUNDDOWN($H163,0),BT$2)))))*'Inputs Yr 2'!P163*'Inputs Yr 2'!Q163*'Inputs Yr 2'!U163,"")</f>
        <v/>
      </c>
      <c r="BU163" s="197" t="str">
        <f>IFERROR(($G163*IF('Inputs Yr 2'!$AJ163=BL$4,'Inputs Yr 2'!$AK163,IF('Inputs Yr 2'!$AL163=BL$4,'Inputs Yr 2'!$AM163,IF('Inputs Yr 2'!$AN163=BL$4,'Inputs Yr 2'!$AO163,0))))*(INDEX(avoidedcosttbl2,$H163,BU$2)+(($H163-ROUNDDOWN($H163,0))*(INDEX(avoidedcosttbl2,ROUNDUP($H163,0),BU$2)-(INDEX(avoidedcosttbl2,ROUNDDOWN($H163,0),BU$2)))))*'Inputs Yr 2'!P163*'Inputs Yr 2'!Q163*'Inputs Yr 2'!U163,"")</f>
        <v/>
      </c>
      <c r="BV163" s="775" t="str">
        <f>IFERROR(($G163*IF('Inputs Yr 2'!$AJ163=BJ$4,'Inputs Yr 2'!$AK163,IF('Inputs Yr 2'!$AL163=BJ$4,'Inputs Yr 2'!$AM163,IF('Inputs Yr 2'!$AN163=BJ$4,'Inputs Yr 2'!$AO163,0))))*(INDEX(avoidedcosttbl2,$H163,BV$2)+(($H163-ROUNDDOWN($H163,0))*(INDEX(avoidedcosttbl2,ROUNDUP($H163,0),BV$2)-(INDEX(avoidedcosttbl2,ROUNDDOWN($H163,0),BV$2)))))*'Inputs Yr 2'!P163*'Inputs Yr 2'!Q163*'Inputs Yr 2'!U163,"")</f>
        <v/>
      </c>
      <c r="BW163" s="197" t="str">
        <f>IFERROR(($G163*IF('Inputs Yr 2'!$AJ163=BN$4,'Inputs Yr 2'!$AK163,IF('Inputs Yr 2'!$AL163=BN$4,'Inputs Yr 2'!$AM163,IF('Inputs Yr 2'!$AN163=BN$4,'Inputs Yr 2'!$AO163,0))))*(INDEX(avoidedcosttbl2,$H163,BW$2)+(($H163-ROUNDDOWN($H163,0))*(INDEX(avoidedcosttbl2,ROUNDUP($H163,0),BW$2)-(INDEX(avoidedcosttbl2,ROUNDDOWN($H163,0),BW$2)))))*'Inputs Yr 2'!P163*'Inputs Yr 2'!Q163*'Inputs Yr 2'!U163,"")</f>
        <v/>
      </c>
      <c r="BX163" s="197" t="str">
        <f>IFERROR(($G163*IF('Inputs Yr 2'!$AJ163=BO$4,'Inputs Yr 2'!$AK163,IF('Inputs Yr 2'!$AL163=BO$4,'Inputs Yr 2'!$AM163,IF('Inputs Yr 2'!$AN163=BO$4,'Inputs Yr 2'!$AO163,0))))*(INDEX(avoidedcosttbl2,$H163,BX$2)+(($H163-ROUNDDOWN($H163,0))*(INDEX(avoidedcosttbl2,ROUNDUP($H163,0),BX$2)-(INDEX(avoidedcosttbl2,ROUNDDOWN($H163,0),BX$2)))))*'Inputs Yr 2'!P163*'Inputs Yr 2'!Q163*'Inputs Yr 2'!U163,"")</f>
        <v/>
      </c>
      <c r="BY163" s="197" t="str">
        <f>IFERROR(($G163*IF('Inputs Yr 2'!$AJ163=BP$4,'Inputs Yr 2'!$AK163,IF('Inputs Yr 2'!$AL163=BP$4,'Inputs Yr 2'!$AM163,IF('Inputs Yr 2'!$AN163=BP$4,'Inputs Yr 2'!$AO163,0))))*(INDEX(avoidedcosttbl2,$H163,BY$2)+(($H163-ROUNDDOWN($H163,0))*(INDEX(avoidedcosttbl2,ROUNDUP($H163,0),BY$2)-(INDEX(avoidedcosttbl2,ROUNDDOWN($H163,0),BY$2)))))*'Inputs Yr 2'!P163*'Inputs Yr 2'!Q163*'Inputs Yr 2'!U163,"")</f>
        <v/>
      </c>
      <c r="BZ163" s="193">
        <f t="shared" si="99"/>
        <v>0</v>
      </c>
      <c r="CA163" s="193">
        <f t="shared" si="100"/>
        <v>0</v>
      </c>
      <c r="CB163" s="195" t="str">
        <f>IFERROR(G163*(IF('Inputs Yr 2'!$AJ163=CB$4,'Inputs Yr 2'!$AK163,IF('Inputs Yr 2'!$AL163=CB$4,'Inputs Yr 2'!$AM163,IF('Inputs Yr 2'!$AN163=CB$4,'Inputs Yr 2'!$AO163,0))))*(INDEX(avoidedcosttbl2,$H163,CB$2)+(($H163-ROUNDDOWN($H163,0))*(INDEX(avoidedcosttbl2,ROUNDUP($H163,0),CB$2)-(INDEX(avoidedcosttbl2,ROUNDDOWN($H163,0),CB$2)))))*'Inputs Yr 2'!P163*'Inputs Yr 2'!Q163*'Inputs Yr 2'!U163,"")</f>
        <v/>
      </c>
      <c r="CC163" s="195" t="str">
        <f>IFERROR(H163*(IF('Inputs Yr 2'!$AJ163=CC$4,'Inputs Yr 2'!$AK163,IF('Inputs Yr 2'!$AL163=CC$4,'Inputs Yr 2'!$AM163,IF('Inputs Yr 2'!$AN163=CC$4,'Inputs Yr 2'!$AO163,0))))*(INDEX(avoidedcosttbl2,$H163,CC$2)+(($H163-ROUNDDOWN($H163,0))*(INDEX(avoidedcosttbl2,ROUNDUP($H163,0),CC$2)-(INDEX(avoidedcosttbl2,ROUNDDOWN($H163,0),CC$2)))))*'Inputs Yr 2'!Q163*'Inputs Yr 2'!R163*'Inputs Yr 2'!V163,"")</f>
        <v/>
      </c>
      <c r="CD163" s="195" t="str">
        <f>IFERROR(I163*(IF('Inputs Yr 2'!$AJ163=CD$4,'Inputs Yr 2'!$AK163,IF('Inputs Yr 2'!$AL163=CD$4,'Inputs Yr 2'!$AM163,IF('Inputs Yr 2'!$AN163=CD$4,'Inputs Yr 2'!$AO163,0))))*(INDEX(avoidedcosttbl2,$H163,CD$2)+(($H163-ROUNDDOWN($H163,0))*(INDEX(avoidedcosttbl2,ROUNDUP($H163,0),CD$2)-(INDEX(avoidedcosttbl2,ROUNDDOWN($H163,0),CD$2)))))*'Inputs Yr 2'!R163*'Inputs Yr 2'!S163*'Inputs Yr 2'!W163,"")</f>
        <v/>
      </c>
      <c r="CE163" s="213" t="str">
        <f t="shared" si="101"/>
        <v/>
      </c>
      <c r="CF163" s="213" t="str">
        <f t="shared" si="102"/>
        <v/>
      </c>
      <c r="CG163" s="213" t="str">
        <f t="shared" si="103"/>
        <v/>
      </c>
      <c r="CH163" s="698">
        <f t="shared" si="104"/>
        <v>0</v>
      </c>
      <c r="CI163" s="79" t="str">
        <f>IFERROR(($G163*'Inputs Yr 2'!$P163*'Inputs Yr 2'!$Q163*(((INDEX(avoidedcosttbl2,$H163,CI$2)+(($H163-ROUNDDOWN($H163,0))*(INDEX(avoidedcosttbl2,ROUNDUP($H163,0),CI$2)-INDEX(avoidedcosttbl2,ROUNDDOWN($H163,0),CI$2))))*'Inputs Yr 2'!AS163))),"")</f>
        <v/>
      </c>
      <c r="CJ163" s="504" t="str">
        <f>IFERROR($G163*'Inputs Yr 2'!AT163*'Inputs Yr 2'!$P163*'Inputs Yr 2'!$Q163/((1+realdiscrt1)^-0.5),"")</f>
        <v/>
      </c>
      <c r="CK163" s="79" t="str">
        <f>IFERROR((O163*1000*(((INDEX(avoidedcosttbl2,$H163,CK$2)+(($H163-ROUNDDOWN($H163,0))*(INDEX(avoidedcosttbl2,ROUNDUP($H163,0),CK$2)-INDEX(avoidedcosttbl2,ROUNDDOWN($H163,0),CK$2))))*'Inputs Yr 2'!AU163))),"")</f>
        <v/>
      </c>
      <c r="CL163" s="504" t="str">
        <f>IFERROR(O163*1000*'Inputs Yr 2'!AV163/((1+realdiscrt1)^-0.5),"")</f>
        <v/>
      </c>
      <c r="CM163" s="79" t="str">
        <f>IFERROR((AB163*'Inputs Yr 2'!AW163*(((INDEX(avoidedcosttbl2,$H163,CM$2)+(($H163-ROUNDDOWN($H163,0))*(INDEX(avoidedcosttbl2,ROUNDUP($H163,0),CM$2)-INDEX(avoidedcosttbl2,ROUNDDOWN($H163,0),CM$2)))))))*10,"")</f>
        <v/>
      </c>
      <c r="CN163" s="504">
        <f>IFERROR(10*AB163*'Inputs Yr 2'!AX163/((1+realdiscrt1)^-0.5),"")</f>
        <v>0</v>
      </c>
      <c r="CO163" s="505">
        <f t="shared" si="105"/>
        <v>0</v>
      </c>
      <c r="CP163" s="230">
        <f t="shared" si="106"/>
        <v>0</v>
      </c>
      <c r="CQ163" s="199">
        <f>ROUND(IFERROR(IF(LEFT($A163,1)="C",'Avoided Costs'!$K$13,'Avoided Costs'!$K$12)+1,""),4)</f>
        <v>1.0720000000000001</v>
      </c>
      <c r="CR163" s="199">
        <f>ROUND(IFERROR(IF(LEFT($A163,1)="C",'Avoided Costs'!$L$13,'Avoided Costs'!$L$12)+1,""),4)</f>
        <v>1.04</v>
      </c>
      <c r="CS163" s="199">
        <f>ROUND(IFERROR(IF(LEFT($A163,1)="C",'Avoided Costs'!$M$13,'Avoided Costs'!$M$12)+1,""),4)</f>
        <v>1.0720000000000001</v>
      </c>
      <c r="CT163" s="199">
        <f>ROUND(IFERROR(IF(LEFT($A163,1)="C",'Avoided Costs'!$N$13,'Avoided Costs'!$N$12)+1,""),4)</f>
        <v>1.04</v>
      </c>
      <c r="CU163" s="199">
        <f>ROUND(IFERROR(IF(LEFT($A163,1)="C",'Avoided Costs'!$O$13,'Avoided Costs'!$O$12)+1,""),4)</f>
        <v>1.1120000000000001</v>
      </c>
      <c r="CV163" s="199">
        <f>ROUND(IFERROR(IF(LEFT($A163,1)="C",'Avoided Costs'!$P$13,'Avoided Costs'!$P$12)+1,""),4)</f>
        <v>1.095</v>
      </c>
      <c r="CW163" s="199">
        <f>ROUND(IFERROR(IF(LEFT($A163,1)="C",'Avoided Costs'!$Q$13,'Avoided Costs'!$Q$12)+1,""),4)</f>
        <v>1.1120000000000001</v>
      </c>
      <c r="CX163" s="200">
        <f>ROUND(IFERROR(IF(LEFT($A163,1)="C",'Avoided Costs'!$R$13,'Avoided Costs'!$R$12)+1,""),4)</f>
        <v>1.1120000000000001</v>
      </c>
    </row>
    <row r="164" spans="1:102" ht="12.75" customHeight="1">
      <c r="A164" s="91" t="str">
        <f>IF('Inputs Yr 2'!$B164=0,"",'Inputs Yr 2'!A164)</f>
        <v>C - Commercial &amp; Industrial</v>
      </c>
      <c r="B164" s="91" t="str">
        <f>IF('Inputs Yr 2'!$B164=0,"",'Inputs Yr 2'!B164)</f>
        <v>C1 - C&amp;I New Construction</v>
      </c>
      <c r="C164" s="91" t="str">
        <f>IF('Inputs Yr 2'!$B164=0,"",'Inputs Yr 2'!C164)</f>
        <v>C1a - C&amp;I New Buildings &amp; Major Renovations</v>
      </c>
      <c r="D164" s="91" t="str">
        <f>IF('Inputs Yr 2'!$B164=0,"",'Inputs Yr 2'!E164)</f>
        <v>Hot Water - Multifamily High Rise</v>
      </c>
      <c r="E164" s="93" t="str">
        <f>IF('Inputs Yr 2'!$B164=0,"",'Inputs Yr 2'!F164)</f>
        <v>G16C1a10</v>
      </c>
      <c r="F164" s="93" t="str">
        <f>IF('Inputs Yr 2'!$B164=0,"",'Inputs Yr 2'!G164)</f>
        <v>Hot Water</v>
      </c>
      <c r="G164" s="95">
        <f>IF('Inputs Yr 2'!$H164&lt;&gt;0,('Inputs Yr 2'!H164),"")</f>
        <v>15</v>
      </c>
      <c r="H164" s="94">
        <f>IFERROR('Inputs Yr 2'!I164,"")</f>
        <v>15</v>
      </c>
      <c r="I164" s="298">
        <f>IFERROR('Inputs Yr 2'!J164*'Inputs Yr 2'!P164*G164,"")</f>
        <v>246096.42857142852</v>
      </c>
      <c r="J164" s="298">
        <f>IFERROR('Inputs Yr 2'!K164*G164,"")</f>
        <v>93847.410999999993</v>
      </c>
      <c r="K164" s="298">
        <f t="shared" si="83"/>
        <v>152249.01757142853</v>
      </c>
      <c r="L164" s="194">
        <f>IFERROR(('Inputs Yr 2'!W164*G164)/1000,"")</f>
        <v>0</v>
      </c>
      <c r="M164" s="194">
        <f>IFERROR(L164*('Inputs Yr 2'!$Q164*'Inputs Yr 2'!$V164*'Inputs Yr 2'!$R164),"")</f>
        <v>0</v>
      </c>
      <c r="N164" s="194">
        <f t="shared" si="84"/>
        <v>0</v>
      </c>
      <c r="O164" s="194">
        <f>IFERROR(M164*'Inputs Yr 2'!P164,"")</f>
        <v>0</v>
      </c>
      <c r="P164" s="194">
        <f t="shared" si="85"/>
        <v>0</v>
      </c>
      <c r="Q164" s="194">
        <f>IFERROR($P164*'Inputs Yr 2'!AA164,"")</f>
        <v>0</v>
      </c>
      <c r="R164" s="194">
        <f>IFERROR($P164*'Inputs Yr 2'!AB164,"")</f>
        <v>0</v>
      </c>
      <c r="S164" s="194">
        <f>IFERROR($P164*'Inputs Yr 2'!AC164,"")</f>
        <v>0</v>
      </c>
      <c r="T164" s="194">
        <f>IFERROR($P164*'Inputs Yr 2'!AD164,"")</f>
        <v>0</v>
      </c>
      <c r="U164" s="194">
        <f>IFERROR(G164*'Inputs Yr 2'!$AE164*'Inputs Yr 2'!$P164*'Inputs Yr 2'!$Q164,"")</f>
        <v>0</v>
      </c>
      <c r="V164" s="194">
        <f>IFERROR($G164*'Inputs Yr 2'!$AE164*'Inputs Yr 2'!$AG164*'Inputs Yr 2'!Q164*'Inputs Yr 2'!$S164,"")</f>
        <v>0</v>
      </c>
      <c r="W164" s="194">
        <f>IFERROR($G164*'Inputs Yr 2'!$AE164*'Inputs Yr 2'!$AG164*'Inputs Yr 2'!P164*'Inputs Yr 2'!Q164*'Inputs Yr 2'!$S164,"")</f>
        <v>0</v>
      </c>
      <c r="X164" s="194">
        <f>IFERROR($G164*'Inputs Yr 2'!$AE164*'Inputs Yr 2'!$AF164*'Inputs Yr 2'!Q164*'Inputs Yr 2'!$T164,"")</f>
        <v>0</v>
      </c>
      <c r="Y164" s="194">
        <f>IFERROR($G164*'Inputs Yr 2'!$AE164*'Inputs Yr 2'!$AF164*'Inputs Yr 2'!P164*'Inputs Yr 2'!Q164*'Inputs Yr 2'!$T164,"")</f>
        <v>0</v>
      </c>
      <c r="Z164" s="257">
        <f>IFERROR($G164*'Inputs Yr 2'!$Q164*'Inputs Yr 2'!$U164*(IF(IFERROR(SEARCH("NG", 'Inputs Yr 2'!$AJ164),0),'Inputs Yr 2'!$AK164,0)+IF(IFERROR(SEARCH("NG", 'Inputs Yr 2'!$AL164),0),'Inputs Yr 2'!$AM164,0)+IF(IFERROR(SEARCH("NG", 'Inputs Yr 2'!$AN164),0),'Inputs Yr 2'!$AO164,0)),0)</f>
        <v>5362.7091999999993</v>
      </c>
      <c r="AA164" s="257">
        <f t="shared" si="86"/>
        <v>80440.637999999992</v>
      </c>
      <c r="AB164" s="257">
        <f>IFERROR(Z164*'Inputs Yr 2'!$P164,0)</f>
        <v>5362.7091999999993</v>
      </c>
      <c r="AC164" s="257">
        <f t="shared" si="87"/>
        <v>80440.637999999992</v>
      </c>
      <c r="AD164" s="257">
        <f>IFERROR($G164*'Inputs Yr 2'!$Q164*'Inputs Yr 2'!$U164*(IF(IFERROR(SEARCH("Oil", 'Inputs Yr 2'!$AJ164), 0),'Inputs Yr 2'!$AK164,0)+IF(IFERROR(SEARCH("Oil", 'Inputs Yr 2'!$AL164), 0),'Inputs Yr 2'!$AM164,0)+IF(IFERROR(SEARCH("Oil", 'Inputs Yr 2'!$AN164), 0),'Inputs Yr 2'!$AO164,0)),0)</f>
        <v>0</v>
      </c>
      <c r="AE164" s="257">
        <f t="shared" si="88"/>
        <v>0</v>
      </c>
      <c r="AF164" s="257">
        <f>IFERROR(AD164*'Inputs Yr 2'!$P164,0)</f>
        <v>0</v>
      </c>
      <c r="AG164" s="257">
        <f t="shared" si="89"/>
        <v>0</v>
      </c>
      <c r="AH164" s="257">
        <f>IFERROR($G164*'Inputs Yr 2'!$Q164*'Inputs Yr 2'!$U164*(IF('Inputs Yr 2'!$AJ164=CD$4,'Inputs Yr 2'!$AK164,IF('Inputs Yr 2'!$AL164=CD$4,'Inputs Yr 2'!$AM164,IF('Inputs Yr 2'!$AN164=CD$4,'Inputs Yr 2'!$AO164,0)))),0)</f>
        <v>0</v>
      </c>
      <c r="AI164" s="257">
        <f t="shared" si="90"/>
        <v>0</v>
      </c>
      <c r="AJ164" s="257">
        <f>IFERROR(AH164*'Inputs Yr 2'!$P164,0)</f>
        <v>0</v>
      </c>
      <c r="AK164" s="257">
        <f t="shared" si="91"/>
        <v>0</v>
      </c>
      <c r="AL164" s="258">
        <f>IFERROR($G164*'Inputs Yr 2'!$P164*'Inputs Yr 2'!$Q164*'Inputs Yr 2'!AP164,0)</f>
        <v>0</v>
      </c>
      <c r="AM164" s="260">
        <f>IFERROR($G164*'Inputs Yr 2'!$P164*'Inputs Yr 2'!$Q164*'Inputs Yr 2'!AQ164,0)</f>
        <v>0</v>
      </c>
      <c r="AN164" s="258">
        <f>IFERROR($G164*'Inputs Yr 2'!$P164*'Inputs Yr 2'!$Q164*'Inputs Yr 2'!AR164,0)</f>
        <v>0</v>
      </c>
      <c r="AO164" s="257">
        <f t="shared" si="92"/>
        <v>0</v>
      </c>
      <c r="AP164" s="195">
        <f>IFERROR($CQ164*(INDEX(avoidedcosttbl2,$H164,AP$2)+(($H164-ROUNDDOWN($H164,0))*(INDEX(avoidedcosttbl2,ROUNDUP($H164,0),AP$2)-(INDEX(avoidedcosttbl2,ROUNDDOWN($H164,0),AP$2)))))*$O164*1000*'Inputs Yr 2'!AA164,"")</f>
        <v>0</v>
      </c>
      <c r="AQ164" s="195">
        <f>IFERROR($CR164*(INDEX(avoidedcosttbl2,$H164,AQ$2)+(($H164-ROUNDDOWN($H164,0))*(INDEX(avoidedcosttbl2,ROUNDUP($H164,0),AQ$2)-(INDEX(avoidedcosttbl2,ROUNDDOWN($H164,0),AQ$2)))))*$O164*1000*'Inputs Yr 2'!AB164,"")</f>
        <v>0</v>
      </c>
      <c r="AR164" s="195">
        <f>IFERROR($CS164*(INDEX(avoidedcosttbl2,$H164,AR$2)+(($H164-ROUNDDOWN($H164,0))*(INDEX(avoidedcosttbl2,ROUNDUP($H164,0),AR$2)-(INDEX(avoidedcosttbl2,ROUNDDOWN($H164,0),AR$2)))))*$O164*1000*'Inputs Yr 2'!AC164,"")</f>
        <v>0</v>
      </c>
      <c r="AS164" s="195">
        <f>IFERROR($CT164*(INDEX(avoidedcosttbl2,$H164,AS$2)+(($H164-ROUNDDOWN($H164,0))*(INDEX(avoidedcosttbl2,ROUNDUP($H164,0),AS$2)-(INDEX(avoidedcosttbl2,ROUNDDOWN($H164,0),AS$2)))))*$O164*1000*'Inputs Yr 2'!AD164,"")</f>
        <v>0</v>
      </c>
      <c r="AT164" s="196">
        <f t="shared" si="93"/>
        <v>0</v>
      </c>
      <c r="AU164" s="197">
        <f>IFERROR($CQ164*((INDEX(avoidedcosttbl2,$H164,AU$2))+(($H164-ROUNDDOWN($H164,0))*((INDEX(avoidedcosttbl2,ROUNDUP($H164,0),AU$2))-(INDEX(avoidedcosttbl2,ROUNDDOWN($H164,0),AU$2)))))*$O164*1000*'Inputs Yr 2'!AA164,"")</f>
        <v>0</v>
      </c>
      <c r="AV164" s="197">
        <f>IFERROR($CR164*((INDEX(avoidedcosttbl2,$H164,AV$2))+(($H164-ROUNDDOWN($H164,0))*((INDEX(avoidedcosttbl2,ROUNDUP($H164,0),AV$2))-(INDEX(avoidedcosttbl2,ROUNDDOWN($H164,0),AV$2)))))*$O164*1000*'Inputs Yr 2'!AB164,"")</f>
        <v>0</v>
      </c>
      <c r="AW164" s="197">
        <f>IFERROR($CS164*((INDEX(avoidedcosttbl2,$H164,AW$2))+(($H164-ROUNDDOWN($H164,0))*((INDEX(avoidedcosttbl2,ROUNDUP($H164,0),AW$2))-(INDEX(avoidedcosttbl2,ROUNDDOWN($H164,0),AW$2)))))*$O164*1000*'Inputs Yr 2'!AC164,"")</f>
        <v>0</v>
      </c>
      <c r="AX164" s="197">
        <f>IFERROR($CT164*((INDEX(avoidedcosttbl2,$H164,AX$2))+(($H164-ROUNDDOWN($H164,0))*((INDEX(avoidedcosttbl2,ROUNDUP($H164,0),AX$2))-(INDEX(avoidedcosttbl2,ROUNDDOWN($H164,0),AX$2)))))*$O164*1000*'Inputs Yr 2'!AD164,"")</f>
        <v>0</v>
      </c>
      <c r="AY164" s="197">
        <f>IFERROR(((INDEX(avoidedcosttbl2,$H164,AY$2))+(($H164-ROUNDDOWN($H164,0))*((INDEX(avoidedcosttbl2,ROUNDUP($H164,0),AY$2))-(INDEX(avoidedcosttbl2,ROUNDDOWN($H164,0),AY$2)))))*$O164*1000*('Inputs Yr 2'!AC164+'Inputs Yr 2'!AD164),"")</f>
        <v>0</v>
      </c>
      <c r="AZ164" s="197">
        <f>IFERROR(((INDEX(avoidedcosttbl2,$H164,AZ$2))+(($H164-ROUNDDOWN($H164,0))*((INDEX(avoidedcosttbl2,ROUNDUP($H164,0),AZ$2))-(INDEX(avoidedcosttbl2,ROUNDDOWN($H164,0),AZ$2)))))*$O164*1000*('Inputs Yr 2'!AA164+'Inputs Yr 2'!AB164),"")</f>
        <v>0</v>
      </c>
      <c r="BA164" s="198">
        <f t="shared" si="94"/>
        <v>0</v>
      </c>
      <c r="BB164" s="198">
        <f t="shared" si="95"/>
        <v>0</v>
      </c>
      <c r="BC164" s="195">
        <f t="shared" si="77"/>
        <v>0</v>
      </c>
      <c r="BD164" s="195">
        <f t="shared" si="78"/>
        <v>0</v>
      </c>
      <c r="BE164" s="195">
        <f t="shared" si="79"/>
        <v>0</v>
      </c>
      <c r="BF164" s="195">
        <f t="shared" si="80"/>
        <v>0</v>
      </c>
      <c r="BG164" s="195">
        <f t="shared" si="81"/>
        <v>0</v>
      </c>
      <c r="BH164" s="196">
        <f t="shared" si="96"/>
        <v>0</v>
      </c>
      <c r="BI164" s="196">
        <f t="shared" si="97"/>
        <v>0</v>
      </c>
      <c r="BJ164" s="195">
        <f>IFERROR($G164*(IF('Inputs Yr 2'!$AJ164=BJ$4,'Inputs Yr 2'!$AK164,IF('Inputs Yr 2'!$AL164=BJ$4,'Inputs Yr 2'!$AM164,IF('Inputs Yr 2'!$AN164=BJ$4,'Inputs Yr 2'!$AO164,0))))*(INDEX(avoidedcosttbl2,$H164,BJ$2)+(($H164-ROUNDDOWN($H164,0))*(INDEX(avoidedcosttbl2,ROUNDUP($H164,0),BJ$2)-(INDEX(avoidedcosttbl2,ROUNDDOWN($H164,0),BJ$2)))))*'Inputs Yr 2'!P164*'Inputs Yr 2'!Q164*'Inputs Yr 2'!U164,"")</f>
        <v>0</v>
      </c>
      <c r="BK164" s="195">
        <f>IFERROR($G164*(IF('Inputs Yr 2'!$AJ164=BK$4,'Inputs Yr 2'!$AK164,IF('Inputs Yr 2'!$AL164=BK$4,'Inputs Yr 2'!$AM164,IF('Inputs Yr 2'!$AN164=BK$4,'Inputs Yr 2'!$AO164,0))))*(INDEX(avoidedcosttbl2,$H164,BK$2)+(($H164-ROUNDDOWN($H164,0))*(INDEX(avoidedcosttbl2,ROUNDUP($H164,0),BK$2)-(INDEX(avoidedcosttbl2,ROUNDDOWN($H164,0),BK$2)))))*'Inputs Yr 2'!P164*'Inputs Yr 2'!Q164*'Inputs Yr 2'!U164,"")</f>
        <v>0</v>
      </c>
      <c r="BL164" s="195">
        <f>IFERROR($G164*(IF('Inputs Yr 2'!$AJ164=BL$4,'Inputs Yr 2'!$AK164,IF('Inputs Yr 2'!$AL164=BL$4,'Inputs Yr 2'!$AM164,IF('Inputs Yr 2'!$AN164=BL$4,'Inputs Yr 2'!$AO164,0))))*(INDEX(avoidedcosttbl2,$H164,BL$2)+(($H164-ROUNDDOWN($H164,0))*(INDEX(avoidedcosttbl2,ROUNDUP($H164,0),BL$2)-(INDEX(avoidedcosttbl2,ROUNDDOWN($H164,0),BL$2)))))*'Inputs Yr 2'!P164*'Inputs Yr 2'!Q164*'Inputs Yr 2'!U164,"")</f>
        <v>0</v>
      </c>
      <c r="BM164" s="195">
        <f>IFERROR($G164*(IF('Inputs Yr 2'!$AJ164=BM$4,'Inputs Yr 2'!$AK164,IF('Inputs Yr 2'!$AL164=BM$4,'Inputs Yr 2'!$AM164,IF('Inputs Yr 2'!$AN164=BM$4,'Inputs Yr 2'!$AO164,0))))*(INDEX(avoidedcosttbl2,$H164,BM$2)+(($H164-ROUNDDOWN($H164,0))*(INDEX(avoidedcosttbl2,ROUNDUP($H164,0),BM$2)-(INDEX(avoidedcosttbl2,ROUNDDOWN($H164,0),BM$2)))))*'Inputs Yr 2'!P164*'Inputs Yr 2'!Q164*'Inputs Yr 2'!U164,"")</f>
        <v>0</v>
      </c>
      <c r="BN164" s="195">
        <f>IFERROR($G164*(IF('Inputs Yr 2'!$AJ164=BN$4,'Inputs Yr 2'!$AK164,IF('Inputs Yr 2'!$AL164=BN$4,'Inputs Yr 2'!$AM164,IF('Inputs Yr 2'!$AN164=BN$4,'Inputs Yr 2'!$AO164,0))))*(INDEX(avoidedcosttbl2,$H164,BN$2)+(($H164-ROUNDDOWN($H164,0))*(INDEX(avoidedcosttbl2,ROUNDUP($H164,0),BN$2)-(INDEX(avoidedcosttbl2,ROUNDDOWN($H164,0),BN$2)))))*'Inputs Yr 2'!P164*'Inputs Yr 2'!Q164*'Inputs Yr 2'!U164,"")</f>
        <v>558596.59246535925</v>
      </c>
      <c r="BO164" s="195">
        <f>IFERROR($G164*(IF('Inputs Yr 2'!$AJ164=BO$4,'Inputs Yr 2'!$AK164,IF('Inputs Yr 2'!$AL164=BO$4,'Inputs Yr 2'!$AM164,IF('Inputs Yr 2'!$AN164=BO$4,'Inputs Yr 2'!$AO164,0))))*(INDEX(avoidedcosttbl2,$H164,BO$2)+(($H164-ROUNDDOWN($H164,0))*(INDEX(avoidedcosttbl2,ROUNDUP($H164,0),BO$2)-(INDEX(avoidedcosttbl2,ROUNDDOWN($H164,0),BO$2)))))*'Inputs Yr 2'!P164*'Inputs Yr 2'!Q164*'Inputs Yr 2'!U164,"")</f>
        <v>0</v>
      </c>
      <c r="BP164" s="195">
        <f>IFERROR($G164*(IF('Inputs Yr 2'!$AJ164=BP$4,'Inputs Yr 2'!$AK164,IF('Inputs Yr 2'!$AL164=BP$4,'Inputs Yr 2'!$AM164,IF('Inputs Yr 2'!$AN164=BP$4,'Inputs Yr 2'!$AO164,0))))*(INDEX(avoidedcosttbl2,$H164,BP$2)+(($H164-ROUNDDOWN($H164,0))*(INDEX(avoidedcosttbl2,ROUNDUP($H164,0),BP$2)-(INDEX(avoidedcosttbl2,ROUNDDOWN($H164,0),BP$2)))))*'Inputs Yr 2'!P164*'Inputs Yr 2'!Q164*'Inputs Yr 2'!U164,"")</f>
        <v>0</v>
      </c>
      <c r="BQ164" s="230">
        <f t="shared" si="98"/>
        <v>558596.59246535925</v>
      </c>
      <c r="BR164" s="197">
        <f t="shared" si="82"/>
        <v>10903.077300321773</v>
      </c>
      <c r="BS164" s="197">
        <f>IFERROR(($G164*IF('Inputs Yr 2'!$AJ164=BM$4,'Inputs Yr 2'!$AK164,IF('Inputs Yr 2'!$AL164=BM$4,'Inputs Yr 2'!$AM164,IF('Inputs Yr 2'!$AN164=BM$4,'Inputs Yr 2'!$AO164,0))))*(INDEX(avoidedcosttbl2,$H164,BS$2)+(($H164-ROUNDDOWN($H164,0))*(INDEX(avoidedcosttbl2,ROUNDUP($H164,0),BS$2)-(INDEX(avoidedcosttbl2,ROUNDDOWN($H164,0),BS$2)))))*'Inputs Yr 2'!P164*'Inputs Yr 2'!Q164*'Inputs Yr 2'!U164,"")</f>
        <v>0</v>
      </c>
      <c r="BT164" s="197">
        <f>IFERROR(($G164*IF('Inputs Yr 2'!$AJ164=BK$4,'Inputs Yr 2'!$AK164,IF('Inputs Yr 2'!$AL164=BK$4,'Inputs Yr 2'!$AM164,IF('Inputs Yr 2'!$AN164=BK$4,'Inputs Yr 2'!$AO164,0))))*(INDEX(avoidedcosttbl2,$H164,BT$2)+(($H164-ROUNDDOWN($H164,0))*(INDEX(avoidedcosttbl2,ROUNDUP($H164,0),BT$2)-(INDEX(avoidedcosttbl2,ROUNDDOWN($H164,0),BT$2)))))*'Inputs Yr 2'!P164*'Inputs Yr 2'!Q164*'Inputs Yr 2'!U164,"")</f>
        <v>0</v>
      </c>
      <c r="BU164" s="197">
        <f>IFERROR(($G164*IF('Inputs Yr 2'!$AJ164=BL$4,'Inputs Yr 2'!$AK164,IF('Inputs Yr 2'!$AL164=BL$4,'Inputs Yr 2'!$AM164,IF('Inputs Yr 2'!$AN164=BL$4,'Inputs Yr 2'!$AO164,0))))*(INDEX(avoidedcosttbl2,$H164,BU$2)+(($H164-ROUNDDOWN($H164,0))*(INDEX(avoidedcosttbl2,ROUNDUP($H164,0),BU$2)-(INDEX(avoidedcosttbl2,ROUNDDOWN($H164,0),BU$2)))))*'Inputs Yr 2'!P164*'Inputs Yr 2'!Q164*'Inputs Yr 2'!U164,"")</f>
        <v>0</v>
      </c>
      <c r="BV164" s="775">
        <f>IFERROR(($G164*IF('Inputs Yr 2'!$AJ164=BJ$4,'Inputs Yr 2'!$AK164,IF('Inputs Yr 2'!$AL164=BJ$4,'Inputs Yr 2'!$AM164,IF('Inputs Yr 2'!$AN164=BJ$4,'Inputs Yr 2'!$AO164,0))))*(INDEX(avoidedcosttbl2,$H164,BV$2)+(($H164-ROUNDDOWN($H164,0))*(INDEX(avoidedcosttbl2,ROUNDUP($H164,0),BV$2)-(INDEX(avoidedcosttbl2,ROUNDDOWN($H164,0),BV$2)))))*'Inputs Yr 2'!P164*'Inputs Yr 2'!Q164*'Inputs Yr 2'!U164,"")</f>
        <v>0</v>
      </c>
      <c r="BW164" s="197">
        <f>IFERROR(($G164*IF('Inputs Yr 2'!$AJ164=BN$4,'Inputs Yr 2'!$AK164,IF('Inputs Yr 2'!$AL164=BN$4,'Inputs Yr 2'!$AM164,IF('Inputs Yr 2'!$AN164=BN$4,'Inputs Yr 2'!$AO164,0))))*(INDEX(avoidedcosttbl2,$H164,BW$2)+(($H164-ROUNDDOWN($H164,0))*(INDEX(avoidedcosttbl2,ROUNDUP($H164,0),BW$2)-(INDEX(avoidedcosttbl2,ROUNDDOWN($H164,0),BW$2)))))*'Inputs Yr 2'!P164*'Inputs Yr 2'!Q164*'Inputs Yr 2'!U164,"")</f>
        <v>49667.206446038974</v>
      </c>
      <c r="BX164" s="197">
        <f>IFERROR(($G164*IF('Inputs Yr 2'!$AJ164=BO$4,'Inputs Yr 2'!$AK164,IF('Inputs Yr 2'!$AL164=BO$4,'Inputs Yr 2'!$AM164,IF('Inputs Yr 2'!$AN164=BO$4,'Inputs Yr 2'!$AO164,0))))*(INDEX(avoidedcosttbl2,$H164,BX$2)+(($H164-ROUNDDOWN($H164,0))*(INDEX(avoidedcosttbl2,ROUNDUP($H164,0),BX$2)-(INDEX(avoidedcosttbl2,ROUNDDOWN($H164,0),BX$2)))))*'Inputs Yr 2'!P164*'Inputs Yr 2'!Q164*'Inputs Yr 2'!U164,"")</f>
        <v>0</v>
      </c>
      <c r="BY164" s="197">
        <f>IFERROR(($G164*IF('Inputs Yr 2'!$AJ164=BP$4,'Inputs Yr 2'!$AK164,IF('Inputs Yr 2'!$AL164=BP$4,'Inputs Yr 2'!$AM164,IF('Inputs Yr 2'!$AN164=BP$4,'Inputs Yr 2'!$AO164,0))))*(INDEX(avoidedcosttbl2,$H164,BY$2)+(($H164-ROUNDDOWN($H164,0))*(INDEX(avoidedcosttbl2,ROUNDUP($H164,0),BY$2)-(INDEX(avoidedcosttbl2,ROUNDDOWN($H164,0),BY$2)))))*'Inputs Yr 2'!P164*'Inputs Yr 2'!Q164*'Inputs Yr 2'!U164,"")</f>
        <v>0</v>
      </c>
      <c r="BZ164" s="193">
        <f t="shared" si="99"/>
        <v>60570.283746360743</v>
      </c>
      <c r="CA164" s="193">
        <f t="shared" si="100"/>
        <v>619166.87621172005</v>
      </c>
      <c r="CB164" s="195">
        <f>IFERROR(G164*(IF('Inputs Yr 2'!$AJ164=CB$4,'Inputs Yr 2'!$AK164,IF('Inputs Yr 2'!$AL164=CB$4,'Inputs Yr 2'!$AM164,IF('Inputs Yr 2'!$AN164=CB$4,'Inputs Yr 2'!$AO164,0))))*(INDEX(avoidedcosttbl2,$H164,CB$2)+(($H164-ROUNDDOWN($H164,0))*(INDEX(avoidedcosttbl2,ROUNDUP($H164,0),CB$2)-(INDEX(avoidedcosttbl2,ROUNDDOWN($H164,0),CB$2)))))*'Inputs Yr 2'!P164*'Inputs Yr 2'!Q164*'Inputs Yr 2'!U164,"")</f>
        <v>0</v>
      </c>
      <c r="CC164" s="195">
        <f>IFERROR(H164*(IF('Inputs Yr 2'!$AJ164=CC$4,'Inputs Yr 2'!$AK164,IF('Inputs Yr 2'!$AL164=CC$4,'Inputs Yr 2'!$AM164,IF('Inputs Yr 2'!$AN164=CC$4,'Inputs Yr 2'!$AO164,0))))*(INDEX(avoidedcosttbl2,$H164,CC$2)+(($H164-ROUNDDOWN($H164,0))*(INDEX(avoidedcosttbl2,ROUNDUP($H164,0),CC$2)-(INDEX(avoidedcosttbl2,ROUNDDOWN($H164,0),CC$2)))))*'Inputs Yr 2'!Q164*'Inputs Yr 2'!R164*'Inputs Yr 2'!V164,"")</f>
        <v>0</v>
      </c>
      <c r="CD164" s="195">
        <f>IFERROR(I164*(IF('Inputs Yr 2'!$AJ164=CD$4,'Inputs Yr 2'!$AK164,IF('Inputs Yr 2'!$AL164=CD$4,'Inputs Yr 2'!$AM164,IF('Inputs Yr 2'!$AN164=CD$4,'Inputs Yr 2'!$AO164,0))))*(INDEX(avoidedcosttbl2,$H164,CD$2)+(($H164-ROUNDDOWN($H164,0))*(INDEX(avoidedcosttbl2,ROUNDUP($H164,0),CD$2)-(INDEX(avoidedcosttbl2,ROUNDDOWN($H164,0),CD$2)))))*'Inputs Yr 2'!R164*'Inputs Yr 2'!S164*'Inputs Yr 2'!W164,"")</f>
        <v>0</v>
      </c>
      <c r="CE164" s="213">
        <f t="shared" si="101"/>
        <v>0</v>
      </c>
      <c r="CF164" s="213">
        <f t="shared" si="102"/>
        <v>0</v>
      </c>
      <c r="CG164" s="213">
        <f t="shared" si="103"/>
        <v>0</v>
      </c>
      <c r="CH164" s="698">
        <f t="shared" si="104"/>
        <v>619166.87621172005</v>
      </c>
      <c r="CI164" s="79">
        <f>IFERROR(($G164*'Inputs Yr 2'!$P164*'Inputs Yr 2'!$Q164*(((INDEX(avoidedcosttbl2,$H164,CI$2)+(($H164-ROUNDDOWN($H164,0))*(INDEX(avoidedcosttbl2,ROUNDUP($H164,0),CI$2)-INDEX(avoidedcosttbl2,ROUNDDOWN($H164,0),CI$2))))*'Inputs Yr 2'!AS164))),"")</f>
        <v>0</v>
      </c>
      <c r="CJ164" s="504">
        <f>IFERROR($G164*'Inputs Yr 2'!AT164*'Inputs Yr 2'!$P164*'Inputs Yr 2'!$Q164/((1+realdiscrt1)^-0.5),"")</f>
        <v>0</v>
      </c>
      <c r="CK164" s="79">
        <f>IFERROR((O164*1000*(((INDEX(avoidedcosttbl2,$H164,CK$2)+(($H164-ROUNDDOWN($H164,0))*(INDEX(avoidedcosttbl2,ROUNDUP($H164,0),CK$2)-INDEX(avoidedcosttbl2,ROUNDDOWN($H164,0),CK$2))))*'Inputs Yr 2'!AU164))),"")</f>
        <v>0</v>
      </c>
      <c r="CL164" s="504">
        <f>IFERROR(O164*1000*'Inputs Yr 2'!AV164/((1+realdiscrt1)^-0.5),"")</f>
        <v>0</v>
      </c>
      <c r="CM164" s="79">
        <f>IFERROR((AB164*'Inputs Yr 2'!AW164*(((INDEX(avoidedcosttbl2,$H164,CM$2)+(($H164-ROUNDDOWN($H164,0))*(INDEX(avoidedcosttbl2,ROUNDUP($H164,0),CM$2)-INDEX(avoidedcosttbl2,ROUNDDOWN($H164,0),CM$2)))))))*10,"")</f>
        <v>0</v>
      </c>
      <c r="CN164" s="504">
        <f>IFERROR(10*AB164*'Inputs Yr 2'!AX164/((1+realdiscrt1)^-0.5),"")</f>
        <v>0</v>
      </c>
      <c r="CO164" s="505">
        <f t="shared" si="105"/>
        <v>0</v>
      </c>
      <c r="CP164" s="230">
        <f t="shared" si="106"/>
        <v>619166.87621172005</v>
      </c>
      <c r="CQ164" s="199">
        <f>ROUND(IFERROR(IF(LEFT($A164,1)="C",'Avoided Costs'!$K$13,'Avoided Costs'!$K$12)+1,""),4)</f>
        <v>1.0720000000000001</v>
      </c>
      <c r="CR164" s="199">
        <f>ROUND(IFERROR(IF(LEFT($A164,1)="C",'Avoided Costs'!$L$13,'Avoided Costs'!$L$12)+1,""),4)</f>
        <v>1.04</v>
      </c>
      <c r="CS164" s="199">
        <f>ROUND(IFERROR(IF(LEFT($A164,1)="C",'Avoided Costs'!$M$13,'Avoided Costs'!$M$12)+1,""),4)</f>
        <v>1.0720000000000001</v>
      </c>
      <c r="CT164" s="199">
        <f>ROUND(IFERROR(IF(LEFT($A164,1)="C",'Avoided Costs'!$N$13,'Avoided Costs'!$N$12)+1,""),4)</f>
        <v>1.04</v>
      </c>
      <c r="CU164" s="199">
        <f>ROUND(IFERROR(IF(LEFT($A164,1)="C",'Avoided Costs'!$O$13,'Avoided Costs'!$O$12)+1,""),4)</f>
        <v>1.1120000000000001</v>
      </c>
      <c r="CV164" s="199">
        <f>ROUND(IFERROR(IF(LEFT($A164,1)="C",'Avoided Costs'!$P$13,'Avoided Costs'!$P$12)+1,""),4)</f>
        <v>1.095</v>
      </c>
      <c r="CW164" s="199">
        <f>ROUND(IFERROR(IF(LEFT($A164,1)="C",'Avoided Costs'!$Q$13,'Avoided Costs'!$Q$12)+1,""),4)</f>
        <v>1.1120000000000001</v>
      </c>
      <c r="CX164" s="200">
        <f>ROUND(IFERROR(IF(LEFT($A164,1)="C",'Avoided Costs'!$R$13,'Avoided Costs'!$R$12)+1,""),4)</f>
        <v>1.1120000000000001</v>
      </c>
    </row>
    <row r="165" spans="1:102" ht="12.75" customHeight="1">
      <c r="A165" s="91" t="str">
        <f>IF('Inputs Yr 2'!$B165=0,"",'Inputs Yr 2'!A165)</f>
        <v>C - Commercial &amp; Industrial</v>
      </c>
      <c r="B165" s="91" t="str">
        <f>IF('Inputs Yr 2'!$B165=0,"",'Inputs Yr 2'!B165)</f>
        <v>C1 - C&amp;I New Construction</v>
      </c>
      <c r="C165" s="91" t="str">
        <f>IF('Inputs Yr 2'!$B165=0,"",'Inputs Yr 2'!C165)</f>
        <v>C1a - C&amp;I New Buildings &amp; Major Renovations</v>
      </c>
      <c r="D165" s="91" t="str">
        <f>IF('Inputs Yr 2'!$B165=0,"",'Inputs Yr 2'!E165)</f>
        <v>Hot Water - Multifamily Low Rise</v>
      </c>
      <c r="E165" s="93" t="str">
        <f>IF('Inputs Yr 2'!$B165=0,"",'Inputs Yr 2'!F165)</f>
        <v>G16C1a11</v>
      </c>
      <c r="F165" s="93" t="str">
        <f>IF('Inputs Yr 2'!$B165=0,"",'Inputs Yr 2'!G165)</f>
        <v>Hot Water</v>
      </c>
      <c r="G165" s="95" t="str">
        <f>IF('Inputs Yr 2'!$H165&lt;&gt;0,('Inputs Yr 2'!H165),"")</f>
        <v/>
      </c>
      <c r="H165" s="94">
        <f>IFERROR('Inputs Yr 2'!I165,"")</f>
        <v>0</v>
      </c>
      <c r="I165" s="298" t="str">
        <f>IFERROR('Inputs Yr 2'!J165*'Inputs Yr 2'!P165*G165,"")</f>
        <v/>
      </c>
      <c r="J165" s="298" t="str">
        <f>IFERROR('Inputs Yr 2'!K165*G165,"")</f>
        <v/>
      </c>
      <c r="K165" s="298" t="str">
        <f t="shared" si="83"/>
        <v/>
      </c>
      <c r="L165" s="194" t="str">
        <f>IFERROR(('Inputs Yr 2'!W165*G165)/1000,"")</f>
        <v/>
      </c>
      <c r="M165" s="194" t="str">
        <f>IFERROR(L165*('Inputs Yr 2'!$Q165*'Inputs Yr 2'!$V165*'Inputs Yr 2'!$R165),"")</f>
        <v/>
      </c>
      <c r="N165" s="194" t="str">
        <f t="shared" si="84"/>
        <v/>
      </c>
      <c r="O165" s="194" t="str">
        <f>IFERROR(M165*'Inputs Yr 2'!P165,"")</f>
        <v/>
      </c>
      <c r="P165" s="194" t="str">
        <f t="shared" si="85"/>
        <v/>
      </c>
      <c r="Q165" s="194" t="str">
        <f>IFERROR($P165*'Inputs Yr 2'!AA165,"")</f>
        <v/>
      </c>
      <c r="R165" s="194" t="str">
        <f>IFERROR($P165*'Inputs Yr 2'!AB165,"")</f>
        <v/>
      </c>
      <c r="S165" s="194" t="str">
        <f>IFERROR($P165*'Inputs Yr 2'!AC165,"")</f>
        <v/>
      </c>
      <c r="T165" s="194" t="str">
        <f>IFERROR($P165*'Inputs Yr 2'!AD165,"")</f>
        <v/>
      </c>
      <c r="U165" s="194" t="str">
        <f>IFERROR(G165*'Inputs Yr 2'!$AE165*'Inputs Yr 2'!$P165*'Inputs Yr 2'!$Q165,"")</f>
        <v/>
      </c>
      <c r="V165" s="194" t="str">
        <f>IFERROR($G165*'Inputs Yr 2'!$AE165*'Inputs Yr 2'!$AG165*'Inputs Yr 2'!Q165*'Inputs Yr 2'!$S165,"")</f>
        <v/>
      </c>
      <c r="W165" s="194" t="str">
        <f>IFERROR($G165*'Inputs Yr 2'!$AE165*'Inputs Yr 2'!$AG165*'Inputs Yr 2'!P165*'Inputs Yr 2'!Q165*'Inputs Yr 2'!$S165,"")</f>
        <v/>
      </c>
      <c r="X165" s="194" t="str">
        <f>IFERROR($G165*'Inputs Yr 2'!$AE165*'Inputs Yr 2'!$AF165*'Inputs Yr 2'!Q165*'Inputs Yr 2'!$T165,"")</f>
        <v/>
      </c>
      <c r="Y165" s="194" t="str">
        <f>IFERROR($G165*'Inputs Yr 2'!$AE165*'Inputs Yr 2'!$AF165*'Inputs Yr 2'!P165*'Inputs Yr 2'!Q165*'Inputs Yr 2'!$T165,"")</f>
        <v/>
      </c>
      <c r="Z165" s="257">
        <f>IFERROR($G165*'Inputs Yr 2'!$Q165*'Inputs Yr 2'!$U165*(IF(IFERROR(SEARCH("NG", 'Inputs Yr 2'!$AJ165),0),'Inputs Yr 2'!$AK165,0)+IF(IFERROR(SEARCH("NG", 'Inputs Yr 2'!$AL165),0),'Inputs Yr 2'!$AM165,0)+IF(IFERROR(SEARCH("NG", 'Inputs Yr 2'!$AN165),0),'Inputs Yr 2'!$AO165,0)),0)</f>
        <v>0</v>
      </c>
      <c r="AA165" s="257">
        <f t="shared" si="86"/>
        <v>0</v>
      </c>
      <c r="AB165" s="257">
        <f>IFERROR(Z165*'Inputs Yr 2'!$P165,0)</f>
        <v>0</v>
      </c>
      <c r="AC165" s="257">
        <f t="shared" si="87"/>
        <v>0</v>
      </c>
      <c r="AD165" s="257">
        <f>IFERROR($G165*'Inputs Yr 2'!$Q165*'Inputs Yr 2'!$U165*(IF(IFERROR(SEARCH("Oil", 'Inputs Yr 2'!$AJ165), 0),'Inputs Yr 2'!$AK165,0)+IF(IFERROR(SEARCH("Oil", 'Inputs Yr 2'!$AL165), 0),'Inputs Yr 2'!$AM165,0)+IF(IFERROR(SEARCH("Oil", 'Inputs Yr 2'!$AN165), 0),'Inputs Yr 2'!$AO165,0)),0)</f>
        <v>0</v>
      </c>
      <c r="AE165" s="257">
        <f t="shared" si="88"/>
        <v>0</v>
      </c>
      <c r="AF165" s="257">
        <f>IFERROR(AD165*'Inputs Yr 2'!$P165,0)</f>
        <v>0</v>
      </c>
      <c r="AG165" s="257">
        <f t="shared" si="89"/>
        <v>0</v>
      </c>
      <c r="AH165" s="257">
        <f>IFERROR($G165*'Inputs Yr 2'!$Q165*'Inputs Yr 2'!$U165*(IF('Inputs Yr 2'!$AJ165=CD$4,'Inputs Yr 2'!$AK165,IF('Inputs Yr 2'!$AL165=CD$4,'Inputs Yr 2'!$AM165,IF('Inputs Yr 2'!$AN165=CD$4,'Inputs Yr 2'!$AO165,0)))),0)</f>
        <v>0</v>
      </c>
      <c r="AI165" s="257">
        <f t="shared" si="90"/>
        <v>0</v>
      </c>
      <c r="AJ165" s="257">
        <f>IFERROR(AH165*'Inputs Yr 2'!$P165,0)</f>
        <v>0</v>
      </c>
      <c r="AK165" s="257">
        <f t="shared" si="91"/>
        <v>0</v>
      </c>
      <c r="AL165" s="258">
        <f>IFERROR($G165*'Inputs Yr 2'!$P165*'Inputs Yr 2'!$Q165*'Inputs Yr 2'!AP165,0)</f>
        <v>0</v>
      </c>
      <c r="AM165" s="260">
        <f>IFERROR($G165*'Inputs Yr 2'!$P165*'Inputs Yr 2'!$Q165*'Inputs Yr 2'!AQ165,0)</f>
        <v>0</v>
      </c>
      <c r="AN165" s="258">
        <f>IFERROR($G165*'Inputs Yr 2'!$P165*'Inputs Yr 2'!$Q165*'Inputs Yr 2'!AR165,0)</f>
        <v>0</v>
      </c>
      <c r="AO165" s="257">
        <f t="shared" si="92"/>
        <v>0</v>
      </c>
      <c r="AP165" s="195" t="str">
        <f>IFERROR($CQ165*(INDEX(avoidedcosttbl2,$H165,AP$2)+(($H165-ROUNDDOWN($H165,0))*(INDEX(avoidedcosttbl2,ROUNDUP($H165,0),AP$2)-(INDEX(avoidedcosttbl2,ROUNDDOWN($H165,0),AP$2)))))*$O165*1000*'Inputs Yr 2'!AA165,"")</f>
        <v/>
      </c>
      <c r="AQ165" s="195" t="str">
        <f>IFERROR($CR165*(INDEX(avoidedcosttbl2,$H165,AQ$2)+(($H165-ROUNDDOWN($H165,0))*(INDEX(avoidedcosttbl2,ROUNDUP($H165,0),AQ$2)-(INDEX(avoidedcosttbl2,ROUNDDOWN($H165,0),AQ$2)))))*$O165*1000*'Inputs Yr 2'!AB165,"")</f>
        <v/>
      </c>
      <c r="AR165" s="195" t="str">
        <f>IFERROR($CS165*(INDEX(avoidedcosttbl2,$H165,AR$2)+(($H165-ROUNDDOWN($H165,0))*(INDEX(avoidedcosttbl2,ROUNDUP($H165,0),AR$2)-(INDEX(avoidedcosttbl2,ROUNDDOWN($H165,0),AR$2)))))*$O165*1000*'Inputs Yr 2'!AC165,"")</f>
        <v/>
      </c>
      <c r="AS165" s="195" t="str">
        <f>IFERROR($CT165*(INDEX(avoidedcosttbl2,$H165,AS$2)+(($H165-ROUNDDOWN($H165,0))*(INDEX(avoidedcosttbl2,ROUNDUP($H165,0),AS$2)-(INDEX(avoidedcosttbl2,ROUNDDOWN($H165,0),AS$2)))))*$O165*1000*'Inputs Yr 2'!AD165,"")</f>
        <v/>
      </c>
      <c r="AT165" s="196">
        <f t="shared" si="93"/>
        <v>0</v>
      </c>
      <c r="AU165" s="197" t="str">
        <f>IFERROR($CQ165*((INDEX(avoidedcosttbl2,$H165,AU$2))+(($H165-ROUNDDOWN($H165,0))*((INDEX(avoidedcosttbl2,ROUNDUP($H165,0),AU$2))-(INDEX(avoidedcosttbl2,ROUNDDOWN($H165,0),AU$2)))))*$O165*1000*'Inputs Yr 2'!AA165,"")</f>
        <v/>
      </c>
      <c r="AV165" s="197" t="str">
        <f>IFERROR($CR165*((INDEX(avoidedcosttbl2,$H165,AV$2))+(($H165-ROUNDDOWN($H165,0))*((INDEX(avoidedcosttbl2,ROUNDUP($H165,0),AV$2))-(INDEX(avoidedcosttbl2,ROUNDDOWN($H165,0),AV$2)))))*$O165*1000*'Inputs Yr 2'!AB165,"")</f>
        <v/>
      </c>
      <c r="AW165" s="197" t="str">
        <f>IFERROR($CS165*((INDEX(avoidedcosttbl2,$H165,AW$2))+(($H165-ROUNDDOWN($H165,0))*((INDEX(avoidedcosttbl2,ROUNDUP($H165,0),AW$2))-(INDEX(avoidedcosttbl2,ROUNDDOWN($H165,0),AW$2)))))*$O165*1000*'Inputs Yr 2'!AC165,"")</f>
        <v/>
      </c>
      <c r="AX165" s="197" t="str">
        <f>IFERROR($CT165*((INDEX(avoidedcosttbl2,$H165,AX$2))+(($H165-ROUNDDOWN($H165,0))*((INDEX(avoidedcosttbl2,ROUNDUP($H165,0),AX$2))-(INDEX(avoidedcosttbl2,ROUNDDOWN($H165,0),AX$2)))))*$O165*1000*'Inputs Yr 2'!AD165,"")</f>
        <v/>
      </c>
      <c r="AY165" s="197" t="str">
        <f>IFERROR(((INDEX(avoidedcosttbl2,$H165,AY$2))+(($H165-ROUNDDOWN($H165,0))*((INDEX(avoidedcosttbl2,ROUNDUP($H165,0),AY$2))-(INDEX(avoidedcosttbl2,ROUNDDOWN($H165,0),AY$2)))))*$O165*1000*('Inputs Yr 2'!AC165+'Inputs Yr 2'!AD165),"")</f>
        <v/>
      </c>
      <c r="AZ165" s="197" t="str">
        <f>IFERROR(((INDEX(avoidedcosttbl2,$H165,AZ$2))+(($H165-ROUNDDOWN($H165,0))*((INDEX(avoidedcosttbl2,ROUNDUP($H165,0),AZ$2))-(INDEX(avoidedcosttbl2,ROUNDDOWN($H165,0),AZ$2)))))*$O165*1000*('Inputs Yr 2'!AA165+'Inputs Yr 2'!AB165),"")</f>
        <v/>
      </c>
      <c r="BA165" s="198">
        <f t="shared" si="94"/>
        <v>0</v>
      </c>
      <c r="BB165" s="198">
        <f t="shared" si="95"/>
        <v>0</v>
      </c>
      <c r="BC165" s="195" t="str">
        <f t="shared" si="77"/>
        <v/>
      </c>
      <c r="BD165" s="195" t="str">
        <f t="shared" si="78"/>
        <v/>
      </c>
      <c r="BE165" s="195" t="str">
        <f t="shared" si="79"/>
        <v/>
      </c>
      <c r="BF165" s="195" t="str">
        <f t="shared" si="80"/>
        <v/>
      </c>
      <c r="BG165" s="195" t="str">
        <f t="shared" si="81"/>
        <v/>
      </c>
      <c r="BH165" s="196">
        <f t="shared" si="96"/>
        <v>0</v>
      </c>
      <c r="BI165" s="196">
        <f t="shared" si="97"/>
        <v>0</v>
      </c>
      <c r="BJ165" s="195" t="str">
        <f>IFERROR($G165*(IF('Inputs Yr 2'!$AJ165=BJ$4,'Inputs Yr 2'!$AK165,IF('Inputs Yr 2'!$AL165=BJ$4,'Inputs Yr 2'!$AM165,IF('Inputs Yr 2'!$AN165=BJ$4,'Inputs Yr 2'!$AO165,0))))*(INDEX(avoidedcosttbl2,$H165,BJ$2)+(($H165-ROUNDDOWN($H165,0))*(INDEX(avoidedcosttbl2,ROUNDUP($H165,0),BJ$2)-(INDEX(avoidedcosttbl2,ROUNDDOWN($H165,0),BJ$2)))))*'Inputs Yr 2'!P165*'Inputs Yr 2'!Q165*'Inputs Yr 2'!U165,"")</f>
        <v/>
      </c>
      <c r="BK165" s="195" t="str">
        <f>IFERROR($G165*(IF('Inputs Yr 2'!$AJ165=BK$4,'Inputs Yr 2'!$AK165,IF('Inputs Yr 2'!$AL165=BK$4,'Inputs Yr 2'!$AM165,IF('Inputs Yr 2'!$AN165=BK$4,'Inputs Yr 2'!$AO165,0))))*(INDEX(avoidedcosttbl2,$H165,BK$2)+(($H165-ROUNDDOWN($H165,0))*(INDEX(avoidedcosttbl2,ROUNDUP($H165,0),BK$2)-(INDEX(avoidedcosttbl2,ROUNDDOWN($H165,0),BK$2)))))*'Inputs Yr 2'!P165*'Inputs Yr 2'!Q165*'Inputs Yr 2'!U165,"")</f>
        <v/>
      </c>
      <c r="BL165" s="195" t="str">
        <f>IFERROR($G165*(IF('Inputs Yr 2'!$AJ165=BL$4,'Inputs Yr 2'!$AK165,IF('Inputs Yr 2'!$AL165=BL$4,'Inputs Yr 2'!$AM165,IF('Inputs Yr 2'!$AN165=BL$4,'Inputs Yr 2'!$AO165,0))))*(INDEX(avoidedcosttbl2,$H165,BL$2)+(($H165-ROUNDDOWN($H165,0))*(INDEX(avoidedcosttbl2,ROUNDUP($H165,0),BL$2)-(INDEX(avoidedcosttbl2,ROUNDDOWN($H165,0),BL$2)))))*'Inputs Yr 2'!P165*'Inputs Yr 2'!Q165*'Inputs Yr 2'!U165,"")</f>
        <v/>
      </c>
      <c r="BM165" s="195" t="str">
        <f>IFERROR($G165*(IF('Inputs Yr 2'!$AJ165=BM$4,'Inputs Yr 2'!$AK165,IF('Inputs Yr 2'!$AL165=BM$4,'Inputs Yr 2'!$AM165,IF('Inputs Yr 2'!$AN165=BM$4,'Inputs Yr 2'!$AO165,0))))*(INDEX(avoidedcosttbl2,$H165,BM$2)+(($H165-ROUNDDOWN($H165,0))*(INDEX(avoidedcosttbl2,ROUNDUP($H165,0),BM$2)-(INDEX(avoidedcosttbl2,ROUNDDOWN($H165,0),BM$2)))))*'Inputs Yr 2'!P165*'Inputs Yr 2'!Q165*'Inputs Yr 2'!U165,"")</f>
        <v/>
      </c>
      <c r="BN165" s="195" t="str">
        <f>IFERROR($G165*(IF('Inputs Yr 2'!$AJ165=BN$4,'Inputs Yr 2'!$AK165,IF('Inputs Yr 2'!$AL165=BN$4,'Inputs Yr 2'!$AM165,IF('Inputs Yr 2'!$AN165=BN$4,'Inputs Yr 2'!$AO165,0))))*(INDEX(avoidedcosttbl2,$H165,BN$2)+(($H165-ROUNDDOWN($H165,0))*(INDEX(avoidedcosttbl2,ROUNDUP($H165,0),BN$2)-(INDEX(avoidedcosttbl2,ROUNDDOWN($H165,0),BN$2)))))*'Inputs Yr 2'!P165*'Inputs Yr 2'!Q165*'Inputs Yr 2'!U165,"")</f>
        <v/>
      </c>
      <c r="BO165" s="195" t="str">
        <f>IFERROR($G165*(IF('Inputs Yr 2'!$AJ165=BO$4,'Inputs Yr 2'!$AK165,IF('Inputs Yr 2'!$AL165=BO$4,'Inputs Yr 2'!$AM165,IF('Inputs Yr 2'!$AN165=BO$4,'Inputs Yr 2'!$AO165,0))))*(INDEX(avoidedcosttbl2,$H165,BO$2)+(($H165-ROUNDDOWN($H165,0))*(INDEX(avoidedcosttbl2,ROUNDUP($H165,0),BO$2)-(INDEX(avoidedcosttbl2,ROUNDDOWN($H165,0),BO$2)))))*'Inputs Yr 2'!P165*'Inputs Yr 2'!Q165*'Inputs Yr 2'!U165,"")</f>
        <v/>
      </c>
      <c r="BP165" s="195" t="str">
        <f>IFERROR($G165*(IF('Inputs Yr 2'!$AJ165=BP$4,'Inputs Yr 2'!$AK165,IF('Inputs Yr 2'!$AL165=BP$4,'Inputs Yr 2'!$AM165,IF('Inputs Yr 2'!$AN165=BP$4,'Inputs Yr 2'!$AO165,0))))*(INDEX(avoidedcosttbl2,$H165,BP$2)+(($H165-ROUNDDOWN($H165,0))*(INDEX(avoidedcosttbl2,ROUNDUP($H165,0),BP$2)-(INDEX(avoidedcosttbl2,ROUNDDOWN($H165,0),BP$2)))))*'Inputs Yr 2'!P165*'Inputs Yr 2'!Q165*'Inputs Yr 2'!U165,"")</f>
        <v/>
      </c>
      <c r="BQ165" s="230">
        <f t="shared" si="98"/>
        <v>0</v>
      </c>
      <c r="BR165" s="197" t="str">
        <f t="shared" si="82"/>
        <v/>
      </c>
      <c r="BS165" s="197" t="str">
        <f>IFERROR(($G165*IF('Inputs Yr 2'!$AJ165=BM$4,'Inputs Yr 2'!$AK165,IF('Inputs Yr 2'!$AL165=BM$4,'Inputs Yr 2'!$AM165,IF('Inputs Yr 2'!$AN165=BM$4,'Inputs Yr 2'!$AO165,0))))*(INDEX(avoidedcosttbl2,$H165,BS$2)+(($H165-ROUNDDOWN($H165,0))*(INDEX(avoidedcosttbl2,ROUNDUP($H165,0),BS$2)-(INDEX(avoidedcosttbl2,ROUNDDOWN($H165,0),BS$2)))))*'Inputs Yr 2'!P165*'Inputs Yr 2'!Q165*'Inputs Yr 2'!U165,"")</f>
        <v/>
      </c>
      <c r="BT165" s="197" t="str">
        <f>IFERROR(($G165*IF('Inputs Yr 2'!$AJ165=BK$4,'Inputs Yr 2'!$AK165,IF('Inputs Yr 2'!$AL165=BK$4,'Inputs Yr 2'!$AM165,IF('Inputs Yr 2'!$AN165=BK$4,'Inputs Yr 2'!$AO165,0))))*(INDEX(avoidedcosttbl2,$H165,BT$2)+(($H165-ROUNDDOWN($H165,0))*(INDEX(avoidedcosttbl2,ROUNDUP($H165,0),BT$2)-(INDEX(avoidedcosttbl2,ROUNDDOWN($H165,0),BT$2)))))*'Inputs Yr 2'!P165*'Inputs Yr 2'!Q165*'Inputs Yr 2'!U165,"")</f>
        <v/>
      </c>
      <c r="BU165" s="197" t="str">
        <f>IFERROR(($G165*IF('Inputs Yr 2'!$AJ165=BL$4,'Inputs Yr 2'!$AK165,IF('Inputs Yr 2'!$AL165=BL$4,'Inputs Yr 2'!$AM165,IF('Inputs Yr 2'!$AN165=BL$4,'Inputs Yr 2'!$AO165,0))))*(INDEX(avoidedcosttbl2,$H165,BU$2)+(($H165-ROUNDDOWN($H165,0))*(INDEX(avoidedcosttbl2,ROUNDUP($H165,0),BU$2)-(INDEX(avoidedcosttbl2,ROUNDDOWN($H165,0),BU$2)))))*'Inputs Yr 2'!P165*'Inputs Yr 2'!Q165*'Inputs Yr 2'!U165,"")</f>
        <v/>
      </c>
      <c r="BV165" s="775" t="str">
        <f>IFERROR(($G165*IF('Inputs Yr 2'!$AJ165=BJ$4,'Inputs Yr 2'!$AK165,IF('Inputs Yr 2'!$AL165=BJ$4,'Inputs Yr 2'!$AM165,IF('Inputs Yr 2'!$AN165=BJ$4,'Inputs Yr 2'!$AO165,0))))*(INDEX(avoidedcosttbl2,$H165,BV$2)+(($H165-ROUNDDOWN($H165,0))*(INDEX(avoidedcosttbl2,ROUNDUP($H165,0),BV$2)-(INDEX(avoidedcosttbl2,ROUNDDOWN($H165,0),BV$2)))))*'Inputs Yr 2'!P165*'Inputs Yr 2'!Q165*'Inputs Yr 2'!U165,"")</f>
        <v/>
      </c>
      <c r="BW165" s="197" t="str">
        <f>IFERROR(($G165*IF('Inputs Yr 2'!$AJ165=BN$4,'Inputs Yr 2'!$AK165,IF('Inputs Yr 2'!$AL165=BN$4,'Inputs Yr 2'!$AM165,IF('Inputs Yr 2'!$AN165=BN$4,'Inputs Yr 2'!$AO165,0))))*(INDEX(avoidedcosttbl2,$H165,BW$2)+(($H165-ROUNDDOWN($H165,0))*(INDEX(avoidedcosttbl2,ROUNDUP($H165,0),BW$2)-(INDEX(avoidedcosttbl2,ROUNDDOWN($H165,0),BW$2)))))*'Inputs Yr 2'!P165*'Inputs Yr 2'!Q165*'Inputs Yr 2'!U165,"")</f>
        <v/>
      </c>
      <c r="BX165" s="197" t="str">
        <f>IFERROR(($G165*IF('Inputs Yr 2'!$AJ165=BO$4,'Inputs Yr 2'!$AK165,IF('Inputs Yr 2'!$AL165=BO$4,'Inputs Yr 2'!$AM165,IF('Inputs Yr 2'!$AN165=BO$4,'Inputs Yr 2'!$AO165,0))))*(INDEX(avoidedcosttbl2,$H165,BX$2)+(($H165-ROUNDDOWN($H165,0))*(INDEX(avoidedcosttbl2,ROUNDUP($H165,0),BX$2)-(INDEX(avoidedcosttbl2,ROUNDDOWN($H165,0),BX$2)))))*'Inputs Yr 2'!P165*'Inputs Yr 2'!Q165*'Inputs Yr 2'!U165,"")</f>
        <v/>
      </c>
      <c r="BY165" s="197" t="str">
        <f>IFERROR(($G165*IF('Inputs Yr 2'!$AJ165=BP$4,'Inputs Yr 2'!$AK165,IF('Inputs Yr 2'!$AL165=BP$4,'Inputs Yr 2'!$AM165,IF('Inputs Yr 2'!$AN165=BP$4,'Inputs Yr 2'!$AO165,0))))*(INDEX(avoidedcosttbl2,$H165,BY$2)+(($H165-ROUNDDOWN($H165,0))*(INDEX(avoidedcosttbl2,ROUNDUP($H165,0),BY$2)-(INDEX(avoidedcosttbl2,ROUNDDOWN($H165,0),BY$2)))))*'Inputs Yr 2'!P165*'Inputs Yr 2'!Q165*'Inputs Yr 2'!U165,"")</f>
        <v/>
      </c>
      <c r="BZ165" s="193">
        <f t="shared" si="99"/>
        <v>0</v>
      </c>
      <c r="CA165" s="193">
        <f t="shared" si="100"/>
        <v>0</v>
      </c>
      <c r="CB165" s="195" t="str">
        <f>IFERROR(G165*(IF('Inputs Yr 2'!$AJ165=CB$4,'Inputs Yr 2'!$AK165,IF('Inputs Yr 2'!$AL165=CB$4,'Inputs Yr 2'!$AM165,IF('Inputs Yr 2'!$AN165=CB$4,'Inputs Yr 2'!$AO165,0))))*(INDEX(avoidedcosttbl2,$H165,CB$2)+(($H165-ROUNDDOWN($H165,0))*(INDEX(avoidedcosttbl2,ROUNDUP($H165,0),CB$2)-(INDEX(avoidedcosttbl2,ROUNDDOWN($H165,0),CB$2)))))*'Inputs Yr 2'!P165*'Inputs Yr 2'!Q165*'Inputs Yr 2'!U165,"")</f>
        <v/>
      </c>
      <c r="CC165" s="195" t="str">
        <f>IFERROR(H165*(IF('Inputs Yr 2'!$AJ165=CC$4,'Inputs Yr 2'!$AK165,IF('Inputs Yr 2'!$AL165=CC$4,'Inputs Yr 2'!$AM165,IF('Inputs Yr 2'!$AN165=CC$4,'Inputs Yr 2'!$AO165,0))))*(INDEX(avoidedcosttbl2,$H165,CC$2)+(($H165-ROUNDDOWN($H165,0))*(INDEX(avoidedcosttbl2,ROUNDUP($H165,0),CC$2)-(INDEX(avoidedcosttbl2,ROUNDDOWN($H165,0),CC$2)))))*'Inputs Yr 2'!Q165*'Inputs Yr 2'!R165*'Inputs Yr 2'!V165,"")</f>
        <v/>
      </c>
      <c r="CD165" s="195" t="str">
        <f>IFERROR(I165*(IF('Inputs Yr 2'!$AJ165=CD$4,'Inputs Yr 2'!$AK165,IF('Inputs Yr 2'!$AL165=CD$4,'Inputs Yr 2'!$AM165,IF('Inputs Yr 2'!$AN165=CD$4,'Inputs Yr 2'!$AO165,0))))*(INDEX(avoidedcosttbl2,$H165,CD$2)+(($H165-ROUNDDOWN($H165,0))*(INDEX(avoidedcosttbl2,ROUNDUP($H165,0),CD$2)-(INDEX(avoidedcosttbl2,ROUNDDOWN($H165,0),CD$2)))))*'Inputs Yr 2'!R165*'Inputs Yr 2'!S165*'Inputs Yr 2'!W165,"")</f>
        <v/>
      </c>
      <c r="CE165" s="213" t="str">
        <f t="shared" si="101"/>
        <v/>
      </c>
      <c r="CF165" s="213" t="str">
        <f t="shared" si="102"/>
        <v/>
      </c>
      <c r="CG165" s="213" t="str">
        <f t="shared" si="103"/>
        <v/>
      </c>
      <c r="CH165" s="698">
        <f t="shared" si="104"/>
        <v>0</v>
      </c>
      <c r="CI165" s="79" t="str">
        <f>IFERROR(($G165*'Inputs Yr 2'!$P165*'Inputs Yr 2'!$Q165*(((INDEX(avoidedcosttbl2,$H165,CI$2)+(($H165-ROUNDDOWN($H165,0))*(INDEX(avoidedcosttbl2,ROUNDUP($H165,0),CI$2)-INDEX(avoidedcosttbl2,ROUNDDOWN($H165,0),CI$2))))*'Inputs Yr 2'!AS165))),"")</f>
        <v/>
      </c>
      <c r="CJ165" s="504" t="str">
        <f>IFERROR($G165*'Inputs Yr 2'!AT165*'Inputs Yr 2'!$P165*'Inputs Yr 2'!$Q165/((1+realdiscrt1)^-0.5),"")</f>
        <v/>
      </c>
      <c r="CK165" s="79" t="str">
        <f>IFERROR((O165*1000*(((INDEX(avoidedcosttbl2,$H165,CK$2)+(($H165-ROUNDDOWN($H165,0))*(INDEX(avoidedcosttbl2,ROUNDUP($H165,0),CK$2)-INDEX(avoidedcosttbl2,ROUNDDOWN($H165,0),CK$2))))*'Inputs Yr 2'!AU165))),"")</f>
        <v/>
      </c>
      <c r="CL165" s="504" t="str">
        <f>IFERROR(O165*1000*'Inputs Yr 2'!AV165/((1+realdiscrt1)^-0.5),"")</f>
        <v/>
      </c>
      <c r="CM165" s="79" t="str">
        <f>IFERROR((AB165*'Inputs Yr 2'!AW165*(((INDEX(avoidedcosttbl2,$H165,CM$2)+(($H165-ROUNDDOWN($H165,0))*(INDEX(avoidedcosttbl2,ROUNDUP($H165,0),CM$2)-INDEX(avoidedcosttbl2,ROUNDDOWN($H165,0),CM$2)))))))*10,"")</f>
        <v/>
      </c>
      <c r="CN165" s="504">
        <f>IFERROR(10*AB165*'Inputs Yr 2'!AX165/((1+realdiscrt1)^-0.5),"")</f>
        <v>0</v>
      </c>
      <c r="CO165" s="505">
        <f t="shared" si="105"/>
        <v>0</v>
      </c>
      <c r="CP165" s="230">
        <f t="shared" si="106"/>
        <v>0</v>
      </c>
      <c r="CQ165" s="199">
        <f>ROUND(IFERROR(IF(LEFT($A165,1)="C",'Avoided Costs'!$K$13,'Avoided Costs'!$K$12)+1,""),4)</f>
        <v>1.0720000000000001</v>
      </c>
      <c r="CR165" s="199">
        <f>ROUND(IFERROR(IF(LEFT($A165,1)="C",'Avoided Costs'!$L$13,'Avoided Costs'!$L$12)+1,""),4)</f>
        <v>1.04</v>
      </c>
      <c r="CS165" s="199">
        <f>ROUND(IFERROR(IF(LEFT($A165,1)="C",'Avoided Costs'!$M$13,'Avoided Costs'!$M$12)+1,""),4)</f>
        <v>1.0720000000000001</v>
      </c>
      <c r="CT165" s="199">
        <f>ROUND(IFERROR(IF(LEFT($A165,1)="C",'Avoided Costs'!$N$13,'Avoided Costs'!$N$12)+1,""),4)</f>
        <v>1.04</v>
      </c>
      <c r="CU165" s="199">
        <f>ROUND(IFERROR(IF(LEFT($A165,1)="C",'Avoided Costs'!$O$13,'Avoided Costs'!$O$12)+1,""),4)</f>
        <v>1.1120000000000001</v>
      </c>
      <c r="CV165" s="199">
        <f>ROUND(IFERROR(IF(LEFT($A165,1)="C",'Avoided Costs'!$P$13,'Avoided Costs'!$P$12)+1,""),4)</f>
        <v>1.095</v>
      </c>
      <c r="CW165" s="199">
        <f>ROUND(IFERROR(IF(LEFT($A165,1)="C",'Avoided Costs'!$Q$13,'Avoided Costs'!$Q$12)+1,""),4)</f>
        <v>1.1120000000000001</v>
      </c>
      <c r="CX165" s="200">
        <f>ROUND(IFERROR(IF(LEFT($A165,1)="C",'Avoided Costs'!$R$13,'Avoided Costs'!$R$12)+1,""),4)</f>
        <v>1.1120000000000001</v>
      </c>
    </row>
    <row r="166" spans="1:102" ht="12.75" customHeight="1">
      <c r="A166" s="91" t="str">
        <f>IF('Inputs Yr 2'!$B166=0,"",'Inputs Yr 2'!A166)</f>
        <v>C - Commercial &amp; Industrial</v>
      </c>
      <c r="B166" s="91" t="str">
        <f>IF('Inputs Yr 2'!$B166=0,"",'Inputs Yr 2'!B166)</f>
        <v>C1 - C&amp;I New Construction</v>
      </c>
      <c r="C166" s="91" t="str">
        <f>IF('Inputs Yr 2'!$B166=0,"",'Inputs Yr 2'!C166)</f>
        <v>C1a - C&amp;I New Buildings &amp; Major Renovations</v>
      </c>
      <c r="D166" s="91" t="str">
        <f>IF('Inputs Yr 2'!$B166=0,"",'Inputs Yr 2'!E166)</f>
        <v>HVAC - Custom</v>
      </c>
      <c r="E166" s="93" t="str">
        <f>IF('Inputs Yr 2'!$B166=0,"",'Inputs Yr 2'!F166)</f>
        <v>G16C1a12</v>
      </c>
      <c r="F166" s="93" t="str">
        <f>IF('Inputs Yr 2'!$B166=0,"",'Inputs Yr 2'!G166)</f>
        <v>HVAC</v>
      </c>
      <c r="G166" s="95" t="str">
        <f>IF('Inputs Yr 2'!$H166&lt;&gt;0,('Inputs Yr 2'!H166),"")</f>
        <v/>
      </c>
      <c r="H166" s="94">
        <f>IFERROR('Inputs Yr 2'!I166,"")</f>
        <v>0</v>
      </c>
      <c r="I166" s="298" t="str">
        <f>IFERROR('Inputs Yr 2'!J166*'Inputs Yr 2'!P166*G166,"")</f>
        <v/>
      </c>
      <c r="J166" s="298" t="str">
        <f>IFERROR('Inputs Yr 2'!K166*G166,"")</f>
        <v/>
      </c>
      <c r="K166" s="298" t="str">
        <f t="shared" si="83"/>
        <v/>
      </c>
      <c r="L166" s="194" t="str">
        <f>IFERROR(('Inputs Yr 2'!W166*G166)/1000,"")</f>
        <v/>
      </c>
      <c r="M166" s="194" t="str">
        <f>IFERROR(L166*('Inputs Yr 2'!$Q166*'Inputs Yr 2'!$V166*'Inputs Yr 2'!$R166),"")</f>
        <v/>
      </c>
      <c r="N166" s="194" t="str">
        <f t="shared" si="84"/>
        <v/>
      </c>
      <c r="O166" s="194" t="str">
        <f>IFERROR(M166*'Inputs Yr 2'!P166,"")</f>
        <v/>
      </c>
      <c r="P166" s="194" t="str">
        <f t="shared" si="85"/>
        <v/>
      </c>
      <c r="Q166" s="194" t="str">
        <f>IFERROR($P166*'Inputs Yr 2'!AA166,"")</f>
        <v/>
      </c>
      <c r="R166" s="194" t="str">
        <f>IFERROR($P166*'Inputs Yr 2'!AB166,"")</f>
        <v/>
      </c>
      <c r="S166" s="194" t="str">
        <f>IFERROR($P166*'Inputs Yr 2'!AC166,"")</f>
        <v/>
      </c>
      <c r="T166" s="194" t="str">
        <f>IFERROR($P166*'Inputs Yr 2'!AD166,"")</f>
        <v/>
      </c>
      <c r="U166" s="194" t="str">
        <f>IFERROR(G166*'Inputs Yr 2'!$AE166*'Inputs Yr 2'!$P166*'Inputs Yr 2'!$Q166,"")</f>
        <v/>
      </c>
      <c r="V166" s="194" t="str">
        <f>IFERROR($G166*'Inputs Yr 2'!$AE166*'Inputs Yr 2'!$AG166*'Inputs Yr 2'!Q166*'Inputs Yr 2'!$S166,"")</f>
        <v/>
      </c>
      <c r="W166" s="194" t="str">
        <f>IFERROR($G166*'Inputs Yr 2'!$AE166*'Inputs Yr 2'!$AG166*'Inputs Yr 2'!P166*'Inputs Yr 2'!Q166*'Inputs Yr 2'!$S166,"")</f>
        <v/>
      </c>
      <c r="X166" s="194" t="str">
        <f>IFERROR($G166*'Inputs Yr 2'!$AE166*'Inputs Yr 2'!$AF166*'Inputs Yr 2'!Q166*'Inputs Yr 2'!$T166,"")</f>
        <v/>
      </c>
      <c r="Y166" s="194" t="str">
        <f>IFERROR($G166*'Inputs Yr 2'!$AE166*'Inputs Yr 2'!$AF166*'Inputs Yr 2'!P166*'Inputs Yr 2'!Q166*'Inputs Yr 2'!$T166,"")</f>
        <v/>
      </c>
      <c r="Z166" s="257">
        <f>IFERROR($G166*'Inputs Yr 2'!$Q166*'Inputs Yr 2'!$U166*(IF(IFERROR(SEARCH("NG", 'Inputs Yr 2'!$AJ166),0),'Inputs Yr 2'!$AK166,0)+IF(IFERROR(SEARCH("NG", 'Inputs Yr 2'!$AL166),0),'Inputs Yr 2'!$AM166,0)+IF(IFERROR(SEARCH("NG", 'Inputs Yr 2'!$AN166),0),'Inputs Yr 2'!$AO166,0)),0)</f>
        <v>0</v>
      </c>
      <c r="AA166" s="257">
        <f t="shared" si="86"/>
        <v>0</v>
      </c>
      <c r="AB166" s="257">
        <f>IFERROR(Z166*'Inputs Yr 2'!$P166,0)</f>
        <v>0</v>
      </c>
      <c r="AC166" s="257">
        <f t="shared" si="87"/>
        <v>0</v>
      </c>
      <c r="AD166" s="257">
        <f>IFERROR($G166*'Inputs Yr 2'!$Q166*'Inputs Yr 2'!$U166*(IF(IFERROR(SEARCH("Oil", 'Inputs Yr 2'!$AJ166), 0),'Inputs Yr 2'!$AK166,0)+IF(IFERROR(SEARCH("Oil", 'Inputs Yr 2'!$AL166), 0),'Inputs Yr 2'!$AM166,0)+IF(IFERROR(SEARCH("Oil", 'Inputs Yr 2'!$AN166), 0),'Inputs Yr 2'!$AO166,0)),0)</f>
        <v>0</v>
      </c>
      <c r="AE166" s="257">
        <f t="shared" si="88"/>
        <v>0</v>
      </c>
      <c r="AF166" s="257">
        <f>IFERROR(AD166*'Inputs Yr 2'!$P166,0)</f>
        <v>0</v>
      </c>
      <c r="AG166" s="257">
        <f t="shared" si="89"/>
        <v>0</v>
      </c>
      <c r="AH166" s="257">
        <f>IFERROR($G166*'Inputs Yr 2'!$Q166*'Inputs Yr 2'!$U166*(IF('Inputs Yr 2'!$AJ166=CD$4,'Inputs Yr 2'!$AK166,IF('Inputs Yr 2'!$AL166=CD$4,'Inputs Yr 2'!$AM166,IF('Inputs Yr 2'!$AN166=CD$4,'Inputs Yr 2'!$AO166,0)))),0)</f>
        <v>0</v>
      </c>
      <c r="AI166" s="257">
        <f t="shared" si="90"/>
        <v>0</v>
      </c>
      <c r="AJ166" s="257">
        <f>IFERROR(AH166*'Inputs Yr 2'!$P166,0)</f>
        <v>0</v>
      </c>
      <c r="AK166" s="257">
        <f t="shared" si="91"/>
        <v>0</v>
      </c>
      <c r="AL166" s="258">
        <f>IFERROR($G166*'Inputs Yr 2'!$P166*'Inputs Yr 2'!$Q166*'Inputs Yr 2'!AP166,0)</f>
        <v>0</v>
      </c>
      <c r="AM166" s="260">
        <f>IFERROR($G166*'Inputs Yr 2'!$P166*'Inputs Yr 2'!$Q166*'Inputs Yr 2'!AQ166,0)</f>
        <v>0</v>
      </c>
      <c r="AN166" s="258">
        <f>IFERROR($G166*'Inputs Yr 2'!$P166*'Inputs Yr 2'!$Q166*'Inputs Yr 2'!AR166,0)</f>
        <v>0</v>
      </c>
      <c r="AO166" s="257">
        <f t="shared" si="92"/>
        <v>0</v>
      </c>
      <c r="AP166" s="195" t="str">
        <f>IFERROR($CQ166*(INDEX(avoidedcosttbl2,$H166,AP$2)+(($H166-ROUNDDOWN($H166,0))*(INDEX(avoidedcosttbl2,ROUNDUP($H166,0),AP$2)-(INDEX(avoidedcosttbl2,ROUNDDOWN($H166,0),AP$2)))))*$O166*1000*'Inputs Yr 2'!AA166,"")</f>
        <v/>
      </c>
      <c r="AQ166" s="195" t="str">
        <f>IFERROR($CR166*(INDEX(avoidedcosttbl2,$H166,AQ$2)+(($H166-ROUNDDOWN($H166,0))*(INDEX(avoidedcosttbl2,ROUNDUP($H166,0),AQ$2)-(INDEX(avoidedcosttbl2,ROUNDDOWN($H166,0),AQ$2)))))*$O166*1000*'Inputs Yr 2'!AB166,"")</f>
        <v/>
      </c>
      <c r="AR166" s="195" t="str">
        <f>IFERROR($CS166*(INDEX(avoidedcosttbl2,$H166,AR$2)+(($H166-ROUNDDOWN($H166,0))*(INDEX(avoidedcosttbl2,ROUNDUP($H166,0),AR$2)-(INDEX(avoidedcosttbl2,ROUNDDOWN($H166,0),AR$2)))))*$O166*1000*'Inputs Yr 2'!AC166,"")</f>
        <v/>
      </c>
      <c r="AS166" s="195" t="str">
        <f>IFERROR($CT166*(INDEX(avoidedcosttbl2,$H166,AS$2)+(($H166-ROUNDDOWN($H166,0))*(INDEX(avoidedcosttbl2,ROUNDUP($H166,0),AS$2)-(INDEX(avoidedcosttbl2,ROUNDDOWN($H166,0),AS$2)))))*$O166*1000*'Inputs Yr 2'!AD166,"")</f>
        <v/>
      </c>
      <c r="AT166" s="196">
        <f t="shared" si="93"/>
        <v>0</v>
      </c>
      <c r="AU166" s="197" t="str">
        <f>IFERROR($CQ166*((INDEX(avoidedcosttbl2,$H166,AU$2))+(($H166-ROUNDDOWN($H166,0))*((INDEX(avoidedcosttbl2,ROUNDUP($H166,0),AU$2))-(INDEX(avoidedcosttbl2,ROUNDDOWN($H166,0),AU$2)))))*$O166*1000*'Inputs Yr 2'!AA166,"")</f>
        <v/>
      </c>
      <c r="AV166" s="197" t="str">
        <f>IFERROR($CR166*((INDEX(avoidedcosttbl2,$H166,AV$2))+(($H166-ROUNDDOWN($H166,0))*((INDEX(avoidedcosttbl2,ROUNDUP($H166,0),AV$2))-(INDEX(avoidedcosttbl2,ROUNDDOWN($H166,0),AV$2)))))*$O166*1000*'Inputs Yr 2'!AB166,"")</f>
        <v/>
      </c>
      <c r="AW166" s="197" t="str">
        <f>IFERROR($CS166*((INDEX(avoidedcosttbl2,$H166,AW$2))+(($H166-ROUNDDOWN($H166,0))*((INDEX(avoidedcosttbl2,ROUNDUP($H166,0),AW$2))-(INDEX(avoidedcosttbl2,ROUNDDOWN($H166,0),AW$2)))))*$O166*1000*'Inputs Yr 2'!AC166,"")</f>
        <v/>
      </c>
      <c r="AX166" s="197" t="str">
        <f>IFERROR($CT166*((INDEX(avoidedcosttbl2,$H166,AX$2))+(($H166-ROUNDDOWN($H166,0))*((INDEX(avoidedcosttbl2,ROUNDUP($H166,0),AX$2))-(INDEX(avoidedcosttbl2,ROUNDDOWN($H166,0),AX$2)))))*$O166*1000*'Inputs Yr 2'!AD166,"")</f>
        <v/>
      </c>
      <c r="AY166" s="197" t="str">
        <f>IFERROR(((INDEX(avoidedcosttbl2,$H166,AY$2))+(($H166-ROUNDDOWN($H166,0))*((INDEX(avoidedcosttbl2,ROUNDUP($H166,0),AY$2))-(INDEX(avoidedcosttbl2,ROUNDDOWN($H166,0),AY$2)))))*$O166*1000*('Inputs Yr 2'!AC166+'Inputs Yr 2'!AD166),"")</f>
        <v/>
      </c>
      <c r="AZ166" s="197" t="str">
        <f>IFERROR(((INDEX(avoidedcosttbl2,$H166,AZ$2))+(($H166-ROUNDDOWN($H166,0))*((INDEX(avoidedcosttbl2,ROUNDUP($H166,0),AZ$2))-(INDEX(avoidedcosttbl2,ROUNDDOWN($H166,0),AZ$2)))))*$O166*1000*('Inputs Yr 2'!AA166+'Inputs Yr 2'!AB166),"")</f>
        <v/>
      </c>
      <c r="BA166" s="198">
        <f t="shared" si="94"/>
        <v>0</v>
      </c>
      <c r="BB166" s="198">
        <f t="shared" si="95"/>
        <v>0</v>
      </c>
      <c r="BC166" s="195" t="str">
        <f t="shared" si="77"/>
        <v/>
      </c>
      <c r="BD166" s="195" t="str">
        <f t="shared" si="78"/>
        <v/>
      </c>
      <c r="BE166" s="195" t="str">
        <f t="shared" si="79"/>
        <v/>
      </c>
      <c r="BF166" s="195" t="str">
        <f t="shared" si="80"/>
        <v/>
      </c>
      <c r="BG166" s="195" t="str">
        <f t="shared" si="81"/>
        <v/>
      </c>
      <c r="BH166" s="196">
        <f t="shared" si="96"/>
        <v>0</v>
      </c>
      <c r="BI166" s="196">
        <f t="shared" si="97"/>
        <v>0</v>
      </c>
      <c r="BJ166" s="195" t="str">
        <f>IFERROR($G166*(IF('Inputs Yr 2'!$AJ166=BJ$4,'Inputs Yr 2'!$AK166,IF('Inputs Yr 2'!$AL166=BJ$4,'Inputs Yr 2'!$AM166,IF('Inputs Yr 2'!$AN166=BJ$4,'Inputs Yr 2'!$AO166,0))))*(INDEX(avoidedcosttbl2,$H166,BJ$2)+(($H166-ROUNDDOWN($H166,0))*(INDEX(avoidedcosttbl2,ROUNDUP($H166,0),BJ$2)-(INDEX(avoidedcosttbl2,ROUNDDOWN($H166,0),BJ$2)))))*'Inputs Yr 2'!P166*'Inputs Yr 2'!Q166*'Inputs Yr 2'!U166,"")</f>
        <v/>
      </c>
      <c r="BK166" s="195" t="str">
        <f>IFERROR($G166*(IF('Inputs Yr 2'!$AJ166=BK$4,'Inputs Yr 2'!$AK166,IF('Inputs Yr 2'!$AL166=BK$4,'Inputs Yr 2'!$AM166,IF('Inputs Yr 2'!$AN166=BK$4,'Inputs Yr 2'!$AO166,0))))*(INDEX(avoidedcosttbl2,$H166,BK$2)+(($H166-ROUNDDOWN($H166,0))*(INDEX(avoidedcosttbl2,ROUNDUP($H166,0),BK$2)-(INDEX(avoidedcosttbl2,ROUNDDOWN($H166,0),BK$2)))))*'Inputs Yr 2'!P166*'Inputs Yr 2'!Q166*'Inputs Yr 2'!U166,"")</f>
        <v/>
      </c>
      <c r="BL166" s="195" t="str">
        <f>IFERROR($G166*(IF('Inputs Yr 2'!$AJ166=BL$4,'Inputs Yr 2'!$AK166,IF('Inputs Yr 2'!$AL166=BL$4,'Inputs Yr 2'!$AM166,IF('Inputs Yr 2'!$AN166=BL$4,'Inputs Yr 2'!$AO166,0))))*(INDEX(avoidedcosttbl2,$H166,BL$2)+(($H166-ROUNDDOWN($H166,0))*(INDEX(avoidedcosttbl2,ROUNDUP($H166,0),BL$2)-(INDEX(avoidedcosttbl2,ROUNDDOWN($H166,0),BL$2)))))*'Inputs Yr 2'!P166*'Inputs Yr 2'!Q166*'Inputs Yr 2'!U166,"")</f>
        <v/>
      </c>
      <c r="BM166" s="195" t="str">
        <f>IFERROR($G166*(IF('Inputs Yr 2'!$AJ166=BM$4,'Inputs Yr 2'!$AK166,IF('Inputs Yr 2'!$AL166=BM$4,'Inputs Yr 2'!$AM166,IF('Inputs Yr 2'!$AN166=BM$4,'Inputs Yr 2'!$AO166,0))))*(INDEX(avoidedcosttbl2,$H166,BM$2)+(($H166-ROUNDDOWN($H166,0))*(INDEX(avoidedcosttbl2,ROUNDUP($H166,0),BM$2)-(INDEX(avoidedcosttbl2,ROUNDDOWN($H166,0),BM$2)))))*'Inputs Yr 2'!P166*'Inputs Yr 2'!Q166*'Inputs Yr 2'!U166,"")</f>
        <v/>
      </c>
      <c r="BN166" s="195" t="str">
        <f>IFERROR($G166*(IF('Inputs Yr 2'!$AJ166=BN$4,'Inputs Yr 2'!$AK166,IF('Inputs Yr 2'!$AL166=BN$4,'Inputs Yr 2'!$AM166,IF('Inputs Yr 2'!$AN166=BN$4,'Inputs Yr 2'!$AO166,0))))*(INDEX(avoidedcosttbl2,$H166,BN$2)+(($H166-ROUNDDOWN($H166,0))*(INDEX(avoidedcosttbl2,ROUNDUP($H166,0),BN$2)-(INDEX(avoidedcosttbl2,ROUNDDOWN($H166,0),BN$2)))))*'Inputs Yr 2'!P166*'Inputs Yr 2'!Q166*'Inputs Yr 2'!U166,"")</f>
        <v/>
      </c>
      <c r="BO166" s="195" t="str">
        <f>IFERROR($G166*(IF('Inputs Yr 2'!$AJ166=BO$4,'Inputs Yr 2'!$AK166,IF('Inputs Yr 2'!$AL166=BO$4,'Inputs Yr 2'!$AM166,IF('Inputs Yr 2'!$AN166=BO$4,'Inputs Yr 2'!$AO166,0))))*(INDEX(avoidedcosttbl2,$H166,BO$2)+(($H166-ROUNDDOWN($H166,0))*(INDEX(avoidedcosttbl2,ROUNDUP($H166,0),BO$2)-(INDEX(avoidedcosttbl2,ROUNDDOWN($H166,0),BO$2)))))*'Inputs Yr 2'!P166*'Inputs Yr 2'!Q166*'Inputs Yr 2'!U166,"")</f>
        <v/>
      </c>
      <c r="BP166" s="195" t="str">
        <f>IFERROR($G166*(IF('Inputs Yr 2'!$AJ166=BP$4,'Inputs Yr 2'!$AK166,IF('Inputs Yr 2'!$AL166=BP$4,'Inputs Yr 2'!$AM166,IF('Inputs Yr 2'!$AN166=BP$4,'Inputs Yr 2'!$AO166,0))))*(INDEX(avoidedcosttbl2,$H166,BP$2)+(($H166-ROUNDDOWN($H166,0))*(INDEX(avoidedcosttbl2,ROUNDUP($H166,0),BP$2)-(INDEX(avoidedcosttbl2,ROUNDDOWN($H166,0),BP$2)))))*'Inputs Yr 2'!P166*'Inputs Yr 2'!Q166*'Inputs Yr 2'!U166,"")</f>
        <v/>
      </c>
      <c r="BQ166" s="230">
        <f t="shared" si="98"/>
        <v>0</v>
      </c>
      <c r="BR166" s="197" t="str">
        <f t="shared" si="82"/>
        <v/>
      </c>
      <c r="BS166" s="197" t="str">
        <f>IFERROR(($G166*IF('Inputs Yr 2'!$AJ166=BM$4,'Inputs Yr 2'!$AK166,IF('Inputs Yr 2'!$AL166=BM$4,'Inputs Yr 2'!$AM166,IF('Inputs Yr 2'!$AN166=BM$4,'Inputs Yr 2'!$AO166,0))))*(INDEX(avoidedcosttbl2,$H166,BS$2)+(($H166-ROUNDDOWN($H166,0))*(INDEX(avoidedcosttbl2,ROUNDUP($H166,0),BS$2)-(INDEX(avoidedcosttbl2,ROUNDDOWN($H166,0),BS$2)))))*'Inputs Yr 2'!P166*'Inputs Yr 2'!Q166*'Inputs Yr 2'!U166,"")</f>
        <v/>
      </c>
      <c r="BT166" s="197" t="str">
        <f>IFERROR(($G166*IF('Inputs Yr 2'!$AJ166=BK$4,'Inputs Yr 2'!$AK166,IF('Inputs Yr 2'!$AL166=BK$4,'Inputs Yr 2'!$AM166,IF('Inputs Yr 2'!$AN166=BK$4,'Inputs Yr 2'!$AO166,0))))*(INDEX(avoidedcosttbl2,$H166,BT$2)+(($H166-ROUNDDOWN($H166,0))*(INDEX(avoidedcosttbl2,ROUNDUP($H166,0),BT$2)-(INDEX(avoidedcosttbl2,ROUNDDOWN($H166,0),BT$2)))))*'Inputs Yr 2'!P166*'Inputs Yr 2'!Q166*'Inputs Yr 2'!U166,"")</f>
        <v/>
      </c>
      <c r="BU166" s="197" t="str">
        <f>IFERROR(($G166*IF('Inputs Yr 2'!$AJ166=BL$4,'Inputs Yr 2'!$AK166,IF('Inputs Yr 2'!$AL166=BL$4,'Inputs Yr 2'!$AM166,IF('Inputs Yr 2'!$AN166=BL$4,'Inputs Yr 2'!$AO166,0))))*(INDEX(avoidedcosttbl2,$H166,BU$2)+(($H166-ROUNDDOWN($H166,0))*(INDEX(avoidedcosttbl2,ROUNDUP($H166,0),BU$2)-(INDEX(avoidedcosttbl2,ROUNDDOWN($H166,0),BU$2)))))*'Inputs Yr 2'!P166*'Inputs Yr 2'!Q166*'Inputs Yr 2'!U166,"")</f>
        <v/>
      </c>
      <c r="BV166" s="775" t="str">
        <f>IFERROR(($G166*IF('Inputs Yr 2'!$AJ166=BJ$4,'Inputs Yr 2'!$AK166,IF('Inputs Yr 2'!$AL166=BJ$4,'Inputs Yr 2'!$AM166,IF('Inputs Yr 2'!$AN166=BJ$4,'Inputs Yr 2'!$AO166,0))))*(INDEX(avoidedcosttbl2,$H166,BV$2)+(($H166-ROUNDDOWN($H166,0))*(INDEX(avoidedcosttbl2,ROUNDUP($H166,0),BV$2)-(INDEX(avoidedcosttbl2,ROUNDDOWN($H166,0),BV$2)))))*'Inputs Yr 2'!P166*'Inputs Yr 2'!Q166*'Inputs Yr 2'!U166,"")</f>
        <v/>
      </c>
      <c r="BW166" s="197" t="str">
        <f>IFERROR(($G166*IF('Inputs Yr 2'!$AJ166=BN$4,'Inputs Yr 2'!$AK166,IF('Inputs Yr 2'!$AL166=BN$4,'Inputs Yr 2'!$AM166,IF('Inputs Yr 2'!$AN166=BN$4,'Inputs Yr 2'!$AO166,0))))*(INDEX(avoidedcosttbl2,$H166,BW$2)+(($H166-ROUNDDOWN($H166,0))*(INDEX(avoidedcosttbl2,ROUNDUP($H166,0),BW$2)-(INDEX(avoidedcosttbl2,ROUNDDOWN($H166,0),BW$2)))))*'Inputs Yr 2'!P166*'Inputs Yr 2'!Q166*'Inputs Yr 2'!U166,"")</f>
        <v/>
      </c>
      <c r="BX166" s="197" t="str">
        <f>IFERROR(($G166*IF('Inputs Yr 2'!$AJ166=BO$4,'Inputs Yr 2'!$AK166,IF('Inputs Yr 2'!$AL166=BO$4,'Inputs Yr 2'!$AM166,IF('Inputs Yr 2'!$AN166=BO$4,'Inputs Yr 2'!$AO166,0))))*(INDEX(avoidedcosttbl2,$H166,BX$2)+(($H166-ROUNDDOWN($H166,0))*(INDEX(avoidedcosttbl2,ROUNDUP($H166,0),BX$2)-(INDEX(avoidedcosttbl2,ROUNDDOWN($H166,0),BX$2)))))*'Inputs Yr 2'!P166*'Inputs Yr 2'!Q166*'Inputs Yr 2'!U166,"")</f>
        <v/>
      </c>
      <c r="BY166" s="197" t="str">
        <f>IFERROR(($G166*IF('Inputs Yr 2'!$AJ166=BP$4,'Inputs Yr 2'!$AK166,IF('Inputs Yr 2'!$AL166=BP$4,'Inputs Yr 2'!$AM166,IF('Inputs Yr 2'!$AN166=BP$4,'Inputs Yr 2'!$AO166,0))))*(INDEX(avoidedcosttbl2,$H166,BY$2)+(($H166-ROUNDDOWN($H166,0))*(INDEX(avoidedcosttbl2,ROUNDUP($H166,0),BY$2)-(INDEX(avoidedcosttbl2,ROUNDDOWN($H166,0),BY$2)))))*'Inputs Yr 2'!P166*'Inputs Yr 2'!Q166*'Inputs Yr 2'!U166,"")</f>
        <v/>
      </c>
      <c r="BZ166" s="193">
        <f t="shared" si="99"/>
        <v>0</v>
      </c>
      <c r="CA166" s="193">
        <f t="shared" si="100"/>
        <v>0</v>
      </c>
      <c r="CB166" s="195" t="str">
        <f>IFERROR(G166*(IF('Inputs Yr 2'!$AJ166=CB$4,'Inputs Yr 2'!$AK166,IF('Inputs Yr 2'!$AL166=CB$4,'Inputs Yr 2'!$AM166,IF('Inputs Yr 2'!$AN166=CB$4,'Inputs Yr 2'!$AO166,0))))*(INDEX(avoidedcosttbl2,$H166,CB$2)+(($H166-ROUNDDOWN($H166,0))*(INDEX(avoidedcosttbl2,ROUNDUP($H166,0),CB$2)-(INDEX(avoidedcosttbl2,ROUNDDOWN($H166,0),CB$2)))))*'Inputs Yr 2'!P166*'Inputs Yr 2'!Q166*'Inputs Yr 2'!U166,"")</f>
        <v/>
      </c>
      <c r="CC166" s="195" t="str">
        <f>IFERROR(H166*(IF('Inputs Yr 2'!$AJ166=CC$4,'Inputs Yr 2'!$AK166,IF('Inputs Yr 2'!$AL166=CC$4,'Inputs Yr 2'!$AM166,IF('Inputs Yr 2'!$AN166=CC$4,'Inputs Yr 2'!$AO166,0))))*(INDEX(avoidedcosttbl2,$H166,CC$2)+(($H166-ROUNDDOWN($H166,0))*(INDEX(avoidedcosttbl2,ROUNDUP($H166,0),CC$2)-(INDEX(avoidedcosttbl2,ROUNDDOWN($H166,0),CC$2)))))*'Inputs Yr 2'!Q166*'Inputs Yr 2'!R166*'Inputs Yr 2'!V166,"")</f>
        <v/>
      </c>
      <c r="CD166" s="195" t="str">
        <f>IFERROR(I166*(IF('Inputs Yr 2'!$AJ166=CD$4,'Inputs Yr 2'!$AK166,IF('Inputs Yr 2'!$AL166=CD$4,'Inputs Yr 2'!$AM166,IF('Inputs Yr 2'!$AN166=CD$4,'Inputs Yr 2'!$AO166,0))))*(INDEX(avoidedcosttbl2,$H166,CD$2)+(($H166-ROUNDDOWN($H166,0))*(INDEX(avoidedcosttbl2,ROUNDUP($H166,0),CD$2)-(INDEX(avoidedcosttbl2,ROUNDDOWN($H166,0),CD$2)))))*'Inputs Yr 2'!R166*'Inputs Yr 2'!S166*'Inputs Yr 2'!W166,"")</f>
        <v/>
      </c>
      <c r="CE166" s="213" t="str">
        <f t="shared" si="101"/>
        <v/>
      </c>
      <c r="CF166" s="213" t="str">
        <f t="shared" si="102"/>
        <v/>
      </c>
      <c r="CG166" s="213" t="str">
        <f t="shared" si="103"/>
        <v/>
      </c>
      <c r="CH166" s="698">
        <f t="shared" si="104"/>
        <v>0</v>
      </c>
      <c r="CI166" s="79" t="str">
        <f>IFERROR(($G166*'Inputs Yr 2'!$P166*'Inputs Yr 2'!$Q166*(((INDEX(avoidedcosttbl2,$H166,CI$2)+(($H166-ROUNDDOWN($H166,0))*(INDEX(avoidedcosttbl2,ROUNDUP($H166,0),CI$2)-INDEX(avoidedcosttbl2,ROUNDDOWN($H166,0),CI$2))))*'Inputs Yr 2'!AS166))),"")</f>
        <v/>
      </c>
      <c r="CJ166" s="504" t="str">
        <f>IFERROR($G166*'Inputs Yr 2'!AT166*'Inputs Yr 2'!$P166*'Inputs Yr 2'!$Q166/((1+realdiscrt1)^-0.5),"")</f>
        <v/>
      </c>
      <c r="CK166" s="79" t="str">
        <f>IFERROR((O166*1000*(((INDEX(avoidedcosttbl2,$H166,CK$2)+(($H166-ROUNDDOWN($H166,0))*(INDEX(avoidedcosttbl2,ROUNDUP($H166,0),CK$2)-INDEX(avoidedcosttbl2,ROUNDDOWN($H166,0),CK$2))))*'Inputs Yr 2'!AU166))),"")</f>
        <v/>
      </c>
      <c r="CL166" s="504" t="str">
        <f>IFERROR(O166*1000*'Inputs Yr 2'!AV166/((1+realdiscrt1)^-0.5),"")</f>
        <v/>
      </c>
      <c r="CM166" s="79" t="str">
        <f>IFERROR((AB166*'Inputs Yr 2'!AW166*(((INDEX(avoidedcosttbl2,$H166,CM$2)+(($H166-ROUNDDOWN($H166,0))*(INDEX(avoidedcosttbl2,ROUNDUP($H166,0),CM$2)-INDEX(avoidedcosttbl2,ROUNDDOWN($H166,0),CM$2)))))))*10,"")</f>
        <v/>
      </c>
      <c r="CN166" s="504">
        <f>IFERROR(10*AB166*'Inputs Yr 2'!AX166/((1+realdiscrt1)^-0.5),"")</f>
        <v>0</v>
      </c>
      <c r="CO166" s="505">
        <f t="shared" si="105"/>
        <v>0</v>
      </c>
      <c r="CP166" s="230">
        <f t="shared" si="106"/>
        <v>0</v>
      </c>
      <c r="CQ166" s="199">
        <f>ROUND(IFERROR(IF(LEFT($A166,1)="C",'Avoided Costs'!$K$13,'Avoided Costs'!$K$12)+1,""),4)</f>
        <v>1.0720000000000001</v>
      </c>
      <c r="CR166" s="199">
        <f>ROUND(IFERROR(IF(LEFT($A166,1)="C",'Avoided Costs'!$L$13,'Avoided Costs'!$L$12)+1,""),4)</f>
        <v>1.04</v>
      </c>
      <c r="CS166" s="199">
        <f>ROUND(IFERROR(IF(LEFT($A166,1)="C",'Avoided Costs'!$M$13,'Avoided Costs'!$M$12)+1,""),4)</f>
        <v>1.0720000000000001</v>
      </c>
      <c r="CT166" s="199">
        <f>ROUND(IFERROR(IF(LEFT($A166,1)="C",'Avoided Costs'!$N$13,'Avoided Costs'!$N$12)+1,""),4)</f>
        <v>1.04</v>
      </c>
      <c r="CU166" s="199">
        <f>ROUND(IFERROR(IF(LEFT($A166,1)="C",'Avoided Costs'!$O$13,'Avoided Costs'!$O$12)+1,""),4)</f>
        <v>1.1120000000000001</v>
      </c>
      <c r="CV166" s="199">
        <f>ROUND(IFERROR(IF(LEFT($A166,1)="C",'Avoided Costs'!$P$13,'Avoided Costs'!$P$12)+1,""),4)</f>
        <v>1.095</v>
      </c>
      <c r="CW166" s="199">
        <f>ROUND(IFERROR(IF(LEFT($A166,1)="C",'Avoided Costs'!$Q$13,'Avoided Costs'!$Q$12)+1,""),4)</f>
        <v>1.1120000000000001</v>
      </c>
      <c r="CX166" s="200">
        <f>ROUND(IFERROR(IF(LEFT($A166,1)="C",'Avoided Costs'!$R$13,'Avoided Costs'!$R$12)+1,""),4)</f>
        <v>1.1120000000000001</v>
      </c>
    </row>
    <row r="167" spans="1:102" ht="12.75" customHeight="1">
      <c r="A167" s="91" t="str">
        <f>IF('Inputs Yr 2'!$B167=0,"",'Inputs Yr 2'!A167)</f>
        <v>C - Commercial &amp; Industrial</v>
      </c>
      <c r="B167" s="91" t="str">
        <f>IF('Inputs Yr 2'!$B167=0,"",'Inputs Yr 2'!B167)</f>
        <v>C1 - C&amp;I New Construction</v>
      </c>
      <c r="C167" s="91" t="str">
        <f>IF('Inputs Yr 2'!$B167=0,"",'Inputs Yr 2'!C167)</f>
        <v>C1a - C&amp;I New Buildings &amp; Major Renovations</v>
      </c>
      <c r="D167" s="91" t="str">
        <f>IF('Inputs Yr 2'!$B167=0,"",'Inputs Yr 2'!E167)</f>
        <v>HVAC - Prescriptive</v>
      </c>
      <c r="E167" s="93" t="str">
        <f>IF('Inputs Yr 2'!$B167=0,"",'Inputs Yr 2'!F167)</f>
        <v>G16C1a13</v>
      </c>
      <c r="F167" s="93" t="str">
        <f>IF('Inputs Yr 2'!$B167=0,"",'Inputs Yr 2'!G167)</f>
        <v>HVAC</v>
      </c>
      <c r="G167" s="95" t="str">
        <f>IF('Inputs Yr 2'!$H167&lt;&gt;0,('Inputs Yr 2'!H167),"")</f>
        <v/>
      </c>
      <c r="H167" s="94">
        <f>IFERROR('Inputs Yr 2'!I167,"")</f>
        <v>0</v>
      </c>
      <c r="I167" s="298" t="str">
        <f>IFERROR('Inputs Yr 2'!J167*'Inputs Yr 2'!P167*G167,"")</f>
        <v/>
      </c>
      <c r="J167" s="298" t="str">
        <f>IFERROR('Inputs Yr 2'!K167*G167,"")</f>
        <v/>
      </c>
      <c r="K167" s="298" t="str">
        <f t="shared" si="83"/>
        <v/>
      </c>
      <c r="L167" s="194" t="str">
        <f>IFERROR(('Inputs Yr 2'!W167*G167)/1000,"")</f>
        <v/>
      </c>
      <c r="M167" s="194" t="str">
        <f>IFERROR(L167*('Inputs Yr 2'!$Q167*'Inputs Yr 2'!$V167*'Inputs Yr 2'!$R167),"")</f>
        <v/>
      </c>
      <c r="N167" s="194" t="str">
        <f t="shared" si="84"/>
        <v/>
      </c>
      <c r="O167" s="194" t="str">
        <f>IFERROR(M167*'Inputs Yr 2'!P167,"")</f>
        <v/>
      </c>
      <c r="P167" s="194" t="str">
        <f t="shared" si="85"/>
        <v/>
      </c>
      <c r="Q167" s="194" t="str">
        <f>IFERROR($P167*'Inputs Yr 2'!AA167,"")</f>
        <v/>
      </c>
      <c r="R167" s="194" t="str">
        <f>IFERROR($P167*'Inputs Yr 2'!AB167,"")</f>
        <v/>
      </c>
      <c r="S167" s="194" t="str">
        <f>IFERROR($P167*'Inputs Yr 2'!AC167,"")</f>
        <v/>
      </c>
      <c r="T167" s="194" t="str">
        <f>IFERROR($P167*'Inputs Yr 2'!AD167,"")</f>
        <v/>
      </c>
      <c r="U167" s="194" t="str">
        <f>IFERROR(G167*'Inputs Yr 2'!$AE167*'Inputs Yr 2'!$P167*'Inputs Yr 2'!$Q167,"")</f>
        <v/>
      </c>
      <c r="V167" s="194" t="str">
        <f>IFERROR($G167*'Inputs Yr 2'!$AE167*'Inputs Yr 2'!$AG167*'Inputs Yr 2'!Q167*'Inputs Yr 2'!$S167,"")</f>
        <v/>
      </c>
      <c r="W167" s="194" t="str">
        <f>IFERROR($G167*'Inputs Yr 2'!$AE167*'Inputs Yr 2'!$AG167*'Inputs Yr 2'!P167*'Inputs Yr 2'!Q167*'Inputs Yr 2'!$S167,"")</f>
        <v/>
      </c>
      <c r="X167" s="194" t="str">
        <f>IFERROR($G167*'Inputs Yr 2'!$AE167*'Inputs Yr 2'!$AF167*'Inputs Yr 2'!Q167*'Inputs Yr 2'!$T167,"")</f>
        <v/>
      </c>
      <c r="Y167" s="194" t="str">
        <f>IFERROR($G167*'Inputs Yr 2'!$AE167*'Inputs Yr 2'!$AF167*'Inputs Yr 2'!P167*'Inputs Yr 2'!Q167*'Inputs Yr 2'!$T167,"")</f>
        <v/>
      </c>
      <c r="Z167" s="257">
        <f>IFERROR($G167*'Inputs Yr 2'!$Q167*'Inputs Yr 2'!$U167*(IF(IFERROR(SEARCH("NG", 'Inputs Yr 2'!$AJ167),0),'Inputs Yr 2'!$AK167,0)+IF(IFERROR(SEARCH("NG", 'Inputs Yr 2'!$AL167),0),'Inputs Yr 2'!$AM167,0)+IF(IFERROR(SEARCH("NG", 'Inputs Yr 2'!$AN167),0),'Inputs Yr 2'!$AO167,0)),0)</f>
        <v>0</v>
      </c>
      <c r="AA167" s="257">
        <f t="shared" si="86"/>
        <v>0</v>
      </c>
      <c r="AB167" s="257">
        <f>IFERROR(Z167*'Inputs Yr 2'!$P167,0)</f>
        <v>0</v>
      </c>
      <c r="AC167" s="257">
        <f t="shared" si="87"/>
        <v>0</v>
      </c>
      <c r="AD167" s="257">
        <f>IFERROR($G167*'Inputs Yr 2'!$Q167*'Inputs Yr 2'!$U167*(IF(IFERROR(SEARCH("Oil", 'Inputs Yr 2'!$AJ167), 0),'Inputs Yr 2'!$AK167,0)+IF(IFERROR(SEARCH("Oil", 'Inputs Yr 2'!$AL167), 0),'Inputs Yr 2'!$AM167,0)+IF(IFERROR(SEARCH("Oil", 'Inputs Yr 2'!$AN167), 0),'Inputs Yr 2'!$AO167,0)),0)</f>
        <v>0</v>
      </c>
      <c r="AE167" s="257">
        <f t="shared" si="88"/>
        <v>0</v>
      </c>
      <c r="AF167" s="257">
        <f>IFERROR(AD167*'Inputs Yr 2'!$P167,0)</f>
        <v>0</v>
      </c>
      <c r="AG167" s="257">
        <f t="shared" si="89"/>
        <v>0</v>
      </c>
      <c r="AH167" s="257">
        <f>IFERROR($G167*'Inputs Yr 2'!$Q167*'Inputs Yr 2'!$U167*(IF('Inputs Yr 2'!$AJ167=CD$4,'Inputs Yr 2'!$AK167,IF('Inputs Yr 2'!$AL167=CD$4,'Inputs Yr 2'!$AM167,IF('Inputs Yr 2'!$AN167=CD$4,'Inputs Yr 2'!$AO167,0)))),0)</f>
        <v>0</v>
      </c>
      <c r="AI167" s="257">
        <f t="shared" si="90"/>
        <v>0</v>
      </c>
      <c r="AJ167" s="257">
        <f>IFERROR(AH167*'Inputs Yr 2'!$P167,0)</f>
        <v>0</v>
      </c>
      <c r="AK167" s="257">
        <f t="shared" si="91"/>
        <v>0</v>
      </c>
      <c r="AL167" s="258">
        <f>IFERROR($G167*'Inputs Yr 2'!$P167*'Inputs Yr 2'!$Q167*'Inputs Yr 2'!AP167,0)</f>
        <v>0</v>
      </c>
      <c r="AM167" s="260">
        <f>IFERROR($G167*'Inputs Yr 2'!$P167*'Inputs Yr 2'!$Q167*'Inputs Yr 2'!AQ167,0)</f>
        <v>0</v>
      </c>
      <c r="AN167" s="258">
        <f>IFERROR($G167*'Inputs Yr 2'!$P167*'Inputs Yr 2'!$Q167*'Inputs Yr 2'!AR167,0)</f>
        <v>0</v>
      </c>
      <c r="AO167" s="257">
        <f t="shared" si="92"/>
        <v>0</v>
      </c>
      <c r="AP167" s="195" t="str">
        <f>IFERROR($CQ167*(INDEX(avoidedcosttbl2,$H167,AP$2)+(($H167-ROUNDDOWN($H167,0))*(INDEX(avoidedcosttbl2,ROUNDUP($H167,0),AP$2)-(INDEX(avoidedcosttbl2,ROUNDDOWN($H167,0),AP$2)))))*$O167*1000*'Inputs Yr 2'!AA167,"")</f>
        <v/>
      </c>
      <c r="AQ167" s="195" t="str">
        <f>IFERROR($CR167*(INDEX(avoidedcosttbl2,$H167,AQ$2)+(($H167-ROUNDDOWN($H167,0))*(INDEX(avoidedcosttbl2,ROUNDUP($H167,0),AQ$2)-(INDEX(avoidedcosttbl2,ROUNDDOWN($H167,0),AQ$2)))))*$O167*1000*'Inputs Yr 2'!AB167,"")</f>
        <v/>
      </c>
      <c r="AR167" s="195" t="str">
        <f>IFERROR($CS167*(INDEX(avoidedcosttbl2,$H167,AR$2)+(($H167-ROUNDDOWN($H167,0))*(INDEX(avoidedcosttbl2,ROUNDUP($H167,0),AR$2)-(INDEX(avoidedcosttbl2,ROUNDDOWN($H167,0),AR$2)))))*$O167*1000*'Inputs Yr 2'!AC167,"")</f>
        <v/>
      </c>
      <c r="AS167" s="195" t="str">
        <f>IFERROR($CT167*(INDEX(avoidedcosttbl2,$H167,AS$2)+(($H167-ROUNDDOWN($H167,0))*(INDEX(avoidedcosttbl2,ROUNDUP($H167,0),AS$2)-(INDEX(avoidedcosttbl2,ROUNDDOWN($H167,0),AS$2)))))*$O167*1000*'Inputs Yr 2'!AD167,"")</f>
        <v/>
      </c>
      <c r="AT167" s="196">
        <f t="shared" si="93"/>
        <v>0</v>
      </c>
      <c r="AU167" s="197" t="str">
        <f>IFERROR($CQ167*((INDEX(avoidedcosttbl2,$H167,AU$2))+(($H167-ROUNDDOWN($H167,0))*((INDEX(avoidedcosttbl2,ROUNDUP($H167,0),AU$2))-(INDEX(avoidedcosttbl2,ROUNDDOWN($H167,0),AU$2)))))*$O167*1000*'Inputs Yr 2'!AA167,"")</f>
        <v/>
      </c>
      <c r="AV167" s="197" t="str">
        <f>IFERROR($CR167*((INDEX(avoidedcosttbl2,$H167,AV$2))+(($H167-ROUNDDOWN($H167,0))*((INDEX(avoidedcosttbl2,ROUNDUP($H167,0),AV$2))-(INDEX(avoidedcosttbl2,ROUNDDOWN($H167,0),AV$2)))))*$O167*1000*'Inputs Yr 2'!AB167,"")</f>
        <v/>
      </c>
      <c r="AW167" s="197" t="str">
        <f>IFERROR($CS167*((INDEX(avoidedcosttbl2,$H167,AW$2))+(($H167-ROUNDDOWN($H167,0))*((INDEX(avoidedcosttbl2,ROUNDUP($H167,0),AW$2))-(INDEX(avoidedcosttbl2,ROUNDDOWN($H167,0),AW$2)))))*$O167*1000*'Inputs Yr 2'!AC167,"")</f>
        <v/>
      </c>
      <c r="AX167" s="197" t="str">
        <f>IFERROR($CT167*((INDEX(avoidedcosttbl2,$H167,AX$2))+(($H167-ROUNDDOWN($H167,0))*((INDEX(avoidedcosttbl2,ROUNDUP($H167,0),AX$2))-(INDEX(avoidedcosttbl2,ROUNDDOWN($H167,0),AX$2)))))*$O167*1000*'Inputs Yr 2'!AD167,"")</f>
        <v/>
      </c>
      <c r="AY167" s="197" t="str">
        <f>IFERROR(((INDEX(avoidedcosttbl2,$H167,AY$2))+(($H167-ROUNDDOWN($H167,0))*((INDEX(avoidedcosttbl2,ROUNDUP($H167,0),AY$2))-(INDEX(avoidedcosttbl2,ROUNDDOWN($H167,0),AY$2)))))*$O167*1000*('Inputs Yr 2'!AC167+'Inputs Yr 2'!AD167),"")</f>
        <v/>
      </c>
      <c r="AZ167" s="197" t="str">
        <f>IFERROR(((INDEX(avoidedcosttbl2,$H167,AZ$2))+(($H167-ROUNDDOWN($H167,0))*((INDEX(avoidedcosttbl2,ROUNDUP($H167,0),AZ$2))-(INDEX(avoidedcosttbl2,ROUNDDOWN($H167,0),AZ$2)))))*$O167*1000*('Inputs Yr 2'!AA167+'Inputs Yr 2'!AB167),"")</f>
        <v/>
      </c>
      <c r="BA167" s="198">
        <f t="shared" si="94"/>
        <v>0</v>
      </c>
      <c r="BB167" s="198">
        <f t="shared" si="95"/>
        <v>0</v>
      </c>
      <c r="BC167" s="195" t="str">
        <f t="shared" si="77"/>
        <v/>
      </c>
      <c r="BD167" s="195" t="str">
        <f t="shared" si="78"/>
        <v/>
      </c>
      <c r="BE167" s="195" t="str">
        <f t="shared" si="79"/>
        <v/>
      </c>
      <c r="BF167" s="195" t="str">
        <f t="shared" si="80"/>
        <v/>
      </c>
      <c r="BG167" s="195" t="str">
        <f t="shared" si="81"/>
        <v/>
      </c>
      <c r="BH167" s="196">
        <f t="shared" si="96"/>
        <v>0</v>
      </c>
      <c r="BI167" s="196">
        <f t="shared" si="97"/>
        <v>0</v>
      </c>
      <c r="BJ167" s="195" t="str">
        <f>IFERROR($G167*(IF('Inputs Yr 2'!$AJ167=BJ$4,'Inputs Yr 2'!$AK167,IF('Inputs Yr 2'!$AL167=BJ$4,'Inputs Yr 2'!$AM167,IF('Inputs Yr 2'!$AN167=BJ$4,'Inputs Yr 2'!$AO167,0))))*(INDEX(avoidedcosttbl2,$H167,BJ$2)+(($H167-ROUNDDOWN($H167,0))*(INDEX(avoidedcosttbl2,ROUNDUP($H167,0),BJ$2)-(INDEX(avoidedcosttbl2,ROUNDDOWN($H167,0),BJ$2)))))*'Inputs Yr 2'!P167*'Inputs Yr 2'!Q167*'Inputs Yr 2'!U167,"")</f>
        <v/>
      </c>
      <c r="BK167" s="195" t="str">
        <f>IFERROR($G167*(IF('Inputs Yr 2'!$AJ167=BK$4,'Inputs Yr 2'!$AK167,IF('Inputs Yr 2'!$AL167=BK$4,'Inputs Yr 2'!$AM167,IF('Inputs Yr 2'!$AN167=BK$4,'Inputs Yr 2'!$AO167,0))))*(INDEX(avoidedcosttbl2,$H167,BK$2)+(($H167-ROUNDDOWN($H167,0))*(INDEX(avoidedcosttbl2,ROUNDUP($H167,0),BK$2)-(INDEX(avoidedcosttbl2,ROUNDDOWN($H167,0),BK$2)))))*'Inputs Yr 2'!P167*'Inputs Yr 2'!Q167*'Inputs Yr 2'!U167,"")</f>
        <v/>
      </c>
      <c r="BL167" s="195" t="str">
        <f>IFERROR($G167*(IF('Inputs Yr 2'!$AJ167=BL$4,'Inputs Yr 2'!$AK167,IF('Inputs Yr 2'!$AL167=BL$4,'Inputs Yr 2'!$AM167,IF('Inputs Yr 2'!$AN167=BL$4,'Inputs Yr 2'!$AO167,0))))*(INDEX(avoidedcosttbl2,$H167,BL$2)+(($H167-ROUNDDOWN($H167,0))*(INDEX(avoidedcosttbl2,ROUNDUP($H167,0),BL$2)-(INDEX(avoidedcosttbl2,ROUNDDOWN($H167,0),BL$2)))))*'Inputs Yr 2'!P167*'Inputs Yr 2'!Q167*'Inputs Yr 2'!U167,"")</f>
        <v/>
      </c>
      <c r="BM167" s="195" t="str">
        <f>IFERROR($G167*(IF('Inputs Yr 2'!$AJ167=BM$4,'Inputs Yr 2'!$AK167,IF('Inputs Yr 2'!$AL167=BM$4,'Inputs Yr 2'!$AM167,IF('Inputs Yr 2'!$AN167=BM$4,'Inputs Yr 2'!$AO167,0))))*(INDEX(avoidedcosttbl2,$H167,BM$2)+(($H167-ROUNDDOWN($H167,0))*(INDEX(avoidedcosttbl2,ROUNDUP($H167,0),BM$2)-(INDEX(avoidedcosttbl2,ROUNDDOWN($H167,0),BM$2)))))*'Inputs Yr 2'!P167*'Inputs Yr 2'!Q167*'Inputs Yr 2'!U167,"")</f>
        <v/>
      </c>
      <c r="BN167" s="195" t="str">
        <f>IFERROR($G167*(IF('Inputs Yr 2'!$AJ167=BN$4,'Inputs Yr 2'!$AK167,IF('Inputs Yr 2'!$AL167=BN$4,'Inputs Yr 2'!$AM167,IF('Inputs Yr 2'!$AN167=BN$4,'Inputs Yr 2'!$AO167,0))))*(INDEX(avoidedcosttbl2,$H167,BN$2)+(($H167-ROUNDDOWN($H167,0))*(INDEX(avoidedcosttbl2,ROUNDUP($H167,0),BN$2)-(INDEX(avoidedcosttbl2,ROUNDDOWN($H167,0),BN$2)))))*'Inputs Yr 2'!P167*'Inputs Yr 2'!Q167*'Inputs Yr 2'!U167,"")</f>
        <v/>
      </c>
      <c r="BO167" s="195" t="str">
        <f>IFERROR($G167*(IF('Inputs Yr 2'!$AJ167=BO$4,'Inputs Yr 2'!$AK167,IF('Inputs Yr 2'!$AL167=BO$4,'Inputs Yr 2'!$AM167,IF('Inputs Yr 2'!$AN167=BO$4,'Inputs Yr 2'!$AO167,0))))*(INDEX(avoidedcosttbl2,$H167,BO$2)+(($H167-ROUNDDOWN($H167,0))*(INDEX(avoidedcosttbl2,ROUNDUP($H167,0),BO$2)-(INDEX(avoidedcosttbl2,ROUNDDOWN($H167,0),BO$2)))))*'Inputs Yr 2'!P167*'Inputs Yr 2'!Q167*'Inputs Yr 2'!U167,"")</f>
        <v/>
      </c>
      <c r="BP167" s="195" t="str">
        <f>IFERROR($G167*(IF('Inputs Yr 2'!$AJ167=BP$4,'Inputs Yr 2'!$AK167,IF('Inputs Yr 2'!$AL167=BP$4,'Inputs Yr 2'!$AM167,IF('Inputs Yr 2'!$AN167=BP$4,'Inputs Yr 2'!$AO167,0))))*(INDEX(avoidedcosttbl2,$H167,BP$2)+(($H167-ROUNDDOWN($H167,0))*(INDEX(avoidedcosttbl2,ROUNDUP($H167,0),BP$2)-(INDEX(avoidedcosttbl2,ROUNDDOWN($H167,0),BP$2)))))*'Inputs Yr 2'!P167*'Inputs Yr 2'!Q167*'Inputs Yr 2'!U167,"")</f>
        <v/>
      </c>
      <c r="BQ167" s="230">
        <f t="shared" si="98"/>
        <v>0</v>
      </c>
      <c r="BR167" s="197" t="str">
        <f t="shared" si="82"/>
        <v/>
      </c>
      <c r="BS167" s="197" t="str">
        <f>IFERROR(($G167*IF('Inputs Yr 2'!$AJ167=BM$4,'Inputs Yr 2'!$AK167,IF('Inputs Yr 2'!$AL167=BM$4,'Inputs Yr 2'!$AM167,IF('Inputs Yr 2'!$AN167=BM$4,'Inputs Yr 2'!$AO167,0))))*(INDEX(avoidedcosttbl2,$H167,BS$2)+(($H167-ROUNDDOWN($H167,0))*(INDEX(avoidedcosttbl2,ROUNDUP($H167,0),BS$2)-(INDEX(avoidedcosttbl2,ROUNDDOWN($H167,0),BS$2)))))*'Inputs Yr 2'!P167*'Inputs Yr 2'!Q167*'Inputs Yr 2'!U167,"")</f>
        <v/>
      </c>
      <c r="BT167" s="197" t="str">
        <f>IFERROR(($G167*IF('Inputs Yr 2'!$AJ167=BK$4,'Inputs Yr 2'!$AK167,IF('Inputs Yr 2'!$AL167=BK$4,'Inputs Yr 2'!$AM167,IF('Inputs Yr 2'!$AN167=BK$4,'Inputs Yr 2'!$AO167,0))))*(INDEX(avoidedcosttbl2,$H167,BT$2)+(($H167-ROUNDDOWN($H167,0))*(INDEX(avoidedcosttbl2,ROUNDUP($H167,0),BT$2)-(INDEX(avoidedcosttbl2,ROUNDDOWN($H167,0),BT$2)))))*'Inputs Yr 2'!P167*'Inputs Yr 2'!Q167*'Inputs Yr 2'!U167,"")</f>
        <v/>
      </c>
      <c r="BU167" s="197" t="str">
        <f>IFERROR(($G167*IF('Inputs Yr 2'!$AJ167=BL$4,'Inputs Yr 2'!$AK167,IF('Inputs Yr 2'!$AL167=BL$4,'Inputs Yr 2'!$AM167,IF('Inputs Yr 2'!$AN167=BL$4,'Inputs Yr 2'!$AO167,0))))*(INDEX(avoidedcosttbl2,$H167,BU$2)+(($H167-ROUNDDOWN($H167,0))*(INDEX(avoidedcosttbl2,ROUNDUP($H167,0),BU$2)-(INDEX(avoidedcosttbl2,ROUNDDOWN($H167,0),BU$2)))))*'Inputs Yr 2'!P167*'Inputs Yr 2'!Q167*'Inputs Yr 2'!U167,"")</f>
        <v/>
      </c>
      <c r="BV167" s="775" t="str">
        <f>IFERROR(($G167*IF('Inputs Yr 2'!$AJ167=BJ$4,'Inputs Yr 2'!$AK167,IF('Inputs Yr 2'!$AL167=BJ$4,'Inputs Yr 2'!$AM167,IF('Inputs Yr 2'!$AN167=BJ$4,'Inputs Yr 2'!$AO167,0))))*(INDEX(avoidedcosttbl2,$H167,BV$2)+(($H167-ROUNDDOWN($H167,0))*(INDEX(avoidedcosttbl2,ROUNDUP($H167,0),BV$2)-(INDEX(avoidedcosttbl2,ROUNDDOWN($H167,0),BV$2)))))*'Inputs Yr 2'!P167*'Inputs Yr 2'!Q167*'Inputs Yr 2'!U167,"")</f>
        <v/>
      </c>
      <c r="BW167" s="197" t="str">
        <f>IFERROR(($G167*IF('Inputs Yr 2'!$AJ167=BN$4,'Inputs Yr 2'!$AK167,IF('Inputs Yr 2'!$AL167=BN$4,'Inputs Yr 2'!$AM167,IF('Inputs Yr 2'!$AN167=BN$4,'Inputs Yr 2'!$AO167,0))))*(INDEX(avoidedcosttbl2,$H167,BW$2)+(($H167-ROUNDDOWN($H167,0))*(INDEX(avoidedcosttbl2,ROUNDUP($H167,0),BW$2)-(INDEX(avoidedcosttbl2,ROUNDDOWN($H167,0),BW$2)))))*'Inputs Yr 2'!P167*'Inputs Yr 2'!Q167*'Inputs Yr 2'!U167,"")</f>
        <v/>
      </c>
      <c r="BX167" s="197" t="str">
        <f>IFERROR(($G167*IF('Inputs Yr 2'!$AJ167=BO$4,'Inputs Yr 2'!$AK167,IF('Inputs Yr 2'!$AL167=BO$4,'Inputs Yr 2'!$AM167,IF('Inputs Yr 2'!$AN167=BO$4,'Inputs Yr 2'!$AO167,0))))*(INDEX(avoidedcosttbl2,$H167,BX$2)+(($H167-ROUNDDOWN($H167,0))*(INDEX(avoidedcosttbl2,ROUNDUP($H167,0),BX$2)-(INDEX(avoidedcosttbl2,ROUNDDOWN($H167,0),BX$2)))))*'Inputs Yr 2'!P167*'Inputs Yr 2'!Q167*'Inputs Yr 2'!U167,"")</f>
        <v/>
      </c>
      <c r="BY167" s="197" t="str">
        <f>IFERROR(($G167*IF('Inputs Yr 2'!$AJ167=BP$4,'Inputs Yr 2'!$AK167,IF('Inputs Yr 2'!$AL167=BP$4,'Inputs Yr 2'!$AM167,IF('Inputs Yr 2'!$AN167=BP$4,'Inputs Yr 2'!$AO167,0))))*(INDEX(avoidedcosttbl2,$H167,BY$2)+(($H167-ROUNDDOWN($H167,0))*(INDEX(avoidedcosttbl2,ROUNDUP($H167,0),BY$2)-(INDEX(avoidedcosttbl2,ROUNDDOWN($H167,0),BY$2)))))*'Inputs Yr 2'!P167*'Inputs Yr 2'!Q167*'Inputs Yr 2'!U167,"")</f>
        <v/>
      </c>
      <c r="BZ167" s="193">
        <f t="shared" si="99"/>
        <v>0</v>
      </c>
      <c r="CA167" s="193">
        <f t="shared" si="100"/>
        <v>0</v>
      </c>
      <c r="CB167" s="195" t="str">
        <f>IFERROR(G167*(IF('Inputs Yr 2'!$AJ167=CB$4,'Inputs Yr 2'!$AK167,IF('Inputs Yr 2'!$AL167=CB$4,'Inputs Yr 2'!$AM167,IF('Inputs Yr 2'!$AN167=CB$4,'Inputs Yr 2'!$AO167,0))))*(INDEX(avoidedcosttbl2,$H167,CB$2)+(($H167-ROUNDDOWN($H167,0))*(INDEX(avoidedcosttbl2,ROUNDUP($H167,0),CB$2)-(INDEX(avoidedcosttbl2,ROUNDDOWN($H167,0),CB$2)))))*'Inputs Yr 2'!P167*'Inputs Yr 2'!Q167*'Inputs Yr 2'!U167,"")</f>
        <v/>
      </c>
      <c r="CC167" s="195" t="str">
        <f>IFERROR(H167*(IF('Inputs Yr 2'!$AJ167=CC$4,'Inputs Yr 2'!$AK167,IF('Inputs Yr 2'!$AL167=CC$4,'Inputs Yr 2'!$AM167,IF('Inputs Yr 2'!$AN167=CC$4,'Inputs Yr 2'!$AO167,0))))*(INDEX(avoidedcosttbl2,$H167,CC$2)+(($H167-ROUNDDOWN($H167,0))*(INDEX(avoidedcosttbl2,ROUNDUP($H167,0),CC$2)-(INDEX(avoidedcosttbl2,ROUNDDOWN($H167,0),CC$2)))))*'Inputs Yr 2'!Q167*'Inputs Yr 2'!R167*'Inputs Yr 2'!V167,"")</f>
        <v/>
      </c>
      <c r="CD167" s="195" t="str">
        <f>IFERROR(I167*(IF('Inputs Yr 2'!$AJ167=CD$4,'Inputs Yr 2'!$AK167,IF('Inputs Yr 2'!$AL167=CD$4,'Inputs Yr 2'!$AM167,IF('Inputs Yr 2'!$AN167=CD$4,'Inputs Yr 2'!$AO167,0))))*(INDEX(avoidedcosttbl2,$H167,CD$2)+(($H167-ROUNDDOWN($H167,0))*(INDEX(avoidedcosttbl2,ROUNDUP($H167,0),CD$2)-(INDEX(avoidedcosttbl2,ROUNDDOWN($H167,0),CD$2)))))*'Inputs Yr 2'!R167*'Inputs Yr 2'!S167*'Inputs Yr 2'!W167,"")</f>
        <v/>
      </c>
      <c r="CE167" s="213" t="str">
        <f t="shared" si="101"/>
        <v/>
      </c>
      <c r="CF167" s="213" t="str">
        <f t="shared" si="102"/>
        <v/>
      </c>
      <c r="CG167" s="213" t="str">
        <f t="shared" si="103"/>
        <v/>
      </c>
      <c r="CH167" s="698">
        <f t="shared" si="104"/>
        <v>0</v>
      </c>
      <c r="CI167" s="79" t="str">
        <f>IFERROR(($G167*'Inputs Yr 2'!$P167*'Inputs Yr 2'!$Q167*(((INDEX(avoidedcosttbl2,$H167,CI$2)+(($H167-ROUNDDOWN($H167,0))*(INDEX(avoidedcosttbl2,ROUNDUP($H167,0),CI$2)-INDEX(avoidedcosttbl2,ROUNDDOWN($H167,0),CI$2))))*'Inputs Yr 2'!AS167))),"")</f>
        <v/>
      </c>
      <c r="CJ167" s="504" t="str">
        <f>IFERROR($G167*'Inputs Yr 2'!AT167*'Inputs Yr 2'!$P167*'Inputs Yr 2'!$Q167/((1+realdiscrt1)^-0.5),"")</f>
        <v/>
      </c>
      <c r="CK167" s="79" t="str">
        <f>IFERROR((O167*1000*(((INDEX(avoidedcosttbl2,$H167,CK$2)+(($H167-ROUNDDOWN($H167,0))*(INDEX(avoidedcosttbl2,ROUNDUP($H167,0),CK$2)-INDEX(avoidedcosttbl2,ROUNDDOWN($H167,0),CK$2))))*'Inputs Yr 2'!AU167))),"")</f>
        <v/>
      </c>
      <c r="CL167" s="504" t="str">
        <f>IFERROR(O167*1000*'Inputs Yr 2'!AV167/((1+realdiscrt1)^-0.5),"")</f>
        <v/>
      </c>
      <c r="CM167" s="79" t="str">
        <f>IFERROR((AB167*'Inputs Yr 2'!AW167*(((INDEX(avoidedcosttbl2,$H167,CM$2)+(($H167-ROUNDDOWN($H167,0))*(INDEX(avoidedcosttbl2,ROUNDUP($H167,0),CM$2)-INDEX(avoidedcosttbl2,ROUNDDOWN($H167,0),CM$2)))))))*10,"")</f>
        <v/>
      </c>
      <c r="CN167" s="504">
        <f>IFERROR(10*AB167*'Inputs Yr 2'!AX167/((1+realdiscrt1)^-0.5),"")</f>
        <v>0</v>
      </c>
      <c r="CO167" s="505">
        <f t="shared" si="105"/>
        <v>0</v>
      </c>
      <c r="CP167" s="230">
        <f t="shared" si="106"/>
        <v>0</v>
      </c>
      <c r="CQ167" s="199">
        <f>ROUND(IFERROR(IF(LEFT($A167,1)="C",'Avoided Costs'!$K$13,'Avoided Costs'!$K$12)+1,""),4)</f>
        <v>1.0720000000000001</v>
      </c>
      <c r="CR167" s="199">
        <f>ROUND(IFERROR(IF(LEFT($A167,1)="C",'Avoided Costs'!$L$13,'Avoided Costs'!$L$12)+1,""),4)</f>
        <v>1.04</v>
      </c>
      <c r="CS167" s="199">
        <f>ROUND(IFERROR(IF(LEFT($A167,1)="C",'Avoided Costs'!$M$13,'Avoided Costs'!$M$12)+1,""),4)</f>
        <v>1.0720000000000001</v>
      </c>
      <c r="CT167" s="199">
        <f>ROUND(IFERROR(IF(LEFT($A167,1)="C",'Avoided Costs'!$N$13,'Avoided Costs'!$N$12)+1,""),4)</f>
        <v>1.04</v>
      </c>
      <c r="CU167" s="199">
        <f>ROUND(IFERROR(IF(LEFT($A167,1)="C",'Avoided Costs'!$O$13,'Avoided Costs'!$O$12)+1,""),4)</f>
        <v>1.1120000000000001</v>
      </c>
      <c r="CV167" s="199">
        <f>ROUND(IFERROR(IF(LEFT($A167,1)="C",'Avoided Costs'!$P$13,'Avoided Costs'!$P$12)+1,""),4)</f>
        <v>1.095</v>
      </c>
      <c r="CW167" s="199">
        <f>ROUND(IFERROR(IF(LEFT($A167,1)="C",'Avoided Costs'!$Q$13,'Avoided Costs'!$Q$12)+1,""),4)</f>
        <v>1.1120000000000001</v>
      </c>
      <c r="CX167" s="200">
        <f>ROUND(IFERROR(IF(LEFT($A167,1)="C",'Avoided Costs'!$R$13,'Avoided Costs'!$R$12)+1,""),4)</f>
        <v>1.1120000000000001</v>
      </c>
    </row>
    <row r="168" spans="1:102" ht="12.75" customHeight="1">
      <c r="A168" s="91" t="str">
        <f>IF('Inputs Yr 2'!$B168=0,"",'Inputs Yr 2'!A168)</f>
        <v>C - Commercial &amp; Industrial</v>
      </c>
      <c r="B168" s="91" t="str">
        <f>IF('Inputs Yr 2'!$B168=0,"",'Inputs Yr 2'!B168)</f>
        <v>C1 - C&amp;I New Construction</v>
      </c>
      <c r="C168" s="91" t="str">
        <f>IF('Inputs Yr 2'!$B168=0,"",'Inputs Yr 2'!C168)</f>
        <v>C1a - C&amp;I New Buildings &amp; Major Renovations</v>
      </c>
      <c r="D168" s="91" t="str">
        <f>IF('Inputs Yr 2'!$B168=0,"",'Inputs Yr 2'!E168)</f>
        <v>HVAC - Multifamily High Rise</v>
      </c>
      <c r="E168" s="93" t="str">
        <f>IF('Inputs Yr 2'!$B168=0,"",'Inputs Yr 2'!F168)</f>
        <v>G16C1a14</v>
      </c>
      <c r="F168" s="93" t="str">
        <f>IF('Inputs Yr 2'!$B168=0,"",'Inputs Yr 2'!G168)</f>
        <v>HVAC</v>
      </c>
      <c r="G168" s="95">
        <f>IF('Inputs Yr 2'!$H168&lt;&gt;0,('Inputs Yr 2'!H168),"")</f>
        <v>15</v>
      </c>
      <c r="H168" s="94">
        <f>IFERROR('Inputs Yr 2'!I168,"")</f>
        <v>25</v>
      </c>
      <c r="I168" s="298">
        <f>IFERROR('Inputs Yr 2'!J168*'Inputs Yr 2'!P168*G168,"")</f>
        <v>492192.85714285704</v>
      </c>
      <c r="J168" s="298">
        <f>IFERROR('Inputs Yr 2'!K168*G168,"")</f>
        <v>59734.743250000007</v>
      </c>
      <c r="K168" s="298">
        <f t="shared" si="83"/>
        <v>432458.11389285704</v>
      </c>
      <c r="L168" s="194">
        <f>IFERROR(('Inputs Yr 2'!W168*G168)/1000,"")</f>
        <v>0</v>
      </c>
      <c r="M168" s="194">
        <f>IFERROR(L168*('Inputs Yr 2'!$Q168*'Inputs Yr 2'!$V168*'Inputs Yr 2'!$R168),"")</f>
        <v>0</v>
      </c>
      <c r="N168" s="194">
        <f t="shared" si="84"/>
        <v>0</v>
      </c>
      <c r="O168" s="194">
        <f>IFERROR(M168*'Inputs Yr 2'!P168,"")</f>
        <v>0</v>
      </c>
      <c r="P168" s="194">
        <f t="shared" si="85"/>
        <v>0</v>
      </c>
      <c r="Q168" s="194">
        <f>IFERROR($P168*'Inputs Yr 2'!AA168,"")</f>
        <v>0</v>
      </c>
      <c r="R168" s="194">
        <f>IFERROR($P168*'Inputs Yr 2'!AB168,"")</f>
        <v>0</v>
      </c>
      <c r="S168" s="194">
        <f>IFERROR($P168*'Inputs Yr 2'!AC168,"")</f>
        <v>0</v>
      </c>
      <c r="T168" s="194">
        <f>IFERROR($P168*'Inputs Yr 2'!AD168,"")</f>
        <v>0</v>
      </c>
      <c r="U168" s="194">
        <f>IFERROR(G168*'Inputs Yr 2'!$AE168*'Inputs Yr 2'!$P168*'Inputs Yr 2'!$Q168,"")</f>
        <v>0</v>
      </c>
      <c r="V168" s="194">
        <f>IFERROR($G168*'Inputs Yr 2'!$AE168*'Inputs Yr 2'!$AG168*'Inputs Yr 2'!Q168*'Inputs Yr 2'!$S168,"")</f>
        <v>0</v>
      </c>
      <c r="W168" s="194">
        <f>IFERROR($G168*'Inputs Yr 2'!$AE168*'Inputs Yr 2'!$AG168*'Inputs Yr 2'!P168*'Inputs Yr 2'!Q168*'Inputs Yr 2'!$S168,"")</f>
        <v>0</v>
      </c>
      <c r="X168" s="194">
        <f>IFERROR($G168*'Inputs Yr 2'!$AE168*'Inputs Yr 2'!$AF168*'Inputs Yr 2'!Q168*'Inputs Yr 2'!$T168,"")</f>
        <v>0</v>
      </c>
      <c r="Y168" s="194">
        <f>IFERROR($G168*'Inputs Yr 2'!$AE168*'Inputs Yr 2'!$AF168*'Inputs Yr 2'!P168*'Inputs Yr 2'!Q168*'Inputs Yr 2'!$T168,"")</f>
        <v>0</v>
      </c>
      <c r="Z168" s="257">
        <f>IFERROR($G168*'Inputs Yr 2'!$Q168*'Inputs Yr 2'!$U168*(IF(IFERROR(SEARCH("NG", 'Inputs Yr 2'!$AJ168),0),'Inputs Yr 2'!$AK168,0)+IF(IFERROR(SEARCH("NG", 'Inputs Yr 2'!$AL168),0),'Inputs Yr 2'!$AM168,0)+IF(IFERROR(SEARCH("NG", 'Inputs Yr 2'!$AN168),0),'Inputs Yr 2'!$AO168,0)),0)</f>
        <v>3413.4139000000005</v>
      </c>
      <c r="AA168" s="257">
        <f t="shared" si="86"/>
        <v>85335.347500000018</v>
      </c>
      <c r="AB168" s="257">
        <f>IFERROR(Z168*'Inputs Yr 2'!$P168,0)</f>
        <v>3413.4139000000005</v>
      </c>
      <c r="AC168" s="257">
        <f t="shared" si="87"/>
        <v>85335.347500000018</v>
      </c>
      <c r="AD168" s="257">
        <f>IFERROR($G168*'Inputs Yr 2'!$Q168*'Inputs Yr 2'!$U168*(IF(IFERROR(SEARCH("Oil", 'Inputs Yr 2'!$AJ168), 0),'Inputs Yr 2'!$AK168,0)+IF(IFERROR(SEARCH("Oil", 'Inputs Yr 2'!$AL168), 0),'Inputs Yr 2'!$AM168,0)+IF(IFERROR(SEARCH("Oil", 'Inputs Yr 2'!$AN168), 0),'Inputs Yr 2'!$AO168,0)),0)</f>
        <v>0</v>
      </c>
      <c r="AE168" s="257">
        <f t="shared" si="88"/>
        <v>0</v>
      </c>
      <c r="AF168" s="257">
        <f>IFERROR(AD168*'Inputs Yr 2'!$P168,0)</f>
        <v>0</v>
      </c>
      <c r="AG168" s="257">
        <f t="shared" si="89"/>
        <v>0</v>
      </c>
      <c r="AH168" s="257">
        <f>IFERROR($G168*'Inputs Yr 2'!$Q168*'Inputs Yr 2'!$U168*(IF('Inputs Yr 2'!$AJ168=CD$4,'Inputs Yr 2'!$AK168,IF('Inputs Yr 2'!$AL168=CD$4,'Inputs Yr 2'!$AM168,IF('Inputs Yr 2'!$AN168=CD$4,'Inputs Yr 2'!$AO168,0)))),0)</f>
        <v>0</v>
      </c>
      <c r="AI168" s="257">
        <f t="shared" si="90"/>
        <v>0</v>
      </c>
      <c r="AJ168" s="257">
        <f>IFERROR(AH168*'Inputs Yr 2'!$P168,0)</f>
        <v>0</v>
      </c>
      <c r="AK168" s="257">
        <f t="shared" si="91"/>
        <v>0</v>
      </c>
      <c r="AL168" s="258">
        <f>IFERROR($G168*'Inputs Yr 2'!$P168*'Inputs Yr 2'!$Q168*'Inputs Yr 2'!AP168,0)</f>
        <v>0</v>
      </c>
      <c r="AM168" s="260">
        <f>IFERROR($G168*'Inputs Yr 2'!$P168*'Inputs Yr 2'!$Q168*'Inputs Yr 2'!AQ168,0)</f>
        <v>0</v>
      </c>
      <c r="AN168" s="258">
        <f>IFERROR($G168*'Inputs Yr 2'!$P168*'Inputs Yr 2'!$Q168*'Inputs Yr 2'!AR168,0)</f>
        <v>0</v>
      </c>
      <c r="AO168" s="257">
        <f t="shared" si="92"/>
        <v>0</v>
      </c>
      <c r="AP168" s="195">
        <f>IFERROR($CQ168*(INDEX(avoidedcosttbl2,$H168,AP$2)+(($H168-ROUNDDOWN($H168,0))*(INDEX(avoidedcosttbl2,ROUNDUP($H168,0),AP$2)-(INDEX(avoidedcosttbl2,ROUNDDOWN($H168,0),AP$2)))))*$O168*1000*'Inputs Yr 2'!AA168,"")</f>
        <v>0</v>
      </c>
      <c r="AQ168" s="195">
        <f>IFERROR($CR168*(INDEX(avoidedcosttbl2,$H168,AQ$2)+(($H168-ROUNDDOWN($H168,0))*(INDEX(avoidedcosttbl2,ROUNDUP($H168,0),AQ$2)-(INDEX(avoidedcosttbl2,ROUNDDOWN($H168,0),AQ$2)))))*$O168*1000*'Inputs Yr 2'!AB168,"")</f>
        <v>0</v>
      </c>
      <c r="AR168" s="195">
        <f>IFERROR($CS168*(INDEX(avoidedcosttbl2,$H168,AR$2)+(($H168-ROUNDDOWN($H168,0))*(INDEX(avoidedcosttbl2,ROUNDUP($H168,0),AR$2)-(INDEX(avoidedcosttbl2,ROUNDDOWN($H168,0),AR$2)))))*$O168*1000*'Inputs Yr 2'!AC168,"")</f>
        <v>0</v>
      </c>
      <c r="AS168" s="195">
        <f>IFERROR($CT168*(INDEX(avoidedcosttbl2,$H168,AS$2)+(($H168-ROUNDDOWN($H168,0))*(INDEX(avoidedcosttbl2,ROUNDUP($H168,0),AS$2)-(INDEX(avoidedcosttbl2,ROUNDDOWN($H168,0),AS$2)))))*$O168*1000*'Inputs Yr 2'!AD168,"")</f>
        <v>0</v>
      </c>
      <c r="AT168" s="196">
        <f t="shared" si="93"/>
        <v>0</v>
      </c>
      <c r="AU168" s="197">
        <f>IFERROR($CQ168*((INDEX(avoidedcosttbl2,$H168,AU$2))+(($H168-ROUNDDOWN($H168,0))*((INDEX(avoidedcosttbl2,ROUNDUP($H168,0),AU$2))-(INDEX(avoidedcosttbl2,ROUNDDOWN($H168,0),AU$2)))))*$O168*1000*'Inputs Yr 2'!AA168,"")</f>
        <v>0</v>
      </c>
      <c r="AV168" s="197">
        <f>IFERROR($CR168*((INDEX(avoidedcosttbl2,$H168,AV$2))+(($H168-ROUNDDOWN($H168,0))*((INDEX(avoidedcosttbl2,ROUNDUP($H168,0),AV$2))-(INDEX(avoidedcosttbl2,ROUNDDOWN($H168,0),AV$2)))))*$O168*1000*'Inputs Yr 2'!AB168,"")</f>
        <v>0</v>
      </c>
      <c r="AW168" s="197">
        <f>IFERROR($CS168*((INDEX(avoidedcosttbl2,$H168,AW$2))+(($H168-ROUNDDOWN($H168,0))*((INDEX(avoidedcosttbl2,ROUNDUP($H168,0),AW$2))-(INDEX(avoidedcosttbl2,ROUNDDOWN($H168,0),AW$2)))))*$O168*1000*'Inputs Yr 2'!AC168,"")</f>
        <v>0</v>
      </c>
      <c r="AX168" s="197">
        <f>IFERROR($CT168*((INDEX(avoidedcosttbl2,$H168,AX$2))+(($H168-ROUNDDOWN($H168,0))*((INDEX(avoidedcosttbl2,ROUNDUP($H168,0),AX$2))-(INDEX(avoidedcosttbl2,ROUNDDOWN($H168,0),AX$2)))))*$O168*1000*'Inputs Yr 2'!AD168,"")</f>
        <v>0</v>
      </c>
      <c r="AY168" s="197">
        <f>IFERROR(((INDEX(avoidedcosttbl2,$H168,AY$2))+(($H168-ROUNDDOWN($H168,0))*((INDEX(avoidedcosttbl2,ROUNDUP($H168,0),AY$2))-(INDEX(avoidedcosttbl2,ROUNDDOWN($H168,0),AY$2)))))*$O168*1000*('Inputs Yr 2'!AC168+'Inputs Yr 2'!AD168),"")</f>
        <v>0</v>
      </c>
      <c r="AZ168" s="197">
        <f>IFERROR(((INDEX(avoidedcosttbl2,$H168,AZ$2))+(($H168-ROUNDDOWN($H168,0))*((INDEX(avoidedcosttbl2,ROUNDUP($H168,0),AZ$2))-(INDEX(avoidedcosttbl2,ROUNDDOWN($H168,0),AZ$2)))))*$O168*1000*('Inputs Yr 2'!AA168+'Inputs Yr 2'!AB168),"")</f>
        <v>0</v>
      </c>
      <c r="BA168" s="198">
        <f t="shared" si="94"/>
        <v>0</v>
      </c>
      <c r="BB168" s="198">
        <f t="shared" si="95"/>
        <v>0</v>
      </c>
      <c r="BC168" s="195">
        <f t="shared" si="77"/>
        <v>0</v>
      </c>
      <c r="BD168" s="195">
        <f t="shared" si="78"/>
        <v>0</v>
      </c>
      <c r="BE168" s="195">
        <f t="shared" si="79"/>
        <v>0</v>
      </c>
      <c r="BF168" s="195">
        <f t="shared" si="80"/>
        <v>0</v>
      </c>
      <c r="BG168" s="195">
        <f t="shared" si="81"/>
        <v>0</v>
      </c>
      <c r="BH168" s="196">
        <f t="shared" si="96"/>
        <v>0</v>
      </c>
      <c r="BI168" s="196">
        <f t="shared" si="97"/>
        <v>0</v>
      </c>
      <c r="BJ168" s="195">
        <f>IFERROR($G168*(IF('Inputs Yr 2'!$AJ168=BJ$4,'Inputs Yr 2'!$AK168,IF('Inputs Yr 2'!$AL168=BJ$4,'Inputs Yr 2'!$AM168,IF('Inputs Yr 2'!$AN168=BJ$4,'Inputs Yr 2'!$AO168,0))))*(INDEX(avoidedcosttbl2,$H168,BJ$2)+(($H168-ROUNDDOWN($H168,0))*(INDEX(avoidedcosttbl2,ROUNDUP($H168,0),BJ$2)-(INDEX(avoidedcosttbl2,ROUNDDOWN($H168,0),BJ$2)))))*'Inputs Yr 2'!P168*'Inputs Yr 2'!Q168*'Inputs Yr 2'!U168,"")</f>
        <v>0</v>
      </c>
      <c r="BK168" s="195">
        <f>IFERROR($G168*(IF('Inputs Yr 2'!$AJ168=BK$4,'Inputs Yr 2'!$AK168,IF('Inputs Yr 2'!$AL168=BK$4,'Inputs Yr 2'!$AM168,IF('Inputs Yr 2'!$AN168=BK$4,'Inputs Yr 2'!$AO168,0))))*(INDEX(avoidedcosttbl2,$H168,BK$2)+(($H168-ROUNDDOWN($H168,0))*(INDEX(avoidedcosttbl2,ROUNDUP($H168,0),BK$2)-(INDEX(avoidedcosttbl2,ROUNDDOWN($H168,0),BK$2)))))*'Inputs Yr 2'!P168*'Inputs Yr 2'!Q168*'Inputs Yr 2'!U168,"")</f>
        <v>0</v>
      </c>
      <c r="BL168" s="195">
        <f>IFERROR($G168*(IF('Inputs Yr 2'!$AJ168=BL$4,'Inputs Yr 2'!$AK168,IF('Inputs Yr 2'!$AL168=BL$4,'Inputs Yr 2'!$AM168,IF('Inputs Yr 2'!$AN168=BL$4,'Inputs Yr 2'!$AO168,0))))*(INDEX(avoidedcosttbl2,$H168,BL$2)+(($H168-ROUNDDOWN($H168,0))*(INDEX(avoidedcosttbl2,ROUNDUP($H168,0),BL$2)-(INDEX(avoidedcosttbl2,ROUNDDOWN($H168,0),BL$2)))))*'Inputs Yr 2'!P168*'Inputs Yr 2'!Q168*'Inputs Yr 2'!U168,"")</f>
        <v>0</v>
      </c>
      <c r="BM168" s="195">
        <f>IFERROR($G168*(IF('Inputs Yr 2'!$AJ168=BM$4,'Inputs Yr 2'!$AK168,IF('Inputs Yr 2'!$AL168=BM$4,'Inputs Yr 2'!$AM168,IF('Inputs Yr 2'!$AN168=BM$4,'Inputs Yr 2'!$AO168,0))))*(INDEX(avoidedcosttbl2,$H168,BM$2)+(($H168-ROUNDDOWN($H168,0))*(INDEX(avoidedcosttbl2,ROUNDUP($H168,0),BM$2)-(INDEX(avoidedcosttbl2,ROUNDDOWN($H168,0),BM$2)))))*'Inputs Yr 2'!P168*'Inputs Yr 2'!Q168*'Inputs Yr 2'!U168,"")</f>
        <v>0</v>
      </c>
      <c r="BN168" s="195">
        <f>IFERROR($G168*(IF('Inputs Yr 2'!$AJ168=BN$4,'Inputs Yr 2'!$AK168,IF('Inputs Yr 2'!$AL168=BN$4,'Inputs Yr 2'!$AM168,IF('Inputs Yr 2'!$AN168=BN$4,'Inputs Yr 2'!$AO168,0))))*(INDEX(avoidedcosttbl2,$H168,BN$2)+(($H168-ROUNDDOWN($H168,0))*(INDEX(avoidedcosttbl2,ROUNDUP($H168,0),BN$2)-(INDEX(avoidedcosttbl2,ROUNDDOWN($H168,0),BN$2)))))*'Inputs Yr 2'!P168*'Inputs Yr 2'!Q168*'Inputs Yr 2'!U168,"")</f>
        <v>0</v>
      </c>
      <c r="BO168" s="195">
        <f>IFERROR($G168*(IF('Inputs Yr 2'!$AJ168=BO$4,'Inputs Yr 2'!$AK168,IF('Inputs Yr 2'!$AL168=BO$4,'Inputs Yr 2'!$AM168,IF('Inputs Yr 2'!$AN168=BO$4,'Inputs Yr 2'!$AO168,0))))*(INDEX(avoidedcosttbl2,$H168,BO$2)+(($H168-ROUNDDOWN($H168,0))*(INDEX(avoidedcosttbl2,ROUNDUP($H168,0),BO$2)-(INDEX(avoidedcosttbl2,ROUNDDOWN($H168,0),BO$2)))))*'Inputs Yr 2'!P168*'Inputs Yr 2'!Q168*'Inputs Yr 2'!U168,"")</f>
        <v>707038.32643897319</v>
      </c>
      <c r="BP168" s="195">
        <f>IFERROR($G168*(IF('Inputs Yr 2'!$AJ168=BP$4,'Inputs Yr 2'!$AK168,IF('Inputs Yr 2'!$AL168=BP$4,'Inputs Yr 2'!$AM168,IF('Inputs Yr 2'!$AN168=BP$4,'Inputs Yr 2'!$AO168,0))))*(INDEX(avoidedcosttbl2,$H168,BP$2)+(($H168-ROUNDDOWN($H168,0))*(INDEX(avoidedcosttbl2,ROUNDUP($H168,0),BP$2)-(INDEX(avoidedcosttbl2,ROUNDDOWN($H168,0),BP$2)))))*'Inputs Yr 2'!P168*'Inputs Yr 2'!Q168*'Inputs Yr 2'!U168,"")</f>
        <v>0</v>
      </c>
      <c r="BQ168" s="230">
        <f t="shared" si="98"/>
        <v>707038.32643897319</v>
      </c>
      <c r="BR168" s="197">
        <f t="shared" si="82"/>
        <v>11319.012122048256</v>
      </c>
      <c r="BS168" s="197">
        <f>IFERROR(($G168*IF('Inputs Yr 2'!$AJ168=BM$4,'Inputs Yr 2'!$AK168,IF('Inputs Yr 2'!$AL168=BM$4,'Inputs Yr 2'!$AM168,IF('Inputs Yr 2'!$AN168=BM$4,'Inputs Yr 2'!$AO168,0))))*(INDEX(avoidedcosttbl2,$H168,BS$2)+(($H168-ROUNDDOWN($H168,0))*(INDEX(avoidedcosttbl2,ROUNDUP($H168,0),BS$2)-(INDEX(avoidedcosttbl2,ROUNDDOWN($H168,0),BS$2)))))*'Inputs Yr 2'!P168*'Inputs Yr 2'!Q168*'Inputs Yr 2'!U168,"")</f>
        <v>0</v>
      </c>
      <c r="BT168" s="197">
        <f>IFERROR(($G168*IF('Inputs Yr 2'!$AJ168=BK$4,'Inputs Yr 2'!$AK168,IF('Inputs Yr 2'!$AL168=BK$4,'Inputs Yr 2'!$AM168,IF('Inputs Yr 2'!$AN168=BK$4,'Inputs Yr 2'!$AO168,0))))*(INDEX(avoidedcosttbl2,$H168,BT$2)+(($H168-ROUNDDOWN($H168,0))*(INDEX(avoidedcosttbl2,ROUNDUP($H168,0),BT$2)-(INDEX(avoidedcosttbl2,ROUNDDOWN($H168,0),BT$2)))))*'Inputs Yr 2'!P168*'Inputs Yr 2'!Q168*'Inputs Yr 2'!U168,"")</f>
        <v>0</v>
      </c>
      <c r="BU168" s="197">
        <f>IFERROR(($G168*IF('Inputs Yr 2'!$AJ168=BL$4,'Inputs Yr 2'!$AK168,IF('Inputs Yr 2'!$AL168=BL$4,'Inputs Yr 2'!$AM168,IF('Inputs Yr 2'!$AN168=BL$4,'Inputs Yr 2'!$AO168,0))))*(INDEX(avoidedcosttbl2,$H168,BU$2)+(($H168-ROUNDDOWN($H168,0))*(INDEX(avoidedcosttbl2,ROUNDUP($H168,0),BU$2)-(INDEX(avoidedcosttbl2,ROUNDDOWN($H168,0),BU$2)))))*'Inputs Yr 2'!P168*'Inputs Yr 2'!Q168*'Inputs Yr 2'!U168,"")</f>
        <v>0</v>
      </c>
      <c r="BV168" s="775">
        <f>IFERROR(($G168*IF('Inputs Yr 2'!$AJ168=BJ$4,'Inputs Yr 2'!$AK168,IF('Inputs Yr 2'!$AL168=BJ$4,'Inputs Yr 2'!$AM168,IF('Inputs Yr 2'!$AN168=BJ$4,'Inputs Yr 2'!$AO168,0))))*(INDEX(avoidedcosttbl2,$H168,BV$2)+(($H168-ROUNDDOWN($H168,0))*(INDEX(avoidedcosttbl2,ROUNDUP($H168,0),BV$2)-(INDEX(avoidedcosttbl2,ROUNDDOWN($H168,0),BV$2)))))*'Inputs Yr 2'!P168*'Inputs Yr 2'!Q168*'Inputs Yr 2'!U168,"")</f>
        <v>0</v>
      </c>
      <c r="BW168" s="197">
        <f>IFERROR(($G168*IF('Inputs Yr 2'!$AJ168=BN$4,'Inputs Yr 2'!$AK168,IF('Inputs Yr 2'!$AL168=BN$4,'Inputs Yr 2'!$AM168,IF('Inputs Yr 2'!$AN168=BN$4,'Inputs Yr 2'!$AO168,0))))*(INDEX(avoidedcosttbl2,$H168,BW$2)+(($H168-ROUNDDOWN($H168,0))*(INDEX(avoidedcosttbl2,ROUNDUP($H168,0),BW$2)-(INDEX(avoidedcosttbl2,ROUNDDOWN($H168,0),BW$2)))))*'Inputs Yr 2'!P168*'Inputs Yr 2'!Q168*'Inputs Yr 2'!U168,"")</f>
        <v>0</v>
      </c>
      <c r="BX168" s="197">
        <f>IFERROR(($G168*IF('Inputs Yr 2'!$AJ168=BO$4,'Inputs Yr 2'!$AK168,IF('Inputs Yr 2'!$AL168=BO$4,'Inputs Yr 2'!$AM168,IF('Inputs Yr 2'!$AN168=BO$4,'Inputs Yr 2'!$AO168,0))))*(INDEX(avoidedcosttbl2,$H168,BX$2)+(($H168-ROUNDDOWN($H168,0))*(INDEX(avoidedcosttbl2,ROUNDUP($H168,0),BX$2)-(INDEX(avoidedcosttbl2,ROUNDDOWN($H168,0),BX$2)))))*'Inputs Yr 2'!P168*'Inputs Yr 2'!Q168*'Inputs Yr 2'!U168,"")</f>
        <v>31788.680316917878</v>
      </c>
      <c r="BY168" s="197">
        <f>IFERROR(($G168*IF('Inputs Yr 2'!$AJ168=BP$4,'Inputs Yr 2'!$AK168,IF('Inputs Yr 2'!$AL168=BP$4,'Inputs Yr 2'!$AM168,IF('Inputs Yr 2'!$AN168=BP$4,'Inputs Yr 2'!$AO168,0))))*(INDEX(avoidedcosttbl2,$H168,BY$2)+(($H168-ROUNDDOWN($H168,0))*(INDEX(avoidedcosttbl2,ROUNDUP($H168,0),BY$2)-(INDEX(avoidedcosttbl2,ROUNDDOWN($H168,0),BY$2)))))*'Inputs Yr 2'!P168*'Inputs Yr 2'!Q168*'Inputs Yr 2'!U168,"")</f>
        <v>0</v>
      </c>
      <c r="BZ168" s="193">
        <f t="shared" si="99"/>
        <v>43107.692438966136</v>
      </c>
      <c r="CA168" s="193">
        <f t="shared" si="100"/>
        <v>750146.01887793932</v>
      </c>
      <c r="CB168" s="195">
        <f>IFERROR(G168*(IF('Inputs Yr 2'!$AJ168=CB$4,'Inputs Yr 2'!$AK168,IF('Inputs Yr 2'!$AL168=CB$4,'Inputs Yr 2'!$AM168,IF('Inputs Yr 2'!$AN168=CB$4,'Inputs Yr 2'!$AO168,0))))*(INDEX(avoidedcosttbl2,$H168,CB$2)+(($H168-ROUNDDOWN($H168,0))*(INDEX(avoidedcosttbl2,ROUNDUP($H168,0),CB$2)-(INDEX(avoidedcosttbl2,ROUNDDOWN($H168,0),CB$2)))))*'Inputs Yr 2'!P168*'Inputs Yr 2'!Q168*'Inputs Yr 2'!U168,"")</f>
        <v>0</v>
      </c>
      <c r="CC168" s="195">
        <f>IFERROR(H168*(IF('Inputs Yr 2'!$AJ168=CC$4,'Inputs Yr 2'!$AK168,IF('Inputs Yr 2'!$AL168=CC$4,'Inputs Yr 2'!$AM168,IF('Inputs Yr 2'!$AN168=CC$4,'Inputs Yr 2'!$AO168,0))))*(INDEX(avoidedcosttbl2,$H168,CC$2)+(($H168-ROUNDDOWN($H168,0))*(INDEX(avoidedcosttbl2,ROUNDUP($H168,0),CC$2)-(INDEX(avoidedcosttbl2,ROUNDDOWN($H168,0),CC$2)))))*'Inputs Yr 2'!Q168*'Inputs Yr 2'!R168*'Inputs Yr 2'!V168,"")</f>
        <v>0</v>
      </c>
      <c r="CD168" s="195">
        <f>IFERROR(I168*(IF('Inputs Yr 2'!$AJ168=CD$4,'Inputs Yr 2'!$AK168,IF('Inputs Yr 2'!$AL168=CD$4,'Inputs Yr 2'!$AM168,IF('Inputs Yr 2'!$AN168=CD$4,'Inputs Yr 2'!$AO168,0))))*(INDEX(avoidedcosttbl2,$H168,CD$2)+(($H168-ROUNDDOWN($H168,0))*(INDEX(avoidedcosttbl2,ROUNDUP($H168,0),CD$2)-(INDEX(avoidedcosttbl2,ROUNDDOWN($H168,0),CD$2)))))*'Inputs Yr 2'!R168*'Inputs Yr 2'!S168*'Inputs Yr 2'!W168,"")</f>
        <v>0</v>
      </c>
      <c r="CE168" s="213">
        <f t="shared" si="101"/>
        <v>0</v>
      </c>
      <c r="CF168" s="213">
        <f t="shared" si="102"/>
        <v>0</v>
      </c>
      <c r="CG168" s="213">
        <f t="shared" si="103"/>
        <v>0</v>
      </c>
      <c r="CH168" s="698">
        <f t="shared" si="104"/>
        <v>750146.01887793932</v>
      </c>
      <c r="CI168" s="79">
        <f>IFERROR(($G168*'Inputs Yr 2'!$P168*'Inputs Yr 2'!$Q168*(((INDEX(avoidedcosttbl2,$H168,CI$2)+(($H168-ROUNDDOWN($H168,0))*(INDEX(avoidedcosttbl2,ROUNDUP($H168,0),CI$2)-INDEX(avoidedcosttbl2,ROUNDDOWN($H168,0),CI$2))))*'Inputs Yr 2'!AS168))),"")</f>
        <v>36020.165852830491</v>
      </c>
      <c r="CJ168" s="504">
        <f>IFERROR($G168*'Inputs Yr 2'!AT168*'Inputs Yr 2'!$P168*'Inputs Yr 2'!$Q168/((1+realdiscrt1)^-0.5),"")</f>
        <v>0</v>
      </c>
      <c r="CK168" s="79">
        <f>IFERROR((O168*1000*(((INDEX(avoidedcosttbl2,$H168,CK$2)+(($H168-ROUNDDOWN($H168,0))*(INDEX(avoidedcosttbl2,ROUNDUP($H168,0),CK$2)-INDEX(avoidedcosttbl2,ROUNDDOWN($H168,0),CK$2))))*'Inputs Yr 2'!AU168))),"")</f>
        <v>0</v>
      </c>
      <c r="CL168" s="504">
        <f>IFERROR(O168*1000*'Inputs Yr 2'!AV168/((1+realdiscrt1)^-0.5),"")</f>
        <v>0</v>
      </c>
      <c r="CM168" s="79">
        <f>IFERROR((AB168*'Inputs Yr 2'!AW168*(((INDEX(avoidedcosttbl2,$H168,CM$2)+(($H168-ROUNDDOWN($H168,0))*(INDEX(avoidedcosttbl2,ROUNDUP($H168,0),CM$2)-INDEX(avoidedcosttbl2,ROUNDDOWN($H168,0),CM$2)))))))*10,"")</f>
        <v>0</v>
      </c>
      <c r="CN168" s="504">
        <f>IFERROR(10*AB168*'Inputs Yr 2'!AX168/((1+realdiscrt1)^-0.5),"")</f>
        <v>0</v>
      </c>
      <c r="CO168" s="505">
        <f t="shared" si="105"/>
        <v>36020.165852830491</v>
      </c>
      <c r="CP168" s="230">
        <f t="shared" si="106"/>
        <v>786166.18473076983</v>
      </c>
      <c r="CQ168" s="199">
        <f>ROUND(IFERROR(IF(LEFT($A168,1)="C",'Avoided Costs'!$K$13,'Avoided Costs'!$K$12)+1,""),4)</f>
        <v>1.0720000000000001</v>
      </c>
      <c r="CR168" s="199">
        <f>ROUND(IFERROR(IF(LEFT($A168,1)="C",'Avoided Costs'!$L$13,'Avoided Costs'!$L$12)+1,""),4)</f>
        <v>1.04</v>
      </c>
      <c r="CS168" s="199">
        <f>ROUND(IFERROR(IF(LEFT($A168,1)="C",'Avoided Costs'!$M$13,'Avoided Costs'!$M$12)+1,""),4)</f>
        <v>1.0720000000000001</v>
      </c>
      <c r="CT168" s="199">
        <f>ROUND(IFERROR(IF(LEFT($A168,1)="C",'Avoided Costs'!$N$13,'Avoided Costs'!$N$12)+1,""),4)</f>
        <v>1.04</v>
      </c>
      <c r="CU168" s="199">
        <f>ROUND(IFERROR(IF(LEFT($A168,1)="C",'Avoided Costs'!$O$13,'Avoided Costs'!$O$12)+1,""),4)</f>
        <v>1.1120000000000001</v>
      </c>
      <c r="CV168" s="199">
        <f>ROUND(IFERROR(IF(LEFT($A168,1)="C",'Avoided Costs'!$P$13,'Avoided Costs'!$P$12)+1,""),4)</f>
        <v>1.095</v>
      </c>
      <c r="CW168" s="199">
        <f>ROUND(IFERROR(IF(LEFT($A168,1)="C",'Avoided Costs'!$Q$13,'Avoided Costs'!$Q$12)+1,""),4)</f>
        <v>1.1120000000000001</v>
      </c>
      <c r="CX168" s="200">
        <f>ROUND(IFERROR(IF(LEFT($A168,1)="C",'Avoided Costs'!$R$13,'Avoided Costs'!$R$12)+1,""),4)</f>
        <v>1.1120000000000001</v>
      </c>
    </row>
    <row r="169" spans="1:102" ht="12.75" customHeight="1">
      <c r="A169" s="91" t="str">
        <f>IF('Inputs Yr 2'!$B169=0,"",'Inputs Yr 2'!A169)</f>
        <v>C - Commercial &amp; Industrial</v>
      </c>
      <c r="B169" s="91" t="str">
        <f>IF('Inputs Yr 2'!$B169=0,"",'Inputs Yr 2'!B169)</f>
        <v>C1 - C&amp;I New Construction</v>
      </c>
      <c r="C169" s="91" t="str">
        <f>IF('Inputs Yr 2'!$B169=0,"",'Inputs Yr 2'!C169)</f>
        <v>C1a - C&amp;I New Buildings &amp; Major Renovations</v>
      </c>
      <c r="D169" s="91" t="str">
        <f>IF('Inputs Yr 2'!$B169=0,"",'Inputs Yr 2'!E169)</f>
        <v>HVAC - Multifamily Low Rise</v>
      </c>
      <c r="E169" s="93" t="str">
        <f>IF('Inputs Yr 2'!$B169=0,"",'Inputs Yr 2'!F169)</f>
        <v>G16C1a15</v>
      </c>
      <c r="F169" s="93" t="str">
        <f>IF('Inputs Yr 2'!$B169=0,"",'Inputs Yr 2'!G169)</f>
        <v>HVAC</v>
      </c>
      <c r="G169" s="95" t="str">
        <f>IF('Inputs Yr 2'!$H169&lt;&gt;0,('Inputs Yr 2'!H169),"")</f>
        <v/>
      </c>
      <c r="H169" s="94">
        <f>IFERROR('Inputs Yr 2'!I169,"")</f>
        <v>0</v>
      </c>
      <c r="I169" s="298" t="str">
        <f>IFERROR('Inputs Yr 2'!J169*'Inputs Yr 2'!P169*G169,"")</f>
        <v/>
      </c>
      <c r="J169" s="298" t="str">
        <f>IFERROR('Inputs Yr 2'!K169*G169,"")</f>
        <v/>
      </c>
      <c r="K169" s="298" t="str">
        <f t="shared" si="83"/>
        <v/>
      </c>
      <c r="L169" s="194" t="str">
        <f>IFERROR(('Inputs Yr 2'!W169*G169)/1000,"")</f>
        <v/>
      </c>
      <c r="M169" s="194" t="str">
        <f>IFERROR(L169*('Inputs Yr 2'!$Q169*'Inputs Yr 2'!$V169*'Inputs Yr 2'!$R169),"")</f>
        <v/>
      </c>
      <c r="N169" s="194" t="str">
        <f t="shared" si="84"/>
        <v/>
      </c>
      <c r="O169" s="194" t="str">
        <f>IFERROR(M169*'Inputs Yr 2'!P169,"")</f>
        <v/>
      </c>
      <c r="P169" s="194" t="str">
        <f t="shared" si="85"/>
        <v/>
      </c>
      <c r="Q169" s="194" t="str">
        <f>IFERROR($P169*'Inputs Yr 2'!AA169,"")</f>
        <v/>
      </c>
      <c r="R169" s="194" t="str">
        <f>IFERROR($P169*'Inputs Yr 2'!AB169,"")</f>
        <v/>
      </c>
      <c r="S169" s="194" t="str">
        <f>IFERROR($P169*'Inputs Yr 2'!AC169,"")</f>
        <v/>
      </c>
      <c r="T169" s="194" t="str">
        <f>IFERROR($P169*'Inputs Yr 2'!AD169,"")</f>
        <v/>
      </c>
      <c r="U169" s="194" t="str">
        <f>IFERROR(G169*'Inputs Yr 2'!$AE169*'Inputs Yr 2'!$P169*'Inputs Yr 2'!$Q169,"")</f>
        <v/>
      </c>
      <c r="V169" s="194" t="str">
        <f>IFERROR($G169*'Inputs Yr 2'!$AE169*'Inputs Yr 2'!$AG169*'Inputs Yr 2'!Q169*'Inputs Yr 2'!$S169,"")</f>
        <v/>
      </c>
      <c r="W169" s="194" t="str">
        <f>IFERROR($G169*'Inputs Yr 2'!$AE169*'Inputs Yr 2'!$AG169*'Inputs Yr 2'!P169*'Inputs Yr 2'!Q169*'Inputs Yr 2'!$S169,"")</f>
        <v/>
      </c>
      <c r="X169" s="194" t="str">
        <f>IFERROR($G169*'Inputs Yr 2'!$AE169*'Inputs Yr 2'!$AF169*'Inputs Yr 2'!Q169*'Inputs Yr 2'!$T169,"")</f>
        <v/>
      </c>
      <c r="Y169" s="194" t="str">
        <f>IFERROR($G169*'Inputs Yr 2'!$AE169*'Inputs Yr 2'!$AF169*'Inputs Yr 2'!P169*'Inputs Yr 2'!Q169*'Inputs Yr 2'!$T169,"")</f>
        <v/>
      </c>
      <c r="Z169" s="257">
        <f>IFERROR($G169*'Inputs Yr 2'!$Q169*'Inputs Yr 2'!$U169*(IF(IFERROR(SEARCH("NG", 'Inputs Yr 2'!$AJ169),0),'Inputs Yr 2'!$AK169,0)+IF(IFERROR(SEARCH("NG", 'Inputs Yr 2'!$AL169),0),'Inputs Yr 2'!$AM169,0)+IF(IFERROR(SEARCH("NG", 'Inputs Yr 2'!$AN169),0),'Inputs Yr 2'!$AO169,0)),0)</f>
        <v>0</v>
      </c>
      <c r="AA169" s="257">
        <f t="shared" si="86"/>
        <v>0</v>
      </c>
      <c r="AB169" s="257">
        <f>IFERROR(Z169*'Inputs Yr 2'!$P169,0)</f>
        <v>0</v>
      </c>
      <c r="AC169" s="257">
        <f t="shared" si="87"/>
        <v>0</v>
      </c>
      <c r="AD169" s="257">
        <f>IFERROR($G169*'Inputs Yr 2'!$Q169*'Inputs Yr 2'!$U169*(IF(IFERROR(SEARCH("Oil", 'Inputs Yr 2'!$AJ169), 0),'Inputs Yr 2'!$AK169,0)+IF(IFERROR(SEARCH("Oil", 'Inputs Yr 2'!$AL169), 0),'Inputs Yr 2'!$AM169,0)+IF(IFERROR(SEARCH("Oil", 'Inputs Yr 2'!$AN169), 0),'Inputs Yr 2'!$AO169,0)),0)</f>
        <v>0</v>
      </c>
      <c r="AE169" s="257">
        <f t="shared" si="88"/>
        <v>0</v>
      </c>
      <c r="AF169" s="257">
        <f>IFERROR(AD169*'Inputs Yr 2'!$P169,0)</f>
        <v>0</v>
      </c>
      <c r="AG169" s="257">
        <f t="shared" si="89"/>
        <v>0</v>
      </c>
      <c r="AH169" s="257">
        <f>IFERROR($G169*'Inputs Yr 2'!$Q169*'Inputs Yr 2'!$U169*(IF('Inputs Yr 2'!$AJ169=CD$4,'Inputs Yr 2'!$AK169,IF('Inputs Yr 2'!$AL169=CD$4,'Inputs Yr 2'!$AM169,IF('Inputs Yr 2'!$AN169=CD$4,'Inputs Yr 2'!$AO169,0)))),0)</f>
        <v>0</v>
      </c>
      <c r="AI169" s="257">
        <f t="shared" si="90"/>
        <v>0</v>
      </c>
      <c r="AJ169" s="257">
        <f>IFERROR(AH169*'Inputs Yr 2'!$P169,0)</f>
        <v>0</v>
      </c>
      <c r="AK169" s="257">
        <f t="shared" si="91"/>
        <v>0</v>
      </c>
      <c r="AL169" s="258">
        <f>IFERROR($G169*'Inputs Yr 2'!$P169*'Inputs Yr 2'!$Q169*'Inputs Yr 2'!AP169,0)</f>
        <v>0</v>
      </c>
      <c r="AM169" s="260">
        <f>IFERROR($G169*'Inputs Yr 2'!$P169*'Inputs Yr 2'!$Q169*'Inputs Yr 2'!AQ169,0)</f>
        <v>0</v>
      </c>
      <c r="AN169" s="258">
        <f>IFERROR($G169*'Inputs Yr 2'!$P169*'Inputs Yr 2'!$Q169*'Inputs Yr 2'!AR169,0)</f>
        <v>0</v>
      </c>
      <c r="AO169" s="257">
        <f t="shared" si="92"/>
        <v>0</v>
      </c>
      <c r="AP169" s="195" t="str">
        <f>IFERROR($CQ169*(INDEX(avoidedcosttbl2,$H169,AP$2)+(($H169-ROUNDDOWN($H169,0))*(INDEX(avoidedcosttbl2,ROUNDUP($H169,0),AP$2)-(INDEX(avoidedcosttbl2,ROUNDDOWN($H169,0),AP$2)))))*$O169*1000*'Inputs Yr 2'!AA169,"")</f>
        <v/>
      </c>
      <c r="AQ169" s="195" t="str">
        <f>IFERROR($CR169*(INDEX(avoidedcosttbl2,$H169,AQ$2)+(($H169-ROUNDDOWN($H169,0))*(INDEX(avoidedcosttbl2,ROUNDUP($H169,0),AQ$2)-(INDEX(avoidedcosttbl2,ROUNDDOWN($H169,0),AQ$2)))))*$O169*1000*'Inputs Yr 2'!AB169,"")</f>
        <v/>
      </c>
      <c r="AR169" s="195" t="str">
        <f>IFERROR($CS169*(INDEX(avoidedcosttbl2,$H169,AR$2)+(($H169-ROUNDDOWN($H169,0))*(INDEX(avoidedcosttbl2,ROUNDUP($H169,0),AR$2)-(INDEX(avoidedcosttbl2,ROUNDDOWN($H169,0),AR$2)))))*$O169*1000*'Inputs Yr 2'!AC169,"")</f>
        <v/>
      </c>
      <c r="AS169" s="195" t="str">
        <f>IFERROR($CT169*(INDEX(avoidedcosttbl2,$H169,AS$2)+(($H169-ROUNDDOWN($H169,0))*(INDEX(avoidedcosttbl2,ROUNDUP($H169,0),AS$2)-(INDEX(avoidedcosttbl2,ROUNDDOWN($H169,0),AS$2)))))*$O169*1000*'Inputs Yr 2'!AD169,"")</f>
        <v/>
      </c>
      <c r="AT169" s="196">
        <f t="shared" si="93"/>
        <v>0</v>
      </c>
      <c r="AU169" s="197" t="str">
        <f>IFERROR($CQ169*((INDEX(avoidedcosttbl2,$H169,AU$2))+(($H169-ROUNDDOWN($H169,0))*((INDEX(avoidedcosttbl2,ROUNDUP($H169,0),AU$2))-(INDEX(avoidedcosttbl2,ROUNDDOWN($H169,0),AU$2)))))*$O169*1000*'Inputs Yr 2'!AA169,"")</f>
        <v/>
      </c>
      <c r="AV169" s="197" t="str">
        <f>IFERROR($CR169*((INDEX(avoidedcosttbl2,$H169,AV$2))+(($H169-ROUNDDOWN($H169,0))*((INDEX(avoidedcosttbl2,ROUNDUP($H169,0),AV$2))-(INDEX(avoidedcosttbl2,ROUNDDOWN($H169,0),AV$2)))))*$O169*1000*'Inputs Yr 2'!AB169,"")</f>
        <v/>
      </c>
      <c r="AW169" s="197" t="str">
        <f>IFERROR($CS169*((INDEX(avoidedcosttbl2,$H169,AW$2))+(($H169-ROUNDDOWN($H169,0))*((INDEX(avoidedcosttbl2,ROUNDUP($H169,0),AW$2))-(INDEX(avoidedcosttbl2,ROUNDDOWN($H169,0),AW$2)))))*$O169*1000*'Inputs Yr 2'!AC169,"")</f>
        <v/>
      </c>
      <c r="AX169" s="197" t="str">
        <f>IFERROR($CT169*((INDEX(avoidedcosttbl2,$H169,AX$2))+(($H169-ROUNDDOWN($H169,0))*((INDEX(avoidedcosttbl2,ROUNDUP($H169,0),AX$2))-(INDEX(avoidedcosttbl2,ROUNDDOWN($H169,0),AX$2)))))*$O169*1000*'Inputs Yr 2'!AD169,"")</f>
        <v/>
      </c>
      <c r="AY169" s="197" t="str">
        <f>IFERROR(((INDEX(avoidedcosttbl2,$H169,AY$2))+(($H169-ROUNDDOWN($H169,0))*((INDEX(avoidedcosttbl2,ROUNDUP($H169,0),AY$2))-(INDEX(avoidedcosttbl2,ROUNDDOWN($H169,0),AY$2)))))*$O169*1000*('Inputs Yr 2'!AC169+'Inputs Yr 2'!AD169),"")</f>
        <v/>
      </c>
      <c r="AZ169" s="197" t="str">
        <f>IFERROR(((INDEX(avoidedcosttbl2,$H169,AZ$2))+(($H169-ROUNDDOWN($H169,0))*((INDEX(avoidedcosttbl2,ROUNDUP($H169,0),AZ$2))-(INDEX(avoidedcosttbl2,ROUNDDOWN($H169,0),AZ$2)))))*$O169*1000*('Inputs Yr 2'!AA169+'Inputs Yr 2'!AB169),"")</f>
        <v/>
      </c>
      <c r="BA169" s="198">
        <f t="shared" si="94"/>
        <v>0</v>
      </c>
      <c r="BB169" s="198">
        <f t="shared" si="95"/>
        <v>0</v>
      </c>
      <c r="BC169" s="195" t="str">
        <f t="shared" si="77"/>
        <v/>
      </c>
      <c r="BD169" s="195" t="str">
        <f t="shared" si="78"/>
        <v/>
      </c>
      <c r="BE169" s="195" t="str">
        <f t="shared" si="79"/>
        <v/>
      </c>
      <c r="BF169" s="195" t="str">
        <f t="shared" si="80"/>
        <v/>
      </c>
      <c r="BG169" s="195" t="str">
        <f t="shared" si="81"/>
        <v/>
      </c>
      <c r="BH169" s="196">
        <f t="shared" si="96"/>
        <v>0</v>
      </c>
      <c r="BI169" s="196">
        <f t="shared" si="97"/>
        <v>0</v>
      </c>
      <c r="BJ169" s="195" t="str">
        <f>IFERROR($G169*(IF('Inputs Yr 2'!$AJ169=BJ$4,'Inputs Yr 2'!$AK169,IF('Inputs Yr 2'!$AL169=BJ$4,'Inputs Yr 2'!$AM169,IF('Inputs Yr 2'!$AN169=BJ$4,'Inputs Yr 2'!$AO169,0))))*(INDEX(avoidedcosttbl2,$H169,BJ$2)+(($H169-ROUNDDOWN($H169,0))*(INDEX(avoidedcosttbl2,ROUNDUP($H169,0),BJ$2)-(INDEX(avoidedcosttbl2,ROUNDDOWN($H169,0),BJ$2)))))*'Inputs Yr 2'!P169*'Inputs Yr 2'!Q169*'Inputs Yr 2'!U169,"")</f>
        <v/>
      </c>
      <c r="BK169" s="195" t="str">
        <f>IFERROR($G169*(IF('Inputs Yr 2'!$AJ169=BK$4,'Inputs Yr 2'!$AK169,IF('Inputs Yr 2'!$AL169=BK$4,'Inputs Yr 2'!$AM169,IF('Inputs Yr 2'!$AN169=BK$4,'Inputs Yr 2'!$AO169,0))))*(INDEX(avoidedcosttbl2,$H169,BK$2)+(($H169-ROUNDDOWN($H169,0))*(INDEX(avoidedcosttbl2,ROUNDUP($H169,0),BK$2)-(INDEX(avoidedcosttbl2,ROUNDDOWN($H169,0),BK$2)))))*'Inputs Yr 2'!P169*'Inputs Yr 2'!Q169*'Inputs Yr 2'!U169,"")</f>
        <v/>
      </c>
      <c r="BL169" s="195" t="str">
        <f>IFERROR($G169*(IF('Inputs Yr 2'!$AJ169=BL$4,'Inputs Yr 2'!$AK169,IF('Inputs Yr 2'!$AL169=BL$4,'Inputs Yr 2'!$AM169,IF('Inputs Yr 2'!$AN169=BL$4,'Inputs Yr 2'!$AO169,0))))*(INDEX(avoidedcosttbl2,$H169,BL$2)+(($H169-ROUNDDOWN($H169,0))*(INDEX(avoidedcosttbl2,ROUNDUP($H169,0),BL$2)-(INDEX(avoidedcosttbl2,ROUNDDOWN($H169,0),BL$2)))))*'Inputs Yr 2'!P169*'Inputs Yr 2'!Q169*'Inputs Yr 2'!U169,"")</f>
        <v/>
      </c>
      <c r="BM169" s="195" t="str">
        <f>IFERROR($G169*(IF('Inputs Yr 2'!$AJ169=BM$4,'Inputs Yr 2'!$AK169,IF('Inputs Yr 2'!$AL169=BM$4,'Inputs Yr 2'!$AM169,IF('Inputs Yr 2'!$AN169=BM$4,'Inputs Yr 2'!$AO169,0))))*(INDEX(avoidedcosttbl2,$H169,BM$2)+(($H169-ROUNDDOWN($H169,0))*(INDEX(avoidedcosttbl2,ROUNDUP($H169,0),BM$2)-(INDEX(avoidedcosttbl2,ROUNDDOWN($H169,0),BM$2)))))*'Inputs Yr 2'!P169*'Inputs Yr 2'!Q169*'Inputs Yr 2'!U169,"")</f>
        <v/>
      </c>
      <c r="BN169" s="195" t="str">
        <f>IFERROR($G169*(IF('Inputs Yr 2'!$AJ169=BN$4,'Inputs Yr 2'!$AK169,IF('Inputs Yr 2'!$AL169=BN$4,'Inputs Yr 2'!$AM169,IF('Inputs Yr 2'!$AN169=BN$4,'Inputs Yr 2'!$AO169,0))))*(INDEX(avoidedcosttbl2,$H169,BN$2)+(($H169-ROUNDDOWN($H169,0))*(INDEX(avoidedcosttbl2,ROUNDUP($H169,0),BN$2)-(INDEX(avoidedcosttbl2,ROUNDDOWN($H169,0),BN$2)))))*'Inputs Yr 2'!P169*'Inputs Yr 2'!Q169*'Inputs Yr 2'!U169,"")</f>
        <v/>
      </c>
      <c r="BO169" s="195" t="str">
        <f>IFERROR($G169*(IF('Inputs Yr 2'!$AJ169=BO$4,'Inputs Yr 2'!$AK169,IF('Inputs Yr 2'!$AL169=BO$4,'Inputs Yr 2'!$AM169,IF('Inputs Yr 2'!$AN169=BO$4,'Inputs Yr 2'!$AO169,0))))*(INDEX(avoidedcosttbl2,$H169,BO$2)+(($H169-ROUNDDOWN($H169,0))*(INDEX(avoidedcosttbl2,ROUNDUP($H169,0),BO$2)-(INDEX(avoidedcosttbl2,ROUNDDOWN($H169,0),BO$2)))))*'Inputs Yr 2'!P169*'Inputs Yr 2'!Q169*'Inputs Yr 2'!U169,"")</f>
        <v/>
      </c>
      <c r="BP169" s="195" t="str">
        <f>IFERROR($G169*(IF('Inputs Yr 2'!$AJ169=BP$4,'Inputs Yr 2'!$AK169,IF('Inputs Yr 2'!$AL169=BP$4,'Inputs Yr 2'!$AM169,IF('Inputs Yr 2'!$AN169=BP$4,'Inputs Yr 2'!$AO169,0))))*(INDEX(avoidedcosttbl2,$H169,BP$2)+(($H169-ROUNDDOWN($H169,0))*(INDEX(avoidedcosttbl2,ROUNDUP($H169,0),BP$2)-(INDEX(avoidedcosttbl2,ROUNDDOWN($H169,0),BP$2)))))*'Inputs Yr 2'!P169*'Inputs Yr 2'!Q169*'Inputs Yr 2'!U169,"")</f>
        <v/>
      </c>
      <c r="BQ169" s="230">
        <f t="shared" si="98"/>
        <v>0</v>
      </c>
      <c r="BR169" s="197" t="str">
        <f t="shared" si="82"/>
        <v/>
      </c>
      <c r="BS169" s="197" t="str">
        <f>IFERROR(($G169*IF('Inputs Yr 2'!$AJ169=BM$4,'Inputs Yr 2'!$AK169,IF('Inputs Yr 2'!$AL169=BM$4,'Inputs Yr 2'!$AM169,IF('Inputs Yr 2'!$AN169=BM$4,'Inputs Yr 2'!$AO169,0))))*(INDEX(avoidedcosttbl2,$H169,BS$2)+(($H169-ROUNDDOWN($H169,0))*(INDEX(avoidedcosttbl2,ROUNDUP($H169,0),BS$2)-(INDEX(avoidedcosttbl2,ROUNDDOWN($H169,0),BS$2)))))*'Inputs Yr 2'!P169*'Inputs Yr 2'!Q169*'Inputs Yr 2'!U169,"")</f>
        <v/>
      </c>
      <c r="BT169" s="197" t="str">
        <f>IFERROR(($G169*IF('Inputs Yr 2'!$AJ169=BK$4,'Inputs Yr 2'!$AK169,IF('Inputs Yr 2'!$AL169=BK$4,'Inputs Yr 2'!$AM169,IF('Inputs Yr 2'!$AN169=BK$4,'Inputs Yr 2'!$AO169,0))))*(INDEX(avoidedcosttbl2,$H169,BT$2)+(($H169-ROUNDDOWN($H169,0))*(INDEX(avoidedcosttbl2,ROUNDUP($H169,0),BT$2)-(INDEX(avoidedcosttbl2,ROUNDDOWN($H169,0),BT$2)))))*'Inputs Yr 2'!P169*'Inputs Yr 2'!Q169*'Inputs Yr 2'!U169,"")</f>
        <v/>
      </c>
      <c r="BU169" s="197" t="str">
        <f>IFERROR(($G169*IF('Inputs Yr 2'!$AJ169=BL$4,'Inputs Yr 2'!$AK169,IF('Inputs Yr 2'!$AL169=BL$4,'Inputs Yr 2'!$AM169,IF('Inputs Yr 2'!$AN169=BL$4,'Inputs Yr 2'!$AO169,0))))*(INDEX(avoidedcosttbl2,$H169,BU$2)+(($H169-ROUNDDOWN($H169,0))*(INDEX(avoidedcosttbl2,ROUNDUP($H169,0),BU$2)-(INDEX(avoidedcosttbl2,ROUNDDOWN($H169,0),BU$2)))))*'Inputs Yr 2'!P169*'Inputs Yr 2'!Q169*'Inputs Yr 2'!U169,"")</f>
        <v/>
      </c>
      <c r="BV169" s="775" t="str">
        <f>IFERROR(($G169*IF('Inputs Yr 2'!$AJ169=BJ$4,'Inputs Yr 2'!$AK169,IF('Inputs Yr 2'!$AL169=BJ$4,'Inputs Yr 2'!$AM169,IF('Inputs Yr 2'!$AN169=BJ$4,'Inputs Yr 2'!$AO169,0))))*(INDEX(avoidedcosttbl2,$H169,BV$2)+(($H169-ROUNDDOWN($H169,0))*(INDEX(avoidedcosttbl2,ROUNDUP($H169,0),BV$2)-(INDEX(avoidedcosttbl2,ROUNDDOWN($H169,0),BV$2)))))*'Inputs Yr 2'!P169*'Inputs Yr 2'!Q169*'Inputs Yr 2'!U169,"")</f>
        <v/>
      </c>
      <c r="BW169" s="197" t="str">
        <f>IFERROR(($G169*IF('Inputs Yr 2'!$AJ169=BN$4,'Inputs Yr 2'!$AK169,IF('Inputs Yr 2'!$AL169=BN$4,'Inputs Yr 2'!$AM169,IF('Inputs Yr 2'!$AN169=BN$4,'Inputs Yr 2'!$AO169,0))))*(INDEX(avoidedcosttbl2,$H169,BW$2)+(($H169-ROUNDDOWN($H169,0))*(INDEX(avoidedcosttbl2,ROUNDUP($H169,0),BW$2)-(INDEX(avoidedcosttbl2,ROUNDDOWN($H169,0),BW$2)))))*'Inputs Yr 2'!P169*'Inputs Yr 2'!Q169*'Inputs Yr 2'!U169,"")</f>
        <v/>
      </c>
      <c r="BX169" s="197" t="str">
        <f>IFERROR(($G169*IF('Inputs Yr 2'!$AJ169=BO$4,'Inputs Yr 2'!$AK169,IF('Inputs Yr 2'!$AL169=BO$4,'Inputs Yr 2'!$AM169,IF('Inputs Yr 2'!$AN169=BO$4,'Inputs Yr 2'!$AO169,0))))*(INDEX(avoidedcosttbl2,$H169,BX$2)+(($H169-ROUNDDOWN($H169,0))*(INDEX(avoidedcosttbl2,ROUNDUP($H169,0),BX$2)-(INDEX(avoidedcosttbl2,ROUNDDOWN($H169,0),BX$2)))))*'Inputs Yr 2'!P169*'Inputs Yr 2'!Q169*'Inputs Yr 2'!U169,"")</f>
        <v/>
      </c>
      <c r="BY169" s="197" t="str">
        <f>IFERROR(($G169*IF('Inputs Yr 2'!$AJ169=BP$4,'Inputs Yr 2'!$AK169,IF('Inputs Yr 2'!$AL169=BP$4,'Inputs Yr 2'!$AM169,IF('Inputs Yr 2'!$AN169=BP$4,'Inputs Yr 2'!$AO169,0))))*(INDEX(avoidedcosttbl2,$H169,BY$2)+(($H169-ROUNDDOWN($H169,0))*(INDEX(avoidedcosttbl2,ROUNDUP($H169,0),BY$2)-(INDEX(avoidedcosttbl2,ROUNDDOWN($H169,0),BY$2)))))*'Inputs Yr 2'!P169*'Inputs Yr 2'!Q169*'Inputs Yr 2'!U169,"")</f>
        <v/>
      </c>
      <c r="BZ169" s="193">
        <f t="shared" si="99"/>
        <v>0</v>
      </c>
      <c r="CA169" s="193">
        <f t="shared" si="100"/>
        <v>0</v>
      </c>
      <c r="CB169" s="195" t="str">
        <f>IFERROR(G169*(IF('Inputs Yr 2'!$AJ169=CB$4,'Inputs Yr 2'!$AK169,IF('Inputs Yr 2'!$AL169=CB$4,'Inputs Yr 2'!$AM169,IF('Inputs Yr 2'!$AN169=CB$4,'Inputs Yr 2'!$AO169,0))))*(INDEX(avoidedcosttbl2,$H169,CB$2)+(($H169-ROUNDDOWN($H169,0))*(INDEX(avoidedcosttbl2,ROUNDUP($H169,0),CB$2)-(INDEX(avoidedcosttbl2,ROUNDDOWN($H169,0),CB$2)))))*'Inputs Yr 2'!P169*'Inputs Yr 2'!Q169*'Inputs Yr 2'!U169,"")</f>
        <v/>
      </c>
      <c r="CC169" s="195" t="str">
        <f>IFERROR(H169*(IF('Inputs Yr 2'!$AJ169=CC$4,'Inputs Yr 2'!$AK169,IF('Inputs Yr 2'!$AL169=CC$4,'Inputs Yr 2'!$AM169,IF('Inputs Yr 2'!$AN169=CC$4,'Inputs Yr 2'!$AO169,0))))*(INDEX(avoidedcosttbl2,$H169,CC$2)+(($H169-ROUNDDOWN($H169,0))*(INDEX(avoidedcosttbl2,ROUNDUP($H169,0),CC$2)-(INDEX(avoidedcosttbl2,ROUNDDOWN($H169,0),CC$2)))))*'Inputs Yr 2'!Q169*'Inputs Yr 2'!R169*'Inputs Yr 2'!V169,"")</f>
        <v/>
      </c>
      <c r="CD169" s="195" t="str">
        <f>IFERROR(I169*(IF('Inputs Yr 2'!$AJ169=CD$4,'Inputs Yr 2'!$AK169,IF('Inputs Yr 2'!$AL169=CD$4,'Inputs Yr 2'!$AM169,IF('Inputs Yr 2'!$AN169=CD$4,'Inputs Yr 2'!$AO169,0))))*(INDEX(avoidedcosttbl2,$H169,CD$2)+(($H169-ROUNDDOWN($H169,0))*(INDEX(avoidedcosttbl2,ROUNDUP($H169,0),CD$2)-(INDEX(avoidedcosttbl2,ROUNDDOWN($H169,0),CD$2)))))*'Inputs Yr 2'!R169*'Inputs Yr 2'!S169*'Inputs Yr 2'!W169,"")</f>
        <v/>
      </c>
      <c r="CE169" s="213" t="str">
        <f t="shared" si="101"/>
        <v/>
      </c>
      <c r="CF169" s="213" t="str">
        <f t="shared" si="102"/>
        <v/>
      </c>
      <c r="CG169" s="213" t="str">
        <f t="shared" si="103"/>
        <v/>
      </c>
      <c r="CH169" s="698">
        <f t="shared" si="104"/>
        <v>0</v>
      </c>
      <c r="CI169" s="79" t="str">
        <f>IFERROR(($G169*'Inputs Yr 2'!$P169*'Inputs Yr 2'!$Q169*(((INDEX(avoidedcosttbl2,$H169,CI$2)+(($H169-ROUNDDOWN($H169,0))*(INDEX(avoidedcosttbl2,ROUNDUP($H169,0),CI$2)-INDEX(avoidedcosttbl2,ROUNDDOWN($H169,0),CI$2))))*'Inputs Yr 2'!AS169))),"")</f>
        <v/>
      </c>
      <c r="CJ169" s="504" t="str">
        <f>IFERROR($G169*'Inputs Yr 2'!AT169*'Inputs Yr 2'!$P169*'Inputs Yr 2'!$Q169/((1+realdiscrt1)^-0.5),"")</f>
        <v/>
      </c>
      <c r="CK169" s="79" t="str">
        <f>IFERROR((O169*1000*(((INDEX(avoidedcosttbl2,$H169,CK$2)+(($H169-ROUNDDOWN($H169,0))*(INDEX(avoidedcosttbl2,ROUNDUP($H169,0),CK$2)-INDEX(avoidedcosttbl2,ROUNDDOWN($H169,0),CK$2))))*'Inputs Yr 2'!AU169))),"")</f>
        <v/>
      </c>
      <c r="CL169" s="504" t="str">
        <f>IFERROR(O169*1000*'Inputs Yr 2'!AV169/((1+realdiscrt1)^-0.5),"")</f>
        <v/>
      </c>
      <c r="CM169" s="79" t="str">
        <f>IFERROR((AB169*'Inputs Yr 2'!AW169*(((INDEX(avoidedcosttbl2,$H169,CM$2)+(($H169-ROUNDDOWN($H169,0))*(INDEX(avoidedcosttbl2,ROUNDUP($H169,0),CM$2)-INDEX(avoidedcosttbl2,ROUNDDOWN($H169,0),CM$2)))))))*10,"")</f>
        <v/>
      </c>
      <c r="CN169" s="504">
        <f>IFERROR(10*AB169*'Inputs Yr 2'!AX169/((1+realdiscrt1)^-0.5),"")</f>
        <v>0</v>
      </c>
      <c r="CO169" s="505">
        <f t="shared" si="105"/>
        <v>0</v>
      </c>
      <c r="CP169" s="230">
        <f t="shared" si="106"/>
        <v>0</v>
      </c>
      <c r="CQ169" s="199">
        <f>ROUND(IFERROR(IF(LEFT($A169,1)="C",'Avoided Costs'!$K$13,'Avoided Costs'!$K$12)+1,""),4)</f>
        <v>1.0720000000000001</v>
      </c>
      <c r="CR169" s="199">
        <f>ROUND(IFERROR(IF(LEFT($A169,1)="C",'Avoided Costs'!$L$13,'Avoided Costs'!$L$12)+1,""),4)</f>
        <v>1.04</v>
      </c>
      <c r="CS169" s="199">
        <f>ROUND(IFERROR(IF(LEFT($A169,1)="C",'Avoided Costs'!$M$13,'Avoided Costs'!$M$12)+1,""),4)</f>
        <v>1.0720000000000001</v>
      </c>
      <c r="CT169" s="199">
        <f>ROUND(IFERROR(IF(LEFT($A169,1)="C",'Avoided Costs'!$N$13,'Avoided Costs'!$N$12)+1,""),4)</f>
        <v>1.04</v>
      </c>
      <c r="CU169" s="199">
        <f>ROUND(IFERROR(IF(LEFT($A169,1)="C",'Avoided Costs'!$O$13,'Avoided Costs'!$O$12)+1,""),4)</f>
        <v>1.1120000000000001</v>
      </c>
      <c r="CV169" s="199">
        <f>ROUND(IFERROR(IF(LEFT($A169,1)="C",'Avoided Costs'!$P$13,'Avoided Costs'!$P$12)+1,""),4)</f>
        <v>1.095</v>
      </c>
      <c r="CW169" s="199">
        <f>ROUND(IFERROR(IF(LEFT($A169,1)="C",'Avoided Costs'!$Q$13,'Avoided Costs'!$Q$12)+1,""),4)</f>
        <v>1.1120000000000001</v>
      </c>
      <c r="CX169" s="200">
        <f>ROUND(IFERROR(IF(LEFT($A169,1)="C",'Avoided Costs'!$R$13,'Avoided Costs'!$R$12)+1,""),4)</f>
        <v>1.1120000000000001</v>
      </c>
    </row>
    <row r="170" spans="1:102" ht="12.75" customHeight="1">
      <c r="A170" s="91" t="str">
        <f>IF('Inputs Yr 2'!$B170=0,"",'Inputs Yr 2'!A170)</f>
        <v>C - Commercial &amp; Industrial</v>
      </c>
      <c r="B170" s="91" t="str">
        <f>IF('Inputs Yr 2'!$B170=0,"",'Inputs Yr 2'!B170)</f>
        <v>C1 - C&amp;I New Construction</v>
      </c>
      <c r="C170" s="91" t="str">
        <f>IF('Inputs Yr 2'!$B170=0,"",'Inputs Yr 2'!C170)</f>
        <v>C1a - C&amp;I New Buildings &amp; Major Renovations</v>
      </c>
      <c r="D170" s="91" t="str">
        <f>IF('Inputs Yr 2'!$B170=0,"",'Inputs Yr 2'!E170)</f>
        <v>Other - Custom  10</v>
      </c>
      <c r="E170" s="93" t="str">
        <f>IF('Inputs Yr 2'!$B170=0,"",'Inputs Yr 2'!F170)</f>
        <v>G16C1a16</v>
      </c>
      <c r="F170" s="93" t="str">
        <f>IF('Inputs Yr 2'!$B170=0,"",'Inputs Yr 2'!G170)</f>
        <v>Custom Measures</v>
      </c>
      <c r="G170" s="95">
        <f>IF('Inputs Yr 2'!$H170&lt;&gt;0,('Inputs Yr 2'!H170),"")</f>
        <v>1</v>
      </c>
      <c r="H170" s="94">
        <f>IFERROR('Inputs Yr 2'!I170,"")</f>
        <v>10</v>
      </c>
      <c r="I170" s="298">
        <f>IFERROR('Inputs Yr 2'!J170*'Inputs Yr 2'!P170*G170,"")</f>
        <v>165234.97466666668</v>
      </c>
      <c r="J170" s="298">
        <f>IFERROR('Inputs Yr 2'!K170*G170,"")</f>
        <v>134849</v>
      </c>
      <c r="K170" s="298">
        <f t="shared" si="83"/>
        <v>30385.974666666676</v>
      </c>
      <c r="L170" s="194">
        <f>IFERROR(('Inputs Yr 2'!W170*G170)/1000,"")</f>
        <v>0</v>
      </c>
      <c r="M170" s="194">
        <f>IFERROR(L170*('Inputs Yr 2'!$Q170*'Inputs Yr 2'!$V170*'Inputs Yr 2'!$R170),"")</f>
        <v>0</v>
      </c>
      <c r="N170" s="194">
        <f t="shared" si="84"/>
        <v>0</v>
      </c>
      <c r="O170" s="194">
        <f>IFERROR(M170*'Inputs Yr 2'!P170,"")</f>
        <v>0</v>
      </c>
      <c r="P170" s="194">
        <f t="shared" si="85"/>
        <v>0</v>
      </c>
      <c r="Q170" s="194">
        <f>IFERROR($P170*'Inputs Yr 2'!AA170,"")</f>
        <v>0</v>
      </c>
      <c r="R170" s="194">
        <f>IFERROR($P170*'Inputs Yr 2'!AB170,"")</f>
        <v>0</v>
      </c>
      <c r="S170" s="194">
        <f>IFERROR($P170*'Inputs Yr 2'!AC170,"")</f>
        <v>0</v>
      </c>
      <c r="T170" s="194">
        <f>IFERROR($P170*'Inputs Yr 2'!AD170,"")</f>
        <v>0</v>
      </c>
      <c r="U170" s="194">
        <f>IFERROR(G170*'Inputs Yr 2'!$AE170*'Inputs Yr 2'!$P170*'Inputs Yr 2'!$Q170,"")</f>
        <v>0</v>
      </c>
      <c r="V170" s="194">
        <f>IFERROR($G170*'Inputs Yr 2'!$AE170*'Inputs Yr 2'!$AG170*'Inputs Yr 2'!Q170*'Inputs Yr 2'!$S170,"")</f>
        <v>0</v>
      </c>
      <c r="W170" s="194">
        <f>IFERROR($G170*'Inputs Yr 2'!$AE170*'Inputs Yr 2'!$AG170*'Inputs Yr 2'!P170*'Inputs Yr 2'!Q170*'Inputs Yr 2'!$S170,"")</f>
        <v>0</v>
      </c>
      <c r="X170" s="194">
        <f>IFERROR($G170*'Inputs Yr 2'!$AE170*'Inputs Yr 2'!$AF170*'Inputs Yr 2'!Q170*'Inputs Yr 2'!$T170,"")</f>
        <v>0</v>
      </c>
      <c r="Y170" s="194">
        <f>IFERROR($G170*'Inputs Yr 2'!$AE170*'Inputs Yr 2'!$AF170*'Inputs Yr 2'!P170*'Inputs Yr 2'!Q170*'Inputs Yr 2'!$T170,"")</f>
        <v>0</v>
      </c>
      <c r="Z170" s="257">
        <f>IFERROR($G170*'Inputs Yr 2'!$Q170*'Inputs Yr 2'!$U170*(IF(IFERROR(SEARCH("NG", 'Inputs Yr 2'!$AJ170),0),'Inputs Yr 2'!$AK170,0)+IF(IFERROR(SEARCH("NG", 'Inputs Yr 2'!$AL170),0),'Inputs Yr 2'!$AM170,0)+IF(IFERROR(SEARCH("NG", 'Inputs Yr 2'!$AN170),0),'Inputs Yr 2'!$AO170,0)),0)</f>
        <v>9954.6073000000015</v>
      </c>
      <c r="AA170" s="257">
        <f t="shared" si="86"/>
        <v>99546.073000000019</v>
      </c>
      <c r="AB170" s="257">
        <f>IFERROR(Z170*'Inputs Yr 2'!$P170,0)</f>
        <v>9148.2841087000015</v>
      </c>
      <c r="AC170" s="257">
        <f t="shared" si="87"/>
        <v>91482.841087000008</v>
      </c>
      <c r="AD170" s="257">
        <f>IFERROR($G170*'Inputs Yr 2'!$Q170*'Inputs Yr 2'!$U170*(IF(IFERROR(SEARCH("Oil", 'Inputs Yr 2'!$AJ170), 0),'Inputs Yr 2'!$AK170,0)+IF(IFERROR(SEARCH("Oil", 'Inputs Yr 2'!$AL170), 0),'Inputs Yr 2'!$AM170,0)+IF(IFERROR(SEARCH("Oil", 'Inputs Yr 2'!$AN170), 0),'Inputs Yr 2'!$AO170,0)),0)</f>
        <v>0</v>
      </c>
      <c r="AE170" s="257">
        <f t="shared" si="88"/>
        <v>0</v>
      </c>
      <c r="AF170" s="257">
        <f>IFERROR(AD170*'Inputs Yr 2'!$P170,0)</f>
        <v>0</v>
      </c>
      <c r="AG170" s="257">
        <f t="shared" si="89"/>
        <v>0</v>
      </c>
      <c r="AH170" s="257">
        <f>IFERROR($G170*'Inputs Yr 2'!$Q170*'Inputs Yr 2'!$U170*(IF('Inputs Yr 2'!$AJ170=CD$4,'Inputs Yr 2'!$AK170,IF('Inputs Yr 2'!$AL170=CD$4,'Inputs Yr 2'!$AM170,IF('Inputs Yr 2'!$AN170=CD$4,'Inputs Yr 2'!$AO170,0)))),0)</f>
        <v>0</v>
      </c>
      <c r="AI170" s="257">
        <f t="shared" si="90"/>
        <v>0</v>
      </c>
      <c r="AJ170" s="257">
        <f>IFERROR(AH170*'Inputs Yr 2'!$P170,0)</f>
        <v>0</v>
      </c>
      <c r="AK170" s="257">
        <f t="shared" si="91"/>
        <v>0</v>
      </c>
      <c r="AL170" s="258">
        <f>IFERROR($G170*'Inputs Yr 2'!$P170*'Inputs Yr 2'!$Q170*'Inputs Yr 2'!AP170,0)</f>
        <v>0</v>
      </c>
      <c r="AM170" s="260">
        <f>IFERROR($G170*'Inputs Yr 2'!$P170*'Inputs Yr 2'!$Q170*'Inputs Yr 2'!AQ170,0)</f>
        <v>0</v>
      </c>
      <c r="AN170" s="258">
        <f>IFERROR($G170*'Inputs Yr 2'!$P170*'Inputs Yr 2'!$Q170*'Inputs Yr 2'!AR170,0)</f>
        <v>0</v>
      </c>
      <c r="AO170" s="257">
        <f t="shared" si="92"/>
        <v>0</v>
      </c>
      <c r="AP170" s="195">
        <f>IFERROR($CQ170*(INDEX(avoidedcosttbl2,$H170,AP$2)+(($H170-ROUNDDOWN($H170,0))*(INDEX(avoidedcosttbl2,ROUNDUP($H170,0),AP$2)-(INDEX(avoidedcosttbl2,ROUNDDOWN($H170,0),AP$2)))))*$O170*1000*'Inputs Yr 2'!AA170,"")</f>
        <v>0</v>
      </c>
      <c r="AQ170" s="195">
        <f>IFERROR($CR170*(INDEX(avoidedcosttbl2,$H170,AQ$2)+(($H170-ROUNDDOWN($H170,0))*(INDEX(avoidedcosttbl2,ROUNDUP($H170,0),AQ$2)-(INDEX(avoidedcosttbl2,ROUNDDOWN($H170,0),AQ$2)))))*$O170*1000*'Inputs Yr 2'!AB170,"")</f>
        <v>0</v>
      </c>
      <c r="AR170" s="195">
        <f>IFERROR($CS170*(INDEX(avoidedcosttbl2,$H170,AR$2)+(($H170-ROUNDDOWN($H170,0))*(INDEX(avoidedcosttbl2,ROUNDUP($H170,0),AR$2)-(INDEX(avoidedcosttbl2,ROUNDDOWN($H170,0),AR$2)))))*$O170*1000*'Inputs Yr 2'!AC170,"")</f>
        <v>0</v>
      </c>
      <c r="AS170" s="195">
        <f>IFERROR($CT170*(INDEX(avoidedcosttbl2,$H170,AS$2)+(($H170-ROUNDDOWN($H170,0))*(INDEX(avoidedcosttbl2,ROUNDUP($H170,0),AS$2)-(INDEX(avoidedcosttbl2,ROUNDDOWN($H170,0),AS$2)))))*$O170*1000*'Inputs Yr 2'!AD170,"")</f>
        <v>0</v>
      </c>
      <c r="AT170" s="196">
        <f t="shared" si="93"/>
        <v>0</v>
      </c>
      <c r="AU170" s="197">
        <f>IFERROR($CQ170*((INDEX(avoidedcosttbl2,$H170,AU$2))+(($H170-ROUNDDOWN($H170,0))*((INDEX(avoidedcosttbl2,ROUNDUP($H170,0),AU$2))-(INDEX(avoidedcosttbl2,ROUNDDOWN($H170,0),AU$2)))))*$O170*1000*'Inputs Yr 2'!AA170,"")</f>
        <v>0</v>
      </c>
      <c r="AV170" s="197">
        <f>IFERROR($CR170*((INDEX(avoidedcosttbl2,$H170,AV$2))+(($H170-ROUNDDOWN($H170,0))*((INDEX(avoidedcosttbl2,ROUNDUP($H170,0),AV$2))-(INDEX(avoidedcosttbl2,ROUNDDOWN($H170,0),AV$2)))))*$O170*1000*'Inputs Yr 2'!AB170,"")</f>
        <v>0</v>
      </c>
      <c r="AW170" s="197">
        <f>IFERROR($CS170*((INDEX(avoidedcosttbl2,$H170,AW$2))+(($H170-ROUNDDOWN($H170,0))*((INDEX(avoidedcosttbl2,ROUNDUP($H170,0),AW$2))-(INDEX(avoidedcosttbl2,ROUNDDOWN($H170,0),AW$2)))))*$O170*1000*'Inputs Yr 2'!AC170,"")</f>
        <v>0</v>
      </c>
      <c r="AX170" s="197">
        <f>IFERROR($CT170*((INDEX(avoidedcosttbl2,$H170,AX$2))+(($H170-ROUNDDOWN($H170,0))*((INDEX(avoidedcosttbl2,ROUNDUP($H170,0),AX$2))-(INDEX(avoidedcosttbl2,ROUNDDOWN($H170,0),AX$2)))))*$O170*1000*'Inputs Yr 2'!AD170,"")</f>
        <v>0</v>
      </c>
      <c r="AY170" s="197">
        <f>IFERROR(((INDEX(avoidedcosttbl2,$H170,AY$2))+(($H170-ROUNDDOWN($H170,0))*((INDEX(avoidedcosttbl2,ROUNDUP($H170,0),AY$2))-(INDEX(avoidedcosttbl2,ROUNDDOWN($H170,0),AY$2)))))*$O170*1000*('Inputs Yr 2'!AC170+'Inputs Yr 2'!AD170),"")</f>
        <v>0</v>
      </c>
      <c r="AZ170" s="197">
        <f>IFERROR(((INDEX(avoidedcosttbl2,$H170,AZ$2))+(($H170-ROUNDDOWN($H170,0))*((INDEX(avoidedcosttbl2,ROUNDUP($H170,0),AZ$2))-(INDEX(avoidedcosttbl2,ROUNDDOWN($H170,0),AZ$2)))))*$O170*1000*('Inputs Yr 2'!AA170+'Inputs Yr 2'!AB170),"")</f>
        <v>0</v>
      </c>
      <c r="BA170" s="198">
        <f t="shared" si="94"/>
        <v>0</v>
      </c>
      <c r="BB170" s="198">
        <f t="shared" si="95"/>
        <v>0</v>
      </c>
      <c r="BC170" s="195">
        <f t="shared" si="77"/>
        <v>0</v>
      </c>
      <c r="BD170" s="195">
        <f t="shared" si="78"/>
        <v>0</v>
      </c>
      <c r="BE170" s="195">
        <f t="shared" si="79"/>
        <v>0</v>
      </c>
      <c r="BF170" s="195">
        <f t="shared" si="80"/>
        <v>0</v>
      </c>
      <c r="BG170" s="195">
        <f t="shared" si="81"/>
        <v>0</v>
      </c>
      <c r="BH170" s="196">
        <f t="shared" si="96"/>
        <v>0</v>
      </c>
      <c r="BI170" s="196">
        <f t="shared" si="97"/>
        <v>0</v>
      </c>
      <c r="BJ170" s="195">
        <f>IFERROR($G170*(IF('Inputs Yr 2'!$AJ170=BJ$4,'Inputs Yr 2'!$AK170,IF('Inputs Yr 2'!$AL170=BJ$4,'Inputs Yr 2'!$AM170,IF('Inputs Yr 2'!$AN170=BJ$4,'Inputs Yr 2'!$AO170,0))))*(INDEX(avoidedcosttbl2,$H170,BJ$2)+(($H170-ROUNDDOWN($H170,0))*(INDEX(avoidedcosttbl2,ROUNDUP($H170,0),BJ$2)-(INDEX(avoidedcosttbl2,ROUNDDOWN($H170,0),BJ$2)))))*'Inputs Yr 2'!P170*'Inputs Yr 2'!Q170*'Inputs Yr 2'!U170,"")</f>
        <v>0</v>
      </c>
      <c r="BK170" s="195">
        <f>IFERROR($G170*(IF('Inputs Yr 2'!$AJ170=BK$4,'Inputs Yr 2'!$AK170,IF('Inputs Yr 2'!$AL170=BK$4,'Inputs Yr 2'!$AM170,IF('Inputs Yr 2'!$AN170=BK$4,'Inputs Yr 2'!$AO170,0))))*(INDEX(avoidedcosttbl2,$H170,BK$2)+(($H170-ROUNDDOWN($H170,0))*(INDEX(avoidedcosttbl2,ROUNDUP($H170,0),BK$2)-(INDEX(avoidedcosttbl2,ROUNDDOWN($H170,0),BK$2)))))*'Inputs Yr 2'!P170*'Inputs Yr 2'!Q170*'Inputs Yr 2'!U170,"")</f>
        <v>0</v>
      </c>
      <c r="BL170" s="195">
        <f>IFERROR($G170*(IF('Inputs Yr 2'!$AJ170=BL$4,'Inputs Yr 2'!$AK170,IF('Inputs Yr 2'!$AL170=BL$4,'Inputs Yr 2'!$AM170,IF('Inputs Yr 2'!$AN170=BL$4,'Inputs Yr 2'!$AO170,0))))*(INDEX(avoidedcosttbl2,$H170,BL$2)+(($H170-ROUNDDOWN($H170,0))*(INDEX(avoidedcosttbl2,ROUNDUP($H170,0),BL$2)-(INDEX(avoidedcosttbl2,ROUNDDOWN($H170,0),BL$2)))))*'Inputs Yr 2'!P170*'Inputs Yr 2'!Q170*'Inputs Yr 2'!U170,"")</f>
        <v>0</v>
      </c>
      <c r="BM170" s="195">
        <f>IFERROR($G170*(IF('Inputs Yr 2'!$AJ170=BM$4,'Inputs Yr 2'!$AK170,IF('Inputs Yr 2'!$AL170=BM$4,'Inputs Yr 2'!$AM170,IF('Inputs Yr 2'!$AN170=BM$4,'Inputs Yr 2'!$AO170,0))))*(INDEX(avoidedcosttbl2,$H170,BM$2)+(($H170-ROUNDDOWN($H170,0))*(INDEX(avoidedcosttbl2,ROUNDUP($H170,0),BM$2)-(INDEX(avoidedcosttbl2,ROUNDDOWN($H170,0),BM$2)))))*'Inputs Yr 2'!P170*'Inputs Yr 2'!Q170*'Inputs Yr 2'!U170,"")</f>
        <v>0</v>
      </c>
      <c r="BN170" s="195">
        <f>IFERROR($G170*(IF('Inputs Yr 2'!$AJ170=BN$4,'Inputs Yr 2'!$AK170,IF('Inputs Yr 2'!$AL170=BN$4,'Inputs Yr 2'!$AM170,IF('Inputs Yr 2'!$AN170=BN$4,'Inputs Yr 2'!$AO170,0))))*(INDEX(avoidedcosttbl2,$H170,BN$2)+(($H170-ROUNDDOWN($H170,0))*(INDEX(avoidedcosttbl2,ROUNDUP($H170,0),BN$2)-(INDEX(avoidedcosttbl2,ROUNDDOWN($H170,0),BN$2)))))*'Inputs Yr 2'!P170*'Inputs Yr 2'!Q170*'Inputs Yr 2'!U170,"")</f>
        <v>0</v>
      </c>
      <c r="BO170" s="195">
        <f>IFERROR($G170*(IF('Inputs Yr 2'!$AJ170=BO$4,'Inputs Yr 2'!$AK170,IF('Inputs Yr 2'!$AL170=BO$4,'Inputs Yr 2'!$AM170,IF('Inputs Yr 2'!$AN170=BO$4,'Inputs Yr 2'!$AO170,0))))*(INDEX(avoidedcosttbl2,$H170,BO$2)+(($H170-ROUNDDOWN($H170,0))*(INDEX(avoidedcosttbl2,ROUNDUP($H170,0),BO$2)-(INDEX(avoidedcosttbl2,ROUNDDOWN($H170,0),BO$2)))))*'Inputs Yr 2'!P170*'Inputs Yr 2'!Q170*'Inputs Yr 2'!U170,"")</f>
        <v>0</v>
      </c>
      <c r="BP170" s="195">
        <f>IFERROR($G170*(IF('Inputs Yr 2'!$AJ170=BP$4,'Inputs Yr 2'!$AK170,IF('Inputs Yr 2'!$AL170=BP$4,'Inputs Yr 2'!$AM170,IF('Inputs Yr 2'!$AN170=BP$4,'Inputs Yr 2'!$AO170,0))))*(INDEX(avoidedcosttbl2,$H170,BP$2)+(($H170-ROUNDDOWN($H170,0))*(INDEX(avoidedcosttbl2,ROUNDUP($H170,0),BP$2)-(INDEX(avoidedcosttbl2,ROUNDDOWN($H170,0),BP$2)))))*'Inputs Yr 2'!P170*'Inputs Yr 2'!Q170*'Inputs Yr 2'!U170,"")</f>
        <v>666468.9856840648</v>
      </c>
      <c r="BQ170" s="230">
        <f t="shared" si="98"/>
        <v>666468.9856840648</v>
      </c>
      <c r="BR170" s="197">
        <f t="shared" si="82"/>
        <v>12535.347886128189</v>
      </c>
      <c r="BS170" s="197">
        <f>IFERROR(($G170*IF('Inputs Yr 2'!$AJ170=BM$4,'Inputs Yr 2'!$AK170,IF('Inputs Yr 2'!$AL170=BM$4,'Inputs Yr 2'!$AM170,IF('Inputs Yr 2'!$AN170=BM$4,'Inputs Yr 2'!$AO170,0))))*(INDEX(avoidedcosttbl2,$H170,BS$2)+(($H170-ROUNDDOWN($H170,0))*(INDEX(avoidedcosttbl2,ROUNDUP($H170,0),BS$2)-(INDEX(avoidedcosttbl2,ROUNDDOWN($H170,0),BS$2)))))*'Inputs Yr 2'!P170*'Inputs Yr 2'!Q170*'Inputs Yr 2'!U170,"")</f>
        <v>0</v>
      </c>
      <c r="BT170" s="197">
        <f>IFERROR(($G170*IF('Inputs Yr 2'!$AJ170=BK$4,'Inputs Yr 2'!$AK170,IF('Inputs Yr 2'!$AL170=BK$4,'Inputs Yr 2'!$AM170,IF('Inputs Yr 2'!$AN170=BK$4,'Inputs Yr 2'!$AO170,0))))*(INDEX(avoidedcosttbl2,$H170,BT$2)+(($H170-ROUNDDOWN($H170,0))*(INDEX(avoidedcosttbl2,ROUNDUP($H170,0),BT$2)-(INDEX(avoidedcosttbl2,ROUNDDOWN($H170,0),BT$2)))))*'Inputs Yr 2'!P170*'Inputs Yr 2'!Q170*'Inputs Yr 2'!U170,"")</f>
        <v>0</v>
      </c>
      <c r="BU170" s="197">
        <f>IFERROR(($G170*IF('Inputs Yr 2'!$AJ170=BL$4,'Inputs Yr 2'!$AK170,IF('Inputs Yr 2'!$AL170=BL$4,'Inputs Yr 2'!$AM170,IF('Inputs Yr 2'!$AN170=BL$4,'Inputs Yr 2'!$AO170,0))))*(INDEX(avoidedcosttbl2,$H170,BU$2)+(($H170-ROUNDDOWN($H170,0))*(INDEX(avoidedcosttbl2,ROUNDUP($H170,0),BU$2)-(INDEX(avoidedcosttbl2,ROUNDDOWN($H170,0),BU$2)))))*'Inputs Yr 2'!P170*'Inputs Yr 2'!Q170*'Inputs Yr 2'!U170,"")</f>
        <v>0</v>
      </c>
      <c r="BV170" s="775">
        <f>IFERROR(($G170*IF('Inputs Yr 2'!$AJ170=BJ$4,'Inputs Yr 2'!$AK170,IF('Inputs Yr 2'!$AL170=BJ$4,'Inputs Yr 2'!$AM170,IF('Inputs Yr 2'!$AN170=BJ$4,'Inputs Yr 2'!$AO170,0))))*(INDEX(avoidedcosttbl2,$H170,BV$2)+(($H170-ROUNDDOWN($H170,0))*(INDEX(avoidedcosttbl2,ROUNDUP($H170,0),BV$2)-(INDEX(avoidedcosttbl2,ROUNDDOWN($H170,0),BV$2)))))*'Inputs Yr 2'!P170*'Inputs Yr 2'!Q170*'Inputs Yr 2'!U170,"")</f>
        <v>0</v>
      </c>
      <c r="BW170" s="197">
        <f>IFERROR(($G170*IF('Inputs Yr 2'!$AJ170=BN$4,'Inputs Yr 2'!$AK170,IF('Inputs Yr 2'!$AL170=BN$4,'Inputs Yr 2'!$AM170,IF('Inputs Yr 2'!$AN170=BN$4,'Inputs Yr 2'!$AO170,0))))*(INDEX(avoidedcosttbl2,$H170,BW$2)+(($H170-ROUNDDOWN($H170,0))*(INDEX(avoidedcosttbl2,ROUNDUP($H170,0),BW$2)-(INDEX(avoidedcosttbl2,ROUNDDOWN($H170,0),BW$2)))))*'Inputs Yr 2'!P170*'Inputs Yr 2'!Q170*'Inputs Yr 2'!U170,"")</f>
        <v>0</v>
      </c>
      <c r="BX170" s="197">
        <f>IFERROR(($G170*IF('Inputs Yr 2'!$AJ170=BO$4,'Inputs Yr 2'!$AK170,IF('Inputs Yr 2'!$AL170=BO$4,'Inputs Yr 2'!$AM170,IF('Inputs Yr 2'!$AN170=BO$4,'Inputs Yr 2'!$AO170,0))))*(INDEX(avoidedcosttbl2,$H170,BX$2)+(($H170-ROUNDDOWN($H170,0))*(INDEX(avoidedcosttbl2,ROUNDUP($H170,0),BX$2)-(INDEX(avoidedcosttbl2,ROUNDDOWN($H170,0),BX$2)))))*'Inputs Yr 2'!P170*'Inputs Yr 2'!Q170*'Inputs Yr 2'!U170,"")</f>
        <v>0</v>
      </c>
      <c r="BY170" s="197">
        <f>IFERROR(($G170*IF('Inputs Yr 2'!$AJ170=BP$4,'Inputs Yr 2'!$AK170,IF('Inputs Yr 2'!$AL170=BP$4,'Inputs Yr 2'!$AM170,IF('Inputs Yr 2'!$AN170=BP$4,'Inputs Yr 2'!$AO170,0))))*(INDEX(avoidedcosttbl2,$H170,BY$2)+(($H170-ROUNDDOWN($H170,0))*(INDEX(avoidedcosttbl2,ROUNDUP($H170,0),BY$2)-(INDEX(avoidedcosttbl2,ROUNDDOWN($H170,0),BY$2)))))*'Inputs Yr 2'!P170*'Inputs Yr 2'!Q170*'Inputs Yr 2'!U170,"")</f>
        <v>73254.904231448556</v>
      </c>
      <c r="BZ170" s="193">
        <f t="shared" si="99"/>
        <v>85790.252117576747</v>
      </c>
      <c r="CA170" s="193">
        <f t="shared" si="100"/>
        <v>752259.23780164158</v>
      </c>
      <c r="CB170" s="195">
        <f>IFERROR(G170*(IF('Inputs Yr 2'!$AJ170=CB$4,'Inputs Yr 2'!$AK170,IF('Inputs Yr 2'!$AL170=CB$4,'Inputs Yr 2'!$AM170,IF('Inputs Yr 2'!$AN170=CB$4,'Inputs Yr 2'!$AO170,0))))*(INDEX(avoidedcosttbl2,$H170,CB$2)+(($H170-ROUNDDOWN($H170,0))*(INDEX(avoidedcosttbl2,ROUNDUP($H170,0),CB$2)-(INDEX(avoidedcosttbl2,ROUNDDOWN($H170,0),CB$2)))))*'Inputs Yr 2'!P170*'Inputs Yr 2'!Q170*'Inputs Yr 2'!U170,"")</f>
        <v>0</v>
      </c>
      <c r="CC170" s="195">
        <f>IFERROR(H170*(IF('Inputs Yr 2'!$AJ170=CC$4,'Inputs Yr 2'!$AK170,IF('Inputs Yr 2'!$AL170=CC$4,'Inputs Yr 2'!$AM170,IF('Inputs Yr 2'!$AN170=CC$4,'Inputs Yr 2'!$AO170,0))))*(INDEX(avoidedcosttbl2,$H170,CC$2)+(($H170-ROUNDDOWN($H170,0))*(INDEX(avoidedcosttbl2,ROUNDUP($H170,0),CC$2)-(INDEX(avoidedcosttbl2,ROUNDDOWN($H170,0),CC$2)))))*'Inputs Yr 2'!Q170*'Inputs Yr 2'!R170*'Inputs Yr 2'!V170,"")</f>
        <v>0</v>
      </c>
      <c r="CD170" s="195">
        <f>IFERROR(I170*(IF('Inputs Yr 2'!$AJ170=CD$4,'Inputs Yr 2'!$AK170,IF('Inputs Yr 2'!$AL170=CD$4,'Inputs Yr 2'!$AM170,IF('Inputs Yr 2'!$AN170=CD$4,'Inputs Yr 2'!$AO170,0))))*(INDEX(avoidedcosttbl2,$H170,CD$2)+(($H170-ROUNDDOWN($H170,0))*(INDEX(avoidedcosttbl2,ROUNDUP($H170,0),CD$2)-(INDEX(avoidedcosttbl2,ROUNDDOWN($H170,0),CD$2)))))*'Inputs Yr 2'!R170*'Inputs Yr 2'!S170*'Inputs Yr 2'!W170,"")</f>
        <v>0</v>
      </c>
      <c r="CE170" s="213">
        <f t="shared" si="101"/>
        <v>0</v>
      </c>
      <c r="CF170" s="213">
        <f t="shared" si="102"/>
        <v>0</v>
      </c>
      <c r="CG170" s="213">
        <f t="shared" si="103"/>
        <v>0</v>
      </c>
      <c r="CH170" s="698">
        <f t="shared" si="104"/>
        <v>752259.23780164158</v>
      </c>
      <c r="CI170" s="79">
        <f>IFERROR(($G170*'Inputs Yr 2'!$P170*'Inputs Yr 2'!$Q170*(((INDEX(avoidedcosttbl2,$H170,CI$2)+(($H170-ROUNDDOWN($H170,0))*(INDEX(avoidedcosttbl2,ROUNDUP($H170,0),CI$2)-INDEX(avoidedcosttbl2,ROUNDDOWN($H170,0),CI$2))))*'Inputs Yr 2'!AS170))),"")</f>
        <v>0</v>
      </c>
      <c r="CJ170" s="504">
        <f>IFERROR($G170*'Inputs Yr 2'!AT170*'Inputs Yr 2'!$P170*'Inputs Yr 2'!$Q170/((1+realdiscrt1)^-0.5),"")</f>
        <v>0</v>
      </c>
      <c r="CK170" s="79">
        <f>IFERROR((O170*1000*(((INDEX(avoidedcosttbl2,$H170,CK$2)+(($H170-ROUNDDOWN($H170,0))*(INDEX(avoidedcosttbl2,ROUNDUP($H170,0),CK$2)-INDEX(avoidedcosttbl2,ROUNDDOWN($H170,0),CK$2))))*'Inputs Yr 2'!AU170))),"")</f>
        <v>0</v>
      </c>
      <c r="CL170" s="504">
        <f>IFERROR(O170*1000*'Inputs Yr 2'!AV170/((1+realdiscrt1)^-0.5),"")</f>
        <v>0</v>
      </c>
      <c r="CM170" s="79">
        <f>IFERROR((AB170*'Inputs Yr 2'!AW170*(((INDEX(avoidedcosttbl2,$H170,CM$2)+(($H170-ROUNDDOWN($H170,0))*(INDEX(avoidedcosttbl2,ROUNDUP($H170,0),CM$2)-INDEX(avoidedcosttbl2,ROUNDDOWN($H170,0),CM$2)))))))*10,"")</f>
        <v>-26851.089260605619</v>
      </c>
      <c r="CN170" s="504">
        <f>IFERROR(10*AB170*'Inputs Yr 2'!AX170/((1+realdiscrt1)^-0.5),"")</f>
        <v>0</v>
      </c>
      <c r="CO170" s="505">
        <f t="shared" si="105"/>
        <v>-26851.089260605619</v>
      </c>
      <c r="CP170" s="230">
        <f t="shared" si="106"/>
        <v>725408.14854103595</v>
      </c>
      <c r="CQ170" s="199">
        <f>ROUND(IFERROR(IF(LEFT($A170,1)="C",'Avoided Costs'!$K$13,'Avoided Costs'!$K$12)+1,""),4)</f>
        <v>1.0720000000000001</v>
      </c>
      <c r="CR170" s="199">
        <f>ROUND(IFERROR(IF(LEFT($A170,1)="C",'Avoided Costs'!$L$13,'Avoided Costs'!$L$12)+1,""),4)</f>
        <v>1.04</v>
      </c>
      <c r="CS170" s="199">
        <f>ROUND(IFERROR(IF(LEFT($A170,1)="C",'Avoided Costs'!$M$13,'Avoided Costs'!$M$12)+1,""),4)</f>
        <v>1.0720000000000001</v>
      </c>
      <c r="CT170" s="199">
        <f>ROUND(IFERROR(IF(LEFT($A170,1)="C",'Avoided Costs'!$N$13,'Avoided Costs'!$N$12)+1,""),4)</f>
        <v>1.04</v>
      </c>
      <c r="CU170" s="199">
        <f>ROUND(IFERROR(IF(LEFT($A170,1)="C",'Avoided Costs'!$O$13,'Avoided Costs'!$O$12)+1,""),4)</f>
        <v>1.1120000000000001</v>
      </c>
      <c r="CV170" s="199">
        <f>ROUND(IFERROR(IF(LEFT($A170,1)="C",'Avoided Costs'!$P$13,'Avoided Costs'!$P$12)+1,""),4)</f>
        <v>1.095</v>
      </c>
      <c r="CW170" s="199">
        <f>ROUND(IFERROR(IF(LEFT($A170,1)="C",'Avoided Costs'!$Q$13,'Avoided Costs'!$Q$12)+1,""),4)</f>
        <v>1.1120000000000001</v>
      </c>
      <c r="CX170" s="200">
        <f>ROUND(IFERROR(IF(LEFT($A170,1)="C",'Avoided Costs'!$R$13,'Avoided Costs'!$R$12)+1,""),4)</f>
        <v>1.1120000000000001</v>
      </c>
    </row>
    <row r="171" spans="1:102" ht="12.75" customHeight="1">
      <c r="A171" s="91" t="str">
        <f>IF('Inputs Yr 2'!$B171=0,"",'Inputs Yr 2'!A171)</f>
        <v>C - Commercial &amp; Industrial</v>
      </c>
      <c r="B171" s="91" t="str">
        <f>IF('Inputs Yr 2'!$B171=0,"",'Inputs Yr 2'!B171)</f>
        <v>C1 - C&amp;I New Construction</v>
      </c>
      <c r="C171" s="91" t="str">
        <f>IF('Inputs Yr 2'!$B171=0,"",'Inputs Yr 2'!C171)</f>
        <v>C1a - C&amp;I New Buildings &amp; Major Renovations</v>
      </c>
      <c r="D171" s="91" t="str">
        <f>IF('Inputs Yr 2'!$B171=0,"",'Inputs Yr 2'!E171)</f>
        <v>Other - Custom  15</v>
      </c>
      <c r="E171" s="93" t="str">
        <f>IF('Inputs Yr 2'!$B171=0,"",'Inputs Yr 2'!F171)</f>
        <v>G16C1a16</v>
      </c>
      <c r="F171" s="93" t="str">
        <f>IF('Inputs Yr 2'!$B171=0,"",'Inputs Yr 2'!G171)</f>
        <v>Custom Measures</v>
      </c>
      <c r="G171" s="95">
        <f>IF('Inputs Yr 2'!$H171&lt;&gt;0,('Inputs Yr 2'!H171),"")</f>
        <v>1</v>
      </c>
      <c r="H171" s="94">
        <f>IFERROR('Inputs Yr 2'!I171,"")</f>
        <v>15</v>
      </c>
      <c r="I171" s="298">
        <f>IFERROR('Inputs Yr 2'!J171*'Inputs Yr 2'!P171*G171,"")</f>
        <v>30451.371333333336</v>
      </c>
      <c r="J171" s="298">
        <f>IFERROR('Inputs Yr 2'!K171*G171,"")</f>
        <v>24851.5</v>
      </c>
      <c r="K171" s="298">
        <f t="shared" si="83"/>
        <v>5599.8713333333362</v>
      </c>
      <c r="L171" s="194">
        <f>IFERROR(('Inputs Yr 2'!W171*G171)/1000,"")</f>
        <v>0</v>
      </c>
      <c r="M171" s="194">
        <f>IFERROR(L171*('Inputs Yr 2'!$Q171*'Inputs Yr 2'!$V171*'Inputs Yr 2'!$R171),"")</f>
        <v>0</v>
      </c>
      <c r="N171" s="194">
        <f t="shared" si="84"/>
        <v>0</v>
      </c>
      <c r="O171" s="194">
        <f>IFERROR(M171*'Inputs Yr 2'!P171,"")</f>
        <v>0</v>
      </c>
      <c r="P171" s="194">
        <f t="shared" si="85"/>
        <v>0</v>
      </c>
      <c r="Q171" s="194">
        <f>IFERROR($P171*'Inputs Yr 2'!AA171,"")</f>
        <v>0</v>
      </c>
      <c r="R171" s="194">
        <f>IFERROR($P171*'Inputs Yr 2'!AB171,"")</f>
        <v>0</v>
      </c>
      <c r="S171" s="194">
        <f>IFERROR($P171*'Inputs Yr 2'!AC171,"")</f>
        <v>0</v>
      </c>
      <c r="T171" s="194">
        <f>IFERROR($P171*'Inputs Yr 2'!AD171,"")</f>
        <v>0</v>
      </c>
      <c r="U171" s="194">
        <f>IFERROR(G171*'Inputs Yr 2'!$AE171*'Inputs Yr 2'!$P171*'Inputs Yr 2'!$Q171,"")</f>
        <v>0</v>
      </c>
      <c r="V171" s="194">
        <f>IFERROR($G171*'Inputs Yr 2'!$AE171*'Inputs Yr 2'!$AG171*'Inputs Yr 2'!Q171*'Inputs Yr 2'!$S171,"")</f>
        <v>0</v>
      </c>
      <c r="W171" s="194">
        <f>IFERROR($G171*'Inputs Yr 2'!$AE171*'Inputs Yr 2'!$AG171*'Inputs Yr 2'!P171*'Inputs Yr 2'!Q171*'Inputs Yr 2'!$S171,"")</f>
        <v>0</v>
      </c>
      <c r="X171" s="194">
        <f>IFERROR($G171*'Inputs Yr 2'!$AE171*'Inputs Yr 2'!$AF171*'Inputs Yr 2'!Q171*'Inputs Yr 2'!$T171,"")</f>
        <v>0</v>
      </c>
      <c r="Y171" s="194">
        <f>IFERROR($G171*'Inputs Yr 2'!$AE171*'Inputs Yr 2'!$AF171*'Inputs Yr 2'!P171*'Inputs Yr 2'!Q171*'Inputs Yr 2'!$T171,"")</f>
        <v>0</v>
      </c>
      <c r="Z171" s="257">
        <f>IFERROR($G171*'Inputs Yr 2'!$Q171*'Inputs Yr 2'!$U171*(IF(IFERROR(SEARCH("NG", 'Inputs Yr 2'!$AJ171),0),'Inputs Yr 2'!$AK171,0)+IF(IFERROR(SEARCH("NG", 'Inputs Yr 2'!$AL171),0),'Inputs Yr 2'!$AM171,0)+IF(IFERROR(SEARCH("NG", 'Inputs Yr 2'!$AN171),0),'Inputs Yr 2'!$AO171,0)),0)</f>
        <v>920.62220000000002</v>
      </c>
      <c r="AA171" s="257">
        <f t="shared" si="86"/>
        <v>13809.333000000001</v>
      </c>
      <c r="AB171" s="257">
        <f>IFERROR(Z171*'Inputs Yr 2'!$P171,0)</f>
        <v>846.05180180000002</v>
      </c>
      <c r="AC171" s="257">
        <f t="shared" si="87"/>
        <v>12690.777027</v>
      </c>
      <c r="AD171" s="257">
        <f>IFERROR($G171*'Inputs Yr 2'!$Q171*'Inputs Yr 2'!$U171*(IF(IFERROR(SEARCH("Oil", 'Inputs Yr 2'!$AJ171), 0),'Inputs Yr 2'!$AK171,0)+IF(IFERROR(SEARCH("Oil", 'Inputs Yr 2'!$AL171), 0),'Inputs Yr 2'!$AM171,0)+IF(IFERROR(SEARCH("Oil", 'Inputs Yr 2'!$AN171), 0),'Inputs Yr 2'!$AO171,0)),0)</f>
        <v>0</v>
      </c>
      <c r="AE171" s="257">
        <f t="shared" si="88"/>
        <v>0</v>
      </c>
      <c r="AF171" s="257">
        <f>IFERROR(AD171*'Inputs Yr 2'!$P171,0)</f>
        <v>0</v>
      </c>
      <c r="AG171" s="257">
        <f t="shared" si="89"/>
        <v>0</v>
      </c>
      <c r="AH171" s="257">
        <f>IFERROR($G171*'Inputs Yr 2'!$Q171*'Inputs Yr 2'!$U171*(IF('Inputs Yr 2'!$AJ171=CD$4,'Inputs Yr 2'!$AK171,IF('Inputs Yr 2'!$AL171=CD$4,'Inputs Yr 2'!$AM171,IF('Inputs Yr 2'!$AN171=CD$4,'Inputs Yr 2'!$AO171,0)))),0)</f>
        <v>0</v>
      </c>
      <c r="AI171" s="257">
        <f t="shared" si="90"/>
        <v>0</v>
      </c>
      <c r="AJ171" s="257">
        <f>IFERROR(AH171*'Inputs Yr 2'!$P171,0)</f>
        <v>0</v>
      </c>
      <c r="AK171" s="257">
        <f t="shared" si="91"/>
        <v>0</v>
      </c>
      <c r="AL171" s="258">
        <f>IFERROR($G171*'Inputs Yr 2'!$P171*'Inputs Yr 2'!$Q171*'Inputs Yr 2'!AP171,0)</f>
        <v>0</v>
      </c>
      <c r="AM171" s="260">
        <f>IFERROR($G171*'Inputs Yr 2'!$P171*'Inputs Yr 2'!$Q171*'Inputs Yr 2'!AQ171,0)</f>
        <v>0</v>
      </c>
      <c r="AN171" s="258">
        <f>IFERROR($G171*'Inputs Yr 2'!$P171*'Inputs Yr 2'!$Q171*'Inputs Yr 2'!AR171,0)</f>
        <v>0</v>
      </c>
      <c r="AO171" s="257">
        <f t="shared" si="92"/>
        <v>0</v>
      </c>
      <c r="AP171" s="195">
        <f>IFERROR($CQ171*(INDEX(avoidedcosttbl2,$H171,AP$2)+(($H171-ROUNDDOWN($H171,0))*(INDEX(avoidedcosttbl2,ROUNDUP($H171,0),AP$2)-(INDEX(avoidedcosttbl2,ROUNDDOWN($H171,0),AP$2)))))*$O171*1000*'Inputs Yr 2'!AA171,"")</f>
        <v>0</v>
      </c>
      <c r="AQ171" s="195">
        <f>IFERROR($CR171*(INDEX(avoidedcosttbl2,$H171,AQ$2)+(($H171-ROUNDDOWN($H171,0))*(INDEX(avoidedcosttbl2,ROUNDUP($H171,0),AQ$2)-(INDEX(avoidedcosttbl2,ROUNDDOWN($H171,0),AQ$2)))))*$O171*1000*'Inputs Yr 2'!AB171,"")</f>
        <v>0</v>
      </c>
      <c r="AR171" s="195">
        <f>IFERROR($CS171*(INDEX(avoidedcosttbl2,$H171,AR$2)+(($H171-ROUNDDOWN($H171,0))*(INDEX(avoidedcosttbl2,ROUNDUP($H171,0),AR$2)-(INDEX(avoidedcosttbl2,ROUNDDOWN($H171,0),AR$2)))))*$O171*1000*'Inputs Yr 2'!AC171,"")</f>
        <v>0</v>
      </c>
      <c r="AS171" s="195">
        <f>IFERROR($CT171*(INDEX(avoidedcosttbl2,$H171,AS$2)+(($H171-ROUNDDOWN($H171,0))*(INDEX(avoidedcosttbl2,ROUNDUP($H171,0),AS$2)-(INDEX(avoidedcosttbl2,ROUNDDOWN($H171,0),AS$2)))))*$O171*1000*'Inputs Yr 2'!AD171,"")</f>
        <v>0</v>
      </c>
      <c r="AT171" s="196">
        <f t="shared" si="93"/>
        <v>0</v>
      </c>
      <c r="AU171" s="197">
        <f>IFERROR($CQ171*((INDEX(avoidedcosttbl2,$H171,AU$2))+(($H171-ROUNDDOWN($H171,0))*((INDEX(avoidedcosttbl2,ROUNDUP($H171,0),AU$2))-(INDEX(avoidedcosttbl2,ROUNDDOWN($H171,0),AU$2)))))*$O171*1000*'Inputs Yr 2'!AA171,"")</f>
        <v>0</v>
      </c>
      <c r="AV171" s="197">
        <f>IFERROR($CR171*((INDEX(avoidedcosttbl2,$H171,AV$2))+(($H171-ROUNDDOWN($H171,0))*((INDEX(avoidedcosttbl2,ROUNDUP($H171,0),AV$2))-(INDEX(avoidedcosttbl2,ROUNDDOWN($H171,0),AV$2)))))*$O171*1000*'Inputs Yr 2'!AB171,"")</f>
        <v>0</v>
      </c>
      <c r="AW171" s="197">
        <f>IFERROR($CS171*((INDEX(avoidedcosttbl2,$H171,AW$2))+(($H171-ROUNDDOWN($H171,0))*((INDEX(avoidedcosttbl2,ROUNDUP($H171,0),AW$2))-(INDEX(avoidedcosttbl2,ROUNDDOWN($H171,0),AW$2)))))*$O171*1000*'Inputs Yr 2'!AC171,"")</f>
        <v>0</v>
      </c>
      <c r="AX171" s="197">
        <f>IFERROR($CT171*((INDEX(avoidedcosttbl2,$H171,AX$2))+(($H171-ROUNDDOWN($H171,0))*((INDEX(avoidedcosttbl2,ROUNDUP($H171,0),AX$2))-(INDEX(avoidedcosttbl2,ROUNDDOWN($H171,0),AX$2)))))*$O171*1000*'Inputs Yr 2'!AD171,"")</f>
        <v>0</v>
      </c>
      <c r="AY171" s="197">
        <f>IFERROR(((INDEX(avoidedcosttbl2,$H171,AY$2))+(($H171-ROUNDDOWN($H171,0))*((INDEX(avoidedcosttbl2,ROUNDUP($H171,0),AY$2))-(INDEX(avoidedcosttbl2,ROUNDDOWN($H171,0),AY$2)))))*$O171*1000*('Inputs Yr 2'!AC171+'Inputs Yr 2'!AD171),"")</f>
        <v>0</v>
      </c>
      <c r="AZ171" s="197">
        <f>IFERROR(((INDEX(avoidedcosttbl2,$H171,AZ$2))+(($H171-ROUNDDOWN($H171,0))*((INDEX(avoidedcosttbl2,ROUNDUP($H171,0),AZ$2))-(INDEX(avoidedcosttbl2,ROUNDDOWN($H171,0),AZ$2)))))*$O171*1000*('Inputs Yr 2'!AA171+'Inputs Yr 2'!AB171),"")</f>
        <v>0</v>
      </c>
      <c r="BA171" s="198">
        <f t="shared" si="94"/>
        <v>0</v>
      </c>
      <c r="BB171" s="198">
        <f t="shared" si="95"/>
        <v>0</v>
      </c>
      <c r="BC171" s="195">
        <f t="shared" si="77"/>
        <v>0</v>
      </c>
      <c r="BD171" s="195">
        <f t="shared" si="78"/>
        <v>0</v>
      </c>
      <c r="BE171" s="195">
        <f t="shared" si="79"/>
        <v>0</v>
      </c>
      <c r="BF171" s="195">
        <f t="shared" si="80"/>
        <v>0</v>
      </c>
      <c r="BG171" s="195">
        <f t="shared" si="81"/>
        <v>0</v>
      </c>
      <c r="BH171" s="196">
        <f t="shared" si="96"/>
        <v>0</v>
      </c>
      <c r="BI171" s="196">
        <f t="shared" si="97"/>
        <v>0</v>
      </c>
      <c r="BJ171" s="195">
        <f>IFERROR($G171*(IF('Inputs Yr 2'!$AJ171=BJ$4,'Inputs Yr 2'!$AK171,IF('Inputs Yr 2'!$AL171=BJ$4,'Inputs Yr 2'!$AM171,IF('Inputs Yr 2'!$AN171=BJ$4,'Inputs Yr 2'!$AO171,0))))*(INDEX(avoidedcosttbl2,$H171,BJ$2)+(($H171-ROUNDDOWN($H171,0))*(INDEX(avoidedcosttbl2,ROUNDUP($H171,0),BJ$2)-(INDEX(avoidedcosttbl2,ROUNDDOWN($H171,0),BJ$2)))))*'Inputs Yr 2'!P171*'Inputs Yr 2'!Q171*'Inputs Yr 2'!U171,"")</f>
        <v>0</v>
      </c>
      <c r="BK171" s="195">
        <f>IFERROR($G171*(IF('Inputs Yr 2'!$AJ171=BK$4,'Inputs Yr 2'!$AK171,IF('Inputs Yr 2'!$AL171=BK$4,'Inputs Yr 2'!$AM171,IF('Inputs Yr 2'!$AN171=BK$4,'Inputs Yr 2'!$AO171,0))))*(INDEX(avoidedcosttbl2,$H171,BK$2)+(($H171-ROUNDDOWN($H171,0))*(INDEX(avoidedcosttbl2,ROUNDUP($H171,0),BK$2)-(INDEX(avoidedcosttbl2,ROUNDDOWN($H171,0),BK$2)))))*'Inputs Yr 2'!P171*'Inputs Yr 2'!Q171*'Inputs Yr 2'!U171,"")</f>
        <v>0</v>
      </c>
      <c r="BL171" s="195">
        <f>IFERROR($G171*(IF('Inputs Yr 2'!$AJ171=BL$4,'Inputs Yr 2'!$AK171,IF('Inputs Yr 2'!$AL171=BL$4,'Inputs Yr 2'!$AM171,IF('Inputs Yr 2'!$AN171=BL$4,'Inputs Yr 2'!$AO171,0))))*(INDEX(avoidedcosttbl2,$H171,BL$2)+(($H171-ROUNDDOWN($H171,0))*(INDEX(avoidedcosttbl2,ROUNDUP($H171,0),BL$2)-(INDEX(avoidedcosttbl2,ROUNDDOWN($H171,0),BL$2)))))*'Inputs Yr 2'!P171*'Inputs Yr 2'!Q171*'Inputs Yr 2'!U171,"")</f>
        <v>0</v>
      </c>
      <c r="BM171" s="195">
        <f>IFERROR($G171*(IF('Inputs Yr 2'!$AJ171=BM$4,'Inputs Yr 2'!$AK171,IF('Inputs Yr 2'!$AL171=BM$4,'Inputs Yr 2'!$AM171,IF('Inputs Yr 2'!$AN171=BM$4,'Inputs Yr 2'!$AO171,0))))*(INDEX(avoidedcosttbl2,$H171,BM$2)+(($H171-ROUNDDOWN($H171,0))*(INDEX(avoidedcosttbl2,ROUNDUP($H171,0),BM$2)-(INDEX(avoidedcosttbl2,ROUNDDOWN($H171,0),BM$2)))))*'Inputs Yr 2'!P171*'Inputs Yr 2'!Q171*'Inputs Yr 2'!U171,"")</f>
        <v>0</v>
      </c>
      <c r="BN171" s="195">
        <f>IFERROR($G171*(IF('Inputs Yr 2'!$AJ171=BN$4,'Inputs Yr 2'!$AK171,IF('Inputs Yr 2'!$AL171=BN$4,'Inputs Yr 2'!$AM171,IF('Inputs Yr 2'!$AN171=BN$4,'Inputs Yr 2'!$AO171,0))))*(INDEX(avoidedcosttbl2,$H171,BN$2)+(($H171-ROUNDDOWN($H171,0))*(INDEX(avoidedcosttbl2,ROUNDUP($H171,0),BN$2)-(INDEX(avoidedcosttbl2,ROUNDDOWN($H171,0),BN$2)))))*'Inputs Yr 2'!P171*'Inputs Yr 2'!Q171*'Inputs Yr 2'!U171,"")</f>
        <v>0</v>
      </c>
      <c r="BO171" s="195">
        <f>IFERROR($G171*(IF('Inputs Yr 2'!$AJ171=BO$4,'Inputs Yr 2'!$AK171,IF('Inputs Yr 2'!$AL171=BO$4,'Inputs Yr 2'!$AM171,IF('Inputs Yr 2'!$AN171=BO$4,'Inputs Yr 2'!$AO171,0))))*(INDEX(avoidedcosttbl2,$H171,BO$2)+(($H171-ROUNDDOWN($H171,0))*(INDEX(avoidedcosttbl2,ROUNDUP($H171,0),BO$2)-(INDEX(avoidedcosttbl2,ROUNDDOWN($H171,0),BO$2)))))*'Inputs Yr 2'!P171*'Inputs Yr 2'!Q171*'Inputs Yr 2'!U171,"")</f>
        <v>0</v>
      </c>
      <c r="BP171" s="195">
        <f>IFERROR($G171*(IF('Inputs Yr 2'!$AJ171=BP$4,'Inputs Yr 2'!$AK171,IF('Inputs Yr 2'!$AL171=BP$4,'Inputs Yr 2'!$AM171,IF('Inputs Yr 2'!$AN171=BP$4,'Inputs Yr 2'!$AO171,0))))*(INDEX(avoidedcosttbl2,$H171,BP$2)+(($H171-ROUNDDOWN($H171,0))*(INDEX(avoidedcosttbl2,ROUNDUP($H171,0),BP$2)-(INDEX(avoidedcosttbl2,ROUNDDOWN($H171,0),BP$2)))))*'Inputs Yr 2'!P171*'Inputs Yr 2'!Q171*'Inputs Yr 2'!U171,"")</f>
        <v>95092.483566357405</v>
      </c>
      <c r="BQ171" s="230">
        <f t="shared" si="98"/>
        <v>95092.483566357405</v>
      </c>
      <c r="BR171" s="197">
        <f t="shared" si="82"/>
        <v>1720.1320920220542</v>
      </c>
      <c r="BS171" s="197">
        <f>IFERROR(($G171*IF('Inputs Yr 2'!$AJ171=BM$4,'Inputs Yr 2'!$AK171,IF('Inputs Yr 2'!$AL171=BM$4,'Inputs Yr 2'!$AM171,IF('Inputs Yr 2'!$AN171=BM$4,'Inputs Yr 2'!$AO171,0))))*(INDEX(avoidedcosttbl2,$H171,BS$2)+(($H171-ROUNDDOWN($H171,0))*(INDEX(avoidedcosttbl2,ROUNDUP($H171,0),BS$2)-(INDEX(avoidedcosttbl2,ROUNDDOWN($H171,0),BS$2)))))*'Inputs Yr 2'!P171*'Inputs Yr 2'!Q171*'Inputs Yr 2'!U171,"")</f>
        <v>0</v>
      </c>
      <c r="BT171" s="197">
        <f>IFERROR(($G171*IF('Inputs Yr 2'!$AJ171=BK$4,'Inputs Yr 2'!$AK171,IF('Inputs Yr 2'!$AL171=BK$4,'Inputs Yr 2'!$AM171,IF('Inputs Yr 2'!$AN171=BK$4,'Inputs Yr 2'!$AO171,0))))*(INDEX(avoidedcosttbl2,$H171,BT$2)+(($H171-ROUNDDOWN($H171,0))*(INDEX(avoidedcosttbl2,ROUNDUP($H171,0),BT$2)-(INDEX(avoidedcosttbl2,ROUNDDOWN($H171,0),BT$2)))))*'Inputs Yr 2'!P171*'Inputs Yr 2'!Q171*'Inputs Yr 2'!U171,"")</f>
        <v>0</v>
      </c>
      <c r="BU171" s="197">
        <f>IFERROR(($G171*IF('Inputs Yr 2'!$AJ171=BL$4,'Inputs Yr 2'!$AK171,IF('Inputs Yr 2'!$AL171=BL$4,'Inputs Yr 2'!$AM171,IF('Inputs Yr 2'!$AN171=BL$4,'Inputs Yr 2'!$AO171,0))))*(INDEX(avoidedcosttbl2,$H171,BU$2)+(($H171-ROUNDDOWN($H171,0))*(INDEX(avoidedcosttbl2,ROUNDUP($H171,0),BU$2)-(INDEX(avoidedcosttbl2,ROUNDDOWN($H171,0),BU$2)))))*'Inputs Yr 2'!P171*'Inputs Yr 2'!Q171*'Inputs Yr 2'!U171,"")</f>
        <v>0</v>
      </c>
      <c r="BV171" s="775">
        <f>IFERROR(($G171*IF('Inputs Yr 2'!$AJ171=BJ$4,'Inputs Yr 2'!$AK171,IF('Inputs Yr 2'!$AL171=BJ$4,'Inputs Yr 2'!$AM171,IF('Inputs Yr 2'!$AN171=BJ$4,'Inputs Yr 2'!$AO171,0))))*(INDEX(avoidedcosttbl2,$H171,BV$2)+(($H171-ROUNDDOWN($H171,0))*(INDEX(avoidedcosttbl2,ROUNDUP($H171,0),BV$2)-(INDEX(avoidedcosttbl2,ROUNDDOWN($H171,0),BV$2)))))*'Inputs Yr 2'!P171*'Inputs Yr 2'!Q171*'Inputs Yr 2'!U171,"")</f>
        <v>0</v>
      </c>
      <c r="BW171" s="197">
        <f>IFERROR(($G171*IF('Inputs Yr 2'!$AJ171=BN$4,'Inputs Yr 2'!$AK171,IF('Inputs Yr 2'!$AL171=BN$4,'Inputs Yr 2'!$AM171,IF('Inputs Yr 2'!$AN171=BN$4,'Inputs Yr 2'!$AO171,0))))*(INDEX(avoidedcosttbl2,$H171,BW$2)+(($H171-ROUNDDOWN($H171,0))*(INDEX(avoidedcosttbl2,ROUNDUP($H171,0),BW$2)-(INDEX(avoidedcosttbl2,ROUNDDOWN($H171,0),BW$2)))))*'Inputs Yr 2'!P171*'Inputs Yr 2'!Q171*'Inputs Yr 2'!U171,"")</f>
        <v>0</v>
      </c>
      <c r="BX171" s="197">
        <f>IFERROR(($G171*IF('Inputs Yr 2'!$AJ171=BO$4,'Inputs Yr 2'!$AK171,IF('Inputs Yr 2'!$AL171=BO$4,'Inputs Yr 2'!$AM171,IF('Inputs Yr 2'!$AN171=BO$4,'Inputs Yr 2'!$AO171,0))))*(INDEX(avoidedcosttbl2,$H171,BX$2)+(($H171-ROUNDDOWN($H171,0))*(INDEX(avoidedcosttbl2,ROUNDUP($H171,0),BX$2)-(INDEX(avoidedcosttbl2,ROUNDDOWN($H171,0),BX$2)))))*'Inputs Yr 2'!P171*'Inputs Yr 2'!Q171*'Inputs Yr 2'!U171,"")</f>
        <v>0</v>
      </c>
      <c r="BY171" s="197">
        <f>IFERROR(($G171*IF('Inputs Yr 2'!$AJ171=BP$4,'Inputs Yr 2'!$AK171,IF('Inputs Yr 2'!$AL171=BP$4,'Inputs Yr 2'!$AM171,IF('Inputs Yr 2'!$AN171=BP$4,'Inputs Yr 2'!$AO171,0))))*(INDEX(avoidedcosttbl2,$H171,BY$2)+(($H171-ROUNDDOWN($H171,0))*(INDEX(avoidedcosttbl2,ROUNDUP($H171,0),BY$2)-(INDEX(avoidedcosttbl2,ROUNDDOWN($H171,0),BY$2)))))*'Inputs Yr 2'!P171*'Inputs Yr 2'!Q171*'Inputs Yr 2'!U171,"")</f>
        <v>7351.4535808362489</v>
      </c>
      <c r="BZ171" s="193">
        <f t="shared" si="99"/>
        <v>9071.5856728583021</v>
      </c>
      <c r="CA171" s="193">
        <f t="shared" si="100"/>
        <v>104164.06923921571</v>
      </c>
      <c r="CB171" s="195">
        <f>IFERROR(G171*(IF('Inputs Yr 2'!$AJ171=CB$4,'Inputs Yr 2'!$AK171,IF('Inputs Yr 2'!$AL171=CB$4,'Inputs Yr 2'!$AM171,IF('Inputs Yr 2'!$AN171=CB$4,'Inputs Yr 2'!$AO171,0))))*(INDEX(avoidedcosttbl2,$H171,CB$2)+(($H171-ROUNDDOWN($H171,0))*(INDEX(avoidedcosttbl2,ROUNDUP($H171,0),CB$2)-(INDEX(avoidedcosttbl2,ROUNDDOWN($H171,0),CB$2)))))*'Inputs Yr 2'!P171*'Inputs Yr 2'!Q171*'Inputs Yr 2'!U171,"")</f>
        <v>0</v>
      </c>
      <c r="CC171" s="195">
        <f>IFERROR(H171*(IF('Inputs Yr 2'!$AJ171=CC$4,'Inputs Yr 2'!$AK171,IF('Inputs Yr 2'!$AL171=CC$4,'Inputs Yr 2'!$AM171,IF('Inputs Yr 2'!$AN171=CC$4,'Inputs Yr 2'!$AO171,0))))*(INDEX(avoidedcosttbl2,$H171,CC$2)+(($H171-ROUNDDOWN($H171,0))*(INDEX(avoidedcosttbl2,ROUNDUP($H171,0),CC$2)-(INDEX(avoidedcosttbl2,ROUNDDOWN($H171,0),CC$2)))))*'Inputs Yr 2'!Q171*'Inputs Yr 2'!R171*'Inputs Yr 2'!V171,"")</f>
        <v>0</v>
      </c>
      <c r="CD171" s="195">
        <f>IFERROR(I171*(IF('Inputs Yr 2'!$AJ171=CD$4,'Inputs Yr 2'!$AK171,IF('Inputs Yr 2'!$AL171=CD$4,'Inputs Yr 2'!$AM171,IF('Inputs Yr 2'!$AN171=CD$4,'Inputs Yr 2'!$AO171,0))))*(INDEX(avoidedcosttbl2,$H171,CD$2)+(($H171-ROUNDDOWN($H171,0))*(INDEX(avoidedcosttbl2,ROUNDUP($H171,0),CD$2)-(INDEX(avoidedcosttbl2,ROUNDDOWN($H171,0),CD$2)))))*'Inputs Yr 2'!R171*'Inputs Yr 2'!S171*'Inputs Yr 2'!W171,"")</f>
        <v>0</v>
      </c>
      <c r="CE171" s="213">
        <f t="shared" si="101"/>
        <v>0</v>
      </c>
      <c r="CF171" s="213">
        <f t="shared" si="102"/>
        <v>0</v>
      </c>
      <c r="CG171" s="213">
        <f t="shared" si="103"/>
        <v>0</v>
      </c>
      <c r="CH171" s="698">
        <f t="shared" si="104"/>
        <v>104164.06923921571</v>
      </c>
      <c r="CI171" s="79">
        <f>IFERROR(($G171*'Inputs Yr 2'!$P171*'Inputs Yr 2'!$Q171*(((INDEX(avoidedcosttbl2,$H171,CI$2)+(($H171-ROUNDDOWN($H171,0))*(INDEX(avoidedcosttbl2,ROUNDUP($H171,0),CI$2)-INDEX(avoidedcosttbl2,ROUNDDOWN($H171,0),CI$2))))*'Inputs Yr 2'!AS171))),"")</f>
        <v>0</v>
      </c>
      <c r="CJ171" s="504">
        <f>IFERROR($G171*'Inputs Yr 2'!AT171*'Inputs Yr 2'!$P171*'Inputs Yr 2'!$Q171/((1+realdiscrt1)^-0.5),"")</f>
        <v>0</v>
      </c>
      <c r="CK171" s="79">
        <f>IFERROR((O171*1000*(((INDEX(avoidedcosttbl2,$H171,CK$2)+(($H171-ROUNDDOWN($H171,0))*(INDEX(avoidedcosttbl2,ROUNDUP($H171,0),CK$2)-INDEX(avoidedcosttbl2,ROUNDDOWN($H171,0),CK$2))))*'Inputs Yr 2'!AU171))),"")</f>
        <v>0</v>
      </c>
      <c r="CL171" s="504">
        <f>IFERROR(O171*1000*'Inputs Yr 2'!AV171/((1+realdiscrt1)^-0.5),"")</f>
        <v>0</v>
      </c>
      <c r="CM171" s="79">
        <f>IFERROR((AB171*'Inputs Yr 2'!AW171*(((INDEX(avoidedcosttbl2,$H171,CM$2)+(($H171-ROUNDDOWN($H171,0))*(INDEX(avoidedcosttbl2,ROUNDUP($H171,0),CM$2)-INDEX(avoidedcosttbl2,ROUNDDOWN($H171,0),CM$2)))))))*10,"")</f>
        <v>-3684.5742744824952</v>
      </c>
      <c r="CN171" s="504">
        <f>IFERROR(10*AB171*'Inputs Yr 2'!AX171/((1+realdiscrt1)^-0.5),"")</f>
        <v>0</v>
      </c>
      <c r="CO171" s="505">
        <f t="shared" si="105"/>
        <v>-3684.5742744824952</v>
      </c>
      <c r="CP171" s="230">
        <f t="shared" si="106"/>
        <v>100479.49496473321</v>
      </c>
      <c r="CQ171" s="199">
        <f>ROUND(IFERROR(IF(LEFT($A171,1)="C",'Avoided Costs'!$K$13,'Avoided Costs'!$K$12)+1,""),4)</f>
        <v>1.0720000000000001</v>
      </c>
      <c r="CR171" s="199">
        <f>ROUND(IFERROR(IF(LEFT($A171,1)="C",'Avoided Costs'!$L$13,'Avoided Costs'!$L$12)+1,""),4)</f>
        <v>1.04</v>
      </c>
      <c r="CS171" s="199">
        <f>ROUND(IFERROR(IF(LEFT($A171,1)="C",'Avoided Costs'!$M$13,'Avoided Costs'!$M$12)+1,""),4)</f>
        <v>1.0720000000000001</v>
      </c>
      <c r="CT171" s="199">
        <f>ROUND(IFERROR(IF(LEFT($A171,1)="C",'Avoided Costs'!$N$13,'Avoided Costs'!$N$12)+1,""),4)</f>
        <v>1.04</v>
      </c>
      <c r="CU171" s="199">
        <f>ROUND(IFERROR(IF(LEFT($A171,1)="C",'Avoided Costs'!$O$13,'Avoided Costs'!$O$12)+1,""),4)</f>
        <v>1.1120000000000001</v>
      </c>
      <c r="CV171" s="199">
        <f>ROUND(IFERROR(IF(LEFT($A171,1)="C",'Avoided Costs'!$P$13,'Avoided Costs'!$P$12)+1,""),4)</f>
        <v>1.095</v>
      </c>
      <c r="CW171" s="199">
        <f>ROUND(IFERROR(IF(LEFT($A171,1)="C",'Avoided Costs'!$Q$13,'Avoided Costs'!$Q$12)+1,""),4)</f>
        <v>1.1120000000000001</v>
      </c>
      <c r="CX171" s="200">
        <f>ROUND(IFERROR(IF(LEFT($A171,1)="C",'Avoided Costs'!$R$13,'Avoided Costs'!$R$12)+1,""),4)</f>
        <v>1.1120000000000001</v>
      </c>
    </row>
    <row r="172" spans="1:102" ht="12.75" customHeight="1">
      <c r="A172" s="91" t="str">
        <f>IF('Inputs Yr 2'!$B172=0,"",'Inputs Yr 2'!A172)</f>
        <v>C - Commercial &amp; Industrial</v>
      </c>
      <c r="B172" s="91" t="str">
        <f>IF('Inputs Yr 2'!$B172=0,"",'Inputs Yr 2'!B172)</f>
        <v>C1 - C&amp;I New Construction</v>
      </c>
      <c r="C172" s="91" t="str">
        <f>IF('Inputs Yr 2'!$B172=0,"",'Inputs Yr 2'!C172)</f>
        <v>C1a - C&amp;I New Buildings &amp; Major Renovations</v>
      </c>
      <c r="D172" s="91" t="str">
        <f>IF('Inputs Yr 2'!$B172=0,"",'Inputs Yr 2'!E172)</f>
        <v>Other - Custom  20</v>
      </c>
      <c r="E172" s="93" t="str">
        <f>IF('Inputs Yr 2'!$B172=0,"",'Inputs Yr 2'!F172)</f>
        <v>G16C1a16</v>
      </c>
      <c r="F172" s="93" t="str">
        <f>IF('Inputs Yr 2'!$B172=0,"",'Inputs Yr 2'!G172)</f>
        <v>Custom Measures</v>
      </c>
      <c r="G172" s="95">
        <f>IF('Inputs Yr 2'!$H172&lt;&gt;0,('Inputs Yr 2'!H172),"")</f>
        <v>1</v>
      </c>
      <c r="H172" s="94">
        <f>IFERROR('Inputs Yr 2'!I172,"")</f>
        <v>20</v>
      </c>
      <c r="I172" s="298">
        <f>IFERROR('Inputs Yr 2'!J172*'Inputs Yr 2'!P172*G172,"")</f>
        <v>194857.408</v>
      </c>
      <c r="J172" s="298">
        <f>IFERROR('Inputs Yr 2'!K172*G172,"")</f>
        <v>159024</v>
      </c>
      <c r="K172" s="298">
        <f t="shared" si="83"/>
        <v>35833.407999999996</v>
      </c>
      <c r="L172" s="194">
        <f>IFERROR(('Inputs Yr 2'!W172*G172)/1000,"")</f>
        <v>0</v>
      </c>
      <c r="M172" s="194">
        <f>IFERROR(L172*('Inputs Yr 2'!$Q172*'Inputs Yr 2'!$V172*'Inputs Yr 2'!$R172),"")</f>
        <v>0</v>
      </c>
      <c r="N172" s="194">
        <f t="shared" si="84"/>
        <v>0</v>
      </c>
      <c r="O172" s="194">
        <f>IFERROR(M172*'Inputs Yr 2'!P172,"")</f>
        <v>0</v>
      </c>
      <c r="P172" s="194">
        <f t="shared" si="85"/>
        <v>0</v>
      </c>
      <c r="Q172" s="194">
        <f>IFERROR($P172*'Inputs Yr 2'!AA172,"")</f>
        <v>0</v>
      </c>
      <c r="R172" s="194">
        <f>IFERROR($P172*'Inputs Yr 2'!AB172,"")</f>
        <v>0</v>
      </c>
      <c r="S172" s="194">
        <f>IFERROR($P172*'Inputs Yr 2'!AC172,"")</f>
        <v>0</v>
      </c>
      <c r="T172" s="194">
        <f>IFERROR($P172*'Inputs Yr 2'!AD172,"")</f>
        <v>0</v>
      </c>
      <c r="U172" s="194">
        <f>IFERROR(G172*'Inputs Yr 2'!$AE172*'Inputs Yr 2'!$P172*'Inputs Yr 2'!$Q172,"")</f>
        <v>0</v>
      </c>
      <c r="V172" s="194">
        <f>IFERROR($G172*'Inputs Yr 2'!$AE172*'Inputs Yr 2'!$AG172*'Inputs Yr 2'!Q172*'Inputs Yr 2'!$S172,"")</f>
        <v>0</v>
      </c>
      <c r="W172" s="194">
        <f>IFERROR($G172*'Inputs Yr 2'!$AE172*'Inputs Yr 2'!$AG172*'Inputs Yr 2'!P172*'Inputs Yr 2'!Q172*'Inputs Yr 2'!$S172,"")</f>
        <v>0</v>
      </c>
      <c r="X172" s="194">
        <f>IFERROR($G172*'Inputs Yr 2'!$AE172*'Inputs Yr 2'!$AF172*'Inputs Yr 2'!Q172*'Inputs Yr 2'!$T172,"")</f>
        <v>0</v>
      </c>
      <c r="Y172" s="194">
        <f>IFERROR($G172*'Inputs Yr 2'!$AE172*'Inputs Yr 2'!$AF172*'Inputs Yr 2'!P172*'Inputs Yr 2'!Q172*'Inputs Yr 2'!$T172,"")</f>
        <v>0</v>
      </c>
      <c r="Z172" s="257">
        <f>IFERROR($G172*'Inputs Yr 2'!$Q172*'Inputs Yr 2'!$U172*(IF(IFERROR(SEARCH("NG", 'Inputs Yr 2'!$AJ172),0),'Inputs Yr 2'!$AK172,0)+IF(IFERROR(SEARCH("NG", 'Inputs Yr 2'!$AL172),0),'Inputs Yr 2'!$AM172,0)+IF(IFERROR(SEARCH("NG", 'Inputs Yr 2'!$AN172),0),'Inputs Yr 2'!$AO172,0)),0)</f>
        <v>1194.9860000000001</v>
      </c>
      <c r="AA172" s="257">
        <f t="shared" si="86"/>
        <v>23899.72</v>
      </c>
      <c r="AB172" s="257">
        <f>IFERROR(Z172*'Inputs Yr 2'!$P172,0)</f>
        <v>1098.1921340000001</v>
      </c>
      <c r="AC172" s="257">
        <f t="shared" si="87"/>
        <v>21963.842680000002</v>
      </c>
      <c r="AD172" s="257">
        <f>IFERROR($G172*'Inputs Yr 2'!$Q172*'Inputs Yr 2'!$U172*(IF(IFERROR(SEARCH("Oil", 'Inputs Yr 2'!$AJ172), 0),'Inputs Yr 2'!$AK172,0)+IF(IFERROR(SEARCH("Oil", 'Inputs Yr 2'!$AL172), 0),'Inputs Yr 2'!$AM172,0)+IF(IFERROR(SEARCH("Oil", 'Inputs Yr 2'!$AN172), 0),'Inputs Yr 2'!$AO172,0)),0)</f>
        <v>0</v>
      </c>
      <c r="AE172" s="257">
        <f t="shared" si="88"/>
        <v>0</v>
      </c>
      <c r="AF172" s="257">
        <f>IFERROR(AD172*'Inputs Yr 2'!$P172,0)</f>
        <v>0</v>
      </c>
      <c r="AG172" s="257">
        <f t="shared" si="89"/>
        <v>0</v>
      </c>
      <c r="AH172" s="257">
        <f>IFERROR($G172*'Inputs Yr 2'!$Q172*'Inputs Yr 2'!$U172*(IF('Inputs Yr 2'!$AJ172=CD$4,'Inputs Yr 2'!$AK172,IF('Inputs Yr 2'!$AL172=CD$4,'Inputs Yr 2'!$AM172,IF('Inputs Yr 2'!$AN172=CD$4,'Inputs Yr 2'!$AO172,0)))),0)</f>
        <v>0</v>
      </c>
      <c r="AI172" s="257">
        <f t="shared" si="90"/>
        <v>0</v>
      </c>
      <c r="AJ172" s="257">
        <f>IFERROR(AH172*'Inputs Yr 2'!$P172,0)</f>
        <v>0</v>
      </c>
      <c r="AK172" s="257">
        <f t="shared" si="91"/>
        <v>0</v>
      </c>
      <c r="AL172" s="258">
        <f>IFERROR($G172*'Inputs Yr 2'!$P172*'Inputs Yr 2'!$Q172*'Inputs Yr 2'!AP172,0)</f>
        <v>0</v>
      </c>
      <c r="AM172" s="260">
        <f>IFERROR($G172*'Inputs Yr 2'!$P172*'Inputs Yr 2'!$Q172*'Inputs Yr 2'!AQ172,0)</f>
        <v>0</v>
      </c>
      <c r="AN172" s="258">
        <f>IFERROR($G172*'Inputs Yr 2'!$P172*'Inputs Yr 2'!$Q172*'Inputs Yr 2'!AR172,0)</f>
        <v>0</v>
      </c>
      <c r="AO172" s="257">
        <f t="shared" si="92"/>
        <v>0</v>
      </c>
      <c r="AP172" s="195">
        <f>IFERROR($CQ172*(INDEX(avoidedcosttbl2,$H172,AP$2)+(($H172-ROUNDDOWN($H172,0))*(INDEX(avoidedcosttbl2,ROUNDUP($H172,0),AP$2)-(INDEX(avoidedcosttbl2,ROUNDDOWN($H172,0),AP$2)))))*$O172*1000*'Inputs Yr 2'!AA172,"")</f>
        <v>0</v>
      </c>
      <c r="AQ172" s="195">
        <f>IFERROR($CR172*(INDEX(avoidedcosttbl2,$H172,AQ$2)+(($H172-ROUNDDOWN($H172,0))*(INDEX(avoidedcosttbl2,ROUNDUP($H172,0),AQ$2)-(INDEX(avoidedcosttbl2,ROUNDDOWN($H172,0),AQ$2)))))*$O172*1000*'Inputs Yr 2'!AB172,"")</f>
        <v>0</v>
      </c>
      <c r="AR172" s="195">
        <f>IFERROR($CS172*(INDEX(avoidedcosttbl2,$H172,AR$2)+(($H172-ROUNDDOWN($H172,0))*(INDEX(avoidedcosttbl2,ROUNDUP($H172,0),AR$2)-(INDEX(avoidedcosttbl2,ROUNDDOWN($H172,0),AR$2)))))*$O172*1000*'Inputs Yr 2'!AC172,"")</f>
        <v>0</v>
      </c>
      <c r="AS172" s="195">
        <f>IFERROR($CT172*(INDEX(avoidedcosttbl2,$H172,AS$2)+(($H172-ROUNDDOWN($H172,0))*(INDEX(avoidedcosttbl2,ROUNDUP($H172,0),AS$2)-(INDEX(avoidedcosttbl2,ROUNDDOWN($H172,0),AS$2)))))*$O172*1000*'Inputs Yr 2'!AD172,"")</f>
        <v>0</v>
      </c>
      <c r="AT172" s="196">
        <f t="shared" si="93"/>
        <v>0</v>
      </c>
      <c r="AU172" s="197">
        <f>IFERROR($CQ172*((INDEX(avoidedcosttbl2,$H172,AU$2))+(($H172-ROUNDDOWN($H172,0))*((INDEX(avoidedcosttbl2,ROUNDUP($H172,0),AU$2))-(INDEX(avoidedcosttbl2,ROUNDDOWN($H172,0),AU$2)))))*$O172*1000*'Inputs Yr 2'!AA172,"")</f>
        <v>0</v>
      </c>
      <c r="AV172" s="197">
        <f>IFERROR($CR172*((INDEX(avoidedcosttbl2,$H172,AV$2))+(($H172-ROUNDDOWN($H172,0))*((INDEX(avoidedcosttbl2,ROUNDUP($H172,0),AV$2))-(INDEX(avoidedcosttbl2,ROUNDDOWN($H172,0),AV$2)))))*$O172*1000*'Inputs Yr 2'!AB172,"")</f>
        <v>0</v>
      </c>
      <c r="AW172" s="197">
        <f>IFERROR($CS172*((INDEX(avoidedcosttbl2,$H172,AW$2))+(($H172-ROUNDDOWN($H172,0))*((INDEX(avoidedcosttbl2,ROUNDUP($H172,0),AW$2))-(INDEX(avoidedcosttbl2,ROUNDDOWN($H172,0),AW$2)))))*$O172*1000*'Inputs Yr 2'!AC172,"")</f>
        <v>0</v>
      </c>
      <c r="AX172" s="197">
        <f>IFERROR($CT172*((INDEX(avoidedcosttbl2,$H172,AX$2))+(($H172-ROUNDDOWN($H172,0))*((INDEX(avoidedcosttbl2,ROUNDUP($H172,0),AX$2))-(INDEX(avoidedcosttbl2,ROUNDDOWN($H172,0),AX$2)))))*$O172*1000*'Inputs Yr 2'!AD172,"")</f>
        <v>0</v>
      </c>
      <c r="AY172" s="197">
        <f>IFERROR(((INDEX(avoidedcosttbl2,$H172,AY$2))+(($H172-ROUNDDOWN($H172,0))*((INDEX(avoidedcosttbl2,ROUNDUP($H172,0),AY$2))-(INDEX(avoidedcosttbl2,ROUNDDOWN($H172,0),AY$2)))))*$O172*1000*('Inputs Yr 2'!AC172+'Inputs Yr 2'!AD172),"")</f>
        <v>0</v>
      </c>
      <c r="AZ172" s="197">
        <f>IFERROR(((INDEX(avoidedcosttbl2,$H172,AZ$2))+(($H172-ROUNDDOWN($H172,0))*((INDEX(avoidedcosttbl2,ROUNDUP($H172,0),AZ$2))-(INDEX(avoidedcosttbl2,ROUNDDOWN($H172,0),AZ$2)))))*$O172*1000*('Inputs Yr 2'!AA172+'Inputs Yr 2'!AB172),"")</f>
        <v>0</v>
      </c>
      <c r="BA172" s="198">
        <f t="shared" si="94"/>
        <v>0</v>
      </c>
      <c r="BB172" s="198">
        <f t="shared" si="95"/>
        <v>0</v>
      </c>
      <c r="BC172" s="195">
        <f t="shared" si="77"/>
        <v>0</v>
      </c>
      <c r="BD172" s="195">
        <f t="shared" si="78"/>
        <v>0</v>
      </c>
      <c r="BE172" s="195">
        <f t="shared" si="79"/>
        <v>0</v>
      </c>
      <c r="BF172" s="195">
        <f t="shared" si="80"/>
        <v>0</v>
      </c>
      <c r="BG172" s="195">
        <f t="shared" si="81"/>
        <v>0</v>
      </c>
      <c r="BH172" s="196">
        <f t="shared" si="96"/>
        <v>0</v>
      </c>
      <c r="BI172" s="196">
        <f t="shared" si="97"/>
        <v>0</v>
      </c>
      <c r="BJ172" s="195">
        <f>IFERROR($G172*(IF('Inputs Yr 2'!$AJ172=BJ$4,'Inputs Yr 2'!$AK172,IF('Inputs Yr 2'!$AL172=BJ$4,'Inputs Yr 2'!$AM172,IF('Inputs Yr 2'!$AN172=BJ$4,'Inputs Yr 2'!$AO172,0))))*(INDEX(avoidedcosttbl2,$H172,BJ$2)+(($H172-ROUNDDOWN($H172,0))*(INDEX(avoidedcosttbl2,ROUNDUP($H172,0),BJ$2)-(INDEX(avoidedcosttbl2,ROUNDDOWN($H172,0),BJ$2)))))*'Inputs Yr 2'!P172*'Inputs Yr 2'!Q172*'Inputs Yr 2'!U172,"")</f>
        <v>0</v>
      </c>
      <c r="BK172" s="195">
        <f>IFERROR($G172*(IF('Inputs Yr 2'!$AJ172=BK$4,'Inputs Yr 2'!$AK172,IF('Inputs Yr 2'!$AL172=BK$4,'Inputs Yr 2'!$AM172,IF('Inputs Yr 2'!$AN172=BK$4,'Inputs Yr 2'!$AO172,0))))*(INDEX(avoidedcosttbl2,$H172,BK$2)+(($H172-ROUNDDOWN($H172,0))*(INDEX(avoidedcosttbl2,ROUNDUP($H172,0),BK$2)-(INDEX(avoidedcosttbl2,ROUNDDOWN($H172,0),BK$2)))))*'Inputs Yr 2'!P172*'Inputs Yr 2'!Q172*'Inputs Yr 2'!U172,"")</f>
        <v>0</v>
      </c>
      <c r="BL172" s="195">
        <f>IFERROR($G172*(IF('Inputs Yr 2'!$AJ172=BL$4,'Inputs Yr 2'!$AK172,IF('Inputs Yr 2'!$AL172=BL$4,'Inputs Yr 2'!$AM172,IF('Inputs Yr 2'!$AN172=BL$4,'Inputs Yr 2'!$AO172,0))))*(INDEX(avoidedcosttbl2,$H172,BL$2)+(($H172-ROUNDDOWN($H172,0))*(INDEX(avoidedcosttbl2,ROUNDUP($H172,0),BL$2)-(INDEX(avoidedcosttbl2,ROUNDDOWN($H172,0),BL$2)))))*'Inputs Yr 2'!P172*'Inputs Yr 2'!Q172*'Inputs Yr 2'!U172,"")</f>
        <v>0</v>
      </c>
      <c r="BM172" s="195">
        <f>IFERROR($G172*(IF('Inputs Yr 2'!$AJ172=BM$4,'Inputs Yr 2'!$AK172,IF('Inputs Yr 2'!$AL172=BM$4,'Inputs Yr 2'!$AM172,IF('Inputs Yr 2'!$AN172=BM$4,'Inputs Yr 2'!$AO172,0))))*(INDEX(avoidedcosttbl2,$H172,BM$2)+(($H172-ROUNDDOWN($H172,0))*(INDEX(avoidedcosttbl2,ROUNDUP($H172,0),BM$2)-(INDEX(avoidedcosttbl2,ROUNDDOWN($H172,0),BM$2)))))*'Inputs Yr 2'!P172*'Inputs Yr 2'!Q172*'Inputs Yr 2'!U172,"")</f>
        <v>0</v>
      </c>
      <c r="BN172" s="195">
        <f>IFERROR($G172*(IF('Inputs Yr 2'!$AJ172=BN$4,'Inputs Yr 2'!$AK172,IF('Inputs Yr 2'!$AL172=BN$4,'Inputs Yr 2'!$AM172,IF('Inputs Yr 2'!$AN172=BN$4,'Inputs Yr 2'!$AO172,0))))*(INDEX(avoidedcosttbl2,$H172,BN$2)+(($H172-ROUNDDOWN($H172,0))*(INDEX(avoidedcosttbl2,ROUNDUP($H172,0),BN$2)-(INDEX(avoidedcosttbl2,ROUNDDOWN($H172,0),BN$2)))))*'Inputs Yr 2'!P172*'Inputs Yr 2'!Q172*'Inputs Yr 2'!U172,"")</f>
        <v>0</v>
      </c>
      <c r="BO172" s="195">
        <f>IFERROR($G172*(IF('Inputs Yr 2'!$AJ172=BO$4,'Inputs Yr 2'!$AK172,IF('Inputs Yr 2'!$AL172=BO$4,'Inputs Yr 2'!$AM172,IF('Inputs Yr 2'!$AN172=BO$4,'Inputs Yr 2'!$AO172,0))))*(INDEX(avoidedcosttbl2,$H172,BO$2)+(($H172-ROUNDDOWN($H172,0))*(INDEX(avoidedcosttbl2,ROUNDUP($H172,0),BO$2)-(INDEX(avoidedcosttbl2,ROUNDDOWN($H172,0),BO$2)))))*'Inputs Yr 2'!P172*'Inputs Yr 2'!Q172*'Inputs Yr 2'!U172,"")</f>
        <v>0</v>
      </c>
      <c r="BP172" s="195">
        <f>IFERROR($G172*(IF('Inputs Yr 2'!$AJ172=BP$4,'Inputs Yr 2'!$AK172,IF('Inputs Yr 2'!$AL172=BP$4,'Inputs Yr 2'!$AM172,IF('Inputs Yr 2'!$AN172=BP$4,'Inputs Yr 2'!$AO172,0))))*(INDEX(avoidedcosttbl2,$H172,BP$2)+(($H172-ROUNDDOWN($H172,0))*(INDEX(avoidedcosttbl2,ROUNDUP($H172,0),BP$2)-(INDEX(avoidedcosttbl2,ROUNDDOWN($H172,0),BP$2)))))*'Inputs Yr 2'!P172*'Inputs Yr 2'!Q172*'Inputs Yr 2'!U172,"")</f>
        <v>170067.46426862988</v>
      </c>
      <c r="BQ172" s="230">
        <f t="shared" si="98"/>
        <v>170067.46426862988</v>
      </c>
      <c r="BR172" s="197">
        <f t="shared" si="82"/>
        <v>2944.9381765445387</v>
      </c>
      <c r="BS172" s="197">
        <f>IFERROR(($G172*IF('Inputs Yr 2'!$AJ172=BM$4,'Inputs Yr 2'!$AK172,IF('Inputs Yr 2'!$AL172=BM$4,'Inputs Yr 2'!$AM172,IF('Inputs Yr 2'!$AN172=BM$4,'Inputs Yr 2'!$AO172,0))))*(INDEX(avoidedcosttbl2,$H172,BS$2)+(($H172-ROUNDDOWN($H172,0))*(INDEX(avoidedcosttbl2,ROUNDUP($H172,0),BS$2)-(INDEX(avoidedcosttbl2,ROUNDDOWN($H172,0),BS$2)))))*'Inputs Yr 2'!P172*'Inputs Yr 2'!Q172*'Inputs Yr 2'!U172,"")</f>
        <v>0</v>
      </c>
      <c r="BT172" s="197">
        <f>IFERROR(($G172*IF('Inputs Yr 2'!$AJ172=BK$4,'Inputs Yr 2'!$AK172,IF('Inputs Yr 2'!$AL172=BK$4,'Inputs Yr 2'!$AM172,IF('Inputs Yr 2'!$AN172=BK$4,'Inputs Yr 2'!$AO172,0))))*(INDEX(avoidedcosttbl2,$H172,BT$2)+(($H172-ROUNDDOWN($H172,0))*(INDEX(avoidedcosttbl2,ROUNDUP($H172,0),BT$2)-(INDEX(avoidedcosttbl2,ROUNDDOWN($H172,0),BT$2)))))*'Inputs Yr 2'!P172*'Inputs Yr 2'!Q172*'Inputs Yr 2'!U172,"")</f>
        <v>0</v>
      </c>
      <c r="BU172" s="197">
        <f>IFERROR(($G172*IF('Inputs Yr 2'!$AJ172=BL$4,'Inputs Yr 2'!$AK172,IF('Inputs Yr 2'!$AL172=BL$4,'Inputs Yr 2'!$AM172,IF('Inputs Yr 2'!$AN172=BL$4,'Inputs Yr 2'!$AO172,0))))*(INDEX(avoidedcosttbl2,$H172,BU$2)+(($H172-ROUNDDOWN($H172,0))*(INDEX(avoidedcosttbl2,ROUNDUP($H172,0),BU$2)-(INDEX(avoidedcosttbl2,ROUNDDOWN($H172,0),BU$2)))))*'Inputs Yr 2'!P172*'Inputs Yr 2'!Q172*'Inputs Yr 2'!U172,"")</f>
        <v>0</v>
      </c>
      <c r="BV172" s="775">
        <f>IFERROR(($G172*IF('Inputs Yr 2'!$AJ172=BJ$4,'Inputs Yr 2'!$AK172,IF('Inputs Yr 2'!$AL172=BJ$4,'Inputs Yr 2'!$AM172,IF('Inputs Yr 2'!$AN172=BJ$4,'Inputs Yr 2'!$AO172,0))))*(INDEX(avoidedcosttbl2,$H172,BV$2)+(($H172-ROUNDDOWN($H172,0))*(INDEX(avoidedcosttbl2,ROUNDUP($H172,0),BV$2)-(INDEX(avoidedcosttbl2,ROUNDDOWN($H172,0),BV$2)))))*'Inputs Yr 2'!P172*'Inputs Yr 2'!Q172*'Inputs Yr 2'!U172,"")</f>
        <v>0</v>
      </c>
      <c r="BW172" s="197">
        <f>IFERROR(($G172*IF('Inputs Yr 2'!$AJ172=BN$4,'Inputs Yr 2'!$AK172,IF('Inputs Yr 2'!$AL172=BN$4,'Inputs Yr 2'!$AM172,IF('Inputs Yr 2'!$AN172=BN$4,'Inputs Yr 2'!$AO172,0))))*(INDEX(avoidedcosttbl2,$H172,BW$2)+(($H172-ROUNDDOWN($H172,0))*(INDEX(avoidedcosttbl2,ROUNDUP($H172,0),BW$2)-(INDEX(avoidedcosttbl2,ROUNDDOWN($H172,0),BW$2)))))*'Inputs Yr 2'!P172*'Inputs Yr 2'!Q172*'Inputs Yr 2'!U172,"")</f>
        <v>0</v>
      </c>
      <c r="BX172" s="197">
        <f>IFERROR(($G172*IF('Inputs Yr 2'!$AJ172=BO$4,'Inputs Yr 2'!$AK172,IF('Inputs Yr 2'!$AL172=BO$4,'Inputs Yr 2'!$AM172,IF('Inputs Yr 2'!$AN172=BO$4,'Inputs Yr 2'!$AO172,0))))*(INDEX(avoidedcosttbl2,$H172,BX$2)+(($H172-ROUNDDOWN($H172,0))*(INDEX(avoidedcosttbl2,ROUNDUP($H172,0),BX$2)-(INDEX(avoidedcosttbl2,ROUNDDOWN($H172,0),BX$2)))))*'Inputs Yr 2'!P172*'Inputs Yr 2'!Q172*'Inputs Yr 2'!U172,"")</f>
        <v>0</v>
      </c>
      <c r="BY172" s="197">
        <f>IFERROR(($G172*IF('Inputs Yr 2'!$AJ172=BP$4,'Inputs Yr 2'!$AK172,IF('Inputs Yr 2'!$AL172=BP$4,'Inputs Yr 2'!$AM172,IF('Inputs Yr 2'!$AN172=BP$4,'Inputs Yr 2'!$AO172,0))))*(INDEX(avoidedcosttbl2,$H172,BY$2)+(($H172-ROUNDDOWN($H172,0))*(INDEX(avoidedcosttbl2,ROUNDUP($H172,0),BY$2)-(INDEX(avoidedcosttbl2,ROUNDDOWN($H172,0),BY$2)))))*'Inputs Yr 2'!P172*'Inputs Yr 2'!Q172*'Inputs Yr 2'!U172,"")</f>
        <v>10273.15654356648</v>
      </c>
      <c r="BZ172" s="193">
        <f t="shared" si="99"/>
        <v>13218.094720111018</v>
      </c>
      <c r="CA172" s="193">
        <f t="shared" si="100"/>
        <v>183285.5589887409</v>
      </c>
      <c r="CB172" s="195">
        <f>IFERROR(G172*(IF('Inputs Yr 2'!$AJ172=CB$4,'Inputs Yr 2'!$AK172,IF('Inputs Yr 2'!$AL172=CB$4,'Inputs Yr 2'!$AM172,IF('Inputs Yr 2'!$AN172=CB$4,'Inputs Yr 2'!$AO172,0))))*(INDEX(avoidedcosttbl2,$H172,CB$2)+(($H172-ROUNDDOWN($H172,0))*(INDEX(avoidedcosttbl2,ROUNDUP($H172,0),CB$2)-(INDEX(avoidedcosttbl2,ROUNDDOWN($H172,0),CB$2)))))*'Inputs Yr 2'!P172*'Inputs Yr 2'!Q172*'Inputs Yr 2'!U172,"")</f>
        <v>0</v>
      </c>
      <c r="CC172" s="195">
        <f>IFERROR(H172*(IF('Inputs Yr 2'!$AJ172=CC$4,'Inputs Yr 2'!$AK172,IF('Inputs Yr 2'!$AL172=CC$4,'Inputs Yr 2'!$AM172,IF('Inputs Yr 2'!$AN172=CC$4,'Inputs Yr 2'!$AO172,0))))*(INDEX(avoidedcosttbl2,$H172,CC$2)+(($H172-ROUNDDOWN($H172,0))*(INDEX(avoidedcosttbl2,ROUNDUP($H172,0),CC$2)-(INDEX(avoidedcosttbl2,ROUNDDOWN($H172,0),CC$2)))))*'Inputs Yr 2'!Q172*'Inputs Yr 2'!R172*'Inputs Yr 2'!V172,"")</f>
        <v>0</v>
      </c>
      <c r="CD172" s="195">
        <f>IFERROR(I172*(IF('Inputs Yr 2'!$AJ172=CD$4,'Inputs Yr 2'!$AK172,IF('Inputs Yr 2'!$AL172=CD$4,'Inputs Yr 2'!$AM172,IF('Inputs Yr 2'!$AN172=CD$4,'Inputs Yr 2'!$AO172,0))))*(INDEX(avoidedcosttbl2,$H172,CD$2)+(($H172-ROUNDDOWN($H172,0))*(INDEX(avoidedcosttbl2,ROUNDUP($H172,0),CD$2)-(INDEX(avoidedcosttbl2,ROUNDDOWN($H172,0),CD$2)))))*'Inputs Yr 2'!R172*'Inputs Yr 2'!S172*'Inputs Yr 2'!W172,"")</f>
        <v>0</v>
      </c>
      <c r="CE172" s="213">
        <f t="shared" si="101"/>
        <v>0</v>
      </c>
      <c r="CF172" s="213">
        <f t="shared" si="102"/>
        <v>0</v>
      </c>
      <c r="CG172" s="213">
        <f t="shared" si="103"/>
        <v>0</v>
      </c>
      <c r="CH172" s="698">
        <f t="shared" si="104"/>
        <v>183285.5589887409</v>
      </c>
      <c r="CI172" s="79">
        <f>IFERROR(($G172*'Inputs Yr 2'!$P172*'Inputs Yr 2'!$Q172*(((INDEX(avoidedcosttbl2,$H172,CI$2)+(($H172-ROUNDDOWN($H172,0))*(INDEX(avoidedcosttbl2,ROUNDUP($H172,0),CI$2)-INDEX(avoidedcosttbl2,ROUNDDOWN($H172,0),CI$2))))*'Inputs Yr 2'!AS172))),"")</f>
        <v>0</v>
      </c>
      <c r="CJ172" s="504">
        <f>IFERROR($G172*'Inputs Yr 2'!AT172*'Inputs Yr 2'!$P172*'Inputs Yr 2'!$Q172/((1+realdiscrt1)^-0.5),"")</f>
        <v>0</v>
      </c>
      <c r="CK172" s="79">
        <f>IFERROR((O172*1000*(((INDEX(avoidedcosttbl2,$H172,CK$2)+(($H172-ROUNDDOWN($H172,0))*(INDEX(avoidedcosttbl2,ROUNDUP($H172,0),CK$2)-INDEX(avoidedcosttbl2,ROUNDDOWN($H172,0),CK$2))))*'Inputs Yr 2'!AU172))),"")</f>
        <v>0</v>
      </c>
      <c r="CL172" s="504">
        <f>IFERROR(O172*1000*'Inputs Yr 2'!AV172/((1+realdiscrt1)^-0.5),"")</f>
        <v>0</v>
      </c>
      <c r="CM172" s="79">
        <f>IFERROR((AB172*'Inputs Yr 2'!AW172*(((INDEX(avoidedcosttbl2,$H172,CM$2)+(($H172-ROUNDDOWN($H172,0))*(INDEX(avoidedcosttbl2,ROUNDUP($H172,0),CM$2)-INDEX(avoidedcosttbl2,ROUNDDOWN($H172,0),CM$2)))))))*10,"")</f>
        <v>-6308.145459039707</v>
      </c>
      <c r="CN172" s="504">
        <f>IFERROR(10*AB172*'Inputs Yr 2'!AX172/((1+realdiscrt1)^-0.5),"")</f>
        <v>0</v>
      </c>
      <c r="CO172" s="505">
        <f t="shared" si="105"/>
        <v>-6308.145459039707</v>
      </c>
      <c r="CP172" s="230">
        <f t="shared" si="106"/>
        <v>176977.41352970118</v>
      </c>
      <c r="CQ172" s="199">
        <f>ROUND(IFERROR(IF(LEFT($A172,1)="C",'Avoided Costs'!$K$13,'Avoided Costs'!$K$12)+1,""),4)</f>
        <v>1.0720000000000001</v>
      </c>
      <c r="CR172" s="199">
        <f>ROUND(IFERROR(IF(LEFT($A172,1)="C",'Avoided Costs'!$L$13,'Avoided Costs'!$L$12)+1,""),4)</f>
        <v>1.04</v>
      </c>
      <c r="CS172" s="199">
        <f>ROUND(IFERROR(IF(LEFT($A172,1)="C",'Avoided Costs'!$M$13,'Avoided Costs'!$M$12)+1,""),4)</f>
        <v>1.0720000000000001</v>
      </c>
      <c r="CT172" s="199">
        <f>ROUND(IFERROR(IF(LEFT($A172,1)="C",'Avoided Costs'!$N$13,'Avoided Costs'!$N$12)+1,""),4)</f>
        <v>1.04</v>
      </c>
      <c r="CU172" s="199">
        <f>ROUND(IFERROR(IF(LEFT($A172,1)="C",'Avoided Costs'!$O$13,'Avoided Costs'!$O$12)+1,""),4)</f>
        <v>1.1120000000000001</v>
      </c>
      <c r="CV172" s="199">
        <f>ROUND(IFERROR(IF(LEFT($A172,1)="C",'Avoided Costs'!$P$13,'Avoided Costs'!$P$12)+1,""),4)</f>
        <v>1.095</v>
      </c>
      <c r="CW172" s="199">
        <f>ROUND(IFERROR(IF(LEFT($A172,1)="C",'Avoided Costs'!$Q$13,'Avoided Costs'!$Q$12)+1,""),4)</f>
        <v>1.1120000000000001</v>
      </c>
      <c r="CX172" s="200">
        <f>ROUND(IFERROR(IF(LEFT($A172,1)="C",'Avoided Costs'!$R$13,'Avoided Costs'!$R$12)+1,""),4)</f>
        <v>1.1120000000000001</v>
      </c>
    </row>
    <row r="173" spans="1:102" ht="12.75" customHeight="1">
      <c r="A173" s="91" t="str">
        <f>IF('Inputs Yr 2'!$B173=0,"",'Inputs Yr 2'!A173)</f>
        <v>C - Commercial &amp; Industrial</v>
      </c>
      <c r="B173" s="91" t="str">
        <f>IF('Inputs Yr 2'!$B173=0,"",'Inputs Yr 2'!B173)</f>
        <v>C1 - C&amp;I New Construction</v>
      </c>
      <c r="C173" s="91" t="str">
        <f>IF('Inputs Yr 2'!$B173=0,"",'Inputs Yr 2'!C173)</f>
        <v>C1a - C&amp;I New Buildings &amp; Major Renovations</v>
      </c>
      <c r="D173" s="91" t="str">
        <f>IF('Inputs Yr 2'!$B173=0,"",'Inputs Yr 2'!E173)</f>
        <v>Other - Codes and Standards</v>
      </c>
      <c r="E173" s="93" t="str">
        <f>IF('Inputs Yr 2'!$B173=0,"",'Inputs Yr 2'!F173)</f>
        <v>G16C1a17</v>
      </c>
      <c r="F173" s="93" t="str">
        <f>IF('Inputs Yr 2'!$B173=0,"",'Inputs Yr 2'!G173)</f>
        <v>Custom Measures</v>
      </c>
      <c r="G173" s="95">
        <f>IF('Inputs Yr 2'!$H173&lt;&gt;0,('Inputs Yr 2'!H173),"")</f>
        <v>1</v>
      </c>
      <c r="H173" s="94">
        <f>IFERROR('Inputs Yr 2'!I173,"")</f>
        <v>20</v>
      </c>
      <c r="I173" s="298">
        <f>IFERROR('Inputs Yr 2'!J173*'Inputs Yr 2'!P173*G173,"")</f>
        <v>0</v>
      </c>
      <c r="J173" s="298">
        <f>IFERROR('Inputs Yr 2'!K173*G173,"")</f>
        <v>0</v>
      </c>
      <c r="K173" s="298">
        <f t="shared" si="83"/>
        <v>0</v>
      </c>
      <c r="L173" s="194">
        <f>IFERROR(('Inputs Yr 2'!W173*G173)/1000,"")</f>
        <v>0</v>
      </c>
      <c r="M173" s="194">
        <f>IFERROR(L173*('Inputs Yr 2'!$Q173*'Inputs Yr 2'!$V173*'Inputs Yr 2'!$R173),"")</f>
        <v>0</v>
      </c>
      <c r="N173" s="194">
        <f t="shared" si="84"/>
        <v>0</v>
      </c>
      <c r="O173" s="194">
        <f>IFERROR(M173*'Inputs Yr 2'!P173,"")</f>
        <v>0</v>
      </c>
      <c r="P173" s="194">
        <f t="shared" si="85"/>
        <v>0</v>
      </c>
      <c r="Q173" s="194">
        <f>IFERROR($P173*'Inputs Yr 2'!AA173,"")</f>
        <v>0</v>
      </c>
      <c r="R173" s="194">
        <f>IFERROR($P173*'Inputs Yr 2'!AB173,"")</f>
        <v>0</v>
      </c>
      <c r="S173" s="194">
        <f>IFERROR($P173*'Inputs Yr 2'!AC173,"")</f>
        <v>0</v>
      </c>
      <c r="T173" s="194">
        <f>IFERROR($P173*'Inputs Yr 2'!AD173,"")</f>
        <v>0</v>
      </c>
      <c r="U173" s="194">
        <f>IFERROR(G173*'Inputs Yr 2'!$AE173*'Inputs Yr 2'!$P173*'Inputs Yr 2'!$Q173,"")</f>
        <v>0</v>
      </c>
      <c r="V173" s="194">
        <f>IFERROR($G173*'Inputs Yr 2'!$AE173*'Inputs Yr 2'!$AG173*'Inputs Yr 2'!Q173*'Inputs Yr 2'!$S173,"")</f>
        <v>0</v>
      </c>
      <c r="W173" s="194">
        <f>IFERROR($G173*'Inputs Yr 2'!$AE173*'Inputs Yr 2'!$AG173*'Inputs Yr 2'!P173*'Inputs Yr 2'!Q173*'Inputs Yr 2'!$S173,"")</f>
        <v>0</v>
      </c>
      <c r="X173" s="194">
        <f>IFERROR($G173*'Inputs Yr 2'!$AE173*'Inputs Yr 2'!$AF173*'Inputs Yr 2'!Q173*'Inputs Yr 2'!$T173,"")</f>
        <v>0</v>
      </c>
      <c r="Y173" s="194">
        <f>IFERROR($G173*'Inputs Yr 2'!$AE173*'Inputs Yr 2'!$AF173*'Inputs Yr 2'!P173*'Inputs Yr 2'!Q173*'Inputs Yr 2'!$T173,"")</f>
        <v>0</v>
      </c>
      <c r="Z173" s="257">
        <f>IFERROR($G173*'Inputs Yr 2'!$Q173*'Inputs Yr 2'!$U173*(IF(IFERROR(SEARCH("NG", 'Inputs Yr 2'!$AJ173),0),'Inputs Yr 2'!$AK173,0)+IF(IFERROR(SEARCH("NG", 'Inputs Yr 2'!$AL173),0),'Inputs Yr 2'!$AM173,0)+IF(IFERROR(SEARCH("NG", 'Inputs Yr 2'!$AN173),0),'Inputs Yr 2'!$AO173,0)),0)</f>
        <v>3123.3</v>
      </c>
      <c r="AA173" s="257">
        <f t="shared" si="86"/>
        <v>62466</v>
      </c>
      <c r="AB173" s="257">
        <f>IFERROR(Z173*'Inputs Yr 2'!$P173,0)</f>
        <v>3123.3</v>
      </c>
      <c r="AC173" s="257">
        <f t="shared" si="87"/>
        <v>62466</v>
      </c>
      <c r="AD173" s="257">
        <f>IFERROR($G173*'Inputs Yr 2'!$Q173*'Inputs Yr 2'!$U173*(IF(IFERROR(SEARCH("Oil", 'Inputs Yr 2'!$AJ173), 0),'Inputs Yr 2'!$AK173,0)+IF(IFERROR(SEARCH("Oil", 'Inputs Yr 2'!$AL173), 0),'Inputs Yr 2'!$AM173,0)+IF(IFERROR(SEARCH("Oil", 'Inputs Yr 2'!$AN173), 0),'Inputs Yr 2'!$AO173,0)),0)</f>
        <v>0</v>
      </c>
      <c r="AE173" s="257">
        <f t="shared" si="88"/>
        <v>0</v>
      </c>
      <c r="AF173" s="257">
        <f>IFERROR(AD173*'Inputs Yr 2'!$P173,0)</f>
        <v>0</v>
      </c>
      <c r="AG173" s="257">
        <f t="shared" si="89"/>
        <v>0</v>
      </c>
      <c r="AH173" s="257">
        <f>IFERROR($G173*'Inputs Yr 2'!$Q173*'Inputs Yr 2'!$U173*(IF('Inputs Yr 2'!$AJ173=CD$4,'Inputs Yr 2'!$AK173,IF('Inputs Yr 2'!$AL173=CD$4,'Inputs Yr 2'!$AM173,IF('Inputs Yr 2'!$AN173=CD$4,'Inputs Yr 2'!$AO173,0)))),0)</f>
        <v>0</v>
      </c>
      <c r="AI173" s="257">
        <f t="shared" si="90"/>
        <v>0</v>
      </c>
      <c r="AJ173" s="257">
        <f>IFERROR(AH173*'Inputs Yr 2'!$P173,0)</f>
        <v>0</v>
      </c>
      <c r="AK173" s="257">
        <f t="shared" si="91"/>
        <v>0</v>
      </c>
      <c r="AL173" s="258">
        <f>IFERROR($G173*'Inputs Yr 2'!$P173*'Inputs Yr 2'!$Q173*'Inputs Yr 2'!AP173,0)</f>
        <v>0</v>
      </c>
      <c r="AM173" s="260">
        <f>IFERROR($G173*'Inputs Yr 2'!$P173*'Inputs Yr 2'!$Q173*'Inputs Yr 2'!AQ173,0)</f>
        <v>0</v>
      </c>
      <c r="AN173" s="258">
        <f>IFERROR($G173*'Inputs Yr 2'!$P173*'Inputs Yr 2'!$Q173*'Inputs Yr 2'!AR173,0)</f>
        <v>0</v>
      </c>
      <c r="AO173" s="257">
        <f t="shared" si="92"/>
        <v>0</v>
      </c>
      <c r="AP173" s="195">
        <f>IFERROR($CQ173*(INDEX(avoidedcosttbl2,$H173,AP$2)+(($H173-ROUNDDOWN($H173,0))*(INDEX(avoidedcosttbl2,ROUNDUP($H173,0),AP$2)-(INDEX(avoidedcosttbl2,ROUNDDOWN($H173,0),AP$2)))))*$O173*1000*'Inputs Yr 2'!AA173,"")</f>
        <v>0</v>
      </c>
      <c r="AQ173" s="195">
        <f>IFERROR($CR173*(INDEX(avoidedcosttbl2,$H173,AQ$2)+(($H173-ROUNDDOWN($H173,0))*(INDEX(avoidedcosttbl2,ROUNDUP($H173,0),AQ$2)-(INDEX(avoidedcosttbl2,ROUNDDOWN($H173,0),AQ$2)))))*$O173*1000*'Inputs Yr 2'!AB173,"")</f>
        <v>0</v>
      </c>
      <c r="AR173" s="195">
        <f>IFERROR($CS173*(INDEX(avoidedcosttbl2,$H173,AR$2)+(($H173-ROUNDDOWN($H173,0))*(INDEX(avoidedcosttbl2,ROUNDUP($H173,0),AR$2)-(INDEX(avoidedcosttbl2,ROUNDDOWN($H173,0),AR$2)))))*$O173*1000*'Inputs Yr 2'!AC173,"")</f>
        <v>0</v>
      </c>
      <c r="AS173" s="195">
        <f>IFERROR($CT173*(INDEX(avoidedcosttbl2,$H173,AS$2)+(($H173-ROUNDDOWN($H173,0))*(INDEX(avoidedcosttbl2,ROUNDUP($H173,0),AS$2)-(INDEX(avoidedcosttbl2,ROUNDDOWN($H173,0),AS$2)))))*$O173*1000*'Inputs Yr 2'!AD173,"")</f>
        <v>0</v>
      </c>
      <c r="AT173" s="196">
        <f t="shared" si="93"/>
        <v>0</v>
      </c>
      <c r="AU173" s="197">
        <f>IFERROR($CQ173*((INDEX(avoidedcosttbl2,$H173,AU$2))+(($H173-ROUNDDOWN($H173,0))*((INDEX(avoidedcosttbl2,ROUNDUP($H173,0),AU$2))-(INDEX(avoidedcosttbl2,ROUNDDOWN($H173,0),AU$2)))))*$O173*1000*'Inputs Yr 2'!AA173,"")</f>
        <v>0</v>
      </c>
      <c r="AV173" s="197">
        <f>IFERROR($CR173*((INDEX(avoidedcosttbl2,$H173,AV$2))+(($H173-ROUNDDOWN($H173,0))*((INDEX(avoidedcosttbl2,ROUNDUP($H173,0),AV$2))-(INDEX(avoidedcosttbl2,ROUNDDOWN($H173,0),AV$2)))))*$O173*1000*'Inputs Yr 2'!AB173,"")</f>
        <v>0</v>
      </c>
      <c r="AW173" s="197">
        <f>IFERROR($CS173*((INDEX(avoidedcosttbl2,$H173,AW$2))+(($H173-ROUNDDOWN($H173,0))*((INDEX(avoidedcosttbl2,ROUNDUP($H173,0),AW$2))-(INDEX(avoidedcosttbl2,ROUNDDOWN($H173,0),AW$2)))))*$O173*1000*'Inputs Yr 2'!AC173,"")</f>
        <v>0</v>
      </c>
      <c r="AX173" s="197">
        <f>IFERROR($CT173*((INDEX(avoidedcosttbl2,$H173,AX$2))+(($H173-ROUNDDOWN($H173,0))*((INDEX(avoidedcosttbl2,ROUNDUP($H173,0),AX$2))-(INDEX(avoidedcosttbl2,ROUNDDOWN($H173,0),AX$2)))))*$O173*1000*'Inputs Yr 2'!AD173,"")</f>
        <v>0</v>
      </c>
      <c r="AY173" s="197">
        <f>IFERROR(((INDEX(avoidedcosttbl2,$H173,AY$2))+(($H173-ROUNDDOWN($H173,0))*((INDEX(avoidedcosttbl2,ROUNDUP($H173,0),AY$2))-(INDEX(avoidedcosttbl2,ROUNDDOWN($H173,0),AY$2)))))*$O173*1000*('Inputs Yr 2'!AC173+'Inputs Yr 2'!AD173),"")</f>
        <v>0</v>
      </c>
      <c r="AZ173" s="197">
        <f>IFERROR(((INDEX(avoidedcosttbl2,$H173,AZ$2))+(($H173-ROUNDDOWN($H173,0))*((INDEX(avoidedcosttbl2,ROUNDUP($H173,0),AZ$2))-(INDEX(avoidedcosttbl2,ROUNDDOWN($H173,0),AZ$2)))))*$O173*1000*('Inputs Yr 2'!AA173+'Inputs Yr 2'!AB173),"")</f>
        <v>0</v>
      </c>
      <c r="BA173" s="198">
        <f t="shared" si="94"/>
        <v>0</v>
      </c>
      <c r="BB173" s="198">
        <f t="shared" si="95"/>
        <v>0</v>
      </c>
      <c r="BC173" s="195">
        <f t="shared" si="77"/>
        <v>0</v>
      </c>
      <c r="BD173" s="195">
        <f t="shared" si="78"/>
        <v>0</v>
      </c>
      <c r="BE173" s="195">
        <f t="shared" si="79"/>
        <v>0</v>
      </c>
      <c r="BF173" s="195">
        <f t="shared" si="80"/>
        <v>0</v>
      </c>
      <c r="BG173" s="195">
        <f t="shared" si="81"/>
        <v>0</v>
      </c>
      <c r="BH173" s="196">
        <f t="shared" si="96"/>
        <v>0</v>
      </c>
      <c r="BI173" s="196">
        <f t="shared" si="97"/>
        <v>0</v>
      </c>
      <c r="BJ173" s="195">
        <f>IFERROR($G173*(IF('Inputs Yr 2'!$AJ173=BJ$4,'Inputs Yr 2'!$AK173,IF('Inputs Yr 2'!$AL173=BJ$4,'Inputs Yr 2'!$AM173,IF('Inputs Yr 2'!$AN173=BJ$4,'Inputs Yr 2'!$AO173,0))))*(INDEX(avoidedcosttbl2,$H173,BJ$2)+(($H173-ROUNDDOWN($H173,0))*(INDEX(avoidedcosttbl2,ROUNDUP($H173,0),BJ$2)-(INDEX(avoidedcosttbl2,ROUNDDOWN($H173,0),BJ$2)))))*'Inputs Yr 2'!P173*'Inputs Yr 2'!Q173*'Inputs Yr 2'!U173,"")</f>
        <v>0</v>
      </c>
      <c r="BK173" s="195">
        <f>IFERROR($G173*(IF('Inputs Yr 2'!$AJ173=BK$4,'Inputs Yr 2'!$AK173,IF('Inputs Yr 2'!$AL173=BK$4,'Inputs Yr 2'!$AM173,IF('Inputs Yr 2'!$AN173=BK$4,'Inputs Yr 2'!$AO173,0))))*(INDEX(avoidedcosttbl2,$H173,BK$2)+(($H173-ROUNDDOWN($H173,0))*(INDEX(avoidedcosttbl2,ROUNDUP($H173,0),BK$2)-(INDEX(avoidedcosttbl2,ROUNDDOWN($H173,0),BK$2)))))*'Inputs Yr 2'!P173*'Inputs Yr 2'!Q173*'Inputs Yr 2'!U173,"")</f>
        <v>0</v>
      </c>
      <c r="BL173" s="195">
        <f>IFERROR($G173*(IF('Inputs Yr 2'!$AJ173=BL$4,'Inputs Yr 2'!$AK173,IF('Inputs Yr 2'!$AL173=BL$4,'Inputs Yr 2'!$AM173,IF('Inputs Yr 2'!$AN173=BL$4,'Inputs Yr 2'!$AO173,0))))*(INDEX(avoidedcosttbl2,$H173,BL$2)+(($H173-ROUNDDOWN($H173,0))*(INDEX(avoidedcosttbl2,ROUNDUP($H173,0),BL$2)-(INDEX(avoidedcosttbl2,ROUNDDOWN($H173,0),BL$2)))))*'Inputs Yr 2'!P173*'Inputs Yr 2'!Q173*'Inputs Yr 2'!U173,"")</f>
        <v>0</v>
      </c>
      <c r="BM173" s="195">
        <f>IFERROR($G173*(IF('Inputs Yr 2'!$AJ173=BM$4,'Inputs Yr 2'!$AK173,IF('Inputs Yr 2'!$AL173=BM$4,'Inputs Yr 2'!$AM173,IF('Inputs Yr 2'!$AN173=BM$4,'Inputs Yr 2'!$AO173,0))))*(INDEX(avoidedcosttbl2,$H173,BM$2)+(($H173-ROUNDDOWN($H173,0))*(INDEX(avoidedcosttbl2,ROUNDUP($H173,0),BM$2)-(INDEX(avoidedcosttbl2,ROUNDDOWN($H173,0),BM$2)))))*'Inputs Yr 2'!P173*'Inputs Yr 2'!Q173*'Inputs Yr 2'!U173,"")</f>
        <v>0</v>
      </c>
      <c r="BN173" s="195">
        <f>IFERROR($G173*(IF('Inputs Yr 2'!$AJ173=BN$4,'Inputs Yr 2'!$AK173,IF('Inputs Yr 2'!$AL173=BN$4,'Inputs Yr 2'!$AM173,IF('Inputs Yr 2'!$AN173=BN$4,'Inputs Yr 2'!$AO173,0))))*(INDEX(avoidedcosttbl2,$H173,BN$2)+(($H173-ROUNDDOWN($H173,0))*(INDEX(avoidedcosttbl2,ROUNDUP($H173,0),BN$2)-(INDEX(avoidedcosttbl2,ROUNDDOWN($H173,0),BN$2)))))*'Inputs Yr 2'!P173*'Inputs Yr 2'!Q173*'Inputs Yr 2'!U173,"")</f>
        <v>0</v>
      </c>
      <c r="BO173" s="195">
        <f>IFERROR($G173*(IF('Inputs Yr 2'!$AJ173=BO$4,'Inputs Yr 2'!$AK173,IF('Inputs Yr 2'!$AL173=BO$4,'Inputs Yr 2'!$AM173,IF('Inputs Yr 2'!$AN173=BO$4,'Inputs Yr 2'!$AO173,0))))*(INDEX(avoidedcosttbl2,$H173,BO$2)+(($H173-ROUNDDOWN($H173,0))*(INDEX(avoidedcosttbl2,ROUNDUP($H173,0),BO$2)-(INDEX(avoidedcosttbl2,ROUNDDOWN($H173,0),BO$2)))))*'Inputs Yr 2'!P173*'Inputs Yr 2'!Q173*'Inputs Yr 2'!U173,"")</f>
        <v>502339.75116030837</v>
      </c>
      <c r="BP173" s="195">
        <f>IFERROR($G173*(IF('Inputs Yr 2'!$AJ173=BP$4,'Inputs Yr 2'!$AK173,IF('Inputs Yr 2'!$AL173=BP$4,'Inputs Yr 2'!$AM173,IF('Inputs Yr 2'!$AN173=BP$4,'Inputs Yr 2'!$AO173,0))))*(INDEX(avoidedcosttbl2,$H173,BP$2)+(($H173-ROUNDDOWN($H173,0))*(INDEX(avoidedcosttbl2,ROUNDUP($H173,0),BP$2)-(INDEX(avoidedcosttbl2,ROUNDDOWN($H173,0),BP$2)))))*'Inputs Yr 2'!P173*'Inputs Yr 2'!Q173*'Inputs Yr 2'!U173,"")</f>
        <v>0</v>
      </c>
      <c r="BQ173" s="230">
        <f t="shared" si="98"/>
        <v>502339.75116030837</v>
      </c>
      <c r="BR173" s="197">
        <f t="shared" si="82"/>
        <v>8375.5156516187144</v>
      </c>
      <c r="BS173" s="197">
        <f>IFERROR(($G173*IF('Inputs Yr 2'!$AJ173=BM$4,'Inputs Yr 2'!$AK173,IF('Inputs Yr 2'!$AL173=BM$4,'Inputs Yr 2'!$AM173,IF('Inputs Yr 2'!$AN173=BM$4,'Inputs Yr 2'!$AO173,0))))*(INDEX(avoidedcosttbl2,$H173,BS$2)+(($H173-ROUNDDOWN($H173,0))*(INDEX(avoidedcosttbl2,ROUNDUP($H173,0),BS$2)-(INDEX(avoidedcosttbl2,ROUNDDOWN($H173,0),BS$2)))))*'Inputs Yr 2'!P173*'Inputs Yr 2'!Q173*'Inputs Yr 2'!U173,"")</f>
        <v>0</v>
      </c>
      <c r="BT173" s="197">
        <f>IFERROR(($G173*IF('Inputs Yr 2'!$AJ173=BK$4,'Inputs Yr 2'!$AK173,IF('Inputs Yr 2'!$AL173=BK$4,'Inputs Yr 2'!$AM173,IF('Inputs Yr 2'!$AN173=BK$4,'Inputs Yr 2'!$AO173,0))))*(INDEX(avoidedcosttbl2,$H173,BT$2)+(($H173-ROUNDDOWN($H173,0))*(INDEX(avoidedcosttbl2,ROUNDUP($H173,0),BT$2)-(INDEX(avoidedcosttbl2,ROUNDDOWN($H173,0),BT$2)))))*'Inputs Yr 2'!P173*'Inputs Yr 2'!Q173*'Inputs Yr 2'!U173,"")</f>
        <v>0</v>
      </c>
      <c r="BU173" s="197">
        <f>IFERROR(($G173*IF('Inputs Yr 2'!$AJ173=BL$4,'Inputs Yr 2'!$AK173,IF('Inputs Yr 2'!$AL173=BL$4,'Inputs Yr 2'!$AM173,IF('Inputs Yr 2'!$AN173=BL$4,'Inputs Yr 2'!$AO173,0))))*(INDEX(avoidedcosttbl2,$H173,BU$2)+(($H173-ROUNDDOWN($H173,0))*(INDEX(avoidedcosttbl2,ROUNDUP($H173,0),BU$2)-(INDEX(avoidedcosttbl2,ROUNDDOWN($H173,0),BU$2)))))*'Inputs Yr 2'!P173*'Inputs Yr 2'!Q173*'Inputs Yr 2'!U173,"")</f>
        <v>0</v>
      </c>
      <c r="BV173" s="775">
        <f>IFERROR(($G173*IF('Inputs Yr 2'!$AJ173=BJ$4,'Inputs Yr 2'!$AK173,IF('Inputs Yr 2'!$AL173=BJ$4,'Inputs Yr 2'!$AM173,IF('Inputs Yr 2'!$AN173=BJ$4,'Inputs Yr 2'!$AO173,0))))*(INDEX(avoidedcosttbl2,$H173,BV$2)+(($H173-ROUNDDOWN($H173,0))*(INDEX(avoidedcosttbl2,ROUNDUP($H173,0),BV$2)-(INDEX(avoidedcosttbl2,ROUNDDOWN($H173,0),BV$2)))))*'Inputs Yr 2'!P173*'Inputs Yr 2'!Q173*'Inputs Yr 2'!U173,"")</f>
        <v>0</v>
      </c>
      <c r="BW173" s="197">
        <f>IFERROR(($G173*IF('Inputs Yr 2'!$AJ173=BN$4,'Inputs Yr 2'!$AK173,IF('Inputs Yr 2'!$AL173=BN$4,'Inputs Yr 2'!$AM173,IF('Inputs Yr 2'!$AN173=BN$4,'Inputs Yr 2'!$AO173,0))))*(INDEX(avoidedcosttbl2,$H173,BW$2)+(($H173-ROUNDDOWN($H173,0))*(INDEX(avoidedcosttbl2,ROUNDUP($H173,0),BW$2)-(INDEX(avoidedcosttbl2,ROUNDDOWN($H173,0),BW$2)))))*'Inputs Yr 2'!P173*'Inputs Yr 2'!Q173*'Inputs Yr 2'!U173,"")</f>
        <v>0</v>
      </c>
      <c r="BX173" s="197">
        <f>IFERROR(($G173*IF('Inputs Yr 2'!$AJ173=BO$4,'Inputs Yr 2'!$AK173,IF('Inputs Yr 2'!$AL173=BO$4,'Inputs Yr 2'!$AM173,IF('Inputs Yr 2'!$AN173=BO$4,'Inputs Yr 2'!$AO173,0))))*(INDEX(avoidedcosttbl2,$H173,BX$2)+(($H173-ROUNDDOWN($H173,0))*(INDEX(avoidedcosttbl2,ROUNDUP($H173,0),BX$2)-(INDEX(avoidedcosttbl2,ROUNDDOWN($H173,0),BX$2)))))*'Inputs Yr 2'!P173*'Inputs Yr 2'!Q173*'Inputs Yr 2'!U173,"")</f>
        <v>27437.222202746394</v>
      </c>
      <c r="BY173" s="197">
        <f>IFERROR(($G173*IF('Inputs Yr 2'!$AJ173=BP$4,'Inputs Yr 2'!$AK173,IF('Inputs Yr 2'!$AL173=BP$4,'Inputs Yr 2'!$AM173,IF('Inputs Yr 2'!$AN173=BP$4,'Inputs Yr 2'!$AO173,0))))*(INDEX(avoidedcosttbl2,$H173,BY$2)+(($H173-ROUNDDOWN($H173,0))*(INDEX(avoidedcosttbl2,ROUNDUP($H173,0),BY$2)-(INDEX(avoidedcosttbl2,ROUNDDOWN($H173,0),BY$2)))))*'Inputs Yr 2'!P173*'Inputs Yr 2'!Q173*'Inputs Yr 2'!U173,"")</f>
        <v>0</v>
      </c>
      <c r="BZ173" s="193">
        <f t="shared" si="99"/>
        <v>35812.737854365107</v>
      </c>
      <c r="CA173" s="193">
        <f t="shared" si="100"/>
        <v>538152.48901467351</v>
      </c>
      <c r="CB173" s="195">
        <f>IFERROR(G173*(IF('Inputs Yr 2'!$AJ173=CB$4,'Inputs Yr 2'!$AK173,IF('Inputs Yr 2'!$AL173=CB$4,'Inputs Yr 2'!$AM173,IF('Inputs Yr 2'!$AN173=CB$4,'Inputs Yr 2'!$AO173,0))))*(INDEX(avoidedcosttbl2,$H173,CB$2)+(($H173-ROUNDDOWN($H173,0))*(INDEX(avoidedcosttbl2,ROUNDUP($H173,0),CB$2)-(INDEX(avoidedcosttbl2,ROUNDDOWN($H173,0),CB$2)))))*'Inputs Yr 2'!P173*'Inputs Yr 2'!Q173*'Inputs Yr 2'!U173,"")</f>
        <v>0</v>
      </c>
      <c r="CC173" s="195">
        <f>IFERROR(H173*(IF('Inputs Yr 2'!$AJ173=CC$4,'Inputs Yr 2'!$AK173,IF('Inputs Yr 2'!$AL173=CC$4,'Inputs Yr 2'!$AM173,IF('Inputs Yr 2'!$AN173=CC$4,'Inputs Yr 2'!$AO173,0))))*(INDEX(avoidedcosttbl2,$H173,CC$2)+(($H173-ROUNDDOWN($H173,0))*(INDEX(avoidedcosttbl2,ROUNDUP($H173,0),CC$2)-(INDEX(avoidedcosttbl2,ROUNDDOWN($H173,0),CC$2)))))*'Inputs Yr 2'!Q173*'Inputs Yr 2'!R173*'Inputs Yr 2'!V173,"")</f>
        <v>0</v>
      </c>
      <c r="CD173" s="195">
        <f>IFERROR(I173*(IF('Inputs Yr 2'!$AJ173=CD$4,'Inputs Yr 2'!$AK173,IF('Inputs Yr 2'!$AL173=CD$4,'Inputs Yr 2'!$AM173,IF('Inputs Yr 2'!$AN173=CD$4,'Inputs Yr 2'!$AO173,0))))*(INDEX(avoidedcosttbl2,$H173,CD$2)+(($H173-ROUNDDOWN($H173,0))*(INDEX(avoidedcosttbl2,ROUNDUP($H173,0),CD$2)-(INDEX(avoidedcosttbl2,ROUNDDOWN($H173,0),CD$2)))))*'Inputs Yr 2'!R173*'Inputs Yr 2'!S173*'Inputs Yr 2'!W173,"")</f>
        <v>0</v>
      </c>
      <c r="CE173" s="213">
        <f t="shared" si="101"/>
        <v>0</v>
      </c>
      <c r="CF173" s="213">
        <f t="shared" si="102"/>
        <v>0</v>
      </c>
      <c r="CG173" s="213">
        <f t="shared" si="103"/>
        <v>0</v>
      </c>
      <c r="CH173" s="698">
        <f t="shared" si="104"/>
        <v>538152.48901467351</v>
      </c>
      <c r="CI173" s="79">
        <f>IFERROR(($G173*'Inputs Yr 2'!$P173*'Inputs Yr 2'!$Q173*(((INDEX(avoidedcosttbl2,$H173,CI$2)+(($H173-ROUNDDOWN($H173,0))*(INDEX(avoidedcosttbl2,ROUNDUP($H173,0),CI$2)-INDEX(avoidedcosttbl2,ROUNDDOWN($H173,0),CI$2))))*'Inputs Yr 2'!AS173))),"")</f>
        <v>0</v>
      </c>
      <c r="CJ173" s="504">
        <f>IFERROR($G173*'Inputs Yr 2'!AT173*'Inputs Yr 2'!$P173*'Inputs Yr 2'!$Q173/((1+realdiscrt1)^-0.5),"")</f>
        <v>0</v>
      </c>
      <c r="CK173" s="79">
        <f>IFERROR((O173*1000*(((INDEX(avoidedcosttbl2,$H173,CK$2)+(($H173-ROUNDDOWN($H173,0))*(INDEX(avoidedcosttbl2,ROUNDUP($H173,0),CK$2)-INDEX(avoidedcosttbl2,ROUNDDOWN($H173,0),CK$2))))*'Inputs Yr 2'!AU173))),"")</f>
        <v>0</v>
      </c>
      <c r="CL173" s="504">
        <f>IFERROR(O173*1000*'Inputs Yr 2'!AV173/((1+realdiscrt1)^-0.5),"")</f>
        <v>0</v>
      </c>
      <c r="CM173" s="79">
        <f>IFERROR((AB173*'Inputs Yr 2'!AW173*(((INDEX(avoidedcosttbl2,$H173,CM$2)+(($H173-ROUNDDOWN($H173,0))*(INDEX(avoidedcosttbl2,ROUNDUP($H173,0),CM$2)-INDEX(avoidedcosttbl2,ROUNDDOWN($H173,0),CM$2)))))))*10,"")</f>
        <v>0</v>
      </c>
      <c r="CN173" s="504">
        <f>IFERROR(10*AB173*'Inputs Yr 2'!AX173/((1+realdiscrt1)^-0.5),"")</f>
        <v>0</v>
      </c>
      <c r="CO173" s="505">
        <f t="shared" si="105"/>
        <v>0</v>
      </c>
      <c r="CP173" s="230">
        <f t="shared" si="106"/>
        <v>538152.48901467351</v>
      </c>
      <c r="CQ173" s="199">
        <f>ROUND(IFERROR(IF(LEFT($A173,1)="C",'Avoided Costs'!$K$13,'Avoided Costs'!$K$12)+1,""),4)</f>
        <v>1.0720000000000001</v>
      </c>
      <c r="CR173" s="199">
        <f>ROUND(IFERROR(IF(LEFT($A173,1)="C",'Avoided Costs'!$L$13,'Avoided Costs'!$L$12)+1,""),4)</f>
        <v>1.04</v>
      </c>
      <c r="CS173" s="199">
        <f>ROUND(IFERROR(IF(LEFT($A173,1)="C",'Avoided Costs'!$M$13,'Avoided Costs'!$M$12)+1,""),4)</f>
        <v>1.0720000000000001</v>
      </c>
      <c r="CT173" s="199">
        <f>ROUND(IFERROR(IF(LEFT($A173,1)="C",'Avoided Costs'!$N$13,'Avoided Costs'!$N$12)+1,""),4)</f>
        <v>1.04</v>
      </c>
      <c r="CU173" s="199">
        <f>ROUND(IFERROR(IF(LEFT($A173,1)="C",'Avoided Costs'!$O$13,'Avoided Costs'!$O$12)+1,""),4)</f>
        <v>1.1120000000000001</v>
      </c>
      <c r="CV173" s="199">
        <f>ROUND(IFERROR(IF(LEFT($A173,1)="C",'Avoided Costs'!$P$13,'Avoided Costs'!$P$12)+1,""),4)</f>
        <v>1.095</v>
      </c>
      <c r="CW173" s="199">
        <f>ROUND(IFERROR(IF(LEFT($A173,1)="C",'Avoided Costs'!$Q$13,'Avoided Costs'!$Q$12)+1,""),4)</f>
        <v>1.1120000000000001</v>
      </c>
      <c r="CX173" s="200">
        <f>ROUND(IFERROR(IF(LEFT($A173,1)="C",'Avoided Costs'!$R$13,'Avoided Costs'!$R$12)+1,""),4)</f>
        <v>1.1120000000000001</v>
      </c>
    </row>
    <row r="174" spans="1:102" ht="12.75" customHeight="1">
      <c r="A174" s="91" t="str">
        <f>IF('Inputs Yr 2'!$B174=0,"",'Inputs Yr 2'!A174)</f>
        <v>C - Commercial &amp; Industrial</v>
      </c>
      <c r="B174" s="91" t="str">
        <f>IF('Inputs Yr 2'!$B174=0,"",'Inputs Yr 2'!B174)</f>
        <v>C1 - C&amp;I New Construction</v>
      </c>
      <c r="C174" s="91" t="str">
        <f>IF('Inputs Yr 2'!$B174=0,"",'Inputs Yr 2'!C174)</f>
        <v>C1a - C&amp;I New Buildings &amp; Major Renovations</v>
      </c>
      <c r="D174" s="91" t="str">
        <f>IF('Inputs Yr 2'!$B174=0,"",'Inputs Yr 2'!E174)</f>
        <v>Process - Custom 10</v>
      </c>
      <c r="E174" s="93" t="str">
        <f>IF('Inputs Yr 2'!$B174=0,"",'Inputs Yr 2'!F174)</f>
        <v>G16C1a18</v>
      </c>
      <c r="F174" s="93" t="str">
        <f>IF('Inputs Yr 2'!$B174=0,"",'Inputs Yr 2'!G174)</f>
        <v>Process</v>
      </c>
      <c r="G174" s="95">
        <f>IF('Inputs Yr 2'!$H174&lt;&gt;0,('Inputs Yr 2'!H174),"")</f>
        <v>1</v>
      </c>
      <c r="H174" s="94">
        <f>IFERROR('Inputs Yr 2'!I174,"")</f>
        <v>10</v>
      </c>
      <c r="I174" s="298">
        <f>IFERROR('Inputs Yr 2'!J174*'Inputs Yr 2'!P174*G174,"")</f>
        <v>3758.71</v>
      </c>
      <c r="J174" s="298">
        <f>IFERROR('Inputs Yr 2'!K174*G174,"")</f>
        <v>3067.5</v>
      </c>
      <c r="K174" s="298">
        <f t="shared" si="83"/>
        <v>691.21</v>
      </c>
      <c r="L174" s="194">
        <f>IFERROR(('Inputs Yr 2'!W174*G174)/1000,"")</f>
        <v>0</v>
      </c>
      <c r="M174" s="194">
        <f>IFERROR(L174*('Inputs Yr 2'!$Q174*'Inputs Yr 2'!$V174*'Inputs Yr 2'!$R174),"")</f>
        <v>0</v>
      </c>
      <c r="N174" s="194">
        <f t="shared" si="84"/>
        <v>0</v>
      </c>
      <c r="O174" s="194">
        <f>IFERROR(M174*'Inputs Yr 2'!P174,"")</f>
        <v>0</v>
      </c>
      <c r="P174" s="194">
        <f t="shared" si="85"/>
        <v>0</v>
      </c>
      <c r="Q174" s="194">
        <f>IFERROR($P174*'Inputs Yr 2'!AA174,"")</f>
        <v>0</v>
      </c>
      <c r="R174" s="194">
        <f>IFERROR($P174*'Inputs Yr 2'!AB174,"")</f>
        <v>0</v>
      </c>
      <c r="S174" s="194">
        <f>IFERROR($P174*'Inputs Yr 2'!AC174,"")</f>
        <v>0</v>
      </c>
      <c r="T174" s="194">
        <f>IFERROR($P174*'Inputs Yr 2'!AD174,"")</f>
        <v>0</v>
      </c>
      <c r="U174" s="194">
        <f>IFERROR(G174*'Inputs Yr 2'!$AE174*'Inputs Yr 2'!$P174*'Inputs Yr 2'!$Q174,"")</f>
        <v>0</v>
      </c>
      <c r="V174" s="194">
        <f>IFERROR($G174*'Inputs Yr 2'!$AE174*'Inputs Yr 2'!$AG174*'Inputs Yr 2'!Q174*'Inputs Yr 2'!$S174,"")</f>
        <v>0</v>
      </c>
      <c r="W174" s="194">
        <f>IFERROR($G174*'Inputs Yr 2'!$AE174*'Inputs Yr 2'!$AG174*'Inputs Yr 2'!P174*'Inputs Yr 2'!Q174*'Inputs Yr 2'!$S174,"")</f>
        <v>0</v>
      </c>
      <c r="X174" s="194">
        <f>IFERROR($G174*'Inputs Yr 2'!$AE174*'Inputs Yr 2'!$AF174*'Inputs Yr 2'!Q174*'Inputs Yr 2'!$T174,"")</f>
        <v>0</v>
      </c>
      <c r="Y174" s="194">
        <f>IFERROR($G174*'Inputs Yr 2'!$AE174*'Inputs Yr 2'!$AF174*'Inputs Yr 2'!P174*'Inputs Yr 2'!Q174*'Inputs Yr 2'!$T174,"")</f>
        <v>0</v>
      </c>
      <c r="Z174" s="257">
        <f>IFERROR($G174*'Inputs Yr 2'!$Q174*'Inputs Yr 2'!$U174*(IF(IFERROR(SEARCH("NG", 'Inputs Yr 2'!$AJ174),0),'Inputs Yr 2'!$AK174,0)+IF(IFERROR(SEARCH("NG", 'Inputs Yr 2'!$AL174),0),'Inputs Yr 2'!$AM174,0)+IF(IFERROR(SEARCH("NG", 'Inputs Yr 2'!$AN174),0),'Inputs Yr 2'!$AO174,0)),0)</f>
        <v>159.30549999999999</v>
      </c>
      <c r="AA174" s="257">
        <f t="shared" si="86"/>
        <v>1593.0549999999998</v>
      </c>
      <c r="AB174" s="257">
        <f>IFERROR(Z174*'Inputs Yr 2'!$P174,0)</f>
        <v>146.40175450000001</v>
      </c>
      <c r="AC174" s="257">
        <f t="shared" si="87"/>
        <v>1464.0175450000002</v>
      </c>
      <c r="AD174" s="257">
        <f>IFERROR($G174*'Inputs Yr 2'!$Q174*'Inputs Yr 2'!$U174*(IF(IFERROR(SEARCH("Oil", 'Inputs Yr 2'!$AJ174), 0),'Inputs Yr 2'!$AK174,0)+IF(IFERROR(SEARCH("Oil", 'Inputs Yr 2'!$AL174), 0),'Inputs Yr 2'!$AM174,0)+IF(IFERROR(SEARCH("Oil", 'Inputs Yr 2'!$AN174), 0),'Inputs Yr 2'!$AO174,0)),0)</f>
        <v>0</v>
      </c>
      <c r="AE174" s="257">
        <f t="shared" si="88"/>
        <v>0</v>
      </c>
      <c r="AF174" s="257">
        <f>IFERROR(AD174*'Inputs Yr 2'!$P174,0)</f>
        <v>0</v>
      </c>
      <c r="AG174" s="257">
        <f t="shared" si="89"/>
        <v>0</v>
      </c>
      <c r="AH174" s="257">
        <f>IFERROR($G174*'Inputs Yr 2'!$Q174*'Inputs Yr 2'!$U174*(IF('Inputs Yr 2'!$AJ174=CD$4,'Inputs Yr 2'!$AK174,IF('Inputs Yr 2'!$AL174=CD$4,'Inputs Yr 2'!$AM174,IF('Inputs Yr 2'!$AN174=CD$4,'Inputs Yr 2'!$AO174,0)))),0)</f>
        <v>0</v>
      </c>
      <c r="AI174" s="257">
        <f t="shared" si="90"/>
        <v>0</v>
      </c>
      <c r="AJ174" s="257">
        <f>IFERROR(AH174*'Inputs Yr 2'!$P174,0)</f>
        <v>0</v>
      </c>
      <c r="AK174" s="257">
        <f t="shared" si="91"/>
        <v>0</v>
      </c>
      <c r="AL174" s="258">
        <f>IFERROR($G174*'Inputs Yr 2'!$P174*'Inputs Yr 2'!$Q174*'Inputs Yr 2'!AP174,0)</f>
        <v>0</v>
      </c>
      <c r="AM174" s="260">
        <f>IFERROR($G174*'Inputs Yr 2'!$P174*'Inputs Yr 2'!$Q174*'Inputs Yr 2'!AQ174,0)</f>
        <v>0</v>
      </c>
      <c r="AN174" s="258">
        <f>IFERROR($G174*'Inputs Yr 2'!$P174*'Inputs Yr 2'!$Q174*'Inputs Yr 2'!AR174,0)</f>
        <v>0</v>
      </c>
      <c r="AO174" s="257">
        <f t="shared" si="92"/>
        <v>0</v>
      </c>
      <c r="AP174" s="195">
        <f>IFERROR($CQ174*(INDEX(avoidedcosttbl2,$H174,AP$2)+(($H174-ROUNDDOWN($H174,0))*(INDEX(avoidedcosttbl2,ROUNDUP($H174,0),AP$2)-(INDEX(avoidedcosttbl2,ROUNDDOWN($H174,0),AP$2)))))*$O174*1000*'Inputs Yr 2'!AA174,"")</f>
        <v>0</v>
      </c>
      <c r="AQ174" s="195">
        <f>IFERROR($CR174*(INDEX(avoidedcosttbl2,$H174,AQ$2)+(($H174-ROUNDDOWN($H174,0))*(INDEX(avoidedcosttbl2,ROUNDUP($H174,0),AQ$2)-(INDEX(avoidedcosttbl2,ROUNDDOWN($H174,0),AQ$2)))))*$O174*1000*'Inputs Yr 2'!AB174,"")</f>
        <v>0</v>
      </c>
      <c r="AR174" s="195">
        <f>IFERROR($CS174*(INDEX(avoidedcosttbl2,$H174,AR$2)+(($H174-ROUNDDOWN($H174,0))*(INDEX(avoidedcosttbl2,ROUNDUP($H174,0),AR$2)-(INDEX(avoidedcosttbl2,ROUNDDOWN($H174,0),AR$2)))))*$O174*1000*'Inputs Yr 2'!AC174,"")</f>
        <v>0</v>
      </c>
      <c r="AS174" s="195">
        <f>IFERROR($CT174*(INDEX(avoidedcosttbl2,$H174,AS$2)+(($H174-ROUNDDOWN($H174,0))*(INDEX(avoidedcosttbl2,ROUNDUP($H174,0),AS$2)-(INDEX(avoidedcosttbl2,ROUNDDOWN($H174,0),AS$2)))))*$O174*1000*'Inputs Yr 2'!AD174,"")</f>
        <v>0</v>
      </c>
      <c r="AT174" s="196">
        <f t="shared" si="93"/>
        <v>0</v>
      </c>
      <c r="AU174" s="197">
        <f>IFERROR($CQ174*((INDEX(avoidedcosttbl2,$H174,AU$2))+(($H174-ROUNDDOWN($H174,0))*((INDEX(avoidedcosttbl2,ROUNDUP($H174,0),AU$2))-(INDEX(avoidedcosttbl2,ROUNDDOWN($H174,0),AU$2)))))*$O174*1000*'Inputs Yr 2'!AA174,"")</f>
        <v>0</v>
      </c>
      <c r="AV174" s="197">
        <f>IFERROR($CR174*((INDEX(avoidedcosttbl2,$H174,AV$2))+(($H174-ROUNDDOWN($H174,0))*((INDEX(avoidedcosttbl2,ROUNDUP($H174,0),AV$2))-(INDEX(avoidedcosttbl2,ROUNDDOWN($H174,0),AV$2)))))*$O174*1000*'Inputs Yr 2'!AB174,"")</f>
        <v>0</v>
      </c>
      <c r="AW174" s="197">
        <f>IFERROR($CS174*((INDEX(avoidedcosttbl2,$H174,AW$2))+(($H174-ROUNDDOWN($H174,0))*((INDEX(avoidedcosttbl2,ROUNDUP($H174,0),AW$2))-(INDEX(avoidedcosttbl2,ROUNDDOWN($H174,0),AW$2)))))*$O174*1000*'Inputs Yr 2'!AC174,"")</f>
        <v>0</v>
      </c>
      <c r="AX174" s="197">
        <f>IFERROR($CT174*((INDEX(avoidedcosttbl2,$H174,AX$2))+(($H174-ROUNDDOWN($H174,0))*((INDEX(avoidedcosttbl2,ROUNDUP($H174,0),AX$2))-(INDEX(avoidedcosttbl2,ROUNDDOWN($H174,0),AX$2)))))*$O174*1000*'Inputs Yr 2'!AD174,"")</f>
        <v>0</v>
      </c>
      <c r="AY174" s="197">
        <f>IFERROR(((INDEX(avoidedcosttbl2,$H174,AY$2))+(($H174-ROUNDDOWN($H174,0))*((INDEX(avoidedcosttbl2,ROUNDUP($H174,0),AY$2))-(INDEX(avoidedcosttbl2,ROUNDDOWN($H174,0),AY$2)))))*$O174*1000*('Inputs Yr 2'!AC174+'Inputs Yr 2'!AD174),"")</f>
        <v>0</v>
      </c>
      <c r="AZ174" s="197">
        <f>IFERROR(((INDEX(avoidedcosttbl2,$H174,AZ$2))+(($H174-ROUNDDOWN($H174,0))*((INDEX(avoidedcosttbl2,ROUNDUP($H174,0),AZ$2))-(INDEX(avoidedcosttbl2,ROUNDDOWN($H174,0),AZ$2)))))*$O174*1000*('Inputs Yr 2'!AA174+'Inputs Yr 2'!AB174),"")</f>
        <v>0</v>
      </c>
      <c r="BA174" s="198">
        <f t="shared" si="94"/>
        <v>0</v>
      </c>
      <c r="BB174" s="198">
        <f t="shared" si="95"/>
        <v>0</v>
      </c>
      <c r="BC174" s="195">
        <f t="shared" si="77"/>
        <v>0</v>
      </c>
      <c r="BD174" s="195">
        <f t="shared" si="78"/>
        <v>0</v>
      </c>
      <c r="BE174" s="195">
        <f t="shared" si="79"/>
        <v>0</v>
      </c>
      <c r="BF174" s="195">
        <f t="shared" si="80"/>
        <v>0</v>
      </c>
      <c r="BG174" s="195">
        <f t="shared" si="81"/>
        <v>0</v>
      </c>
      <c r="BH174" s="196">
        <f t="shared" si="96"/>
        <v>0</v>
      </c>
      <c r="BI174" s="196">
        <f t="shared" si="97"/>
        <v>0</v>
      </c>
      <c r="BJ174" s="195">
        <f>IFERROR($G174*(IF('Inputs Yr 2'!$AJ174=BJ$4,'Inputs Yr 2'!$AK174,IF('Inputs Yr 2'!$AL174=BJ$4,'Inputs Yr 2'!$AM174,IF('Inputs Yr 2'!$AN174=BJ$4,'Inputs Yr 2'!$AO174,0))))*(INDEX(avoidedcosttbl2,$H174,BJ$2)+(($H174-ROUNDDOWN($H174,0))*(INDEX(avoidedcosttbl2,ROUNDUP($H174,0),BJ$2)-(INDEX(avoidedcosttbl2,ROUNDDOWN($H174,0),BJ$2)))))*'Inputs Yr 2'!P174*'Inputs Yr 2'!Q174*'Inputs Yr 2'!U174,"")</f>
        <v>0</v>
      </c>
      <c r="BK174" s="195">
        <f>IFERROR($G174*(IF('Inputs Yr 2'!$AJ174=BK$4,'Inputs Yr 2'!$AK174,IF('Inputs Yr 2'!$AL174=BK$4,'Inputs Yr 2'!$AM174,IF('Inputs Yr 2'!$AN174=BK$4,'Inputs Yr 2'!$AO174,0))))*(INDEX(avoidedcosttbl2,$H174,BK$2)+(($H174-ROUNDDOWN($H174,0))*(INDEX(avoidedcosttbl2,ROUNDUP($H174,0),BK$2)-(INDEX(avoidedcosttbl2,ROUNDDOWN($H174,0),BK$2)))))*'Inputs Yr 2'!P174*'Inputs Yr 2'!Q174*'Inputs Yr 2'!U174,"")</f>
        <v>0</v>
      </c>
      <c r="BL174" s="195">
        <f>IFERROR($G174*(IF('Inputs Yr 2'!$AJ174=BL$4,'Inputs Yr 2'!$AK174,IF('Inputs Yr 2'!$AL174=BL$4,'Inputs Yr 2'!$AM174,IF('Inputs Yr 2'!$AN174=BL$4,'Inputs Yr 2'!$AO174,0))))*(INDEX(avoidedcosttbl2,$H174,BL$2)+(($H174-ROUNDDOWN($H174,0))*(INDEX(avoidedcosttbl2,ROUNDUP($H174,0),BL$2)-(INDEX(avoidedcosttbl2,ROUNDDOWN($H174,0),BL$2)))))*'Inputs Yr 2'!P174*'Inputs Yr 2'!Q174*'Inputs Yr 2'!U174,"")</f>
        <v>0</v>
      </c>
      <c r="BM174" s="195">
        <f>IFERROR($G174*(IF('Inputs Yr 2'!$AJ174=BM$4,'Inputs Yr 2'!$AK174,IF('Inputs Yr 2'!$AL174=BM$4,'Inputs Yr 2'!$AM174,IF('Inputs Yr 2'!$AN174=BM$4,'Inputs Yr 2'!$AO174,0))))*(INDEX(avoidedcosttbl2,$H174,BM$2)+(($H174-ROUNDDOWN($H174,0))*(INDEX(avoidedcosttbl2,ROUNDUP($H174,0),BM$2)-(INDEX(avoidedcosttbl2,ROUNDDOWN($H174,0),BM$2)))))*'Inputs Yr 2'!P174*'Inputs Yr 2'!Q174*'Inputs Yr 2'!U174,"")</f>
        <v>0</v>
      </c>
      <c r="BN174" s="195">
        <f>IFERROR($G174*(IF('Inputs Yr 2'!$AJ174=BN$4,'Inputs Yr 2'!$AK174,IF('Inputs Yr 2'!$AL174=BN$4,'Inputs Yr 2'!$AM174,IF('Inputs Yr 2'!$AN174=BN$4,'Inputs Yr 2'!$AO174,0))))*(INDEX(avoidedcosttbl2,$H174,BN$2)+(($H174-ROUNDDOWN($H174,0))*(INDEX(avoidedcosttbl2,ROUNDUP($H174,0),BN$2)-(INDEX(avoidedcosttbl2,ROUNDDOWN($H174,0),BN$2)))))*'Inputs Yr 2'!P174*'Inputs Yr 2'!Q174*'Inputs Yr 2'!U174,"")</f>
        <v>0</v>
      </c>
      <c r="BO174" s="195">
        <f>IFERROR($G174*(IF('Inputs Yr 2'!$AJ174=BO$4,'Inputs Yr 2'!$AK174,IF('Inputs Yr 2'!$AL174=BO$4,'Inputs Yr 2'!$AM174,IF('Inputs Yr 2'!$AN174=BO$4,'Inputs Yr 2'!$AO174,0))))*(INDEX(avoidedcosttbl2,$H174,BO$2)+(($H174-ROUNDDOWN($H174,0))*(INDEX(avoidedcosttbl2,ROUNDUP($H174,0),BO$2)-(INDEX(avoidedcosttbl2,ROUNDDOWN($H174,0),BO$2)))))*'Inputs Yr 2'!P174*'Inputs Yr 2'!Q174*'Inputs Yr 2'!U174,"")</f>
        <v>0</v>
      </c>
      <c r="BP174" s="195">
        <f>IFERROR($G174*(IF('Inputs Yr 2'!$AJ174=BP$4,'Inputs Yr 2'!$AK174,IF('Inputs Yr 2'!$AL174=BP$4,'Inputs Yr 2'!$AM174,IF('Inputs Yr 2'!$AN174=BP$4,'Inputs Yr 2'!$AO174,0))))*(INDEX(avoidedcosttbl2,$H174,BP$2)+(($H174-ROUNDDOWN($H174,0))*(INDEX(avoidedcosttbl2,ROUNDUP($H174,0),BP$2)-(INDEX(avoidedcosttbl2,ROUNDDOWN($H174,0),BP$2)))))*'Inputs Yr 2'!P174*'Inputs Yr 2'!Q174*'Inputs Yr 2'!U174,"")</f>
        <v>10665.631681813586</v>
      </c>
      <c r="BQ174" s="230">
        <f t="shared" si="98"/>
        <v>10665.631681813586</v>
      </c>
      <c r="BR174" s="197">
        <f t="shared" si="82"/>
        <v>200.6055892002484</v>
      </c>
      <c r="BS174" s="197">
        <f>IFERROR(($G174*IF('Inputs Yr 2'!$AJ174=BM$4,'Inputs Yr 2'!$AK174,IF('Inputs Yr 2'!$AL174=BM$4,'Inputs Yr 2'!$AM174,IF('Inputs Yr 2'!$AN174=BM$4,'Inputs Yr 2'!$AO174,0))))*(INDEX(avoidedcosttbl2,$H174,BS$2)+(($H174-ROUNDDOWN($H174,0))*(INDEX(avoidedcosttbl2,ROUNDUP($H174,0),BS$2)-(INDEX(avoidedcosttbl2,ROUNDDOWN($H174,0),BS$2)))))*'Inputs Yr 2'!P174*'Inputs Yr 2'!Q174*'Inputs Yr 2'!U174,"")</f>
        <v>0</v>
      </c>
      <c r="BT174" s="197">
        <f>IFERROR(($G174*IF('Inputs Yr 2'!$AJ174=BK$4,'Inputs Yr 2'!$AK174,IF('Inputs Yr 2'!$AL174=BK$4,'Inputs Yr 2'!$AM174,IF('Inputs Yr 2'!$AN174=BK$4,'Inputs Yr 2'!$AO174,0))))*(INDEX(avoidedcosttbl2,$H174,BT$2)+(($H174-ROUNDDOWN($H174,0))*(INDEX(avoidedcosttbl2,ROUNDUP($H174,0),BT$2)-(INDEX(avoidedcosttbl2,ROUNDDOWN($H174,0),BT$2)))))*'Inputs Yr 2'!P174*'Inputs Yr 2'!Q174*'Inputs Yr 2'!U174,"")</f>
        <v>0</v>
      </c>
      <c r="BU174" s="197">
        <f>IFERROR(($G174*IF('Inputs Yr 2'!$AJ174=BL$4,'Inputs Yr 2'!$AK174,IF('Inputs Yr 2'!$AL174=BL$4,'Inputs Yr 2'!$AM174,IF('Inputs Yr 2'!$AN174=BL$4,'Inputs Yr 2'!$AO174,0))))*(INDEX(avoidedcosttbl2,$H174,BU$2)+(($H174-ROUNDDOWN($H174,0))*(INDEX(avoidedcosttbl2,ROUNDUP($H174,0),BU$2)-(INDEX(avoidedcosttbl2,ROUNDDOWN($H174,0),BU$2)))))*'Inputs Yr 2'!P174*'Inputs Yr 2'!Q174*'Inputs Yr 2'!U174,"")</f>
        <v>0</v>
      </c>
      <c r="BV174" s="775">
        <f>IFERROR(($G174*IF('Inputs Yr 2'!$AJ174=BJ$4,'Inputs Yr 2'!$AK174,IF('Inputs Yr 2'!$AL174=BJ$4,'Inputs Yr 2'!$AM174,IF('Inputs Yr 2'!$AN174=BJ$4,'Inputs Yr 2'!$AO174,0))))*(INDEX(avoidedcosttbl2,$H174,BV$2)+(($H174-ROUNDDOWN($H174,0))*(INDEX(avoidedcosttbl2,ROUNDUP($H174,0),BV$2)-(INDEX(avoidedcosttbl2,ROUNDDOWN($H174,0),BV$2)))))*'Inputs Yr 2'!P174*'Inputs Yr 2'!Q174*'Inputs Yr 2'!U174,"")</f>
        <v>0</v>
      </c>
      <c r="BW174" s="197">
        <f>IFERROR(($G174*IF('Inputs Yr 2'!$AJ174=BN$4,'Inputs Yr 2'!$AK174,IF('Inputs Yr 2'!$AL174=BN$4,'Inputs Yr 2'!$AM174,IF('Inputs Yr 2'!$AN174=BN$4,'Inputs Yr 2'!$AO174,0))))*(INDEX(avoidedcosttbl2,$H174,BW$2)+(($H174-ROUNDDOWN($H174,0))*(INDEX(avoidedcosttbl2,ROUNDUP($H174,0),BW$2)-(INDEX(avoidedcosttbl2,ROUNDDOWN($H174,0),BW$2)))))*'Inputs Yr 2'!P174*'Inputs Yr 2'!Q174*'Inputs Yr 2'!U174,"")</f>
        <v>0</v>
      </c>
      <c r="BX174" s="197">
        <f>IFERROR(($G174*IF('Inputs Yr 2'!$AJ174=BO$4,'Inputs Yr 2'!$AK174,IF('Inputs Yr 2'!$AL174=BO$4,'Inputs Yr 2'!$AM174,IF('Inputs Yr 2'!$AN174=BO$4,'Inputs Yr 2'!$AO174,0))))*(INDEX(avoidedcosttbl2,$H174,BX$2)+(($H174-ROUNDDOWN($H174,0))*(INDEX(avoidedcosttbl2,ROUNDUP($H174,0),BX$2)-(INDEX(avoidedcosttbl2,ROUNDDOWN($H174,0),BX$2)))))*'Inputs Yr 2'!P174*'Inputs Yr 2'!Q174*'Inputs Yr 2'!U174,"")</f>
        <v>0</v>
      </c>
      <c r="BY174" s="197">
        <f>IFERROR(($G174*IF('Inputs Yr 2'!$AJ174=BP$4,'Inputs Yr 2'!$AK174,IF('Inputs Yr 2'!$AL174=BP$4,'Inputs Yr 2'!$AM174,IF('Inputs Yr 2'!$AN174=BP$4,'Inputs Yr 2'!$AO174,0))))*(INDEX(avoidedcosttbl2,$H174,BY$2)+(($H174-ROUNDDOWN($H174,0))*(INDEX(avoidedcosttbl2,ROUNDUP($H174,0),BY$2)-(INDEX(avoidedcosttbl2,ROUNDDOWN($H174,0),BY$2)))))*'Inputs Yr 2'!P174*'Inputs Yr 2'!Q174*'Inputs Yr 2'!U174,"")</f>
        <v>1172.3123569166842</v>
      </c>
      <c r="BZ174" s="193">
        <f t="shared" si="99"/>
        <v>1372.9179461169326</v>
      </c>
      <c r="CA174" s="193">
        <f t="shared" si="100"/>
        <v>12038.549627930519</v>
      </c>
      <c r="CB174" s="195">
        <f>IFERROR(G174*(IF('Inputs Yr 2'!$AJ174=CB$4,'Inputs Yr 2'!$AK174,IF('Inputs Yr 2'!$AL174=CB$4,'Inputs Yr 2'!$AM174,IF('Inputs Yr 2'!$AN174=CB$4,'Inputs Yr 2'!$AO174,0))))*(INDEX(avoidedcosttbl2,$H174,CB$2)+(($H174-ROUNDDOWN($H174,0))*(INDEX(avoidedcosttbl2,ROUNDUP($H174,0),CB$2)-(INDEX(avoidedcosttbl2,ROUNDDOWN($H174,0),CB$2)))))*'Inputs Yr 2'!P174*'Inputs Yr 2'!Q174*'Inputs Yr 2'!U174,"")</f>
        <v>0</v>
      </c>
      <c r="CC174" s="195">
        <f>IFERROR(H174*(IF('Inputs Yr 2'!$AJ174=CC$4,'Inputs Yr 2'!$AK174,IF('Inputs Yr 2'!$AL174=CC$4,'Inputs Yr 2'!$AM174,IF('Inputs Yr 2'!$AN174=CC$4,'Inputs Yr 2'!$AO174,0))))*(INDEX(avoidedcosttbl2,$H174,CC$2)+(($H174-ROUNDDOWN($H174,0))*(INDEX(avoidedcosttbl2,ROUNDUP($H174,0),CC$2)-(INDEX(avoidedcosttbl2,ROUNDDOWN($H174,0),CC$2)))))*'Inputs Yr 2'!Q174*'Inputs Yr 2'!R174*'Inputs Yr 2'!V174,"")</f>
        <v>0</v>
      </c>
      <c r="CD174" s="195">
        <f>IFERROR(I174*(IF('Inputs Yr 2'!$AJ174=CD$4,'Inputs Yr 2'!$AK174,IF('Inputs Yr 2'!$AL174=CD$4,'Inputs Yr 2'!$AM174,IF('Inputs Yr 2'!$AN174=CD$4,'Inputs Yr 2'!$AO174,0))))*(INDEX(avoidedcosttbl2,$H174,CD$2)+(($H174-ROUNDDOWN($H174,0))*(INDEX(avoidedcosttbl2,ROUNDUP($H174,0),CD$2)-(INDEX(avoidedcosttbl2,ROUNDDOWN($H174,0),CD$2)))))*'Inputs Yr 2'!R174*'Inputs Yr 2'!S174*'Inputs Yr 2'!W174,"")</f>
        <v>0</v>
      </c>
      <c r="CE174" s="213">
        <f t="shared" si="101"/>
        <v>0</v>
      </c>
      <c r="CF174" s="213">
        <f t="shared" si="102"/>
        <v>0</v>
      </c>
      <c r="CG174" s="213">
        <f t="shared" si="103"/>
        <v>0</v>
      </c>
      <c r="CH174" s="698">
        <f t="shared" si="104"/>
        <v>12038.549627930519</v>
      </c>
      <c r="CI174" s="79">
        <f>IFERROR(($G174*'Inputs Yr 2'!$P174*'Inputs Yr 2'!$Q174*(((INDEX(avoidedcosttbl2,$H174,CI$2)+(($H174-ROUNDDOWN($H174,0))*(INDEX(avoidedcosttbl2,ROUNDUP($H174,0),CI$2)-INDEX(avoidedcosttbl2,ROUNDDOWN($H174,0),CI$2))))*'Inputs Yr 2'!AS174))),"")</f>
        <v>0</v>
      </c>
      <c r="CJ174" s="504">
        <f>IFERROR($G174*'Inputs Yr 2'!AT174*'Inputs Yr 2'!$P174*'Inputs Yr 2'!$Q174/((1+realdiscrt1)^-0.5),"")</f>
        <v>0</v>
      </c>
      <c r="CK174" s="79">
        <f>IFERROR((O174*1000*(((INDEX(avoidedcosttbl2,$H174,CK$2)+(($H174-ROUNDDOWN($H174,0))*(INDEX(avoidedcosttbl2,ROUNDUP($H174,0),CK$2)-INDEX(avoidedcosttbl2,ROUNDDOWN($H174,0),CK$2))))*'Inputs Yr 2'!AU174))),"")</f>
        <v>0</v>
      </c>
      <c r="CL174" s="504">
        <f>IFERROR(O174*1000*'Inputs Yr 2'!AV174/((1+realdiscrt1)^-0.5),"")</f>
        <v>0</v>
      </c>
      <c r="CM174" s="79">
        <f>IFERROR((AB174*'Inputs Yr 2'!AW174*(((INDEX(avoidedcosttbl2,$H174,CM$2)+(($H174-ROUNDDOWN($H174,0))*(INDEX(avoidedcosttbl2,ROUNDUP($H174,0),CM$2)-INDEX(avoidedcosttbl2,ROUNDDOWN($H174,0),CM$2)))))))*10,"")</f>
        <v>0</v>
      </c>
      <c r="CN174" s="504">
        <f>IFERROR(10*AB174*'Inputs Yr 2'!AX174/((1+realdiscrt1)^-0.5),"")</f>
        <v>0</v>
      </c>
      <c r="CO174" s="505">
        <f t="shared" si="105"/>
        <v>0</v>
      </c>
      <c r="CP174" s="230">
        <f t="shared" si="106"/>
        <v>12038.549627930519</v>
      </c>
      <c r="CQ174" s="199">
        <f>ROUND(IFERROR(IF(LEFT($A174,1)="C",'Avoided Costs'!$K$13,'Avoided Costs'!$K$12)+1,""),4)</f>
        <v>1.0720000000000001</v>
      </c>
      <c r="CR174" s="199">
        <f>ROUND(IFERROR(IF(LEFT($A174,1)="C",'Avoided Costs'!$L$13,'Avoided Costs'!$L$12)+1,""),4)</f>
        <v>1.04</v>
      </c>
      <c r="CS174" s="199">
        <f>ROUND(IFERROR(IF(LEFT($A174,1)="C",'Avoided Costs'!$M$13,'Avoided Costs'!$M$12)+1,""),4)</f>
        <v>1.0720000000000001</v>
      </c>
      <c r="CT174" s="199">
        <f>ROUND(IFERROR(IF(LEFT($A174,1)="C",'Avoided Costs'!$N$13,'Avoided Costs'!$N$12)+1,""),4)</f>
        <v>1.04</v>
      </c>
      <c r="CU174" s="199">
        <f>ROUND(IFERROR(IF(LEFT($A174,1)="C",'Avoided Costs'!$O$13,'Avoided Costs'!$O$12)+1,""),4)</f>
        <v>1.1120000000000001</v>
      </c>
      <c r="CV174" s="199">
        <f>ROUND(IFERROR(IF(LEFT($A174,1)="C",'Avoided Costs'!$P$13,'Avoided Costs'!$P$12)+1,""),4)</f>
        <v>1.095</v>
      </c>
      <c r="CW174" s="199">
        <f>ROUND(IFERROR(IF(LEFT($A174,1)="C",'Avoided Costs'!$Q$13,'Avoided Costs'!$Q$12)+1,""),4)</f>
        <v>1.1120000000000001</v>
      </c>
      <c r="CX174" s="200">
        <f>ROUND(IFERROR(IF(LEFT($A174,1)="C",'Avoided Costs'!$R$13,'Avoided Costs'!$R$12)+1,""),4)</f>
        <v>1.1120000000000001</v>
      </c>
    </row>
    <row r="175" spans="1:102" ht="12.75" customHeight="1">
      <c r="A175" s="91" t="str">
        <f>IF('Inputs Yr 2'!$B175=0,"",'Inputs Yr 2'!A175)</f>
        <v>C - Commercial &amp; Industrial</v>
      </c>
      <c r="B175" s="91" t="str">
        <f>IF('Inputs Yr 2'!$B175=0,"",'Inputs Yr 2'!B175)</f>
        <v>C1 - C&amp;I New Construction</v>
      </c>
      <c r="C175" s="91" t="str">
        <f>IF('Inputs Yr 2'!$B175=0,"",'Inputs Yr 2'!C175)</f>
        <v>C1a - C&amp;I New Buildings &amp; Major Renovations</v>
      </c>
      <c r="D175" s="91" t="str">
        <f>IF('Inputs Yr 2'!$B175=0,"",'Inputs Yr 2'!E175)</f>
        <v>Process - Custom 20</v>
      </c>
      <c r="E175" s="93" t="str">
        <f>IF('Inputs Yr 2'!$B175=0,"",'Inputs Yr 2'!F175)</f>
        <v>G16C1a18</v>
      </c>
      <c r="F175" s="93" t="str">
        <f>IF('Inputs Yr 2'!$B175=0,"",'Inputs Yr 2'!G175)</f>
        <v>Process</v>
      </c>
      <c r="G175" s="95">
        <f>IF('Inputs Yr 2'!$H175&lt;&gt;0,('Inputs Yr 2'!H175),"")</f>
        <v>1</v>
      </c>
      <c r="H175" s="94">
        <f>IFERROR('Inputs Yr 2'!I175,"")</f>
        <v>20</v>
      </c>
      <c r="I175" s="298">
        <f>IFERROR('Inputs Yr 2'!J175*'Inputs Yr 2'!P175*G175,"")</f>
        <v>365003.5186666667</v>
      </c>
      <c r="J175" s="298">
        <f>IFERROR('Inputs Yr 2'!K175*G175,"")</f>
        <v>297881</v>
      </c>
      <c r="K175" s="298">
        <f t="shared" si="83"/>
        <v>67122.5186666667</v>
      </c>
      <c r="L175" s="194">
        <f>IFERROR(('Inputs Yr 2'!W175*G175)/1000,"")</f>
        <v>0</v>
      </c>
      <c r="M175" s="194">
        <f>IFERROR(L175*('Inputs Yr 2'!$Q175*'Inputs Yr 2'!$V175*'Inputs Yr 2'!$R175),"")</f>
        <v>0</v>
      </c>
      <c r="N175" s="194">
        <f t="shared" si="84"/>
        <v>0</v>
      </c>
      <c r="O175" s="194">
        <f>IFERROR(M175*'Inputs Yr 2'!P175,"")</f>
        <v>0</v>
      </c>
      <c r="P175" s="194">
        <f t="shared" si="85"/>
        <v>0</v>
      </c>
      <c r="Q175" s="194">
        <f>IFERROR($P175*'Inputs Yr 2'!AA175,"")</f>
        <v>0</v>
      </c>
      <c r="R175" s="194">
        <f>IFERROR($P175*'Inputs Yr 2'!AB175,"")</f>
        <v>0</v>
      </c>
      <c r="S175" s="194">
        <f>IFERROR($P175*'Inputs Yr 2'!AC175,"")</f>
        <v>0</v>
      </c>
      <c r="T175" s="194">
        <f>IFERROR($P175*'Inputs Yr 2'!AD175,"")</f>
        <v>0</v>
      </c>
      <c r="U175" s="194">
        <f>IFERROR(G175*'Inputs Yr 2'!$AE175*'Inputs Yr 2'!$P175*'Inputs Yr 2'!$Q175,"")</f>
        <v>0</v>
      </c>
      <c r="V175" s="194">
        <f>IFERROR($G175*'Inputs Yr 2'!$AE175*'Inputs Yr 2'!$AG175*'Inputs Yr 2'!Q175*'Inputs Yr 2'!$S175,"")</f>
        <v>0</v>
      </c>
      <c r="W175" s="194">
        <f>IFERROR($G175*'Inputs Yr 2'!$AE175*'Inputs Yr 2'!$AG175*'Inputs Yr 2'!P175*'Inputs Yr 2'!Q175*'Inputs Yr 2'!$S175,"")</f>
        <v>0</v>
      </c>
      <c r="X175" s="194">
        <f>IFERROR($G175*'Inputs Yr 2'!$AE175*'Inputs Yr 2'!$AF175*'Inputs Yr 2'!Q175*'Inputs Yr 2'!$T175,"")</f>
        <v>0</v>
      </c>
      <c r="Y175" s="194">
        <f>IFERROR($G175*'Inputs Yr 2'!$AE175*'Inputs Yr 2'!$AF175*'Inputs Yr 2'!P175*'Inputs Yr 2'!Q175*'Inputs Yr 2'!$T175,"")</f>
        <v>0</v>
      </c>
      <c r="Z175" s="257">
        <f>IFERROR($G175*'Inputs Yr 2'!$Q175*'Inputs Yr 2'!$U175*(IF(IFERROR(SEARCH("NG", 'Inputs Yr 2'!$AJ175),0),'Inputs Yr 2'!$AK175,0)+IF(IFERROR(SEARCH("NG", 'Inputs Yr 2'!$AL175),0),'Inputs Yr 2'!$AM175,0)+IF(IFERROR(SEARCH("NG", 'Inputs Yr 2'!$AN175),0),'Inputs Yr 2'!$AO175,0)),0)</f>
        <v>34229.400220000003</v>
      </c>
      <c r="AA175" s="257">
        <f t="shared" si="86"/>
        <v>684588.00440000009</v>
      </c>
      <c r="AB175" s="257">
        <f>IFERROR(Z175*'Inputs Yr 2'!$P175,0)</f>
        <v>31456.818802180005</v>
      </c>
      <c r="AC175" s="257">
        <f t="shared" si="87"/>
        <v>629136.37604360015</v>
      </c>
      <c r="AD175" s="257">
        <f>IFERROR($G175*'Inputs Yr 2'!$Q175*'Inputs Yr 2'!$U175*(IF(IFERROR(SEARCH("Oil", 'Inputs Yr 2'!$AJ175), 0),'Inputs Yr 2'!$AK175,0)+IF(IFERROR(SEARCH("Oil", 'Inputs Yr 2'!$AL175), 0),'Inputs Yr 2'!$AM175,0)+IF(IFERROR(SEARCH("Oil", 'Inputs Yr 2'!$AN175), 0),'Inputs Yr 2'!$AO175,0)),0)</f>
        <v>0</v>
      </c>
      <c r="AE175" s="257">
        <f t="shared" si="88"/>
        <v>0</v>
      </c>
      <c r="AF175" s="257">
        <f>IFERROR(AD175*'Inputs Yr 2'!$P175,0)</f>
        <v>0</v>
      </c>
      <c r="AG175" s="257">
        <f t="shared" si="89"/>
        <v>0</v>
      </c>
      <c r="AH175" s="257">
        <f>IFERROR($G175*'Inputs Yr 2'!$Q175*'Inputs Yr 2'!$U175*(IF('Inputs Yr 2'!$AJ175=CD$4,'Inputs Yr 2'!$AK175,IF('Inputs Yr 2'!$AL175=CD$4,'Inputs Yr 2'!$AM175,IF('Inputs Yr 2'!$AN175=CD$4,'Inputs Yr 2'!$AO175,0)))),0)</f>
        <v>0</v>
      </c>
      <c r="AI175" s="257">
        <f t="shared" si="90"/>
        <v>0</v>
      </c>
      <c r="AJ175" s="257">
        <f>IFERROR(AH175*'Inputs Yr 2'!$P175,0)</f>
        <v>0</v>
      </c>
      <c r="AK175" s="257">
        <f t="shared" si="91"/>
        <v>0</v>
      </c>
      <c r="AL175" s="258">
        <f>IFERROR($G175*'Inputs Yr 2'!$P175*'Inputs Yr 2'!$Q175*'Inputs Yr 2'!AP175,0)</f>
        <v>0</v>
      </c>
      <c r="AM175" s="260">
        <f>IFERROR($G175*'Inputs Yr 2'!$P175*'Inputs Yr 2'!$Q175*'Inputs Yr 2'!AQ175,0)</f>
        <v>0</v>
      </c>
      <c r="AN175" s="258">
        <f>IFERROR($G175*'Inputs Yr 2'!$P175*'Inputs Yr 2'!$Q175*'Inputs Yr 2'!AR175,0)</f>
        <v>0</v>
      </c>
      <c r="AO175" s="257">
        <f t="shared" si="92"/>
        <v>0</v>
      </c>
      <c r="AP175" s="195">
        <f>IFERROR($CQ175*(INDEX(avoidedcosttbl2,$H175,AP$2)+(($H175-ROUNDDOWN($H175,0))*(INDEX(avoidedcosttbl2,ROUNDUP($H175,0),AP$2)-(INDEX(avoidedcosttbl2,ROUNDDOWN($H175,0),AP$2)))))*$O175*1000*'Inputs Yr 2'!AA175,"")</f>
        <v>0</v>
      </c>
      <c r="AQ175" s="195">
        <f>IFERROR($CR175*(INDEX(avoidedcosttbl2,$H175,AQ$2)+(($H175-ROUNDDOWN($H175,0))*(INDEX(avoidedcosttbl2,ROUNDUP($H175,0),AQ$2)-(INDEX(avoidedcosttbl2,ROUNDDOWN($H175,0),AQ$2)))))*$O175*1000*'Inputs Yr 2'!AB175,"")</f>
        <v>0</v>
      </c>
      <c r="AR175" s="195">
        <f>IFERROR($CS175*(INDEX(avoidedcosttbl2,$H175,AR$2)+(($H175-ROUNDDOWN($H175,0))*(INDEX(avoidedcosttbl2,ROUNDUP($H175,0),AR$2)-(INDEX(avoidedcosttbl2,ROUNDDOWN($H175,0),AR$2)))))*$O175*1000*'Inputs Yr 2'!AC175,"")</f>
        <v>0</v>
      </c>
      <c r="AS175" s="195">
        <f>IFERROR($CT175*(INDEX(avoidedcosttbl2,$H175,AS$2)+(($H175-ROUNDDOWN($H175,0))*(INDEX(avoidedcosttbl2,ROUNDUP($H175,0),AS$2)-(INDEX(avoidedcosttbl2,ROUNDDOWN($H175,0),AS$2)))))*$O175*1000*'Inputs Yr 2'!AD175,"")</f>
        <v>0</v>
      </c>
      <c r="AT175" s="196">
        <f t="shared" si="93"/>
        <v>0</v>
      </c>
      <c r="AU175" s="197">
        <f>IFERROR($CQ175*((INDEX(avoidedcosttbl2,$H175,AU$2))+(($H175-ROUNDDOWN($H175,0))*((INDEX(avoidedcosttbl2,ROUNDUP($H175,0),AU$2))-(INDEX(avoidedcosttbl2,ROUNDDOWN($H175,0),AU$2)))))*$O175*1000*'Inputs Yr 2'!AA175,"")</f>
        <v>0</v>
      </c>
      <c r="AV175" s="197">
        <f>IFERROR($CR175*((INDEX(avoidedcosttbl2,$H175,AV$2))+(($H175-ROUNDDOWN($H175,0))*((INDEX(avoidedcosttbl2,ROUNDUP($H175,0),AV$2))-(INDEX(avoidedcosttbl2,ROUNDDOWN($H175,0),AV$2)))))*$O175*1000*'Inputs Yr 2'!AB175,"")</f>
        <v>0</v>
      </c>
      <c r="AW175" s="197">
        <f>IFERROR($CS175*((INDEX(avoidedcosttbl2,$H175,AW$2))+(($H175-ROUNDDOWN($H175,0))*((INDEX(avoidedcosttbl2,ROUNDUP($H175,0),AW$2))-(INDEX(avoidedcosttbl2,ROUNDDOWN($H175,0),AW$2)))))*$O175*1000*'Inputs Yr 2'!AC175,"")</f>
        <v>0</v>
      </c>
      <c r="AX175" s="197">
        <f>IFERROR($CT175*((INDEX(avoidedcosttbl2,$H175,AX$2))+(($H175-ROUNDDOWN($H175,0))*((INDEX(avoidedcosttbl2,ROUNDUP($H175,0),AX$2))-(INDEX(avoidedcosttbl2,ROUNDDOWN($H175,0),AX$2)))))*$O175*1000*'Inputs Yr 2'!AD175,"")</f>
        <v>0</v>
      </c>
      <c r="AY175" s="197">
        <f>IFERROR(((INDEX(avoidedcosttbl2,$H175,AY$2))+(($H175-ROUNDDOWN($H175,0))*((INDEX(avoidedcosttbl2,ROUNDUP($H175,0),AY$2))-(INDEX(avoidedcosttbl2,ROUNDDOWN($H175,0),AY$2)))))*$O175*1000*('Inputs Yr 2'!AC175+'Inputs Yr 2'!AD175),"")</f>
        <v>0</v>
      </c>
      <c r="AZ175" s="197">
        <f>IFERROR(((INDEX(avoidedcosttbl2,$H175,AZ$2))+(($H175-ROUNDDOWN($H175,0))*((INDEX(avoidedcosttbl2,ROUNDUP($H175,0),AZ$2))-(INDEX(avoidedcosttbl2,ROUNDDOWN($H175,0),AZ$2)))))*$O175*1000*('Inputs Yr 2'!AA175+'Inputs Yr 2'!AB175),"")</f>
        <v>0</v>
      </c>
      <c r="BA175" s="198">
        <f t="shared" si="94"/>
        <v>0</v>
      </c>
      <c r="BB175" s="198">
        <f t="shared" si="95"/>
        <v>0</v>
      </c>
      <c r="BC175" s="195">
        <f t="shared" si="77"/>
        <v>0</v>
      </c>
      <c r="BD175" s="195">
        <f t="shared" si="78"/>
        <v>0</v>
      </c>
      <c r="BE175" s="195">
        <f t="shared" si="79"/>
        <v>0</v>
      </c>
      <c r="BF175" s="195">
        <f t="shared" si="80"/>
        <v>0</v>
      </c>
      <c r="BG175" s="195">
        <f t="shared" si="81"/>
        <v>0</v>
      </c>
      <c r="BH175" s="196">
        <f t="shared" si="96"/>
        <v>0</v>
      </c>
      <c r="BI175" s="196">
        <f t="shared" si="97"/>
        <v>0</v>
      </c>
      <c r="BJ175" s="195">
        <f>IFERROR($G175*(IF('Inputs Yr 2'!$AJ175=BJ$4,'Inputs Yr 2'!$AK175,IF('Inputs Yr 2'!$AL175=BJ$4,'Inputs Yr 2'!$AM175,IF('Inputs Yr 2'!$AN175=BJ$4,'Inputs Yr 2'!$AO175,0))))*(INDEX(avoidedcosttbl2,$H175,BJ$2)+(($H175-ROUNDDOWN($H175,0))*(INDEX(avoidedcosttbl2,ROUNDUP($H175,0),BJ$2)-(INDEX(avoidedcosttbl2,ROUNDDOWN($H175,0),BJ$2)))))*'Inputs Yr 2'!P175*'Inputs Yr 2'!Q175*'Inputs Yr 2'!U175,"")</f>
        <v>0</v>
      </c>
      <c r="BK175" s="195">
        <f>IFERROR($G175*(IF('Inputs Yr 2'!$AJ175=BK$4,'Inputs Yr 2'!$AK175,IF('Inputs Yr 2'!$AL175=BK$4,'Inputs Yr 2'!$AM175,IF('Inputs Yr 2'!$AN175=BK$4,'Inputs Yr 2'!$AO175,0))))*(INDEX(avoidedcosttbl2,$H175,BK$2)+(($H175-ROUNDDOWN($H175,0))*(INDEX(avoidedcosttbl2,ROUNDUP($H175,0),BK$2)-(INDEX(avoidedcosttbl2,ROUNDDOWN($H175,0),BK$2)))))*'Inputs Yr 2'!P175*'Inputs Yr 2'!Q175*'Inputs Yr 2'!U175,"")</f>
        <v>0</v>
      </c>
      <c r="BL175" s="195">
        <f>IFERROR($G175*(IF('Inputs Yr 2'!$AJ175=BL$4,'Inputs Yr 2'!$AK175,IF('Inputs Yr 2'!$AL175=BL$4,'Inputs Yr 2'!$AM175,IF('Inputs Yr 2'!$AN175=BL$4,'Inputs Yr 2'!$AO175,0))))*(INDEX(avoidedcosttbl2,$H175,BL$2)+(($H175-ROUNDDOWN($H175,0))*(INDEX(avoidedcosttbl2,ROUNDUP($H175,0),BL$2)-(INDEX(avoidedcosttbl2,ROUNDDOWN($H175,0),BL$2)))))*'Inputs Yr 2'!P175*'Inputs Yr 2'!Q175*'Inputs Yr 2'!U175,"")</f>
        <v>0</v>
      </c>
      <c r="BM175" s="195">
        <f>IFERROR($G175*(IF('Inputs Yr 2'!$AJ175=BM$4,'Inputs Yr 2'!$AK175,IF('Inputs Yr 2'!$AL175=BM$4,'Inputs Yr 2'!$AM175,IF('Inputs Yr 2'!$AN175=BM$4,'Inputs Yr 2'!$AO175,0))))*(INDEX(avoidedcosttbl2,$H175,BM$2)+(($H175-ROUNDDOWN($H175,0))*(INDEX(avoidedcosttbl2,ROUNDUP($H175,0),BM$2)-(INDEX(avoidedcosttbl2,ROUNDDOWN($H175,0),BM$2)))))*'Inputs Yr 2'!P175*'Inputs Yr 2'!Q175*'Inputs Yr 2'!U175,"")</f>
        <v>0</v>
      </c>
      <c r="BN175" s="195">
        <f>IFERROR($G175*(IF('Inputs Yr 2'!$AJ175=BN$4,'Inputs Yr 2'!$AK175,IF('Inputs Yr 2'!$AL175=BN$4,'Inputs Yr 2'!$AM175,IF('Inputs Yr 2'!$AN175=BN$4,'Inputs Yr 2'!$AO175,0))))*(INDEX(avoidedcosttbl2,$H175,BN$2)+(($H175-ROUNDDOWN($H175,0))*(INDEX(avoidedcosttbl2,ROUNDUP($H175,0),BN$2)-(INDEX(avoidedcosttbl2,ROUNDDOWN($H175,0),BN$2)))))*'Inputs Yr 2'!P175*'Inputs Yr 2'!Q175*'Inputs Yr 2'!U175,"")</f>
        <v>0</v>
      </c>
      <c r="BO175" s="195">
        <f>IFERROR($G175*(IF('Inputs Yr 2'!$AJ175=BO$4,'Inputs Yr 2'!$AK175,IF('Inputs Yr 2'!$AL175=BO$4,'Inputs Yr 2'!$AM175,IF('Inputs Yr 2'!$AN175=BO$4,'Inputs Yr 2'!$AO175,0))))*(INDEX(avoidedcosttbl2,$H175,BO$2)+(($H175-ROUNDDOWN($H175,0))*(INDEX(avoidedcosttbl2,ROUNDUP($H175,0),BO$2)-(INDEX(avoidedcosttbl2,ROUNDDOWN($H175,0),BO$2)))))*'Inputs Yr 2'!P175*'Inputs Yr 2'!Q175*'Inputs Yr 2'!U175,"")</f>
        <v>0</v>
      </c>
      <c r="BP175" s="195">
        <f>IFERROR($G175*(IF('Inputs Yr 2'!$AJ175=BP$4,'Inputs Yr 2'!$AK175,IF('Inputs Yr 2'!$AL175=BP$4,'Inputs Yr 2'!$AM175,IF('Inputs Yr 2'!$AN175=BP$4,'Inputs Yr 2'!$AO175,0))))*(INDEX(avoidedcosttbl2,$H175,BP$2)+(($H175-ROUNDDOWN($H175,0))*(INDEX(avoidedcosttbl2,ROUNDUP($H175,0),BP$2)-(INDEX(avoidedcosttbl2,ROUNDDOWN($H175,0),BP$2)))))*'Inputs Yr 2'!P175*'Inputs Yr 2'!Q175*'Inputs Yr 2'!U175,"")</f>
        <v>4871443.9322732501</v>
      </c>
      <c r="BQ175" s="230">
        <f t="shared" si="98"/>
        <v>4871443.9322732501</v>
      </c>
      <c r="BR175" s="197">
        <f t="shared" si="82"/>
        <v>84355.354345657644</v>
      </c>
      <c r="BS175" s="197">
        <f>IFERROR(($G175*IF('Inputs Yr 2'!$AJ175=BM$4,'Inputs Yr 2'!$AK175,IF('Inputs Yr 2'!$AL175=BM$4,'Inputs Yr 2'!$AM175,IF('Inputs Yr 2'!$AN175=BM$4,'Inputs Yr 2'!$AO175,0))))*(INDEX(avoidedcosttbl2,$H175,BS$2)+(($H175-ROUNDDOWN($H175,0))*(INDEX(avoidedcosttbl2,ROUNDUP($H175,0),BS$2)-(INDEX(avoidedcosttbl2,ROUNDDOWN($H175,0),BS$2)))))*'Inputs Yr 2'!P175*'Inputs Yr 2'!Q175*'Inputs Yr 2'!U175,"")</f>
        <v>0</v>
      </c>
      <c r="BT175" s="197">
        <f>IFERROR(($G175*IF('Inputs Yr 2'!$AJ175=BK$4,'Inputs Yr 2'!$AK175,IF('Inputs Yr 2'!$AL175=BK$4,'Inputs Yr 2'!$AM175,IF('Inputs Yr 2'!$AN175=BK$4,'Inputs Yr 2'!$AO175,0))))*(INDEX(avoidedcosttbl2,$H175,BT$2)+(($H175-ROUNDDOWN($H175,0))*(INDEX(avoidedcosttbl2,ROUNDUP($H175,0),BT$2)-(INDEX(avoidedcosttbl2,ROUNDDOWN($H175,0),BT$2)))))*'Inputs Yr 2'!P175*'Inputs Yr 2'!Q175*'Inputs Yr 2'!U175,"")</f>
        <v>0</v>
      </c>
      <c r="BU175" s="197">
        <f>IFERROR(($G175*IF('Inputs Yr 2'!$AJ175=BL$4,'Inputs Yr 2'!$AK175,IF('Inputs Yr 2'!$AL175=BL$4,'Inputs Yr 2'!$AM175,IF('Inputs Yr 2'!$AN175=BL$4,'Inputs Yr 2'!$AO175,0))))*(INDEX(avoidedcosttbl2,$H175,BU$2)+(($H175-ROUNDDOWN($H175,0))*(INDEX(avoidedcosttbl2,ROUNDUP($H175,0),BU$2)-(INDEX(avoidedcosttbl2,ROUNDDOWN($H175,0),BU$2)))))*'Inputs Yr 2'!P175*'Inputs Yr 2'!Q175*'Inputs Yr 2'!U175,"")</f>
        <v>0</v>
      </c>
      <c r="BV175" s="775">
        <f>IFERROR(($G175*IF('Inputs Yr 2'!$AJ175=BJ$4,'Inputs Yr 2'!$AK175,IF('Inputs Yr 2'!$AL175=BJ$4,'Inputs Yr 2'!$AM175,IF('Inputs Yr 2'!$AN175=BJ$4,'Inputs Yr 2'!$AO175,0))))*(INDEX(avoidedcosttbl2,$H175,BV$2)+(($H175-ROUNDDOWN($H175,0))*(INDEX(avoidedcosttbl2,ROUNDUP($H175,0),BV$2)-(INDEX(avoidedcosttbl2,ROUNDDOWN($H175,0),BV$2)))))*'Inputs Yr 2'!P175*'Inputs Yr 2'!Q175*'Inputs Yr 2'!U175,"")</f>
        <v>0</v>
      </c>
      <c r="BW175" s="197">
        <f>IFERROR(($G175*IF('Inputs Yr 2'!$AJ175=BN$4,'Inputs Yr 2'!$AK175,IF('Inputs Yr 2'!$AL175=BN$4,'Inputs Yr 2'!$AM175,IF('Inputs Yr 2'!$AN175=BN$4,'Inputs Yr 2'!$AO175,0))))*(INDEX(avoidedcosttbl2,$H175,BW$2)+(($H175-ROUNDDOWN($H175,0))*(INDEX(avoidedcosttbl2,ROUNDUP($H175,0),BW$2)-(INDEX(avoidedcosttbl2,ROUNDDOWN($H175,0),BW$2)))))*'Inputs Yr 2'!P175*'Inputs Yr 2'!Q175*'Inputs Yr 2'!U175,"")</f>
        <v>0</v>
      </c>
      <c r="BX175" s="197">
        <f>IFERROR(($G175*IF('Inputs Yr 2'!$AJ175=BO$4,'Inputs Yr 2'!$AK175,IF('Inputs Yr 2'!$AL175=BO$4,'Inputs Yr 2'!$AM175,IF('Inputs Yr 2'!$AN175=BO$4,'Inputs Yr 2'!$AO175,0))))*(INDEX(avoidedcosttbl2,$H175,BX$2)+(($H175-ROUNDDOWN($H175,0))*(INDEX(avoidedcosttbl2,ROUNDUP($H175,0),BX$2)-(INDEX(avoidedcosttbl2,ROUNDDOWN($H175,0),BX$2)))))*'Inputs Yr 2'!P175*'Inputs Yr 2'!Q175*'Inputs Yr 2'!U175,"")</f>
        <v>0</v>
      </c>
      <c r="BY175" s="197">
        <f>IFERROR(($G175*IF('Inputs Yr 2'!$AJ175=BP$4,'Inputs Yr 2'!$AK175,IF('Inputs Yr 2'!$AL175=BP$4,'Inputs Yr 2'!$AM175,IF('Inputs Yr 2'!$AN175=BP$4,'Inputs Yr 2'!$AO175,0))))*(INDEX(avoidedcosttbl2,$H175,BY$2)+(($H175-ROUNDDOWN($H175,0))*(INDEX(avoidedcosttbl2,ROUNDUP($H175,0),BY$2)-(INDEX(avoidedcosttbl2,ROUNDDOWN($H175,0),BY$2)))))*'Inputs Yr 2'!P175*'Inputs Yr 2'!Q175*'Inputs Yr 2'!U175,"")</f>
        <v>294266.19797424314</v>
      </c>
      <c r="BZ175" s="193">
        <f t="shared" si="99"/>
        <v>378621.55231990077</v>
      </c>
      <c r="CA175" s="193">
        <f t="shared" si="100"/>
        <v>5250065.4845931511</v>
      </c>
      <c r="CB175" s="195">
        <f>IFERROR(G175*(IF('Inputs Yr 2'!$AJ175=CB$4,'Inputs Yr 2'!$AK175,IF('Inputs Yr 2'!$AL175=CB$4,'Inputs Yr 2'!$AM175,IF('Inputs Yr 2'!$AN175=CB$4,'Inputs Yr 2'!$AO175,0))))*(INDEX(avoidedcosttbl2,$H175,CB$2)+(($H175-ROUNDDOWN($H175,0))*(INDEX(avoidedcosttbl2,ROUNDUP($H175,0),CB$2)-(INDEX(avoidedcosttbl2,ROUNDDOWN($H175,0),CB$2)))))*'Inputs Yr 2'!P175*'Inputs Yr 2'!Q175*'Inputs Yr 2'!U175,"")</f>
        <v>0</v>
      </c>
      <c r="CC175" s="195">
        <f>IFERROR(H175*(IF('Inputs Yr 2'!$AJ175=CC$4,'Inputs Yr 2'!$AK175,IF('Inputs Yr 2'!$AL175=CC$4,'Inputs Yr 2'!$AM175,IF('Inputs Yr 2'!$AN175=CC$4,'Inputs Yr 2'!$AO175,0))))*(INDEX(avoidedcosttbl2,$H175,CC$2)+(($H175-ROUNDDOWN($H175,0))*(INDEX(avoidedcosttbl2,ROUNDUP($H175,0),CC$2)-(INDEX(avoidedcosttbl2,ROUNDDOWN($H175,0),CC$2)))))*'Inputs Yr 2'!Q175*'Inputs Yr 2'!R175*'Inputs Yr 2'!V175,"")</f>
        <v>0</v>
      </c>
      <c r="CD175" s="195">
        <f>IFERROR(I175*(IF('Inputs Yr 2'!$AJ175=CD$4,'Inputs Yr 2'!$AK175,IF('Inputs Yr 2'!$AL175=CD$4,'Inputs Yr 2'!$AM175,IF('Inputs Yr 2'!$AN175=CD$4,'Inputs Yr 2'!$AO175,0))))*(INDEX(avoidedcosttbl2,$H175,CD$2)+(($H175-ROUNDDOWN($H175,0))*(INDEX(avoidedcosttbl2,ROUNDUP($H175,0),CD$2)-(INDEX(avoidedcosttbl2,ROUNDDOWN($H175,0),CD$2)))))*'Inputs Yr 2'!R175*'Inputs Yr 2'!S175*'Inputs Yr 2'!W175,"")</f>
        <v>0</v>
      </c>
      <c r="CE175" s="213">
        <f t="shared" si="101"/>
        <v>0</v>
      </c>
      <c r="CF175" s="213">
        <f t="shared" si="102"/>
        <v>0</v>
      </c>
      <c r="CG175" s="213">
        <f t="shared" si="103"/>
        <v>0</v>
      </c>
      <c r="CH175" s="698">
        <f t="shared" si="104"/>
        <v>5250065.4845931511</v>
      </c>
      <c r="CI175" s="79">
        <f>IFERROR(($G175*'Inputs Yr 2'!$P175*'Inputs Yr 2'!$Q175*(((INDEX(avoidedcosttbl2,$H175,CI$2)+(($H175-ROUNDDOWN($H175,0))*(INDEX(avoidedcosttbl2,ROUNDUP($H175,0),CI$2)-INDEX(avoidedcosttbl2,ROUNDDOWN($H175,0),CI$2))))*'Inputs Yr 2'!AS175))),"")</f>
        <v>0</v>
      </c>
      <c r="CJ175" s="504">
        <f>IFERROR($G175*'Inputs Yr 2'!AT175*'Inputs Yr 2'!$P175*'Inputs Yr 2'!$Q175/((1+realdiscrt1)^-0.5),"")</f>
        <v>0</v>
      </c>
      <c r="CK175" s="79">
        <f>IFERROR((O175*1000*(((INDEX(avoidedcosttbl2,$H175,CK$2)+(($H175-ROUNDDOWN($H175,0))*(INDEX(avoidedcosttbl2,ROUNDUP($H175,0),CK$2)-INDEX(avoidedcosttbl2,ROUNDDOWN($H175,0),CK$2))))*'Inputs Yr 2'!AU175))),"")</f>
        <v>0</v>
      </c>
      <c r="CL175" s="504">
        <f>IFERROR(O175*1000*'Inputs Yr 2'!AV175/((1+realdiscrt1)^-0.5),"")</f>
        <v>0</v>
      </c>
      <c r="CM175" s="79">
        <f>IFERROR((AB175*'Inputs Yr 2'!AW175*(((INDEX(avoidedcosttbl2,$H175,CM$2)+(($H175-ROUNDDOWN($H175,0))*(INDEX(avoidedcosttbl2,ROUNDUP($H175,0),CM$2)-INDEX(avoidedcosttbl2,ROUNDDOWN($H175,0),CM$2)))))))*10,"")</f>
        <v>0</v>
      </c>
      <c r="CN175" s="504">
        <f>IFERROR(10*AB175*'Inputs Yr 2'!AX175/((1+realdiscrt1)^-0.5),"")</f>
        <v>0</v>
      </c>
      <c r="CO175" s="505">
        <f t="shared" si="105"/>
        <v>0</v>
      </c>
      <c r="CP175" s="230">
        <f t="shared" si="106"/>
        <v>5250065.4845931511</v>
      </c>
      <c r="CQ175" s="199">
        <f>ROUND(IFERROR(IF(LEFT($A175,1)="C",'Avoided Costs'!$K$13,'Avoided Costs'!$K$12)+1,""),4)</f>
        <v>1.0720000000000001</v>
      </c>
      <c r="CR175" s="199">
        <f>ROUND(IFERROR(IF(LEFT($A175,1)="C",'Avoided Costs'!$L$13,'Avoided Costs'!$L$12)+1,""),4)</f>
        <v>1.04</v>
      </c>
      <c r="CS175" s="199">
        <f>ROUND(IFERROR(IF(LEFT($A175,1)="C",'Avoided Costs'!$M$13,'Avoided Costs'!$M$12)+1,""),4)</f>
        <v>1.0720000000000001</v>
      </c>
      <c r="CT175" s="199">
        <f>ROUND(IFERROR(IF(LEFT($A175,1)="C",'Avoided Costs'!$N$13,'Avoided Costs'!$N$12)+1,""),4)</f>
        <v>1.04</v>
      </c>
      <c r="CU175" s="199">
        <f>ROUND(IFERROR(IF(LEFT($A175,1)="C",'Avoided Costs'!$O$13,'Avoided Costs'!$O$12)+1,""),4)</f>
        <v>1.1120000000000001</v>
      </c>
      <c r="CV175" s="199">
        <f>ROUND(IFERROR(IF(LEFT($A175,1)="C",'Avoided Costs'!$P$13,'Avoided Costs'!$P$12)+1,""),4)</f>
        <v>1.095</v>
      </c>
      <c r="CW175" s="199">
        <f>ROUND(IFERROR(IF(LEFT($A175,1)="C",'Avoided Costs'!$Q$13,'Avoided Costs'!$Q$12)+1,""),4)</f>
        <v>1.1120000000000001</v>
      </c>
      <c r="CX175" s="200">
        <f>ROUND(IFERROR(IF(LEFT($A175,1)="C",'Avoided Costs'!$R$13,'Avoided Costs'!$R$12)+1,""),4)</f>
        <v>1.1120000000000001</v>
      </c>
    </row>
    <row r="176" spans="1:102" ht="12.75" customHeight="1">
      <c r="A176" s="91" t="str">
        <f>IF('Inputs Yr 2'!$B176=0,"",'Inputs Yr 2'!A176)</f>
        <v>C - Commercial &amp; Industrial</v>
      </c>
      <c r="B176" s="91" t="str">
        <f>IF('Inputs Yr 2'!$B176=0,"",'Inputs Yr 2'!B176)</f>
        <v>C1 - C&amp;I New Construction</v>
      </c>
      <c r="C176" s="91" t="str">
        <f>IF('Inputs Yr 2'!$B176=0,"",'Inputs Yr 2'!C176)</f>
        <v>C1a - C&amp;I New Buildings &amp; Major Renovations</v>
      </c>
      <c r="D176" s="91" t="str">
        <f>IF('Inputs Yr 2'!$B176=0,"",'Inputs Yr 2'!E176)</f>
        <v>Furnace w/ECM 95%</v>
      </c>
      <c r="E176" s="93" t="str">
        <f>IF('Inputs Yr 2'!$B176=0,"",'Inputs Yr 2'!F176)</f>
        <v>G16C1a19</v>
      </c>
      <c r="F176" s="93" t="str">
        <f>IF('Inputs Yr 2'!$B176=0,"",'Inputs Yr 2'!G176)</f>
        <v>HVAC</v>
      </c>
      <c r="G176" s="95" t="str">
        <f>IF('Inputs Yr 2'!$H176&lt;&gt;0,('Inputs Yr 2'!H176),"")</f>
        <v/>
      </c>
      <c r="H176" s="94">
        <f>IFERROR('Inputs Yr 2'!I176,"")</f>
        <v>18</v>
      </c>
      <c r="I176" s="298" t="str">
        <f>IFERROR('Inputs Yr 2'!J176*'Inputs Yr 2'!P176*G176,"")</f>
        <v/>
      </c>
      <c r="J176" s="298" t="str">
        <f>IFERROR('Inputs Yr 2'!K176*G176,"")</f>
        <v/>
      </c>
      <c r="K176" s="298" t="str">
        <f t="shared" si="83"/>
        <v/>
      </c>
      <c r="L176" s="194" t="str">
        <f>IFERROR(('Inputs Yr 2'!W176*G176)/1000,"")</f>
        <v/>
      </c>
      <c r="M176" s="194" t="str">
        <f>IFERROR(L176*('Inputs Yr 2'!$Q176*'Inputs Yr 2'!$V176*'Inputs Yr 2'!$R176),"")</f>
        <v/>
      </c>
      <c r="N176" s="194" t="str">
        <f t="shared" si="84"/>
        <v/>
      </c>
      <c r="O176" s="194" t="str">
        <f>IFERROR(M176*'Inputs Yr 2'!P176,"")</f>
        <v/>
      </c>
      <c r="P176" s="194" t="str">
        <f t="shared" si="85"/>
        <v/>
      </c>
      <c r="Q176" s="194" t="str">
        <f>IFERROR($P176*'Inputs Yr 2'!AA176,"")</f>
        <v/>
      </c>
      <c r="R176" s="194" t="str">
        <f>IFERROR($P176*'Inputs Yr 2'!AB176,"")</f>
        <v/>
      </c>
      <c r="S176" s="194" t="str">
        <f>IFERROR($P176*'Inputs Yr 2'!AC176,"")</f>
        <v/>
      </c>
      <c r="T176" s="194" t="str">
        <f>IFERROR($P176*'Inputs Yr 2'!AD176,"")</f>
        <v/>
      </c>
      <c r="U176" s="194" t="str">
        <f>IFERROR(G176*'Inputs Yr 2'!$AE176*'Inputs Yr 2'!$P176*'Inputs Yr 2'!$Q176,"")</f>
        <v/>
      </c>
      <c r="V176" s="194" t="str">
        <f>IFERROR($G176*'Inputs Yr 2'!$AE176*'Inputs Yr 2'!$AG176*'Inputs Yr 2'!Q176*'Inputs Yr 2'!$S176,"")</f>
        <v/>
      </c>
      <c r="W176" s="194" t="str">
        <f>IFERROR($G176*'Inputs Yr 2'!$AE176*'Inputs Yr 2'!$AG176*'Inputs Yr 2'!P176*'Inputs Yr 2'!Q176*'Inputs Yr 2'!$S176,"")</f>
        <v/>
      </c>
      <c r="X176" s="194" t="str">
        <f>IFERROR($G176*'Inputs Yr 2'!$AE176*'Inputs Yr 2'!$AF176*'Inputs Yr 2'!Q176*'Inputs Yr 2'!$T176,"")</f>
        <v/>
      </c>
      <c r="Y176" s="194" t="str">
        <f>IFERROR($G176*'Inputs Yr 2'!$AE176*'Inputs Yr 2'!$AF176*'Inputs Yr 2'!P176*'Inputs Yr 2'!Q176*'Inputs Yr 2'!$T176,"")</f>
        <v/>
      </c>
      <c r="Z176" s="257">
        <f>IFERROR($G176*'Inputs Yr 2'!$Q176*'Inputs Yr 2'!$U176*(IF(IFERROR(SEARCH("NG", 'Inputs Yr 2'!$AJ176),0),'Inputs Yr 2'!$AK176,0)+IF(IFERROR(SEARCH("NG", 'Inputs Yr 2'!$AL176),0),'Inputs Yr 2'!$AM176,0)+IF(IFERROR(SEARCH("NG", 'Inputs Yr 2'!$AN176),0),'Inputs Yr 2'!$AO176,0)),0)</f>
        <v>0</v>
      </c>
      <c r="AA176" s="257">
        <f t="shared" si="86"/>
        <v>0</v>
      </c>
      <c r="AB176" s="257">
        <f>IFERROR(Z176*'Inputs Yr 2'!$P176,0)</f>
        <v>0</v>
      </c>
      <c r="AC176" s="257">
        <f t="shared" si="87"/>
        <v>0</v>
      </c>
      <c r="AD176" s="257">
        <f>IFERROR($G176*'Inputs Yr 2'!$Q176*'Inputs Yr 2'!$U176*(IF(IFERROR(SEARCH("Oil", 'Inputs Yr 2'!$AJ176), 0),'Inputs Yr 2'!$AK176,0)+IF(IFERROR(SEARCH("Oil", 'Inputs Yr 2'!$AL176), 0),'Inputs Yr 2'!$AM176,0)+IF(IFERROR(SEARCH("Oil", 'Inputs Yr 2'!$AN176), 0),'Inputs Yr 2'!$AO176,0)),0)</f>
        <v>0</v>
      </c>
      <c r="AE176" s="257">
        <f t="shared" si="88"/>
        <v>0</v>
      </c>
      <c r="AF176" s="257">
        <f>IFERROR(AD176*'Inputs Yr 2'!$P176,0)</f>
        <v>0</v>
      </c>
      <c r="AG176" s="257">
        <f t="shared" si="89"/>
        <v>0</v>
      </c>
      <c r="AH176" s="257">
        <f>IFERROR($G176*'Inputs Yr 2'!$Q176*'Inputs Yr 2'!$U176*(IF('Inputs Yr 2'!$AJ176=CD$4,'Inputs Yr 2'!$AK176,IF('Inputs Yr 2'!$AL176=CD$4,'Inputs Yr 2'!$AM176,IF('Inputs Yr 2'!$AN176=CD$4,'Inputs Yr 2'!$AO176,0)))),0)</f>
        <v>0</v>
      </c>
      <c r="AI176" s="257">
        <f t="shared" si="90"/>
        <v>0</v>
      </c>
      <c r="AJ176" s="257">
        <f>IFERROR(AH176*'Inputs Yr 2'!$P176,0)</f>
        <v>0</v>
      </c>
      <c r="AK176" s="257">
        <f t="shared" si="91"/>
        <v>0</v>
      </c>
      <c r="AL176" s="258">
        <f>IFERROR($G176*'Inputs Yr 2'!$P176*'Inputs Yr 2'!$Q176*'Inputs Yr 2'!AP176,0)</f>
        <v>0</v>
      </c>
      <c r="AM176" s="260">
        <f>IFERROR($G176*'Inputs Yr 2'!$P176*'Inputs Yr 2'!$Q176*'Inputs Yr 2'!AQ176,0)</f>
        <v>0</v>
      </c>
      <c r="AN176" s="258">
        <f>IFERROR($G176*'Inputs Yr 2'!$P176*'Inputs Yr 2'!$Q176*'Inputs Yr 2'!AR176,0)</f>
        <v>0</v>
      </c>
      <c r="AO176" s="257">
        <f t="shared" si="92"/>
        <v>0</v>
      </c>
      <c r="AP176" s="195" t="str">
        <f>IFERROR($CQ176*(INDEX(avoidedcosttbl2,$H176,AP$2)+(($H176-ROUNDDOWN($H176,0))*(INDEX(avoidedcosttbl2,ROUNDUP($H176,0),AP$2)-(INDEX(avoidedcosttbl2,ROUNDDOWN($H176,0),AP$2)))))*$O176*1000*'Inputs Yr 2'!AA176,"")</f>
        <v/>
      </c>
      <c r="AQ176" s="195" t="str">
        <f>IFERROR($CR176*(INDEX(avoidedcosttbl2,$H176,AQ$2)+(($H176-ROUNDDOWN($H176,0))*(INDEX(avoidedcosttbl2,ROUNDUP($H176,0),AQ$2)-(INDEX(avoidedcosttbl2,ROUNDDOWN($H176,0),AQ$2)))))*$O176*1000*'Inputs Yr 2'!AB176,"")</f>
        <v/>
      </c>
      <c r="AR176" s="195" t="str">
        <f>IFERROR($CS176*(INDEX(avoidedcosttbl2,$H176,AR$2)+(($H176-ROUNDDOWN($H176,0))*(INDEX(avoidedcosttbl2,ROUNDUP($H176,0),AR$2)-(INDEX(avoidedcosttbl2,ROUNDDOWN($H176,0),AR$2)))))*$O176*1000*'Inputs Yr 2'!AC176,"")</f>
        <v/>
      </c>
      <c r="AS176" s="195" t="str">
        <f>IFERROR($CT176*(INDEX(avoidedcosttbl2,$H176,AS$2)+(($H176-ROUNDDOWN($H176,0))*(INDEX(avoidedcosttbl2,ROUNDUP($H176,0),AS$2)-(INDEX(avoidedcosttbl2,ROUNDDOWN($H176,0),AS$2)))))*$O176*1000*'Inputs Yr 2'!AD176,"")</f>
        <v/>
      </c>
      <c r="AT176" s="196">
        <f t="shared" si="93"/>
        <v>0</v>
      </c>
      <c r="AU176" s="197" t="str">
        <f>IFERROR($CQ176*((INDEX(avoidedcosttbl2,$H176,AU$2))+(($H176-ROUNDDOWN($H176,0))*((INDEX(avoidedcosttbl2,ROUNDUP($H176,0),AU$2))-(INDEX(avoidedcosttbl2,ROUNDDOWN($H176,0),AU$2)))))*$O176*1000*'Inputs Yr 2'!AA176,"")</f>
        <v/>
      </c>
      <c r="AV176" s="197" t="str">
        <f>IFERROR($CR176*((INDEX(avoidedcosttbl2,$H176,AV$2))+(($H176-ROUNDDOWN($H176,0))*((INDEX(avoidedcosttbl2,ROUNDUP($H176,0),AV$2))-(INDEX(avoidedcosttbl2,ROUNDDOWN($H176,0),AV$2)))))*$O176*1000*'Inputs Yr 2'!AB176,"")</f>
        <v/>
      </c>
      <c r="AW176" s="197" t="str">
        <f>IFERROR($CS176*((INDEX(avoidedcosttbl2,$H176,AW$2))+(($H176-ROUNDDOWN($H176,0))*((INDEX(avoidedcosttbl2,ROUNDUP($H176,0),AW$2))-(INDEX(avoidedcosttbl2,ROUNDDOWN($H176,0),AW$2)))))*$O176*1000*'Inputs Yr 2'!AC176,"")</f>
        <v/>
      </c>
      <c r="AX176" s="197" t="str">
        <f>IFERROR($CT176*((INDEX(avoidedcosttbl2,$H176,AX$2))+(($H176-ROUNDDOWN($H176,0))*((INDEX(avoidedcosttbl2,ROUNDUP($H176,0),AX$2))-(INDEX(avoidedcosttbl2,ROUNDDOWN($H176,0),AX$2)))))*$O176*1000*'Inputs Yr 2'!AD176,"")</f>
        <v/>
      </c>
      <c r="AY176" s="197" t="str">
        <f>IFERROR(((INDEX(avoidedcosttbl2,$H176,AY$2))+(($H176-ROUNDDOWN($H176,0))*((INDEX(avoidedcosttbl2,ROUNDUP($H176,0),AY$2))-(INDEX(avoidedcosttbl2,ROUNDDOWN($H176,0),AY$2)))))*$O176*1000*('Inputs Yr 2'!AC176+'Inputs Yr 2'!AD176),"")</f>
        <v/>
      </c>
      <c r="AZ176" s="197" t="str">
        <f>IFERROR(((INDEX(avoidedcosttbl2,$H176,AZ$2))+(($H176-ROUNDDOWN($H176,0))*((INDEX(avoidedcosttbl2,ROUNDUP($H176,0),AZ$2))-(INDEX(avoidedcosttbl2,ROUNDDOWN($H176,0),AZ$2)))))*$O176*1000*('Inputs Yr 2'!AA176+'Inputs Yr 2'!AB176),"")</f>
        <v/>
      </c>
      <c r="BA176" s="198">
        <f t="shared" si="94"/>
        <v>0</v>
      </c>
      <c r="BB176" s="198">
        <f t="shared" si="95"/>
        <v>0</v>
      </c>
      <c r="BC176" s="195" t="str">
        <f t="shared" si="77"/>
        <v/>
      </c>
      <c r="BD176" s="195" t="str">
        <f t="shared" si="78"/>
        <v/>
      </c>
      <c r="BE176" s="195" t="str">
        <f t="shared" si="79"/>
        <v/>
      </c>
      <c r="BF176" s="195" t="str">
        <f t="shared" si="80"/>
        <v/>
      </c>
      <c r="BG176" s="195" t="str">
        <f t="shared" si="81"/>
        <v/>
      </c>
      <c r="BH176" s="196">
        <f t="shared" si="96"/>
        <v>0</v>
      </c>
      <c r="BI176" s="196">
        <f t="shared" si="97"/>
        <v>0</v>
      </c>
      <c r="BJ176" s="195" t="str">
        <f>IFERROR($G176*(IF('Inputs Yr 2'!$AJ176=BJ$4,'Inputs Yr 2'!$AK176,IF('Inputs Yr 2'!$AL176=BJ$4,'Inputs Yr 2'!$AM176,IF('Inputs Yr 2'!$AN176=BJ$4,'Inputs Yr 2'!$AO176,0))))*(INDEX(avoidedcosttbl2,$H176,BJ$2)+(($H176-ROUNDDOWN($H176,0))*(INDEX(avoidedcosttbl2,ROUNDUP($H176,0),BJ$2)-(INDEX(avoidedcosttbl2,ROUNDDOWN($H176,0),BJ$2)))))*'Inputs Yr 2'!P176*'Inputs Yr 2'!Q176*'Inputs Yr 2'!U176,"")</f>
        <v/>
      </c>
      <c r="BK176" s="195" t="str">
        <f>IFERROR($G176*(IF('Inputs Yr 2'!$AJ176=BK$4,'Inputs Yr 2'!$AK176,IF('Inputs Yr 2'!$AL176=BK$4,'Inputs Yr 2'!$AM176,IF('Inputs Yr 2'!$AN176=BK$4,'Inputs Yr 2'!$AO176,0))))*(INDEX(avoidedcosttbl2,$H176,BK$2)+(($H176-ROUNDDOWN($H176,0))*(INDEX(avoidedcosttbl2,ROUNDUP($H176,0),BK$2)-(INDEX(avoidedcosttbl2,ROUNDDOWN($H176,0),BK$2)))))*'Inputs Yr 2'!P176*'Inputs Yr 2'!Q176*'Inputs Yr 2'!U176,"")</f>
        <v/>
      </c>
      <c r="BL176" s="195" t="str">
        <f>IFERROR($G176*(IF('Inputs Yr 2'!$AJ176=BL$4,'Inputs Yr 2'!$AK176,IF('Inputs Yr 2'!$AL176=BL$4,'Inputs Yr 2'!$AM176,IF('Inputs Yr 2'!$AN176=BL$4,'Inputs Yr 2'!$AO176,0))))*(INDEX(avoidedcosttbl2,$H176,BL$2)+(($H176-ROUNDDOWN($H176,0))*(INDEX(avoidedcosttbl2,ROUNDUP($H176,0),BL$2)-(INDEX(avoidedcosttbl2,ROUNDDOWN($H176,0),BL$2)))))*'Inputs Yr 2'!P176*'Inputs Yr 2'!Q176*'Inputs Yr 2'!U176,"")</f>
        <v/>
      </c>
      <c r="BM176" s="195" t="str">
        <f>IFERROR($G176*(IF('Inputs Yr 2'!$AJ176=BM$4,'Inputs Yr 2'!$AK176,IF('Inputs Yr 2'!$AL176=BM$4,'Inputs Yr 2'!$AM176,IF('Inputs Yr 2'!$AN176=BM$4,'Inputs Yr 2'!$AO176,0))))*(INDEX(avoidedcosttbl2,$H176,BM$2)+(($H176-ROUNDDOWN($H176,0))*(INDEX(avoidedcosttbl2,ROUNDUP($H176,0),BM$2)-(INDEX(avoidedcosttbl2,ROUNDDOWN($H176,0),BM$2)))))*'Inputs Yr 2'!P176*'Inputs Yr 2'!Q176*'Inputs Yr 2'!U176,"")</f>
        <v/>
      </c>
      <c r="BN176" s="195" t="str">
        <f>IFERROR($G176*(IF('Inputs Yr 2'!$AJ176=BN$4,'Inputs Yr 2'!$AK176,IF('Inputs Yr 2'!$AL176=BN$4,'Inputs Yr 2'!$AM176,IF('Inputs Yr 2'!$AN176=BN$4,'Inputs Yr 2'!$AO176,0))))*(INDEX(avoidedcosttbl2,$H176,BN$2)+(($H176-ROUNDDOWN($H176,0))*(INDEX(avoidedcosttbl2,ROUNDUP($H176,0),BN$2)-(INDEX(avoidedcosttbl2,ROUNDDOWN($H176,0),BN$2)))))*'Inputs Yr 2'!P176*'Inputs Yr 2'!Q176*'Inputs Yr 2'!U176,"")</f>
        <v/>
      </c>
      <c r="BO176" s="195" t="str">
        <f>IFERROR($G176*(IF('Inputs Yr 2'!$AJ176=BO$4,'Inputs Yr 2'!$AK176,IF('Inputs Yr 2'!$AL176=BO$4,'Inputs Yr 2'!$AM176,IF('Inputs Yr 2'!$AN176=BO$4,'Inputs Yr 2'!$AO176,0))))*(INDEX(avoidedcosttbl2,$H176,BO$2)+(($H176-ROUNDDOWN($H176,0))*(INDEX(avoidedcosttbl2,ROUNDUP($H176,0),BO$2)-(INDEX(avoidedcosttbl2,ROUNDDOWN($H176,0),BO$2)))))*'Inputs Yr 2'!P176*'Inputs Yr 2'!Q176*'Inputs Yr 2'!U176,"")</f>
        <v/>
      </c>
      <c r="BP176" s="195" t="str">
        <f>IFERROR($G176*(IF('Inputs Yr 2'!$AJ176=BP$4,'Inputs Yr 2'!$AK176,IF('Inputs Yr 2'!$AL176=BP$4,'Inputs Yr 2'!$AM176,IF('Inputs Yr 2'!$AN176=BP$4,'Inputs Yr 2'!$AO176,0))))*(INDEX(avoidedcosttbl2,$H176,BP$2)+(($H176-ROUNDDOWN($H176,0))*(INDEX(avoidedcosttbl2,ROUNDUP($H176,0),BP$2)-(INDEX(avoidedcosttbl2,ROUNDDOWN($H176,0),BP$2)))))*'Inputs Yr 2'!P176*'Inputs Yr 2'!Q176*'Inputs Yr 2'!U176,"")</f>
        <v/>
      </c>
      <c r="BQ176" s="230">
        <f t="shared" si="98"/>
        <v>0</v>
      </c>
      <c r="BR176" s="197">
        <f t="shared" si="82"/>
        <v>0</v>
      </c>
      <c r="BS176" s="197" t="str">
        <f>IFERROR(($G176*IF('Inputs Yr 2'!$AJ176=BM$4,'Inputs Yr 2'!$AK176,IF('Inputs Yr 2'!$AL176=BM$4,'Inputs Yr 2'!$AM176,IF('Inputs Yr 2'!$AN176=BM$4,'Inputs Yr 2'!$AO176,0))))*(INDEX(avoidedcosttbl2,$H176,BS$2)+(($H176-ROUNDDOWN($H176,0))*(INDEX(avoidedcosttbl2,ROUNDUP($H176,0),BS$2)-(INDEX(avoidedcosttbl2,ROUNDDOWN($H176,0),BS$2)))))*'Inputs Yr 2'!P176*'Inputs Yr 2'!Q176*'Inputs Yr 2'!U176,"")</f>
        <v/>
      </c>
      <c r="BT176" s="197" t="str">
        <f>IFERROR(($G176*IF('Inputs Yr 2'!$AJ176=BK$4,'Inputs Yr 2'!$AK176,IF('Inputs Yr 2'!$AL176=BK$4,'Inputs Yr 2'!$AM176,IF('Inputs Yr 2'!$AN176=BK$4,'Inputs Yr 2'!$AO176,0))))*(INDEX(avoidedcosttbl2,$H176,BT$2)+(($H176-ROUNDDOWN($H176,0))*(INDEX(avoidedcosttbl2,ROUNDUP($H176,0),BT$2)-(INDEX(avoidedcosttbl2,ROUNDDOWN($H176,0),BT$2)))))*'Inputs Yr 2'!P176*'Inputs Yr 2'!Q176*'Inputs Yr 2'!U176,"")</f>
        <v/>
      </c>
      <c r="BU176" s="197" t="str">
        <f>IFERROR(($G176*IF('Inputs Yr 2'!$AJ176=BL$4,'Inputs Yr 2'!$AK176,IF('Inputs Yr 2'!$AL176=BL$4,'Inputs Yr 2'!$AM176,IF('Inputs Yr 2'!$AN176=BL$4,'Inputs Yr 2'!$AO176,0))))*(INDEX(avoidedcosttbl2,$H176,BU$2)+(($H176-ROUNDDOWN($H176,0))*(INDEX(avoidedcosttbl2,ROUNDUP($H176,0),BU$2)-(INDEX(avoidedcosttbl2,ROUNDDOWN($H176,0),BU$2)))))*'Inputs Yr 2'!P176*'Inputs Yr 2'!Q176*'Inputs Yr 2'!U176,"")</f>
        <v/>
      </c>
      <c r="BV176" s="775" t="str">
        <f>IFERROR(($G176*IF('Inputs Yr 2'!$AJ176=BJ$4,'Inputs Yr 2'!$AK176,IF('Inputs Yr 2'!$AL176=BJ$4,'Inputs Yr 2'!$AM176,IF('Inputs Yr 2'!$AN176=BJ$4,'Inputs Yr 2'!$AO176,0))))*(INDEX(avoidedcosttbl2,$H176,BV$2)+(($H176-ROUNDDOWN($H176,0))*(INDEX(avoidedcosttbl2,ROUNDUP($H176,0),BV$2)-(INDEX(avoidedcosttbl2,ROUNDDOWN($H176,0),BV$2)))))*'Inputs Yr 2'!P176*'Inputs Yr 2'!Q176*'Inputs Yr 2'!U176,"")</f>
        <v/>
      </c>
      <c r="BW176" s="197" t="str">
        <f>IFERROR(($G176*IF('Inputs Yr 2'!$AJ176=BN$4,'Inputs Yr 2'!$AK176,IF('Inputs Yr 2'!$AL176=BN$4,'Inputs Yr 2'!$AM176,IF('Inputs Yr 2'!$AN176=BN$4,'Inputs Yr 2'!$AO176,0))))*(INDEX(avoidedcosttbl2,$H176,BW$2)+(($H176-ROUNDDOWN($H176,0))*(INDEX(avoidedcosttbl2,ROUNDUP($H176,0),BW$2)-(INDEX(avoidedcosttbl2,ROUNDDOWN($H176,0),BW$2)))))*'Inputs Yr 2'!P176*'Inputs Yr 2'!Q176*'Inputs Yr 2'!U176,"")</f>
        <v/>
      </c>
      <c r="BX176" s="197" t="str">
        <f>IFERROR(($G176*IF('Inputs Yr 2'!$AJ176=BO$4,'Inputs Yr 2'!$AK176,IF('Inputs Yr 2'!$AL176=BO$4,'Inputs Yr 2'!$AM176,IF('Inputs Yr 2'!$AN176=BO$4,'Inputs Yr 2'!$AO176,0))))*(INDEX(avoidedcosttbl2,$H176,BX$2)+(($H176-ROUNDDOWN($H176,0))*(INDEX(avoidedcosttbl2,ROUNDUP($H176,0),BX$2)-(INDEX(avoidedcosttbl2,ROUNDDOWN($H176,0),BX$2)))))*'Inputs Yr 2'!P176*'Inputs Yr 2'!Q176*'Inputs Yr 2'!U176,"")</f>
        <v/>
      </c>
      <c r="BY176" s="197" t="str">
        <f>IFERROR(($G176*IF('Inputs Yr 2'!$AJ176=BP$4,'Inputs Yr 2'!$AK176,IF('Inputs Yr 2'!$AL176=BP$4,'Inputs Yr 2'!$AM176,IF('Inputs Yr 2'!$AN176=BP$4,'Inputs Yr 2'!$AO176,0))))*(INDEX(avoidedcosttbl2,$H176,BY$2)+(($H176-ROUNDDOWN($H176,0))*(INDEX(avoidedcosttbl2,ROUNDUP($H176,0),BY$2)-(INDEX(avoidedcosttbl2,ROUNDDOWN($H176,0),BY$2)))))*'Inputs Yr 2'!P176*'Inputs Yr 2'!Q176*'Inputs Yr 2'!U176,"")</f>
        <v/>
      </c>
      <c r="BZ176" s="193">
        <f t="shared" si="99"/>
        <v>0</v>
      </c>
      <c r="CA176" s="193">
        <f t="shared" si="100"/>
        <v>0</v>
      </c>
      <c r="CB176" s="195" t="str">
        <f>IFERROR(G176*(IF('Inputs Yr 2'!$AJ176=CB$4,'Inputs Yr 2'!$AK176,IF('Inputs Yr 2'!$AL176=CB$4,'Inputs Yr 2'!$AM176,IF('Inputs Yr 2'!$AN176=CB$4,'Inputs Yr 2'!$AO176,0))))*(INDEX(avoidedcosttbl2,$H176,CB$2)+(($H176-ROUNDDOWN($H176,0))*(INDEX(avoidedcosttbl2,ROUNDUP($H176,0),CB$2)-(INDEX(avoidedcosttbl2,ROUNDDOWN($H176,0),CB$2)))))*'Inputs Yr 2'!P176*'Inputs Yr 2'!Q176*'Inputs Yr 2'!U176,"")</f>
        <v/>
      </c>
      <c r="CC176" s="195">
        <f>IFERROR(H176*(IF('Inputs Yr 2'!$AJ176=CC$4,'Inputs Yr 2'!$AK176,IF('Inputs Yr 2'!$AL176=CC$4,'Inputs Yr 2'!$AM176,IF('Inputs Yr 2'!$AN176=CC$4,'Inputs Yr 2'!$AO176,0))))*(INDEX(avoidedcosttbl2,$H176,CC$2)+(($H176-ROUNDDOWN($H176,0))*(INDEX(avoidedcosttbl2,ROUNDUP($H176,0),CC$2)-(INDEX(avoidedcosttbl2,ROUNDDOWN($H176,0),CC$2)))))*'Inputs Yr 2'!Q176*'Inputs Yr 2'!R176*'Inputs Yr 2'!V176,"")</f>
        <v>0</v>
      </c>
      <c r="CD176" s="195" t="str">
        <f>IFERROR(I176*(IF('Inputs Yr 2'!$AJ176=CD$4,'Inputs Yr 2'!$AK176,IF('Inputs Yr 2'!$AL176=CD$4,'Inputs Yr 2'!$AM176,IF('Inputs Yr 2'!$AN176=CD$4,'Inputs Yr 2'!$AO176,0))))*(INDEX(avoidedcosttbl2,$H176,CD$2)+(($H176-ROUNDDOWN($H176,0))*(INDEX(avoidedcosttbl2,ROUNDUP($H176,0),CD$2)-(INDEX(avoidedcosttbl2,ROUNDDOWN($H176,0),CD$2)))))*'Inputs Yr 2'!R176*'Inputs Yr 2'!S176*'Inputs Yr 2'!W176,"")</f>
        <v/>
      </c>
      <c r="CE176" s="213">
        <f t="shared" si="101"/>
        <v>0</v>
      </c>
      <c r="CF176" s="213">
        <f t="shared" si="102"/>
        <v>0</v>
      </c>
      <c r="CG176" s="213">
        <f t="shared" si="103"/>
        <v>0</v>
      </c>
      <c r="CH176" s="698">
        <f t="shared" si="104"/>
        <v>0</v>
      </c>
      <c r="CI176" s="79" t="str">
        <f>IFERROR(($G176*'Inputs Yr 2'!$P176*'Inputs Yr 2'!$Q176*(((INDEX(avoidedcosttbl2,$H176,CI$2)+(($H176-ROUNDDOWN($H176,0))*(INDEX(avoidedcosttbl2,ROUNDUP($H176,0),CI$2)-INDEX(avoidedcosttbl2,ROUNDDOWN($H176,0),CI$2))))*'Inputs Yr 2'!AS176))),"")</f>
        <v/>
      </c>
      <c r="CJ176" s="504" t="str">
        <f>IFERROR($G176*'Inputs Yr 2'!AT176*'Inputs Yr 2'!$P176*'Inputs Yr 2'!$Q176/((1+realdiscrt1)^-0.5),"")</f>
        <v/>
      </c>
      <c r="CK176" s="79" t="str">
        <f>IFERROR((O176*1000*(((INDEX(avoidedcosttbl2,$H176,CK$2)+(($H176-ROUNDDOWN($H176,0))*(INDEX(avoidedcosttbl2,ROUNDUP($H176,0),CK$2)-INDEX(avoidedcosttbl2,ROUNDDOWN($H176,0),CK$2))))*'Inputs Yr 2'!AU176))),"")</f>
        <v/>
      </c>
      <c r="CL176" s="504" t="str">
        <f>IFERROR(O176*1000*'Inputs Yr 2'!AV176/((1+realdiscrt1)^-0.5),"")</f>
        <v/>
      </c>
      <c r="CM176" s="79">
        <f>IFERROR((AB176*'Inputs Yr 2'!AW176*(((INDEX(avoidedcosttbl2,$H176,CM$2)+(($H176-ROUNDDOWN($H176,0))*(INDEX(avoidedcosttbl2,ROUNDUP($H176,0),CM$2)-INDEX(avoidedcosttbl2,ROUNDDOWN($H176,0),CM$2)))))))*10,"")</f>
        <v>0</v>
      </c>
      <c r="CN176" s="504">
        <f>IFERROR(10*AB176*'Inputs Yr 2'!AX176/((1+realdiscrt1)^-0.5),"")</f>
        <v>0</v>
      </c>
      <c r="CO176" s="505">
        <f t="shared" si="105"/>
        <v>0</v>
      </c>
      <c r="CP176" s="230">
        <f t="shared" si="106"/>
        <v>0</v>
      </c>
      <c r="CQ176" s="199">
        <f>ROUND(IFERROR(IF(LEFT($A176,1)="C",'Avoided Costs'!$K$13,'Avoided Costs'!$K$12)+1,""),4)</f>
        <v>1.0720000000000001</v>
      </c>
      <c r="CR176" s="199">
        <f>ROUND(IFERROR(IF(LEFT($A176,1)="C",'Avoided Costs'!$L$13,'Avoided Costs'!$L$12)+1,""),4)</f>
        <v>1.04</v>
      </c>
      <c r="CS176" s="199">
        <f>ROUND(IFERROR(IF(LEFT($A176,1)="C",'Avoided Costs'!$M$13,'Avoided Costs'!$M$12)+1,""),4)</f>
        <v>1.0720000000000001</v>
      </c>
      <c r="CT176" s="199">
        <f>ROUND(IFERROR(IF(LEFT($A176,1)="C",'Avoided Costs'!$N$13,'Avoided Costs'!$N$12)+1,""),4)</f>
        <v>1.04</v>
      </c>
      <c r="CU176" s="199">
        <f>ROUND(IFERROR(IF(LEFT($A176,1)="C",'Avoided Costs'!$O$13,'Avoided Costs'!$O$12)+1,""),4)</f>
        <v>1.1120000000000001</v>
      </c>
      <c r="CV176" s="199">
        <f>ROUND(IFERROR(IF(LEFT($A176,1)="C",'Avoided Costs'!$P$13,'Avoided Costs'!$P$12)+1,""),4)</f>
        <v>1.095</v>
      </c>
      <c r="CW176" s="199">
        <f>ROUND(IFERROR(IF(LEFT($A176,1)="C",'Avoided Costs'!$Q$13,'Avoided Costs'!$Q$12)+1,""),4)</f>
        <v>1.1120000000000001</v>
      </c>
      <c r="CX176" s="200">
        <f>ROUND(IFERROR(IF(LEFT($A176,1)="C",'Avoided Costs'!$R$13,'Avoided Costs'!$R$12)+1,""),4)</f>
        <v>1.1120000000000001</v>
      </c>
    </row>
    <row r="177" spans="1:102" ht="12.75" customHeight="1">
      <c r="A177" s="91" t="str">
        <f>IF('Inputs Yr 2'!$B177=0,"",'Inputs Yr 2'!A177)</f>
        <v>C - Commercial &amp; Industrial</v>
      </c>
      <c r="B177" s="91" t="str">
        <f>IF('Inputs Yr 2'!$B177=0,"",'Inputs Yr 2'!B177)</f>
        <v>C1 - C&amp;I New Construction</v>
      </c>
      <c r="C177" s="91" t="str">
        <f>IF('Inputs Yr 2'!$B177=0,"",'Inputs Yr 2'!C177)</f>
        <v>C1a - C&amp;I New Buildings &amp; Major Renovations</v>
      </c>
      <c r="D177" s="91" t="str">
        <f>IF('Inputs Yr 2'!$B177=0,"",'Inputs Yr 2'!E177)</f>
        <v>Furnace w/ECM 95% - Muni</v>
      </c>
      <c r="E177" s="93" t="str">
        <f>IF('Inputs Yr 2'!$B177=0,"",'Inputs Yr 2'!F177)</f>
        <v>G16C1a20</v>
      </c>
      <c r="F177" s="93" t="str">
        <f>IF('Inputs Yr 2'!$B177=0,"",'Inputs Yr 2'!G177)</f>
        <v>HVAC</v>
      </c>
      <c r="G177" s="95" t="str">
        <f>IF('Inputs Yr 2'!$H177&lt;&gt;0,('Inputs Yr 2'!H177),"")</f>
        <v/>
      </c>
      <c r="H177" s="94">
        <f>IFERROR('Inputs Yr 2'!I177,"")</f>
        <v>18</v>
      </c>
      <c r="I177" s="298" t="str">
        <f>IFERROR('Inputs Yr 2'!J177*'Inputs Yr 2'!P177*G177,"")</f>
        <v/>
      </c>
      <c r="J177" s="298" t="str">
        <f>IFERROR('Inputs Yr 2'!K177*G177,"")</f>
        <v/>
      </c>
      <c r="K177" s="298" t="str">
        <f t="shared" si="83"/>
        <v/>
      </c>
      <c r="L177" s="194" t="str">
        <f>IFERROR(('Inputs Yr 2'!W177*G177)/1000,"")</f>
        <v/>
      </c>
      <c r="M177" s="194" t="str">
        <f>IFERROR(L177*('Inputs Yr 2'!$Q177*'Inputs Yr 2'!$V177*'Inputs Yr 2'!$R177),"")</f>
        <v/>
      </c>
      <c r="N177" s="194" t="str">
        <f t="shared" si="84"/>
        <v/>
      </c>
      <c r="O177" s="194" t="str">
        <f>IFERROR(M177*'Inputs Yr 2'!P177,"")</f>
        <v/>
      </c>
      <c r="P177" s="194" t="str">
        <f t="shared" si="85"/>
        <v/>
      </c>
      <c r="Q177" s="194" t="str">
        <f>IFERROR($P177*'Inputs Yr 2'!AA177,"")</f>
        <v/>
      </c>
      <c r="R177" s="194" t="str">
        <f>IFERROR($P177*'Inputs Yr 2'!AB177,"")</f>
        <v/>
      </c>
      <c r="S177" s="194" t="str">
        <f>IFERROR($P177*'Inputs Yr 2'!AC177,"")</f>
        <v/>
      </c>
      <c r="T177" s="194" t="str">
        <f>IFERROR($P177*'Inputs Yr 2'!AD177,"")</f>
        <v/>
      </c>
      <c r="U177" s="194" t="str">
        <f>IFERROR(G177*'Inputs Yr 2'!$AE177*'Inputs Yr 2'!$P177*'Inputs Yr 2'!$Q177,"")</f>
        <v/>
      </c>
      <c r="V177" s="194" t="str">
        <f>IFERROR($G177*'Inputs Yr 2'!$AE177*'Inputs Yr 2'!$AG177*'Inputs Yr 2'!Q177*'Inputs Yr 2'!$S177,"")</f>
        <v/>
      </c>
      <c r="W177" s="194" t="str">
        <f>IFERROR($G177*'Inputs Yr 2'!$AE177*'Inputs Yr 2'!$AG177*'Inputs Yr 2'!P177*'Inputs Yr 2'!Q177*'Inputs Yr 2'!$S177,"")</f>
        <v/>
      </c>
      <c r="X177" s="194" t="str">
        <f>IFERROR($G177*'Inputs Yr 2'!$AE177*'Inputs Yr 2'!$AF177*'Inputs Yr 2'!Q177*'Inputs Yr 2'!$T177,"")</f>
        <v/>
      </c>
      <c r="Y177" s="194" t="str">
        <f>IFERROR($G177*'Inputs Yr 2'!$AE177*'Inputs Yr 2'!$AF177*'Inputs Yr 2'!P177*'Inputs Yr 2'!Q177*'Inputs Yr 2'!$T177,"")</f>
        <v/>
      </c>
      <c r="Z177" s="257">
        <f>IFERROR($G177*'Inputs Yr 2'!$Q177*'Inputs Yr 2'!$U177*(IF(IFERROR(SEARCH("NG", 'Inputs Yr 2'!$AJ177),0),'Inputs Yr 2'!$AK177,0)+IF(IFERROR(SEARCH("NG", 'Inputs Yr 2'!$AL177),0),'Inputs Yr 2'!$AM177,0)+IF(IFERROR(SEARCH("NG", 'Inputs Yr 2'!$AN177),0),'Inputs Yr 2'!$AO177,0)),0)</f>
        <v>0</v>
      </c>
      <c r="AA177" s="257">
        <f t="shared" si="86"/>
        <v>0</v>
      </c>
      <c r="AB177" s="257">
        <f>IFERROR(Z177*'Inputs Yr 2'!$P177,0)</f>
        <v>0</v>
      </c>
      <c r="AC177" s="257">
        <f t="shared" si="87"/>
        <v>0</v>
      </c>
      <c r="AD177" s="257">
        <f>IFERROR($G177*'Inputs Yr 2'!$Q177*'Inputs Yr 2'!$U177*(IF(IFERROR(SEARCH("Oil", 'Inputs Yr 2'!$AJ177), 0),'Inputs Yr 2'!$AK177,0)+IF(IFERROR(SEARCH("Oil", 'Inputs Yr 2'!$AL177), 0),'Inputs Yr 2'!$AM177,0)+IF(IFERROR(SEARCH("Oil", 'Inputs Yr 2'!$AN177), 0),'Inputs Yr 2'!$AO177,0)),0)</f>
        <v>0</v>
      </c>
      <c r="AE177" s="257">
        <f t="shared" si="88"/>
        <v>0</v>
      </c>
      <c r="AF177" s="257">
        <f>IFERROR(AD177*'Inputs Yr 2'!$P177,0)</f>
        <v>0</v>
      </c>
      <c r="AG177" s="257">
        <f t="shared" si="89"/>
        <v>0</v>
      </c>
      <c r="AH177" s="257">
        <f>IFERROR($G177*'Inputs Yr 2'!$Q177*'Inputs Yr 2'!$U177*(IF('Inputs Yr 2'!$AJ177=CD$4,'Inputs Yr 2'!$AK177,IF('Inputs Yr 2'!$AL177=CD$4,'Inputs Yr 2'!$AM177,IF('Inputs Yr 2'!$AN177=CD$4,'Inputs Yr 2'!$AO177,0)))),0)</f>
        <v>0</v>
      </c>
      <c r="AI177" s="257">
        <f t="shared" si="90"/>
        <v>0</v>
      </c>
      <c r="AJ177" s="257">
        <f>IFERROR(AH177*'Inputs Yr 2'!$P177,0)</f>
        <v>0</v>
      </c>
      <c r="AK177" s="257">
        <f t="shared" si="91"/>
        <v>0</v>
      </c>
      <c r="AL177" s="258">
        <f>IFERROR($G177*'Inputs Yr 2'!$P177*'Inputs Yr 2'!$Q177*'Inputs Yr 2'!AP177,0)</f>
        <v>0</v>
      </c>
      <c r="AM177" s="260">
        <f>IFERROR($G177*'Inputs Yr 2'!$P177*'Inputs Yr 2'!$Q177*'Inputs Yr 2'!AQ177,0)</f>
        <v>0</v>
      </c>
      <c r="AN177" s="258">
        <f>IFERROR($G177*'Inputs Yr 2'!$P177*'Inputs Yr 2'!$Q177*'Inputs Yr 2'!AR177,0)</f>
        <v>0</v>
      </c>
      <c r="AO177" s="257">
        <f t="shared" si="92"/>
        <v>0</v>
      </c>
      <c r="AP177" s="195" t="str">
        <f>IFERROR($CQ177*(INDEX(avoidedcosttbl2,$H177,AP$2)+(($H177-ROUNDDOWN($H177,0))*(INDEX(avoidedcosttbl2,ROUNDUP($H177,0),AP$2)-(INDEX(avoidedcosttbl2,ROUNDDOWN($H177,0),AP$2)))))*$O177*1000*'Inputs Yr 2'!AA177,"")</f>
        <v/>
      </c>
      <c r="AQ177" s="195" t="str">
        <f>IFERROR($CR177*(INDEX(avoidedcosttbl2,$H177,AQ$2)+(($H177-ROUNDDOWN($H177,0))*(INDEX(avoidedcosttbl2,ROUNDUP($H177,0),AQ$2)-(INDEX(avoidedcosttbl2,ROUNDDOWN($H177,0),AQ$2)))))*$O177*1000*'Inputs Yr 2'!AB177,"")</f>
        <v/>
      </c>
      <c r="AR177" s="195" t="str">
        <f>IFERROR($CS177*(INDEX(avoidedcosttbl2,$H177,AR$2)+(($H177-ROUNDDOWN($H177,0))*(INDEX(avoidedcosttbl2,ROUNDUP($H177,0),AR$2)-(INDEX(avoidedcosttbl2,ROUNDDOWN($H177,0),AR$2)))))*$O177*1000*'Inputs Yr 2'!AC177,"")</f>
        <v/>
      </c>
      <c r="AS177" s="195" t="str">
        <f>IFERROR($CT177*(INDEX(avoidedcosttbl2,$H177,AS$2)+(($H177-ROUNDDOWN($H177,0))*(INDEX(avoidedcosttbl2,ROUNDUP($H177,0),AS$2)-(INDEX(avoidedcosttbl2,ROUNDDOWN($H177,0),AS$2)))))*$O177*1000*'Inputs Yr 2'!AD177,"")</f>
        <v/>
      </c>
      <c r="AT177" s="196">
        <f t="shared" si="93"/>
        <v>0</v>
      </c>
      <c r="AU177" s="197" t="str">
        <f>IFERROR($CQ177*((INDEX(avoidedcosttbl2,$H177,AU$2))+(($H177-ROUNDDOWN($H177,0))*((INDEX(avoidedcosttbl2,ROUNDUP($H177,0),AU$2))-(INDEX(avoidedcosttbl2,ROUNDDOWN($H177,0),AU$2)))))*$O177*1000*'Inputs Yr 2'!AA177,"")</f>
        <v/>
      </c>
      <c r="AV177" s="197" t="str">
        <f>IFERROR($CR177*((INDEX(avoidedcosttbl2,$H177,AV$2))+(($H177-ROUNDDOWN($H177,0))*((INDEX(avoidedcosttbl2,ROUNDUP($H177,0),AV$2))-(INDEX(avoidedcosttbl2,ROUNDDOWN($H177,0),AV$2)))))*$O177*1000*'Inputs Yr 2'!AB177,"")</f>
        <v/>
      </c>
      <c r="AW177" s="197" t="str">
        <f>IFERROR($CS177*((INDEX(avoidedcosttbl2,$H177,AW$2))+(($H177-ROUNDDOWN($H177,0))*((INDEX(avoidedcosttbl2,ROUNDUP($H177,0),AW$2))-(INDEX(avoidedcosttbl2,ROUNDDOWN($H177,0),AW$2)))))*$O177*1000*'Inputs Yr 2'!AC177,"")</f>
        <v/>
      </c>
      <c r="AX177" s="197" t="str">
        <f>IFERROR($CT177*((INDEX(avoidedcosttbl2,$H177,AX$2))+(($H177-ROUNDDOWN($H177,0))*((INDEX(avoidedcosttbl2,ROUNDUP($H177,0),AX$2))-(INDEX(avoidedcosttbl2,ROUNDDOWN($H177,0),AX$2)))))*$O177*1000*'Inputs Yr 2'!AD177,"")</f>
        <v/>
      </c>
      <c r="AY177" s="197" t="str">
        <f>IFERROR(((INDEX(avoidedcosttbl2,$H177,AY$2))+(($H177-ROUNDDOWN($H177,0))*((INDEX(avoidedcosttbl2,ROUNDUP($H177,0),AY$2))-(INDEX(avoidedcosttbl2,ROUNDDOWN($H177,0),AY$2)))))*$O177*1000*('Inputs Yr 2'!AC177+'Inputs Yr 2'!AD177),"")</f>
        <v/>
      </c>
      <c r="AZ177" s="197" t="str">
        <f>IFERROR(((INDEX(avoidedcosttbl2,$H177,AZ$2))+(($H177-ROUNDDOWN($H177,0))*((INDEX(avoidedcosttbl2,ROUNDUP($H177,0),AZ$2))-(INDEX(avoidedcosttbl2,ROUNDDOWN($H177,0),AZ$2)))))*$O177*1000*('Inputs Yr 2'!AA177+'Inputs Yr 2'!AB177),"")</f>
        <v/>
      </c>
      <c r="BA177" s="198">
        <f t="shared" si="94"/>
        <v>0</v>
      </c>
      <c r="BB177" s="198">
        <f t="shared" si="95"/>
        <v>0</v>
      </c>
      <c r="BC177" s="195" t="str">
        <f t="shared" si="77"/>
        <v/>
      </c>
      <c r="BD177" s="195" t="str">
        <f t="shared" si="78"/>
        <v/>
      </c>
      <c r="BE177" s="195" t="str">
        <f t="shared" si="79"/>
        <v/>
      </c>
      <c r="BF177" s="195" t="str">
        <f t="shared" si="80"/>
        <v/>
      </c>
      <c r="BG177" s="195" t="str">
        <f t="shared" si="81"/>
        <v/>
      </c>
      <c r="BH177" s="196">
        <f t="shared" si="96"/>
        <v>0</v>
      </c>
      <c r="BI177" s="196">
        <f t="shared" si="97"/>
        <v>0</v>
      </c>
      <c r="BJ177" s="195" t="str">
        <f>IFERROR($G177*(IF('Inputs Yr 2'!$AJ177=BJ$4,'Inputs Yr 2'!$AK177,IF('Inputs Yr 2'!$AL177=BJ$4,'Inputs Yr 2'!$AM177,IF('Inputs Yr 2'!$AN177=BJ$4,'Inputs Yr 2'!$AO177,0))))*(INDEX(avoidedcosttbl2,$H177,BJ$2)+(($H177-ROUNDDOWN($H177,0))*(INDEX(avoidedcosttbl2,ROUNDUP($H177,0),BJ$2)-(INDEX(avoidedcosttbl2,ROUNDDOWN($H177,0),BJ$2)))))*'Inputs Yr 2'!P177*'Inputs Yr 2'!Q177*'Inputs Yr 2'!U177,"")</f>
        <v/>
      </c>
      <c r="BK177" s="195" t="str">
        <f>IFERROR($G177*(IF('Inputs Yr 2'!$AJ177=BK$4,'Inputs Yr 2'!$AK177,IF('Inputs Yr 2'!$AL177=BK$4,'Inputs Yr 2'!$AM177,IF('Inputs Yr 2'!$AN177=BK$4,'Inputs Yr 2'!$AO177,0))))*(INDEX(avoidedcosttbl2,$H177,BK$2)+(($H177-ROUNDDOWN($H177,0))*(INDEX(avoidedcosttbl2,ROUNDUP($H177,0),BK$2)-(INDEX(avoidedcosttbl2,ROUNDDOWN($H177,0),BK$2)))))*'Inputs Yr 2'!P177*'Inputs Yr 2'!Q177*'Inputs Yr 2'!U177,"")</f>
        <v/>
      </c>
      <c r="BL177" s="195" t="str">
        <f>IFERROR($G177*(IF('Inputs Yr 2'!$AJ177=BL$4,'Inputs Yr 2'!$AK177,IF('Inputs Yr 2'!$AL177=BL$4,'Inputs Yr 2'!$AM177,IF('Inputs Yr 2'!$AN177=BL$4,'Inputs Yr 2'!$AO177,0))))*(INDEX(avoidedcosttbl2,$H177,BL$2)+(($H177-ROUNDDOWN($H177,0))*(INDEX(avoidedcosttbl2,ROUNDUP($H177,0),BL$2)-(INDEX(avoidedcosttbl2,ROUNDDOWN($H177,0),BL$2)))))*'Inputs Yr 2'!P177*'Inputs Yr 2'!Q177*'Inputs Yr 2'!U177,"")</f>
        <v/>
      </c>
      <c r="BM177" s="195" t="str">
        <f>IFERROR($G177*(IF('Inputs Yr 2'!$AJ177=BM$4,'Inputs Yr 2'!$AK177,IF('Inputs Yr 2'!$AL177=BM$4,'Inputs Yr 2'!$AM177,IF('Inputs Yr 2'!$AN177=BM$4,'Inputs Yr 2'!$AO177,0))))*(INDEX(avoidedcosttbl2,$H177,BM$2)+(($H177-ROUNDDOWN($H177,0))*(INDEX(avoidedcosttbl2,ROUNDUP($H177,0),BM$2)-(INDEX(avoidedcosttbl2,ROUNDDOWN($H177,0),BM$2)))))*'Inputs Yr 2'!P177*'Inputs Yr 2'!Q177*'Inputs Yr 2'!U177,"")</f>
        <v/>
      </c>
      <c r="BN177" s="195" t="str">
        <f>IFERROR($G177*(IF('Inputs Yr 2'!$AJ177=BN$4,'Inputs Yr 2'!$AK177,IF('Inputs Yr 2'!$AL177=BN$4,'Inputs Yr 2'!$AM177,IF('Inputs Yr 2'!$AN177=BN$4,'Inputs Yr 2'!$AO177,0))))*(INDEX(avoidedcosttbl2,$H177,BN$2)+(($H177-ROUNDDOWN($H177,0))*(INDEX(avoidedcosttbl2,ROUNDUP($H177,0),BN$2)-(INDEX(avoidedcosttbl2,ROUNDDOWN($H177,0),BN$2)))))*'Inputs Yr 2'!P177*'Inputs Yr 2'!Q177*'Inputs Yr 2'!U177,"")</f>
        <v/>
      </c>
      <c r="BO177" s="195" t="str">
        <f>IFERROR($G177*(IF('Inputs Yr 2'!$AJ177=BO$4,'Inputs Yr 2'!$AK177,IF('Inputs Yr 2'!$AL177=BO$4,'Inputs Yr 2'!$AM177,IF('Inputs Yr 2'!$AN177=BO$4,'Inputs Yr 2'!$AO177,0))))*(INDEX(avoidedcosttbl2,$H177,BO$2)+(($H177-ROUNDDOWN($H177,0))*(INDEX(avoidedcosttbl2,ROUNDUP($H177,0),BO$2)-(INDEX(avoidedcosttbl2,ROUNDDOWN($H177,0),BO$2)))))*'Inputs Yr 2'!P177*'Inputs Yr 2'!Q177*'Inputs Yr 2'!U177,"")</f>
        <v/>
      </c>
      <c r="BP177" s="195" t="str">
        <f>IFERROR($G177*(IF('Inputs Yr 2'!$AJ177=BP$4,'Inputs Yr 2'!$AK177,IF('Inputs Yr 2'!$AL177=BP$4,'Inputs Yr 2'!$AM177,IF('Inputs Yr 2'!$AN177=BP$4,'Inputs Yr 2'!$AO177,0))))*(INDEX(avoidedcosttbl2,$H177,BP$2)+(($H177-ROUNDDOWN($H177,0))*(INDEX(avoidedcosttbl2,ROUNDUP($H177,0),BP$2)-(INDEX(avoidedcosttbl2,ROUNDDOWN($H177,0),BP$2)))))*'Inputs Yr 2'!P177*'Inputs Yr 2'!Q177*'Inputs Yr 2'!U177,"")</f>
        <v/>
      </c>
      <c r="BQ177" s="230">
        <f t="shared" si="98"/>
        <v>0</v>
      </c>
      <c r="BR177" s="197">
        <f t="shared" si="82"/>
        <v>0</v>
      </c>
      <c r="BS177" s="197" t="str">
        <f>IFERROR(($G177*IF('Inputs Yr 2'!$AJ177=BM$4,'Inputs Yr 2'!$AK177,IF('Inputs Yr 2'!$AL177=BM$4,'Inputs Yr 2'!$AM177,IF('Inputs Yr 2'!$AN177=BM$4,'Inputs Yr 2'!$AO177,0))))*(INDEX(avoidedcosttbl2,$H177,BS$2)+(($H177-ROUNDDOWN($H177,0))*(INDEX(avoidedcosttbl2,ROUNDUP($H177,0),BS$2)-(INDEX(avoidedcosttbl2,ROUNDDOWN($H177,0),BS$2)))))*'Inputs Yr 2'!P177*'Inputs Yr 2'!Q177*'Inputs Yr 2'!U177,"")</f>
        <v/>
      </c>
      <c r="BT177" s="197" t="str">
        <f>IFERROR(($G177*IF('Inputs Yr 2'!$AJ177=BK$4,'Inputs Yr 2'!$AK177,IF('Inputs Yr 2'!$AL177=BK$4,'Inputs Yr 2'!$AM177,IF('Inputs Yr 2'!$AN177=BK$4,'Inputs Yr 2'!$AO177,0))))*(INDEX(avoidedcosttbl2,$H177,BT$2)+(($H177-ROUNDDOWN($H177,0))*(INDEX(avoidedcosttbl2,ROUNDUP($H177,0),BT$2)-(INDEX(avoidedcosttbl2,ROUNDDOWN($H177,0),BT$2)))))*'Inputs Yr 2'!P177*'Inputs Yr 2'!Q177*'Inputs Yr 2'!U177,"")</f>
        <v/>
      </c>
      <c r="BU177" s="197" t="str">
        <f>IFERROR(($G177*IF('Inputs Yr 2'!$AJ177=BL$4,'Inputs Yr 2'!$AK177,IF('Inputs Yr 2'!$AL177=BL$4,'Inputs Yr 2'!$AM177,IF('Inputs Yr 2'!$AN177=BL$4,'Inputs Yr 2'!$AO177,0))))*(INDEX(avoidedcosttbl2,$H177,BU$2)+(($H177-ROUNDDOWN($H177,0))*(INDEX(avoidedcosttbl2,ROUNDUP($H177,0),BU$2)-(INDEX(avoidedcosttbl2,ROUNDDOWN($H177,0),BU$2)))))*'Inputs Yr 2'!P177*'Inputs Yr 2'!Q177*'Inputs Yr 2'!U177,"")</f>
        <v/>
      </c>
      <c r="BV177" s="775" t="str">
        <f>IFERROR(($G177*IF('Inputs Yr 2'!$AJ177=BJ$4,'Inputs Yr 2'!$AK177,IF('Inputs Yr 2'!$AL177=BJ$4,'Inputs Yr 2'!$AM177,IF('Inputs Yr 2'!$AN177=BJ$4,'Inputs Yr 2'!$AO177,0))))*(INDEX(avoidedcosttbl2,$H177,BV$2)+(($H177-ROUNDDOWN($H177,0))*(INDEX(avoidedcosttbl2,ROUNDUP($H177,0),BV$2)-(INDEX(avoidedcosttbl2,ROUNDDOWN($H177,0),BV$2)))))*'Inputs Yr 2'!P177*'Inputs Yr 2'!Q177*'Inputs Yr 2'!U177,"")</f>
        <v/>
      </c>
      <c r="BW177" s="197" t="str">
        <f>IFERROR(($G177*IF('Inputs Yr 2'!$AJ177=BN$4,'Inputs Yr 2'!$AK177,IF('Inputs Yr 2'!$AL177=BN$4,'Inputs Yr 2'!$AM177,IF('Inputs Yr 2'!$AN177=BN$4,'Inputs Yr 2'!$AO177,0))))*(INDEX(avoidedcosttbl2,$H177,BW$2)+(($H177-ROUNDDOWN($H177,0))*(INDEX(avoidedcosttbl2,ROUNDUP($H177,0),BW$2)-(INDEX(avoidedcosttbl2,ROUNDDOWN($H177,0),BW$2)))))*'Inputs Yr 2'!P177*'Inputs Yr 2'!Q177*'Inputs Yr 2'!U177,"")</f>
        <v/>
      </c>
      <c r="BX177" s="197" t="str">
        <f>IFERROR(($G177*IF('Inputs Yr 2'!$AJ177=BO$4,'Inputs Yr 2'!$AK177,IF('Inputs Yr 2'!$AL177=BO$4,'Inputs Yr 2'!$AM177,IF('Inputs Yr 2'!$AN177=BO$4,'Inputs Yr 2'!$AO177,0))))*(INDEX(avoidedcosttbl2,$H177,BX$2)+(($H177-ROUNDDOWN($H177,0))*(INDEX(avoidedcosttbl2,ROUNDUP($H177,0),BX$2)-(INDEX(avoidedcosttbl2,ROUNDDOWN($H177,0),BX$2)))))*'Inputs Yr 2'!P177*'Inputs Yr 2'!Q177*'Inputs Yr 2'!U177,"")</f>
        <v/>
      </c>
      <c r="BY177" s="197" t="str">
        <f>IFERROR(($G177*IF('Inputs Yr 2'!$AJ177=BP$4,'Inputs Yr 2'!$AK177,IF('Inputs Yr 2'!$AL177=BP$4,'Inputs Yr 2'!$AM177,IF('Inputs Yr 2'!$AN177=BP$4,'Inputs Yr 2'!$AO177,0))))*(INDEX(avoidedcosttbl2,$H177,BY$2)+(($H177-ROUNDDOWN($H177,0))*(INDEX(avoidedcosttbl2,ROUNDUP($H177,0),BY$2)-(INDEX(avoidedcosttbl2,ROUNDDOWN($H177,0),BY$2)))))*'Inputs Yr 2'!P177*'Inputs Yr 2'!Q177*'Inputs Yr 2'!U177,"")</f>
        <v/>
      </c>
      <c r="BZ177" s="193">
        <f t="shared" si="99"/>
        <v>0</v>
      </c>
      <c r="CA177" s="193">
        <f t="shared" si="100"/>
        <v>0</v>
      </c>
      <c r="CB177" s="195" t="str">
        <f>IFERROR(G177*(IF('Inputs Yr 2'!$AJ177=CB$4,'Inputs Yr 2'!$AK177,IF('Inputs Yr 2'!$AL177=CB$4,'Inputs Yr 2'!$AM177,IF('Inputs Yr 2'!$AN177=CB$4,'Inputs Yr 2'!$AO177,0))))*(INDEX(avoidedcosttbl2,$H177,CB$2)+(($H177-ROUNDDOWN($H177,0))*(INDEX(avoidedcosttbl2,ROUNDUP($H177,0),CB$2)-(INDEX(avoidedcosttbl2,ROUNDDOWN($H177,0),CB$2)))))*'Inputs Yr 2'!P177*'Inputs Yr 2'!Q177*'Inputs Yr 2'!U177,"")</f>
        <v/>
      </c>
      <c r="CC177" s="195">
        <f>IFERROR(H177*(IF('Inputs Yr 2'!$AJ177=CC$4,'Inputs Yr 2'!$AK177,IF('Inputs Yr 2'!$AL177=CC$4,'Inputs Yr 2'!$AM177,IF('Inputs Yr 2'!$AN177=CC$4,'Inputs Yr 2'!$AO177,0))))*(INDEX(avoidedcosttbl2,$H177,CC$2)+(($H177-ROUNDDOWN($H177,0))*(INDEX(avoidedcosttbl2,ROUNDUP($H177,0),CC$2)-(INDEX(avoidedcosttbl2,ROUNDDOWN($H177,0),CC$2)))))*'Inputs Yr 2'!Q177*'Inputs Yr 2'!R177*'Inputs Yr 2'!V177,"")</f>
        <v>0</v>
      </c>
      <c r="CD177" s="195" t="str">
        <f>IFERROR(I177*(IF('Inputs Yr 2'!$AJ177=CD$4,'Inputs Yr 2'!$AK177,IF('Inputs Yr 2'!$AL177=CD$4,'Inputs Yr 2'!$AM177,IF('Inputs Yr 2'!$AN177=CD$4,'Inputs Yr 2'!$AO177,0))))*(INDEX(avoidedcosttbl2,$H177,CD$2)+(($H177-ROUNDDOWN($H177,0))*(INDEX(avoidedcosttbl2,ROUNDUP($H177,0),CD$2)-(INDEX(avoidedcosttbl2,ROUNDDOWN($H177,0),CD$2)))))*'Inputs Yr 2'!R177*'Inputs Yr 2'!S177*'Inputs Yr 2'!W177,"")</f>
        <v/>
      </c>
      <c r="CE177" s="213">
        <f t="shared" si="101"/>
        <v>0</v>
      </c>
      <c r="CF177" s="213">
        <f t="shared" si="102"/>
        <v>0</v>
      </c>
      <c r="CG177" s="213">
        <f t="shared" si="103"/>
        <v>0</v>
      </c>
      <c r="CH177" s="698">
        <f t="shared" si="104"/>
        <v>0</v>
      </c>
      <c r="CI177" s="79" t="str">
        <f>IFERROR(($G177*'Inputs Yr 2'!$P177*'Inputs Yr 2'!$Q177*(((INDEX(avoidedcosttbl2,$H177,CI$2)+(($H177-ROUNDDOWN($H177,0))*(INDEX(avoidedcosttbl2,ROUNDUP($H177,0),CI$2)-INDEX(avoidedcosttbl2,ROUNDDOWN($H177,0),CI$2))))*'Inputs Yr 2'!AS177))),"")</f>
        <v/>
      </c>
      <c r="CJ177" s="504" t="str">
        <f>IFERROR($G177*'Inputs Yr 2'!AT177*'Inputs Yr 2'!$P177*'Inputs Yr 2'!$Q177/((1+realdiscrt1)^-0.5),"")</f>
        <v/>
      </c>
      <c r="CK177" s="79" t="str">
        <f>IFERROR((O177*1000*(((INDEX(avoidedcosttbl2,$H177,CK$2)+(($H177-ROUNDDOWN($H177,0))*(INDEX(avoidedcosttbl2,ROUNDUP($H177,0),CK$2)-INDEX(avoidedcosttbl2,ROUNDDOWN($H177,0),CK$2))))*'Inputs Yr 2'!AU177))),"")</f>
        <v/>
      </c>
      <c r="CL177" s="504" t="str">
        <f>IFERROR(O177*1000*'Inputs Yr 2'!AV177/((1+realdiscrt1)^-0.5),"")</f>
        <v/>
      </c>
      <c r="CM177" s="79">
        <f>IFERROR((AB177*'Inputs Yr 2'!AW177*(((INDEX(avoidedcosttbl2,$H177,CM$2)+(($H177-ROUNDDOWN($H177,0))*(INDEX(avoidedcosttbl2,ROUNDUP($H177,0),CM$2)-INDEX(avoidedcosttbl2,ROUNDDOWN($H177,0),CM$2)))))))*10,"")</f>
        <v>0</v>
      </c>
      <c r="CN177" s="504">
        <f>IFERROR(10*AB177*'Inputs Yr 2'!AX177/((1+realdiscrt1)^-0.5),"")</f>
        <v>0</v>
      </c>
      <c r="CO177" s="505">
        <f t="shared" si="105"/>
        <v>0</v>
      </c>
      <c r="CP177" s="230">
        <f t="shared" si="106"/>
        <v>0</v>
      </c>
      <c r="CQ177" s="199">
        <f>ROUND(IFERROR(IF(LEFT($A177,1)="C",'Avoided Costs'!$K$13,'Avoided Costs'!$K$12)+1,""),4)</f>
        <v>1.0720000000000001</v>
      </c>
      <c r="CR177" s="199">
        <f>ROUND(IFERROR(IF(LEFT($A177,1)="C",'Avoided Costs'!$L$13,'Avoided Costs'!$L$12)+1,""),4)</f>
        <v>1.04</v>
      </c>
      <c r="CS177" s="199">
        <f>ROUND(IFERROR(IF(LEFT($A177,1)="C",'Avoided Costs'!$M$13,'Avoided Costs'!$M$12)+1,""),4)</f>
        <v>1.0720000000000001</v>
      </c>
      <c r="CT177" s="199">
        <f>ROUND(IFERROR(IF(LEFT($A177,1)="C",'Avoided Costs'!$N$13,'Avoided Costs'!$N$12)+1,""),4)</f>
        <v>1.04</v>
      </c>
      <c r="CU177" s="199">
        <f>ROUND(IFERROR(IF(LEFT($A177,1)="C",'Avoided Costs'!$O$13,'Avoided Costs'!$O$12)+1,""),4)</f>
        <v>1.1120000000000001</v>
      </c>
      <c r="CV177" s="199">
        <f>ROUND(IFERROR(IF(LEFT($A177,1)="C",'Avoided Costs'!$P$13,'Avoided Costs'!$P$12)+1,""),4)</f>
        <v>1.095</v>
      </c>
      <c r="CW177" s="199">
        <f>ROUND(IFERROR(IF(LEFT($A177,1)="C",'Avoided Costs'!$Q$13,'Avoided Costs'!$Q$12)+1,""),4)</f>
        <v>1.1120000000000001</v>
      </c>
      <c r="CX177" s="200">
        <f>ROUND(IFERROR(IF(LEFT($A177,1)="C",'Avoided Costs'!$R$13,'Avoided Costs'!$R$12)+1,""),4)</f>
        <v>1.1120000000000001</v>
      </c>
    </row>
    <row r="178" spans="1:102" ht="12.75" customHeight="1">
      <c r="A178" s="91" t="str">
        <f>IF('Inputs Yr 2'!$B178=0,"",'Inputs Yr 2'!A178)</f>
        <v>C - Commercial &amp; Industrial</v>
      </c>
      <c r="B178" s="91" t="str">
        <f>IF('Inputs Yr 2'!$B178=0,"",'Inputs Yr 2'!B178)</f>
        <v>C1 - C&amp;I New Construction</v>
      </c>
      <c r="C178" s="91" t="str">
        <f>IF('Inputs Yr 2'!$B178=0,"",'Inputs Yr 2'!C178)</f>
        <v>C1a - C&amp;I New Buildings &amp; Major Renovations</v>
      </c>
      <c r="D178" s="91" t="str">
        <f>IF('Inputs Yr 2'!$B178=0,"",'Inputs Yr 2'!E178)</f>
        <v>Furnace w/ECM 97%</v>
      </c>
      <c r="E178" s="93" t="str">
        <f>IF('Inputs Yr 2'!$B178=0,"",'Inputs Yr 2'!F178)</f>
        <v>G16C1a21</v>
      </c>
      <c r="F178" s="93" t="str">
        <f>IF('Inputs Yr 2'!$B178=0,"",'Inputs Yr 2'!G178)</f>
        <v>HVAC</v>
      </c>
      <c r="G178" s="95" t="str">
        <f>IF('Inputs Yr 2'!$H178&lt;&gt;0,('Inputs Yr 2'!H178),"")</f>
        <v/>
      </c>
      <c r="H178" s="94">
        <f>IFERROR('Inputs Yr 2'!I178,"")</f>
        <v>18</v>
      </c>
      <c r="I178" s="298" t="str">
        <f>IFERROR('Inputs Yr 2'!J178*'Inputs Yr 2'!P178*G178,"")</f>
        <v/>
      </c>
      <c r="J178" s="298" t="str">
        <f>IFERROR('Inputs Yr 2'!K178*G178,"")</f>
        <v/>
      </c>
      <c r="K178" s="298" t="str">
        <f t="shared" si="83"/>
        <v/>
      </c>
      <c r="L178" s="194" t="str">
        <f>IFERROR(('Inputs Yr 2'!W178*G178)/1000,"")</f>
        <v/>
      </c>
      <c r="M178" s="194" t="str">
        <f>IFERROR(L178*('Inputs Yr 2'!$Q178*'Inputs Yr 2'!$V178*'Inputs Yr 2'!$R178),"")</f>
        <v/>
      </c>
      <c r="N178" s="194" t="str">
        <f t="shared" si="84"/>
        <v/>
      </c>
      <c r="O178" s="194" t="str">
        <f>IFERROR(M178*'Inputs Yr 2'!P178,"")</f>
        <v/>
      </c>
      <c r="P178" s="194" t="str">
        <f t="shared" si="85"/>
        <v/>
      </c>
      <c r="Q178" s="194" t="str">
        <f>IFERROR($P178*'Inputs Yr 2'!AA178,"")</f>
        <v/>
      </c>
      <c r="R178" s="194" t="str">
        <f>IFERROR($P178*'Inputs Yr 2'!AB178,"")</f>
        <v/>
      </c>
      <c r="S178" s="194" t="str">
        <f>IFERROR($P178*'Inputs Yr 2'!AC178,"")</f>
        <v/>
      </c>
      <c r="T178" s="194" t="str">
        <f>IFERROR($P178*'Inputs Yr 2'!AD178,"")</f>
        <v/>
      </c>
      <c r="U178" s="194" t="str">
        <f>IFERROR(G178*'Inputs Yr 2'!$AE178*'Inputs Yr 2'!$P178*'Inputs Yr 2'!$Q178,"")</f>
        <v/>
      </c>
      <c r="V178" s="194" t="str">
        <f>IFERROR($G178*'Inputs Yr 2'!$AE178*'Inputs Yr 2'!$AG178*'Inputs Yr 2'!Q178*'Inputs Yr 2'!$S178,"")</f>
        <v/>
      </c>
      <c r="W178" s="194" t="str">
        <f>IFERROR($G178*'Inputs Yr 2'!$AE178*'Inputs Yr 2'!$AG178*'Inputs Yr 2'!P178*'Inputs Yr 2'!Q178*'Inputs Yr 2'!$S178,"")</f>
        <v/>
      </c>
      <c r="X178" s="194" t="str">
        <f>IFERROR($G178*'Inputs Yr 2'!$AE178*'Inputs Yr 2'!$AF178*'Inputs Yr 2'!Q178*'Inputs Yr 2'!$T178,"")</f>
        <v/>
      </c>
      <c r="Y178" s="194" t="str">
        <f>IFERROR($G178*'Inputs Yr 2'!$AE178*'Inputs Yr 2'!$AF178*'Inputs Yr 2'!P178*'Inputs Yr 2'!Q178*'Inputs Yr 2'!$T178,"")</f>
        <v/>
      </c>
      <c r="Z178" s="257">
        <f>IFERROR($G178*'Inputs Yr 2'!$Q178*'Inputs Yr 2'!$U178*(IF(IFERROR(SEARCH("NG", 'Inputs Yr 2'!$AJ178),0),'Inputs Yr 2'!$AK178,0)+IF(IFERROR(SEARCH("NG", 'Inputs Yr 2'!$AL178),0),'Inputs Yr 2'!$AM178,0)+IF(IFERROR(SEARCH("NG", 'Inputs Yr 2'!$AN178),0),'Inputs Yr 2'!$AO178,0)),0)</f>
        <v>0</v>
      </c>
      <c r="AA178" s="257">
        <f t="shared" si="86"/>
        <v>0</v>
      </c>
      <c r="AB178" s="257">
        <f>IFERROR(Z178*'Inputs Yr 2'!$P178,0)</f>
        <v>0</v>
      </c>
      <c r="AC178" s="257">
        <f t="shared" si="87"/>
        <v>0</v>
      </c>
      <c r="AD178" s="257">
        <f>IFERROR($G178*'Inputs Yr 2'!$Q178*'Inputs Yr 2'!$U178*(IF(IFERROR(SEARCH("Oil", 'Inputs Yr 2'!$AJ178), 0),'Inputs Yr 2'!$AK178,0)+IF(IFERROR(SEARCH("Oil", 'Inputs Yr 2'!$AL178), 0),'Inputs Yr 2'!$AM178,0)+IF(IFERROR(SEARCH("Oil", 'Inputs Yr 2'!$AN178), 0),'Inputs Yr 2'!$AO178,0)),0)</f>
        <v>0</v>
      </c>
      <c r="AE178" s="257">
        <f t="shared" si="88"/>
        <v>0</v>
      </c>
      <c r="AF178" s="257">
        <f>IFERROR(AD178*'Inputs Yr 2'!$P178,0)</f>
        <v>0</v>
      </c>
      <c r="AG178" s="257">
        <f t="shared" si="89"/>
        <v>0</v>
      </c>
      <c r="AH178" s="257">
        <f>IFERROR($G178*'Inputs Yr 2'!$Q178*'Inputs Yr 2'!$U178*(IF('Inputs Yr 2'!$AJ178=CD$4,'Inputs Yr 2'!$AK178,IF('Inputs Yr 2'!$AL178=CD$4,'Inputs Yr 2'!$AM178,IF('Inputs Yr 2'!$AN178=CD$4,'Inputs Yr 2'!$AO178,0)))),0)</f>
        <v>0</v>
      </c>
      <c r="AI178" s="257">
        <f t="shared" si="90"/>
        <v>0</v>
      </c>
      <c r="AJ178" s="257">
        <f>IFERROR(AH178*'Inputs Yr 2'!$P178,0)</f>
        <v>0</v>
      </c>
      <c r="AK178" s="257">
        <f t="shared" si="91"/>
        <v>0</v>
      </c>
      <c r="AL178" s="258">
        <f>IFERROR($G178*'Inputs Yr 2'!$P178*'Inputs Yr 2'!$Q178*'Inputs Yr 2'!AP178,0)</f>
        <v>0</v>
      </c>
      <c r="AM178" s="260">
        <f>IFERROR($G178*'Inputs Yr 2'!$P178*'Inputs Yr 2'!$Q178*'Inputs Yr 2'!AQ178,0)</f>
        <v>0</v>
      </c>
      <c r="AN178" s="258">
        <f>IFERROR($G178*'Inputs Yr 2'!$P178*'Inputs Yr 2'!$Q178*'Inputs Yr 2'!AR178,0)</f>
        <v>0</v>
      </c>
      <c r="AO178" s="257">
        <f t="shared" si="92"/>
        <v>0</v>
      </c>
      <c r="AP178" s="195" t="str">
        <f>IFERROR($CQ178*(INDEX(avoidedcosttbl2,$H178,AP$2)+(($H178-ROUNDDOWN($H178,0))*(INDEX(avoidedcosttbl2,ROUNDUP($H178,0),AP$2)-(INDEX(avoidedcosttbl2,ROUNDDOWN($H178,0),AP$2)))))*$O178*1000*'Inputs Yr 2'!AA178,"")</f>
        <v/>
      </c>
      <c r="AQ178" s="195" t="str">
        <f>IFERROR($CR178*(INDEX(avoidedcosttbl2,$H178,AQ$2)+(($H178-ROUNDDOWN($H178,0))*(INDEX(avoidedcosttbl2,ROUNDUP($H178,0),AQ$2)-(INDEX(avoidedcosttbl2,ROUNDDOWN($H178,0),AQ$2)))))*$O178*1000*'Inputs Yr 2'!AB178,"")</f>
        <v/>
      </c>
      <c r="AR178" s="195" t="str">
        <f>IFERROR($CS178*(INDEX(avoidedcosttbl2,$H178,AR$2)+(($H178-ROUNDDOWN($H178,0))*(INDEX(avoidedcosttbl2,ROUNDUP($H178,0),AR$2)-(INDEX(avoidedcosttbl2,ROUNDDOWN($H178,0),AR$2)))))*$O178*1000*'Inputs Yr 2'!AC178,"")</f>
        <v/>
      </c>
      <c r="AS178" s="195" t="str">
        <f>IFERROR($CT178*(INDEX(avoidedcosttbl2,$H178,AS$2)+(($H178-ROUNDDOWN($H178,0))*(INDEX(avoidedcosttbl2,ROUNDUP($H178,0),AS$2)-(INDEX(avoidedcosttbl2,ROUNDDOWN($H178,0),AS$2)))))*$O178*1000*'Inputs Yr 2'!AD178,"")</f>
        <v/>
      </c>
      <c r="AT178" s="196">
        <f t="shared" si="93"/>
        <v>0</v>
      </c>
      <c r="AU178" s="197" t="str">
        <f>IFERROR($CQ178*((INDEX(avoidedcosttbl2,$H178,AU$2))+(($H178-ROUNDDOWN($H178,0))*((INDEX(avoidedcosttbl2,ROUNDUP($H178,0),AU$2))-(INDEX(avoidedcosttbl2,ROUNDDOWN($H178,0),AU$2)))))*$O178*1000*'Inputs Yr 2'!AA178,"")</f>
        <v/>
      </c>
      <c r="AV178" s="197" t="str">
        <f>IFERROR($CR178*((INDEX(avoidedcosttbl2,$H178,AV$2))+(($H178-ROUNDDOWN($H178,0))*((INDEX(avoidedcosttbl2,ROUNDUP($H178,0),AV$2))-(INDEX(avoidedcosttbl2,ROUNDDOWN($H178,0),AV$2)))))*$O178*1000*'Inputs Yr 2'!AB178,"")</f>
        <v/>
      </c>
      <c r="AW178" s="197" t="str">
        <f>IFERROR($CS178*((INDEX(avoidedcosttbl2,$H178,AW$2))+(($H178-ROUNDDOWN($H178,0))*((INDEX(avoidedcosttbl2,ROUNDUP($H178,0),AW$2))-(INDEX(avoidedcosttbl2,ROUNDDOWN($H178,0),AW$2)))))*$O178*1000*'Inputs Yr 2'!AC178,"")</f>
        <v/>
      </c>
      <c r="AX178" s="197" t="str">
        <f>IFERROR($CT178*((INDEX(avoidedcosttbl2,$H178,AX$2))+(($H178-ROUNDDOWN($H178,0))*((INDEX(avoidedcosttbl2,ROUNDUP($H178,0),AX$2))-(INDEX(avoidedcosttbl2,ROUNDDOWN($H178,0),AX$2)))))*$O178*1000*'Inputs Yr 2'!AD178,"")</f>
        <v/>
      </c>
      <c r="AY178" s="197" t="str">
        <f>IFERROR(((INDEX(avoidedcosttbl2,$H178,AY$2))+(($H178-ROUNDDOWN($H178,0))*((INDEX(avoidedcosttbl2,ROUNDUP($H178,0),AY$2))-(INDEX(avoidedcosttbl2,ROUNDDOWN($H178,0),AY$2)))))*$O178*1000*('Inputs Yr 2'!AC178+'Inputs Yr 2'!AD178),"")</f>
        <v/>
      </c>
      <c r="AZ178" s="197" t="str">
        <f>IFERROR(((INDEX(avoidedcosttbl2,$H178,AZ$2))+(($H178-ROUNDDOWN($H178,0))*((INDEX(avoidedcosttbl2,ROUNDUP($H178,0),AZ$2))-(INDEX(avoidedcosttbl2,ROUNDDOWN($H178,0),AZ$2)))))*$O178*1000*('Inputs Yr 2'!AA178+'Inputs Yr 2'!AB178),"")</f>
        <v/>
      </c>
      <c r="BA178" s="198">
        <f t="shared" si="94"/>
        <v>0</v>
      </c>
      <c r="BB178" s="198">
        <f t="shared" si="95"/>
        <v>0</v>
      </c>
      <c r="BC178" s="195" t="str">
        <f t="shared" si="77"/>
        <v/>
      </c>
      <c r="BD178" s="195" t="str">
        <f t="shared" si="78"/>
        <v/>
      </c>
      <c r="BE178" s="195" t="str">
        <f t="shared" si="79"/>
        <v/>
      </c>
      <c r="BF178" s="195" t="str">
        <f t="shared" si="80"/>
        <v/>
      </c>
      <c r="BG178" s="195" t="str">
        <f t="shared" si="81"/>
        <v/>
      </c>
      <c r="BH178" s="196">
        <f t="shared" si="96"/>
        <v>0</v>
      </c>
      <c r="BI178" s="196">
        <f t="shared" si="97"/>
        <v>0</v>
      </c>
      <c r="BJ178" s="195" t="str">
        <f>IFERROR($G178*(IF('Inputs Yr 2'!$AJ178=BJ$4,'Inputs Yr 2'!$AK178,IF('Inputs Yr 2'!$AL178=BJ$4,'Inputs Yr 2'!$AM178,IF('Inputs Yr 2'!$AN178=BJ$4,'Inputs Yr 2'!$AO178,0))))*(INDEX(avoidedcosttbl2,$H178,BJ$2)+(($H178-ROUNDDOWN($H178,0))*(INDEX(avoidedcosttbl2,ROUNDUP($H178,0),BJ$2)-(INDEX(avoidedcosttbl2,ROUNDDOWN($H178,0),BJ$2)))))*'Inputs Yr 2'!P178*'Inputs Yr 2'!Q178*'Inputs Yr 2'!U178,"")</f>
        <v/>
      </c>
      <c r="BK178" s="195" t="str">
        <f>IFERROR($G178*(IF('Inputs Yr 2'!$AJ178=BK$4,'Inputs Yr 2'!$AK178,IF('Inputs Yr 2'!$AL178=BK$4,'Inputs Yr 2'!$AM178,IF('Inputs Yr 2'!$AN178=BK$4,'Inputs Yr 2'!$AO178,0))))*(INDEX(avoidedcosttbl2,$H178,BK$2)+(($H178-ROUNDDOWN($H178,0))*(INDEX(avoidedcosttbl2,ROUNDUP($H178,0),BK$2)-(INDEX(avoidedcosttbl2,ROUNDDOWN($H178,0),BK$2)))))*'Inputs Yr 2'!P178*'Inputs Yr 2'!Q178*'Inputs Yr 2'!U178,"")</f>
        <v/>
      </c>
      <c r="BL178" s="195" t="str">
        <f>IFERROR($G178*(IF('Inputs Yr 2'!$AJ178=BL$4,'Inputs Yr 2'!$AK178,IF('Inputs Yr 2'!$AL178=BL$4,'Inputs Yr 2'!$AM178,IF('Inputs Yr 2'!$AN178=BL$4,'Inputs Yr 2'!$AO178,0))))*(INDEX(avoidedcosttbl2,$H178,BL$2)+(($H178-ROUNDDOWN($H178,0))*(INDEX(avoidedcosttbl2,ROUNDUP($H178,0),BL$2)-(INDEX(avoidedcosttbl2,ROUNDDOWN($H178,0),BL$2)))))*'Inputs Yr 2'!P178*'Inputs Yr 2'!Q178*'Inputs Yr 2'!U178,"")</f>
        <v/>
      </c>
      <c r="BM178" s="195" t="str">
        <f>IFERROR($G178*(IF('Inputs Yr 2'!$AJ178=BM$4,'Inputs Yr 2'!$AK178,IF('Inputs Yr 2'!$AL178=BM$4,'Inputs Yr 2'!$AM178,IF('Inputs Yr 2'!$AN178=BM$4,'Inputs Yr 2'!$AO178,0))))*(INDEX(avoidedcosttbl2,$H178,BM$2)+(($H178-ROUNDDOWN($H178,0))*(INDEX(avoidedcosttbl2,ROUNDUP($H178,0),BM$2)-(INDEX(avoidedcosttbl2,ROUNDDOWN($H178,0),BM$2)))))*'Inputs Yr 2'!P178*'Inputs Yr 2'!Q178*'Inputs Yr 2'!U178,"")</f>
        <v/>
      </c>
      <c r="BN178" s="195" t="str">
        <f>IFERROR($G178*(IF('Inputs Yr 2'!$AJ178=BN$4,'Inputs Yr 2'!$AK178,IF('Inputs Yr 2'!$AL178=BN$4,'Inputs Yr 2'!$AM178,IF('Inputs Yr 2'!$AN178=BN$4,'Inputs Yr 2'!$AO178,0))))*(INDEX(avoidedcosttbl2,$H178,BN$2)+(($H178-ROUNDDOWN($H178,0))*(INDEX(avoidedcosttbl2,ROUNDUP($H178,0),BN$2)-(INDEX(avoidedcosttbl2,ROUNDDOWN($H178,0),BN$2)))))*'Inputs Yr 2'!P178*'Inputs Yr 2'!Q178*'Inputs Yr 2'!U178,"")</f>
        <v/>
      </c>
      <c r="BO178" s="195" t="str">
        <f>IFERROR($G178*(IF('Inputs Yr 2'!$AJ178=BO$4,'Inputs Yr 2'!$AK178,IF('Inputs Yr 2'!$AL178=BO$4,'Inputs Yr 2'!$AM178,IF('Inputs Yr 2'!$AN178=BO$4,'Inputs Yr 2'!$AO178,0))))*(INDEX(avoidedcosttbl2,$H178,BO$2)+(($H178-ROUNDDOWN($H178,0))*(INDEX(avoidedcosttbl2,ROUNDUP($H178,0),BO$2)-(INDEX(avoidedcosttbl2,ROUNDDOWN($H178,0),BO$2)))))*'Inputs Yr 2'!P178*'Inputs Yr 2'!Q178*'Inputs Yr 2'!U178,"")</f>
        <v/>
      </c>
      <c r="BP178" s="195" t="str">
        <f>IFERROR($G178*(IF('Inputs Yr 2'!$AJ178=BP$4,'Inputs Yr 2'!$AK178,IF('Inputs Yr 2'!$AL178=BP$4,'Inputs Yr 2'!$AM178,IF('Inputs Yr 2'!$AN178=BP$4,'Inputs Yr 2'!$AO178,0))))*(INDEX(avoidedcosttbl2,$H178,BP$2)+(($H178-ROUNDDOWN($H178,0))*(INDEX(avoidedcosttbl2,ROUNDUP($H178,0),BP$2)-(INDEX(avoidedcosttbl2,ROUNDDOWN($H178,0),BP$2)))))*'Inputs Yr 2'!P178*'Inputs Yr 2'!Q178*'Inputs Yr 2'!U178,"")</f>
        <v/>
      </c>
      <c r="BQ178" s="230">
        <f t="shared" si="98"/>
        <v>0</v>
      </c>
      <c r="BR178" s="197">
        <f t="shared" si="82"/>
        <v>0</v>
      </c>
      <c r="BS178" s="197" t="str">
        <f>IFERROR(($G178*IF('Inputs Yr 2'!$AJ178=BM$4,'Inputs Yr 2'!$AK178,IF('Inputs Yr 2'!$AL178=BM$4,'Inputs Yr 2'!$AM178,IF('Inputs Yr 2'!$AN178=BM$4,'Inputs Yr 2'!$AO178,0))))*(INDEX(avoidedcosttbl2,$H178,BS$2)+(($H178-ROUNDDOWN($H178,0))*(INDEX(avoidedcosttbl2,ROUNDUP($H178,0),BS$2)-(INDEX(avoidedcosttbl2,ROUNDDOWN($H178,0),BS$2)))))*'Inputs Yr 2'!P178*'Inputs Yr 2'!Q178*'Inputs Yr 2'!U178,"")</f>
        <v/>
      </c>
      <c r="BT178" s="197" t="str">
        <f>IFERROR(($G178*IF('Inputs Yr 2'!$AJ178=BK$4,'Inputs Yr 2'!$AK178,IF('Inputs Yr 2'!$AL178=BK$4,'Inputs Yr 2'!$AM178,IF('Inputs Yr 2'!$AN178=BK$4,'Inputs Yr 2'!$AO178,0))))*(INDEX(avoidedcosttbl2,$H178,BT$2)+(($H178-ROUNDDOWN($H178,0))*(INDEX(avoidedcosttbl2,ROUNDUP($H178,0),BT$2)-(INDEX(avoidedcosttbl2,ROUNDDOWN($H178,0),BT$2)))))*'Inputs Yr 2'!P178*'Inputs Yr 2'!Q178*'Inputs Yr 2'!U178,"")</f>
        <v/>
      </c>
      <c r="BU178" s="197" t="str">
        <f>IFERROR(($G178*IF('Inputs Yr 2'!$AJ178=BL$4,'Inputs Yr 2'!$AK178,IF('Inputs Yr 2'!$AL178=BL$4,'Inputs Yr 2'!$AM178,IF('Inputs Yr 2'!$AN178=BL$4,'Inputs Yr 2'!$AO178,0))))*(INDEX(avoidedcosttbl2,$H178,BU$2)+(($H178-ROUNDDOWN($H178,0))*(INDEX(avoidedcosttbl2,ROUNDUP($H178,0),BU$2)-(INDEX(avoidedcosttbl2,ROUNDDOWN($H178,0),BU$2)))))*'Inputs Yr 2'!P178*'Inputs Yr 2'!Q178*'Inputs Yr 2'!U178,"")</f>
        <v/>
      </c>
      <c r="BV178" s="775" t="str">
        <f>IFERROR(($G178*IF('Inputs Yr 2'!$AJ178=BJ$4,'Inputs Yr 2'!$AK178,IF('Inputs Yr 2'!$AL178=BJ$4,'Inputs Yr 2'!$AM178,IF('Inputs Yr 2'!$AN178=BJ$4,'Inputs Yr 2'!$AO178,0))))*(INDEX(avoidedcosttbl2,$H178,BV$2)+(($H178-ROUNDDOWN($H178,0))*(INDEX(avoidedcosttbl2,ROUNDUP($H178,0),BV$2)-(INDEX(avoidedcosttbl2,ROUNDDOWN($H178,0),BV$2)))))*'Inputs Yr 2'!P178*'Inputs Yr 2'!Q178*'Inputs Yr 2'!U178,"")</f>
        <v/>
      </c>
      <c r="BW178" s="197" t="str">
        <f>IFERROR(($G178*IF('Inputs Yr 2'!$AJ178=BN$4,'Inputs Yr 2'!$AK178,IF('Inputs Yr 2'!$AL178=BN$4,'Inputs Yr 2'!$AM178,IF('Inputs Yr 2'!$AN178=BN$4,'Inputs Yr 2'!$AO178,0))))*(INDEX(avoidedcosttbl2,$H178,BW$2)+(($H178-ROUNDDOWN($H178,0))*(INDEX(avoidedcosttbl2,ROUNDUP($H178,0),BW$2)-(INDEX(avoidedcosttbl2,ROUNDDOWN($H178,0),BW$2)))))*'Inputs Yr 2'!P178*'Inputs Yr 2'!Q178*'Inputs Yr 2'!U178,"")</f>
        <v/>
      </c>
      <c r="BX178" s="197" t="str">
        <f>IFERROR(($G178*IF('Inputs Yr 2'!$AJ178=BO$4,'Inputs Yr 2'!$AK178,IF('Inputs Yr 2'!$AL178=BO$4,'Inputs Yr 2'!$AM178,IF('Inputs Yr 2'!$AN178=BO$4,'Inputs Yr 2'!$AO178,0))))*(INDEX(avoidedcosttbl2,$H178,BX$2)+(($H178-ROUNDDOWN($H178,0))*(INDEX(avoidedcosttbl2,ROUNDUP($H178,0),BX$2)-(INDEX(avoidedcosttbl2,ROUNDDOWN($H178,0),BX$2)))))*'Inputs Yr 2'!P178*'Inputs Yr 2'!Q178*'Inputs Yr 2'!U178,"")</f>
        <v/>
      </c>
      <c r="BY178" s="197" t="str">
        <f>IFERROR(($G178*IF('Inputs Yr 2'!$AJ178=BP$4,'Inputs Yr 2'!$AK178,IF('Inputs Yr 2'!$AL178=BP$4,'Inputs Yr 2'!$AM178,IF('Inputs Yr 2'!$AN178=BP$4,'Inputs Yr 2'!$AO178,0))))*(INDEX(avoidedcosttbl2,$H178,BY$2)+(($H178-ROUNDDOWN($H178,0))*(INDEX(avoidedcosttbl2,ROUNDUP($H178,0),BY$2)-(INDEX(avoidedcosttbl2,ROUNDDOWN($H178,0),BY$2)))))*'Inputs Yr 2'!P178*'Inputs Yr 2'!Q178*'Inputs Yr 2'!U178,"")</f>
        <v/>
      </c>
      <c r="BZ178" s="193">
        <f t="shared" si="99"/>
        <v>0</v>
      </c>
      <c r="CA178" s="193">
        <f t="shared" si="100"/>
        <v>0</v>
      </c>
      <c r="CB178" s="195" t="str">
        <f>IFERROR(G178*(IF('Inputs Yr 2'!$AJ178=CB$4,'Inputs Yr 2'!$AK178,IF('Inputs Yr 2'!$AL178=CB$4,'Inputs Yr 2'!$AM178,IF('Inputs Yr 2'!$AN178=CB$4,'Inputs Yr 2'!$AO178,0))))*(INDEX(avoidedcosttbl2,$H178,CB$2)+(($H178-ROUNDDOWN($H178,0))*(INDEX(avoidedcosttbl2,ROUNDUP($H178,0),CB$2)-(INDEX(avoidedcosttbl2,ROUNDDOWN($H178,0),CB$2)))))*'Inputs Yr 2'!P178*'Inputs Yr 2'!Q178*'Inputs Yr 2'!U178,"")</f>
        <v/>
      </c>
      <c r="CC178" s="195">
        <f>IFERROR(H178*(IF('Inputs Yr 2'!$AJ178=CC$4,'Inputs Yr 2'!$AK178,IF('Inputs Yr 2'!$AL178=CC$4,'Inputs Yr 2'!$AM178,IF('Inputs Yr 2'!$AN178=CC$4,'Inputs Yr 2'!$AO178,0))))*(INDEX(avoidedcosttbl2,$H178,CC$2)+(($H178-ROUNDDOWN($H178,0))*(INDEX(avoidedcosttbl2,ROUNDUP($H178,0),CC$2)-(INDEX(avoidedcosttbl2,ROUNDDOWN($H178,0),CC$2)))))*'Inputs Yr 2'!Q178*'Inputs Yr 2'!R178*'Inputs Yr 2'!V178,"")</f>
        <v>0</v>
      </c>
      <c r="CD178" s="195" t="str">
        <f>IFERROR(I178*(IF('Inputs Yr 2'!$AJ178=CD$4,'Inputs Yr 2'!$AK178,IF('Inputs Yr 2'!$AL178=CD$4,'Inputs Yr 2'!$AM178,IF('Inputs Yr 2'!$AN178=CD$4,'Inputs Yr 2'!$AO178,0))))*(INDEX(avoidedcosttbl2,$H178,CD$2)+(($H178-ROUNDDOWN($H178,0))*(INDEX(avoidedcosttbl2,ROUNDUP($H178,0),CD$2)-(INDEX(avoidedcosttbl2,ROUNDDOWN($H178,0),CD$2)))))*'Inputs Yr 2'!R178*'Inputs Yr 2'!S178*'Inputs Yr 2'!W178,"")</f>
        <v/>
      </c>
      <c r="CE178" s="213">
        <f t="shared" si="101"/>
        <v>0</v>
      </c>
      <c r="CF178" s="213">
        <f t="shared" si="102"/>
        <v>0</v>
      </c>
      <c r="CG178" s="213">
        <f t="shared" si="103"/>
        <v>0</v>
      </c>
      <c r="CH178" s="698">
        <f t="shared" si="104"/>
        <v>0</v>
      </c>
      <c r="CI178" s="79" t="str">
        <f>IFERROR(($G178*'Inputs Yr 2'!$P178*'Inputs Yr 2'!$Q178*(((INDEX(avoidedcosttbl2,$H178,CI$2)+(($H178-ROUNDDOWN($H178,0))*(INDEX(avoidedcosttbl2,ROUNDUP($H178,0),CI$2)-INDEX(avoidedcosttbl2,ROUNDDOWN($H178,0),CI$2))))*'Inputs Yr 2'!AS178))),"")</f>
        <v/>
      </c>
      <c r="CJ178" s="504" t="str">
        <f>IFERROR($G178*'Inputs Yr 2'!AT178*'Inputs Yr 2'!$P178*'Inputs Yr 2'!$Q178/((1+realdiscrt1)^-0.5),"")</f>
        <v/>
      </c>
      <c r="CK178" s="79" t="str">
        <f>IFERROR((O178*1000*(((INDEX(avoidedcosttbl2,$H178,CK$2)+(($H178-ROUNDDOWN($H178,0))*(INDEX(avoidedcosttbl2,ROUNDUP($H178,0),CK$2)-INDEX(avoidedcosttbl2,ROUNDDOWN($H178,0),CK$2))))*'Inputs Yr 2'!AU178))),"")</f>
        <v/>
      </c>
      <c r="CL178" s="504" t="str">
        <f>IFERROR(O178*1000*'Inputs Yr 2'!AV178/((1+realdiscrt1)^-0.5),"")</f>
        <v/>
      </c>
      <c r="CM178" s="79">
        <f>IFERROR((AB178*'Inputs Yr 2'!AW178*(((INDEX(avoidedcosttbl2,$H178,CM$2)+(($H178-ROUNDDOWN($H178,0))*(INDEX(avoidedcosttbl2,ROUNDUP($H178,0),CM$2)-INDEX(avoidedcosttbl2,ROUNDDOWN($H178,0),CM$2)))))))*10,"")</f>
        <v>0</v>
      </c>
      <c r="CN178" s="504">
        <f>IFERROR(10*AB178*'Inputs Yr 2'!AX178/((1+realdiscrt1)^-0.5),"")</f>
        <v>0</v>
      </c>
      <c r="CO178" s="505">
        <f t="shared" si="105"/>
        <v>0</v>
      </c>
      <c r="CP178" s="230">
        <f t="shared" si="106"/>
        <v>0</v>
      </c>
      <c r="CQ178" s="199">
        <f>ROUND(IFERROR(IF(LEFT($A178,1)="C",'Avoided Costs'!$K$13,'Avoided Costs'!$K$12)+1,""),4)</f>
        <v>1.0720000000000001</v>
      </c>
      <c r="CR178" s="199">
        <f>ROUND(IFERROR(IF(LEFT($A178,1)="C",'Avoided Costs'!$L$13,'Avoided Costs'!$L$12)+1,""),4)</f>
        <v>1.04</v>
      </c>
      <c r="CS178" s="199">
        <f>ROUND(IFERROR(IF(LEFT($A178,1)="C",'Avoided Costs'!$M$13,'Avoided Costs'!$M$12)+1,""),4)</f>
        <v>1.0720000000000001</v>
      </c>
      <c r="CT178" s="199">
        <f>ROUND(IFERROR(IF(LEFT($A178,1)="C",'Avoided Costs'!$N$13,'Avoided Costs'!$N$12)+1,""),4)</f>
        <v>1.04</v>
      </c>
      <c r="CU178" s="199">
        <f>ROUND(IFERROR(IF(LEFT($A178,1)="C",'Avoided Costs'!$O$13,'Avoided Costs'!$O$12)+1,""),4)</f>
        <v>1.1120000000000001</v>
      </c>
      <c r="CV178" s="199">
        <f>ROUND(IFERROR(IF(LEFT($A178,1)="C",'Avoided Costs'!$P$13,'Avoided Costs'!$P$12)+1,""),4)</f>
        <v>1.095</v>
      </c>
      <c r="CW178" s="199">
        <f>ROUND(IFERROR(IF(LEFT($A178,1)="C",'Avoided Costs'!$Q$13,'Avoided Costs'!$Q$12)+1,""),4)</f>
        <v>1.1120000000000001</v>
      </c>
      <c r="CX178" s="200">
        <f>ROUND(IFERROR(IF(LEFT($A178,1)="C",'Avoided Costs'!$R$13,'Avoided Costs'!$R$12)+1,""),4)</f>
        <v>1.1120000000000001</v>
      </c>
    </row>
    <row r="179" spans="1:102" ht="12.75" customHeight="1">
      <c r="A179" s="91" t="str">
        <f>IF('Inputs Yr 2'!$B179=0,"",'Inputs Yr 2'!A179)</f>
        <v>C - Commercial &amp; Industrial</v>
      </c>
      <c r="B179" s="91" t="str">
        <f>IF('Inputs Yr 2'!$B179=0,"",'Inputs Yr 2'!B179)</f>
        <v>C1 - C&amp;I New Construction</v>
      </c>
      <c r="C179" s="91" t="str">
        <f>IF('Inputs Yr 2'!$B179=0,"",'Inputs Yr 2'!C179)</f>
        <v>C1a - C&amp;I New Buildings &amp; Major Renovations</v>
      </c>
      <c r="D179" s="91" t="str">
        <f>IF('Inputs Yr 2'!$B179=0,"",'Inputs Yr 2'!E179)</f>
        <v>Furnace w/ECM 97% - Muni</v>
      </c>
      <c r="E179" s="93" t="str">
        <f>IF('Inputs Yr 2'!$B179=0,"",'Inputs Yr 2'!F179)</f>
        <v>G16C1a22</v>
      </c>
      <c r="F179" s="93" t="str">
        <f>IF('Inputs Yr 2'!$B179=0,"",'Inputs Yr 2'!G179)</f>
        <v>HVAC</v>
      </c>
      <c r="G179" s="95" t="str">
        <f>IF('Inputs Yr 2'!$H179&lt;&gt;0,('Inputs Yr 2'!H179),"")</f>
        <v/>
      </c>
      <c r="H179" s="94">
        <f>IFERROR('Inputs Yr 2'!I179,"")</f>
        <v>18</v>
      </c>
      <c r="I179" s="298" t="str">
        <f>IFERROR('Inputs Yr 2'!J179*'Inputs Yr 2'!P179*G179,"")</f>
        <v/>
      </c>
      <c r="J179" s="298" t="str">
        <f>IFERROR('Inputs Yr 2'!K179*G179,"")</f>
        <v/>
      </c>
      <c r="K179" s="298" t="str">
        <f t="shared" si="83"/>
        <v/>
      </c>
      <c r="L179" s="194" t="str">
        <f>IFERROR(('Inputs Yr 2'!W179*G179)/1000,"")</f>
        <v/>
      </c>
      <c r="M179" s="194" t="str">
        <f>IFERROR(L179*('Inputs Yr 2'!$Q179*'Inputs Yr 2'!$V179*'Inputs Yr 2'!$R179),"")</f>
        <v/>
      </c>
      <c r="N179" s="194" t="str">
        <f t="shared" si="84"/>
        <v/>
      </c>
      <c r="O179" s="194" t="str">
        <f>IFERROR(M179*'Inputs Yr 2'!P179,"")</f>
        <v/>
      </c>
      <c r="P179" s="194" t="str">
        <f t="shared" si="85"/>
        <v/>
      </c>
      <c r="Q179" s="194" t="str">
        <f>IFERROR($P179*'Inputs Yr 2'!AA179,"")</f>
        <v/>
      </c>
      <c r="R179" s="194" t="str">
        <f>IFERROR($P179*'Inputs Yr 2'!AB179,"")</f>
        <v/>
      </c>
      <c r="S179" s="194" t="str">
        <f>IFERROR($P179*'Inputs Yr 2'!AC179,"")</f>
        <v/>
      </c>
      <c r="T179" s="194" t="str">
        <f>IFERROR($P179*'Inputs Yr 2'!AD179,"")</f>
        <v/>
      </c>
      <c r="U179" s="194" t="str">
        <f>IFERROR(G179*'Inputs Yr 2'!$AE179*'Inputs Yr 2'!$P179*'Inputs Yr 2'!$Q179,"")</f>
        <v/>
      </c>
      <c r="V179" s="194" t="str">
        <f>IFERROR($G179*'Inputs Yr 2'!$AE179*'Inputs Yr 2'!$AG179*'Inputs Yr 2'!Q179*'Inputs Yr 2'!$S179,"")</f>
        <v/>
      </c>
      <c r="W179" s="194" t="str">
        <f>IFERROR($G179*'Inputs Yr 2'!$AE179*'Inputs Yr 2'!$AG179*'Inputs Yr 2'!P179*'Inputs Yr 2'!Q179*'Inputs Yr 2'!$S179,"")</f>
        <v/>
      </c>
      <c r="X179" s="194" t="str">
        <f>IFERROR($G179*'Inputs Yr 2'!$AE179*'Inputs Yr 2'!$AF179*'Inputs Yr 2'!Q179*'Inputs Yr 2'!$T179,"")</f>
        <v/>
      </c>
      <c r="Y179" s="194" t="str">
        <f>IFERROR($G179*'Inputs Yr 2'!$AE179*'Inputs Yr 2'!$AF179*'Inputs Yr 2'!P179*'Inputs Yr 2'!Q179*'Inputs Yr 2'!$T179,"")</f>
        <v/>
      </c>
      <c r="Z179" s="257">
        <f>IFERROR($G179*'Inputs Yr 2'!$Q179*'Inputs Yr 2'!$U179*(IF(IFERROR(SEARCH("NG", 'Inputs Yr 2'!$AJ179),0),'Inputs Yr 2'!$AK179,0)+IF(IFERROR(SEARCH("NG", 'Inputs Yr 2'!$AL179),0),'Inputs Yr 2'!$AM179,0)+IF(IFERROR(SEARCH("NG", 'Inputs Yr 2'!$AN179),0),'Inputs Yr 2'!$AO179,0)),0)</f>
        <v>0</v>
      </c>
      <c r="AA179" s="257">
        <f t="shared" si="86"/>
        <v>0</v>
      </c>
      <c r="AB179" s="257">
        <f>IFERROR(Z179*'Inputs Yr 2'!$P179,0)</f>
        <v>0</v>
      </c>
      <c r="AC179" s="257">
        <f t="shared" si="87"/>
        <v>0</v>
      </c>
      <c r="AD179" s="257">
        <f>IFERROR($G179*'Inputs Yr 2'!$Q179*'Inputs Yr 2'!$U179*(IF(IFERROR(SEARCH("Oil", 'Inputs Yr 2'!$AJ179), 0),'Inputs Yr 2'!$AK179,0)+IF(IFERROR(SEARCH("Oil", 'Inputs Yr 2'!$AL179), 0),'Inputs Yr 2'!$AM179,0)+IF(IFERROR(SEARCH("Oil", 'Inputs Yr 2'!$AN179), 0),'Inputs Yr 2'!$AO179,0)),0)</f>
        <v>0</v>
      </c>
      <c r="AE179" s="257">
        <f t="shared" si="88"/>
        <v>0</v>
      </c>
      <c r="AF179" s="257">
        <f>IFERROR(AD179*'Inputs Yr 2'!$P179,0)</f>
        <v>0</v>
      </c>
      <c r="AG179" s="257">
        <f t="shared" si="89"/>
        <v>0</v>
      </c>
      <c r="AH179" s="257">
        <f>IFERROR($G179*'Inputs Yr 2'!$Q179*'Inputs Yr 2'!$U179*(IF('Inputs Yr 2'!$AJ179=CD$4,'Inputs Yr 2'!$AK179,IF('Inputs Yr 2'!$AL179=CD$4,'Inputs Yr 2'!$AM179,IF('Inputs Yr 2'!$AN179=CD$4,'Inputs Yr 2'!$AO179,0)))),0)</f>
        <v>0</v>
      </c>
      <c r="AI179" s="257">
        <f t="shared" si="90"/>
        <v>0</v>
      </c>
      <c r="AJ179" s="257">
        <f>IFERROR(AH179*'Inputs Yr 2'!$P179,0)</f>
        <v>0</v>
      </c>
      <c r="AK179" s="257">
        <f t="shared" si="91"/>
        <v>0</v>
      </c>
      <c r="AL179" s="258">
        <f>IFERROR($G179*'Inputs Yr 2'!$P179*'Inputs Yr 2'!$Q179*'Inputs Yr 2'!AP179,0)</f>
        <v>0</v>
      </c>
      <c r="AM179" s="260">
        <f>IFERROR($G179*'Inputs Yr 2'!$P179*'Inputs Yr 2'!$Q179*'Inputs Yr 2'!AQ179,0)</f>
        <v>0</v>
      </c>
      <c r="AN179" s="258">
        <f>IFERROR($G179*'Inputs Yr 2'!$P179*'Inputs Yr 2'!$Q179*'Inputs Yr 2'!AR179,0)</f>
        <v>0</v>
      </c>
      <c r="AO179" s="257">
        <f t="shared" si="92"/>
        <v>0</v>
      </c>
      <c r="AP179" s="195" t="str">
        <f>IFERROR($CQ179*(INDEX(avoidedcosttbl2,$H179,AP$2)+(($H179-ROUNDDOWN($H179,0))*(INDEX(avoidedcosttbl2,ROUNDUP($H179,0),AP$2)-(INDEX(avoidedcosttbl2,ROUNDDOWN($H179,0),AP$2)))))*$O179*1000*'Inputs Yr 2'!AA179,"")</f>
        <v/>
      </c>
      <c r="AQ179" s="195" t="str">
        <f>IFERROR($CR179*(INDEX(avoidedcosttbl2,$H179,AQ$2)+(($H179-ROUNDDOWN($H179,0))*(INDEX(avoidedcosttbl2,ROUNDUP($H179,0),AQ$2)-(INDEX(avoidedcosttbl2,ROUNDDOWN($H179,0),AQ$2)))))*$O179*1000*'Inputs Yr 2'!AB179,"")</f>
        <v/>
      </c>
      <c r="AR179" s="195" t="str">
        <f>IFERROR($CS179*(INDEX(avoidedcosttbl2,$H179,AR$2)+(($H179-ROUNDDOWN($H179,0))*(INDEX(avoidedcosttbl2,ROUNDUP($H179,0),AR$2)-(INDEX(avoidedcosttbl2,ROUNDDOWN($H179,0),AR$2)))))*$O179*1000*'Inputs Yr 2'!AC179,"")</f>
        <v/>
      </c>
      <c r="AS179" s="195" t="str">
        <f>IFERROR($CT179*(INDEX(avoidedcosttbl2,$H179,AS$2)+(($H179-ROUNDDOWN($H179,0))*(INDEX(avoidedcosttbl2,ROUNDUP($H179,0),AS$2)-(INDEX(avoidedcosttbl2,ROUNDDOWN($H179,0),AS$2)))))*$O179*1000*'Inputs Yr 2'!AD179,"")</f>
        <v/>
      </c>
      <c r="AT179" s="196">
        <f t="shared" si="93"/>
        <v>0</v>
      </c>
      <c r="AU179" s="197" t="str">
        <f>IFERROR($CQ179*((INDEX(avoidedcosttbl2,$H179,AU$2))+(($H179-ROUNDDOWN($H179,0))*((INDEX(avoidedcosttbl2,ROUNDUP($H179,0),AU$2))-(INDEX(avoidedcosttbl2,ROUNDDOWN($H179,0),AU$2)))))*$O179*1000*'Inputs Yr 2'!AA179,"")</f>
        <v/>
      </c>
      <c r="AV179" s="197" t="str">
        <f>IFERROR($CR179*((INDEX(avoidedcosttbl2,$H179,AV$2))+(($H179-ROUNDDOWN($H179,0))*((INDEX(avoidedcosttbl2,ROUNDUP($H179,0),AV$2))-(INDEX(avoidedcosttbl2,ROUNDDOWN($H179,0),AV$2)))))*$O179*1000*'Inputs Yr 2'!AB179,"")</f>
        <v/>
      </c>
      <c r="AW179" s="197" t="str">
        <f>IFERROR($CS179*((INDEX(avoidedcosttbl2,$H179,AW$2))+(($H179-ROUNDDOWN($H179,0))*((INDEX(avoidedcosttbl2,ROUNDUP($H179,0),AW$2))-(INDEX(avoidedcosttbl2,ROUNDDOWN($H179,0),AW$2)))))*$O179*1000*'Inputs Yr 2'!AC179,"")</f>
        <v/>
      </c>
      <c r="AX179" s="197" t="str">
        <f>IFERROR($CT179*((INDEX(avoidedcosttbl2,$H179,AX$2))+(($H179-ROUNDDOWN($H179,0))*((INDEX(avoidedcosttbl2,ROUNDUP($H179,0),AX$2))-(INDEX(avoidedcosttbl2,ROUNDDOWN($H179,0),AX$2)))))*$O179*1000*'Inputs Yr 2'!AD179,"")</f>
        <v/>
      </c>
      <c r="AY179" s="197" t="str">
        <f>IFERROR(((INDEX(avoidedcosttbl2,$H179,AY$2))+(($H179-ROUNDDOWN($H179,0))*((INDEX(avoidedcosttbl2,ROUNDUP($H179,0),AY$2))-(INDEX(avoidedcosttbl2,ROUNDDOWN($H179,0),AY$2)))))*$O179*1000*('Inputs Yr 2'!AC179+'Inputs Yr 2'!AD179),"")</f>
        <v/>
      </c>
      <c r="AZ179" s="197" t="str">
        <f>IFERROR(((INDEX(avoidedcosttbl2,$H179,AZ$2))+(($H179-ROUNDDOWN($H179,0))*((INDEX(avoidedcosttbl2,ROUNDUP($H179,0),AZ$2))-(INDEX(avoidedcosttbl2,ROUNDDOWN($H179,0),AZ$2)))))*$O179*1000*('Inputs Yr 2'!AA179+'Inputs Yr 2'!AB179),"")</f>
        <v/>
      </c>
      <c r="BA179" s="198">
        <f t="shared" si="94"/>
        <v>0</v>
      </c>
      <c r="BB179" s="198">
        <f t="shared" si="95"/>
        <v>0</v>
      </c>
      <c r="BC179" s="195" t="str">
        <f t="shared" si="77"/>
        <v/>
      </c>
      <c r="BD179" s="195" t="str">
        <f t="shared" si="78"/>
        <v/>
      </c>
      <c r="BE179" s="195" t="str">
        <f t="shared" si="79"/>
        <v/>
      </c>
      <c r="BF179" s="195" t="str">
        <f t="shared" si="80"/>
        <v/>
      </c>
      <c r="BG179" s="195" t="str">
        <f t="shared" si="81"/>
        <v/>
      </c>
      <c r="BH179" s="196">
        <f t="shared" si="96"/>
        <v>0</v>
      </c>
      <c r="BI179" s="196">
        <f t="shared" si="97"/>
        <v>0</v>
      </c>
      <c r="BJ179" s="195" t="str">
        <f>IFERROR($G179*(IF('Inputs Yr 2'!$AJ179=BJ$4,'Inputs Yr 2'!$AK179,IF('Inputs Yr 2'!$AL179=BJ$4,'Inputs Yr 2'!$AM179,IF('Inputs Yr 2'!$AN179=BJ$4,'Inputs Yr 2'!$AO179,0))))*(INDEX(avoidedcosttbl2,$H179,BJ$2)+(($H179-ROUNDDOWN($H179,0))*(INDEX(avoidedcosttbl2,ROUNDUP($H179,0),BJ$2)-(INDEX(avoidedcosttbl2,ROUNDDOWN($H179,0),BJ$2)))))*'Inputs Yr 2'!P179*'Inputs Yr 2'!Q179*'Inputs Yr 2'!U179,"")</f>
        <v/>
      </c>
      <c r="BK179" s="195" t="str">
        <f>IFERROR($G179*(IF('Inputs Yr 2'!$AJ179=BK$4,'Inputs Yr 2'!$AK179,IF('Inputs Yr 2'!$AL179=BK$4,'Inputs Yr 2'!$AM179,IF('Inputs Yr 2'!$AN179=BK$4,'Inputs Yr 2'!$AO179,0))))*(INDEX(avoidedcosttbl2,$H179,BK$2)+(($H179-ROUNDDOWN($H179,0))*(INDEX(avoidedcosttbl2,ROUNDUP($H179,0),BK$2)-(INDEX(avoidedcosttbl2,ROUNDDOWN($H179,0),BK$2)))))*'Inputs Yr 2'!P179*'Inputs Yr 2'!Q179*'Inputs Yr 2'!U179,"")</f>
        <v/>
      </c>
      <c r="BL179" s="195" t="str">
        <f>IFERROR($G179*(IF('Inputs Yr 2'!$AJ179=BL$4,'Inputs Yr 2'!$AK179,IF('Inputs Yr 2'!$AL179=BL$4,'Inputs Yr 2'!$AM179,IF('Inputs Yr 2'!$AN179=BL$4,'Inputs Yr 2'!$AO179,0))))*(INDEX(avoidedcosttbl2,$H179,BL$2)+(($H179-ROUNDDOWN($H179,0))*(INDEX(avoidedcosttbl2,ROUNDUP($H179,0),BL$2)-(INDEX(avoidedcosttbl2,ROUNDDOWN($H179,0),BL$2)))))*'Inputs Yr 2'!P179*'Inputs Yr 2'!Q179*'Inputs Yr 2'!U179,"")</f>
        <v/>
      </c>
      <c r="BM179" s="195" t="str">
        <f>IFERROR($G179*(IF('Inputs Yr 2'!$AJ179=BM$4,'Inputs Yr 2'!$AK179,IF('Inputs Yr 2'!$AL179=BM$4,'Inputs Yr 2'!$AM179,IF('Inputs Yr 2'!$AN179=BM$4,'Inputs Yr 2'!$AO179,0))))*(INDEX(avoidedcosttbl2,$H179,BM$2)+(($H179-ROUNDDOWN($H179,0))*(INDEX(avoidedcosttbl2,ROUNDUP($H179,0),BM$2)-(INDEX(avoidedcosttbl2,ROUNDDOWN($H179,0),BM$2)))))*'Inputs Yr 2'!P179*'Inputs Yr 2'!Q179*'Inputs Yr 2'!U179,"")</f>
        <v/>
      </c>
      <c r="BN179" s="195" t="str">
        <f>IFERROR($G179*(IF('Inputs Yr 2'!$AJ179=BN$4,'Inputs Yr 2'!$AK179,IF('Inputs Yr 2'!$AL179=BN$4,'Inputs Yr 2'!$AM179,IF('Inputs Yr 2'!$AN179=BN$4,'Inputs Yr 2'!$AO179,0))))*(INDEX(avoidedcosttbl2,$H179,BN$2)+(($H179-ROUNDDOWN($H179,0))*(INDEX(avoidedcosttbl2,ROUNDUP($H179,0),BN$2)-(INDEX(avoidedcosttbl2,ROUNDDOWN($H179,0),BN$2)))))*'Inputs Yr 2'!P179*'Inputs Yr 2'!Q179*'Inputs Yr 2'!U179,"")</f>
        <v/>
      </c>
      <c r="BO179" s="195" t="str">
        <f>IFERROR($G179*(IF('Inputs Yr 2'!$AJ179=BO$4,'Inputs Yr 2'!$AK179,IF('Inputs Yr 2'!$AL179=BO$4,'Inputs Yr 2'!$AM179,IF('Inputs Yr 2'!$AN179=BO$4,'Inputs Yr 2'!$AO179,0))))*(INDEX(avoidedcosttbl2,$H179,BO$2)+(($H179-ROUNDDOWN($H179,0))*(INDEX(avoidedcosttbl2,ROUNDUP($H179,0),BO$2)-(INDEX(avoidedcosttbl2,ROUNDDOWN($H179,0),BO$2)))))*'Inputs Yr 2'!P179*'Inputs Yr 2'!Q179*'Inputs Yr 2'!U179,"")</f>
        <v/>
      </c>
      <c r="BP179" s="195" t="str">
        <f>IFERROR($G179*(IF('Inputs Yr 2'!$AJ179=BP$4,'Inputs Yr 2'!$AK179,IF('Inputs Yr 2'!$AL179=BP$4,'Inputs Yr 2'!$AM179,IF('Inputs Yr 2'!$AN179=BP$4,'Inputs Yr 2'!$AO179,0))))*(INDEX(avoidedcosttbl2,$H179,BP$2)+(($H179-ROUNDDOWN($H179,0))*(INDEX(avoidedcosttbl2,ROUNDUP($H179,0),BP$2)-(INDEX(avoidedcosttbl2,ROUNDDOWN($H179,0),BP$2)))))*'Inputs Yr 2'!P179*'Inputs Yr 2'!Q179*'Inputs Yr 2'!U179,"")</f>
        <v/>
      </c>
      <c r="BQ179" s="230">
        <f t="shared" si="98"/>
        <v>0</v>
      </c>
      <c r="BR179" s="197">
        <f t="shared" si="82"/>
        <v>0</v>
      </c>
      <c r="BS179" s="197" t="str">
        <f>IFERROR(($G179*IF('Inputs Yr 2'!$AJ179=BM$4,'Inputs Yr 2'!$AK179,IF('Inputs Yr 2'!$AL179=BM$4,'Inputs Yr 2'!$AM179,IF('Inputs Yr 2'!$AN179=BM$4,'Inputs Yr 2'!$AO179,0))))*(INDEX(avoidedcosttbl2,$H179,BS$2)+(($H179-ROUNDDOWN($H179,0))*(INDEX(avoidedcosttbl2,ROUNDUP($H179,0),BS$2)-(INDEX(avoidedcosttbl2,ROUNDDOWN($H179,0),BS$2)))))*'Inputs Yr 2'!P179*'Inputs Yr 2'!Q179*'Inputs Yr 2'!U179,"")</f>
        <v/>
      </c>
      <c r="BT179" s="197" t="str">
        <f>IFERROR(($G179*IF('Inputs Yr 2'!$AJ179=BK$4,'Inputs Yr 2'!$AK179,IF('Inputs Yr 2'!$AL179=BK$4,'Inputs Yr 2'!$AM179,IF('Inputs Yr 2'!$AN179=BK$4,'Inputs Yr 2'!$AO179,0))))*(INDEX(avoidedcosttbl2,$H179,BT$2)+(($H179-ROUNDDOWN($H179,0))*(INDEX(avoidedcosttbl2,ROUNDUP($H179,0),BT$2)-(INDEX(avoidedcosttbl2,ROUNDDOWN($H179,0),BT$2)))))*'Inputs Yr 2'!P179*'Inputs Yr 2'!Q179*'Inputs Yr 2'!U179,"")</f>
        <v/>
      </c>
      <c r="BU179" s="197" t="str">
        <f>IFERROR(($G179*IF('Inputs Yr 2'!$AJ179=BL$4,'Inputs Yr 2'!$AK179,IF('Inputs Yr 2'!$AL179=BL$4,'Inputs Yr 2'!$AM179,IF('Inputs Yr 2'!$AN179=BL$4,'Inputs Yr 2'!$AO179,0))))*(INDEX(avoidedcosttbl2,$H179,BU$2)+(($H179-ROUNDDOWN($H179,0))*(INDEX(avoidedcosttbl2,ROUNDUP($H179,0),BU$2)-(INDEX(avoidedcosttbl2,ROUNDDOWN($H179,0),BU$2)))))*'Inputs Yr 2'!P179*'Inputs Yr 2'!Q179*'Inputs Yr 2'!U179,"")</f>
        <v/>
      </c>
      <c r="BV179" s="775" t="str">
        <f>IFERROR(($G179*IF('Inputs Yr 2'!$AJ179=BJ$4,'Inputs Yr 2'!$AK179,IF('Inputs Yr 2'!$AL179=BJ$4,'Inputs Yr 2'!$AM179,IF('Inputs Yr 2'!$AN179=BJ$4,'Inputs Yr 2'!$AO179,0))))*(INDEX(avoidedcosttbl2,$H179,BV$2)+(($H179-ROUNDDOWN($H179,0))*(INDEX(avoidedcosttbl2,ROUNDUP($H179,0),BV$2)-(INDEX(avoidedcosttbl2,ROUNDDOWN($H179,0),BV$2)))))*'Inputs Yr 2'!P179*'Inputs Yr 2'!Q179*'Inputs Yr 2'!U179,"")</f>
        <v/>
      </c>
      <c r="BW179" s="197" t="str">
        <f>IFERROR(($G179*IF('Inputs Yr 2'!$AJ179=BN$4,'Inputs Yr 2'!$AK179,IF('Inputs Yr 2'!$AL179=BN$4,'Inputs Yr 2'!$AM179,IF('Inputs Yr 2'!$AN179=BN$4,'Inputs Yr 2'!$AO179,0))))*(INDEX(avoidedcosttbl2,$H179,BW$2)+(($H179-ROUNDDOWN($H179,0))*(INDEX(avoidedcosttbl2,ROUNDUP($H179,0),BW$2)-(INDEX(avoidedcosttbl2,ROUNDDOWN($H179,0),BW$2)))))*'Inputs Yr 2'!P179*'Inputs Yr 2'!Q179*'Inputs Yr 2'!U179,"")</f>
        <v/>
      </c>
      <c r="BX179" s="197" t="str">
        <f>IFERROR(($G179*IF('Inputs Yr 2'!$AJ179=BO$4,'Inputs Yr 2'!$AK179,IF('Inputs Yr 2'!$AL179=BO$4,'Inputs Yr 2'!$AM179,IF('Inputs Yr 2'!$AN179=BO$4,'Inputs Yr 2'!$AO179,0))))*(INDEX(avoidedcosttbl2,$H179,BX$2)+(($H179-ROUNDDOWN($H179,0))*(INDEX(avoidedcosttbl2,ROUNDUP($H179,0),BX$2)-(INDEX(avoidedcosttbl2,ROUNDDOWN($H179,0),BX$2)))))*'Inputs Yr 2'!P179*'Inputs Yr 2'!Q179*'Inputs Yr 2'!U179,"")</f>
        <v/>
      </c>
      <c r="BY179" s="197" t="str">
        <f>IFERROR(($G179*IF('Inputs Yr 2'!$AJ179=BP$4,'Inputs Yr 2'!$AK179,IF('Inputs Yr 2'!$AL179=BP$4,'Inputs Yr 2'!$AM179,IF('Inputs Yr 2'!$AN179=BP$4,'Inputs Yr 2'!$AO179,0))))*(INDEX(avoidedcosttbl2,$H179,BY$2)+(($H179-ROUNDDOWN($H179,0))*(INDEX(avoidedcosttbl2,ROUNDUP($H179,0),BY$2)-(INDEX(avoidedcosttbl2,ROUNDDOWN($H179,0),BY$2)))))*'Inputs Yr 2'!P179*'Inputs Yr 2'!Q179*'Inputs Yr 2'!U179,"")</f>
        <v/>
      </c>
      <c r="BZ179" s="193">
        <f t="shared" si="99"/>
        <v>0</v>
      </c>
      <c r="CA179" s="193">
        <f t="shared" si="100"/>
        <v>0</v>
      </c>
      <c r="CB179" s="195" t="str">
        <f>IFERROR(G179*(IF('Inputs Yr 2'!$AJ179=CB$4,'Inputs Yr 2'!$AK179,IF('Inputs Yr 2'!$AL179=CB$4,'Inputs Yr 2'!$AM179,IF('Inputs Yr 2'!$AN179=CB$4,'Inputs Yr 2'!$AO179,0))))*(INDEX(avoidedcosttbl2,$H179,CB$2)+(($H179-ROUNDDOWN($H179,0))*(INDEX(avoidedcosttbl2,ROUNDUP($H179,0),CB$2)-(INDEX(avoidedcosttbl2,ROUNDDOWN($H179,0),CB$2)))))*'Inputs Yr 2'!P179*'Inputs Yr 2'!Q179*'Inputs Yr 2'!U179,"")</f>
        <v/>
      </c>
      <c r="CC179" s="195">
        <f>IFERROR(H179*(IF('Inputs Yr 2'!$AJ179=CC$4,'Inputs Yr 2'!$AK179,IF('Inputs Yr 2'!$AL179=CC$4,'Inputs Yr 2'!$AM179,IF('Inputs Yr 2'!$AN179=CC$4,'Inputs Yr 2'!$AO179,0))))*(INDEX(avoidedcosttbl2,$H179,CC$2)+(($H179-ROUNDDOWN($H179,0))*(INDEX(avoidedcosttbl2,ROUNDUP($H179,0),CC$2)-(INDEX(avoidedcosttbl2,ROUNDDOWN($H179,0),CC$2)))))*'Inputs Yr 2'!Q179*'Inputs Yr 2'!R179*'Inputs Yr 2'!V179,"")</f>
        <v>0</v>
      </c>
      <c r="CD179" s="195" t="str">
        <f>IFERROR(I179*(IF('Inputs Yr 2'!$AJ179=CD$4,'Inputs Yr 2'!$AK179,IF('Inputs Yr 2'!$AL179=CD$4,'Inputs Yr 2'!$AM179,IF('Inputs Yr 2'!$AN179=CD$4,'Inputs Yr 2'!$AO179,0))))*(INDEX(avoidedcosttbl2,$H179,CD$2)+(($H179-ROUNDDOWN($H179,0))*(INDEX(avoidedcosttbl2,ROUNDUP($H179,0),CD$2)-(INDEX(avoidedcosttbl2,ROUNDDOWN($H179,0),CD$2)))))*'Inputs Yr 2'!R179*'Inputs Yr 2'!S179*'Inputs Yr 2'!W179,"")</f>
        <v/>
      </c>
      <c r="CE179" s="213">
        <f t="shared" si="101"/>
        <v>0</v>
      </c>
      <c r="CF179" s="213">
        <f t="shared" si="102"/>
        <v>0</v>
      </c>
      <c r="CG179" s="213">
        <f t="shared" si="103"/>
        <v>0</v>
      </c>
      <c r="CH179" s="698">
        <f t="shared" si="104"/>
        <v>0</v>
      </c>
      <c r="CI179" s="79" t="str">
        <f>IFERROR(($G179*'Inputs Yr 2'!$P179*'Inputs Yr 2'!$Q179*(((INDEX(avoidedcosttbl2,$H179,CI$2)+(($H179-ROUNDDOWN($H179,0))*(INDEX(avoidedcosttbl2,ROUNDUP($H179,0),CI$2)-INDEX(avoidedcosttbl2,ROUNDDOWN($H179,0),CI$2))))*'Inputs Yr 2'!AS179))),"")</f>
        <v/>
      </c>
      <c r="CJ179" s="504" t="str">
        <f>IFERROR($G179*'Inputs Yr 2'!AT179*'Inputs Yr 2'!$P179*'Inputs Yr 2'!$Q179/((1+realdiscrt1)^-0.5),"")</f>
        <v/>
      </c>
      <c r="CK179" s="79" t="str">
        <f>IFERROR((O179*1000*(((INDEX(avoidedcosttbl2,$H179,CK$2)+(($H179-ROUNDDOWN($H179,0))*(INDEX(avoidedcosttbl2,ROUNDUP($H179,0),CK$2)-INDEX(avoidedcosttbl2,ROUNDDOWN($H179,0),CK$2))))*'Inputs Yr 2'!AU179))),"")</f>
        <v/>
      </c>
      <c r="CL179" s="504" t="str">
        <f>IFERROR(O179*1000*'Inputs Yr 2'!AV179/((1+realdiscrt1)^-0.5),"")</f>
        <v/>
      </c>
      <c r="CM179" s="79">
        <f>IFERROR((AB179*'Inputs Yr 2'!AW179*(((INDEX(avoidedcosttbl2,$H179,CM$2)+(($H179-ROUNDDOWN($H179,0))*(INDEX(avoidedcosttbl2,ROUNDUP($H179,0),CM$2)-INDEX(avoidedcosttbl2,ROUNDDOWN($H179,0),CM$2)))))))*10,"")</f>
        <v>0</v>
      </c>
      <c r="CN179" s="504">
        <f>IFERROR(10*AB179*'Inputs Yr 2'!AX179/((1+realdiscrt1)^-0.5),"")</f>
        <v>0</v>
      </c>
      <c r="CO179" s="505">
        <f t="shared" si="105"/>
        <v>0</v>
      </c>
      <c r="CP179" s="230">
        <f t="shared" si="106"/>
        <v>0</v>
      </c>
      <c r="CQ179" s="199">
        <f>ROUND(IFERROR(IF(LEFT($A179,1)="C",'Avoided Costs'!$K$13,'Avoided Costs'!$K$12)+1,""),4)</f>
        <v>1.0720000000000001</v>
      </c>
      <c r="CR179" s="199">
        <f>ROUND(IFERROR(IF(LEFT($A179,1)="C",'Avoided Costs'!$L$13,'Avoided Costs'!$L$12)+1,""),4)</f>
        <v>1.04</v>
      </c>
      <c r="CS179" s="199">
        <f>ROUND(IFERROR(IF(LEFT($A179,1)="C",'Avoided Costs'!$M$13,'Avoided Costs'!$M$12)+1,""),4)</f>
        <v>1.0720000000000001</v>
      </c>
      <c r="CT179" s="199">
        <f>ROUND(IFERROR(IF(LEFT($A179,1)="C",'Avoided Costs'!$N$13,'Avoided Costs'!$N$12)+1,""),4)</f>
        <v>1.04</v>
      </c>
      <c r="CU179" s="199">
        <f>ROUND(IFERROR(IF(LEFT($A179,1)="C",'Avoided Costs'!$O$13,'Avoided Costs'!$O$12)+1,""),4)</f>
        <v>1.1120000000000001</v>
      </c>
      <c r="CV179" s="199">
        <f>ROUND(IFERROR(IF(LEFT($A179,1)="C",'Avoided Costs'!$P$13,'Avoided Costs'!$P$12)+1,""),4)</f>
        <v>1.095</v>
      </c>
      <c r="CW179" s="199">
        <f>ROUND(IFERROR(IF(LEFT($A179,1)="C",'Avoided Costs'!$Q$13,'Avoided Costs'!$Q$12)+1,""),4)</f>
        <v>1.1120000000000001</v>
      </c>
      <c r="CX179" s="200">
        <f>ROUND(IFERROR(IF(LEFT($A179,1)="C",'Avoided Costs'!$R$13,'Avoided Costs'!$R$12)+1,""),4)</f>
        <v>1.1120000000000001</v>
      </c>
    </row>
    <row r="180" spans="1:102" ht="12.75" customHeight="1">
      <c r="A180" s="91" t="str">
        <f>IF('Inputs Yr 2'!$B180=0,"",'Inputs Yr 2'!A180)</f>
        <v>C - Commercial &amp; Industrial</v>
      </c>
      <c r="B180" s="91" t="str">
        <f>IF('Inputs Yr 2'!$B180=0,"",'Inputs Yr 2'!B180)</f>
        <v>C1 - C&amp;I New Construction</v>
      </c>
      <c r="C180" s="91" t="str">
        <f>IF('Inputs Yr 2'!$B180=0,"",'Inputs Yr 2'!C180)</f>
        <v>C1a - C&amp;I New Buildings &amp; Major Renovations</v>
      </c>
      <c r="D180" s="91" t="str">
        <f>IF('Inputs Yr 2'!$B180=0,"",'Inputs Yr 2'!E180)</f>
        <v>Condensing Boiler &lt;= 300 mbh (.95 TE)</v>
      </c>
      <c r="E180" s="93" t="str">
        <f>IF('Inputs Yr 2'!$B180=0,"",'Inputs Yr 2'!F180)</f>
        <v>G16C1a23</v>
      </c>
      <c r="F180" s="93" t="str">
        <f>IF('Inputs Yr 2'!$B180=0,"",'Inputs Yr 2'!G180)</f>
        <v>HVAC</v>
      </c>
      <c r="G180" s="95" t="str">
        <f>IF('Inputs Yr 2'!$H180&lt;&gt;0,('Inputs Yr 2'!H180),"")</f>
        <v/>
      </c>
      <c r="H180" s="94">
        <f>IFERROR('Inputs Yr 2'!I180,"")</f>
        <v>25</v>
      </c>
      <c r="I180" s="298" t="str">
        <f>IFERROR('Inputs Yr 2'!J180*'Inputs Yr 2'!P180*G180,"")</f>
        <v/>
      </c>
      <c r="J180" s="298" t="str">
        <f>IFERROR('Inputs Yr 2'!K180*G180,"")</f>
        <v/>
      </c>
      <c r="K180" s="298" t="str">
        <f t="shared" si="83"/>
        <v/>
      </c>
      <c r="L180" s="194" t="str">
        <f>IFERROR(('Inputs Yr 2'!W180*G180)/1000,"")</f>
        <v/>
      </c>
      <c r="M180" s="194" t="str">
        <f>IFERROR(L180*('Inputs Yr 2'!$Q180*'Inputs Yr 2'!$V180*'Inputs Yr 2'!$R180),"")</f>
        <v/>
      </c>
      <c r="N180" s="194" t="str">
        <f t="shared" si="84"/>
        <v/>
      </c>
      <c r="O180" s="194" t="str">
        <f>IFERROR(M180*'Inputs Yr 2'!P180,"")</f>
        <v/>
      </c>
      <c r="P180" s="194" t="str">
        <f t="shared" si="85"/>
        <v/>
      </c>
      <c r="Q180" s="194" t="str">
        <f>IFERROR($P180*'Inputs Yr 2'!AA180,"")</f>
        <v/>
      </c>
      <c r="R180" s="194" t="str">
        <f>IFERROR($P180*'Inputs Yr 2'!AB180,"")</f>
        <v/>
      </c>
      <c r="S180" s="194" t="str">
        <f>IFERROR($P180*'Inputs Yr 2'!AC180,"")</f>
        <v/>
      </c>
      <c r="T180" s="194" t="str">
        <f>IFERROR($P180*'Inputs Yr 2'!AD180,"")</f>
        <v/>
      </c>
      <c r="U180" s="194" t="str">
        <f>IFERROR(G180*'Inputs Yr 2'!$AE180*'Inputs Yr 2'!$P180*'Inputs Yr 2'!$Q180,"")</f>
        <v/>
      </c>
      <c r="V180" s="194" t="str">
        <f>IFERROR($G180*'Inputs Yr 2'!$AE180*'Inputs Yr 2'!$AG180*'Inputs Yr 2'!Q180*'Inputs Yr 2'!$S180,"")</f>
        <v/>
      </c>
      <c r="W180" s="194" t="str">
        <f>IFERROR($G180*'Inputs Yr 2'!$AE180*'Inputs Yr 2'!$AG180*'Inputs Yr 2'!P180*'Inputs Yr 2'!Q180*'Inputs Yr 2'!$S180,"")</f>
        <v/>
      </c>
      <c r="X180" s="194" t="str">
        <f>IFERROR($G180*'Inputs Yr 2'!$AE180*'Inputs Yr 2'!$AF180*'Inputs Yr 2'!Q180*'Inputs Yr 2'!$T180,"")</f>
        <v/>
      </c>
      <c r="Y180" s="194" t="str">
        <f>IFERROR($G180*'Inputs Yr 2'!$AE180*'Inputs Yr 2'!$AF180*'Inputs Yr 2'!P180*'Inputs Yr 2'!Q180*'Inputs Yr 2'!$T180,"")</f>
        <v/>
      </c>
      <c r="Z180" s="257">
        <f>IFERROR($G180*'Inputs Yr 2'!$Q180*'Inputs Yr 2'!$U180*(IF(IFERROR(SEARCH("NG", 'Inputs Yr 2'!$AJ180),0),'Inputs Yr 2'!$AK180,0)+IF(IFERROR(SEARCH("NG", 'Inputs Yr 2'!$AL180),0),'Inputs Yr 2'!$AM180,0)+IF(IFERROR(SEARCH("NG", 'Inputs Yr 2'!$AN180),0),'Inputs Yr 2'!$AO180,0)),0)</f>
        <v>0</v>
      </c>
      <c r="AA180" s="257">
        <f t="shared" si="86"/>
        <v>0</v>
      </c>
      <c r="AB180" s="257">
        <f>IFERROR(Z180*'Inputs Yr 2'!$P180,0)</f>
        <v>0</v>
      </c>
      <c r="AC180" s="257">
        <f t="shared" si="87"/>
        <v>0</v>
      </c>
      <c r="AD180" s="257">
        <f>IFERROR($G180*'Inputs Yr 2'!$Q180*'Inputs Yr 2'!$U180*(IF(IFERROR(SEARCH("Oil", 'Inputs Yr 2'!$AJ180), 0),'Inputs Yr 2'!$AK180,0)+IF(IFERROR(SEARCH("Oil", 'Inputs Yr 2'!$AL180), 0),'Inputs Yr 2'!$AM180,0)+IF(IFERROR(SEARCH("Oil", 'Inputs Yr 2'!$AN180), 0),'Inputs Yr 2'!$AO180,0)),0)</f>
        <v>0</v>
      </c>
      <c r="AE180" s="257">
        <f t="shared" si="88"/>
        <v>0</v>
      </c>
      <c r="AF180" s="257">
        <f>IFERROR(AD180*'Inputs Yr 2'!$P180,0)</f>
        <v>0</v>
      </c>
      <c r="AG180" s="257">
        <f t="shared" si="89"/>
        <v>0</v>
      </c>
      <c r="AH180" s="257">
        <f>IFERROR($G180*'Inputs Yr 2'!$Q180*'Inputs Yr 2'!$U180*(IF('Inputs Yr 2'!$AJ180=CD$4,'Inputs Yr 2'!$AK180,IF('Inputs Yr 2'!$AL180=CD$4,'Inputs Yr 2'!$AM180,IF('Inputs Yr 2'!$AN180=CD$4,'Inputs Yr 2'!$AO180,0)))),0)</f>
        <v>0</v>
      </c>
      <c r="AI180" s="257">
        <f t="shared" si="90"/>
        <v>0</v>
      </c>
      <c r="AJ180" s="257">
        <f>IFERROR(AH180*'Inputs Yr 2'!$P180,0)</f>
        <v>0</v>
      </c>
      <c r="AK180" s="257">
        <f t="shared" si="91"/>
        <v>0</v>
      </c>
      <c r="AL180" s="258">
        <f>IFERROR($G180*'Inputs Yr 2'!$P180*'Inputs Yr 2'!$Q180*'Inputs Yr 2'!AP180,0)</f>
        <v>0</v>
      </c>
      <c r="AM180" s="260">
        <f>IFERROR($G180*'Inputs Yr 2'!$P180*'Inputs Yr 2'!$Q180*'Inputs Yr 2'!AQ180,0)</f>
        <v>0</v>
      </c>
      <c r="AN180" s="258">
        <f>IFERROR($G180*'Inputs Yr 2'!$P180*'Inputs Yr 2'!$Q180*'Inputs Yr 2'!AR180,0)</f>
        <v>0</v>
      </c>
      <c r="AO180" s="257">
        <f t="shared" si="92"/>
        <v>0</v>
      </c>
      <c r="AP180" s="195" t="str">
        <f>IFERROR($CQ180*(INDEX(avoidedcosttbl2,$H180,AP$2)+(($H180-ROUNDDOWN($H180,0))*(INDEX(avoidedcosttbl2,ROUNDUP($H180,0),AP$2)-(INDEX(avoidedcosttbl2,ROUNDDOWN($H180,0),AP$2)))))*$O180*1000*'Inputs Yr 2'!AA180,"")</f>
        <v/>
      </c>
      <c r="AQ180" s="195" t="str">
        <f>IFERROR($CR180*(INDEX(avoidedcosttbl2,$H180,AQ$2)+(($H180-ROUNDDOWN($H180,0))*(INDEX(avoidedcosttbl2,ROUNDUP($H180,0),AQ$2)-(INDEX(avoidedcosttbl2,ROUNDDOWN($H180,0),AQ$2)))))*$O180*1000*'Inputs Yr 2'!AB180,"")</f>
        <v/>
      </c>
      <c r="AR180" s="195" t="str">
        <f>IFERROR($CS180*(INDEX(avoidedcosttbl2,$H180,AR$2)+(($H180-ROUNDDOWN($H180,0))*(INDEX(avoidedcosttbl2,ROUNDUP($H180,0),AR$2)-(INDEX(avoidedcosttbl2,ROUNDDOWN($H180,0),AR$2)))))*$O180*1000*'Inputs Yr 2'!AC180,"")</f>
        <v/>
      </c>
      <c r="AS180" s="195" t="str">
        <f>IFERROR($CT180*(INDEX(avoidedcosttbl2,$H180,AS$2)+(($H180-ROUNDDOWN($H180,0))*(INDEX(avoidedcosttbl2,ROUNDUP($H180,0),AS$2)-(INDEX(avoidedcosttbl2,ROUNDDOWN($H180,0),AS$2)))))*$O180*1000*'Inputs Yr 2'!AD180,"")</f>
        <v/>
      </c>
      <c r="AT180" s="196">
        <f t="shared" si="93"/>
        <v>0</v>
      </c>
      <c r="AU180" s="197" t="str">
        <f>IFERROR($CQ180*((INDEX(avoidedcosttbl2,$H180,AU$2))+(($H180-ROUNDDOWN($H180,0))*((INDEX(avoidedcosttbl2,ROUNDUP($H180,0),AU$2))-(INDEX(avoidedcosttbl2,ROUNDDOWN($H180,0),AU$2)))))*$O180*1000*'Inputs Yr 2'!AA180,"")</f>
        <v/>
      </c>
      <c r="AV180" s="197" t="str">
        <f>IFERROR($CR180*((INDEX(avoidedcosttbl2,$H180,AV$2))+(($H180-ROUNDDOWN($H180,0))*((INDEX(avoidedcosttbl2,ROUNDUP($H180,0),AV$2))-(INDEX(avoidedcosttbl2,ROUNDDOWN($H180,0),AV$2)))))*$O180*1000*'Inputs Yr 2'!AB180,"")</f>
        <v/>
      </c>
      <c r="AW180" s="197" t="str">
        <f>IFERROR($CS180*((INDEX(avoidedcosttbl2,$H180,AW$2))+(($H180-ROUNDDOWN($H180,0))*((INDEX(avoidedcosttbl2,ROUNDUP($H180,0),AW$2))-(INDEX(avoidedcosttbl2,ROUNDDOWN($H180,0),AW$2)))))*$O180*1000*'Inputs Yr 2'!AC180,"")</f>
        <v/>
      </c>
      <c r="AX180" s="197" t="str">
        <f>IFERROR($CT180*((INDEX(avoidedcosttbl2,$H180,AX$2))+(($H180-ROUNDDOWN($H180,0))*((INDEX(avoidedcosttbl2,ROUNDUP($H180,0),AX$2))-(INDEX(avoidedcosttbl2,ROUNDDOWN($H180,0),AX$2)))))*$O180*1000*'Inputs Yr 2'!AD180,"")</f>
        <v/>
      </c>
      <c r="AY180" s="197" t="str">
        <f>IFERROR(((INDEX(avoidedcosttbl2,$H180,AY$2))+(($H180-ROUNDDOWN($H180,0))*((INDEX(avoidedcosttbl2,ROUNDUP($H180,0),AY$2))-(INDEX(avoidedcosttbl2,ROUNDDOWN($H180,0),AY$2)))))*$O180*1000*('Inputs Yr 2'!AC180+'Inputs Yr 2'!AD180),"")</f>
        <v/>
      </c>
      <c r="AZ180" s="197" t="str">
        <f>IFERROR(((INDEX(avoidedcosttbl2,$H180,AZ$2))+(($H180-ROUNDDOWN($H180,0))*((INDEX(avoidedcosttbl2,ROUNDUP($H180,0),AZ$2))-(INDEX(avoidedcosttbl2,ROUNDDOWN($H180,0),AZ$2)))))*$O180*1000*('Inputs Yr 2'!AA180+'Inputs Yr 2'!AB180),"")</f>
        <v/>
      </c>
      <c r="BA180" s="198">
        <f t="shared" si="94"/>
        <v>0</v>
      </c>
      <c r="BB180" s="198">
        <f t="shared" si="95"/>
        <v>0</v>
      </c>
      <c r="BC180" s="195" t="str">
        <f t="shared" si="77"/>
        <v/>
      </c>
      <c r="BD180" s="195" t="str">
        <f t="shared" si="78"/>
        <v/>
      </c>
      <c r="BE180" s="195" t="str">
        <f t="shared" si="79"/>
        <v/>
      </c>
      <c r="BF180" s="195" t="str">
        <f t="shared" si="80"/>
        <v/>
      </c>
      <c r="BG180" s="195" t="str">
        <f t="shared" si="81"/>
        <v/>
      </c>
      <c r="BH180" s="196">
        <f t="shared" si="96"/>
        <v>0</v>
      </c>
      <c r="BI180" s="196">
        <f t="shared" si="97"/>
        <v>0</v>
      </c>
      <c r="BJ180" s="195" t="str">
        <f>IFERROR($G180*(IF('Inputs Yr 2'!$AJ180=BJ$4,'Inputs Yr 2'!$AK180,IF('Inputs Yr 2'!$AL180=BJ$4,'Inputs Yr 2'!$AM180,IF('Inputs Yr 2'!$AN180=BJ$4,'Inputs Yr 2'!$AO180,0))))*(INDEX(avoidedcosttbl2,$H180,BJ$2)+(($H180-ROUNDDOWN($H180,0))*(INDEX(avoidedcosttbl2,ROUNDUP($H180,0),BJ$2)-(INDEX(avoidedcosttbl2,ROUNDDOWN($H180,0),BJ$2)))))*'Inputs Yr 2'!P180*'Inputs Yr 2'!Q180*'Inputs Yr 2'!U180,"")</f>
        <v/>
      </c>
      <c r="BK180" s="195" t="str">
        <f>IFERROR($G180*(IF('Inputs Yr 2'!$AJ180=BK$4,'Inputs Yr 2'!$AK180,IF('Inputs Yr 2'!$AL180=BK$4,'Inputs Yr 2'!$AM180,IF('Inputs Yr 2'!$AN180=BK$4,'Inputs Yr 2'!$AO180,0))))*(INDEX(avoidedcosttbl2,$H180,BK$2)+(($H180-ROUNDDOWN($H180,0))*(INDEX(avoidedcosttbl2,ROUNDUP($H180,0),BK$2)-(INDEX(avoidedcosttbl2,ROUNDDOWN($H180,0),BK$2)))))*'Inputs Yr 2'!P180*'Inputs Yr 2'!Q180*'Inputs Yr 2'!U180,"")</f>
        <v/>
      </c>
      <c r="BL180" s="195" t="str">
        <f>IFERROR($G180*(IF('Inputs Yr 2'!$AJ180=BL$4,'Inputs Yr 2'!$AK180,IF('Inputs Yr 2'!$AL180=BL$4,'Inputs Yr 2'!$AM180,IF('Inputs Yr 2'!$AN180=BL$4,'Inputs Yr 2'!$AO180,0))))*(INDEX(avoidedcosttbl2,$H180,BL$2)+(($H180-ROUNDDOWN($H180,0))*(INDEX(avoidedcosttbl2,ROUNDUP($H180,0),BL$2)-(INDEX(avoidedcosttbl2,ROUNDDOWN($H180,0),BL$2)))))*'Inputs Yr 2'!P180*'Inputs Yr 2'!Q180*'Inputs Yr 2'!U180,"")</f>
        <v/>
      </c>
      <c r="BM180" s="195" t="str">
        <f>IFERROR($G180*(IF('Inputs Yr 2'!$AJ180=BM$4,'Inputs Yr 2'!$AK180,IF('Inputs Yr 2'!$AL180=BM$4,'Inputs Yr 2'!$AM180,IF('Inputs Yr 2'!$AN180=BM$4,'Inputs Yr 2'!$AO180,0))))*(INDEX(avoidedcosttbl2,$H180,BM$2)+(($H180-ROUNDDOWN($H180,0))*(INDEX(avoidedcosttbl2,ROUNDUP($H180,0),BM$2)-(INDEX(avoidedcosttbl2,ROUNDDOWN($H180,0),BM$2)))))*'Inputs Yr 2'!P180*'Inputs Yr 2'!Q180*'Inputs Yr 2'!U180,"")</f>
        <v/>
      </c>
      <c r="BN180" s="195" t="str">
        <f>IFERROR($G180*(IF('Inputs Yr 2'!$AJ180=BN$4,'Inputs Yr 2'!$AK180,IF('Inputs Yr 2'!$AL180=BN$4,'Inputs Yr 2'!$AM180,IF('Inputs Yr 2'!$AN180=BN$4,'Inputs Yr 2'!$AO180,0))))*(INDEX(avoidedcosttbl2,$H180,BN$2)+(($H180-ROUNDDOWN($H180,0))*(INDEX(avoidedcosttbl2,ROUNDUP($H180,0),BN$2)-(INDEX(avoidedcosttbl2,ROUNDDOWN($H180,0),BN$2)))))*'Inputs Yr 2'!P180*'Inputs Yr 2'!Q180*'Inputs Yr 2'!U180,"")</f>
        <v/>
      </c>
      <c r="BO180" s="195" t="str">
        <f>IFERROR($G180*(IF('Inputs Yr 2'!$AJ180=BO$4,'Inputs Yr 2'!$AK180,IF('Inputs Yr 2'!$AL180=BO$4,'Inputs Yr 2'!$AM180,IF('Inputs Yr 2'!$AN180=BO$4,'Inputs Yr 2'!$AO180,0))))*(INDEX(avoidedcosttbl2,$H180,BO$2)+(($H180-ROUNDDOWN($H180,0))*(INDEX(avoidedcosttbl2,ROUNDUP($H180,0),BO$2)-(INDEX(avoidedcosttbl2,ROUNDDOWN($H180,0),BO$2)))))*'Inputs Yr 2'!P180*'Inputs Yr 2'!Q180*'Inputs Yr 2'!U180,"")</f>
        <v/>
      </c>
      <c r="BP180" s="195" t="str">
        <f>IFERROR($G180*(IF('Inputs Yr 2'!$AJ180=BP$4,'Inputs Yr 2'!$AK180,IF('Inputs Yr 2'!$AL180=BP$4,'Inputs Yr 2'!$AM180,IF('Inputs Yr 2'!$AN180=BP$4,'Inputs Yr 2'!$AO180,0))))*(INDEX(avoidedcosttbl2,$H180,BP$2)+(($H180-ROUNDDOWN($H180,0))*(INDEX(avoidedcosttbl2,ROUNDUP($H180,0),BP$2)-(INDEX(avoidedcosttbl2,ROUNDDOWN($H180,0),BP$2)))))*'Inputs Yr 2'!P180*'Inputs Yr 2'!Q180*'Inputs Yr 2'!U180,"")</f>
        <v/>
      </c>
      <c r="BQ180" s="230">
        <f t="shared" si="98"/>
        <v>0</v>
      </c>
      <c r="BR180" s="197">
        <f t="shared" si="82"/>
        <v>0</v>
      </c>
      <c r="BS180" s="197" t="str">
        <f>IFERROR(($G180*IF('Inputs Yr 2'!$AJ180=BM$4,'Inputs Yr 2'!$AK180,IF('Inputs Yr 2'!$AL180=BM$4,'Inputs Yr 2'!$AM180,IF('Inputs Yr 2'!$AN180=BM$4,'Inputs Yr 2'!$AO180,0))))*(INDEX(avoidedcosttbl2,$H180,BS$2)+(($H180-ROUNDDOWN($H180,0))*(INDEX(avoidedcosttbl2,ROUNDUP($H180,0),BS$2)-(INDEX(avoidedcosttbl2,ROUNDDOWN($H180,0),BS$2)))))*'Inputs Yr 2'!P180*'Inputs Yr 2'!Q180*'Inputs Yr 2'!U180,"")</f>
        <v/>
      </c>
      <c r="BT180" s="197" t="str">
        <f>IFERROR(($G180*IF('Inputs Yr 2'!$AJ180=BK$4,'Inputs Yr 2'!$AK180,IF('Inputs Yr 2'!$AL180=BK$4,'Inputs Yr 2'!$AM180,IF('Inputs Yr 2'!$AN180=BK$4,'Inputs Yr 2'!$AO180,0))))*(INDEX(avoidedcosttbl2,$H180,BT$2)+(($H180-ROUNDDOWN($H180,0))*(INDEX(avoidedcosttbl2,ROUNDUP($H180,0),BT$2)-(INDEX(avoidedcosttbl2,ROUNDDOWN($H180,0),BT$2)))))*'Inputs Yr 2'!P180*'Inputs Yr 2'!Q180*'Inputs Yr 2'!U180,"")</f>
        <v/>
      </c>
      <c r="BU180" s="197" t="str">
        <f>IFERROR(($G180*IF('Inputs Yr 2'!$AJ180=BL$4,'Inputs Yr 2'!$AK180,IF('Inputs Yr 2'!$AL180=BL$4,'Inputs Yr 2'!$AM180,IF('Inputs Yr 2'!$AN180=BL$4,'Inputs Yr 2'!$AO180,0))))*(INDEX(avoidedcosttbl2,$H180,BU$2)+(($H180-ROUNDDOWN($H180,0))*(INDEX(avoidedcosttbl2,ROUNDUP($H180,0),BU$2)-(INDEX(avoidedcosttbl2,ROUNDDOWN($H180,0),BU$2)))))*'Inputs Yr 2'!P180*'Inputs Yr 2'!Q180*'Inputs Yr 2'!U180,"")</f>
        <v/>
      </c>
      <c r="BV180" s="775" t="str">
        <f>IFERROR(($G180*IF('Inputs Yr 2'!$AJ180=BJ$4,'Inputs Yr 2'!$AK180,IF('Inputs Yr 2'!$AL180=BJ$4,'Inputs Yr 2'!$AM180,IF('Inputs Yr 2'!$AN180=BJ$4,'Inputs Yr 2'!$AO180,0))))*(INDEX(avoidedcosttbl2,$H180,BV$2)+(($H180-ROUNDDOWN($H180,0))*(INDEX(avoidedcosttbl2,ROUNDUP($H180,0),BV$2)-(INDEX(avoidedcosttbl2,ROUNDDOWN($H180,0),BV$2)))))*'Inputs Yr 2'!P180*'Inputs Yr 2'!Q180*'Inputs Yr 2'!U180,"")</f>
        <v/>
      </c>
      <c r="BW180" s="197" t="str">
        <f>IFERROR(($G180*IF('Inputs Yr 2'!$AJ180=BN$4,'Inputs Yr 2'!$AK180,IF('Inputs Yr 2'!$AL180=BN$4,'Inputs Yr 2'!$AM180,IF('Inputs Yr 2'!$AN180=BN$4,'Inputs Yr 2'!$AO180,0))))*(INDEX(avoidedcosttbl2,$H180,BW$2)+(($H180-ROUNDDOWN($H180,0))*(INDEX(avoidedcosttbl2,ROUNDUP($H180,0),BW$2)-(INDEX(avoidedcosttbl2,ROUNDDOWN($H180,0),BW$2)))))*'Inputs Yr 2'!P180*'Inputs Yr 2'!Q180*'Inputs Yr 2'!U180,"")</f>
        <v/>
      </c>
      <c r="BX180" s="197" t="str">
        <f>IFERROR(($G180*IF('Inputs Yr 2'!$AJ180=BO$4,'Inputs Yr 2'!$AK180,IF('Inputs Yr 2'!$AL180=BO$4,'Inputs Yr 2'!$AM180,IF('Inputs Yr 2'!$AN180=BO$4,'Inputs Yr 2'!$AO180,0))))*(INDEX(avoidedcosttbl2,$H180,BX$2)+(($H180-ROUNDDOWN($H180,0))*(INDEX(avoidedcosttbl2,ROUNDUP($H180,0),BX$2)-(INDEX(avoidedcosttbl2,ROUNDDOWN($H180,0),BX$2)))))*'Inputs Yr 2'!P180*'Inputs Yr 2'!Q180*'Inputs Yr 2'!U180,"")</f>
        <v/>
      </c>
      <c r="BY180" s="197" t="str">
        <f>IFERROR(($G180*IF('Inputs Yr 2'!$AJ180=BP$4,'Inputs Yr 2'!$AK180,IF('Inputs Yr 2'!$AL180=BP$4,'Inputs Yr 2'!$AM180,IF('Inputs Yr 2'!$AN180=BP$4,'Inputs Yr 2'!$AO180,0))))*(INDEX(avoidedcosttbl2,$H180,BY$2)+(($H180-ROUNDDOWN($H180,0))*(INDEX(avoidedcosttbl2,ROUNDUP($H180,0),BY$2)-(INDEX(avoidedcosttbl2,ROUNDDOWN($H180,0),BY$2)))))*'Inputs Yr 2'!P180*'Inputs Yr 2'!Q180*'Inputs Yr 2'!U180,"")</f>
        <v/>
      </c>
      <c r="BZ180" s="193">
        <f t="shared" si="99"/>
        <v>0</v>
      </c>
      <c r="CA180" s="193">
        <f t="shared" si="100"/>
        <v>0</v>
      </c>
      <c r="CB180" s="195" t="str">
        <f>IFERROR(G180*(IF('Inputs Yr 2'!$AJ180=CB$4,'Inputs Yr 2'!$AK180,IF('Inputs Yr 2'!$AL180=CB$4,'Inputs Yr 2'!$AM180,IF('Inputs Yr 2'!$AN180=CB$4,'Inputs Yr 2'!$AO180,0))))*(INDEX(avoidedcosttbl2,$H180,CB$2)+(($H180-ROUNDDOWN($H180,0))*(INDEX(avoidedcosttbl2,ROUNDUP($H180,0),CB$2)-(INDEX(avoidedcosttbl2,ROUNDDOWN($H180,0),CB$2)))))*'Inputs Yr 2'!P180*'Inputs Yr 2'!Q180*'Inputs Yr 2'!U180,"")</f>
        <v/>
      </c>
      <c r="CC180" s="195">
        <f>IFERROR(H180*(IF('Inputs Yr 2'!$AJ180=CC$4,'Inputs Yr 2'!$AK180,IF('Inputs Yr 2'!$AL180=CC$4,'Inputs Yr 2'!$AM180,IF('Inputs Yr 2'!$AN180=CC$4,'Inputs Yr 2'!$AO180,0))))*(INDEX(avoidedcosttbl2,$H180,CC$2)+(($H180-ROUNDDOWN($H180,0))*(INDEX(avoidedcosttbl2,ROUNDUP($H180,0),CC$2)-(INDEX(avoidedcosttbl2,ROUNDDOWN($H180,0),CC$2)))))*'Inputs Yr 2'!Q180*'Inputs Yr 2'!R180*'Inputs Yr 2'!V180,"")</f>
        <v>0</v>
      </c>
      <c r="CD180" s="195" t="str">
        <f>IFERROR(I180*(IF('Inputs Yr 2'!$AJ180=CD$4,'Inputs Yr 2'!$AK180,IF('Inputs Yr 2'!$AL180=CD$4,'Inputs Yr 2'!$AM180,IF('Inputs Yr 2'!$AN180=CD$4,'Inputs Yr 2'!$AO180,0))))*(INDEX(avoidedcosttbl2,$H180,CD$2)+(($H180-ROUNDDOWN($H180,0))*(INDEX(avoidedcosttbl2,ROUNDUP($H180,0),CD$2)-(INDEX(avoidedcosttbl2,ROUNDDOWN($H180,0),CD$2)))))*'Inputs Yr 2'!R180*'Inputs Yr 2'!S180*'Inputs Yr 2'!W180,"")</f>
        <v/>
      </c>
      <c r="CE180" s="213">
        <f t="shared" si="101"/>
        <v>0</v>
      </c>
      <c r="CF180" s="213">
        <f t="shared" si="102"/>
        <v>0</v>
      </c>
      <c r="CG180" s="213">
        <f t="shared" si="103"/>
        <v>0</v>
      </c>
      <c r="CH180" s="698">
        <f t="shared" si="104"/>
        <v>0</v>
      </c>
      <c r="CI180" s="79" t="str">
        <f>IFERROR(($G180*'Inputs Yr 2'!$P180*'Inputs Yr 2'!$Q180*(((INDEX(avoidedcosttbl2,$H180,CI$2)+(($H180-ROUNDDOWN($H180,0))*(INDEX(avoidedcosttbl2,ROUNDUP($H180,0),CI$2)-INDEX(avoidedcosttbl2,ROUNDDOWN($H180,0),CI$2))))*'Inputs Yr 2'!AS180))),"")</f>
        <v/>
      </c>
      <c r="CJ180" s="504" t="str">
        <f>IFERROR($G180*'Inputs Yr 2'!AT180*'Inputs Yr 2'!$P180*'Inputs Yr 2'!$Q180/((1+realdiscrt1)^-0.5),"")</f>
        <v/>
      </c>
      <c r="CK180" s="79" t="str">
        <f>IFERROR((O180*1000*(((INDEX(avoidedcosttbl2,$H180,CK$2)+(($H180-ROUNDDOWN($H180,0))*(INDEX(avoidedcosttbl2,ROUNDUP($H180,0),CK$2)-INDEX(avoidedcosttbl2,ROUNDDOWN($H180,0),CK$2))))*'Inputs Yr 2'!AU180))),"")</f>
        <v/>
      </c>
      <c r="CL180" s="504" t="str">
        <f>IFERROR(O180*1000*'Inputs Yr 2'!AV180/((1+realdiscrt1)^-0.5),"")</f>
        <v/>
      </c>
      <c r="CM180" s="79">
        <f>IFERROR((AB180*'Inputs Yr 2'!AW180*(((INDEX(avoidedcosttbl2,$H180,CM$2)+(($H180-ROUNDDOWN($H180,0))*(INDEX(avoidedcosttbl2,ROUNDUP($H180,0),CM$2)-INDEX(avoidedcosttbl2,ROUNDDOWN($H180,0),CM$2)))))))*10,"")</f>
        <v>0</v>
      </c>
      <c r="CN180" s="504">
        <f>IFERROR(10*AB180*'Inputs Yr 2'!AX180/((1+realdiscrt1)^-0.5),"")</f>
        <v>0</v>
      </c>
      <c r="CO180" s="505">
        <f t="shared" si="105"/>
        <v>0</v>
      </c>
      <c r="CP180" s="230">
        <f t="shared" si="106"/>
        <v>0</v>
      </c>
      <c r="CQ180" s="199">
        <f>ROUND(IFERROR(IF(LEFT($A180,1)="C",'Avoided Costs'!$K$13,'Avoided Costs'!$K$12)+1,""),4)</f>
        <v>1.0720000000000001</v>
      </c>
      <c r="CR180" s="199">
        <f>ROUND(IFERROR(IF(LEFT($A180,1)="C",'Avoided Costs'!$L$13,'Avoided Costs'!$L$12)+1,""),4)</f>
        <v>1.04</v>
      </c>
      <c r="CS180" s="199">
        <f>ROUND(IFERROR(IF(LEFT($A180,1)="C",'Avoided Costs'!$M$13,'Avoided Costs'!$M$12)+1,""),4)</f>
        <v>1.0720000000000001</v>
      </c>
      <c r="CT180" s="199">
        <f>ROUND(IFERROR(IF(LEFT($A180,1)="C",'Avoided Costs'!$N$13,'Avoided Costs'!$N$12)+1,""),4)</f>
        <v>1.04</v>
      </c>
      <c r="CU180" s="199">
        <f>ROUND(IFERROR(IF(LEFT($A180,1)="C",'Avoided Costs'!$O$13,'Avoided Costs'!$O$12)+1,""),4)</f>
        <v>1.1120000000000001</v>
      </c>
      <c r="CV180" s="199">
        <f>ROUND(IFERROR(IF(LEFT($A180,1)="C",'Avoided Costs'!$P$13,'Avoided Costs'!$P$12)+1,""),4)</f>
        <v>1.095</v>
      </c>
      <c r="CW180" s="199">
        <f>ROUND(IFERROR(IF(LEFT($A180,1)="C",'Avoided Costs'!$Q$13,'Avoided Costs'!$Q$12)+1,""),4)</f>
        <v>1.1120000000000001</v>
      </c>
      <c r="CX180" s="200">
        <f>ROUND(IFERROR(IF(LEFT($A180,1)="C",'Avoided Costs'!$R$13,'Avoided Costs'!$R$12)+1,""),4)</f>
        <v>1.1120000000000001</v>
      </c>
    </row>
    <row r="181" spans="1:102" ht="12.75" customHeight="1">
      <c r="A181" s="91" t="str">
        <f>IF('Inputs Yr 2'!$B181=0,"",'Inputs Yr 2'!A181)</f>
        <v>C - Commercial &amp; Industrial</v>
      </c>
      <c r="B181" s="91" t="str">
        <f>IF('Inputs Yr 2'!$B181=0,"",'Inputs Yr 2'!B181)</f>
        <v>C1 - C&amp;I New Construction</v>
      </c>
      <c r="C181" s="91" t="str">
        <f>IF('Inputs Yr 2'!$B181=0,"",'Inputs Yr 2'!C181)</f>
        <v>C1a - C&amp;I New Buildings &amp; Major Renovations</v>
      </c>
      <c r="D181" s="91" t="str">
        <f>IF('Inputs Yr 2'!$B181=0,"",'Inputs Yr 2'!E181)</f>
        <v>Condensing Boiler &lt;= 300 mbh (.90 TE)</v>
      </c>
      <c r="E181" s="93" t="str">
        <f>IF('Inputs Yr 2'!$B181=0,"",'Inputs Yr 2'!F181)</f>
        <v>G16C1a24</v>
      </c>
      <c r="F181" s="93" t="str">
        <f>IF('Inputs Yr 2'!$B181=0,"",'Inputs Yr 2'!G181)</f>
        <v>HVAC</v>
      </c>
      <c r="G181" s="95">
        <f>IF('Inputs Yr 2'!$H181&lt;&gt;0,('Inputs Yr 2'!H181),"")</f>
        <v>2</v>
      </c>
      <c r="H181" s="94">
        <f>IFERROR('Inputs Yr 2'!I181,"")</f>
        <v>25</v>
      </c>
      <c r="I181" s="298">
        <f>IFERROR('Inputs Yr 2'!J181*'Inputs Yr 2'!P181*G181,"")</f>
        <v>5886.4680000000008</v>
      </c>
      <c r="J181" s="298">
        <f>IFERROR('Inputs Yr 2'!K181*G181,"")</f>
        <v>3000</v>
      </c>
      <c r="K181" s="298">
        <f t="shared" si="83"/>
        <v>2886.4680000000008</v>
      </c>
      <c r="L181" s="194">
        <f>IFERROR(('Inputs Yr 2'!W181*G181)/1000,"")</f>
        <v>0</v>
      </c>
      <c r="M181" s="194">
        <f>IFERROR(L181*('Inputs Yr 2'!$Q181*'Inputs Yr 2'!$V181*'Inputs Yr 2'!$R181),"")</f>
        <v>0</v>
      </c>
      <c r="N181" s="194">
        <f t="shared" si="84"/>
        <v>0</v>
      </c>
      <c r="O181" s="194">
        <f>IFERROR(M181*'Inputs Yr 2'!P181,"")</f>
        <v>0</v>
      </c>
      <c r="P181" s="194">
        <f t="shared" si="85"/>
        <v>0</v>
      </c>
      <c r="Q181" s="194">
        <f>IFERROR($P181*'Inputs Yr 2'!AA181,"")</f>
        <v>0</v>
      </c>
      <c r="R181" s="194">
        <f>IFERROR($P181*'Inputs Yr 2'!AB181,"")</f>
        <v>0</v>
      </c>
      <c r="S181" s="194">
        <f>IFERROR($P181*'Inputs Yr 2'!AC181,"")</f>
        <v>0</v>
      </c>
      <c r="T181" s="194">
        <f>IFERROR($P181*'Inputs Yr 2'!AD181,"")</f>
        <v>0</v>
      </c>
      <c r="U181" s="194">
        <f>IFERROR(G181*'Inputs Yr 2'!$AE181*'Inputs Yr 2'!$P181*'Inputs Yr 2'!$Q181,"")</f>
        <v>0</v>
      </c>
      <c r="V181" s="194">
        <f>IFERROR($G181*'Inputs Yr 2'!$AE181*'Inputs Yr 2'!$AG181*'Inputs Yr 2'!Q181*'Inputs Yr 2'!$S181,"")</f>
        <v>0</v>
      </c>
      <c r="W181" s="194">
        <f>IFERROR($G181*'Inputs Yr 2'!$AE181*'Inputs Yr 2'!$AG181*'Inputs Yr 2'!P181*'Inputs Yr 2'!Q181*'Inputs Yr 2'!$S181,"")</f>
        <v>0</v>
      </c>
      <c r="X181" s="194">
        <f>IFERROR($G181*'Inputs Yr 2'!$AE181*'Inputs Yr 2'!$AF181*'Inputs Yr 2'!Q181*'Inputs Yr 2'!$T181,"")</f>
        <v>0</v>
      </c>
      <c r="Y181" s="194">
        <f>IFERROR($G181*'Inputs Yr 2'!$AE181*'Inputs Yr 2'!$AF181*'Inputs Yr 2'!P181*'Inputs Yr 2'!Q181*'Inputs Yr 2'!$T181,"")</f>
        <v>0</v>
      </c>
      <c r="Z181" s="257">
        <f>IFERROR($G181*'Inputs Yr 2'!$Q181*'Inputs Yr 2'!$U181*(IF(IFERROR(SEARCH("NG", 'Inputs Yr 2'!$AJ181),0),'Inputs Yr 2'!$AK181,0)+IF(IFERROR(SEARCH("NG", 'Inputs Yr 2'!$AL181),0),'Inputs Yr 2'!$AM181,0)+IF(IFERROR(SEARCH("NG", 'Inputs Yr 2'!$AN181),0),'Inputs Yr 2'!$AO181,0)),0)</f>
        <v>29.4</v>
      </c>
      <c r="AA181" s="257">
        <f t="shared" si="86"/>
        <v>735</v>
      </c>
      <c r="AB181" s="257">
        <f>IFERROR(Z181*'Inputs Yr 2'!$P181,0)</f>
        <v>24.872400000000003</v>
      </c>
      <c r="AC181" s="257">
        <f t="shared" si="87"/>
        <v>621.81000000000006</v>
      </c>
      <c r="AD181" s="257">
        <f>IFERROR($G181*'Inputs Yr 2'!$Q181*'Inputs Yr 2'!$U181*(IF(IFERROR(SEARCH("Oil", 'Inputs Yr 2'!$AJ181), 0),'Inputs Yr 2'!$AK181,0)+IF(IFERROR(SEARCH("Oil", 'Inputs Yr 2'!$AL181), 0),'Inputs Yr 2'!$AM181,0)+IF(IFERROR(SEARCH("Oil", 'Inputs Yr 2'!$AN181), 0),'Inputs Yr 2'!$AO181,0)),0)</f>
        <v>0</v>
      </c>
      <c r="AE181" s="257">
        <f t="shared" si="88"/>
        <v>0</v>
      </c>
      <c r="AF181" s="257">
        <f>IFERROR(AD181*'Inputs Yr 2'!$P181,0)</f>
        <v>0</v>
      </c>
      <c r="AG181" s="257">
        <f t="shared" si="89"/>
        <v>0</v>
      </c>
      <c r="AH181" s="257">
        <f>IFERROR($G181*'Inputs Yr 2'!$Q181*'Inputs Yr 2'!$U181*(IF('Inputs Yr 2'!$AJ181=CD$4,'Inputs Yr 2'!$AK181,IF('Inputs Yr 2'!$AL181=CD$4,'Inputs Yr 2'!$AM181,IF('Inputs Yr 2'!$AN181=CD$4,'Inputs Yr 2'!$AO181,0)))),0)</f>
        <v>0</v>
      </c>
      <c r="AI181" s="257">
        <f t="shared" si="90"/>
        <v>0</v>
      </c>
      <c r="AJ181" s="257">
        <f>IFERROR(AH181*'Inputs Yr 2'!$P181,0)</f>
        <v>0</v>
      </c>
      <c r="AK181" s="257">
        <f t="shared" si="91"/>
        <v>0</v>
      </c>
      <c r="AL181" s="258">
        <f>IFERROR($G181*'Inputs Yr 2'!$P181*'Inputs Yr 2'!$Q181*'Inputs Yr 2'!AP181,0)</f>
        <v>0</v>
      </c>
      <c r="AM181" s="260">
        <f>IFERROR($G181*'Inputs Yr 2'!$P181*'Inputs Yr 2'!$Q181*'Inputs Yr 2'!AQ181,0)</f>
        <v>0</v>
      </c>
      <c r="AN181" s="258">
        <f>IFERROR($G181*'Inputs Yr 2'!$P181*'Inputs Yr 2'!$Q181*'Inputs Yr 2'!AR181,0)</f>
        <v>0</v>
      </c>
      <c r="AO181" s="257">
        <f t="shared" si="92"/>
        <v>0</v>
      </c>
      <c r="AP181" s="195">
        <f>IFERROR($CQ181*(INDEX(avoidedcosttbl2,$H181,AP$2)+(($H181-ROUNDDOWN($H181,0))*(INDEX(avoidedcosttbl2,ROUNDUP($H181,0),AP$2)-(INDEX(avoidedcosttbl2,ROUNDDOWN($H181,0),AP$2)))))*$O181*1000*'Inputs Yr 2'!AA181,"")</f>
        <v>0</v>
      </c>
      <c r="AQ181" s="195">
        <f>IFERROR($CR181*(INDEX(avoidedcosttbl2,$H181,AQ$2)+(($H181-ROUNDDOWN($H181,0))*(INDEX(avoidedcosttbl2,ROUNDUP($H181,0),AQ$2)-(INDEX(avoidedcosttbl2,ROUNDDOWN($H181,0),AQ$2)))))*$O181*1000*'Inputs Yr 2'!AB181,"")</f>
        <v>0</v>
      </c>
      <c r="AR181" s="195">
        <f>IFERROR($CS181*(INDEX(avoidedcosttbl2,$H181,AR$2)+(($H181-ROUNDDOWN($H181,0))*(INDEX(avoidedcosttbl2,ROUNDUP($H181,0),AR$2)-(INDEX(avoidedcosttbl2,ROUNDDOWN($H181,0),AR$2)))))*$O181*1000*'Inputs Yr 2'!AC181,"")</f>
        <v>0</v>
      </c>
      <c r="AS181" s="195">
        <f>IFERROR($CT181*(INDEX(avoidedcosttbl2,$H181,AS$2)+(($H181-ROUNDDOWN($H181,0))*(INDEX(avoidedcosttbl2,ROUNDUP($H181,0),AS$2)-(INDEX(avoidedcosttbl2,ROUNDDOWN($H181,0),AS$2)))))*$O181*1000*'Inputs Yr 2'!AD181,"")</f>
        <v>0</v>
      </c>
      <c r="AT181" s="196">
        <f t="shared" si="93"/>
        <v>0</v>
      </c>
      <c r="AU181" s="197">
        <f>IFERROR($CQ181*((INDEX(avoidedcosttbl2,$H181,AU$2))+(($H181-ROUNDDOWN($H181,0))*((INDEX(avoidedcosttbl2,ROUNDUP($H181,0),AU$2))-(INDEX(avoidedcosttbl2,ROUNDDOWN($H181,0),AU$2)))))*$O181*1000*'Inputs Yr 2'!AA181,"")</f>
        <v>0</v>
      </c>
      <c r="AV181" s="197">
        <f>IFERROR($CR181*((INDEX(avoidedcosttbl2,$H181,AV$2))+(($H181-ROUNDDOWN($H181,0))*((INDEX(avoidedcosttbl2,ROUNDUP($H181,0),AV$2))-(INDEX(avoidedcosttbl2,ROUNDDOWN($H181,0),AV$2)))))*$O181*1000*'Inputs Yr 2'!AB181,"")</f>
        <v>0</v>
      </c>
      <c r="AW181" s="197">
        <f>IFERROR($CS181*((INDEX(avoidedcosttbl2,$H181,AW$2))+(($H181-ROUNDDOWN($H181,0))*((INDEX(avoidedcosttbl2,ROUNDUP($H181,0),AW$2))-(INDEX(avoidedcosttbl2,ROUNDDOWN($H181,0),AW$2)))))*$O181*1000*'Inputs Yr 2'!AC181,"")</f>
        <v>0</v>
      </c>
      <c r="AX181" s="197">
        <f>IFERROR($CT181*((INDEX(avoidedcosttbl2,$H181,AX$2))+(($H181-ROUNDDOWN($H181,0))*((INDEX(avoidedcosttbl2,ROUNDUP($H181,0),AX$2))-(INDEX(avoidedcosttbl2,ROUNDDOWN($H181,0),AX$2)))))*$O181*1000*'Inputs Yr 2'!AD181,"")</f>
        <v>0</v>
      </c>
      <c r="AY181" s="197">
        <f>IFERROR(((INDEX(avoidedcosttbl2,$H181,AY$2))+(($H181-ROUNDDOWN($H181,0))*((INDEX(avoidedcosttbl2,ROUNDUP($H181,0),AY$2))-(INDEX(avoidedcosttbl2,ROUNDDOWN($H181,0),AY$2)))))*$O181*1000*('Inputs Yr 2'!AC181+'Inputs Yr 2'!AD181),"")</f>
        <v>0</v>
      </c>
      <c r="AZ181" s="197">
        <f>IFERROR(((INDEX(avoidedcosttbl2,$H181,AZ$2))+(($H181-ROUNDDOWN($H181,0))*((INDEX(avoidedcosttbl2,ROUNDUP($H181,0),AZ$2))-(INDEX(avoidedcosttbl2,ROUNDDOWN($H181,0),AZ$2)))))*$O181*1000*('Inputs Yr 2'!AA181+'Inputs Yr 2'!AB181),"")</f>
        <v>0</v>
      </c>
      <c r="BA181" s="198">
        <f t="shared" si="94"/>
        <v>0</v>
      </c>
      <c r="BB181" s="198">
        <f t="shared" si="95"/>
        <v>0</v>
      </c>
      <c r="BC181" s="195">
        <f t="shared" si="77"/>
        <v>0</v>
      </c>
      <c r="BD181" s="195">
        <f t="shared" si="78"/>
        <v>0</v>
      </c>
      <c r="BE181" s="195">
        <f t="shared" si="79"/>
        <v>0</v>
      </c>
      <c r="BF181" s="195">
        <f t="shared" si="80"/>
        <v>0</v>
      </c>
      <c r="BG181" s="195">
        <f t="shared" si="81"/>
        <v>0</v>
      </c>
      <c r="BH181" s="196">
        <f t="shared" si="96"/>
        <v>0</v>
      </c>
      <c r="BI181" s="196">
        <f t="shared" si="97"/>
        <v>0</v>
      </c>
      <c r="BJ181" s="195">
        <f>IFERROR($G181*(IF('Inputs Yr 2'!$AJ181=BJ$4,'Inputs Yr 2'!$AK181,IF('Inputs Yr 2'!$AL181=BJ$4,'Inputs Yr 2'!$AM181,IF('Inputs Yr 2'!$AN181=BJ$4,'Inputs Yr 2'!$AO181,0))))*(INDEX(avoidedcosttbl2,$H181,BJ$2)+(($H181-ROUNDDOWN($H181,0))*(INDEX(avoidedcosttbl2,ROUNDUP($H181,0),BJ$2)-(INDEX(avoidedcosttbl2,ROUNDDOWN($H181,0),BJ$2)))))*'Inputs Yr 2'!P181*'Inputs Yr 2'!Q181*'Inputs Yr 2'!U181,"")</f>
        <v>0</v>
      </c>
      <c r="BK181" s="195">
        <f>IFERROR($G181*(IF('Inputs Yr 2'!$AJ181=BK$4,'Inputs Yr 2'!$AK181,IF('Inputs Yr 2'!$AL181=BK$4,'Inputs Yr 2'!$AM181,IF('Inputs Yr 2'!$AN181=BK$4,'Inputs Yr 2'!$AO181,0))))*(INDEX(avoidedcosttbl2,$H181,BK$2)+(($H181-ROUNDDOWN($H181,0))*(INDEX(avoidedcosttbl2,ROUNDUP($H181,0),BK$2)-(INDEX(avoidedcosttbl2,ROUNDDOWN($H181,0),BK$2)))))*'Inputs Yr 2'!P181*'Inputs Yr 2'!Q181*'Inputs Yr 2'!U181,"")</f>
        <v>0</v>
      </c>
      <c r="BL181" s="195">
        <f>IFERROR($G181*(IF('Inputs Yr 2'!$AJ181=BL$4,'Inputs Yr 2'!$AK181,IF('Inputs Yr 2'!$AL181=BL$4,'Inputs Yr 2'!$AM181,IF('Inputs Yr 2'!$AN181=BL$4,'Inputs Yr 2'!$AO181,0))))*(INDEX(avoidedcosttbl2,$H181,BL$2)+(($H181-ROUNDDOWN($H181,0))*(INDEX(avoidedcosttbl2,ROUNDUP($H181,0),BL$2)-(INDEX(avoidedcosttbl2,ROUNDDOWN($H181,0),BL$2)))))*'Inputs Yr 2'!P181*'Inputs Yr 2'!Q181*'Inputs Yr 2'!U181,"")</f>
        <v>0</v>
      </c>
      <c r="BM181" s="195">
        <f>IFERROR($G181*(IF('Inputs Yr 2'!$AJ181=BM$4,'Inputs Yr 2'!$AK181,IF('Inputs Yr 2'!$AL181=BM$4,'Inputs Yr 2'!$AM181,IF('Inputs Yr 2'!$AN181=BM$4,'Inputs Yr 2'!$AO181,0))))*(INDEX(avoidedcosttbl2,$H181,BM$2)+(($H181-ROUNDDOWN($H181,0))*(INDEX(avoidedcosttbl2,ROUNDUP($H181,0),BM$2)-(INDEX(avoidedcosttbl2,ROUNDDOWN($H181,0),BM$2)))))*'Inputs Yr 2'!P181*'Inputs Yr 2'!Q181*'Inputs Yr 2'!U181,"")</f>
        <v>0</v>
      </c>
      <c r="BN181" s="195">
        <f>IFERROR($G181*(IF('Inputs Yr 2'!$AJ181=BN$4,'Inputs Yr 2'!$AK181,IF('Inputs Yr 2'!$AL181=BN$4,'Inputs Yr 2'!$AM181,IF('Inputs Yr 2'!$AN181=BN$4,'Inputs Yr 2'!$AO181,0))))*(INDEX(avoidedcosttbl2,$H181,BN$2)+(($H181-ROUNDDOWN($H181,0))*(INDEX(avoidedcosttbl2,ROUNDUP($H181,0),BN$2)-(INDEX(avoidedcosttbl2,ROUNDDOWN($H181,0),BN$2)))))*'Inputs Yr 2'!P181*'Inputs Yr 2'!Q181*'Inputs Yr 2'!U181,"")</f>
        <v>0</v>
      </c>
      <c r="BO181" s="195">
        <f>IFERROR($G181*(IF('Inputs Yr 2'!$AJ181=BO$4,'Inputs Yr 2'!$AK181,IF('Inputs Yr 2'!$AL181=BO$4,'Inputs Yr 2'!$AM181,IF('Inputs Yr 2'!$AN181=BO$4,'Inputs Yr 2'!$AO181,0))))*(INDEX(avoidedcosttbl2,$H181,BO$2)+(($H181-ROUNDDOWN($H181,0))*(INDEX(avoidedcosttbl2,ROUNDUP($H181,0),BO$2)-(INDEX(avoidedcosttbl2,ROUNDDOWN($H181,0),BO$2)))))*'Inputs Yr 2'!P181*'Inputs Yr 2'!Q181*'Inputs Yr 2'!U181,"")</f>
        <v>5151.9506821369405</v>
      </c>
      <c r="BP181" s="195">
        <f>IFERROR($G181*(IF('Inputs Yr 2'!$AJ181=BP$4,'Inputs Yr 2'!$AK181,IF('Inputs Yr 2'!$AL181=BP$4,'Inputs Yr 2'!$AM181,IF('Inputs Yr 2'!$AN181=BP$4,'Inputs Yr 2'!$AO181,0))))*(INDEX(avoidedcosttbl2,$H181,BP$2)+(($H181-ROUNDDOWN($H181,0))*(INDEX(avoidedcosttbl2,ROUNDUP($H181,0),BP$2)-(INDEX(avoidedcosttbl2,ROUNDDOWN($H181,0),BP$2)))))*'Inputs Yr 2'!P181*'Inputs Yr 2'!Q181*'Inputs Yr 2'!U181,"")</f>
        <v>0</v>
      </c>
      <c r="BQ181" s="230">
        <f t="shared" si="98"/>
        <v>5151.9506821369405</v>
      </c>
      <c r="BR181" s="197">
        <f t="shared" si="82"/>
        <v>82.477837541012249</v>
      </c>
      <c r="BS181" s="197">
        <f>IFERROR(($G181*IF('Inputs Yr 2'!$AJ181=BM$4,'Inputs Yr 2'!$AK181,IF('Inputs Yr 2'!$AL181=BM$4,'Inputs Yr 2'!$AM181,IF('Inputs Yr 2'!$AN181=BM$4,'Inputs Yr 2'!$AO181,0))))*(INDEX(avoidedcosttbl2,$H181,BS$2)+(($H181-ROUNDDOWN($H181,0))*(INDEX(avoidedcosttbl2,ROUNDUP($H181,0),BS$2)-(INDEX(avoidedcosttbl2,ROUNDDOWN($H181,0),BS$2)))))*'Inputs Yr 2'!P181*'Inputs Yr 2'!Q181*'Inputs Yr 2'!U181,"")</f>
        <v>0</v>
      </c>
      <c r="BT181" s="197">
        <f>IFERROR(($G181*IF('Inputs Yr 2'!$AJ181=BK$4,'Inputs Yr 2'!$AK181,IF('Inputs Yr 2'!$AL181=BK$4,'Inputs Yr 2'!$AM181,IF('Inputs Yr 2'!$AN181=BK$4,'Inputs Yr 2'!$AO181,0))))*(INDEX(avoidedcosttbl2,$H181,BT$2)+(($H181-ROUNDDOWN($H181,0))*(INDEX(avoidedcosttbl2,ROUNDUP($H181,0),BT$2)-(INDEX(avoidedcosttbl2,ROUNDDOWN($H181,0),BT$2)))))*'Inputs Yr 2'!P181*'Inputs Yr 2'!Q181*'Inputs Yr 2'!U181,"")</f>
        <v>0</v>
      </c>
      <c r="BU181" s="197">
        <f>IFERROR(($G181*IF('Inputs Yr 2'!$AJ181=BL$4,'Inputs Yr 2'!$AK181,IF('Inputs Yr 2'!$AL181=BL$4,'Inputs Yr 2'!$AM181,IF('Inputs Yr 2'!$AN181=BL$4,'Inputs Yr 2'!$AO181,0))))*(INDEX(avoidedcosttbl2,$H181,BU$2)+(($H181-ROUNDDOWN($H181,0))*(INDEX(avoidedcosttbl2,ROUNDUP($H181,0),BU$2)-(INDEX(avoidedcosttbl2,ROUNDDOWN($H181,0),BU$2)))))*'Inputs Yr 2'!P181*'Inputs Yr 2'!Q181*'Inputs Yr 2'!U181,"")</f>
        <v>0</v>
      </c>
      <c r="BV181" s="775">
        <f>IFERROR(($G181*IF('Inputs Yr 2'!$AJ181=BJ$4,'Inputs Yr 2'!$AK181,IF('Inputs Yr 2'!$AL181=BJ$4,'Inputs Yr 2'!$AM181,IF('Inputs Yr 2'!$AN181=BJ$4,'Inputs Yr 2'!$AO181,0))))*(INDEX(avoidedcosttbl2,$H181,BV$2)+(($H181-ROUNDDOWN($H181,0))*(INDEX(avoidedcosttbl2,ROUNDUP($H181,0),BV$2)-(INDEX(avoidedcosttbl2,ROUNDDOWN($H181,0),BV$2)))))*'Inputs Yr 2'!P181*'Inputs Yr 2'!Q181*'Inputs Yr 2'!U181,"")</f>
        <v>0</v>
      </c>
      <c r="BW181" s="197">
        <f>IFERROR(($G181*IF('Inputs Yr 2'!$AJ181=BN$4,'Inputs Yr 2'!$AK181,IF('Inputs Yr 2'!$AL181=BN$4,'Inputs Yr 2'!$AM181,IF('Inputs Yr 2'!$AN181=BN$4,'Inputs Yr 2'!$AO181,0))))*(INDEX(avoidedcosttbl2,$H181,BW$2)+(($H181-ROUNDDOWN($H181,0))*(INDEX(avoidedcosttbl2,ROUNDUP($H181,0),BW$2)-(INDEX(avoidedcosttbl2,ROUNDDOWN($H181,0),BW$2)))))*'Inputs Yr 2'!P181*'Inputs Yr 2'!Q181*'Inputs Yr 2'!U181,"")</f>
        <v>0</v>
      </c>
      <c r="BX181" s="197">
        <f>IFERROR(($G181*IF('Inputs Yr 2'!$AJ181=BO$4,'Inputs Yr 2'!$AK181,IF('Inputs Yr 2'!$AL181=BO$4,'Inputs Yr 2'!$AM181,IF('Inputs Yr 2'!$AN181=BO$4,'Inputs Yr 2'!$AO181,0))))*(INDEX(avoidedcosttbl2,$H181,BX$2)+(($H181-ROUNDDOWN($H181,0))*(INDEX(avoidedcosttbl2,ROUNDUP($H181,0),BX$2)-(INDEX(avoidedcosttbl2,ROUNDDOWN($H181,0),BX$2)))))*'Inputs Yr 2'!P181*'Inputs Yr 2'!Q181*'Inputs Yr 2'!U181,"")</f>
        <v>231.63343077571346</v>
      </c>
      <c r="BY181" s="197">
        <f>IFERROR(($G181*IF('Inputs Yr 2'!$AJ181=BP$4,'Inputs Yr 2'!$AK181,IF('Inputs Yr 2'!$AL181=BP$4,'Inputs Yr 2'!$AM181,IF('Inputs Yr 2'!$AN181=BP$4,'Inputs Yr 2'!$AO181,0))))*(INDEX(avoidedcosttbl2,$H181,BY$2)+(($H181-ROUNDDOWN($H181,0))*(INDEX(avoidedcosttbl2,ROUNDUP($H181,0),BY$2)-(INDEX(avoidedcosttbl2,ROUNDDOWN($H181,0),BY$2)))))*'Inputs Yr 2'!P181*'Inputs Yr 2'!Q181*'Inputs Yr 2'!U181,"")</f>
        <v>0</v>
      </c>
      <c r="BZ181" s="193">
        <f t="shared" si="99"/>
        <v>314.11126831672573</v>
      </c>
      <c r="CA181" s="193">
        <f t="shared" si="100"/>
        <v>5466.0619504536662</v>
      </c>
      <c r="CB181" s="195">
        <f>IFERROR(G181*(IF('Inputs Yr 2'!$AJ181=CB$4,'Inputs Yr 2'!$AK181,IF('Inputs Yr 2'!$AL181=CB$4,'Inputs Yr 2'!$AM181,IF('Inputs Yr 2'!$AN181=CB$4,'Inputs Yr 2'!$AO181,0))))*(INDEX(avoidedcosttbl2,$H181,CB$2)+(($H181-ROUNDDOWN($H181,0))*(INDEX(avoidedcosttbl2,ROUNDUP($H181,0),CB$2)-(INDEX(avoidedcosttbl2,ROUNDDOWN($H181,0),CB$2)))))*'Inputs Yr 2'!P181*'Inputs Yr 2'!Q181*'Inputs Yr 2'!U181,"")</f>
        <v>0</v>
      </c>
      <c r="CC181" s="195">
        <f>IFERROR(H181*(IF('Inputs Yr 2'!$AJ181=CC$4,'Inputs Yr 2'!$AK181,IF('Inputs Yr 2'!$AL181=CC$4,'Inputs Yr 2'!$AM181,IF('Inputs Yr 2'!$AN181=CC$4,'Inputs Yr 2'!$AO181,0))))*(INDEX(avoidedcosttbl2,$H181,CC$2)+(($H181-ROUNDDOWN($H181,0))*(INDEX(avoidedcosttbl2,ROUNDUP($H181,0),CC$2)-(INDEX(avoidedcosttbl2,ROUNDDOWN($H181,0),CC$2)))))*'Inputs Yr 2'!Q181*'Inputs Yr 2'!R181*'Inputs Yr 2'!V181,"")</f>
        <v>0</v>
      </c>
      <c r="CD181" s="195">
        <f>IFERROR(I181*(IF('Inputs Yr 2'!$AJ181=CD$4,'Inputs Yr 2'!$AK181,IF('Inputs Yr 2'!$AL181=CD$4,'Inputs Yr 2'!$AM181,IF('Inputs Yr 2'!$AN181=CD$4,'Inputs Yr 2'!$AO181,0))))*(INDEX(avoidedcosttbl2,$H181,CD$2)+(($H181-ROUNDDOWN($H181,0))*(INDEX(avoidedcosttbl2,ROUNDUP($H181,0),CD$2)-(INDEX(avoidedcosttbl2,ROUNDDOWN($H181,0),CD$2)))))*'Inputs Yr 2'!R181*'Inputs Yr 2'!S181*'Inputs Yr 2'!W181,"")</f>
        <v>0</v>
      </c>
      <c r="CE181" s="213">
        <f t="shared" si="101"/>
        <v>0</v>
      </c>
      <c r="CF181" s="213">
        <f t="shared" si="102"/>
        <v>0</v>
      </c>
      <c r="CG181" s="213">
        <f t="shared" si="103"/>
        <v>0</v>
      </c>
      <c r="CH181" s="698">
        <f t="shared" si="104"/>
        <v>5466.0619504536662</v>
      </c>
      <c r="CI181" s="79">
        <f>IFERROR(($G181*'Inputs Yr 2'!$P181*'Inputs Yr 2'!$Q181*(((INDEX(avoidedcosttbl2,$H181,CI$2)+(($H181-ROUNDDOWN($H181,0))*(INDEX(avoidedcosttbl2,ROUNDUP($H181,0),CI$2)-INDEX(avoidedcosttbl2,ROUNDDOWN($H181,0),CI$2))))*'Inputs Yr 2'!AS181))),"")</f>
        <v>0</v>
      </c>
      <c r="CJ181" s="504">
        <f>IFERROR($G181*'Inputs Yr 2'!AT181*'Inputs Yr 2'!$P181*'Inputs Yr 2'!$Q181/((1+realdiscrt1)^-0.5),"")</f>
        <v>0</v>
      </c>
      <c r="CK181" s="79">
        <f>IFERROR((O181*1000*(((INDEX(avoidedcosttbl2,$H181,CK$2)+(($H181-ROUNDDOWN($H181,0))*(INDEX(avoidedcosttbl2,ROUNDUP($H181,0),CK$2)-INDEX(avoidedcosttbl2,ROUNDDOWN($H181,0),CK$2))))*'Inputs Yr 2'!AU181))),"")</f>
        <v>0</v>
      </c>
      <c r="CL181" s="504">
        <f>IFERROR(O181*1000*'Inputs Yr 2'!AV181/((1+realdiscrt1)^-0.5),"")</f>
        <v>0</v>
      </c>
      <c r="CM181" s="79">
        <f>IFERROR((AB181*'Inputs Yr 2'!AW181*(((INDEX(avoidedcosttbl2,$H181,CM$2)+(($H181-ROUNDDOWN($H181,0))*(INDEX(avoidedcosttbl2,ROUNDUP($H181,0),CM$2)-INDEX(avoidedcosttbl2,ROUNDDOWN($H181,0),CM$2)))))))*10,"")</f>
        <v>-471.11997166267849</v>
      </c>
      <c r="CN181" s="504">
        <f>IFERROR(10*AB181*'Inputs Yr 2'!AX181/((1+realdiscrt1)^-0.5),"")</f>
        <v>0</v>
      </c>
      <c r="CO181" s="505">
        <f t="shared" si="105"/>
        <v>-471.11997166267849</v>
      </c>
      <c r="CP181" s="230">
        <f t="shared" si="106"/>
        <v>4994.9419787909874</v>
      </c>
      <c r="CQ181" s="199">
        <f>ROUND(IFERROR(IF(LEFT($A181,1)="C",'Avoided Costs'!$K$13,'Avoided Costs'!$K$12)+1,""),4)</f>
        <v>1.0720000000000001</v>
      </c>
      <c r="CR181" s="199">
        <f>ROUND(IFERROR(IF(LEFT($A181,1)="C",'Avoided Costs'!$L$13,'Avoided Costs'!$L$12)+1,""),4)</f>
        <v>1.04</v>
      </c>
      <c r="CS181" s="199">
        <f>ROUND(IFERROR(IF(LEFT($A181,1)="C",'Avoided Costs'!$M$13,'Avoided Costs'!$M$12)+1,""),4)</f>
        <v>1.0720000000000001</v>
      </c>
      <c r="CT181" s="199">
        <f>ROUND(IFERROR(IF(LEFT($A181,1)="C",'Avoided Costs'!$N$13,'Avoided Costs'!$N$12)+1,""),4)</f>
        <v>1.04</v>
      </c>
      <c r="CU181" s="199">
        <f>ROUND(IFERROR(IF(LEFT($A181,1)="C",'Avoided Costs'!$O$13,'Avoided Costs'!$O$12)+1,""),4)</f>
        <v>1.1120000000000001</v>
      </c>
      <c r="CV181" s="199">
        <f>ROUND(IFERROR(IF(LEFT($A181,1)="C",'Avoided Costs'!$P$13,'Avoided Costs'!$P$12)+1,""),4)</f>
        <v>1.095</v>
      </c>
      <c r="CW181" s="199">
        <f>ROUND(IFERROR(IF(LEFT($A181,1)="C",'Avoided Costs'!$Q$13,'Avoided Costs'!$Q$12)+1,""),4)</f>
        <v>1.1120000000000001</v>
      </c>
      <c r="CX181" s="200">
        <f>ROUND(IFERROR(IF(LEFT($A181,1)="C",'Avoided Costs'!$R$13,'Avoided Costs'!$R$12)+1,""),4)</f>
        <v>1.1120000000000001</v>
      </c>
    </row>
    <row r="182" spans="1:102" ht="12.75" customHeight="1">
      <c r="A182" s="91" t="str">
        <f>IF('Inputs Yr 2'!$B182=0,"",'Inputs Yr 2'!A182)</f>
        <v>C - Commercial &amp; Industrial</v>
      </c>
      <c r="B182" s="91" t="str">
        <f>IF('Inputs Yr 2'!$B182=0,"",'Inputs Yr 2'!B182)</f>
        <v>C1 - C&amp;I New Construction</v>
      </c>
      <c r="C182" s="91" t="str">
        <f>IF('Inputs Yr 2'!$B182=0,"",'Inputs Yr 2'!C182)</f>
        <v>C1a - C&amp;I New Buildings &amp; Major Renovations</v>
      </c>
      <c r="D182" s="91" t="str">
        <f>IF('Inputs Yr 2'!$B182=0,"",'Inputs Yr 2'!E182)</f>
        <v>Condensing Boiler 301-499 mbh  (.90 TE)</v>
      </c>
      <c r="E182" s="93" t="str">
        <f>IF('Inputs Yr 2'!$B182=0,"",'Inputs Yr 2'!F182)</f>
        <v>G16C1a25</v>
      </c>
      <c r="F182" s="93" t="str">
        <f>IF('Inputs Yr 2'!$B182=0,"",'Inputs Yr 2'!G182)</f>
        <v>HVAC</v>
      </c>
      <c r="G182" s="95" t="str">
        <f>IF('Inputs Yr 2'!$H182&lt;&gt;0,('Inputs Yr 2'!H182),"")</f>
        <v/>
      </c>
      <c r="H182" s="94">
        <f>IFERROR('Inputs Yr 2'!I182,"")</f>
        <v>25</v>
      </c>
      <c r="I182" s="298" t="str">
        <f>IFERROR('Inputs Yr 2'!J182*'Inputs Yr 2'!P182*G182,"")</f>
        <v/>
      </c>
      <c r="J182" s="298" t="str">
        <f>IFERROR('Inputs Yr 2'!K182*G182,"")</f>
        <v/>
      </c>
      <c r="K182" s="298" t="str">
        <f t="shared" si="83"/>
        <v/>
      </c>
      <c r="L182" s="194" t="str">
        <f>IFERROR(('Inputs Yr 2'!W182*G182)/1000,"")</f>
        <v/>
      </c>
      <c r="M182" s="194" t="str">
        <f>IFERROR(L182*('Inputs Yr 2'!$Q182*'Inputs Yr 2'!$V182*'Inputs Yr 2'!$R182),"")</f>
        <v/>
      </c>
      <c r="N182" s="194" t="str">
        <f t="shared" si="84"/>
        <v/>
      </c>
      <c r="O182" s="194" t="str">
        <f>IFERROR(M182*'Inputs Yr 2'!P182,"")</f>
        <v/>
      </c>
      <c r="P182" s="194" t="str">
        <f t="shared" si="85"/>
        <v/>
      </c>
      <c r="Q182" s="194" t="str">
        <f>IFERROR($P182*'Inputs Yr 2'!AA182,"")</f>
        <v/>
      </c>
      <c r="R182" s="194" t="str">
        <f>IFERROR($P182*'Inputs Yr 2'!AB182,"")</f>
        <v/>
      </c>
      <c r="S182" s="194" t="str">
        <f>IFERROR($P182*'Inputs Yr 2'!AC182,"")</f>
        <v/>
      </c>
      <c r="T182" s="194" t="str">
        <f>IFERROR($P182*'Inputs Yr 2'!AD182,"")</f>
        <v/>
      </c>
      <c r="U182" s="194" t="str">
        <f>IFERROR(G182*'Inputs Yr 2'!$AE182*'Inputs Yr 2'!$P182*'Inputs Yr 2'!$Q182,"")</f>
        <v/>
      </c>
      <c r="V182" s="194" t="str">
        <f>IFERROR($G182*'Inputs Yr 2'!$AE182*'Inputs Yr 2'!$AG182*'Inputs Yr 2'!Q182*'Inputs Yr 2'!$S182,"")</f>
        <v/>
      </c>
      <c r="W182" s="194" t="str">
        <f>IFERROR($G182*'Inputs Yr 2'!$AE182*'Inputs Yr 2'!$AG182*'Inputs Yr 2'!P182*'Inputs Yr 2'!Q182*'Inputs Yr 2'!$S182,"")</f>
        <v/>
      </c>
      <c r="X182" s="194" t="str">
        <f>IFERROR($G182*'Inputs Yr 2'!$AE182*'Inputs Yr 2'!$AF182*'Inputs Yr 2'!Q182*'Inputs Yr 2'!$T182,"")</f>
        <v/>
      </c>
      <c r="Y182" s="194" t="str">
        <f>IFERROR($G182*'Inputs Yr 2'!$AE182*'Inputs Yr 2'!$AF182*'Inputs Yr 2'!P182*'Inputs Yr 2'!Q182*'Inputs Yr 2'!$T182,"")</f>
        <v/>
      </c>
      <c r="Z182" s="257">
        <f>IFERROR($G182*'Inputs Yr 2'!$Q182*'Inputs Yr 2'!$U182*(IF(IFERROR(SEARCH("NG", 'Inputs Yr 2'!$AJ182),0),'Inputs Yr 2'!$AK182,0)+IF(IFERROR(SEARCH("NG", 'Inputs Yr 2'!$AL182),0),'Inputs Yr 2'!$AM182,0)+IF(IFERROR(SEARCH("NG", 'Inputs Yr 2'!$AN182),0),'Inputs Yr 2'!$AO182,0)),0)</f>
        <v>0</v>
      </c>
      <c r="AA182" s="257">
        <f t="shared" si="86"/>
        <v>0</v>
      </c>
      <c r="AB182" s="257">
        <f>IFERROR(Z182*'Inputs Yr 2'!$P182,0)</f>
        <v>0</v>
      </c>
      <c r="AC182" s="257">
        <f t="shared" si="87"/>
        <v>0</v>
      </c>
      <c r="AD182" s="257">
        <f>IFERROR($G182*'Inputs Yr 2'!$Q182*'Inputs Yr 2'!$U182*(IF(IFERROR(SEARCH("Oil", 'Inputs Yr 2'!$AJ182), 0),'Inputs Yr 2'!$AK182,0)+IF(IFERROR(SEARCH("Oil", 'Inputs Yr 2'!$AL182), 0),'Inputs Yr 2'!$AM182,0)+IF(IFERROR(SEARCH("Oil", 'Inputs Yr 2'!$AN182), 0),'Inputs Yr 2'!$AO182,0)),0)</f>
        <v>0</v>
      </c>
      <c r="AE182" s="257">
        <f t="shared" si="88"/>
        <v>0</v>
      </c>
      <c r="AF182" s="257">
        <f>IFERROR(AD182*'Inputs Yr 2'!$P182,0)</f>
        <v>0</v>
      </c>
      <c r="AG182" s="257">
        <f t="shared" si="89"/>
        <v>0</v>
      </c>
      <c r="AH182" s="257">
        <f>IFERROR($G182*'Inputs Yr 2'!$Q182*'Inputs Yr 2'!$U182*(IF('Inputs Yr 2'!$AJ182=CD$4,'Inputs Yr 2'!$AK182,IF('Inputs Yr 2'!$AL182=CD$4,'Inputs Yr 2'!$AM182,IF('Inputs Yr 2'!$AN182=CD$4,'Inputs Yr 2'!$AO182,0)))),0)</f>
        <v>0</v>
      </c>
      <c r="AI182" s="257">
        <f t="shared" si="90"/>
        <v>0</v>
      </c>
      <c r="AJ182" s="257">
        <f>IFERROR(AH182*'Inputs Yr 2'!$P182,0)</f>
        <v>0</v>
      </c>
      <c r="AK182" s="257">
        <f t="shared" si="91"/>
        <v>0</v>
      </c>
      <c r="AL182" s="258">
        <f>IFERROR($G182*'Inputs Yr 2'!$P182*'Inputs Yr 2'!$Q182*'Inputs Yr 2'!AP182,0)</f>
        <v>0</v>
      </c>
      <c r="AM182" s="260">
        <f>IFERROR($G182*'Inputs Yr 2'!$P182*'Inputs Yr 2'!$Q182*'Inputs Yr 2'!AQ182,0)</f>
        <v>0</v>
      </c>
      <c r="AN182" s="258">
        <f>IFERROR($G182*'Inputs Yr 2'!$P182*'Inputs Yr 2'!$Q182*'Inputs Yr 2'!AR182,0)</f>
        <v>0</v>
      </c>
      <c r="AO182" s="257">
        <f t="shared" si="92"/>
        <v>0</v>
      </c>
      <c r="AP182" s="195" t="str">
        <f>IFERROR($CQ182*(INDEX(avoidedcosttbl2,$H182,AP$2)+(($H182-ROUNDDOWN($H182,0))*(INDEX(avoidedcosttbl2,ROUNDUP($H182,0),AP$2)-(INDEX(avoidedcosttbl2,ROUNDDOWN($H182,0),AP$2)))))*$O182*1000*'Inputs Yr 2'!AA182,"")</f>
        <v/>
      </c>
      <c r="AQ182" s="195" t="str">
        <f>IFERROR($CR182*(INDEX(avoidedcosttbl2,$H182,AQ$2)+(($H182-ROUNDDOWN($H182,0))*(INDEX(avoidedcosttbl2,ROUNDUP($H182,0),AQ$2)-(INDEX(avoidedcosttbl2,ROUNDDOWN($H182,0),AQ$2)))))*$O182*1000*'Inputs Yr 2'!AB182,"")</f>
        <v/>
      </c>
      <c r="AR182" s="195" t="str">
        <f>IFERROR($CS182*(INDEX(avoidedcosttbl2,$H182,AR$2)+(($H182-ROUNDDOWN($H182,0))*(INDEX(avoidedcosttbl2,ROUNDUP($H182,0),AR$2)-(INDEX(avoidedcosttbl2,ROUNDDOWN($H182,0),AR$2)))))*$O182*1000*'Inputs Yr 2'!AC182,"")</f>
        <v/>
      </c>
      <c r="AS182" s="195" t="str">
        <f>IFERROR($CT182*(INDEX(avoidedcosttbl2,$H182,AS$2)+(($H182-ROUNDDOWN($H182,0))*(INDEX(avoidedcosttbl2,ROUNDUP($H182,0),AS$2)-(INDEX(avoidedcosttbl2,ROUNDDOWN($H182,0),AS$2)))))*$O182*1000*'Inputs Yr 2'!AD182,"")</f>
        <v/>
      </c>
      <c r="AT182" s="196">
        <f t="shared" si="93"/>
        <v>0</v>
      </c>
      <c r="AU182" s="197" t="str">
        <f>IFERROR($CQ182*((INDEX(avoidedcosttbl2,$H182,AU$2))+(($H182-ROUNDDOWN($H182,0))*((INDEX(avoidedcosttbl2,ROUNDUP($H182,0),AU$2))-(INDEX(avoidedcosttbl2,ROUNDDOWN($H182,0),AU$2)))))*$O182*1000*'Inputs Yr 2'!AA182,"")</f>
        <v/>
      </c>
      <c r="AV182" s="197" t="str">
        <f>IFERROR($CR182*((INDEX(avoidedcosttbl2,$H182,AV$2))+(($H182-ROUNDDOWN($H182,0))*((INDEX(avoidedcosttbl2,ROUNDUP($H182,0),AV$2))-(INDEX(avoidedcosttbl2,ROUNDDOWN($H182,0),AV$2)))))*$O182*1000*'Inputs Yr 2'!AB182,"")</f>
        <v/>
      </c>
      <c r="AW182" s="197" t="str">
        <f>IFERROR($CS182*((INDEX(avoidedcosttbl2,$H182,AW$2))+(($H182-ROUNDDOWN($H182,0))*((INDEX(avoidedcosttbl2,ROUNDUP($H182,0),AW$2))-(INDEX(avoidedcosttbl2,ROUNDDOWN($H182,0),AW$2)))))*$O182*1000*'Inputs Yr 2'!AC182,"")</f>
        <v/>
      </c>
      <c r="AX182" s="197" t="str">
        <f>IFERROR($CT182*((INDEX(avoidedcosttbl2,$H182,AX$2))+(($H182-ROUNDDOWN($H182,0))*((INDEX(avoidedcosttbl2,ROUNDUP($H182,0),AX$2))-(INDEX(avoidedcosttbl2,ROUNDDOWN($H182,0),AX$2)))))*$O182*1000*'Inputs Yr 2'!AD182,"")</f>
        <v/>
      </c>
      <c r="AY182" s="197" t="str">
        <f>IFERROR(((INDEX(avoidedcosttbl2,$H182,AY$2))+(($H182-ROUNDDOWN($H182,0))*((INDEX(avoidedcosttbl2,ROUNDUP($H182,0),AY$2))-(INDEX(avoidedcosttbl2,ROUNDDOWN($H182,0),AY$2)))))*$O182*1000*('Inputs Yr 2'!AC182+'Inputs Yr 2'!AD182),"")</f>
        <v/>
      </c>
      <c r="AZ182" s="197" t="str">
        <f>IFERROR(((INDEX(avoidedcosttbl2,$H182,AZ$2))+(($H182-ROUNDDOWN($H182,0))*((INDEX(avoidedcosttbl2,ROUNDUP($H182,0),AZ$2))-(INDEX(avoidedcosttbl2,ROUNDDOWN($H182,0),AZ$2)))))*$O182*1000*('Inputs Yr 2'!AA182+'Inputs Yr 2'!AB182),"")</f>
        <v/>
      </c>
      <c r="BA182" s="198">
        <f t="shared" si="94"/>
        <v>0</v>
      </c>
      <c r="BB182" s="198">
        <f t="shared" si="95"/>
        <v>0</v>
      </c>
      <c r="BC182" s="195" t="str">
        <f t="shared" si="77"/>
        <v/>
      </c>
      <c r="BD182" s="195" t="str">
        <f t="shared" si="78"/>
        <v/>
      </c>
      <c r="BE182" s="195" t="str">
        <f t="shared" si="79"/>
        <v/>
      </c>
      <c r="BF182" s="195" t="str">
        <f t="shared" si="80"/>
        <v/>
      </c>
      <c r="BG182" s="195" t="str">
        <f t="shared" si="81"/>
        <v/>
      </c>
      <c r="BH182" s="196">
        <f t="shared" si="96"/>
        <v>0</v>
      </c>
      <c r="BI182" s="196">
        <f t="shared" si="97"/>
        <v>0</v>
      </c>
      <c r="BJ182" s="195" t="str">
        <f>IFERROR($G182*(IF('Inputs Yr 2'!$AJ182=BJ$4,'Inputs Yr 2'!$AK182,IF('Inputs Yr 2'!$AL182=BJ$4,'Inputs Yr 2'!$AM182,IF('Inputs Yr 2'!$AN182=BJ$4,'Inputs Yr 2'!$AO182,0))))*(INDEX(avoidedcosttbl2,$H182,BJ$2)+(($H182-ROUNDDOWN($H182,0))*(INDEX(avoidedcosttbl2,ROUNDUP($H182,0),BJ$2)-(INDEX(avoidedcosttbl2,ROUNDDOWN($H182,0),BJ$2)))))*'Inputs Yr 2'!P182*'Inputs Yr 2'!Q182*'Inputs Yr 2'!U182,"")</f>
        <v/>
      </c>
      <c r="BK182" s="195" t="str">
        <f>IFERROR($G182*(IF('Inputs Yr 2'!$AJ182=BK$4,'Inputs Yr 2'!$AK182,IF('Inputs Yr 2'!$AL182=BK$4,'Inputs Yr 2'!$AM182,IF('Inputs Yr 2'!$AN182=BK$4,'Inputs Yr 2'!$AO182,0))))*(INDEX(avoidedcosttbl2,$H182,BK$2)+(($H182-ROUNDDOWN($H182,0))*(INDEX(avoidedcosttbl2,ROUNDUP($H182,0),BK$2)-(INDEX(avoidedcosttbl2,ROUNDDOWN($H182,0),BK$2)))))*'Inputs Yr 2'!P182*'Inputs Yr 2'!Q182*'Inputs Yr 2'!U182,"")</f>
        <v/>
      </c>
      <c r="BL182" s="195" t="str">
        <f>IFERROR($G182*(IF('Inputs Yr 2'!$AJ182=BL$4,'Inputs Yr 2'!$AK182,IF('Inputs Yr 2'!$AL182=BL$4,'Inputs Yr 2'!$AM182,IF('Inputs Yr 2'!$AN182=BL$4,'Inputs Yr 2'!$AO182,0))))*(INDEX(avoidedcosttbl2,$H182,BL$2)+(($H182-ROUNDDOWN($H182,0))*(INDEX(avoidedcosttbl2,ROUNDUP($H182,0),BL$2)-(INDEX(avoidedcosttbl2,ROUNDDOWN($H182,0),BL$2)))))*'Inputs Yr 2'!P182*'Inputs Yr 2'!Q182*'Inputs Yr 2'!U182,"")</f>
        <v/>
      </c>
      <c r="BM182" s="195" t="str">
        <f>IFERROR($G182*(IF('Inputs Yr 2'!$AJ182=BM$4,'Inputs Yr 2'!$AK182,IF('Inputs Yr 2'!$AL182=BM$4,'Inputs Yr 2'!$AM182,IF('Inputs Yr 2'!$AN182=BM$4,'Inputs Yr 2'!$AO182,0))))*(INDEX(avoidedcosttbl2,$H182,BM$2)+(($H182-ROUNDDOWN($H182,0))*(INDEX(avoidedcosttbl2,ROUNDUP($H182,0),BM$2)-(INDEX(avoidedcosttbl2,ROUNDDOWN($H182,0),BM$2)))))*'Inputs Yr 2'!P182*'Inputs Yr 2'!Q182*'Inputs Yr 2'!U182,"")</f>
        <v/>
      </c>
      <c r="BN182" s="195" t="str">
        <f>IFERROR($G182*(IF('Inputs Yr 2'!$AJ182=BN$4,'Inputs Yr 2'!$AK182,IF('Inputs Yr 2'!$AL182=BN$4,'Inputs Yr 2'!$AM182,IF('Inputs Yr 2'!$AN182=BN$4,'Inputs Yr 2'!$AO182,0))))*(INDEX(avoidedcosttbl2,$H182,BN$2)+(($H182-ROUNDDOWN($H182,0))*(INDEX(avoidedcosttbl2,ROUNDUP($H182,0),BN$2)-(INDEX(avoidedcosttbl2,ROUNDDOWN($H182,0),BN$2)))))*'Inputs Yr 2'!P182*'Inputs Yr 2'!Q182*'Inputs Yr 2'!U182,"")</f>
        <v/>
      </c>
      <c r="BO182" s="195" t="str">
        <f>IFERROR($G182*(IF('Inputs Yr 2'!$AJ182=BO$4,'Inputs Yr 2'!$AK182,IF('Inputs Yr 2'!$AL182=BO$4,'Inputs Yr 2'!$AM182,IF('Inputs Yr 2'!$AN182=BO$4,'Inputs Yr 2'!$AO182,0))))*(INDEX(avoidedcosttbl2,$H182,BO$2)+(($H182-ROUNDDOWN($H182,0))*(INDEX(avoidedcosttbl2,ROUNDUP($H182,0),BO$2)-(INDEX(avoidedcosttbl2,ROUNDDOWN($H182,0),BO$2)))))*'Inputs Yr 2'!P182*'Inputs Yr 2'!Q182*'Inputs Yr 2'!U182,"")</f>
        <v/>
      </c>
      <c r="BP182" s="195" t="str">
        <f>IFERROR($G182*(IF('Inputs Yr 2'!$AJ182=BP$4,'Inputs Yr 2'!$AK182,IF('Inputs Yr 2'!$AL182=BP$4,'Inputs Yr 2'!$AM182,IF('Inputs Yr 2'!$AN182=BP$4,'Inputs Yr 2'!$AO182,0))))*(INDEX(avoidedcosttbl2,$H182,BP$2)+(($H182-ROUNDDOWN($H182,0))*(INDEX(avoidedcosttbl2,ROUNDUP($H182,0),BP$2)-(INDEX(avoidedcosttbl2,ROUNDDOWN($H182,0),BP$2)))))*'Inputs Yr 2'!P182*'Inputs Yr 2'!Q182*'Inputs Yr 2'!U182,"")</f>
        <v/>
      </c>
      <c r="BQ182" s="230">
        <f t="shared" si="98"/>
        <v>0</v>
      </c>
      <c r="BR182" s="197">
        <f t="shared" si="82"/>
        <v>0</v>
      </c>
      <c r="BS182" s="197" t="str">
        <f>IFERROR(($G182*IF('Inputs Yr 2'!$AJ182=BM$4,'Inputs Yr 2'!$AK182,IF('Inputs Yr 2'!$AL182=BM$4,'Inputs Yr 2'!$AM182,IF('Inputs Yr 2'!$AN182=BM$4,'Inputs Yr 2'!$AO182,0))))*(INDEX(avoidedcosttbl2,$H182,BS$2)+(($H182-ROUNDDOWN($H182,0))*(INDEX(avoidedcosttbl2,ROUNDUP($H182,0),BS$2)-(INDEX(avoidedcosttbl2,ROUNDDOWN($H182,0),BS$2)))))*'Inputs Yr 2'!P182*'Inputs Yr 2'!Q182*'Inputs Yr 2'!U182,"")</f>
        <v/>
      </c>
      <c r="BT182" s="197" t="str">
        <f>IFERROR(($G182*IF('Inputs Yr 2'!$AJ182=BK$4,'Inputs Yr 2'!$AK182,IF('Inputs Yr 2'!$AL182=BK$4,'Inputs Yr 2'!$AM182,IF('Inputs Yr 2'!$AN182=BK$4,'Inputs Yr 2'!$AO182,0))))*(INDEX(avoidedcosttbl2,$H182,BT$2)+(($H182-ROUNDDOWN($H182,0))*(INDEX(avoidedcosttbl2,ROUNDUP($H182,0),BT$2)-(INDEX(avoidedcosttbl2,ROUNDDOWN($H182,0),BT$2)))))*'Inputs Yr 2'!P182*'Inputs Yr 2'!Q182*'Inputs Yr 2'!U182,"")</f>
        <v/>
      </c>
      <c r="BU182" s="197" t="str">
        <f>IFERROR(($G182*IF('Inputs Yr 2'!$AJ182=BL$4,'Inputs Yr 2'!$AK182,IF('Inputs Yr 2'!$AL182=BL$4,'Inputs Yr 2'!$AM182,IF('Inputs Yr 2'!$AN182=BL$4,'Inputs Yr 2'!$AO182,0))))*(INDEX(avoidedcosttbl2,$H182,BU$2)+(($H182-ROUNDDOWN($H182,0))*(INDEX(avoidedcosttbl2,ROUNDUP($H182,0),BU$2)-(INDEX(avoidedcosttbl2,ROUNDDOWN($H182,0),BU$2)))))*'Inputs Yr 2'!P182*'Inputs Yr 2'!Q182*'Inputs Yr 2'!U182,"")</f>
        <v/>
      </c>
      <c r="BV182" s="775" t="str">
        <f>IFERROR(($G182*IF('Inputs Yr 2'!$AJ182=BJ$4,'Inputs Yr 2'!$AK182,IF('Inputs Yr 2'!$AL182=BJ$4,'Inputs Yr 2'!$AM182,IF('Inputs Yr 2'!$AN182=BJ$4,'Inputs Yr 2'!$AO182,0))))*(INDEX(avoidedcosttbl2,$H182,BV$2)+(($H182-ROUNDDOWN($H182,0))*(INDEX(avoidedcosttbl2,ROUNDUP($H182,0),BV$2)-(INDEX(avoidedcosttbl2,ROUNDDOWN($H182,0),BV$2)))))*'Inputs Yr 2'!P182*'Inputs Yr 2'!Q182*'Inputs Yr 2'!U182,"")</f>
        <v/>
      </c>
      <c r="BW182" s="197" t="str">
        <f>IFERROR(($G182*IF('Inputs Yr 2'!$AJ182=BN$4,'Inputs Yr 2'!$AK182,IF('Inputs Yr 2'!$AL182=BN$4,'Inputs Yr 2'!$AM182,IF('Inputs Yr 2'!$AN182=BN$4,'Inputs Yr 2'!$AO182,0))))*(INDEX(avoidedcosttbl2,$H182,BW$2)+(($H182-ROUNDDOWN($H182,0))*(INDEX(avoidedcosttbl2,ROUNDUP($H182,0),BW$2)-(INDEX(avoidedcosttbl2,ROUNDDOWN($H182,0),BW$2)))))*'Inputs Yr 2'!P182*'Inputs Yr 2'!Q182*'Inputs Yr 2'!U182,"")</f>
        <v/>
      </c>
      <c r="BX182" s="197" t="str">
        <f>IFERROR(($G182*IF('Inputs Yr 2'!$AJ182=BO$4,'Inputs Yr 2'!$AK182,IF('Inputs Yr 2'!$AL182=BO$4,'Inputs Yr 2'!$AM182,IF('Inputs Yr 2'!$AN182=BO$4,'Inputs Yr 2'!$AO182,0))))*(INDEX(avoidedcosttbl2,$H182,BX$2)+(($H182-ROUNDDOWN($H182,0))*(INDEX(avoidedcosttbl2,ROUNDUP($H182,0),BX$2)-(INDEX(avoidedcosttbl2,ROUNDDOWN($H182,0),BX$2)))))*'Inputs Yr 2'!P182*'Inputs Yr 2'!Q182*'Inputs Yr 2'!U182,"")</f>
        <v/>
      </c>
      <c r="BY182" s="197" t="str">
        <f>IFERROR(($G182*IF('Inputs Yr 2'!$AJ182=BP$4,'Inputs Yr 2'!$AK182,IF('Inputs Yr 2'!$AL182=BP$4,'Inputs Yr 2'!$AM182,IF('Inputs Yr 2'!$AN182=BP$4,'Inputs Yr 2'!$AO182,0))))*(INDEX(avoidedcosttbl2,$H182,BY$2)+(($H182-ROUNDDOWN($H182,0))*(INDEX(avoidedcosttbl2,ROUNDUP($H182,0),BY$2)-(INDEX(avoidedcosttbl2,ROUNDDOWN($H182,0),BY$2)))))*'Inputs Yr 2'!P182*'Inputs Yr 2'!Q182*'Inputs Yr 2'!U182,"")</f>
        <v/>
      </c>
      <c r="BZ182" s="193">
        <f t="shared" si="99"/>
        <v>0</v>
      </c>
      <c r="CA182" s="193">
        <f t="shared" si="100"/>
        <v>0</v>
      </c>
      <c r="CB182" s="195" t="str">
        <f>IFERROR(G182*(IF('Inputs Yr 2'!$AJ182=CB$4,'Inputs Yr 2'!$AK182,IF('Inputs Yr 2'!$AL182=CB$4,'Inputs Yr 2'!$AM182,IF('Inputs Yr 2'!$AN182=CB$4,'Inputs Yr 2'!$AO182,0))))*(INDEX(avoidedcosttbl2,$H182,CB$2)+(($H182-ROUNDDOWN($H182,0))*(INDEX(avoidedcosttbl2,ROUNDUP($H182,0),CB$2)-(INDEX(avoidedcosttbl2,ROUNDDOWN($H182,0),CB$2)))))*'Inputs Yr 2'!P182*'Inputs Yr 2'!Q182*'Inputs Yr 2'!U182,"")</f>
        <v/>
      </c>
      <c r="CC182" s="195">
        <f>IFERROR(H182*(IF('Inputs Yr 2'!$AJ182=CC$4,'Inputs Yr 2'!$AK182,IF('Inputs Yr 2'!$AL182=CC$4,'Inputs Yr 2'!$AM182,IF('Inputs Yr 2'!$AN182=CC$4,'Inputs Yr 2'!$AO182,0))))*(INDEX(avoidedcosttbl2,$H182,CC$2)+(($H182-ROUNDDOWN($H182,0))*(INDEX(avoidedcosttbl2,ROUNDUP($H182,0),CC$2)-(INDEX(avoidedcosttbl2,ROUNDDOWN($H182,0),CC$2)))))*'Inputs Yr 2'!Q182*'Inputs Yr 2'!R182*'Inputs Yr 2'!V182,"")</f>
        <v>0</v>
      </c>
      <c r="CD182" s="195" t="str">
        <f>IFERROR(I182*(IF('Inputs Yr 2'!$AJ182=CD$4,'Inputs Yr 2'!$AK182,IF('Inputs Yr 2'!$AL182=CD$4,'Inputs Yr 2'!$AM182,IF('Inputs Yr 2'!$AN182=CD$4,'Inputs Yr 2'!$AO182,0))))*(INDEX(avoidedcosttbl2,$H182,CD$2)+(($H182-ROUNDDOWN($H182,0))*(INDEX(avoidedcosttbl2,ROUNDUP($H182,0),CD$2)-(INDEX(avoidedcosttbl2,ROUNDDOWN($H182,0),CD$2)))))*'Inputs Yr 2'!R182*'Inputs Yr 2'!S182*'Inputs Yr 2'!W182,"")</f>
        <v/>
      </c>
      <c r="CE182" s="213">
        <f t="shared" si="101"/>
        <v>0</v>
      </c>
      <c r="CF182" s="213">
        <f t="shared" si="102"/>
        <v>0</v>
      </c>
      <c r="CG182" s="213">
        <f t="shared" si="103"/>
        <v>0</v>
      </c>
      <c r="CH182" s="698">
        <f t="shared" si="104"/>
        <v>0</v>
      </c>
      <c r="CI182" s="79" t="str">
        <f>IFERROR(($G182*'Inputs Yr 2'!$P182*'Inputs Yr 2'!$Q182*(((INDEX(avoidedcosttbl2,$H182,CI$2)+(($H182-ROUNDDOWN($H182,0))*(INDEX(avoidedcosttbl2,ROUNDUP($H182,0),CI$2)-INDEX(avoidedcosttbl2,ROUNDDOWN($H182,0),CI$2))))*'Inputs Yr 2'!AS182))),"")</f>
        <v/>
      </c>
      <c r="CJ182" s="504" t="str">
        <f>IFERROR($G182*'Inputs Yr 2'!AT182*'Inputs Yr 2'!$P182*'Inputs Yr 2'!$Q182/((1+realdiscrt1)^-0.5),"")</f>
        <v/>
      </c>
      <c r="CK182" s="79" t="str">
        <f>IFERROR((O182*1000*(((INDEX(avoidedcosttbl2,$H182,CK$2)+(($H182-ROUNDDOWN($H182,0))*(INDEX(avoidedcosttbl2,ROUNDUP($H182,0),CK$2)-INDEX(avoidedcosttbl2,ROUNDDOWN($H182,0),CK$2))))*'Inputs Yr 2'!AU182))),"")</f>
        <v/>
      </c>
      <c r="CL182" s="504" t="str">
        <f>IFERROR(O182*1000*'Inputs Yr 2'!AV182/((1+realdiscrt1)^-0.5),"")</f>
        <v/>
      </c>
      <c r="CM182" s="79">
        <f>IFERROR((AB182*'Inputs Yr 2'!AW182*(((INDEX(avoidedcosttbl2,$H182,CM$2)+(($H182-ROUNDDOWN($H182,0))*(INDEX(avoidedcosttbl2,ROUNDUP($H182,0),CM$2)-INDEX(avoidedcosttbl2,ROUNDDOWN($H182,0),CM$2)))))))*10,"")</f>
        <v>0</v>
      </c>
      <c r="CN182" s="504">
        <f>IFERROR(10*AB182*'Inputs Yr 2'!AX182/((1+realdiscrt1)^-0.5),"")</f>
        <v>0</v>
      </c>
      <c r="CO182" s="505">
        <f t="shared" si="105"/>
        <v>0</v>
      </c>
      <c r="CP182" s="230">
        <f t="shared" si="106"/>
        <v>0</v>
      </c>
      <c r="CQ182" s="199">
        <f>ROUND(IFERROR(IF(LEFT($A182,1)="C",'Avoided Costs'!$K$13,'Avoided Costs'!$K$12)+1,""),4)</f>
        <v>1.0720000000000001</v>
      </c>
      <c r="CR182" s="199">
        <f>ROUND(IFERROR(IF(LEFT($A182,1)="C",'Avoided Costs'!$L$13,'Avoided Costs'!$L$12)+1,""),4)</f>
        <v>1.04</v>
      </c>
      <c r="CS182" s="199">
        <f>ROUND(IFERROR(IF(LEFT($A182,1)="C",'Avoided Costs'!$M$13,'Avoided Costs'!$M$12)+1,""),4)</f>
        <v>1.0720000000000001</v>
      </c>
      <c r="CT182" s="199">
        <f>ROUND(IFERROR(IF(LEFT($A182,1)="C",'Avoided Costs'!$N$13,'Avoided Costs'!$N$12)+1,""),4)</f>
        <v>1.04</v>
      </c>
      <c r="CU182" s="199">
        <f>ROUND(IFERROR(IF(LEFT($A182,1)="C",'Avoided Costs'!$O$13,'Avoided Costs'!$O$12)+1,""),4)</f>
        <v>1.1120000000000001</v>
      </c>
      <c r="CV182" s="199">
        <f>ROUND(IFERROR(IF(LEFT($A182,1)="C",'Avoided Costs'!$P$13,'Avoided Costs'!$P$12)+1,""),4)</f>
        <v>1.095</v>
      </c>
      <c r="CW182" s="199">
        <f>ROUND(IFERROR(IF(LEFT($A182,1)="C",'Avoided Costs'!$Q$13,'Avoided Costs'!$Q$12)+1,""),4)</f>
        <v>1.1120000000000001</v>
      </c>
      <c r="CX182" s="200">
        <f>ROUND(IFERROR(IF(LEFT($A182,1)="C",'Avoided Costs'!$R$13,'Avoided Costs'!$R$12)+1,""),4)</f>
        <v>1.1120000000000001</v>
      </c>
    </row>
    <row r="183" spans="1:102" ht="12.75" customHeight="1">
      <c r="A183" s="91" t="str">
        <f>IF('Inputs Yr 2'!$B183=0,"",'Inputs Yr 2'!A183)</f>
        <v>C - Commercial &amp; Industrial</v>
      </c>
      <c r="B183" s="91" t="str">
        <f>IF('Inputs Yr 2'!$B183=0,"",'Inputs Yr 2'!B183)</f>
        <v>C1 - C&amp;I New Construction</v>
      </c>
      <c r="C183" s="91" t="str">
        <f>IF('Inputs Yr 2'!$B183=0,"",'Inputs Yr 2'!C183)</f>
        <v>C1a - C&amp;I New Buildings &amp; Major Renovations</v>
      </c>
      <c r="D183" s="91" t="str">
        <f>IF('Inputs Yr 2'!$B183=0,"",'Inputs Yr 2'!E183)</f>
        <v>Condensing Boiler 500-999 mbh  (.90 TE)</v>
      </c>
      <c r="E183" s="93" t="str">
        <f>IF('Inputs Yr 2'!$B183=0,"",'Inputs Yr 2'!F183)</f>
        <v>G16C1a26</v>
      </c>
      <c r="F183" s="93" t="str">
        <f>IF('Inputs Yr 2'!$B183=0,"",'Inputs Yr 2'!G183)</f>
        <v>HVAC</v>
      </c>
      <c r="G183" s="95">
        <f>IF('Inputs Yr 2'!$H183&lt;&gt;0,('Inputs Yr 2'!H183),"")</f>
        <v>4</v>
      </c>
      <c r="H183" s="94">
        <f>IFERROR('Inputs Yr 2'!I183,"")</f>
        <v>25</v>
      </c>
      <c r="I183" s="298">
        <f>IFERROR('Inputs Yr 2'!J183*'Inputs Yr 2'!P183*G183,"")</f>
        <v>17180.568000000003</v>
      </c>
      <c r="J183" s="298">
        <f>IFERROR('Inputs Yr 2'!K183*G183,"")</f>
        <v>16000</v>
      </c>
      <c r="K183" s="298">
        <f t="shared" si="83"/>
        <v>1180.5680000000029</v>
      </c>
      <c r="L183" s="194">
        <f>IFERROR(('Inputs Yr 2'!W183*G183)/1000,"")</f>
        <v>0</v>
      </c>
      <c r="M183" s="194">
        <f>IFERROR(L183*('Inputs Yr 2'!$Q183*'Inputs Yr 2'!$V183*'Inputs Yr 2'!$R183),"")</f>
        <v>0</v>
      </c>
      <c r="N183" s="194">
        <f t="shared" si="84"/>
        <v>0</v>
      </c>
      <c r="O183" s="194">
        <f>IFERROR(M183*'Inputs Yr 2'!P183,"")</f>
        <v>0</v>
      </c>
      <c r="P183" s="194">
        <f t="shared" si="85"/>
        <v>0</v>
      </c>
      <c r="Q183" s="194">
        <f>IFERROR($P183*'Inputs Yr 2'!AA183,"")</f>
        <v>0</v>
      </c>
      <c r="R183" s="194">
        <f>IFERROR($P183*'Inputs Yr 2'!AB183,"")</f>
        <v>0</v>
      </c>
      <c r="S183" s="194">
        <f>IFERROR($P183*'Inputs Yr 2'!AC183,"")</f>
        <v>0</v>
      </c>
      <c r="T183" s="194">
        <f>IFERROR($P183*'Inputs Yr 2'!AD183,"")</f>
        <v>0</v>
      </c>
      <c r="U183" s="194">
        <f>IFERROR(G183*'Inputs Yr 2'!$AE183*'Inputs Yr 2'!$P183*'Inputs Yr 2'!$Q183,"")</f>
        <v>0</v>
      </c>
      <c r="V183" s="194">
        <f>IFERROR($G183*'Inputs Yr 2'!$AE183*'Inputs Yr 2'!$AG183*'Inputs Yr 2'!Q183*'Inputs Yr 2'!$S183,"")</f>
        <v>0</v>
      </c>
      <c r="W183" s="194">
        <f>IFERROR($G183*'Inputs Yr 2'!$AE183*'Inputs Yr 2'!$AG183*'Inputs Yr 2'!P183*'Inputs Yr 2'!Q183*'Inputs Yr 2'!$S183,"")</f>
        <v>0</v>
      </c>
      <c r="X183" s="194">
        <f>IFERROR($G183*'Inputs Yr 2'!$AE183*'Inputs Yr 2'!$AF183*'Inputs Yr 2'!Q183*'Inputs Yr 2'!$T183,"")</f>
        <v>0</v>
      </c>
      <c r="Y183" s="194">
        <f>IFERROR($G183*'Inputs Yr 2'!$AE183*'Inputs Yr 2'!$AF183*'Inputs Yr 2'!P183*'Inputs Yr 2'!Q183*'Inputs Yr 2'!$T183,"")</f>
        <v>0</v>
      </c>
      <c r="Z183" s="257">
        <f>IFERROR($G183*'Inputs Yr 2'!$Q183*'Inputs Yr 2'!$U183*(IF(IFERROR(SEARCH("NG", 'Inputs Yr 2'!$AJ183),0),'Inputs Yr 2'!$AK183,0)+IF(IFERROR(SEARCH("NG", 'Inputs Yr 2'!$AL183),0),'Inputs Yr 2'!$AM183,0)+IF(IFERROR(SEARCH("NG", 'Inputs Yr 2'!$AN183),0),'Inputs Yr 2'!$AO183,0)),0)</f>
        <v>205.6</v>
      </c>
      <c r="AA183" s="257">
        <f t="shared" si="86"/>
        <v>5140</v>
      </c>
      <c r="AB183" s="257">
        <f>IFERROR(Z183*'Inputs Yr 2'!$P183,0)</f>
        <v>173.9376</v>
      </c>
      <c r="AC183" s="257">
        <f t="shared" si="87"/>
        <v>4348.4400000000005</v>
      </c>
      <c r="AD183" s="257">
        <f>IFERROR($G183*'Inputs Yr 2'!$Q183*'Inputs Yr 2'!$U183*(IF(IFERROR(SEARCH("Oil", 'Inputs Yr 2'!$AJ183), 0),'Inputs Yr 2'!$AK183,0)+IF(IFERROR(SEARCH("Oil", 'Inputs Yr 2'!$AL183), 0),'Inputs Yr 2'!$AM183,0)+IF(IFERROR(SEARCH("Oil", 'Inputs Yr 2'!$AN183), 0),'Inputs Yr 2'!$AO183,0)),0)</f>
        <v>0</v>
      </c>
      <c r="AE183" s="257">
        <f t="shared" si="88"/>
        <v>0</v>
      </c>
      <c r="AF183" s="257">
        <f>IFERROR(AD183*'Inputs Yr 2'!$P183,0)</f>
        <v>0</v>
      </c>
      <c r="AG183" s="257">
        <f t="shared" si="89"/>
        <v>0</v>
      </c>
      <c r="AH183" s="257">
        <f>IFERROR($G183*'Inputs Yr 2'!$Q183*'Inputs Yr 2'!$U183*(IF('Inputs Yr 2'!$AJ183=CD$4,'Inputs Yr 2'!$AK183,IF('Inputs Yr 2'!$AL183=CD$4,'Inputs Yr 2'!$AM183,IF('Inputs Yr 2'!$AN183=CD$4,'Inputs Yr 2'!$AO183,0)))),0)</f>
        <v>0</v>
      </c>
      <c r="AI183" s="257">
        <f t="shared" si="90"/>
        <v>0</v>
      </c>
      <c r="AJ183" s="257">
        <f>IFERROR(AH183*'Inputs Yr 2'!$P183,0)</f>
        <v>0</v>
      </c>
      <c r="AK183" s="257">
        <f t="shared" si="91"/>
        <v>0</v>
      </c>
      <c r="AL183" s="258">
        <f>IFERROR($G183*'Inputs Yr 2'!$P183*'Inputs Yr 2'!$Q183*'Inputs Yr 2'!AP183,0)</f>
        <v>0</v>
      </c>
      <c r="AM183" s="260">
        <f>IFERROR($G183*'Inputs Yr 2'!$P183*'Inputs Yr 2'!$Q183*'Inputs Yr 2'!AQ183,0)</f>
        <v>0</v>
      </c>
      <c r="AN183" s="258">
        <f>IFERROR($G183*'Inputs Yr 2'!$P183*'Inputs Yr 2'!$Q183*'Inputs Yr 2'!AR183,0)</f>
        <v>0</v>
      </c>
      <c r="AO183" s="257">
        <f t="shared" si="92"/>
        <v>0</v>
      </c>
      <c r="AP183" s="195">
        <f>IFERROR($CQ183*(INDEX(avoidedcosttbl2,$H183,AP$2)+(($H183-ROUNDDOWN($H183,0))*(INDEX(avoidedcosttbl2,ROUNDUP($H183,0),AP$2)-(INDEX(avoidedcosttbl2,ROUNDDOWN($H183,0),AP$2)))))*$O183*1000*'Inputs Yr 2'!AA183,"")</f>
        <v>0</v>
      </c>
      <c r="AQ183" s="195">
        <f>IFERROR($CR183*(INDEX(avoidedcosttbl2,$H183,AQ$2)+(($H183-ROUNDDOWN($H183,0))*(INDEX(avoidedcosttbl2,ROUNDUP($H183,0),AQ$2)-(INDEX(avoidedcosttbl2,ROUNDDOWN($H183,0),AQ$2)))))*$O183*1000*'Inputs Yr 2'!AB183,"")</f>
        <v>0</v>
      </c>
      <c r="AR183" s="195">
        <f>IFERROR($CS183*(INDEX(avoidedcosttbl2,$H183,AR$2)+(($H183-ROUNDDOWN($H183,0))*(INDEX(avoidedcosttbl2,ROUNDUP($H183,0),AR$2)-(INDEX(avoidedcosttbl2,ROUNDDOWN($H183,0),AR$2)))))*$O183*1000*'Inputs Yr 2'!AC183,"")</f>
        <v>0</v>
      </c>
      <c r="AS183" s="195">
        <f>IFERROR($CT183*(INDEX(avoidedcosttbl2,$H183,AS$2)+(($H183-ROUNDDOWN($H183,0))*(INDEX(avoidedcosttbl2,ROUNDUP($H183,0),AS$2)-(INDEX(avoidedcosttbl2,ROUNDDOWN($H183,0),AS$2)))))*$O183*1000*'Inputs Yr 2'!AD183,"")</f>
        <v>0</v>
      </c>
      <c r="AT183" s="196">
        <f t="shared" si="93"/>
        <v>0</v>
      </c>
      <c r="AU183" s="197">
        <f>IFERROR($CQ183*((INDEX(avoidedcosttbl2,$H183,AU$2))+(($H183-ROUNDDOWN($H183,0))*((INDEX(avoidedcosttbl2,ROUNDUP($H183,0),AU$2))-(INDEX(avoidedcosttbl2,ROUNDDOWN($H183,0),AU$2)))))*$O183*1000*'Inputs Yr 2'!AA183,"")</f>
        <v>0</v>
      </c>
      <c r="AV183" s="197">
        <f>IFERROR($CR183*((INDEX(avoidedcosttbl2,$H183,AV$2))+(($H183-ROUNDDOWN($H183,0))*((INDEX(avoidedcosttbl2,ROUNDUP($H183,0),AV$2))-(INDEX(avoidedcosttbl2,ROUNDDOWN($H183,0),AV$2)))))*$O183*1000*'Inputs Yr 2'!AB183,"")</f>
        <v>0</v>
      </c>
      <c r="AW183" s="197">
        <f>IFERROR($CS183*((INDEX(avoidedcosttbl2,$H183,AW$2))+(($H183-ROUNDDOWN($H183,0))*((INDEX(avoidedcosttbl2,ROUNDUP($H183,0),AW$2))-(INDEX(avoidedcosttbl2,ROUNDDOWN($H183,0),AW$2)))))*$O183*1000*'Inputs Yr 2'!AC183,"")</f>
        <v>0</v>
      </c>
      <c r="AX183" s="197">
        <f>IFERROR($CT183*((INDEX(avoidedcosttbl2,$H183,AX$2))+(($H183-ROUNDDOWN($H183,0))*((INDEX(avoidedcosttbl2,ROUNDUP($H183,0),AX$2))-(INDEX(avoidedcosttbl2,ROUNDDOWN($H183,0),AX$2)))))*$O183*1000*'Inputs Yr 2'!AD183,"")</f>
        <v>0</v>
      </c>
      <c r="AY183" s="197">
        <f>IFERROR(((INDEX(avoidedcosttbl2,$H183,AY$2))+(($H183-ROUNDDOWN($H183,0))*((INDEX(avoidedcosttbl2,ROUNDUP($H183,0),AY$2))-(INDEX(avoidedcosttbl2,ROUNDDOWN($H183,0),AY$2)))))*$O183*1000*('Inputs Yr 2'!AC183+'Inputs Yr 2'!AD183),"")</f>
        <v>0</v>
      </c>
      <c r="AZ183" s="197">
        <f>IFERROR(((INDEX(avoidedcosttbl2,$H183,AZ$2))+(($H183-ROUNDDOWN($H183,0))*((INDEX(avoidedcosttbl2,ROUNDUP($H183,0),AZ$2))-(INDEX(avoidedcosttbl2,ROUNDDOWN($H183,0),AZ$2)))))*$O183*1000*('Inputs Yr 2'!AA183+'Inputs Yr 2'!AB183),"")</f>
        <v>0</v>
      </c>
      <c r="BA183" s="198">
        <f t="shared" si="94"/>
        <v>0</v>
      </c>
      <c r="BB183" s="198">
        <f t="shared" si="95"/>
        <v>0</v>
      </c>
      <c r="BC183" s="195">
        <f t="shared" si="77"/>
        <v>0</v>
      </c>
      <c r="BD183" s="195">
        <f t="shared" si="78"/>
        <v>0</v>
      </c>
      <c r="BE183" s="195">
        <f t="shared" si="79"/>
        <v>0</v>
      </c>
      <c r="BF183" s="195">
        <f t="shared" si="80"/>
        <v>0</v>
      </c>
      <c r="BG183" s="195">
        <f t="shared" si="81"/>
        <v>0</v>
      </c>
      <c r="BH183" s="196">
        <f t="shared" si="96"/>
        <v>0</v>
      </c>
      <c r="BI183" s="196">
        <f t="shared" si="97"/>
        <v>0</v>
      </c>
      <c r="BJ183" s="195">
        <f>IFERROR($G183*(IF('Inputs Yr 2'!$AJ183=BJ$4,'Inputs Yr 2'!$AK183,IF('Inputs Yr 2'!$AL183=BJ$4,'Inputs Yr 2'!$AM183,IF('Inputs Yr 2'!$AN183=BJ$4,'Inputs Yr 2'!$AO183,0))))*(INDEX(avoidedcosttbl2,$H183,BJ$2)+(($H183-ROUNDDOWN($H183,0))*(INDEX(avoidedcosttbl2,ROUNDUP($H183,0),BJ$2)-(INDEX(avoidedcosttbl2,ROUNDDOWN($H183,0),BJ$2)))))*'Inputs Yr 2'!P183*'Inputs Yr 2'!Q183*'Inputs Yr 2'!U183,"")</f>
        <v>0</v>
      </c>
      <c r="BK183" s="195">
        <f>IFERROR($G183*(IF('Inputs Yr 2'!$AJ183=BK$4,'Inputs Yr 2'!$AK183,IF('Inputs Yr 2'!$AL183=BK$4,'Inputs Yr 2'!$AM183,IF('Inputs Yr 2'!$AN183=BK$4,'Inputs Yr 2'!$AO183,0))))*(INDEX(avoidedcosttbl2,$H183,BK$2)+(($H183-ROUNDDOWN($H183,0))*(INDEX(avoidedcosttbl2,ROUNDUP($H183,0),BK$2)-(INDEX(avoidedcosttbl2,ROUNDDOWN($H183,0),BK$2)))))*'Inputs Yr 2'!P183*'Inputs Yr 2'!Q183*'Inputs Yr 2'!U183,"")</f>
        <v>0</v>
      </c>
      <c r="BL183" s="195">
        <f>IFERROR($G183*(IF('Inputs Yr 2'!$AJ183=BL$4,'Inputs Yr 2'!$AK183,IF('Inputs Yr 2'!$AL183=BL$4,'Inputs Yr 2'!$AM183,IF('Inputs Yr 2'!$AN183=BL$4,'Inputs Yr 2'!$AO183,0))))*(INDEX(avoidedcosttbl2,$H183,BL$2)+(($H183-ROUNDDOWN($H183,0))*(INDEX(avoidedcosttbl2,ROUNDUP($H183,0),BL$2)-(INDEX(avoidedcosttbl2,ROUNDDOWN($H183,0),BL$2)))))*'Inputs Yr 2'!P183*'Inputs Yr 2'!Q183*'Inputs Yr 2'!U183,"")</f>
        <v>0</v>
      </c>
      <c r="BM183" s="195">
        <f>IFERROR($G183*(IF('Inputs Yr 2'!$AJ183=BM$4,'Inputs Yr 2'!$AK183,IF('Inputs Yr 2'!$AL183=BM$4,'Inputs Yr 2'!$AM183,IF('Inputs Yr 2'!$AN183=BM$4,'Inputs Yr 2'!$AO183,0))))*(INDEX(avoidedcosttbl2,$H183,BM$2)+(($H183-ROUNDDOWN($H183,0))*(INDEX(avoidedcosttbl2,ROUNDUP($H183,0),BM$2)-(INDEX(avoidedcosttbl2,ROUNDDOWN($H183,0),BM$2)))))*'Inputs Yr 2'!P183*'Inputs Yr 2'!Q183*'Inputs Yr 2'!U183,"")</f>
        <v>0</v>
      </c>
      <c r="BN183" s="195">
        <f>IFERROR($G183*(IF('Inputs Yr 2'!$AJ183=BN$4,'Inputs Yr 2'!$AK183,IF('Inputs Yr 2'!$AL183=BN$4,'Inputs Yr 2'!$AM183,IF('Inputs Yr 2'!$AN183=BN$4,'Inputs Yr 2'!$AO183,0))))*(INDEX(avoidedcosttbl2,$H183,BN$2)+(($H183-ROUNDDOWN($H183,0))*(INDEX(avoidedcosttbl2,ROUNDUP($H183,0),BN$2)-(INDEX(avoidedcosttbl2,ROUNDDOWN($H183,0),BN$2)))))*'Inputs Yr 2'!P183*'Inputs Yr 2'!Q183*'Inputs Yr 2'!U183,"")</f>
        <v>0</v>
      </c>
      <c r="BO183" s="195">
        <f>IFERROR($G183*(IF('Inputs Yr 2'!$AJ183=BO$4,'Inputs Yr 2'!$AK183,IF('Inputs Yr 2'!$AL183=BO$4,'Inputs Yr 2'!$AM183,IF('Inputs Yr 2'!$AN183=BO$4,'Inputs Yr 2'!$AO183,0))))*(INDEX(avoidedcosttbl2,$H183,BO$2)+(($H183-ROUNDDOWN($H183,0))*(INDEX(avoidedcosttbl2,ROUNDUP($H183,0),BO$2)-(INDEX(avoidedcosttbl2,ROUNDDOWN($H183,0),BO$2)))))*'Inputs Yr 2'!P183*'Inputs Yr 2'!Q183*'Inputs Yr 2'!U183,"")</f>
        <v>36028.607491406634</v>
      </c>
      <c r="BP183" s="195">
        <f>IFERROR($G183*(IF('Inputs Yr 2'!$AJ183=BP$4,'Inputs Yr 2'!$AK183,IF('Inputs Yr 2'!$AL183=BP$4,'Inputs Yr 2'!$AM183,IF('Inputs Yr 2'!$AN183=BP$4,'Inputs Yr 2'!$AO183,0))))*(INDEX(avoidedcosttbl2,$H183,BP$2)+(($H183-ROUNDDOWN($H183,0))*(INDEX(avoidedcosttbl2,ROUNDUP($H183,0),BP$2)-(INDEX(avoidedcosttbl2,ROUNDDOWN($H183,0),BP$2)))))*'Inputs Yr 2'!P183*'Inputs Yr 2'!Q183*'Inputs Yr 2'!U183,"")</f>
        <v>0</v>
      </c>
      <c r="BQ183" s="230">
        <f t="shared" si="98"/>
        <v>36028.607491406634</v>
      </c>
      <c r="BR183" s="197">
        <f t="shared" si="82"/>
        <v>576.78378906231694</v>
      </c>
      <c r="BS183" s="197">
        <f>IFERROR(($G183*IF('Inputs Yr 2'!$AJ183=BM$4,'Inputs Yr 2'!$AK183,IF('Inputs Yr 2'!$AL183=BM$4,'Inputs Yr 2'!$AM183,IF('Inputs Yr 2'!$AN183=BM$4,'Inputs Yr 2'!$AO183,0))))*(INDEX(avoidedcosttbl2,$H183,BS$2)+(($H183-ROUNDDOWN($H183,0))*(INDEX(avoidedcosttbl2,ROUNDUP($H183,0),BS$2)-(INDEX(avoidedcosttbl2,ROUNDDOWN($H183,0),BS$2)))))*'Inputs Yr 2'!P183*'Inputs Yr 2'!Q183*'Inputs Yr 2'!U183,"")</f>
        <v>0</v>
      </c>
      <c r="BT183" s="197">
        <f>IFERROR(($G183*IF('Inputs Yr 2'!$AJ183=BK$4,'Inputs Yr 2'!$AK183,IF('Inputs Yr 2'!$AL183=BK$4,'Inputs Yr 2'!$AM183,IF('Inputs Yr 2'!$AN183=BK$4,'Inputs Yr 2'!$AO183,0))))*(INDEX(avoidedcosttbl2,$H183,BT$2)+(($H183-ROUNDDOWN($H183,0))*(INDEX(avoidedcosttbl2,ROUNDUP($H183,0),BT$2)-(INDEX(avoidedcosttbl2,ROUNDDOWN($H183,0),BT$2)))))*'Inputs Yr 2'!P183*'Inputs Yr 2'!Q183*'Inputs Yr 2'!U183,"")</f>
        <v>0</v>
      </c>
      <c r="BU183" s="197">
        <f>IFERROR(($G183*IF('Inputs Yr 2'!$AJ183=BL$4,'Inputs Yr 2'!$AK183,IF('Inputs Yr 2'!$AL183=BL$4,'Inputs Yr 2'!$AM183,IF('Inputs Yr 2'!$AN183=BL$4,'Inputs Yr 2'!$AO183,0))))*(INDEX(avoidedcosttbl2,$H183,BU$2)+(($H183-ROUNDDOWN($H183,0))*(INDEX(avoidedcosttbl2,ROUNDUP($H183,0),BU$2)-(INDEX(avoidedcosttbl2,ROUNDDOWN($H183,0),BU$2)))))*'Inputs Yr 2'!P183*'Inputs Yr 2'!Q183*'Inputs Yr 2'!U183,"")</f>
        <v>0</v>
      </c>
      <c r="BV183" s="775">
        <f>IFERROR(($G183*IF('Inputs Yr 2'!$AJ183=BJ$4,'Inputs Yr 2'!$AK183,IF('Inputs Yr 2'!$AL183=BJ$4,'Inputs Yr 2'!$AM183,IF('Inputs Yr 2'!$AN183=BJ$4,'Inputs Yr 2'!$AO183,0))))*(INDEX(avoidedcosttbl2,$H183,BV$2)+(($H183-ROUNDDOWN($H183,0))*(INDEX(avoidedcosttbl2,ROUNDUP($H183,0),BV$2)-(INDEX(avoidedcosttbl2,ROUNDDOWN($H183,0),BV$2)))))*'Inputs Yr 2'!P183*'Inputs Yr 2'!Q183*'Inputs Yr 2'!U183,"")</f>
        <v>0</v>
      </c>
      <c r="BW183" s="197">
        <f>IFERROR(($G183*IF('Inputs Yr 2'!$AJ183=BN$4,'Inputs Yr 2'!$AK183,IF('Inputs Yr 2'!$AL183=BN$4,'Inputs Yr 2'!$AM183,IF('Inputs Yr 2'!$AN183=BN$4,'Inputs Yr 2'!$AO183,0))))*(INDEX(avoidedcosttbl2,$H183,BW$2)+(($H183-ROUNDDOWN($H183,0))*(INDEX(avoidedcosttbl2,ROUNDUP($H183,0),BW$2)-(INDEX(avoidedcosttbl2,ROUNDDOWN($H183,0),BW$2)))))*'Inputs Yr 2'!P183*'Inputs Yr 2'!Q183*'Inputs Yr 2'!U183,"")</f>
        <v>0</v>
      </c>
      <c r="BX183" s="197">
        <f>IFERROR(($G183*IF('Inputs Yr 2'!$AJ183=BO$4,'Inputs Yr 2'!$AK183,IF('Inputs Yr 2'!$AL183=BO$4,'Inputs Yr 2'!$AM183,IF('Inputs Yr 2'!$AN183=BO$4,'Inputs Yr 2'!$AO183,0))))*(INDEX(avoidedcosttbl2,$H183,BX$2)+(($H183-ROUNDDOWN($H183,0))*(INDEX(avoidedcosttbl2,ROUNDUP($H183,0),BX$2)-(INDEX(avoidedcosttbl2,ROUNDDOWN($H183,0),BX$2)))))*'Inputs Yr 2'!P183*'Inputs Yr 2'!Q183*'Inputs Yr 2'!U183,"")</f>
        <v>1619.8582778056696</v>
      </c>
      <c r="BY183" s="197">
        <f>IFERROR(($G183*IF('Inputs Yr 2'!$AJ183=BP$4,'Inputs Yr 2'!$AK183,IF('Inputs Yr 2'!$AL183=BP$4,'Inputs Yr 2'!$AM183,IF('Inputs Yr 2'!$AN183=BP$4,'Inputs Yr 2'!$AO183,0))))*(INDEX(avoidedcosttbl2,$H183,BY$2)+(($H183-ROUNDDOWN($H183,0))*(INDEX(avoidedcosttbl2,ROUNDUP($H183,0),BY$2)-(INDEX(avoidedcosttbl2,ROUNDDOWN($H183,0),BY$2)))))*'Inputs Yr 2'!P183*'Inputs Yr 2'!Q183*'Inputs Yr 2'!U183,"")</f>
        <v>0</v>
      </c>
      <c r="BZ183" s="193">
        <f t="shared" si="99"/>
        <v>2196.6420668679866</v>
      </c>
      <c r="CA183" s="193">
        <f t="shared" si="100"/>
        <v>38225.24955827462</v>
      </c>
      <c r="CB183" s="195">
        <f>IFERROR(G183*(IF('Inputs Yr 2'!$AJ183=CB$4,'Inputs Yr 2'!$AK183,IF('Inputs Yr 2'!$AL183=CB$4,'Inputs Yr 2'!$AM183,IF('Inputs Yr 2'!$AN183=CB$4,'Inputs Yr 2'!$AO183,0))))*(INDEX(avoidedcosttbl2,$H183,CB$2)+(($H183-ROUNDDOWN($H183,0))*(INDEX(avoidedcosttbl2,ROUNDUP($H183,0),CB$2)-(INDEX(avoidedcosttbl2,ROUNDDOWN($H183,0),CB$2)))))*'Inputs Yr 2'!P183*'Inputs Yr 2'!Q183*'Inputs Yr 2'!U183,"")</f>
        <v>0</v>
      </c>
      <c r="CC183" s="195">
        <f>IFERROR(H183*(IF('Inputs Yr 2'!$AJ183=CC$4,'Inputs Yr 2'!$AK183,IF('Inputs Yr 2'!$AL183=CC$4,'Inputs Yr 2'!$AM183,IF('Inputs Yr 2'!$AN183=CC$4,'Inputs Yr 2'!$AO183,0))))*(INDEX(avoidedcosttbl2,$H183,CC$2)+(($H183-ROUNDDOWN($H183,0))*(INDEX(avoidedcosttbl2,ROUNDUP($H183,0),CC$2)-(INDEX(avoidedcosttbl2,ROUNDDOWN($H183,0),CC$2)))))*'Inputs Yr 2'!Q183*'Inputs Yr 2'!R183*'Inputs Yr 2'!V183,"")</f>
        <v>0</v>
      </c>
      <c r="CD183" s="195">
        <f>IFERROR(I183*(IF('Inputs Yr 2'!$AJ183=CD$4,'Inputs Yr 2'!$AK183,IF('Inputs Yr 2'!$AL183=CD$4,'Inputs Yr 2'!$AM183,IF('Inputs Yr 2'!$AN183=CD$4,'Inputs Yr 2'!$AO183,0))))*(INDEX(avoidedcosttbl2,$H183,CD$2)+(($H183-ROUNDDOWN($H183,0))*(INDEX(avoidedcosttbl2,ROUNDUP($H183,0),CD$2)-(INDEX(avoidedcosttbl2,ROUNDDOWN($H183,0),CD$2)))))*'Inputs Yr 2'!R183*'Inputs Yr 2'!S183*'Inputs Yr 2'!W183,"")</f>
        <v>0</v>
      </c>
      <c r="CE183" s="213">
        <f t="shared" si="101"/>
        <v>0</v>
      </c>
      <c r="CF183" s="213">
        <f t="shared" si="102"/>
        <v>0</v>
      </c>
      <c r="CG183" s="213">
        <f t="shared" si="103"/>
        <v>0</v>
      </c>
      <c r="CH183" s="698">
        <f t="shared" si="104"/>
        <v>38225.24955827462</v>
      </c>
      <c r="CI183" s="79">
        <f>IFERROR(($G183*'Inputs Yr 2'!$P183*'Inputs Yr 2'!$Q183*(((INDEX(avoidedcosttbl2,$H183,CI$2)+(($H183-ROUNDDOWN($H183,0))*(INDEX(avoidedcosttbl2,ROUNDUP($H183,0),CI$2)-INDEX(avoidedcosttbl2,ROUNDDOWN($H183,0),CI$2))))*'Inputs Yr 2'!AS183))),"")</f>
        <v>0</v>
      </c>
      <c r="CJ183" s="504">
        <f>IFERROR($G183*'Inputs Yr 2'!AT183*'Inputs Yr 2'!$P183*'Inputs Yr 2'!$Q183/((1+realdiscrt1)^-0.5),"")</f>
        <v>0</v>
      </c>
      <c r="CK183" s="79">
        <f>IFERROR((O183*1000*(((INDEX(avoidedcosttbl2,$H183,CK$2)+(($H183-ROUNDDOWN($H183,0))*(INDEX(avoidedcosttbl2,ROUNDUP($H183,0),CK$2)-INDEX(avoidedcosttbl2,ROUNDDOWN($H183,0),CK$2))))*'Inputs Yr 2'!AU183))),"")</f>
        <v>0</v>
      </c>
      <c r="CL183" s="504">
        <f>IFERROR(O183*1000*'Inputs Yr 2'!AV183/((1+realdiscrt1)^-0.5),"")</f>
        <v>0</v>
      </c>
      <c r="CM183" s="79">
        <f>IFERROR((AB183*'Inputs Yr 2'!AW183*(((INDEX(avoidedcosttbl2,$H183,CM$2)+(($H183-ROUNDDOWN($H183,0))*(INDEX(avoidedcosttbl2,ROUNDUP($H183,0),CM$2)-INDEX(avoidedcosttbl2,ROUNDDOWN($H183,0),CM$2)))))))*10,"")</f>
        <v>-3294.6349038723365</v>
      </c>
      <c r="CN183" s="504">
        <f>IFERROR(10*AB183*'Inputs Yr 2'!AX183/((1+realdiscrt1)^-0.5),"")</f>
        <v>0</v>
      </c>
      <c r="CO183" s="505">
        <f t="shared" si="105"/>
        <v>-3294.6349038723365</v>
      </c>
      <c r="CP183" s="230">
        <f t="shared" si="106"/>
        <v>34930.614654402285</v>
      </c>
      <c r="CQ183" s="199">
        <f>ROUND(IFERROR(IF(LEFT($A183,1)="C",'Avoided Costs'!$K$13,'Avoided Costs'!$K$12)+1,""),4)</f>
        <v>1.0720000000000001</v>
      </c>
      <c r="CR183" s="199">
        <f>ROUND(IFERROR(IF(LEFT($A183,1)="C",'Avoided Costs'!$L$13,'Avoided Costs'!$L$12)+1,""),4)</f>
        <v>1.04</v>
      </c>
      <c r="CS183" s="199">
        <f>ROUND(IFERROR(IF(LEFT($A183,1)="C",'Avoided Costs'!$M$13,'Avoided Costs'!$M$12)+1,""),4)</f>
        <v>1.0720000000000001</v>
      </c>
      <c r="CT183" s="199">
        <f>ROUND(IFERROR(IF(LEFT($A183,1)="C",'Avoided Costs'!$N$13,'Avoided Costs'!$N$12)+1,""),4)</f>
        <v>1.04</v>
      </c>
      <c r="CU183" s="199">
        <f>ROUND(IFERROR(IF(LEFT($A183,1)="C",'Avoided Costs'!$O$13,'Avoided Costs'!$O$12)+1,""),4)</f>
        <v>1.1120000000000001</v>
      </c>
      <c r="CV183" s="199">
        <f>ROUND(IFERROR(IF(LEFT($A183,1)="C",'Avoided Costs'!$P$13,'Avoided Costs'!$P$12)+1,""),4)</f>
        <v>1.095</v>
      </c>
      <c r="CW183" s="199">
        <f>ROUND(IFERROR(IF(LEFT($A183,1)="C",'Avoided Costs'!$Q$13,'Avoided Costs'!$Q$12)+1,""),4)</f>
        <v>1.1120000000000001</v>
      </c>
      <c r="CX183" s="200">
        <f>ROUND(IFERROR(IF(LEFT($A183,1)="C",'Avoided Costs'!$R$13,'Avoided Costs'!$R$12)+1,""),4)</f>
        <v>1.1120000000000001</v>
      </c>
    </row>
    <row r="184" spans="1:102" ht="12.75" customHeight="1">
      <c r="A184" s="91" t="str">
        <f>IF('Inputs Yr 2'!$B184=0,"",'Inputs Yr 2'!A184)</f>
        <v>C - Commercial &amp; Industrial</v>
      </c>
      <c r="B184" s="91" t="str">
        <f>IF('Inputs Yr 2'!$B184=0,"",'Inputs Yr 2'!B184)</f>
        <v>C1 - C&amp;I New Construction</v>
      </c>
      <c r="C184" s="91" t="str">
        <f>IF('Inputs Yr 2'!$B184=0,"",'Inputs Yr 2'!C184)</f>
        <v>C1a - C&amp;I New Buildings &amp; Major Renovations</v>
      </c>
      <c r="D184" s="91" t="str">
        <f>IF('Inputs Yr 2'!$B184=0,"",'Inputs Yr 2'!E184)</f>
        <v>Condensing Boiler 1000-1700 mbh  (.90 TE)</v>
      </c>
      <c r="E184" s="93" t="str">
        <f>IF('Inputs Yr 2'!$B184=0,"",'Inputs Yr 2'!F184)</f>
        <v>G16C1a27</v>
      </c>
      <c r="F184" s="93" t="str">
        <f>IF('Inputs Yr 2'!$B184=0,"",'Inputs Yr 2'!G184)</f>
        <v>HVAC</v>
      </c>
      <c r="G184" s="95" t="str">
        <f>IF('Inputs Yr 2'!$H184&lt;&gt;0,('Inputs Yr 2'!H184),"")</f>
        <v/>
      </c>
      <c r="H184" s="94">
        <f>IFERROR('Inputs Yr 2'!I184,"")</f>
        <v>25</v>
      </c>
      <c r="I184" s="298" t="str">
        <f>IFERROR('Inputs Yr 2'!J184*'Inputs Yr 2'!P184*G184,"")</f>
        <v/>
      </c>
      <c r="J184" s="298" t="str">
        <f>IFERROR('Inputs Yr 2'!K184*G184,"")</f>
        <v/>
      </c>
      <c r="K184" s="298" t="str">
        <f t="shared" si="83"/>
        <v/>
      </c>
      <c r="L184" s="194" t="str">
        <f>IFERROR(('Inputs Yr 2'!W184*G184)/1000,"")</f>
        <v/>
      </c>
      <c r="M184" s="194" t="str">
        <f>IFERROR(L184*('Inputs Yr 2'!$Q184*'Inputs Yr 2'!$V184*'Inputs Yr 2'!$R184),"")</f>
        <v/>
      </c>
      <c r="N184" s="194" t="str">
        <f t="shared" si="84"/>
        <v/>
      </c>
      <c r="O184" s="194" t="str">
        <f>IFERROR(M184*'Inputs Yr 2'!P184,"")</f>
        <v/>
      </c>
      <c r="P184" s="194" t="str">
        <f t="shared" si="85"/>
        <v/>
      </c>
      <c r="Q184" s="194" t="str">
        <f>IFERROR($P184*'Inputs Yr 2'!AA184,"")</f>
        <v/>
      </c>
      <c r="R184" s="194" t="str">
        <f>IFERROR($P184*'Inputs Yr 2'!AB184,"")</f>
        <v/>
      </c>
      <c r="S184" s="194" t="str">
        <f>IFERROR($P184*'Inputs Yr 2'!AC184,"")</f>
        <v/>
      </c>
      <c r="T184" s="194" t="str">
        <f>IFERROR($P184*'Inputs Yr 2'!AD184,"")</f>
        <v/>
      </c>
      <c r="U184" s="194" t="str">
        <f>IFERROR(G184*'Inputs Yr 2'!$AE184*'Inputs Yr 2'!$P184*'Inputs Yr 2'!$Q184,"")</f>
        <v/>
      </c>
      <c r="V184" s="194" t="str">
        <f>IFERROR($G184*'Inputs Yr 2'!$AE184*'Inputs Yr 2'!$AG184*'Inputs Yr 2'!Q184*'Inputs Yr 2'!$S184,"")</f>
        <v/>
      </c>
      <c r="W184" s="194" t="str">
        <f>IFERROR($G184*'Inputs Yr 2'!$AE184*'Inputs Yr 2'!$AG184*'Inputs Yr 2'!P184*'Inputs Yr 2'!Q184*'Inputs Yr 2'!$S184,"")</f>
        <v/>
      </c>
      <c r="X184" s="194" t="str">
        <f>IFERROR($G184*'Inputs Yr 2'!$AE184*'Inputs Yr 2'!$AF184*'Inputs Yr 2'!Q184*'Inputs Yr 2'!$T184,"")</f>
        <v/>
      </c>
      <c r="Y184" s="194" t="str">
        <f>IFERROR($G184*'Inputs Yr 2'!$AE184*'Inputs Yr 2'!$AF184*'Inputs Yr 2'!P184*'Inputs Yr 2'!Q184*'Inputs Yr 2'!$T184,"")</f>
        <v/>
      </c>
      <c r="Z184" s="257">
        <f>IFERROR($G184*'Inputs Yr 2'!$Q184*'Inputs Yr 2'!$U184*(IF(IFERROR(SEARCH("NG", 'Inputs Yr 2'!$AJ184),0),'Inputs Yr 2'!$AK184,0)+IF(IFERROR(SEARCH("NG", 'Inputs Yr 2'!$AL184),0),'Inputs Yr 2'!$AM184,0)+IF(IFERROR(SEARCH("NG", 'Inputs Yr 2'!$AN184),0),'Inputs Yr 2'!$AO184,0)),0)</f>
        <v>0</v>
      </c>
      <c r="AA184" s="257">
        <f t="shared" si="86"/>
        <v>0</v>
      </c>
      <c r="AB184" s="257">
        <f>IFERROR(Z184*'Inputs Yr 2'!$P184,0)</f>
        <v>0</v>
      </c>
      <c r="AC184" s="257">
        <f t="shared" si="87"/>
        <v>0</v>
      </c>
      <c r="AD184" s="257">
        <f>IFERROR($G184*'Inputs Yr 2'!$Q184*'Inputs Yr 2'!$U184*(IF(IFERROR(SEARCH("Oil", 'Inputs Yr 2'!$AJ184), 0),'Inputs Yr 2'!$AK184,0)+IF(IFERROR(SEARCH("Oil", 'Inputs Yr 2'!$AL184), 0),'Inputs Yr 2'!$AM184,0)+IF(IFERROR(SEARCH("Oil", 'Inputs Yr 2'!$AN184), 0),'Inputs Yr 2'!$AO184,0)),0)</f>
        <v>0</v>
      </c>
      <c r="AE184" s="257">
        <f t="shared" si="88"/>
        <v>0</v>
      </c>
      <c r="AF184" s="257">
        <f>IFERROR(AD184*'Inputs Yr 2'!$P184,0)</f>
        <v>0</v>
      </c>
      <c r="AG184" s="257">
        <f t="shared" si="89"/>
        <v>0</v>
      </c>
      <c r="AH184" s="257">
        <f>IFERROR($G184*'Inputs Yr 2'!$Q184*'Inputs Yr 2'!$U184*(IF('Inputs Yr 2'!$AJ184=CD$4,'Inputs Yr 2'!$AK184,IF('Inputs Yr 2'!$AL184=CD$4,'Inputs Yr 2'!$AM184,IF('Inputs Yr 2'!$AN184=CD$4,'Inputs Yr 2'!$AO184,0)))),0)</f>
        <v>0</v>
      </c>
      <c r="AI184" s="257">
        <f t="shared" si="90"/>
        <v>0</v>
      </c>
      <c r="AJ184" s="257">
        <f>IFERROR(AH184*'Inputs Yr 2'!$P184,0)</f>
        <v>0</v>
      </c>
      <c r="AK184" s="257">
        <f t="shared" si="91"/>
        <v>0</v>
      </c>
      <c r="AL184" s="258">
        <f>IFERROR($G184*'Inputs Yr 2'!$P184*'Inputs Yr 2'!$Q184*'Inputs Yr 2'!AP184,0)</f>
        <v>0</v>
      </c>
      <c r="AM184" s="260">
        <f>IFERROR($G184*'Inputs Yr 2'!$P184*'Inputs Yr 2'!$Q184*'Inputs Yr 2'!AQ184,0)</f>
        <v>0</v>
      </c>
      <c r="AN184" s="258">
        <f>IFERROR($G184*'Inputs Yr 2'!$P184*'Inputs Yr 2'!$Q184*'Inputs Yr 2'!AR184,0)</f>
        <v>0</v>
      </c>
      <c r="AO184" s="257">
        <f t="shared" si="92"/>
        <v>0</v>
      </c>
      <c r="AP184" s="195" t="str">
        <f>IFERROR($CQ184*(INDEX(avoidedcosttbl2,$H184,AP$2)+(($H184-ROUNDDOWN($H184,0))*(INDEX(avoidedcosttbl2,ROUNDUP($H184,0),AP$2)-(INDEX(avoidedcosttbl2,ROUNDDOWN($H184,0),AP$2)))))*$O184*1000*'Inputs Yr 2'!AA184,"")</f>
        <v/>
      </c>
      <c r="AQ184" s="195" t="str">
        <f>IFERROR($CR184*(INDEX(avoidedcosttbl2,$H184,AQ$2)+(($H184-ROUNDDOWN($H184,0))*(INDEX(avoidedcosttbl2,ROUNDUP($H184,0),AQ$2)-(INDEX(avoidedcosttbl2,ROUNDDOWN($H184,0),AQ$2)))))*$O184*1000*'Inputs Yr 2'!AB184,"")</f>
        <v/>
      </c>
      <c r="AR184" s="195" t="str">
        <f>IFERROR($CS184*(INDEX(avoidedcosttbl2,$H184,AR$2)+(($H184-ROUNDDOWN($H184,0))*(INDEX(avoidedcosttbl2,ROUNDUP($H184,0),AR$2)-(INDEX(avoidedcosttbl2,ROUNDDOWN($H184,0),AR$2)))))*$O184*1000*'Inputs Yr 2'!AC184,"")</f>
        <v/>
      </c>
      <c r="AS184" s="195" t="str">
        <f>IFERROR($CT184*(INDEX(avoidedcosttbl2,$H184,AS$2)+(($H184-ROUNDDOWN($H184,0))*(INDEX(avoidedcosttbl2,ROUNDUP($H184,0),AS$2)-(INDEX(avoidedcosttbl2,ROUNDDOWN($H184,0),AS$2)))))*$O184*1000*'Inputs Yr 2'!AD184,"")</f>
        <v/>
      </c>
      <c r="AT184" s="196">
        <f t="shared" si="93"/>
        <v>0</v>
      </c>
      <c r="AU184" s="197" t="str">
        <f>IFERROR($CQ184*((INDEX(avoidedcosttbl2,$H184,AU$2))+(($H184-ROUNDDOWN($H184,0))*((INDEX(avoidedcosttbl2,ROUNDUP($H184,0),AU$2))-(INDEX(avoidedcosttbl2,ROUNDDOWN($H184,0),AU$2)))))*$O184*1000*'Inputs Yr 2'!AA184,"")</f>
        <v/>
      </c>
      <c r="AV184" s="197" t="str">
        <f>IFERROR($CR184*((INDEX(avoidedcosttbl2,$H184,AV$2))+(($H184-ROUNDDOWN($H184,0))*((INDEX(avoidedcosttbl2,ROUNDUP($H184,0),AV$2))-(INDEX(avoidedcosttbl2,ROUNDDOWN($H184,0),AV$2)))))*$O184*1000*'Inputs Yr 2'!AB184,"")</f>
        <v/>
      </c>
      <c r="AW184" s="197" t="str">
        <f>IFERROR($CS184*((INDEX(avoidedcosttbl2,$H184,AW$2))+(($H184-ROUNDDOWN($H184,0))*((INDEX(avoidedcosttbl2,ROUNDUP($H184,0),AW$2))-(INDEX(avoidedcosttbl2,ROUNDDOWN($H184,0),AW$2)))))*$O184*1000*'Inputs Yr 2'!AC184,"")</f>
        <v/>
      </c>
      <c r="AX184" s="197" t="str">
        <f>IFERROR($CT184*((INDEX(avoidedcosttbl2,$H184,AX$2))+(($H184-ROUNDDOWN($H184,0))*((INDEX(avoidedcosttbl2,ROUNDUP($H184,0),AX$2))-(INDEX(avoidedcosttbl2,ROUNDDOWN($H184,0),AX$2)))))*$O184*1000*'Inputs Yr 2'!AD184,"")</f>
        <v/>
      </c>
      <c r="AY184" s="197" t="str">
        <f>IFERROR(((INDEX(avoidedcosttbl2,$H184,AY$2))+(($H184-ROUNDDOWN($H184,0))*((INDEX(avoidedcosttbl2,ROUNDUP($H184,0),AY$2))-(INDEX(avoidedcosttbl2,ROUNDDOWN($H184,0),AY$2)))))*$O184*1000*('Inputs Yr 2'!AC184+'Inputs Yr 2'!AD184),"")</f>
        <v/>
      </c>
      <c r="AZ184" s="197" t="str">
        <f>IFERROR(((INDEX(avoidedcosttbl2,$H184,AZ$2))+(($H184-ROUNDDOWN($H184,0))*((INDEX(avoidedcosttbl2,ROUNDUP($H184,0),AZ$2))-(INDEX(avoidedcosttbl2,ROUNDDOWN($H184,0),AZ$2)))))*$O184*1000*('Inputs Yr 2'!AA184+'Inputs Yr 2'!AB184),"")</f>
        <v/>
      </c>
      <c r="BA184" s="198">
        <f t="shared" si="94"/>
        <v>0</v>
      </c>
      <c r="BB184" s="198">
        <f t="shared" si="95"/>
        <v>0</v>
      </c>
      <c r="BC184" s="195" t="str">
        <f t="shared" si="77"/>
        <v/>
      </c>
      <c r="BD184" s="195" t="str">
        <f t="shared" si="78"/>
        <v/>
      </c>
      <c r="BE184" s="195" t="str">
        <f t="shared" si="79"/>
        <v/>
      </c>
      <c r="BF184" s="195" t="str">
        <f t="shared" si="80"/>
        <v/>
      </c>
      <c r="BG184" s="195" t="str">
        <f t="shared" si="81"/>
        <v/>
      </c>
      <c r="BH184" s="196">
        <f t="shared" si="96"/>
        <v>0</v>
      </c>
      <c r="BI184" s="196">
        <f t="shared" si="97"/>
        <v>0</v>
      </c>
      <c r="BJ184" s="195" t="str">
        <f>IFERROR($G184*(IF('Inputs Yr 2'!$AJ184=BJ$4,'Inputs Yr 2'!$AK184,IF('Inputs Yr 2'!$AL184=BJ$4,'Inputs Yr 2'!$AM184,IF('Inputs Yr 2'!$AN184=BJ$4,'Inputs Yr 2'!$AO184,0))))*(INDEX(avoidedcosttbl2,$H184,BJ$2)+(($H184-ROUNDDOWN($H184,0))*(INDEX(avoidedcosttbl2,ROUNDUP($H184,0),BJ$2)-(INDEX(avoidedcosttbl2,ROUNDDOWN($H184,0),BJ$2)))))*'Inputs Yr 2'!P184*'Inputs Yr 2'!Q184*'Inputs Yr 2'!U184,"")</f>
        <v/>
      </c>
      <c r="BK184" s="195" t="str">
        <f>IFERROR($G184*(IF('Inputs Yr 2'!$AJ184=BK$4,'Inputs Yr 2'!$AK184,IF('Inputs Yr 2'!$AL184=BK$4,'Inputs Yr 2'!$AM184,IF('Inputs Yr 2'!$AN184=BK$4,'Inputs Yr 2'!$AO184,0))))*(INDEX(avoidedcosttbl2,$H184,BK$2)+(($H184-ROUNDDOWN($H184,0))*(INDEX(avoidedcosttbl2,ROUNDUP($H184,0),BK$2)-(INDEX(avoidedcosttbl2,ROUNDDOWN($H184,0),BK$2)))))*'Inputs Yr 2'!P184*'Inputs Yr 2'!Q184*'Inputs Yr 2'!U184,"")</f>
        <v/>
      </c>
      <c r="BL184" s="195" t="str">
        <f>IFERROR($G184*(IF('Inputs Yr 2'!$AJ184=BL$4,'Inputs Yr 2'!$AK184,IF('Inputs Yr 2'!$AL184=BL$4,'Inputs Yr 2'!$AM184,IF('Inputs Yr 2'!$AN184=BL$4,'Inputs Yr 2'!$AO184,0))))*(INDEX(avoidedcosttbl2,$H184,BL$2)+(($H184-ROUNDDOWN($H184,0))*(INDEX(avoidedcosttbl2,ROUNDUP($H184,0),BL$2)-(INDEX(avoidedcosttbl2,ROUNDDOWN($H184,0),BL$2)))))*'Inputs Yr 2'!P184*'Inputs Yr 2'!Q184*'Inputs Yr 2'!U184,"")</f>
        <v/>
      </c>
      <c r="BM184" s="195" t="str">
        <f>IFERROR($G184*(IF('Inputs Yr 2'!$AJ184=BM$4,'Inputs Yr 2'!$AK184,IF('Inputs Yr 2'!$AL184=BM$4,'Inputs Yr 2'!$AM184,IF('Inputs Yr 2'!$AN184=BM$4,'Inputs Yr 2'!$AO184,0))))*(INDEX(avoidedcosttbl2,$H184,BM$2)+(($H184-ROUNDDOWN($H184,0))*(INDEX(avoidedcosttbl2,ROUNDUP($H184,0),BM$2)-(INDEX(avoidedcosttbl2,ROUNDDOWN($H184,0),BM$2)))))*'Inputs Yr 2'!P184*'Inputs Yr 2'!Q184*'Inputs Yr 2'!U184,"")</f>
        <v/>
      </c>
      <c r="BN184" s="195" t="str">
        <f>IFERROR($G184*(IF('Inputs Yr 2'!$AJ184=BN$4,'Inputs Yr 2'!$AK184,IF('Inputs Yr 2'!$AL184=BN$4,'Inputs Yr 2'!$AM184,IF('Inputs Yr 2'!$AN184=BN$4,'Inputs Yr 2'!$AO184,0))))*(INDEX(avoidedcosttbl2,$H184,BN$2)+(($H184-ROUNDDOWN($H184,0))*(INDEX(avoidedcosttbl2,ROUNDUP($H184,0),BN$2)-(INDEX(avoidedcosttbl2,ROUNDDOWN($H184,0),BN$2)))))*'Inputs Yr 2'!P184*'Inputs Yr 2'!Q184*'Inputs Yr 2'!U184,"")</f>
        <v/>
      </c>
      <c r="BO184" s="195" t="str">
        <f>IFERROR($G184*(IF('Inputs Yr 2'!$AJ184=BO$4,'Inputs Yr 2'!$AK184,IF('Inputs Yr 2'!$AL184=BO$4,'Inputs Yr 2'!$AM184,IF('Inputs Yr 2'!$AN184=BO$4,'Inputs Yr 2'!$AO184,0))))*(INDEX(avoidedcosttbl2,$H184,BO$2)+(($H184-ROUNDDOWN($H184,0))*(INDEX(avoidedcosttbl2,ROUNDUP($H184,0),BO$2)-(INDEX(avoidedcosttbl2,ROUNDDOWN($H184,0),BO$2)))))*'Inputs Yr 2'!P184*'Inputs Yr 2'!Q184*'Inputs Yr 2'!U184,"")</f>
        <v/>
      </c>
      <c r="BP184" s="195" t="str">
        <f>IFERROR($G184*(IF('Inputs Yr 2'!$AJ184=BP$4,'Inputs Yr 2'!$AK184,IF('Inputs Yr 2'!$AL184=BP$4,'Inputs Yr 2'!$AM184,IF('Inputs Yr 2'!$AN184=BP$4,'Inputs Yr 2'!$AO184,0))))*(INDEX(avoidedcosttbl2,$H184,BP$2)+(($H184-ROUNDDOWN($H184,0))*(INDEX(avoidedcosttbl2,ROUNDUP($H184,0),BP$2)-(INDEX(avoidedcosttbl2,ROUNDDOWN($H184,0),BP$2)))))*'Inputs Yr 2'!P184*'Inputs Yr 2'!Q184*'Inputs Yr 2'!U184,"")</f>
        <v/>
      </c>
      <c r="BQ184" s="230">
        <f t="shared" si="98"/>
        <v>0</v>
      </c>
      <c r="BR184" s="197">
        <f t="shared" si="82"/>
        <v>0</v>
      </c>
      <c r="BS184" s="197" t="str">
        <f>IFERROR(($G184*IF('Inputs Yr 2'!$AJ184=BM$4,'Inputs Yr 2'!$AK184,IF('Inputs Yr 2'!$AL184=BM$4,'Inputs Yr 2'!$AM184,IF('Inputs Yr 2'!$AN184=BM$4,'Inputs Yr 2'!$AO184,0))))*(INDEX(avoidedcosttbl2,$H184,BS$2)+(($H184-ROUNDDOWN($H184,0))*(INDEX(avoidedcosttbl2,ROUNDUP($H184,0),BS$2)-(INDEX(avoidedcosttbl2,ROUNDDOWN($H184,0),BS$2)))))*'Inputs Yr 2'!P184*'Inputs Yr 2'!Q184*'Inputs Yr 2'!U184,"")</f>
        <v/>
      </c>
      <c r="BT184" s="197" t="str">
        <f>IFERROR(($G184*IF('Inputs Yr 2'!$AJ184=BK$4,'Inputs Yr 2'!$AK184,IF('Inputs Yr 2'!$AL184=BK$4,'Inputs Yr 2'!$AM184,IF('Inputs Yr 2'!$AN184=BK$4,'Inputs Yr 2'!$AO184,0))))*(INDEX(avoidedcosttbl2,$H184,BT$2)+(($H184-ROUNDDOWN($H184,0))*(INDEX(avoidedcosttbl2,ROUNDUP($H184,0),BT$2)-(INDEX(avoidedcosttbl2,ROUNDDOWN($H184,0),BT$2)))))*'Inputs Yr 2'!P184*'Inputs Yr 2'!Q184*'Inputs Yr 2'!U184,"")</f>
        <v/>
      </c>
      <c r="BU184" s="197" t="str">
        <f>IFERROR(($G184*IF('Inputs Yr 2'!$AJ184=BL$4,'Inputs Yr 2'!$AK184,IF('Inputs Yr 2'!$AL184=BL$4,'Inputs Yr 2'!$AM184,IF('Inputs Yr 2'!$AN184=BL$4,'Inputs Yr 2'!$AO184,0))))*(INDEX(avoidedcosttbl2,$H184,BU$2)+(($H184-ROUNDDOWN($H184,0))*(INDEX(avoidedcosttbl2,ROUNDUP($H184,0),BU$2)-(INDEX(avoidedcosttbl2,ROUNDDOWN($H184,0),BU$2)))))*'Inputs Yr 2'!P184*'Inputs Yr 2'!Q184*'Inputs Yr 2'!U184,"")</f>
        <v/>
      </c>
      <c r="BV184" s="775" t="str">
        <f>IFERROR(($G184*IF('Inputs Yr 2'!$AJ184=BJ$4,'Inputs Yr 2'!$AK184,IF('Inputs Yr 2'!$AL184=BJ$4,'Inputs Yr 2'!$AM184,IF('Inputs Yr 2'!$AN184=BJ$4,'Inputs Yr 2'!$AO184,0))))*(INDEX(avoidedcosttbl2,$H184,BV$2)+(($H184-ROUNDDOWN($H184,0))*(INDEX(avoidedcosttbl2,ROUNDUP($H184,0),BV$2)-(INDEX(avoidedcosttbl2,ROUNDDOWN($H184,0),BV$2)))))*'Inputs Yr 2'!P184*'Inputs Yr 2'!Q184*'Inputs Yr 2'!U184,"")</f>
        <v/>
      </c>
      <c r="BW184" s="197" t="str">
        <f>IFERROR(($G184*IF('Inputs Yr 2'!$AJ184=BN$4,'Inputs Yr 2'!$AK184,IF('Inputs Yr 2'!$AL184=BN$4,'Inputs Yr 2'!$AM184,IF('Inputs Yr 2'!$AN184=BN$4,'Inputs Yr 2'!$AO184,0))))*(INDEX(avoidedcosttbl2,$H184,BW$2)+(($H184-ROUNDDOWN($H184,0))*(INDEX(avoidedcosttbl2,ROUNDUP($H184,0),BW$2)-(INDEX(avoidedcosttbl2,ROUNDDOWN($H184,0),BW$2)))))*'Inputs Yr 2'!P184*'Inputs Yr 2'!Q184*'Inputs Yr 2'!U184,"")</f>
        <v/>
      </c>
      <c r="BX184" s="197" t="str">
        <f>IFERROR(($G184*IF('Inputs Yr 2'!$AJ184=BO$4,'Inputs Yr 2'!$AK184,IF('Inputs Yr 2'!$AL184=BO$4,'Inputs Yr 2'!$AM184,IF('Inputs Yr 2'!$AN184=BO$4,'Inputs Yr 2'!$AO184,0))))*(INDEX(avoidedcosttbl2,$H184,BX$2)+(($H184-ROUNDDOWN($H184,0))*(INDEX(avoidedcosttbl2,ROUNDUP($H184,0),BX$2)-(INDEX(avoidedcosttbl2,ROUNDDOWN($H184,0),BX$2)))))*'Inputs Yr 2'!P184*'Inputs Yr 2'!Q184*'Inputs Yr 2'!U184,"")</f>
        <v/>
      </c>
      <c r="BY184" s="197" t="str">
        <f>IFERROR(($G184*IF('Inputs Yr 2'!$AJ184=BP$4,'Inputs Yr 2'!$AK184,IF('Inputs Yr 2'!$AL184=BP$4,'Inputs Yr 2'!$AM184,IF('Inputs Yr 2'!$AN184=BP$4,'Inputs Yr 2'!$AO184,0))))*(INDEX(avoidedcosttbl2,$H184,BY$2)+(($H184-ROUNDDOWN($H184,0))*(INDEX(avoidedcosttbl2,ROUNDUP($H184,0),BY$2)-(INDEX(avoidedcosttbl2,ROUNDDOWN($H184,0),BY$2)))))*'Inputs Yr 2'!P184*'Inputs Yr 2'!Q184*'Inputs Yr 2'!U184,"")</f>
        <v/>
      </c>
      <c r="BZ184" s="193">
        <f t="shared" si="99"/>
        <v>0</v>
      </c>
      <c r="CA184" s="193">
        <f t="shared" si="100"/>
        <v>0</v>
      </c>
      <c r="CB184" s="195" t="str">
        <f>IFERROR(G184*(IF('Inputs Yr 2'!$AJ184=CB$4,'Inputs Yr 2'!$AK184,IF('Inputs Yr 2'!$AL184=CB$4,'Inputs Yr 2'!$AM184,IF('Inputs Yr 2'!$AN184=CB$4,'Inputs Yr 2'!$AO184,0))))*(INDEX(avoidedcosttbl2,$H184,CB$2)+(($H184-ROUNDDOWN($H184,0))*(INDEX(avoidedcosttbl2,ROUNDUP($H184,0),CB$2)-(INDEX(avoidedcosttbl2,ROUNDDOWN($H184,0),CB$2)))))*'Inputs Yr 2'!P184*'Inputs Yr 2'!Q184*'Inputs Yr 2'!U184,"")</f>
        <v/>
      </c>
      <c r="CC184" s="195">
        <f>IFERROR(H184*(IF('Inputs Yr 2'!$AJ184=CC$4,'Inputs Yr 2'!$AK184,IF('Inputs Yr 2'!$AL184=CC$4,'Inputs Yr 2'!$AM184,IF('Inputs Yr 2'!$AN184=CC$4,'Inputs Yr 2'!$AO184,0))))*(INDEX(avoidedcosttbl2,$H184,CC$2)+(($H184-ROUNDDOWN($H184,0))*(INDEX(avoidedcosttbl2,ROUNDUP($H184,0),CC$2)-(INDEX(avoidedcosttbl2,ROUNDDOWN($H184,0),CC$2)))))*'Inputs Yr 2'!Q184*'Inputs Yr 2'!R184*'Inputs Yr 2'!V184,"")</f>
        <v>0</v>
      </c>
      <c r="CD184" s="195" t="str">
        <f>IFERROR(I184*(IF('Inputs Yr 2'!$AJ184=CD$4,'Inputs Yr 2'!$AK184,IF('Inputs Yr 2'!$AL184=CD$4,'Inputs Yr 2'!$AM184,IF('Inputs Yr 2'!$AN184=CD$4,'Inputs Yr 2'!$AO184,0))))*(INDEX(avoidedcosttbl2,$H184,CD$2)+(($H184-ROUNDDOWN($H184,0))*(INDEX(avoidedcosttbl2,ROUNDUP($H184,0),CD$2)-(INDEX(avoidedcosttbl2,ROUNDDOWN($H184,0),CD$2)))))*'Inputs Yr 2'!R184*'Inputs Yr 2'!S184*'Inputs Yr 2'!W184,"")</f>
        <v/>
      </c>
      <c r="CE184" s="213">
        <f t="shared" si="101"/>
        <v>0</v>
      </c>
      <c r="CF184" s="213">
        <f t="shared" si="102"/>
        <v>0</v>
      </c>
      <c r="CG184" s="213">
        <f t="shared" si="103"/>
        <v>0</v>
      </c>
      <c r="CH184" s="698">
        <f t="shared" si="104"/>
        <v>0</v>
      </c>
      <c r="CI184" s="79" t="str">
        <f>IFERROR(($G184*'Inputs Yr 2'!$P184*'Inputs Yr 2'!$Q184*(((INDEX(avoidedcosttbl2,$H184,CI$2)+(($H184-ROUNDDOWN($H184,0))*(INDEX(avoidedcosttbl2,ROUNDUP($H184,0),CI$2)-INDEX(avoidedcosttbl2,ROUNDDOWN($H184,0),CI$2))))*'Inputs Yr 2'!AS184))),"")</f>
        <v/>
      </c>
      <c r="CJ184" s="504" t="str">
        <f>IFERROR($G184*'Inputs Yr 2'!AT184*'Inputs Yr 2'!$P184*'Inputs Yr 2'!$Q184/((1+realdiscrt1)^-0.5),"")</f>
        <v/>
      </c>
      <c r="CK184" s="79" t="str">
        <f>IFERROR((O184*1000*(((INDEX(avoidedcosttbl2,$H184,CK$2)+(($H184-ROUNDDOWN($H184,0))*(INDEX(avoidedcosttbl2,ROUNDUP($H184,0),CK$2)-INDEX(avoidedcosttbl2,ROUNDDOWN($H184,0),CK$2))))*'Inputs Yr 2'!AU184))),"")</f>
        <v/>
      </c>
      <c r="CL184" s="504" t="str">
        <f>IFERROR(O184*1000*'Inputs Yr 2'!AV184/((1+realdiscrt1)^-0.5),"")</f>
        <v/>
      </c>
      <c r="CM184" s="79">
        <f>IFERROR((AB184*'Inputs Yr 2'!AW184*(((INDEX(avoidedcosttbl2,$H184,CM$2)+(($H184-ROUNDDOWN($H184,0))*(INDEX(avoidedcosttbl2,ROUNDUP($H184,0),CM$2)-INDEX(avoidedcosttbl2,ROUNDDOWN($H184,0),CM$2)))))))*10,"")</f>
        <v>0</v>
      </c>
      <c r="CN184" s="504">
        <f>IFERROR(10*AB184*'Inputs Yr 2'!AX184/((1+realdiscrt1)^-0.5),"")</f>
        <v>0</v>
      </c>
      <c r="CO184" s="505">
        <f t="shared" si="105"/>
        <v>0</v>
      </c>
      <c r="CP184" s="230">
        <f t="shared" si="106"/>
        <v>0</v>
      </c>
      <c r="CQ184" s="199">
        <f>ROUND(IFERROR(IF(LEFT($A184,1)="C",'Avoided Costs'!$K$13,'Avoided Costs'!$K$12)+1,""),4)</f>
        <v>1.0720000000000001</v>
      </c>
      <c r="CR184" s="199">
        <f>ROUND(IFERROR(IF(LEFT($A184,1)="C",'Avoided Costs'!$L$13,'Avoided Costs'!$L$12)+1,""),4)</f>
        <v>1.04</v>
      </c>
      <c r="CS184" s="199">
        <f>ROUND(IFERROR(IF(LEFT($A184,1)="C",'Avoided Costs'!$M$13,'Avoided Costs'!$M$12)+1,""),4)</f>
        <v>1.0720000000000001</v>
      </c>
      <c r="CT184" s="199">
        <f>ROUND(IFERROR(IF(LEFT($A184,1)="C",'Avoided Costs'!$N$13,'Avoided Costs'!$N$12)+1,""),4)</f>
        <v>1.04</v>
      </c>
      <c r="CU184" s="199">
        <f>ROUND(IFERROR(IF(LEFT($A184,1)="C",'Avoided Costs'!$O$13,'Avoided Costs'!$O$12)+1,""),4)</f>
        <v>1.1120000000000001</v>
      </c>
      <c r="CV184" s="199">
        <f>ROUND(IFERROR(IF(LEFT($A184,1)="C",'Avoided Costs'!$P$13,'Avoided Costs'!$P$12)+1,""),4)</f>
        <v>1.095</v>
      </c>
      <c r="CW184" s="199">
        <f>ROUND(IFERROR(IF(LEFT($A184,1)="C",'Avoided Costs'!$Q$13,'Avoided Costs'!$Q$12)+1,""),4)</f>
        <v>1.1120000000000001</v>
      </c>
      <c r="CX184" s="200">
        <f>ROUND(IFERROR(IF(LEFT($A184,1)="C",'Avoided Costs'!$R$13,'Avoided Costs'!$R$12)+1,""),4)</f>
        <v>1.1120000000000001</v>
      </c>
    </row>
    <row r="185" spans="1:102" ht="12.75" customHeight="1">
      <c r="A185" s="91" t="str">
        <f>IF('Inputs Yr 2'!$B185=0,"",'Inputs Yr 2'!A185)</f>
        <v>C - Commercial &amp; Industrial</v>
      </c>
      <c r="B185" s="91" t="str">
        <f>IF('Inputs Yr 2'!$B185=0,"",'Inputs Yr 2'!B185)</f>
        <v>C1 - C&amp;I New Construction</v>
      </c>
      <c r="C185" s="91" t="str">
        <f>IF('Inputs Yr 2'!$B185=0,"",'Inputs Yr 2'!C185)</f>
        <v>C1a - C&amp;I New Buildings &amp; Major Renovations</v>
      </c>
      <c r="D185" s="91" t="str">
        <f>IF('Inputs Yr 2'!$B185=0,"",'Inputs Yr 2'!E185)</f>
        <v>Condensing Boiler 1701+ mbh  (.90 TE)</v>
      </c>
      <c r="E185" s="93" t="str">
        <f>IF('Inputs Yr 2'!$B185=0,"",'Inputs Yr 2'!F185)</f>
        <v>G16C1a28</v>
      </c>
      <c r="F185" s="93" t="str">
        <f>IF('Inputs Yr 2'!$B185=0,"",'Inputs Yr 2'!G185)</f>
        <v>HVAC</v>
      </c>
      <c r="G185" s="95" t="str">
        <f>IF('Inputs Yr 2'!$H185&lt;&gt;0,('Inputs Yr 2'!H185),"")</f>
        <v/>
      </c>
      <c r="H185" s="94">
        <f>IFERROR('Inputs Yr 2'!I185,"")</f>
        <v>25</v>
      </c>
      <c r="I185" s="298" t="str">
        <f>IFERROR('Inputs Yr 2'!J185*'Inputs Yr 2'!P185*G185,"")</f>
        <v/>
      </c>
      <c r="J185" s="298" t="str">
        <f>IFERROR('Inputs Yr 2'!K185*G185,"")</f>
        <v/>
      </c>
      <c r="K185" s="298" t="str">
        <f t="shared" si="83"/>
        <v/>
      </c>
      <c r="L185" s="194" t="str">
        <f>IFERROR(('Inputs Yr 2'!W185*G185)/1000,"")</f>
        <v/>
      </c>
      <c r="M185" s="194" t="str">
        <f>IFERROR(L185*('Inputs Yr 2'!$Q185*'Inputs Yr 2'!$V185*'Inputs Yr 2'!$R185),"")</f>
        <v/>
      </c>
      <c r="N185" s="194" t="str">
        <f t="shared" si="84"/>
        <v/>
      </c>
      <c r="O185" s="194" t="str">
        <f>IFERROR(M185*'Inputs Yr 2'!P185,"")</f>
        <v/>
      </c>
      <c r="P185" s="194" t="str">
        <f t="shared" si="85"/>
        <v/>
      </c>
      <c r="Q185" s="194" t="str">
        <f>IFERROR($P185*'Inputs Yr 2'!AA185,"")</f>
        <v/>
      </c>
      <c r="R185" s="194" t="str">
        <f>IFERROR($P185*'Inputs Yr 2'!AB185,"")</f>
        <v/>
      </c>
      <c r="S185" s="194" t="str">
        <f>IFERROR($P185*'Inputs Yr 2'!AC185,"")</f>
        <v/>
      </c>
      <c r="T185" s="194" t="str">
        <f>IFERROR($P185*'Inputs Yr 2'!AD185,"")</f>
        <v/>
      </c>
      <c r="U185" s="194" t="str">
        <f>IFERROR(G185*'Inputs Yr 2'!$AE185*'Inputs Yr 2'!$P185*'Inputs Yr 2'!$Q185,"")</f>
        <v/>
      </c>
      <c r="V185" s="194" t="str">
        <f>IFERROR($G185*'Inputs Yr 2'!$AE185*'Inputs Yr 2'!$AG185*'Inputs Yr 2'!Q185*'Inputs Yr 2'!$S185,"")</f>
        <v/>
      </c>
      <c r="W185" s="194" t="str">
        <f>IFERROR($G185*'Inputs Yr 2'!$AE185*'Inputs Yr 2'!$AG185*'Inputs Yr 2'!P185*'Inputs Yr 2'!Q185*'Inputs Yr 2'!$S185,"")</f>
        <v/>
      </c>
      <c r="X185" s="194" t="str">
        <f>IFERROR($G185*'Inputs Yr 2'!$AE185*'Inputs Yr 2'!$AF185*'Inputs Yr 2'!Q185*'Inputs Yr 2'!$T185,"")</f>
        <v/>
      </c>
      <c r="Y185" s="194" t="str">
        <f>IFERROR($G185*'Inputs Yr 2'!$AE185*'Inputs Yr 2'!$AF185*'Inputs Yr 2'!P185*'Inputs Yr 2'!Q185*'Inputs Yr 2'!$T185,"")</f>
        <v/>
      </c>
      <c r="Z185" s="257">
        <f>IFERROR($G185*'Inputs Yr 2'!$Q185*'Inputs Yr 2'!$U185*(IF(IFERROR(SEARCH("NG", 'Inputs Yr 2'!$AJ185),0),'Inputs Yr 2'!$AK185,0)+IF(IFERROR(SEARCH("NG", 'Inputs Yr 2'!$AL185),0),'Inputs Yr 2'!$AM185,0)+IF(IFERROR(SEARCH("NG", 'Inputs Yr 2'!$AN185),0),'Inputs Yr 2'!$AO185,0)),0)</f>
        <v>0</v>
      </c>
      <c r="AA185" s="257">
        <f t="shared" si="86"/>
        <v>0</v>
      </c>
      <c r="AB185" s="257">
        <f>IFERROR(Z185*'Inputs Yr 2'!$P185,0)</f>
        <v>0</v>
      </c>
      <c r="AC185" s="257">
        <f t="shared" si="87"/>
        <v>0</v>
      </c>
      <c r="AD185" s="257">
        <f>IFERROR($G185*'Inputs Yr 2'!$Q185*'Inputs Yr 2'!$U185*(IF(IFERROR(SEARCH("Oil", 'Inputs Yr 2'!$AJ185), 0),'Inputs Yr 2'!$AK185,0)+IF(IFERROR(SEARCH("Oil", 'Inputs Yr 2'!$AL185), 0),'Inputs Yr 2'!$AM185,0)+IF(IFERROR(SEARCH("Oil", 'Inputs Yr 2'!$AN185), 0),'Inputs Yr 2'!$AO185,0)),0)</f>
        <v>0</v>
      </c>
      <c r="AE185" s="257">
        <f t="shared" si="88"/>
        <v>0</v>
      </c>
      <c r="AF185" s="257">
        <f>IFERROR(AD185*'Inputs Yr 2'!$P185,0)</f>
        <v>0</v>
      </c>
      <c r="AG185" s="257">
        <f t="shared" si="89"/>
        <v>0</v>
      </c>
      <c r="AH185" s="257">
        <f>IFERROR($G185*'Inputs Yr 2'!$Q185*'Inputs Yr 2'!$U185*(IF('Inputs Yr 2'!$AJ185=CD$4,'Inputs Yr 2'!$AK185,IF('Inputs Yr 2'!$AL185=CD$4,'Inputs Yr 2'!$AM185,IF('Inputs Yr 2'!$AN185=CD$4,'Inputs Yr 2'!$AO185,0)))),0)</f>
        <v>0</v>
      </c>
      <c r="AI185" s="257">
        <f t="shared" si="90"/>
        <v>0</v>
      </c>
      <c r="AJ185" s="257">
        <f>IFERROR(AH185*'Inputs Yr 2'!$P185,0)</f>
        <v>0</v>
      </c>
      <c r="AK185" s="257">
        <f t="shared" si="91"/>
        <v>0</v>
      </c>
      <c r="AL185" s="258">
        <f>IFERROR($G185*'Inputs Yr 2'!$P185*'Inputs Yr 2'!$Q185*'Inputs Yr 2'!AP185,0)</f>
        <v>0</v>
      </c>
      <c r="AM185" s="260">
        <f>IFERROR($G185*'Inputs Yr 2'!$P185*'Inputs Yr 2'!$Q185*'Inputs Yr 2'!AQ185,0)</f>
        <v>0</v>
      </c>
      <c r="AN185" s="258">
        <f>IFERROR($G185*'Inputs Yr 2'!$P185*'Inputs Yr 2'!$Q185*'Inputs Yr 2'!AR185,0)</f>
        <v>0</v>
      </c>
      <c r="AO185" s="257">
        <f t="shared" si="92"/>
        <v>0</v>
      </c>
      <c r="AP185" s="195" t="str">
        <f>IFERROR($CQ185*(INDEX(avoidedcosttbl2,$H185,AP$2)+(($H185-ROUNDDOWN($H185,0))*(INDEX(avoidedcosttbl2,ROUNDUP($H185,0),AP$2)-(INDEX(avoidedcosttbl2,ROUNDDOWN($H185,0),AP$2)))))*$O185*1000*'Inputs Yr 2'!AA185,"")</f>
        <v/>
      </c>
      <c r="AQ185" s="195" t="str">
        <f>IFERROR($CR185*(INDEX(avoidedcosttbl2,$H185,AQ$2)+(($H185-ROUNDDOWN($H185,0))*(INDEX(avoidedcosttbl2,ROUNDUP($H185,0),AQ$2)-(INDEX(avoidedcosttbl2,ROUNDDOWN($H185,0),AQ$2)))))*$O185*1000*'Inputs Yr 2'!AB185,"")</f>
        <v/>
      </c>
      <c r="AR185" s="195" t="str">
        <f>IFERROR($CS185*(INDEX(avoidedcosttbl2,$H185,AR$2)+(($H185-ROUNDDOWN($H185,0))*(INDEX(avoidedcosttbl2,ROUNDUP($H185,0),AR$2)-(INDEX(avoidedcosttbl2,ROUNDDOWN($H185,0),AR$2)))))*$O185*1000*'Inputs Yr 2'!AC185,"")</f>
        <v/>
      </c>
      <c r="AS185" s="195" t="str">
        <f>IFERROR($CT185*(INDEX(avoidedcosttbl2,$H185,AS$2)+(($H185-ROUNDDOWN($H185,0))*(INDEX(avoidedcosttbl2,ROUNDUP($H185,0),AS$2)-(INDEX(avoidedcosttbl2,ROUNDDOWN($H185,0),AS$2)))))*$O185*1000*'Inputs Yr 2'!AD185,"")</f>
        <v/>
      </c>
      <c r="AT185" s="196">
        <f t="shared" si="93"/>
        <v>0</v>
      </c>
      <c r="AU185" s="197" t="str">
        <f>IFERROR($CQ185*((INDEX(avoidedcosttbl2,$H185,AU$2))+(($H185-ROUNDDOWN($H185,0))*((INDEX(avoidedcosttbl2,ROUNDUP($H185,0),AU$2))-(INDEX(avoidedcosttbl2,ROUNDDOWN($H185,0),AU$2)))))*$O185*1000*'Inputs Yr 2'!AA185,"")</f>
        <v/>
      </c>
      <c r="AV185" s="197" t="str">
        <f>IFERROR($CR185*((INDEX(avoidedcosttbl2,$H185,AV$2))+(($H185-ROUNDDOWN($H185,0))*((INDEX(avoidedcosttbl2,ROUNDUP($H185,0),AV$2))-(INDEX(avoidedcosttbl2,ROUNDDOWN($H185,0),AV$2)))))*$O185*1000*'Inputs Yr 2'!AB185,"")</f>
        <v/>
      </c>
      <c r="AW185" s="197" t="str">
        <f>IFERROR($CS185*((INDEX(avoidedcosttbl2,$H185,AW$2))+(($H185-ROUNDDOWN($H185,0))*((INDEX(avoidedcosttbl2,ROUNDUP($H185,0),AW$2))-(INDEX(avoidedcosttbl2,ROUNDDOWN($H185,0),AW$2)))))*$O185*1000*'Inputs Yr 2'!AC185,"")</f>
        <v/>
      </c>
      <c r="AX185" s="197" t="str">
        <f>IFERROR($CT185*((INDEX(avoidedcosttbl2,$H185,AX$2))+(($H185-ROUNDDOWN($H185,0))*((INDEX(avoidedcosttbl2,ROUNDUP($H185,0),AX$2))-(INDEX(avoidedcosttbl2,ROUNDDOWN($H185,0),AX$2)))))*$O185*1000*'Inputs Yr 2'!AD185,"")</f>
        <v/>
      </c>
      <c r="AY185" s="197" t="str">
        <f>IFERROR(((INDEX(avoidedcosttbl2,$H185,AY$2))+(($H185-ROUNDDOWN($H185,0))*((INDEX(avoidedcosttbl2,ROUNDUP($H185,0),AY$2))-(INDEX(avoidedcosttbl2,ROUNDDOWN($H185,0),AY$2)))))*$O185*1000*('Inputs Yr 2'!AC185+'Inputs Yr 2'!AD185),"")</f>
        <v/>
      </c>
      <c r="AZ185" s="197" t="str">
        <f>IFERROR(((INDEX(avoidedcosttbl2,$H185,AZ$2))+(($H185-ROUNDDOWN($H185,0))*((INDEX(avoidedcosttbl2,ROUNDUP($H185,0),AZ$2))-(INDEX(avoidedcosttbl2,ROUNDDOWN($H185,0),AZ$2)))))*$O185*1000*('Inputs Yr 2'!AA185+'Inputs Yr 2'!AB185),"")</f>
        <v/>
      </c>
      <c r="BA185" s="198">
        <f t="shared" si="94"/>
        <v>0</v>
      </c>
      <c r="BB185" s="198">
        <f t="shared" si="95"/>
        <v>0</v>
      </c>
      <c r="BC185" s="195" t="str">
        <f t="shared" si="77"/>
        <v/>
      </c>
      <c r="BD185" s="195" t="str">
        <f t="shared" si="78"/>
        <v/>
      </c>
      <c r="BE185" s="195" t="str">
        <f t="shared" si="79"/>
        <v/>
      </c>
      <c r="BF185" s="195" t="str">
        <f t="shared" si="80"/>
        <v/>
      </c>
      <c r="BG185" s="195" t="str">
        <f t="shared" si="81"/>
        <v/>
      </c>
      <c r="BH185" s="196">
        <f t="shared" si="96"/>
        <v>0</v>
      </c>
      <c r="BI185" s="196">
        <f t="shared" si="97"/>
        <v>0</v>
      </c>
      <c r="BJ185" s="195" t="str">
        <f>IFERROR($G185*(IF('Inputs Yr 2'!$AJ185=BJ$4,'Inputs Yr 2'!$AK185,IF('Inputs Yr 2'!$AL185=BJ$4,'Inputs Yr 2'!$AM185,IF('Inputs Yr 2'!$AN185=BJ$4,'Inputs Yr 2'!$AO185,0))))*(INDEX(avoidedcosttbl2,$H185,BJ$2)+(($H185-ROUNDDOWN($H185,0))*(INDEX(avoidedcosttbl2,ROUNDUP($H185,0),BJ$2)-(INDEX(avoidedcosttbl2,ROUNDDOWN($H185,0),BJ$2)))))*'Inputs Yr 2'!P185*'Inputs Yr 2'!Q185*'Inputs Yr 2'!U185,"")</f>
        <v/>
      </c>
      <c r="BK185" s="195" t="str">
        <f>IFERROR($G185*(IF('Inputs Yr 2'!$AJ185=BK$4,'Inputs Yr 2'!$AK185,IF('Inputs Yr 2'!$AL185=BK$4,'Inputs Yr 2'!$AM185,IF('Inputs Yr 2'!$AN185=BK$4,'Inputs Yr 2'!$AO185,0))))*(INDEX(avoidedcosttbl2,$H185,BK$2)+(($H185-ROUNDDOWN($H185,0))*(INDEX(avoidedcosttbl2,ROUNDUP($H185,0),BK$2)-(INDEX(avoidedcosttbl2,ROUNDDOWN($H185,0),BK$2)))))*'Inputs Yr 2'!P185*'Inputs Yr 2'!Q185*'Inputs Yr 2'!U185,"")</f>
        <v/>
      </c>
      <c r="BL185" s="195" t="str">
        <f>IFERROR($G185*(IF('Inputs Yr 2'!$AJ185=BL$4,'Inputs Yr 2'!$AK185,IF('Inputs Yr 2'!$AL185=BL$4,'Inputs Yr 2'!$AM185,IF('Inputs Yr 2'!$AN185=BL$4,'Inputs Yr 2'!$AO185,0))))*(INDEX(avoidedcosttbl2,$H185,BL$2)+(($H185-ROUNDDOWN($H185,0))*(INDEX(avoidedcosttbl2,ROUNDUP($H185,0),BL$2)-(INDEX(avoidedcosttbl2,ROUNDDOWN($H185,0),BL$2)))))*'Inputs Yr 2'!P185*'Inputs Yr 2'!Q185*'Inputs Yr 2'!U185,"")</f>
        <v/>
      </c>
      <c r="BM185" s="195" t="str">
        <f>IFERROR($G185*(IF('Inputs Yr 2'!$AJ185=BM$4,'Inputs Yr 2'!$AK185,IF('Inputs Yr 2'!$AL185=BM$4,'Inputs Yr 2'!$AM185,IF('Inputs Yr 2'!$AN185=BM$4,'Inputs Yr 2'!$AO185,0))))*(INDEX(avoidedcosttbl2,$H185,BM$2)+(($H185-ROUNDDOWN($H185,0))*(INDEX(avoidedcosttbl2,ROUNDUP($H185,0),BM$2)-(INDEX(avoidedcosttbl2,ROUNDDOWN($H185,0),BM$2)))))*'Inputs Yr 2'!P185*'Inputs Yr 2'!Q185*'Inputs Yr 2'!U185,"")</f>
        <v/>
      </c>
      <c r="BN185" s="195" t="str">
        <f>IFERROR($G185*(IF('Inputs Yr 2'!$AJ185=BN$4,'Inputs Yr 2'!$AK185,IF('Inputs Yr 2'!$AL185=BN$4,'Inputs Yr 2'!$AM185,IF('Inputs Yr 2'!$AN185=BN$4,'Inputs Yr 2'!$AO185,0))))*(INDEX(avoidedcosttbl2,$H185,BN$2)+(($H185-ROUNDDOWN($H185,0))*(INDEX(avoidedcosttbl2,ROUNDUP($H185,0),BN$2)-(INDEX(avoidedcosttbl2,ROUNDDOWN($H185,0),BN$2)))))*'Inputs Yr 2'!P185*'Inputs Yr 2'!Q185*'Inputs Yr 2'!U185,"")</f>
        <v/>
      </c>
      <c r="BO185" s="195" t="str">
        <f>IFERROR($G185*(IF('Inputs Yr 2'!$AJ185=BO$4,'Inputs Yr 2'!$AK185,IF('Inputs Yr 2'!$AL185=BO$4,'Inputs Yr 2'!$AM185,IF('Inputs Yr 2'!$AN185=BO$4,'Inputs Yr 2'!$AO185,0))))*(INDEX(avoidedcosttbl2,$H185,BO$2)+(($H185-ROUNDDOWN($H185,0))*(INDEX(avoidedcosttbl2,ROUNDUP($H185,0),BO$2)-(INDEX(avoidedcosttbl2,ROUNDDOWN($H185,0),BO$2)))))*'Inputs Yr 2'!P185*'Inputs Yr 2'!Q185*'Inputs Yr 2'!U185,"")</f>
        <v/>
      </c>
      <c r="BP185" s="195" t="str">
        <f>IFERROR($G185*(IF('Inputs Yr 2'!$AJ185=BP$4,'Inputs Yr 2'!$AK185,IF('Inputs Yr 2'!$AL185=BP$4,'Inputs Yr 2'!$AM185,IF('Inputs Yr 2'!$AN185=BP$4,'Inputs Yr 2'!$AO185,0))))*(INDEX(avoidedcosttbl2,$H185,BP$2)+(($H185-ROUNDDOWN($H185,0))*(INDEX(avoidedcosttbl2,ROUNDUP($H185,0),BP$2)-(INDEX(avoidedcosttbl2,ROUNDDOWN($H185,0),BP$2)))))*'Inputs Yr 2'!P185*'Inputs Yr 2'!Q185*'Inputs Yr 2'!U185,"")</f>
        <v/>
      </c>
      <c r="BQ185" s="230">
        <f t="shared" si="98"/>
        <v>0</v>
      </c>
      <c r="BR185" s="197">
        <f t="shared" si="82"/>
        <v>0</v>
      </c>
      <c r="BS185" s="197" t="str">
        <f>IFERROR(($G185*IF('Inputs Yr 2'!$AJ185=BM$4,'Inputs Yr 2'!$AK185,IF('Inputs Yr 2'!$AL185=BM$4,'Inputs Yr 2'!$AM185,IF('Inputs Yr 2'!$AN185=BM$4,'Inputs Yr 2'!$AO185,0))))*(INDEX(avoidedcosttbl2,$H185,BS$2)+(($H185-ROUNDDOWN($H185,0))*(INDEX(avoidedcosttbl2,ROUNDUP($H185,0),BS$2)-(INDEX(avoidedcosttbl2,ROUNDDOWN($H185,0),BS$2)))))*'Inputs Yr 2'!P185*'Inputs Yr 2'!Q185*'Inputs Yr 2'!U185,"")</f>
        <v/>
      </c>
      <c r="BT185" s="197" t="str">
        <f>IFERROR(($G185*IF('Inputs Yr 2'!$AJ185=BK$4,'Inputs Yr 2'!$AK185,IF('Inputs Yr 2'!$AL185=BK$4,'Inputs Yr 2'!$AM185,IF('Inputs Yr 2'!$AN185=BK$4,'Inputs Yr 2'!$AO185,0))))*(INDEX(avoidedcosttbl2,$H185,BT$2)+(($H185-ROUNDDOWN($H185,0))*(INDEX(avoidedcosttbl2,ROUNDUP($H185,0),BT$2)-(INDEX(avoidedcosttbl2,ROUNDDOWN($H185,0),BT$2)))))*'Inputs Yr 2'!P185*'Inputs Yr 2'!Q185*'Inputs Yr 2'!U185,"")</f>
        <v/>
      </c>
      <c r="BU185" s="197" t="str">
        <f>IFERROR(($G185*IF('Inputs Yr 2'!$AJ185=BL$4,'Inputs Yr 2'!$AK185,IF('Inputs Yr 2'!$AL185=BL$4,'Inputs Yr 2'!$AM185,IF('Inputs Yr 2'!$AN185=BL$4,'Inputs Yr 2'!$AO185,0))))*(INDEX(avoidedcosttbl2,$H185,BU$2)+(($H185-ROUNDDOWN($H185,0))*(INDEX(avoidedcosttbl2,ROUNDUP($H185,0),BU$2)-(INDEX(avoidedcosttbl2,ROUNDDOWN($H185,0),BU$2)))))*'Inputs Yr 2'!P185*'Inputs Yr 2'!Q185*'Inputs Yr 2'!U185,"")</f>
        <v/>
      </c>
      <c r="BV185" s="775" t="str">
        <f>IFERROR(($G185*IF('Inputs Yr 2'!$AJ185=BJ$4,'Inputs Yr 2'!$AK185,IF('Inputs Yr 2'!$AL185=BJ$4,'Inputs Yr 2'!$AM185,IF('Inputs Yr 2'!$AN185=BJ$4,'Inputs Yr 2'!$AO185,0))))*(INDEX(avoidedcosttbl2,$H185,BV$2)+(($H185-ROUNDDOWN($H185,0))*(INDEX(avoidedcosttbl2,ROUNDUP($H185,0),BV$2)-(INDEX(avoidedcosttbl2,ROUNDDOWN($H185,0),BV$2)))))*'Inputs Yr 2'!P185*'Inputs Yr 2'!Q185*'Inputs Yr 2'!U185,"")</f>
        <v/>
      </c>
      <c r="BW185" s="197" t="str">
        <f>IFERROR(($G185*IF('Inputs Yr 2'!$AJ185=BN$4,'Inputs Yr 2'!$AK185,IF('Inputs Yr 2'!$AL185=BN$4,'Inputs Yr 2'!$AM185,IF('Inputs Yr 2'!$AN185=BN$4,'Inputs Yr 2'!$AO185,0))))*(INDEX(avoidedcosttbl2,$H185,BW$2)+(($H185-ROUNDDOWN($H185,0))*(INDEX(avoidedcosttbl2,ROUNDUP($H185,0),BW$2)-(INDEX(avoidedcosttbl2,ROUNDDOWN($H185,0),BW$2)))))*'Inputs Yr 2'!P185*'Inputs Yr 2'!Q185*'Inputs Yr 2'!U185,"")</f>
        <v/>
      </c>
      <c r="BX185" s="197" t="str">
        <f>IFERROR(($G185*IF('Inputs Yr 2'!$AJ185=BO$4,'Inputs Yr 2'!$AK185,IF('Inputs Yr 2'!$AL185=BO$4,'Inputs Yr 2'!$AM185,IF('Inputs Yr 2'!$AN185=BO$4,'Inputs Yr 2'!$AO185,0))))*(INDEX(avoidedcosttbl2,$H185,BX$2)+(($H185-ROUNDDOWN($H185,0))*(INDEX(avoidedcosttbl2,ROUNDUP($H185,0),BX$2)-(INDEX(avoidedcosttbl2,ROUNDDOWN($H185,0),BX$2)))))*'Inputs Yr 2'!P185*'Inputs Yr 2'!Q185*'Inputs Yr 2'!U185,"")</f>
        <v/>
      </c>
      <c r="BY185" s="197" t="str">
        <f>IFERROR(($G185*IF('Inputs Yr 2'!$AJ185=BP$4,'Inputs Yr 2'!$AK185,IF('Inputs Yr 2'!$AL185=BP$4,'Inputs Yr 2'!$AM185,IF('Inputs Yr 2'!$AN185=BP$4,'Inputs Yr 2'!$AO185,0))))*(INDEX(avoidedcosttbl2,$H185,BY$2)+(($H185-ROUNDDOWN($H185,0))*(INDEX(avoidedcosttbl2,ROUNDUP($H185,0),BY$2)-(INDEX(avoidedcosttbl2,ROUNDDOWN($H185,0),BY$2)))))*'Inputs Yr 2'!P185*'Inputs Yr 2'!Q185*'Inputs Yr 2'!U185,"")</f>
        <v/>
      </c>
      <c r="BZ185" s="193">
        <f t="shared" si="99"/>
        <v>0</v>
      </c>
      <c r="CA185" s="193">
        <f t="shared" si="100"/>
        <v>0</v>
      </c>
      <c r="CB185" s="195" t="str">
        <f>IFERROR(G185*(IF('Inputs Yr 2'!$AJ185=CB$4,'Inputs Yr 2'!$AK185,IF('Inputs Yr 2'!$AL185=CB$4,'Inputs Yr 2'!$AM185,IF('Inputs Yr 2'!$AN185=CB$4,'Inputs Yr 2'!$AO185,0))))*(INDEX(avoidedcosttbl2,$H185,CB$2)+(($H185-ROUNDDOWN($H185,0))*(INDEX(avoidedcosttbl2,ROUNDUP($H185,0),CB$2)-(INDEX(avoidedcosttbl2,ROUNDDOWN($H185,0),CB$2)))))*'Inputs Yr 2'!P185*'Inputs Yr 2'!Q185*'Inputs Yr 2'!U185,"")</f>
        <v/>
      </c>
      <c r="CC185" s="195">
        <f>IFERROR(H185*(IF('Inputs Yr 2'!$AJ185=CC$4,'Inputs Yr 2'!$AK185,IF('Inputs Yr 2'!$AL185=CC$4,'Inputs Yr 2'!$AM185,IF('Inputs Yr 2'!$AN185=CC$4,'Inputs Yr 2'!$AO185,0))))*(INDEX(avoidedcosttbl2,$H185,CC$2)+(($H185-ROUNDDOWN($H185,0))*(INDEX(avoidedcosttbl2,ROUNDUP($H185,0),CC$2)-(INDEX(avoidedcosttbl2,ROUNDDOWN($H185,0),CC$2)))))*'Inputs Yr 2'!Q185*'Inputs Yr 2'!R185*'Inputs Yr 2'!V185,"")</f>
        <v>0</v>
      </c>
      <c r="CD185" s="195" t="str">
        <f>IFERROR(I185*(IF('Inputs Yr 2'!$AJ185=CD$4,'Inputs Yr 2'!$AK185,IF('Inputs Yr 2'!$AL185=CD$4,'Inputs Yr 2'!$AM185,IF('Inputs Yr 2'!$AN185=CD$4,'Inputs Yr 2'!$AO185,0))))*(INDEX(avoidedcosttbl2,$H185,CD$2)+(($H185-ROUNDDOWN($H185,0))*(INDEX(avoidedcosttbl2,ROUNDUP($H185,0),CD$2)-(INDEX(avoidedcosttbl2,ROUNDDOWN($H185,0),CD$2)))))*'Inputs Yr 2'!R185*'Inputs Yr 2'!S185*'Inputs Yr 2'!W185,"")</f>
        <v/>
      </c>
      <c r="CE185" s="213">
        <f t="shared" si="101"/>
        <v>0</v>
      </c>
      <c r="CF185" s="213">
        <f t="shared" si="102"/>
        <v>0</v>
      </c>
      <c r="CG185" s="213">
        <f t="shared" si="103"/>
        <v>0</v>
      </c>
      <c r="CH185" s="698">
        <f t="shared" si="104"/>
        <v>0</v>
      </c>
      <c r="CI185" s="79" t="str">
        <f>IFERROR(($G185*'Inputs Yr 2'!$P185*'Inputs Yr 2'!$Q185*(((INDEX(avoidedcosttbl2,$H185,CI$2)+(($H185-ROUNDDOWN($H185,0))*(INDEX(avoidedcosttbl2,ROUNDUP($H185,0),CI$2)-INDEX(avoidedcosttbl2,ROUNDDOWN($H185,0),CI$2))))*'Inputs Yr 2'!AS185))),"")</f>
        <v/>
      </c>
      <c r="CJ185" s="504" t="str">
        <f>IFERROR($G185*'Inputs Yr 2'!AT185*'Inputs Yr 2'!$P185*'Inputs Yr 2'!$Q185/((1+realdiscrt1)^-0.5),"")</f>
        <v/>
      </c>
      <c r="CK185" s="79" t="str">
        <f>IFERROR((O185*1000*(((INDEX(avoidedcosttbl2,$H185,CK$2)+(($H185-ROUNDDOWN($H185,0))*(INDEX(avoidedcosttbl2,ROUNDUP($H185,0),CK$2)-INDEX(avoidedcosttbl2,ROUNDDOWN($H185,0),CK$2))))*'Inputs Yr 2'!AU185))),"")</f>
        <v/>
      </c>
      <c r="CL185" s="504" t="str">
        <f>IFERROR(O185*1000*'Inputs Yr 2'!AV185/((1+realdiscrt1)^-0.5),"")</f>
        <v/>
      </c>
      <c r="CM185" s="79">
        <f>IFERROR((AB185*'Inputs Yr 2'!AW185*(((INDEX(avoidedcosttbl2,$H185,CM$2)+(($H185-ROUNDDOWN($H185,0))*(INDEX(avoidedcosttbl2,ROUNDUP($H185,0),CM$2)-INDEX(avoidedcosttbl2,ROUNDDOWN($H185,0),CM$2)))))))*10,"")</f>
        <v>0</v>
      </c>
      <c r="CN185" s="504">
        <f>IFERROR(10*AB185*'Inputs Yr 2'!AX185/((1+realdiscrt1)^-0.5),"")</f>
        <v>0</v>
      </c>
      <c r="CO185" s="505">
        <f t="shared" si="105"/>
        <v>0</v>
      </c>
      <c r="CP185" s="230">
        <f t="shared" si="106"/>
        <v>0</v>
      </c>
      <c r="CQ185" s="199">
        <f>ROUND(IFERROR(IF(LEFT($A185,1)="C",'Avoided Costs'!$K$13,'Avoided Costs'!$K$12)+1,""),4)</f>
        <v>1.0720000000000001</v>
      </c>
      <c r="CR185" s="199">
        <f>ROUND(IFERROR(IF(LEFT($A185,1)="C",'Avoided Costs'!$L$13,'Avoided Costs'!$L$12)+1,""),4)</f>
        <v>1.04</v>
      </c>
      <c r="CS185" s="199">
        <f>ROUND(IFERROR(IF(LEFT($A185,1)="C",'Avoided Costs'!$M$13,'Avoided Costs'!$M$12)+1,""),4)</f>
        <v>1.0720000000000001</v>
      </c>
      <c r="CT185" s="199">
        <f>ROUND(IFERROR(IF(LEFT($A185,1)="C",'Avoided Costs'!$N$13,'Avoided Costs'!$N$12)+1,""),4)</f>
        <v>1.04</v>
      </c>
      <c r="CU185" s="199">
        <f>ROUND(IFERROR(IF(LEFT($A185,1)="C",'Avoided Costs'!$O$13,'Avoided Costs'!$O$12)+1,""),4)</f>
        <v>1.1120000000000001</v>
      </c>
      <c r="CV185" s="199">
        <f>ROUND(IFERROR(IF(LEFT($A185,1)="C",'Avoided Costs'!$P$13,'Avoided Costs'!$P$12)+1,""),4)</f>
        <v>1.095</v>
      </c>
      <c r="CW185" s="199">
        <f>ROUND(IFERROR(IF(LEFT($A185,1)="C",'Avoided Costs'!$Q$13,'Avoided Costs'!$Q$12)+1,""),4)</f>
        <v>1.1120000000000001</v>
      </c>
      <c r="CX185" s="200">
        <f>ROUND(IFERROR(IF(LEFT($A185,1)="C",'Avoided Costs'!$R$13,'Avoided Costs'!$R$12)+1,""),4)</f>
        <v>1.1120000000000001</v>
      </c>
    </row>
    <row r="186" spans="1:102" ht="12.75" customHeight="1">
      <c r="A186" s="91" t="str">
        <f>IF('Inputs Yr 2'!$B186=0,"",'Inputs Yr 2'!A186)</f>
        <v>C - Commercial &amp; Industrial</v>
      </c>
      <c r="B186" s="91" t="str">
        <f>IF('Inputs Yr 2'!$B186=0,"",'Inputs Yr 2'!B186)</f>
        <v>C1 - C&amp;I New Construction</v>
      </c>
      <c r="C186" s="91" t="str">
        <f>IF('Inputs Yr 2'!$B186=0,"",'Inputs Yr 2'!C186)</f>
        <v>C1a - C&amp;I New Buildings &amp; Major Renovations</v>
      </c>
      <c r="D186" s="91" t="str">
        <f>IF('Inputs Yr 2'!$B186=0,"",'Inputs Yr 2'!E186)</f>
        <v>Condensing Unit Heater &lt;= 300 mbh</v>
      </c>
      <c r="E186" s="93" t="str">
        <f>IF('Inputs Yr 2'!$B186=0,"",'Inputs Yr 2'!F186)</f>
        <v>G16C1a29</v>
      </c>
      <c r="F186" s="93" t="str">
        <f>IF('Inputs Yr 2'!$B186=0,"",'Inputs Yr 2'!G186)</f>
        <v>HVAC</v>
      </c>
      <c r="G186" s="95" t="str">
        <f>IF('Inputs Yr 2'!$H186&lt;&gt;0,('Inputs Yr 2'!H186),"")</f>
        <v/>
      </c>
      <c r="H186" s="94">
        <f>IFERROR('Inputs Yr 2'!I186,"")</f>
        <v>18</v>
      </c>
      <c r="I186" s="298" t="str">
        <f>IFERROR('Inputs Yr 2'!J186*'Inputs Yr 2'!P186*G186,"")</f>
        <v/>
      </c>
      <c r="J186" s="298" t="str">
        <f>IFERROR('Inputs Yr 2'!K186*G186,"")</f>
        <v/>
      </c>
      <c r="K186" s="298" t="str">
        <f t="shared" si="83"/>
        <v/>
      </c>
      <c r="L186" s="194" t="str">
        <f>IFERROR(('Inputs Yr 2'!W186*G186)/1000,"")</f>
        <v/>
      </c>
      <c r="M186" s="194" t="str">
        <f>IFERROR(L186*('Inputs Yr 2'!$Q186*'Inputs Yr 2'!$V186*'Inputs Yr 2'!$R186),"")</f>
        <v/>
      </c>
      <c r="N186" s="194" t="str">
        <f t="shared" si="84"/>
        <v/>
      </c>
      <c r="O186" s="194" t="str">
        <f>IFERROR(M186*'Inputs Yr 2'!P186,"")</f>
        <v/>
      </c>
      <c r="P186" s="194" t="str">
        <f t="shared" si="85"/>
        <v/>
      </c>
      <c r="Q186" s="194" t="str">
        <f>IFERROR($P186*'Inputs Yr 2'!AA186,"")</f>
        <v/>
      </c>
      <c r="R186" s="194" t="str">
        <f>IFERROR($P186*'Inputs Yr 2'!AB186,"")</f>
        <v/>
      </c>
      <c r="S186" s="194" t="str">
        <f>IFERROR($P186*'Inputs Yr 2'!AC186,"")</f>
        <v/>
      </c>
      <c r="T186" s="194" t="str">
        <f>IFERROR($P186*'Inputs Yr 2'!AD186,"")</f>
        <v/>
      </c>
      <c r="U186" s="194" t="str">
        <f>IFERROR(G186*'Inputs Yr 2'!$AE186*'Inputs Yr 2'!$P186*'Inputs Yr 2'!$Q186,"")</f>
        <v/>
      </c>
      <c r="V186" s="194" t="str">
        <f>IFERROR($G186*'Inputs Yr 2'!$AE186*'Inputs Yr 2'!$AG186*'Inputs Yr 2'!Q186*'Inputs Yr 2'!$S186,"")</f>
        <v/>
      </c>
      <c r="W186" s="194" t="str">
        <f>IFERROR($G186*'Inputs Yr 2'!$AE186*'Inputs Yr 2'!$AG186*'Inputs Yr 2'!P186*'Inputs Yr 2'!Q186*'Inputs Yr 2'!$S186,"")</f>
        <v/>
      </c>
      <c r="X186" s="194" t="str">
        <f>IFERROR($G186*'Inputs Yr 2'!$AE186*'Inputs Yr 2'!$AF186*'Inputs Yr 2'!Q186*'Inputs Yr 2'!$T186,"")</f>
        <v/>
      </c>
      <c r="Y186" s="194" t="str">
        <f>IFERROR($G186*'Inputs Yr 2'!$AE186*'Inputs Yr 2'!$AF186*'Inputs Yr 2'!P186*'Inputs Yr 2'!Q186*'Inputs Yr 2'!$T186,"")</f>
        <v/>
      </c>
      <c r="Z186" s="257">
        <f>IFERROR($G186*'Inputs Yr 2'!$Q186*'Inputs Yr 2'!$U186*(IF(IFERROR(SEARCH("NG", 'Inputs Yr 2'!$AJ186),0),'Inputs Yr 2'!$AK186,0)+IF(IFERROR(SEARCH("NG", 'Inputs Yr 2'!$AL186),0),'Inputs Yr 2'!$AM186,0)+IF(IFERROR(SEARCH("NG", 'Inputs Yr 2'!$AN186),0),'Inputs Yr 2'!$AO186,0)),0)</f>
        <v>0</v>
      </c>
      <c r="AA186" s="257">
        <f t="shared" si="86"/>
        <v>0</v>
      </c>
      <c r="AB186" s="257">
        <f>IFERROR(Z186*'Inputs Yr 2'!$P186,0)</f>
        <v>0</v>
      </c>
      <c r="AC186" s="257">
        <f t="shared" si="87"/>
        <v>0</v>
      </c>
      <c r="AD186" s="257">
        <f>IFERROR($G186*'Inputs Yr 2'!$Q186*'Inputs Yr 2'!$U186*(IF(IFERROR(SEARCH("Oil", 'Inputs Yr 2'!$AJ186), 0),'Inputs Yr 2'!$AK186,0)+IF(IFERROR(SEARCH("Oil", 'Inputs Yr 2'!$AL186), 0),'Inputs Yr 2'!$AM186,0)+IF(IFERROR(SEARCH("Oil", 'Inputs Yr 2'!$AN186), 0),'Inputs Yr 2'!$AO186,0)),0)</f>
        <v>0</v>
      </c>
      <c r="AE186" s="257">
        <f t="shared" si="88"/>
        <v>0</v>
      </c>
      <c r="AF186" s="257">
        <f>IFERROR(AD186*'Inputs Yr 2'!$P186,0)</f>
        <v>0</v>
      </c>
      <c r="AG186" s="257">
        <f t="shared" si="89"/>
        <v>0</v>
      </c>
      <c r="AH186" s="257">
        <f>IFERROR($G186*'Inputs Yr 2'!$Q186*'Inputs Yr 2'!$U186*(IF('Inputs Yr 2'!$AJ186=CD$4,'Inputs Yr 2'!$AK186,IF('Inputs Yr 2'!$AL186=CD$4,'Inputs Yr 2'!$AM186,IF('Inputs Yr 2'!$AN186=CD$4,'Inputs Yr 2'!$AO186,0)))),0)</f>
        <v>0</v>
      </c>
      <c r="AI186" s="257">
        <f t="shared" si="90"/>
        <v>0</v>
      </c>
      <c r="AJ186" s="257">
        <f>IFERROR(AH186*'Inputs Yr 2'!$P186,0)</f>
        <v>0</v>
      </c>
      <c r="AK186" s="257">
        <f t="shared" si="91"/>
        <v>0</v>
      </c>
      <c r="AL186" s="258">
        <f>IFERROR($G186*'Inputs Yr 2'!$P186*'Inputs Yr 2'!$Q186*'Inputs Yr 2'!AP186,0)</f>
        <v>0</v>
      </c>
      <c r="AM186" s="260">
        <f>IFERROR($G186*'Inputs Yr 2'!$P186*'Inputs Yr 2'!$Q186*'Inputs Yr 2'!AQ186,0)</f>
        <v>0</v>
      </c>
      <c r="AN186" s="258">
        <f>IFERROR($G186*'Inputs Yr 2'!$P186*'Inputs Yr 2'!$Q186*'Inputs Yr 2'!AR186,0)</f>
        <v>0</v>
      </c>
      <c r="AO186" s="257">
        <f t="shared" si="92"/>
        <v>0</v>
      </c>
      <c r="AP186" s="195" t="str">
        <f>IFERROR($CQ186*(INDEX(avoidedcosttbl2,$H186,AP$2)+(($H186-ROUNDDOWN($H186,0))*(INDEX(avoidedcosttbl2,ROUNDUP($H186,0),AP$2)-(INDEX(avoidedcosttbl2,ROUNDDOWN($H186,0),AP$2)))))*$O186*1000*'Inputs Yr 2'!AA186,"")</f>
        <v/>
      </c>
      <c r="AQ186" s="195" t="str">
        <f>IFERROR($CR186*(INDEX(avoidedcosttbl2,$H186,AQ$2)+(($H186-ROUNDDOWN($H186,0))*(INDEX(avoidedcosttbl2,ROUNDUP($H186,0),AQ$2)-(INDEX(avoidedcosttbl2,ROUNDDOWN($H186,0),AQ$2)))))*$O186*1000*'Inputs Yr 2'!AB186,"")</f>
        <v/>
      </c>
      <c r="AR186" s="195" t="str">
        <f>IFERROR($CS186*(INDEX(avoidedcosttbl2,$H186,AR$2)+(($H186-ROUNDDOWN($H186,0))*(INDEX(avoidedcosttbl2,ROUNDUP($H186,0),AR$2)-(INDEX(avoidedcosttbl2,ROUNDDOWN($H186,0),AR$2)))))*$O186*1000*'Inputs Yr 2'!AC186,"")</f>
        <v/>
      </c>
      <c r="AS186" s="195" t="str">
        <f>IFERROR($CT186*(INDEX(avoidedcosttbl2,$H186,AS$2)+(($H186-ROUNDDOWN($H186,0))*(INDEX(avoidedcosttbl2,ROUNDUP($H186,0),AS$2)-(INDEX(avoidedcosttbl2,ROUNDDOWN($H186,0),AS$2)))))*$O186*1000*'Inputs Yr 2'!AD186,"")</f>
        <v/>
      </c>
      <c r="AT186" s="196">
        <f t="shared" si="93"/>
        <v>0</v>
      </c>
      <c r="AU186" s="197" t="str">
        <f>IFERROR($CQ186*((INDEX(avoidedcosttbl2,$H186,AU$2))+(($H186-ROUNDDOWN($H186,0))*((INDEX(avoidedcosttbl2,ROUNDUP($H186,0),AU$2))-(INDEX(avoidedcosttbl2,ROUNDDOWN($H186,0),AU$2)))))*$O186*1000*'Inputs Yr 2'!AA186,"")</f>
        <v/>
      </c>
      <c r="AV186" s="197" t="str">
        <f>IFERROR($CR186*((INDEX(avoidedcosttbl2,$H186,AV$2))+(($H186-ROUNDDOWN($H186,0))*((INDEX(avoidedcosttbl2,ROUNDUP($H186,0),AV$2))-(INDEX(avoidedcosttbl2,ROUNDDOWN($H186,0),AV$2)))))*$O186*1000*'Inputs Yr 2'!AB186,"")</f>
        <v/>
      </c>
      <c r="AW186" s="197" t="str">
        <f>IFERROR($CS186*((INDEX(avoidedcosttbl2,$H186,AW$2))+(($H186-ROUNDDOWN($H186,0))*((INDEX(avoidedcosttbl2,ROUNDUP($H186,0),AW$2))-(INDEX(avoidedcosttbl2,ROUNDDOWN($H186,0),AW$2)))))*$O186*1000*'Inputs Yr 2'!AC186,"")</f>
        <v/>
      </c>
      <c r="AX186" s="197" t="str">
        <f>IFERROR($CT186*((INDEX(avoidedcosttbl2,$H186,AX$2))+(($H186-ROUNDDOWN($H186,0))*((INDEX(avoidedcosttbl2,ROUNDUP($H186,0),AX$2))-(INDEX(avoidedcosttbl2,ROUNDDOWN($H186,0),AX$2)))))*$O186*1000*'Inputs Yr 2'!AD186,"")</f>
        <v/>
      </c>
      <c r="AY186" s="197" t="str">
        <f>IFERROR(((INDEX(avoidedcosttbl2,$H186,AY$2))+(($H186-ROUNDDOWN($H186,0))*((INDEX(avoidedcosttbl2,ROUNDUP($H186,0),AY$2))-(INDEX(avoidedcosttbl2,ROUNDDOWN($H186,0),AY$2)))))*$O186*1000*('Inputs Yr 2'!AC186+'Inputs Yr 2'!AD186),"")</f>
        <v/>
      </c>
      <c r="AZ186" s="197" t="str">
        <f>IFERROR(((INDEX(avoidedcosttbl2,$H186,AZ$2))+(($H186-ROUNDDOWN($H186,0))*((INDEX(avoidedcosttbl2,ROUNDUP($H186,0),AZ$2))-(INDEX(avoidedcosttbl2,ROUNDDOWN($H186,0),AZ$2)))))*$O186*1000*('Inputs Yr 2'!AA186+'Inputs Yr 2'!AB186),"")</f>
        <v/>
      </c>
      <c r="BA186" s="198">
        <f t="shared" si="94"/>
        <v>0</v>
      </c>
      <c r="BB186" s="198">
        <f t="shared" si="95"/>
        <v>0</v>
      </c>
      <c r="BC186" s="195" t="str">
        <f t="shared" si="77"/>
        <v/>
      </c>
      <c r="BD186" s="195" t="str">
        <f t="shared" si="78"/>
        <v/>
      </c>
      <c r="BE186" s="195" t="str">
        <f t="shared" si="79"/>
        <v/>
      </c>
      <c r="BF186" s="195" t="str">
        <f t="shared" si="80"/>
        <v/>
      </c>
      <c r="BG186" s="195" t="str">
        <f t="shared" si="81"/>
        <v/>
      </c>
      <c r="BH186" s="196">
        <f t="shared" si="96"/>
        <v>0</v>
      </c>
      <c r="BI186" s="196">
        <f t="shared" si="97"/>
        <v>0</v>
      </c>
      <c r="BJ186" s="195" t="str">
        <f>IFERROR($G186*(IF('Inputs Yr 2'!$AJ186=BJ$4,'Inputs Yr 2'!$AK186,IF('Inputs Yr 2'!$AL186=BJ$4,'Inputs Yr 2'!$AM186,IF('Inputs Yr 2'!$AN186=BJ$4,'Inputs Yr 2'!$AO186,0))))*(INDEX(avoidedcosttbl2,$H186,BJ$2)+(($H186-ROUNDDOWN($H186,0))*(INDEX(avoidedcosttbl2,ROUNDUP($H186,0),BJ$2)-(INDEX(avoidedcosttbl2,ROUNDDOWN($H186,0),BJ$2)))))*'Inputs Yr 2'!P186*'Inputs Yr 2'!Q186*'Inputs Yr 2'!U186,"")</f>
        <v/>
      </c>
      <c r="BK186" s="195" t="str">
        <f>IFERROR($G186*(IF('Inputs Yr 2'!$AJ186=BK$4,'Inputs Yr 2'!$AK186,IF('Inputs Yr 2'!$AL186=BK$4,'Inputs Yr 2'!$AM186,IF('Inputs Yr 2'!$AN186=BK$4,'Inputs Yr 2'!$AO186,0))))*(INDEX(avoidedcosttbl2,$H186,BK$2)+(($H186-ROUNDDOWN($H186,0))*(INDEX(avoidedcosttbl2,ROUNDUP($H186,0),BK$2)-(INDEX(avoidedcosttbl2,ROUNDDOWN($H186,0),BK$2)))))*'Inputs Yr 2'!P186*'Inputs Yr 2'!Q186*'Inputs Yr 2'!U186,"")</f>
        <v/>
      </c>
      <c r="BL186" s="195" t="str">
        <f>IFERROR($G186*(IF('Inputs Yr 2'!$AJ186=BL$4,'Inputs Yr 2'!$AK186,IF('Inputs Yr 2'!$AL186=BL$4,'Inputs Yr 2'!$AM186,IF('Inputs Yr 2'!$AN186=BL$4,'Inputs Yr 2'!$AO186,0))))*(INDEX(avoidedcosttbl2,$H186,BL$2)+(($H186-ROUNDDOWN($H186,0))*(INDEX(avoidedcosttbl2,ROUNDUP($H186,0),BL$2)-(INDEX(avoidedcosttbl2,ROUNDDOWN($H186,0),BL$2)))))*'Inputs Yr 2'!P186*'Inputs Yr 2'!Q186*'Inputs Yr 2'!U186,"")</f>
        <v/>
      </c>
      <c r="BM186" s="195" t="str">
        <f>IFERROR($G186*(IF('Inputs Yr 2'!$AJ186=BM$4,'Inputs Yr 2'!$AK186,IF('Inputs Yr 2'!$AL186=BM$4,'Inputs Yr 2'!$AM186,IF('Inputs Yr 2'!$AN186=BM$4,'Inputs Yr 2'!$AO186,0))))*(INDEX(avoidedcosttbl2,$H186,BM$2)+(($H186-ROUNDDOWN($H186,0))*(INDEX(avoidedcosttbl2,ROUNDUP($H186,0),BM$2)-(INDEX(avoidedcosttbl2,ROUNDDOWN($H186,0),BM$2)))))*'Inputs Yr 2'!P186*'Inputs Yr 2'!Q186*'Inputs Yr 2'!U186,"")</f>
        <v/>
      </c>
      <c r="BN186" s="195" t="str">
        <f>IFERROR($G186*(IF('Inputs Yr 2'!$AJ186=BN$4,'Inputs Yr 2'!$AK186,IF('Inputs Yr 2'!$AL186=BN$4,'Inputs Yr 2'!$AM186,IF('Inputs Yr 2'!$AN186=BN$4,'Inputs Yr 2'!$AO186,0))))*(INDEX(avoidedcosttbl2,$H186,BN$2)+(($H186-ROUNDDOWN($H186,0))*(INDEX(avoidedcosttbl2,ROUNDUP($H186,0),BN$2)-(INDEX(avoidedcosttbl2,ROUNDDOWN($H186,0),BN$2)))))*'Inputs Yr 2'!P186*'Inputs Yr 2'!Q186*'Inputs Yr 2'!U186,"")</f>
        <v/>
      </c>
      <c r="BO186" s="195" t="str">
        <f>IFERROR($G186*(IF('Inputs Yr 2'!$AJ186=BO$4,'Inputs Yr 2'!$AK186,IF('Inputs Yr 2'!$AL186=BO$4,'Inputs Yr 2'!$AM186,IF('Inputs Yr 2'!$AN186=BO$4,'Inputs Yr 2'!$AO186,0))))*(INDEX(avoidedcosttbl2,$H186,BO$2)+(($H186-ROUNDDOWN($H186,0))*(INDEX(avoidedcosttbl2,ROUNDUP($H186,0),BO$2)-(INDEX(avoidedcosttbl2,ROUNDDOWN($H186,0),BO$2)))))*'Inputs Yr 2'!P186*'Inputs Yr 2'!Q186*'Inputs Yr 2'!U186,"")</f>
        <v/>
      </c>
      <c r="BP186" s="195" t="str">
        <f>IFERROR($G186*(IF('Inputs Yr 2'!$AJ186=BP$4,'Inputs Yr 2'!$AK186,IF('Inputs Yr 2'!$AL186=BP$4,'Inputs Yr 2'!$AM186,IF('Inputs Yr 2'!$AN186=BP$4,'Inputs Yr 2'!$AO186,0))))*(INDEX(avoidedcosttbl2,$H186,BP$2)+(($H186-ROUNDDOWN($H186,0))*(INDEX(avoidedcosttbl2,ROUNDUP($H186,0),BP$2)-(INDEX(avoidedcosttbl2,ROUNDDOWN($H186,0),BP$2)))))*'Inputs Yr 2'!P186*'Inputs Yr 2'!Q186*'Inputs Yr 2'!U186,"")</f>
        <v/>
      </c>
      <c r="BQ186" s="230">
        <f t="shared" si="98"/>
        <v>0</v>
      </c>
      <c r="BR186" s="197">
        <f t="shared" si="82"/>
        <v>0</v>
      </c>
      <c r="BS186" s="197" t="str">
        <f>IFERROR(($G186*IF('Inputs Yr 2'!$AJ186=BM$4,'Inputs Yr 2'!$AK186,IF('Inputs Yr 2'!$AL186=BM$4,'Inputs Yr 2'!$AM186,IF('Inputs Yr 2'!$AN186=BM$4,'Inputs Yr 2'!$AO186,0))))*(INDEX(avoidedcosttbl2,$H186,BS$2)+(($H186-ROUNDDOWN($H186,0))*(INDEX(avoidedcosttbl2,ROUNDUP($H186,0),BS$2)-(INDEX(avoidedcosttbl2,ROUNDDOWN($H186,0),BS$2)))))*'Inputs Yr 2'!P186*'Inputs Yr 2'!Q186*'Inputs Yr 2'!U186,"")</f>
        <v/>
      </c>
      <c r="BT186" s="197" t="str">
        <f>IFERROR(($G186*IF('Inputs Yr 2'!$AJ186=BK$4,'Inputs Yr 2'!$AK186,IF('Inputs Yr 2'!$AL186=BK$4,'Inputs Yr 2'!$AM186,IF('Inputs Yr 2'!$AN186=BK$4,'Inputs Yr 2'!$AO186,0))))*(INDEX(avoidedcosttbl2,$H186,BT$2)+(($H186-ROUNDDOWN($H186,0))*(INDEX(avoidedcosttbl2,ROUNDUP($H186,0),BT$2)-(INDEX(avoidedcosttbl2,ROUNDDOWN($H186,0),BT$2)))))*'Inputs Yr 2'!P186*'Inputs Yr 2'!Q186*'Inputs Yr 2'!U186,"")</f>
        <v/>
      </c>
      <c r="BU186" s="197" t="str">
        <f>IFERROR(($G186*IF('Inputs Yr 2'!$AJ186=BL$4,'Inputs Yr 2'!$AK186,IF('Inputs Yr 2'!$AL186=BL$4,'Inputs Yr 2'!$AM186,IF('Inputs Yr 2'!$AN186=BL$4,'Inputs Yr 2'!$AO186,0))))*(INDEX(avoidedcosttbl2,$H186,BU$2)+(($H186-ROUNDDOWN($H186,0))*(INDEX(avoidedcosttbl2,ROUNDUP($H186,0),BU$2)-(INDEX(avoidedcosttbl2,ROUNDDOWN($H186,0),BU$2)))))*'Inputs Yr 2'!P186*'Inputs Yr 2'!Q186*'Inputs Yr 2'!U186,"")</f>
        <v/>
      </c>
      <c r="BV186" s="775" t="str">
        <f>IFERROR(($G186*IF('Inputs Yr 2'!$AJ186=BJ$4,'Inputs Yr 2'!$AK186,IF('Inputs Yr 2'!$AL186=BJ$4,'Inputs Yr 2'!$AM186,IF('Inputs Yr 2'!$AN186=BJ$4,'Inputs Yr 2'!$AO186,0))))*(INDEX(avoidedcosttbl2,$H186,BV$2)+(($H186-ROUNDDOWN($H186,0))*(INDEX(avoidedcosttbl2,ROUNDUP($H186,0),BV$2)-(INDEX(avoidedcosttbl2,ROUNDDOWN($H186,0),BV$2)))))*'Inputs Yr 2'!P186*'Inputs Yr 2'!Q186*'Inputs Yr 2'!U186,"")</f>
        <v/>
      </c>
      <c r="BW186" s="197" t="str">
        <f>IFERROR(($G186*IF('Inputs Yr 2'!$AJ186=BN$4,'Inputs Yr 2'!$AK186,IF('Inputs Yr 2'!$AL186=BN$4,'Inputs Yr 2'!$AM186,IF('Inputs Yr 2'!$AN186=BN$4,'Inputs Yr 2'!$AO186,0))))*(INDEX(avoidedcosttbl2,$H186,BW$2)+(($H186-ROUNDDOWN($H186,0))*(INDEX(avoidedcosttbl2,ROUNDUP($H186,0),BW$2)-(INDEX(avoidedcosttbl2,ROUNDDOWN($H186,0),BW$2)))))*'Inputs Yr 2'!P186*'Inputs Yr 2'!Q186*'Inputs Yr 2'!U186,"")</f>
        <v/>
      </c>
      <c r="BX186" s="197" t="str">
        <f>IFERROR(($G186*IF('Inputs Yr 2'!$AJ186=BO$4,'Inputs Yr 2'!$AK186,IF('Inputs Yr 2'!$AL186=BO$4,'Inputs Yr 2'!$AM186,IF('Inputs Yr 2'!$AN186=BO$4,'Inputs Yr 2'!$AO186,0))))*(INDEX(avoidedcosttbl2,$H186,BX$2)+(($H186-ROUNDDOWN($H186,0))*(INDEX(avoidedcosttbl2,ROUNDUP($H186,0),BX$2)-(INDEX(avoidedcosttbl2,ROUNDDOWN($H186,0),BX$2)))))*'Inputs Yr 2'!P186*'Inputs Yr 2'!Q186*'Inputs Yr 2'!U186,"")</f>
        <v/>
      </c>
      <c r="BY186" s="197" t="str">
        <f>IFERROR(($G186*IF('Inputs Yr 2'!$AJ186=BP$4,'Inputs Yr 2'!$AK186,IF('Inputs Yr 2'!$AL186=BP$4,'Inputs Yr 2'!$AM186,IF('Inputs Yr 2'!$AN186=BP$4,'Inputs Yr 2'!$AO186,0))))*(INDEX(avoidedcosttbl2,$H186,BY$2)+(($H186-ROUNDDOWN($H186,0))*(INDEX(avoidedcosttbl2,ROUNDUP($H186,0),BY$2)-(INDEX(avoidedcosttbl2,ROUNDDOWN($H186,0),BY$2)))))*'Inputs Yr 2'!P186*'Inputs Yr 2'!Q186*'Inputs Yr 2'!U186,"")</f>
        <v/>
      </c>
      <c r="BZ186" s="193">
        <f t="shared" si="99"/>
        <v>0</v>
      </c>
      <c r="CA186" s="193">
        <f t="shared" si="100"/>
        <v>0</v>
      </c>
      <c r="CB186" s="195" t="str">
        <f>IFERROR(G186*(IF('Inputs Yr 2'!$AJ186=CB$4,'Inputs Yr 2'!$AK186,IF('Inputs Yr 2'!$AL186=CB$4,'Inputs Yr 2'!$AM186,IF('Inputs Yr 2'!$AN186=CB$4,'Inputs Yr 2'!$AO186,0))))*(INDEX(avoidedcosttbl2,$H186,CB$2)+(($H186-ROUNDDOWN($H186,0))*(INDEX(avoidedcosttbl2,ROUNDUP($H186,0),CB$2)-(INDEX(avoidedcosttbl2,ROUNDDOWN($H186,0),CB$2)))))*'Inputs Yr 2'!P186*'Inputs Yr 2'!Q186*'Inputs Yr 2'!U186,"")</f>
        <v/>
      </c>
      <c r="CC186" s="195">
        <f>IFERROR(H186*(IF('Inputs Yr 2'!$AJ186=CC$4,'Inputs Yr 2'!$AK186,IF('Inputs Yr 2'!$AL186=CC$4,'Inputs Yr 2'!$AM186,IF('Inputs Yr 2'!$AN186=CC$4,'Inputs Yr 2'!$AO186,0))))*(INDEX(avoidedcosttbl2,$H186,CC$2)+(($H186-ROUNDDOWN($H186,0))*(INDEX(avoidedcosttbl2,ROUNDUP($H186,0),CC$2)-(INDEX(avoidedcosttbl2,ROUNDDOWN($H186,0),CC$2)))))*'Inputs Yr 2'!Q186*'Inputs Yr 2'!R186*'Inputs Yr 2'!V186,"")</f>
        <v>0</v>
      </c>
      <c r="CD186" s="195" t="str">
        <f>IFERROR(I186*(IF('Inputs Yr 2'!$AJ186=CD$4,'Inputs Yr 2'!$AK186,IF('Inputs Yr 2'!$AL186=CD$4,'Inputs Yr 2'!$AM186,IF('Inputs Yr 2'!$AN186=CD$4,'Inputs Yr 2'!$AO186,0))))*(INDEX(avoidedcosttbl2,$H186,CD$2)+(($H186-ROUNDDOWN($H186,0))*(INDEX(avoidedcosttbl2,ROUNDUP($H186,0),CD$2)-(INDEX(avoidedcosttbl2,ROUNDDOWN($H186,0),CD$2)))))*'Inputs Yr 2'!R186*'Inputs Yr 2'!S186*'Inputs Yr 2'!W186,"")</f>
        <v/>
      </c>
      <c r="CE186" s="213">
        <f t="shared" si="101"/>
        <v>0</v>
      </c>
      <c r="CF186" s="213">
        <f t="shared" si="102"/>
        <v>0</v>
      </c>
      <c r="CG186" s="213">
        <f t="shared" si="103"/>
        <v>0</v>
      </c>
      <c r="CH186" s="698">
        <f t="shared" si="104"/>
        <v>0</v>
      </c>
      <c r="CI186" s="79" t="str">
        <f>IFERROR(($G186*'Inputs Yr 2'!$P186*'Inputs Yr 2'!$Q186*(((INDEX(avoidedcosttbl2,$H186,CI$2)+(($H186-ROUNDDOWN($H186,0))*(INDEX(avoidedcosttbl2,ROUNDUP($H186,0),CI$2)-INDEX(avoidedcosttbl2,ROUNDDOWN($H186,0),CI$2))))*'Inputs Yr 2'!AS186))),"")</f>
        <v/>
      </c>
      <c r="CJ186" s="504" t="str">
        <f>IFERROR($G186*'Inputs Yr 2'!AT186*'Inputs Yr 2'!$P186*'Inputs Yr 2'!$Q186/((1+realdiscrt1)^-0.5),"")</f>
        <v/>
      </c>
      <c r="CK186" s="79" t="str">
        <f>IFERROR((O186*1000*(((INDEX(avoidedcosttbl2,$H186,CK$2)+(($H186-ROUNDDOWN($H186,0))*(INDEX(avoidedcosttbl2,ROUNDUP($H186,0),CK$2)-INDEX(avoidedcosttbl2,ROUNDDOWN($H186,0),CK$2))))*'Inputs Yr 2'!AU186))),"")</f>
        <v/>
      </c>
      <c r="CL186" s="504" t="str">
        <f>IFERROR(O186*1000*'Inputs Yr 2'!AV186/((1+realdiscrt1)^-0.5),"")</f>
        <v/>
      </c>
      <c r="CM186" s="79">
        <f>IFERROR((AB186*'Inputs Yr 2'!AW186*(((INDEX(avoidedcosttbl2,$H186,CM$2)+(($H186-ROUNDDOWN($H186,0))*(INDEX(avoidedcosttbl2,ROUNDUP($H186,0),CM$2)-INDEX(avoidedcosttbl2,ROUNDDOWN($H186,0),CM$2)))))))*10,"")</f>
        <v>0</v>
      </c>
      <c r="CN186" s="504">
        <f>IFERROR(10*AB186*'Inputs Yr 2'!AX186/((1+realdiscrt1)^-0.5),"")</f>
        <v>0</v>
      </c>
      <c r="CO186" s="505">
        <f t="shared" si="105"/>
        <v>0</v>
      </c>
      <c r="CP186" s="230">
        <f t="shared" si="106"/>
        <v>0</v>
      </c>
      <c r="CQ186" s="199">
        <f>ROUND(IFERROR(IF(LEFT($A186,1)="C",'Avoided Costs'!$K$13,'Avoided Costs'!$K$12)+1,""),4)</f>
        <v>1.0720000000000001</v>
      </c>
      <c r="CR186" s="199">
        <f>ROUND(IFERROR(IF(LEFT($A186,1)="C",'Avoided Costs'!$L$13,'Avoided Costs'!$L$12)+1,""),4)</f>
        <v>1.04</v>
      </c>
      <c r="CS186" s="199">
        <f>ROUND(IFERROR(IF(LEFT($A186,1)="C",'Avoided Costs'!$M$13,'Avoided Costs'!$M$12)+1,""),4)</f>
        <v>1.0720000000000001</v>
      </c>
      <c r="CT186" s="199">
        <f>ROUND(IFERROR(IF(LEFT($A186,1)="C",'Avoided Costs'!$N$13,'Avoided Costs'!$N$12)+1,""),4)</f>
        <v>1.04</v>
      </c>
      <c r="CU186" s="199">
        <f>ROUND(IFERROR(IF(LEFT($A186,1)="C",'Avoided Costs'!$O$13,'Avoided Costs'!$O$12)+1,""),4)</f>
        <v>1.1120000000000001</v>
      </c>
      <c r="CV186" s="199">
        <f>ROUND(IFERROR(IF(LEFT($A186,1)="C",'Avoided Costs'!$P$13,'Avoided Costs'!$P$12)+1,""),4)</f>
        <v>1.095</v>
      </c>
      <c r="CW186" s="199">
        <f>ROUND(IFERROR(IF(LEFT($A186,1)="C",'Avoided Costs'!$Q$13,'Avoided Costs'!$Q$12)+1,""),4)</f>
        <v>1.1120000000000001</v>
      </c>
      <c r="CX186" s="200">
        <f>ROUND(IFERROR(IF(LEFT($A186,1)="C",'Avoided Costs'!$R$13,'Avoided Costs'!$R$12)+1,""),4)</f>
        <v>1.1120000000000001</v>
      </c>
    </row>
    <row r="187" spans="1:102" ht="12.75" customHeight="1">
      <c r="A187" s="91" t="str">
        <f>IF('Inputs Yr 2'!$B187=0,"",'Inputs Yr 2'!A187)</f>
        <v>C - Commercial &amp; Industrial</v>
      </c>
      <c r="B187" s="91" t="str">
        <f>IF('Inputs Yr 2'!$B187=0,"",'Inputs Yr 2'!B187)</f>
        <v>C1 - C&amp;I New Construction</v>
      </c>
      <c r="C187" s="91" t="str">
        <f>IF('Inputs Yr 2'!$B187=0,"",'Inputs Yr 2'!C187)</f>
        <v>C1a - C&amp;I New Buildings &amp; Major Renovations</v>
      </c>
      <c r="D187" s="91" t="str">
        <f>IF('Inputs Yr 2'!$B187=0,"",'Inputs Yr 2'!E187)</f>
        <v>Infrared Heaters</v>
      </c>
      <c r="E187" s="93" t="str">
        <f>IF('Inputs Yr 2'!$B187=0,"",'Inputs Yr 2'!F187)</f>
        <v>G16C1a30</v>
      </c>
      <c r="F187" s="93" t="str">
        <f>IF('Inputs Yr 2'!$B187=0,"",'Inputs Yr 2'!G187)</f>
        <v>HVAC</v>
      </c>
      <c r="G187" s="95" t="str">
        <f>IF('Inputs Yr 2'!$H187&lt;&gt;0,('Inputs Yr 2'!H187),"")</f>
        <v/>
      </c>
      <c r="H187" s="94">
        <f>IFERROR('Inputs Yr 2'!I187,"")</f>
        <v>17</v>
      </c>
      <c r="I187" s="298" t="str">
        <f>IFERROR('Inputs Yr 2'!J187*'Inputs Yr 2'!P187*G187,"")</f>
        <v/>
      </c>
      <c r="J187" s="298" t="str">
        <f>IFERROR('Inputs Yr 2'!K187*G187,"")</f>
        <v/>
      </c>
      <c r="K187" s="298" t="str">
        <f t="shared" si="83"/>
        <v/>
      </c>
      <c r="L187" s="194" t="str">
        <f>IFERROR(('Inputs Yr 2'!W187*G187)/1000,"")</f>
        <v/>
      </c>
      <c r="M187" s="194" t="str">
        <f>IFERROR(L187*('Inputs Yr 2'!$Q187*'Inputs Yr 2'!$V187*'Inputs Yr 2'!$R187),"")</f>
        <v/>
      </c>
      <c r="N187" s="194" t="str">
        <f t="shared" si="84"/>
        <v/>
      </c>
      <c r="O187" s="194" t="str">
        <f>IFERROR(M187*'Inputs Yr 2'!P187,"")</f>
        <v/>
      </c>
      <c r="P187" s="194" t="str">
        <f t="shared" si="85"/>
        <v/>
      </c>
      <c r="Q187" s="194" t="str">
        <f>IFERROR($P187*'Inputs Yr 2'!AA187,"")</f>
        <v/>
      </c>
      <c r="R187" s="194" t="str">
        <f>IFERROR($P187*'Inputs Yr 2'!AB187,"")</f>
        <v/>
      </c>
      <c r="S187" s="194" t="str">
        <f>IFERROR($P187*'Inputs Yr 2'!AC187,"")</f>
        <v/>
      </c>
      <c r="T187" s="194" t="str">
        <f>IFERROR($P187*'Inputs Yr 2'!AD187,"")</f>
        <v/>
      </c>
      <c r="U187" s="194" t="str">
        <f>IFERROR(G187*'Inputs Yr 2'!$AE187*'Inputs Yr 2'!$P187*'Inputs Yr 2'!$Q187,"")</f>
        <v/>
      </c>
      <c r="V187" s="194" t="str">
        <f>IFERROR($G187*'Inputs Yr 2'!$AE187*'Inputs Yr 2'!$AG187*'Inputs Yr 2'!Q187*'Inputs Yr 2'!$S187,"")</f>
        <v/>
      </c>
      <c r="W187" s="194" t="str">
        <f>IFERROR($G187*'Inputs Yr 2'!$AE187*'Inputs Yr 2'!$AG187*'Inputs Yr 2'!P187*'Inputs Yr 2'!Q187*'Inputs Yr 2'!$S187,"")</f>
        <v/>
      </c>
      <c r="X187" s="194" t="str">
        <f>IFERROR($G187*'Inputs Yr 2'!$AE187*'Inputs Yr 2'!$AF187*'Inputs Yr 2'!Q187*'Inputs Yr 2'!$T187,"")</f>
        <v/>
      </c>
      <c r="Y187" s="194" t="str">
        <f>IFERROR($G187*'Inputs Yr 2'!$AE187*'Inputs Yr 2'!$AF187*'Inputs Yr 2'!P187*'Inputs Yr 2'!Q187*'Inputs Yr 2'!$T187,"")</f>
        <v/>
      </c>
      <c r="Z187" s="257">
        <f>IFERROR($G187*'Inputs Yr 2'!$Q187*'Inputs Yr 2'!$U187*(IF(IFERROR(SEARCH("NG", 'Inputs Yr 2'!$AJ187),0),'Inputs Yr 2'!$AK187,0)+IF(IFERROR(SEARCH("NG", 'Inputs Yr 2'!$AL187),0),'Inputs Yr 2'!$AM187,0)+IF(IFERROR(SEARCH("NG", 'Inputs Yr 2'!$AN187),0),'Inputs Yr 2'!$AO187,0)),0)</f>
        <v>0</v>
      </c>
      <c r="AA187" s="257">
        <f t="shared" si="86"/>
        <v>0</v>
      </c>
      <c r="AB187" s="257">
        <f>IFERROR(Z187*'Inputs Yr 2'!$P187,0)</f>
        <v>0</v>
      </c>
      <c r="AC187" s="257">
        <f t="shared" si="87"/>
        <v>0</v>
      </c>
      <c r="AD187" s="257">
        <f>IFERROR($G187*'Inputs Yr 2'!$Q187*'Inputs Yr 2'!$U187*(IF(IFERROR(SEARCH("Oil", 'Inputs Yr 2'!$AJ187), 0),'Inputs Yr 2'!$AK187,0)+IF(IFERROR(SEARCH("Oil", 'Inputs Yr 2'!$AL187), 0),'Inputs Yr 2'!$AM187,0)+IF(IFERROR(SEARCH("Oil", 'Inputs Yr 2'!$AN187), 0),'Inputs Yr 2'!$AO187,0)),0)</f>
        <v>0</v>
      </c>
      <c r="AE187" s="257">
        <f t="shared" si="88"/>
        <v>0</v>
      </c>
      <c r="AF187" s="257">
        <f>IFERROR(AD187*'Inputs Yr 2'!$P187,0)</f>
        <v>0</v>
      </c>
      <c r="AG187" s="257">
        <f t="shared" si="89"/>
        <v>0</v>
      </c>
      <c r="AH187" s="257">
        <f>IFERROR($G187*'Inputs Yr 2'!$Q187*'Inputs Yr 2'!$U187*(IF('Inputs Yr 2'!$AJ187=CD$4,'Inputs Yr 2'!$AK187,IF('Inputs Yr 2'!$AL187=CD$4,'Inputs Yr 2'!$AM187,IF('Inputs Yr 2'!$AN187=CD$4,'Inputs Yr 2'!$AO187,0)))),0)</f>
        <v>0</v>
      </c>
      <c r="AI187" s="257">
        <f t="shared" si="90"/>
        <v>0</v>
      </c>
      <c r="AJ187" s="257">
        <f>IFERROR(AH187*'Inputs Yr 2'!$P187,0)</f>
        <v>0</v>
      </c>
      <c r="AK187" s="257">
        <f t="shared" si="91"/>
        <v>0</v>
      </c>
      <c r="AL187" s="258">
        <f>IFERROR($G187*'Inputs Yr 2'!$P187*'Inputs Yr 2'!$Q187*'Inputs Yr 2'!AP187,0)</f>
        <v>0</v>
      </c>
      <c r="AM187" s="260">
        <f>IFERROR($G187*'Inputs Yr 2'!$P187*'Inputs Yr 2'!$Q187*'Inputs Yr 2'!AQ187,0)</f>
        <v>0</v>
      </c>
      <c r="AN187" s="258">
        <f>IFERROR($G187*'Inputs Yr 2'!$P187*'Inputs Yr 2'!$Q187*'Inputs Yr 2'!AR187,0)</f>
        <v>0</v>
      </c>
      <c r="AO187" s="257">
        <f t="shared" si="92"/>
        <v>0</v>
      </c>
      <c r="AP187" s="195" t="str">
        <f>IFERROR($CQ187*(INDEX(avoidedcosttbl2,$H187,AP$2)+(($H187-ROUNDDOWN($H187,0))*(INDEX(avoidedcosttbl2,ROUNDUP($H187,0),AP$2)-(INDEX(avoidedcosttbl2,ROUNDDOWN($H187,0),AP$2)))))*$O187*1000*'Inputs Yr 2'!AA187,"")</f>
        <v/>
      </c>
      <c r="AQ187" s="195" t="str">
        <f>IFERROR($CR187*(INDEX(avoidedcosttbl2,$H187,AQ$2)+(($H187-ROUNDDOWN($H187,0))*(INDEX(avoidedcosttbl2,ROUNDUP($H187,0),AQ$2)-(INDEX(avoidedcosttbl2,ROUNDDOWN($H187,0),AQ$2)))))*$O187*1000*'Inputs Yr 2'!AB187,"")</f>
        <v/>
      </c>
      <c r="AR187" s="195" t="str">
        <f>IFERROR($CS187*(INDEX(avoidedcosttbl2,$H187,AR$2)+(($H187-ROUNDDOWN($H187,0))*(INDEX(avoidedcosttbl2,ROUNDUP($H187,0),AR$2)-(INDEX(avoidedcosttbl2,ROUNDDOWN($H187,0),AR$2)))))*$O187*1000*'Inputs Yr 2'!AC187,"")</f>
        <v/>
      </c>
      <c r="AS187" s="195" t="str">
        <f>IFERROR($CT187*(INDEX(avoidedcosttbl2,$H187,AS$2)+(($H187-ROUNDDOWN($H187,0))*(INDEX(avoidedcosttbl2,ROUNDUP($H187,0),AS$2)-(INDEX(avoidedcosttbl2,ROUNDDOWN($H187,0),AS$2)))))*$O187*1000*'Inputs Yr 2'!AD187,"")</f>
        <v/>
      </c>
      <c r="AT187" s="196">
        <f t="shared" si="93"/>
        <v>0</v>
      </c>
      <c r="AU187" s="197" t="str">
        <f>IFERROR($CQ187*((INDEX(avoidedcosttbl2,$H187,AU$2))+(($H187-ROUNDDOWN($H187,0))*((INDEX(avoidedcosttbl2,ROUNDUP($H187,0),AU$2))-(INDEX(avoidedcosttbl2,ROUNDDOWN($H187,0),AU$2)))))*$O187*1000*'Inputs Yr 2'!AA187,"")</f>
        <v/>
      </c>
      <c r="AV187" s="197" t="str">
        <f>IFERROR($CR187*((INDEX(avoidedcosttbl2,$H187,AV$2))+(($H187-ROUNDDOWN($H187,0))*((INDEX(avoidedcosttbl2,ROUNDUP($H187,0),AV$2))-(INDEX(avoidedcosttbl2,ROUNDDOWN($H187,0),AV$2)))))*$O187*1000*'Inputs Yr 2'!AB187,"")</f>
        <v/>
      </c>
      <c r="AW187" s="197" t="str">
        <f>IFERROR($CS187*((INDEX(avoidedcosttbl2,$H187,AW$2))+(($H187-ROUNDDOWN($H187,0))*((INDEX(avoidedcosttbl2,ROUNDUP($H187,0),AW$2))-(INDEX(avoidedcosttbl2,ROUNDDOWN($H187,0),AW$2)))))*$O187*1000*'Inputs Yr 2'!AC187,"")</f>
        <v/>
      </c>
      <c r="AX187" s="197" t="str">
        <f>IFERROR($CT187*((INDEX(avoidedcosttbl2,$H187,AX$2))+(($H187-ROUNDDOWN($H187,0))*((INDEX(avoidedcosttbl2,ROUNDUP($H187,0),AX$2))-(INDEX(avoidedcosttbl2,ROUNDDOWN($H187,0),AX$2)))))*$O187*1000*'Inputs Yr 2'!AD187,"")</f>
        <v/>
      </c>
      <c r="AY187" s="197" t="str">
        <f>IFERROR(((INDEX(avoidedcosttbl2,$H187,AY$2))+(($H187-ROUNDDOWN($H187,0))*((INDEX(avoidedcosttbl2,ROUNDUP($H187,0),AY$2))-(INDEX(avoidedcosttbl2,ROUNDDOWN($H187,0),AY$2)))))*$O187*1000*('Inputs Yr 2'!AC187+'Inputs Yr 2'!AD187),"")</f>
        <v/>
      </c>
      <c r="AZ187" s="197" t="str">
        <f>IFERROR(((INDEX(avoidedcosttbl2,$H187,AZ$2))+(($H187-ROUNDDOWN($H187,0))*((INDEX(avoidedcosttbl2,ROUNDUP($H187,0),AZ$2))-(INDEX(avoidedcosttbl2,ROUNDDOWN($H187,0),AZ$2)))))*$O187*1000*('Inputs Yr 2'!AA187+'Inputs Yr 2'!AB187),"")</f>
        <v/>
      </c>
      <c r="BA187" s="198">
        <f t="shared" si="94"/>
        <v>0</v>
      </c>
      <c r="BB187" s="198">
        <f t="shared" si="95"/>
        <v>0</v>
      </c>
      <c r="BC187" s="195" t="str">
        <f t="shared" si="77"/>
        <v/>
      </c>
      <c r="BD187" s="195" t="str">
        <f t="shared" si="78"/>
        <v/>
      </c>
      <c r="BE187" s="195" t="str">
        <f t="shared" si="79"/>
        <v/>
      </c>
      <c r="BF187" s="195" t="str">
        <f t="shared" si="80"/>
        <v/>
      </c>
      <c r="BG187" s="195" t="str">
        <f t="shared" si="81"/>
        <v/>
      </c>
      <c r="BH187" s="196">
        <f t="shared" si="96"/>
        <v>0</v>
      </c>
      <c r="BI187" s="196">
        <f t="shared" si="97"/>
        <v>0</v>
      </c>
      <c r="BJ187" s="195" t="str">
        <f>IFERROR($G187*(IF('Inputs Yr 2'!$AJ187=BJ$4,'Inputs Yr 2'!$AK187,IF('Inputs Yr 2'!$AL187=BJ$4,'Inputs Yr 2'!$AM187,IF('Inputs Yr 2'!$AN187=BJ$4,'Inputs Yr 2'!$AO187,0))))*(INDEX(avoidedcosttbl2,$H187,BJ$2)+(($H187-ROUNDDOWN($H187,0))*(INDEX(avoidedcosttbl2,ROUNDUP($H187,0),BJ$2)-(INDEX(avoidedcosttbl2,ROUNDDOWN($H187,0),BJ$2)))))*'Inputs Yr 2'!P187*'Inputs Yr 2'!Q187*'Inputs Yr 2'!U187,"")</f>
        <v/>
      </c>
      <c r="BK187" s="195" t="str">
        <f>IFERROR($G187*(IF('Inputs Yr 2'!$AJ187=BK$4,'Inputs Yr 2'!$AK187,IF('Inputs Yr 2'!$AL187=BK$4,'Inputs Yr 2'!$AM187,IF('Inputs Yr 2'!$AN187=BK$4,'Inputs Yr 2'!$AO187,0))))*(INDEX(avoidedcosttbl2,$H187,BK$2)+(($H187-ROUNDDOWN($H187,0))*(INDEX(avoidedcosttbl2,ROUNDUP($H187,0),BK$2)-(INDEX(avoidedcosttbl2,ROUNDDOWN($H187,0),BK$2)))))*'Inputs Yr 2'!P187*'Inputs Yr 2'!Q187*'Inputs Yr 2'!U187,"")</f>
        <v/>
      </c>
      <c r="BL187" s="195" t="str">
        <f>IFERROR($G187*(IF('Inputs Yr 2'!$AJ187=BL$4,'Inputs Yr 2'!$AK187,IF('Inputs Yr 2'!$AL187=BL$4,'Inputs Yr 2'!$AM187,IF('Inputs Yr 2'!$AN187=BL$4,'Inputs Yr 2'!$AO187,0))))*(INDEX(avoidedcosttbl2,$H187,BL$2)+(($H187-ROUNDDOWN($H187,0))*(INDEX(avoidedcosttbl2,ROUNDUP($H187,0),BL$2)-(INDEX(avoidedcosttbl2,ROUNDDOWN($H187,0),BL$2)))))*'Inputs Yr 2'!P187*'Inputs Yr 2'!Q187*'Inputs Yr 2'!U187,"")</f>
        <v/>
      </c>
      <c r="BM187" s="195" t="str">
        <f>IFERROR($G187*(IF('Inputs Yr 2'!$AJ187=BM$4,'Inputs Yr 2'!$AK187,IF('Inputs Yr 2'!$AL187=BM$4,'Inputs Yr 2'!$AM187,IF('Inputs Yr 2'!$AN187=BM$4,'Inputs Yr 2'!$AO187,0))))*(INDEX(avoidedcosttbl2,$H187,BM$2)+(($H187-ROUNDDOWN($H187,0))*(INDEX(avoidedcosttbl2,ROUNDUP($H187,0),BM$2)-(INDEX(avoidedcosttbl2,ROUNDDOWN($H187,0),BM$2)))))*'Inputs Yr 2'!P187*'Inputs Yr 2'!Q187*'Inputs Yr 2'!U187,"")</f>
        <v/>
      </c>
      <c r="BN187" s="195" t="str">
        <f>IFERROR($G187*(IF('Inputs Yr 2'!$AJ187=BN$4,'Inputs Yr 2'!$AK187,IF('Inputs Yr 2'!$AL187=BN$4,'Inputs Yr 2'!$AM187,IF('Inputs Yr 2'!$AN187=BN$4,'Inputs Yr 2'!$AO187,0))))*(INDEX(avoidedcosttbl2,$H187,BN$2)+(($H187-ROUNDDOWN($H187,0))*(INDEX(avoidedcosttbl2,ROUNDUP($H187,0),BN$2)-(INDEX(avoidedcosttbl2,ROUNDDOWN($H187,0),BN$2)))))*'Inputs Yr 2'!P187*'Inputs Yr 2'!Q187*'Inputs Yr 2'!U187,"")</f>
        <v/>
      </c>
      <c r="BO187" s="195" t="str">
        <f>IFERROR($G187*(IF('Inputs Yr 2'!$AJ187=BO$4,'Inputs Yr 2'!$AK187,IF('Inputs Yr 2'!$AL187=BO$4,'Inputs Yr 2'!$AM187,IF('Inputs Yr 2'!$AN187=BO$4,'Inputs Yr 2'!$AO187,0))))*(INDEX(avoidedcosttbl2,$H187,BO$2)+(($H187-ROUNDDOWN($H187,0))*(INDEX(avoidedcosttbl2,ROUNDUP($H187,0),BO$2)-(INDEX(avoidedcosttbl2,ROUNDDOWN($H187,0),BO$2)))))*'Inputs Yr 2'!P187*'Inputs Yr 2'!Q187*'Inputs Yr 2'!U187,"")</f>
        <v/>
      </c>
      <c r="BP187" s="195" t="str">
        <f>IFERROR($G187*(IF('Inputs Yr 2'!$AJ187=BP$4,'Inputs Yr 2'!$AK187,IF('Inputs Yr 2'!$AL187=BP$4,'Inputs Yr 2'!$AM187,IF('Inputs Yr 2'!$AN187=BP$4,'Inputs Yr 2'!$AO187,0))))*(INDEX(avoidedcosttbl2,$H187,BP$2)+(($H187-ROUNDDOWN($H187,0))*(INDEX(avoidedcosttbl2,ROUNDUP($H187,0),BP$2)-(INDEX(avoidedcosttbl2,ROUNDDOWN($H187,0),BP$2)))))*'Inputs Yr 2'!P187*'Inputs Yr 2'!Q187*'Inputs Yr 2'!U187,"")</f>
        <v/>
      </c>
      <c r="BQ187" s="230">
        <f t="shared" si="98"/>
        <v>0</v>
      </c>
      <c r="BR187" s="197">
        <f t="shared" si="82"/>
        <v>0</v>
      </c>
      <c r="BS187" s="197" t="str">
        <f>IFERROR(($G187*IF('Inputs Yr 2'!$AJ187=BM$4,'Inputs Yr 2'!$AK187,IF('Inputs Yr 2'!$AL187=BM$4,'Inputs Yr 2'!$AM187,IF('Inputs Yr 2'!$AN187=BM$4,'Inputs Yr 2'!$AO187,0))))*(INDEX(avoidedcosttbl2,$H187,BS$2)+(($H187-ROUNDDOWN($H187,0))*(INDEX(avoidedcosttbl2,ROUNDUP($H187,0),BS$2)-(INDEX(avoidedcosttbl2,ROUNDDOWN($H187,0),BS$2)))))*'Inputs Yr 2'!P187*'Inputs Yr 2'!Q187*'Inputs Yr 2'!U187,"")</f>
        <v/>
      </c>
      <c r="BT187" s="197" t="str">
        <f>IFERROR(($G187*IF('Inputs Yr 2'!$AJ187=BK$4,'Inputs Yr 2'!$AK187,IF('Inputs Yr 2'!$AL187=BK$4,'Inputs Yr 2'!$AM187,IF('Inputs Yr 2'!$AN187=BK$4,'Inputs Yr 2'!$AO187,0))))*(INDEX(avoidedcosttbl2,$H187,BT$2)+(($H187-ROUNDDOWN($H187,0))*(INDEX(avoidedcosttbl2,ROUNDUP($H187,0),BT$2)-(INDEX(avoidedcosttbl2,ROUNDDOWN($H187,0),BT$2)))))*'Inputs Yr 2'!P187*'Inputs Yr 2'!Q187*'Inputs Yr 2'!U187,"")</f>
        <v/>
      </c>
      <c r="BU187" s="197" t="str">
        <f>IFERROR(($G187*IF('Inputs Yr 2'!$AJ187=BL$4,'Inputs Yr 2'!$AK187,IF('Inputs Yr 2'!$AL187=BL$4,'Inputs Yr 2'!$AM187,IF('Inputs Yr 2'!$AN187=BL$4,'Inputs Yr 2'!$AO187,0))))*(INDEX(avoidedcosttbl2,$H187,BU$2)+(($H187-ROUNDDOWN($H187,0))*(INDEX(avoidedcosttbl2,ROUNDUP($H187,0),BU$2)-(INDEX(avoidedcosttbl2,ROUNDDOWN($H187,0),BU$2)))))*'Inputs Yr 2'!P187*'Inputs Yr 2'!Q187*'Inputs Yr 2'!U187,"")</f>
        <v/>
      </c>
      <c r="BV187" s="775" t="str">
        <f>IFERROR(($G187*IF('Inputs Yr 2'!$AJ187=BJ$4,'Inputs Yr 2'!$AK187,IF('Inputs Yr 2'!$AL187=BJ$4,'Inputs Yr 2'!$AM187,IF('Inputs Yr 2'!$AN187=BJ$4,'Inputs Yr 2'!$AO187,0))))*(INDEX(avoidedcosttbl2,$H187,BV$2)+(($H187-ROUNDDOWN($H187,0))*(INDEX(avoidedcosttbl2,ROUNDUP($H187,0),BV$2)-(INDEX(avoidedcosttbl2,ROUNDDOWN($H187,0),BV$2)))))*'Inputs Yr 2'!P187*'Inputs Yr 2'!Q187*'Inputs Yr 2'!U187,"")</f>
        <v/>
      </c>
      <c r="BW187" s="197" t="str">
        <f>IFERROR(($G187*IF('Inputs Yr 2'!$AJ187=BN$4,'Inputs Yr 2'!$AK187,IF('Inputs Yr 2'!$AL187=BN$4,'Inputs Yr 2'!$AM187,IF('Inputs Yr 2'!$AN187=BN$4,'Inputs Yr 2'!$AO187,0))))*(INDEX(avoidedcosttbl2,$H187,BW$2)+(($H187-ROUNDDOWN($H187,0))*(INDEX(avoidedcosttbl2,ROUNDUP($H187,0),BW$2)-(INDEX(avoidedcosttbl2,ROUNDDOWN($H187,0),BW$2)))))*'Inputs Yr 2'!P187*'Inputs Yr 2'!Q187*'Inputs Yr 2'!U187,"")</f>
        <v/>
      </c>
      <c r="BX187" s="197" t="str">
        <f>IFERROR(($G187*IF('Inputs Yr 2'!$AJ187=BO$4,'Inputs Yr 2'!$AK187,IF('Inputs Yr 2'!$AL187=BO$4,'Inputs Yr 2'!$AM187,IF('Inputs Yr 2'!$AN187=BO$4,'Inputs Yr 2'!$AO187,0))))*(INDEX(avoidedcosttbl2,$H187,BX$2)+(($H187-ROUNDDOWN($H187,0))*(INDEX(avoidedcosttbl2,ROUNDUP($H187,0),BX$2)-(INDEX(avoidedcosttbl2,ROUNDDOWN($H187,0),BX$2)))))*'Inputs Yr 2'!P187*'Inputs Yr 2'!Q187*'Inputs Yr 2'!U187,"")</f>
        <v/>
      </c>
      <c r="BY187" s="197" t="str">
        <f>IFERROR(($G187*IF('Inputs Yr 2'!$AJ187=BP$4,'Inputs Yr 2'!$AK187,IF('Inputs Yr 2'!$AL187=BP$4,'Inputs Yr 2'!$AM187,IF('Inputs Yr 2'!$AN187=BP$4,'Inputs Yr 2'!$AO187,0))))*(INDEX(avoidedcosttbl2,$H187,BY$2)+(($H187-ROUNDDOWN($H187,0))*(INDEX(avoidedcosttbl2,ROUNDUP($H187,0),BY$2)-(INDEX(avoidedcosttbl2,ROUNDDOWN($H187,0),BY$2)))))*'Inputs Yr 2'!P187*'Inputs Yr 2'!Q187*'Inputs Yr 2'!U187,"")</f>
        <v/>
      </c>
      <c r="BZ187" s="193">
        <f t="shared" si="99"/>
        <v>0</v>
      </c>
      <c r="CA187" s="193">
        <f t="shared" si="100"/>
        <v>0</v>
      </c>
      <c r="CB187" s="195" t="str">
        <f>IFERROR(G187*(IF('Inputs Yr 2'!$AJ187=CB$4,'Inputs Yr 2'!$AK187,IF('Inputs Yr 2'!$AL187=CB$4,'Inputs Yr 2'!$AM187,IF('Inputs Yr 2'!$AN187=CB$4,'Inputs Yr 2'!$AO187,0))))*(INDEX(avoidedcosttbl2,$H187,CB$2)+(($H187-ROUNDDOWN($H187,0))*(INDEX(avoidedcosttbl2,ROUNDUP($H187,0),CB$2)-(INDEX(avoidedcosttbl2,ROUNDDOWN($H187,0),CB$2)))))*'Inputs Yr 2'!P187*'Inputs Yr 2'!Q187*'Inputs Yr 2'!U187,"")</f>
        <v/>
      </c>
      <c r="CC187" s="195">
        <f>IFERROR(H187*(IF('Inputs Yr 2'!$AJ187=CC$4,'Inputs Yr 2'!$AK187,IF('Inputs Yr 2'!$AL187=CC$4,'Inputs Yr 2'!$AM187,IF('Inputs Yr 2'!$AN187=CC$4,'Inputs Yr 2'!$AO187,0))))*(INDEX(avoidedcosttbl2,$H187,CC$2)+(($H187-ROUNDDOWN($H187,0))*(INDEX(avoidedcosttbl2,ROUNDUP($H187,0),CC$2)-(INDEX(avoidedcosttbl2,ROUNDDOWN($H187,0),CC$2)))))*'Inputs Yr 2'!Q187*'Inputs Yr 2'!R187*'Inputs Yr 2'!V187,"")</f>
        <v>0</v>
      </c>
      <c r="CD187" s="195" t="str">
        <f>IFERROR(I187*(IF('Inputs Yr 2'!$AJ187=CD$4,'Inputs Yr 2'!$AK187,IF('Inputs Yr 2'!$AL187=CD$4,'Inputs Yr 2'!$AM187,IF('Inputs Yr 2'!$AN187=CD$4,'Inputs Yr 2'!$AO187,0))))*(INDEX(avoidedcosttbl2,$H187,CD$2)+(($H187-ROUNDDOWN($H187,0))*(INDEX(avoidedcosttbl2,ROUNDUP($H187,0),CD$2)-(INDEX(avoidedcosttbl2,ROUNDDOWN($H187,0),CD$2)))))*'Inputs Yr 2'!R187*'Inputs Yr 2'!S187*'Inputs Yr 2'!W187,"")</f>
        <v/>
      </c>
      <c r="CE187" s="213">
        <f t="shared" si="101"/>
        <v>0</v>
      </c>
      <c r="CF187" s="213">
        <f t="shared" si="102"/>
        <v>0</v>
      </c>
      <c r="CG187" s="213">
        <f t="shared" si="103"/>
        <v>0</v>
      </c>
      <c r="CH187" s="698">
        <f t="shared" si="104"/>
        <v>0</v>
      </c>
      <c r="CI187" s="79" t="str">
        <f>IFERROR(($G187*'Inputs Yr 2'!$P187*'Inputs Yr 2'!$Q187*(((INDEX(avoidedcosttbl2,$H187,CI$2)+(($H187-ROUNDDOWN($H187,0))*(INDEX(avoidedcosttbl2,ROUNDUP($H187,0),CI$2)-INDEX(avoidedcosttbl2,ROUNDDOWN($H187,0),CI$2))))*'Inputs Yr 2'!AS187))),"")</f>
        <v/>
      </c>
      <c r="CJ187" s="504" t="str">
        <f>IFERROR($G187*'Inputs Yr 2'!AT187*'Inputs Yr 2'!$P187*'Inputs Yr 2'!$Q187/((1+realdiscrt1)^-0.5),"")</f>
        <v/>
      </c>
      <c r="CK187" s="79" t="str">
        <f>IFERROR((O187*1000*(((INDEX(avoidedcosttbl2,$H187,CK$2)+(($H187-ROUNDDOWN($H187,0))*(INDEX(avoidedcosttbl2,ROUNDUP($H187,0),CK$2)-INDEX(avoidedcosttbl2,ROUNDDOWN($H187,0),CK$2))))*'Inputs Yr 2'!AU187))),"")</f>
        <v/>
      </c>
      <c r="CL187" s="504" t="str">
        <f>IFERROR(O187*1000*'Inputs Yr 2'!AV187/((1+realdiscrt1)^-0.5),"")</f>
        <v/>
      </c>
      <c r="CM187" s="79">
        <f>IFERROR((AB187*'Inputs Yr 2'!AW187*(((INDEX(avoidedcosttbl2,$H187,CM$2)+(($H187-ROUNDDOWN($H187,0))*(INDEX(avoidedcosttbl2,ROUNDUP($H187,0),CM$2)-INDEX(avoidedcosttbl2,ROUNDDOWN($H187,0),CM$2)))))))*10,"")</f>
        <v>0</v>
      </c>
      <c r="CN187" s="504">
        <f>IFERROR(10*AB187*'Inputs Yr 2'!AX187/((1+realdiscrt1)^-0.5),"")</f>
        <v>0</v>
      </c>
      <c r="CO187" s="505">
        <f t="shared" si="105"/>
        <v>0</v>
      </c>
      <c r="CP187" s="230">
        <f t="shared" si="106"/>
        <v>0</v>
      </c>
      <c r="CQ187" s="199">
        <f>ROUND(IFERROR(IF(LEFT($A187,1)="C",'Avoided Costs'!$K$13,'Avoided Costs'!$K$12)+1,""),4)</f>
        <v>1.0720000000000001</v>
      </c>
      <c r="CR187" s="199">
        <f>ROUND(IFERROR(IF(LEFT($A187,1)="C",'Avoided Costs'!$L$13,'Avoided Costs'!$L$12)+1,""),4)</f>
        <v>1.04</v>
      </c>
      <c r="CS187" s="199">
        <f>ROUND(IFERROR(IF(LEFT($A187,1)="C",'Avoided Costs'!$M$13,'Avoided Costs'!$M$12)+1,""),4)</f>
        <v>1.0720000000000001</v>
      </c>
      <c r="CT187" s="199">
        <f>ROUND(IFERROR(IF(LEFT($A187,1)="C",'Avoided Costs'!$N$13,'Avoided Costs'!$N$12)+1,""),4)</f>
        <v>1.04</v>
      </c>
      <c r="CU187" s="199">
        <f>ROUND(IFERROR(IF(LEFT($A187,1)="C",'Avoided Costs'!$O$13,'Avoided Costs'!$O$12)+1,""),4)</f>
        <v>1.1120000000000001</v>
      </c>
      <c r="CV187" s="199">
        <f>ROUND(IFERROR(IF(LEFT($A187,1)="C",'Avoided Costs'!$P$13,'Avoided Costs'!$P$12)+1,""),4)</f>
        <v>1.095</v>
      </c>
      <c r="CW187" s="199">
        <f>ROUND(IFERROR(IF(LEFT($A187,1)="C",'Avoided Costs'!$Q$13,'Avoided Costs'!$Q$12)+1,""),4)</f>
        <v>1.1120000000000001</v>
      </c>
      <c r="CX187" s="200">
        <f>ROUND(IFERROR(IF(LEFT($A187,1)="C",'Avoided Costs'!$R$13,'Avoided Costs'!$R$12)+1,""),4)</f>
        <v>1.1120000000000001</v>
      </c>
    </row>
    <row r="188" spans="1:102" ht="12.75" customHeight="1">
      <c r="A188" s="91" t="str">
        <f>IF('Inputs Yr 2'!$B188=0,"",'Inputs Yr 2'!A188)</f>
        <v>C - Commercial &amp; Industrial</v>
      </c>
      <c r="B188" s="91" t="str">
        <f>IF('Inputs Yr 2'!$B188=0,"",'Inputs Yr 2'!B188)</f>
        <v>C1 - C&amp;I New Construction</v>
      </c>
      <c r="C188" s="91" t="str">
        <f>IF('Inputs Yr 2'!$B188=0,"",'Inputs Yr 2'!C188)</f>
        <v>C1a - C&amp;I New Buildings &amp; Major Renovations</v>
      </c>
      <c r="D188" s="91" t="str">
        <f>IF('Inputs Yr 2'!$B188=0,"",'Inputs Yr 2'!E188)</f>
        <v>Combo Condensing Boiler/Water Heater 90%</v>
      </c>
      <c r="E188" s="93" t="str">
        <f>IF('Inputs Yr 2'!$B188=0,"",'Inputs Yr 2'!F188)</f>
        <v>G16C1a31</v>
      </c>
      <c r="F188" s="93" t="str">
        <f>IF('Inputs Yr 2'!$B188=0,"",'Inputs Yr 2'!G188)</f>
        <v>HVAC</v>
      </c>
      <c r="G188" s="95" t="str">
        <f>IF('Inputs Yr 2'!$H188&lt;&gt;0,('Inputs Yr 2'!H188),"")</f>
        <v/>
      </c>
      <c r="H188" s="94">
        <f>IFERROR('Inputs Yr 2'!I188,"")</f>
        <v>20</v>
      </c>
      <c r="I188" s="298" t="str">
        <f>IFERROR('Inputs Yr 2'!J188*'Inputs Yr 2'!P188*G188,"")</f>
        <v/>
      </c>
      <c r="J188" s="298" t="str">
        <f>IFERROR('Inputs Yr 2'!K188*G188,"")</f>
        <v/>
      </c>
      <c r="K188" s="298" t="str">
        <f t="shared" si="83"/>
        <v/>
      </c>
      <c r="L188" s="194" t="str">
        <f>IFERROR(('Inputs Yr 2'!W188*G188)/1000,"")</f>
        <v/>
      </c>
      <c r="M188" s="194" t="str">
        <f>IFERROR(L188*('Inputs Yr 2'!$Q188*'Inputs Yr 2'!$V188*'Inputs Yr 2'!$R188),"")</f>
        <v/>
      </c>
      <c r="N188" s="194" t="str">
        <f t="shared" si="84"/>
        <v/>
      </c>
      <c r="O188" s="194" t="str">
        <f>IFERROR(M188*'Inputs Yr 2'!P188,"")</f>
        <v/>
      </c>
      <c r="P188" s="194" t="str">
        <f t="shared" si="85"/>
        <v/>
      </c>
      <c r="Q188" s="194" t="str">
        <f>IFERROR($P188*'Inputs Yr 2'!AA188,"")</f>
        <v/>
      </c>
      <c r="R188" s="194" t="str">
        <f>IFERROR($P188*'Inputs Yr 2'!AB188,"")</f>
        <v/>
      </c>
      <c r="S188" s="194" t="str">
        <f>IFERROR($P188*'Inputs Yr 2'!AC188,"")</f>
        <v/>
      </c>
      <c r="T188" s="194" t="str">
        <f>IFERROR($P188*'Inputs Yr 2'!AD188,"")</f>
        <v/>
      </c>
      <c r="U188" s="194" t="str">
        <f>IFERROR(G188*'Inputs Yr 2'!$AE188*'Inputs Yr 2'!$P188*'Inputs Yr 2'!$Q188,"")</f>
        <v/>
      </c>
      <c r="V188" s="194" t="str">
        <f>IFERROR($G188*'Inputs Yr 2'!$AE188*'Inputs Yr 2'!$AG188*'Inputs Yr 2'!Q188*'Inputs Yr 2'!$S188,"")</f>
        <v/>
      </c>
      <c r="W188" s="194" t="str">
        <f>IFERROR($G188*'Inputs Yr 2'!$AE188*'Inputs Yr 2'!$AG188*'Inputs Yr 2'!P188*'Inputs Yr 2'!Q188*'Inputs Yr 2'!$S188,"")</f>
        <v/>
      </c>
      <c r="X188" s="194" t="str">
        <f>IFERROR($G188*'Inputs Yr 2'!$AE188*'Inputs Yr 2'!$AF188*'Inputs Yr 2'!Q188*'Inputs Yr 2'!$T188,"")</f>
        <v/>
      </c>
      <c r="Y188" s="194" t="str">
        <f>IFERROR($G188*'Inputs Yr 2'!$AE188*'Inputs Yr 2'!$AF188*'Inputs Yr 2'!P188*'Inputs Yr 2'!Q188*'Inputs Yr 2'!$T188,"")</f>
        <v/>
      </c>
      <c r="Z188" s="257">
        <f>IFERROR($G188*'Inputs Yr 2'!$Q188*'Inputs Yr 2'!$U188*(IF(IFERROR(SEARCH("NG", 'Inputs Yr 2'!$AJ188),0),'Inputs Yr 2'!$AK188,0)+IF(IFERROR(SEARCH("NG", 'Inputs Yr 2'!$AL188),0),'Inputs Yr 2'!$AM188,0)+IF(IFERROR(SEARCH("NG", 'Inputs Yr 2'!$AN188),0),'Inputs Yr 2'!$AO188,0)),0)</f>
        <v>0</v>
      </c>
      <c r="AA188" s="257">
        <f t="shared" si="86"/>
        <v>0</v>
      </c>
      <c r="AB188" s="257">
        <f>IFERROR(Z188*'Inputs Yr 2'!$P188,0)</f>
        <v>0</v>
      </c>
      <c r="AC188" s="257">
        <f t="shared" si="87"/>
        <v>0</v>
      </c>
      <c r="AD188" s="257">
        <f>IFERROR($G188*'Inputs Yr 2'!$Q188*'Inputs Yr 2'!$U188*(IF(IFERROR(SEARCH("Oil", 'Inputs Yr 2'!$AJ188), 0),'Inputs Yr 2'!$AK188,0)+IF(IFERROR(SEARCH("Oil", 'Inputs Yr 2'!$AL188), 0),'Inputs Yr 2'!$AM188,0)+IF(IFERROR(SEARCH("Oil", 'Inputs Yr 2'!$AN188), 0),'Inputs Yr 2'!$AO188,0)),0)</f>
        <v>0</v>
      </c>
      <c r="AE188" s="257">
        <f t="shared" si="88"/>
        <v>0</v>
      </c>
      <c r="AF188" s="257">
        <f>IFERROR(AD188*'Inputs Yr 2'!$P188,0)</f>
        <v>0</v>
      </c>
      <c r="AG188" s="257">
        <f t="shared" si="89"/>
        <v>0</v>
      </c>
      <c r="AH188" s="257">
        <f>IFERROR($G188*'Inputs Yr 2'!$Q188*'Inputs Yr 2'!$U188*(IF('Inputs Yr 2'!$AJ188=CD$4,'Inputs Yr 2'!$AK188,IF('Inputs Yr 2'!$AL188=CD$4,'Inputs Yr 2'!$AM188,IF('Inputs Yr 2'!$AN188=CD$4,'Inputs Yr 2'!$AO188,0)))),0)</f>
        <v>0</v>
      </c>
      <c r="AI188" s="257">
        <f t="shared" si="90"/>
        <v>0</v>
      </c>
      <c r="AJ188" s="257">
        <f>IFERROR(AH188*'Inputs Yr 2'!$P188,0)</f>
        <v>0</v>
      </c>
      <c r="AK188" s="257">
        <f t="shared" si="91"/>
        <v>0</v>
      </c>
      <c r="AL188" s="258">
        <f>IFERROR($G188*'Inputs Yr 2'!$P188*'Inputs Yr 2'!$Q188*'Inputs Yr 2'!AP188,0)</f>
        <v>0</v>
      </c>
      <c r="AM188" s="260">
        <f>IFERROR($G188*'Inputs Yr 2'!$P188*'Inputs Yr 2'!$Q188*'Inputs Yr 2'!AQ188,0)</f>
        <v>0</v>
      </c>
      <c r="AN188" s="258">
        <f>IFERROR($G188*'Inputs Yr 2'!$P188*'Inputs Yr 2'!$Q188*'Inputs Yr 2'!AR188,0)</f>
        <v>0</v>
      </c>
      <c r="AO188" s="257">
        <f t="shared" si="92"/>
        <v>0</v>
      </c>
      <c r="AP188" s="195" t="str">
        <f>IFERROR($CQ188*(INDEX(avoidedcosttbl2,$H188,AP$2)+(($H188-ROUNDDOWN($H188,0))*(INDEX(avoidedcosttbl2,ROUNDUP($H188,0),AP$2)-(INDEX(avoidedcosttbl2,ROUNDDOWN($H188,0),AP$2)))))*$O188*1000*'Inputs Yr 2'!AA188,"")</f>
        <v/>
      </c>
      <c r="AQ188" s="195" t="str">
        <f>IFERROR($CR188*(INDEX(avoidedcosttbl2,$H188,AQ$2)+(($H188-ROUNDDOWN($H188,0))*(INDEX(avoidedcosttbl2,ROUNDUP($H188,0),AQ$2)-(INDEX(avoidedcosttbl2,ROUNDDOWN($H188,0),AQ$2)))))*$O188*1000*'Inputs Yr 2'!AB188,"")</f>
        <v/>
      </c>
      <c r="AR188" s="195" t="str">
        <f>IFERROR($CS188*(INDEX(avoidedcosttbl2,$H188,AR$2)+(($H188-ROUNDDOWN($H188,0))*(INDEX(avoidedcosttbl2,ROUNDUP($H188,0),AR$2)-(INDEX(avoidedcosttbl2,ROUNDDOWN($H188,0),AR$2)))))*$O188*1000*'Inputs Yr 2'!AC188,"")</f>
        <v/>
      </c>
      <c r="AS188" s="195" t="str">
        <f>IFERROR($CT188*(INDEX(avoidedcosttbl2,$H188,AS$2)+(($H188-ROUNDDOWN($H188,0))*(INDEX(avoidedcosttbl2,ROUNDUP($H188,0),AS$2)-(INDEX(avoidedcosttbl2,ROUNDDOWN($H188,0),AS$2)))))*$O188*1000*'Inputs Yr 2'!AD188,"")</f>
        <v/>
      </c>
      <c r="AT188" s="196">
        <f t="shared" si="93"/>
        <v>0</v>
      </c>
      <c r="AU188" s="197" t="str">
        <f>IFERROR($CQ188*((INDEX(avoidedcosttbl2,$H188,AU$2))+(($H188-ROUNDDOWN($H188,0))*((INDEX(avoidedcosttbl2,ROUNDUP($H188,0),AU$2))-(INDEX(avoidedcosttbl2,ROUNDDOWN($H188,0),AU$2)))))*$O188*1000*'Inputs Yr 2'!AA188,"")</f>
        <v/>
      </c>
      <c r="AV188" s="197" t="str">
        <f>IFERROR($CR188*((INDEX(avoidedcosttbl2,$H188,AV$2))+(($H188-ROUNDDOWN($H188,0))*((INDEX(avoidedcosttbl2,ROUNDUP($H188,0),AV$2))-(INDEX(avoidedcosttbl2,ROUNDDOWN($H188,0),AV$2)))))*$O188*1000*'Inputs Yr 2'!AB188,"")</f>
        <v/>
      </c>
      <c r="AW188" s="197" t="str">
        <f>IFERROR($CS188*((INDEX(avoidedcosttbl2,$H188,AW$2))+(($H188-ROUNDDOWN($H188,0))*((INDEX(avoidedcosttbl2,ROUNDUP($H188,0),AW$2))-(INDEX(avoidedcosttbl2,ROUNDDOWN($H188,0),AW$2)))))*$O188*1000*'Inputs Yr 2'!AC188,"")</f>
        <v/>
      </c>
      <c r="AX188" s="197" t="str">
        <f>IFERROR($CT188*((INDEX(avoidedcosttbl2,$H188,AX$2))+(($H188-ROUNDDOWN($H188,0))*((INDEX(avoidedcosttbl2,ROUNDUP($H188,0),AX$2))-(INDEX(avoidedcosttbl2,ROUNDDOWN($H188,0),AX$2)))))*$O188*1000*'Inputs Yr 2'!AD188,"")</f>
        <v/>
      </c>
      <c r="AY188" s="197" t="str">
        <f>IFERROR(((INDEX(avoidedcosttbl2,$H188,AY$2))+(($H188-ROUNDDOWN($H188,0))*((INDEX(avoidedcosttbl2,ROUNDUP($H188,0),AY$2))-(INDEX(avoidedcosttbl2,ROUNDDOWN($H188,0),AY$2)))))*$O188*1000*('Inputs Yr 2'!AC188+'Inputs Yr 2'!AD188),"")</f>
        <v/>
      </c>
      <c r="AZ188" s="197" t="str">
        <f>IFERROR(((INDEX(avoidedcosttbl2,$H188,AZ$2))+(($H188-ROUNDDOWN($H188,0))*((INDEX(avoidedcosttbl2,ROUNDUP($H188,0),AZ$2))-(INDEX(avoidedcosttbl2,ROUNDDOWN($H188,0),AZ$2)))))*$O188*1000*('Inputs Yr 2'!AA188+'Inputs Yr 2'!AB188),"")</f>
        <v/>
      </c>
      <c r="BA188" s="198">
        <f t="shared" si="94"/>
        <v>0</v>
      </c>
      <c r="BB188" s="198">
        <f t="shared" si="95"/>
        <v>0</v>
      </c>
      <c r="BC188" s="195" t="str">
        <f t="shared" si="77"/>
        <v/>
      </c>
      <c r="BD188" s="195" t="str">
        <f t="shared" si="78"/>
        <v/>
      </c>
      <c r="BE188" s="195" t="str">
        <f t="shared" si="79"/>
        <v/>
      </c>
      <c r="BF188" s="195" t="str">
        <f t="shared" si="80"/>
        <v/>
      </c>
      <c r="BG188" s="195" t="str">
        <f t="shared" si="81"/>
        <v/>
      </c>
      <c r="BH188" s="196">
        <f t="shared" si="96"/>
        <v>0</v>
      </c>
      <c r="BI188" s="196">
        <f t="shared" si="97"/>
        <v>0</v>
      </c>
      <c r="BJ188" s="195" t="str">
        <f>IFERROR($G188*(IF('Inputs Yr 2'!$AJ188=BJ$4,'Inputs Yr 2'!$AK188,IF('Inputs Yr 2'!$AL188=BJ$4,'Inputs Yr 2'!$AM188,IF('Inputs Yr 2'!$AN188=BJ$4,'Inputs Yr 2'!$AO188,0))))*(INDEX(avoidedcosttbl2,$H188,BJ$2)+(($H188-ROUNDDOWN($H188,0))*(INDEX(avoidedcosttbl2,ROUNDUP($H188,0),BJ$2)-(INDEX(avoidedcosttbl2,ROUNDDOWN($H188,0),BJ$2)))))*'Inputs Yr 2'!P188*'Inputs Yr 2'!Q188*'Inputs Yr 2'!U188,"")</f>
        <v/>
      </c>
      <c r="BK188" s="195" t="str">
        <f>IFERROR($G188*(IF('Inputs Yr 2'!$AJ188=BK$4,'Inputs Yr 2'!$AK188,IF('Inputs Yr 2'!$AL188=BK$4,'Inputs Yr 2'!$AM188,IF('Inputs Yr 2'!$AN188=BK$4,'Inputs Yr 2'!$AO188,0))))*(INDEX(avoidedcosttbl2,$H188,BK$2)+(($H188-ROUNDDOWN($H188,0))*(INDEX(avoidedcosttbl2,ROUNDUP($H188,0),BK$2)-(INDEX(avoidedcosttbl2,ROUNDDOWN($H188,0),BK$2)))))*'Inputs Yr 2'!P188*'Inputs Yr 2'!Q188*'Inputs Yr 2'!U188,"")</f>
        <v/>
      </c>
      <c r="BL188" s="195" t="str">
        <f>IFERROR($G188*(IF('Inputs Yr 2'!$AJ188=BL$4,'Inputs Yr 2'!$AK188,IF('Inputs Yr 2'!$AL188=BL$4,'Inputs Yr 2'!$AM188,IF('Inputs Yr 2'!$AN188=BL$4,'Inputs Yr 2'!$AO188,0))))*(INDEX(avoidedcosttbl2,$H188,BL$2)+(($H188-ROUNDDOWN($H188,0))*(INDEX(avoidedcosttbl2,ROUNDUP($H188,0),BL$2)-(INDEX(avoidedcosttbl2,ROUNDDOWN($H188,0),BL$2)))))*'Inputs Yr 2'!P188*'Inputs Yr 2'!Q188*'Inputs Yr 2'!U188,"")</f>
        <v/>
      </c>
      <c r="BM188" s="195" t="str">
        <f>IFERROR($G188*(IF('Inputs Yr 2'!$AJ188=BM$4,'Inputs Yr 2'!$AK188,IF('Inputs Yr 2'!$AL188=BM$4,'Inputs Yr 2'!$AM188,IF('Inputs Yr 2'!$AN188=BM$4,'Inputs Yr 2'!$AO188,0))))*(INDEX(avoidedcosttbl2,$H188,BM$2)+(($H188-ROUNDDOWN($H188,0))*(INDEX(avoidedcosttbl2,ROUNDUP($H188,0),BM$2)-(INDEX(avoidedcosttbl2,ROUNDDOWN($H188,0),BM$2)))))*'Inputs Yr 2'!P188*'Inputs Yr 2'!Q188*'Inputs Yr 2'!U188,"")</f>
        <v/>
      </c>
      <c r="BN188" s="195" t="str">
        <f>IFERROR($G188*(IF('Inputs Yr 2'!$AJ188=BN$4,'Inputs Yr 2'!$AK188,IF('Inputs Yr 2'!$AL188=BN$4,'Inputs Yr 2'!$AM188,IF('Inputs Yr 2'!$AN188=BN$4,'Inputs Yr 2'!$AO188,0))))*(INDEX(avoidedcosttbl2,$H188,BN$2)+(($H188-ROUNDDOWN($H188,0))*(INDEX(avoidedcosttbl2,ROUNDUP($H188,0),BN$2)-(INDEX(avoidedcosttbl2,ROUNDDOWN($H188,0),BN$2)))))*'Inputs Yr 2'!P188*'Inputs Yr 2'!Q188*'Inputs Yr 2'!U188,"")</f>
        <v/>
      </c>
      <c r="BO188" s="195" t="str">
        <f>IFERROR($G188*(IF('Inputs Yr 2'!$AJ188=BO$4,'Inputs Yr 2'!$AK188,IF('Inputs Yr 2'!$AL188=BO$4,'Inputs Yr 2'!$AM188,IF('Inputs Yr 2'!$AN188=BO$4,'Inputs Yr 2'!$AO188,0))))*(INDEX(avoidedcosttbl2,$H188,BO$2)+(($H188-ROUNDDOWN($H188,0))*(INDEX(avoidedcosttbl2,ROUNDUP($H188,0),BO$2)-(INDEX(avoidedcosttbl2,ROUNDDOWN($H188,0),BO$2)))))*'Inputs Yr 2'!P188*'Inputs Yr 2'!Q188*'Inputs Yr 2'!U188,"")</f>
        <v/>
      </c>
      <c r="BP188" s="195" t="str">
        <f>IFERROR($G188*(IF('Inputs Yr 2'!$AJ188=BP$4,'Inputs Yr 2'!$AK188,IF('Inputs Yr 2'!$AL188=BP$4,'Inputs Yr 2'!$AM188,IF('Inputs Yr 2'!$AN188=BP$4,'Inputs Yr 2'!$AO188,0))))*(INDEX(avoidedcosttbl2,$H188,BP$2)+(($H188-ROUNDDOWN($H188,0))*(INDEX(avoidedcosttbl2,ROUNDUP($H188,0),BP$2)-(INDEX(avoidedcosttbl2,ROUNDDOWN($H188,0),BP$2)))))*'Inputs Yr 2'!P188*'Inputs Yr 2'!Q188*'Inputs Yr 2'!U188,"")</f>
        <v/>
      </c>
      <c r="BQ188" s="230">
        <f t="shared" si="98"/>
        <v>0</v>
      </c>
      <c r="BR188" s="197">
        <f t="shared" si="82"/>
        <v>0</v>
      </c>
      <c r="BS188" s="197" t="str">
        <f>IFERROR(($G188*IF('Inputs Yr 2'!$AJ188=BM$4,'Inputs Yr 2'!$AK188,IF('Inputs Yr 2'!$AL188=BM$4,'Inputs Yr 2'!$AM188,IF('Inputs Yr 2'!$AN188=BM$4,'Inputs Yr 2'!$AO188,0))))*(INDEX(avoidedcosttbl2,$H188,BS$2)+(($H188-ROUNDDOWN($H188,0))*(INDEX(avoidedcosttbl2,ROUNDUP($H188,0),BS$2)-(INDEX(avoidedcosttbl2,ROUNDDOWN($H188,0),BS$2)))))*'Inputs Yr 2'!P188*'Inputs Yr 2'!Q188*'Inputs Yr 2'!U188,"")</f>
        <v/>
      </c>
      <c r="BT188" s="197" t="str">
        <f>IFERROR(($G188*IF('Inputs Yr 2'!$AJ188=BK$4,'Inputs Yr 2'!$AK188,IF('Inputs Yr 2'!$AL188=BK$4,'Inputs Yr 2'!$AM188,IF('Inputs Yr 2'!$AN188=BK$4,'Inputs Yr 2'!$AO188,0))))*(INDEX(avoidedcosttbl2,$H188,BT$2)+(($H188-ROUNDDOWN($H188,0))*(INDEX(avoidedcosttbl2,ROUNDUP($H188,0),BT$2)-(INDEX(avoidedcosttbl2,ROUNDDOWN($H188,0),BT$2)))))*'Inputs Yr 2'!P188*'Inputs Yr 2'!Q188*'Inputs Yr 2'!U188,"")</f>
        <v/>
      </c>
      <c r="BU188" s="197" t="str">
        <f>IFERROR(($G188*IF('Inputs Yr 2'!$AJ188=BL$4,'Inputs Yr 2'!$AK188,IF('Inputs Yr 2'!$AL188=BL$4,'Inputs Yr 2'!$AM188,IF('Inputs Yr 2'!$AN188=BL$4,'Inputs Yr 2'!$AO188,0))))*(INDEX(avoidedcosttbl2,$H188,BU$2)+(($H188-ROUNDDOWN($H188,0))*(INDEX(avoidedcosttbl2,ROUNDUP($H188,0),BU$2)-(INDEX(avoidedcosttbl2,ROUNDDOWN($H188,0),BU$2)))))*'Inputs Yr 2'!P188*'Inputs Yr 2'!Q188*'Inputs Yr 2'!U188,"")</f>
        <v/>
      </c>
      <c r="BV188" s="775" t="str">
        <f>IFERROR(($G188*IF('Inputs Yr 2'!$AJ188=BJ$4,'Inputs Yr 2'!$AK188,IF('Inputs Yr 2'!$AL188=BJ$4,'Inputs Yr 2'!$AM188,IF('Inputs Yr 2'!$AN188=BJ$4,'Inputs Yr 2'!$AO188,0))))*(INDEX(avoidedcosttbl2,$H188,BV$2)+(($H188-ROUNDDOWN($H188,0))*(INDEX(avoidedcosttbl2,ROUNDUP($H188,0),BV$2)-(INDEX(avoidedcosttbl2,ROUNDDOWN($H188,0),BV$2)))))*'Inputs Yr 2'!P188*'Inputs Yr 2'!Q188*'Inputs Yr 2'!U188,"")</f>
        <v/>
      </c>
      <c r="BW188" s="197" t="str">
        <f>IFERROR(($G188*IF('Inputs Yr 2'!$AJ188=BN$4,'Inputs Yr 2'!$AK188,IF('Inputs Yr 2'!$AL188=BN$4,'Inputs Yr 2'!$AM188,IF('Inputs Yr 2'!$AN188=BN$4,'Inputs Yr 2'!$AO188,0))))*(INDEX(avoidedcosttbl2,$H188,BW$2)+(($H188-ROUNDDOWN($H188,0))*(INDEX(avoidedcosttbl2,ROUNDUP($H188,0),BW$2)-(INDEX(avoidedcosttbl2,ROUNDDOWN($H188,0),BW$2)))))*'Inputs Yr 2'!P188*'Inputs Yr 2'!Q188*'Inputs Yr 2'!U188,"")</f>
        <v/>
      </c>
      <c r="BX188" s="197" t="str">
        <f>IFERROR(($G188*IF('Inputs Yr 2'!$AJ188=BO$4,'Inputs Yr 2'!$AK188,IF('Inputs Yr 2'!$AL188=BO$4,'Inputs Yr 2'!$AM188,IF('Inputs Yr 2'!$AN188=BO$4,'Inputs Yr 2'!$AO188,0))))*(INDEX(avoidedcosttbl2,$H188,BX$2)+(($H188-ROUNDDOWN($H188,0))*(INDEX(avoidedcosttbl2,ROUNDUP($H188,0),BX$2)-(INDEX(avoidedcosttbl2,ROUNDDOWN($H188,0),BX$2)))))*'Inputs Yr 2'!P188*'Inputs Yr 2'!Q188*'Inputs Yr 2'!U188,"")</f>
        <v/>
      </c>
      <c r="BY188" s="197" t="str">
        <f>IFERROR(($G188*IF('Inputs Yr 2'!$AJ188=BP$4,'Inputs Yr 2'!$AK188,IF('Inputs Yr 2'!$AL188=BP$4,'Inputs Yr 2'!$AM188,IF('Inputs Yr 2'!$AN188=BP$4,'Inputs Yr 2'!$AO188,0))))*(INDEX(avoidedcosttbl2,$H188,BY$2)+(($H188-ROUNDDOWN($H188,0))*(INDEX(avoidedcosttbl2,ROUNDUP($H188,0),BY$2)-(INDEX(avoidedcosttbl2,ROUNDDOWN($H188,0),BY$2)))))*'Inputs Yr 2'!P188*'Inputs Yr 2'!Q188*'Inputs Yr 2'!U188,"")</f>
        <v/>
      </c>
      <c r="BZ188" s="193">
        <f t="shared" si="99"/>
        <v>0</v>
      </c>
      <c r="CA188" s="193">
        <f t="shared" si="100"/>
        <v>0</v>
      </c>
      <c r="CB188" s="195" t="str">
        <f>IFERROR(G188*(IF('Inputs Yr 2'!$AJ188=CB$4,'Inputs Yr 2'!$AK188,IF('Inputs Yr 2'!$AL188=CB$4,'Inputs Yr 2'!$AM188,IF('Inputs Yr 2'!$AN188=CB$4,'Inputs Yr 2'!$AO188,0))))*(INDEX(avoidedcosttbl2,$H188,CB$2)+(($H188-ROUNDDOWN($H188,0))*(INDEX(avoidedcosttbl2,ROUNDUP($H188,0),CB$2)-(INDEX(avoidedcosttbl2,ROUNDDOWN($H188,0),CB$2)))))*'Inputs Yr 2'!P188*'Inputs Yr 2'!Q188*'Inputs Yr 2'!U188,"")</f>
        <v/>
      </c>
      <c r="CC188" s="195">
        <f>IFERROR(H188*(IF('Inputs Yr 2'!$AJ188=CC$4,'Inputs Yr 2'!$AK188,IF('Inputs Yr 2'!$AL188=CC$4,'Inputs Yr 2'!$AM188,IF('Inputs Yr 2'!$AN188=CC$4,'Inputs Yr 2'!$AO188,0))))*(INDEX(avoidedcosttbl2,$H188,CC$2)+(($H188-ROUNDDOWN($H188,0))*(INDEX(avoidedcosttbl2,ROUNDUP($H188,0),CC$2)-(INDEX(avoidedcosttbl2,ROUNDDOWN($H188,0),CC$2)))))*'Inputs Yr 2'!Q188*'Inputs Yr 2'!R188*'Inputs Yr 2'!V188,"")</f>
        <v>0</v>
      </c>
      <c r="CD188" s="195" t="str">
        <f>IFERROR(I188*(IF('Inputs Yr 2'!$AJ188=CD$4,'Inputs Yr 2'!$AK188,IF('Inputs Yr 2'!$AL188=CD$4,'Inputs Yr 2'!$AM188,IF('Inputs Yr 2'!$AN188=CD$4,'Inputs Yr 2'!$AO188,0))))*(INDEX(avoidedcosttbl2,$H188,CD$2)+(($H188-ROUNDDOWN($H188,0))*(INDEX(avoidedcosttbl2,ROUNDUP($H188,0),CD$2)-(INDEX(avoidedcosttbl2,ROUNDDOWN($H188,0),CD$2)))))*'Inputs Yr 2'!R188*'Inputs Yr 2'!S188*'Inputs Yr 2'!W188,"")</f>
        <v/>
      </c>
      <c r="CE188" s="213">
        <f t="shared" si="101"/>
        <v>0</v>
      </c>
      <c r="CF188" s="213">
        <f t="shared" si="102"/>
        <v>0</v>
      </c>
      <c r="CG188" s="213">
        <f t="shared" si="103"/>
        <v>0</v>
      </c>
      <c r="CH188" s="698">
        <f t="shared" si="104"/>
        <v>0</v>
      </c>
      <c r="CI188" s="79" t="str">
        <f>IFERROR(($G188*'Inputs Yr 2'!$P188*'Inputs Yr 2'!$Q188*(((INDEX(avoidedcosttbl2,$H188,CI$2)+(($H188-ROUNDDOWN($H188,0))*(INDEX(avoidedcosttbl2,ROUNDUP($H188,0),CI$2)-INDEX(avoidedcosttbl2,ROUNDDOWN($H188,0),CI$2))))*'Inputs Yr 2'!AS188))),"")</f>
        <v/>
      </c>
      <c r="CJ188" s="504" t="str">
        <f>IFERROR($G188*'Inputs Yr 2'!AT188*'Inputs Yr 2'!$P188*'Inputs Yr 2'!$Q188/((1+realdiscrt1)^-0.5),"")</f>
        <v/>
      </c>
      <c r="CK188" s="79" t="str">
        <f>IFERROR((O188*1000*(((INDEX(avoidedcosttbl2,$H188,CK$2)+(($H188-ROUNDDOWN($H188,0))*(INDEX(avoidedcosttbl2,ROUNDUP($H188,0),CK$2)-INDEX(avoidedcosttbl2,ROUNDDOWN($H188,0),CK$2))))*'Inputs Yr 2'!AU188))),"")</f>
        <v/>
      </c>
      <c r="CL188" s="504" t="str">
        <f>IFERROR(O188*1000*'Inputs Yr 2'!AV188/((1+realdiscrt1)^-0.5),"")</f>
        <v/>
      </c>
      <c r="CM188" s="79">
        <f>IFERROR((AB188*'Inputs Yr 2'!AW188*(((INDEX(avoidedcosttbl2,$H188,CM$2)+(($H188-ROUNDDOWN($H188,0))*(INDEX(avoidedcosttbl2,ROUNDUP($H188,0),CM$2)-INDEX(avoidedcosttbl2,ROUNDDOWN($H188,0),CM$2)))))))*10,"")</f>
        <v>0</v>
      </c>
      <c r="CN188" s="504">
        <f>IFERROR(10*AB188*'Inputs Yr 2'!AX188/((1+realdiscrt1)^-0.5),"")</f>
        <v>0</v>
      </c>
      <c r="CO188" s="505">
        <f t="shared" si="105"/>
        <v>0</v>
      </c>
      <c r="CP188" s="230">
        <f t="shared" si="106"/>
        <v>0</v>
      </c>
      <c r="CQ188" s="199">
        <f>ROUND(IFERROR(IF(LEFT($A188,1)="C",'Avoided Costs'!$K$13,'Avoided Costs'!$K$12)+1,""),4)</f>
        <v>1.0720000000000001</v>
      </c>
      <c r="CR188" s="199">
        <f>ROUND(IFERROR(IF(LEFT($A188,1)="C",'Avoided Costs'!$L$13,'Avoided Costs'!$L$12)+1,""),4)</f>
        <v>1.04</v>
      </c>
      <c r="CS188" s="199">
        <f>ROUND(IFERROR(IF(LEFT($A188,1)="C",'Avoided Costs'!$M$13,'Avoided Costs'!$M$12)+1,""),4)</f>
        <v>1.0720000000000001</v>
      </c>
      <c r="CT188" s="199">
        <f>ROUND(IFERROR(IF(LEFT($A188,1)="C",'Avoided Costs'!$N$13,'Avoided Costs'!$N$12)+1,""),4)</f>
        <v>1.04</v>
      </c>
      <c r="CU188" s="199">
        <f>ROUND(IFERROR(IF(LEFT($A188,1)="C",'Avoided Costs'!$O$13,'Avoided Costs'!$O$12)+1,""),4)</f>
        <v>1.1120000000000001</v>
      </c>
      <c r="CV188" s="199">
        <f>ROUND(IFERROR(IF(LEFT($A188,1)="C",'Avoided Costs'!$P$13,'Avoided Costs'!$P$12)+1,""),4)</f>
        <v>1.095</v>
      </c>
      <c r="CW188" s="199">
        <f>ROUND(IFERROR(IF(LEFT($A188,1)="C",'Avoided Costs'!$Q$13,'Avoided Costs'!$Q$12)+1,""),4)</f>
        <v>1.1120000000000001</v>
      </c>
      <c r="CX188" s="200">
        <f>ROUND(IFERROR(IF(LEFT($A188,1)="C",'Avoided Costs'!$R$13,'Avoided Costs'!$R$12)+1,""),4)</f>
        <v>1.1120000000000001</v>
      </c>
    </row>
    <row r="189" spans="1:102" ht="12.75" customHeight="1">
      <c r="A189" s="91" t="str">
        <f>IF('Inputs Yr 2'!$B189=0,"",'Inputs Yr 2'!A189)</f>
        <v>C - Commercial &amp; Industrial</v>
      </c>
      <c r="B189" s="91" t="str">
        <f>IF('Inputs Yr 2'!$B189=0,"",'Inputs Yr 2'!B189)</f>
        <v>C1 - C&amp;I New Construction</v>
      </c>
      <c r="C189" s="91" t="str">
        <f>IF('Inputs Yr 2'!$B189=0,"",'Inputs Yr 2'!C189)</f>
        <v>C1a - C&amp;I New Buildings &amp; Major Renovations</v>
      </c>
      <c r="D189" s="91" t="str">
        <f>IF('Inputs Yr 2'!$B189=0,"",'Inputs Yr 2'!E189)</f>
        <v>Combo Condensing Boiler/Water Heater 95%</v>
      </c>
      <c r="E189" s="93" t="str">
        <f>IF('Inputs Yr 2'!$B189=0,"",'Inputs Yr 2'!F189)</f>
        <v>G16C1a32</v>
      </c>
      <c r="F189" s="93" t="str">
        <f>IF('Inputs Yr 2'!$B189=0,"",'Inputs Yr 2'!G189)</f>
        <v>HVAC</v>
      </c>
      <c r="G189" s="95" t="str">
        <f>IF('Inputs Yr 2'!$H189&lt;&gt;0,('Inputs Yr 2'!H189),"")</f>
        <v/>
      </c>
      <c r="H189" s="94">
        <f>IFERROR('Inputs Yr 2'!I189,"")</f>
        <v>20</v>
      </c>
      <c r="I189" s="298" t="str">
        <f>IFERROR('Inputs Yr 2'!J189*'Inputs Yr 2'!P189*G189,"")</f>
        <v/>
      </c>
      <c r="J189" s="298" t="str">
        <f>IFERROR('Inputs Yr 2'!K189*G189,"")</f>
        <v/>
      </c>
      <c r="K189" s="298" t="str">
        <f t="shared" si="83"/>
        <v/>
      </c>
      <c r="L189" s="194" t="str">
        <f>IFERROR(('Inputs Yr 2'!W189*G189)/1000,"")</f>
        <v/>
      </c>
      <c r="M189" s="194" t="str">
        <f>IFERROR(L189*('Inputs Yr 2'!$Q189*'Inputs Yr 2'!$V189*'Inputs Yr 2'!$R189),"")</f>
        <v/>
      </c>
      <c r="N189" s="194" t="str">
        <f t="shared" si="84"/>
        <v/>
      </c>
      <c r="O189" s="194" t="str">
        <f>IFERROR(M189*'Inputs Yr 2'!P189,"")</f>
        <v/>
      </c>
      <c r="P189" s="194" t="str">
        <f t="shared" si="85"/>
        <v/>
      </c>
      <c r="Q189" s="194" t="str">
        <f>IFERROR($P189*'Inputs Yr 2'!AA189,"")</f>
        <v/>
      </c>
      <c r="R189" s="194" t="str">
        <f>IFERROR($P189*'Inputs Yr 2'!AB189,"")</f>
        <v/>
      </c>
      <c r="S189" s="194" t="str">
        <f>IFERROR($P189*'Inputs Yr 2'!AC189,"")</f>
        <v/>
      </c>
      <c r="T189" s="194" t="str">
        <f>IFERROR($P189*'Inputs Yr 2'!AD189,"")</f>
        <v/>
      </c>
      <c r="U189" s="194" t="str">
        <f>IFERROR(G189*'Inputs Yr 2'!$AE189*'Inputs Yr 2'!$P189*'Inputs Yr 2'!$Q189,"")</f>
        <v/>
      </c>
      <c r="V189" s="194" t="str">
        <f>IFERROR($G189*'Inputs Yr 2'!$AE189*'Inputs Yr 2'!$AG189*'Inputs Yr 2'!Q189*'Inputs Yr 2'!$S189,"")</f>
        <v/>
      </c>
      <c r="W189" s="194" t="str">
        <f>IFERROR($G189*'Inputs Yr 2'!$AE189*'Inputs Yr 2'!$AG189*'Inputs Yr 2'!P189*'Inputs Yr 2'!Q189*'Inputs Yr 2'!$S189,"")</f>
        <v/>
      </c>
      <c r="X189" s="194" t="str">
        <f>IFERROR($G189*'Inputs Yr 2'!$AE189*'Inputs Yr 2'!$AF189*'Inputs Yr 2'!Q189*'Inputs Yr 2'!$T189,"")</f>
        <v/>
      </c>
      <c r="Y189" s="194" t="str">
        <f>IFERROR($G189*'Inputs Yr 2'!$AE189*'Inputs Yr 2'!$AF189*'Inputs Yr 2'!P189*'Inputs Yr 2'!Q189*'Inputs Yr 2'!$T189,"")</f>
        <v/>
      </c>
      <c r="Z189" s="257">
        <f>IFERROR($G189*'Inputs Yr 2'!$Q189*'Inputs Yr 2'!$U189*(IF(IFERROR(SEARCH("NG", 'Inputs Yr 2'!$AJ189),0),'Inputs Yr 2'!$AK189,0)+IF(IFERROR(SEARCH("NG", 'Inputs Yr 2'!$AL189),0),'Inputs Yr 2'!$AM189,0)+IF(IFERROR(SEARCH("NG", 'Inputs Yr 2'!$AN189),0),'Inputs Yr 2'!$AO189,0)),0)</f>
        <v>0</v>
      </c>
      <c r="AA189" s="257">
        <f t="shared" si="86"/>
        <v>0</v>
      </c>
      <c r="AB189" s="257">
        <f>IFERROR(Z189*'Inputs Yr 2'!$P189,0)</f>
        <v>0</v>
      </c>
      <c r="AC189" s="257">
        <f t="shared" si="87"/>
        <v>0</v>
      </c>
      <c r="AD189" s="257">
        <f>IFERROR($G189*'Inputs Yr 2'!$Q189*'Inputs Yr 2'!$U189*(IF(IFERROR(SEARCH("Oil", 'Inputs Yr 2'!$AJ189), 0),'Inputs Yr 2'!$AK189,0)+IF(IFERROR(SEARCH("Oil", 'Inputs Yr 2'!$AL189), 0),'Inputs Yr 2'!$AM189,0)+IF(IFERROR(SEARCH("Oil", 'Inputs Yr 2'!$AN189), 0),'Inputs Yr 2'!$AO189,0)),0)</f>
        <v>0</v>
      </c>
      <c r="AE189" s="257">
        <f t="shared" si="88"/>
        <v>0</v>
      </c>
      <c r="AF189" s="257">
        <f>IFERROR(AD189*'Inputs Yr 2'!$P189,0)</f>
        <v>0</v>
      </c>
      <c r="AG189" s="257">
        <f t="shared" si="89"/>
        <v>0</v>
      </c>
      <c r="AH189" s="257">
        <f>IFERROR($G189*'Inputs Yr 2'!$Q189*'Inputs Yr 2'!$U189*(IF('Inputs Yr 2'!$AJ189=CD$4,'Inputs Yr 2'!$AK189,IF('Inputs Yr 2'!$AL189=CD$4,'Inputs Yr 2'!$AM189,IF('Inputs Yr 2'!$AN189=CD$4,'Inputs Yr 2'!$AO189,0)))),0)</f>
        <v>0</v>
      </c>
      <c r="AI189" s="257">
        <f t="shared" si="90"/>
        <v>0</v>
      </c>
      <c r="AJ189" s="257">
        <f>IFERROR(AH189*'Inputs Yr 2'!$P189,0)</f>
        <v>0</v>
      </c>
      <c r="AK189" s="257">
        <f t="shared" si="91"/>
        <v>0</v>
      </c>
      <c r="AL189" s="258">
        <f>IFERROR($G189*'Inputs Yr 2'!$P189*'Inputs Yr 2'!$Q189*'Inputs Yr 2'!AP189,0)</f>
        <v>0</v>
      </c>
      <c r="AM189" s="260">
        <f>IFERROR($G189*'Inputs Yr 2'!$P189*'Inputs Yr 2'!$Q189*'Inputs Yr 2'!AQ189,0)</f>
        <v>0</v>
      </c>
      <c r="AN189" s="258">
        <f>IFERROR($G189*'Inputs Yr 2'!$P189*'Inputs Yr 2'!$Q189*'Inputs Yr 2'!AR189,0)</f>
        <v>0</v>
      </c>
      <c r="AO189" s="257">
        <f t="shared" si="92"/>
        <v>0</v>
      </c>
      <c r="AP189" s="195" t="str">
        <f>IFERROR($CQ189*(INDEX(avoidedcosttbl2,$H189,AP$2)+(($H189-ROUNDDOWN($H189,0))*(INDEX(avoidedcosttbl2,ROUNDUP($H189,0),AP$2)-(INDEX(avoidedcosttbl2,ROUNDDOWN($H189,0),AP$2)))))*$O189*1000*'Inputs Yr 2'!AA189,"")</f>
        <v/>
      </c>
      <c r="AQ189" s="195" t="str">
        <f>IFERROR($CR189*(INDEX(avoidedcosttbl2,$H189,AQ$2)+(($H189-ROUNDDOWN($H189,0))*(INDEX(avoidedcosttbl2,ROUNDUP($H189,0),AQ$2)-(INDEX(avoidedcosttbl2,ROUNDDOWN($H189,0),AQ$2)))))*$O189*1000*'Inputs Yr 2'!AB189,"")</f>
        <v/>
      </c>
      <c r="AR189" s="195" t="str">
        <f>IFERROR($CS189*(INDEX(avoidedcosttbl2,$H189,AR$2)+(($H189-ROUNDDOWN($H189,0))*(INDEX(avoidedcosttbl2,ROUNDUP($H189,0),AR$2)-(INDEX(avoidedcosttbl2,ROUNDDOWN($H189,0),AR$2)))))*$O189*1000*'Inputs Yr 2'!AC189,"")</f>
        <v/>
      </c>
      <c r="AS189" s="195" t="str">
        <f>IFERROR($CT189*(INDEX(avoidedcosttbl2,$H189,AS$2)+(($H189-ROUNDDOWN($H189,0))*(INDEX(avoidedcosttbl2,ROUNDUP($H189,0),AS$2)-(INDEX(avoidedcosttbl2,ROUNDDOWN($H189,0),AS$2)))))*$O189*1000*'Inputs Yr 2'!AD189,"")</f>
        <v/>
      </c>
      <c r="AT189" s="196">
        <f t="shared" si="93"/>
        <v>0</v>
      </c>
      <c r="AU189" s="197" t="str">
        <f>IFERROR($CQ189*((INDEX(avoidedcosttbl2,$H189,AU$2))+(($H189-ROUNDDOWN($H189,0))*((INDEX(avoidedcosttbl2,ROUNDUP($H189,0),AU$2))-(INDEX(avoidedcosttbl2,ROUNDDOWN($H189,0),AU$2)))))*$O189*1000*'Inputs Yr 2'!AA189,"")</f>
        <v/>
      </c>
      <c r="AV189" s="197" t="str">
        <f>IFERROR($CR189*((INDEX(avoidedcosttbl2,$H189,AV$2))+(($H189-ROUNDDOWN($H189,0))*((INDEX(avoidedcosttbl2,ROUNDUP($H189,0),AV$2))-(INDEX(avoidedcosttbl2,ROUNDDOWN($H189,0),AV$2)))))*$O189*1000*'Inputs Yr 2'!AB189,"")</f>
        <v/>
      </c>
      <c r="AW189" s="197" t="str">
        <f>IFERROR($CS189*((INDEX(avoidedcosttbl2,$H189,AW$2))+(($H189-ROUNDDOWN($H189,0))*((INDEX(avoidedcosttbl2,ROUNDUP($H189,0),AW$2))-(INDEX(avoidedcosttbl2,ROUNDDOWN($H189,0),AW$2)))))*$O189*1000*'Inputs Yr 2'!AC189,"")</f>
        <v/>
      </c>
      <c r="AX189" s="197" t="str">
        <f>IFERROR($CT189*((INDEX(avoidedcosttbl2,$H189,AX$2))+(($H189-ROUNDDOWN($H189,0))*((INDEX(avoidedcosttbl2,ROUNDUP($H189,0),AX$2))-(INDEX(avoidedcosttbl2,ROUNDDOWN($H189,0),AX$2)))))*$O189*1000*'Inputs Yr 2'!AD189,"")</f>
        <v/>
      </c>
      <c r="AY189" s="197" t="str">
        <f>IFERROR(((INDEX(avoidedcosttbl2,$H189,AY$2))+(($H189-ROUNDDOWN($H189,0))*((INDEX(avoidedcosttbl2,ROUNDUP($H189,0),AY$2))-(INDEX(avoidedcosttbl2,ROUNDDOWN($H189,0),AY$2)))))*$O189*1000*('Inputs Yr 2'!AC189+'Inputs Yr 2'!AD189),"")</f>
        <v/>
      </c>
      <c r="AZ189" s="197" t="str">
        <f>IFERROR(((INDEX(avoidedcosttbl2,$H189,AZ$2))+(($H189-ROUNDDOWN($H189,0))*((INDEX(avoidedcosttbl2,ROUNDUP($H189,0),AZ$2))-(INDEX(avoidedcosttbl2,ROUNDDOWN($H189,0),AZ$2)))))*$O189*1000*('Inputs Yr 2'!AA189+'Inputs Yr 2'!AB189),"")</f>
        <v/>
      </c>
      <c r="BA189" s="198">
        <f t="shared" si="94"/>
        <v>0</v>
      </c>
      <c r="BB189" s="198">
        <f t="shared" si="95"/>
        <v>0</v>
      </c>
      <c r="BC189" s="195" t="str">
        <f t="shared" si="77"/>
        <v/>
      </c>
      <c r="BD189" s="195" t="str">
        <f t="shared" si="78"/>
        <v/>
      </c>
      <c r="BE189" s="195" t="str">
        <f t="shared" si="79"/>
        <v/>
      </c>
      <c r="BF189" s="195" t="str">
        <f t="shared" si="80"/>
        <v/>
      </c>
      <c r="BG189" s="195" t="str">
        <f t="shared" si="81"/>
        <v/>
      </c>
      <c r="BH189" s="196">
        <f t="shared" si="96"/>
        <v>0</v>
      </c>
      <c r="BI189" s="196">
        <f t="shared" si="97"/>
        <v>0</v>
      </c>
      <c r="BJ189" s="195" t="str">
        <f>IFERROR($G189*(IF('Inputs Yr 2'!$AJ189=BJ$4,'Inputs Yr 2'!$AK189,IF('Inputs Yr 2'!$AL189=BJ$4,'Inputs Yr 2'!$AM189,IF('Inputs Yr 2'!$AN189=BJ$4,'Inputs Yr 2'!$AO189,0))))*(INDEX(avoidedcosttbl2,$H189,BJ$2)+(($H189-ROUNDDOWN($H189,0))*(INDEX(avoidedcosttbl2,ROUNDUP($H189,0),BJ$2)-(INDEX(avoidedcosttbl2,ROUNDDOWN($H189,0),BJ$2)))))*'Inputs Yr 2'!P189*'Inputs Yr 2'!Q189*'Inputs Yr 2'!U189,"")</f>
        <v/>
      </c>
      <c r="BK189" s="195" t="str">
        <f>IFERROR($G189*(IF('Inputs Yr 2'!$AJ189=BK$4,'Inputs Yr 2'!$AK189,IF('Inputs Yr 2'!$AL189=BK$4,'Inputs Yr 2'!$AM189,IF('Inputs Yr 2'!$AN189=BK$4,'Inputs Yr 2'!$AO189,0))))*(INDEX(avoidedcosttbl2,$H189,BK$2)+(($H189-ROUNDDOWN($H189,0))*(INDEX(avoidedcosttbl2,ROUNDUP($H189,0),BK$2)-(INDEX(avoidedcosttbl2,ROUNDDOWN($H189,0),BK$2)))))*'Inputs Yr 2'!P189*'Inputs Yr 2'!Q189*'Inputs Yr 2'!U189,"")</f>
        <v/>
      </c>
      <c r="BL189" s="195" t="str">
        <f>IFERROR($G189*(IF('Inputs Yr 2'!$AJ189=BL$4,'Inputs Yr 2'!$AK189,IF('Inputs Yr 2'!$AL189=BL$4,'Inputs Yr 2'!$AM189,IF('Inputs Yr 2'!$AN189=BL$4,'Inputs Yr 2'!$AO189,0))))*(INDEX(avoidedcosttbl2,$H189,BL$2)+(($H189-ROUNDDOWN($H189,0))*(INDEX(avoidedcosttbl2,ROUNDUP($H189,0),BL$2)-(INDEX(avoidedcosttbl2,ROUNDDOWN($H189,0),BL$2)))))*'Inputs Yr 2'!P189*'Inputs Yr 2'!Q189*'Inputs Yr 2'!U189,"")</f>
        <v/>
      </c>
      <c r="BM189" s="195" t="str">
        <f>IFERROR($G189*(IF('Inputs Yr 2'!$AJ189=BM$4,'Inputs Yr 2'!$AK189,IF('Inputs Yr 2'!$AL189=BM$4,'Inputs Yr 2'!$AM189,IF('Inputs Yr 2'!$AN189=BM$4,'Inputs Yr 2'!$AO189,0))))*(INDEX(avoidedcosttbl2,$H189,BM$2)+(($H189-ROUNDDOWN($H189,0))*(INDEX(avoidedcosttbl2,ROUNDUP($H189,0),BM$2)-(INDEX(avoidedcosttbl2,ROUNDDOWN($H189,0),BM$2)))))*'Inputs Yr 2'!P189*'Inputs Yr 2'!Q189*'Inputs Yr 2'!U189,"")</f>
        <v/>
      </c>
      <c r="BN189" s="195" t="str">
        <f>IFERROR($G189*(IF('Inputs Yr 2'!$AJ189=BN$4,'Inputs Yr 2'!$AK189,IF('Inputs Yr 2'!$AL189=BN$4,'Inputs Yr 2'!$AM189,IF('Inputs Yr 2'!$AN189=BN$4,'Inputs Yr 2'!$AO189,0))))*(INDEX(avoidedcosttbl2,$H189,BN$2)+(($H189-ROUNDDOWN($H189,0))*(INDEX(avoidedcosttbl2,ROUNDUP($H189,0),BN$2)-(INDEX(avoidedcosttbl2,ROUNDDOWN($H189,0),BN$2)))))*'Inputs Yr 2'!P189*'Inputs Yr 2'!Q189*'Inputs Yr 2'!U189,"")</f>
        <v/>
      </c>
      <c r="BO189" s="195" t="str">
        <f>IFERROR($G189*(IF('Inputs Yr 2'!$AJ189=BO$4,'Inputs Yr 2'!$AK189,IF('Inputs Yr 2'!$AL189=BO$4,'Inputs Yr 2'!$AM189,IF('Inputs Yr 2'!$AN189=BO$4,'Inputs Yr 2'!$AO189,0))))*(INDEX(avoidedcosttbl2,$H189,BO$2)+(($H189-ROUNDDOWN($H189,0))*(INDEX(avoidedcosttbl2,ROUNDUP($H189,0),BO$2)-(INDEX(avoidedcosttbl2,ROUNDDOWN($H189,0),BO$2)))))*'Inputs Yr 2'!P189*'Inputs Yr 2'!Q189*'Inputs Yr 2'!U189,"")</f>
        <v/>
      </c>
      <c r="BP189" s="195" t="str">
        <f>IFERROR($G189*(IF('Inputs Yr 2'!$AJ189=BP$4,'Inputs Yr 2'!$AK189,IF('Inputs Yr 2'!$AL189=BP$4,'Inputs Yr 2'!$AM189,IF('Inputs Yr 2'!$AN189=BP$4,'Inputs Yr 2'!$AO189,0))))*(INDEX(avoidedcosttbl2,$H189,BP$2)+(($H189-ROUNDDOWN($H189,0))*(INDEX(avoidedcosttbl2,ROUNDUP($H189,0),BP$2)-(INDEX(avoidedcosttbl2,ROUNDDOWN($H189,0),BP$2)))))*'Inputs Yr 2'!P189*'Inputs Yr 2'!Q189*'Inputs Yr 2'!U189,"")</f>
        <v/>
      </c>
      <c r="BQ189" s="230">
        <f t="shared" si="98"/>
        <v>0</v>
      </c>
      <c r="BR189" s="197">
        <f t="shared" si="82"/>
        <v>0</v>
      </c>
      <c r="BS189" s="197" t="str">
        <f>IFERROR(($G189*IF('Inputs Yr 2'!$AJ189=BM$4,'Inputs Yr 2'!$AK189,IF('Inputs Yr 2'!$AL189=BM$4,'Inputs Yr 2'!$AM189,IF('Inputs Yr 2'!$AN189=BM$4,'Inputs Yr 2'!$AO189,0))))*(INDEX(avoidedcosttbl2,$H189,BS$2)+(($H189-ROUNDDOWN($H189,0))*(INDEX(avoidedcosttbl2,ROUNDUP($H189,0),BS$2)-(INDEX(avoidedcosttbl2,ROUNDDOWN($H189,0),BS$2)))))*'Inputs Yr 2'!P189*'Inputs Yr 2'!Q189*'Inputs Yr 2'!U189,"")</f>
        <v/>
      </c>
      <c r="BT189" s="197" t="str">
        <f>IFERROR(($G189*IF('Inputs Yr 2'!$AJ189=BK$4,'Inputs Yr 2'!$AK189,IF('Inputs Yr 2'!$AL189=BK$4,'Inputs Yr 2'!$AM189,IF('Inputs Yr 2'!$AN189=BK$4,'Inputs Yr 2'!$AO189,0))))*(INDEX(avoidedcosttbl2,$H189,BT$2)+(($H189-ROUNDDOWN($H189,0))*(INDEX(avoidedcosttbl2,ROUNDUP($H189,0),BT$2)-(INDEX(avoidedcosttbl2,ROUNDDOWN($H189,0),BT$2)))))*'Inputs Yr 2'!P189*'Inputs Yr 2'!Q189*'Inputs Yr 2'!U189,"")</f>
        <v/>
      </c>
      <c r="BU189" s="197" t="str">
        <f>IFERROR(($G189*IF('Inputs Yr 2'!$AJ189=BL$4,'Inputs Yr 2'!$AK189,IF('Inputs Yr 2'!$AL189=BL$4,'Inputs Yr 2'!$AM189,IF('Inputs Yr 2'!$AN189=BL$4,'Inputs Yr 2'!$AO189,0))))*(INDEX(avoidedcosttbl2,$H189,BU$2)+(($H189-ROUNDDOWN($H189,0))*(INDEX(avoidedcosttbl2,ROUNDUP($H189,0),BU$2)-(INDEX(avoidedcosttbl2,ROUNDDOWN($H189,0),BU$2)))))*'Inputs Yr 2'!P189*'Inputs Yr 2'!Q189*'Inputs Yr 2'!U189,"")</f>
        <v/>
      </c>
      <c r="BV189" s="775" t="str">
        <f>IFERROR(($G189*IF('Inputs Yr 2'!$AJ189=BJ$4,'Inputs Yr 2'!$AK189,IF('Inputs Yr 2'!$AL189=BJ$4,'Inputs Yr 2'!$AM189,IF('Inputs Yr 2'!$AN189=BJ$4,'Inputs Yr 2'!$AO189,0))))*(INDEX(avoidedcosttbl2,$H189,BV$2)+(($H189-ROUNDDOWN($H189,0))*(INDEX(avoidedcosttbl2,ROUNDUP($H189,0),BV$2)-(INDEX(avoidedcosttbl2,ROUNDDOWN($H189,0),BV$2)))))*'Inputs Yr 2'!P189*'Inputs Yr 2'!Q189*'Inputs Yr 2'!U189,"")</f>
        <v/>
      </c>
      <c r="BW189" s="197" t="str">
        <f>IFERROR(($G189*IF('Inputs Yr 2'!$AJ189=BN$4,'Inputs Yr 2'!$AK189,IF('Inputs Yr 2'!$AL189=BN$4,'Inputs Yr 2'!$AM189,IF('Inputs Yr 2'!$AN189=BN$4,'Inputs Yr 2'!$AO189,0))))*(INDEX(avoidedcosttbl2,$H189,BW$2)+(($H189-ROUNDDOWN($H189,0))*(INDEX(avoidedcosttbl2,ROUNDUP($H189,0),BW$2)-(INDEX(avoidedcosttbl2,ROUNDDOWN($H189,0),BW$2)))))*'Inputs Yr 2'!P189*'Inputs Yr 2'!Q189*'Inputs Yr 2'!U189,"")</f>
        <v/>
      </c>
      <c r="BX189" s="197" t="str">
        <f>IFERROR(($G189*IF('Inputs Yr 2'!$AJ189=BO$4,'Inputs Yr 2'!$AK189,IF('Inputs Yr 2'!$AL189=BO$4,'Inputs Yr 2'!$AM189,IF('Inputs Yr 2'!$AN189=BO$4,'Inputs Yr 2'!$AO189,0))))*(INDEX(avoidedcosttbl2,$H189,BX$2)+(($H189-ROUNDDOWN($H189,0))*(INDEX(avoidedcosttbl2,ROUNDUP($H189,0),BX$2)-(INDEX(avoidedcosttbl2,ROUNDDOWN($H189,0),BX$2)))))*'Inputs Yr 2'!P189*'Inputs Yr 2'!Q189*'Inputs Yr 2'!U189,"")</f>
        <v/>
      </c>
      <c r="BY189" s="197" t="str">
        <f>IFERROR(($G189*IF('Inputs Yr 2'!$AJ189=BP$4,'Inputs Yr 2'!$AK189,IF('Inputs Yr 2'!$AL189=BP$4,'Inputs Yr 2'!$AM189,IF('Inputs Yr 2'!$AN189=BP$4,'Inputs Yr 2'!$AO189,0))))*(INDEX(avoidedcosttbl2,$H189,BY$2)+(($H189-ROUNDDOWN($H189,0))*(INDEX(avoidedcosttbl2,ROUNDUP($H189,0),BY$2)-(INDEX(avoidedcosttbl2,ROUNDDOWN($H189,0),BY$2)))))*'Inputs Yr 2'!P189*'Inputs Yr 2'!Q189*'Inputs Yr 2'!U189,"")</f>
        <v/>
      </c>
      <c r="BZ189" s="193">
        <f t="shared" si="99"/>
        <v>0</v>
      </c>
      <c r="CA189" s="193">
        <f t="shared" si="100"/>
        <v>0</v>
      </c>
      <c r="CB189" s="195" t="str">
        <f>IFERROR(G189*(IF('Inputs Yr 2'!$AJ189=CB$4,'Inputs Yr 2'!$AK189,IF('Inputs Yr 2'!$AL189=CB$4,'Inputs Yr 2'!$AM189,IF('Inputs Yr 2'!$AN189=CB$4,'Inputs Yr 2'!$AO189,0))))*(INDEX(avoidedcosttbl2,$H189,CB$2)+(($H189-ROUNDDOWN($H189,0))*(INDEX(avoidedcosttbl2,ROUNDUP($H189,0),CB$2)-(INDEX(avoidedcosttbl2,ROUNDDOWN($H189,0),CB$2)))))*'Inputs Yr 2'!P189*'Inputs Yr 2'!Q189*'Inputs Yr 2'!U189,"")</f>
        <v/>
      </c>
      <c r="CC189" s="195">
        <f>IFERROR(H189*(IF('Inputs Yr 2'!$AJ189=CC$4,'Inputs Yr 2'!$AK189,IF('Inputs Yr 2'!$AL189=CC$4,'Inputs Yr 2'!$AM189,IF('Inputs Yr 2'!$AN189=CC$4,'Inputs Yr 2'!$AO189,0))))*(INDEX(avoidedcosttbl2,$H189,CC$2)+(($H189-ROUNDDOWN($H189,0))*(INDEX(avoidedcosttbl2,ROUNDUP($H189,0),CC$2)-(INDEX(avoidedcosttbl2,ROUNDDOWN($H189,0),CC$2)))))*'Inputs Yr 2'!Q189*'Inputs Yr 2'!R189*'Inputs Yr 2'!V189,"")</f>
        <v>0</v>
      </c>
      <c r="CD189" s="195" t="str">
        <f>IFERROR(I189*(IF('Inputs Yr 2'!$AJ189=CD$4,'Inputs Yr 2'!$AK189,IF('Inputs Yr 2'!$AL189=CD$4,'Inputs Yr 2'!$AM189,IF('Inputs Yr 2'!$AN189=CD$4,'Inputs Yr 2'!$AO189,0))))*(INDEX(avoidedcosttbl2,$H189,CD$2)+(($H189-ROUNDDOWN($H189,0))*(INDEX(avoidedcosttbl2,ROUNDUP($H189,0),CD$2)-(INDEX(avoidedcosttbl2,ROUNDDOWN($H189,0),CD$2)))))*'Inputs Yr 2'!R189*'Inputs Yr 2'!S189*'Inputs Yr 2'!W189,"")</f>
        <v/>
      </c>
      <c r="CE189" s="213">
        <f t="shared" si="101"/>
        <v>0</v>
      </c>
      <c r="CF189" s="213">
        <f t="shared" si="102"/>
        <v>0</v>
      </c>
      <c r="CG189" s="213">
        <f t="shared" si="103"/>
        <v>0</v>
      </c>
      <c r="CH189" s="698">
        <f t="shared" si="104"/>
        <v>0</v>
      </c>
      <c r="CI189" s="79" t="str">
        <f>IFERROR(($G189*'Inputs Yr 2'!$P189*'Inputs Yr 2'!$Q189*(((INDEX(avoidedcosttbl2,$H189,CI$2)+(($H189-ROUNDDOWN($H189,0))*(INDEX(avoidedcosttbl2,ROUNDUP($H189,0),CI$2)-INDEX(avoidedcosttbl2,ROUNDDOWN($H189,0),CI$2))))*'Inputs Yr 2'!AS189))),"")</f>
        <v/>
      </c>
      <c r="CJ189" s="504" t="str">
        <f>IFERROR($G189*'Inputs Yr 2'!AT189*'Inputs Yr 2'!$P189*'Inputs Yr 2'!$Q189/((1+realdiscrt1)^-0.5),"")</f>
        <v/>
      </c>
      <c r="CK189" s="79" t="str">
        <f>IFERROR((O189*1000*(((INDEX(avoidedcosttbl2,$H189,CK$2)+(($H189-ROUNDDOWN($H189,0))*(INDEX(avoidedcosttbl2,ROUNDUP($H189,0),CK$2)-INDEX(avoidedcosttbl2,ROUNDDOWN($H189,0),CK$2))))*'Inputs Yr 2'!AU189))),"")</f>
        <v/>
      </c>
      <c r="CL189" s="504" t="str">
        <f>IFERROR(O189*1000*'Inputs Yr 2'!AV189/((1+realdiscrt1)^-0.5),"")</f>
        <v/>
      </c>
      <c r="CM189" s="79">
        <f>IFERROR((AB189*'Inputs Yr 2'!AW189*(((INDEX(avoidedcosttbl2,$H189,CM$2)+(($H189-ROUNDDOWN($H189,0))*(INDEX(avoidedcosttbl2,ROUNDUP($H189,0),CM$2)-INDEX(avoidedcosttbl2,ROUNDDOWN($H189,0),CM$2)))))))*10,"")</f>
        <v>0</v>
      </c>
      <c r="CN189" s="504">
        <f>IFERROR(10*AB189*'Inputs Yr 2'!AX189/((1+realdiscrt1)^-0.5),"")</f>
        <v>0</v>
      </c>
      <c r="CO189" s="505">
        <f t="shared" si="105"/>
        <v>0</v>
      </c>
      <c r="CP189" s="230">
        <f t="shared" si="106"/>
        <v>0</v>
      </c>
      <c r="CQ189" s="199">
        <f>ROUND(IFERROR(IF(LEFT($A189,1)="C",'Avoided Costs'!$K$13,'Avoided Costs'!$K$12)+1,""),4)</f>
        <v>1.0720000000000001</v>
      </c>
      <c r="CR189" s="199">
        <f>ROUND(IFERROR(IF(LEFT($A189,1)="C",'Avoided Costs'!$L$13,'Avoided Costs'!$L$12)+1,""),4)</f>
        <v>1.04</v>
      </c>
      <c r="CS189" s="199">
        <f>ROUND(IFERROR(IF(LEFT($A189,1)="C",'Avoided Costs'!$M$13,'Avoided Costs'!$M$12)+1,""),4)</f>
        <v>1.0720000000000001</v>
      </c>
      <c r="CT189" s="199">
        <f>ROUND(IFERROR(IF(LEFT($A189,1)="C",'Avoided Costs'!$N$13,'Avoided Costs'!$N$12)+1,""),4)</f>
        <v>1.04</v>
      </c>
      <c r="CU189" s="199">
        <f>ROUND(IFERROR(IF(LEFT($A189,1)="C",'Avoided Costs'!$O$13,'Avoided Costs'!$O$12)+1,""),4)</f>
        <v>1.1120000000000001</v>
      </c>
      <c r="CV189" s="199">
        <f>ROUND(IFERROR(IF(LEFT($A189,1)="C",'Avoided Costs'!$P$13,'Avoided Costs'!$P$12)+1,""),4)</f>
        <v>1.095</v>
      </c>
      <c r="CW189" s="199">
        <f>ROUND(IFERROR(IF(LEFT($A189,1)="C",'Avoided Costs'!$Q$13,'Avoided Costs'!$Q$12)+1,""),4)</f>
        <v>1.1120000000000001</v>
      </c>
      <c r="CX189" s="200">
        <f>ROUND(IFERROR(IF(LEFT($A189,1)="C",'Avoided Costs'!$R$13,'Avoided Costs'!$R$12)+1,""),4)</f>
        <v>1.1120000000000001</v>
      </c>
    </row>
    <row r="190" spans="1:102" ht="12.75" customHeight="1">
      <c r="A190" s="91" t="str">
        <f>IF('Inputs Yr 2'!$B190=0,"",'Inputs Yr 2'!A190)</f>
        <v>C - Commercial &amp; Industrial</v>
      </c>
      <c r="B190" s="91" t="str">
        <f>IF('Inputs Yr 2'!$B190=0,"",'Inputs Yr 2'!B190)</f>
        <v>C1 - C&amp;I New Construction</v>
      </c>
      <c r="C190" s="91" t="str">
        <f>IF('Inputs Yr 2'!$B190=0,"",'Inputs Yr 2'!C190)</f>
        <v>C1a - C&amp;I New Buildings &amp; Major Renovations</v>
      </c>
      <c r="D190" s="91" t="str">
        <f>IF('Inputs Yr 2'!$B190=0,"",'Inputs Yr 2'!E190)</f>
        <v>Combination Oven</v>
      </c>
      <c r="E190" s="93" t="str">
        <f>IF('Inputs Yr 2'!$B190=0,"",'Inputs Yr 2'!F190)</f>
        <v>G16C1a33</v>
      </c>
      <c r="F190" s="93" t="str">
        <f>IF('Inputs Yr 2'!$B190=0,"",'Inputs Yr 2'!G190)</f>
        <v>Food Service</v>
      </c>
      <c r="G190" s="95" t="str">
        <f>IF('Inputs Yr 2'!$H190&lt;&gt;0,('Inputs Yr 2'!H190),"")</f>
        <v/>
      </c>
      <c r="H190" s="94">
        <f>IFERROR('Inputs Yr 2'!I190,"")</f>
        <v>12</v>
      </c>
      <c r="I190" s="298" t="str">
        <f>IFERROR('Inputs Yr 2'!J190*'Inputs Yr 2'!P190*G190,"")</f>
        <v/>
      </c>
      <c r="J190" s="298" t="str">
        <f>IFERROR('Inputs Yr 2'!K190*G190,"")</f>
        <v/>
      </c>
      <c r="K190" s="298" t="str">
        <f t="shared" si="83"/>
        <v/>
      </c>
      <c r="L190" s="194" t="str">
        <f>IFERROR(('Inputs Yr 2'!W190*G190)/1000,"")</f>
        <v/>
      </c>
      <c r="M190" s="194" t="str">
        <f>IFERROR(L190*('Inputs Yr 2'!$Q190*'Inputs Yr 2'!$V190*'Inputs Yr 2'!$R190),"")</f>
        <v/>
      </c>
      <c r="N190" s="194" t="str">
        <f t="shared" si="84"/>
        <v/>
      </c>
      <c r="O190" s="194" t="str">
        <f>IFERROR(M190*'Inputs Yr 2'!P190,"")</f>
        <v/>
      </c>
      <c r="P190" s="194" t="str">
        <f t="shared" si="85"/>
        <v/>
      </c>
      <c r="Q190" s="194" t="str">
        <f>IFERROR($P190*'Inputs Yr 2'!AA190,"")</f>
        <v/>
      </c>
      <c r="R190" s="194" t="str">
        <f>IFERROR($P190*'Inputs Yr 2'!AB190,"")</f>
        <v/>
      </c>
      <c r="S190" s="194" t="str">
        <f>IFERROR($P190*'Inputs Yr 2'!AC190,"")</f>
        <v/>
      </c>
      <c r="T190" s="194" t="str">
        <f>IFERROR($P190*'Inputs Yr 2'!AD190,"")</f>
        <v/>
      </c>
      <c r="U190" s="194" t="str">
        <f>IFERROR(G190*'Inputs Yr 2'!$AE190*'Inputs Yr 2'!$P190*'Inputs Yr 2'!$Q190,"")</f>
        <v/>
      </c>
      <c r="V190" s="194" t="str">
        <f>IFERROR($G190*'Inputs Yr 2'!$AE190*'Inputs Yr 2'!$AG190*'Inputs Yr 2'!Q190*'Inputs Yr 2'!$S190,"")</f>
        <v/>
      </c>
      <c r="W190" s="194" t="str">
        <f>IFERROR($G190*'Inputs Yr 2'!$AE190*'Inputs Yr 2'!$AG190*'Inputs Yr 2'!P190*'Inputs Yr 2'!Q190*'Inputs Yr 2'!$S190,"")</f>
        <v/>
      </c>
      <c r="X190" s="194" t="str">
        <f>IFERROR($G190*'Inputs Yr 2'!$AE190*'Inputs Yr 2'!$AF190*'Inputs Yr 2'!Q190*'Inputs Yr 2'!$T190,"")</f>
        <v/>
      </c>
      <c r="Y190" s="194" t="str">
        <f>IFERROR($G190*'Inputs Yr 2'!$AE190*'Inputs Yr 2'!$AF190*'Inputs Yr 2'!P190*'Inputs Yr 2'!Q190*'Inputs Yr 2'!$T190,"")</f>
        <v/>
      </c>
      <c r="Z190" s="257">
        <f>IFERROR($G190*'Inputs Yr 2'!$Q190*'Inputs Yr 2'!$U190*(IF(IFERROR(SEARCH("NG", 'Inputs Yr 2'!$AJ190),0),'Inputs Yr 2'!$AK190,0)+IF(IFERROR(SEARCH("NG", 'Inputs Yr 2'!$AL190),0),'Inputs Yr 2'!$AM190,0)+IF(IFERROR(SEARCH("NG", 'Inputs Yr 2'!$AN190),0),'Inputs Yr 2'!$AO190,0)),0)</f>
        <v>0</v>
      </c>
      <c r="AA190" s="257">
        <f t="shared" si="86"/>
        <v>0</v>
      </c>
      <c r="AB190" s="257">
        <f>IFERROR(Z190*'Inputs Yr 2'!$P190,0)</f>
        <v>0</v>
      </c>
      <c r="AC190" s="257">
        <f t="shared" si="87"/>
        <v>0</v>
      </c>
      <c r="AD190" s="257">
        <f>IFERROR($G190*'Inputs Yr 2'!$Q190*'Inputs Yr 2'!$U190*(IF(IFERROR(SEARCH("Oil", 'Inputs Yr 2'!$AJ190), 0),'Inputs Yr 2'!$AK190,0)+IF(IFERROR(SEARCH("Oil", 'Inputs Yr 2'!$AL190), 0),'Inputs Yr 2'!$AM190,0)+IF(IFERROR(SEARCH("Oil", 'Inputs Yr 2'!$AN190), 0),'Inputs Yr 2'!$AO190,0)),0)</f>
        <v>0</v>
      </c>
      <c r="AE190" s="257">
        <f t="shared" si="88"/>
        <v>0</v>
      </c>
      <c r="AF190" s="257">
        <f>IFERROR(AD190*'Inputs Yr 2'!$P190,0)</f>
        <v>0</v>
      </c>
      <c r="AG190" s="257">
        <f t="shared" si="89"/>
        <v>0</v>
      </c>
      <c r="AH190" s="257">
        <f>IFERROR($G190*'Inputs Yr 2'!$Q190*'Inputs Yr 2'!$U190*(IF('Inputs Yr 2'!$AJ190=CD$4,'Inputs Yr 2'!$AK190,IF('Inputs Yr 2'!$AL190=CD$4,'Inputs Yr 2'!$AM190,IF('Inputs Yr 2'!$AN190=CD$4,'Inputs Yr 2'!$AO190,0)))),0)</f>
        <v>0</v>
      </c>
      <c r="AI190" s="257">
        <f t="shared" si="90"/>
        <v>0</v>
      </c>
      <c r="AJ190" s="257">
        <f>IFERROR(AH190*'Inputs Yr 2'!$P190,0)</f>
        <v>0</v>
      </c>
      <c r="AK190" s="257">
        <f t="shared" si="91"/>
        <v>0</v>
      </c>
      <c r="AL190" s="258">
        <f>IFERROR($G190*'Inputs Yr 2'!$P190*'Inputs Yr 2'!$Q190*'Inputs Yr 2'!AP190,0)</f>
        <v>0</v>
      </c>
      <c r="AM190" s="260">
        <f>IFERROR($G190*'Inputs Yr 2'!$P190*'Inputs Yr 2'!$Q190*'Inputs Yr 2'!AQ190,0)</f>
        <v>0</v>
      </c>
      <c r="AN190" s="258">
        <f>IFERROR($G190*'Inputs Yr 2'!$P190*'Inputs Yr 2'!$Q190*'Inputs Yr 2'!AR190,0)</f>
        <v>0</v>
      </c>
      <c r="AO190" s="257">
        <f t="shared" si="92"/>
        <v>0</v>
      </c>
      <c r="AP190" s="195" t="str">
        <f>IFERROR($CQ190*(INDEX(avoidedcosttbl2,$H190,AP$2)+(($H190-ROUNDDOWN($H190,0))*(INDEX(avoidedcosttbl2,ROUNDUP($H190,0),AP$2)-(INDEX(avoidedcosttbl2,ROUNDDOWN($H190,0),AP$2)))))*$O190*1000*'Inputs Yr 2'!AA190,"")</f>
        <v/>
      </c>
      <c r="AQ190" s="195" t="str">
        <f>IFERROR($CR190*(INDEX(avoidedcosttbl2,$H190,AQ$2)+(($H190-ROUNDDOWN($H190,0))*(INDEX(avoidedcosttbl2,ROUNDUP($H190,0),AQ$2)-(INDEX(avoidedcosttbl2,ROUNDDOWN($H190,0),AQ$2)))))*$O190*1000*'Inputs Yr 2'!AB190,"")</f>
        <v/>
      </c>
      <c r="AR190" s="195" t="str">
        <f>IFERROR($CS190*(INDEX(avoidedcosttbl2,$H190,AR$2)+(($H190-ROUNDDOWN($H190,0))*(INDEX(avoidedcosttbl2,ROUNDUP($H190,0),AR$2)-(INDEX(avoidedcosttbl2,ROUNDDOWN($H190,0),AR$2)))))*$O190*1000*'Inputs Yr 2'!AC190,"")</f>
        <v/>
      </c>
      <c r="AS190" s="195" t="str">
        <f>IFERROR($CT190*(INDEX(avoidedcosttbl2,$H190,AS$2)+(($H190-ROUNDDOWN($H190,0))*(INDEX(avoidedcosttbl2,ROUNDUP($H190,0),AS$2)-(INDEX(avoidedcosttbl2,ROUNDDOWN($H190,0),AS$2)))))*$O190*1000*'Inputs Yr 2'!AD190,"")</f>
        <v/>
      </c>
      <c r="AT190" s="196">
        <f t="shared" si="93"/>
        <v>0</v>
      </c>
      <c r="AU190" s="197" t="str">
        <f>IFERROR($CQ190*((INDEX(avoidedcosttbl2,$H190,AU$2))+(($H190-ROUNDDOWN($H190,0))*((INDEX(avoidedcosttbl2,ROUNDUP($H190,0),AU$2))-(INDEX(avoidedcosttbl2,ROUNDDOWN($H190,0),AU$2)))))*$O190*1000*'Inputs Yr 2'!AA190,"")</f>
        <v/>
      </c>
      <c r="AV190" s="197" t="str">
        <f>IFERROR($CR190*((INDEX(avoidedcosttbl2,$H190,AV$2))+(($H190-ROUNDDOWN($H190,0))*((INDEX(avoidedcosttbl2,ROUNDUP($H190,0),AV$2))-(INDEX(avoidedcosttbl2,ROUNDDOWN($H190,0),AV$2)))))*$O190*1000*'Inputs Yr 2'!AB190,"")</f>
        <v/>
      </c>
      <c r="AW190" s="197" t="str">
        <f>IFERROR($CS190*((INDEX(avoidedcosttbl2,$H190,AW$2))+(($H190-ROUNDDOWN($H190,0))*((INDEX(avoidedcosttbl2,ROUNDUP($H190,0),AW$2))-(INDEX(avoidedcosttbl2,ROUNDDOWN($H190,0),AW$2)))))*$O190*1000*'Inputs Yr 2'!AC190,"")</f>
        <v/>
      </c>
      <c r="AX190" s="197" t="str">
        <f>IFERROR($CT190*((INDEX(avoidedcosttbl2,$H190,AX$2))+(($H190-ROUNDDOWN($H190,0))*((INDEX(avoidedcosttbl2,ROUNDUP($H190,0),AX$2))-(INDEX(avoidedcosttbl2,ROUNDDOWN($H190,0),AX$2)))))*$O190*1000*'Inputs Yr 2'!AD190,"")</f>
        <v/>
      </c>
      <c r="AY190" s="197" t="str">
        <f>IFERROR(((INDEX(avoidedcosttbl2,$H190,AY$2))+(($H190-ROUNDDOWN($H190,0))*((INDEX(avoidedcosttbl2,ROUNDUP($H190,0),AY$2))-(INDEX(avoidedcosttbl2,ROUNDDOWN($H190,0),AY$2)))))*$O190*1000*('Inputs Yr 2'!AC190+'Inputs Yr 2'!AD190),"")</f>
        <v/>
      </c>
      <c r="AZ190" s="197" t="str">
        <f>IFERROR(((INDEX(avoidedcosttbl2,$H190,AZ$2))+(($H190-ROUNDDOWN($H190,0))*((INDEX(avoidedcosttbl2,ROUNDUP($H190,0),AZ$2))-(INDEX(avoidedcosttbl2,ROUNDDOWN($H190,0),AZ$2)))))*$O190*1000*('Inputs Yr 2'!AA190+'Inputs Yr 2'!AB190),"")</f>
        <v/>
      </c>
      <c r="BA190" s="198">
        <f t="shared" si="94"/>
        <v>0</v>
      </c>
      <c r="BB190" s="198">
        <f t="shared" si="95"/>
        <v>0</v>
      </c>
      <c r="BC190" s="195" t="str">
        <f t="shared" si="77"/>
        <v/>
      </c>
      <c r="BD190" s="195" t="str">
        <f t="shared" si="78"/>
        <v/>
      </c>
      <c r="BE190" s="195" t="str">
        <f t="shared" si="79"/>
        <v/>
      </c>
      <c r="BF190" s="195" t="str">
        <f t="shared" si="80"/>
        <v/>
      </c>
      <c r="BG190" s="195" t="str">
        <f t="shared" si="81"/>
        <v/>
      </c>
      <c r="BH190" s="196">
        <f t="shared" si="96"/>
        <v>0</v>
      </c>
      <c r="BI190" s="196">
        <f t="shared" si="97"/>
        <v>0</v>
      </c>
      <c r="BJ190" s="195" t="str">
        <f>IFERROR($G190*(IF('Inputs Yr 2'!$AJ190=BJ$4,'Inputs Yr 2'!$AK190,IF('Inputs Yr 2'!$AL190=BJ$4,'Inputs Yr 2'!$AM190,IF('Inputs Yr 2'!$AN190=BJ$4,'Inputs Yr 2'!$AO190,0))))*(INDEX(avoidedcosttbl2,$H190,BJ$2)+(($H190-ROUNDDOWN($H190,0))*(INDEX(avoidedcosttbl2,ROUNDUP($H190,0),BJ$2)-(INDEX(avoidedcosttbl2,ROUNDDOWN($H190,0),BJ$2)))))*'Inputs Yr 2'!P190*'Inputs Yr 2'!Q190*'Inputs Yr 2'!U190,"")</f>
        <v/>
      </c>
      <c r="BK190" s="195" t="str">
        <f>IFERROR($G190*(IF('Inputs Yr 2'!$AJ190=BK$4,'Inputs Yr 2'!$AK190,IF('Inputs Yr 2'!$AL190=BK$4,'Inputs Yr 2'!$AM190,IF('Inputs Yr 2'!$AN190=BK$4,'Inputs Yr 2'!$AO190,0))))*(INDEX(avoidedcosttbl2,$H190,BK$2)+(($H190-ROUNDDOWN($H190,0))*(INDEX(avoidedcosttbl2,ROUNDUP($H190,0),BK$2)-(INDEX(avoidedcosttbl2,ROUNDDOWN($H190,0),BK$2)))))*'Inputs Yr 2'!P190*'Inputs Yr 2'!Q190*'Inputs Yr 2'!U190,"")</f>
        <v/>
      </c>
      <c r="BL190" s="195" t="str">
        <f>IFERROR($G190*(IF('Inputs Yr 2'!$AJ190=BL$4,'Inputs Yr 2'!$AK190,IF('Inputs Yr 2'!$AL190=BL$4,'Inputs Yr 2'!$AM190,IF('Inputs Yr 2'!$AN190=BL$4,'Inputs Yr 2'!$AO190,0))))*(INDEX(avoidedcosttbl2,$H190,BL$2)+(($H190-ROUNDDOWN($H190,0))*(INDEX(avoidedcosttbl2,ROUNDUP($H190,0),BL$2)-(INDEX(avoidedcosttbl2,ROUNDDOWN($H190,0),BL$2)))))*'Inputs Yr 2'!P190*'Inputs Yr 2'!Q190*'Inputs Yr 2'!U190,"")</f>
        <v/>
      </c>
      <c r="BM190" s="195" t="str">
        <f>IFERROR($G190*(IF('Inputs Yr 2'!$AJ190=BM$4,'Inputs Yr 2'!$AK190,IF('Inputs Yr 2'!$AL190=BM$4,'Inputs Yr 2'!$AM190,IF('Inputs Yr 2'!$AN190=BM$4,'Inputs Yr 2'!$AO190,0))))*(INDEX(avoidedcosttbl2,$H190,BM$2)+(($H190-ROUNDDOWN($H190,0))*(INDEX(avoidedcosttbl2,ROUNDUP($H190,0),BM$2)-(INDEX(avoidedcosttbl2,ROUNDDOWN($H190,0),BM$2)))))*'Inputs Yr 2'!P190*'Inputs Yr 2'!Q190*'Inputs Yr 2'!U190,"")</f>
        <v/>
      </c>
      <c r="BN190" s="195" t="str">
        <f>IFERROR($G190*(IF('Inputs Yr 2'!$AJ190=BN$4,'Inputs Yr 2'!$AK190,IF('Inputs Yr 2'!$AL190=BN$4,'Inputs Yr 2'!$AM190,IF('Inputs Yr 2'!$AN190=BN$4,'Inputs Yr 2'!$AO190,0))))*(INDEX(avoidedcosttbl2,$H190,BN$2)+(($H190-ROUNDDOWN($H190,0))*(INDEX(avoidedcosttbl2,ROUNDUP($H190,0),BN$2)-(INDEX(avoidedcosttbl2,ROUNDDOWN($H190,0),BN$2)))))*'Inputs Yr 2'!P190*'Inputs Yr 2'!Q190*'Inputs Yr 2'!U190,"")</f>
        <v/>
      </c>
      <c r="BO190" s="195" t="str">
        <f>IFERROR($G190*(IF('Inputs Yr 2'!$AJ190=BO$4,'Inputs Yr 2'!$AK190,IF('Inputs Yr 2'!$AL190=BO$4,'Inputs Yr 2'!$AM190,IF('Inputs Yr 2'!$AN190=BO$4,'Inputs Yr 2'!$AO190,0))))*(INDEX(avoidedcosttbl2,$H190,BO$2)+(($H190-ROUNDDOWN($H190,0))*(INDEX(avoidedcosttbl2,ROUNDUP($H190,0),BO$2)-(INDEX(avoidedcosttbl2,ROUNDDOWN($H190,0),BO$2)))))*'Inputs Yr 2'!P190*'Inputs Yr 2'!Q190*'Inputs Yr 2'!U190,"")</f>
        <v/>
      </c>
      <c r="BP190" s="195" t="str">
        <f>IFERROR($G190*(IF('Inputs Yr 2'!$AJ190=BP$4,'Inputs Yr 2'!$AK190,IF('Inputs Yr 2'!$AL190=BP$4,'Inputs Yr 2'!$AM190,IF('Inputs Yr 2'!$AN190=BP$4,'Inputs Yr 2'!$AO190,0))))*(INDEX(avoidedcosttbl2,$H190,BP$2)+(($H190-ROUNDDOWN($H190,0))*(INDEX(avoidedcosttbl2,ROUNDUP($H190,0),BP$2)-(INDEX(avoidedcosttbl2,ROUNDDOWN($H190,0),BP$2)))))*'Inputs Yr 2'!P190*'Inputs Yr 2'!Q190*'Inputs Yr 2'!U190,"")</f>
        <v/>
      </c>
      <c r="BQ190" s="230">
        <f t="shared" si="98"/>
        <v>0</v>
      </c>
      <c r="BR190" s="197">
        <f t="shared" si="82"/>
        <v>0</v>
      </c>
      <c r="BS190" s="197" t="str">
        <f>IFERROR(($G190*IF('Inputs Yr 2'!$AJ190=BM$4,'Inputs Yr 2'!$AK190,IF('Inputs Yr 2'!$AL190=BM$4,'Inputs Yr 2'!$AM190,IF('Inputs Yr 2'!$AN190=BM$4,'Inputs Yr 2'!$AO190,0))))*(INDEX(avoidedcosttbl2,$H190,BS$2)+(($H190-ROUNDDOWN($H190,0))*(INDEX(avoidedcosttbl2,ROUNDUP($H190,0),BS$2)-(INDEX(avoidedcosttbl2,ROUNDDOWN($H190,0),BS$2)))))*'Inputs Yr 2'!P190*'Inputs Yr 2'!Q190*'Inputs Yr 2'!U190,"")</f>
        <v/>
      </c>
      <c r="BT190" s="197" t="str">
        <f>IFERROR(($G190*IF('Inputs Yr 2'!$AJ190=BK$4,'Inputs Yr 2'!$AK190,IF('Inputs Yr 2'!$AL190=BK$4,'Inputs Yr 2'!$AM190,IF('Inputs Yr 2'!$AN190=BK$4,'Inputs Yr 2'!$AO190,0))))*(INDEX(avoidedcosttbl2,$H190,BT$2)+(($H190-ROUNDDOWN($H190,0))*(INDEX(avoidedcosttbl2,ROUNDUP($H190,0),BT$2)-(INDEX(avoidedcosttbl2,ROUNDDOWN($H190,0),BT$2)))))*'Inputs Yr 2'!P190*'Inputs Yr 2'!Q190*'Inputs Yr 2'!U190,"")</f>
        <v/>
      </c>
      <c r="BU190" s="197" t="str">
        <f>IFERROR(($G190*IF('Inputs Yr 2'!$AJ190=BL$4,'Inputs Yr 2'!$AK190,IF('Inputs Yr 2'!$AL190=BL$4,'Inputs Yr 2'!$AM190,IF('Inputs Yr 2'!$AN190=BL$4,'Inputs Yr 2'!$AO190,0))))*(INDEX(avoidedcosttbl2,$H190,BU$2)+(($H190-ROUNDDOWN($H190,0))*(INDEX(avoidedcosttbl2,ROUNDUP($H190,0),BU$2)-(INDEX(avoidedcosttbl2,ROUNDDOWN($H190,0),BU$2)))))*'Inputs Yr 2'!P190*'Inputs Yr 2'!Q190*'Inputs Yr 2'!U190,"")</f>
        <v/>
      </c>
      <c r="BV190" s="775" t="str">
        <f>IFERROR(($G190*IF('Inputs Yr 2'!$AJ190=BJ$4,'Inputs Yr 2'!$AK190,IF('Inputs Yr 2'!$AL190=BJ$4,'Inputs Yr 2'!$AM190,IF('Inputs Yr 2'!$AN190=BJ$4,'Inputs Yr 2'!$AO190,0))))*(INDEX(avoidedcosttbl2,$H190,BV$2)+(($H190-ROUNDDOWN($H190,0))*(INDEX(avoidedcosttbl2,ROUNDUP($H190,0),BV$2)-(INDEX(avoidedcosttbl2,ROUNDDOWN($H190,0),BV$2)))))*'Inputs Yr 2'!P190*'Inputs Yr 2'!Q190*'Inputs Yr 2'!U190,"")</f>
        <v/>
      </c>
      <c r="BW190" s="197" t="str">
        <f>IFERROR(($G190*IF('Inputs Yr 2'!$AJ190=BN$4,'Inputs Yr 2'!$AK190,IF('Inputs Yr 2'!$AL190=BN$4,'Inputs Yr 2'!$AM190,IF('Inputs Yr 2'!$AN190=BN$4,'Inputs Yr 2'!$AO190,0))))*(INDEX(avoidedcosttbl2,$H190,BW$2)+(($H190-ROUNDDOWN($H190,0))*(INDEX(avoidedcosttbl2,ROUNDUP($H190,0),BW$2)-(INDEX(avoidedcosttbl2,ROUNDDOWN($H190,0),BW$2)))))*'Inputs Yr 2'!P190*'Inputs Yr 2'!Q190*'Inputs Yr 2'!U190,"")</f>
        <v/>
      </c>
      <c r="BX190" s="197" t="str">
        <f>IFERROR(($G190*IF('Inputs Yr 2'!$AJ190=BO$4,'Inputs Yr 2'!$AK190,IF('Inputs Yr 2'!$AL190=BO$4,'Inputs Yr 2'!$AM190,IF('Inputs Yr 2'!$AN190=BO$4,'Inputs Yr 2'!$AO190,0))))*(INDEX(avoidedcosttbl2,$H190,BX$2)+(($H190-ROUNDDOWN($H190,0))*(INDEX(avoidedcosttbl2,ROUNDUP($H190,0),BX$2)-(INDEX(avoidedcosttbl2,ROUNDDOWN($H190,0),BX$2)))))*'Inputs Yr 2'!P190*'Inputs Yr 2'!Q190*'Inputs Yr 2'!U190,"")</f>
        <v/>
      </c>
      <c r="BY190" s="197" t="str">
        <f>IFERROR(($G190*IF('Inputs Yr 2'!$AJ190=BP$4,'Inputs Yr 2'!$AK190,IF('Inputs Yr 2'!$AL190=BP$4,'Inputs Yr 2'!$AM190,IF('Inputs Yr 2'!$AN190=BP$4,'Inputs Yr 2'!$AO190,0))))*(INDEX(avoidedcosttbl2,$H190,BY$2)+(($H190-ROUNDDOWN($H190,0))*(INDEX(avoidedcosttbl2,ROUNDUP($H190,0),BY$2)-(INDEX(avoidedcosttbl2,ROUNDDOWN($H190,0),BY$2)))))*'Inputs Yr 2'!P190*'Inputs Yr 2'!Q190*'Inputs Yr 2'!U190,"")</f>
        <v/>
      </c>
      <c r="BZ190" s="193">
        <f t="shared" si="99"/>
        <v>0</v>
      </c>
      <c r="CA190" s="193">
        <f t="shared" si="100"/>
        <v>0</v>
      </c>
      <c r="CB190" s="195" t="str">
        <f>IFERROR(G190*(IF('Inputs Yr 2'!$AJ190=CB$4,'Inputs Yr 2'!$AK190,IF('Inputs Yr 2'!$AL190=CB$4,'Inputs Yr 2'!$AM190,IF('Inputs Yr 2'!$AN190=CB$4,'Inputs Yr 2'!$AO190,0))))*(INDEX(avoidedcosttbl2,$H190,CB$2)+(($H190-ROUNDDOWN($H190,0))*(INDEX(avoidedcosttbl2,ROUNDUP($H190,0),CB$2)-(INDEX(avoidedcosttbl2,ROUNDDOWN($H190,0),CB$2)))))*'Inputs Yr 2'!P190*'Inputs Yr 2'!Q190*'Inputs Yr 2'!U190,"")</f>
        <v/>
      </c>
      <c r="CC190" s="195">
        <f>IFERROR(H190*(IF('Inputs Yr 2'!$AJ190=CC$4,'Inputs Yr 2'!$AK190,IF('Inputs Yr 2'!$AL190=CC$4,'Inputs Yr 2'!$AM190,IF('Inputs Yr 2'!$AN190=CC$4,'Inputs Yr 2'!$AO190,0))))*(INDEX(avoidedcosttbl2,$H190,CC$2)+(($H190-ROUNDDOWN($H190,0))*(INDEX(avoidedcosttbl2,ROUNDUP($H190,0),CC$2)-(INDEX(avoidedcosttbl2,ROUNDDOWN($H190,0),CC$2)))))*'Inputs Yr 2'!Q190*'Inputs Yr 2'!R190*'Inputs Yr 2'!V190,"")</f>
        <v>0</v>
      </c>
      <c r="CD190" s="195" t="str">
        <f>IFERROR(I190*(IF('Inputs Yr 2'!$AJ190=CD$4,'Inputs Yr 2'!$AK190,IF('Inputs Yr 2'!$AL190=CD$4,'Inputs Yr 2'!$AM190,IF('Inputs Yr 2'!$AN190=CD$4,'Inputs Yr 2'!$AO190,0))))*(INDEX(avoidedcosttbl2,$H190,CD$2)+(($H190-ROUNDDOWN($H190,0))*(INDEX(avoidedcosttbl2,ROUNDUP($H190,0),CD$2)-(INDEX(avoidedcosttbl2,ROUNDDOWN($H190,0),CD$2)))))*'Inputs Yr 2'!R190*'Inputs Yr 2'!S190*'Inputs Yr 2'!W190,"")</f>
        <v/>
      </c>
      <c r="CE190" s="213">
        <f t="shared" si="101"/>
        <v>0</v>
      </c>
      <c r="CF190" s="213">
        <f t="shared" si="102"/>
        <v>0</v>
      </c>
      <c r="CG190" s="213">
        <f t="shared" si="103"/>
        <v>0</v>
      </c>
      <c r="CH190" s="698">
        <f t="shared" si="104"/>
        <v>0</v>
      </c>
      <c r="CI190" s="79" t="str">
        <f>IFERROR(($G190*'Inputs Yr 2'!$P190*'Inputs Yr 2'!$Q190*(((INDEX(avoidedcosttbl2,$H190,CI$2)+(($H190-ROUNDDOWN($H190,0))*(INDEX(avoidedcosttbl2,ROUNDUP($H190,0),CI$2)-INDEX(avoidedcosttbl2,ROUNDDOWN($H190,0),CI$2))))*'Inputs Yr 2'!AS190))),"")</f>
        <v/>
      </c>
      <c r="CJ190" s="504" t="str">
        <f>IFERROR($G190*'Inputs Yr 2'!AT190*'Inputs Yr 2'!$P190*'Inputs Yr 2'!$Q190/((1+realdiscrt1)^-0.5),"")</f>
        <v/>
      </c>
      <c r="CK190" s="79" t="str">
        <f>IFERROR((O190*1000*(((INDEX(avoidedcosttbl2,$H190,CK$2)+(($H190-ROUNDDOWN($H190,0))*(INDEX(avoidedcosttbl2,ROUNDUP($H190,0),CK$2)-INDEX(avoidedcosttbl2,ROUNDDOWN($H190,0),CK$2))))*'Inputs Yr 2'!AU190))),"")</f>
        <v/>
      </c>
      <c r="CL190" s="504" t="str">
        <f>IFERROR(O190*1000*'Inputs Yr 2'!AV190/((1+realdiscrt1)^-0.5),"")</f>
        <v/>
      </c>
      <c r="CM190" s="79">
        <f>IFERROR((AB190*'Inputs Yr 2'!AW190*(((INDEX(avoidedcosttbl2,$H190,CM$2)+(($H190-ROUNDDOWN($H190,0))*(INDEX(avoidedcosttbl2,ROUNDUP($H190,0),CM$2)-INDEX(avoidedcosttbl2,ROUNDDOWN($H190,0),CM$2)))))))*10,"")</f>
        <v>0</v>
      </c>
      <c r="CN190" s="504">
        <f>IFERROR(10*AB190*'Inputs Yr 2'!AX190/((1+realdiscrt1)^-0.5),"")</f>
        <v>0</v>
      </c>
      <c r="CO190" s="505">
        <f t="shared" si="105"/>
        <v>0</v>
      </c>
      <c r="CP190" s="230">
        <f t="shared" si="106"/>
        <v>0</v>
      </c>
      <c r="CQ190" s="199">
        <f>ROUND(IFERROR(IF(LEFT($A190,1)="C",'Avoided Costs'!$K$13,'Avoided Costs'!$K$12)+1,""),4)</f>
        <v>1.0720000000000001</v>
      </c>
      <c r="CR190" s="199">
        <f>ROUND(IFERROR(IF(LEFT($A190,1)="C",'Avoided Costs'!$L$13,'Avoided Costs'!$L$12)+1,""),4)</f>
        <v>1.04</v>
      </c>
      <c r="CS190" s="199">
        <f>ROUND(IFERROR(IF(LEFT($A190,1)="C",'Avoided Costs'!$M$13,'Avoided Costs'!$M$12)+1,""),4)</f>
        <v>1.0720000000000001</v>
      </c>
      <c r="CT190" s="199">
        <f>ROUND(IFERROR(IF(LEFT($A190,1)="C",'Avoided Costs'!$N$13,'Avoided Costs'!$N$12)+1,""),4)</f>
        <v>1.04</v>
      </c>
      <c r="CU190" s="199">
        <f>ROUND(IFERROR(IF(LEFT($A190,1)="C",'Avoided Costs'!$O$13,'Avoided Costs'!$O$12)+1,""),4)</f>
        <v>1.1120000000000001</v>
      </c>
      <c r="CV190" s="199">
        <f>ROUND(IFERROR(IF(LEFT($A190,1)="C",'Avoided Costs'!$P$13,'Avoided Costs'!$P$12)+1,""),4)</f>
        <v>1.095</v>
      </c>
      <c r="CW190" s="199">
        <f>ROUND(IFERROR(IF(LEFT($A190,1)="C",'Avoided Costs'!$Q$13,'Avoided Costs'!$Q$12)+1,""),4)</f>
        <v>1.1120000000000001</v>
      </c>
      <c r="CX190" s="200">
        <f>ROUND(IFERROR(IF(LEFT($A190,1)="C",'Avoided Costs'!$R$13,'Avoided Costs'!$R$12)+1,""),4)</f>
        <v>1.1120000000000001</v>
      </c>
    </row>
    <row r="191" spans="1:102" ht="12.75" customHeight="1">
      <c r="A191" s="91" t="str">
        <f>IF('Inputs Yr 2'!$B191=0,"",'Inputs Yr 2'!A191)</f>
        <v>C - Commercial &amp; Industrial</v>
      </c>
      <c r="B191" s="91" t="str">
        <f>IF('Inputs Yr 2'!$B191=0,"",'Inputs Yr 2'!B191)</f>
        <v>C1 - C&amp;I New Construction</v>
      </c>
      <c r="C191" s="91" t="str">
        <f>IF('Inputs Yr 2'!$B191=0,"",'Inputs Yr 2'!C191)</f>
        <v>C1a - C&amp;I New Buildings &amp; Major Renovations</v>
      </c>
      <c r="D191" s="91" t="str">
        <f>IF('Inputs Yr 2'!$B191=0,"",'Inputs Yr 2'!E191)</f>
        <v>Convection Oven</v>
      </c>
      <c r="E191" s="93" t="str">
        <f>IF('Inputs Yr 2'!$B191=0,"",'Inputs Yr 2'!F191)</f>
        <v>G16C1a34</v>
      </c>
      <c r="F191" s="93" t="str">
        <f>IF('Inputs Yr 2'!$B191=0,"",'Inputs Yr 2'!G191)</f>
        <v>Food Service</v>
      </c>
      <c r="G191" s="95" t="str">
        <f>IF('Inputs Yr 2'!$H191&lt;&gt;0,('Inputs Yr 2'!H191),"")</f>
        <v/>
      </c>
      <c r="H191" s="94">
        <f>IFERROR('Inputs Yr 2'!I191,"")</f>
        <v>12</v>
      </c>
      <c r="I191" s="298" t="str">
        <f>IFERROR('Inputs Yr 2'!J191*'Inputs Yr 2'!P191*G191,"")</f>
        <v/>
      </c>
      <c r="J191" s="298" t="str">
        <f>IFERROR('Inputs Yr 2'!K191*G191,"")</f>
        <v/>
      </c>
      <c r="K191" s="298" t="str">
        <f t="shared" si="83"/>
        <v/>
      </c>
      <c r="L191" s="194" t="str">
        <f>IFERROR(('Inputs Yr 2'!W191*G191)/1000,"")</f>
        <v/>
      </c>
      <c r="M191" s="194" t="str">
        <f>IFERROR(L191*('Inputs Yr 2'!$Q191*'Inputs Yr 2'!$V191*'Inputs Yr 2'!$R191),"")</f>
        <v/>
      </c>
      <c r="N191" s="194" t="str">
        <f t="shared" si="84"/>
        <v/>
      </c>
      <c r="O191" s="194" t="str">
        <f>IFERROR(M191*'Inputs Yr 2'!P191,"")</f>
        <v/>
      </c>
      <c r="P191" s="194" t="str">
        <f t="shared" si="85"/>
        <v/>
      </c>
      <c r="Q191" s="194" t="str">
        <f>IFERROR($P191*'Inputs Yr 2'!AA191,"")</f>
        <v/>
      </c>
      <c r="R191" s="194" t="str">
        <f>IFERROR($P191*'Inputs Yr 2'!AB191,"")</f>
        <v/>
      </c>
      <c r="S191" s="194" t="str">
        <f>IFERROR($P191*'Inputs Yr 2'!AC191,"")</f>
        <v/>
      </c>
      <c r="T191" s="194" t="str">
        <f>IFERROR($P191*'Inputs Yr 2'!AD191,"")</f>
        <v/>
      </c>
      <c r="U191" s="194" t="str">
        <f>IFERROR(G191*'Inputs Yr 2'!$AE191*'Inputs Yr 2'!$P191*'Inputs Yr 2'!$Q191,"")</f>
        <v/>
      </c>
      <c r="V191" s="194" t="str">
        <f>IFERROR($G191*'Inputs Yr 2'!$AE191*'Inputs Yr 2'!$AG191*'Inputs Yr 2'!Q191*'Inputs Yr 2'!$S191,"")</f>
        <v/>
      </c>
      <c r="W191" s="194" t="str">
        <f>IFERROR($G191*'Inputs Yr 2'!$AE191*'Inputs Yr 2'!$AG191*'Inputs Yr 2'!P191*'Inputs Yr 2'!Q191*'Inputs Yr 2'!$S191,"")</f>
        <v/>
      </c>
      <c r="X191" s="194" t="str">
        <f>IFERROR($G191*'Inputs Yr 2'!$AE191*'Inputs Yr 2'!$AF191*'Inputs Yr 2'!Q191*'Inputs Yr 2'!$T191,"")</f>
        <v/>
      </c>
      <c r="Y191" s="194" t="str">
        <f>IFERROR($G191*'Inputs Yr 2'!$AE191*'Inputs Yr 2'!$AF191*'Inputs Yr 2'!P191*'Inputs Yr 2'!Q191*'Inputs Yr 2'!$T191,"")</f>
        <v/>
      </c>
      <c r="Z191" s="257">
        <f>IFERROR($G191*'Inputs Yr 2'!$Q191*'Inputs Yr 2'!$U191*(IF(IFERROR(SEARCH("NG", 'Inputs Yr 2'!$AJ191),0),'Inputs Yr 2'!$AK191,0)+IF(IFERROR(SEARCH("NG", 'Inputs Yr 2'!$AL191),0),'Inputs Yr 2'!$AM191,0)+IF(IFERROR(SEARCH("NG", 'Inputs Yr 2'!$AN191),0),'Inputs Yr 2'!$AO191,0)),0)</f>
        <v>0</v>
      </c>
      <c r="AA191" s="257">
        <f t="shared" si="86"/>
        <v>0</v>
      </c>
      <c r="AB191" s="257">
        <f>IFERROR(Z191*'Inputs Yr 2'!$P191,0)</f>
        <v>0</v>
      </c>
      <c r="AC191" s="257">
        <f t="shared" si="87"/>
        <v>0</v>
      </c>
      <c r="AD191" s="257">
        <f>IFERROR($G191*'Inputs Yr 2'!$Q191*'Inputs Yr 2'!$U191*(IF(IFERROR(SEARCH("Oil", 'Inputs Yr 2'!$AJ191), 0),'Inputs Yr 2'!$AK191,0)+IF(IFERROR(SEARCH("Oil", 'Inputs Yr 2'!$AL191), 0),'Inputs Yr 2'!$AM191,0)+IF(IFERROR(SEARCH("Oil", 'Inputs Yr 2'!$AN191), 0),'Inputs Yr 2'!$AO191,0)),0)</f>
        <v>0</v>
      </c>
      <c r="AE191" s="257">
        <f t="shared" si="88"/>
        <v>0</v>
      </c>
      <c r="AF191" s="257">
        <f>IFERROR(AD191*'Inputs Yr 2'!$P191,0)</f>
        <v>0</v>
      </c>
      <c r="AG191" s="257">
        <f t="shared" si="89"/>
        <v>0</v>
      </c>
      <c r="AH191" s="257">
        <f>IFERROR($G191*'Inputs Yr 2'!$Q191*'Inputs Yr 2'!$U191*(IF('Inputs Yr 2'!$AJ191=CD$4,'Inputs Yr 2'!$AK191,IF('Inputs Yr 2'!$AL191=CD$4,'Inputs Yr 2'!$AM191,IF('Inputs Yr 2'!$AN191=CD$4,'Inputs Yr 2'!$AO191,0)))),0)</f>
        <v>0</v>
      </c>
      <c r="AI191" s="257">
        <f t="shared" si="90"/>
        <v>0</v>
      </c>
      <c r="AJ191" s="257">
        <f>IFERROR(AH191*'Inputs Yr 2'!$P191,0)</f>
        <v>0</v>
      </c>
      <c r="AK191" s="257">
        <f t="shared" si="91"/>
        <v>0</v>
      </c>
      <c r="AL191" s="258">
        <f>IFERROR($G191*'Inputs Yr 2'!$P191*'Inputs Yr 2'!$Q191*'Inputs Yr 2'!AP191,0)</f>
        <v>0</v>
      </c>
      <c r="AM191" s="260">
        <f>IFERROR($G191*'Inputs Yr 2'!$P191*'Inputs Yr 2'!$Q191*'Inputs Yr 2'!AQ191,0)</f>
        <v>0</v>
      </c>
      <c r="AN191" s="258">
        <f>IFERROR($G191*'Inputs Yr 2'!$P191*'Inputs Yr 2'!$Q191*'Inputs Yr 2'!AR191,0)</f>
        <v>0</v>
      </c>
      <c r="AO191" s="257">
        <f t="shared" si="92"/>
        <v>0</v>
      </c>
      <c r="AP191" s="195" t="str">
        <f>IFERROR($CQ191*(INDEX(avoidedcosttbl2,$H191,AP$2)+(($H191-ROUNDDOWN($H191,0))*(INDEX(avoidedcosttbl2,ROUNDUP($H191,0),AP$2)-(INDEX(avoidedcosttbl2,ROUNDDOWN($H191,0),AP$2)))))*$O191*1000*'Inputs Yr 2'!AA191,"")</f>
        <v/>
      </c>
      <c r="AQ191" s="195" t="str">
        <f>IFERROR($CR191*(INDEX(avoidedcosttbl2,$H191,AQ$2)+(($H191-ROUNDDOWN($H191,0))*(INDEX(avoidedcosttbl2,ROUNDUP($H191,0),AQ$2)-(INDEX(avoidedcosttbl2,ROUNDDOWN($H191,0),AQ$2)))))*$O191*1000*'Inputs Yr 2'!AB191,"")</f>
        <v/>
      </c>
      <c r="AR191" s="195" t="str">
        <f>IFERROR($CS191*(INDEX(avoidedcosttbl2,$H191,AR$2)+(($H191-ROUNDDOWN($H191,0))*(INDEX(avoidedcosttbl2,ROUNDUP($H191,0),AR$2)-(INDEX(avoidedcosttbl2,ROUNDDOWN($H191,0),AR$2)))))*$O191*1000*'Inputs Yr 2'!AC191,"")</f>
        <v/>
      </c>
      <c r="AS191" s="195" t="str">
        <f>IFERROR($CT191*(INDEX(avoidedcosttbl2,$H191,AS$2)+(($H191-ROUNDDOWN($H191,0))*(INDEX(avoidedcosttbl2,ROUNDUP($H191,0),AS$2)-(INDEX(avoidedcosttbl2,ROUNDDOWN($H191,0),AS$2)))))*$O191*1000*'Inputs Yr 2'!AD191,"")</f>
        <v/>
      </c>
      <c r="AT191" s="196">
        <f t="shared" si="93"/>
        <v>0</v>
      </c>
      <c r="AU191" s="197" t="str">
        <f>IFERROR($CQ191*((INDEX(avoidedcosttbl2,$H191,AU$2))+(($H191-ROUNDDOWN($H191,0))*((INDEX(avoidedcosttbl2,ROUNDUP($H191,0),AU$2))-(INDEX(avoidedcosttbl2,ROUNDDOWN($H191,0),AU$2)))))*$O191*1000*'Inputs Yr 2'!AA191,"")</f>
        <v/>
      </c>
      <c r="AV191" s="197" t="str">
        <f>IFERROR($CR191*((INDEX(avoidedcosttbl2,$H191,AV$2))+(($H191-ROUNDDOWN($H191,0))*((INDEX(avoidedcosttbl2,ROUNDUP($H191,0),AV$2))-(INDEX(avoidedcosttbl2,ROUNDDOWN($H191,0),AV$2)))))*$O191*1000*'Inputs Yr 2'!AB191,"")</f>
        <v/>
      </c>
      <c r="AW191" s="197" t="str">
        <f>IFERROR($CS191*((INDEX(avoidedcosttbl2,$H191,AW$2))+(($H191-ROUNDDOWN($H191,0))*((INDEX(avoidedcosttbl2,ROUNDUP($H191,0),AW$2))-(INDEX(avoidedcosttbl2,ROUNDDOWN($H191,0),AW$2)))))*$O191*1000*'Inputs Yr 2'!AC191,"")</f>
        <v/>
      </c>
      <c r="AX191" s="197" t="str">
        <f>IFERROR($CT191*((INDEX(avoidedcosttbl2,$H191,AX$2))+(($H191-ROUNDDOWN($H191,0))*((INDEX(avoidedcosttbl2,ROUNDUP($H191,0),AX$2))-(INDEX(avoidedcosttbl2,ROUNDDOWN($H191,0),AX$2)))))*$O191*1000*'Inputs Yr 2'!AD191,"")</f>
        <v/>
      </c>
      <c r="AY191" s="197" t="str">
        <f>IFERROR(((INDEX(avoidedcosttbl2,$H191,AY$2))+(($H191-ROUNDDOWN($H191,0))*((INDEX(avoidedcosttbl2,ROUNDUP($H191,0),AY$2))-(INDEX(avoidedcosttbl2,ROUNDDOWN($H191,0),AY$2)))))*$O191*1000*('Inputs Yr 2'!AC191+'Inputs Yr 2'!AD191),"")</f>
        <v/>
      </c>
      <c r="AZ191" s="197" t="str">
        <f>IFERROR(((INDEX(avoidedcosttbl2,$H191,AZ$2))+(($H191-ROUNDDOWN($H191,0))*((INDEX(avoidedcosttbl2,ROUNDUP($H191,0),AZ$2))-(INDEX(avoidedcosttbl2,ROUNDDOWN($H191,0),AZ$2)))))*$O191*1000*('Inputs Yr 2'!AA191+'Inputs Yr 2'!AB191),"")</f>
        <v/>
      </c>
      <c r="BA191" s="198">
        <f t="shared" si="94"/>
        <v>0</v>
      </c>
      <c r="BB191" s="198">
        <f t="shared" si="95"/>
        <v>0</v>
      </c>
      <c r="BC191" s="195" t="str">
        <f t="shared" si="77"/>
        <v/>
      </c>
      <c r="BD191" s="195" t="str">
        <f t="shared" si="78"/>
        <v/>
      </c>
      <c r="BE191" s="195" t="str">
        <f t="shared" si="79"/>
        <v/>
      </c>
      <c r="BF191" s="195" t="str">
        <f t="shared" si="80"/>
        <v/>
      </c>
      <c r="BG191" s="195" t="str">
        <f t="shared" si="81"/>
        <v/>
      </c>
      <c r="BH191" s="196">
        <f t="shared" si="96"/>
        <v>0</v>
      </c>
      <c r="BI191" s="196">
        <f t="shared" si="97"/>
        <v>0</v>
      </c>
      <c r="BJ191" s="195" t="str">
        <f>IFERROR($G191*(IF('Inputs Yr 2'!$AJ191=BJ$4,'Inputs Yr 2'!$AK191,IF('Inputs Yr 2'!$AL191=BJ$4,'Inputs Yr 2'!$AM191,IF('Inputs Yr 2'!$AN191=BJ$4,'Inputs Yr 2'!$AO191,0))))*(INDEX(avoidedcosttbl2,$H191,BJ$2)+(($H191-ROUNDDOWN($H191,0))*(INDEX(avoidedcosttbl2,ROUNDUP($H191,0),BJ$2)-(INDEX(avoidedcosttbl2,ROUNDDOWN($H191,0),BJ$2)))))*'Inputs Yr 2'!P191*'Inputs Yr 2'!Q191*'Inputs Yr 2'!U191,"")</f>
        <v/>
      </c>
      <c r="BK191" s="195" t="str">
        <f>IFERROR($G191*(IF('Inputs Yr 2'!$AJ191=BK$4,'Inputs Yr 2'!$AK191,IF('Inputs Yr 2'!$AL191=BK$4,'Inputs Yr 2'!$AM191,IF('Inputs Yr 2'!$AN191=BK$4,'Inputs Yr 2'!$AO191,0))))*(INDEX(avoidedcosttbl2,$H191,BK$2)+(($H191-ROUNDDOWN($H191,0))*(INDEX(avoidedcosttbl2,ROUNDUP($H191,0),BK$2)-(INDEX(avoidedcosttbl2,ROUNDDOWN($H191,0),BK$2)))))*'Inputs Yr 2'!P191*'Inputs Yr 2'!Q191*'Inputs Yr 2'!U191,"")</f>
        <v/>
      </c>
      <c r="BL191" s="195" t="str">
        <f>IFERROR($G191*(IF('Inputs Yr 2'!$AJ191=BL$4,'Inputs Yr 2'!$AK191,IF('Inputs Yr 2'!$AL191=BL$4,'Inputs Yr 2'!$AM191,IF('Inputs Yr 2'!$AN191=BL$4,'Inputs Yr 2'!$AO191,0))))*(INDEX(avoidedcosttbl2,$H191,BL$2)+(($H191-ROUNDDOWN($H191,0))*(INDEX(avoidedcosttbl2,ROUNDUP($H191,0),BL$2)-(INDEX(avoidedcosttbl2,ROUNDDOWN($H191,0),BL$2)))))*'Inputs Yr 2'!P191*'Inputs Yr 2'!Q191*'Inputs Yr 2'!U191,"")</f>
        <v/>
      </c>
      <c r="BM191" s="195" t="str">
        <f>IFERROR($G191*(IF('Inputs Yr 2'!$AJ191=BM$4,'Inputs Yr 2'!$AK191,IF('Inputs Yr 2'!$AL191=BM$4,'Inputs Yr 2'!$AM191,IF('Inputs Yr 2'!$AN191=BM$4,'Inputs Yr 2'!$AO191,0))))*(INDEX(avoidedcosttbl2,$H191,BM$2)+(($H191-ROUNDDOWN($H191,0))*(INDEX(avoidedcosttbl2,ROUNDUP($H191,0),BM$2)-(INDEX(avoidedcosttbl2,ROUNDDOWN($H191,0),BM$2)))))*'Inputs Yr 2'!P191*'Inputs Yr 2'!Q191*'Inputs Yr 2'!U191,"")</f>
        <v/>
      </c>
      <c r="BN191" s="195" t="str">
        <f>IFERROR($G191*(IF('Inputs Yr 2'!$AJ191=BN$4,'Inputs Yr 2'!$AK191,IF('Inputs Yr 2'!$AL191=BN$4,'Inputs Yr 2'!$AM191,IF('Inputs Yr 2'!$AN191=BN$4,'Inputs Yr 2'!$AO191,0))))*(INDEX(avoidedcosttbl2,$H191,BN$2)+(($H191-ROUNDDOWN($H191,0))*(INDEX(avoidedcosttbl2,ROUNDUP($H191,0),BN$2)-(INDEX(avoidedcosttbl2,ROUNDDOWN($H191,0),BN$2)))))*'Inputs Yr 2'!P191*'Inputs Yr 2'!Q191*'Inputs Yr 2'!U191,"")</f>
        <v/>
      </c>
      <c r="BO191" s="195" t="str">
        <f>IFERROR($G191*(IF('Inputs Yr 2'!$AJ191=BO$4,'Inputs Yr 2'!$AK191,IF('Inputs Yr 2'!$AL191=BO$4,'Inputs Yr 2'!$AM191,IF('Inputs Yr 2'!$AN191=BO$4,'Inputs Yr 2'!$AO191,0))))*(INDEX(avoidedcosttbl2,$H191,BO$2)+(($H191-ROUNDDOWN($H191,0))*(INDEX(avoidedcosttbl2,ROUNDUP($H191,0),BO$2)-(INDEX(avoidedcosttbl2,ROUNDDOWN($H191,0),BO$2)))))*'Inputs Yr 2'!P191*'Inputs Yr 2'!Q191*'Inputs Yr 2'!U191,"")</f>
        <v/>
      </c>
      <c r="BP191" s="195" t="str">
        <f>IFERROR($G191*(IF('Inputs Yr 2'!$AJ191=BP$4,'Inputs Yr 2'!$AK191,IF('Inputs Yr 2'!$AL191=BP$4,'Inputs Yr 2'!$AM191,IF('Inputs Yr 2'!$AN191=BP$4,'Inputs Yr 2'!$AO191,0))))*(INDEX(avoidedcosttbl2,$H191,BP$2)+(($H191-ROUNDDOWN($H191,0))*(INDEX(avoidedcosttbl2,ROUNDUP($H191,0),BP$2)-(INDEX(avoidedcosttbl2,ROUNDDOWN($H191,0),BP$2)))))*'Inputs Yr 2'!P191*'Inputs Yr 2'!Q191*'Inputs Yr 2'!U191,"")</f>
        <v/>
      </c>
      <c r="BQ191" s="230">
        <f t="shared" si="98"/>
        <v>0</v>
      </c>
      <c r="BR191" s="197">
        <f t="shared" si="82"/>
        <v>0</v>
      </c>
      <c r="BS191" s="197" t="str">
        <f>IFERROR(($G191*IF('Inputs Yr 2'!$AJ191=BM$4,'Inputs Yr 2'!$AK191,IF('Inputs Yr 2'!$AL191=BM$4,'Inputs Yr 2'!$AM191,IF('Inputs Yr 2'!$AN191=BM$4,'Inputs Yr 2'!$AO191,0))))*(INDEX(avoidedcosttbl2,$H191,BS$2)+(($H191-ROUNDDOWN($H191,0))*(INDEX(avoidedcosttbl2,ROUNDUP($H191,0),BS$2)-(INDEX(avoidedcosttbl2,ROUNDDOWN($H191,0),BS$2)))))*'Inputs Yr 2'!P191*'Inputs Yr 2'!Q191*'Inputs Yr 2'!U191,"")</f>
        <v/>
      </c>
      <c r="BT191" s="197" t="str">
        <f>IFERROR(($G191*IF('Inputs Yr 2'!$AJ191=BK$4,'Inputs Yr 2'!$AK191,IF('Inputs Yr 2'!$AL191=BK$4,'Inputs Yr 2'!$AM191,IF('Inputs Yr 2'!$AN191=BK$4,'Inputs Yr 2'!$AO191,0))))*(INDEX(avoidedcosttbl2,$H191,BT$2)+(($H191-ROUNDDOWN($H191,0))*(INDEX(avoidedcosttbl2,ROUNDUP($H191,0),BT$2)-(INDEX(avoidedcosttbl2,ROUNDDOWN($H191,0),BT$2)))))*'Inputs Yr 2'!P191*'Inputs Yr 2'!Q191*'Inputs Yr 2'!U191,"")</f>
        <v/>
      </c>
      <c r="BU191" s="197" t="str">
        <f>IFERROR(($G191*IF('Inputs Yr 2'!$AJ191=BL$4,'Inputs Yr 2'!$AK191,IF('Inputs Yr 2'!$AL191=BL$4,'Inputs Yr 2'!$AM191,IF('Inputs Yr 2'!$AN191=BL$4,'Inputs Yr 2'!$AO191,0))))*(INDEX(avoidedcosttbl2,$H191,BU$2)+(($H191-ROUNDDOWN($H191,0))*(INDEX(avoidedcosttbl2,ROUNDUP($H191,0),BU$2)-(INDEX(avoidedcosttbl2,ROUNDDOWN($H191,0),BU$2)))))*'Inputs Yr 2'!P191*'Inputs Yr 2'!Q191*'Inputs Yr 2'!U191,"")</f>
        <v/>
      </c>
      <c r="BV191" s="775" t="str">
        <f>IFERROR(($G191*IF('Inputs Yr 2'!$AJ191=BJ$4,'Inputs Yr 2'!$AK191,IF('Inputs Yr 2'!$AL191=BJ$4,'Inputs Yr 2'!$AM191,IF('Inputs Yr 2'!$AN191=BJ$4,'Inputs Yr 2'!$AO191,0))))*(INDEX(avoidedcosttbl2,$H191,BV$2)+(($H191-ROUNDDOWN($H191,0))*(INDEX(avoidedcosttbl2,ROUNDUP($H191,0),BV$2)-(INDEX(avoidedcosttbl2,ROUNDDOWN($H191,0),BV$2)))))*'Inputs Yr 2'!P191*'Inputs Yr 2'!Q191*'Inputs Yr 2'!U191,"")</f>
        <v/>
      </c>
      <c r="BW191" s="197" t="str">
        <f>IFERROR(($G191*IF('Inputs Yr 2'!$AJ191=BN$4,'Inputs Yr 2'!$AK191,IF('Inputs Yr 2'!$AL191=BN$4,'Inputs Yr 2'!$AM191,IF('Inputs Yr 2'!$AN191=BN$4,'Inputs Yr 2'!$AO191,0))))*(INDEX(avoidedcosttbl2,$H191,BW$2)+(($H191-ROUNDDOWN($H191,0))*(INDEX(avoidedcosttbl2,ROUNDUP($H191,0),BW$2)-(INDEX(avoidedcosttbl2,ROUNDDOWN($H191,0),BW$2)))))*'Inputs Yr 2'!P191*'Inputs Yr 2'!Q191*'Inputs Yr 2'!U191,"")</f>
        <v/>
      </c>
      <c r="BX191" s="197" t="str">
        <f>IFERROR(($G191*IF('Inputs Yr 2'!$AJ191=BO$4,'Inputs Yr 2'!$AK191,IF('Inputs Yr 2'!$AL191=BO$4,'Inputs Yr 2'!$AM191,IF('Inputs Yr 2'!$AN191=BO$4,'Inputs Yr 2'!$AO191,0))))*(INDEX(avoidedcosttbl2,$H191,BX$2)+(($H191-ROUNDDOWN($H191,0))*(INDEX(avoidedcosttbl2,ROUNDUP($H191,0),BX$2)-(INDEX(avoidedcosttbl2,ROUNDDOWN($H191,0),BX$2)))))*'Inputs Yr 2'!P191*'Inputs Yr 2'!Q191*'Inputs Yr 2'!U191,"")</f>
        <v/>
      </c>
      <c r="BY191" s="197" t="str">
        <f>IFERROR(($G191*IF('Inputs Yr 2'!$AJ191=BP$4,'Inputs Yr 2'!$AK191,IF('Inputs Yr 2'!$AL191=BP$4,'Inputs Yr 2'!$AM191,IF('Inputs Yr 2'!$AN191=BP$4,'Inputs Yr 2'!$AO191,0))))*(INDEX(avoidedcosttbl2,$H191,BY$2)+(($H191-ROUNDDOWN($H191,0))*(INDEX(avoidedcosttbl2,ROUNDUP($H191,0),BY$2)-(INDEX(avoidedcosttbl2,ROUNDDOWN($H191,0),BY$2)))))*'Inputs Yr 2'!P191*'Inputs Yr 2'!Q191*'Inputs Yr 2'!U191,"")</f>
        <v/>
      </c>
      <c r="BZ191" s="193">
        <f t="shared" si="99"/>
        <v>0</v>
      </c>
      <c r="CA191" s="193">
        <f t="shared" si="100"/>
        <v>0</v>
      </c>
      <c r="CB191" s="195" t="str">
        <f>IFERROR(G191*(IF('Inputs Yr 2'!$AJ191=CB$4,'Inputs Yr 2'!$AK191,IF('Inputs Yr 2'!$AL191=CB$4,'Inputs Yr 2'!$AM191,IF('Inputs Yr 2'!$AN191=CB$4,'Inputs Yr 2'!$AO191,0))))*(INDEX(avoidedcosttbl2,$H191,CB$2)+(($H191-ROUNDDOWN($H191,0))*(INDEX(avoidedcosttbl2,ROUNDUP($H191,0),CB$2)-(INDEX(avoidedcosttbl2,ROUNDDOWN($H191,0),CB$2)))))*'Inputs Yr 2'!P191*'Inputs Yr 2'!Q191*'Inputs Yr 2'!U191,"")</f>
        <v/>
      </c>
      <c r="CC191" s="195">
        <f>IFERROR(H191*(IF('Inputs Yr 2'!$AJ191=CC$4,'Inputs Yr 2'!$AK191,IF('Inputs Yr 2'!$AL191=CC$4,'Inputs Yr 2'!$AM191,IF('Inputs Yr 2'!$AN191=CC$4,'Inputs Yr 2'!$AO191,0))))*(INDEX(avoidedcosttbl2,$H191,CC$2)+(($H191-ROUNDDOWN($H191,0))*(INDEX(avoidedcosttbl2,ROUNDUP($H191,0),CC$2)-(INDEX(avoidedcosttbl2,ROUNDDOWN($H191,0),CC$2)))))*'Inputs Yr 2'!Q191*'Inputs Yr 2'!R191*'Inputs Yr 2'!V191,"")</f>
        <v>0</v>
      </c>
      <c r="CD191" s="195" t="str">
        <f>IFERROR(I191*(IF('Inputs Yr 2'!$AJ191=CD$4,'Inputs Yr 2'!$AK191,IF('Inputs Yr 2'!$AL191=CD$4,'Inputs Yr 2'!$AM191,IF('Inputs Yr 2'!$AN191=CD$4,'Inputs Yr 2'!$AO191,0))))*(INDEX(avoidedcosttbl2,$H191,CD$2)+(($H191-ROUNDDOWN($H191,0))*(INDEX(avoidedcosttbl2,ROUNDUP($H191,0),CD$2)-(INDEX(avoidedcosttbl2,ROUNDDOWN($H191,0),CD$2)))))*'Inputs Yr 2'!R191*'Inputs Yr 2'!S191*'Inputs Yr 2'!W191,"")</f>
        <v/>
      </c>
      <c r="CE191" s="213">
        <f t="shared" si="101"/>
        <v>0</v>
      </c>
      <c r="CF191" s="213">
        <f t="shared" si="102"/>
        <v>0</v>
      </c>
      <c r="CG191" s="213">
        <f t="shared" si="103"/>
        <v>0</v>
      </c>
      <c r="CH191" s="698">
        <f t="shared" si="104"/>
        <v>0</v>
      </c>
      <c r="CI191" s="79" t="str">
        <f>IFERROR(($G191*'Inputs Yr 2'!$P191*'Inputs Yr 2'!$Q191*(((INDEX(avoidedcosttbl2,$H191,CI$2)+(($H191-ROUNDDOWN($H191,0))*(INDEX(avoidedcosttbl2,ROUNDUP($H191,0),CI$2)-INDEX(avoidedcosttbl2,ROUNDDOWN($H191,0),CI$2))))*'Inputs Yr 2'!AS191))),"")</f>
        <v/>
      </c>
      <c r="CJ191" s="504" t="str">
        <f>IFERROR($G191*'Inputs Yr 2'!AT191*'Inputs Yr 2'!$P191*'Inputs Yr 2'!$Q191/((1+realdiscrt1)^-0.5),"")</f>
        <v/>
      </c>
      <c r="CK191" s="79" t="str">
        <f>IFERROR((O191*1000*(((INDEX(avoidedcosttbl2,$H191,CK$2)+(($H191-ROUNDDOWN($H191,0))*(INDEX(avoidedcosttbl2,ROUNDUP($H191,0),CK$2)-INDEX(avoidedcosttbl2,ROUNDDOWN($H191,0),CK$2))))*'Inputs Yr 2'!AU191))),"")</f>
        <v/>
      </c>
      <c r="CL191" s="504" t="str">
        <f>IFERROR(O191*1000*'Inputs Yr 2'!AV191/((1+realdiscrt1)^-0.5),"")</f>
        <v/>
      </c>
      <c r="CM191" s="79">
        <f>IFERROR((AB191*'Inputs Yr 2'!AW191*(((INDEX(avoidedcosttbl2,$H191,CM$2)+(($H191-ROUNDDOWN($H191,0))*(INDEX(avoidedcosttbl2,ROUNDUP($H191,0),CM$2)-INDEX(avoidedcosttbl2,ROUNDDOWN($H191,0),CM$2)))))))*10,"")</f>
        <v>0</v>
      </c>
      <c r="CN191" s="504">
        <f>IFERROR(10*AB191*'Inputs Yr 2'!AX191/((1+realdiscrt1)^-0.5),"")</f>
        <v>0</v>
      </c>
      <c r="CO191" s="505">
        <f t="shared" si="105"/>
        <v>0</v>
      </c>
      <c r="CP191" s="230">
        <f t="shared" si="106"/>
        <v>0</v>
      </c>
      <c r="CQ191" s="199">
        <f>ROUND(IFERROR(IF(LEFT($A191,1)="C",'Avoided Costs'!$K$13,'Avoided Costs'!$K$12)+1,""),4)</f>
        <v>1.0720000000000001</v>
      </c>
      <c r="CR191" s="199">
        <f>ROUND(IFERROR(IF(LEFT($A191,1)="C",'Avoided Costs'!$L$13,'Avoided Costs'!$L$12)+1,""),4)</f>
        <v>1.04</v>
      </c>
      <c r="CS191" s="199">
        <f>ROUND(IFERROR(IF(LEFT($A191,1)="C",'Avoided Costs'!$M$13,'Avoided Costs'!$M$12)+1,""),4)</f>
        <v>1.0720000000000001</v>
      </c>
      <c r="CT191" s="199">
        <f>ROUND(IFERROR(IF(LEFT($A191,1)="C",'Avoided Costs'!$N$13,'Avoided Costs'!$N$12)+1,""),4)</f>
        <v>1.04</v>
      </c>
      <c r="CU191" s="199">
        <f>ROUND(IFERROR(IF(LEFT($A191,1)="C",'Avoided Costs'!$O$13,'Avoided Costs'!$O$12)+1,""),4)</f>
        <v>1.1120000000000001</v>
      </c>
      <c r="CV191" s="199">
        <f>ROUND(IFERROR(IF(LEFT($A191,1)="C",'Avoided Costs'!$P$13,'Avoided Costs'!$P$12)+1,""),4)</f>
        <v>1.095</v>
      </c>
      <c r="CW191" s="199">
        <f>ROUND(IFERROR(IF(LEFT($A191,1)="C",'Avoided Costs'!$Q$13,'Avoided Costs'!$Q$12)+1,""),4)</f>
        <v>1.1120000000000001</v>
      </c>
      <c r="CX191" s="200">
        <f>ROUND(IFERROR(IF(LEFT($A191,1)="C",'Avoided Costs'!$R$13,'Avoided Costs'!$R$12)+1,""),4)</f>
        <v>1.1120000000000001</v>
      </c>
    </row>
    <row r="192" spans="1:102" ht="12.75" customHeight="1">
      <c r="A192" s="91" t="str">
        <f>IF('Inputs Yr 2'!$B192=0,"",'Inputs Yr 2'!A192)</f>
        <v>C - Commercial &amp; Industrial</v>
      </c>
      <c r="B192" s="91" t="str">
        <f>IF('Inputs Yr 2'!$B192=0,"",'Inputs Yr 2'!B192)</f>
        <v>C1 - C&amp;I New Construction</v>
      </c>
      <c r="C192" s="91" t="str">
        <f>IF('Inputs Yr 2'!$B192=0,"",'Inputs Yr 2'!C192)</f>
        <v>C1a - C&amp;I New Buildings &amp; Major Renovations</v>
      </c>
      <c r="D192" s="91" t="str">
        <f>IF('Inputs Yr 2'!$B192=0,"",'Inputs Yr 2'!E192)</f>
        <v>Conveyer Oven</v>
      </c>
      <c r="E192" s="93" t="str">
        <f>IF('Inputs Yr 2'!$B192=0,"",'Inputs Yr 2'!F192)</f>
        <v>G16C1a35</v>
      </c>
      <c r="F192" s="93" t="str">
        <f>IF('Inputs Yr 2'!$B192=0,"",'Inputs Yr 2'!G192)</f>
        <v>Food Service</v>
      </c>
      <c r="G192" s="95" t="str">
        <f>IF('Inputs Yr 2'!$H192&lt;&gt;0,('Inputs Yr 2'!H192),"")</f>
        <v/>
      </c>
      <c r="H192" s="94">
        <f>IFERROR('Inputs Yr 2'!I192,"")</f>
        <v>12</v>
      </c>
      <c r="I192" s="298" t="str">
        <f>IFERROR('Inputs Yr 2'!J192*'Inputs Yr 2'!P192*G192,"")</f>
        <v/>
      </c>
      <c r="J192" s="298" t="str">
        <f>IFERROR('Inputs Yr 2'!K192*G192,"")</f>
        <v/>
      </c>
      <c r="K192" s="298" t="str">
        <f t="shared" si="83"/>
        <v/>
      </c>
      <c r="L192" s="194" t="str">
        <f>IFERROR(('Inputs Yr 2'!W192*G192)/1000,"")</f>
        <v/>
      </c>
      <c r="M192" s="194" t="str">
        <f>IFERROR(L192*('Inputs Yr 2'!$Q192*'Inputs Yr 2'!$V192*'Inputs Yr 2'!$R192),"")</f>
        <v/>
      </c>
      <c r="N192" s="194" t="str">
        <f t="shared" si="84"/>
        <v/>
      </c>
      <c r="O192" s="194" t="str">
        <f>IFERROR(M192*'Inputs Yr 2'!P192,"")</f>
        <v/>
      </c>
      <c r="P192" s="194" t="str">
        <f t="shared" si="85"/>
        <v/>
      </c>
      <c r="Q192" s="194" t="str">
        <f>IFERROR($P192*'Inputs Yr 2'!AA192,"")</f>
        <v/>
      </c>
      <c r="R192" s="194" t="str">
        <f>IFERROR($P192*'Inputs Yr 2'!AB192,"")</f>
        <v/>
      </c>
      <c r="S192" s="194" t="str">
        <f>IFERROR($P192*'Inputs Yr 2'!AC192,"")</f>
        <v/>
      </c>
      <c r="T192" s="194" t="str">
        <f>IFERROR($P192*'Inputs Yr 2'!AD192,"")</f>
        <v/>
      </c>
      <c r="U192" s="194" t="str">
        <f>IFERROR(G192*'Inputs Yr 2'!$AE192*'Inputs Yr 2'!$P192*'Inputs Yr 2'!$Q192,"")</f>
        <v/>
      </c>
      <c r="V192" s="194" t="str">
        <f>IFERROR($G192*'Inputs Yr 2'!$AE192*'Inputs Yr 2'!$AG192*'Inputs Yr 2'!Q192*'Inputs Yr 2'!$S192,"")</f>
        <v/>
      </c>
      <c r="W192" s="194" t="str">
        <f>IFERROR($G192*'Inputs Yr 2'!$AE192*'Inputs Yr 2'!$AG192*'Inputs Yr 2'!P192*'Inputs Yr 2'!Q192*'Inputs Yr 2'!$S192,"")</f>
        <v/>
      </c>
      <c r="X192" s="194" t="str">
        <f>IFERROR($G192*'Inputs Yr 2'!$AE192*'Inputs Yr 2'!$AF192*'Inputs Yr 2'!Q192*'Inputs Yr 2'!$T192,"")</f>
        <v/>
      </c>
      <c r="Y192" s="194" t="str">
        <f>IFERROR($G192*'Inputs Yr 2'!$AE192*'Inputs Yr 2'!$AF192*'Inputs Yr 2'!P192*'Inputs Yr 2'!Q192*'Inputs Yr 2'!$T192,"")</f>
        <v/>
      </c>
      <c r="Z192" s="257">
        <f>IFERROR($G192*'Inputs Yr 2'!$Q192*'Inputs Yr 2'!$U192*(IF(IFERROR(SEARCH("NG", 'Inputs Yr 2'!$AJ192),0),'Inputs Yr 2'!$AK192,0)+IF(IFERROR(SEARCH("NG", 'Inputs Yr 2'!$AL192),0),'Inputs Yr 2'!$AM192,0)+IF(IFERROR(SEARCH("NG", 'Inputs Yr 2'!$AN192),0),'Inputs Yr 2'!$AO192,0)),0)</f>
        <v>0</v>
      </c>
      <c r="AA192" s="257">
        <f t="shared" si="86"/>
        <v>0</v>
      </c>
      <c r="AB192" s="257">
        <f>IFERROR(Z192*'Inputs Yr 2'!$P192,0)</f>
        <v>0</v>
      </c>
      <c r="AC192" s="257">
        <f t="shared" si="87"/>
        <v>0</v>
      </c>
      <c r="AD192" s="257">
        <f>IFERROR($G192*'Inputs Yr 2'!$Q192*'Inputs Yr 2'!$U192*(IF(IFERROR(SEARCH("Oil", 'Inputs Yr 2'!$AJ192), 0),'Inputs Yr 2'!$AK192,0)+IF(IFERROR(SEARCH("Oil", 'Inputs Yr 2'!$AL192), 0),'Inputs Yr 2'!$AM192,0)+IF(IFERROR(SEARCH("Oil", 'Inputs Yr 2'!$AN192), 0),'Inputs Yr 2'!$AO192,0)),0)</f>
        <v>0</v>
      </c>
      <c r="AE192" s="257">
        <f t="shared" si="88"/>
        <v>0</v>
      </c>
      <c r="AF192" s="257">
        <f>IFERROR(AD192*'Inputs Yr 2'!$P192,0)</f>
        <v>0</v>
      </c>
      <c r="AG192" s="257">
        <f t="shared" si="89"/>
        <v>0</v>
      </c>
      <c r="AH192" s="257">
        <f>IFERROR($G192*'Inputs Yr 2'!$Q192*'Inputs Yr 2'!$U192*(IF('Inputs Yr 2'!$AJ192=CD$4,'Inputs Yr 2'!$AK192,IF('Inputs Yr 2'!$AL192=CD$4,'Inputs Yr 2'!$AM192,IF('Inputs Yr 2'!$AN192=CD$4,'Inputs Yr 2'!$AO192,0)))),0)</f>
        <v>0</v>
      </c>
      <c r="AI192" s="257">
        <f t="shared" si="90"/>
        <v>0</v>
      </c>
      <c r="AJ192" s="257">
        <f>IFERROR(AH192*'Inputs Yr 2'!$P192,0)</f>
        <v>0</v>
      </c>
      <c r="AK192" s="257">
        <f t="shared" si="91"/>
        <v>0</v>
      </c>
      <c r="AL192" s="258">
        <f>IFERROR($G192*'Inputs Yr 2'!$P192*'Inputs Yr 2'!$Q192*'Inputs Yr 2'!AP192,0)</f>
        <v>0</v>
      </c>
      <c r="AM192" s="260">
        <f>IFERROR($G192*'Inputs Yr 2'!$P192*'Inputs Yr 2'!$Q192*'Inputs Yr 2'!AQ192,0)</f>
        <v>0</v>
      </c>
      <c r="AN192" s="258">
        <f>IFERROR($G192*'Inputs Yr 2'!$P192*'Inputs Yr 2'!$Q192*'Inputs Yr 2'!AR192,0)</f>
        <v>0</v>
      </c>
      <c r="AO192" s="257">
        <f t="shared" si="92"/>
        <v>0</v>
      </c>
      <c r="AP192" s="195" t="str">
        <f>IFERROR($CQ192*(INDEX(avoidedcosttbl2,$H192,AP$2)+(($H192-ROUNDDOWN($H192,0))*(INDEX(avoidedcosttbl2,ROUNDUP($H192,0),AP$2)-(INDEX(avoidedcosttbl2,ROUNDDOWN($H192,0),AP$2)))))*$O192*1000*'Inputs Yr 2'!AA192,"")</f>
        <v/>
      </c>
      <c r="AQ192" s="195" t="str">
        <f>IFERROR($CR192*(INDEX(avoidedcosttbl2,$H192,AQ$2)+(($H192-ROUNDDOWN($H192,0))*(INDEX(avoidedcosttbl2,ROUNDUP($H192,0),AQ$2)-(INDEX(avoidedcosttbl2,ROUNDDOWN($H192,0),AQ$2)))))*$O192*1000*'Inputs Yr 2'!AB192,"")</f>
        <v/>
      </c>
      <c r="AR192" s="195" t="str">
        <f>IFERROR($CS192*(INDEX(avoidedcosttbl2,$H192,AR$2)+(($H192-ROUNDDOWN($H192,0))*(INDEX(avoidedcosttbl2,ROUNDUP($H192,0),AR$2)-(INDEX(avoidedcosttbl2,ROUNDDOWN($H192,0),AR$2)))))*$O192*1000*'Inputs Yr 2'!AC192,"")</f>
        <v/>
      </c>
      <c r="AS192" s="195" t="str">
        <f>IFERROR($CT192*(INDEX(avoidedcosttbl2,$H192,AS$2)+(($H192-ROUNDDOWN($H192,0))*(INDEX(avoidedcosttbl2,ROUNDUP($H192,0),AS$2)-(INDEX(avoidedcosttbl2,ROUNDDOWN($H192,0),AS$2)))))*$O192*1000*'Inputs Yr 2'!AD192,"")</f>
        <v/>
      </c>
      <c r="AT192" s="196">
        <f t="shared" si="93"/>
        <v>0</v>
      </c>
      <c r="AU192" s="197" t="str">
        <f>IFERROR($CQ192*((INDEX(avoidedcosttbl2,$H192,AU$2))+(($H192-ROUNDDOWN($H192,0))*((INDEX(avoidedcosttbl2,ROUNDUP($H192,0),AU$2))-(INDEX(avoidedcosttbl2,ROUNDDOWN($H192,0),AU$2)))))*$O192*1000*'Inputs Yr 2'!AA192,"")</f>
        <v/>
      </c>
      <c r="AV192" s="197" t="str">
        <f>IFERROR($CR192*((INDEX(avoidedcosttbl2,$H192,AV$2))+(($H192-ROUNDDOWN($H192,0))*((INDEX(avoidedcosttbl2,ROUNDUP($H192,0),AV$2))-(INDEX(avoidedcosttbl2,ROUNDDOWN($H192,0),AV$2)))))*$O192*1000*'Inputs Yr 2'!AB192,"")</f>
        <v/>
      </c>
      <c r="AW192" s="197" t="str">
        <f>IFERROR($CS192*((INDEX(avoidedcosttbl2,$H192,AW$2))+(($H192-ROUNDDOWN($H192,0))*((INDEX(avoidedcosttbl2,ROUNDUP($H192,0),AW$2))-(INDEX(avoidedcosttbl2,ROUNDDOWN($H192,0),AW$2)))))*$O192*1000*'Inputs Yr 2'!AC192,"")</f>
        <v/>
      </c>
      <c r="AX192" s="197" t="str">
        <f>IFERROR($CT192*((INDEX(avoidedcosttbl2,$H192,AX$2))+(($H192-ROUNDDOWN($H192,0))*((INDEX(avoidedcosttbl2,ROUNDUP($H192,0),AX$2))-(INDEX(avoidedcosttbl2,ROUNDDOWN($H192,0),AX$2)))))*$O192*1000*'Inputs Yr 2'!AD192,"")</f>
        <v/>
      </c>
      <c r="AY192" s="197" t="str">
        <f>IFERROR(((INDEX(avoidedcosttbl2,$H192,AY$2))+(($H192-ROUNDDOWN($H192,0))*((INDEX(avoidedcosttbl2,ROUNDUP($H192,0),AY$2))-(INDEX(avoidedcosttbl2,ROUNDDOWN($H192,0),AY$2)))))*$O192*1000*('Inputs Yr 2'!AC192+'Inputs Yr 2'!AD192),"")</f>
        <v/>
      </c>
      <c r="AZ192" s="197" t="str">
        <f>IFERROR(((INDEX(avoidedcosttbl2,$H192,AZ$2))+(($H192-ROUNDDOWN($H192,0))*((INDEX(avoidedcosttbl2,ROUNDUP($H192,0),AZ$2))-(INDEX(avoidedcosttbl2,ROUNDDOWN($H192,0),AZ$2)))))*$O192*1000*('Inputs Yr 2'!AA192+'Inputs Yr 2'!AB192),"")</f>
        <v/>
      </c>
      <c r="BA192" s="198">
        <f t="shared" si="94"/>
        <v>0</v>
      </c>
      <c r="BB192" s="198">
        <f t="shared" si="95"/>
        <v>0</v>
      </c>
      <c r="BC192" s="195" t="str">
        <f t="shared" si="77"/>
        <v/>
      </c>
      <c r="BD192" s="195" t="str">
        <f t="shared" si="78"/>
        <v/>
      </c>
      <c r="BE192" s="195" t="str">
        <f t="shared" si="79"/>
        <v/>
      </c>
      <c r="BF192" s="195" t="str">
        <f t="shared" si="80"/>
        <v/>
      </c>
      <c r="BG192" s="195" t="str">
        <f t="shared" si="81"/>
        <v/>
      </c>
      <c r="BH192" s="196">
        <f t="shared" si="96"/>
        <v>0</v>
      </c>
      <c r="BI192" s="196">
        <f t="shared" si="97"/>
        <v>0</v>
      </c>
      <c r="BJ192" s="195" t="str">
        <f>IFERROR($G192*(IF('Inputs Yr 2'!$AJ192=BJ$4,'Inputs Yr 2'!$AK192,IF('Inputs Yr 2'!$AL192=BJ$4,'Inputs Yr 2'!$AM192,IF('Inputs Yr 2'!$AN192=BJ$4,'Inputs Yr 2'!$AO192,0))))*(INDEX(avoidedcosttbl2,$H192,BJ$2)+(($H192-ROUNDDOWN($H192,0))*(INDEX(avoidedcosttbl2,ROUNDUP($H192,0),BJ$2)-(INDEX(avoidedcosttbl2,ROUNDDOWN($H192,0),BJ$2)))))*'Inputs Yr 2'!P192*'Inputs Yr 2'!Q192*'Inputs Yr 2'!U192,"")</f>
        <v/>
      </c>
      <c r="BK192" s="195" t="str">
        <f>IFERROR($G192*(IF('Inputs Yr 2'!$AJ192=BK$4,'Inputs Yr 2'!$AK192,IF('Inputs Yr 2'!$AL192=BK$4,'Inputs Yr 2'!$AM192,IF('Inputs Yr 2'!$AN192=BK$4,'Inputs Yr 2'!$AO192,0))))*(INDEX(avoidedcosttbl2,$H192,BK$2)+(($H192-ROUNDDOWN($H192,0))*(INDEX(avoidedcosttbl2,ROUNDUP($H192,0),BK$2)-(INDEX(avoidedcosttbl2,ROUNDDOWN($H192,0),BK$2)))))*'Inputs Yr 2'!P192*'Inputs Yr 2'!Q192*'Inputs Yr 2'!U192,"")</f>
        <v/>
      </c>
      <c r="BL192" s="195" t="str">
        <f>IFERROR($G192*(IF('Inputs Yr 2'!$AJ192=BL$4,'Inputs Yr 2'!$AK192,IF('Inputs Yr 2'!$AL192=BL$4,'Inputs Yr 2'!$AM192,IF('Inputs Yr 2'!$AN192=BL$4,'Inputs Yr 2'!$AO192,0))))*(INDEX(avoidedcosttbl2,$H192,BL$2)+(($H192-ROUNDDOWN($H192,0))*(INDEX(avoidedcosttbl2,ROUNDUP($H192,0),BL$2)-(INDEX(avoidedcosttbl2,ROUNDDOWN($H192,0),BL$2)))))*'Inputs Yr 2'!P192*'Inputs Yr 2'!Q192*'Inputs Yr 2'!U192,"")</f>
        <v/>
      </c>
      <c r="BM192" s="195" t="str">
        <f>IFERROR($G192*(IF('Inputs Yr 2'!$AJ192=BM$4,'Inputs Yr 2'!$AK192,IF('Inputs Yr 2'!$AL192=BM$4,'Inputs Yr 2'!$AM192,IF('Inputs Yr 2'!$AN192=BM$4,'Inputs Yr 2'!$AO192,0))))*(INDEX(avoidedcosttbl2,$H192,BM$2)+(($H192-ROUNDDOWN($H192,0))*(INDEX(avoidedcosttbl2,ROUNDUP($H192,0),BM$2)-(INDEX(avoidedcosttbl2,ROUNDDOWN($H192,0),BM$2)))))*'Inputs Yr 2'!P192*'Inputs Yr 2'!Q192*'Inputs Yr 2'!U192,"")</f>
        <v/>
      </c>
      <c r="BN192" s="195" t="str">
        <f>IFERROR($G192*(IF('Inputs Yr 2'!$AJ192=BN$4,'Inputs Yr 2'!$AK192,IF('Inputs Yr 2'!$AL192=BN$4,'Inputs Yr 2'!$AM192,IF('Inputs Yr 2'!$AN192=BN$4,'Inputs Yr 2'!$AO192,0))))*(INDEX(avoidedcosttbl2,$H192,BN$2)+(($H192-ROUNDDOWN($H192,0))*(INDEX(avoidedcosttbl2,ROUNDUP($H192,0),BN$2)-(INDEX(avoidedcosttbl2,ROUNDDOWN($H192,0),BN$2)))))*'Inputs Yr 2'!P192*'Inputs Yr 2'!Q192*'Inputs Yr 2'!U192,"")</f>
        <v/>
      </c>
      <c r="BO192" s="195" t="str">
        <f>IFERROR($G192*(IF('Inputs Yr 2'!$AJ192=BO$4,'Inputs Yr 2'!$AK192,IF('Inputs Yr 2'!$AL192=BO$4,'Inputs Yr 2'!$AM192,IF('Inputs Yr 2'!$AN192=BO$4,'Inputs Yr 2'!$AO192,0))))*(INDEX(avoidedcosttbl2,$H192,BO$2)+(($H192-ROUNDDOWN($H192,0))*(INDEX(avoidedcosttbl2,ROUNDUP($H192,0),BO$2)-(INDEX(avoidedcosttbl2,ROUNDDOWN($H192,0),BO$2)))))*'Inputs Yr 2'!P192*'Inputs Yr 2'!Q192*'Inputs Yr 2'!U192,"")</f>
        <v/>
      </c>
      <c r="BP192" s="195" t="str">
        <f>IFERROR($G192*(IF('Inputs Yr 2'!$AJ192=BP$4,'Inputs Yr 2'!$AK192,IF('Inputs Yr 2'!$AL192=BP$4,'Inputs Yr 2'!$AM192,IF('Inputs Yr 2'!$AN192=BP$4,'Inputs Yr 2'!$AO192,0))))*(INDEX(avoidedcosttbl2,$H192,BP$2)+(($H192-ROUNDDOWN($H192,0))*(INDEX(avoidedcosttbl2,ROUNDUP($H192,0),BP$2)-(INDEX(avoidedcosttbl2,ROUNDDOWN($H192,0),BP$2)))))*'Inputs Yr 2'!P192*'Inputs Yr 2'!Q192*'Inputs Yr 2'!U192,"")</f>
        <v/>
      </c>
      <c r="BQ192" s="230">
        <f t="shared" si="98"/>
        <v>0</v>
      </c>
      <c r="BR192" s="197">
        <f t="shared" si="82"/>
        <v>0</v>
      </c>
      <c r="BS192" s="197" t="str">
        <f>IFERROR(($G192*IF('Inputs Yr 2'!$AJ192=BM$4,'Inputs Yr 2'!$AK192,IF('Inputs Yr 2'!$AL192=BM$4,'Inputs Yr 2'!$AM192,IF('Inputs Yr 2'!$AN192=BM$4,'Inputs Yr 2'!$AO192,0))))*(INDEX(avoidedcosttbl2,$H192,BS$2)+(($H192-ROUNDDOWN($H192,0))*(INDEX(avoidedcosttbl2,ROUNDUP($H192,0),BS$2)-(INDEX(avoidedcosttbl2,ROUNDDOWN($H192,0),BS$2)))))*'Inputs Yr 2'!P192*'Inputs Yr 2'!Q192*'Inputs Yr 2'!U192,"")</f>
        <v/>
      </c>
      <c r="BT192" s="197" t="str">
        <f>IFERROR(($G192*IF('Inputs Yr 2'!$AJ192=BK$4,'Inputs Yr 2'!$AK192,IF('Inputs Yr 2'!$AL192=BK$4,'Inputs Yr 2'!$AM192,IF('Inputs Yr 2'!$AN192=BK$4,'Inputs Yr 2'!$AO192,0))))*(INDEX(avoidedcosttbl2,$H192,BT$2)+(($H192-ROUNDDOWN($H192,0))*(INDEX(avoidedcosttbl2,ROUNDUP($H192,0),BT$2)-(INDEX(avoidedcosttbl2,ROUNDDOWN($H192,0),BT$2)))))*'Inputs Yr 2'!P192*'Inputs Yr 2'!Q192*'Inputs Yr 2'!U192,"")</f>
        <v/>
      </c>
      <c r="BU192" s="197" t="str">
        <f>IFERROR(($G192*IF('Inputs Yr 2'!$AJ192=BL$4,'Inputs Yr 2'!$AK192,IF('Inputs Yr 2'!$AL192=BL$4,'Inputs Yr 2'!$AM192,IF('Inputs Yr 2'!$AN192=BL$4,'Inputs Yr 2'!$AO192,0))))*(INDEX(avoidedcosttbl2,$H192,BU$2)+(($H192-ROUNDDOWN($H192,0))*(INDEX(avoidedcosttbl2,ROUNDUP($H192,0),BU$2)-(INDEX(avoidedcosttbl2,ROUNDDOWN($H192,0),BU$2)))))*'Inputs Yr 2'!P192*'Inputs Yr 2'!Q192*'Inputs Yr 2'!U192,"")</f>
        <v/>
      </c>
      <c r="BV192" s="775" t="str">
        <f>IFERROR(($G192*IF('Inputs Yr 2'!$AJ192=BJ$4,'Inputs Yr 2'!$AK192,IF('Inputs Yr 2'!$AL192=BJ$4,'Inputs Yr 2'!$AM192,IF('Inputs Yr 2'!$AN192=BJ$4,'Inputs Yr 2'!$AO192,0))))*(INDEX(avoidedcosttbl2,$H192,BV$2)+(($H192-ROUNDDOWN($H192,0))*(INDEX(avoidedcosttbl2,ROUNDUP($H192,0),BV$2)-(INDEX(avoidedcosttbl2,ROUNDDOWN($H192,0),BV$2)))))*'Inputs Yr 2'!P192*'Inputs Yr 2'!Q192*'Inputs Yr 2'!U192,"")</f>
        <v/>
      </c>
      <c r="BW192" s="197" t="str">
        <f>IFERROR(($G192*IF('Inputs Yr 2'!$AJ192=BN$4,'Inputs Yr 2'!$AK192,IF('Inputs Yr 2'!$AL192=BN$4,'Inputs Yr 2'!$AM192,IF('Inputs Yr 2'!$AN192=BN$4,'Inputs Yr 2'!$AO192,0))))*(INDEX(avoidedcosttbl2,$H192,BW$2)+(($H192-ROUNDDOWN($H192,0))*(INDEX(avoidedcosttbl2,ROUNDUP($H192,0),BW$2)-(INDEX(avoidedcosttbl2,ROUNDDOWN($H192,0),BW$2)))))*'Inputs Yr 2'!P192*'Inputs Yr 2'!Q192*'Inputs Yr 2'!U192,"")</f>
        <v/>
      </c>
      <c r="BX192" s="197" t="str">
        <f>IFERROR(($G192*IF('Inputs Yr 2'!$AJ192=BO$4,'Inputs Yr 2'!$AK192,IF('Inputs Yr 2'!$AL192=BO$4,'Inputs Yr 2'!$AM192,IF('Inputs Yr 2'!$AN192=BO$4,'Inputs Yr 2'!$AO192,0))))*(INDEX(avoidedcosttbl2,$H192,BX$2)+(($H192-ROUNDDOWN($H192,0))*(INDEX(avoidedcosttbl2,ROUNDUP($H192,0),BX$2)-(INDEX(avoidedcosttbl2,ROUNDDOWN($H192,0),BX$2)))))*'Inputs Yr 2'!P192*'Inputs Yr 2'!Q192*'Inputs Yr 2'!U192,"")</f>
        <v/>
      </c>
      <c r="BY192" s="197" t="str">
        <f>IFERROR(($G192*IF('Inputs Yr 2'!$AJ192=BP$4,'Inputs Yr 2'!$AK192,IF('Inputs Yr 2'!$AL192=BP$4,'Inputs Yr 2'!$AM192,IF('Inputs Yr 2'!$AN192=BP$4,'Inputs Yr 2'!$AO192,0))))*(INDEX(avoidedcosttbl2,$H192,BY$2)+(($H192-ROUNDDOWN($H192,0))*(INDEX(avoidedcosttbl2,ROUNDUP($H192,0),BY$2)-(INDEX(avoidedcosttbl2,ROUNDDOWN($H192,0),BY$2)))))*'Inputs Yr 2'!P192*'Inputs Yr 2'!Q192*'Inputs Yr 2'!U192,"")</f>
        <v/>
      </c>
      <c r="BZ192" s="193">
        <f t="shared" si="99"/>
        <v>0</v>
      </c>
      <c r="CA192" s="193">
        <f t="shared" si="100"/>
        <v>0</v>
      </c>
      <c r="CB192" s="195" t="str">
        <f>IFERROR(G192*(IF('Inputs Yr 2'!$AJ192=CB$4,'Inputs Yr 2'!$AK192,IF('Inputs Yr 2'!$AL192=CB$4,'Inputs Yr 2'!$AM192,IF('Inputs Yr 2'!$AN192=CB$4,'Inputs Yr 2'!$AO192,0))))*(INDEX(avoidedcosttbl2,$H192,CB$2)+(($H192-ROUNDDOWN($H192,0))*(INDEX(avoidedcosttbl2,ROUNDUP($H192,0),CB$2)-(INDEX(avoidedcosttbl2,ROUNDDOWN($H192,0),CB$2)))))*'Inputs Yr 2'!P192*'Inputs Yr 2'!Q192*'Inputs Yr 2'!U192,"")</f>
        <v/>
      </c>
      <c r="CC192" s="195">
        <f>IFERROR(H192*(IF('Inputs Yr 2'!$AJ192=CC$4,'Inputs Yr 2'!$AK192,IF('Inputs Yr 2'!$AL192=CC$4,'Inputs Yr 2'!$AM192,IF('Inputs Yr 2'!$AN192=CC$4,'Inputs Yr 2'!$AO192,0))))*(INDEX(avoidedcosttbl2,$H192,CC$2)+(($H192-ROUNDDOWN($H192,0))*(INDEX(avoidedcosttbl2,ROUNDUP($H192,0),CC$2)-(INDEX(avoidedcosttbl2,ROUNDDOWN($H192,0),CC$2)))))*'Inputs Yr 2'!Q192*'Inputs Yr 2'!R192*'Inputs Yr 2'!V192,"")</f>
        <v>0</v>
      </c>
      <c r="CD192" s="195" t="str">
        <f>IFERROR(I192*(IF('Inputs Yr 2'!$AJ192=CD$4,'Inputs Yr 2'!$AK192,IF('Inputs Yr 2'!$AL192=CD$4,'Inputs Yr 2'!$AM192,IF('Inputs Yr 2'!$AN192=CD$4,'Inputs Yr 2'!$AO192,0))))*(INDEX(avoidedcosttbl2,$H192,CD$2)+(($H192-ROUNDDOWN($H192,0))*(INDEX(avoidedcosttbl2,ROUNDUP($H192,0),CD$2)-(INDEX(avoidedcosttbl2,ROUNDDOWN($H192,0),CD$2)))))*'Inputs Yr 2'!R192*'Inputs Yr 2'!S192*'Inputs Yr 2'!W192,"")</f>
        <v/>
      </c>
      <c r="CE192" s="213">
        <f t="shared" si="101"/>
        <v>0</v>
      </c>
      <c r="CF192" s="213">
        <f t="shared" si="102"/>
        <v>0</v>
      </c>
      <c r="CG192" s="213">
        <f t="shared" si="103"/>
        <v>0</v>
      </c>
      <c r="CH192" s="698">
        <f t="shared" si="104"/>
        <v>0</v>
      </c>
      <c r="CI192" s="79" t="str">
        <f>IFERROR(($G192*'Inputs Yr 2'!$P192*'Inputs Yr 2'!$Q192*(((INDEX(avoidedcosttbl2,$H192,CI$2)+(($H192-ROUNDDOWN($H192,0))*(INDEX(avoidedcosttbl2,ROUNDUP($H192,0),CI$2)-INDEX(avoidedcosttbl2,ROUNDDOWN($H192,0),CI$2))))*'Inputs Yr 2'!AS192))),"")</f>
        <v/>
      </c>
      <c r="CJ192" s="504" t="str">
        <f>IFERROR($G192*'Inputs Yr 2'!AT192*'Inputs Yr 2'!$P192*'Inputs Yr 2'!$Q192/((1+realdiscrt1)^-0.5),"")</f>
        <v/>
      </c>
      <c r="CK192" s="79" t="str">
        <f>IFERROR((O192*1000*(((INDEX(avoidedcosttbl2,$H192,CK$2)+(($H192-ROUNDDOWN($H192,0))*(INDEX(avoidedcosttbl2,ROUNDUP($H192,0),CK$2)-INDEX(avoidedcosttbl2,ROUNDDOWN($H192,0),CK$2))))*'Inputs Yr 2'!AU192))),"")</f>
        <v/>
      </c>
      <c r="CL192" s="504" t="str">
        <f>IFERROR(O192*1000*'Inputs Yr 2'!AV192/((1+realdiscrt1)^-0.5),"")</f>
        <v/>
      </c>
      <c r="CM192" s="79">
        <f>IFERROR((AB192*'Inputs Yr 2'!AW192*(((INDEX(avoidedcosttbl2,$H192,CM$2)+(($H192-ROUNDDOWN($H192,0))*(INDEX(avoidedcosttbl2,ROUNDUP($H192,0),CM$2)-INDEX(avoidedcosttbl2,ROUNDDOWN($H192,0),CM$2)))))))*10,"")</f>
        <v>0</v>
      </c>
      <c r="CN192" s="504">
        <f>IFERROR(10*AB192*'Inputs Yr 2'!AX192/((1+realdiscrt1)^-0.5),"")</f>
        <v>0</v>
      </c>
      <c r="CO192" s="505">
        <f t="shared" si="105"/>
        <v>0</v>
      </c>
      <c r="CP192" s="230">
        <f t="shared" si="106"/>
        <v>0</v>
      </c>
      <c r="CQ192" s="199">
        <f>ROUND(IFERROR(IF(LEFT($A192,1)="C",'Avoided Costs'!$K$13,'Avoided Costs'!$K$12)+1,""),4)</f>
        <v>1.0720000000000001</v>
      </c>
      <c r="CR192" s="199">
        <f>ROUND(IFERROR(IF(LEFT($A192,1)="C",'Avoided Costs'!$L$13,'Avoided Costs'!$L$12)+1,""),4)</f>
        <v>1.04</v>
      </c>
      <c r="CS192" s="199">
        <f>ROUND(IFERROR(IF(LEFT($A192,1)="C",'Avoided Costs'!$M$13,'Avoided Costs'!$M$12)+1,""),4)</f>
        <v>1.0720000000000001</v>
      </c>
      <c r="CT192" s="199">
        <f>ROUND(IFERROR(IF(LEFT($A192,1)="C",'Avoided Costs'!$N$13,'Avoided Costs'!$N$12)+1,""),4)</f>
        <v>1.04</v>
      </c>
      <c r="CU192" s="199">
        <f>ROUND(IFERROR(IF(LEFT($A192,1)="C",'Avoided Costs'!$O$13,'Avoided Costs'!$O$12)+1,""),4)</f>
        <v>1.1120000000000001</v>
      </c>
      <c r="CV192" s="199">
        <f>ROUND(IFERROR(IF(LEFT($A192,1)="C",'Avoided Costs'!$P$13,'Avoided Costs'!$P$12)+1,""),4)</f>
        <v>1.095</v>
      </c>
      <c r="CW192" s="199">
        <f>ROUND(IFERROR(IF(LEFT($A192,1)="C",'Avoided Costs'!$Q$13,'Avoided Costs'!$Q$12)+1,""),4)</f>
        <v>1.1120000000000001</v>
      </c>
      <c r="CX192" s="200">
        <f>ROUND(IFERROR(IF(LEFT($A192,1)="C",'Avoided Costs'!$R$13,'Avoided Costs'!$R$12)+1,""),4)</f>
        <v>1.1120000000000001</v>
      </c>
    </row>
    <row r="193" spans="1:102" ht="12.75" customHeight="1">
      <c r="A193" s="91" t="str">
        <f>IF('Inputs Yr 2'!$B193=0,"",'Inputs Yr 2'!A193)</f>
        <v>C - Commercial &amp; Industrial</v>
      </c>
      <c r="B193" s="91" t="str">
        <f>IF('Inputs Yr 2'!$B193=0,"",'Inputs Yr 2'!B193)</f>
        <v>C1 - C&amp;I New Construction</v>
      </c>
      <c r="C193" s="91" t="str">
        <f>IF('Inputs Yr 2'!$B193=0,"",'Inputs Yr 2'!C193)</f>
        <v>C1a - C&amp;I New Buildings &amp; Major Renovations</v>
      </c>
      <c r="D193" s="91" t="str">
        <f>IF('Inputs Yr 2'!$B193=0,"",'Inputs Yr 2'!E193)</f>
        <v xml:space="preserve">Rack Oven </v>
      </c>
      <c r="E193" s="93" t="str">
        <f>IF('Inputs Yr 2'!$B193=0,"",'Inputs Yr 2'!F193)</f>
        <v>G16C1a36</v>
      </c>
      <c r="F193" s="93" t="str">
        <f>IF('Inputs Yr 2'!$B193=0,"",'Inputs Yr 2'!G193)</f>
        <v>Food Service</v>
      </c>
      <c r="G193" s="95" t="str">
        <f>IF('Inputs Yr 2'!$H193&lt;&gt;0,('Inputs Yr 2'!H193),"")</f>
        <v/>
      </c>
      <c r="H193" s="94">
        <f>IFERROR('Inputs Yr 2'!I193,"")</f>
        <v>12</v>
      </c>
      <c r="I193" s="298" t="str">
        <f>IFERROR('Inputs Yr 2'!J193*'Inputs Yr 2'!P193*G193,"")</f>
        <v/>
      </c>
      <c r="J193" s="298" t="str">
        <f>IFERROR('Inputs Yr 2'!K193*G193,"")</f>
        <v/>
      </c>
      <c r="K193" s="298" t="str">
        <f t="shared" si="83"/>
        <v/>
      </c>
      <c r="L193" s="194" t="str">
        <f>IFERROR(('Inputs Yr 2'!W193*G193)/1000,"")</f>
        <v/>
      </c>
      <c r="M193" s="194" t="str">
        <f>IFERROR(L193*('Inputs Yr 2'!$Q193*'Inputs Yr 2'!$V193*'Inputs Yr 2'!$R193),"")</f>
        <v/>
      </c>
      <c r="N193" s="194" t="str">
        <f t="shared" si="84"/>
        <v/>
      </c>
      <c r="O193" s="194" t="str">
        <f>IFERROR(M193*'Inputs Yr 2'!P193,"")</f>
        <v/>
      </c>
      <c r="P193" s="194" t="str">
        <f t="shared" si="85"/>
        <v/>
      </c>
      <c r="Q193" s="194" t="str">
        <f>IFERROR($P193*'Inputs Yr 2'!AA193,"")</f>
        <v/>
      </c>
      <c r="R193" s="194" t="str">
        <f>IFERROR($P193*'Inputs Yr 2'!AB193,"")</f>
        <v/>
      </c>
      <c r="S193" s="194" t="str">
        <f>IFERROR($P193*'Inputs Yr 2'!AC193,"")</f>
        <v/>
      </c>
      <c r="T193" s="194" t="str">
        <f>IFERROR($P193*'Inputs Yr 2'!AD193,"")</f>
        <v/>
      </c>
      <c r="U193" s="194" t="str">
        <f>IFERROR(G193*'Inputs Yr 2'!$AE193*'Inputs Yr 2'!$P193*'Inputs Yr 2'!$Q193,"")</f>
        <v/>
      </c>
      <c r="V193" s="194" t="str">
        <f>IFERROR($G193*'Inputs Yr 2'!$AE193*'Inputs Yr 2'!$AG193*'Inputs Yr 2'!Q193*'Inputs Yr 2'!$S193,"")</f>
        <v/>
      </c>
      <c r="W193" s="194" t="str">
        <f>IFERROR($G193*'Inputs Yr 2'!$AE193*'Inputs Yr 2'!$AG193*'Inputs Yr 2'!P193*'Inputs Yr 2'!Q193*'Inputs Yr 2'!$S193,"")</f>
        <v/>
      </c>
      <c r="X193" s="194" t="str">
        <f>IFERROR($G193*'Inputs Yr 2'!$AE193*'Inputs Yr 2'!$AF193*'Inputs Yr 2'!Q193*'Inputs Yr 2'!$T193,"")</f>
        <v/>
      </c>
      <c r="Y193" s="194" t="str">
        <f>IFERROR($G193*'Inputs Yr 2'!$AE193*'Inputs Yr 2'!$AF193*'Inputs Yr 2'!P193*'Inputs Yr 2'!Q193*'Inputs Yr 2'!$T193,"")</f>
        <v/>
      </c>
      <c r="Z193" s="257">
        <f>IFERROR($G193*'Inputs Yr 2'!$Q193*'Inputs Yr 2'!$U193*(IF(IFERROR(SEARCH("NG", 'Inputs Yr 2'!$AJ193),0),'Inputs Yr 2'!$AK193,0)+IF(IFERROR(SEARCH("NG", 'Inputs Yr 2'!$AL193),0),'Inputs Yr 2'!$AM193,0)+IF(IFERROR(SEARCH("NG", 'Inputs Yr 2'!$AN193),0),'Inputs Yr 2'!$AO193,0)),0)</f>
        <v>0</v>
      </c>
      <c r="AA193" s="257">
        <f t="shared" si="86"/>
        <v>0</v>
      </c>
      <c r="AB193" s="257">
        <f>IFERROR(Z193*'Inputs Yr 2'!$P193,0)</f>
        <v>0</v>
      </c>
      <c r="AC193" s="257">
        <f t="shared" si="87"/>
        <v>0</v>
      </c>
      <c r="AD193" s="257">
        <f>IFERROR($G193*'Inputs Yr 2'!$Q193*'Inputs Yr 2'!$U193*(IF(IFERROR(SEARCH("Oil", 'Inputs Yr 2'!$AJ193), 0),'Inputs Yr 2'!$AK193,0)+IF(IFERROR(SEARCH("Oil", 'Inputs Yr 2'!$AL193), 0),'Inputs Yr 2'!$AM193,0)+IF(IFERROR(SEARCH("Oil", 'Inputs Yr 2'!$AN193), 0),'Inputs Yr 2'!$AO193,0)),0)</f>
        <v>0</v>
      </c>
      <c r="AE193" s="257">
        <f t="shared" si="88"/>
        <v>0</v>
      </c>
      <c r="AF193" s="257">
        <f>IFERROR(AD193*'Inputs Yr 2'!$P193,0)</f>
        <v>0</v>
      </c>
      <c r="AG193" s="257">
        <f t="shared" si="89"/>
        <v>0</v>
      </c>
      <c r="AH193" s="257">
        <f>IFERROR($G193*'Inputs Yr 2'!$Q193*'Inputs Yr 2'!$U193*(IF('Inputs Yr 2'!$AJ193=CD$4,'Inputs Yr 2'!$AK193,IF('Inputs Yr 2'!$AL193=CD$4,'Inputs Yr 2'!$AM193,IF('Inputs Yr 2'!$AN193=CD$4,'Inputs Yr 2'!$AO193,0)))),0)</f>
        <v>0</v>
      </c>
      <c r="AI193" s="257">
        <f t="shared" si="90"/>
        <v>0</v>
      </c>
      <c r="AJ193" s="257">
        <f>IFERROR(AH193*'Inputs Yr 2'!$P193,0)</f>
        <v>0</v>
      </c>
      <c r="AK193" s="257">
        <f t="shared" si="91"/>
        <v>0</v>
      </c>
      <c r="AL193" s="258">
        <f>IFERROR($G193*'Inputs Yr 2'!$P193*'Inputs Yr 2'!$Q193*'Inputs Yr 2'!AP193,0)</f>
        <v>0</v>
      </c>
      <c r="AM193" s="260">
        <f>IFERROR($G193*'Inputs Yr 2'!$P193*'Inputs Yr 2'!$Q193*'Inputs Yr 2'!AQ193,0)</f>
        <v>0</v>
      </c>
      <c r="AN193" s="258">
        <f>IFERROR($G193*'Inputs Yr 2'!$P193*'Inputs Yr 2'!$Q193*'Inputs Yr 2'!AR193,0)</f>
        <v>0</v>
      </c>
      <c r="AO193" s="257">
        <f t="shared" si="92"/>
        <v>0</v>
      </c>
      <c r="AP193" s="195" t="str">
        <f>IFERROR($CQ193*(INDEX(avoidedcosttbl2,$H193,AP$2)+(($H193-ROUNDDOWN($H193,0))*(INDEX(avoidedcosttbl2,ROUNDUP($H193,0),AP$2)-(INDEX(avoidedcosttbl2,ROUNDDOWN($H193,0),AP$2)))))*$O193*1000*'Inputs Yr 2'!AA193,"")</f>
        <v/>
      </c>
      <c r="AQ193" s="195" t="str">
        <f>IFERROR($CR193*(INDEX(avoidedcosttbl2,$H193,AQ$2)+(($H193-ROUNDDOWN($H193,0))*(INDEX(avoidedcosttbl2,ROUNDUP($H193,0),AQ$2)-(INDEX(avoidedcosttbl2,ROUNDDOWN($H193,0),AQ$2)))))*$O193*1000*'Inputs Yr 2'!AB193,"")</f>
        <v/>
      </c>
      <c r="AR193" s="195" t="str">
        <f>IFERROR($CS193*(INDEX(avoidedcosttbl2,$H193,AR$2)+(($H193-ROUNDDOWN($H193,0))*(INDEX(avoidedcosttbl2,ROUNDUP($H193,0),AR$2)-(INDEX(avoidedcosttbl2,ROUNDDOWN($H193,0),AR$2)))))*$O193*1000*'Inputs Yr 2'!AC193,"")</f>
        <v/>
      </c>
      <c r="AS193" s="195" t="str">
        <f>IFERROR($CT193*(INDEX(avoidedcosttbl2,$H193,AS$2)+(($H193-ROUNDDOWN($H193,0))*(INDEX(avoidedcosttbl2,ROUNDUP($H193,0),AS$2)-(INDEX(avoidedcosttbl2,ROUNDDOWN($H193,0),AS$2)))))*$O193*1000*'Inputs Yr 2'!AD193,"")</f>
        <v/>
      </c>
      <c r="AT193" s="196">
        <f t="shared" si="93"/>
        <v>0</v>
      </c>
      <c r="AU193" s="197" t="str">
        <f>IFERROR($CQ193*((INDEX(avoidedcosttbl2,$H193,AU$2))+(($H193-ROUNDDOWN($H193,0))*((INDEX(avoidedcosttbl2,ROUNDUP($H193,0),AU$2))-(INDEX(avoidedcosttbl2,ROUNDDOWN($H193,0),AU$2)))))*$O193*1000*'Inputs Yr 2'!AA193,"")</f>
        <v/>
      </c>
      <c r="AV193" s="197" t="str">
        <f>IFERROR($CR193*((INDEX(avoidedcosttbl2,$H193,AV$2))+(($H193-ROUNDDOWN($H193,0))*((INDEX(avoidedcosttbl2,ROUNDUP($H193,0),AV$2))-(INDEX(avoidedcosttbl2,ROUNDDOWN($H193,0),AV$2)))))*$O193*1000*'Inputs Yr 2'!AB193,"")</f>
        <v/>
      </c>
      <c r="AW193" s="197" t="str">
        <f>IFERROR($CS193*((INDEX(avoidedcosttbl2,$H193,AW$2))+(($H193-ROUNDDOWN($H193,0))*((INDEX(avoidedcosttbl2,ROUNDUP($H193,0),AW$2))-(INDEX(avoidedcosttbl2,ROUNDDOWN($H193,0),AW$2)))))*$O193*1000*'Inputs Yr 2'!AC193,"")</f>
        <v/>
      </c>
      <c r="AX193" s="197" t="str">
        <f>IFERROR($CT193*((INDEX(avoidedcosttbl2,$H193,AX$2))+(($H193-ROUNDDOWN($H193,0))*((INDEX(avoidedcosttbl2,ROUNDUP($H193,0),AX$2))-(INDEX(avoidedcosttbl2,ROUNDDOWN($H193,0),AX$2)))))*$O193*1000*'Inputs Yr 2'!AD193,"")</f>
        <v/>
      </c>
      <c r="AY193" s="197" t="str">
        <f>IFERROR(((INDEX(avoidedcosttbl2,$H193,AY$2))+(($H193-ROUNDDOWN($H193,0))*((INDEX(avoidedcosttbl2,ROUNDUP($H193,0),AY$2))-(INDEX(avoidedcosttbl2,ROUNDDOWN($H193,0),AY$2)))))*$O193*1000*('Inputs Yr 2'!AC193+'Inputs Yr 2'!AD193),"")</f>
        <v/>
      </c>
      <c r="AZ193" s="197" t="str">
        <f>IFERROR(((INDEX(avoidedcosttbl2,$H193,AZ$2))+(($H193-ROUNDDOWN($H193,0))*((INDEX(avoidedcosttbl2,ROUNDUP($H193,0),AZ$2))-(INDEX(avoidedcosttbl2,ROUNDDOWN($H193,0),AZ$2)))))*$O193*1000*('Inputs Yr 2'!AA193+'Inputs Yr 2'!AB193),"")</f>
        <v/>
      </c>
      <c r="BA193" s="198">
        <f t="shared" si="94"/>
        <v>0</v>
      </c>
      <c r="BB193" s="198">
        <f t="shared" si="95"/>
        <v>0</v>
      </c>
      <c r="BC193" s="195" t="str">
        <f t="shared" si="77"/>
        <v/>
      </c>
      <c r="BD193" s="195" t="str">
        <f t="shared" si="78"/>
        <v/>
      </c>
      <c r="BE193" s="195" t="str">
        <f t="shared" si="79"/>
        <v/>
      </c>
      <c r="BF193" s="195" t="str">
        <f t="shared" si="80"/>
        <v/>
      </c>
      <c r="BG193" s="195" t="str">
        <f t="shared" si="81"/>
        <v/>
      </c>
      <c r="BH193" s="196">
        <f t="shared" si="96"/>
        <v>0</v>
      </c>
      <c r="BI193" s="196">
        <f t="shared" si="97"/>
        <v>0</v>
      </c>
      <c r="BJ193" s="195" t="str">
        <f>IFERROR($G193*(IF('Inputs Yr 2'!$AJ193=BJ$4,'Inputs Yr 2'!$AK193,IF('Inputs Yr 2'!$AL193=BJ$4,'Inputs Yr 2'!$AM193,IF('Inputs Yr 2'!$AN193=BJ$4,'Inputs Yr 2'!$AO193,0))))*(INDEX(avoidedcosttbl2,$H193,BJ$2)+(($H193-ROUNDDOWN($H193,0))*(INDEX(avoidedcosttbl2,ROUNDUP($H193,0),BJ$2)-(INDEX(avoidedcosttbl2,ROUNDDOWN($H193,0),BJ$2)))))*'Inputs Yr 2'!P193*'Inputs Yr 2'!Q193*'Inputs Yr 2'!U193,"")</f>
        <v/>
      </c>
      <c r="BK193" s="195" t="str">
        <f>IFERROR($G193*(IF('Inputs Yr 2'!$AJ193=BK$4,'Inputs Yr 2'!$AK193,IF('Inputs Yr 2'!$AL193=BK$4,'Inputs Yr 2'!$AM193,IF('Inputs Yr 2'!$AN193=BK$4,'Inputs Yr 2'!$AO193,0))))*(INDEX(avoidedcosttbl2,$H193,BK$2)+(($H193-ROUNDDOWN($H193,0))*(INDEX(avoidedcosttbl2,ROUNDUP($H193,0),BK$2)-(INDEX(avoidedcosttbl2,ROUNDDOWN($H193,0),BK$2)))))*'Inputs Yr 2'!P193*'Inputs Yr 2'!Q193*'Inputs Yr 2'!U193,"")</f>
        <v/>
      </c>
      <c r="BL193" s="195" t="str">
        <f>IFERROR($G193*(IF('Inputs Yr 2'!$AJ193=BL$4,'Inputs Yr 2'!$AK193,IF('Inputs Yr 2'!$AL193=BL$4,'Inputs Yr 2'!$AM193,IF('Inputs Yr 2'!$AN193=BL$4,'Inputs Yr 2'!$AO193,0))))*(INDEX(avoidedcosttbl2,$H193,BL$2)+(($H193-ROUNDDOWN($H193,0))*(INDEX(avoidedcosttbl2,ROUNDUP($H193,0),BL$2)-(INDEX(avoidedcosttbl2,ROUNDDOWN($H193,0),BL$2)))))*'Inputs Yr 2'!P193*'Inputs Yr 2'!Q193*'Inputs Yr 2'!U193,"")</f>
        <v/>
      </c>
      <c r="BM193" s="195" t="str">
        <f>IFERROR($G193*(IF('Inputs Yr 2'!$AJ193=BM$4,'Inputs Yr 2'!$AK193,IF('Inputs Yr 2'!$AL193=BM$4,'Inputs Yr 2'!$AM193,IF('Inputs Yr 2'!$AN193=BM$4,'Inputs Yr 2'!$AO193,0))))*(INDEX(avoidedcosttbl2,$H193,BM$2)+(($H193-ROUNDDOWN($H193,0))*(INDEX(avoidedcosttbl2,ROUNDUP($H193,0),BM$2)-(INDEX(avoidedcosttbl2,ROUNDDOWN($H193,0),BM$2)))))*'Inputs Yr 2'!P193*'Inputs Yr 2'!Q193*'Inputs Yr 2'!U193,"")</f>
        <v/>
      </c>
      <c r="BN193" s="195" t="str">
        <f>IFERROR($G193*(IF('Inputs Yr 2'!$AJ193=BN$4,'Inputs Yr 2'!$AK193,IF('Inputs Yr 2'!$AL193=BN$4,'Inputs Yr 2'!$AM193,IF('Inputs Yr 2'!$AN193=BN$4,'Inputs Yr 2'!$AO193,0))))*(INDEX(avoidedcosttbl2,$H193,BN$2)+(($H193-ROUNDDOWN($H193,0))*(INDEX(avoidedcosttbl2,ROUNDUP($H193,0),BN$2)-(INDEX(avoidedcosttbl2,ROUNDDOWN($H193,0),BN$2)))))*'Inputs Yr 2'!P193*'Inputs Yr 2'!Q193*'Inputs Yr 2'!U193,"")</f>
        <v/>
      </c>
      <c r="BO193" s="195" t="str">
        <f>IFERROR($G193*(IF('Inputs Yr 2'!$AJ193=BO$4,'Inputs Yr 2'!$AK193,IF('Inputs Yr 2'!$AL193=BO$4,'Inputs Yr 2'!$AM193,IF('Inputs Yr 2'!$AN193=BO$4,'Inputs Yr 2'!$AO193,0))))*(INDEX(avoidedcosttbl2,$H193,BO$2)+(($H193-ROUNDDOWN($H193,0))*(INDEX(avoidedcosttbl2,ROUNDUP($H193,0),BO$2)-(INDEX(avoidedcosttbl2,ROUNDDOWN($H193,0),BO$2)))))*'Inputs Yr 2'!P193*'Inputs Yr 2'!Q193*'Inputs Yr 2'!U193,"")</f>
        <v/>
      </c>
      <c r="BP193" s="195" t="str">
        <f>IFERROR($G193*(IF('Inputs Yr 2'!$AJ193=BP$4,'Inputs Yr 2'!$AK193,IF('Inputs Yr 2'!$AL193=BP$4,'Inputs Yr 2'!$AM193,IF('Inputs Yr 2'!$AN193=BP$4,'Inputs Yr 2'!$AO193,0))))*(INDEX(avoidedcosttbl2,$H193,BP$2)+(($H193-ROUNDDOWN($H193,0))*(INDEX(avoidedcosttbl2,ROUNDUP($H193,0),BP$2)-(INDEX(avoidedcosttbl2,ROUNDDOWN($H193,0),BP$2)))))*'Inputs Yr 2'!P193*'Inputs Yr 2'!Q193*'Inputs Yr 2'!U193,"")</f>
        <v/>
      </c>
      <c r="BQ193" s="230">
        <f t="shared" si="98"/>
        <v>0</v>
      </c>
      <c r="BR193" s="197">
        <f t="shared" si="82"/>
        <v>0</v>
      </c>
      <c r="BS193" s="197" t="str">
        <f>IFERROR(($G193*IF('Inputs Yr 2'!$AJ193=BM$4,'Inputs Yr 2'!$AK193,IF('Inputs Yr 2'!$AL193=BM$4,'Inputs Yr 2'!$AM193,IF('Inputs Yr 2'!$AN193=BM$4,'Inputs Yr 2'!$AO193,0))))*(INDEX(avoidedcosttbl2,$H193,BS$2)+(($H193-ROUNDDOWN($H193,0))*(INDEX(avoidedcosttbl2,ROUNDUP($H193,0),BS$2)-(INDEX(avoidedcosttbl2,ROUNDDOWN($H193,0),BS$2)))))*'Inputs Yr 2'!P193*'Inputs Yr 2'!Q193*'Inputs Yr 2'!U193,"")</f>
        <v/>
      </c>
      <c r="BT193" s="197" t="str">
        <f>IFERROR(($G193*IF('Inputs Yr 2'!$AJ193=BK$4,'Inputs Yr 2'!$AK193,IF('Inputs Yr 2'!$AL193=BK$4,'Inputs Yr 2'!$AM193,IF('Inputs Yr 2'!$AN193=BK$4,'Inputs Yr 2'!$AO193,0))))*(INDEX(avoidedcosttbl2,$H193,BT$2)+(($H193-ROUNDDOWN($H193,0))*(INDEX(avoidedcosttbl2,ROUNDUP($H193,0),BT$2)-(INDEX(avoidedcosttbl2,ROUNDDOWN($H193,0),BT$2)))))*'Inputs Yr 2'!P193*'Inputs Yr 2'!Q193*'Inputs Yr 2'!U193,"")</f>
        <v/>
      </c>
      <c r="BU193" s="197" t="str">
        <f>IFERROR(($G193*IF('Inputs Yr 2'!$AJ193=BL$4,'Inputs Yr 2'!$AK193,IF('Inputs Yr 2'!$AL193=BL$4,'Inputs Yr 2'!$AM193,IF('Inputs Yr 2'!$AN193=BL$4,'Inputs Yr 2'!$AO193,0))))*(INDEX(avoidedcosttbl2,$H193,BU$2)+(($H193-ROUNDDOWN($H193,0))*(INDEX(avoidedcosttbl2,ROUNDUP($H193,0),BU$2)-(INDEX(avoidedcosttbl2,ROUNDDOWN($H193,0),BU$2)))))*'Inputs Yr 2'!P193*'Inputs Yr 2'!Q193*'Inputs Yr 2'!U193,"")</f>
        <v/>
      </c>
      <c r="BV193" s="775" t="str">
        <f>IFERROR(($G193*IF('Inputs Yr 2'!$AJ193=BJ$4,'Inputs Yr 2'!$AK193,IF('Inputs Yr 2'!$AL193=BJ$4,'Inputs Yr 2'!$AM193,IF('Inputs Yr 2'!$AN193=BJ$4,'Inputs Yr 2'!$AO193,0))))*(INDEX(avoidedcosttbl2,$H193,BV$2)+(($H193-ROUNDDOWN($H193,0))*(INDEX(avoidedcosttbl2,ROUNDUP($H193,0),BV$2)-(INDEX(avoidedcosttbl2,ROUNDDOWN($H193,0),BV$2)))))*'Inputs Yr 2'!P193*'Inputs Yr 2'!Q193*'Inputs Yr 2'!U193,"")</f>
        <v/>
      </c>
      <c r="BW193" s="197" t="str">
        <f>IFERROR(($G193*IF('Inputs Yr 2'!$AJ193=BN$4,'Inputs Yr 2'!$AK193,IF('Inputs Yr 2'!$AL193=BN$4,'Inputs Yr 2'!$AM193,IF('Inputs Yr 2'!$AN193=BN$4,'Inputs Yr 2'!$AO193,0))))*(INDEX(avoidedcosttbl2,$H193,BW$2)+(($H193-ROUNDDOWN($H193,0))*(INDEX(avoidedcosttbl2,ROUNDUP($H193,0),BW$2)-(INDEX(avoidedcosttbl2,ROUNDDOWN($H193,0),BW$2)))))*'Inputs Yr 2'!P193*'Inputs Yr 2'!Q193*'Inputs Yr 2'!U193,"")</f>
        <v/>
      </c>
      <c r="BX193" s="197" t="str">
        <f>IFERROR(($G193*IF('Inputs Yr 2'!$AJ193=BO$4,'Inputs Yr 2'!$AK193,IF('Inputs Yr 2'!$AL193=BO$4,'Inputs Yr 2'!$AM193,IF('Inputs Yr 2'!$AN193=BO$4,'Inputs Yr 2'!$AO193,0))))*(INDEX(avoidedcosttbl2,$H193,BX$2)+(($H193-ROUNDDOWN($H193,0))*(INDEX(avoidedcosttbl2,ROUNDUP($H193,0),BX$2)-(INDEX(avoidedcosttbl2,ROUNDDOWN($H193,0),BX$2)))))*'Inputs Yr 2'!P193*'Inputs Yr 2'!Q193*'Inputs Yr 2'!U193,"")</f>
        <v/>
      </c>
      <c r="BY193" s="197" t="str">
        <f>IFERROR(($G193*IF('Inputs Yr 2'!$AJ193=BP$4,'Inputs Yr 2'!$AK193,IF('Inputs Yr 2'!$AL193=BP$4,'Inputs Yr 2'!$AM193,IF('Inputs Yr 2'!$AN193=BP$4,'Inputs Yr 2'!$AO193,0))))*(INDEX(avoidedcosttbl2,$H193,BY$2)+(($H193-ROUNDDOWN($H193,0))*(INDEX(avoidedcosttbl2,ROUNDUP($H193,0),BY$2)-(INDEX(avoidedcosttbl2,ROUNDDOWN($H193,0),BY$2)))))*'Inputs Yr 2'!P193*'Inputs Yr 2'!Q193*'Inputs Yr 2'!U193,"")</f>
        <v/>
      </c>
      <c r="BZ193" s="193">
        <f t="shared" si="99"/>
        <v>0</v>
      </c>
      <c r="CA193" s="193">
        <f t="shared" si="100"/>
        <v>0</v>
      </c>
      <c r="CB193" s="195" t="str">
        <f>IFERROR(G193*(IF('Inputs Yr 2'!$AJ193=CB$4,'Inputs Yr 2'!$AK193,IF('Inputs Yr 2'!$AL193=CB$4,'Inputs Yr 2'!$AM193,IF('Inputs Yr 2'!$AN193=CB$4,'Inputs Yr 2'!$AO193,0))))*(INDEX(avoidedcosttbl2,$H193,CB$2)+(($H193-ROUNDDOWN($H193,0))*(INDEX(avoidedcosttbl2,ROUNDUP($H193,0),CB$2)-(INDEX(avoidedcosttbl2,ROUNDDOWN($H193,0),CB$2)))))*'Inputs Yr 2'!P193*'Inputs Yr 2'!Q193*'Inputs Yr 2'!U193,"")</f>
        <v/>
      </c>
      <c r="CC193" s="195">
        <f>IFERROR(H193*(IF('Inputs Yr 2'!$AJ193=CC$4,'Inputs Yr 2'!$AK193,IF('Inputs Yr 2'!$AL193=CC$4,'Inputs Yr 2'!$AM193,IF('Inputs Yr 2'!$AN193=CC$4,'Inputs Yr 2'!$AO193,0))))*(INDEX(avoidedcosttbl2,$H193,CC$2)+(($H193-ROUNDDOWN($H193,0))*(INDEX(avoidedcosttbl2,ROUNDUP($H193,0),CC$2)-(INDEX(avoidedcosttbl2,ROUNDDOWN($H193,0),CC$2)))))*'Inputs Yr 2'!Q193*'Inputs Yr 2'!R193*'Inputs Yr 2'!V193,"")</f>
        <v>0</v>
      </c>
      <c r="CD193" s="195" t="str">
        <f>IFERROR(I193*(IF('Inputs Yr 2'!$AJ193=CD$4,'Inputs Yr 2'!$AK193,IF('Inputs Yr 2'!$AL193=CD$4,'Inputs Yr 2'!$AM193,IF('Inputs Yr 2'!$AN193=CD$4,'Inputs Yr 2'!$AO193,0))))*(INDEX(avoidedcosttbl2,$H193,CD$2)+(($H193-ROUNDDOWN($H193,0))*(INDEX(avoidedcosttbl2,ROUNDUP($H193,0),CD$2)-(INDEX(avoidedcosttbl2,ROUNDDOWN($H193,0),CD$2)))))*'Inputs Yr 2'!R193*'Inputs Yr 2'!S193*'Inputs Yr 2'!W193,"")</f>
        <v/>
      </c>
      <c r="CE193" s="213">
        <f t="shared" si="101"/>
        <v>0</v>
      </c>
      <c r="CF193" s="213">
        <f t="shared" si="102"/>
        <v>0</v>
      </c>
      <c r="CG193" s="213">
        <f t="shared" si="103"/>
        <v>0</v>
      </c>
      <c r="CH193" s="698">
        <f t="shared" si="104"/>
        <v>0</v>
      </c>
      <c r="CI193" s="79" t="str">
        <f>IFERROR(($G193*'Inputs Yr 2'!$P193*'Inputs Yr 2'!$Q193*(((INDEX(avoidedcosttbl2,$H193,CI$2)+(($H193-ROUNDDOWN($H193,0))*(INDEX(avoidedcosttbl2,ROUNDUP($H193,0),CI$2)-INDEX(avoidedcosttbl2,ROUNDDOWN($H193,0),CI$2))))*'Inputs Yr 2'!AS193))),"")</f>
        <v/>
      </c>
      <c r="CJ193" s="504" t="str">
        <f>IFERROR($G193*'Inputs Yr 2'!AT193*'Inputs Yr 2'!$P193*'Inputs Yr 2'!$Q193/((1+realdiscrt1)^-0.5),"")</f>
        <v/>
      </c>
      <c r="CK193" s="79" t="str">
        <f>IFERROR((O193*1000*(((INDEX(avoidedcosttbl2,$H193,CK$2)+(($H193-ROUNDDOWN($H193,0))*(INDEX(avoidedcosttbl2,ROUNDUP($H193,0),CK$2)-INDEX(avoidedcosttbl2,ROUNDDOWN($H193,0),CK$2))))*'Inputs Yr 2'!AU193))),"")</f>
        <v/>
      </c>
      <c r="CL193" s="504" t="str">
        <f>IFERROR(O193*1000*'Inputs Yr 2'!AV193/((1+realdiscrt1)^-0.5),"")</f>
        <v/>
      </c>
      <c r="CM193" s="79">
        <f>IFERROR((AB193*'Inputs Yr 2'!AW193*(((INDEX(avoidedcosttbl2,$H193,CM$2)+(($H193-ROUNDDOWN($H193,0))*(INDEX(avoidedcosttbl2,ROUNDUP($H193,0),CM$2)-INDEX(avoidedcosttbl2,ROUNDDOWN($H193,0),CM$2)))))))*10,"")</f>
        <v>0</v>
      </c>
      <c r="CN193" s="504">
        <f>IFERROR(10*AB193*'Inputs Yr 2'!AX193/((1+realdiscrt1)^-0.5),"")</f>
        <v>0</v>
      </c>
      <c r="CO193" s="505">
        <f t="shared" si="105"/>
        <v>0</v>
      </c>
      <c r="CP193" s="230">
        <f t="shared" si="106"/>
        <v>0</v>
      </c>
      <c r="CQ193" s="199">
        <f>ROUND(IFERROR(IF(LEFT($A193,1)="C",'Avoided Costs'!$K$13,'Avoided Costs'!$K$12)+1,""),4)</f>
        <v>1.0720000000000001</v>
      </c>
      <c r="CR193" s="199">
        <f>ROUND(IFERROR(IF(LEFT($A193,1)="C",'Avoided Costs'!$L$13,'Avoided Costs'!$L$12)+1,""),4)</f>
        <v>1.04</v>
      </c>
      <c r="CS193" s="199">
        <f>ROUND(IFERROR(IF(LEFT($A193,1)="C",'Avoided Costs'!$M$13,'Avoided Costs'!$M$12)+1,""),4)</f>
        <v>1.0720000000000001</v>
      </c>
      <c r="CT193" s="199">
        <f>ROUND(IFERROR(IF(LEFT($A193,1)="C",'Avoided Costs'!$N$13,'Avoided Costs'!$N$12)+1,""),4)</f>
        <v>1.04</v>
      </c>
      <c r="CU193" s="199">
        <f>ROUND(IFERROR(IF(LEFT($A193,1)="C",'Avoided Costs'!$O$13,'Avoided Costs'!$O$12)+1,""),4)</f>
        <v>1.1120000000000001</v>
      </c>
      <c r="CV193" s="199">
        <f>ROUND(IFERROR(IF(LEFT($A193,1)="C",'Avoided Costs'!$P$13,'Avoided Costs'!$P$12)+1,""),4)</f>
        <v>1.095</v>
      </c>
      <c r="CW193" s="199">
        <f>ROUND(IFERROR(IF(LEFT($A193,1)="C",'Avoided Costs'!$Q$13,'Avoided Costs'!$Q$12)+1,""),4)</f>
        <v>1.1120000000000001</v>
      </c>
      <c r="CX193" s="200">
        <f>ROUND(IFERROR(IF(LEFT($A193,1)="C",'Avoided Costs'!$R$13,'Avoided Costs'!$R$12)+1,""),4)</f>
        <v>1.1120000000000001</v>
      </c>
    </row>
    <row r="194" spans="1:102" ht="12.75" customHeight="1">
      <c r="A194" s="91" t="str">
        <f>IF('Inputs Yr 2'!$B194=0,"",'Inputs Yr 2'!A194)</f>
        <v>C - Commercial &amp; Industrial</v>
      </c>
      <c r="B194" s="91" t="str">
        <f>IF('Inputs Yr 2'!$B194=0,"",'Inputs Yr 2'!B194)</f>
        <v>C1 - C&amp;I New Construction</v>
      </c>
      <c r="C194" s="91" t="str">
        <f>IF('Inputs Yr 2'!$B194=0,"",'Inputs Yr 2'!C194)</f>
        <v>C1a - C&amp;I New Buildings &amp; Major Renovations</v>
      </c>
      <c r="D194" s="91" t="str">
        <f>IF('Inputs Yr 2'!$B194=0,"",'Inputs Yr 2'!E194)</f>
        <v>Griddle</v>
      </c>
      <c r="E194" s="93" t="str">
        <f>IF('Inputs Yr 2'!$B194=0,"",'Inputs Yr 2'!F194)</f>
        <v>G16C1a37</v>
      </c>
      <c r="F194" s="93" t="str">
        <f>IF('Inputs Yr 2'!$B194=0,"",'Inputs Yr 2'!G194)</f>
        <v>Food Service</v>
      </c>
      <c r="G194" s="95" t="str">
        <f>IF('Inputs Yr 2'!$H194&lt;&gt;0,('Inputs Yr 2'!H194),"")</f>
        <v/>
      </c>
      <c r="H194" s="94">
        <f>IFERROR('Inputs Yr 2'!I194,"")</f>
        <v>12</v>
      </c>
      <c r="I194" s="298" t="str">
        <f>IFERROR('Inputs Yr 2'!J194*'Inputs Yr 2'!P194*G194,"")</f>
        <v/>
      </c>
      <c r="J194" s="298" t="str">
        <f>IFERROR('Inputs Yr 2'!K194*G194,"")</f>
        <v/>
      </c>
      <c r="K194" s="298" t="str">
        <f t="shared" si="83"/>
        <v/>
      </c>
      <c r="L194" s="194" t="str">
        <f>IFERROR(('Inputs Yr 2'!W194*G194)/1000,"")</f>
        <v/>
      </c>
      <c r="M194" s="194" t="str">
        <f>IFERROR(L194*('Inputs Yr 2'!$Q194*'Inputs Yr 2'!$V194*'Inputs Yr 2'!$R194),"")</f>
        <v/>
      </c>
      <c r="N194" s="194" t="str">
        <f t="shared" si="84"/>
        <v/>
      </c>
      <c r="O194" s="194" t="str">
        <f>IFERROR(M194*'Inputs Yr 2'!P194,"")</f>
        <v/>
      </c>
      <c r="P194" s="194" t="str">
        <f t="shared" si="85"/>
        <v/>
      </c>
      <c r="Q194" s="194" t="str">
        <f>IFERROR($P194*'Inputs Yr 2'!AA194,"")</f>
        <v/>
      </c>
      <c r="R194" s="194" t="str">
        <f>IFERROR($P194*'Inputs Yr 2'!AB194,"")</f>
        <v/>
      </c>
      <c r="S194" s="194" t="str">
        <f>IFERROR($P194*'Inputs Yr 2'!AC194,"")</f>
        <v/>
      </c>
      <c r="T194" s="194" t="str">
        <f>IFERROR($P194*'Inputs Yr 2'!AD194,"")</f>
        <v/>
      </c>
      <c r="U194" s="194" t="str">
        <f>IFERROR(G194*'Inputs Yr 2'!$AE194*'Inputs Yr 2'!$P194*'Inputs Yr 2'!$Q194,"")</f>
        <v/>
      </c>
      <c r="V194" s="194" t="str">
        <f>IFERROR($G194*'Inputs Yr 2'!$AE194*'Inputs Yr 2'!$AG194*'Inputs Yr 2'!Q194*'Inputs Yr 2'!$S194,"")</f>
        <v/>
      </c>
      <c r="W194" s="194" t="str">
        <f>IFERROR($G194*'Inputs Yr 2'!$AE194*'Inputs Yr 2'!$AG194*'Inputs Yr 2'!P194*'Inputs Yr 2'!Q194*'Inputs Yr 2'!$S194,"")</f>
        <v/>
      </c>
      <c r="X194" s="194" t="str">
        <f>IFERROR($G194*'Inputs Yr 2'!$AE194*'Inputs Yr 2'!$AF194*'Inputs Yr 2'!Q194*'Inputs Yr 2'!$T194,"")</f>
        <v/>
      </c>
      <c r="Y194" s="194" t="str">
        <f>IFERROR($G194*'Inputs Yr 2'!$AE194*'Inputs Yr 2'!$AF194*'Inputs Yr 2'!P194*'Inputs Yr 2'!Q194*'Inputs Yr 2'!$T194,"")</f>
        <v/>
      </c>
      <c r="Z194" s="257">
        <f>IFERROR($G194*'Inputs Yr 2'!$Q194*'Inputs Yr 2'!$U194*(IF(IFERROR(SEARCH("NG", 'Inputs Yr 2'!$AJ194),0),'Inputs Yr 2'!$AK194,0)+IF(IFERROR(SEARCH("NG", 'Inputs Yr 2'!$AL194),0),'Inputs Yr 2'!$AM194,0)+IF(IFERROR(SEARCH("NG", 'Inputs Yr 2'!$AN194),0),'Inputs Yr 2'!$AO194,0)),0)</f>
        <v>0</v>
      </c>
      <c r="AA194" s="257">
        <f t="shared" si="86"/>
        <v>0</v>
      </c>
      <c r="AB194" s="257">
        <f>IFERROR(Z194*'Inputs Yr 2'!$P194,0)</f>
        <v>0</v>
      </c>
      <c r="AC194" s="257">
        <f t="shared" si="87"/>
        <v>0</v>
      </c>
      <c r="AD194" s="257">
        <f>IFERROR($G194*'Inputs Yr 2'!$Q194*'Inputs Yr 2'!$U194*(IF(IFERROR(SEARCH("Oil", 'Inputs Yr 2'!$AJ194), 0),'Inputs Yr 2'!$AK194,0)+IF(IFERROR(SEARCH("Oil", 'Inputs Yr 2'!$AL194), 0),'Inputs Yr 2'!$AM194,0)+IF(IFERROR(SEARCH("Oil", 'Inputs Yr 2'!$AN194), 0),'Inputs Yr 2'!$AO194,0)),0)</f>
        <v>0</v>
      </c>
      <c r="AE194" s="257">
        <f t="shared" si="88"/>
        <v>0</v>
      </c>
      <c r="AF194" s="257">
        <f>IFERROR(AD194*'Inputs Yr 2'!$P194,0)</f>
        <v>0</v>
      </c>
      <c r="AG194" s="257">
        <f t="shared" si="89"/>
        <v>0</v>
      </c>
      <c r="AH194" s="257">
        <f>IFERROR($G194*'Inputs Yr 2'!$Q194*'Inputs Yr 2'!$U194*(IF('Inputs Yr 2'!$AJ194=CD$4,'Inputs Yr 2'!$AK194,IF('Inputs Yr 2'!$AL194=CD$4,'Inputs Yr 2'!$AM194,IF('Inputs Yr 2'!$AN194=CD$4,'Inputs Yr 2'!$AO194,0)))),0)</f>
        <v>0</v>
      </c>
      <c r="AI194" s="257">
        <f t="shared" si="90"/>
        <v>0</v>
      </c>
      <c r="AJ194" s="257">
        <f>IFERROR(AH194*'Inputs Yr 2'!$P194,0)</f>
        <v>0</v>
      </c>
      <c r="AK194" s="257">
        <f t="shared" si="91"/>
        <v>0</v>
      </c>
      <c r="AL194" s="258">
        <f>IFERROR($G194*'Inputs Yr 2'!$P194*'Inputs Yr 2'!$Q194*'Inputs Yr 2'!AP194,0)</f>
        <v>0</v>
      </c>
      <c r="AM194" s="260">
        <f>IFERROR($G194*'Inputs Yr 2'!$P194*'Inputs Yr 2'!$Q194*'Inputs Yr 2'!AQ194,0)</f>
        <v>0</v>
      </c>
      <c r="AN194" s="258">
        <f>IFERROR($G194*'Inputs Yr 2'!$P194*'Inputs Yr 2'!$Q194*'Inputs Yr 2'!AR194,0)</f>
        <v>0</v>
      </c>
      <c r="AO194" s="257">
        <f t="shared" si="92"/>
        <v>0</v>
      </c>
      <c r="AP194" s="195" t="str">
        <f>IFERROR($CQ194*(INDEX(avoidedcosttbl2,$H194,AP$2)+(($H194-ROUNDDOWN($H194,0))*(INDEX(avoidedcosttbl2,ROUNDUP($H194,0),AP$2)-(INDEX(avoidedcosttbl2,ROUNDDOWN($H194,0),AP$2)))))*$O194*1000*'Inputs Yr 2'!AA194,"")</f>
        <v/>
      </c>
      <c r="AQ194" s="195" t="str">
        <f>IFERROR($CR194*(INDEX(avoidedcosttbl2,$H194,AQ$2)+(($H194-ROUNDDOWN($H194,0))*(INDEX(avoidedcosttbl2,ROUNDUP($H194,0),AQ$2)-(INDEX(avoidedcosttbl2,ROUNDDOWN($H194,0),AQ$2)))))*$O194*1000*'Inputs Yr 2'!AB194,"")</f>
        <v/>
      </c>
      <c r="AR194" s="195" t="str">
        <f>IFERROR($CS194*(INDEX(avoidedcosttbl2,$H194,AR$2)+(($H194-ROUNDDOWN($H194,0))*(INDEX(avoidedcosttbl2,ROUNDUP($H194,0),AR$2)-(INDEX(avoidedcosttbl2,ROUNDDOWN($H194,0),AR$2)))))*$O194*1000*'Inputs Yr 2'!AC194,"")</f>
        <v/>
      </c>
      <c r="AS194" s="195" t="str">
        <f>IFERROR($CT194*(INDEX(avoidedcosttbl2,$H194,AS$2)+(($H194-ROUNDDOWN($H194,0))*(INDEX(avoidedcosttbl2,ROUNDUP($H194,0),AS$2)-(INDEX(avoidedcosttbl2,ROUNDDOWN($H194,0),AS$2)))))*$O194*1000*'Inputs Yr 2'!AD194,"")</f>
        <v/>
      </c>
      <c r="AT194" s="196">
        <f t="shared" si="93"/>
        <v>0</v>
      </c>
      <c r="AU194" s="197" t="str">
        <f>IFERROR($CQ194*((INDEX(avoidedcosttbl2,$H194,AU$2))+(($H194-ROUNDDOWN($H194,0))*((INDEX(avoidedcosttbl2,ROUNDUP($H194,0),AU$2))-(INDEX(avoidedcosttbl2,ROUNDDOWN($H194,0),AU$2)))))*$O194*1000*'Inputs Yr 2'!AA194,"")</f>
        <v/>
      </c>
      <c r="AV194" s="197" t="str">
        <f>IFERROR($CR194*((INDEX(avoidedcosttbl2,$H194,AV$2))+(($H194-ROUNDDOWN($H194,0))*((INDEX(avoidedcosttbl2,ROUNDUP($H194,0),AV$2))-(INDEX(avoidedcosttbl2,ROUNDDOWN($H194,0),AV$2)))))*$O194*1000*'Inputs Yr 2'!AB194,"")</f>
        <v/>
      </c>
      <c r="AW194" s="197" t="str">
        <f>IFERROR($CS194*((INDEX(avoidedcosttbl2,$H194,AW$2))+(($H194-ROUNDDOWN($H194,0))*((INDEX(avoidedcosttbl2,ROUNDUP($H194,0),AW$2))-(INDEX(avoidedcosttbl2,ROUNDDOWN($H194,0),AW$2)))))*$O194*1000*'Inputs Yr 2'!AC194,"")</f>
        <v/>
      </c>
      <c r="AX194" s="197" t="str">
        <f>IFERROR($CT194*((INDEX(avoidedcosttbl2,$H194,AX$2))+(($H194-ROUNDDOWN($H194,0))*((INDEX(avoidedcosttbl2,ROUNDUP($H194,0),AX$2))-(INDEX(avoidedcosttbl2,ROUNDDOWN($H194,0),AX$2)))))*$O194*1000*'Inputs Yr 2'!AD194,"")</f>
        <v/>
      </c>
      <c r="AY194" s="197" t="str">
        <f>IFERROR(((INDEX(avoidedcosttbl2,$H194,AY$2))+(($H194-ROUNDDOWN($H194,0))*((INDEX(avoidedcosttbl2,ROUNDUP($H194,0),AY$2))-(INDEX(avoidedcosttbl2,ROUNDDOWN($H194,0),AY$2)))))*$O194*1000*('Inputs Yr 2'!AC194+'Inputs Yr 2'!AD194),"")</f>
        <v/>
      </c>
      <c r="AZ194" s="197" t="str">
        <f>IFERROR(((INDEX(avoidedcosttbl2,$H194,AZ$2))+(($H194-ROUNDDOWN($H194,0))*((INDEX(avoidedcosttbl2,ROUNDUP($H194,0),AZ$2))-(INDEX(avoidedcosttbl2,ROUNDDOWN($H194,0),AZ$2)))))*$O194*1000*('Inputs Yr 2'!AA194+'Inputs Yr 2'!AB194),"")</f>
        <v/>
      </c>
      <c r="BA194" s="198">
        <f t="shared" si="94"/>
        <v>0</v>
      </c>
      <c r="BB194" s="198">
        <f t="shared" si="95"/>
        <v>0</v>
      </c>
      <c r="BC194" s="195" t="str">
        <f t="shared" si="77"/>
        <v/>
      </c>
      <c r="BD194" s="195" t="str">
        <f t="shared" si="78"/>
        <v/>
      </c>
      <c r="BE194" s="195" t="str">
        <f t="shared" si="79"/>
        <v/>
      </c>
      <c r="BF194" s="195" t="str">
        <f t="shared" si="80"/>
        <v/>
      </c>
      <c r="BG194" s="195" t="str">
        <f t="shared" si="81"/>
        <v/>
      </c>
      <c r="BH194" s="196">
        <f t="shared" si="96"/>
        <v>0</v>
      </c>
      <c r="BI194" s="196">
        <f t="shared" si="97"/>
        <v>0</v>
      </c>
      <c r="BJ194" s="195" t="str">
        <f>IFERROR($G194*(IF('Inputs Yr 2'!$AJ194=BJ$4,'Inputs Yr 2'!$AK194,IF('Inputs Yr 2'!$AL194=BJ$4,'Inputs Yr 2'!$AM194,IF('Inputs Yr 2'!$AN194=BJ$4,'Inputs Yr 2'!$AO194,0))))*(INDEX(avoidedcosttbl2,$H194,BJ$2)+(($H194-ROUNDDOWN($H194,0))*(INDEX(avoidedcosttbl2,ROUNDUP($H194,0),BJ$2)-(INDEX(avoidedcosttbl2,ROUNDDOWN($H194,0),BJ$2)))))*'Inputs Yr 2'!P194*'Inputs Yr 2'!Q194*'Inputs Yr 2'!U194,"")</f>
        <v/>
      </c>
      <c r="BK194" s="195" t="str">
        <f>IFERROR($G194*(IF('Inputs Yr 2'!$AJ194=BK$4,'Inputs Yr 2'!$AK194,IF('Inputs Yr 2'!$AL194=BK$4,'Inputs Yr 2'!$AM194,IF('Inputs Yr 2'!$AN194=BK$4,'Inputs Yr 2'!$AO194,0))))*(INDEX(avoidedcosttbl2,$H194,BK$2)+(($H194-ROUNDDOWN($H194,0))*(INDEX(avoidedcosttbl2,ROUNDUP($H194,0),BK$2)-(INDEX(avoidedcosttbl2,ROUNDDOWN($H194,0),BK$2)))))*'Inputs Yr 2'!P194*'Inputs Yr 2'!Q194*'Inputs Yr 2'!U194,"")</f>
        <v/>
      </c>
      <c r="BL194" s="195" t="str">
        <f>IFERROR($G194*(IF('Inputs Yr 2'!$AJ194=BL$4,'Inputs Yr 2'!$AK194,IF('Inputs Yr 2'!$AL194=BL$4,'Inputs Yr 2'!$AM194,IF('Inputs Yr 2'!$AN194=BL$4,'Inputs Yr 2'!$AO194,0))))*(INDEX(avoidedcosttbl2,$H194,BL$2)+(($H194-ROUNDDOWN($H194,0))*(INDEX(avoidedcosttbl2,ROUNDUP($H194,0),BL$2)-(INDEX(avoidedcosttbl2,ROUNDDOWN($H194,0),BL$2)))))*'Inputs Yr 2'!P194*'Inputs Yr 2'!Q194*'Inputs Yr 2'!U194,"")</f>
        <v/>
      </c>
      <c r="BM194" s="195" t="str">
        <f>IFERROR($G194*(IF('Inputs Yr 2'!$AJ194=BM$4,'Inputs Yr 2'!$AK194,IF('Inputs Yr 2'!$AL194=BM$4,'Inputs Yr 2'!$AM194,IF('Inputs Yr 2'!$AN194=BM$4,'Inputs Yr 2'!$AO194,0))))*(INDEX(avoidedcosttbl2,$H194,BM$2)+(($H194-ROUNDDOWN($H194,0))*(INDEX(avoidedcosttbl2,ROUNDUP($H194,0),BM$2)-(INDEX(avoidedcosttbl2,ROUNDDOWN($H194,0),BM$2)))))*'Inputs Yr 2'!P194*'Inputs Yr 2'!Q194*'Inputs Yr 2'!U194,"")</f>
        <v/>
      </c>
      <c r="BN194" s="195" t="str">
        <f>IFERROR($G194*(IF('Inputs Yr 2'!$AJ194=BN$4,'Inputs Yr 2'!$AK194,IF('Inputs Yr 2'!$AL194=BN$4,'Inputs Yr 2'!$AM194,IF('Inputs Yr 2'!$AN194=BN$4,'Inputs Yr 2'!$AO194,0))))*(INDEX(avoidedcosttbl2,$H194,BN$2)+(($H194-ROUNDDOWN($H194,0))*(INDEX(avoidedcosttbl2,ROUNDUP($H194,0),BN$2)-(INDEX(avoidedcosttbl2,ROUNDDOWN($H194,0),BN$2)))))*'Inputs Yr 2'!P194*'Inputs Yr 2'!Q194*'Inputs Yr 2'!U194,"")</f>
        <v/>
      </c>
      <c r="BO194" s="195" t="str">
        <f>IFERROR($G194*(IF('Inputs Yr 2'!$AJ194=BO$4,'Inputs Yr 2'!$AK194,IF('Inputs Yr 2'!$AL194=BO$4,'Inputs Yr 2'!$AM194,IF('Inputs Yr 2'!$AN194=BO$4,'Inputs Yr 2'!$AO194,0))))*(INDEX(avoidedcosttbl2,$H194,BO$2)+(($H194-ROUNDDOWN($H194,0))*(INDEX(avoidedcosttbl2,ROUNDUP($H194,0),BO$2)-(INDEX(avoidedcosttbl2,ROUNDDOWN($H194,0),BO$2)))))*'Inputs Yr 2'!P194*'Inputs Yr 2'!Q194*'Inputs Yr 2'!U194,"")</f>
        <v/>
      </c>
      <c r="BP194" s="195" t="str">
        <f>IFERROR($G194*(IF('Inputs Yr 2'!$AJ194=BP$4,'Inputs Yr 2'!$AK194,IF('Inputs Yr 2'!$AL194=BP$4,'Inputs Yr 2'!$AM194,IF('Inputs Yr 2'!$AN194=BP$4,'Inputs Yr 2'!$AO194,0))))*(INDEX(avoidedcosttbl2,$H194,BP$2)+(($H194-ROUNDDOWN($H194,0))*(INDEX(avoidedcosttbl2,ROUNDUP($H194,0),BP$2)-(INDEX(avoidedcosttbl2,ROUNDDOWN($H194,0),BP$2)))))*'Inputs Yr 2'!P194*'Inputs Yr 2'!Q194*'Inputs Yr 2'!U194,"")</f>
        <v/>
      </c>
      <c r="BQ194" s="230">
        <f t="shared" si="98"/>
        <v>0</v>
      </c>
      <c r="BR194" s="197">
        <f t="shared" si="82"/>
        <v>0</v>
      </c>
      <c r="BS194" s="197" t="str">
        <f>IFERROR(($G194*IF('Inputs Yr 2'!$AJ194=BM$4,'Inputs Yr 2'!$AK194,IF('Inputs Yr 2'!$AL194=BM$4,'Inputs Yr 2'!$AM194,IF('Inputs Yr 2'!$AN194=BM$4,'Inputs Yr 2'!$AO194,0))))*(INDEX(avoidedcosttbl2,$H194,BS$2)+(($H194-ROUNDDOWN($H194,0))*(INDEX(avoidedcosttbl2,ROUNDUP($H194,0),BS$2)-(INDEX(avoidedcosttbl2,ROUNDDOWN($H194,0),BS$2)))))*'Inputs Yr 2'!P194*'Inputs Yr 2'!Q194*'Inputs Yr 2'!U194,"")</f>
        <v/>
      </c>
      <c r="BT194" s="197" t="str">
        <f>IFERROR(($G194*IF('Inputs Yr 2'!$AJ194=BK$4,'Inputs Yr 2'!$AK194,IF('Inputs Yr 2'!$AL194=BK$4,'Inputs Yr 2'!$AM194,IF('Inputs Yr 2'!$AN194=BK$4,'Inputs Yr 2'!$AO194,0))))*(INDEX(avoidedcosttbl2,$H194,BT$2)+(($H194-ROUNDDOWN($H194,0))*(INDEX(avoidedcosttbl2,ROUNDUP($H194,0),BT$2)-(INDEX(avoidedcosttbl2,ROUNDDOWN($H194,0),BT$2)))))*'Inputs Yr 2'!P194*'Inputs Yr 2'!Q194*'Inputs Yr 2'!U194,"")</f>
        <v/>
      </c>
      <c r="BU194" s="197" t="str">
        <f>IFERROR(($G194*IF('Inputs Yr 2'!$AJ194=BL$4,'Inputs Yr 2'!$AK194,IF('Inputs Yr 2'!$AL194=BL$4,'Inputs Yr 2'!$AM194,IF('Inputs Yr 2'!$AN194=BL$4,'Inputs Yr 2'!$AO194,0))))*(INDEX(avoidedcosttbl2,$H194,BU$2)+(($H194-ROUNDDOWN($H194,0))*(INDEX(avoidedcosttbl2,ROUNDUP($H194,0),BU$2)-(INDEX(avoidedcosttbl2,ROUNDDOWN($H194,0),BU$2)))))*'Inputs Yr 2'!P194*'Inputs Yr 2'!Q194*'Inputs Yr 2'!U194,"")</f>
        <v/>
      </c>
      <c r="BV194" s="775" t="str">
        <f>IFERROR(($G194*IF('Inputs Yr 2'!$AJ194=BJ$4,'Inputs Yr 2'!$AK194,IF('Inputs Yr 2'!$AL194=BJ$4,'Inputs Yr 2'!$AM194,IF('Inputs Yr 2'!$AN194=BJ$4,'Inputs Yr 2'!$AO194,0))))*(INDEX(avoidedcosttbl2,$H194,BV$2)+(($H194-ROUNDDOWN($H194,0))*(INDEX(avoidedcosttbl2,ROUNDUP($H194,0),BV$2)-(INDEX(avoidedcosttbl2,ROUNDDOWN($H194,0),BV$2)))))*'Inputs Yr 2'!P194*'Inputs Yr 2'!Q194*'Inputs Yr 2'!U194,"")</f>
        <v/>
      </c>
      <c r="BW194" s="197" t="str">
        <f>IFERROR(($G194*IF('Inputs Yr 2'!$AJ194=BN$4,'Inputs Yr 2'!$AK194,IF('Inputs Yr 2'!$AL194=BN$4,'Inputs Yr 2'!$AM194,IF('Inputs Yr 2'!$AN194=BN$4,'Inputs Yr 2'!$AO194,0))))*(INDEX(avoidedcosttbl2,$H194,BW$2)+(($H194-ROUNDDOWN($H194,0))*(INDEX(avoidedcosttbl2,ROUNDUP($H194,0),BW$2)-(INDEX(avoidedcosttbl2,ROUNDDOWN($H194,0),BW$2)))))*'Inputs Yr 2'!P194*'Inputs Yr 2'!Q194*'Inputs Yr 2'!U194,"")</f>
        <v/>
      </c>
      <c r="BX194" s="197" t="str">
        <f>IFERROR(($G194*IF('Inputs Yr 2'!$AJ194=BO$4,'Inputs Yr 2'!$AK194,IF('Inputs Yr 2'!$AL194=BO$4,'Inputs Yr 2'!$AM194,IF('Inputs Yr 2'!$AN194=BO$4,'Inputs Yr 2'!$AO194,0))))*(INDEX(avoidedcosttbl2,$H194,BX$2)+(($H194-ROUNDDOWN($H194,0))*(INDEX(avoidedcosttbl2,ROUNDUP($H194,0),BX$2)-(INDEX(avoidedcosttbl2,ROUNDDOWN($H194,0),BX$2)))))*'Inputs Yr 2'!P194*'Inputs Yr 2'!Q194*'Inputs Yr 2'!U194,"")</f>
        <v/>
      </c>
      <c r="BY194" s="197" t="str">
        <f>IFERROR(($G194*IF('Inputs Yr 2'!$AJ194=BP$4,'Inputs Yr 2'!$AK194,IF('Inputs Yr 2'!$AL194=BP$4,'Inputs Yr 2'!$AM194,IF('Inputs Yr 2'!$AN194=BP$4,'Inputs Yr 2'!$AO194,0))))*(INDEX(avoidedcosttbl2,$H194,BY$2)+(($H194-ROUNDDOWN($H194,0))*(INDEX(avoidedcosttbl2,ROUNDUP($H194,0),BY$2)-(INDEX(avoidedcosttbl2,ROUNDDOWN($H194,0),BY$2)))))*'Inputs Yr 2'!P194*'Inputs Yr 2'!Q194*'Inputs Yr 2'!U194,"")</f>
        <v/>
      </c>
      <c r="BZ194" s="193">
        <f t="shared" si="99"/>
        <v>0</v>
      </c>
      <c r="CA194" s="193">
        <f t="shared" si="100"/>
        <v>0</v>
      </c>
      <c r="CB194" s="195" t="str">
        <f>IFERROR(G194*(IF('Inputs Yr 2'!$AJ194=CB$4,'Inputs Yr 2'!$AK194,IF('Inputs Yr 2'!$AL194=CB$4,'Inputs Yr 2'!$AM194,IF('Inputs Yr 2'!$AN194=CB$4,'Inputs Yr 2'!$AO194,0))))*(INDEX(avoidedcosttbl2,$H194,CB$2)+(($H194-ROUNDDOWN($H194,0))*(INDEX(avoidedcosttbl2,ROUNDUP($H194,0),CB$2)-(INDEX(avoidedcosttbl2,ROUNDDOWN($H194,0),CB$2)))))*'Inputs Yr 2'!P194*'Inputs Yr 2'!Q194*'Inputs Yr 2'!U194,"")</f>
        <v/>
      </c>
      <c r="CC194" s="195">
        <f>IFERROR(H194*(IF('Inputs Yr 2'!$AJ194=CC$4,'Inputs Yr 2'!$AK194,IF('Inputs Yr 2'!$AL194=CC$4,'Inputs Yr 2'!$AM194,IF('Inputs Yr 2'!$AN194=CC$4,'Inputs Yr 2'!$AO194,0))))*(INDEX(avoidedcosttbl2,$H194,CC$2)+(($H194-ROUNDDOWN($H194,0))*(INDEX(avoidedcosttbl2,ROUNDUP($H194,0),CC$2)-(INDEX(avoidedcosttbl2,ROUNDDOWN($H194,0),CC$2)))))*'Inputs Yr 2'!Q194*'Inputs Yr 2'!R194*'Inputs Yr 2'!V194,"")</f>
        <v>0</v>
      </c>
      <c r="CD194" s="195" t="str">
        <f>IFERROR(I194*(IF('Inputs Yr 2'!$AJ194=CD$4,'Inputs Yr 2'!$AK194,IF('Inputs Yr 2'!$AL194=CD$4,'Inputs Yr 2'!$AM194,IF('Inputs Yr 2'!$AN194=CD$4,'Inputs Yr 2'!$AO194,0))))*(INDEX(avoidedcosttbl2,$H194,CD$2)+(($H194-ROUNDDOWN($H194,0))*(INDEX(avoidedcosttbl2,ROUNDUP($H194,0),CD$2)-(INDEX(avoidedcosttbl2,ROUNDDOWN($H194,0),CD$2)))))*'Inputs Yr 2'!R194*'Inputs Yr 2'!S194*'Inputs Yr 2'!W194,"")</f>
        <v/>
      </c>
      <c r="CE194" s="213">
        <f t="shared" si="101"/>
        <v>0</v>
      </c>
      <c r="CF194" s="213">
        <f t="shared" si="102"/>
        <v>0</v>
      </c>
      <c r="CG194" s="213">
        <f t="shared" si="103"/>
        <v>0</v>
      </c>
      <c r="CH194" s="698">
        <f t="shared" si="104"/>
        <v>0</v>
      </c>
      <c r="CI194" s="79" t="str">
        <f>IFERROR(($G194*'Inputs Yr 2'!$P194*'Inputs Yr 2'!$Q194*(((INDEX(avoidedcosttbl2,$H194,CI$2)+(($H194-ROUNDDOWN($H194,0))*(INDEX(avoidedcosttbl2,ROUNDUP($H194,0),CI$2)-INDEX(avoidedcosttbl2,ROUNDDOWN($H194,0),CI$2))))*'Inputs Yr 2'!AS194))),"")</f>
        <v/>
      </c>
      <c r="CJ194" s="504" t="str">
        <f>IFERROR($G194*'Inputs Yr 2'!AT194*'Inputs Yr 2'!$P194*'Inputs Yr 2'!$Q194/((1+realdiscrt1)^-0.5),"")</f>
        <v/>
      </c>
      <c r="CK194" s="79" t="str">
        <f>IFERROR((O194*1000*(((INDEX(avoidedcosttbl2,$H194,CK$2)+(($H194-ROUNDDOWN($H194,0))*(INDEX(avoidedcosttbl2,ROUNDUP($H194,0),CK$2)-INDEX(avoidedcosttbl2,ROUNDDOWN($H194,0),CK$2))))*'Inputs Yr 2'!AU194))),"")</f>
        <v/>
      </c>
      <c r="CL194" s="504" t="str">
        <f>IFERROR(O194*1000*'Inputs Yr 2'!AV194/((1+realdiscrt1)^-0.5),"")</f>
        <v/>
      </c>
      <c r="CM194" s="79">
        <f>IFERROR((AB194*'Inputs Yr 2'!AW194*(((INDEX(avoidedcosttbl2,$H194,CM$2)+(($H194-ROUNDDOWN($H194,0))*(INDEX(avoidedcosttbl2,ROUNDUP($H194,0),CM$2)-INDEX(avoidedcosttbl2,ROUNDDOWN($H194,0),CM$2)))))))*10,"")</f>
        <v>0</v>
      </c>
      <c r="CN194" s="504">
        <f>IFERROR(10*AB194*'Inputs Yr 2'!AX194/((1+realdiscrt1)^-0.5),"")</f>
        <v>0</v>
      </c>
      <c r="CO194" s="505">
        <f t="shared" si="105"/>
        <v>0</v>
      </c>
      <c r="CP194" s="230">
        <f t="shared" si="106"/>
        <v>0</v>
      </c>
      <c r="CQ194" s="199">
        <f>ROUND(IFERROR(IF(LEFT($A194,1)="C",'Avoided Costs'!$K$13,'Avoided Costs'!$K$12)+1,""),4)</f>
        <v>1.0720000000000001</v>
      </c>
      <c r="CR194" s="199">
        <f>ROUND(IFERROR(IF(LEFT($A194,1)="C",'Avoided Costs'!$L$13,'Avoided Costs'!$L$12)+1,""),4)</f>
        <v>1.04</v>
      </c>
      <c r="CS194" s="199">
        <f>ROUND(IFERROR(IF(LEFT($A194,1)="C",'Avoided Costs'!$M$13,'Avoided Costs'!$M$12)+1,""),4)</f>
        <v>1.0720000000000001</v>
      </c>
      <c r="CT194" s="199">
        <f>ROUND(IFERROR(IF(LEFT($A194,1)="C",'Avoided Costs'!$N$13,'Avoided Costs'!$N$12)+1,""),4)</f>
        <v>1.04</v>
      </c>
      <c r="CU194" s="199">
        <f>ROUND(IFERROR(IF(LEFT($A194,1)="C",'Avoided Costs'!$O$13,'Avoided Costs'!$O$12)+1,""),4)</f>
        <v>1.1120000000000001</v>
      </c>
      <c r="CV194" s="199">
        <f>ROUND(IFERROR(IF(LEFT($A194,1)="C",'Avoided Costs'!$P$13,'Avoided Costs'!$P$12)+1,""),4)</f>
        <v>1.095</v>
      </c>
      <c r="CW194" s="199">
        <f>ROUND(IFERROR(IF(LEFT($A194,1)="C",'Avoided Costs'!$Q$13,'Avoided Costs'!$Q$12)+1,""),4)</f>
        <v>1.1120000000000001</v>
      </c>
      <c r="CX194" s="200">
        <f>ROUND(IFERROR(IF(LEFT($A194,1)="C",'Avoided Costs'!$R$13,'Avoided Costs'!$R$12)+1,""),4)</f>
        <v>1.1120000000000001</v>
      </c>
    </row>
    <row r="195" spans="1:102" ht="12.75" customHeight="1">
      <c r="A195" s="91" t="str">
        <f>IF('Inputs Yr 2'!$B195=0,"",'Inputs Yr 2'!A195)</f>
        <v>C - Commercial &amp; Industrial</v>
      </c>
      <c r="B195" s="91" t="str">
        <f>IF('Inputs Yr 2'!$B195=0,"",'Inputs Yr 2'!B195)</f>
        <v>C1 - C&amp;I New Construction</v>
      </c>
      <c r="C195" s="91" t="str">
        <f>IF('Inputs Yr 2'!$B195=0,"",'Inputs Yr 2'!C195)</f>
        <v>C1a - C&amp;I New Buildings &amp; Major Renovations</v>
      </c>
      <c r="D195" s="91" t="str">
        <f>IF('Inputs Yr 2'!$B195=0,"",'Inputs Yr 2'!E195)</f>
        <v>Fryer</v>
      </c>
      <c r="E195" s="93" t="str">
        <f>IF('Inputs Yr 2'!$B195=0,"",'Inputs Yr 2'!F195)</f>
        <v>G16C1a38</v>
      </c>
      <c r="F195" s="93" t="str">
        <f>IF('Inputs Yr 2'!$B195=0,"",'Inputs Yr 2'!G195)</f>
        <v>Food Service</v>
      </c>
      <c r="G195" s="95" t="str">
        <f>IF('Inputs Yr 2'!$H195&lt;&gt;0,('Inputs Yr 2'!H195),"")</f>
        <v/>
      </c>
      <c r="H195" s="94">
        <f>IFERROR('Inputs Yr 2'!I195,"")</f>
        <v>12</v>
      </c>
      <c r="I195" s="298" t="str">
        <f>IFERROR('Inputs Yr 2'!J195*'Inputs Yr 2'!P195*G195,"")</f>
        <v/>
      </c>
      <c r="J195" s="298" t="str">
        <f>IFERROR('Inputs Yr 2'!K195*G195,"")</f>
        <v/>
      </c>
      <c r="K195" s="298" t="str">
        <f t="shared" si="83"/>
        <v/>
      </c>
      <c r="L195" s="194" t="str">
        <f>IFERROR(('Inputs Yr 2'!W195*G195)/1000,"")</f>
        <v/>
      </c>
      <c r="M195" s="194" t="str">
        <f>IFERROR(L195*('Inputs Yr 2'!$Q195*'Inputs Yr 2'!$V195*'Inputs Yr 2'!$R195),"")</f>
        <v/>
      </c>
      <c r="N195" s="194" t="str">
        <f t="shared" si="84"/>
        <v/>
      </c>
      <c r="O195" s="194" t="str">
        <f>IFERROR(M195*'Inputs Yr 2'!P195,"")</f>
        <v/>
      </c>
      <c r="P195" s="194" t="str">
        <f t="shared" si="85"/>
        <v/>
      </c>
      <c r="Q195" s="194" t="str">
        <f>IFERROR($P195*'Inputs Yr 2'!AA195,"")</f>
        <v/>
      </c>
      <c r="R195" s="194" t="str">
        <f>IFERROR($P195*'Inputs Yr 2'!AB195,"")</f>
        <v/>
      </c>
      <c r="S195" s="194" t="str">
        <f>IFERROR($P195*'Inputs Yr 2'!AC195,"")</f>
        <v/>
      </c>
      <c r="T195" s="194" t="str">
        <f>IFERROR($P195*'Inputs Yr 2'!AD195,"")</f>
        <v/>
      </c>
      <c r="U195" s="194" t="str">
        <f>IFERROR(G195*'Inputs Yr 2'!$AE195*'Inputs Yr 2'!$P195*'Inputs Yr 2'!$Q195,"")</f>
        <v/>
      </c>
      <c r="V195" s="194" t="str">
        <f>IFERROR($G195*'Inputs Yr 2'!$AE195*'Inputs Yr 2'!$AG195*'Inputs Yr 2'!Q195*'Inputs Yr 2'!$S195,"")</f>
        <v/>
      </c>
      <c r="W195" s="194" t="str">
        <f>IFERROR($G195*'Inputs Yr 2'!$AE195*'Inputs Yr 2'!$AG195*'Inputs Yr 2'!P195*'Inputs Yr 2'!Q195*'Inputs Yr 2'!$S195,"")</f>
        <v/>
      </c>
      <c r="X195" s="194" t="str">
        <f>IFERROR($G195*'Inputs Yr 2'!$AE195*'Inputs Yr 2'!$AF195*'Inputs Yr 2'!Q195*'Inputs Yr 2'!$T195,"")</f>
        <v/>
      </c>
      <c r="Y195" s="194" t="str">
        <f>IFERROR($G195*'Inputs Yr 2'!$AE195*'Inputs Yr 2'!$AF195*'Inputs Yr 2'!P195*'Inputs Yr 2'!Q195*'Inputs Yr 2'!$T195,"")</f>
        <v/>
      </c>
      <c r="Z195" s="257">
        <f>IFERROR($G195*'Inputs Yr 2'!$Q195*'Inputs Yr 2'!$U195*(IF(IFERROR(SEARCH("NG", 'Inputs Yr 2'!$AJ195),0),'Inputs Yr 2'!$AK195,0)+IF(IFERROR(SEARCH("NG", 'Inputs Yr 2'!$AL195),0),'Inputs Yr 2'!$AM195,0)+IF(IFERROR(SEARCH("NG", 'Inputs Yr 2'!$AN195),0),'Inputs Yr 2'!$AO195,0)),0)</f>
        <v>0</v>
      </c>
      <c r="AA195" s="257">
        <f t="shared" si="86"/>
        <v>0</v>
      </c>
      <c r="AB195" s="257">
        <f>IFERROR(Z195*'Inputs Yr 2'!$P195,0)</f>
        <v>0</v>
      </c>
      <c r="AC195" s="257">
        <f t="shared" si="87"/>
        <v>0</v>
      </c>
      <c r="AD195" s="257">
        <f>IFERROR($G195*'Inputs Yr 2'!$Q195*'Inputs Yr 2'!$U195*(IF(IFERROR(SEARCH("Oil", 'Inputs Yr 2'!$AJ195), 0),'Inputs Yr 2'!$AK195,0)+IF(IFERROR(SEARCH("Oil", 'Inputs Yr 2'!$AL195), 0),'Inputs Yr 2'!$AM195,0)+IF(IFERROR(SEARCH("Oil", 'Inputs Yr 2'!$AN195), 0),'Inputs Yr 2'!$AO195,0)),0)</f>
        <v>0</v>
      </c>
      <c r="AE195" s="257">
        <f t="shared" si="88"/>
        <v>0</v>
      </c>
      <c r="AF195" s="257">
        <f>IFERROR(AD195*'Inputs Yr 2'!$P195,0)</f>
        <v>0</v>
      </c>
      <c r="AG195" s="257">
        <f t="shared" si="89"/>
        <v>0</v>
      </c>
      <c r="AH195" s="257">
        <f>IFERROR($G195*'Inputs Yr 2'!$Q195*'Inputs Yr 2'!$U195*(IF('Inputs Yr 2'!$AJ195=CD$4,'Inputs Yr 2'!$AK195,IF('Inputs Yr 2'!$AL195=CD$4,'Inputs Yr 2'!$AM195,IF('Inputs Yr 2'!$AN195=CD$4,'Inputs Yr 2'!$AO195,0)))),0)</f>
        <v>0</v>
      </c>
      <c r="AI195" s="257">
        <f t="shared" si="90"/>
        <v>0</v>
      </c>
      <c r="AJ195" s="257">
        <f>IFERROR(AH195*'Inputs Yr 2'!$P195,0)</f>
        <v>0</v>
      </c>
      <c r="AK195" s="257">
        <f t="shared" si="91"/>
        <v>0</v>
      </c>
      <c r="AL195" s="258">
        <f>IFERROR($G195*'Inputs Yr 2'!$P195*'Inputs Yr 2'!$Q195*'Inputs Yr 2'!AP195,0)</f>
        <v>0</v>
      </c>
      <c r="AM195" s="260">
        <f>IFERROR($G195*'Inputs Yr 2'!$P195*'Inputs Yr 2'!$Q195*'Inputs Yr 2'!AQ195,0)</f>
        <v>0</v>
      </c>
      <c r="AN195" s="258">
        <f>IFERROR($G195*'Inputs Yr 2'!$P195*'Inputs Yr 2'!$Q195*'Inputs Yr 2'!AR195,0)</f>
        <v>0</v>
      </c>
      <c r="AO195" s="257">
        <f t="shared" si="92"/>
        <v>0</v>
      </c>
      <c r="AP195" s="195" t="str">
        <f>IFERROR($CQ195*(INDEX(avoidedcosttbl2,$H195,AP$2)+(($H195-ROUNDDOWN($H195,0))*(INDEX(avoidedcosttbl2,ROUNDUP($H195,0),AP$2)-(INDEX(avoidedcosttbl2,ROUNDDOWN($H195,0),AP$2)))))*$O195*1000*'Inputs Yr 2'!AA195,"")</f>
        <v/>
      </c>
      <c r="AQ195" s="195" t="str">
        <f>IFERROR($CR195*(INDEX(avoidedcosttbl2,$H195,AQ$2)+(($H195-ROUNDDOWN($H195,0))*(INDEX(avoidedcosttbl2,ROUNDUP($H195,0),AQ$2)-(INDEX(avoidedcosttbl2,ROUNDDOWN($H195,0),AQ$2)))))*$O195*1000*'Inputs Yr 2'!AB195,"")</f>
        <v/>
      </c>
      <c r="AR195" s="195" t="str">
        <f>IFERROR($CS195*(INDEX(avoidedcosttbl2,$H195,AR$2)+(($H195-ROUNDDOWN($H195,0))*(INDEX(avoidedcosttbl2,ROUNDUP($H195,0),AR$2)-(INDEX(avoidedcosttbl2,ROUNDDOWN($H195,0),AR$2)))))*$O195*1000*'Inputs Yr 2'!AC195,"")</f>
        <v/>
      </c>
      <c r="AS195" s="195" t="str">
        <f>IFERROR($CT195*(INDEX(avoidedcosttbl2,$H195,AS$2)+(($H195-ROUNDDOWN($H195,0))*(INDEX(avoidedcosttbl2,ROUNDUP($H195,0),AS$2)-(INDEX(avoidedcosttbl2,ROUNDDOWN($H195,0),AS$2)))))*$O195*1000*'Inputs Yr 2'!AD195,"")</f>
        <v/>
      </c>
      <c r="AT195" s="196">
        <f t="shared" si="93"/>
        <v>0</v>
      </c>
      <c r="AU195" s="197" t="str">
        <f>IFERROR($CQ195*((INDEX(avoidedcosttbl2,$H195,AU$2))+(($H195-ROUNDDOWN($H195,0))*((INDEX(avoidedcosttbl2,ROUNDUP($H195,0),AU$2))-(INDEX(avoidedcosttbl2,ROUNDDOWN($H195,0),AU$2)))))*$O195*1000*'Inputs Yr 2'!AA195,"")</f>
        <v/>
      </c>
      <c r="AV195" s="197" t="str">
        <f>IFERROR($CR195*((INDEX(avoidedcosttbl2,$H195,AV$2))+(($H195-ROUNDDOWN($H195,0))*((INDEX(avoidedcosttbl2,ROUNDUP($H195,0),AV$2))-(INDEX(avoidedcosttbl2,ROUNDDOWN($H195,0),AV$2)))))*$O195*1000*'Inputs Yr 2'!AB195,"")</f>
        <v/>
      </c>
      <c r="AW195" s="197" t="str">
        <f>IFERROR($CS195*((INDEX(avoidedcosttbl2,$H195,AW$2))+(($H195-ROUNDDOWN($H195,0))*((INDEX(avoidedcosttbl2,ROUNDUP($H195,0),AW$2))-(INDEX(avoidedcosttbl2,ROUNDDOWN($H195,0),AW$2)))))*$O195*1000*'Inputs Yr 2'!AC195,"")</f>
        <v/>
      </c>
      <c r="AX195" s="197" t="str">
        <f>IFERROR($CT195*((INDEX(avoidedcosttbl2,$H195,AX$2))+(($H195-ROUNDDOWN($H195,0))*((INDEX(avoidedcosttbl2,ROUNDUP($H195,0),AX$2))-(INDEX(avoidedcosttbl2,ROUNDDOWN($H195,0),AX$2)))))*$O195*1000*'Inputs Yr 2'!AD195,"")</f>
        <v/>
      </c>
      <c r="AY195" s="197" t="str">
        <f>IFERROR(((INDEX(avoidedcosttbl2,$H195,AY$2))+(($H195-ROUNDDOWN($H195,0))*((INDEX(avoidedcosttbl2,ROUNDUP($H195,0),AY$2))-(INDEX(avoidedcosttbl2,ROUNDDOWN($H195,0),AY$2)))))*$O195*1000*('Inputs Yr 2'!AC195+'Inputs Yr 2'!AD195),"")</f>
        <v/>
      </c>
      <c r="AZ195" s="197" t="str">
        <f>IFERROR(((INDEX(avoidedcosttbl2,$H195,AZ$2))+(($H195-ROUNDDOWN($H195,0))*((INDEX(avoidedcosttbl2,ROUNDUP($H195,0),AZ$2))-(INDEX(avoidedcosttbl2,ROUNDDOWN($H195,0),AZ$2)))))*$O195*1000*('Inputs Yr 2'!AA195+'Inputs Yr 2'!AB195),"")</f>
        <v/>
      </c>
      <c r="BA195" s="198">
        <f t="shared" si="94"/>
        <v>0</v>
      </c>
      <c r="BB195" s="198">
        <f t="shared" si="95"/>
        <v>0</v>
      </c>
      <c r="BC195" s="195" t="str">
        <f t="shared" si="77"/>
        <v/>
      </c>
      <c r="BD195" s="195" t="str">
        <f t="shared" si="78"/>
        <v/>
      </c>
      <c r="BE195" s="195" t="str">
        <f t="shared" si="79"/>
        <v/>
      </c>
      <c r="BF195" s="195" t="str">
        <f t="shared" si="80"/>
        <v/>
      </c>
      <c r="BG195" s="195" t="str">
        <f t="shared" si="81"/>
        <v/>
      </c>
      <c r="BH195" s="196">
        <f t="shared" si="96"/>
        <v>0</v>
      </c>
      <c r="BI195" s="196">
        <f t="shared" si="97"/>
        <v>0</v>
      </c>
      <c r="BJ195" s="195" t="str">
        <f>IFERROR($G195*(IF('Inputs Yr 2'!$AJ195=BJ$4,'Inputs Yr 2'!$AK195,IF('Inputs Yr 2'!$AL195=BJ$4,'Inputs Yr 2'!$AM195,IF('Inputs Yr 2'!$AN195=BJ$4,'Inputs Yr 2'!$AO195,0))))*(INDEX(avoidedcosttbl2,$H195,BJ$2)+(($H195-ROUNDDOWN($H195,0))*(INDEX(avoidedcosttbl2,ROUNDUP($H195,0),BJ$2)-(INDEX(avoidedcosttbl2,ROUNDDOWN($H195,0),BJ$2)))))*'Inputs Yr 2'!P195*'Inputs Yr 2'!Q195*'Inputs Yr 2'!U195,"")</f>
        <v/>
      </c>
      <c r="BK195" s="195" t="str">
        <f>IFERROR($G195*(IF('Inputs Yr 2'!$AJ195=BK$4,'Inputs Yr 2'!$AK195,IF('Inputs Yr 2'!$AL195=BK$4,'Inputs Yr 2'!$AM195,IF('Inputs Yr 2'!$AN195=BK$4,'Inputs Yr 2'!$AO195,0))))*(INDEX(avoidedcosttbl2,$H195,BK$2)+(($H195-ROUNDDOWN($H195,0))*(INDEX(avoidedcosttbl2,ROUNDUP($H195,0),BK$2)-(INDEX(avoidedcosttbl2,ROUNDDOWN($H195,0),BK$2)))))*'Inputs Yr 2'!P195*'Inputs Yr 2'!Q195*'Inputs Yr 2'!U195,"")</f>
        <v/>
      </c>
      <c r="BL195" s="195" t="str">
        <f>IFERROR($G195*(IF('Inputs Yr 2'!$AJ195=BL$4,'Inputs Yr 2'!$AK195,IF('Inputs Yr 2'!$AL195=BL$4,'Inputs Yr 2'!$AM195,IF('Inputs Yr 2'!$AN195=BL$4,'Inputs Yr 2'!$AO195,0))))*(INDEX(avoidedcosttbl2,$H195,BL$2)+(($H195-ROUNDDOWN($H195,0))*(INDEX(avoidedcosttbl2,ROUNDUP($H195,0),BL$2)-(INDEX(avoidedcosttbl2,ROUNDDOWN($H195,0),BL$2)))))*'Inputs Yr 2'!P195*'Inputs Yr 2'!Q195*'Inputs Yr 2'!U195,"")</f>
        <v/>
      </c>
      <c r="BM195" s="195" t="str">
        <f>IFERROR($G195*(IF('Inputs Yr 2'!$AJ195=BM$4,'Inputs Yr 2'!$AK195,IF('Inputs Yr 2'!$AL195=BM$4,'Inputs Yr 2'!$AM195,IF('Inputs Yr 2'!$AN195=BM$4,'Inputs Yr 2'!$AO195,0))))*(INDEX(avoidedcosttbl2,$H195,BM$2)+(($H195-ROUNDDOWN($H195,0))*(INDEX(avoidedcosttbl2,ROUNDUP($H195,0),BM$2)-(INDEX(avoidedcosttbl2,ROUNDDOWN($H195,0),BM$2)))))*'Inputs Yr 2'!P195*'Inputs Yr 2'!Q195*'Inputs Yr 2'!U195,"")</f>
        <v/>
      </c>
      <c r="BN195" s="195" t="str">
        <f>IFERROR($G195*(IF('Inputs Yr 2'!$AJ195=BN$4,'Inputs Yr 2'!$AK195,IF('Inputs Yr 2'!$AL195=BN$4,'Inputs Yr 2'!$AM195,IF('Inputs Yr 2'!$AN195=BN$4,'Inputs Yr 2'!$AO195,0))))*(INDEX(avoidedcosttbl2,$H195,BN$2)+(($H195-ROUNDDOWN($H195,0))*(INDEX(avoidedcosttbl2,ROUNDUP($H195,0),BN$2)-(INDEX(avoidedcosttbl2,ROUNDDOWN($H195,0),BN$2)))))*'Inputs Yr 2'!P195*'Inputs Yr 2'!Q195*'Inputs Yr 2'!U195,"")</f>
        <v/>
      </c>
      <c r="BO195" s="195" t="str">
        <f>IFERROR($G195*(IF('Inputs Yr 2'!$AJ195=BO$4,'Inputs Yr 2'!$AK195,IF('Inputs Yr 2'!$AL195=BO$4,'Inputs Yr 2'!$AM195,IF('Inputs Yr 2'!$AN195=BO$4,'Inputs Yr 2'!$AO195,0))))*(INDEX(avoidedcosttbl2,$H195,BO$2)+(($H195-ROUNDDOWN($H195,0))*(INDEX(avoidedcosttbl2,ROUNDUP($H195,0),BO$2)-(INDEX(avoidedcosttbl2,ROUNDDOWN($H195,0),BO$2)))))*'Inputs Yr 2'!P195*'Inputs Yr 2'!Q195*'Inputs Yr 2'!U195,"")</f>
        <v/>
      </c>
      <c r="BP195" s="195" t="str">
        <f>IFERROR($G195*(IF('Inputs Yr 2'!$AJ195=BP$4,'Inputs Yr 2'!$AK195,IF('Inputs Yr 2'!$AL195=BP$4,'Inputs Yr 2'!$AM195,IF('Inputs Yr 2'!$AN195=BP$4,'Inputs Yr 2'!$AO195,0))))*(INDEX(avoidedcosttbl2,$H195,BP$2)+(($H195-ROUNDDOWN($H195,0))*(INDEX(avoidedcosttbl2,ROUNDUP($H195,0),BP$2)-(INDEX(avoidedcosttbl2,ROUNDDOWN($H195,0),BP$2)))))*'Inputs Yr 2'!P195*'Inputs Yr 2'!Q195*'Inputs Yr 2'!U195,"")</f>
        <v/>
      </c>
      <c r="BQ195" s="230">
        <f t="shared" si="98"/>
        <v>0</v>
      </c>
      <c r="BR195" s="197">
        <f t="shared" si="82"/>
        <v>0</v>
      </c>
      <c r="BS195" s="197" t="str">
        <f>IFERROR(($G195*IF('Inputs Yr 2'!$AJ195=BM$4,'Inputs Yr 2'!$AK195,IF('Inputs Yr 2'!$AL195=BM$4,'Inputs Yr 2'!$AM195,IF('Inputs Yr 2'!$AN195=BM$4,'Inputs Yr 2'!$AO195,0))))*(INDEX(avoidedcosttbl2,$H195,BS$2)+(($H195-ROUNDDOWN($H195,0))*(INDEX(avoidedcosttbl2,ROUNDUP($H195,0),BS$2)-(INDEX(avoidedcosttbl2,ROUNDDOWN($H195,0),BS$2)))))*'Inputs Yr 2'!P195*'Inputs Yr 2'!Q195*'Inputs Yr 2'!U195,"")</f>
        <v/>
      </c>
      <c r="BT195" s="197" t="str">
        <f>IFERROR(($G195*IF('Inputs Yr 2'!$AJ195=BK$4,'Inputs Yr 2'!$AK195,IF('Inputs Yr 2'!$AL195=BK$4,'Inputs Yr 2'!$AM195,IF('Inputs Yr 2'!$AN195=BK$4,'Inputs Yr 2'!$AO195,0))))*(INDEX(avoidedcosttbl2,$H195,BT$2)+(($H195-ROUNDDOWN($H195,0))*(INDEX(avoidedcosttbl2,ROUNDUP($H195,0),BT$2)-(INDEX(avoidedcosttbl2,ROUNDDOWN($H195,0),BT$2)))))*'Inputs Yr 2'!P195*'Inputs Yr 2'!Q195*'Inputs Yr 2'!U195,"")</f>
        <v/>
      </c>
      <c r="BU195" s="197" t="str">
        <f>IFERROR(($G195*IF('Inputs Yr 2'!$AJ195=BL$4,'Inputs Yr 2'!$AK195,IF('Inputs Yr 2'!$AL195=BL$4,'Inputs Yr 2'!$AM195,IF('Inputs Yr 2'!$AN195=BL$4,'Inputs Yr 2'!$AO195,0))))*(INDEX(avoidedcosttbl2,$H195,BU$2)+(($H195-ROUNDDOWN($H195,0))*(INDEX(avoidedcosttbl2,ROUNDUP($H195,0),BU$2)-(INDEX(avoidedcosttbl2,ROUNDDOWN($H195,0),BU$2)))))*'Inputs Yr 2'!P195*'Inputs Yr 2'!Q195*'Inputs Yr 2'!U195,"")</f>
        <v/>
      </c>
      <c r="BV195" s="775" t="str">
        <f>IFERROR(($G195*IF('Inputs Yr 2'!$AJ195=BJ$4,'Inputs Yr 2'!$AK195,IF('Inputs Yr 2'!$AL195=BJ$4,'Inputs Yr 2'!$AM195,IF('Inputs Yr 2'!$AN195=BJ$4,'Inputs Yr 2'!$AO195,0))))*(INDEX(avoidedcosttbl2,$H195,BV$2)+(($H195-ROUNDDOWN($H195,0))*(INDEX(avoidedcosttbl2,ROUNDUP($H195,0),BV$2)-(INDEX(avoidedcosttbl2,ROUNDDOWN($H195,0),BV$2)))))*'Inputs Yr 2'!P195*'Inputs Yr 2'!Q195*'Inputs Yr 2'!U195,"")</f>
        <v/>
      </c>
      <c r="BW195" s="197" t="str">
        <f>IFERROR(($G195*IF('Inputs Yr 2'!$AJ195=BN$4,'Inputs Yr 2'!$AK195,IF('Inputs Yr 2'!$AL195=BN$4,'Inputs Yr 2'!$AM195,IF('Inputs Yr 2'!$AN195=BN$4,'Inputs Yr 2'!$AO195,0))))*(INDEX(avoidedcosttbl2,$H195,BW$2)+(($H195-ROUNDDOWN($H195,0))*(INDEX(avoidedcosttbl2,ROUNDUP($H195,0),BW$2)-(INDEX(avoidedcosttbl2,ROUNDDOWN($H195,0),BW$2)))))*'Inputs Yr 2'!P195*'Inputs Yr 2'!Q195*'Inputs Yr 2'!U195,"")</f>
        <v/>
      </c>
      <c r="BX195" s="197" t="str">
        <f>IFERROR(($G195*IF('Inputs Yr 2'!$AJ195=BO$4,'Inputs Yr 2'!$AK195,IF('Inputs Yr 2'!$AL195=BO$4,'Inputs Yr 2'!$AM195,IF('Inputs Yr 2'!$AN195=BO$4,'Inputs Yr 2'!$AO195,0))))*(INDEX(avoidedcosttbl2,$H195,BX$2)+(($H195-ROUNDDOWN($H195,0))*(INDEX(avoidedcosttbl2,ROUNDUP($H195,0),BX$2)-(INDEX(avoidedcosttbl2,ROUNDDOWN($H195,0),BX$2)))))*'Inputs Yr 2'!P195*'Inputs Yr 2'!Q195*'Inputs Yr 2'!U195,"")</f>
        <v/>
      </c>
      <c r="BY195" s="197" t="str">
        <f>IFERROR(($G195*IF('Inputs Yr 2'!$AJ195=BP$4,'Inputs Yr 2'!$AK195,IF('Inputs Yr 2'!$AL195=BP$4,'Inputs Yr 2'!$AM195,IF('Inputs Yr 2'!$AN195=BP$4,'Inputs Yr 2'!$AO195,0))))*(INDEX(avoidedcosttbl2,$H195,BY$2)+(($H195-ROUNDDOWN($H195,0))*(INDEX(avoidedcosttbl2,ROUNDUP($H195,0),BY$2)-(INDEX(avoidedcosttbl2,ROUNDDOWN($H195,0),BY$2)))))*'Inputs Yr 2'!P195*'Inputs Yr 2'!Q195*'Inputs Yr 2'!U195,"")</f>
        <v/>
      </c>
      <c r="BZ195" s="193">
        <f t="shared" si="99"/>
        <v>0</v>
      </c>
      <c r="CA195" s="193">
        <f t="shared" si="100"/>
        <v>0</v>
      </c>
      <c r="CB195" s="195" t="str">
        <f>IFERROR(G195*(IF('Inputs Yr 2'!$AJ195=CB$4,'Inputs Yr 2'!$AK195,IF('Inputs Yr 2'!$AL195=CB$4,'Inputs Yr 2'!$AM195,IF('Inputs Yr 2'!$AN195=CB$4,'Inputs Yr 2'!$AO195,0))))*(INDEX(avoidedcosttbl2,$H195,CB$2)+(($H195-ROUNDDOWN($H195,0))*(INDEX(avoidedcosttbl2,ROUNDUP($H195,0),CB$2)-(INDEX(avoidedcosttbl2,ROUNDDOWN($H195,0),CB$2)))))*'Inputs Yr 2'!P195*'Inputs Yr 2'!Q195*'Inputs Yr 2'!U195,"")</f>
        <v/>
      </c>
      <c r="CC195" s="195">
        <f>IFERROR(H195*(IF('Inputs Yr 2'!$AJ195=CC$4,'Inputs Yr 2'!$AK195,IF('Inputs Yr 2'!$AL195=CC$4,'Inputs Yr 2'!$AM195,IF('Inputs Yr 2'!$AN195=CC$4,'Inputs Yr 2'!$AO195,0))))*(INDEX(avoidedcosttbl2,$H195,CC$2)+(($H195-ROUNDDOWN($H195,0))*(INDEX(avoidedcosttbl2,ROUNDUP($H195,0),CC$2)-(INDEX(avoidedcosttbl2,ROUNDDOWN($H195,0),CC$2)))))*'Inputs Yr 2'!Q195*'Inputs Yr 2'!R195*'Inputs Yr 2'!V195,"")</f>
        <v>0</v>
      </c>
      <c r="CD195" s="195" t="str">
        <f>IFERROR(I195*(IF('Inputs Yr 2'!$AJ195=CD$4,'Inputs Yr 2'!$AK195,IF('Inputs Yr 2'!$AL195=CD$4,'Inputs Yr 2'!$AM195,IF('Inputs Yr 2'!$AN195=CD$4,'Inputs Yr 2'!$AO195,0))))*(INDEX(avoidedcosttbl2,$H195,CD$2)+(($H195-ROUNDDOWN($H195,0))*(INDEX(avoidedcosttbl2,ROUNDUP($H195,0),CD$2)-(INDEX(avoidedcosttbl2,ROUNDDOWN($H195,0),CD$2)))))*'Inputs Yr 2'!R195*'Inputs Yr 2'!S195*'Inputs Yr 2'!W195,"")</f>
        <v/>
      </c>
      <c r="CE195" s="213">
        <f t="shared" si="101"/>
        <v>0</v>
      </c>
      <c r="CF195" s="213">
        <f t="shared" si="102"/>
        <v>0</v>
      </c>
      <c r="CG195" s="213">
        <f t="shared" si="103"/>
        <v>0</v>
      </c>
      <c r="CH195" s="698">
        <f t="shared" si="104"/>
        <v>0</v>
      </c>
      <c r="CI195" s="79" t="str">
        <f>IFERROR(($G195*'Inputs Yr 2'!$P195*'Inputs Yr 2'!$Q195*(((INDEX(avoidedcosttbl2,$H195,CI$2)+(($H195-ROUNDDOWN($H195,0))*(INDEX(avoidedcosttbl2,ROUNDUP($H195,0),CI$2)-INDEX(avoidedcosttbl2,ROUNDDOWN($H195,0),CI$2))))*'Inputs Yr 2'!AS195))),"")</f>
        <v/>
      </c>
      <c r="CJ195" s="504" t="str">
        <f>IFERROR($G195*'Inputs Yr 2'!AT195*'Inputs Yr 2'!$P195*'Inputs Yr 2'!$Q195/((1+realdiscrt1)^-0.5),"")</f>
        <v/>
      </c>
      <c r="CK195" s="79" t="str">
        <f>IFERROR((O195*1000*(((INDEX(avoidedcosttbl2,$H195,CK$2)+(($H195-ROUNDDOWN($H195,0))*(INDEX(avoidedcosttbl2,ROUNDUP($H195,0),CK$2)-INDEX(avoidedcosttbl2,ROUNDDOWN($H195,0),CK$2))))*'Inputs Yr 2'!AU195))),"")</f>
        <v/>
      </c>
      <c r="CL195" s="504" t="str">
        <f>IFERROR(O195*1000*'Inputs Yr 2'!AV195/((1+realdiscrt1)^-0.5),"")</f>
        <v/>
      </c>
      <c r="CM195" s="79">
        <f>IFERROR((AB195*'Inputs Yr 2'!AW195*(((INDEX(avoidedcosttbl2,$H195,CM$2)+(($H195-ROUNDDOWN($H195,0))*(INDEX(avoidedcosttbl2,ROUNDUP($H195,0),CM$2)-INDEX(avoidedcosttbl2,ROUNDDOWN($H195,0),CM$2)))))))*10,"")</f>
        <v>0</v>
      </c>
      <c r="CN195" s="504">
        <f>IFERROR(10*AB195*'Inputs Yr 2'!AX195/((1+realdiscrt1)^-0.5),"")</f>
        <v>0</v>
      </c>
      <c r="CO195" s="505">
        <f t="shared" si="105"/>
        <v>0</v>
      </c>
      <c r="CP195" s="230">
        <f t="shared" si="106"/>
        <v>0</v>
      </c>
      <c r="CQ195" s="199">
        <f>ROUND(IFERROR(IF(LEFT($A195,1)="C",'Avoided Costs'!$K$13,'Avoided Costs'!$K$12)+1,""),4)</f>
        <v>1.0720000000000001</v>
      </c>
      <c r="CR195" s="199">
        <f>ROUND(IFERROR(IF(LEFT($A195,1)="C",'Avoided Costs'!$L$13,'Avoided Costs'!$L$12)+1,""),4)</f>
        <v>1.04</v>
      </c>
      <c r="CS195" s="199">
        <f>ROUND(IFERROR(IF(LEFT($A195,1)="C",'Avoided Costs'!$M$13,'Avoided Costs'!$M$12)+1,""),4)</f>
        <v>1.0720000000000001</v>
      </c>
      <c r="CT195" s="199">
        <f>ROUND(IFERROR(IF(LEFT($A195,1)="C",'Avoided Costs'!$N$13,'Avoided Costs'!$N$12)+1,""),4)</f>
        <v>1.04</v>
      </c>
      <c r="CU195" s="199">
        <f>ROUND(IFERROR(IF(LEFT($A195,1)="C",'Avoided Costs'!$O$13,'Avoided Costs'!$O$12)+1,""),4)</f>
        <v>1.1120000000000001</v>
      </c>
      <c r="CV195" s="199">
        <f>ROUND(IFERROR(IF(LEFT($A195,1)="C",'Avoided Costs'!$P$13,'Avoided Costs'!$P$12)+1,""),4)</f>
        <v>1.095</v>
      </c>
      <c r="CW195" s="199">
        <f>ROUND(IFERROR(IF(LEFT($A195,1)="C",'Avoided Costs'!$Q$13,'Avoided Costs'!$Q$12)+1,""),4)</f>
        <v>1.1120000000000001</v>
      </c>
      <c r="CX195" s="200">
        <f>ROUND(IFERROR(IF(LEFT($A195,1)="C",'Avoided Costs'!$R$13,'Avoided Costs'!$R$12)+1,""),4)</f>
        <v>1.1120000000000001</v>
      </c>
    </row>
    <row r="196" spans="1:102" ht="12.75" customHeight="1">
      <c r="A196" s="91" t="str">
        <f>IF('Inputs Yr 2'!$B196=0,"",'Inputs Yr 2'!A196)</f>
        <v>C - Commercial &amp; Industrial</v>
      </c>
      <c r="B196" s="91" t="str">
        <f>IF('Inputs Yr 2'!$B196=0,"",'Inputs Yr 2'!B196)</f>
        <v>C1 - C&amp;I New Construction</v>
      </c>
      <c r="C196" s="91" t="str">
        <f>IF('Inputs Yr 2'!$B196=0,"",'Inputs Yr 2'!C196)</f>
        <v>C1a - C&amp;I New Buildings &amp; Major Renovations</v>
      </c>
      <c r="D196" s="91" t="str">
        <f>IF('Inputs Yr 2'!$B196=0,"",'Inputs Yr 2'!E196)</f>
        <v>Steamer</v>
      </c>
      <c r="E196" s="93" t="str">
        <f>IF('Inputs Yr 2'!$B196=0,"",'Inputs Yr 2'!F196)</f>
        <v>G16C1a39</v>
      </c>
      <c r="F196" s="93" t="str">
        <f>IF('Inputs Yr 2'!$B196=0,"",'Inputs Yr 2'!G196)</f>
        <v>Food Service</v>
      </c>
      <c r="G196" s="95" t="str">
        <f>IF('Inputs Yr 2'!$H196&lt;&gt;0,('Inputs Yr 2'!H196),"")</f>
        <v/>
      </c>
      <c r="H196" s="94">
        <f>IFERROR('Inputs Yr 2'!I196,"")</f>
        <v>12</v>
      </c>
      <c r="I196" s="298" t="str">
        <f>IFERROR('Inputs Yr 2'!J196*'Inputs Yr 2'!P196*G196,"")</f>
        <v/>
      </c>
      <c r="J196" s="298" t="str">
        <f>IFERROR('Inputs Yr 2'!K196*G196,"")</f>
        <v/>
      </c>
      <c r="K196" s="298" t="str">
        <f t="shared" si="83"/>
        <v/>
      </c>
      <c r="L196" s="194" t="str">
        <f>IFERROR(('Inputs Yr 2'!W196*G196)/1000,"")</f>
        <v/>
      </c>
      <c r="M196" s="194" t="str">
        <f>IFERROR(L196*('Inputs Yr 2'!$Q196*'Inputs Yr 2'!$V196*'Inputs Yr 2'!$R196),"")</f>
        <v/>
      </c>
      <c r="N196" s="194" t="str">
        <f t="shared" si="84"/>
        <v/>
      </c>
      <c r="O196" s="194" t="str">
        <f>IFERROR(M196*'Inputs Yr 2'!P196,"")</f>
        <v/>
      </c>
      <c r="P196" s="194" t="str">
        <f t="shared" si="85"/>
        <v/>
      </c>
      <c r="Q196" s="194" t="str">
        <f>IFERROR($P196*'Inputs Yr 2'!AA196,"")</f>
        <v/>
      </c>
      <c r="R196" s="194" t="str">
        <f>IFERROR($P196*'Inputs Yr 2'!AB196,"")</f>
        <v/>
      </c>
      <c r="S196" s="194" t="str">
        <f>IFERROR($P196*'Inputs Yr 2'!AC196,"")</f>
        <v/>
      </c>
      <c r="T196" s="194" t="str">
        <f>IFERROR($P196*'Inputs Yr 2'!AD196,"")</f>
        <v/>
      </c>
      <c r="U196" s="194" t="str">
        <f>IFERROR(G196*'Inputs Yr 2'!$AE196*'Inputs Yr 2'!$P196*'Inputs Yr 2'!$Q196,"")</f>
        <v/>
      </c>
      <c r="V196" s="194" t="str">
        <f>IFERROR($G196*'Inputs Yr 2'!$AE196*'Inputs Yr 2'!$AG196*'Inputs Yr 2'!Q196*'Inputs Yr 2'!$S196,"")</f>
        <v/>
      </c>
      <c r="W196" s="194" t="str">
        <f>IFERROR($G196*'Inputs Yr 2'!$AE196*'Inputs Yr 2'!$AG196*'Inputs Yr 2'!P196*'Inputs Yr 2'!Q196*'Inputs Yr 2'!$S196,"")</f>
        <v/>
      </c>
      <c r="X196" s="194" t="str">
        <f>IFERROR($G196*'Inputs Yr 2'!$AE196*'Inputs Yr 2'!$AF196*'Inputs Yr 2'!Q196*'Inputs Yr 2'!$T196,"")</f>
        <v/>
      </c>
      <c r="Y196" s="194" t="str">
        <f>IFERROR($G196*'Inputs Yr 2'!$AE196*'Inputs Yr 2'!$AF196*'Inputs Yr 2'!P196*'Inputs Yr 2'!Q196*'Inputs Yr 2'!$T196,"")</f>
        <v/>
      </c>
      <c r="Z196" s="257">
        <f>IFERROR($G196*'Inputs Yr 2'!$Q196*'Inputs Yr 2'!$U196*(IF(IFERROR(SEARCH("NG", 'Inputs Yr 2'!$AJ196),0),'Inputs Yr 2'!$AK196,0)+IF(IFERROR(SEARCH("NG", 'Inputs Yr 2'!$AL196),0),'Inputs Yr 2'!$AM196,0)+IF(IFERROR(SEARCH("NG", 'Inputs Yr 2'!$AN196),0),'Inputs Yr 2'!$AO196,0)),0)</f>
        <v>0</v>
      </c>
      <c r="AA196" s="257">
        <f t="shared" si="86"/>
        <v>0</v>
      </c>
      <c r="AB196" s="257">
        <f>IFERROR(Z196*'Inputs Yr 2'!$P196,0)</f>
        <v>0</v>
      </c>
      <c r="AC196" s="257">
        <f t="shared" si="87"/>
        <v>0</v>
      </c>
      <c r="AD196" s="257">
        <f>IFERROR($G196*'Inputs Yr 2'!$Q196*'Inputs Yr 2'!$U196*(IF(IFERROR(SEARCH("Oil", 'Inputs Yr 2'!$AJ196), 0),'Inputs Yr 2'!$AK196,0)+IF(IFERROR(SEARCH("Oil", 'Inputs Yr 2'!$AL196), 0),'Inputs Yr 2'!$AM196,0)+IF(IFERROR(SEARCH("Oil", 'Inputs Yr 2'!$AN196), 0),'Inputs Yr 2'!$AO196,0)),0)</f>
        <v>0</v>
      </c>
      <c r="AE196" s="257">
        <f t="shared" si="88"/>
        <v>0</v>
      </c>
      <c r="AF196" s="257">
        <f>IFERROR(AD196*'Inputs Yr 2'!$P196,0)</f>
        <v>0</v>
      </c>
      <c r="AG196" s="257">
        <f t="shared" si="89"/>
        <v>0</v>
      </c>
      <c r="AH196" s="257">
        <f>IFERROR($G196*'Inputs Yr 2'!$Q196*'Inputs Yr 2'!$U196*(IF('Inputs Yr 2'!$AJ196=CD$4,'Inputs Yr 2'!$AK196,IF('Inputs Yr 2'!$AL196=CD$4,'Inputs Yr 2'!$AM196,IF('Inputs Yr 2'!$AN196=CD$4,'Inputs Yr 2'!$AO196,0)))),0)</f>
        <v>0</v>
      </c>
      <c r="AI196" s="257">
        <f t="shared" si="90"/>
        <v>0</v>
      </c>
      <c r="AJ196" s="257">
        <f>IFERROR(AH196*'Inputs Yr 2'!$P196,0)</f>
        <v>0</v>
      </c>
      <c r="AK196" s="257">
        <f t="shared" si="91"/>
        <v>0</v>
      </c>
      <c r="AL196" s="258">
        <f>IFERROR($G196*'Inputs Yr 2'!$P196*'Inputs Yr 2'!$Q196*'Inputs Yr 2'!AP196,0)</f>
        <v>0</v>
      </c>
      <c r="AM196" s="260">
        <f>IFERROR($G196*'Inputs Yr 2'!$P196*'Inputs Yr 2'!$Q196*'Inputs Yr 2'!AQ196,0)</f>
        <v>0</v>
      </c>
      <c r="AN196" s="258">
        <f>IFERROR($G196*'Inputs Yr 2'!$P196*'Inputs Yr 2'!$Q196*'Inputs Yr 2'!AR196,0)</f>
        <v>0</v>
      </c>
      <c r="AO196" s="257">
        <f t="shared" si="92"/>
        <v>0</v>
      </c>
      <c r="AP196" s="195" t="str">
        <f>IFERROR($CQ196*(INDEX(avoidedcosttbl2,$H196,AP$2)+(($H196-ROUNDDOWN($H196,0))*(INDEX(avoidedcosttbl2,ROUNDUP($H196,0),AP$2)-(INDEX(avoidedcosttbl2,ROUNDDOWN($H196,0),AP$2)))))*$O196*1000*'Inputs Yr 2'!AA196,"")</f>
        <v/>
      </c>
      <c r="AQ196" s="195" t="str">
        <f>IFERROR($CR196*(INDEX(avoidedcosttbl2,$H196,AQ$2)+(($H196-ROUNDDOWN($H196,0))*(INDEX(avoidedcosttbl2,ROUNDUP($H196,0),AQ$2)-(INDEX(avoidedcosttbl2,ROUNDDOWN($H196,0),AQ$2)))))*$O196*1000*'Inputs Yr 2'!AB196,"")</f>
        <v/>
      </c>
      <c r="AR196" s="195" t="str">
        <f>IFERROR($CS196*(INDEX(avoidedcosttbl2,$H196,AR$2)+(($H196-ROUNDDOWN($H196,0))*(INDEX(avoidedcosttbl2,ROUNDUP($H196,0),AR$2)-(INDEX(avoidedcosttbl2,ROUNDDOWN($H196,0),AR$2)))))*$O196*1000*'Inputs Yr 2'!AC196,"")</f>
        <v/>
      </c>
      <c r="AS196" s="195" t="str">
        <f>IFERROR($CT196*(INDEX(avoidedcosttbl2,$H196,AS$2)+(($H196-ROUNDDOWN($H196,0))*(INDEX(avoidedcosttbl2,ROUNDUP($H196,0),AS$2)-(INDEX(avoidedcosttbl2,ROUNDDOWN($H196,0),AS$2)))))*$O196*1000*'Inputs Yr 2'!AD196,"")</f>
        <v/>
      </c>
      <c r="AT196" s="196">
        <f t="shared" si="93"/>
        <v>0</v>
      </c>
      <c r="AU196" s="197" t="str">
        <f>IFERROR($CQ196*((INDEX(avoidedcosttbl2,$H196,AU$2))+(($H196-ROUNDDOWN($H196,0))*((INDEX(avoidedcosttbl2,ROUNDUP($H196,0),AU$2))-(INDEX(avoidedcosttbl2,ROUNDDOWN($H196,0),AU$2)))))*$O196*1000*'Inputs Yr 2'!AA196,"")</f>
        <v/>
      </c>
      <c r="AV196" s="197" t="str">
        <f>IFERROR($CR196*((INDEX(avoidedcosttbl2,$H196,AV$2))+(($H196-ROUNDDOWN($H196,0))*((INDEX(avoidedcosttbl2,ROUNDUP($H196,0),AV$2))-(INDEX(avoidedcosttbl2,ROUNDDOWN($H196,0),AV$2)))))*$O196*1000*'Inputs Yr 2'!AB196,"")</f>
        <v/>
      </c>
      <c r="AW196" s="197" t="str">
        <f>IFERROR($CS196*((INDEX(avoidedcosttbl2,$H196,AW$2))+(($H196-ROUNDDOWN($H196,0))*((INDEX(avoidedcosttbl2,ROUNDUP($H196,0),AW$2))-(INDEX(avoidedcosttbl2,ROUNDDOWN($H196,0),AW$2)))))*$O196*1000*'Inputs Yr 2'!AC196,"")</f>
        <v/>
      </c>
      <c r="AX196" s="197" t="str">
        <f>IFERROR($CT196*((INDEX(avoidedcosttbl2,$H196,AX$2))+(($H196-ROUNDDOWN($H196,0))*((INDEX(avoidedcosttbl2,ROUNDUP($H196,0),AX$2))-(INDEX(avoidedcosttbl2,ROUNDDOWN($H196,0),AX$2)))))*$O196*1000*'Inputs Yr 2'!AD196,"")</f>
        <v/>
      </c>
      <c r="AY196" s="197" t="str">
        <f>IFERROR(((INDEX(avoidedcosttbl2,$H196,AY$2))+(($H196-ROUNDDOWN($H196,0))*((INDEX(avoidedcosttbl2,ROUNDUP($H196,0),AY$2))-(INDEX(avoidedcosttbl2,ROUNDDOWN($H196,0),AY$2)))))*$O196*1000*('Inputs Yr 2'!AC196+'Inputs Yr 2'!AD196),"")</f>
        <v/>
      </c>
      <c r="AZ196" s="197" t="str">
        <f>IFERROR(((INDEX(avoidedcosttbl2,$H196,AZ$2))+(($H196-ROUNDDOWN($H196,0))*((INDEX(avoidedcosttbl2,ROUNDUP($H196,0),AZ$2))-(INDEX(avoidedcosttbl2,ROUNDDOWN($H196,0),AZ$2)))))*$O196*1000*('Inputs Yr 2'!AA196+'Inputs Yr 2'!AB196),"")</f>
        <v/>
      </c>
      <c r="BA196" s="198">
        <f t="shared" si="94"/>
        <v>0</v>
      </c>
      <c r="BB196" s="198">
        <f t="shared" si="95"/>
        <v>0</v>
      </c>
      <c r="BC196" s="195" t="str">
        <f t="shared" si="77"/>
        <v/>
      </c>
      <c r="BD196" s="195" t="str">
        <f t="shared" si="78"/>
        <v/>
      </c>
      <c r="BE196" s="195" t="str">
        <f t="shared" si="79"/>
        <v/>
      </c>
      <c r="BF196" s="195" t="str">
        <f t="shared" si="80"/>
        <v/>
      </c>
      <c r="BG196" s="195" t="str">
        <f t="shared" si="81"/>
        <v/>
      </c>
      <c r="BH196" s="196">
        <f t="shared" si="96"/>
        <v>0</v>
      </c>
      <c r="BI196" s="196">
        <f t="shared" si="97"/>
        <v>0</v>
      </c>
      <c r="BJ196" s="195" t="str">
        <f>IFERROR($G196*(IF('Inputs Yr 2'!$AJ196=BJ$4,'Inputs Yr 2'!$AK196,IF('Inputs Yr 2'!$AL196=BJ$4,'Inputs Yr 2'!$AM196,IF('Inputs Yr 2'!$AN196=BJ$4,'Inputs Yr 2'!$AO196,0))))*(INDEX(avoidedcosttbl2,$H196,BJ$2)+(($H196-ROUNDDOWN($H196,0))*(INDEX(avoidedcosttbl2,ROUNDUP($H196,0),BJ$2)-(INDEX(avoidedcosttbl2,ROUNDDOWN($H196,0),BJ$2)))))*'Inputs Yr 2'!P196*'Inputs Yr 2'!Q196*'Inputs Yr 2'!U196,"")</f>
        <v/>
      </c>
      <c r="BK196" s="195" t="str">
        <f>IFERROR($G196*(IF('Inputs Yr 2'!$AJ196=BK$4,'Inputs Yr 2'!$AK196,IF('Inputs Yr 2'!$AL196=BK$4,'Inputs Yr 2'!$AM196,IF('Inputs Yr 2'!$AN196=BK$4,'Inputs Yr 2'!$AO196,0))))*(INDEX(avoidedcosttbl2,$H196,BK$2)+(($H196-ROUNDDOWN($H196,0))*(INDEX(avoidedcosttbl2,ROUNDUP($H196,0),BK$2)-(INDEX(avoidedcosttbl2,ROUNDDOWN($H196,0),BK$2)))))*'Inputs Yr 2'!P196*'Inputs Yr 2'!Q196*'Inputs Yr 2'!U196,"")</f>
        <v/>
      </c>
      <c r="BL196" s="195" t="str">
        <f>IFERROR($G196*(IF('Inputs Yr 2'!$AJ196=BL$4,'Inputs Yr 2'!$AK196,IF('Inputs Yr 2'!$AL196=BL$4,'Inputs Yr 2'!$AM196,IF('Inputs Yr 2'!$AN196=BL$4,'Inputs Yr 2'!$AO196,0))))*(INDEX(avoidedcosttbl2,$H196,BL$2)+(($H196-ROUNDDOWN($H196,0))*(INDEX(avoidedcosttbl2,ROUNDUP($H196,0),BL$2)-(INDEX(avoidedcosttbl2,ROUNDDOWN($H196,0),BL$2)))))*'Inputs Yr 2'!P196*'Inputs Yr 2'!Q196*'Inputs Yr 2'!U196,"")</f>
        <v/>
      </c>
      <c r="BM196" s="195" t="str">
        <f>IFERROR($G196*(IF('Inputs Yr 2'!$AJ196=BM$4,'Inputs Yr 2'!$AK196,IF('Inputs Yr 2'!$AL196=BM$4,'Inputs Yr 2'!$AM196,IF('Inputs Yr 2'!$AN196=BM$4,'Inputs Yr 2'!$AO196,0))))*(INDEX(avoidedcosttbl2,$H196,BM$2)+(($H196-ROUNDDOWN($H196,0))*(INDEX(avoidedcosttbl2,ROUNDUP($H196,0),BM$2)-(INDEX(avoidedcosttbl2,ROUNDDOWN($H196,0),BM$2)))))*'Inputs Yr 2'!P196*'Inputs Yr 2'!Q196*'Inputs Yr 2'!U196,"")</f>
        <v/>
      </c>
      <c r="BN196" s="195" t="str">
        <f>IFERROR($G196*(IF('Inputs Yr 2'!$AJ196=BN$4,'Inputs Yr 2'!$AK196,IF('Inputs Yr 2'!$AL196=BN$4,'Inputs Yr 2'!$AM196,IF('Inputs Yr 2'!$AN196=BN$4,'Inputs Yr 2'!$AO196,0))))*(INDEX(avoidedcosttbl2,$H196,BN$2)+(($H196-ROUNDDOWN($H196,0))*(INDEX(avoidedcosttbl2,ROUNDUP($H196,0),BN$2)-(INDEX(avoidedcosttbl2,ROUNDDOWN($H196,0),BN$2)))))*'Inputs Yr 2'!P196*'Inputs Yr 2'!Q196*'Inputs Yr 2'!U196,"")</f>
        <v/>
      </c>
      <c r="BO196" s="195" t="str">
        <f>IFERROR($G196*(IF('Inputs Yr 2'!$AJ196=BO$4,'Inputs Yr 2'!$AK196,IF('Inputs Yr 2'!$AL196=BO$4,'Inputs Yr 2'!$AM196,IF('Inputs Yr 2'!$AN196=BO$4,'Inputs Yr 2'!$AO196,0))))*(INDEX(avoidedcosttbl2,$H196,BO$2)+(($H196-ROUNDDOWN($H196,0))*(INDEX(avoidedcosttbl2,ROUNDUP($H196,0),BO$2)-(INDEX(avoidedcosttbl2,ROUNDDOWN($H196,0),BO$2)))))*'Inputs Yr 2'!P196*'Inputs Yr 2'!Q196*'Inputs Yr 2'!U196,"")</f>
        <v/>
      </c>
      <c r="BP196" s="195" t="str">
        <f>IFERROR($G196*(IF('Inputs Yr 2'!$AJ196=BP$4,'Inputs Yr 2'!$AK196,IF('Inputs Yr 2'!$AL196=BP$4,'Inputs Yr 2'!$AM196,IF('Inputs Yr 2'!$AN196=BP$4,'Inputs Yr 2'!$AO196,0))))*(INDEX(avoidedcosttbl2,$H196,BP$2)+(($H196-ROUNDDOWN($H196,0))*(INDEX(avoidedcosttbl2,ROUNDUP($H196,0),BP$2)-(INDEX(avoidedcosttbl2,ROUNDDOWN($H196,0),BP$2)))))*'Inputs Yr 2'!P196*'Inputs Yr 2'!Q196*'Inputs Yr 2'!U196,"")</f>
        <v/>
      </c>
      <c r="BQ196" s="230">
        <f t="shared" si="98"/>
        <v>0</v>
      </c>
      <c r="BR196" s="197">
        <f t="shared" si="82"/>
        <v>0</v>
      </c>
      <c r="BS196" s="197" t="str">
        <f>IFERROR(($G196*IF('Inputs Yr 2'!$AJ196=BM$4,'Inputs Yr 2'!$AK196,IF('Inputs Yr 2'!$AL196=BM$4,'Inputs Yr 2'!$AM196,IF('Inputs Yr 2'!$AN196=BM$4,'Inputs Yr 2'!$AO196,0))))*(INDEX(avoidedcosttbl2,$H196,BS$2)+(($H196-ROUNDDOWN($H196,0))*(INDEX(avoidedcosttbl2,ROUNDUP($H196,0),BS$2)-(INDEX(avoidedcosttbl2,ROUNDDOWN($H196,0),BS$2)))))*'Inputs Yr 2'!P196*'Inputs Yr 2'!Q196*'Inputs Yr 2'!U196,"")</f>
        <v/>
      </c>
      <c r="BT196" s="197" t="str">
        <f>IFERROR(($G196*IF('Inputs Yr 2'!$AJ196=BK$4,'Inputs Yr 2'!$AK196,IF('Inputs Yr 2'!$AL196=BK$4,'Inputs Yr 2'!$AM196,IF('Inputs Yr 2'!$AN196=BK$4,'Inputs Yr 2'!$AO196,0))))*(INDEX(avoidedcosttbl2,$H196,BT$2)+(($H196-ROUNDDOWN($H196,0))*(INDEX(avoidedcosttbl2,ROUNDUP($H196,0),BT$2)-(INDEX(avoidedcosttbl2,ROUNDDOWN($H196,0),BT$2)))))*'Inputs Yr 2'!P196*'Inputs Yr 2'!Q196*'Inputs Yr 2'!U196,"")</f>
        <v/>
      </c>
      <c r="BU196" s="197" t="str">
        <f>IFERROR(($G196*IF('Inputs Yr 2'!$AJ196=BL$4,'Inputs Yr 2'!$AK196,IF('Inputs Yr 2'!$AL196=BL$4,'Inputs Yr 2'!$AM196,IF('Inputs Yr 2'!$AN196=BL$4,'Inputs Yr 2'!$AO196,0))))*(INDEX(avoidedcosttbl2,$H196,BU$2)+(($H196-ROUNDDOWN($H196,0))*(INDEX(avoidedcosttbl2,ROUNDUP($H196,0),BU$2)-(INDEX(avoidedcosttbl2,ROUNDDOWN($H196,0),BU$2)))))*'Inputs Yr 2'!P196*'Inputs Yr 2'!Q196*'Inputs Yr 2'!U196,"")</f>
        <v/>
      </c>
      <c r="BV196" s="775" t="str">
        <f>IFERROR(($G196*IF('Inputs Yr 2'!$AJ196=BJ$4,'Inputs Yr 2'!$AK196,IF('Inputs Yr 2'!$AL196=BJ$4,'Inputs Yr 2'!$AM196,IF('Inputs Yr 2'!$AN196=BJ$4,'Inputs Yr 2'!$AO196,0))))*(INDEX(avoidedcosttbl2,$H196,BV$2)+(($H196-ROUNDDOWN($H196,0))*(INDEX(avoidedcosttbl2,ROUNDUP($H196,0),BV$2)-(INDEX(avoidedcosttbl2,ROUNDDOWN($H196,0),BV$2)))))*'Inputs Yr 2'!P196*'Inputs Yr 2'!Q196*'Inputs Yr 2'!U196,"")</f>
        <v/>
      </c>
      <c r="BW196" s="197" t="str">
        <f>IFERROR(($G196*IF('Inputs Yr 2'!$AJ196=BN$4,'Inputs Yr 2'!$AK196,IF('Inputs Yr 2'!$AL196=BN$4,'Inputs Yr 2'!$AM196,IF('Inputs Yr 2'!$AN196=BN$4,'Inputs Yr 2'!$AO196,0))))*(INDEX(avoidedcosttbl2,$H196,BW$2)+(($H196-ROUNDDOWN($H196,0))*(INDEX(avoidedcosttbl2,ROUNDUP($H196,0),BW$2)-(INDEX(avoidedcosttbl2,ROUNDDOWN($H196,0),BW$2)))))*'Inputs Yr 2'!P196*'Inputs Yr 2'!Q196*'Inputs Yr 2'!U196,"")</f>
        <v/>
      </c>
      <c r="BX196" s="197" t="str">
        <f>IFERROR(($G196*IF('Inputs Yr 2'!$AJ196=BO$4,'Inputs Yr 2'!$AK196,IF('Inputs Yr 2'!$AL196=BO$4,'Inputs Yr 2'!$AM196,IF('Inputs Yr 2'!$AN196=BO$4,'Inputs Yr 2'!$AO196,0))))*(INDEX(avoidedcosttbl2,$H196,BX$2)+(($H196-ROUNDDOWN($H196,0))*(INDEX(avoidedcosttbl2,ROUNDUP($H196,0),BX$2)-(INDEX(avoidedcosttbl2,ROUNDDOWN($H196,0),BX$2)))))*'Inputs Yr 2'!P196*'Inputs Yr 2'!Q196*'Inputs Yr 2'!U196,"")</f>
        <v/>
      </c>
      <c r="BY196" s="197" t="str">
        <f>IFERROR(($G196*IF('Inputs Yr 2'!$AJ196=BP$4,'Inputs Yr 2'!$AK196,IF('Inputs Yr 2'!$AL196=BP$4,'Inputs Yr 2'!$AM196,IF('Inputs Yr 2'!$AN196=BP$4,'Inputs Yr 2'!$AO196,0))))*(INDEX(avoidedcosttbl2,$H196,BY$2)+(($H196-ROUNDDOWN($H196,0))*(INDEX(avoidedcosttbl2,ROUNDUP($H196,0),BY$2)-(INDEX(avoidedcosttbl2,ROUNDDOWN($H196,0),BY$2)))))*'Inputs Yr 2'!P196*'Inputs Yr 2'!Q196*'Inputs Yr 2'!U196,"")</f>
        <v/>
      </c>
      <c r="BZ196" s="193">
        <f t="shared" si="99"/>
        <v>0</v>
      </c>
      <c r="CA196" s="193">
        <f t="shared" si="100"/>
        <v>0</v>
      </c>
      <c r="CB196" s="195" t="str">
        <f>IFERROR(G196*(IF('Inputs Yr 2'!$AJ196=CB$4,'Inputs Yr 2'!$AK196,IF('Inputs Yr 2'!$AL196=CB$4,'Inputs Yr 2'!$AM196,IF('Inputs Yr 2'!$AN196=CB$4,'Inputs Yr 2'!$AO196,0))))*(INDEX(avoidedcosttbl2,$H196,CB$2)+(($H196-ROUNDDOWN($H196,0))*(INDEX(avoidedcosttbl2,ROUNDUP($H196,0),CB$2)-(INDEX(avoidedcosttbl2,ROUNDDOWN($H196,0),CB$2)))))*'Inputs Yr 2'!P196*'Inputs Yr 2'!Q196*'Inputs Yr 2'!U196,"")</f>
        <v/>
      </c>
      <c r="CC196" s="195">
        <f>IFERROR(H196*(IF('Inputs Yr 2'!$AJ196=CC$4,'Inputs Yr 2'!$AK196,IF('Inputs Yr 2'!$AL196=CC$4,'Inputs Yr 2'!$AM196,IF('Inputs Yr 2'!$AN196=CC$4,'Inputs Yr 2'!$AO196,0))))*(INDEX(avoidedcosttbl2,$H196,CC$2)+(($H196-ROUNDDOWN($H196,0))*(INDEX(avoidedcosttbl2,ROUNDUP($H196,0),CC$2)-(INDEX(avoidedcosttbl2,ROUNDDOWN($H196,0),CC$2)))))*'Inputs Yr 2'!Q196*'Inputs Yr 2'!R196*'Inputs Yr 2'!V196,"")</f>
        <v>0</v>
      </c>
      <c r="CD196" s="195" t="str">
        <f>IFERROR(I196*(IF('Inputs Yr 2'!$AJ196=CD$4,'Inputs Yr 2'!$AK196,IF('Inputs Yr 2'!$AL196=CD$4,'Inputs Yr 2'!$AM196,IF('Inputs Yr 2'!$AN196=CD$4,'Inputs Yr 2'!$AO196,0))))*(INDEX(avoidedcosttbl2,$H196,CD$2)+(($H196-ROUNDDOWN($H196,0))*(INDEX(avoidedcosttbl2,ROUNDUP($H196,0),CD$2)-(INDEX(avoidedcosttbl2,ROUNDDOWN($H196,0),CD$2)))))*'Inputs Yr 2'!R196*'Inputs Yr 2'!S196*'Inputs Yr 2'!W196,"")</f>
        <v/>
      </c>
      <c r="CE196" s="213">
        <f t="shared" si="101"/>
        <v>0</v>
      </c>
      <c r="CF196" s="213">
        <f t="shared" si="102"/>
        <v>0</v>
      </c>
      <c r="CG196" s="213">
        <f t="shared" si="103"/>
        <v>0</v>
      </c>
      <c r="CH196" s="698">
        <f t="shared" si="104"/>
        <v>0</v>
      </c>
      <c r="CI196" s="79" t="str">
        <f>IFERROR(($G196*'Inputs Yr 2'!$P196*'Inputs Yr 2'!$Q196*(((INDEX(avoidedcosttbl2,$H196,CI$2)+(($H196-ROUNDDOWN($H196,0))*(INDEX(avoidedcosttbl2,ROUNDUP($H196,0),CI$2)-INDEX(avoidedcosttbl2,ROUNDDOWN($H196,0),CI$2))))*'Inputs Yr 2'!AS196))),"")</f>
        <v/>
      </c>
      <c r="CJ196" s="504" t="str">
        <f>IFERROR($G196*'Inputs Yr 2'!AT196*'Inputs Yr 2'!$P196*'Inputs Yr 2'!$Q196/((1+realdiscrt1)^-0.5),"")</f>
        <v/>
      </c>
      <c r="CK196" s="79" t="str">
        <f>IFERROR((O196*1000*(((INDEX(avoidedcosttbl2,$H196,CK$2)+(($H196-ROUNDDOWN($H196,0))*(INDEX(avoidedcosttbl2,ROUNDUP($H196,0),CK$2)-INDEX(avoidedcosttbl2,ROUNDDOWN($H196,0),CK$2))))*'Inputs Yr 2'!AU196))),"")</f>
        <v/>
      </c>
      <c r="CL196" s="504" t="str">
        <f>IFERROR(O196*1000*'Inputs Yr 2'!AV196/((1+realdiscrt1)^-0.5),"")</f>
        <v/>
      </c>
      <c r="CM196" s="79">
        <f>IFERROR((AB196*'Inputs Yr 2'!AW196*(((INDEX(avoidedcosttbl2,$H196,CM$2)+(($H196-ROUNDDOWN($H196,0))*(INDEX(avoidedcosttbl2,ROUNDUP($H196,0),CM$2)-INDEX(avoidedcosttbl2,ROUNDDOWN($H196,0),CM$2)))))))*10,"")</f>
        <v>0</v>
      </c>
      <c r="CN196" s="504">
        <f>IFERROR(10*AB196*'Inputs Yr 2'!AX196/((1+realdiscrt1)^-0.5),"")</f>
        <v>0</v>
      </c>
      <c r="CO196" s="505">
        <f t="shared" si="105"/>
        <v>0</v>
      </c>
      <c r="CP196" s="230">
        <f t="shared" si="106"/>
        <v>0</v>
      </c>
      <c r="CQ196" s="199">
        <f>ROUND(IFERROR(IF(LEFT($A196,1)="C",'Avoided Costs'!$K$13,'Avoided Costs'!$K$12)+1,""),4)</f>
        <v>1.0720000000000001</v>
      </c>
      <c r="CR196" s="199">
        <f>ROUND(IFERROR(IF(LEFT($A196,1)="C",'Avoided Costs'!$L$13,'Avoided Costs'!$L$12)+1,""),4)</f>
        <v>1.04</v>
      </c>
      <c r="CS196" s="199">
        <f>ROUND(IFERROR(IF(LEFT($A196,1)="C",'Avoided Costs'!$M$13,'Avoided Costs'!$M$12)+1,""),4)</f>
        <v>1.0720000000000001</v>
      </c>
      <c r="CT196" s="199">
        <f>ROUND(IFERROR(IF(LEFT($A196,1)="C",'Avoided Costs'!$N$13,'Avoided Costs'!$N$12)+1,""),4)</f>
        <v>1.04</v>
      </c>
      <c r="CU196" s="199">
        <f>ROUND(IFERROR(IF(LEFT($A196,1)="C",'Avoided Costs'!$O$13,'Avoided Costs'!$O$12)+1,""),4)</f>
        <v>1.1120000000000001</v>
      </c>
      <c r="CV196" s="199">
        <f>ROUND(IFERROR(IF(LEFT($A196,1)="C",'Avoided Costs'!$P$13,'Avoided Costs'!$P$12)+1,""),4)</f>
        <v>1.095</v>
      </c>
      <c r="CW196" s="199">
        <f>ROUND(IFERROR(IF(LEFT($A196,1)="C",'Avoided Costs'!$Q$13,'Avoided Costs'!$Q$12)+1,""),4)</f>
        <v>1.1120000000000001</v>
      </c>
      <c r="CX196" s="200">
        <f>ROUND(IFERROR(IF(LEFT($A196,1)="C",'Avoided Costs'!$R$13,'Avoided Costs'!$R$12)+1,""),4)</f>
        <v>1.1120000000000001</v>
      </c>
    </row>
    <row r="197" spans="1:102" ht="12.75" customHeight="1">
      <c r="A197" s="91" t="str">
        <f>IF('Inputs Yr 2'!$B197=0,"",'Inputs Yr 2'!A197)</f>
        <v>C - Commercial &amp; Industrial</v>
      </c>
      <c r="B197" s="91" t="str">
        <f>IF('Inputs Yr 2'!$B197=0,"",'Inputs Yr 2'!B197)</f>
        <v>C1 - C&amp;I New Construction</v>
      </c>
      <c r="C197" s="91" t="str">
        <f>IF('Inputs Yr 2'!$B197=0,"",'Inputs Yr 2'!C197)</f>
        <v>C1a - C&amp;I New Buildings &amp; Major Renovations</v>
      </c>
      <c r="D197" s="91" t="str">
        <f>IF('Inputs Yr 2'!$B197=0,"",'Inputs Yr 2'!E197)</f>
        <v>Control - Custom 10</v>
      </c>
      <c r="E197" s="93" t="str">
        <f>IF('Inputs Yr 2'!$B197=0,"",'Inputs Yr 2'!F197)</f>
        <v>G16C1a40</v>
      </c>
      <c r="F197" s="93" t="str">
        <f>IF('Inputs Yr 2'!$B197=0,"",'Inputs Yr 2'!G197)</f>
        <v>HVAC</v>
      </c>
      <c r="G197" s="95">
        <f>IF('Inputs Yr 2'!$H197&lt;&gt;0,('Inputs Yr 2'!H197),"")</f>
        <v>1</v>
      </c>
      <c r="H197" s="94">
        <f>IFERROR('Inputs Yr 2'!I197,"")</f>
        <v>10</v>
      </c>
      <c r="I197" s="298">
        <f>IFERROR('Inputs Yr 2'!J197*'Inputs Yr 2'!P197*G197,"")</f>
        <v>19579.295000000002</v>
      </c>
      <c r="J197" s="298">
        <f>IFERROR('Inputs Yr 2'!K197*G197,"")</f>
        <v>15978.75</v>
      </c>
      <c r="K197" s="298">
        <f t="shared" si="83"/>
        <v>3600.5450000000019</v>
      </c>
      <c r="L197" s="194">
        <f>IFERROR(('Inputs Yr 2'!W197*G197)/1000,"")</f>
        <v>0</v>
      </c>
      <c r="M197" s="194">
        <f>IFERROR(L197*('Inputs Yr 2'!$Q197*'Inputs Yr 2'!$V197*'Inputs Yr 2'!$R197),"")</f>
        <v>0</v>
      </c>
      <c r="N197" s="194">
        <f t="shared" si="84"/>
        <v>0</v>
      </c>
      <c r="O197" s="194">
        <f>IFERROR(M197*'Inputs Yr 2'!P197,"")</f>
        <v>0</v>
      </c>
      <c r="P197" s="194">
        <f t="shared" si="85"/>
        <v>0</v>
      </c>
      <c r="Q197" s="194">
        <f>IFERROR($P197*'Inputs Yr 2'!AA197,"")</f>
        <v>0</v>
      </c>
      <c r="R197" s="194">
        <f>IFERROR($P197*'Inputs Yr 2'!AB197,"")</f>
        <v>0</v>
      </c>
      <c r="S197" s="194">
        <f>IFERROR($P197*'Inputs Yr 2'!AC197,"")</f>
        <v>0</v>
      </c>
      <c r="T197" s="194">
        <f>IFERROR($P197*'Inputs Yr 2'!AD197,"")</f>
        <v>0</v>
      </c>
      <c r="U197" s="194">
        <f>IFERROR(G197*'Inputs Yr 2'!$AE197*'Inputs Yr 2'!$P197*'Inputs Yr 2'!$Q197,"")</f>
        <v>0</v>
      </c>
      <c r="V197" s="194">
        <f>IFERROR($G197*'Inputs Yr 2'!$AE197*'Inputs Yr 2'!$AG197*'Inputs Yr 2'!Q197*'Inputs Yr 2'!$S197,"")</f>
        <v>0</v>
      </c>
      <c r="W197" s="194">
        <f>IFERROR($G197*'Inputs Yr 2'!$AE197*'Inputs Yr 2'!$AG197*'Inputs Yr 2'!P197*'Inputs Yr 2'!Q197*'Inputs Yr 2'!$S197,"")</f>
        <v>0</v>
      </c>
      <c r="X197" s="194">
        <f>IFERROR($G197*'Inputs Yr 2'!$AE197*'Inputs Yr 2'!$AF197*'Inputs Yr 2'!Q197*'Inputs Yr 2'!$T197,"")</f>
        <v>0</v>
      </c>
      <c r="Y197" s="194">
        <f>IFERROR($G197*'Inputs Yr 2'!$AE197*'Inputs Yr 2'!$AF197*'Inputs Yr 2'!P197*'Inputs Yr 2'!Q197*'Inputs Yr 2'!$T197,"")</f>
        <v>0</v>
      </c>
      <c r="Z197" s="257">
        <f>IFERROR($G197*'Inputs Yr 2'!$Q197*'Inputs Yr 2'!$U197*(IF(IFERROR(SEARCH("NG", 'Inputs Yr 2'!$AJ197),0),'Inputs Yr 2'!$AK197,0)+IF(IFERROR(SEARCH("NG", 'Inputs Yr 2'!$AL197),0),'Inputs Yr 2'!$AM197,0)+IF(IFERROR(SEARCH("NG", 'Inputs Yr 2'!$AN197),0),'Inputs Yr 2'!$AO197,0)),0)</f>
        <v>782.11599999999999</v>
      </c>
      <c r="AA197" s="257">
        <f t="shared" si="86"/>
        <v>7821.16</v>
      </c>
      <c r="AB197" s="257">
        <f>IFERROR(Z197*'Inputs Yr 2'!$P197,0)</f>
        <v>718.76460399999996</v>
      </c>
      <c r="AC197" s="257">
        <f t="shared" si="87"/>
        <v>7187.6460399999996</v>
      </c>
      <c r="AD197" s="257">
        <f>IFERROR($G197*'Inputs Yr 2'!$Q197*'Inputs Yr 2'!$U197*(IF(IFERROR(SEARCH("Oil", 'Inputs Yr 2'!$AJ197), 0),'Inputs Yr 2'!$AK197,0)+IF(IFERROR(SEARCH("Oil", 'Inputs Yr 2'!$AL197), 0),'Inputs Yr 2'!$AM197,0)+IF(IFERROR(SEARCH("Oil", 'Inputs Yr 2'!$AN197), 0),'Inputs Yr 2'!$AO197,0)),0)</f>
        <v>0</v>
      </c>
      <c r="AE197" s="257">
        <f t="shared" si="88"/>
        <v>0</v>
      </c>
      <c r="AF197" s="257">
        <f>IFERROR(AD197*'Inputs Yr 2'!$P197,0)</f>
        <v>0</v>
      </c>
      <c r="AG197" s="257">
        <f t="shared" si="89"/>
        <v>0</v>
      </c>
      <c r="AH197" s="257">
        <f>IFERROR($G197*'Inputs Yr 2'!$Q197*'Inputs Yr 2'!$U197*(IF('Inputs Yr 2'!$AJ197=CD$4,'Inputs Yr 2'!$AK197,IF('Inputs Yr 2'!$AL197=CD$4,'Inputs Yr 2'!$AM197,IF('Inputs Yr 2'!$AN197=CD$4,'Inputs Yr 2'!$AO197,0)))),0)</f>
        <v>0</v>
      </c>
      <c r="AI197" s="257">
        <f t="shared" si="90"/>
        <v>0</v>
      </c>
      <c r="AJ197" s="257">
        <f>IFERROR(AH197*'Inputs Yr 2'!$P197,0)</f>
        <v>0</v>
      </c>
      <c r="AK197" s="257">
        <f t="shared" si="91"/>
        <v>0</v>
      </c>
      <c r="AL197" s="258">
        <f>IFERROR($G197*'Inputs Yr 2'!$P197*'Inputs Yr 2'!$Q197*'Inputs Yr 2'!AP197,0)</f>
        <v>0</v>
      </c>
      <c r="AM197" s="260">
        <f>IFERROR($G197*'Inputs Yr 2'!$P197*'Inputs Yr 2'!$Q197*'Inputs Yr 2'!AQ197,0)</f>
        <v>0</v>
      </c>
      <c r="AN197" s="258">
        <f>IFERROR($G197*'Inputs Yr 2'!$P197*'Inputs Yr 2'!$Q197*'Inputs Yr 2'!AR197,0)</f>
        <v>0</v>
      </c>
      <c r="AO197" s="257">
        <f t="shared" si="92"/>
        <v>0</v>
      </c>
      <c r="AP197" s="195">
        <f>IFERROR($CQ197*(INDEX(avoidedcosttbl2,$H197,AP$2)+(($H197-ROUNDDOWN($H197,0))*(INDEX(avoidedcosttbl2,ROUNDUP($H197,0),AP$2)-(INDEX(avoidedcosttbl2,ROUNDDOWN($H197,0),AP$2)))))*$O197*1000*'Inputs Yr 2'!AA197,"")</f>
        <v>0</v>
      </c>
      <c r="AQ197" s="195">
        <f>IFERROR($CR197*(INDEX(avoidedcosttbl2,$H197,AQ$2)+(($H197-ROUNDDOWN($H197,0))*(INDEX(avoidedcosttbl2,ROUNDUP($H197,0),AQ$2)-(INDEX(avoidedcosttbl2,ROUNDDOWN($H197,0),AQ$2)))))*$O197*1000*'Inputs Yr 2'!AB197,"")</f>
        <v>0</v>
      </c>
      <c r="AR197" s="195">
        <f>IFERROR($CS197*(INDEX(avoidedcosttbl2,$H197,AR$2)+(($H197-ROUNDDOWN($H197,0))*(INDEX(avoidedcosttbl2,ROUNDUP($H197,0),AR$2)-(INDEX(avoidedcosttbl2,ROUNDDOWN($H197,0),AR$2)))))*$O197*1000*'Inputs Yr 2'!AC197,"")</f>
        <v>0</v>
      </c>
      <c r="AS197" s="195">
        <f>IFERROR($CT197*(INDEX(avoidedcosttbl2,$H197,AS$2)+(($H197-ROUNDDOWN($H197,0))*(INDEX(avoidedcosttbl2,ROUNDUP($H197,0),AS$2)-(INDEX(avoidedcosttbl2,ROUNDDOWN($H197,0),AS$2)))))*$O197*1000*'Inputs Yr 2'!AD197,"")</f>
        <v>0</v>
      </c>
      <c r="AT197" s="196">
        <f t="shared" si="93"/>
        <v>0</v>
      </c>
      <c r="AU197" s="197">
        <f>IFERROR($CQ197*((INDEX(avoidedcosttbl2,$H197,AU$2))+(($H197-ROUNDDOWN($H197,0))*((INDEX(avoidedcosttbl2,ROUNDUP($H197,0),AU$2))-(INDEX(avoidedcosttbl2,ROUNDDOWN($H197,0),AU$2)))))*$O197*1000*'Inputs Yr 2'!AA197,"")</f>
        <v>0</v>
      </c>
      <c r="AV197" s="197">
        <f>IFERROR($CR197*((INDEX(avoidedcosttbl2,$H197,AV$2))+(($H197-ROUNDDOWN($H197,0))*((INDEX(avoidedcosttbl2,ROUNDUP($H197,0),AV$2))-(INDEX(avoidedcosttbl2,ROUNDDOWN($H197,0),AV$2)))))*$O197*1000*'Inputs Yr 2'!AB197,"")</f>
        <v>0</v>
      </c>
      <c r="AW197" s="197">
        <f>IFERROR($CS197*((INDEX(avoidedcosttbl2,$H197,AW$2))+(($H197-ROUNDDOWN($H197,0))*((INDEX(avoidedcosttbl2,ROUNDUP($H197,0),AW$2))-(INDEX(avoidedcosttbl2,ROUNDDOWN($H197,0),AW$2)))))*$O197*1000*'Inputs Yr 2'!AC197,"")</f>
        <v>0</v>
      </c>
      <c r="AX197" s="197">
        <f>IFERROR($CT197*((INDEX(avoidedcosttbl2,$H197,AX$2))+(($H197-ROUNDDOWN($H197,0))*((INDEX(avoidedcosttbl2,ROUNDUP($H197,0),AX$2))-(INDEX(avoidedcosttbl2,ROUNDDOWN($H197,0),AX$2)))))*$O197*1000*'Inputs Yr 2'!AD197,"")</f>
        <v>0</v>
      </c>
      <c r="AY197" s="197">
        <f>IFERROR(((INDEX(avoidedcosttbl2,$H197,AY$2))+(($H197-ROUNDDOWN($H197,0))*((INDEX(avoidedcosttbl2,ROUNDUP($H197,0),AY$2))-(INDEX(avoidedcosttbl2,ROUNDDOWN($H197,0),AY$2)))))*$O197*1000*('Inputs Yr 2'!AC197+'Inputs Yr 2'!AD197),"")</f>
        <v>0</v>
      </c>
      <c r="AZ197" s="197">
        <f>IFERROR(((INDEX(avoidedcosttbl2,$H197,AZ$2))+(($H197-ROUNDDOWN($H197,0))*((INDEX(avoidedcosttbl2,ROUNDUP($H197,0),AZ$2))-(INDEX(avoidedcosttbl2,ROUNDDOWN($H197,0),AZ$2)))))*$O197*1000*('Inputs Yr 2'!AA197+'Inputs Yr 2'!AB197),"")</f>
        <v>0</v>
      </c>
      <c r="BA197" s="198">
        <f t="shared" si="94"/>
        <v>0</v>
      </c>
      <c r="BB197" s="198">
        <f t="shared" si="95"/>
        <v>0</v>
      </c>
      <c r="BC197" s="195">
        <f t="shared" ref="BC197:BC260" si="107">IFERROR($CU197*(INDEX(avoidedcosttbl2,$H197,BC$2)+(($H197-ROUNDDOWN($H197,0))*(INDEX(avoidedcosttbl2,ROUNDUP($H197,0),BC$2)-(INDEX(avoidedcosttbl2,ROUNDDOWN($H197,0),BC$2)))))*$Y197,"")</f>
        <v>0</v>
      </c>
      <c r="BD197" s="195">
        <f t="shared" ref="BD197:BD260" si="108">IFERROR($CV197*(INDEX(avoidedcosttbl2,$H197,BD$2)+(($H197-ROUNDDOWN($H197,0))*(INDEX(avoidedcosttbl2,ROUNDUP($H197,0),BD$2)-(INDEX(avoidedcosttbl2,ROUNDDOWN($H197,0),BD$2)))))*$W197,"")</f>
        <v>0</v>
      </c>
      <c r="BE197" s="195">
        <f t="shared" ref="BE197:BE260" si="109">IFERROR($CU197*(INDEX(avoidedcosttbl2,$H197,BE$2)+(($H197-ROUNDDOWN($H197,0))*(INDEX(avoidedcosttbl2,ROUNDUP($H197,0),BE$2)-(INDEX(avoidedcosttbl2,ROUNDDOWN($H197,0),BE$2)))))*$Y197,"")</f>
        <v>0</v>
      </c>
      <c r="BF197" s="195">
        <f t="shared" ref="BF197:BF260" si="110">IFERROR($CW197*(INDEX(avoidedcosttbl2,$H197,BF$2)+(($H197-ROUNDDOWN($H197,0))*(INDEX(avoidedcosttbl2,ROUNDUP($H197,0),BF$2)-(INDEX(avoidedcosttbl2,ROUNDDOWN($H197,0),BF$2)))))*$Y197,"")</f>
        <v>0</v>
      </c>
      <c r="BG197" s="195">
        <f t="shared" ref="BG197:BG260" si="111">IFERROR($CX197*(INDEX(avoidedcosttbl2,$H197,BG$2)+(($H197-ROUNDDOWN($H197,0))*(INDEX(avoidedcosttbl2,ROUNDUP($H197,0),BG$2)-(INDEX(avoidedcosttbl2,ROUNDDOWN($H197,0),BG$2)))))*$Y197,"")</f>
        <v>0</v>
      </c>
      <c r="BH197" s="196">
        <f t="shared" si="96"/>
        <v>0</v>
      </c>
      <c r="BI197" s="196">
        <f t="shared" si="97"/>
        <v>0</v>
      </c>
      <c r="BJ197" s="195">
        <f>IFERROR($G197*(IF('Inputs Yr 2'!$AJ197=BJ$4,'Inputs Yr 2'!$AK197,IF('Inputs Yr 2'!$AL197=BJ$4,'Inputs Yr 2'!$AM197,IF('Inputs Yr 2'!$AN197=BJ$4,'Inputs Yr 2'!$AO197,0))))*(INDEX(avoidedcosttbl2,$H197,BJ$2)+(($H197-ROUNDDOWN($H197,0))*(INDEX(avoidedcosttbl2,ROUNDUP($H197,0),BJ$2)-(INDEX(avoidedcosttbl2,ROUNDDOWN($H197,0),BJ$2)))))*'Inputs Yr 2'!P197*'Inputs Yr 2'!Q197*'Inputs Yr 2'!U197,"")</f>
        <v>0</v>
      </c>
      <c r="BK197" s="195">
        <f>IFERROR($G197*(IF('Inputs Yr 2'!$AJ197=BK$4,'Inputs Yr 2'!$AK197,IF('Inputs Yr 2'!$AL197=BK$4,'Inputs Yr 2'!$AM197,IF('Inputs Yr 2'!$AN197=BK$4,'Inputs Yr 2'!$AO197,0))))*(INDEX(avoidedcosttbl2,$H197,BK$2)+(($H197-ROUNDDOWN($H197,0))*(INDEX(avoidedcosttbl2,ROUNDUP($H197,0),BK$2)-(INDEX(avoidedcosttbl2,ROUNDDOWN($H197,0),BK$2)))))*'Inputs Yr 2'!P197*'Inputs Yr 2'!Q197*'Inputs Yr 2'!U197,"")</f>
        <v>0</v>
      </c>
      <c r="BL197" s="195">
        <f>IFERROR($G197*(IF('Inputs Yr 2'!$AJ197=BL$4,'Inputs Yr 2'!$AK197,IF('Inputs Yr 2'!$AL197=BL$4,'Inputs Yr 2'!$AM197,IF('Inputs Yr 2'!$AN197=BL$4,'Inputs Yr 2'!$AO197,0))))*(INDEX(avoidedcosttbl2,$H197,BL$2)+(($H197-ROUNDDOWN($H197,0))*(INDEX(avoidedcosttbl2,ROUNDUP($H197,0),BL$2)-(INDEX(avoidedcosttbl2,ROUNDDOWN($H197,0),BL$2)))))*'Inputs Yr 2'!P197*'Inputs Yr 2'!Q197*'Inputs Yr 2'!U197,"")</f>
        <v>0</v>
      </c>
      <c r="BM197" s="195">
        <f>IFERROR($G197*(IF('Inputs Yr 2'!$AJ197=BM$4,'Inputs Yr 2'!$AK197,IF('Inputs Yr 2'!$AL197=BM$4,'Inputs Yr 2'!$AM197,IF('Inputs Yr 2'!$AN197=BM$4,'Inputs Yr 2'!$AO197,0))))*(INDEX(avoidedcosttbl2,$H197,BM$2)+(($H197-ROUNDDOWN($H197,0))*(INDEX(avoidedcosttbl2,ROUNDUP($H197,0),BM$2)-(INDEX(avoidedcosttbl2,ROUNDDOWN($H197,0),BM$2)))))*'Inputs Yr 2'!P197*'Inputs Yr 2'!Q197*'Inputs Yr 2'!U197,"")</f>
        <v>0</v>
      </c>
      <c r="BN197" s="195">
        <f>IFERROR($G197*(IF('Inputs Yr 2'!$AJ197=BN$4,'Inputs Yr 2'!$AK197,IF('Inputs Yr 2'!$AL197=BN$4,'Inputs Yr 2'!$AM197,IF('Inputs Yr 2'!$AN197=BN$4,'Inputs Yr 2'!$AO197,0))))*(INDEX(avoidedcosttbl2,$H197,BN$2)+(($H197-ROUNDDOWN($H197,0))*(INDEX(avoidedcosttbl2,ROUNDUP($H197,0),BN$2)-(INDEX(avoidedcosttbl2,ROUNDDOWN($H197,0),BN$2)))))*'Inputs Yr 2'!P197*'Inputs Yr 2'!Q197*'Inputs Yr 2'!U197,"")</f>
        <v>0</v>
      </c>
      <c r="BO197" s="195">
        <f>IFERROR($G197*(IF('Inputs Yr 2'!$AJ197=BO$4,'Inputs Yr 2'!$AK197,IF('Inputs Yr 2'!$AL197=BO$4,'Inputs Yr 2'!$AM197,IF('Inputs Yr 2'!$AN197=BO$4,'Inputs Yr 2'!$AO197,0))))*(INDEX(avoidedcosttbl2,$H197,BO$2)+(($H197-ROUNDDOWN($H197,0))*(INDEX(avoidedcosttbl2,ROUNDUP($H197,0),BO$2)-(INDEX(avoidedcosttbl2,ROUNDDOWN($H197,0),BO$2)))))*'Inputs Yr 2'!P197*'Inputs Yr 2'!Q197*'Inputs Yr 2'!U197,"")</f>
        <v>54612.702275701056</v>
      </c>
      <c r="BP197" s="195">
        <f>IFERROR($G197*(IF('Inputs Yr 2'!$AJ197=BP$4,'Inputs Yr 2'!$AK197,IF('Inputs Yr 2'!$AL197=BP$4,'Inputs Yr 2'!$AM197,IF('Inputs Yr 2'!$AN197=BP$4,'Inputs Yr 2'!$AO197,0))))*(INDEX(avoidedcosttbl2,$H197,BP$2)+(($H197-ROUNDDOWN($H197,0))*(INDEX(avoidedcosttbl2,ROUNDUP($H197,0),BP$2)-(INDEX(avoidedcosttbl2,ROUNDDOWN($H197,0),BP$2)))))*'Inputs Yr 2'!P197*'Inputs Yr 2'!Q197*'Inputs Yr 2'!U197,"")</f>
        <v>0</v>
      </c>
      <c r="BQ197" s="230">
        <f t="shared" si="98"/>
        <v>54612.702275701056</v>
      </c>
      <c r="BR197" s="197">
        <f t="shared" ref="BR197:BR260" si="112">IFERROR($AB197*((INDEX(avoidedcosttbl2,$H197,BR$2))+(($H197-ROUNDDOWN($H197,0))*((INDEX(avoidedcosttbl2,ROUNDUP($H197,0),BR$2))-(INDEX(avoidedcosttbl2,ROUNDDOWN($H197,0),BR$2))))),"")</f>
        <v>984.88025211271088</v>
      </c>
      <c r="BS197" s="197">
        <f>IFERROR(($G197*IF('Inputs Yr 2'!$AJ197=BM$4,'Inputs Yr 2'!$AK197,IF('Inputs Yr 2'!$AL197=BM$4,'Inputs Yr 2'!$AM197,IF('Inputs Yr 2'!$AN197=BM$4,'Inputs Yr 2'!$AO197,0))))*(INDEX(avoidedcosttbl2,$H197,BS$2)+(($H197-ROUNDDOWN($H197,0))*(INDEX(avoidedcosttbl2,ROUNDUP($H197,0),BS$2)-(INDEX(avoidedcosttbl2,ROUNDDOWN($H197,0),BS$2)))))*'Inputs Yr 2'!P197*'Inputs Yr 2'!Q197*'Inputs Yr 2'!U197,"")</f>
        <v>0</v>
      </c>
      <c r="BT197" s="197">
        <f>IFERROR(($G197*IF('Inputs Yr 2'!$AJ197=BK$4,'Inputs Yr 2'!$AK197,IF('Inputs Yr 2'!$AL197=BK$4,'Inputs Yr 2'!$AM197,IF('Inputs Yr 2'!$AN197=BK$4,'Inputs Yr 2'!$AO197,0))))*(INDEX(avoidedcosttbl2,$H197,BT$2)+(($H197-ROUNDDOWN($H197,0))*(INDEX(avoidedcosttbl2,ROUNDUP($H197,0),BT$2)-(INDEX(avoidedcosttbl2,ROUNDDOWN($H197,0),BT$2)))))*'Inputs Yr 2'!P197*'Inputs Yr 2'!Q197*'Inputs Yr 2'!U197,"")</f>
        <v>0</v>
      </c>
      <c r="BU197" s="197">
        <f>IFERROR(($G197*IF('Inputs Yr 2'!$AJ197=BL$4,'Inputs Yr 2'!$AK197,IF('Inputs Yr 2'!$AL197=BL$4,'Inputs Yr 2'!$AM197,IF('Inputs Yr 2'!$AN197=BL$4,'Inputs Yr 2'!$AO197,0))))*(INDEX(avoidedcosttbl2,$H197,BU$2)+(($H197-ROUNDDOWN($H197,0))*(INDEX(avoidedcosttbl2,ROUNDUP($H197,0),BU$2)-(INDEX(avoidedcosttbl2,ROUNDDOWN($H197,0),BU$2)))))*'Inputs Yr 2'!P197*'Inputs Yr 2'!Q197*'Inputs Yr 2'!U197,"")</f>
        <v>0</v>
      </c>
      <c r="BV197" s="775">
        <f>IFERROR(($G197*IF('Inputs Yr 2'!$AJ197=BJ$4,'Inputs Yr 2'!$AK197,IF('Inputs Yr 2'!$AL197=BJ$4,'Inputs Yr 2'!$AM197,IF('Inputs Yr 2'!$AN197=BJ$4,'Inputs Yr 2'!$AO197,0))))*(INDEX(avoidedcosttbl2,$H197,BV$2)+(($H197-ROUNDDOWN($H197,0))*(INDEX(avoidedcosttbl2,ROUNDUP($H197,0),BV$2)-(INDEX(avoidedcosttbl2,ROUNDDOWN($H197,0),BV$2)))))*'Inputs Yr 2'!P197*'Inputs Yr 2'!Q197*'Inputs Yr 2'!U197,"")</f>
        <v>0</v>
      </c>
      <c r="BW197" s="197">
        <f>IFERROR(($G197*IF('Inputs Yr 2'!$AJ197=BN$4,'Inputs Yr 2'!$AK197,IF('Inputs Yr 2'!$AL197=BN$4,'Inputs Yr 2'!$AM197,IF('Inputs Yr 2'!$AN197=BN$4,'Inputs Yr 2'!$AO197,0))))*(INDEX(avoidedcosttbl2,$H197,BW$2)+(($H197-ROUNDDOWN($H197,0))*(INDEX(avoidedcosttbl2,ROUNDUP($H197,0),BW$2)-(INDEX(avoidedcosttbl2,ROUNDDOWN($H197,0),BW$2)))))*'Inputs Yr 2'!P197*'Inputs Yr 2'!Q197*'Inputs Yr 2'!U197,"")</f>
        <v>0</v>
      </c>
      <c r="BX197" s="197">
        <f>IFERROR(($G197*IF('Inputs Yr 2'!$AJ197=BO$4,'Inputs Yr 2'!$AK197,IF('Inputs Yr 2'!$AL197=BO$4,'Inputs Yr 2'!$AM197,IF('Inputs Yr 2'!$AN197=BO$4,'Inputs Yr 2'!$AO197,0))))*(INDEX(avoidedcosttbl2,$H197,BX$2)+(($H197-ROUNDDOWN($H197,0))*(INDEX(avoidedcosttbl2,ROUNDUP($H197,0),BX$2)-(INDEX(avoidedcosttbl2,ROUNDDOWN($H197,0),BX$2)))))*'Inputs Yr 2'!P197*'Inputs Yr 2'!Q197*'Inputs Yr 2'!U197,"")</f>
        <v>5528.5810969384611</v>
      </c>
      <c r="BY197" s="197">
        <f>IFERROR(($G197*IF('Inputs Yr 2'!$AJ197=BP$4,'Inputs Yr 2'!$AK197,IF('Inputs Yr 2'!$AL197=BP$4,'Inputs Yr 2'!$AM197,IF('Inputs Yr 2'!$AN197=BP$4,'Inputs Yr 2'!$AO197,0))))*(INDEX(avoidedcosttbl2,$H197,BY$2)+(($H197-ROUNDDOWN($H197,0))*(INDEX(avoidedcosttbl2,ROUNDUP($H197,0),BY$2)-(INDEX(avoidedcosttbl2,ROUNDDOWN($H197,0),BY$2)))))*'Inputs Yr 2'!P197*'Inputs Yr 2'!Q197*'Inputs Yr 2'!U197,"")</f>
        <v>0</v>
      </c>
      <c r="BZ197" s="193">
        <f t="shared" si="99"/>
        <v>6513.461349051172</v>
      </c>
      <c r="CA197" s="193">
        <f t="shared" si="100"/>
        <v>61126.163624752226</v>
      </c>
      <c r="CB197" s="195">
        <f>IFERROR(G197*(IF('Inputs Yr 2'!$AJ197=CB$4,'Inputs Yr 2'!$AK197,IF('Inputs Yr 2'!$AL197=CB$4,'Inputs Yr 2'!$AM197,IF('Inputs Yr 2'!$AN197=CB$4,'Inputs Yr 2'!$AO197,0))))*(INDEX(avoidedcosttbl2,$H197,CB$2)+(($H197-ROUNDDOWN($H197,0))*(INDEX(avoidedcosttbl2,ROUNDUP($H197,0),CB$2)-(INDEX(avoidedcosttbl2,ROUNDDOWN($H197,0),CB$2)))))*'Inputs Yr 2'!P197*'Inputs Yr 2'!Q197*'Inputs Yr 2'!U197,"")</f>
        <v>0</v>
      </c>
      <c r="CC197" s="195">
        <f>IFERROR(H197*(IF('Inputs Yr 2'!$AJ197=CC$4,'Inputs Yr 2'!$AK197,IF('Inputs Yr 2'!$AL197=CC$4,'Inputs Yr 2'!$AM197,IF('Inputs Yr 2'!$AN197=CC$4,'Inputs Yr 2'!$AO197,0))))*(INDEX(avoidedcosttbl2,$H197,CC$2)+(($H197-ROUNDDOWN($H197,0))*(INDEX(avoidedcosttbl2,ROUNDUP($H197,0),CC$2)-(INDEX(avoidedcosttbl2,ROUNDDOWN($H197,0),CC$2)))))*'Inputs Yr 2'!Q197*'Inputs Yr 2'!R197*'Inputs Yr 2'!V197,"")</f>
        <v>0</v>
      </c>
      <c r="CD197" s="195">
        <f>IFERROR(I197*(IF('Inputs Yr 2'!$AJ197=CD$4,'Inputs Yr 2'!$AK197,IF('Inputs Yr 2'!$AL197=CD$4,'Inputs Yr 2'!$AM197,IF('Inputs Yr 2'!$AN197=CD$4,'Inputs Yr 2'!$AO197,0))))*(INDEX(avoidedcosttbl2,$H197,CD$2)+(($H197-ROUNDDOWN($H197,0))*(INDEX(avoidedcosttbl2,ROUNDUP($H197,0),CD$2)-(INDEX(avoidedcosttbl2,ROUNDDOWN($H197,0),CD$2)))))*'Inputs Yr 2'!R197*'Inputs Yr 2'!S197*'Inputs Yr 2'!W197,"")</f>
        <v>0</v>
      </c>
      <c r="CE197" s="213">
        <f t="shared" si="101"/>
        <v>0</v>
      </c>
      <c r="CF197" s="213">
        <f t="shared" si="102"/>
        <v>0</v>
      </c>
      <c r="CG197" s="213">
        <f t="shared" si="103"/>
        <v>0</v>
      </c>
      <c r="CH197" s="698">
        <f t="shared" si="104"/>
        <v>61126.163624752226</v>
      </c>
      <c r="CI197" s="79">
        <f>IFERROR(($G197*'Inputs Yr 2'!$P197*'Inputs Yr 2'!$Q197*(((INDEX(avoidedcosttbl2,$H197,CI$2)+(($H197-ROUNDDOWN($H197,0))*(INDEX(avoidedcosttbl2,ROUNDUP($H197,0),CI$2)-INDEX(avoidedcosttbl2,ROUNDDOWN($H197,0),CI$2))))*'Inputs Yr 2'!AS197))),"")</f>
        <v>0</v>
      </c>
      <c r="CJ197" s="504">
        <f>IFERROR($G197*'Inputs Yr 2'!AT197*'Inputs Yr 2'!$P197*'Inputs Yr 2'!$Q197/((1+realdiscrt1)^-0.5),"")</f>
        <v>0</v>
      </c>
      <c r="CK197" s="79">
        <f>IFERROR((O197*1000*(((INDEX(avoidedcosttbl2,$H197,CK$2)+(($H197-ROUNDDOWN($H197,0))*(INDEX(avoidedcosttbl2,ROUNDUP($H197,0),CK$2)-INDEX(avoidedcosttbl2,ROUNDDOWN($H197,0),CK$2))))*'Inputs Yr 2'!AU197))),"")</f>
        <v>0</v>
      </c>
      <c r="CL197" s="504">
        <f>IFERROR(O197*1000*'Inputs Yr 2'!AV197/((1+realdiscrt1)^-0.5),"")</f>
        <v>0</v>
      </c>
      <c r="CM197" s="79">
        <f>IFERROR((AB197*'Inputs Yr 2'!AW197*(((INDEX(avoidedcosttbl2,$H197,CM$2)+(($H197-ROUNDDOWN($H197,0))*(INDEX(avoidedcosttbl2,ROUNDUP($H197,0),CM$2)-INDEX(avoidedcosttbl2,ROUNDDOWN($H197,0),CM$2)))))))*10,"")</f>
        <v>0</v>
      </c>
      <c r="CN197" s="504">
        <f>IFERROR(10*AB197*'Inputs Yr 2'!AX197/((1+realdiscrt1)^-0.5),"")</f>
        <v>0</v>
      </c>
      <c r="CO197" s="505">
        <f t="shared" si="105"/>
        <v>0</v>
      </c>
      <c r="CP197" s="230">
        <f t="shared" si="106"/>
        <v>61126.163624752226</v>
      </c>
      <c r="CQ197" s="199">
        <f>ROUND(IFERROR(IF(LEFT($A197,1)="C",'Avoided Costs'!$K$13,'Avoided Costs'!$K$12)+1,""),4)</f>
        <v>1.0720000000000001</v>
      </c>
      <c r="CR197" s="199">
        <f>ROUND(IFERROR(IF(LEFT($A197,1)="C",'Avoided Costs'!$L$13,'Avoided Costs'!$L$12)+1,""),4)</f>
        <v>1.04</v>
      </c>
      <c r="CS197" s="199">
        <f>ROUND(IFERROR(IF(LEFT($A197,1)="C",'Avoided Costs'!$M$13,'Avoided Costs'!$M$12)+1,""),4)</f>
        <v>1.0720000000000001</v>
      </c>
      <c r="CT197" s="199">
        <f>ROUND(IFERROR(IF(LEFT($A197,1)="C",'Avoided Costs'!$N$13,'Avoided Costs'!$N$12)+1,""),4)</f>
        <v>1.04</v>
      </c>
      <c r="CU197" s="199">
        <f>ROUND(IFERROR(IF(LEFT($A197,1)="C",'Avoided Costs'!$O$13,'Avoided Costs'!$O$12)+1,""),4)</f>
        <v>1.1120000000000001</v>
      </c>
      <c r="CV197" s="199">
        <f>ROUND(IFERROR(IF(LEFT($A197,1)="C",'Avoided Costs'!$P$13,'Avoided Costs'!$P$12)+1,""),4)</f>
        <v>1.095</v>
      </c>
      <c r="CW197" s="199">
        <f>ROUND(IFERROR(IF(LEFT($A197,1)="C",'Avoided Costs'!$Q$13,'Avoided Costs'!$Q$12)+1,""),4)</f>
        <v>1.1120000000000001</v>
      </c>
      <c r="CX197" s="200">
        <f>ROUND(IFERROR(IF(LEFT($A197,1)="C",'Avoided Costs'!$R$13,'Avoided Costs'!$R$12)+1,""),4)</f>
        <v>1.1120000000000001</v>
      </c>
    </row>
    <row r="198" spans="1:102" ht="12.75" customHeight="1">
      <c r="A198" s="91" t="str">
        <f>IF('Inputs Yr 2'!$B198=0,"",'Inputs Yr 2'!A198)</f>
        <v>C - Commercial &amp; Industrial</v>
      </c>
      <c r="B198" s="91" t="str">
        <f>IF('Inputs Yr 2'!$B198=0,"",'Inputs Yr 2'!B198)</f>
        <v>C1 - C&amp;I New Construction</v>
      </c>
      <c r="C198" s="91" t="str">
        <f>IF('Inputs Yr 2'!$B198=0,"",'Inputs Yr 2'!C198)</f>
        <v>C1a - C&amp;I New Buildings &amp; Major Renovations</v>
      </c>
      <c r="D198" s="91" t="str">
        <f>IF('Inputs Yr 2'!$B198=0,"",'Inputs Yr 2'!E198)</f>
        <v>Control - Custom 15</v>
      </c>
      <c r="E198" s="93" t="str">
        <f>IF('Inputs Yr 2'!$B198=0,"",'Inputs Yr 2'!F198)</f>
        <v>G16C1a40</v>
      </c>
      <c r="F198" s="93" t="str">
        <f>IF('Inputs Yr 2'!$B198=0,"",'Inputs Yr 2'!G198)</f>
        <v>HVAC</v>
      </c>
      <c r="G198" s="95">
        <f>IF('Inputs Yr 2'!$H198&lt;&gt;0,('Inputs Yr 2'!H198),"")</f>
        <v>1</v>
      </c>
      <c r="H198" s="94">
        <f>IFERROR('Inputs Yr 2'!I198,"")</f>
        <v>15</v>
      </c>
      <c r="I198" s="298">
        <f>IFERROR('Inputs Yr 2'!J198*'Inputs Yr 2'!P198*G198,"")</f>
        <v>5420.2620000000006</v>
      </c>
      <c r="J198" s="298">
        <f>IFERROR('Inputs Yr 2'!K198*G198,"")</f>
        <v>4423.5</v>
      </c>
      <c r="K198" s="298">
        <f t="shared" ref="K198:K261" si="113">IFERROR(I198-J198,"")</f>
        <v>996.76200000000063</v>
      </c>
      <c r="L198" s="194">
        <f>IFERROR(('Inputs Yr 2'!W198*G198)/1000,"")</f>
        <v>0</v>
      </c>
      <c r="M198" s="194">
        <f>IFERROR(L198*('Inputs Yr 2'!$Q198*'Inputs Yr 2'!$V198*'Inputs Yr 2'!$R198),"")</f>
        <v>0</v>
      </c>
      <c r="N198" s="194">
        <f t="shared" ref="N198:N261" si="114">IFERROR(M198*$H198,"")</f>
        <v>0</v>
      </c>
      <c r="O198" s="194">
        <f>IFERROR(M198*'Inputs Yr 2'!P198,"")</f>
        <v>0</v>
      </c>
      <c r="P198" s="194">
        <f t="shared" ref="P198:P261" si="115">IFERROR(O198*$H198,"")</f>
        <v>0</v>
      </c>
      <c r="Q198" s="194">
        <f>IFERROR($P198*'Inputs Yr 2'!AA198,"")</f>
        <v>0</v>
      </c>
      <c r="R198" s="194">
        <f>IFERROR($P198*'Inputs Yr 2'!AB198,"")</f>
        <v>0</v>
      </c>
      <c r="S198" s="194">
        <f>IFERROR($P198*'Inputs Yr 2'!AC198,"")</f>
        <v>0</v>
      </c>
      <c r="T198" s="194">
        <f>IFERROR($P198*'Inputs Yr 2'!AD198,"")</f>
        <v>0</v>
      </c>
      <c r="U198" s="194">
        <f>IFERROR(G198*'Inputs Yr 2'!$AE198*'Inputs Yr 2'!$P198*'Inputs Yr 2'!$Q198,"")</f>
        <v>0</v>
      </c>
      <c r="V198" s="194">
        <f>IFERROR($G198*'Inputs Yr 2'!$AE198*'Inputs Yr 2'!$AG198*'Inputs Yr 2'!Q198*'Inputs Yr 2'!$S198,"")</f>
        <v>0</v>
      </c>
      <c r="W198" s="194">
        <f>IFERROR($G198*'Inputs Yr 2'!$AE198*'Inputs Yr 2'!$AG198*'Inputs Yr 2'!P198*'Inputs Yr 2'!Q198*'Inputs Yr 2'!$S198,"")</f>
        <v>0</v>
      </c>
      <c r="X198" s="194">
        <f>IFERROR($G198*'Inputs Yr 2'!$AE198*'Inputs Yr 2'!$AF198*'Inputs Yr 2'!Q198*'Inputs Yr 2'!$T198,"")</f>
        <v>0</v>
      </c>
      <c r="Y198" s="194">
        <f>IFERROR($G198*'Inputs Yr 2'!$AE198*'Inputs Yr 2'!$AF198*'Inputs Yr 2'!P198*'Inputs Yr 2'!Q198*'Inputs Yr 2'!$T198,"")</f>
        <v>0</v>
      </c>
      <c r="Z198" s="257">
        <f>IFERROR($G198*'Inputs Yr 2'!$Q198*'Inputs Yr 2'!$U198*(IF(IFERROR(SEARCH("NG", 'Inputs Yr 2'!$AJ198),0),'Inputs Yr 2'!$AK198,0)+IF(IFERROR(SEARCH("NG", 'Inputs Yr 2'!$AL198),0),'Inputs Yr 2'!$AM198,0)+IF(IFERROR(SEARCH("NG", 'Inputs Yr 2'!$AN198),0),'Inputs Yr 2'!$AO198,0)),0)</f>
        <v>229.72709999999998</v>
      </c>
      <c r="AA198" s="257">
        <f t="shared" ref="AA198:AA261" si="116">IFERROR(Z198*$H198,0)</f>
        <v>3445.9064999999996</v>
      </c>
      <c r="AB198" s="257">
        <f>IFERROR(Z198*'Inputs Yr 2'!$P198,0)</f>
        <v>211.1192049</v>
      </c>
      <c r="AC198" s="257">
        <f t="shared" ref="AC198:AC261" si="117">IFERROR(AB198*$H198,0)</f>
        <v>3166.7880734999999</v>
      </c>
      <c r="AD198" s="257">
        <f>IFERROR($G198*'Inputs Yr 2'!$Q198*'Inputs Yr 2'!$U198*(IF(IFERROR(SEARCH("Oil", 'Inputs Yr 2'!$AJ198), 0),'Inputs Yr 2'!$AK198,0)+IF(IFERROR(SEARCH("Oil", 'Inputs Yr 2'!$AL198), 0),'Inputs Yr 2'!$AM198,0)+IF(IFERROR(SEARCH("Oil", 'Inputs Yr 2'!$AN198), 0),'Inputs Yr 2'!$AO198,0)),0)</f>
        <v>0</v>
      </c>
      <c r="AE198" s="257">
        <f t="shared" ref="AE198:AE261" si="118">IFERROR(AD198*$H198,0)</f>
        <v>0</v>
      </c>
      <c r="AF198" s="257">
        <f>IFERROR(AD198*'Inputs Yr 2'!$P198,0)</f>
        <v>0</v>
      </c>
      <c r="AG198" s="257">
        <f t="shared" ref="AG198:AG261" si="119">IFERROR(AF198*$H198,0)</f>
        <v>0</v>
      </c>
      <c r="AH198" s="257">
        <f>IFERROR($G198*'Inputs Yr 2'!$Q198*'Inputs Yr 2'!$U198*(IF('Inputs Yr 2'!$AJ198=CD$4,'Inputs Yr 2'!$AK198,IF('Inputs Yr 2'!$AL198=CD$4,'Inputs Yr 2'!$AM198,IF('Inputs Yr 2'!$AN198=CD$4,'Inputs Yr 2'!$AO198,0)))),0)</f>
        <v>0</v>
      </c>
      <c r="AI198" s="257">
        <f t="shared" ref="AI198:AI261" si="120">IFERROR(AH198*$H198,0)</f>
        <v>0</v>
      </c>
      <c r="AJ198" s="257">
        <f>IFERROR(AH198*'Inputs Yr 2'!$P198,0)</f>
        <v>0</v>
      </c>
      <c r="AK198" s="257">
        <f t="shared" ref="AK198:AK261" si="121">IFERROR(AJ198*$H198,0)</f>
        <v>0</v>
      </c>
      <c r="AL198" s="258">
        <f>IFERROR($G198*'Inputs Yr 2'!$P198*'Inputs Yr 2'!$Q198*'Inputs Yr 2'!AP198,0)</f>
        <v>0</v>
      </c>
      <c r="AM198" s="260">
        <f>IFERROR($G198*'Inputs Yr 2'!$P198*'Inputs Yr 2'!$Q198*'Inputs Yr 2'!AQ198,0)</f>
        <v>0</v>
      </c>
      <c r="AN198" s="258">
        <f>IFERROR($G198*'Inputs Yr 2'!$P198*'Inputs Yr 2'!$Q198*'Inputs Yr 2'!AR198,0)</f>
        <v>0</v>
      </c>
      <c r="AO198" s="257">
        <f t="shared" ref="AO198:AO261" si="122">IFERROR(SUM(AL198:AM198)*$H198,0)</f>
        <v>0</v>
      </c>
      <c r="AP198" s="195">
        <f>IFERROR($CQ198*(INDEX(avoidedcosttbl2,$H198,AP$2)+(($H198-ROUNDDOWN($H198,0))*(INDEX(avoidedcosttbl2,ROUNDUP($H198,0),AP$2)-(INDEX(avoidedcosttbl2,ROUNDDOWN($H198,0),AP$2)))))*$O198*1000*'Inputs Yr 2'!AA198,"")</f>
        <v>0</v>
      </c>
      <c r="AQ198" s="195">
        <f>IFERROR($CR198*(INDEX(avoidedcosttbl2,$H198,AQ$2)+(($H198-ROUNDDOWN($H198,0))*(INDEX(avoidedcosttbl2,ROUNDUP($H198,0),AQ$2)-(INDEX(avoidedcosttbl2,ROUNDDOWN($H198,0),AQ$2)))))*$O198*1000*'Inputs Yr 2'!AB198,"")</f>
        <v>0</v>
      </c>
      <c r="AR198" s="195">
        <f>IFERROR($CS198*(INDEX(avoidedcosttbl2,$H198,AR$2)+(($H198-ROUNDDOWN($H198,0))*(INDEX(avoidedcosttbl2,ROUNDUP($H198,0),AR$2)-(INDEX(avoidedcosttbl2,ROUNDDOWN($H198,0),AR$2)))))*$O198*1000*'Inputs Yr 2'!AC198,"")</f>
        <v>0</v>
      </c>
      <c r="AS198" s="195">
        <f>IFERROR($CT198*(INDEX(avoidedcosttbl2,$H198,AS$2)+(($H198-ROUNDDOWN($H198,0))*(INDEX(avoidedcosttbl2,ROUNDUP($H198,0),AS$2)-(INDEX(avoidedcosttbl2,ROUNDDOWN($H198,0),AS$2)))))*$O198*1000*'Inputs Yr 2'!AD198,"")</f>
        <v>0</v>
      </c>
      <c r="AT198" s="196">
        <f t="shared" ref="AT198:AT261" si="123">IFERROR(SUM(AP198:AS198),"")</f>
        <v>0</v>
      </c>
      <c r="AU198" s="197">
        <f>IFERROR($CQ198*((INDEX(avoidedcosttbl2,$H198,AU$2))+(($H198-ROUNDDOWN($H198,0))*((INDEX(avoidedcosttbl2,ROUNDUP($H198,0),AU$2))-(INDEX(avoidedcosttbl2,ROUNDDOWN($H198,0),AU$2)))))*$O198*1000*'Inputs Yr 2'!AA198,"")</f>
        <v>0</v>
      </c>
      <c r="AV198" s="197">
        <f>IFERROR($CR198*((INDEX(avoidedcosttbl2,$H198,AV$2))+(($H198-ROUNDDOWN($H198,0))*((INDEX(avoidedcosttbl2,ROUNDUP($H198,0),AV$2))-(INDEX(avoidedcosttbl2,ROUNDDOWN($H198,0),AV$2)))))*$O198*1000*'Inputs Yr 2'!AB198,"")</f>
        <v>0</v>
      </c>
      <c r="AW198" s="197">
        <f>IFERROR($CS198*((INDEX(avoidedcosttbl2,$H198,AW$2))+(($H198-ROUNDDOWN($H198,0))*((INDEX(avoidedcosttbl2,ROUNDUP($H198,0),AW$2))-(INDEX(avoidedcosttbl2,ROUNDDOWN($H198,0),AW$2)))))*$O198*1000*'Inputs Yr 2'!AC198,"")</f>
        <v>0</v>
      </c>
      <c r="AX198" s="197">
        <f>IFERROR($CT198*((INDEX(avoidedcosttbl2,$H198,AX$2))+(($H198-ROUNDDOWN($H198,0))*((INDEX(avoidedcosttbl2,ROUNDUP($H198,0),AX$2))-(INDEX(avoidedcosttbl2,ROUNDDOWN($H198,0),AX$2)))))*$O198*1000*'Inputs Yr 2'!AD198,"")</f>
        <v>0</v>
      </c>
      <c r="AY198" s="197">
        <f>IFERROR(((INDEX(avoidedcosttbl2,$H198,AY$2))+(($H198-ROUNDDOWN($H198,0))*((INDEX(avoidedcosttbl2,ROUNDUP($H198,0),AY$2))-(INDEX(avoidedcosttbl2,ROUNDDOWN($H198,0),AY$2)))))*$O198*1000*('Inputs Yr 2'!AC198+'Inputs Yr 2'!AD198),"")</f>
        <v>0</v>
      </c>
      <c r="AZ198" s="197">
        <f>IFERROR(((INDEX(avoidedcosttbl2,$H198,AZ$2))+(($H198-ROUNDDOWN($H198,0))*((INDEX(avoidedcosttbl2,ROUNDUP($H198,0),AZ$2))-(INDEX(avoidedcosttbl2,ROUNDDOWN($H198,0),AZ$2)))))*$O198*1000*('Inputs Yr 2'!AA198+'Inputs Yr 2'!AB198),"")</f>
        <v>0</v>
      </c>
      <c r="BA198" s="198">
        <f t="shared" ref="BA198:BA261" si="124">IFERROR(SUM(AU198:AZ198),"")</f>
        <v>0</v>
      </c>
      <c r="BB198" s="198">
        <f t="shared" ref="BB198:BB261" si="125">IFERROR(SUM(AT198,BA198),"")</f>
        <v>0</v>
      </c>
      <c r="BC198" s="195">
        <f t="shared" si="107"/>
        <v>0</v>
      </c>
      <c r="BD198" s="195">
        <f t="shared" si="108"/>
        <v>0</v>
      </c>
      <c r="BE198" s="195">
        <f t="shared" si="109"/>
        <v>0</v>
      </c>
      <c r="BF198" s="195">
        <f t="shared" si="110"/>
        <v>0</v>
      </c>
      <c r="BG198" s="195">
        <f t="shared" si="111"/>
        <v>0</v>
      </c>
      <c r="BH198" s="196">
        <f t="shared" ref="BH198:BH261" si="126">IFERROR(SUM(BC198:BG198),"")</f>
        <v>0</v>
      </c>
      <c r="BI198" s="196">
        <f t="shared" ref="BI198:BI261" si="127">IFERROR(BB198+BH198,"")</f>
        <v>0</v>
      </c>
      <c r="BJ198" s="195">
        <f>IFERROR($G198*(IF('Inputs Yr 2'!$AJ198=BJ$4,'Inputs Yr 2'!$AK198,IF('Inputs Yr 2'!$AL198=BJ$4,'Inputs Yr 2'!$AM198,IF('Inputs Yr 2'!$AN198=BJ$4,'Inputs Yr 2'!$AO198,0))))*(INDEX(avoidedcosttbl2,$H198,BJ$2)+(($H198-ROUNDDOWN($H198,0))*(INDEX(avoidedcosttbl2,ROUNDUP($H198,0),BJ$2)-(INDEX(avoidedcosttbl2,ROUNDDOWN($H198,0),BJ$2)))))*'Inputs Yr 2'!P198*'Inputs Yr 2'!Q198*'Inputs Yr 2'!U198,"")</f>
        <v>0</v>
      </c>
      <c r="BK198" s="195">
        <f>IFERROR($G198*(IF('Inputs Yr 2'!$AJ198=BK$4,'Inputs Yr 2'!$AK198,IF('Inputs Yr 2'!$AL198=BK$4,'Inputs Yr 2'!$AM198,IF('Inputs Yr 2'!$AN198=BK$4,'Inputs Yr 2'!$AO198,0))))*(INDEX(avoidedcosttbl2,$H198,BK$2)+(($H198-ROUNDDOWN($H198,0))*(INDEX(avoidedcosttbl2,ROUNDUP($H198,0),BK$2)-(INDEX(avoidedcosttbl2,ROUNDDOWN($H198,0),BK$2)))))*'Inputs Yr 2'!P198*'Inputs Yr 2'!Q198*'Inputs Yr 2'!U198,"")</f>
        <v>0</v>
      </c>
      <c r="BL198" s="195">
        <f>IFERROR($G198*(IF('Inputs Yr 2'!$AJ198=BL$4,'Inputs Yr 2'!$AK198,IF('Inputs Yr 2'!$AL198=BL$4,'Inputs Yr 2'!$AM198,IF('Inputs Yr 2'!$AN198=BL$4,'Inputs Yr 2'!$AO198,0))))*(INDEX(avoidedcosttbl2,$H198,BL$2)+(($H198-ROUNDDOWN($H198,0))*(INDEX(avoidedcosttbl2,ROUNDUP($H198,0),BL$2)-(INDEX(avoidedcosttbl2,ROUNDDOWN($H198,0),BL$2)))))*'Inputs Yr 2'!P198*'Inputs Yr 2'!Q198*'Inputs Yr 2'!U198,"")</f>
        <v>0</v>
      </c>
      <c r="BM198" s="195">
        <f>IFERROR($G198*(IF('Inputs Yr 2'!$AJ198=BM$4,'Inputs Yr 2'!$AK198,IF('Inputs Yr 2'!$AL198=BM$4,'Inputs Yr 2'!$AM198,IF('Inputs Yr 2'!$AN198=BM$4,'Inputs Yr 2'!$AO198,0))))*(INDEX(avoidedcosttbl2,$H198,BM$2)+(($H198-ROUNDDOWN($H198,0))*(INDEX(avoidedcosttbl2,ROUNDUP($H198,0),BM$2)-(INDEX(avoidedcosttbl2,ROUNDDOWN($H198,0),BM$2)))))*'Inputs Yr 2'!P198*'Inputs Yr 2'!Q198*'Inputs Yr 2'!U198,"")</f>
        <v>0</v>
      </c>
      <c r="BN198" s="195">
        <f>IFERROR($G198*(IF('Inputs Yr 2'!$AJ198=BN$4,'Inputs Yr 2'!$AK198,IF('Inputs Yr 2'!$AL198=BN$4,'Inputs Yr 2'!$AM198,IF('Inputs Yr 2'!$AN198=BN$4,'Inputs Yr 2'!$AO198,0))))*(INDEX(avoidedcosttbl2,$H198,BN$2)+(($H198-ROUNDDOWN($H198,0))*(INDEX(avoidedcosttbl2,ROUNDUP($H198,0),BN$2)-(INDEX(avoidedcosttbl2,ROUNDDOWN($H198,0),BN$2)))))*'Inputs Yr 2'!P198*'Inputs Yr 2'!Q198*'Inputs Yr 2'!U198,"")</f>
        <v>0</v>
      </c>
      <c r="BO198" s="195">
        <f>IFERROR($G198*(IF('Inputs Yr 2'!$AJ198=BO$4,'Inputs Yr 2'!$AK198,IF('Inputs Yr 2'!$AL198=BO$4,'Inputs Yr 2'!$AM198,IF('Inputs Yr 2'!$AN198=BO$4,'Inputs Yr 2'!$AO198,0))))*(INDEX(avoidedcosttbl2,$H198,BO$2)+(($H198-ROUNDDOWN($H198,0))*(INDEX(avoidedcosttbl2,ROUNDUP($H198,0),BO$2)-(INDEX(avoidedcosttbl2,ROUNDDOWN($H198,0),BO$2)))))*'Inputs Yr 2'!P198*'Inputs Yr 2'!Q198*'Inputs Yr 2'!U198,"")</f>
        <v>24697.981859191357</v>
      </c>
      <c r="BP198" s="195">
        <f>IFERROR($G198*(IF('Inputs Yr 2'!$AJ198=BP$4,'Inputs Yr 2'!$AK198,IF('Inputs Yr 2'!$AL198=BP$4,'Inputs Yr 2'!$AM198,IF('Inputs Yr 2'!$AN198=BP$4,'Inputs Yr 2'!$AO198,0))))*(INDEX(avoidedcosttbl2,$H198,BP$2)+(($H198-ROUNDDOWN($H198,0))*(INDEX(avoidedcosttbl2,ROUNDUP($H198,0),BP$2)-(INDEX(avoidedcosttbl2,ROUNDDOWN($H198,0),BP$2)))))*'Inputs Yr 2'!P198*'Inputs Yr 2'!Q198*'Inputs Yr 2'!U198,"")</f>
        <v>0</v>
      </c>
      <c r="BQ198" s="230">
        <f t="shared" ref="BQ198:BQ261" si="128">IFERROR(SUM(BJ198:BP198),"")</f>
        <v>24697.981859191357</v>
      </c>
      <c r="BR198" s="197">
        <f t="shared" si="112"/>
        <v>429.23248767752904</v>
      </c>
      <c r="BS198" s="197">
        <f>IFERROR(($G198*IF('Inputs Yr 2'!$AJ198=BM$4,'Inputs Yr 2'!$AK198,IF('Inputs Yr 2'!$AL198=BM$4,'Inputs Yr 2'!$AM198,IF('Inputs Yr 2'!$AN198=BM$4,'Inputs Yr 2'!$AO198,0))))*(INDEX(avoidedcosttbl2,$H198,BS$2)+(($H198-ROUNDDOWN($H198,0))*(INDEX(avoidedcosttbl2,ROUNDUP($H198,0),BS$2)-(INDEX(avoidedcosttbl2,ROUNDDOWN($H198,0),BS$2)))))*'Inputs Yr 2'!P198*'Inputs Yr 2'!Q198*'Inputs Yr 2'!U198,"")</f>
        <v>0</v>
      </c>
      <c r="BT198" s="197">
        <f>IFERROR(($G198*IF('Inputs Yr 2'!$AJ198=BK$4,'Inputs Yr 2'!$AK198,IF('Inputs Yr 2'!$AL198=BK$4,'Inputs Yr 2'!$AM198,IF('Inputs Yr 2'!$AN198=BK$4,'Inputs Yr 2'!$AO198,0))))*(INDEX(avoidedcosttbl2,$H198,BT$2)+(($H198-ROUNDDOWN($H198,0))*(INDEX(avoidedcosttbl2,ROUNDUP($H198,0),BT$2)-(INDEX(avoidedcosttbl2,ROUNDDOWN($H198,0),BT$2)))))*'Inputs Yr 2'!P198*'Inputs Yr 2'!Q198*'Inputs Yr 2'!U198,"")</f>
        <v>0</v>
      </c>
      <c r="BU198" s="197">
        <f>IFERROR(($G198*IF('Inputs Yr 2'!$AJ198=BL$4,'Inputs Yr 2'!$AK198,IF('Inputs Yr 2'!$AL198=BL$4,'Inputs Yr 2'!$AM198,IF('Inputs Yr 2'!$AN198=BL$4,'Inputs Yr 2'!$AO198,0))))*(INDEX(avoidedcosttbl2,$H198,BU$2)+(($H198-ROUNDDOWN($H198,0))*(INDEX(avoidedcosttbl2,ROUNDUP($H198,0),BU$2)-(INDEX(avoidedcosttbl2,ROUNDDOWN($H198,0),BU$2)))))*'Inputs Yr 2'!P198*'Inputs Yr 2'!Q198*'Inputs Yr 2'!U198,"")</f>
        <v>0</v>
      </c>
      <c r="BV198" s="775">
        <f>IFERROR(($G198*IF('Inputs Yr 2'!$AJ198=BJ$4,'Inputs Yr 2'!$AK198,IF('Inputs Yr 2'!$AL198=BJ$4,'Inputs Yr 2'!$AM198,IF('Inputs Yr 2'!$AN198=BJ$4,'Inputs Yr 2'!$AO198,0))))*(INDEX(avoidedcosttbl2,$H198,BV$2)+(($H198-ROUNDDOWN($H198,0))*(INDEX(avoidedcosttbl2,ROUNDUP($H198,0),BV$2)-(INDEX(avoidedcosttbl2,ROUNDDOWN($H198,0),BV$2)))))*'Inputs Yr 2'!P198*'Inputs Yr 2'!Q198*'Inputs Yr 2'!U198,"")</f>
        <v>0</v>
      </c>
      <c r="BW198" s="197">
        <f>IFERROR(($G198*IF('Inputs Yr 2'!$AJ198=BN$4,'Inputs Yr 2'!$AK198,IF('Inputs Yr 2'!$AL198=BN$4,'Inputs Yr 2'!$AM198,IF('Inputs Yr 2'!$AN198=BN$4,'Inputs Yr 2'!$AO198,0))))*(INDEX(avoidedcosttbl2,$H198,BW$2)+(($H198-ROUNDDOWN($H198,0))*(INDEX(avoidedcosttbl2,ROUNDUP($H198,0),BW$2)-(INDEX(avoidedcosttbl2,ROUNDDOWN($H198,0),BW$2)))))*'Inputs Yr 2'!P198*'Inputs Yr 2'!Q198*'Inputs Yr 2'!U198,"")</f>
        <v>0</v>
      </c>
      <c r="BX198" s="197">
        <f>IFERROR(($G198*IF('Inputs Yr 2'!$AJ198=BO$4,'Inputs Yr 2'!$AK198,IF('Inputs Yr 2'!$AL198=BO$4,'Inputs Yr 2'!$AM198,IF('Inputs Yr 2'!$AN198=BO$4,'Inputs Yr 2'!$AO198,0))))*(INDEX(avoidedcosttbl2,$H198,BX$2)+(($H198-ROUNDDOWN($H198,0))*(INDEX(avoidedcosttbl2,ROUNDUP($H198,0),BX$2)-(INDEX(avoidedcosttbl2,ROUNDDOWN($H198,0),BX$2)))))*'Inputs Yr 2'!P198*'Inputs Yr 2'!Q198*'Inputs Yr 2'!U198,"")</f>
        <v>1740.6329103321266</v>
      </c>
      <c r="BY198" s="197">
        <f>IFERROR(($G198*IF('Inputs Yr 2'!$AJ198=BP$4,'Inputs Yr 2'!$AK198,IF('Inputs Yr 2'!$AL198=BP$4,'Inputs Yr 2'!$AM198,IF('Inputs Yr 2'!$AN198=BP$4,'Inputs Yr 2'!$AO198,0))))*(INDEX(avoidedcosttbl2,$H198,BY$2)+(($H198-ROUNDDOWN($H198,0))*(INDEX(avoidedcosttbl2,ROUNDUP($H198,0),BY$2)-(INDEX(avoidedcosttbl2,ROUNDDOWN($H198,0),BY$2)))))*'Inputs Yr 2'!P198*'Inputs Yr 2'!Q198*'Inputs Yr 2'!U198,"")</f>
        <v>0</v>
      </c>
      <c r="BZ198" s="193">
        <f t="shared" ref="BZ198:BZ261" si="129">IFERROR(SUM(BR198:BY198),"")</f>
        <v>2169.8653980096556</v>
      </c>
      <c r="CA198" s="193">
        <f t="shared" ref="CA198:CA261" si="130">IFERROR(BQ198+BZ198,"")</f>
        <v>26867.847257201014</v>
      </c>
      <c r="CB198" s="195">
        <f>IFERROR(G198*(IF('Inputs Yr 2'!$AJ198=CB$4,'Inputs Yr 2'!$AK198,IF('Inputs Yr 2'!$AL198=CB$4,'Inputs Yr 2'!$AM198,IF('Inputs Yr 2'!$AN198=CB$4,'Inputs Yr 2'!$AO198,0))))*(INDEX(avoidedcosttbl2,$H198,CB$2)+(($H198-ROUNDDOWN($H198,0))*(INDEX(avoidedcosttbl2,ROUNDUP($H198,0),CB$2)-(INDEX(avoidedcosttbl2,ROUNDDOWN($H198,0),CB$2)))))*'Inputs Yr 2'!P198*'Inputs Yr 2'!Q198*'Inputs Yr 2'!U198,"")</f>
        <v>0</v>
      </c>
      <c r="CC198" s="195">
        <f>IFERROR(H198*(IF('Inputs Yr 2'!$AJ198=CC$4,'Inputs Yr 2'!$AK198,IF('Inputs Yr 2'!$AL198=CC$4,'Inputs Yr 2'!$AM198,IF('Inputs Yr 2'!$AN198=CC$4,'Inputs Yr 2'!$AO198,0))))*(INDEX(avoidedcosttbl2,$H198,CC$2)+(($H198-ROUNDDOWN($H198,0))*(INDEX(avoidedcosttbl2,ROUNDUP($H198,0),CC$2)-(INDEX(avoidedcosttbl2,ROUNDDOWN($H198,0),CC$2)))))*'Inputs Yr 2'!Q198*'Inputs Yr 2'!R198*'Inputs Yr 2'!V198,"")</f>
        <v>0</v>
      </c>
      <c r="CD198" s="195">
        <f>IFERROR(I198*(IF('Inputs Yr 2'!$AJ198=CD$4,'Inputs Yr 2'!$AK198,IF('Inputs Yr 2'!$AL198=CD$4,'Inputs Yr 2'!$AM198,IF('Inputs Yr 2'!$AN198=CD$4,'Inputs Yr 2'!$AO198,0))))*(INDEX(avoidedcosttbl2,$H198,CD$2)+(($H198-ROUNDDOWN($H198,0))*(INDEX(avoidedcosttbl2,ROUNDUP($H198,0),CD$2)-(INDEX(avoidedcosttbl2,ROUNDDOWN($H198,0),CD$2)))))*'Inputs Yr 2'!R198*'Inputs Yr 2'!S198*'Inputs Yr 2'!W198,"")</f>
        <v>0</v>
      </c>
      <c r="CE198" s="213">
        <f t="shared" ref="CE198:CE261" si="131">IFERROR(AL198*(INDEX(avoidedcosttbl2,$H198,CE$2)+(($H198-ROUNDDOWN($H198,0))*(INDEX(avoidedcosttbl2,ROUNDUP($H198,0),CE$2)-(INDEX(avoidedcosttbl2,ROUNDDOWN($H198,0),CE$2))))),"")</f>
        <v>0</v>
      </c>
      <c r="CF198" s="213">
        <f t="shared" ref="CF198:CF261" si="132">IFERROR(AM198*(INDEX(avoidedcosttbl2,$H198,CF$2)+(($H198-ROUNDDOWN($H198,0))*(INDEX(avoidedcosttbl2,ROUNDUP($H198,0),CF$2)-(INDEX(avoidedcosttbl2,ROUNDDOWN($H198,0),CF$2))))),"")</f>
        <v>0</v>
      </c>
      <c r="CG198" s="213">
        <f t="shared" ref="CG198:CG261" si="133">IFERROR(AN198*(INDEX(avoidedcosttbl2,$H198,CG$2)+(($H198-ROUNDDOWN($H198,0))*(INDEX(avoidedcosttbl2,ROUNDUP($H198,0),CG$2)-(INDEX(avoidedcosttbl2,ROUNDDOWN($H198,0),CG$2))))),"")</f>
        <v>0</v>
      </c>
      <c r="CH198" s="698">
        <f t="shared" ref="CH198:CH261" si="134">IFERROR(SUM(CA198:CG198),"")</f>
        <v>26867.847257201014</v>
      </c>
      <c r="CI198" s="79">
        <f>IFERROR(($G198*'Inputs Yr 2'!$P198*'Inputs Yr 2'!$Q198*(((INDEX(avoidedcosttbl2,$H198,CI$2)+(($H198-ROUNDDOWN($H198,0))*(INDEX(avoidedcosttbl2,ROUNDUP($H198,0),CI$2)-INDEX(avoidedcosttbl2,ROUNDDOWN($H198,0),CI$2))))*'Inputs Yr 2'!AS198))),"")</f>
        <v>0</v>
      </c>
      <c r="CJ198" s="504">
        <f>IFERROR($G198*'Inputs Yr 2'!AT198*'Inputs Yr 2'!$P198*'Inputs Yr 2'!$Q198/((1+realdiscrt1)^-0.5),"")</f>
        <v>0</v>
      </c>
      <c r="CK198" s="79">
        <f>IFERROR((O198*1000*(((INDEX(avoidedcosttbl2,$H198,CK$2)+(($H198-ROUNDDOWN($H198,0))*(INDEX(avoidedcosttbl2,ROUNDUP($H198,0),CK$2)-INDEX(avoidedcosttbl2,ROUNDDOWN($H198,0),CK$2))))*'Inputs Yr 2'!AU198))),"")</f>
        <v>0</v>
      </c>
      <c r="CL198" s="504">
        <f>IFERROR(O198*1000*'Inputs Yr 2'!AV198/((1+realdiscrt1)^-0.5),"")</f>
        <v>0</v>
      </c>
      <c r="CM198" s="79">
        <f>IFERROR((AB198*'Inputs Yr 2'!AW198*(((INDEX(avoidedcosttbl2,$H198,CM$2)+(($H198-ROUNDDOWN($H198,0))*(INDEX(avoidedcosttbl2,ROUNDUP($H198,0),CM$2)-INDEX(avoidedcosttbl2,ROUNDDOWN($H198,0),CM$2)))))))*10,"")</f>
        <v>0</v>
      </c>
      <c r="CN198" s="504">
        <f>IFERROR(10*AB198*'Inputs Yr 2'!AX198/((1+realdiscrt1)^-0.5),"")</f>
        <v>0</v>
      </c>
      <c r="CO198" s="505">
        <f t="shared" ref="CO198:CO261" si="135">SUM(CI198:CN198)</f>
        <v>0</v>
      </c>
      <c r="CP198" s="230">
        <f t="shared" ref="CP198:CP261" si="136">IFERROR(CO198+CH198+BI198,"")</f>
        <v>26867.847257201014</v>
      </c>
      <c r="CQ198" s="199">
        <f>ROUND(IFERROR(IF(LEFT($A198,1)="C",'Avoided Costs'!$K$13,'Avoided Costs'!$K$12)+1,""),4)</f>
        <v>1.0720000000000001</v>
      </c>
      <c r="CR198" s="199">
        <f>ROUND(IFERROR(IF(LEFT($A198,1)="C",'Avoided Costs'!$L$13,'Avoided Costs'!$L$12)+1,""),4)</f>
        <v>1.04</v>
      </c>
      <c r="CS198" s="199">
        <f>ROUND(IFERROR(IF(LEFT($A198,1)="C",'Avoided Costs'!$M$13,'Avoided Costs'!$M$12)+1,""),4)</f>
        <v>1.0720000000000001</v>
      </c>
      <c r="CT198" s="199">
        <f>ROUND(IFERROR(IF(LEFT($A198,1)="C",'Avoided Costs'!$N$13,'Avoided Costs'!$N$12)+1,""),4)</f>
        <v>1.04</v>
      </c>
      <c r="CU198" s="199">
        <f>ROUND(IFERROR(IF(LEFT($A198,1)="C",'Avoided Costs'!$O$13,'Avoided Costs'!$O$12)+1,""),4)</f>
        <v>1.1120000000000001</v>
      </c>
      <c r="CV198" s="199">
        <f>ROUND(IFERROR(IF(LEFT($A198,1)="C",'Avoided Costs'!$P$13,'Avoided Costs'!$P$12)+1,""),4)</f>
        <v>1.095</v>
      </c>
      <c r="CW198" s="199">
        <f>ROUND(IFERROR(IF(LEFT($A198,1)="C",'Avoided Costs'!$Q$13,'Avoided Costs'!$Q$12)+1,""),4)</f>
        <v>1.1120000000000001</v>
      </c>
      <c r="CX198" s="200">
        <f>ROUND(IFERROR(IF(LEFT($A198,1)="C",'Avoided Costs'!$R$13,'Avoided Costs'!$R$12)+1,""),4)</f>
        <v>1.1120000000000001</v>
      </c>
    </row>
    <row r="199" spans="1:102" ht="12.75" customHeight="1">
      <c r="A199" s="91" t="str">
        <f>IF('Inputs Yr 2'!$B199=0,"",'Inputs Yr 2'!A199)</f>
        <v>C - Commercial &amp; Industrial</v>
      </c>
      <c r="B199" s="91" t="str">
        <f>IF('Inputs Yr 2'!$B199=0,"",'Inputs Yr 2'!B199)</f>
        <v>C1 - C&amp;I New Construction</v>
      </c>
      <c r="C199" s="91" t="str">
        <f>IF('Inputs Yr 2'!$B199=0,"",'Inputs Yr 2'!C199)</f>
        <v xml:space="preserve">C1b - C&amp;I Initial Purchase &amp; End of Useful Life </v>
      </c>
      <c r="D199" s="91" t="str">
        <f>IF('Inputs Yr 2'!$B199=0,"",'Inputs Yr 2'!E199)</f>
        <v xml:space="preserve">Food Services - Custom </v>
      </c>
      <c r="E199" s="93" t="str">
        <f>IF('Inputs Yr 2'!$B199=0,"",'Inputs Yr 2'!F199)</f>
        <v>G16C1b01</v>
      </c>
      <c r="F199" s="93" t="str">
        <f>IF('Inputs Yr 2'!$B199=0,"",'Inputs Yr 2'!G199)</f>
        <v>Food Service</v>
      </c>
      <c r="G199" s="95" t="str">
        <f>IF('Inputs Yr 2'!$H199&lt;&gt;0,('Inputs Yr 2'!H199),"")</f>
        <v/>
      </c>
      <c r="H199" s="94">
        <f>IFERROR('Inputs Yr 2'!I199,"")</f>
        <v>12</v>
      </c>
      <c r="I199" s="298" t="str">
        <f>IFERROR('Inputs Yr 2'!J199*'Inputs Yr 2'!P199*G199,"")</f>
        <v/>
      </c>
      <c r="J199" s="298" t="str">
        <f>IFERROR('Inputs Yr 2'!K199*G199,"")</f>
        <v/>
      </c>
      <c r="K199" s="298" t="str">
        <f t="shared" si="113"/>
        <v/>
      </c>
      <c r="L199" s="194" t="str">
        <f>IFERROR(('Inputs Yr 2'!W199*G199)/1000,"")</f>
        <v/>
      </c>
      <c r="M199" s="194" t="str">
        <f>IFERROR(L199*('Inputs Yr 2'!$Q199*'Inputs Yr 2'!$V199*'Inputs Yr 2'!$R199),"")</f>
        <v/>
      </c>
      <c r="N199" s="194" t="str">
        <f t="shared" si="114"/>
        <v/>
      </c>
      <c r="O199" s="194" t="str">
        <f>IFERROR(M199*'Inputs Yr 2'!P199,"")</f>
        <v/>
      </c>
      <c r="P199" s="194" t="str">
        <f t="shared" si="115"/>
        <v/>
      </c>
      <c r="Q199" s="194" t="str">
        <f>IFERROR($P199*'Inputs Yr 2'!AA199,"")</f>
        <v/>
      </c>
      <c r="R199" s="194" t="str">
        <f>IFERROR($P199*'Inputs Yr 2'!AB199,"")</f>
        <v/>
      </c>
      <c r="S199" s="194" t="str">
        <f>IFERROR($P199*'Inputs Yr 2'!AC199,"")</f>
        <v/>
      </c>
      <c r="T199" s="194" t="str">
        <f>IFERROR($P199*'Inputs Yr 2'!AD199,"")</f>
        <v/>
      </c>
      <c r="U199" s="194" t="str">
        <f>IFERROR(G199*'Inputs Yr 2'!$AE199*'Inputs Yr 2'!$P199*'Inputs Yr 2'!$Q199,"")</f>
        <v/>
      </c>
      <c r="V199" s="194" t="str">
        <f>IFERROR($G199*'Inputs Yr 2'!$AE199*'Inputs Yr 2'!$AG199*'Inputs Yr 2'!Q199*'Inputs Yr 2'!$S199,"")</f>
        <v/>
      </c>
      <c r="W199" s="194" t="str">
        <f>IFERROR($G199*'Inputs Yr 2'!$AE199*'Inputs Yr 2'!$AG199*'Inputs Yr 2'!P199*'Inputs Yr 2'!Q199*'Inputs Yr 2'!$S199,"")</f>
        <v/>
      </c>
      <c r="X199" s="194" t="str">
        <f>IFERROR($G199*'Inputs Yr 2'!$AE199*'Inputs Yr 2'!$AF199*'Inputs Yr 2'!Q199*'Inputs Yr 2'!$T199,"")</f>
        <v/>
      </c>
      <c r="Y199" s="194" t="str">
        <f>IFERROR($G199*'Inputs Yr 2'!$AE199*'Inputs Yr 2'!$AF199*'Inputs Yr 2'!P199*'Inputs Yr 2'!Q199*'Inputs Yr 2'!$T199,"")</f>
        <v/>
      </c>
      <c r="Z199" s="257">
        <f>IFERROR($G199*'Inputs Yr 2'!$Q199*'Inputs Yr 2'!$U199*(IF(IFERROR(SEARCH("NG", 'Inputs Yr 2'!$AJ199),0),'Inputs Yr 2'!$AK199,0)+IF(IFERROR(SEARCH("NG", 'Inputs Yr 2'!$AL199),0),'Inputs Yr 2'!$AM199,0)+IF(IFERROR(SEARCH("NG", 'Inputs Yr 2'!$AN199),0),'Inputs Yr 2'!$AO199,0)),0)</f>
        <v>0</v>
      </c>
      <c r="AA199" s="257">
        <f t="shared" si="116"/>
        <v>0</v>
      </c>
      <c r="AB199" s="257">
        <f>IFERROR(Z199*'Inputs Yr 2'!$P199,0)</f>
        <v>0</v>
      </c>
      <c r="AC199" s="257">
        <f t="shared" si="117"/>
        <v>0</v>
      </c>
      <c r="AD199" s="257">
        <f>IFERROR($G199*'Inputs Yr 2'!$Q199*'Inputs Yr 2'!$U199*(IF(IFERROR(SEARCH("Oil", 'Inputs Yr 2'!$AJ199), 0),'Inputs Yr 2'!$AK199,0)+IF(IFERROR(SEARCH("Oil", 'Inputs Yr 2'!$AL199), 0),'Inputs Yr 2'!$AM199,0)+IF(IFERROR(SEARCH("Oil", 'Inputs Yr 2'!$AN199), 0),'Inputs Yr 2'!$AO199,0)),0)</f>
        <v>0</v>
      </c>
      <c r="AE199" s="257">
        <f t="shared" si="118"/>
        <v>0</v>
      </c>
      <c r="AF199" s="257">
        <f>IFERROR(AD199*'Inputs Yr 2'!$P199,0)</f>
        <v>0</v>
      </c>
      <c r="AG199" s="257">
        <f t="shared" si="119"/>
        <v>0</v>
      </c>
      <c r="AH199" s="257">
        <f>IFERROR($G199*'Inputs Yr 2'!$Q199*'Inputs Yr 2'!$U199*(IF('Inputs Yr 2'!$AJ199=CD$4,'Inputs Yr 2'!$AK199,IF('Inputs Yr 2'!$AL199=CD$4,'Inputs Yr 2'!$AM199,IF('Inputs Yr 2'!$AN199=CD$4,'Inputs Yr 2'!$AO199,0)))),0)</f>
        <v>0</v>
      </c>
      <c r="AI199" s="257">
        <f t="shared" si="120"/>
        <v>0</v>
      </c>
      <c r="AJ199" s="257">
        <f>IFERROR(AH199*'Inputs Yr 2'!$P199,0)</f>
        <v>0</v>
      </c>
      <c r="AK199" s="257">
        <f t="shared" si="121"/>
        <v>0</v>
      </c>
      <c r="AL199" s="258">
        <f>IFERROR($G199*'Inputs Yr 2'!$P199*'Inputs Yr 2'!$Q199*'Inputs Yr 2'!AP199,0)</f>
        <v>0</v>
      </c>
      <c r="AM199" s="260">
        <f>IFERROR($G199*'Inputs Yr 2'!$P199*'Inputs Yr 2'!$Q199*'Inputs Yr 2'!AQ199,0)</f>
        <v>0</v>
      </c>
      <c r="AN199" s="258">
        <f>IFERROR($G199*'Inputs Yr 2'!$P199*'Inputs Yr 2'!$Q199*'Inputs Yr 2'!AR199,0)</f>
        <v>0</v>
      </c>
      <c r="AO199" s="257">
        <f t="shared" si="122"/>
        <v>0</v>
      </c>
      <c r="AP199" s="195" t="str">
        <f>IFERROR($CQ199*(INDEX(avoidedcosttbl2,$H199,AP$2)+(($H199-ROUNDDOWN($H199,0))*(INDEX(avoidedcosttbl2,ROUNDUP($H199,0),AP$2)-(INDEX(avoidedcosttbl2,ROUNDDOWN($H199,0),AP$2)))))*$O199*1000*'Inputs Yr 2'!AA199,"")</f>
        <v/>
      </c>
      <c r="AQ199" s="195" t="str">
        <f>IFERROR($CR199*(INDEX(avoidedcosttbl2,$H199,AQ$2)+(($H199-ROUNDDOWN($H199,0))*(INDEX(avoidedcosttbl2,ROUNDUP($H199,0),AQ$2)-(INDEX(avoidedcosttbl2,ROUNDDOWN($H199,0),AQ$2)))))*$O199*1000*'Inputs Yr 2'!AB199,"")</f>
        <v/>
      </c>
      <c r="AR199" s="195" t="str">
        <f>IFERROR($CS199*(INDEX(avoidedcosttbl2,$H199,AR$2)+(($H199-ROUNDDOWN($H199,0))*(INDEX(avoidedcosttbl2,ROUNDUP($H199,0),AR$2)-(INDEX(avoidedcosttbl2,ROUNDDOWN($H199,0),AR$2)))))*$O199*1000*'Inputs Yr 2'!AC199,"")</f>
        <v/>
      </c>
      <c r="AS199" s="195" t="str">
        <f>IFERROR($CT199*(INDEX(avoidedcosttbl2,$H199,AS$2)+(($H199-ROUNDDOWN($H199,0))*(INDEX(avoidedcosttbl2,ROUNDUP($H199,0),AS$2)-(INDEX(avoidedcosttbl2,ROUNDDOWN($H199,0),AS$2)))))*$O199*1000*'Inputs Yr 2'!AD199,"")</f>
        <v/>
      </c>
      <c r="AT199" s="196">
        <f t="shared" si="123"/>
        <v>0</v>
      </c>
      <c r="AU199" s="197" t="str">
        <f>IFERROR($CQ199*((INDEX(avoidedcosttbl2,$H199,AU$2))+(($H199-ROUNDDOWN($H199,0))*((INDEX(avoidedcosttbl2,ROUNDUP($H199,0),AU$2))-(INDEX(avoidedcosttbl2,ROUNDDOWN($H199,0),AU$2)))))*$O199*1000*'Inputs Yr 2'!AA199,"")</f>
        <v/>
      </c>
      <c r="AV199" s="197" t="str">
        <f>IFERROR($CR199*((INDEX(avoidedcosttbl2,$H199,AV$2))+(($H199-ROUNDDOWN($H199,0))*((INDEX(avoidedcosttbl2,ROUNDUP($H199,0),AV$2))-(INDEX(avoidedcosttbl2,ROUNDDOWN($H199,0),AV$2)))))*$O199*1000*'Inputs Yr 2'!AB199,"")</f>
        <v/>
      </c>
      <c r="AW199" s="197" t="str">
        <f>IFERROR($CS199*((INDEX(avoidedcosttbl2,$H199,AW$2))+(($H199-ROUNDDOWN($H199,0))*((INDEX(avoidedcosttbl2,ROUNDUP($H199,0),AW$2))-(INDEX(avoidedcosttbl2,ROUNDDOWN($H199,0),AW$2)))))*$O199*1000*'Inputs Yr 2'!AC199,"")</f>
        <v/>
      </c>
      <c r="AX199" s="197" t="str">
        <f>IFERROR($CT199*((INDEX(avoidedcosttbl2,$H199,AX$2))+(($H199-ROUNDDOWN($H199,0))*((INDEX(avoidedcosttbl2,ROUNDUP($H199,0),AX$2))-(INDEX(avoidedcosttbl2,ROUNDDOWN($H199,0),AX$2)))))*$O199*1000*'Inputs Yr 2'!AD199,"")</f>
        <v/>
      </c>
      <c r="AY199" s="197" t="str">
        <f>IFERROR(((INDEX(avoidedcosttbl2,$H199,AY$2))+(($H199-ROUNDDOWN($H199,0))*((INDEX(avoidedcosttbl2,ROUNDUP($H199,0),AY$2))-(INDEX(avoidedcosttbl2,ROUNDDOWN($H199,0),AY$2)))))*$O199*1000*('Inputs Yr 2'!AC199+'Inputs Yr 2'!AD199),"")</f>
        <v/>
      </c>
      <c r="AZ199" s="197" t="str">
        <f>IFERROR(((INDEX(avoidedcosttbl2,$H199,AZ$2))+(($H199-ROUNDDOWN($H199,0))*((INDEX(avoidedcosttbl2,ROUNDUP($H199,0),AZ$2))-(INDEX(avoidedcosttbl2,ROUNDDOWN($H199,0),AZ$2)))))*$O199*1000*('Inputs Yr 2'!AA199+'Inputs Yr 2'!AB199),"")</f>
        <v/>
      </c>
      <c r="BA199" s="198">
        <f t="shared" si="124"/>
        <v>0</v>
      </c>
      <c r="BB199" s="198">
        <f t="shared" si="125"/>
        <v>0</v>
      </c>
      <c r="BC199" s="195" t="str">
        <f t="shared" si="107"/>
        <v/>
      </c>
      <c r="BD199" s="195" t="str">
        <f t="shared" si="108"/>
        <v/>
      </c>
      <c r="BE199" s="195" t="str">
        <f t="shared" si="109"/>
        <v/>
      </c>
      <c r="BF199" s="195" t="str">
        <f t="shared" si="110"/>
        <v/>
      </c>
      <c r="BG199" s="195" t="str">
        <f t="shared" si="111"/>
        <v/>
      </c>
      <c r="BH199" s="196">
        <f t="shared" si="126"/>
        <v>0</v>
      </c>
      <c r="BI199" s="196">
        <f t="shared" si="127"/>
        <v>0</v>
      </c>
      <c r="BJ199" s="195" t="str">
        <f>IFERROR($G199*(IF('Inputs Yr 2'!$AJ199=BJ$4,'Inputs Yr 2'!$AK199,IF('Inputs Yr 2'!$AL199=BJ$4,'Inputs Yr 2'!$AM199,IF('Inputs Yr 2'!$AN199=BJ$4,'Inputs Yr 2'!$AO199,0))))*(INDEX(avoidedcosttbl2,$H199,BJ$2)+(($H199-ROUNDDOWN($H199,0))*(INDEX(avoidedcosttbl2,ROUNDUP($H199,0),BJ$2)-(INDEX(avoidedcosttbl2,ROUNDDOWN($H199,0),BJ$2)))))*'Inputs Yr 2'!P199*'Inputs Yr 2'!Q199*'Inputs Yr 2'!U199,"")</f>
        <v/>
      </c>
      <c r="BK199" s="195" t="str">
        <f>IFERROR($G199*(IF('Inputs Yr 2'!$AJ199=BK$4,'Inputs Yr 2'!$AK199,IF('Inputs Yr 2'!$AL199=BK$4,'Inputs Yr 2'!$AM199,IF('Inputs Yr 2'!$AN199=BK$4,'Inputs Yr 2'!$AO199,0))))*(INDEX(avoidedcosttbl2,$H199,BK$2)+(($H199-ROUNDDOWN($H199,0))*(INDEX(avoidedcosttbl2,ROUNDUP($H199,0),BK$2)-(INDEX(avoidedcosttbl2,ROUNDDOWN($H199,0),BK$2)))))*'Inputs Yr 2'!P199*'Inputs Yr 2'!Q199*'Inputs Yr 2'!U199,"")</f>
        <v/>
      </c>
      <c r="BL199" s="195" t="str">
        <f>IFERROR($G199*(IF('Inputs Yr 2'!$AJ199=BL$4,'Inputs Yr 2'!$AK199,IF('Inputs Yr 2'!$AL199=BL$4,'Inputs Yr 2'!$AM199,IF('Inputs Yr 2'!$AN199=BL$4,'Inputs Yr 2'!$AO199,0))))*(INDEX(avoidedcosttbl2,$H199,BL$2)+(($H199-ROUNDDOWN($H199,0))*(INDEX(avoidedcosttbl2,ROUNDUP($H199,0),BL$2)-(INDEX(avoidedcosttbl2,ROUNDDOWN($H199,0),BL$2)))))*'Inputs Yr 2'!P199*'Inputs Yr 2'!Q199*'Inputs Yr 2'!U199,"")</f>
        <v/>
      </c>
      <c r="BM199" s="195" t="str">
        <f>IFERROR($G199*(IF('Inputs Yr 2'!$AJ199=BM$4,'Inputs Yr 2'!$AK199,IF('Inputs Yr 2'!$AL199=BM$4,'Inputs Yr 2'!$AM199,IF('Inputs Yr 2'!$AN199=BM$4,'Inputs Yr 2'!$AO199,0))))*(INDEX(avoidedcosttbl2,$H199,BM$2)+(($H199-ROUNDDOWN($H199,0))*(INDEX(avoidedcosttbl2,ROUNDUP($H199,0),BM$2)-(INDEX(avoidedcosttbl2,ROUNDDOWN($H199,0),BM$2)))))*'Inputs Yr 2'!P199*'Inputs Yr 2'!Q199*'Inputs Yr 2'!U199,"")</f>
        <v/>
      </c>
      <c r="BN199" s="195" t="str">
        <f>IFERROR($G199*(IF('Inputs Yr 2'!$AJ199=BN$4,'Inputs Yr 2'!$AK199,IF('Inputs Yr 2'!$AL199=BN$4,'Inputs Yr 2'!$AM199,IF('Inputs Yr 2'!$AN199=BN$4,'Inputs Yr 2'!$AO199,0))))*(INDEX(avoidedcosttbl2,$H199,BN$2)+(($H199-ROUNDDOWN($H199,0))*(INDEX(avoidedcosttbl2,ROUNDUP($H199,0),BN$2)-(INDEX(avoidedcosttbl2,ROUNDDOWN($H199,0),BN$2)))))*'Inputs Yr 2'!P199*'Inputs Yr 2'!Q199*'Inputs Yr 2'!U199,"")</f>
        <v/>
      </c>
      <c r="BO199" s="195" t="str">
        <f>IFERROR($G199*(IF('Inputs Yr 2'!$AJ199=BO$4,'Inputs Yr 2'!$AK199,IF('Inputs Yr 2'!$AL199=BO$4,'Inputs Yr 2'!$AM199,IF('Inputs Yr 2'!$AN199=BO$4,'Inputs Yr 2'!$AO199,0))))*(INDEX(avoidedcosttbl2,$H199,BO$2)+(($H199-ROUNDDOWN($H199,0))*(INDEX(avoidedcosttbl2,ROUNDUP($H199,0),BO$2)-(INDEX(avoidedcosttbl2,ROUNDDOWN($H199,0),BO$2)))))*'Inputs Yr 2'!P199*'Inputs Yr 2'!Q199*'Inputs Yr 2'!U199,"")</f>
        <v/>
      </c>
      <c r="BP199" s="195" t="str">
        <f>IFERROR($G199*(IF('Inputs Yr 2'!$AJ199=BP$4,'Inputs Yr 2'!$AK199,IF('Inputs Yr 2'!$AL199=BP$4,'Inputs Yr 2'!$AM199,IF('Inputs Yr 2'!$AN199=BP$4,'Inputs Yr 2'!$AO199,0))))*(INDEX(avoidedcosttbl2,$H199,BP$2)+(($H199-ROUNDDOWN($H199,0))*(INDEX(avoidedcosttbl2,ROUNDUP($H199,0),BP$2)-(INDEX(avoidedcosttbl2,ROUNDDOWN($H199,0),BP$2)))))*'Inputs Yr 2'!P199*'Inputs Yr 2'!Q199*'Inputs Yr 2'!U199,"")</f>
        <v/>
      </c>
      <c r="BQ199" s="230">
        <f t="shared" si="128"/>
        <v>0</v>
      </c>
      <c r="BR199" s="197">
        <f t="shared" si="112"/>
        <v>0</v>
      </c>
      <c r="BS199" s="197" t="str">
        <f>IFERROR(($G199*IF('Inputs Yr 2'!$AJ199=BM$4,'Inputs Yr 2'!$AK199,IF('Inputs Yr 2'!$AL199=BM$4,'Inputs Yr 2'!$AM199,IF('Inputs Yr 2'!$AN199=BM$4,'Inputs Yr 2'!$AO199,0))))*(INDEX(avoidedcosttbl2,$H199,BS$2)+(($H199-ROUNDDOWN($H199,0))*(INDEX(avoidedcosttbl2,ROUNDUP($H199,0),BS$2)-(INDEX(avoidedcosttbl2,ROUNDDOWN($H199,0),BS$2)))))*'Inputs Yr 2'!P199*'Inputs Yr 2'!Q199*'Inputs Yr 2'!U199,"")</f>
        <v/>
      </c>
      <c r="BT199" s="197" t="str">
        <f>IFERROR(($G199*IF('Inputs Yr 2'!$AJ199=BK$4,'Inputs Yr 2'!$AK199,IF('Inputs Yr 2'!$AL199=BK$4,'Inputs Yr 2'!$AM199,IF('Inputs Yr 2'!$AN199=BK$4,'Inputs Yr 2'!$AO199,0))))*(INDEX(avoidedcosttbl2,$H199,BT$2)+(($H199-ROUNDDOWN($H199,0))*(INDEX(avoidedcosttbl2,ROUNDUP($H199,0),BT$2)-(INDEX(avoidedcosttbl2,ROUNDDOWN($H199,0),BT$2)))))*'Inputs Yr 2'!P199*'Inputs Yr 2'!Q199*'Inputs Yr 2'!U199,"")</f>
        <v/>
      </c>
      <c r="BU199" s="197" t="str">
        <f>IFERROR(($G199*IF('Inputs Yr 2'!$AJ199=BL$4,'Inputs Yr 2'!$AK199,IF('Inputs Yr 2'!$AL199=BL$4,'Inputs Yr 2'!$AM199,IF('Inputs Yr 2'!$AN199=BL$4,'Inputs Yr 2'!$AO199,0))))*(INDEX(avoidedcosttbl2,$H199,BU$2)+(($H199-ROUNDDOWN($H199,0))*(INDEX(avoidedcosttbl2,ROUNDUP($H199,0),BU$2)-(INDEX(avoidedcosttbl2,ROUNDDOWN($H199,0),BU$2)))))*'Inputs Yr 2'!P199*'Inputs Yr 2'!Q199*'Inputs Yr 2'!U199,"")</f>
        <v/>
      </c>
      <c r="BV199" s="775" t="str">
        <f>IFERROR(($G199*IF('Inputs Yr 2'!$AJ199=BJ$4,'Inputs Yr 2'!$AK199,IF('Inputs Yr 2'!$AL199=BJ$4,'Inputs Yr 2'!$AM199,IF('Inputs Yr 2'!$AN199=BJ$4,'Inputs Yr 2'!$AO199,0))))*(INDEX(avoidedcosttbl2,$H199,BV$2)+(($H199-ROUNDDOWN($H199,0))*(INDEX(avoidedcosttbl2,ROUNDUP($H199,0),BV$2)-(INDEX(avoidedcosttbl2,ROUNDDOWN($H199,0),BV$2)))))*'Inputs Yr 2'!P199*'Inputs Yr 2'!Q199*'Inputs Yr 2'!U199,"")</f>
        <v/>
      </c>
      <c r="BW199" s="197" t="str">
        <f>IFERROR(($G199*IF('Inputs Yr 2'!$AJ199=BN$4,'Inputs Yr 2'!$AK199,IF('Inputs Yr 2'!$AL199=BN$4,'Inputs Yr 2'!$AM199,IF('Inputs Yr 2'!$AN199=BN$4,'Inputs Yr 2'!$AO199,0))))*(INDEX(avoidedcosttbl2,$H199,BW$2)+(($H199-ROUNDDOWN($H199,0))*(INDEX(avoidedcosttbl2,ROUNDUP($H199,0),BW$2)-(INDEX(avoidedcosttbl2,ROUNDDOWN($H199,0),BW$2)))))*'Inputs Yr 2'!P199*'Inputs Yr 2'!Q199*'Inputs Yr 2'!U199,"")</f>
        <v/>
      </c>
      <c r="BX199" s="197" t="str">
        <f>IFERROR(($G199*IF('Inputs Yr 2'!$AJ199=BO$4,'Inputs Yr 2'!$AK199,IF('Inputs Yr 2'!$AL199=BO$4,'Inputs Yr 2'!$AM199,IF('Inputs Yr 2'!$AN199=BO$4,'Inputs Yr 2'!$AO199,0))))*(INDEX(avoidedcosttbl2,$H199,BX$2)+(($H199-ROUNDDOWN($H199,0))*(INDEX(avoidedcosttbl2,ROUNDUP($H199,0),BX$2)-(INDEX(avoidedcosttbl2,ROUNDDOWN($H199,0),BX$2)))))*'Inputs Yr 2'!P199*'Inputs Yr 2'!Q199*'Inputs Yr 2'!U199,"")</f>
        <v/>
      </c>
      <c r="BY199" s="197" t="str">
        <f>IFERROR(($G199*IF('Inputs Yr 2'!$AJ199=BP$4,'Inputs Yr 2'!$AK199,IF('Inputs Yr 2'!$AL199=BP$4,'Inputs Yr 2'!$AM199,IF('Inputs Yr 2'!$AN199=BP$4,'Inputs Yr 2'!$AO199,0))))*(INDEX(avoidedcosttbl2,$H199,BY$2)+(($H199-ROUNDDOWN($H199,0))*(INDEX(avoidedcosttbl2,ROUNDUP($H199,0),BY$2)-(INDEX(avoidedcosttbl2,ROUNDDOWN($H199,0),BY$2)))))*'Inputs Yr 2'!P199*'Inputs Yr 2'!Q199*'Inputs Yr 2'!U199,"")</f>
        <v/>
      </c>
      <c r="BZ199" s="193">
        <f t="shared" si="129"/>
        <v>0</v>
      </c>
      <c r="CA199" s="193">
        <f t="shared" si="130"/>
        <v>0</v>
      </c>
      <c r="CB199" s="195" t="str">
        <f>IFERROR(G199*(IF('Inputs Yr 2'!$AJ199=CB$4,'Inputs Yr 2'!$AK199,IF('Inputs Yr 2'!$AL199=CB$4,'Inputs Yr 2'!$AM199,IF('Inputs Yr 2'!$AN199=CB$4,'Inputs Yr 2'!$AO199,0))))*(INDEX(avoidedcosttbl2,$H199,CB$2)+(($H199-ROUNDDOWN($H199,0))*(INDEX(avoidedcosttbl2,ROUNDUP($H199,0),CB$2)-(INDEX(avoidedcosttbl2,ROUNDDOWN($H199,0),CB$2)))))*'Inputs Yr 2'!P199*'Inputs Yr 2'!Q199*'Inputs Yr 2'!U199,"")</f>
        <v/>
      </c>
      <c r="CC199" s="195">
        <f>IFERROR(H199*(IF('Inputs Yr 2'!$AJ199=CC$4,'Inputs Yr 2'!$AK199,IF('Inputs Yr 2'!$AL199=CC$4,'Inputs Yr 2'!$AM199,IF('Inputs Yr 2'!$AN199=CC$4,'Inputs Yr 2'!$AO199,0))))*(INDEX(avoidedcosttbl2,$H199,CC$2)+(($H199-ROUNDDOWN($H199,0))*(INDEX(avoidedcosttbl2,ROUNDUP($H199,0),CC$2)-(INDEX(avoidedcosttbl2,ROUNDDOWN($H199,0),CC$2)))))*'Inputs Yr 2'!Q199*'Inputs Yr 2'!R199*'Inputs Yr 2'!V199,"")</f>
        <v>0</v>
      </c>
      <c r="CD199" s="195" t="str">
        <f>IFERROR(I199*(IF('Inputs Yr 2'!$AJ199=CD$4,'Inputs Yr 2'!$AK199,IF('Inputs Yr 2'!$AL199=CD$4,'Inputs Yr 2'!$AM199,IF('Inputs Yr 2'!$AN199=CD$4,'Inputs Yr 2'!$AO199,0))))*(INDEX(avoidedcosttbl2,$H199,CD$2)+(($H199-ROUNDDOWN($H199,0))*(INDEX(avoidedcosttbl2,ROUNDUP($H199,0),CD$2)-(INDEX(avoidedcosttbl2,ROUNDDOWN($H199,0),CD$2)))))*'Inputs Yr 2'!R199*'Inputs Yr 2'!S199*'Inputs Yr 2'!W199,"")</f>
        <v/>
      </c>
      <c r="CE199" s="213">
        <f t="shared" si="131"/>
        <v>0</v>
      </c>
      <c r="CF199" s="213">
        <f t="shared" si="132"/>
        <v>0</v>
      </c>
      <c r="CG199" s="213">
        <f t="shared" si="133"/>
        <v>0</v>
      </c>
      <c r="CH199" s="698">
        <f t="shared" si="134"/>
        <v>0</v>
      </c>
      <c r="CI199" s="79" t="str">
        <f>IFERROR(($G199*'Inputs Yr 2'!$P199*'Inputs Yr 2'!$Q199*(((INDEX(avoidedcosttbl2,$H199,CI$2)+(($H199-ROUNDDOWN($H199,0))*(INDEX(avoidedcosttbl2,ROUNDUP($H199,0),CI$2)-INDEX(avoidedcosttbl2,ROUNDDOWN($H199,0),CI$2))))*'Inputs Yr 2'!AS199))),"")</f>
        <v/>
      </c>
      <c r="CJ199" s="504" t="str">
        <f>IFERROR($G199*'Inputs Yr 2'!AT199*'Inputs Yr 2'!$P199*'Inputs Yr 2'!$Q199/((1+realdiscrt1)^-0.5),"")</f>
        <v/>
      </c>
      <c r="CK199" s="79" t="str">
        <f>IFERROR((O199*1000*(((INDEX(avoidedcosttbl2,$H199,CK$2)+(($H199-ROUNDDOWN($H199,0))*(INDEX(avoidedcosttbl2,ROUNDUP($H199,0),CK$2)-INDEX(avoidedcosttbl2,ROUNDDOWN($H199,0),CK$2))))*'Inputs Yr 2'!AU199))),"")</f>
        <v/>
      </c>
      <c r="CL199" s="504" t="str">
        <f>IFERROR(O199*1000*'Inputs Yr 2'!AV199/((1+realdiscrt1)^-0.5),"")</f>
        <v/>
      </c>
      <c r="CM199" s="79">
        <f>IFERROR((AB199*'Inputs Yr 2'!AW199*(((INDEX(avoidedcosttbl2,$H199,CM$2)+(($H199-ROUNDDOWN($H199,0))*(INDEX(avoidedcosttbl2,ROUNDUP($H199,0),CM$2)-INDEX(avoidedcosttbl2,ROUNDDOWN($H199,0),CM$2)))))))*10,"")</f>
        <v>0</v>
      </c>
      <c r="CN199" s="504">
        <f>IFERROR(10*AB199*'Inputs Yr 2'!AX199/((1+realdiscrt1)^-0.5),"")</f>
        <v>0</v>
      </c>
      <c r="CO199" s="505">
        <f t="shared" si="135"/>
        <v>0</v>
      </c>
      <c r="CP199" s="230">
        <f t="shared" si="136"/>
        <v>0</v>
      </c>
      <c r="CQ199" s="199">
        <f>ROUND(IFERROR(IF(LEFT($A199,1)="C",'Avoided Costs'!$K$13,'Avoided Costs'!$K$12)+1,""),4)</f>
        <v>1.0720000000000001</v>
      </c>
      <c r="CR199" s="199">
        <f>ROUND(IFERROR(IF(LEFT($A199,1)="C",'Avoided Costs'!$L$13,'Avoided Costs'!$L$12)+1,""),4)</f>
        <v>1.04</v>
      </c>
      <c r="CS199" s="199">
        <f>ROUND(IFERROR(IF(LEFT($A199,1)="C",'Avoided Costs'!$M$13,'Avoided Costs'!$M$12)+1,""),4)</f>
        <v>1.0720000000000001</v>
      </c>
      <c r="CT199" s="199">
        <f>ROUND(IFERROR(IF(LEFT($A199,1)="C",'Avoided Costs'!$N$13,'Avoided Costs'!$N$12)+1,""),4)</f>
        <v>1.04</v>
      </c>
      <c r="CU199" s="199">
        <f>ROUND(IFERROR(IF(LEFT($A199,1)="C",'Avoided Costs'!$O$13,'Avoided Costs'!$O$12)+1,""),4)</f>
        <v>1.1120000000000001</v>
      </c>
      <c r="CV199" s="199">
        <f>ROUND(IFERROR(IF(LEFT($A199,1)="C",'Avoided Costs'!$P$13,'Avoided Costs'!$P$12)+1,""),4)</f>
        <v>1.095</v>
      </c>
      <c r="CW199" s="199">
        <f>ROUND(IFERROR(IF(LEFT($A199,1)="C",'Avoided Costs'!$Q$13,'Avoided Costs'!$Q$12)+1,""),4)</f>
        <v>1.1120000000000001</v>
      </c>
      <c r="CX199" s="200">
        <f>ROUND(IFERROR(IF(LEFT($A199,1)="C",'Avoided Costs'!$R$13,'Avoided Costs'!$R$12)+1,""),4)</f>
        <v>1.1120000000000001</v>
      </c>
    </row>
    <row r="200" spans="1:102" ht="12.75" customHeight="1">
      <c r="A200" s="91" t="str">
        <f>IF('Inputs Yr 2'!$B200=0,"",'Inputs Yr 2'!A200)</f>
        <v>C - Commercial &amp; Industrial</v>
      </c>
      <c r="B200" s="91" t="str">
        <f>IF('Inputs Yr 2'!$B200=0,"",'Inputs Yr 2'!B200)</f>
        <v>C1 - C&amp;I New Construction</v>
      </c>
      <c r="C200" s="91" t="str">
        <f>IF('Inputs Yr 2'!$B200=0,"",'Inputs Yr 2'!C200)</f>
        <v xml:space="preserve">C1b - C&amp;I Initial Purchase &amp; End of Useful Life </v>
      </c>
      <c r="D200" s="91" t="str">
        <f>IF('Inputs Yr 2'!$B200=0,"",'Inputs Yr 2'!E200)</f>
        <v>Food Services - Prescriptive</v>
      </c>
      <c r="E200" s="93" t="str">
        <f>IF('Inputs Yr 2'!$B200=0,"",'Inputs Yr 2'!F200)</f>
        <v>G16C1b02</v>
      </c>
      <c r="F200" s="93" t="str">
        <f>IF('Inputs Yr 2'!$B200=0,"",'Inputs Yr 2'!G200)</f>
        <v>Food Service</v>
      </c>
      <c r="G200" s="95" t="str">
        <f>IF('Inputs Yr 2'!$H200&lt;&gt;0,('Inputs Yr 2'!H200),"")</f>
        <v/>
      </c>
      <c r="H200" s="94">
        <f>IFERROR('Inputs Yr 2'!I200,"")</f>
        <v>12</v>
      </c>
      <c r="I200" s="298" t="str">
        <f>IFERROR('Inputs Yr 2'!J200*'Inputs Yr 2'!P200*G200,"")</f>
        <v/>
      </c>
      <c r="J200" s="298" t="str">
        <f>IFERROR('Inputs Yr 2'!K200*G200,"")</f>
        <v/>
      </c>
      <c r="K200" s="298" t="str">
        <f t="shared" si="113"/>
        <v/>
      </c>
      <c r="L200" s="194" t="str">
        <f>IFERROR(('Inputs Yr 2'!W200*G200)/1000,"")</f>
        <v/>
      </c>
      <c r="M200" s="194" t="str">
        <f>IFERROR(L200*('Inputs Yr 2'!$Q200*'Inputs Yr 2'!$V200*'Inputs Yr 2'!$R200),"")</f>
        <v/>
      </c>
      <c r="N200" s="194" t="str">
        <f t="shared" si="114"/>
        <v/>
      </c>
      <c r="O200" s="194" t="str">
        <f>IFERROR(M200*'Inputs Yr 2'!P200,"")</f>
        <v/>
      </c>
      <c r="P200" s="194" t="str">
        <f t="shared" si="115"/>
        <v/>
      </c>
      <c r="Q200" s="194" t="str">
        <f>IFERROR($P200*'Inputs Yr 2'!AA200,"")</f>
        <v/>
      </c>
      <c r="R200" s="194" t="str">
        <f>IFERROR($P200*'Inputs Yr 2'!AB200,"")</f>
        <v/>
      </c>
      <c r="S200" s="194" t="str">
        <f>IFERROR($P200*'Inputs Yr 2'!AC200,"")</f>
        <v/>
      </c>
      <c r="T200" s="194" t="str">
        <f>IFERROR($P200*'Inputs Yr 2'!AD200,"")</f>
        <v/>
      </c>
      <c r="U200" s="194" t="str">
        <f>IFERROR(G200*'Inputs Yr 2'!$AE200*'Inputs Yr 2'!$P200*'Inputs Yr 2'!$Q200,"")</f>
        <v/>
      </c>
      <c r="V200" s="194" t="str">
        <f>IFERROR($G200*'Inputs Yr 2'!$AE200*'Inputs Yr 2'!$AG200*'Inputs Yr 2'!Q200*'Inputs Yr 2'!$S200,"")</f>
        <v/>
      </c>
      <c r="W200" s="194" t="str">
        <f>IFERROR($G200*'Inputs Yr 2'!$AE200*'Inputs Yr 2'!$AG200*'Inputs Yr 2'!P200*'Inputs Yr 2'!Q200*'Inputs Yr 2'!$S200,"")</f>
        <v/>
      </c>
      <c r="X200" s="194" t="str">
        <f>IFERROR($G200*'Inputs Yr 2'!$AE200*'Inputs Yr 2'!$AF200*'Inputs Yr 2'!Q200*'Inputs Yr 2'!$T200,"")</f>
        <v/>
      </c>
      <c r="Y200" s="194" t="str">
        <f>IFERROR($G200*'Inputs Yr 2'!$AE200*'Inputs Yr 2'!$AF200*'Inputs Yr 2'!P200*'Inputs Yr 2'!Q200*'Inputs Yr 2'!$T200,"")</f>
        <v/>
      </c>
      <c r="Z200" s="257">
        <f>IFERROR($G200*'Inputs Yr 2'!$Q200*'Inputs Yr 2'!$U200*(IF(IFERROR(SEARCH("NG", 'Inputs Yr 2'!$AJ200),0),'Inputs Yr 2'!$AK200,0)+IF(IFERROR(SEARCH("NG", 'Inputs Yr 2'!$AL200),0),'Inputs Yr 2'!$AM200,0)+IF(IFERROR(SEARCH("NG", 'Inputs Yr 2'!$AN200),0),'Inputs Yr 2'!$AO200,0)),0)</f>
        <v>0</v>
      </c>
      <c r="AA200" s="257">
        <f t="shared" si="116"/>
        <v>0</v>
      </c>
      <c r="AB200" s="257">
        <f>IFERROR(Z200*'Inputs Yr 2'!$P200,0)</f>
        <v>0</v>
      </c>
      <c r="AC200" s="257">
        <f t="shared" si="117"/>
        <v>0</v>
      </c>
      <c r="AD200" s="257">
        <f>IFERROR($G200*'Inputs Yr 2'!$Q200*'Inputs Yr 2'!$U200*(IF(IFERROR(SEARCH("Oil", 'Inputs Yr 2'!$AJ200), 0),'Inputs Yr 2'!$AK200,0)+IF(IFERROR(SEARCH("Oil", 'Inputs Yr 2'!$AL200), 0),'Inputs Yr 2'!$AM200,0)+IF(IFERROR(SEARCH("Oil", 'Inputs Yr 2'!$AN200), 0),'Inputs Yr 2'!$AO200,0)),0)</f>
        <v>0</v>
      </c>
      <c r="AE200" s="257">
        <f t="shared" si="118"/>
        <v>0</v>
      </c>
      <c r="AF200" s="257">
        <f>IFERROR(AD200*'Inputs Yr 2'!$P200,0)</f>
        <v>0</v>
      </c>
      <c r="AG200" s="257">
        <f t="shared" si="119"/>
        <v>0</v>
      </c>
      <c r="AH200" s="257">
        <f>IFERROR($G200*'Inputs Yr 2'!$Q200*'Inputs Yr 2'!$U200*(IF('Inputs Yr 2'!$AJ200=CD$4,'Inputs Yr 2'!$AK200,IF('Inputs Yr 2'!$AL200=CD$4,'Inputs Yr 2'!$AM200,IF('Inputs Yr 2'!$AN200=CD$4,'Inputs Yr 2'!$AO200,0)))),0)</f>
        <v>0</v>
      </c>
      <c r="AI200" s="257">
        <f t="shared" si="120"/>
        <v>0</v>
      </c>
      <c r="AJ200" s="257">
        <f>IFERROR(AH200*'Inputs Yr 2'!$P200,0)</f>
        <v>0</v>
      </c>
      <c r="AK200" s="257">
        <f t="shared" si="121"/>
        <v>0</v>
      </c>
      <c r="AL200" s="258">
        <f>IFERROR($G200*'Inputs Yr 2'!$P200*'Inputs Yr 2'!$Q200*'Inputs Yr 2'!AP200,0)</f>
        <v>0</v>
      </c>
      <c r="AM200" s="260">
        <f>IFERROR($G200*'Inputs Yr 2'!$P200*'Inputs Yr 2'!$Q200*'Inputs Yr 2'!AQ200,0)</f>
        <v>0</v>
      </c>
      <c r="AN200" s="258">
        <f>IFERROR($G200*'Inputs Yr 2'!$P200*'Inputs Yr 2'!$Q200*'Inputs Yr 2'!AR200,0)</f>
        <v>0</v>
      </c>
      <c r="AO200" s="257">
        <f t="shared" si="122"/>
        <v>0</v>
      </c>
      <c r="AP200" s="195" t="str">
        <f>IFERROR($CQ200*(INDEX(avoidedcosttbl2,$H200,AP$2)+(($H200-ROUNDDOWN($H200,0))*(INDEX(avoidedcosttbl2,ROUNDUP($H200,0),AP$2)-(INDEX(avoidedcosttbl2,ROUNDDOWN($H200,0),AP$2)))))*$O200*1000*'Inputs Yr 2'!AA200,"")</f>
        <v/>
      </c>
      <c r="AQ200" s="195" t="str">
        <f>IFERROR($CR200*(INDEX(avoidedcosttbl2,$H200,AQ$2)+(($H200-ROUNDDOWN($H200,0))*(INDEX(avoidedcosttbl2,ROUNDUP($H200,0),AQ$2)-(INDEX(avoidedcosttbl2,ROUNDDOWN($H200,0),AQ$2)))))*$O200*1000*'Inputs Yr 2'!AB200,"")</f>
        <v/>
      </c>
      <c r="AR200" s="195" t="str">
        <f>IFERROR($CS200*(INDEX(avoidedcosttbl2,$H200,AR$2)+(($H200-ROUNDDOWN($H200,0))*(INDEX(avoidedcosttbl2,ROUNDUP($H200,0),AR$2)-(INDEX(avoidedcosttbl2,ROUNDDOWN($H200,0),AR$2)))))*$O200*1000*'Inputs Yr 2'!AC200,"")</f>
        <v/>
      </c>
      <c r="AS200" s="195" t="str">
        <f>IFERROR($CT200*(INDEX(avoidedcosttbl2,$H200,AS$2)+(($H200-ROUNDDOWN($H200,0))*(INDEX(avoidedcosttbl2,ROUNDUP($H200,0),AS$2)-(INDEX(avoidedcosttbl2,ROUNDDOWN($H200,0),AS$2)))))*$O200*1000*'Inputs Yr 2'!AD200,"")</f>
        <v/>
      </c>
      <c r="AT200" s="196">
        <f t="shared" si="123"/>
        <v>0</v>
      </c>
      <c r="AU200" s="197" t="str">
        <f>IFERROR($CQ200*((INDEX(avoidedcosttbl2,$H200,AU$2))+(($H200-ROUNDDOWN($H200,0))*((INDEX(avoidedcosttbl2,ROUNDUP($H200,0),AU$2))-(INDEX(avoidedcosttbl2,ROUNDDOWN($H200,0),AU$2)))))*$O200*1000*'Inputs Yr 2'!AA200,"")</f>
        <v/>
      </c>
      <c r="AV200" s="197" t="str">
        <f>IFERROR($CR200*((INDEX(avoidedcosttbl2,$H200,AV$2))+(($H200-ROUNDDOWN($H200,0))*((INDEX(avoidedcosttbl2,ROUNDUP($H200,0),AV$2))-(INDEX(avoidedcosttbl2,ROUNDDOWN($H200,0),AV$2)))))*$O200*1000*'Inputs Yr 2'!AB200,"")</f>
        <v/>
      </c>
      <c r="AW200" s="197" t="str">
        <f>IFERROR($CS200*((INDEX(avoidedcosttbl2,$H200,AW$2))+(($H200-ROUNDDOWN($H200,0))*((INDEX(avoidedcosttbl2,ROUNDUP($H200,0),AW$2))-(INDEX(avoidedcosttbl2,ROUNDDOWN($H200,0),AW$2)))))*$O200*1000*'Inputs Yr 2'!AC200,"")</f>
        <v/>
      </c>
      <c r="AX200" s="197" t="str">
        <f>IFERROR($CT200*((INDEX(avoidedcosttbl2,$H200,AX$2))+(($H200-ROUNDDOWN($H200,0))*((INDEX(avoidedcosttbl2,ROUNDUP($H200,0),AX$2))-(INDEX(avoidedcosttbl2,ROUNDDOWN($H200,0),AX$2)))))*$O200*1000*'Inputs Yr 2'!AD200,"")</f>
        <v/>
      </c>
      <c r="AY200" s="197" t="str">
        <f>IFERROR(((INDEX(avoidedcosttbl2,$H200,AY$2))+(($H200-ROUNDDOWN($H200,0))*((INDEX(avoidedcosttbl2,ROUNDUP($H200,0),AY$2))-(INDEX(avoidedcosttbl2,ROUNDDOWN($H200,0),AY$2)))))*$O200*1000*('Inputs Yr 2'!AC200+'Inputs Yr 2'!AD200),"")</f>
        <v/>
      </c>
      <c r="AZ200" s="197" t="str">
        <f>IFERROR(((INDEX(avoidedcosttbl2,$H200,AZ$2))+(($H200-ROUNDDOWN($H200,0))*((INDEX(avoidedcosttbl2,ROUNDUP($H200,0),AZ$2))-(INDEX(avoidedcosttbl2,ROUNDDOWN($H200,0),AZ$2)))))*$O200*1000*('Inputs Yr 2'!AA200+'Inputs Yr 2'!AB200),"")</f>
        <v/>
      </c>
      <c r="BA200" s="198">
        <f t="shared" si="124"/>
        <v>0</v>
      </c>
      <c r="BB200" s="198">
        <f t="shared" si="125"/>
        <v>0</v>
      </c>
      <c r="BC200" s="195" t="str">
        <f t="shared" si="107"/>
        <v/>
      </c>
      <c r="BD200" s="195" t="str">
        <f t="shared" si="108"/>
        <v/>
      </c>
      <c r="BE200" s="195" t="str">
        <f t="shared" si="109"/>
        <v/>
      </c>
      <c r="BF200" s="195" t="str">
        <f t="shared" si="110"/>
        <v/>
      </c>
      <c r="BG200" s="195" t="str">
        <f t="shared" si="111"/>
        <v/>
      </c>
      <c r="BH200" s="196">
        <f t="shared" si="126"/>
        <v>0</v>
      </c>
      <c r="BI200" s="196">
        <f t="shared" si="127"/>
        <v>0</v>
      </c>
      <c r="BJ200" s="195" t="str">
        <f>IFERROR($G200*(IF('Inputs Yr 2'!$AJ200=BJ$4,'Inputs Yr 2'!$AK200,IF('Inputs Yr 2'!$AL200=BJ$4,'Inputs Yr 2'!$AM200,IF('Inputs Yr 2'!$AN200=BJ$4,'Inputs Yr 2'!$AO200,0))))*(INDEX(avoidedcosttbl2,$H200,BJ$2)+(($H200-ROUNDDOWN($H200,0))*(INDEX(avoidedcosttbl2,ROUNDUP($H200,0),BJ$2)-(INDEX(avoidedcosttbl2,ROUNDDOWN($H200,0),BJ$2)))))*'Inputs Yr 2'!P200*'Inputs Yr 2'!Q200*'Inputs Yr 2'!U200,"")</f>
        <v/>
      </c>
      <c r="BK200" s="195" t="str">
        <f>IFERROR($G200*(IF('Inputs Yr 2'!$AJ200=BK$4,'Inputs Yr 2'!$AK200,IF('Inputs Yr 2'!$AL200=BK$4,'Inputs Yr 2'!$AM200,IF('Inputs Yr 2'!$AN200=BK$4,'Inputs Yr 2'!$AO200,0))))*(INDEX(avoidedcosttbl2,$H200,BK$2)+(($H200-ROUNDDOWN($H200,0))*(INDEX(avoidedcosttbl2,ROUNDUP($H200,0),BK$2)-(INDEX(avoidedcosttbl2,ROUNDDOWN($H200,0),BK$2)))))*'Inputs Yr 2'!P200*'Inputs Yr 2'!Q200*'Inputs Yr 2'!U200,"")</f>
        <v/>
      </c>
      <c r="BL200" s="195" t="str">
        <f>IFERROR($G200*(IF('Inputs Yr 2'!$AJ200=BL$4,'Inputs Yr 2'!$AK200,IF('Inputs Yr 2'!$AL200=BL$4,'Inputs Yr 2'!$AM200,IF('Inputs Yr 2'!$AN200=BL$4,'Inputs Yr 2'!$AO200,0))))*(INDEX(avoidedcosttbl2,$H200,BL$2)+(($H200-ROUNDDOWN($H200,0))*(INDEX(avoidedcosttbl2,ROUNDUP($H200,0),BL$2)-(INDEX(avoidedcosttbl2,ROUNDDOWN($H200,0),BL$2)))))*'Inputs Yr 2'!P200*'Inputs Yr 2'!Q200*'Inputs Yr 2'!U200,"")</f>
        <v/>
      </c>
      <c r="BM200" s="195" t="str">
        <f>IFERROR($G200*(IF('Inputs Yr 2'!$AJ200=BM$4,'Inputs Yr 2'!$AK200,IF('Inputs Yr 2'!$AL200=BM$4,'Inputs Yr 2'!$AM200,IF('Inputs Yr 2'!$AN200=BM$4,'Inputs Yr 2'!$AO200,0))))*(INDEX(avoidedcosttbl2,$H200,BM$2)+(($H200-ROUNDDOWN($H200,0))*(INDEX(avoidedcosttbl2,ROUNDUP($H200,0),BM$2)-(INDEX(avoidedcosttbl2,ROUNDDOWN($H200,0),BM$2)))))*'Inputs Yr 2'!P200*'Inputs Yr 2'!Q200*'Inputs Yr 2'!U200,"")</f>
        <v/>
      </c>
      <c r="BN200" s="195" t="str">
        <f>IFERROR($G200*(IF('Inputs Yr 2'!$AJ200=BN$4,'Inputs Yr 2'!$AK200,IF('Inputs Yr 2'!$AL200=BN$4,'Inputs Yr 2'!$AM200,IF('Inputs Yr 2'!$AN200=BN$4,'Inputs Yr 2'!$AO200,0))))*(INDEX(avoidedcosttbl2,$H200,BN$2)+(($H200-ROUNDDOWN($H200,0))*(INDEX(avoidedcosttbl2,ROUNDUP($H200,0),BN$2)-(INDEX(avoidedcosttbl2,ROUNDDOWN($H200,0),BN$2)))))*'Inputs Yr 2'!P200*'Inputs Yr 2'!Q200*'Inputs Yr 2'!U200,"")</f>
        <v/>
      </c>
      <c r="BO200" s="195" t="str">
        <f>IFERROR($G200*(IF('Inputs Yr 2'!$AJ200=BO$4,'Inputs Yr 2'!$AK200,IF('Inputs Yr 2'!$AL200=BO$4,'Inputs Yr 2'!$AM200,IF('Inputs Yr 2'!$AN200=BO$4,'Inputs Yr 2'!$AO200,0))))*(INDEX(avoidedcosttbl2,$H200,BO$2)+(($H200-ROUNDDOWN($H200,0))*(INDEX(avoidedcosttbl2,ROUNDUP($H200,0),BO$2)-(INDEX(avoidedcosttbl2,ROUNDDOWN($H200,0),BO$2)))))*'Inputs Yr 2'!P200*'Inputs Yr 2'!Q200*'Inputs Yr 2'!U200,"")</f>
        <v/>
      </c>
      <c r="BP200" s="195" t="str">
        <f>IFERROR($G200*(IF('Inputs Yr 2'!$AJ200=BP$4,'Inputs Yr 2'!$AK200,IF('Inputs Yr 2'!$AL200=BP$4,'Inputs Yr 2'!$AM200,IF('Inputs Yr 2'!$AN200=BP$4,'Inputs Yr 2'!$AO200,0))))*(INDEX(avoidedcosttbl2,$H200,BP$2)+(($H200-ROUNDDOWN($H200,0))*(INDEX(avoidedcosttbl2,ROUNDUP($H200,0),BP$2)-(INDEX(avoidedcosttbl2,ROUNDDOWN($H200,0),BP$2)))))*'Inputs Yr 2'!P200*'Inputs Yr 2'!Q200*'Inputs Yr 2'!U200,"")</f>
        <v/>
      </c>
      <c r="BQ200" s="230">
        <f t="shared" si="128"/>
        <v>0</v>
      </c>
      <c r="BR200" s="197">
        <f t="shared" si="112"/>
        <v>0</v>
      </c>
      <c r="BS200" s="197" t="str">
        <f>IFERROR(($G200*IF('Inputs Yr 2'!$AJ200=BM$4,'Inputs Yr 2'!$AK200,IF('Inputs Yr 2'!$AL200=BM$4,'Inputs Yr 2'!$AM200,IF('Inputs Yr 2'!$AN200=BM$4,'Inputs Yr 2'!$AO200,0))))*(INDEX(avoidedcosttbl2,$H200,BS$2)+(($H200-ROUNDDOWN($H200,0))*(INDEX(avoidedcosttbl2,ROUNDUP($H200,0),BS$2)-(INDEX(avoidedcosttbl2,ROUNDDOWN($H200,0),BS$2)))))*'Inputs Yr 2'!P200*'Inputs Yr 2'!Q200*'Inputs Yr 2'!U200,"")</f>
        <v/>
      </c>
      <c r="BT200" s="197" t="str">
        <f>IFERROR(($G200*IF('Inputs Yr 2'!$AJ200=BK$4,'Inputs Yr 2'!$AK200,IF('Inputs Yr 2'!$AL200=BK$4,'Inputs Yr 2'!$AM200,IF('Inputs Yr 2'!$AN200=BK$4,'Inputs Yr 2'!$AO200,0))))*(INDEX(avoidedcosttbl2,$H200,BT$2)+(($H200-ROUNDDOWN($H200,0))*(INDEX(avoidedcosttbl2,ROUNDUP($H200,0),BT$2)-(INDEX(avoidedcosttbl2,ROUNDDOWN($H200,0),BT$2)))))*'Inputs Yr 2'!P200*'Inputs Yr 2'!Q200*'Inputs Yr 2'!U200,"")</f>
        <v/>
      </c>
      <c r="BU200" s="197" t="str">
        <f>IFERROR(($G200*IF('Inputs Yr 2'!$AJ200=BL$4,'Inputs Yr 2'!$AK200,IF('Inputs Yr 2'!$AL200=BL$4,'Inputs Yr 2'!$AM200,IF('Inputs Yr 2'!$AN200=BL$4,'Inputs Yr 2'!$AO200,0))))*(INDEX(avoidedcosttbl2,$H200,BU$2)+(($H200-ROUNDDOWN($H200,0))*(INDEX(avoidedcosttbl2,ROUNDUP($H200,0),BU$2)-(INDEX(avoidedcosttbl2,ROUNDDOWN($H200,0),BU$2)))))*'Inputs Yr 2'!P200*'Inputs Yr 2'!Q200*'Inputs Yr 2'!U200,"")</f>
        <v/>
      </c>
      <c r="BV200" s="775" t="str">
        <f>IFERROR(($G200*IF('Inputs Yr 2'!$AJ200=BJ$4,'Inputs Yr 2'!$AK200,IF('Inputs Yr 2'!$AL200=BJ$4,'Inputs Yr 2'!$AM200,IF('Inputs Yr 2'!$AN200=BJ$4,'Inputs Yr 2'!$AO200,0))))*(INDEX(avoidedcosttbl2,$H200,BV$2)+(($H200-ROUNDDOWN($H200,0))*(INDEX(avoidedcosttbl2,ROUNDUP($H200,0),BV$2)-(INDEX(avoidedcosttbl2,ROUNDDOWN($H200,0),BV$2)))))*'Inputs Yr 2'!P200*'Inputs Yr 2'!Q200*'Inputs Yr 2'!U200,"")</f>
        <v/>
      </c>
      <c r="BW200" s="197" t="str">
        <f>IFERROR(($G200*IF('Inputs Yr 2'!$AJ200=BN$4,'Inputs Yr 2'!$AK200,IF('Inputs Yr 2'!$AL200=BN$4,'Inputs Yr 2'!$AM200,IF('Inputs Yr 2'!$AN200=BN$4,'Inputs Yr 2'!$AO200,0))))*(INDEX(avoidedcosttbl2,$H200,BW$2)+(($H200-ROUNDDOWN($H200,0))*(INDEX(avoidedcosttbl2,ROUNDUP($H200,0),BW$2)-(INDEX(avoidedcosttbl2,ROUNDDOWN($H200,0),BW$2)))))*'Inputs Yr 2'!P200*'Inputs Yr 2'!Q200*'Inputs Yr 2'!U200,"")</f>
        <v/>
      </c>
      <c r="BX200" s="197" t="str">
        <f>IFERROR(($G200*IF('Inputs Yr 2'!$AJ200=BO$4,'Inputs Yr 2'!$AK200,IF('Inputs Yr 2'!$AL200=BO$4,'Inputs Yr 2'!$AM200,IF('Inputs Yr 2'!$AN200=BO$4,'Inputs Yr 2'!$AO200,0))))*(INDEX(avoidedcosttbl2,$H200,BX$2)+(($H200-ROUNDDOWN($H200,0))*(INDEX(avoidedcosttbl2,ROUNDUP($H200,0),BX$2)-(INDEX(avoidedcosttbl2,ROUNDDOWN($H200,0),BX$2)))))*'Inputs Yr 2'!P200*'Inputs Yr 2'!Q200*'Inputs Yr 2'!U200,"")</f>
        <v/>
      </c>
      <c r="BY200" s="197" t="str">
        <f>IFERROR(($G200*IF('Inputs Yr 2'!$AJ200=BP$4,'Inputs Yr 2'!$AK200,IF('Inputs Yr 2'!$AL200=BP$4,'Inputs Yr 2'!$AM200,IF('Inputs Yr 2'!$AN200=BP$4,'Inputs Yr 2'!$AO200,0))))*(INDEX(avoidedcosttbl2,$H200,BY$2)+(($H200-ROUNDDOWN($H200,0))*(INDEX(avoidedcosttbl2,ROUNDUP($H200,0),BY$2)-(INDEX(avoidedcosttbl2,ROUNDDOWN($H200,0),BY$2)))))*'Inputs Yr 2'!P200*'Inputs Yr 2'!Q200*'Inputs Yr 2'!U200,"")</f>
        <v/>
      </c>
      <c r="BZ200" s="193">
        <f t="shared" si="129"/>
        <v>0</v>
      </c>
      <c r="CA200" s="193">
        <f t="shared" si="130"/>
        <v>0</v>
      </c>
      <c r="CB200" s="195" t="str">
        <f>IFERROR(G200*(IF('Inputs Yr 2'!$AJ200=CB$4,'Inputs Yr 2'!$AK200,IF('Inputs Yr 2'!$AL200=CB$4,'Inputs Yr 2'!$AM200,IF('Inputs Yr 2'!$AN200=CB$4,'Inputs Yr 2'!$AO200,0))))*(INDEX(avoidedcosttbl2,$H200,CB$2)+(($H200-ROUNDDOWN($H200,0))*(INDEX(avoidedcosttbl2,ROUNDUP($H200,0),CB$2)-(INDEX(avoidedcosttbl2,ROUNDDOWN($H200,0),CB$2)))))*'Inputs Yr 2'!P200*'Inputs Yr 2'!Q200*'Inputs Yr 2'!U200,"")</f>
        <v/>
      </c>
      <c r="CC200" s="195">
        <f>IFERROR(H200*(IF('Inputs Yr 2'!$AJ200=CC$4,'Inputs Yr 2'!$AK200,IF('Inputs Yr 2'!$AL200=CC$4,'Inputs Yr 2'!$AM200,IF('Inputs Yr 2'!$AN200=CC$4,'Inputs Yr 2'!$AO200,0))))*(INDEX(avoidedcosttbl2,$H200,CC$2)+(($H200-ROUNDDOWN($H200,0))*(INDEX(avoidedcosttbl2,ROUNDUP($H200,0),CC$2)-(INDEX(avoidedcosttbl2,ROUNDDOWN($H200,0),CC$2)))))*'Inputs Yr 2'!Q200*'Inputs Yr 2'!R200*'Inputs Yr 2'!V200,"")</f>
        <v>0</v>
      </c>
      <c r="CD200" s="195" t="str">
        <f>IFERROR(I200*(IF('Inputs Yr 2'!$AJ200=CD$4,'Inputs Yr 2'!$AK200,IF('Inputs Yr 2'!$AL200=CD$4,'Inputs Yr 2'!$AM200,IF('Inputs Yr 2'!$AN200=CD$4,'Inputs Yr 2'!$AO200,0))))*(INDEX(avoidedcosttbl2,$H200,CD$2)+(($H200-ROUNDDOWN($H200,0))*(INDEX(avoidedcosttbl2,ROUNDUP($H200,0),CD$2)-(INDEX(avoidedcosttbl2,ROUNDDOWN($H200,0),CD$2)))))*'Inputs Yr 2'!R200*'Inputs Yr 2'!S200*'Inputs Yr 2'!W200,"")</f>
        <v/>
      </c>
      <c r="CE200" s="213">
        <f t="shared" si="131"/>
        <v>0</v>
      </c>
      <c r="CF200" s="213">
        <f t="shared" si="132"/>
        <v>0</v>
      </c>
      <c r="CG200" s="213">
        <f t="shared" si="133"/>
        <v>0</v>
      </c>
      <c r="CH200" s="698">
        <f t="shared" si="134"/>
        <v>0</v>
      </c>
      <c r="CI200" s="79" t="str">
        <f>IFERROR(($G200*'Inputs Yr 2'!$P200*'Inputs Yr 2'!$Q200*(((INDEX(avoidedcosttbl2,$H200,CI$2)+(($H200-ROUNDDOWN($H200,0))*(INDEX(avoidedcosttbl2,ROUNDUP($H200,0),CI$2)-INDEX(avoidedcosttbl2,ROUNDDOWN($H200,0),CI$2))))*'Inputs Yr 2'!AS200))),"")</f>
        <v/>
      </c>
      <c r="CJ200" s="504" t="str">
        <f>IFERROR($G200*'Inputs Yr 2'!AT200*'Inputs Yr 2'!$P200*'Inputs Yr 2'!$Q200/((1+realdiscrt1)^-0.5),"")</f>
        <v/>
      </c>
      <c r="CK200" s="79" t="str">
        <f>IFERROR((O200*1000*(((INDEX(avoidedcosttbl2,$H200,CK$2)+(($H200-ROUNDDOWN($H200,0))*(INDEX(avoidedcosttbl2,ROUNDUP($H200,0),CK$2)-INDEX(avoidedcosttbl2,ROUNDDOWN($H200,0),CK$2))))*'Inputs Yr 2'!AU200))),"")</f>
        <v/>
      </c>
      <c r="CL200" s="504" t="str">
        <f>IFERROR(O200*1000*'Inputs Yr 2'!AV200/((1+realdiscrt1)^-0.5),"")</f>
        <v/>
      </c>
      <c r="CM200" s="79">
        <f>IFERROR((AB200*'Inputs Yr 2'!AW200*(((INDEX(avoidedcosttbl2,$H200,CM$2)+(($H200-ROUNDDOWN($H200,0))*(INDEX(avoidedcosttbl2,ROUNDUP($H200,0),CM$2)-INDEX(avoidedcosttbl2,ROUNDDOWN($H200,0),CM$2)))))))*10,"")</f>
        <v>0</v>
      </c>
      <c r="CN200" s="504">
        <f>IFERROR(10*AB200*'Inputs Yr 2'!AX200/((1+realdiscrt1)^-0.5),"")</f>
        <v>0</v>
      </c>
      <c r="CO200" s="505">
        <f t="shared" si="135"/>
        <v>0</v>
      </c>
      <c r="CP200" s="230">
        <f t="shared" si="136"/>
        <v>0</v>
      </c>
      <c r="CQ200" s="199">
        <f>ROUND(IFERROR(IF(LEFT($A200,1)="C",'Avoided Costs'!$K$13,'Avoided Costs'!$K$12)+1,""),4)</f>
        <v>1.0720000000000001</v>
      </c>
      <c r="CR200" s="199">
        <f>ROUND(IFERROR(IF(LEFT($A200,1)="C",'Avoided Costs'!$L$13,'Avoided Costs'!$L$12)+1,""),4)</f>
        <v>1.04</v>
      </c>
      <c r="CS200" s="199">
        <f>ROUND(IFERROR(IF(LEFT($A200,1)="C",'Avoided Costs'!$M$13,'Avoided Costs'!$M$12)+1,""),4)</f>
        <v>1.0720000000000001</v>
      </c>
      <c r="CT200" s="199">
        <f>ROUND(IFERROR(IF(LEFT($A200,1)="C",'Avoided Costs'!$N$13,'Avoided Costs'!$N$12)+1,""),4)</f>
        <v>1.04</v>
      </c>
      <c r="CU200" s="199">
        <f>ROUND(IFERROR(IF(LEFT($A200,1)="C",'Avoided Costs'!$O$13,'Avoided Costs'!$O$12)+1,""),4)</f>
        <v>1.1120000000000001</v>
      </c>
      <c r="CV200" s="199">
        <f>ROUND(IFERROR(IF(LEFT($A200,1)="C",'Avoided Costs'!$P$13,'Avoided Costs'!$P$12)+1,""),4)</f>
        <v>1.095</v>
      </c>
      <c r="CW200" s="199">
        <f>ROUND(IFERROR(IF(LEFT($A200,1)="C",'Avoided Costs'!$Q$13,'Avoided Costs'!$Q$12)+1,""),4)</f>
        <v>1.1120000000000001</v>
      </c>
      <c r="CX200" s="200">
        <f>ROUND(IFERROR(IF(LEFT($A200,1)="C",'Avoided Costs'!$R$13,'Avoided Costs'!$R$12)+1,""),4)</f>
        <v>1.1120000000000001</v>
      </c>
    </row>
    <row r="201" spans="1:102" ht="12.75" customHeight="1">
      <c r="A201" s="91" t="str">
        <f>IF('Inputs Yr 2'!$B201=0,"",'Inputs Yr 2'!A201)</f>
        <v>C - Commercial &amp; Industrial</v>
      </c>
      <c r="B201" s="91" t="str">
        <f>IF('Inputs Yr 2'!$B201=0,"",'Inputs Yr 2'!B201)</f>
        <v>C1 - C&amp;I New Construction</v>
      </c>
      <c r="C201" s="91" t="str">
        <f>IF('Inputs Yr 2'!$B201=0,"",'Inputs Yr 2'!C201)</f>
        <v xml:space="preserve">C1b - C&amp;I Initial Purchase &amp; End of Useful Life </v>
      </c>
      <c r="D201" s="91" t="str">
        <f>IF('Inputs Yr 2'!$B201=0,"",'Inputs Yr 2'!E201)</f>
        <v>Heat Recovery - Custom  15</v>
      </c>
      <c r="E201" s="93" t="str">
        <f>IF('Inputs Yr 2'!$B201=0,"",'Inputs Yr 2'!F201)</f>
        <v>G16C1b03</v>
      </c>
      <c r="F201" s="93" t="str">
        <f>IF('Inputs Yr 2'!$B201=0,"",'Inputs Yr 2'!G201)</f>
        <v>HVAC</v>
      </c>
      <c r="G201" s="95">
        <f>IF('Inputs Yr 2'!$H201&lt;&gt;0,('Inputs Yr 2'!H201),"")</f>
        <v>1</v>
      </c>
      <c r="H201" s="94">
        <f>IFERROR('Inputs Yr 2'!I201,"")</f>
        <v>15</v>
      </c>
      <c r="I201" s="298">
        <f>IFERROR('Inputs Yr 2'!J201*'Inputs Yr 2'!P201*G201,"")</f>
        <v>61266.666666666672</v>
      </c>
      <c r="J201" s="298">
        <f>IFERROR('Inputs Yr 2'!K201*G201,"")</f>
        <v>50000</v>
      </c>
      <c r="K201" s="298">
        <f t="shared" si="113"/>
        <v>11266.666666666672</v>
      </c>
      <c r="L201" s="194">
        <f>IFERROR(('Inputs Yr 2'!W201*G201)/1000,"")</f>
        <v>0</v>
      </c>
      <c r="M201" s="194">
        <f>IFERROR(L201*('Inputs Yr 2'!$Q201*'Inputs Yr 2'!$V201*'Inputs Yr 2'!$R201),"")</f>
        <v>0</v>
      </c>
      <c r="N201" s="194">
        <f t="shared" si="114"/>
        <v>0</v>
      </c>
      <c r="O201" s="194">
        <f>IFERROR(M201*'Inputs Yr 2'!P201,"")</f>
        <v>0</v>
      </c>
      <c r="P201" s="194">
        <f t="shared" si="115"/>
        <v>0</v>
      </c>
      <c r="Q201" s="194">
        <f>IFERROR($P201*'Inputs Yr 2'!AA201,"")</f>
        <v>0</v>
      </c>
      <c r="R201" s="194">
        <f>IFERROR($P201*'Inputs Yr 2'!AB201,"")</f>
        <v>0</v>
      </c>
      <c r="S201" s="194">
        <f>IFERROR($P201*'Inputs Yr 2'!AC201,"")</f>
        <v>0</v>
      </c>
      <c r="T201" s="194">
        <f>IFERROR($P201*'Inputs Yr 2'!AD201,"")</f>
        <v>0</v>
      </c>
      <c r="U201" s="194">
        <f>IFERROR(G201*'Inputs Yr 2'!$AE201*'Inputs Yr 2'!$P201*'Inputs Yr 2'!$Q201,"")</f>
        <v>0</v>
      </c>
      <c r="V201" s="194">
        <f>IFERROR($G201*'Inputs Yr 2'!$AE201*'Inputs Yr 2'!$AG201*'Inputs Yr 2'!Q201*'Inputs Yr 2'!$S201,"")</f>
        <v>0</v>
      </c>
      <c r="W201" s="194">
        <f>IFERROR($G201*'Inputs Yr 2'!$AE201*'Inputs Yr 2'!$AG201*'Inputs Yr 2'!P201*'Inputs Yr 2'!Q201*'Inputs Yr 2'!$S201,"")</f>
        <v>0</v>
      </c>
      <c r="X201" s="194">
        <f>IFERROR($G201*'Inputs Yr 2'!$AE201*'Inputs Yr 2'!$AF201*'Inputs Yr 2'!Q201*'Inputs Yr 2'!$T201,"")</f>
        <v>0</v>
      </c>
      <c r="Y201" s="194">
        <f>IFERROR($G201*'Inputs Yr 2'!$AE201*'Inputs Yr 2'!$AF201*'Inputs Yr 2'!P201*'Inputs Yr 2'!Q201*'Inputs Yr 2'!$T201,"")</f>
        <v>0</v>
      </c>
      <c r="Z201" s="257">
        <f>IFERROR($G201*'Inputs Yr 2'!$Q201*'Inputs Yr 2'!$U201*(IF(IFERROR(SEARCH("NG", 'Inputs Yr 2'!$AJ201),0),'Inputs Yr 2'!$AK201,0)+IF(IFERROR(SEARCH("NG", 'Inputs Yr 2'!$AL201),0),'Inputs Yr 2'!$AM201,0)+IF(IFERROR(SEARCH("NG", 'Inputs Yr 2'!$AN201),0),'Inputs Yr 2'!$AO201,0)),0)</f>
        <v>3685.1374000000005</v>
      </c>
      <c r="AA201" s="257">
        <f t="shared" si="116"/>
        <v>55277.061000000009</v>
      </c>
      <c r="AB201" s="257">
        <f>IFERROR(Z201*'Inputs Yr 2'!$P201,0)</f>
        <v>3386.6412706000006</v>
      </c>
      <c r="AC201" s="257">
        <f t="shared" si="117"/>
        <v>50799.619059000011</v>
      </c>
      <c r="AD201" s="257">
        <f>IFERROR($G201*'Inputs Yr 2'!$Q201*'Inputs Yr 2'!$U201*(IF(IFERROR(SEARCH("Oil", 'Inputs Yr 2'!$AJ201), 0),'Inputs Yr 2'!$AK201,0)+IF(IFERROR(SEARCH("Oil", 'Inputs Yr 2'!$AL201), 0),'Inputs Yr 2'!$AM201,0)+IF(IFERROR(SEARCH("Oil", 'Inputs Yr 2'!$AN201), 0),'Inputs Yr 2'!$AO201,0)),0)</f>
        <v>0</v>
      </c>
      <c r="AE201" s="257">
        <f t="shared" si="118"/>
        <v>0</v>
      </c>
      <c r="AF201" s="257">
        <f>IFERROR(AD201*'Inputs Yr 2'!$P201,0)</f>
        <v>0</v>
      </c>
      <c r="AG201" s="257">
        <f t="shared" si="119"/>
        <v>0</v>
      </c>
      <c r="AH201" s="257">
        <f>IFERROR($G201*'Inputs Yr 2'!$Q201*'Inputs Yr 2'!$U201*(IF('Inputs Yr 2'!$AJ201=CD$4,'Inputs Yr 2'!$AK201,IF('Inputs Yr 2'!$AL201=CD$4,'Inputs Yr 2'!$AM201,IF('Inputs Yr 2'!$AN201=CD$4,'Inputs Yr 2'!$AO201,0)))),0)</f>
        <v>0</v>
      </c>
      <c r="AI201" s="257">
        <f t="shared" si="120"/>
        <v>0</v>
      </c>
      <c r="AJ201" s="257">
        <f>IFERROR(AH201*'Inputs Yr 2'!$P201,0)</f>
        <v>0</v>
      </c>
      <c r="AK201" s="257">
        <f t="shared" si="121"/>
        <v>0</v>
      </c>
      <c r="AL201" s="258">
        <f>IFERROR($G201*'Inputs Yr 2'!$P201*'Inputs Yr 2'!$Q201*'Inputs Yr 2'!AP201,0)</f>
        <v>0</v>
      </c>
      <c r="AM201" s="260">
        <f>IFERROR($G201*'Inputs Yr 2'!$P201*'Inputs Yr 2'!$Q201*'Inputs Yr 2'!AQ201,0)</f>
        <v>0</v>
      </c>
      <c r="AN201" s="258">
        <f>IFERROR($G201*'Inputs Yr 2'!$P201*'Inputs Yr 2'!$Q201*'Inputs Yr 2'!AR201,0)</f>
        <v>0</v>
      </c>
      <c r="AO201" s="257">
        <f t="shared" si="122"/>
        <v>0</v>
      </c>
      <c r="AP201" s="195">
        <f>IFERROR($CQ201*(INDEX(avoidedcosttbl2,$H201,AP$2)+(($H201-ROUNDDOWN($H201,0))*(INDEX(avoidedcosttbl2,ROUNDUP($H201,0),AP$2)-(INDEX(avoidedcosttbl2,ROUNDDOWN($H201,0),AP$2)))))*$O201*1000*'Inputs Yr 2'!AA201,"")</f>
        <v>0</v>
      </c>
      <c r="AQ201" s="195">
        <f>IFERROR($CR201*(INDEX(avoidedcosttbl2,$H201,AQ$2)+(($H201-ROUNDDOWN($H201,0))*(INDEX(avoidedcosttbl2,ROUNDUP($H201,0),AQ$2)-(INDEX(avoidedcosttbl2,ROUNDDOWN($H201,0),AQ$2)))))*$O201*1000*'Inputs Yr 2'!AB201,"")</f>
        <v>0</v>
      </c>
      <c r="AR201" s="195">
        <f>IFERROR($CS201*(INDEX(avoidedcosttbl2,$H201,AR$2)+(($H201-ROUNDDOWN($H201,0))*(INDEX(avoidedcosttbl2,ROUNDUP($H201,0),AR$2)-(INDEX(avoidedcosttbl2,ROUNDDOWN($H201,0),AR$2)))))*$O201*1000*'Inputs Yr 2'!AC201,"")</f>
        <v>0</v>
      </c>
      <c r="AS201" s="195">
        <f>IFERROR($CT201*(INDEX(avoidedcosttbl2,$H201,AS$2)+(($H201-ROUNDDOWN($H201,0))*(INDEX(avoidedcosttbl2,ROUNDUP($H201,0),AS$2)-(INDEX(avoidedcosttbl2,ROUNDDOWN($H201,0),AS$2)))))*$O201*1000*'Inputs Yr 2'!AD201,"")</f>
        <v>0</v>
      </c>
      <c r="AT201" s="196">
        <f t="shared" si="123"/>
        <v>0</v>
      </c>
      <c r="AU201" s="197">
        <f>IFERROR($CQ201*((INDEX(avoidedcosttbl2,$H201,AU$2))+(($H201-ROUNDDOWN($H201,0))*((INDEX(avoidedcosttbl2,ROUNDUP($H201,0),AU$2))-(INDEX(avoidedcosttbl2,ROUNDDOWN($H201,0),AU$2)))))*$O201*1000*'Inputs Yr 2'!AA201,"")</f>
        <v>0</v>
      </c>
      <c r="AV201" s="197">
        <f>IFERROR($CR201*((INDEX(avoidedcosttbl2,$H201,AV$2))+(($H201-ROUNDDOWN($H201,0))*((INDEX(avoidedcosttbl2,ROUNDUP($H201,0),AV$2))-(INDEX(avoidedcosttbl2,ROUNDDOWN($H201,0),AV$2)))))*$O201*1000*'Inputs Yr 2'!AB201,"")</f>
        <v>0</v>
      </c>
      <c r="AW201" s="197">
        <f>IFERROR($CS201*((INDEX(avoidedcosttbl2,$H201,AW$2))+(($H201-ROUNDDOWN($H201,0))*((INDEX(avoidedcosttbl2,ROUNDUP($H201,0),AW$2))-(INDEX(avoidedcosttbl2,ROUNDDOWN($H201,0),AW$2)))))*$O201*1000*'Inputs Yr 2'!AC201,"")</f>
        <v>0</v>
      </c>
      <c r="AX201" s="197">
        <f>IFERROR($CT201*((INDEX(avoidedcosttbl2,$H201,AX$2))+(($H201-ROUNDDOWN($H201,0))*((INDEX(avoidedcosttbl2,ROUNDUP($H201,0),AX$2))-(INDEX(avoidedcosttbl2,ROUNDDOWN($H201,0),AX$2)))))*$O201*1000*'Inputs Yr 2'!AD201,"")</f>
        <v>0</v>
      </c>
      <c r="AY201" s="197">
        <f>IFERROR(((INDEX(avoidedcosttbl2,$H201,AY$2))+(($H201-ROUNDDOWN($H201,0))*((INDEX(avoidedcosttbl2,ROUNDUP($H201,0),AY$2))-(INDEX(avoidedcosttbl2,ROUNDDOWN($H201,0),AY$2)))))*$O201*1000*('Inputs Yr 2'!AC201+'Inputs Yr 2'!AD201),"")</f>
        <v>0</v>
      </c>
      <c r="AZ201" s="197">
        <f>IFERROR(((INDEX(avoidedcosttbl2,$H201,AZ$2))+(($H201-ROUNDDOWN($H201,0))*((INDEX(avoidedcosttbl2,ROUNDUP($H201,0),AZ$2))-(INDEX(avoidedcosttbl2,ROUNDDOWN($H201,0),AZ$2)))))*$O201*1000*('Inputs Yr 2'!AA201+'Inputs Yr 2'!AB201),"")</f>
        <v>0</v>
      </c>
      <c r="BA201" s="198">
        <f t="shared" si="124"/>
        <v>0</v>
      </c>
      <c r="BB201" s="198">
        <f t="shared" si="125"/>
        <v>0</v>
      </c>
      <c r="BC201" s="195">
        <f t="shared" si="107"/>
        <v>0</v>
      </c>
      <c r="BD201" s="195">
        <f t="shared" si="108"/>
        <v>0</v>
      </c>
      <c r="BE201" s="195">
        <f t="shared" si="109"/>
        <v>0</v>
      </c>
      <c r="BF201" s="195">
        <f t="shared" si="110"/>
        <v>0</v>
      </c>
      <c r="BG201" s="195">
        <f t="shared" si="111"/>
        <v>0</v>
      </c>
      <c r="BH201" s="196">
        <f t="shared" si="126"/>
        <v>0</v>
      </c>
      <c r="BI201" s="196">
        <f t="shared" si="127"/>
        <v>0</v>
      </c>
      <c r="BJ201" s="195">
        <f>IFERROR($G201*(IF('Inputs Yr 2'!$AJ201=BJ$4,'Inputs Yr 2'!$AK201,IF('Inputs Yr 2'!$AL201=BJ$4,'Inputs Yr 2'!$AM201,IF('Inputs Yr 2'!$AN201=BJ$4,'Inputs Yr 2'!$AO201,0))))*(INDEX(avoidedcosttbl2,$H201,BJ$2)+(($H201-ROUNDDOWN($H201,0))*(INDEX(avoidedcosttbl2,ROUNDUP($H201,0),BJ$2)-(INDEX(avoidedcosttbl2,ROUNDDOWN($H201,0),BJ$2)))))*'Inputs Yr 2'!P201*'Inputs Yr 2'!Q201*'Inputs Yr 2'!U201,"")</f>
        <v>0</v>
      </c>
      <c r="BK201" s="195">
        <f>IFERROR($G201*(IF('Inputs Yr 2'!$AJ201=BK$4,'Inputs Yr 2'!$AK201,IF('Inputs Yr 2'!$AL201=BK$4,'Inputs Yr 2'!$AM201,IF('Inputs Yr 2'!$AN201=BK$4,'Inputs Yr 2'!$AO201,0))))*(INDEX(avoidedcosttbl2,$H201,BK$2)+(($H201-ROUNDDOWN($H201,0))*(INDEX(avoidedcosttbl2,ROUNDUP($H201,0),BK$2)-(INDEX(avoidedcosttbl2,ROUNDDOWN($H201,0),BK$2)))))*'Inputs Yr 2'!P201*'Inputs Yr 2'!Q201*'Inputs Yr 2'!U201,"")</f>
        <v>0</v>
      </c>
      <c r="BL201" s="195">
        <f>IFERROR($G201*(IF('Inputs Yr 2'!$AJ201=BL$4,'Inputs Yr 2'!$AK201,IF('Inputs Yr 2'!$AL201=BL$4,'Inputs Yr 2'!$AM201,IF('Inputs Yr 2'!$AN201=BL$4,'Inputs Yr 2'!$AO201,0))))*(INDEX(avoidedcosttbl2,$H201,BL$2)+(($H201-ROUNDDOWN($H201,0))*(INDEX(avoidedcosttbl2,ROUNDUP($H201,0),BL$2)-(INDEX(avoidedcosttbl2,ROUNDDOWN($H201,0),BL$2)))))*'Inputs Yr 2'!P201*'Inputs Yr 2'!Q201*'Inputs Yr 2'!U201,"")</f>
        <v>0</v>
      </c>
      <c r="BM201" s="195">
        <f>IFERROR($G201*(IF('Inputs Yr 2'!$AJ201=BM$4,'Inputs Yr 2'!$AK201,IF('Inputs Yr 2'!$AL201=BM$4,'Inputs Yr 2'!$AM201,IF('Inputs Yr 2'!$AN201=BM$4,'Inputs Yr 2'!$AO201,0))))*(INDEX(avoidedcosttbl2,$H201,BM$2)+(($H201-ROUNDDOWN($H201,0))*(INDEX(avoidedcosttbl2,ROUNDUP($H201,0),BM$2)-(INDEX(avoidedcosttbl2,ROUNDDOWN($H201,0),BM$2)))))*'Inputs Yr 2'!P201*'Inputs Yr 2'!Q201*'Inputs Yr 2'!U201,"")</f>
        <v>0</v>
      </c>
      <c r="BN201" s="195">
        <f>IFERROR($G201*(IF('Inputs Yr 2'!$AJ201=BN$4,'Inputs Yr 2'!$AK201,IF('Inputs Yr 2'!$AL201=BN$4,'Inputs Yr 2'!$AM201,IF('Inputs Yr 2'!$AN201=BN$4,'Inputs Yr 2'!$AO201,0))))*(INDEX(avoidedcosttbl2,$H201,BN$2)+(($H201-ROUNDDOWN($H201,0))*(INDEX(avoidedcosttbl2,ROUNDUP($H201,0),BN$2)-(INDEX(avoidedcosttbl2,ROUNDDOWN($H201,0),BN$2)))))*'Inputs Yr 2'!P201*'Inputs Yr 2'!Q201*'Inputs Yr 2'!U201,"")</f>
        <v>0</v>
      </c>
      <c r="BO201" s="195">
        <f>IFERROR($G201*(IF('Inputs Yr 2'!$AJ201=BO$4,'Inputs Yr 2'!$AK201,IF('Inputs Yr 2'!$AL201=BO$4,'Inputs Yr 2'!$AM201,IF('Inputs Yr 2'!$AN201=BO$4,'Inputs Yr 2'!$AO201,0))))*(INDEX(avoidedcosttbl2,$H201,BO$2)+(($H201-ROUNDDOWN($H201,0))*(INDEX(avoidedcosttbl2,ROUNDUP($H201,0),BO$2)-(INDEX(avoidedcosttbl2,ROUNDDOWN($H201,0),BO$2)))))*'Inputs Yr 2'!P201*'Inputs Yr 2'!Q201*'Inputs Yr 2'!U201,"")</f>
        <v>396189.4641678218</v>
      </c>
      <c r="BP201" s="195">
        <f>IFERROR($G201*(IF('Inputs Yr 2'!$AJ201=BP$4,'Inputs Yr 2'!$AK201,IF('Inputs Yr 2'!$AL201=BP$4,'Inputs Yr 2'!$AM201,IF('Inputs Yr 2'!$AN201=BP$4,'Inputs Yr 2'!$AO201,0))))*(INDEX(avoidedcosttbl2,$H201,BP$2)+(($H201-ROUNDDOWN($H201,0))*(INDEX(avoidedcosttbl2,ROUNDUP($H201,0),BP$2)-(INDEX(avoidedcosttbl2,ROUNDDOWN($H201,0),BP$2)))))*'Inputs Yr 2'!P201*'Inputs Yr 2'!Q201*'Inputs Yr 2'!U201,"")</f>
        <v>0</v>
      </c>
      <c r="BQ201" s="230">
        <f t="shared" si="128"/>
        <v>396189.4641678218</v>
      </c>
      <c r="BR201" s="197">
        <f t="shared" si="112"/>
        <v>6885.4771319339407</v>
      </c>
      <c r="BS201" s="197">
        <f>IFERROR(($G201*IF('Inputs Yr 2'!$AJ201=BM$4,'Inputs Yr 2'!$AK201,IF('Inputs Yr 2'!$AL201=BM$4,'Inputs Yr 2'!$AM201,IF('Inputs Yr 2'!$AN201=BM$4,'Inputs Yr 2'!$AO201,0))))*(INDEX(avoidedcosttbl2,$H201,BS$2)+(($H201-ROUNDDOWN($H201,0))*(INDEX(avoidedcosttbl2,ROUNDUP($H201,0),BS$2)-(INDEX(avoidedcosttbl2,ROUNDDOWN($H201,0),BS$2)))))*'Inputs Yr 2'!P201*'Inputs Yr 2'!Q201*'Inputs Yr 2'!U201,"")</f>
        <v>0</v>
      </c>
      <c r="BT201" s="197">
        <f>IFERROR(($G201*IF('Inputs Yr 2'!$AJ201=BK$4,'Inputs Yr 2'!$AK201,IF('Inputs Yr 2'!$AL201=BK$4,'Inputs Yr 2'!$AM201,IF('Inputs Yr 2'!$AN201=BK$4,'Inputs Yr 2'!$AO201,0))))*(INDEX(avoidedcosttbl2,$H201,BT$2)+(($H201-ROUNDDOWN($H201,0))*(INDEX(avoidedcosttbl2,ROUNDUP($H201,0),BT$2)-(INDEX(avoidedcosttbl2,ROUNDDOWN($H201,0),BT$2)))))*'Inputs Yr 2'!P201*'Inputs Yr 2'!Q201*'Inputs Yr 2'!U201,"")</f>
        <v>0</v>
      </c>
      <c r="BU201" s="197">
        <f>IFERROR(($G201*IF('Inputs Yr 2'!$AJ201=BL$4,'Inputs Yr 2'!$AK201,IF('Inputs Yr 2'!$AL201=BL$4,'Inputs Yr 2'!$AM201,IF('Inputs Yr 2'!$AN201=BL$4,'Inputs Yr 2'!$AO201,0))))*(INDEX(avoidedcosttbl2,$H201,BU$2)+(($H201-ROUNDDOWN($H201,0))*(INDEX(avoidedcosttbl2,ROUNDUP($H201,0),BU$2)-(INDEX(avoidedcosttbl2,ROUNDDOWN($H201,0),BU$2)))))*'Inputs Yr 2'!P201*'Inputs Yr 2'!Q201*'Inputs Yr 2'!U201,"")</f>
        <v>0</v>
      </c>
      <c r="BV201" s="775">
        <f>IFERROR(($G201*IF('Inputs Yr 2'!$AJ201=BJ$4,'Inputs Yr 2'!$AK201,IF('Inputs Yr 2'!$AL201=BJ$4,'Inputs Yr 2'!$AM201,IF('Inputs Yr 2'!$AN201=BJ$4,'Inputs Yr 2'!$AO201,0))))*(INDEX(avoidedcosttbl2,$H201,BV$2)+(($H201-ROUNDDOWN($H201,0))*(INDEX(avoidedcosttbl2,ROUNDUP($H201,0),BV$2)-(INDEX(avoidedcosttbl2,ROUNDDOWN($H201,0),BV$2)))))*'Inputs Yr 2'!P201*'Inputs Yr 2'!Q201*'Inputs Yr 2'!U201,"")</f>
        <v>0</v>
      </c>
      <c r="BW201" s="197">
        <f>IFERROR(($G201*IF('Inputs Yr 2'!$AJ201=BN$4,'Inputs Yr 2'!$AK201,IF('Inputs Yr 2'!$AL201=BN$4,'Inputs Yr 2'!$AM201,IF('Inputs Yr 2'!$AN201=BN$4,'Inputs Yr 2'!$AO201,0))))*(INDEX(avoidedcosttbl2,$H201,BW$2)+(($H201-ROUNDDOWN($H201,0))*(INDEX(avoidedcosttbl2,ROUNDUP($H201,0),BW$2)-(INDEX(avoidedcosttbl2,ROUNDDOWN($H201,0),BW$2)))))*'Inputs Yr 2'!P201*'Inputs Yr 2'!Q201*'Inputs Yr 2'!U201,"")</f>
        <v>0</v>
      </c>
      <c r="BX201" s="197">
        <f>IFERROR(($G201*IF('Inputs Yr 2'!$AJ201=BO$4,'Inputs Yr 2'!$AK201,IF('Inputs Yr 2'!$AL201=BO$4,'Inputs Yr 2'!$AM201,IF('Inputs Yr 2'!$AN201=BO$4,'Inputs Yr 2'!$AO201,0))))*(INDEX(avoidedcosttbl2,$H201,BX$2)+(($H201-ROUNDDOWN($H201,0))*(INDEX(avoidedcosttbl2,ROUNDUP($H201,0),BX$2)-(INDEX(avoidedcosttbl2,ROUNDDOWN($H201,0),BX$2)))))*'Inputs Yr 2'!P201*'Inputs Yr 2'!Q201*'Inputs Yr 2'!U201,"")</f>
        <v>27922.136472082606</v>
      </c>
      <c r="BY201" s="197">
        <f>IFERROR(($G201*IF('Inputs Yr 2'!$AJ201=BP$4,'Inputs Yr 2'!$AK201,IF('Inputs Yr 2'!$AL201=BP$4,'Inputs Yr 2'!$AM201,IF('Inputs Yr 2'!$AN201=BP$4,'Inputs Yr 2'!$AO201,0))))*(INDEX(avoidedcosttbl2,$H201,BY$2)+(($H201-ROUNDDOWN($H201,0))*(INDEX(avoidedcosttbl2,ROUNDUP($H201,0),BY$2)-(INDEX(avoidedcosttbl2,ROUNDDOWN($H201,0),BY$2)))))*'Inputs Yr 2'!P201*'Inputs Yr 2'!Q201*'Inputs Yr 2'!U201,"")</f>
        <v>0</v>
      </c>
      <c r="BZ201" s="193">
        <f t="shared" si="129"/>
        <v>34807.613604016544</v>
      </c>
      <c r="CA201" s="193">
        <f t="shared" si="130"/>
        <v>430997.07777183835</v>
      </c>
      <c r="CB201" s="195">
        <f>IFERROR(G201*(IF('Inputs Yr 2'!$AJ201=CB$4,'Inputs Yr 2'!$AK201,IF('Inputs Yr 2'!$AL201=CB$4,'Inputs Yr 2'!$AM201,IF('Inputs Yr 2'!$AN201=CB$4,'Inputs Yr 2'!$AO201,0))))*(INDEX(avoidedcosttbl2,$H201,CB$2)+(($H201-ROUNDDOWN($H201,0))*(INDEX(avoidedcosttbl2,ROUNDUP($H201,0),CB$2)-(INDEX(avoidedcosttbl2,ROUNDDOWN($H201,0),CB$2)))))*'Inputs Yr 2'!P201*'Inputs Yr 2'!Q201*'Inputs Yr 2'!U201,"")</f>
        <v>0</v>
      </c>
      <c r="CC201" s="195">
        <f>IFERROR(H201*(IF('Inputs Yr 2'!$AJ201=CC$4,'Inputs Yr 2'!$AK201,IF('Inputs Yr 2'!$AL201=CC$4,'Inputs Yr 2'!$AM201,IF('Inputs Yr 2'!$AN201=CC$4,'Inputs Yr 2'!$AO201,0))))*(INDEX(avoidedcosttbl2,$H201,CC$2)+(($H201-ROUNDDOWN($H201,0))*(INDEX(avoidedcosttbl2,ROUNDUP($H201,0),CC$2)-(INDEX(avoidedcosttbl2,ROUNDDOWN($H201,0),CC$2)))))*'Inputs Yr 2'!Q201*'Inputs Yr 2'!R201*'Inputs Yr 2'!V201,"")</f>
        <v>0</v>
      </c>
      <c r="CD201" s="195">
        <f>IFERROR(I201*(IF('Inputs Yr 2'!$AJ201=CD$4,'Inputs Yr 2'!$AK201,IF('Inputs Yr 2'!$AL201=CD$4,'Inputs Yr 2'!$AM201,IF('Inputs Yr 2'!$AN201=CD$4,'Inputs Yr 2'!$AO201,0))))*(INDEX(avoidedcosttbl2,$H201,CD$2)+(($H201-ROUNDDOWN($H201,0))*(INDEX(avoidedcosttbl2,ROUNDUP($H201,0),CD$2)-(INDEX(avoidedcosttbl2,ROUNDDOWN($H201,0),CD$2)))))*'Inputs Yr 2'!R201*'Inputs Yr 2'!S201*'Inputs Yr 2'!W201,"")</f>
        <v>0</v>
      </c>
      <c r="CE201" s="213">
        <f t="shared" si="131"/>
        <v>0</v>
      </c>
      <c r="CF201" s="213">
        <f t="shared" si="132"/>
        <v>0</v>
      </c>
      <c r="CG201" s="213">
        <f t="shared" si="133"/>
        <v>0</v>
      </c>
      <c r="CH201" s="698">
        <f t="shared" si="134"/>
        <v>430997.07777183835</v>
      </c>
      <c r="CI201" s="79">
        <f>IFERROR(($G201*'Inputs Yr 2'!$P201*'Inputs Yr 2'!$Q201*(((INDEX(avoidedcosttbl2,$H201,CI$2)+(($H201-ROUNDDOWN($H201,0))*(INDEX(avoidedcosttbl2,ROUNDUP($H201,0),CI$2)-INDEX(avoidedcosttbl2,ROUNDDOWN($H201,0),CI$2))))*'Inputs Yr 2'!AS201))),"")</f>
        <v>0</v>
      </c>
      <c r="CJ201" s="504">
        <f>IFERROR($G201*'Inputs Yr 2'!AT201*'Inputs Yr 2'!$P201*'Inputs Yr 2'!$Q201/((1+realdiscrt1)^-0.5),"")</f>
        <v>0</v>
      </c>
      <c r="CK201" s="79">
        <f>IFERROR((O201*1000*(((INDEX(avoidedcosttbl2,$H201,CK$2)+(($H201-ROUNDDOWN($H201,0))*(INDEX(avoidedcosttbl2,ROUNDUP($H201,0),CK$2)-INDEX(avoidedcosttbl2,ROUNDDOWN($H201,0),CK$2))))*'Inputs Yr 2'!AU201))),"")</f>
        <v>0</v>
      </c>
      <c r="CL201" s="504">
        <f>IFERROR(O201*1000*'Inputs Yr 2'!AV201/((1+realdiscrt1)^-0.5),"")</f>
        <v>0</v>
      </c>
      <c r="CM201" s="79">
        <f>IFERROR((AB201*'Inputs Yr 2'!AW201*(((INDEX(avoidedcosttbl2,$H201,CM$2)+(($H201-ROUNDDOWN($H201,0))*(INDEX(avoidedcosttbl2,ROUNDUP($H201,0),CM$2)-INDEX(avoidedcosttbl2,ROUNDDOWN($H201,0),CM$2)))))))*10,"")</f>
        <v>0</v>
      </c>
      <c r="CN201" s="504">
        <f>IFERROR(10*AB201*'Inputs Yr 2'!AX201/((1+realdiscrt1)^-0.5),"")</f>
        <v>0</v>
      </c>
      <c r="CO201" s="505">
        <f t="shared" si="135"/>
        <v>0</v>
      </c>
      <c r="CP201" s="230">
        <f t="shared" si="136"/>
        <v>430997.07777183835</v>
      </c>
      <c r="CQ201" s="199">
        <f>ROUND(IFERROR(IF(LEFT($A201,1)="C",'Avoided Costs'!$K$13,'Avoided Costs'!$K$12)+1,""),4)</f>
        <v>1.0720000000000001</v>
      </c>
      <c r="CR201" s="199">
        <f>ROUND(IFERROR(IF(LEFT($A201,1)="C",'Avoided Costs'!$L$13,'Avoided Costs'!$L$12)+1,""),4)</f>
        <v>1.04</v>
      </c>
      <c r="CS201" s="199">
        <f>ROUND(IFERROR(IF(LEFT($A201,1)="C",'Avoided Costs'!$M$13,'Avoided Costs'!$M$12)+1,""),4)</f>
        <v>1.0720000000000001</v>
      </c>
      <c r="CT201" s="199">
        <f>ROUND(IFERROR(IF(LEFT($A201,1)="C",'Avoided Costs'!$N$13,'Avoided Costs'!$N$12)+1,""),4)</f>
        <v>1.04</v>
      </c>
      <c r="CU201" s="199">
        <f>ROUND(IFERROR(IF(LEFT($A201,1)="C",'Avoided Costs'!$O$13,'Avoided Costs'!$O$12)+1,""),4)</f>
        <v>1.1120000000000001</v>
      </c>
      <c r="CV201" s="199">
        <f>ROUND(IFERROR(IF(LEFT($A201,1)="C",'Avoided Costs'!$P$13,'Avoided Costs'!$P$12)+1,""),4)</f>
        <v>1.095</v>
      </c>
      <c r="CW201" s="199">
        <f>ROUND(IFERROR(IF(LEFT($A201,1)="C",'Avoided Costs'!$Q$13,'Avoided Costs'!$Q$12)+1,""),4)</f>
        <v>1.1120000000000001</v>
      </c>
      <c r="CX201" s="200">
        <f>ROUND(IFERROR(IF(LEFT($A201,1)="C",'Avoided Costs'!$R$13,'Avoided Costs'!$R$12)+1,""),4)</f>
        <v>1.1120000000000001</v>
      </c>
    </row>
    <row r="202" spans="1:102" ht="12.75" customHeight="1">
      <c r="A202" s="91" t="str">
        <f>IF('Inputs Yr 2'!$B202=0,"",'Inputs Yr 2'!A202)</f>
        <v>C - Commercial &amp; Industrial</v>
      </c>
      <c r="B202" s="91" t="str">
        <f>IF('Inputs Yr 2'!$B202=0,"",'Inputs Yr 2'!B202)</f>
        <v>C1 - C&amp;I New Construction</v>
      </c>
      <c r="C202" s="91" t="str">
        <f>IF('Inputs Yr 2'!$B202=0,"",'Inputs Yr 2'!C202)</f>
        <v xml:space="preserve">C1b - C&amp;I Initial Purchase &amp; End of Useful Life </v>
      </c>
      <c r="D202" s="91" t="str">
        <f>IF('Inputs Yr 2'!$B202=0,"",'Inputs Yr 2'!E202)</f>
        <v>Heat Recovery - Custom  20</v>
      </c>
      <c r="E202" s="93" t="str">
        <f>IF('Inputs Yr 2'!$B202=0,"",'Inputs Yr 2'!F202)</f>
        <v>G16C1b03</v>
      </c>
      <c r="F202" s="93" t="str">
        <f>IF('Inputs Yr 2'!$B202=0,"",'Inputs Yr 2'!G202)</f>
        <v>HVAC</v>
      </c>
      <c r="G202" s="95">
        <f>IF('Inputs Yr 2'!$H202&lt;&gt;0,('Inputs Yr 2'!H202),"")</f>
        <v>1</v>
      </c>
      <c r="H202" s="94">
        <f>IFERROR('Inputs Yr 2'!I202,"")</f>
        <v>20</v>
      </c>
      <c r="I202" s="298">
        <f>IFERROR('Inputs Yr 2'!J202*'Inputs Yr 2'!P202*G202,"")</f>
        <v>66737.289866666673</v>
      </c>
      <c r="J202" s="298">
        <f>IFERROR('Inputs Yr 2'!K202*G202,"")</f>
        <v>54464.600000000006</v>
      </c>
      <c r="K202" s="298">
        <f t="shared" si="113"/>
        <v>12272.689866666668</v>
      </c>
      <c r="L202" s="194">
        <f>IFERROR(('Inputs Yr 2'!W202*G202)/1000,"")</f>
        <v>0</v>
      </c>
      <c r="M202" s="194">
        <f>IFERROR(L202*('Inputs Yr 2'!$Q202*'Inputs Yr 2'!$V202*'Inputs Yr 2'!$R202),"")</f>
        <v>0</v>
      </c>
      <c r="N202" s="194">
        <f t="shared" si="114"/>
        <v>0</v>
      </c>
      <c r="O202" s="194">
        <f>IFERROR(M202*'Inputs Yr 2'!P202,"")</f>
        <v>0</v>
      </c>
      <c r="P202" s="194">
        <f t="shared" si="115"/>
        <v>0</v>
      </c>
      <c r="Q202" s="194">
        <f>IFERROR($P202*'Inputs Yr 2'!AA202,"")</f>
        <v>0</v>
      </c>
      <c r="R202" s="194">
        <f>IFERROR($P202*'Inputs Yr 2'!AB202,"")</f>
        <v>0</v>
      </c>
      <c r="S202" s="194">
        <f>IFERROR($P202*'Inputs Yr 2'!AC202,"")</f>
        <v>0</v>
      </c>
      <c r="T202" s="194">
        <f>IFERROR($P202*'Inputs Yr 2'!AD202,"")</f>
        <v>0</v>
      </c>
      <c r="U202" s="194">
        <f>IFERROR(G202*'Inputs Yr 2'!$AE202*'Inputs Yr 2'!$P202*'Inputs Yr 2'!$Q202,"")</f>
        <v>0</v>
      </c>
      <c r="V202" s="194">
        <f>IFERROR($G202*'Inputs Yr 2'!$AE202*'Inputs Yr 2'!$AG202*'Inputs Yr 2'!Q202*'Inputs Yr 2'!$S202,"")</f>
        <v>0</v>
      </c>
      <c r="W202" s="194">
        <f>IFERROR($G202*'Inputs Yr 2'!$AE202*'Inputs Yr 2'!$AG202*'Inputs Yr 2'!P202*'Inputs Yr 2'!Q202*'Inputs Yr 2'!$S202,"")</f>
        <v>0</v>
      </c>
      <c r="X202" s="194">
        <f>IFERROR($G202*'Inputs Yr 2'!$AE202*'Inputs Yr 2'!$AF202*'Inputs Yr 2'!Q202*'Inputs Yr 2'!$T202,"")</f>
        <v>0</v>
      </c>
      <c r="Y202" s="194">
        <f>IFERROR($G202*'Inputs Yr 2'!$AE202*'Inputs Yr 2'!$AF202*'Inputs Yr 2'!P202*'Inputs Yr 2'!Q202*'Inputs Yr 2'!$T202,"")</f>
        <v>0</v>
      </c>
      <c r="Z202" s="257">
        <f>IFERROR($G202*'Inputs Yr 2'!$Q202*'Inputs Yr 2'!$U202*(IF(IFERROR(SEARCH("NG", 'Inputs Yr 2'!$AJ202),0),'Inputs Yr 2'!$AK202,0)+IF(IFERROR(SEARCH("NG", 'Inputs Yr 2'!$AL202),0),'Inputs Yr 2'!$AM202,0)+IF(IFERROR(SEARCH("NG", 'Inputs Yr 2'!$AN202),0),'Inputs Yr 2'!$AO202,0)),0)</f>
        <v>2495.7602000000002</v>
      </c>
      <c r="AA202" s="257">
        <f t="shared" si="116"/>
        <v>49915.204000000005</v>
      </c>
      <c r="AB202" s="257">
        <f>IFERROR(Z202*'Inputs Yr 2'!$P202,0)</f>
        <v>2293.6036238000002</v>
      </c>
      <c r="AC202" s="257">
        <f t="shared" si="117"/>
        <v>45872.072476000001</v>
      </c>
      <c r="AD202" s="257">
        <f>IFERROR($G202*'Inputs Yr 2'!$Q202*'Inputs Yr 2'!$U202*(IF(IFERROR(SEARCH("Oil", 'Inputs Yr 2'!$AJ202), 0),'Inputs Yr 2'!$AK202,0)+IF(IFERROR(SEARCH("Oil", 'Inputs Yr 2'!$AL202), 0),'Inputs Yr 2'!$AM202,0)+IF(IFERROR(SEARCH("Oil", 'Inputs Yr 2'!$AN202), 0),'Inputs Yr 2'!$AO202,0)),0)</f>
        <v>0</v>
      </c>
      <c r="AE202" s="257">
        <f t="shared" si="118"/>
        <v>0</v>
      </c>
      <c r="AF202" s="257">
        <f>IFERROR(AD202*'Inputs Yr 2'!$P202,0)</f>
        <v>0</v>
      </c>
      <c r="AG202" s="257">
        <f t="shared" si="119"/>
        <v>0</v>
      </c>
      <c r="AH202" s="257">
        <f>IFERROR($G202*'Inputs Yr 2'!$Q202*'Inputs Yr 2'!$U202*(IF('Inputs Yr 2'!$AJ202=CD$4,'Inputs Yr 2'!$AK202,IF('Inputs Yr 2'!$AL202=CD$4,'Inputs Yr 2'!$AM202,IF('Inputs Yr 2'!$AN202=CD$4,'Inputs Yr 2'!$AO202,0)))),0)</f>
        <v>0</v>
      </c>
      <c r="AI202" s="257">
        <f t="shared" si="120"/>
        <v>0</v>
      </c>
      <c r="AJ202" s="257">
        <f>IFERROR(AH202*'Inputs Yr 2'!$P202,0)</f>
        <v>0</v>
      </c>
      <c r="AK202" s="257">
        <f t="shared" si="121"/>
        <v>0</v>
      </c>
      <c r="AL202" s="258">
        <f>IFERROR($G202*'Inputs Yr 2'!$P202*'Inputs Yr 2'!$Q202*'Inputs Yr 2'!AP202,0)</f>
        <v>0</v>
      </c>
      <c r="AM202" s="260">
        <f>IFERROR($G202*'Inputs Yr 2'!$P202*'Inputs Yr 2'!$Q202*'Inputs Yr 2'!AQ202,0)</f>
        <v>0</v>
      </c>
      <c r="AN202" s="258">
        <f>IFERROR($G202*'Inputs Yr 2'!$P202*'Inputs Yr 2'!$Q202*'Inputs Yr 2'!AR202,0)</f>
        <v>0</v>
      </c>
      <c r="AO202" s="257">
        <f t="shared" si="122"/>
        <v>0</v>
      </c>
      <c r="AP202" s="195">
        <f>IFERROR($CQ202*(INDEX(avoidedcosttbl2,$H202,AP$2)+(($H202-ROUNDDOWN($H202,0))*(INDEX(avoidedcosttbl2,ROUNDUP($H202,0),AP$2)-(INDEX(avoidedcosttbl2,ROUNDDOWN($H202,0),AP$2)))))*$O202*1000*'Inputs Yr 2'!AA202,"")</f>
        <v>0</v>
      </c>
      <c r="AQ202" s="195">
        <f>IFERROR($CR202*(INDEX(avoidedcosttbl2,$H202,AQ$2)+(($H202-ROUNDDOWN($H202,0))*(INDEX(avoidedcosttbl2,ROUNDUP($H202,0),AQ$2)-(INDEX(avoidedcosttbl2,ROUNDDOWN($H202,0),AQ$2)))))*$O202*1000*'Inputs Yr 2'!AB202,"")</f>
        <v>0</v>
      </c>
      <c r="AR202" s="195">
        <f>IFERROR($CS202*(INDEX(avoidedcosttbl2,$H202,AR$2)+(($H202-ROUNDDOWN($H202,0))*(INDEX(avoidedcosttbl2,ROUNDUP($H202,0),AR$2)-(INDEX(avoidedcosttbl2,ROUNDDOWN($H202,0),AR$2)))))*$O202*1000*'Inputs Yr 2'!AC202,"")</f>
        <v>0</v>
      </c>
      <c r="AS202" s="195">
        <f>IFERROR($CT202*(INDEX(avoidedcosttbl2,$H202,AS$2)+(($H202-ROUNDDOWN($H202,0))*(INDEX(avoidedcosttbl2,ROUNDUP($H202,0),AS$2)-(INDEX(avoidedcosttbl2,ROUNDDOWN($H202,0),AS$2)))))*$O202*1000*'Inputs Yr 2'!AD202,"")</f>
        <v>0</v>
      </c>
      <c r="AT202" s="196">
        <f t="shared" si="123"/>
        <v>0</v>
      </c>
      <c r="AU202" s="197">
        <f>IFERROR($CQ202*((INDEX(avoidedcosttbl2,$H202,AU$2))+(($H202-ROUNDDOWN($H202,0))*((INDEX(avoidedcosttbl2,ROUNDUP($H202,0),AU$2))-(INDEX(avoidedcosttbl2,ROUNDDOWN($H202,0),AU$2)))))*$O202*1000*'Inputs Yr 2'!AA202,"")</f>
        <v>0</v>
      </c>
      <c r="AV202" s="197">
        <f>IFERROR($CR202*((INDEX(avoidedcosttbl2,$H202,AV$2))+(($H202-ROUNDDOWN($H202,0))*((INDEX(avoidedcosttbl2,ROUNDUP($H202,0),AV$2))-(INDEX(avoidedcosttbl2,ROUNDDOWN($H202,0),AV$2)))))*$O202*1000*'Inputs Yr 2'!AB202,"")</f>
        <v>0</v>
      </c>
      <c r="AW202" s="197">
        <f>IFERROR($CS202*((INDEX(avoidedcosttbl2,$H202,AW$2))+(($H202-ROUNDDOWN($H202,0))*((INDEX(avoidedcosttbl2,ROUNDUP($H202,0),AW$2))-(INDEX(avoidedcosttbl2,ROUNDDOWN($H202,0),AW$2)))))*$O202*1000*'Inputs Yr 2'!AC202,"")</f>
        <v>0</v>
      </c>
      <c r="AX202" s="197">
        <f>IFERROR($CT202*((INDEX(avoidedcosttbl2,$H202,AX$2))+(($H202-ROUNDDOWN($H202,0))*((INDEX(avoidedcosttbl2,ROUNDUP($H202,0),AX$2))-(INDEX(avoidedcosttbl2,ROUNDDOWN($H202,0),AX$2)))))*$O202*1000*'Inputs Yr 2'!AD202,"")</f>
        <v>0</v>
      </c>
      <c r="AY202" s="197">
        <f>IFERROR(((INDEX(avoidedcosttbl2,$H202,AY$2))+(($H202-ROUNDDOWN($H202,0))*((INDEX(avoidedcosttbl2,ROUNDUP($H202,0),AY$2))-(INDEX(avoidedcosttbl2,ROUNDDOWN($H202,0),AY$2)))))*$O202*1000*('Inputs Yr 2'!AC202+'Inputs Yr 2'!AD202),"")</f>
        <v>0</v>
      </c>
      <c r="AZ202" s="197">
        <f>IFERROR(((INDEX(avoidedcosttbl2,$H202,AZ$2))+(($H202-ROUNDDOWN($H202,0))*((INDEX(avoidedcosttbl2,ROUNDUP($H202,0),AZ$2))-(INDEX(avoidedcosttbl2,ROUNDDOWN($H202,0),AZ$2)))))*$O202*1000*('Inputs Yr 2'!AA202+'Inputs Yr 2'!AB202),"")</f>
        <v>0</v>
      </c>
      <c r="BA202" s="198">
        <f t="shared" si="124"/>
        <v>0</v>
      </c>
      <c r="BB202" s="198">
        <f t="shared" si="125"/>
        <v>0</v>
      </c>
      <c r="BC202" s="195">
        <f t="shared" si="107"/>
        <v>0</v>
      </c>
      <c r="BD202" s="195">
        <f t="shared" si="108"/>
        <v>0</v>
      </c>
      <c r="BE202" s="195">
        <f t="shared" si="109"/>
        <v>0</v>
      </c>
      <c r="BF202" s="195">
        <f t="shared" si="110"/>
        <v>0</v>
      </c>
      <c r="BG202" s="195">
        <f t="shared" si="111"/>
        <v>0</v>
      </c>
      <c r="BH202" s="196">
        <f t="shared" si="126"/>
        <v>0</v>
      </c>
      <c r="BI202" s="196">
        <f t="shared" si="127"/>
        <v>0</v>
      </c>
      <c r="BJ202" s="195">
        <f>IFERROR($G202*(IF('Inputs Yr 2'!$AJ202=BJ$4,'Inputs Yr 2'!$AK202,IF('Inputs Yr 2'!$AL202=BJ$4,'Inputs Yr 2'!$AM202,IF('Inputs Yr 2'!$AN202=BJ$4,'Inputs Yr 2'!$AO202,0))))*(INDEX(avoidedcosttbl2,$H202,BJ$2)+(($H202-ROUNDDOWN($H202,0))*(INDEX(avoidedcosttbl2,ROUNDUP($H202,0),BJ$2)-(INDEX(avoidedcosttbl2,ROUNDDOWN($H202,0),BJ$2)))))*'Inputs Yr 2'!P202*'Inputs Yr 2'!Q202*'Inputs Yr 2'!U202,"")</f>
        <v>0</v>
      </c>
      <c r="BK202" s="195">
        <f>IFERROR($G202*(IF('Inputs Yr 2'!$AJ202=BK$4,'Inputs Yr 2'!$AK202,IF('Inputs Yr 2'!$AL202=BK$4,'Inputs Yr 2'!$AM202,IF('Inputs Yr 2'!$AN202=BK$4,'Inputs Yr 2'!$AO202,0))))*(INDEX(avoidedcosttbl2,$H202,BK$2)+(($H202-ROUNDDOWN($H202,0))*(INDEX(avoidedcosttbl2,ROUNDUP($H202,0),BK$2)-(INDEX(avoidedcosttbl2,ROUNDDOWN($H202,0),BK$2)))))*'Inputs Yr 2'!P202*'Inputs Yr 2'!Q202*'Inputs Yr 2'!U202,"")</f>
        <v>0</v>
      </c>
      <c r="BL202" s="195">
        <f>IFERROR($G202*(IF('Inputs Yr 2'!$AJ202=BL$4,'Inputs Yr 2'!$AK202,IF('Inputs Yr 2'!$AL202=BL$4,'Inputs Yr 2'!$AM202,IF('Inputs Yr 2'!$AN202=BL$4,'Inputs Yr 2'!$AO202,0))))*(INDEX(avoidedcosttbl2,$H202,BL$2)+(($H202-ROUNDDOWN($H202,0))*(INDEX(avoidedcosttbl2,ROUNDUP($H202,0),BL$2)-(INDEX(avoidedcosttbl2,ROUNDDOWN($H202,0),BL$2)))))*'Inputs Yr 2'!P202*'Inputs Yr 2'!Q202*'Inputs Yr 2'!U202,"")</f>
        <v>0</v>
      </c>
      <c r="BM202" s="195">
        <f>IFERROR($G202*(IF('Inputs Yr 2'!$AJ202=BM$4,'Inputs Yr 2'!$AK202,IF('Inputs Yr 2'!$AL202=BM$4,'Inputs Yr 2'!$AM202,IF('Inputs Yr 2'!$AN202=BM$4,'Inputs Yr 2'!$AO202,0))))*(INDEX(avoidedcosttbl2,$H202,BM$2)+(($H202-ROUNDDOWN($H202,0))*(INDEX(avoidedcosttbl2,ROUNDUP($H202,0),BM$2)-(INDEX(avoidedcosttbl2,ROUNDDOWN($H202,0),BM$2)))))*'Inputs Yr 2'!P202*'Inputs Yr 2'!Q202*'Inputs Yr 2'!U202,"")</f>
        <v>0</v>
      </c>
      <c r="BN202" s="195">
        <f>IFERROR($G202*(IF('Inputs Yr 2'!$AJ202=BN$4,'Inputs Yr 2'!$AK202,IF('Inputs Yr 2'!$AL202=BN$4,'Inputs Yr 2'!$AM202,IF('Inputs Yr 2'!$AN202=BN$4,'Inputs Yr 2'!$AO202,0))))*(INDEX(avoidedcosttbl2,$H202,BN$2)+(($H202-ROUNDDOWN($H202,0))*(INDEX(avoidedcosttbl2,ROUNDUP($H202,0),BN$2)-(INDEX(avoidedcosttbl2,ROUNDDOWN($H202,0),BN$2)))))*'Inputs Yr 2'!P202*'Inputs Yr 2'!Q202*'Inputs Yr 2'!U202,"")</f>
        <v>0</v>
      </c>
      <c r="BO202" s="195">
        <f>IFERROR($G202*(IF('Inputs Yr 2'!$AJ202=BO$4,'Inputs Yr 2'!$AK202,IF('Inputs Yr 2'!$AL202=BO$4,'Inputs Yr 2'!$AM202,IF('Inputs Yr 2'!$AN202=BO$4,'Inputs Yr 2'!$AO202,0))))*(INDEX(avoidedcosttbl2,$H202,BO$2)+(($H202-ROUNDDOWN($H202,0))*(INDEX(avoidedcosttbl2,ROUNDUP($H202,0),BO$2)-(INDEX(avoidedcosttbl2,ROUNDDOWN($H202,0),BO$2)))))*'Inputs Yr 2'!P202*'Inputs Yr 2'!Q202*'Inputs Yr 2'!U202,"")</f>
        <v>368894.52618706931</v>
      </c>
      <c r="BP202" s="195">
        <f>IFERROR($G202*(IF('Inputs Yr 2'!$AJ202=BP$4,'Inputs Yr 2'!$AK202,IF('Inputs Yr 2'!$AL202=BP$4,'Inputs Yr 2'!$AM202,IF('Inputs Yr 2'!$AN202=BP$4,'Inputs Yr 2'!$AO202,0))))*(INDEX(avoidedcosttbl2,$H202,BP$2)+(($H202-ROUNDDOWN($H202,0))*(INDEX(avoidedcosttbl2,ROUNDUP($H202,0),BP$2)-(INDEX(avoidedcosttbl2,ROUNDDOWN($H202,0),BP$2)))))*'Inputs Yr 2'!P202*'Inputs Yr 2'!Q202*'Inputs Yr 2'!U202,"")</f>
        <v>0</v>
      </c>
      <c r="BQ202" s="230">
        <f t="shared" si="128"/>
        <v>368894.52618706931</v>
      </c>
      <c r="BR202" s="197">
        <f t="shared" si="112"/>
        <v>6150.5820925771795</v>
      </c>
      <c r="BS202" s="197">
        <f>IFERROR(($G202*IF('Inputs Yr 2'!$AJ202=BM$4,'Inputs Yr 2'!$AK202,IF('Inputs Yr 2'!$AL202=BM$4,'Inputs Yr 2'!$AM202,IF('Inputs Yr 2'!$AN202=BM$4,'Inputs Yr 2'!$AO202,0))))*(INDEX(avoidedcosttbl2,$H202,BS$2)+(($H202-ROUNDDOWN($H202,0))*(INDEX(avoidedcosttbl2,ROUNDUP($H202,0),BS$2)-(INDEX(avoidedcosttbl2,ROUNDDOWN($H202,0),BS$2)))))*'Inputs Yr 2'!P202*'Inputs Yr 2'!Q202*'Inputs Yr 2'!U202,"")</f>
        <v>0</v>
      </c>
      <c r="BT202" s="197">
        <f>IFERROR(($G202*IF('Inputs Yr 2'!$AJ202=BK$4,'Inputs Yr 2'!$AK202,IF('Inputs Yr 2'!$AL202=BK$4,'Inputs Yr 2'!$AM202,IF('Inputs Yr 2'!$AN202=BK$4,'Inputs Yr 2'!$AO202,0))))*(INDEX(avoidedcosttbl2,$H202,BT$2)+(($H202-ROUNDDOWN($H202,0))*(INDEX(avoidedcosttbl2,ROUNDUP($H202,0),BT$2)-(INDEX(avoidedcosttbl2,ROUNDDOWN($H202,0),BT$2)))))*'Inputs Yr 2'!P202*'Inputs Yr 2'!Q202*'Inputs Yr 2'!U202,"")</f>
        <v>0</v>
      </c>
      <c r="BU202" s="197">
        <f>IFERROR(($G202*IF('Inputs Yr 2'!$AJ202=BL$4,'Inputs Yr 2'!$AK202,IF('Inputs Yr 2'!$AL202=BL$4,'Inputs Yr 2'!$AM202,IF('Inputs Yr 2'!$AN202=BL$4,'Inputs Yr 2'!$AO202,0))))*(INDEX(avoidedcosttbl2,$H202,BU$2)+(($H202-ROUNDDOWN($H202,0))*(INDEX(avoidedcosttbl2,ROUNDUP($H202,0),BU$2)-(INDEX(avoidedcosttbl2,ROUNDDOWN($H202,0),BU$2)))))*'Inputs Yr 2'!P202*'Inputs Yr 2'!Q202*'Inputs Yr 2'!U202,"")</f>
        <v>0</v>
      </c>
      <c r="BV202" s="775">
        <f>IFERROR(($G202*IF('Inputs Yr 2'!$AJ202=BJ$4,'Inputs Yr 2'!$AK202,IF('Inputs Yr 2'!$AL202=BJ$4,'Inputs Yr 2'!$AM202,IF('Inputs Yr 2'!$AN202=BJ$4,'Inputs Yr 2'!$AO202,0))))*(INDEX(avoidedcosttbl2,$H202,BV$2)+(($H202-ROUNDDOWN($H202,0))*(INDEX(avoidedcosttbl2,ROUNDUP($H202,0),BV$2)-(INDEX(avoidedcosttbl2,ROUNDDOWN($H202,0),BV$2)))))*'Inputs Yr 2'!P202*'Inputs Yr 2'!Q202*'Inputs Yr 2'!U202,"")</f>
        <v>0</v>
      </c>
      <c r="BW202" s="197">
        <f>IFERROR(($G202*IF('Inputs Yr 2'!$AJ202=BN$4,'Inputs Yr 2'!$AK202,IF('Inputs Yr 2'!$AL202=BN$4,'Inputs Yr 2'!$AM202,IF('Inputs Yr 2'!$AN202=BN$4,'Inputs Yr 2'!$AO202,0))))*(INDEX(avoidedcosttbl2,$H202,BW$2)+(($H202-ROUNDDOWN($H202,0))*(INDEX(avoidedcosttbl2,ROUNDUP($H202,0),BW$2)-(INDEX(avoidedcosttbl2,ROUNDDOWN($H202,0),BW$2)))))*'Inputs Yr 2'!P202*'Inputs Yr 2'!Q202*'Inputs Yr 2'!U202,"")</f>
        <v>0</v>
      </c>
      <c r="BX202" s="197">
        <f>IFERROR(($G202*IF('Inputs Yr 2'!$AJ202=BO$4,'Inputs Yr 2'!$AK202,IF('Inputs Yr 2'!$AL202=BO$4,'Inputs Yr 2'!$AM202,IF('Inputs Yr 2'!$AN202=BO$4,'Inputs Yr 2'!$AO202,0))))*(INDEX(avoidedcosttbl2,$H202,BX$2)+(($H202-ROUNDDOWN($H202,0))*(INDEX(avoidedcosttbl2,ROUNDUP($H202,0),BX$2)-(INDEX(avoidedcosttbl2,ROUNDDOWN($H202,0),BX$2)))))*'Inputs Yr 2'!P202*'Inputs Yr 2'!Q202*'Inputs Yr 2'!U202,"")</f>
        <v>20148.596763431291</v>
      </c>
      <c r="BY202" s="197">
        <f>IFERROR(($G202*IF('Inputs Yr 2'!$AJ202=BP$4,'Inputs Yr 2'!$AK202,IF('Inputs Yr 2'!$AL202=BP$4,'Inputs Yr 2'!$AM202,IF('Inputs Yr 2'!$AN202=BP$4,'Inputs Yr 2'!$AO202,0))))*(INDEX(avoidedcosttbl2,$H202,BY$2)+(($H202-ROUNDDOWN($H202,0))*(INDEX(avoidedcosttbl2,ROUNDUP($H202,0),BY$2)-(INDEX(avoidedcosttbl2,ROUNDDOWN($H202,0),BY$2)))))*'Inputs Yr 2'!P202*'Inputs Yr 2'!Q202*'Inputs Yr 2'!U202,"")</f>
        <v>0</v>
      </c>
      <c r="BZ202" s="193">
        <f t="shared" si="129"/>
        <v>26299.178856008471</v>
      </c>
      <c r="CA202" s="193">
        <f t="shared" si="130"/>
        <v>395193.70504307776</v>
      </c>
      <c r="CB202" s="195">
        <f>IFERROR(G202*(IF('Inputs Yr 2'!$AJ202=CB$4,'Inputs Yr 2'!$AK202,IF('Inputs Yr 2'!$AL202=CB$4,'Inputs Yr 2'!$AM202,IF('Inputs Yr 2'!$AN202=CB$4,'Inputs Yr 2'!$AO202,0))))*(INDEX(avoidedcosttbl2,$H202,CB$2)+(($H202-ROUNDDOWN($H202,0))*(INDEX(avoidedcosttbl2,ROUNDUP($H202,0),CB$2)-(INDEX(avoidedcosttbl2,ROUNDDOWN($H202,0),CB$2)))))*'Inputs Yr 2'!P202*'Inputs Yr 2'!Q202*'Inputs Yr 2'!U202,"")</f>
        <v>0</v>
      </c>
      <c r="CC202" s="195">
        <f>IFERROR(H202*(IF('Inputs Yr 2'!$AJ202=CC$4,'Inputs Yr 2'!$AK202,IF('Inputs Yr 2'!$AL202=CC$4,'Inputs Yr 2'!$AM202,IF('Inputs Yr 2'!$AN202=CC$4,'Inputs Yr 2'!$AO202,0))))*(INDEX(avoidedcosttbl2,$H202,CC$2)+(($H202-ROUNDDOWN($H202,0))*(INDEX(avoidedcosttbl2,ROUNDUP($H202,0),CC$2)-(INDEX(avoidedcosttbl2,ROUNDDOWN($H202,0),CC$2)))))*'Inputs Yr 2'!Q202*'Inputs Yr 2'!R202*'Inputs Yr 2'!V202,"")</f>
        <v>0</v>
      </c>
      <c r="CD202" s="195">
        <f>IFERROR(I202*(IF('Inputs Yr 2'!$AJ202=CD$4,'Inputs Yr 2'!$AK202,IF('Inputs Yr 2'!$AL202=CD$4,'Inputs Yr 2'!$AM202,IF('Inputs Yr 2'!$AN202=CD$4,'Inputs Yr 2'!$AO202,0))))*(INDEX(avoidedcosttbl2,$H202,CD$2)+(($H202-ROUNDDOWN($H202,0))*(INDEX(avoidedcosttbl2,ROUNDUP($H202,0),CD$2)-(INDEX(avoidedcosttbl2,ROUNDDOWN($H202,0),CD$2)))))*'Inputs Yr 2'!R202*'Inputs Yr 2'!S202*'Inputs Yr 2'!W202,"")</f>
        <v>0</v>
      </c>
      <c r="CE202" s="213">
        <f t="shared" si="131"/>
        <v>0</v>
      </c>
      <c r="CF202" s="213">
        <f t="shared" si="132"/>
        <v>0</v>
      </c>
      <c r="CG202" s="213">
        <f t="shared" si="133"/>
        <v>0</v>
      </c>
      <c r="CH202" s="698">
        <f t="shared" si="134"/>
        <v>395193.70504307776</v>
      </c>
      <c r="CI202" s="79">
        <f>IFERROR(($G202*'Inputs Yr 2'!$P202*'Inputs Yr 2'!$Q202*(((INDEX(avoidedcosttbl2,$H202,CI$2)+(($H202-ROUNDDOWN($H202,0))*(INDEX(avoidedcosttbl2,ROUNDUP($H202,0),CI$2)-INDEX(avoidedcosttbl2,ROUNDDOWN($H202,0),CI$2))))*'Inputs Yr 2'!AS202))),"")</f>
        <v>0</v>
      </c>
      <c r="CJ202" s="504">
        <f>IFERROR($G202*'Inputs Yr 2'!AT202*'Inputs Yr 2'!$P202*'Inputs Yr 2'!$Q202/((1+realdiscrt1)^-0.5),"")</f>
        <v>0</v>
      </c>
      <c r="CK202" s="79">
        <f>IFERROR((O202*1000*(((INDEX(avoidedcosttbl2,$H202,CK$2)+(($H202-ROUNDDOWN($H202,0))*(INDEX(avoidedcosttbl2,ROUNDUP($H202,0),CK$2)-INDEX(avoidedcosttbl2,ROUNDDOWN($H202,0),CK$2))))*'Inputs Yr 2'!AU202))),"")</f>
        <v>0</v>
      </c>
      <c r="CL202" s="504">
        <f>IFERROR(O202*1000*'Inputs Yr 2'!AV202/((1+realdiscrt1)^-0.5),"")</f>
        <v>0</v>
      </c>
      <c r="CM202" s="79">
        <f>IFERROR((AB202*'Inputs Yr 2'!AW202*(((INDEX(avoidedcosttbl2,$H202,CM$2)+(($H202-ROUNDDOWN($H202,0))*(INDEX(avoidedcosttbl2,ROUNDUP($H202,0),CM$2)-INDEX(avoidedcosttbl2,ROUNDDOWN($H202,0),CM$2)))))))*10,"")</f>
        <v>0</v>
      </c>
      <c r="CN202" s="504">
        <f>IFERROR(10*AB202*'Inputs Yr 2'!AX202/((1+realdiscrt1)^-0.5),"")</f>
        <v>0</v>
      </c>
      <c r="CO202" s="505">
        <f t="shared" si="135"/>
        <v>0</v>
      </c>
      <c r="CP202" s="230">
        <f t="shared" si="136"/>
        <v>395193.70504307776</v>
      </c>
      <c r="CQ202" s="199">
        <f>ROUND(IFERROR(IF(LEFT($A202,1)="C",'Avoided Costs'!$K$13,'Avoided Costs'!$K$12)+1,""),4)</f>
        <v>1.0720000000000001</v>
      </c>
      <c r="CR202" s="199">
        <f>ROUND(IFERROR(IF(LEFT($A202,1)="C",'Avoided Costs'!$L$13,'Avoided Costs'!$L$12)+1,""),4)</f>
        <v>1.04</v>
      </c>
      <c r="CS202" s="199">
        <f>ROUND(IFERROR(IF(LEFT($A202,1)="C",'Avoided Costs'!$M$13,'Avoided Costs'!$M$12)+1,""),4)</f>
        <v>1.0720000000000001</v>
      </c>
      <c r="CT202" s="199">
        <f>ROUND(IFERROR(IF(LEFT($A202,1)="C",'Avoided Costs'!$N$13,'Avoided Costs'!$N$12)+1,""),4)</f>
        <v>1.04</v>
      </c>
      <c r="CU202" s="199">
        <f>ROUND(IFERROR(IF(LEFT($A202,1)="C",'Avoided Costs'!$O$13,'Avoided Costs'!$O$12)+1,""),4)</f>
        <v>1.1120000000000001</v>
      </c>
      <c r="CV202" s="199">
        <f>ROUND(IFERROR(IF(LEFT($A202,1)="C",'Avoided Costs'!$P$13,'Avoided Costs'!$P$12)+1,""),4)</f>
        <v>1.095</v>
      </c>
      <c r="CW202" s="199">
        <f>ROUND(IFERROR(IF(LEFT($A202,1)="C",'Avoided Costs'!$Q$13,'Avoided Costs'!$Q$12)+1,""),4)</f>
        <v>1.1120000000000001</v>
      </c>
      <c r="CX202" s="200">
        <f>ROUND(IFERROR(IF(LEFT($A202,1)="C",'Avoided Costs'!$R$13,'Avoided Costs'!$R$12)+1,""),4)</f>
        <v>1.1120000000000001</v>
      </c>
    </row>
    <row r="203" spans="1:102" ht="12.75" customHeight="1">
      <c r="A203" s="91" t="str">
        <f>IF('Inputs Yr 2'!$B203=0,"",'Inputs Yr 2'!A203)</f>
        <v>C - Commercial &amp; Industrial</v>
      </c>
      <c r="B203" s="91" t="str">
        <f>IF('Inputs Yr 2'!$B203=0,"",'Inputs Yr 2'!B203)</f>
        <v>C1 - C&amp;I New Construction</v>
      </c>
      <c r="C203" s="91" t="str">
        <f>IF('Inputs Yr 2'!$B203=0,"",'Inputs Yr 2'!C203)</f>
        <v xml:space="preserve">C1b - C&amp;I Initial Purchase &amp; End of Useful Life </v>
      </c>
      <c r="D203" s="91" t="str">
        <f>IF('Inputs Yr 2'!$B203=0,"",'Inputs Yr 2'!E203)</f>
        <v>Heating - Custom 20</v>
      </c>
      <c r="E203" s="93" t="str">
        <f>IF('Inputs Yr 2'!$B203=0,"",'Inputs Yr 2'!F203)</f>
        <v>G16C1b04</v>
      </c>
      <c r="F203" s="93" t="str">
        <f>IF('Inputs Yr 2'!$B203=0,"",'Inputs Yr 2'!G203)</f>
        <v>HVAC</v>
      </c>
      <c r="G203" s="95">
        <f>IF('Inputs Yr 2'!$H203&lt;&gt;0,('Inputs Yr 2'!H203),"")</f>
        <v>1</v>
      </c>
      <c r="H203" s="94">
        <f>IFERROR('Inputs Yr 2'!I203,"")</f>
        <v>20</v>
      </c>
      <c r="I203" s="298">
        <f>IFERROR('Inputs Yr 2'!J203*'Inputs Yr 2'!P203*G203,"")</f>
        <v>146502.87513333332</v>
      </c>
      <c r="J203" s="298">
        <f>IFERROR('Inputs Yr 2'!K203*G203,"")</f>
        <v>119561.65</v>
      </c>
      <c r="K203" s="298">
        <f t="shared" si="113"/>
        <v>26941.225133333326</v>
      </c>
      <c r="L203" s="194">
        <f>IFERROR(('Inputs Yr 2'!W203*G203)/1000,"")</f>
        <v>0</v>
      </c>
      <c r="M203" s="194">
        <f>IFERROR(L203*('Inputs Yr 2'!$Q203*'Inputs Yr 2'!$V203*'Inputs Yr 2'!$R203),"")</f>
        <v>0</v>
      </c>
      <c r="N203" s="194">
        <f t="shared" si="114"/>
        <v>0</v>
      </c>
      <c r="O203" s="194">
        <f>IFERROR(M203*'Inputs Yr 2'!P203,"")</f>
        <v>0</v>
      </c>
      <c r="P203" s="194">
        <f t="shared" si="115"/>
        <v>0</v>
      </c>
      <c r="Q203" s="194">
        <f>IFERROR($P203*'Inputs Yr 2'!AA203,"")</f>
        <v>0</v>
      </c>
      <c r="R203" s="194">
        <f>IFERROR($P203*'Inputs Yr 2'!AB203,"")</f>
        <v>0</v>
      </c>
      <c r="S203" s="194">
        <f>IFERROR($P203*'Inputs Yr 2'!AC203,"")</f>
        <v>0</v>
      </c>
      <c r="T203" s="194">
        <f>IFERROR($P203*'Inputs Yr 2'!AD203,"")</f>
        <v>0</v>
      </c>
      <c r="U203" s="194">
        <f>IFERROR(G203*'Inputs Yr 2'!$AE203*'Inputs Yr 2'!$P203*'Inputs Yr 2'!$Q203,"")</f>
        <v>0</v>
      </c>
      <c r="V203" s="194">
        <f>IFERROR($G203*'Inputs Yr 2'!$AE203*'Inputs Yr 2'!$AG203*'Inputs Yr 2'!Q203*'Inputs Yr 2'!$S203,"")</f>
        <v>0</v>
      </c>
      <c r="W203" s="194">
        <f>IFERROR($G203*'Inputs Yr 2'!$AE203*'Inputs Yr 2'!$AG203*'Inputs Yr 2'!P203*'Inputs Yr 2'!Q203*'Inputs Yr 2'!$S203,"")</f>
        <v>0</v>
      </c>
      <c r="X203" s="194">
        <f>IFERROR($G203*'Inputs Yr 2'!$AE203*'Inputs Yr 2'!$AF203*'Inputs Yr 2'!Q203*'Inputs Yr 2'!$T203,"")</f>
        <v>0</v>
      </c>
      <c r="Y203" s="194">
        <f>IFERROR($G203*'Inputs Yr 2'!$AE203*'Inputs Yr 2'!$AF203*'Inputs Yr 2'!P203*'Inputs Yr 2'!Q203*'Inputs Yr 2'!$T203,"")</f>
        <v>0</v>
      </c>
      <c r="Z203" s="257">
        <f>IFERROR($G203*'Inputs Yr 2'!$Q203*'Inputs Yr 2'!$U203*(IF(IFERROR(SEARCH("NG", 'Inputs Yr 2'!$AJ203),0),'Inputs Yr 2'!$AK203,0)+IF(IFERROR(SEARCH("NG", 'Inputs Yr 2'!$AL203),0),'Inputs Yr 2'!$AM203,0)+IF(IFERROR(SEARCH("NG", 'Inputs Yr 2'!$AN203),0),'Inputs Yr 2'!$AO203,0)),0)</f>
        <v>4944.7804000000006</v>
      </c>
      <c r="AA203" s="257">
        <f t="shared" si="116"/>
        <v>98895.608000000007</v>
      </c>
      <c r="AB203" s="257">
        <f>IFERROR(Z203*'Inputs Yr 2'!$P203,0)</f>
        <v>4544.2531876000003</v>
      </c>
      <c r="AC203" s="257">
        <f t="shared" si="117"/>
        <v>90885.063752000002</v>
      </c>
      <c r="AD203" s="257">
        <f>IFERROR($G203*'Inputs Yr 2'!$Q203*'Inputs Yr 2'!$U203*(IF(IFERROR(SEARCH("Oil", 'Inputs Yr 2'!$AJ203), 0),'Inputs Yr 2'!$AK203,0)+IF(IFERROR(SEARCH("Oil", 'Inputs Yr 2'!$AL203), 0),'Inputs Yr 2'!$AM203,0)+IF(IFERROR(SEARCH("Oil", 'Inputs Yr 2'!$AN203), 0),'Inputs Yr 2'!$AO203,0)),0)</f>
        <v>0</v>
      </c>
      <c r="AE203" s="257">
        <f t="shared" si="118"/>
        <v>0</v>
      </c>
      <c r="AF203" s="257">
        <f>IFERROR(AD203*'Inputs Yr 2'!$P203,0)</f>
        <v>0</v>
      </c>
      <c r="AG203" s="257">
        <f t="shared" si="119"/>
        <v>0</v>
      </c>
      <c r="AH203" s="257">
        <f>IFERROR($G203*'Inputs Yr 2'!$Q203*'Inputs Yr 2'!$U203*(IF('Inputs Yr 2'!$AJ203=CD$4,'Inputs Yr 2'!$AK203,IF('Inputs Yr 2'!$AL203=CD$4,'Inputs Yr 2'!$AM203,IF('Inputs Yr 2'!$AN203=CD$4,'Inputs Yr 2'!$AO203,0)))),0)</f>
        <v>0</v>
      </c>
      <c r="AI203" s="257">
        <f t="shared" si="120"/>
        <v>0</v>
      </c>
      <c r="AJ203" s="257">
        <f>IFERROR(AH203*'Inputs Yr 2'!$P203,0)</f>
        <v>0</v>
      </c>
      <c r="AK203" s="257">
        <f t="shared" si="121"/>
        <v>0</v>
      </c>
      <c r="AL203" s="258">
        <f>IFERROR($G203*'Inputs Yr 2'!$P203*'Inputs Yr 2'!$Q203*'Inputs Yr 2'!AP203,0)</f>
        <v>0</v>
      </c>
      <c r="AM203" s="260">
        <f>IFERROR($G203*'Inputs Yr 2'!$P203*'Inputs Yr 2'!$Q203*'Inputs Yr 2'!AQ203,0)</f>
        <v>0</v>
      </c>
      <c r="AN203" s="258">
        <f>IFERROR($G203*'Inputs Yr 2'!$P203*'Inputs Yr 2'!$Q203*'Inputs Yr 2'!AR203,0)</f>
        <v>0</v>
      </c>
      <c r="AO203" s="257">
        <f t="shared" si="122"/>
        <v>0</v>
      </c>
      <c r="AP203" s="195">
        <f>IFERROR($CQ203*(INDEX(avoidedcosttbl2,$H203,AP$2)+(($H203-ROUNDDOWN($H203,0))*(INDEX(avoidedcosttbl2,ROUNDUP($H203,0),AP$2)-(INDEX(avoidedcosttbl2,ROUNDDOWN($H203,0),AP$2)))))*$O203*1000*'Inputs Yr 2'!AA203,"")</f>
        <v>0</v>
      </c>
      <c r="AQ203" s="195">
        <f>IFERROR($CR203*(INDEX(avoidedcosttbl2,$H203,AQ$2)+(($H203-ROUNDDOWN($H203,0))*(INDEX(avoidedcosttbl2,ROUNDUP($H203,0),AQ$2)-(INDEX(avoidedcosttbl2,ROUNDDOWN($H203,0),AQ$2)))))*$O203*1000*'Inputs Yr 2'!AB203,"")</f>
        <v>0</v>
      </c>
      <c r="AR203" s="195">
        <f>IFERROR($CS203*(INDEX(avoidedcosttbl2,$H203,AR$2)+(($H203-ROUNDDOWN($H203,0))*(INDEX(avoidedcosttbl2,ROUNDUP($H203,0),AR$2)-(INDEX(avoidedcosttbl2,ROUNDDOWN($H203,0),AR$2)))))*$O203*1000*'Inputs Yr 2'!AC203,"")</f>
        <v>0</v>
      </c>
      <c r="AS203" s="195">
        <f>IFERROR($CT203*(INDEX(avoidedcosttbl2,$H203,AS$2)+(($H203-ROUNDDOWN($H203,0))*(INDEX(avoidedcosttbl2,ROUNDUP($H203,0),AS$2)-(INDEX(avoidedcosttbl2,ROUNDDOWN($H203,0),AS$2)))))*$O203*1000*'Inputs Yr 2'!AD203,"")</f>
        <v>0</v>
      </c>
      <c r="AT203" s="196">
        <f t="shared" si="123"/>
        <v>0</v>
      </c>
      <c r="AU203" s="197">
        <f>IFERROR($CQ203*((INDEX(avoidedcosttbl2,$H203,AU$2))+(($H203-ROUNDDOWN($H203,0))*((INDEX(avoidedcosttbl2,ROUNDUP($H203,0),AU$2))-(INDEX(avoidedcosttbl2,ROUNDDOWN($H203,0),AU$2)))))*$O203*1000*'Inputs Yr 2'!AA203,"")</f>
        <v>0</v>
      </c>
      <c r="AV203" s="197">
        <f>IFERROR($CR203*((INDEX(avoidedcosttbl2,$H203,AV$2))+(($H203-ROUNDDOWN($H203,0))*((INDEX(avoidedcosttbl2,ROUNDUP($H203,0),AV$2))-(INDEX(avoidedcosttbl2,ROUNDDOWN($H203,0),AV$2)))))*$O203*1000*'Inputs Yr 2'!AB203,"")</f>
        <v>0</v>
      </c>
      <c r="AW203" s="197">
        <f>IFERROR($CS203*((INDEX(avoidedcosttbl2,$H203,AW$2))+(($H203-ROUNDDOWN($H203,0))*((INDEX(avoidedcosttbl2,ROUNDUP($H203,0),AW$2))-(INDEX(avoidedcosttbl2,ROUNDDOWN($H203,0),AW$2)))))*$O203*1000*'Inputs Yr 2'!AC203,"")</f>
        <v>0</v>
      </c>
      <c r="AX203" s="197">
        <f>IFERROR($CT203*((INDEX(avoidedcosttbl2,$H203,AX$2))+(($H203-ROUNDDOWN($H203,0))*((INDEX(avoidedcosttbl2,ROUNDUP($H203,0),AX$2))-(INDEX(avoidedcosttbl2,ROUNDDOWN($H203,0),AX$2)))))*$O203*1000*'Inputs Yr 2'!AD203,"")</f>
        <v>0</v>
      </c>
      <c r="AY203" s="197">
        <f>IFERROR(((INDEX(avoidedcosttbl2,$H203,AY$2))+(($H203-ROUNDDOWN($H203,0))*((INDEX(avoidedcosttbl2,ROUNDUP($H203,0),AY$2))-(INDEX(avoidedcosttbl2,ROUNDDOWN($H203,0),AY$2)))))*$O203*1000*('Inputs Yr 2'!AC203+'Inputs Yr 2'!AD203),"")</f>
        <v>0</v>
      </c>
      <c r="AZ203" s="197">
        <f>IFERROR(((INDEX(avoidedcosttbl2,$H203,AZ$2))+(($H203-ROUNDDOWN($H203,0))*((INDEX(avoidedcosttbl2,ROUNDUP($H203,0),AZ$2))-(INDEX(avoidedcosttbl2,ROUNDDOWN($H203,0),AZ$2)))))*$O203*1000*('Inputs Yr 2'!AA203+'Inputs Yr 2'!AB203),"")</f>
        <v>0</v>
      </c>
      <c r="BA203" s="198">
        <f t="shared" si="124"/>
        <v>0</v>
      </c>
      <c r="BB203" s="198">
        <f t="shared" si="125"/>
        <v>0</v>
      </c>
      <c r="BC203" s="195">
        <f t="shared" si="107"/>
        <v>0</v>
      </c>
      <c r="BD203" s="195">
        <f t="shared" si="108"/>
        <v>0</v>
      </c>
      <c r="BE203" s="195">
        <f t="shared" si="109"/>
        <v>0</v>
      </c>
      <c r="BF203" s="195">
        <f t="shared" si="110"/>
        <v>0</v>
      </c>
      <c r="BG203" s="195">
        <f t="shared" si="111"/>
        <v>0</v>
      </c>
      <c r="BH203" s="196">
        <f t="shared" si="126"/>
        <v>0</v>
      </c>
      <c r="BI203" s="196">
        <f t="shared" si="127"/>
        <v>0</v>
      </c>
      <c r="BJ203" s="195">
        <f>IFERROR($G203*(IF('Inputs Yr 2'!$AJ203=BJ$4,'Inputs Yr 2'!$AK203,IF('Inputs Yr 2'!$AL203=BJ$4,'Inputs Yr 2'!$AM203,IF('Inputs Yr 2'!$AN203=BJ$4,'Inputs Yr 2'!$AO203,0))))*(INDEX(avoidedcosttbl2,$H203,BJ$2)+(($H203-ROUNDDOWN($H203,0))*(INDEX(avoidedcosttbl2,ROUNDUP($H203,0),BJ$2)-(INDEX(avoidedcosttbl2,ROUNDDOWN($H203,0),BJ$2)))))*'Inputs Yr 2'!P203*'Inputs Yr 2'!Q203*'Inputs Yr 2'!U203,"")</f>
        <v>0</v>
      </c>
      <c r="BK203" s="195">
        <f>IFERROR($G203*(IF('Inputs Yr 2'!$AJ203=BK$4,'Inputs Yr 2'!$AK203,IF('Inputs Yr 2'!$AL203=BK$4,'Inputs Yr 2'!$AM203,IF('Inputs Yr 2'!$AN203=BK$4,'Inputs Yr 2'!$AO203,0))))*(INDEX(avoidedcosttbl2,$H203,BK$2)+(($H203-ROUNDDOWN($H203,0))*(INDEX(avoidedcosttbl2,ROUNDUP($H203,0),BK$2)-(INDEX(avoidedcosttbl2,ROUNDDOWN($H203,0),BK$2)))))*'Inputs Yr 2'!P203*'Inputs Yr 2'!Q203*'Inputs Yr 2'!U203,"")</f>
        <v>0</v>
      </c>
      <c r="BL203" s="195">
        <f>IFERROR($G203*(IF('Inputs Yr 2'!$AJ203=BL$4,'Inputs Yr 2'!$AK203,IF('Inputs Yr 2'!$AL203=BL$4,'Inputs Yr 2'!$AM203,IF('Inputs Yr 2'!$AN203=BL$4,'Inputs Yr 2'!$AO203,0))))*(INDEX(avoidedcosttbl2,$H203,BL$2)+(($H203-ROUNDDOWN($H203,0))*(INDEX(avoidedcosttbl2,ROUNDUP($H203,0),BL$2)-(INDEX(avoidedcosttbl2,ROUNDDOWN($H203,0),BL$2)))))*'Inputs Yr 2'!P203*'Inputs Yr 2'!Q203*'Inputs Yr 2'!U203,"")</f>
        <v>0</v>
      </c>
      <c r="BM203" s="195">
        <f>IFERROR($G203*(IF('Inputs Yr 2'!$AJ203=BM$4,'Inputs Yr 2'!$AK203,IF('Inputs Yr 2'!$AL203=BM$4,'Inputs Yr 2'!$AM203,IF('Inputs Yr 2'!$AN203=BM$4,'Inputs Yr 2'!$AO203,0))))*(INDEX(avoidedcosttbl2,$H203,BM$2)+(($H203-ROUNDDOWN($H203,0))*(INDEX(avoidedcosttbl2,ROUNDUP($H203,0),BM$2)-(INDEX(avoidedcosttbl2,ROUNDDOWN($H203,0),BM$2)))))*'Inputs Yr 2'!P203*'Inputs Yr 2'!Q203*'Inputs Yr 2'!U203,"")</f>
        <v>0</v>
      </c>
      <c r="BN203" s="195">
        <f>IFERROR($G203*(IF('Inputs Yr 2'!$AJ203=BN$4,'Inputs Yr 2'!$AK203,IF('Inputs Yr 2'!$AL203=BN$4,'Inputs Yr 2'!$AM203,IF('Inputs Yr 2'!$AN203=BN$4,'Inputs Yr 2'!$AO203,0))))*(INDEX(avoidedcosttbl2,$H203,BN$2)+(($H203-ROUNDDOWN($H203,0))*(INDEX(avoidedcosttbl2,ROUNDUP($H203,0),BN$2)-(INDEX(avoidedcosttbl2,ROUNDDOWN($H203,0),BN$2)))))*'Inputs Yr 2'!P203*'Inputs Yr 2'!Q203*'Inputs Yr 2'!U203,"")</f>
        <v>0</v>
      </c>
      <c r="BO203" s="195">
        <f>IFERROR($G203*(IF('Inputs Yr 2'!$AJ203=BO$4,'Inputs Yr 2'!$AK203,IF('Inputs Yr 2'!$AL203=BO$4,'Inputs Yr 2'!$AM203,IF('Inputs Yr 2'!$AN203=BO$4,'Inputs Yr 2'!$AO203,0))))*(INDEX(avoidedcosttbl2,$H203,BO$2)+(($H203-ROUNDDOWN($H203,0))*(INDEX(avoidedcosttbl2,ROUNDUP($H203,0),BO$2)-(INDEX(avoidedcosttbl2,ROUNDDOWN($H203,0),BO$2)))))*'Inputs Yr 2'!P203*'Inputs Yr 2'!Q203*'Inputs Yr 2'!U203,"")</f>
        <v>730880.48393315484</v>
      </c>
      <c r="BP203" s="195">
        <f>IFERROR($G203*(IF('Inputs Yr 2'!$AJ203=BP$4,'Inputs Yr 2'!$AK203,IF('Inputs Yr 2'!$AL203=BP$4,'Inputs Yr 2'!$AM203,IF('Inputs Yr 2'!$AN203=BP$4,'Inputs Yr 2'!$AO203,0))))*(INDEX(avoidedcosttbl2,$H203,BP$2)+(($H203-ROUNDDOWN($H203,0))*(INDEX(avoidedcosttbl2,ROUNDUP($H203,0),BP$2)-(INDEX(avoidedcosttbl2,ROUNDDOWN($H203,0),BP$2)))))*'Inputs Yr 2'!P203*'Inputs Yr 2'!Q203*'Inputs Yr 2'!U203,"")</f>
        <v>0</v>
      </c>
      <c r="BQ203" s="230">
        <f t="shared" si="128"/>
        <v>730880.48393315484</v>
      </c>
      <c r="BR203" s="197">
        <f t="shared" si="112"/>
        <v>12185.977555041794</v>
      </c>
      <c r="BS203" s="197">
        <f>IFERROR(($G203*IF('Inputs Yr 2'!$AJ203=BM$4,'Inputs Yr 2'!$AK203,IF('Inputs Yr 2'!$AL203=BM$4,'Inputs Yr 2'!$AM203,IF('Inputs Yr 2'!$AN203=BM$4,'Inputs Yr 2'!$AO203,0))))*(INDEX(avoidedcosttbl2,$H203,BS$2)+(($H203-ROUNDDOWN($H203,0))*(INDEX(avoidedcosttbl2,ROUNDUP($H203,0),BS$2)-(INDEX(avoidedcosttbl2,ROUNDDOWN($H203,0),BS$2)))))*'Inputs Yr 2'!P203*'Inputs Yr 2'!Q203*'Inputs Yr 2'!U203,"")</f>
        <v>0</v>
      </c>
      <c r="BT203" s="197">
        <f>IFERROR(($G203*IF('Inputs Yr 2'!$AJ203=BK$4,'Inputs Yr 2'!$AK203,IF('Inputs Yr 2'!$AL203=BK$4,'Inputs Yr 2'!$AM203,IF('Inputs Yr 2'!$AN203=BK$4,'Inputs Yr 2'!$AO203,0))))*(INDEX(avoidedcosttbl2,$H203,BT$2)+(($H203-ROUNDDOWN($H203,0))*(INDEX(avoidedcosttbl2,ROUNDUP($H203,0),BT$2)-(INDEX(avoidedcosttbl2,ROUNDDOWN($H203,0),BT$2)))))*'Inputs Yr 2'!P203*'Inputs Yr 2'!Q203*'Inputs Yr 2'!U203,"")</f>
        <v>0</v>
      </c>
      <c r="BU203" s="197">
        <f>IFERROR(($G203*IF('Inputs Yr 2'!$AJ203=BL$4,'Inputs Yr 2'!$AK203,IF('Inputs Yr 2'!$AL203=BL$4,'Inputs Yr 2'!$AM203,IF('Inputs Yr 2'!$AN203=BL$4,'Inputs Yr 2'!$AO203,0))))*(INDEX(avoidedcosttbl2,$H203,BU$2)+(($H203-ROUNDDOWN($H203,0))*(INDEX(avoidedcosttbl2,ROUNDUP($H203,0),BU$2)-(INDEX(avoidedcosttbl2,ROUNDDOWN($H203,0),BU$2)))))*'Inputs Yr 2'!P203*'Inputs Yr 2'!Q203*'Inputs Yr 2'!U203,"")</f>
        <v>0</v>
      </c>
      <c r="BV203" s="775">
        <f>IFERROR(($G203*IF('Inputs Yr 2'!$AJ203=BJ$4,'Inputs Yr 2'!$AK203,IF('Inputs Yr 2'!$AL203=BJ$4,'Inputs Yr 2'!$AM203,IF('Inputs Yr 2'!$AN203=BJ$4,'Inputs Yr 2'!$AO203,0))))*(INDEX(avoidedcosttbl2,$H203,BV$2)+(($H203-ROUNDDOWN($H203,0))*(INDEX(avoidedcosttbl2,ROUNDUP($H203,0),BV$2)-(INDEX(avoidedcosttbl2,ROUNDDOWN($H203,0),BV$2)))))*'Inputs Yr 2'!P203*'Inputs Yr 2'!Q203*'Inputs Yr 2'!U203,"")</f>
        <v>0</v>
      </c>
      <c r="BW203" s="197">
        <f>IFERROR(($G203*IF('Inputs Yr 2'!$AJ203=BN$4,'Inputs Yr 2'!$AK203,IF('Inputs Yr 2'!$AL203=BN$4,'Inputs Yr 2'!$AM203,IF('Inputs Yr 2'!$AN203=BN$4,'Inputs Yr 2'!$AO203,0))))*(INDEX(avoidedcosttbl2,$H203,BW$2)+(($H203-ROUNDDOWN($H203,0))*(INDEX(avoidedcosttbl2,ROUNDUP($H203,0),BW$2)-(INDEX(avoidedcosttbl2,ROUNDDOWN($H203,0),BW$2)))))*'Inputs Yr 2'!P203*'Inputs Yr 2'!Q203*'Inputs Yr 2'!U203,"")</f>
        <v>0</v>
      </c>
      <c r="BX203" s="197">
        <f>IFERROR(($G203*IF('Inputs Yr 2'!$AJ203=BO$4,'Inputs Yr 2'!$AK203,IF('Inputs Yr 2'!$AL203=BO$4,'Inputs Yr 2'!$AM203,IF('Inputs Yr 2'!$AN203=BO$4,'Inputs Yr 2'!$AO203,0))))*(INDEX(avoidedcosttbl2,$H203,BX$2)+(($H203-ROUNDDOWN($H203,0))*(INDEX(avoidedcosttbl2,ROUNDUP($H203,0),BX$2)-(INDEX(avoidedcosttbl2,ROUNDDOWN($H203,0),BX$2)))))*'Inputs Yr 2'!P203*'Inputs Yr 2'!Q203*'Inputs Yr 2'!U203,"")</f>
        <v>39919.855426542374</v>
      </c>
      <c r="BY203" s="197">
        <f>IFERROR(($G203*IF('Inputs Yr 2'!$AJ203=BP$4,'Inputs Yr 2'!$AK203,IF('Inputs Yr 2'!$AL203=BP$4,'Inputs Yr 2'!$AM203,IF('Inputs Yr 2'!$AN203=BP$4,'Inputs Yr 2'!$AO203,0))))*(INDEX(avoidedcosttbl2,$H203,BY$2)+(($H203-ROUNDDOWN($H203,0))*(INDEX(avoidedcosttbl2,ROUNDUP($H203,0),BY$2)-(INDEX(avoidedcosttbl2,ROUNDDOWN($H203,0),BY$2)))))*'Inputs Yr 2'!P203*'Inputs Yr 2'!Q203*'Inputs Yr 2'!U203,"")</f>
        <v>0</v>
      </c>
      <c r="BZ203" s="193">
        <f t="shared" si="129"/>
        <v>52105.832981584172</v>
      </c>
      <c r="CA203" s="193">
        <f t="shared" si="130"/>
        <v>782986.31691473897</v>
      </c>
      <c r="CB203" s="195">
        <f>IFERROR(G203*(IF('Inputs Yr 2'!$AJ203=CB$4,'Inputs Yr 2'!$AK203,IF('Inputs Yr 2'!$AL203=CB$4,'Inputs Yr 2'!$AM203,IF('Inputs Yr 2'!$AN203=CB$4,'Inputs Yr 2'!$AO203,0))))*(INDEX(avoidedcosttbl2,$H203,CB$2)+(($H203-ROUNDDOWN($H203,0))*(INDEX(avoidedcosttbl2,ROUNDUP($H203,0),CB$2)-(INDEX(avoidedcosttbl2,ROUNDDOWN($H203,0),CB$2)))))*'Inputs Yr 2'!P203*'Inputs Yr 2'!Q203*'Inputs Yr 2'!U203,"")</f>
        <v>0</v>
      </c>
      <c r="CC203" s="195">
        <f>IFERROR(H203*(IF('Inputs Yr 2'!$AJ203=CC$4,'Inputs Yr 2'!$AK203,IF('Inputs Yr 2'!$AL203=CC$4,'Inputs Yr 2'!$AM203,IF('Inputs Yr 2'!$AN203=CC$4,'Inputs Yr 2'!$AO203,0))))*(INDEX(avoidedcosttbl2,$H203,CC$2)+(($H203-ROUNDDOWN($H203,0))*(INDEX(avoidedcosttbl2,ROUNDUP($H203,0),CC$2)-(INDEX(avoidedcosttbl2,ROUNDDOWN($H203,0),CC$2)))))*'Inputs Yr 2'!Q203*'Inputs Yr 2'!R203*'Inputs Yr 2'!V203,"")</f>
        <v>0</v>
      </c>
      <c r="CD203" s="195">
        <f>IFERROR(I203*(IF('Inputs Yr 2'!$AJ203=CD$4,'Inputs Yr 2'!$AK203,IF('Inputs Yr 2'!$AL203=CD$4,'Inputs Yr 2'!$AM203,IF('Inputs Yr 2'!$AN203=CD$4,'Inputs Yr 2'!$AO203,0))))*(INDEX(avoidedcosttbl2,$H203,CD$2)+(($H203-ROUNDDOWN($H203,0))*(INDEX(avoidedcosttbl2,ROUNDUP($H203,0),CD$2)-(INDEX(avoidedcosttbl2,ROUNDDOWN($H203,0),CD$2)))))*'Inputs Yr 2'!R203*'Inputs Yr 2'!S203*'Inputs Yr 2'!W203,"")</f>
        <v>0</v>
      </c>
      <c r="CE203" s="213">
        <f t="shared" si="131"/>
        <v>0</v>
      </c>
      <c r="CF203" s="213">
        <f t="shared" si="132"/>
        <v>0</v>
      </c>
      <c r="CG203" s="213">
        <f t="shared" si="133"/>
        <v>0</v>
      </c>
      <c r="CH203" s="698">
        <f t="shared" si="134"/>
        <v>782986.31691473897</v>
      </c>
      <c r="CI203" s="79">
        <f>IFERROR(($G203*'Inputs Yr 2'!$P203*'Inputs Yr 2'!$Q203*(((INDEX(avoidedcosttbl2,$H203,CI$2)+(($H203-ROUNDDOWN($H203,0))*(INDEX(avoidedcosttbl2,ROUNDUP($H203,0),CI$2)-INDEX(avoidedcosttbl2,ROUNDDOWN($H203,0),CI$2))))*'Inputs Yr 2'!AS203))),"")</f>
        <v>0</v>
      </c>
      <c r="CJ203" s="504">
        <f>IFERROR($G203*'Inputs Yr 2'!AT203*'Inputs Yr 2'!$P203*'Inputs Yr 2'!$Q203/((1+realdiscrt1)^-0.5),"")</f>
        <v>0</v>
      </c>
      <c r="CK203" s="79">
        <f>IFERROR((O203*1000*(((INDEX(avoidedcosttbl2,$H203,CK$2)+(($H203-ROUNDDOWN($H203,0))*(INDEX(avoidedcosttbl2,ROUNDUP($H203,0),CK$2)-INDEX(avoidedcosttbl2,ROUNDDOWN($H203,0),CK$2))))*'Inputs Yr 2'!AU203))),"")</f>
        <v>0</v>
      </c>
      <c r="CL203" s="504">
        <f>IFERROR(O203*1000*'Inputs Yr 2'!AV203/((1+realdiscrt1)^-0.5),"")</f>
        <v>0</v>
      </c>
      <c r="CM203" s="79">
        <f>IFERROR((AB203*'Inputs Yr 2'!AW203*(((INDEX(avoidedcosttbl2,$H203,CM$2)+(($H203-ROUNDDOWN($H203,0))*(INDEX(avoidedcosttbl2,ROUNDUP($H203,0),CM$2)-INDEX(avoidedcosttbl2,ROUNDDOWN($H203,0),CM$2)))))))*10,"")</f>
        <v>0</v>
      </c>
      <c r="CN203" s="504">
        <f>IFERROR(10*AB203*'Inputs Yr 2'!AX203/((1+realdiscrt1)^-0.5),"")</f>
        <v>0</v>
      </c>
      <c r="CO203" s="505">
        <f t="shared" si="135"/>
        <v>0</v>
      </c>
      <c r="CP203" s="230">
        <f t="shared" si="136"/>
        <v>782986.31691473897</v>
      </c>
      <c r="CQ203" s="199">
        <f>ROUND(IFERROR(IF(LEFT($A203,1)="C",'Avoided Costs'!$K$13,'Avoided Costs'!$K$12)+1,""),4)</f>
        <v>1.0720000000000001</v>
      </c>
      <c r="CR203" s="199">
        <f>ROUND(IFERROR(IF(LEFT($A203,1)="C",'Avoided Costs'!$L$13,'Avoided Costs'!$L$12)+1,""),4)</f>
        <v>1.04</v>
      </c>
      <c r="CS203" s="199">
        <f>ROUND(IFERROR(IF(LEFT($A203,1)="C",'Avoided Costs'!$M$13,'Avoided Costs'!$M$12)+1,""),4)</f>
        <v>1.0720000000000001</v>
      </c>
      <c r="CT203" s="199">
        <f>ROUND(IFERROR(IF(LEFT($A203,1)="C",'Avoided Costs'!$N$13,'Avoided Costs'!$N$12)+1,""),4)</f>
        <v>1.04</v>
      </c>
      <c r="CU203" s="199">
        <f>ROUND(IFERROR(IF(LEFT($A203,1)="C",'Avoided Costs'!$O$13,'Avoided Costs'!$O$12)+1,""),4)</f>
        <v>1.1120000000000001</v>
      </c>
      <c r="CV203" s="199">
        <f>ROUND(IFERROR(IF(LEFT($A203,1)="C",'Avoided Costs'!$P$13,'Avoided Costs'!$P$12)+1,""),4)</f>
        <v>1.095</v>
      </c>
      <c r="CW203" s="199">
        <f>ROUND(IFERROR(IF(LEFT($A203,1)="C",'Avoided Costs'!$Q$13,'Avoided Costs'!$Q$12)+1,""),4)</f>
        <v>1.1120000000000001</v>
      </c>
      <c r="CX203" s="200">
        <f>ROUND(IFERROR(IF(LEFT($A203,1)="C",'Avoided Costs'!$R$13,'Avoided Costs'!$R$12)+1,""),4)</f>
        <v>1.1120000000000001</v>
      </c>
    </row>
    <row r="204" spans="1:102" ht="12.75" customHeight="1">
      <c r="A204" s="91" t="str">
        <f>IF('Inputs Yr 2'!$B204=0,"",'Inputs Yr 2'!A204)</f>
        <v>C - Commercial &amp; Industrial</v>
      </c>
      <c r="B204" s="91" t="str">
        <f>IF('Inputs Yr 2'!$B204=0,"",'Inputs Yr 2'!B204)</f>
        <v>C1 - C&amp;I New Construction</v>
      </c>
      <c r="C204" s="91" t="str">
        <f>IF('Inputs Yr 2'!$B204=0,"",'Inputs Yr 2'!C204)</f>
        <v xml:space="preserve">C1b - C&amp;I Initial Purchase &amp; End of Useful Life </v>
      </c>
      <c r="D204" s="91" t="str">
        <f>IF('Inputs Yr 2'!$B204=0,"",'Inputs Yr 2'!E204)</f>
        <v>Heating - Custom 25</v>
      </c>
      <c r="E204" s="93" t="str">
        <f>IF('Inputs Yr 2'!$B204=0,"",'Inputs Yr 2'!F204)</f>
        <v>G16C1b04</v>
      </c>
      <c r="F204" s="93" t="str">
        <f>IF('Inputs Yr 2'!$B204=0,"",'Inputs Yr 2'!G204)</f>
        <v>HVAC</v>
      </c>
      <c r="G204" s="95">
        <f>IF('Inputs Yr 2'!$H204&lt;&gt;0,('Inputs Yr 2'!H204),"")</f>
        <v>1</v>
      </c>
      <c r="H204" s="94">
        <f>IFERROR('Inputs Yr 2'!I204,"")</f>
        <v>25</v>
      </c>
      <c r="I204" s="298">
        <f>IFERROR('Inputs Yr 2'!J204*'Inputs Yr 2'!P204*G204,"")</f>
        <v>87611.700933333341</v>
      </c>
      <c r="J204" s="298">
        <f>IFERROR('Inputs Yr 2'!K204*G204,"")</f>
        <v>71500.3</v>
      </c>
      <c r="K204" s="298">
        <f t="shared" si="113"/>
        <v>16111.400933333338</v>
      </c>
      <c r="L204" s="194">
        <f>IFERROR(('Inputs Yr 2'!W204*G204)/1000,"")</f>
        <v>0</v>
      </c>
      <c r="M204" s="194">
        <f>IFERROR(L204*('Inputs Yr 2'!$Q204*'Inputs Yr 2'!$V204*'Inputs Yr 2'!$R204),"")</f>
        <v>0</v>
      </c>
      <c r="N204" s="194">
        <f t="shared" si="114"/>
        <v>0</v>
      </c>
      <c r="O204" s="194">
        <f>IFERROR(M204*'Inputs Yr 2'!P204,"")</f>
        <v>0</v>
      </c>
      <c r="P204" s="194">
        <f t="shared" si="115"/>
        <v>0</v>
      </c>
      <c r="Q204" s="194">
        <f>IFERROR($P204*'Inputs Yr 2'!AA204,"")</f>
        <v>0</v>
      </c>
      <c r="R204" s="194">
        <f>IFERROR($P204*'Inputs Yr 2'!AB204,"")</f>
        <v>0</v>
      </c>
      <c r="S204" s="194">
        <f>IFERROR($P204*'Inputs Yr 2'!AC204,"")</f>
        <v>0</v>
      </c>
      <c r="T204" s="194">
        <f>IFERROR($P204*'Inputs Yr 2'!AD204,"")</f>
        <v>0</v>
      </c>
      <c r="U204" s="194">
        <f>IFERROR(G204*'Inputs Yr 2'!$AE204*'Inputs Yr 2'!$P204*'Inputs Yr 2'!$Q204,"")</f>
        <v>0</v>
      </c>
      <c r="V204" s="194">
        <f>IFERROR($G204*'Inputs Yr 2'!$AE204*'Inputs Yr 2'!$AG204*'Inputs Yr 2'!Q204*'Inputs Yr 2'!$S204,"")</f>
        <v>0</v>
      </c>
      <c r="W204" s="194">
        <f>IFERROR($G204*'Inputs Yr 2'!$AE204*'Inputs Yr 2'!$AG204*'Inputs Yr 2'!P204*'Inputs Yr 2'!Q204*'Inputs Yr 2'!$S204,"")</f>
        <v>0</v>
      </c>
      <c r="X204" s="194">
        <f>IFERROR($G204*'Inputs Yr 2'!$AE204*'Inputs Yr 2'!$AF204*'Inputs Yr 2'!Q204*'Inputs Yr 2'!$T204,"")</f>
        <v>0</v>
      </c>
      <c r="Y204" s="194">
        <f>IFERROR($G204*'Inputs Yr 2'!$AE204*'Inputs Yr 2'!$AF204*'Inputs Yr 2'!P204*'Inputs Yr 2'!Q204*'Inputs Yr 2'!$T204,"")</f>
        <v>0</v>
      </c>
      <c r="Z204" s="257">
        <f>IFERROR($G204*'Inputs Yr 2'!$Q204*'Inputs Yr 2'!$U204*(IF(IFERROR(SEARCH("NG", 'Inputs Yr 2'!$AJ204),0),'Inputs Yr 2'!$AK204,0)+IF(IFERROR(SEARCH("NG", 'Inputs Yr 2'!$AL204),0),'Inputs Yr 2'!$AM204,0)+IF(IFERROR(SEARCH("NG", 'Inputs Yr 2'!$AN204),0),'Inputs Yr 2'!$AO204,0)),0)</f>
        <v>3207.6104000000005</v>
      </c>
      <c r="AA204" s="257">
        <f t="shared" si="116"/>
        <v>80190.260000000009</v>
      </c>
      <c r="AB204" s="257">
        <f>IFERROR(Z204*'Inputs Yr 2'!$P204,0)</f>
        <v>2947.7939576000008</v>
      </c>
      <c r="AC204" s="257">
        <f t="shared" si="117"/>
        <v>73694.848940000025</v>
      </c>
      <c r="AD204" s="257">
        <f>IFERROR($G204*'Inputs Yr 2'!$Q204*'Inputs Yr 2'!$U204*(IF(IFERROR(SEARCH("Oil", 'Inputs Yr 2'!$AJ204), 0),'Inputs Yr 2'!$AK204,0)+IF(IFERROR(SEARCH("Oil", 'Inputs Yr 2'!$AL204), 0),'Inputs Yr 2'!$AM204,0)+IF(IFERROR(SEARCH("Oil", 'Inputs Yr 2'!$AN204), 0),'Inputs Yr 2'!$AO204,0)),0)</f>
        <v>0</v>
      </c>
      <c r="AE204" s="257">
        <f t="shared" si="118"/>
        <v>0</v>
      </c>
      <c r="AF204" s="257">
        <f>IFERROR(AD204*'Inputs Yr 2'!$P204,0)</f>
        <v>0</v>
      </c>
      <c r="AG204" s="257">
        <f t="shared" si="119"/>
        <v>0</v>
      </c>
      <c r="AH204" s="257">
        <f>IFERROR($G204*'Inputs Yr 2'!$Q204*'Inputs Yr 2'!$U204*(IF('Inputs Yr 2'!$AJ204=CD$4,'Inputs Yr 2'!$AK204,IF('Inputs Yr 2'!$AL204=CD$4,'Inputs Yr 2'!$AM204,IF('Inputs Yr 2'!$AN204=CD$4,'Inputs Yr 2'!$AO204,0)))),0)</f>
        <v>0</v>
      </c>
      <c r="AI204" s="257">
        <f t="shared" si="120"/>
        <v>0</v>
      </c>
      <c r="AJ204" s="257">
        <f>IFERROR(AH204*'Inputs Yr 2'!$P204,0)</f>
        <v>0</v>
      </c>
      <c r="AK204" s="257">
        <f t="shared" si="121"/>
        <v>0</v>
      </c>
      <c r="AL204" s="258">
        <f>IFERROR($G204*'Inputs Yr 2'!$P204*'Inputs Yr 2'!$Q204*'Inputs Yr 2'!AP204,0)</f>
        <v>0</v>
      </c>
      <c r="AM204" s="260">
        <f>IFERROR($G204*'Inputs Yr 2'!$P204*'Inputs Yr 2'!$Q204*'Inputs Yr 2'!AQ204,0)</f>
        <v>0</v>
      </c>
      <c r="AN204" s="258">
        <f>IFERROR($G204*'Inputs Yr 2'!$P204*'Inputs Yr 2'!$Q204*'Inputs Yr 2'!AR204,0)</f>
        <v>0</v>
      </c>
      <c r="AO204" s="257">
        <f t="shared" si="122"/>
        <v>0</v>
      </c>
      <c r="AP204" s="195">
        <f>IFERROR($CQ204*(INDEX(avoidedcosttbl2,$H204,AP$2)+(($H204-ROUNDDOWN($H204,0))*(INDEX(avoidedcosttbl2,ROUNDUP($H204,0),AP$2)-(INDEX(avoidedcosttbl2,ROUNDDOWN($H204,0),AP$2)))))*$O204*1000*'Inputs Yr 2'!AA204,"")</f>
        <v>0</v>
      </c>
      <c r="AQ204" s="195">
        <f>IFERROR($CR204*(INDEX(avoidedcosttbl2,$H204,AQ$2)+(($H204-ROUNDDOWN($H204,0))*(INDEX(avoidedcosttbl2,ROUNDUP($H204,0),AQ$2)-(INDEX(avoidedcosttbl2,ROUNDDOWN($H204,0),AQ$2)))))*$O204*1000*'Inputs Yr 2'!AB204,"")</f>
        <v>0</v>
      </c>
      <c r="AR204" s="195">
        <f>IFERROR($CS204*(INDEX(avoidedcosttbl2,$H204,AR$2)+(($H204-ROUNDDOWN($H204,0))*(INDEX(avoidedcosttbl2,ROUNDUP($H204,0),AR$2)-(INDEX(avoidedcosttbl2,ROUNDDOWN($H204,0),AR$2)))))*$O204*1000*'Inputs Yr 2'!AC204,"")</f>
        <v>0</v>
      </c>
      <c r="AS204" s="195">
        <f>IFERROR($CT204*(INDEX(avoidedcosttbl2,$H204,AS$2)+(($H204-ROUNDDOWN($H204,0))*(INDEX(avoidedcosttbl2,ROUNDUP($H204,0),AS$2)-(INDEX(avoidedcosttbl2,ROUNDDOWN($H204,0),AS$2)))))*$O204*1000*'Inputs Yr 2'!AD204,"")</f>
        <v>0</v>
      </c>
      <c r="AT204" s="196">
        <f t="shared" si="123"/>
        <v>0</v>
      </c>
      <c r="AU204" s="197">
        <f>IFERROR($CQ204*((INDEX(avoidedcosttbl2,$H204,AU$2))+(($H204-ROUNDDOWN($H204,0))*((INDEX(avoidedcosttbl2,ROUNDUP($H204,0),AU$2))-(INDEX(avoidedcosttbl2,ROUNDDOWN($H204,0),AU$2)))))*$O204*1000*'Inputs Yr 2'!AA204,"")</f>
        <v>0</v>
      </c>
      <c r="AV204" s="197">
        <f>IFERROR($CR204*((INDEX(avoidedcosttbl2,$H204,AV$2))+(($H204-ROUNDDOWN($H204,0))*((INDEX(avoidedcosttbl2,ROUNDUP($H204,0),AV$2))-(INDEX(avoidedcosttbl2,ROUNDDOWN($H204,0),AV$2)))))*$O204*1000*'Inputs Yr 2'!AB204,"")</f>
        <v>0</v>
      </c>
      <c r="AW204" s="197">
        <f>IFERROR($CS204*((INDEX(avoidedcosttbl2,$H204,AW$2))+(($H204-ROUNDDOWN($H204,0))*((INDEX(avoidedcosttbl2,ROUNDUP($H204,0),AW$2))-(INDEX(avoidedcosttbl2,ROUNDDOWN($H204,0),AW$2)))))*$O204*1000*'Inputs Yr 2'!AC204,"")</f>
        <v>0</v>
      </c>
      <c r="AX204" s="197">
        <f>IFERROR($CT204*((INDEX(avoidedcosttbl2,$H204,AX$2))+(($H204-ROUNDDOWN($H204,0))*((INDEX(avoidedcosttbl2,ROUNDUP($H204,0),AX$2))-(INDEX(avoidedcosttbl2,ROUNDDOWN($H204,0),AX$2)))))*$O204*1000*'Inputs Yr 2'!AD204,"")</f>
        <v>0</v>
      </c>
      <c r="AY204" s="197">
        <f>IFERROR(((INDEX(avoidedcosttbl2,$H204,AY$2))+(($H204-ROUNDDOWN($H204,0))*((INDEX(avoidedcosttbl2,ROUNDUP($H204,0),AY$2))-(INDEX(avoidedcosttbl2,ROUNDDOWN($H204,0),AY$2)))))*$O204*1000*('Inputs Yr 2'!AC204+'Inputs Yr 2'!AD204),"")</f>
        <v>0</v>
      </c>
      <c r="AZ204" s="197">
        <f>IFERROR(((INDEX(avoidedcosttbl2,$H204,AZ$2))+(($H204-ROUNDDOWN($H204,0))*((INDEX(avoidedcosttbl2,ROUNDUP($H204,0),AZ$2))-(INDEX(avoidedcosttbl2,ROUNDDOWN($H204,0),AZ$2)))))*$O204*1000*('Inputs Yr 2'!AA204+'Inputs Yr 2'!AB204),"")</f>
        <v>0</v>
      </c>
      <c r="BA204" s="198">
        <f t="shared" si="124"/>
        <v>0</v>
      </c>
      <c r="BB204" s="198">
        <f t="shared" si="125"/>
        <v>0</v>
      </c>
      <c r="BC204" s="195">
        <f t="shared" si="107"/>
        <v>0</v>
      </c>
      <c r="BD204" s="195">
        <f t="shared" si="108"/>
        <v>0</v>
      </c>
      <c r="BE204" s="195">
        <f t="shared" si="109"/>
        <v>0</v>
      </c>
      <c r="BF204" s="195">
        <f t="shared" si="110"/>
        <v>0</v>
      </c>
      <c r="BG204" s="195">
        <f t="shared" si="111"/>
        <v>0</v>
      </c>
      <c r="BH204" s="196">
        <f t="shared" si="126"/>
        <v>0</v>
      </c>
      <c r="BI204" s="196">
        <f t="shared" si="127"/>
        <v>0</v>
      </c>
      <c r="BJ204" s="195">
        <f>IFERROR($G204*(IF('Inputs Yr 2'!$AJ204=BJ$4,'Inputs Yr 2'!$AK204,IF('Inputs Yr 2'!$AL204=BJ$4,'Inputs Yr 2'!$AM204,IF('Inputs Yr 2'!$AN204=BJ$4,'Inputs Yr 2'!$AO204,0))))*(INDEX(avoidedcosttbl2,$H204,BJ$2)+(($H204-ROUNDDOWN($H204,0))*(INDEX(avoidedcosttbl2,ROUNDUP($H204,0),BJ$2)-(INDEX(avoidedcosttbl2,ROUNDDOWN($H204,0),BJ$2)))))*'Inputs Yr 2'!P204*'Inputs Yr 2'!Q204*'Inputs Yr 2'!U204,"")</f>
        <v>0</v>
      </c>
      <c r="BK204" s="195">
        <f>IFERROR($G204*(IF('Inputs Yr 2'!$AJ204=BK$4,'Inputs Yr 2'!$AK204,IF('Inputs Yr 2'!$AL204=BK$4,'Inputs Yr 2'!$AM204,IF('Inputs Yr 2'!$AN204=BK$4,'Inputs Yr 2'!$AO204,0))))*(INDEX(avoidedcosttbl2,$H204,BK$2)+(($H204-ROUNDDOWN($H204,0))*(INDEX(avoidedcosttbl2,ROUNDUP($H204,0),BK$2)-(INDEX(avoidedcosttbl2,ROUNDDOWN($H204,0),BK$2)))))*'Inputs Yr 2'!P204*'Inputs Yr 2'!Q204*'Inputs Yr 2'!U204,"")</f>
        <v>0</v>
      </c>
      <c r="BL204" s="195">
        <f>IFERROR($G204*(IF('Inputs Yr 2'!$AJ204=BL$4,'Inputs Yr 2'!$AK204,IF('Inputs Yr 2'!$AL204=BL$4,'Inputs Yr 2'!$AM204,IF('Inputs Yr 2'!$AN204=BL$4,'Inputs Yr 2'!$AO204,0))))*(INDEX(avoidedcosttbl2,$H204,BL$2)+(($H204-ROUNDDOWN($H204,0))*(INDEX(avoidedcosttbl2,ROUNDUP($H204,0),BL$2)-(INDEX(avoidedcosttbl2,ROUNDDOWN($H204,0),BL$2)))))*'Inputs Yr 2'!P204*'Inputs Yr 2'!Q204*'Inputs Yr 2'!U204,"")</f>
        <v>0</v>
      </c>
      <c r="BM204" s="195">
        <f>IFERROR($G204*(IF('Inputs Yr 2'!$AJ204=BM$4,'Inputs Yr 2'!$AK204,IF('Inputs Yr 2'!$AL204=BM$4,'Inputs Yr 2'!$AM204,IF('Inputs Yr 2'!$AN204=BM$4,'Inputs Yr 2'!$AO204,0))))*(INDEX(avoidedcosttbl2,$H204,BM$2)+(($H204-ROUNDDOWN($H204,0))*(INDEX(avoidedcosttbl2,ROUNDUP($H204,0),BM$2)-(INDEX(avoidedcosttbl2,ROUNDDOWN($H204,0),BM$2)))))*'Inputs Yr 2'!P204*'Inputs Yr 2'!Q204*'Inputs Yr 2'!U204,"")</f>
        <v>0</v>
      </c>
      <c r="BN204" s="195">
        <f>IFERROR($G204*(IF('Inputs Yr 2'!$AJ204=BN$4,'Inputs Yr 2'!$AK204,IF('Inputs Yr 2'!$AL204=BN$4,'Inputs Yr 2'!$AM204,IF('Inputs Yr 2'!$AN204=BN$4,'Inputs Yr 2'!$AO204,0))))*(INDEX(avoidedcosttbl2,$H204,BN$2)+(($H204-ROUNDDOWN($H204,0))*(INDEX(avoidedcosttbl2,ROUNDUP($H204,0),BN$2)-(INDEX(avoidedcosttbl2,ROUNDDOWN($H204,0),BN$2)))))*'Inputs Yr 2'!P204*'Inputs Yr 2'!Q204*'Inputs Yr 2'!U204,"")</f>
        <v>0</v>
      </c>
      <c r="BO204" s="195">
        <f>IFERROR($G204*(IF('Inputs Yr 2'!$AJ204=BO$4,'Inputs Yr 2'!$AK204,IF('Inputs Yr 2'!$AL204=BO$4,'Inputs Yr 2'!$AM204,IF('Inputs Yr 2'!$AN204=BO$4,'Inputs Yr 2'!$AO204,0))))*(INDEX(avoidedcosttbl2,$H204,BO$2)+(($H204-ROUNDDOWN($H204,0))*(INDEX(avoidedcosttbl2,ROUNDUP($H204,0),BO$2)-(INDEX(avoidedcosttbl2,ROUNDDOWN($H204,0),BO$2)))))*'Inputs Yr 2'!P204*'Inputs Yr 2'!Q204*'Inputs Yr 2'!U204,"")</f>
        <v>610592.02532351017</v>
      </c>
      <c r="BP204" s="195">
        <f>IFERROR($G204*(IF('Inputs Yr 2'!$AJ204=BP$4,'Inputs Yr 2'!$AK204,IF('Inputs Yr 2'!$AL204=BP$4,'Inputs Yr 2'!$AM204,IF('Inputs Yr 2'!$AN204=BP$4,'Inputs Yr 2'!$AO204,0))))*(INDEX(avoidedcosttbl2,$H204,BP$2)+(($H204-ROUNDDOWN($H204,0))*(INDEX(avoidedcosttbl2,ROUNDUP($H204,0),BP$2)-(INDEX(avoidedcosttbl2,ROUNDDOWN($H204,0),BP$2)))))*'Inputs Yr 2'!P204*'Inputs Yr 2'!Q204*'Inputs Yr 2'!U204,"")</f>
        <v>0</v>
      </c>
      <c r="BQ204" s="230">
        <f t="shared" si="128"/>
        <v>610592.02532351017</v>
      </c>
      <c r="BR204" s="197">
        <f t="shared" si="112"/>
        <v>9774.9984375979166</v>
      </c>
      <c r="BS204" s="197">
        <f>IFERROR(($G204*IF('Inputs Yr 2'!$AJ204=BM$4,'Inputs Yr 2'!$AK204,IF('Inputs Yr 2'!$AL204=BM$4,'Inputs Yr 2'!$AM204,IF('Inputs Yr 2'!$AN204=BM$4,'Inputs Yr 2'!$AO204,0))))*(INDEX(avoidedcosttbl2,$H204,BS$2)+(($H204-ROUNDDOWN($H204,0))*(INDEX(avoidedcosttbl2,ROUNDUP($H204,0),BS$2)-(INDEX(avoidedcosttbl2,ROUNDDOWN($H204,0),BS$2)))))*'Inputs Yr 2'!P204*'Inputs Yr 2'!Q204*'Inputs Yr 2'!U204,"")</f>
        <v>0</v>
      </c>
      <c r="BT204" s="197">
        <f>IFERROR(($G204*IF('Inputs Yr 2'!$AJ204=BK$4,'Inputs Yr 2'!$AK204,IF('Inputs Yr 2'!$AL204=BK$4,'Inputs Yr 2'!$AM204,IF('Inputs Yr 2'!$AN204=BK$4,'Inputs Yr 2'!$AO204,0))))*(INDEX(avoidedcosttbl2,$H204,BT$2)+(($H204-ROUNDDOWN($H204,0))*(INDEX(avoidedcosttbl2,ROUNDUP($H204,0),BT$2)-(INDEX(avoidedcosttbl2,ROUNDDOWN($H204,0),BT$2)))))*'Inputs Yr 2'!P204*'Inputs Yr 2'!Q204*'Inputs Yr 2'!U204,"")</f>
        <v>0</v>
      </c>
      <c r="BU204" s="197">
        <f>IFERROR(($G204*IF('Inputs Yr 2'!$AJ204=BL$4,'Inputs Yr 2'!$AK204,IF('Inputs Yr 2'!$AL204=BL$4,'Inputs Yr 2'!$AM204,IF('Inputs Yr 2'!$AN204=BL$4,'Inputs Yr 2'!$AO204,0))))*(INDEX(avoidedcosttbl2,$H204,BU$2)+(($H204-ROUNDDOWN($H204,0))*(INDEX(avoidedcosttbl2,ROUNDUP($H204,0),BU$2)-(INDEX(avoidedcosttbl2,ROUNDDOWN($H204,0),BU$2)))))*'Inputs Yr 2'!P204*'Inputs Yr 2'!Q204*'Inputs Yr 2'!U204,"")</f>
        <v>0</v>
      </c>
      <c r="BV204" s="775">
        <f>IFERROR(($G204*IF('Inputs Yr 2'!$AJ204=BJ$4,'Inputs Yr 2'!$AK204,IF('Inputs Yr 2'!$AL204=BJ$4,'Inputs Yr 2'!$AM204,IF('Inputs Yr 2'!$AN204=BJ$4,'Inputs Yr 2'!$AO204,0))))*(INDEX(avoidedcosttbl2,$H204,BV$2)+(($H204-ROUNDDOWN($H204,0))*(INDEX(avoidedcosttbl2,ROUNDUP($H204,0),BV$2)-(INDEX(avoidedcosttbl2,ROUNDDOWN($H204,0),BV$2)))))*'Inputs Yr 2'!P204*'Inputs Yr 2'!Q204*'Inputs Yr 2'!U204,"")</f>
        <v>0</v>
      </c>
      <c r="BW204" s="197">
        <f>IFERROR(($G204*IF('Inputs Yr 2'!$AJ204=BN$4,'Inputs Yr 2'!$AK204,IF('Inputs Yr 2'!$AL204=BN$4,'Inputs Yr 2'!$AM204,IF('Inputs Yr 2'!$AN204=BN$4,'Inputs Yr 2'!$AO204,0))))*(INDEX(avoidedcosttbl2,$H204,BW$2)+(($H204-ROUNDDOWN($H204,0))*(INDEX(avoidedcosttbl2,ROUNDUP($H204,0),BW$2)-(INDEX(avoidedcosttbl2,ROUNDDOWN($H204,0),BW$2)))))*'Inputs Yr 2'!P204*'Inputs Yr 2'!Q204*'Inputs Yr 2'!U204,"")</f>
        <v>0</v>
      </c>
      <c r="BX204" s="197">
        <f>IFERROR(($G204*IF('Inputs Yr 2'!$AJ204=BO$4,'Inputs Yr 2'!$AK204,IF('Inputs Yr 2'!$AL204=BO$4,'Inputs Yr 2'!$AM204,IF('Inputs Yr 2'!$AN204=BO$4,'Inputs Yr 2'!$AO204,0))))*(INDEX(avoidedcosttbl2,$H204,BX$2)+(($H204-ROUNDDOWN($H204,0))*(INDEX(avoidedcosttbl2,ROUNDUP($H204,0),BX$2)-(INDEX(avoidedcosttbl2,ROUNDDOWN($H204,0),BX$2)))))*'Inputs Yr 2'!P204*'Inputs Yr 2'!Q204*'Inputs Yr 2'!U204,"")</f>
        <v>27452.422268008158</v>
      </c>
      <c r="BY204" s="197">
        <f>IFERROR(($G204*IF('Inputs Yr 2'!$AJ204=BP$4,'Inputs Yr 2'!$AK204,IF('Inputs Yr 2'!$AL204=BP$4,'Inputs Yr 2'!$AM204,IF('Inputs Yr 2'!$AN204=BP$4,'Inputs Yr 2'!$AO204,0))))*(INDEX(avoidedcosttbl2,$H204,BY$2)+(($H204-ROUNDDOWN($H204,0))*(INDEX(avoidedcosttbl2,ROUNDUP($H204,0),BY$2)-(INDEX(avoidedcosttbl2,ROUNDDOWN($H204,0),BY$2)))))*'Inputs Yr 2'!P204*'Inputs Yr 2'!Q204*'Inputs Yr 2'!U204,"")</f>
        <v>0</v>
      </c>
      <c r="BZ204" s="193">
        <f t="shared" si="129"/>
        <v>37227.420705606077</v>
      </c>
      <c r="CA204" s="193">
        <f t="shared" si="130"/>
        <v>647819.44602911628</v>
      </c>
      <c r="CB204" s="195">
        <f>IFERROR(G204*(IF('Inputs Yr 2'!$AJ204=CB$4,'Inputs Yr 2'!$AK204,IF('Inputs Yr 2'!$AL204=CB$4,'Inputs Yr 2'!$AM204,IF('Inputs Yr 2'!$AN204=CB$4,'Inputs Yr 2'!$AO204,0))))*(INDEX(avoidedcosttbl2,$H204,CB$2)+(($H204-ROUNDDOWN($H204,0))*(INDEX(avoidedcosttbl2,ROUNDUP($H204,0),CB$2)-(INDEX(avoidedcosttbl2,ROUNDDOWN($H204,0),CB$2)))))*'Inputs Yr 2'!P204*'Inputs Yr 2'!Q204*'Inputs Yr 2'!U204,"")</f>
        <v>0</v>
      </c>
      <c r="CC204" s="195">
        <f>IFERROR(H204*(IF('Inputs Yr 2'!$AJ204=CC$4,'Inputs Yr 2'!$AK204,IF('Inputs Yr 2'!$AL204=CC$4,'Inputs Yr 2'!$AM204,IF('Inputs Yr 2'!$AN204=CC$4,'Inputs Yr 2'!$AO204,0))))*(INDEX(avoidedcosttbl2,$H204,CC$2)+(($H204-ROUNDDOWN($H204,0))*(INDEX(avoidedcosttbl2,ROUNDUP($H204,0),CC$2)-(INDEX(avoidedcosttbl2,ROUNDDOWN($H204,0),CC$2)))))*'Inputs Yr 2'!Q204*'Inputs Yr 2'!R204*'Inputs Yr 2'!V204,"")</f>
        <v>0</v>
      </c>
      <c r="CD204" s="195">
        <f>IFERROR(I204*(IF('Inputs Yr 2'!$AJ204=CD$4,'Inputs Yr 2'!$AK204,IF('Inputs Yr 2'!$AL204=CD$4,'Inputs Yr 2'!$AM204,IF('Inputs Yr 2'!$AN204=CD$4,'Inputs Yr 2'!$AO204,0))))*(INDEX(avoidedcosttbl2,$H204,CD$2)+(($H204-ROUNDDOWN($H204,0))*(INDEX(avoidedcosttbl2,ROUNDUP($H204,0),CD$2)-(INDEX(avoidedcosttbl2,ROUNDDOWN($H204,0),CD$2)))))*'Inputs Yr 2'!R204*'Inputs Yr 2'!S204*'Inputs Yr 2'!W204,"")</f>
        <v>0</v>
      </c>
      <c r="CE204" s="213">
        <f t="shared" si="131"/>
        <v>0</v>
      </c>
      <c r="CF204" s="213">
        <f t="shared" si="132"/>
        <v>0</v>
      </c>
      <c r="CG204" s="213">
        <f t="shared" si="133"/>
        <v>0</v>
      </c>
      <c r="CH204" s="698">
        <f t="shared" si="134"/>
        <v>647819.44602911628</v>
      </c>
      <c r="CI204" s="79">
        <f>IFERROR(($G204*'Inputs Yr 2'!$P204*'Inputs Yr 2'!$Q204*(((INDEX(avoidedcosttbl2,$H204,CI$2)+(($H204-ROUNDDOWN($H204,0))*(INDEX(avoidedcosttbl2,ROUNDUP($H204,0),CI$2)-INDEX(avoidedcosttbl2,ROUNDDOWN($H204,0),CI$2))))*'Inputs Yr 2'!AS204))),"")</f>
        <v>0</v>
      </c>
      <c r="CJ204" s="504">
        <f>IFERROR($G204*'Inputs Yr 2'!AT204*'Inputs Yr 2'!$P204*'Inputs Yr 2'!$Q204/((1+realdiscrt1)^-0.5),"")</f>
        <v>0</v>
      </c>
      <c r="CK204" s="79">
        <f>IFERROR((O204*1000*(((INDEX(avoidedcosttbl2,$H204,CK$2)+(($H204-ROUNDDOWN($H204,0))*(INDEX(avoidedcosttbl2,ROUNDUP($H204,0),CK$2)-INDEX(avoidedcosttbl2,ROUNDDOWN($H204,0),CK$2))))*'Inputs Yr 2'!AU204))),"")</f>
        <v>0</v>
      </c>
      <c r="CL204" s="504">
        <f>IFERROR(O204*1000*'Inputs Yr 2'!AV204/((1+realdiscrt1)^-0.5),"")</f>
        <v>0</v>
      </c>
      <c r="CM204" s="79">
        <f>IFERROR((AB204*'Inputs Yr 2'!AW204*(((INDEX(avoidedcosttbl2,$H204,CM$2)+(($H204-ROUNDDOWN($H204,0))*(INDEX(avoidedcosttbl2,ROUNDUP($H204,0),CM$2)-INDEX(avoidedcosttbl2,ROUNDDOWN($H204,0),CM$2)))))))*10,"")</f>
        <v>0</v>
      </c>
      <c r="CN204" s="504">
        <f>IFERROR(10*AB204*'Inputs Yr 2'!AX204/((1+realdiscrt1)^-0.5),"")</f>
        <v>0</v>
      </c>
      <c r="CO204" s="505">
        <f t="shared" si="135"/>
        <v>0</v>
      </c>
      <c r="CP204" s="230">
        <f t="shared" si="136"/>
        <v>647819.44602911628</v>
      </c>
      <c r="CQ204" s="199">
        <f>ROUND(IFERROR(IF(LEFT($A204,1)="C",'Avoided Costs'!$K$13,'Avoided Costs'!$K$12)+1,""),4)</f>
        <v>1.0720000000000001</v>
      </c>
      <c r="CR204" s="199">
        <f>ROUND(IFERROR(IF(LEFT($A204,1)="C",'Avoided Costs'!$L$13,'Avoided Costs'!$L$12)+1,""),4)</f>
        <v>1.04</v>
      </c>
      <c r="CS204" s="199">
        <f>ROUND(IFERROR(IF(LEFT($A204,1)="C",'Avoided Costs'!$M$13,'Avoided Costs'!$M$12)+1,""),4)</f>
        <v>1.0720000000000001</v>
      </c>
      <c r="CT204" s="199">
        <f>ROUND(IFERROR(IF(LEFT($A204,1)="C",'Avoided Costs'!$N$13,'Avoided Costs'!$N$12)+1,""),4)</f>
        <v>1.04</v>
      </c>
      <c r="CU204" s="199">
        <f>ROUND(IFERROR(IF(LEFT($A204,1)="C",'Avoided Costs'!$O$13,'Avoided Costs'!$O$12)+1,""),4)</f>
        <v>1.1120000000000001</v>
      </c>
      <c r="CV204" s="199">
        <f>ROUND(IFERROR(IF(LEFT($A204,1)="C",'Avoided Costs'!$P$13,'Avoided Costs'!$P$12)+1,""),4)</f>
        <v>1.095</v>
      </c>
      <c r="CW204" s="199">
        <f>ROUND(IFERROR(IF(LEFT($A204,1)="C",'Avoided Costs'!$Q$13,'Avoided Costs'!$Q$12)+1,""),4)</f>
        <v>1.1120000000000001</v>
      </c>
      <c r="CX204" s="200">
        <f>ROUND(IFERROR(IF(LEFT($A204,1)="C",'Avoided Costs'!$R$13,'Avoided Costs'!$R$12)+1,""),4)</f>
        <v>1.1120000000000001</v>
      </c>
    </row>
    <row r="205" spans="1:102" ht="12.75" customHeight="1">
      <c r="A205" s="91" t="str">
        <f>IF('Inputs Yr 2'!$B205=0,"",'Inputs Yr 2'!A205)</f>
        <v>C - Commercial &amp; Industrial</v>
      </c>
      <c r="B205" s="91" t="str">
        <f>IF('Inputs Yr 2'!$B205=0,"",'Inputs Yr 2'!B205)</f>
        <v>C1 - C&amp;I New Construction</v>
      </c>
      <c r="C205" s="91" t="str">
        <f>IF('Inputs Yr 2'!$B205=0,"",'Inputs Yr 2'!C205)</f>
        <v xml:space="preserve">C1b - C&amp;I Initial Purchase &amp; End of Useful Life </v>
      </c>
      <c r="D205" s="91" t="str">
        <f>IF('Inputs Yr 2'!$B205=0,"",'Inputs Yr 2'!E205)</f>
        <v>Heating - Prescriptive</v>
      </c>
      <c r="E205" s="93" t="str">
        <f>IF('Inputs Yr 2'!$B205=0,"",'Inputs Yr 2'!F205)</f>
        <v>G16C1b05</v>
      </c>
      <c r="F205" s="93" t="str">
        <f>IF('Inputs Yr 2'!$B205=0,"",'Inputs Yr 2'!G205)</f>
        <v>HVAC</v>
      </c>
      <c r="G205" s="95" t="str">
        <f>IF('Inputs Yr 2'!$H205&lt;&gt;0,('Inputs Yr 2'!H205),"")</f>
        <v/>
      </c>
      <c r="H205" s="94">
        <f>IFERROR('Inputs Yr 2'!I205,"")</f>
        <v>23</v>
      </c>
      <c r="I205" s="298" t="str">
        <f>IFERROR('Inputs Yr 2'!J205*'Inputs Yr 2'!P205*G205,"")</f>
        <v/>
      </c>
      <c r="J205" s="298" t="str">
        <f>IFERROR('Inputs Yr 2'!K205*G205,"")</f>
        <v/>
      </c>
      <c r="K205" s="298" t="str">
        <f t="shared" si="113"/>
        <v/>
      </c>
      <c r="L205" s="194" t="str">
        <f>IFERROR(('Inputs Yr 2'!W205*G205)/1000,"")</f>
        <v/>
      </c>
      <c r="M205" s="194" t="str">
        <f>IFERROR(L205*('Inputs Yr 2'!$Q205*'Inputs Yr 2'!$V205*'Inputs Yr 2'!$R205),"")</f>
        <v/>
      </c>
      <c r="N205" s="194" t="str">
        <f t="shared" si="114"/>
        <v/>
      </c>
      <c r="O205" s="194" t="str">
        <f>IFERROR(M205*'Inputs Yr 2'!P205,"")</f>
        <v/>
      </c>
      <c r="P205" s="194" t="str">
        <f t="shared" si="115"/>
        <v/>
      </c>
      <c r="Q205" s="194" t="str">
        <f>IFERROR($P205*'Inputs Yr 2'!AA205,"")</f>
        <v/>
      </c>
      <c r="R205" s="194" t="str">
        <f>IFERROR($P205*'Inputs Yr 2'!AB205,"")</f>
        <v/>
      </c>
      <c r="S205" s="194" t="str">
        <f>IFERROR($P205*'Inputs Yr 2'!AC205,"")</f>
        <v/>
      </c>
      <c r="T205" s="194" t="str">
        <f>IFERROR($P205*'Inputs Yr 2'!AD205,"")</f>
        <v/>
      </c>
      <c r="U205" s="194" t="str">
        <f>IFERROR(G205*'Inputs Yr 2'!$AE205*'Inputs Yr 2'!$P205*'Inputs Yr 2'!$Q205,"")</f>
        <v/>
      </c>
      <c r="V205" s="194" t="str">
        <f>IFERROR($G205*'Inputs Yr 2'!$AE205*'Inputs Yr 2'!$AG205*'Inputs Yr 2'!Q205*'Inputs Yr 2'!$S205,"")</f>
        <v/>
      </c>
      <c r="W205" s="194" t="str">
        <f>IFERROR($G205*'Inputs Yr 2'!$AE205*'Inputs Yr 2'!$AG205*'Inputs Yr 2'!P205*'Inputs Yr 2'!Q205*'Inputs Yr 2'!$S205,"")</f>
        <v/>
      </c>
      <c r="X205" s="194" t="str">
        <f>IFERROR($G205*'Inputs Yr 2'!$AE205*'Inputs Yr 2'!$AF205*'Inputs Yr 2'!Q205*'Inputs Yr 2'!$T205,"")</f>
        <v/>
      </c>
      <c r="Y205" s="194" t="str">
        <f>IFERROR($G205*'Inputs Yr 2'!$AE205*'Inputs Yr 2'!$AF205*'Inputs Yr 2'!P205*'Inputs Yr 2'!Q205*'Inputs Yr 2'!$T205,"")</f>
        <v/>
      </c>
      <c r="Z205" s="257">
        <f>IFERROR($G205*'Inputs Yr 2'!$Q205*'Inputs Yr 2'!$U205*(IF(IFERROR(SEARCH("NG", 'Inputs Yr 2'!$AJ205),0),'Inputs Yr 2'!$AK205,0)+IF(IFERROR(SEARCH("NG", 'Inputs Yr 2'!$AL205),0),'Inputs Yr 2'!$AM205,0)+IF(IFERROR(SEARCH("NG", 'Inputs Yr 2'!$AN205),0),'Inputs Yr 2'!$AO205,0)),0)</f>
        <v>0</v>
      </c>
      <c r="AA205" s="257">
        <f t="shared" si="116"/>
        <v>0</v>
      </c>
      <c r="AB205" s="257">
        <f>IFERROR(Z205*'Inputs Yr 2'!$P205,0)</f>
        <v>0</v>
      </c>
      <c r="AC205" s="257">
        <f t="shared" si="117"/>
        <v>0</v>
      </c>
      <c r="AD205" s="257">
        <f>IFERROR($G205*'Inputs Yr 2'!$Q205*'Inputs Yr 2'!$U205*(IF(IFERROR(SEARCH("Oil", 'Inputs Yr 2'!$AJ205), 0),'Inputs Yr 2'!$AK205,0)+IF(IFERROR(SEARCH("Oil", 'Inputs Yr 2'!$AL205), 0),'Inputs Yr 2'!$AM205,0)+IF(IFERROR(SEARCH("Oil", 'Inputs Yr 2'!$AN205), 0),'Inputs Yr 2'!$AO205,0)),0)</f>
        <v>0</v>
      </c>
      <c r="AE205" s="257">
        <f t="shared" si="118"/>
        <v>0</v>
      </c>
      <c r="AF205" s="257">
        <f>IFERROR(AD205*'Inputs Yr 2'!$P205,0)</f>
        <v>0</v>
      </c>
      <c r="AG205" s="257">
        <f t="shared" si="119"/>
        <v>0</v>
      </c>
      <c r="AH205" s="257">
        <f>IFERROR($G205*'Inputs Yr 2'!$Q205*'Inputs Yr 2'!$U205*(IF('Inputs Yr 2'!$AJ205=CD$4,'Inputs Yr 2'!$AK205,IF('Inputs Yr 2'!$AL205=CD$4,'Inputs Yr 2'!$AM205,IF('Inputs Yr 2'!$AN205=CD$4,'Inputs Yr 2'!$AO205,0)))),0)</f>
        <v>0</v>
      </c>
      <c r="AI205" s="257">
        <f t="shared" si="120"/>
        <v>0</v>
      </c>
      <c r="AJ205" s="257">
        <f>IFERROR(AH205*'Inputs Yr 2'!$P205,0)</f>
        <v>0</v>
      </c>
      <c r="AK205" s="257">
        <f t="shared" si="121"/>
        <v>0</v>
      </c>
      <c r="AL205" s="258">
        <f>IFERROR($G205*'Inputs Yr 2'!$P205*'Inputs Yr 2'!$Q205*'Inputs Yr 2'!AP205,0)</f>
        <v>0</v>
      </c>
      <c r="AM205" s="260">
        <f>IFERROR($G205*'Inputs Yr 2'!$P205*'Inputs Yr 2'!$Q205*'Inputs Yr 2'!AQ205,0)</f>
        <v>0</v>
      </c>
      <c r="AN205" s="258">
        <f>IFERROR($G205*'Inputs Yr 2'!$P205*'Inputs Yr 2'!$Q205*'Inputs Yr 2'!AR205,0)</f>
        <v>0</v>
      </c>
      <c r="AO205" s="257">
        <f t="shared" si="122"/>
        <v>0</v>
      </c>
      <c r="AP205" s="195" t="str">
        <f>IFERROR($CQ205*(INDEX(avoidedcosttbl2,$H205,AP$2)+(($H205-ROUNDDOWN($H205,0))*(INDEX(avoidedcosttbl2,ROUNDUP($H205,0),AP$2)-(INDEX(avoidedcosttbl2,ROUNDDOWN($H205,0),AP$2)))))*$O205*1000*'Inputs Yr 2'!AA205,"")</f>
        <v/>
      </c>
      <c r="AQ205" s="195" t="str">
        <f>IFERROR($CR205*(INDEX(avoidedcosttbl2,$H205,AQ$2)+(($H205-ROUNDDOWN($H205,0))*(INDEX(avoidedcosttbl2,ROUNDUP($H205,0),AQ$2)-(INDEX(avoidedcosttbl2,ROUNDDOWN($H205,0),AQ$2)))))*$O205*1000*'Inputs Yr 2'!AB205,"")</f>
        <v/>
      </c>
      <c r="AR205" s="195" t="str">
        <f>IFERROR($CS205*(INDEX(avoidedcosttbl2,$H205,AR$2)+(($H205-ROUNDDOWN($H205,0))*(INDEX(avoidedcosttbl2,ROUNDUP($H205,0),AR$2)-(INDEX(avoidedcosttbl2,ROUNDDOWN($H205,0),AR$2)))))*$O205*1000*'Inputs Yr 2'!AC205,"")</f>
        <v/>
      </c>
      <c r="AS205" s="195" t="str">
        <f>IFERROR($CT205*(INDEX(avoidedcosttbl2,$H205,AS$2)+(($H205-ROUNDDOWN($H205,0))*(INDEX(avoidedcosttbl2,ROUNDUP($H205,0),AS$2)-(INDEX(avoidedcosttbl2,ROUNDDOWN($H205,0),AS$2)))))*$O205*1000*'Inputs Yr 2'!AD205,"")</f>
        <v/>
      </c>
      <c r="AT205" s="196">
        <f t="shared" si="123"/>
        <v>0</v>
      </c>
      <c r="AU205" s="197" t="str">
        <f>IFERROR($CQ205*((INDEX(avoidedcosttbl2,$H205,AU$2))+(($H205-ROUNDDOWN($H205,0))*((INDEX(avoidedcosttbl2,ROUNDUP($H205,0),AU$2))-(INDEX(avoidedcosttbl2,ROUNDDOWN($H205,0),AU$2)))))*$O205*1000*'Inputs Yr 2'!AA205,"")</f>
        <v/>
      </c>
      <c r="AV205" s="197" t="str">
        <f>IFERROR($CR205*((INDEX(avoidedcosttbl2,$H205,AV$2))+(($H205-ROUNDDOWN($H205,0))*((INDEX(avoidedcosttbl2,ROUNDUP($H205,0),AV$2))-(INDEX(avoidedcosttbl2,ROUNDDOWN($H205,0),AV$2)))))*$O205*1000*'Inputs Yr 2'!AB205,"")</f>
        <v/>
      </c>
      <c r="AW205" s="197" t="str">
        <f>IFERROR($CS205*((INDEX(avoidedcosttbl2,$H205,AW$2))+(($H205-ROUNDDOWN($H205,0))*((INDEX(avoidedcosttbl2,ROUNDUP($H205,0),AW$2))-(INDEX(avoidedcosttbl2,ROUNDDOWN($H205,0),AW$2)))))*$O205*1000*'Inputs Yr 2'!AC205,"")</f>
        <v/>
      </c>
      <c r="AX205" s="197" t="str">
        <f>IFERROR($CT205*((INDEX(avoidedcosttbl2,$H205,AX$2))+(($H205-ROUNDDOWN($H205,0))*((INDEX(avoidedcosttbl2,ROUNDUP($H205,0),AX$2))-(INDEX(avoidedcosttbl2,ROUNDDOWN($H205,0),AX$2)))))*$O205*1000*'Inputs Yr 2'!AD205,"")</f>
        <v/>
      </c>
      <c r="AY205" s="197" t="str">
        <f>IFERROR(((INDEX(avoidedcosttbl2,$H205,AY$2))+(($H205-ROUNDDOWN($H205,0))*((INDEX(avoidedcosttbl2,ROUNDUP($H205,0),AY$2))-(INDEX(avoidedcosttbl2,ROUNDDOWN($H205,0),AY$2)))))*$O205*1000*('Inputs Yr 2'!AC205+'Inputs Yr 2'!AD205),"")</f>
        <v/>
      </c>
      <c r="AZ205" s="197" t="str">
        <f>IFERROR(((INDEX(avoidedcosttbl2,$H205,AZ$2))+(($H205-ROUNDDOWN($H205,0))*((INDEX(avoidedcosttbl2,ROUNDUP($H205,0),AZ$2))-(INDEX(avoidedcosttbl2,ROUNDDOWN($H205,0),AZ$2)))))*$O205*1000*('Inputs Yr 2'!AA205+'Inputs Yr 2'!AB205),"")</f>
        <v/>
      </c>
      <c r="BA205" s="198">
        <f t="shared" si="124"/>
        <v>0</v>
      </c>
      <c r="BB205" s="198">
        <f t="shared" si="125"/>
        <v>0</v>
      </c>
      <c r="BC205" s="195" t="str">
        <f t="shared" si="107"/>
        <v/>
      </c>
      <c r="BD205" s="195" t="str">
        <f t="shared" si="108"/>
        <v/>
      </c>
      <c r="BE205" s="195" t="str">
        <f t="shared" si="109"/>
        <v/>
      </c>
      <c r="BF205" s="195" t="str">
        <f t="shared" si="110"/>
        <v/>
      </c>
      <c r="BG205" s="195" t="str">
        <f t="shared" si="111"/>
        <v/>
      </c>
      <c r="BH205" s="196">
        <f t="shared" si="126"/>
        <v>0</v>
      </c>
      <c r="BI205" s="196">
        <f t="shared" si="127"/>
        <v>0</v>
      </c>
      <c r="BJ205" s="195" t="str">
        <f>IFERROR($G205*(IF('Inputs Yr 2'!$AJ205=BJ$4,'Inputs Yr 2'!$AK205,IF('Inputs Yr 2'!$AL205=BJ$4,'Inputs Yr 2'!$AM205,IF('Inputs Yr 2'!$AN205=BJ$4,'Inputs Yr 2'!$AO205,0))))*(INDEX(avoidedcosttbl2,$H205,BJ$2)+(($H205-ROUNDDOWN($H205,0))*(INDEX(avoidedcosttbl2,ROUNDUP($H205,0),BJ$2)-(INDEX(avoidedcosttbl2,ROUNDDOWN($H205,0),BJ$2)))))*'Inputs Yr 2'!P205*'Inputs Yr 2'!Q205*'Inputs Yr 2'!U205,"")</f>
        <v/>
      </c>
      <c r="BK205" s="195" t="str">
        <f>IFERROR($G205*(IF('Inputs Yr 2'!$AJ205=BK$4,'Inputs Yr 2'!$AK205,IF('Inputs Yr 2'!$AL205=BK$4,'Inputs Yr 2'!$AM205,IF('Inputs Yr 2'!$AN205=BK$4,'Inputs Yr 2'!$AO205,0))))*(INDEX(avoidedcosttbl2,$H205,BK$2)+(($H205-ROUNDDOWN($H205,0))*(INDEX(avoidedcosttbl2,ROUNDUP($H205,0),BK$2)-(INDEX(avoidedcosttbl2,ROUNDDOWN($H205,0),BK$2)))))*'Inputs Yr 2'!P205*'Inputs Yr 2'!Q205*'Inputs Yr 2'!U205,"")</f>
        <v/>
      </c>
      <c r="BL205" s="195" t="str">
        <f>IFERROR($G205*(IF('Inputs Yr 2'!$AJ205=BL$4,'Inputs Yr 2'!$AK205,IF('Inputs Yr 2'!$AL205=BL$4,'Inputs Yr 2'!$AM205,IF('Inputs Yr 2'!$AN205=BL$4,'Inputs Yr 2'!$AO205,0))))*(INDEX(avoidedcosttbl2,$H205,BL$2)+(($H205-ROUNDDOWN($H205,0))*(INDEX(avoidedcosttbl2,ROUNDUP($H205,0),BL$2)-(INDEX(avoidedcosttbl2,ROUNDDOWN($H205,0),BL$2)))))*'Inputs Yr 2'!P205*'Inputs Yr 2'!Q205*'Inputs Yr 2'!U205,"")</f>
        <v/>
      </c>
      <c r="BM205" s="195" t="str">
        <f>IFERROR($G205*(IF('Inputs Yr 2'!$AJ205=BM$4,'Inputs Yr 2'!$AK205,IF('Inputs Yr 2'!$AL205=BM$4,'Inputs Yr 2'!$AM205,IF('Inputs Yr 2'!$AN205=BM$4,'Inputs Yr 2'!$AO205,0))))*(INDEX(avoidedcosttbl2,$H205,BM$2)+(($H205-ROUNDDOWN($H205,0))*(INDEX(avoidedcosttbl2,ROUNDUP($H205,0),BM$2)-(INDEX(avoidedcosttbl2,ROUNDDOWN($H205,0),BM$2)))))*'Inputs Yr 2'!P205*'Inputs Yr 2'!Q205*'Inputs Yr 2'!U205,"")</f>
        <v/>
      </c>
      <c r="BN205" s="195" t="str">
        <f>IFERROR($G205*(IF('Inputs Yr 2'!$AJ205=BN$4,'Inputs Yr 2'!$AK205,IF('Inputs Yr 2'!$AL205=BN$4,'Inputs Yr 2'!$AM205,IF('Inputs Yr 2'!$AN205=BN$4,'Inputs Yr 2'!$AO205,0))))*(INDEX(avoidedcosttbl2,$H205,BN$2)+(($H205-ROUNDDOWN($H205,0))*(INDEX(avoidedcosttbl2,ROUNDUP($H205,0),BN$2)-(INDEX(avoidedcosttbl2,ROUNDDOWN($H205,0),BN$2)))))*'Inputs Yr 2'!P205*'Inputs Yr 2'!Q205*'Inputs Yr 2'!U205,"")</f>
        <v/>
      </c>
      <c r="BO205" s="195" t="str">
        <f>IFERROR($G205*(IF('Inputs Yr 2'!$AJ205=BO$4,'Inputs Yr 2'!$AK205,IF('Inputs Yr 2'!$AL205=BO$4,'Inputs Yr 2'!$AM205,IF('Inputs Yr 2'!$AN205=BO$4,'Inputs Yr 2'!$AO205,0))))*(INDEX(avoidedcosttbl2,$H205,BO$2)+(($H205-ROUNDDOWN($H205,0))*(INDEX(avoidedcosttbl2,ROUNDUP($H205,0),BO$2)-(INDEX(avoidedcosttbl2,ROUNDDOWN($H205,0),BO$2)))))*'Inputs Yr 2'!P205*'Inputs Yr 2'!Q205*'Inputs Yr 2'!U205,"")</f>
        <v/>
      </c>
      <c r="BP205" s="195" t="str">
        <f>IFERROR($G205*(IF('Inputs Yr 2'!$AJ205=BP$4,'Inputs Yr 2'!$AK205,IF('Inputs Yr 2'!$AL205=BP$4,'Inputs Yr 2'!$AM205,IF('Inputs Yr 2'!$AN205=BP$4,'Inputs Yr 2'!$AO205,0))))*(INDEX(avoidedcosttbl2,$H205,BP$2)+(($H205-ROUNDDOWN($H205,0))*(INDEX(avoidedcosttbl2,ROUNDUP($H205,0),BP$2)-(INDEX(avoidedcosttbl2,ROUNDDOWN($H205,0),BP$2)))))*'Inputs Yr 2'!P205*'Inputs Yr 2'!Q205*'Inputs Yr 2'!U205,"")</f>
        <v/>
      </c>
      <c r="BQ205" s="230">
        <f t="shared" si="128"/>
        <v>0</v>
      </c>
      <c r="BR205" s="197">
        <f t="shared" si="112"/>
        <v>0</v>
      </c>
      <c r="BS205" s="197" t="str">
        <f>IFERROR(($G205*IF('Inputs Yr 2'!$AJ205=BM$4,'Inputs Yr 2'!$AK205,IF('Inputs Yr 2'!$AL205=BM$4,'Inputs Yr 2'!$AM205,IF('Inputs Yr 2'!$AN205=BM$4,'Inputs Yr 2'!$AO205,0))))*(INDEX(avoidedcosttbl2,$H205,BS$2)+(($H205-ROUNDDOWN($H205,0))*(INDEX(avoidedcosttbl2,ROUNDUP($H205,0),BS$2)-(INDEX(avoidedcosttbl2,ROUNDDOWN($H205,0),BS$2)))))*'Inputs Yr 2'!P205*'Inputs Yr 2'!Q205*'Inputs Yr 2'!U205,"")</f>
        <v/>
      </c>
      <c r="BT205" s="197" t="str">
        <f>IFERROR(($G205*IF('Inputs Yr 2'!$AJ205=BK$4,'Inputs Yr 2'!$AK205,IF('Inputs Yr 2'!$AL205=BK$4,'Inputs Yr 2'!$AM205,IF('Inputs Yr 2'!$AN205=BK$4,'Inputs Yr 2'!$AO205,0))))*(INDEX(avoidedcosttbl2,$H205,BT$2)+(($H205-ROUNDDOWN($H205,0))*(INDEX(avoidedcosttbl2,ROUNDUP($H205,0),BT$2)-(INDEX(avoidedcosttbl2,ROUNDDOWN($H205,0),BT$2)))))*'Inputs Yr 2'!P205*'Inputs Yr 2'!Q205*'Inputs Yr 2'!U205,"")</f>
        <v/>
      </c>
      <c r="BU205" s="197" t="str">
        <f>IFERROR(($G205*IF('Inputs Yr 2'!$AJ205=BL$4,'Inputs Yr 2'!$AK205,IF('Inputs Yr 2'!$AL205=BL$4,'Inputs Yr 2'!$AM205,IF('Inputs Yr 2'!$AN205=BL$4,'Inputs Yr 2'!$AO205,0))))*(INDEX(avoidedcosttbl2,$H205,BU$2)+(($H205-ROUNDDOWN($H205,0))*(INDEX(avoidedcosttbl2,ROUNDUP($H205,0),BU$2)-(INDEX(avoidedcosttbl2,ROUNDDOWN($H205,0),BU$2)))))*'Inputs Yr 2'!P205*'Inputs Yr 2'!Q205*'Inputs Yr 2'!U205,"")</f>
        <v/>
      </c>
      <c r="BV205" s="775" t="str">
        <f>IFERROR(($G205*IF('Inputs Yr 2'!$AJ205=BJ$4,'Inputs Yr 2'!$AK205,IF('Inputs Yr 2'!$AL205=BJ$4,'Inputs Yr 2'!$AM205,IF('Inputs Yr 2'!$AN205=BJ$4,'Inputs Yr 2'!$AO205,0))))*(INDEX(avoidedcosttbl2,$H205,BV$2)+(($H205-ROUNDDOWN($H205,0))*(INDEX(avoidedcosttbl2,ROUNDUP($H205,0),BV$2)-(INDEX(avoidedcosttbl2,ROUNDDOWN($H205,0),BV$2)))))*'Inputs Yr 2'!P205*'Inputs Yr 2'!Q205*'Inputs Yr 2'!U205,"")</f>
        <v/>
      </c>
      <c r="BW205" s="197" t="str">
        <f>IFERROR(($G205*IF('Inputs Yr 2'!$AJ205=BN$4,'Inputs Yr 2'!$AK205,IF('Inputs Yr 2'!$AL205=BN$4,'Inputs Yr 2'!$AM205,IF('Inputs Yr 2'!$AN205=BN$4,'Inputs Yr 2'!$AO205,0))))*(INDEX(avoidedcosttbl2,$H205,BW$2)+(($H205-ROUNDDOWN($H205,0))*(INDEX(avoidedcosttbl2,ROUNDUP($H205,0),BW$2)-(INDEX(avoidedcosttbl2,ROUNDDOWN($H205,0),BW$2)))))*'Inputs Yr 2'!P205*'Inputs Yr 2'!Q205*'Inputs Yr 2'!U205,"")</f>
        <v/>
      </c>
      <c r="BX205" s="197" t="str">
        <f>IFERROR(($G205*IF('Inputs Yr 2'!$AJ205=BO$4,'Inputs Yr 2'!$AK205,IF('Inputs Yr 2'!$AL205=BO$4,'Inputs Yr 2'!$AM205,IF('Inputs Yr 2'!$AN205=BO$4,'Inputs Yr 2'!$AO205,0))))*(INDEX(avoidedcosttbl2,$H205,BX$2)+(($H205-ROUNDDOWN($H205,0))*(INDEX(avoidedcosttbl2,ROUNDUP($H205,0),BX$2)-(INDEX(avoidedcosttbl2,ROUNDDOWN($H205,0),BX$2)))))*'Inputs Yr 2'!P205*'Inputs Yr 2'!Q205*'Inputs Yr 2'!U205,"")</f>
        <v/>
      </c>
      <c r="BY205" s="197" t="str">
        <f>IFERROR(($G205*IF('Inputs Yr 2'!$AJ205=BP$4,'Inputs Yr 2'!$AK205,IF('Inputs Yr 2'!$AL205=BP$4,'Inputs Yr 2'!$AM205,IF('Inputs Yr 2'!$AN205=BP$4,'Inputs Yr 2'!$AO205,0))))*(INDEX(avoidedcosttbl2,$H205,BY$2)+(($H205-ROUNDDOWN($H205,0))*(INDEX(avoidedcosttbl2,ROUNDUP($H205,0),BY$2)-(INDEX(avoidedcosttbl2,ROUNDDOWN($H205,0),BY$2)))))*'Inputs Yr 2'!P205*'Inputs Yr 2'!Q205*'Inputs Yr 2'!U205,"")</f>
        <v/>
      </c>
      <c r="BZ205" s="193">
        <f t="shared" si="129"/>
        <v>0</v>
      </c>
      <c r="CA205" s="193">
        <f t="shared" si="130"/>
        <v>0</v>
      </c>
      <c r="CB205" s="195" t="str">
        <f>IFERROR(G205*(IF('Inputs Yr 2'!$AJ205=CB$4,'Inputs Yr 2'!$AK205,IF('Inputs Yr 2'!$AL205=CB$4,'Inputs Yr 2'!$AM205,IF('Inputs Yr 2'!$AN205=CB$4,'Inputs Yr 2'!$AO205,0))))*(INDEX(avoidedcosttbl2,$H205,CB$2)+(($H205-ROUNDDOWN($H205,0))*(INDEX(avoidedcosttbl2,ROUNDUP($H205,0),CB$2)-(INDEX(avoidedcosttbl2,ROUNDDOWN($H205,0),CB$2)))))*'Inputs Yr 2'!P205*'Inputs Yr 2'!Q205*'Inputs Yr 2'!U205,"")</f>
        <v/>
      </c>
      <c r="CC205" s="195">
        <f>IFERROR(H205*(IF('Inputs Yr 2'!$AJ205=CC$4,'Inputs Yr 2'!$AK205,IF('Inputs Yr 2'!$AL205=CC$4,'Inputs Yr 2'!$AM205,IF('Inputs Yr 2'!$AN205=CC$4,'Inputs Yr 2'!$AO205,0))))*(INDEX(avoidedcosttbl2,$H205,CC$2)+(($H205-ROUNDDOWN($H205,0))*(INDEX(avoidedcosttbl2,ROUNDUP($H205,0),CC$2)-(INDEX(avoidedcosttbl2,ROUNDDOWN($H205,0),CC$2)))))*'Inputs Yr 2'!Q205*'Inputs Yr 2'!R205*'Inputs Yr 2'!V205,"")</f>
        <v>0</v>
      </c>
      <c r="CD205" s="195" t="str">
        <f>IFERROR(I205*(IF('Inputs Yr 2'!$AJ205=CD$4,'Inputs Yr 2'!$AK205,IF('Inputs Yr 2'!$AL205=CD$4,'Inputs Yr 2'!$AM205,IF('Inputs Yr 2'!$AN205=CD$4,'Inputs Yr 2'!$AO205,0))))*(INDEX(avoidedcosttbl2,$H205,CD$2)+(($H205-ROUNDDOWN($H205,0))*(INDEX(avoidedcosttbl2,ROUNDUP($H205,0),CD$2)-(INDEX(avoidedcosttbl2,ROUNDDOWN($H205,0),CD$2)))))*'Inputs Yr 2'!R205*'Inputs Yr 2'!S205*'Inputs Yr 2'!W205,"")</f>
        <v/>
      </c>
      <c r="CE205" s="213">
        <f t="shared" si="131"/>
        <v>0</v>
      </c>
      <c r="CF205" s="213">
        <f t="shared" si="132"/>
        <v>0</v>
      </c>
      <c r="CG205" s="213">
        <f t="shared" si="133"/>
        <v>0</v>
      </c>
      <c r="CH205" s="698">
        <f t="shared" si="134"/>
        <v>0</v>
      </c>
      <c r="CI205" s="79" t="str">
        <f>IFERROR(($G205*'Inputs Yr 2'!$P205*'Inputs Yr 2'!$Q205*(((INDEX(avoidedcosttbl2,$H205,CI$2)+(($H205-ROUNDDOWN($H205,0))*(INDEX(avoidedcosttbl2,ROUNDUP($H205,0),CI$2)-INDEX(avoidedcosttbl2,ROUNDDOWN($H205,0),CI$2))))*'Inputs Yr 2'!AS205))),"")</f>
        <v/>
      </c>
      <c r="CJ205" s="504" t="str">
        <f>IFERROR($G205*'Inputs Yr 2'!AT205*'Inputs Yr 2'!$P205*'Inputs Yr 2'!$Q205/((1+realdiscrt1)^-0.5),"")</f>
        <v/>
      </c>
      <c r="CK205" s="79" t="str">
        <f>IFERROR((O205*1000*(((INDEX(avoidedcosttbl2,$H205,CK$2)+(($H205-ROUNDDOWN($H205,0))*(INDEX(avoidedcosttbl2,ROUNDUP($H205,0),CK$2)-INDEX(avoidedcosttbl2,ROUNDDOWN($H205,0),CK$2))))*'Inputs Yr 2'!AU205))),"")</f>
        <v/>
      </c>
      <c r="CL205" s="504" t="str">
        <f>IFERROR(O205*1000*'Inputs Yr 2'!AV205/((1+realdiscrt1)^-0.5),"")</f>
        <v/>
      </c>
      <c r="CM205" s="79">
        <f>IFERROR((AB205*'Inputs Yr 2'!AW205*(((INDEX(avoidedcosttbl2,$H205,CM$2)+(($H205-ROUNDDOWN($H205,0))*(INDEX(avoidedcosttbl2,ROUNDUP($H205,0),CM$2)-INDEX(avoidedcosttbl2,ROUNDDOWN($H205,0),CM$2)))))))*10,"")</f>
        <v>0</v>
      </c>
      <c r="CN205" s="504">
        <f>IFERROR(10*AB205*'Inputs Yr 2'!AX205/((1+realdiscrt1)^-0.5),"")</f>
        <v>0</v>
      </c>
      <c r="CO205" s="505">
        <f t="shared" si="135"/>
        <v>0</v>
      </c>
      <c r="CP205" s="230">
        <f t="shared" si="136"/>
        <v>0</v>
      </c>
      <c r="CQ205" s="199">
        <f>ROUND(IFERROR(IF(LEFT($A205,1)="C",'Avoided Costs'!$K$13,'Avoided Costs'!$K$12)+1,""),4)</f>
        <v>1.0720000000000001</v>
      </c>
      <c r="CR205" s="199">
        <f>ROUND(IFERROR(IF(LEFT($A205,1)="C",'Avoided Costs'!$L$13,'Avoided Costs'!$L$12)+1,""),4)</f>
        <v>1.04</v>
      </c>
      <c r="CS205" s="199">
        <f>ROUND(IFERROR(IF(LEFT($A205,1)="C",'Avoided Costs'!$M$13,'Avoided Costs'!$M$12)+1,""),4)</f>
        <v>1.0720000000000001</v>
      </c>
      <c r="CT205" s="199">
        <f>ROUND(IFERROR(IF(LEFT($A205,1)="C",'Avoided Costs'!$N$13,'Avoided Costs'!$N$12)+1,""),4)</f>
        <v>1.04</v>
      </c>
      <c r="CU205" s="199">
        <f>ROUND(IFERROR(IF(LEFT($A205,1)="C",'Avoided Costs'!$O$13,'Avoided Costs'!$O$12)+1,""),4)</f>
        <v>1.1120000000000001</v>
      </c>
      <c r="CV205" s="199">
        <f>ROUND(IFERROR(IF(LEFT($A205,1)="C",'Avoided Costs'!$P$13,'Avoided Costs'!$P$12)+1,""),4)</f>
        <v>1.095</v>
      </c>
      <c r="CW205" s="199">
        <f>ROUND(IFERROR(IF(LEFT($A205,1)="C",'Avoided Costs'!$Q$13,'Avoided Costs'!$Q$12)+1,""),4)</f>
        <v>1.1120000000000001</v>
      </c>
      <c r="CX205" s="200">
        <f>ROUND(IFERROR(IF(LEFT($A205,1)="C",'Avoided Costs'!$R$13,'Avoided Costs'!$R$12)+1,""),4)</f>
        <v>1.1120000000000001</v>
      </c>
    </row>
    <row r="206" spans="1:102" ht="12.75" customHeight="1">
      <c r="A206" s="91" t="str">
        <f>IF('Inputs Yr 2'!$B206=0,"",'Inputs Yr 2'!A206)</f>
        <v>C - Commercial &amp; Industrial</v>
      </c>
      <c r="B206" s="91" t="str">
        <f>IF('Inputs Yr 2'!$B206=0,"",'Inputs Yr 2'!B206)</f>
        <v>C1 - C&amp;I New Construction</v>
      </c>
      <c r="C206" s="91" t="str">
        <f>IF('Inputs Yr 2'!$B206=0,"",'Inputs Yr 2'!C206)</f>
        <v xml:space="preserve">C1b - C&amp;I Initial Purchase &amp; End of Useful Life </v>
      </c>
      <c r="D206" s="91" t="str">
        <f>IF('Inputs Yr 2'!$B206=0,"",'Inputs Yr 2'!E206)</f>
        <v xml:space="preserve">Hot Water - Custom </v>
      </c>
      <c r="E206" s="93" t="str">
        <f>IF('Inputs Yr 2'!$B206=0,"",'Inputs Yr 2'!F206)</f>
        <v>G16C1b06</v>
      </c>
      <c r="F206" s="93" t="str">
        <f>IF('Inputs Yr 2'!$B206=0,"",'Inputs Yr 2'!G206)</f>
        <v>Hot Water</v>
      </c>
      <c r="G206" s="95" t="str">
        <f>IF('Inputs Yr 2'!$H206&lt;&gt;0,('Inputs Yr 2'!H206),"")</f>
        <v/>
      </c>
      <c r="H206" s="94">
        <f>IFERROR('Inputs Yr 2'!I206,"")</f>
        <v>13</v>
      </c>
      <c r="I206" s="298" t="str">
        <f>IFERROR('Inputs Yr 2'!J206*'Inputs Yr 2'!P206*G206,"")</f>
        <v/>
      </c>
      <c r="J206" s="298" t="str">
        <f>IFERROR('Inputs Yr 2'!K206*G206,"")</f>
        <v/>
      </c>
      <c r="K206" s="298" t="str">
        <f t="shared" si="113"/>
        <v/>
      </c>
      <c r="L206" s="194" t="str">
        <f>IFERROR(('Inputs Yr 2'!W206*G206)/1000,"")</f>
        <v/>
      </c>
      <c r="M206" s="194" t="str">
        <f>IFERROR(L206*('Inputs Yr 2'!$Q206*'Inputs Yr 2'!$V206*'Inputs Yr 2'!$R206),"")</f>
        <v/>
      </c>
      <c r="N206" s="194" t="str">
        <f t="shared" si="114"/>
        <v/>
      </c>
      <c r="O206" s="194" t="str">
        <f>IFERROR(M206*'Inputs Yr 2'!P206,"")</f>
        <v/>
      </c>
      <c r="P206" s="194" t="str">
        <f t="shared" si="115"/>
        <v/>
      </c>
      <c r="Q206" s="194" t="str">
        <f>IFERROR($P206*'Inputs Yr 2'!AA206,"")</f>
        <v/>
      </c>
      <c r="R206" s="194" t="str">
        <f>IFERROR($P206*'Inputs Yr 2'!AB206,"")</f>
        <v/>
      </c>
      <c r="S206" s="194" t="str">
        <f>IFERROR($P206*'Inputs Yr 2'!AC206,"")</f>
        <v/>
      </c>
      <c r="T206" s="194" t="str">
        <f>IFERROR($P206*'Inputs Yr 2'!AD206,"")</f>
        <v/>
      </c>
      <c r="U206" s="194" t="str">
        <f>IFERROR(G206*'Inputs Yr 2'!$AE206*'Inputs Yr 2'!$P206*'Inputs Yr 2'!$Q206,"")</f>
        <v/>
      </c>
      <c r="V206" s="194" t="str">
        <f>IFERROR($G206*'Inputs Yr 2'!$AE206*'Inputs Yr 2'!$AG206*'Inputs Yr 2'!Q206*'Inputs Yr 2'!$S206,"")</f>
        <v/>
      </c>
      <c r="W206" s="194" t="str">
        <f>IFERROR($G206*'Inputs Yr 2'!$AE206*'Inputs Yr 2'!$AG206*'Inputs Yr 2'!P206*'Inputs Yr 2'!Q206*'Inputs Yr 2'!$S206,"")</f>
        <v/>
      </c>
      <c r="X206" s="194" t="str">
        <f>IFERROR($G206*'Inputs Yr 2'!$AE206*'Inputs Yr 2'!$AF206*'Inputs Yr 2'!Q206*'Inputs Yr 2'!$T206,"")</f>
        <v/>
      </c>
      <c r="Y206" s="194" t="str">
        <f>IFERROR($G206*'Inputs Yr 2'!$AE206*'Inputs Yr 2'!$AF206*'Inputs Yr 2'!P206*'Inputs Yr 2'!Q206*'Inputs Yr 2'!$T206,"")</f>
        <v/>
      </c>
      <c r="Z206" s="257">
        <f>IFERROR($G206*'Inputs Yr 2'!$Q206*'Inputs Yr 2'!$U206*(IF(IFERROR(SEARCH("NG", 'Inputs Yr 2'!$AJ206),0),'Inputs Yr 2'!$AK206,0)+IF(IFERROR(SEARCH("NG", 'Inputs Yr 2'!$AL206),0),'Inputs Yr 2'!$AM206,0)+IF(IFERROR(SEARCH("NG", 'Inputs Yr 2'!$AN206),0),'Inputs Yr 2'!$AO206,0)),0)</f>
        <v>0</v>
      </c>
      <c r="AA206" s="257">
        <f t="shared" si="116"/>
        <v>0</v>
      </c>
      <c r="AB206" s="257">
        <f>IFERROR(Z206*'Inputs Yr 2'!$P206,0)</f>
        <v>0</v>
      </c>
      <c r="AC206" s="257">
        <f t="shared" si="117"/>
        <v>0</v>
      </c>
      <c r="AD206" s="257">
        <f>IFERROR($G206*'Inputs Yr 2'!$Q206*'Inputs Yr 2'!$U206*(IF(IFERROR(SEARCH("Oil", 'Inputs Yr 2'!$AJ206), 0),'Inputs Yr 2'!$AK206,0)+IF(IFERROR(SEARCH("Oil", 'Inputs Yr 2'!$AL206), 0),'Inputs Yr 2'!$AM206,0)+IF(IFERROR(SEARCH("Oil", 'Inputs Yr 2'!$AN206), 0),'Inputs Yr 2'!$AO206,0)),0)</f>
        <v>0</v>
      </c>
      <c r="AE206" s="257">
        <f t="shared" si="118"/>
        <v>0</v>
      </c>
      <c r="AF206" s="257">
        <f>IFERROR(AD206*'Inputs Yr 2'!$P206,0)</f>
        <v>0</v>
      </c>
      <c r="AG206" s="257">
        <f t="shared" si="119"/>
        <v>0</v>
      </c>
      <c r="AH206" s="257">
        <f>IFERROR($G206*'Inputs Yr 2'!$Q206*'Inputs Yr 2'!$U206*(IF('Inputs Yr 2'!$AJ206=CD$4,'Inputs Yr 2'!$AK206,IF('Inputs Yr 2'!$AL206=CD$4,'Inputs Yr 2'!$AM206,IF('Inputs Yr 2'!$AN206=CD$4,'Inputs Yr 2'!$AO206,0)))),0)</f>
        <v>0</v>
      </c>
      <c r="AI206" s="257">
        <f t="shared" si="120"/>
        <v>0</v>
      </c>
      <c r="AJ206" s="257">
        <f>IFERROR(AH206*'Inputs Yr 2'!$P206,0)</f>
        <v>0</v>
      </c>
      <c r="AK206" s="257">
        <f t="shared" si="121"/>
        <v>0</v>
      </c>
      <c r="AL206" s="258">
        <f>IFERROR($G206*'Inputs Yr 2'!$P206*'Inputs Yr 2'!$Q206*'Inputs Yr 2'!AP206,0)</f>
        <v>0</v>
      </c>
      <c r="AM206" s="260">
        <f>IFERROR($G206*'Inputs Yr 2'!$P206*'Inputs Yr 2'!$Q206*'Inputs Yr 2'!AQ206,0)</f>
        <v>0</v>
      </c>
      <c r="AN206" s="258">
        <f>IFERROR($G206*'Inputs Yr 2'!$P206*'Inputs Yr 2'!$Q206*'Inputs Yr 2'!AR206,0)</f>
        <v>0</v>
      </c>
      <c r="AO206" s="257">
        <f t="shared" si="122"/>
        <v>0</v>
      </c>
      <c r="AP206" s="195" t="str">
        <f>IFERROR($CQ206*(INDEX(avoidedcosttbl2,$H206,AP$2)+(($H206-ROUNDDOWN($H206,0))*(INDEX(avoidedcosttbl2,ROUNDUP($H206,0),AP$2)-(INDEX(avoidedcosttbl2,ROUNDDOWN($H206,0),AP$2)))))*$O206*1000*'Inputs Yr 2'!AA206,"")</f>
        <v/>
      </c>
      <c r="AQ206" s="195" t="str">
        <f>IFERROR($CR206*(INDEX(avoidedcosttbl2,$H206,AQ$2)+(($H206-ROUNDDOWN($H206,0))*(INDEX(avoidedcosttbl2,ROUNDUP($H206,0),AQ$2)-(INDEX(avoidedcosttbl2,ROUNDDOWN($H206,0),AQ$2)))))*$O206*1000*'Inputs Yr 2'!AB206,"")</f>
        <v/>
      </c>
      <c r="AR206" s="195" t="str">
        <f>IFERROR($CS206*(INDEX(avoidedcosttbl2,$H206,AR$2)+(($H206-ROUNDDOWN($H206,0))*(INDEX(avoidedcosttbl2,ROUNDUP($H206,0),AR$2)-(INDEX(avoidedcosttbl2,ROUNDDOWN($H206,0),AR$2)))))*$O206*1000*'Inputs Yr 2'!AC206,"")</f>
        <v/>
      </c>
      <c r="AS206" s="195" t="str">
        <f>IFERROR($CT206*(INDEX(avoidedcosttbl2,$H206,AS$2)+(($H206-ROUNDDOWN($H206,0))*(INDEX(avoidedcosttbl2,ROUNDUP($H206,0),AS$2)-(INDEX(avoidedcosttbl2,ROUNDDOWN($H206,0),AS$2)))))*$O206*1000*'Inputs Yr 2'!AD206,"")</f>
        <v/>
      </c>
      <c r="AT206" s="196">
        <f t="shared" si="123"/>
        <v>0</v>
      </c>
      <c r="AU206" s="197" t="str">
        <f>IFERROR($CQ206*((INDEX(avoidedcosttbl2,$H206,AU$2))+(($H206-ROUNDDOWN($H206,0))*((INDEX(avoidedcosttbl2,ROUNDUP($H206,0),AU$2))-(INDEX(avoidedcosttbl2,ROUNDDOWN($H206,0),AU$2)))))*$O206*1000*'Inputs Yr 2'!AA206,"")</f>
        <v/>
      </c>
      <c r="AV206" s="197" t="str">
        <f>IFERROR($CR206*((INDEX(avoidedcosttbl2,$H206,AV$2))+(($H206-ROUNDDOWN($H206,0))*((INDEX(avoidedcosttbl2,ROUNDUP($H206,0),AV$2))-(INDEX(avoidedcosttbl2,ROUNDDOWN($H206,0),AV$2)))))*$O206*1000*'Inputs Yr 2'!AB206,"")</f>
        <v/>
      </c>
      <c r="AW206" s="197" t="str">
        <f>IFERROR($CS206*((INDEX(avoidedcosttbl2,$H206,AW$2))+(($H206-ROUNDDOWN($H206,0))*((INDEX(avoidedcosttbl2,ROUNDUP($H206,0),AW$2))-(INDEX(avoidedcosttbl2,ROUNDDOWN($H206,0),AW$2)))))*$O206*1000*'Inputs Yr 2'!AC206,"")</f>
        <v/>
      </c>
      <c r="AX206" s="197" t="str">
        <f>IFERROR($CT206*((INDEX(avoidedcosttbl2,$H206,AX$2))+(($H206-ROUNDDOWN($H206,0))*((INDEX(avoidedcosttbl2,ROUNDUP($H206,0),AX$2))-(INDEX(avoidedcosttbl2,ROUNDDOWN($H206,0),AX$2)))))*$O206*1000*'Inputs Yr 2'!AD206,"")</f>
        <v/>
      </c>
      <c r="AY206" s="197" t="str">
        <f>IFERROR(((INDEX(avoidedcosttbl2,$H206,AY$2))+(($H206-ROUNDDOWN($H206,0))*((INDEX(avoidedcosttbl2,ROUNDUP($H206,0),AY$2))-(INDEX(avoidedcosttbl2,ROUNDDOWN($H206,0),AY$2)))))*$O206*1000*('Inputs Yr 2'!AC206+'Inputs Yr 2'!AD206),"")</f>
        <v/>
      </c>
      <c r="AZ206" s="197" t="str">
        <f>IFERROR(((INDEX(avoidedcosttbl2,$H206,AZ$2))+(($H206-ROUNDDOWN($H206,0))*((INDEX(avoidedcosttbl2,ROUNDUP($H206,0),AZ$2))-(INDEX(avoidedcosttbl2,ROUNDDOWN($H206,0),AZ$2)))))*$O206*1000*('Inputs Yr 2'!AA206+'Inputs Yr 2'!AB206),"")</f>
        <v/>
      </c>
      <c r="BA206" s="198">
        <f t="shared" si="124"/>
        <v>0</v>
      </c>
      <c r="BB206" s="198">
        <f t="shared" si="125"/>
        <v>0</v>
      </c>
      <c r="BC206" s="195" t="str">
        <f t="shared" si="107"/>
        <v/>
      </c>
      <c r="BD206" s="195" t="str">
        <f t="shared" si="108"/>
        <v/>
      </c>
      <c r="BE206" s="195" t="str">
        <f t="shared" si="109"/>
        <v/>
      </c>
      <c r="BF206" s="195" t="str">
        <f t="shared" si="110"/>
        <v/>
      </c>
      <c r="BG206" s="195" t="str">
        <f t="shared" si="111"/>
        <v/>
      </c>
      <c r="BH206" s="196">
        <f t="shared" si="126"/>
        <v>0</v>
      </c>
      <c r="BI206" s="196">
        <f t="shared" si="127"/>
        <v>0</v>
      </c>
      <c r="BJ206" s="195" t="str">
        <f>IFERROR($G206*(IF('Inputs Yr 2'!$AJ206=BJ$4,'Inputs Yr 2'!$AK206,IF('Inputs Yr 2'!$AL206=BJ$4,'Inputs Yr 2'!$AM206,IF('Inputs Yr 2'!$AN206=BJ$4,'Inputs Yr 2'!$AO206,0))))*(INDEX(avoidedcosttbl2,$H206,BJ$2)+(($H206-ROUNDDOWN($H206,0))*(INDEX(avoidedcosttbl2,ROUNDUP($H206,0),BJ$2)-(INDEX(avoidedcosttbl2,ROUNDDOWN($H206,0),BJ$2)))))*'Inputs Yr 2'!P206*'Inputs Yr 2'!Q206*'Inputs Yr 2'!U206,"")</f>
        <v/>
      </c>
      <c r="BK206" s="195" t="str">
        <f>IFERROR($G206*(IF('Inputs Yr 2'!$AJ206=BK$4,'Inputs Yr 2'!$AK206,IF('Inputs Yr 2'!$AL206=BK$4,'Inputs Yr 2'!$AM206,IF('Inputs Yr 2'!$AN206=BK$4,'Inputs Yr 2'!$AO206,0))))*(INDEX(avoidedcosttbl2,$H206,BK$2)+(($H206-ROUNDDOWN($H206,0))*(INDEX(avoidedcosttbl2,ROUNDUP($H206,0),BK$2)-(INDEX(avoidedcosttbl2,ROUNDDOWN($H206,0),BK$2)))))*'Inputs Yr 2'!P206*'Inputs Yr 2'!Q206*'Inputs Yr 2'!U206,"")</f>
        <v/>
      </c>
      <c r="BL206" s="195" t="str">
        <f>IFERROR($G206*(IF('Inputs Yr 2'!$AJ206=BL$4,'Inputs Yr 2'!$AK206,IF('Inputs Yr 2'!$AL206=BL$4,'Inputs Yr 2'!$AM206,IF('Inputs Yr 2'!$AN206=BL$4,'Inputs Yr 2'!$AO206,0))))*(INDEX(avoidedcosttbl2,$H206,BL$2)+(($H206-ROUNDDOWN($H206,0))*(INDEX(avoidedcosttbl2,ROUNDUP($H206,0),BL$2)-(INDEX(avoidedcosttbl2,ROUNDDOWN($H206,0),BL$2)))))*'Inputs Yr 2'!P206*'Inputs Yr 2'!Q206*'Inputs Yr 2'!U206,"")</f>
        <v/>
      </c>
      <c r="BM206" s="195" t="str">
        <f>IFERROR($G206*(IF('Inputs Yr 2'!$AJ206=BM$4,'Inputs Yr 2'!$AK206,IF('Inputs Yr 2'!$AL206=BM$4,'Inputs Yr 2'!$AM206,IF('Inputs Yr 2'!$AN206=BM$4,'Inputs Yr 2'!$AO206,0))))*(INDEX(avoidedcosttbl2,$H206,BM$2)+(($H206-ROUNDDOWN($H206,0))*(INDEX(avoidedcosttbl2,ROUNDUP($H206,0),BM$2)-(INDEX(avoidedcosttbl2,ROUNDDOWN($H206,0),BM$2)))))*'Inputs Yr 2'!P206*'Inputs Yr 2'!Q206*'Inputs Yr 2'!U206,"")</f>
        <v/>
      </c>
      <c r="BN206" s="195" t="str">
        <f>IFERROR($G206*(IF('Inputs Yr 2'!$AJ206=BN$4,'Inputs Yr 2'!$AK206,IF('Inputs Yr 2'!$AL206=BN$4,'Inputs Yr 2'!$AM206,IF('Inputs Yr 2'!$AN206=BN$4,'Inputs Yr 2'!$AO206,0))))*(INDEX(avoidedcosttbl2,$H206,BN$2)+(($H206-ROUNDDOWN($H206,0))*(INDEX(avoidedcosttbl2,ROUNDUP($H206,0),BN$2)-(INDEX(avoidedcosttbl2,ROUNDDOWN($H206,0),BN$2)))))*'Inputs Yr 2'!P206*'Inputs Yr 2'!Q206*'Inputs Yr 2'!U206,"")</f>
        <v/>
      </c>
      <c r="BO206" s="195" t="str">
        <f>IFERROR($G206*(IF('Inputs Yr 2'!$AJ206=BO$4,'Inputs Yr 2'!$AK206,IF('Inputs Yr 2'!$AL206=BO$4,'Inputs Yr 2'!$AM206,IF('Inputs Yr 2'!$AN206=BO$4,'Inputs Yr 2'!$AO206,0))))*(INDEX(avoidedcosttbl2,$H206,BO$2)+(($H206-ROUNDDOWN($H206,0))*(INDEX(avoidedcosttbl2,ROUNDUP($H206,0),BO$2)-(INDEX(avoidedcosttbl2,ROUNDDOWN($H206,0),BO$2)))))*'Inputs Yr 2'!P206*'Inputs Yr 2'!Q206*'Inputs Yr 2'!U206,"")</f>
        <v/>
      </c>
      <c r="BP206" s="195" t="str">
        <f>IFERROR($G206*(IF('Inputs Yr 2'!$AJ206=BP$4,'Inputs Yr 2'!$AK206,IF('Inputs Yr 2'!$AL206=BP$4,'Inputs Yr 2'!$AM206,IF('Inputs Yr 2'!$AN206=BP$4,'Inputs Yr 2'!$AO206,0))))*(INDEX(avoidedcosttbl2,$H206,BP$2)+(($H206-ROUNDDOWN($H206,0))*(INDEX(avoidedcosttbl2,ROUNDUP($H206,0),BP$2)-(INDEX(avoidedcosttbl2,ROUNDDOWN($H206,0),BP$2)))))*'Inputs Yr 2'!P206*'Inputs Yr 2'!Q206*'Inputs Yr 2'!U206,"")</f>
        <v/>
      </c>
      <c r="BQ206" s="230">
        <f t="shared" si="128"/>
        <v>0</v>
      </c>
      <c r="BR206" s="197">
        <f t="shared" si="112"/>
        <v>0</v>
      </c>
      <c r="BS206" s="197" t="str">
        <f>IFERROR(($G206*IF('Inputs Yr 2'!$AJ206=BM$4,'Inputs Yr 2'!$AK206,IF('Inputs Yr 2'!$AL206=BM$4,'Inputs Yr 2'!$AM206,IF('Inputs Yr 2'!$AN206=BM$4,'Inputs Yr 2'!$AO206,0))))*(INDEX(avoidedcosttbl2,$H206,BS$2)+(($H206-ROUNDDOWN($H206,0))*(INDEX(avoidedcosttbl2,ROUNDUP($H206,0),BS$2)-(INDEX(avoidedcosttbl2,ROUNDDOWN($H206,0),BS$2)))))*'Inputs Yr 2'!P206*'Inputs Yr 2'!Q206*'Inputs Yr 2'!U206,"")</f>
        <v/>
      </c>
      <c r="BT206" s="197" t="str">
        <f>IFERROR(($G206*IF('Inputs Yr 2'!$AJ206=BK$4,'Inputs Yr 2'!$AK206,IF('Inputs Yr 2'!$AL206=BK$4,'Inputs Yr 2'!$AM206,IF('Inputs Yr 2'!$AN206=BK$4,'Inputs Yr 2'!$AO206,0))))*(INDEX(avoidedcosttbl2,$H206,BT$2)+(($H206-ROUNDDOWN($H206,0))*(INDEX(avoidedcosttbl2,ROUNDUP($H206,0),BT$2)-(INDEX(avoidedcosttbl2,ROUNDDOWN($H206,0),BT$2)))))*'Inputs Yr 2'!P206*'Inputs Yr 2'!Q206*'Inputs Yr 2'!U206,"")</f>
        <v/>
      </c>
      <c r="BU206" s="197" t="str">
        <f>IFERROR(($G206*IF('Inputs Yr 2'!$AJ206=BL$4,'Inputs Yr 2'!$AK206,IF('Inputs Yr 2'!$AL206=BL$4,'Inputs Yr 2'!$AM206,IF('Inputs Yr 2'!$AN206=BL$4,'Inputs Yr 2'!$AO206,0))))*(INDEX(avoidedcosttbl2,$H206,BU$2)+(($H206-ROUNDDOWN($H206,0))*(INDEX(avoidedcosttbl2,ROUNDUP($H206,0),BU$2)-(INDEX(avoidedcosttbl2,ROUNDDOWN($H206,0),BU$2)))))*'Inputs Yr 2'!P206*'Inputs Yr 2'!Q206*'Inputs Yr 2'!U206,"")</f>
        <v/>
      </c>
      <c r="BV206" s="775" t="str">
        <f>IFERROR(($G206*IF('Inputs Yr 2'!$AJ206=BJ$4,'Inputs Yr 2'!$AK206,IF('Inputs Yr 2'!$AL206=BJ$4,'Inputs Yr 2'!$AM206,IF('Inputs Yr 2'!$AN206=BJ$4,'Inputs Yr 2'!$AO206,0))))*(INDEX(avoidedcosttbl2,$H206,BV$2)+(($H206-ROUNDDOWN($H206,0))*(INDEX(avoidedcosttbl2,ROUNDUP($H206,0),BV$2)-(INDEX(avoidedcosttbl2,ROUNDDOWN($H206,0),BV$2)))))*'Inputs Yr 2'!P206*'Inputs Yr 2'!Q206*'Inputs Yr 2'!U206,"")</f>
        <v/>
      </c>
      <c r="BW206" s="197" t="str">
        <f>IFERROR(($G206*IF('Inputs Yr 2'!$AJ206=BN$4,'Inputs Yr 2'!$AK206,IF('Inputs Yr 2'!$AL206=BN$4,'Inputs Yr 2'!$AM206,IF('Inputs Yr 2'!$AN206=BN$4,'Inputs Yr 2'!$AO206,0))))*(INDEX(avoidedcosttbl2,$H206,BW$2)+(($H206-ROUNDDOWN($H206,0))*(INDEX(avoidedcosttbl2,ROUNDUP($H206,0),BW$2)-(INDEX(avoidedcosttbl2,ROUNDDOWN($H206,0),BW$2)))))*'Inputs Yr 2'!P206*'Inputs Yr 2'!Q206*'Inputs Yr 2'!U206,"")</f>
        <v/>
      </c>
      <c r="BX206" s="197" t="str">
        <f>IFERROR(($G206*IF('Inputs Yr 2'!$AJ206=BO$4,'Inputs Yr 2'!$AK206,IF('Inputs Yr 2'!$AL206=BO$4,'Inputs Yr 2'!$AM206,IF('Inputs Yr 2'!$AN206=BO$4,'Inputs Yr 2'!$AO206,0))))*(INDEX(avoidedcosttbl2,$H206,BX$2)+(($H206-ROUNDDOWN($H206,0))*(INDEX(avoidedcosttbl2,ROUNDUP($H206,0),BX$2)-(INDEX(avoidedcosttbl2,ROUNDDOWN($H206,0),BX$2)))))*'Inputs Yr 2'!P206*'Inputs Yr 2'!Q206*'Inputs Yr 2'!U206,"")</f>
        <v/>
      </c>
      <c r="BY206" s="197" t="str">
        <f>IFERROR(($G206*IF('Inputs Yr 2'!$AJ206=BP$4,'Inputs Yr 2'!$AK206,IF('Inputs Yr 2'!$AL206=BP$4,'Inputs Yr 2'!$AM206,IF('Inputs Yr 2'!$AN206=BP$4,'Inputs Yr 2'!$AO206,0))))*(INDEX(avoidedcosttbl2,$H206,BY$2)+(($H206-ROUNDDOWN($H206,0))*(INDEX(avoidedcosttbl2,ROUNDUP($H206,0),BY$2)-(INDEX(avoidedcosttbl2,ROUNDDOWN($H206,0),BY$2)))))*'Inputs Yr 2'!P206*'Inputs Yr 2'!Q206*'Inputs Yr 2'!U206,"")</f>
        <v/>
      </c>
      <c r="BZ206" s="193">
        <f t="shared" si="129"/>
        <v>0</v>
      </c>
      <c r="CA206" s="193">
        <f t="shared" si="130"/>
        <v>0</v>
      </c>
      <c r="CB206" s="195" t="str">
        <f>IFERROR(G206*(IF('Inputs Yr 2'!$AJ206=CB$4,'Inputs Yr 2'!$AK206,IF('Inputs Yr 2'!$AL206=CB$4,'Inputs Yr 2'!$AM206,IF('Inputs Yr 2'!$AN206=CB$4,'Inputs Yr 2'!$AO206,0))))*(INDEX(avoidedcosttbl2,$H206,CB$2)+(($H206-ROUNDDOWN($H206,0))*(INDEX(avoidedcosttbl2,ROUNDUP($H206,0),CB$2)-(INDEX(avoidedcosttbl2,ROUNDDOWN($H206,0),CB$2)))))*'Inputs Yr 2'!P206*'Inputs Yr 2'!Q206*'Inputs Yr 2'!U206,"")</f>
        <v/>
      </c>
      <c r="CC206" s="195">
        <f>IFERROR(H206*(IF('Inputs Yr 2'!$AJ206=CC$4,'Inputs Yr 2'!$AK206,IF('Inputs Yr 2'!$AL206=CC$4,'Inputs Yr 2'!$AM206,IF('Inputs Yr 2'!$AN206=CC$4,'Inputs Yr 2'!$AO206,0))))*(INDEX(avoidedcosttbl2,$H206,CC$2)+(($H206-ROUNDDOWN($H206,0))*(INDEX(avoidedcosttbl2,ROUNDUP($H206,0),CC$2)-(INDEX(avoidedcosttbl2,ROUNDDOWN($H206,0),CC$2)))))*'Inputs Yr 2'!Q206*'Inputs Yr 2'!R206*'Inputs Yr 2'!V206,"")</f>
        <v>0</v>
      </c>
      <c r="CD206" s="195" t="str">
        <f>IFERROR(I206*(IF('Inputs Yr 2'!$AJ206=CD$4,'Inputs Yr 2'!$AK206,IF('Inputs Yr 2'!$AL206=CD$4,'Inputs Yr 2'!$AM206,IF('Inputs Yr 2'!$AN206=CD$4,'Inputs Yr 2'!$AO206,0))))*(INDEX(avoidedcosttbl2,$H206,CD$2)+(($H206-ROUNDDOWN($H206,0))*(INDEX(avoidedcosttbl2,ROUNDUP($H206,0),CD$2)-(INDEX(avoidedcosttbl2,ROUNDDOWN($H206,0),CD$2)))))*'Inputs Yr 2'!R206*'Inputs Yr 2'!S206*'Inputs Yr 2'!W206,"")</f>
        <v/>
      </c>
      <c r="CE206" s="213">
        <f t="shared" si="131"/>
        <v>0</v>
      </c>
      <c r="CF206" s="213">
        <f t="shared" si="132"/>
        <v>0</v>
      </c>
      <c r="CG206" s="213">
        <f t="shared" si="133"/>
        <v>0</v>
      </c>
      <c r="CH206" s="698">
        <f t="shared" si="134"/>
        <v>0</v>
      </c>
      <c r="CI206" s="79" t="str">
        <f>IFERROR(($G206*'Inputs Yr 2'!$P206*'Inputs Yr 2'!$Q206*(((INDEX(avoidedcosttbl2,$H206,CI$2)+(($H206-ROUNDDOWN($H206,0))*(INDEX(avoidedcosttbl2,ROUNDUP($H206,0),CI$2)-INDEX(avoidedcosttbl2,ROUNDDOWN($H206,0),CI$2))))*'Inputs Yr 2'!AS206))),"")</f>
        <v/>
      </c>
      <c r="CJ206" s="504" t="str">
        <f>IFERROR($G206*'Inputs Yr 2'!AT206*'Inputs Yr 2'!$P206*'Inputs Yr 2'!$Q206/((1+realdiscrt1)^-0.5),"")</f>
        <v/>
      </c>
      <c r="CK206" s="79" t="str">
        <f>IFERROR((O206*1000*(((INDEX(avoidedcosttbl2,$H206,CK$2)+(($H206-ROUNDDOWN($H206,0))*(INDEX(avoidedcosttbl2,ROUNDUP($H206,0),CK$2)-INDEX(avoidedcosttbl2,ROUNDDOWN($H206,0),CK$2))))*'Inputs Yr 2'!AU206))),"")</f>
        <v/>
      </c>
      <c r="CL206" s="504" t="str">
        <f>IFERROR(O206*1000*'Inputs Yr 2'!AV206/((1+realdiscrt1)^-0.5),"")</f>
        <v/>
      </c>
      <c r="CM206" s="79">
        <f>IFERROR((AB206*'Inputs Yr 2'!AW206*(((INDEX(avoidedcosttbl2,$H206,CM$2)+(($H206-ROUNDDOWN($H206,0))*(INDEX(avoidedcosttbl2,ROUNDUP($H206,0),CM$2)-INDEX(avoidedcosttbl2,ROUNDDOWN($H206,0),CM$2)))))))*10,"")</f>
        <v>0</v>
      </c>
      <c r="CN206" s="504">
        <f>IFERROR(10*AB206*'Inputs Yr 2'!AX206/((1+realdiscrt1)^-0.5),"")</f>
        <v>0</v>
      </c>
      <c r="CO206" s="505">
        <f t="shared" si="135"/>
        <v>0</v>
      </c>
      <c r="CP206" s="230">
        <f t="shared" si="136"/>
        <v>0</v>
      </c>
      <c r="CQ206" s="199">
        <f>ROUND(IFERROR(IF(LEFT($A206,1)="C",'Avoided Costs'!$K$13,'Avoided Costs'!$K$12)+1,""),4)</f>
        <v>1.0720000000000001</v>
      </c>
      <c r="CR206" s="199">
        <f>ROUND(IFERROR(IF(LEFT($A206,1)="C",'Avoided Costs'!$L$13,'Avoided Costs'!$L$12)+1,""),4)</f>
        <v>1.04</v>
      </c>
      <c r="CS206" s="199">
        <f>ROUND(IFERROR(IF(LEFT($A206,1)="C",'Avoided Costs'!$M$13,'Avoided Costs'!$M$12)+1,""),4)</f>
        <v>1.0720000000000001</v>
      </c>
      <c r="CT206" s="199">
        <f>ROUND(IFERROR(IF(LEFT($A206,1)="C",'Avoided Costs'!$N$13,'Avoided Costs'!$N$12)+1,""),4)</f>
        <v>1.04</v>
      </c>
      <c r="CU206" s="199">
        <f>ROUND(IFERROR(IF(LEFT($A206,1)="C",'Avoided Costs'!$O$13,'Avoided Costs'!$O$12)+1,""),4)</f>
        <v>1.1120000000000001</v>
      </c>
      <c r="CV206" s="199">
        <f>ROUND(IFERROR(IF(LEFT($A206,1)="C",'Avoided Costs'!$P$13,'Avoided Costs'!$P$12)+1,""),4)</f>
        <v>1.095</v>
      </c>
      <c r="CW206" s="199">
        <f>ROUND(IFERROR(IF(LEFT($A206,1)="C",'Avoided Costs'!$Q$13,'Avoided Costs'!$Q$12)+1,""),4)</f>
        <v>1.1120000000000001</v>
      </c>
      <c r="CX206" s="200">
        <f>ROUND(IFERROR(IF(LEFT($A206,1)="C",'Avoided Costs'!$R$13,'Avoided Costs'!$R$12)+1,""),4)</f>
        <v>1.1120000000000001</v>
      </c>
    </row>
    <row r="207" spans="1:102" ht="12.75" customHeight="1">
      <c r="A207" s="91" t="str">
        <f>IF('Inputs Yr 2'!$B207=0,"",'Inputs Yr 2'!A207)</f>
        <v>C - Commercial &amp; Industrial</v>
      </c>
      <c r="B207" s="91" t="str">
        <f>IF('Inputs Yr 2'!$B207=0,"",'Inputs Yr 2'!B207)</f>
        <v>C1 - C&amp;I New Construction</v>
      </c>
      <c r="C207" s="91" t="str">
        <f>IF('Inputs Yr 2'!$B207=0,"",'Inputs Yr 2'!C207)</f>
        <v xml:space="preserve">C1b - C&amp;I Initial Purchase &amp; End of Useful Life </v>
      </c>
      <c r="D207" s="91" t="str">
        <f>IF('Inputs Yr 2'!$B207=0,"",'Inputs Yr 2'!E207)</f>
        <v>Hot Water - Prescriptive</v>
      </c>
      <c r="E207" s="93" t="str">
        <f>IF('Inputs Yr 2'!$B207=0,"",'Inputs Yr 2'!F207)</f>
        <v>G16C1b07</v>
      </c>
      <c r="F207" s="93" t="str">
        <f>IF('Inputs Yr 2'!$B207=0,"",'Inputs Yr 2'!G207)</f>
        <v>Hot Water</v>
      </c>
      <c r="G207" s="95" t="str">
        <f>IF('Inputs Yr 2'!$H207&lt;&gt;0,('Inputs Yr 2'!H207),"")</f>
        <v/>
      </c>
      <c r="H207" s="94">
        <f>IFERROR('Inputs Yr 2'!I207,"")</f>
        <v>15</v>
      </c>
      <c r="I207" s="298" t="str">
        <f>IFERROR('Inputs Yr 2'!J207*'Inputs Yr 2'!P207*G207,"")</f>
        <v/>
      </c>
      <c r="J207" s="298" t="str">
        <f>IFERROR('Inputs Yr 2'!K207*G207,"")</f>
        <v/>
      </c>
      <c r="K207" s="298" t="str">
        <f t="shared" si="113"/>
        <v/>
      </c>
      <c r="L207" s="194" t="str">
        <f>IFERROR(('Inputs Yr 2'!W207*G207)/1000,"")</f>
        <v/>
      </c>
      <c r="M207" s="194" t="str">
        <f>IFERROR(L207*('Inputs Yr 2'!$Q207*'Inputs Yr 2'!$V207*'Inputs Yr 2'!$R207),"")</f>
        <v/>
      </c>
      <c r="N207" s="194" t="str">
        <f t="shared" si="114"/>
        <v/>
      </c>
      <c r="O207" s="194" t="str">
        <f>IFERROR(M207*'Inputs Yr 2'!P207,"")</f>
        <v/>
      </c>
      <c r="P207" s="194" t="str">
        <f t="shared" si="115"/>
        <v/>
      </c>
      <c r="Q207" s="194" t="str">
        <f>IFERROR($P207*'Inputs Yr 2'!AA207,"")</f>
        <v/>
      </c>
      <c r="R207" s="194" t="str">
        <f>IFERROR($P207*'Inputs Yr 2'!AB207,"")</f>
        <v/>
      </c>
      <c r="S207" s="194" t="str">
        <f>IFERROR($P207*'Inputs Yr 2'!AC207,"")</f>
        <v/>
      </c>
      <c r="T207" s="194" t="str">
        <f>IFERROR($P207*'Inputs Yr 2'!AD207,"")</f>
        <v/>
      </c>
      <c r="U207" s="194" t="str">
        <f>IFERROR(G207*'Inputs Yr 2'!$AE207*'Inputs Yr 2'!$P207*'Inputs Yr 2'!$Q207,"")</f>
        <v/>
      </c>
      <c r="V207" s="194" t="str">
        <f>IFERROR($G207*'Inputs Yr 2'!$AE207*'Inputs Yr 2'!$AG207*'Inputs Yr 2'!Q207*'Inputs Yr 2'!$S207,"")</f>
        <v/>
      </c>
      <c r="W207" s="194" t="str">
        <f>IFERROR($G207*'Inputs Yr 2'!$AE207*'Inputs Yr 2'!$AG207*'Inputs Yr 2'!P207*'Inputs Yr 2'!Q207*'Inputs Yr 2'!$S207,"")</f>
        <v/>
      </c>
      <c r="X207" s="194" t="str">
        <f>IFERROR($G207*'Inputs Yr 2'!$AE207*'Inputs Yr 2'!$AF207*'Inputs Yr 2'!Q207*'Inputs Yr 2'!$T207,"")</f>
        <v/>
      </c>
      <c r="Y207" s="194" t="str">
        <f>IFERROR($G207*'Inputs Yr 2'!$AE207*'Inputs Yr 2'!$AF207*'Inputs Yr 2'!P207*'Inputs Yr 2'!Q207*'Inputs Yr 2'!$T207,"")</f>
        <v/>
      </c>
      <c r="Z207" s="257">
        <f>IFERROR($G207*'Inputs Yr 2'!$Q207*'Inputs Yr 2'!$U207*(IF(IFERROR(SEARCH("NG", 'Inputs Yr 2'!$AJ207),0),'Inputs Yr 2'!$AK207,0)+IF(IFERROR(SEARCH("NG", 'Inputs Yr 2'!$AL207),0),'Inputs Yr 2'!$AM207,0)+IF(IFERROR(SEARCH("NG", 'Inputs Yr 2'!$AN207),0),'Inputs Yr 2'!$AO207,0)),0)</f>
        <v>0</v>
      </c>
      <c r="AA207" s="257">
        <f t="shared" si="116"/>
        <v>0</v>
      </c>
      <c r="AB207" s="257">
        <f>IFERROR(Z207*'Inputs Yr 2'!$P207,0)</f>
        <v>0</v>
      </c>
      <c r="AC207" s="257">
        <f t="shared" si="117"/>
        <v>0</v>
      </c>
      <c r="AD207" s="257">
        <f>IFERROR($G207*'Inputs Yr 2'!$Q207*'Inputs Yr 2'!$U207*(IF(IFERROR(SEARCH("Oil", 'Inputs Yr 2'!$AJ207), 0),'Inputs Yr 2'!$AK207,0)+IF(IFERROR(SEARCH("Oil", 'Inputs Yr 2'!$AL207), 0),'Inputs Yr 2'!$AM207,0)+IF(IFERROR(SEARCH("Oil", 'Inputs Yr 2'!$AN207), 0),'Inputs Yr 2'!$AO207,0)),0)</f>
        <v>0</v>
      </c>
      <c r="AE207" s="257">
        <f t="shared" si="118"/>
        <v>0</v>
      </c>
      <c r="AF207" s="257">
        <f>IFERROR(AD207*'Inputs Yr 2'!$P207,0)</f>
        <v>0</v>
      </c>
      <c r="AG207" s="257">
        <f t="shared" si="119"/>
        <v>0</v>
      </c>
      <c r="AH207" s="257">
        <f>IFERROR($G207*'Inputs Yr 2'!$Q207*'Inputs Yr 2'!$U207*(IF('Inputs Yr 2'!$AJ207=CD$4,'Inputs Yr 2'!$AK207,IF('Inputs Yr 2'!$AL207=CD$4,'Inputs Yr 2'!$AM207,IF('Inputs Yr 2'!$AN207=CD$4,'Inputs Yr 2'!$AO207,0)))),0)</f>
        <v>0</v>
      </c>
      <c r="AI207" s="257">
        <f t="shared" si="120"/>
        <v>0</v>
      </c>
      <c r="AJ207" s="257">
        <f>IFERROR(AH207*'Inputs Yr 2'!$P207,0)</f>
        <v>0</v>
      </c>
      <c r="AK207" s="257">
        <f t="shared" si="121"/>
        <v>0</v>
      </c>
      <c r="AL207" s="258">
        <f>IFERROR($G207*'Inputs Yr 2'!$P207*'Inputs Yr 2'!$Q207*'Inputs Yr 2'!AP207,0)</f>
        <v>0</v>
      </c>
      <c r="AM207" s="260">
        <f>IFERROR($G207*'Inputs Yr 2'!$P207*'Inputs Yr 2'!$Q207*'Inputs Yr 2'!AQ207,0)</f>
        <v>0</v>
      </c>
      <c r="AN207" s="258">
        <f>IFERROR($G207*'Inputs Yr 2'!$P207*'Inputs Yr 2'!$Q207*'Inputs Yr 2'!AR207,0)</f>
        <v>0</v>
      </c>
      <c r="AO207" s="257">
        <f t="shared" si="122"/>
        <v>0</v>
      </c>
      <c r="AP207" s="195" t="str">
        <f>IFERROR($CQ207*(INDEX(avoidedcosttbl2,$H207,AP$2)+(($H207-ROUNDDOWN($H207,0))*(INDEX(avoidedcosttbl2,ROUNDUP($H207,0),AP$2)-(INDEX(avoidedcosttbl2,ROUNDDOWN($H207,0),AP$2)))))*$O207*1000*'Inputs Yr 2'!AA207,"")</f>
        <v/>
      </c>
      <c r="AQ207" s="195" t="str">
        <f>IFERROR($CR207*(INDEX(avoidedcosttbl2,$H207,AQ$2)+(($H207-ROUNDDOWN($H207,0))*(INDEX(avoidedcosttbl2,ROUNDUP($H207,0),AQ$2)-(INDEX(avoidedcosttbl2,ROUNDDOWN($H207,0),AQ$2)))))*$O207*1000*'Inputs Yr 2'!AB207,"")</f>
        <v/>
      </c>
      <c r="AR207" s="195" t="str">
        <f>IFERROR($CS207*(INDEX(avoidedcosttbl2,$H207,AR$2)+(($H207-ROUNDDOWN($H207,0))*(INDEX(avoidedcosttbl2,ROUNDUP($H207,0),AR$2)-(INDEX(avoidedcosttbl2,ROUNDDOWN($H207,0),AR$2)))))*$O207*1000*'Inputs Yr 2'!AC207,"")</f>
        <v/>
      </c>
      <c r="AS207" s="195" t="str">
        <f>IFERROR($CT207*(INDEX(avoidedcosttbl2,$H207,AS$2)+(($H207-ROUNDDOWN($H207,0))*(INDEX(avoidedcosttbl2,ROUNDUP($H207,0),AS$2)-(INDEX(avoidedcosttbl2,ROUNDDOWN($H207,0),AS$2)))))*$O207*1000*'Inputs Yr 2'!AD207,"")</f>
        <v/>
      </c>
      <c r="AT207" s="196">
        <f t="shared" si="123"/>
        <v>0</v>
      </c>
      <c r="AU207" s="197" t="str">
        <f>IFERROR($CQ207*((INDEX(avoidedcosttbl2,$H207,AU$2))+(($H207-ROUNDDOWN($H207,0))*((INDEX(avoidedcosttbl2,ROUNDUP($H207,0),AU$2))-(INDEX(avoidedcosttbl2,ROUNDDOWN($H207,0),AU$2)))))*$O207*1000*'Inputs Yr 2'!AA207,"")</f>
        <v/>
      </c>
      <c r="AV207" s="197" t="str">
        <f>IFERROR($CR207*((INDEX(avoidedcosttbl2,$H207,AV$2))+(($H207-ROUNDDOWN($H207,0))*((INDEX(avoidedcosttbl2,ROUNDUP($H207,0),AV$2))-(INDEX(avoidedcosttbl2,ROUNDDOWN($H207,0),AV$2)))))*$O207*1000*'Inputs Yr 2'!AB207,"")</f>
        <v/>
      </c>
      <c r="AW207" s="197" t="str">
        <f>IFERROR($CS207*((INDEX(avoidedcosttbl2,$H207,AW$2))+(($H207-ROUNDDOWN($H207,0))*((INDEX(avoidedcosttbl2,ROUNDUP($H207,0),AW$2))-(INDEX(avoidedcosttbl2,ROUNDDOWN($H207,0),AW$2)))))*$O207*1000*'Inputs Yr 2'!AC207,"")</f>
        <v/>
      </c>
      <c r="AX207" s="197" t="str">
        <f>IFERROR($CT207*((INDEX(avoidedcosttbl2,$H207,AX$2))+(($H207-ROUNDDOWN($H207,0))*((INDEX(avoidedcosttbl2,ROUNDUP($H207,0),AX$2))-(INDEX(avoidedcosttbl2,ROUNDDOWN($H207,0),AX$2)))))*$O207*1000*'Inputs Yr 2'!AD207,"")</f>
        <v/>
      </c>
      <c r="AY207" s="197" t="str">
        <f>IFERROR(((INDEX(avoidedcosttbl2,$H207,AY$2))+(($H207-ROUNDDOWN($H207,0))*((INDEX(avoidedcosttbl2,ROUNDUP($H207,0),AY$2))-(INDEX(avoidedcosttbl2,ROUNDDOWN($H207,0),AY$2)))))*$O207*1000*('Inputs Yr 2'!AC207+'Inputs Yr 2'!AD207),"")</f>
        <v/>
      </c>
      <c r="AZ207" s="197" t="str">
        <f>IFERROR(((INDEX(avoidedcosttbl2,$H207,AZ$2))+(($H207-ROUNDDOWN($H207,0))*((INDEX(avoidedcosttbl2,ROUNDUP($H207,0),AZ$2))-(INDEX(avoidedcosttbl2,ROUNDDOWN($H207,0),AZ$2)))))*$O207*1000*('Inputs Yr 2'!AA207+'Inputs Yr 2'!AB207),"")</f>
        <v/>
      </c>
      <c r="BA207" s="198">
        <f t="shared" si="124"/>
        <v>0</v>
      </c>
      <c r="BB207" s="198">
        <f t="shared" si="125"/>
        <v>0</v>
      </c>
      <c r="BC207" s="195" t="str">
        <f t="shared" si="107"/>
        <v/>
      </c>
      <c r="BD207" s="195" t="str">
        <f t="shared" si="108"/>
        <v/>
      </c>
      <c r="BE207" s="195" t="str">
        <f t="shared" si="109"/>
        <v/>
      </c>
      <c r="BF207" s="195" t="str">
        <f t="shared" si="110"/>
        <v/>
      </c>
      <c r="BG207" s="195" t="str">
        <f t="shared" si="111"/>
        <v/>
      </c>
      <c r="BH207" s="196">
        <f t="shared" si="126"/>
        <v>0</v>
      </c>
      <c r="BI207" s="196">
        <f t="shared" si="127"/>
        <v>0</v>
      </c>
      <c r="BJ207" s="195" t="str">
        <f>IFERROR($G207*(IF('Inputs Yr 2'!$AJ207=BJ$4,'Inputs Yr 2'!$AK207,IF('Inputs Yr 2'!$AL207=BJ$4,'Inputs Yr 2'!$AM207,IF('Inputs Yr 2'!$AN207=BJ$4,'Inputs Yr 2'!$AO207,0))))*(INDEX(avoidedcosttbl2,$H207,BJ$2)+(($H207-ROUNDDOWN($H207,0))*(INDEX(avoidedcosttbl2,ROUNDUP($H207,0),BJ$2)-(INDEX(avoidedcosttbl2,ROUNDDOWN($H207,0),BJ$2)))))*'Inputs Yr 2'!P207*'Inputs Yr 2'!Q207*'Inputs Yr 2'!U207,"")</f>
        <v/>
      </c>
      <c r="BK207" s="195" t="str">
        <f>IFERROR($G207*(IF('Inputs Yr 2'!$AJ207=BK$4,'Inputs Yr 2'!$AK207,IF('Inputs Yr 2'!$AL207=BK$4,'Inputs Yr 2'!$AM207,IF('Inputs Yr 2'!$AN207=BK$4,'Inputs Yr 2'!$AO207,0))))*(INDEX(avoidedcosttbl2,$H207,BK$2)+(($H207-ROUNDDOWN($H207,0))*(INDEX(avoidedcosttbl2,ROUNDUP($H207,0),BK$2)-(INDEX(avoidedcosttbl2,ROUNDDOWN($H207,0),BK$2)))))*'Inputs Yr 2'!P207*'Inputs Yr 2'!Q207*'Inputs Yr 2'!U207,"")</f>
        <v/>
      </c>
      <c r="BL207" s="195" t="str">
        <f>IFERROR($G207*(IF('Inputs Yr 2'!$AJ207=BL$4,'Inputs Yr 2'!$AK207,IF('Inputs Yr 2'!$AL207=BL$4,'Inputs Yr 2'!$AM207,IF('Inputs Yr 2'!$AN207=BL$4,'Inputs Yr 2'!$AO207,0))))*(INDEX(avoidedcosttbl2,$H207,BL$2)+(($H207-ROUNDDOWN($H207,0))*(INDEX(avoidedcosttbl2,ROUNDUP($H207,0),BL$2)-(INDEX(avoidedcosttbl2,ROUNDDOWN($H207,0),BL$2)))))*'Inputs Yr 2'!P207*'Inputs Yr 2'!Q207*'Inputs Yr 2'!U207,"")</f>
        <v/>
      </c>
      <c r="BM207" s="195" t="str">
        <f>IFERROR($G207*(IF('Inputs Yr 2'!$AJ207=BM$4,'Inputs Yr 2'!$AK207,IF('Inputs Yr 2'!$AL207=BM$4,'Inputs Yr 2'!$AM207,IF('Inputs Yr 2'!$AN207=BM$4,'Inputs Yr 2'!$AO207,0))))*(INDEX(avoidedcosttbl2,$H207,BM$2)+(($H207-ROUNDDOWN($H207,0))*(INDEX(avoidedcosttbl2,ROUNDUP($H207,0),BM$2)-(INDEX(avoidedcosttbl2,ROUNDDOWN($H207,0),BM$2)))))*'Inputs Yr 2'!P207*'Inputs Yr 2'!Q207*'Inputs Yr 2'!U207,"")</f>
        <v/>
      </c>
      <c r="BN207" s="195" t="str">
        <f>IFERROR($G207*(IF('Inputs Yr 2'!$AJ207=BN$4,'Inputs Yr 2'!$AK207,IF('Inputs Yr 2'!$AL207=BN$4,'Inputs Yr 2'!$AM207,IF('Inputs Yr 2'!$AN207=BN$4,'Inputs Yr 2'!$AO207,0))))*(INDEX(avoidedcosttbl2,$H207,BN$2)+(($H207-ROUNDDOWN($H207,0))*(INDEX(avoidedcosttbl2,ROUNDUP($H207,0),BN$2)-(INDEX(avoidedcosttbl2,ROUNDDOWN($H207,0),BN$2)))))*'Inputs Yr 2'!P207*'Inputs Yr 2'!Q207*'Inputs Yr 2'!U207,"")</f>
        <v/>
      </c>
      <c r="BO207" s="195" t="str">
        <f>IFERROR($G207*(IF('Inputs Yr 2'!$AJ207=BO$4,'Inputs Yr 2'!$AK207,IF('Inputs Yr 2'!$AL207=BO$4,'Inputs Yr 2'!$AM207,IF('Inputs Yr 2'!$AN207=BO$4,'Inputs Yr 2'!$AO207,0))))*(INDEX(avoidedcosttbl2,$H207,BO$2)+(($H207-ROUNDDOWN($H207,0))*(INDEX(avoidedcosttbl2,ROUNDUP($H207,0),BO$2)-(INDEX(avoidedcosttbl2,ROUNDDOWN($H207,0),BO$2)))))*'Inputs Yr 2'!P207*'Inputs Yr 2'!Q207*'Inputs Yr 2'!U207,"")</f>
        <v/>
      </c>
      <c r="BP207" s="195" t="str">
        <f>IFERROR($G207*(IF('Inputs Yr 2'!$AJ207=BP$4,'Inputs Yr 2'!$AK207,IF('Inputs Yr 2'!$AL207=BP$4,'Inputs Yr 2'!$AM207,IF('Inputs Yr 2'!$AN207=BP$4,'Inputs Yr 2'!$AO207,0))))*(INDEX(avoidedcosttbl2,$H207,BP$2)+(($H207-ROUNDDOWN($H207,0))*(INDEX(avoidedcosttbl2,ROUNDUP($H207,0),BP$2)-(INDEX(avoidedcosttbl2,ROUNDDOWN($H207,0),BP$2)))))*'Inputs Yr 2'!P207*'Inputs Yr 2'!Q207*'Inputs Yr 2'!U207,"")</f>
        <v/>
      </c>
      <c r="BQ207" s="230">
        <f t="shared" si="128"/>
        <v>0</v>
      </c>
      <c r="BR207" s="197">
        <f t="shared" si="112"/>
        <v>0</v>
      </c>
      <c r="BS207" s="197" t="str">
        <f>IFERROR(($G207*IF('Inputs Yr 2'!$AJ207=BM$4,'Inputs Yr 2'!$AK207,IF('Inputs Yr 2'!$AL207=BM$4,'Inputs Yr 2'!$AM207,IF('Inputs Yr 2'!$AN207=BM$4,'Inputs Yr 2'!$AO207,0))))*(INDEX(avoidedcosttbl2,$H207,BS$2)+(($H207-ROUNDDOWN($H207,0))*(INDEX(avoidedcosttbl2,ROUNDUP($H207,0),BS$2)-(INDEX(avoidedcosttbl2,ROUNDDOWN($H207,0),BS$2)))))*'Inputs Yr 2'!P207*'Inputs Yr 2'!Q207*'Inputs Yr 2'!U207,"")</f>
        <v/>
      </c>
      <c r="BT207" s="197" t="str">
        <f>IFERROR(($G207*IF('Inputs Yr 2'!$AJ207=BK$4,'Inputs Yr 2'!$AK207,IF('Inputs Yr 2'!$AL207=BK$4,'Inputs Yr 2'!$AM207,IF('Inputs Yr 2'!$AN207=BK$4,'Inputs Yr 2'!$AO207,0))))*(INDEX(avoidedcosttbl2,$H207,BT$2)+(($H207-ROUNDDOWN($H207,0))*(INDEX(avoidedcosttbl2,ROUNDUP($H207,0),BT$2)-(INDEX(avoidedcosttbl2,ROUNDDOWN($H207,0),BT$2)))))*'Inputs Yr 2'!P207*'Inputs Yr 2'!Q207*'Inputs Yr 2'!U207,"")</f>
        <v/>
      </c>
      <c r="BU207" s="197" t="str">
        <f>IFERROR(($G207*IF('Inputs Yr 2'!$AJ207=BL$4,'Inputs Yr 2'!$AK207,IF('Inputs Yr 2'!$AL207=BL$4,'Inputs Yr 2'!$AM207,IF('Inputs Yr 2'!$AN207=BL$4,'Inputs Yr 2'!$AO207,0))))*(INDEX(avoidedcosttbl2,$H207,BU$2)+(($H207-ROUNDDOWN($H207,0))*(INDEX(avoidedcosttbl2,ROUNDUP($H207,0),BU$2)-(INDEX(avoidedcosttbl2,ROUNDDOWN($H207,0),BU$2)))))*'Inputs Yr 2'!P207*'Inputs Yr 2'!Q207*'Inputs Yr 2'!U207,"")</f>
        <v/>
      </c>
      <c r="BV207" s="775" t="str">
        <f>IFERROR(($G207*IF('Inputs Yr 2'!$AJ207=BJ$4,'Inputs Yr 2'!$AK207,IF('Inputs Yr 2'!$AL207=BJ$4,'Inputs Yr 2'!$AM207,IF('Inputs Yr 2'!$AN207=BJ$4,'Inputs Yr 2'!$AO207,0))))*(INDEX(avoidedcosttbl2,$H207,BV$2)+(($H207-ROUNDDOWN($H207,0))*(INDEX(avoidedcosttbl2,ROUNDUP($H207,0),BV$2)-(INDEX(avoidedcosttbl2,ROUNDDOWN($H207,0),BV$2)))))*'Inputs Yr 2'!P207*'Inputs Yr 2'!Q207*'Inputs Yr 2'!U207,"")</f>
        <v/>
      </c>
      <c r="BW207" s="197" t="str">
        <f>IFERROR(($G207*IF('Inputs Yr 2'!$AJ207=BN$4,'Inputs Yr 2'!$AK207,IF('Inputs Yr 2'!$AL207=BN$4,'Inputs Yr 2'!$AM207,IF('Inputs Yr 2'!$AN207=BN$4,'Inputs Yr 2'!$AO207,0))))*(INDEX(avoidedcosttbl2,$H207,BW$2)+(($H207-ROUNDDOWN($H207,0))*(INDEX(avoidedcosttbl2,ROUNDUP($H207,0),BW$2)-(INDEX(avoidedcosttbl2,ROUNDDOWN($H207,0),BW$2)))))*'Inputs Yr 2'!P207*'Inputs Yr 2'!Q207*'Inputs Yr 2'!U207,"")</f>
        <v/>
      </c>
      <c r="BX207" s="197" t="str">
        <f>IFERROR(($G207*IF('Inputs Yr 2'!$AJ207=BO$4,'Inputs Yr 2'!$AK207,IF('Inputs Yr 2'!$AL207=BO$4,'Inputs Yr 2'!$AM207,IF('Inputs Yr 2'!$AN207=BO$4,'Inputs Yr 2'!$AO207,0))))*(INDEX(avoidedcosttbl2,$H207,BX$2)+(($H207-ROUNDDOWN($H207,0))*(INDEX(avoidedcosttbl2,ROUNDUP($H207,0),BX$2)-(INDEX(avoidedcosttbl2,ROUNDDOWN($H207,0),BX$2)))))*'Inputs Yr 2'!P207*'Inputs Yr 2'!Q207*'Inputs Yr 2'!U207,"")</f>
        <v/>
      </c>
      <c r="BY207" s="197" t="str">
        <f>IFERROR(($G207*IF('Inputs Yr 2'!$AJ207=BP$4,'Inputs Yr 2'!$AK207,IF('Inputs Yr 2'!$AL207=BP$4,'Inputs Yr 2'!$AM207,IF('Inputs Yr 2'!$AN207=BP$4,'Inputs Yr 2'!$AO207,0))))*(INDEX(avoidedcosttbl2,$H207,BY$2)+(($H207-ROUNDDOWN($H207,0))*(INDEX(avoidedcosttbl2,ROUNDUP($H207,0),BY$2)-(INDEX(avoidedcosttbl2,ROUNDDOWN($H207,0),BY$2)))))*'Inputs Yr 2'!P207*'Inputs Yr 2'!Q207*'Inputs Yr 2'!U207,"")</f>
        <v/>
      </c>
      <c r="BZ207" s="193">
        <f t="shared" si="129"/>
        <v>0</v>
      </c>
      <c r="CA207" s="193">
        <f t="shared" si="130"/>
        <v>0</v>
      </c>
      <c r="CB207" s="195" t="str">
        <f>IFERROR(G207*(IF('Inputs Yr 2'!$AJ207=CB$4,'Inputs Yr 2'!$AK207,IF('Inputs Yr 2'!$AL207=CB$4,'Inputs Yr 2'!$AM207,IF('Inputs Yr 2'!$AN207=CB$4,'Inputs Yr 2'!$AO207,0))))*(INDEX(avoidedcosttbl2,$H207,CB$2)+(($H207-ROUNDDOWN($H207,0))*(INDEX(avoidedcosttbl2,ROUNDUP($H207,0),CB$2)-(INDEX(avoidedcosttbl2,ROUNDDOWN($H207,0),CB$2)))))*'Inputs Yr 2'!P207*'Inputs Yr 2'!Q207*'Inputs Yr 2'!U207,"")</f>
        <v/>
      </c>
      <c r="CC207" s="195">
        <f>IFERROR(H207*(IF('Inputs Yr 2'!$AJ207=CC$4,'Inputs Yr 2'!$AK207,IF('Inputs Yr 2'!$AL207=CC$4,'Inputs Yr 2'!$AM207,IF('Inputs Yr 2'!$AN207=CC$4,'Inputs Yr 2'!$AO207,0))))*(INDEX(avoidedcosttbl2,$H207,CC$2)+(($H207-ROUNDDOWN($H207,0))*(INDEX(avoidedcosttbl2,ROUNDUP($H207,0),CC$2)-(INDEX(avoidedcosttbl2,ROUNDDOWN($H207,0),CC$2)))))*'Inputs Yr 2'!Q207*'Inputs Yr 2'!R207*'Inputs Yr 2'!V207,"")</f>
        <v>0</v>
      </c>
      <c r="CD207" s="195" t="str">
        <f>IFERROR(I207*(IF('Inputs Yr 2'!$AJ207=CD$4,'Inputs Yr 2'!$AK207,IF('Inputs Yr 2'!$AL207=CD$4,'Inputs Yr 2'!$AM207,IF('Inputs Yr 2'!$AN207=CD$4,'Inputs Yr 2'!$AO207,0))))*(INDEX(avoidedcosttbl2,$H207,CD$2)+(($H207-ROUNDDOWN($H207,0))*(INDEX(avoidedcosttbl2,ROUNDUP($H207,0),CD$2)-(INDEX(avoidedcosttbl2,ROUNDDOWN($H207,0),CD$2)))))*'Inputs Yr 2'!R207*'Inputs Yr 2'!S207*'Inputs Yr 2'!W207,"")</f>
        <v/>
      </c>
      <c r="CE207" s="213">
        <f t="shared" si="131"/>
        <v>0</v>
      </c>
      <c r="CF207" s="213">
        <f t="shared" si="132"/>
        <v>0</v>
      </c>
      <c r="CG207" s="213">
        <f t="shared" si="133"/>
        <v>0</v>
      </c>
      <c r="CH207" s="698">
        <f t="shared" si="134"/>
        <v>0</v>
      </c>
      <c r="CI207" s="79" t="str">
        <f>IFERROR(($G207*'Inputs Yr 2'!$P207*'Inputs Yr 2'!$Q207*(((INDEX(avoidedcosttbl2,$H207,CI$2)+(($H207-ROUNDDOWN($H207,0))*(INDEX(avoidedcosttbl2,ROUNDUP($H207,0),CI$2)-INDEX(avoidedcosttbl2,ROUNDDOWN($H207,0),CI$2))))*'Inputs Yr 2'!AS207))),"")</f>
        <v/>
      </c>
      <c r="CJ207" s="504" t="str">
        <f>IFERROR($G207*'Inputs Yr 2'!AT207*'Inputs Yr 2'!$P207*'Inputs Yr 2'!$Q207/((1+realdiscrt1)^-0.5),"")</f>
        <v/>
      </c>
      <c r="CK207" s="79" t="str">
        <f>IFERROR((O207*1000*(((INDEX(avoidedcosttbl2,$H207,CK$2)+(($H207-ROUNDDOWN($H207,0))*(INDEX(avoidedcosttbl2,ROUNDUP($H207,0),CK$2)-INDEX(avoidedcosttbl2,ROUNDDOWN($H207,0),CK$2))))*'Inputs Yr 2'!AU207))),"")</f>
        <v/>
      </c>
      <c r="CL207" s="504" t="str">
        <f>IFERROR(O207*1000*'Inputs Yr 2'!AV207/((1+realdiscrt1)^-0.5),"")</f>
        <v/>
      </c>
      <c r="CM207" s="79">
        <f>IFERROR((AB207*'Inputs Yr 2'!AW207*(((INDEX(avoidedcosttbl2,$H207,CM$2)+(($H207-ROUNDDOWN($H207,0))*(INDEX(avoidedcosttbl2,ROUNDUP($H207,0),CM$2)-INDEX(avoidedcosttbl2,ROUNDDOWN($H207,0),CM$2)))))))*10,"")</f>
        <v>0</v>
      </c>
      <c r="CN207" s="504">
        <f>IFERROR(10*AB207*'Inputs Yr 2'!AX207/((1+realdiscrt1)^-0.5),"")</f>
        <v>0</v>
      </c>
      <c r="CO207" s="505">
        <f t="shared" si="135"/>
        <v>0</v>
      </c>
      <c r="CP207" s="230">
        <f t="shared" si="136"/>
        <v>0</v>
      </c>
      <c r="CQ207" s="199">
        <f>ROUND(IFERROR(IF(LEFT($A207,1)="C",'Avoided Costs'!$K$13,'Avoided Costs'!$K$12)+1,""),4)</f>
        <v>1.0720000000000001</v>
      </c>
      <c r="CR207" s="199">
        <f>ROUND(IFERROR(IF(LEFT($A207,1)="C",'Avoided Costs'!$L$13,'Avoided Costs'!$L$12)+1,""),4)</f>
        <v>1.04</v>
      </c>
      <c r="CS207" s="199">
        <f>ROUND(IFERROR(IF(LEFT($A207,1)="C",'Avoided Costs'!$M$13,'Avoided Costs'!$M$12)+1,""),4)</f>
        <v>1.0720000000000001</v>
      </c>
      <c r="CT207" s="199">
        <f>ROUND(IFERROR(IF(LEFT($A207,1)="C",'Avoided Costs'!$N$13,'Avoided Costs'!$N$12)+1,""),4)</f>
        <v>1.04</v>
      </c>
      <c r="CU207" s="199">
        <f>ROUND(IFERROR(IF(LEFT($A207,1)="C",'Avoided Costs'!$O$13,'Avoided Costs'!$O$12)+1,""),4)</f>
        <v>1.1120000000000001</v>
      </c>
      <c r="CV207" s="199">
        <f>ROUND(IFERROR(IF(LEFT($A207,1)="C",'Avoided Costs'!$P$13,'Avoided Costs'!$P$12)+1,""),4)</f>
        <v>1.095</v>
      </c>
      <c r="CW207" s="199">
        <f>ROUND(IFERROR(IF(LEFT($A207,1)="C",'Avoided Costs'!$Q$13,'Avoided Costs'!$Q$12)+1,""),4)</f>
        <v>1.1120000000000001</v>
      </c>
      <c r="CX207" s="200">
        <f>ROUND(IFERROR(IF(LEFT($A207,1)="C",'Avoided Costs'!$R$13,'Avoided Costs'!$R$12)+1,""),4)</f>
        <v>1.1120000000000001</v>
      </c>
    </row>
    <row r="208" spans="1:102" ht="12.75" customHeight="1">
      <c r="A208" s="91" t="str">
        <f>IF('Inputs Yr 2'!$B208=0,"",'Inputs Yr 2'!A208)</f>
        <v>C - Commercial &amp; Industrial</v>
      </c>
      <c r="B208" s="91" t="str">
        <f>IF('Inputs Yr 2'!$B208=0,"",'Inputs Yr 2'!B208)</f>
        <v>C1 - C&amp;I New Construction</v>
      </c>
      <c r="C208" s="91" t="str">
        <f>IF('Inputs Yr 2'!$B208=0,"",'Inputs Yr 2'!C208)</f>
        <v xml:space="preserve">C1b - C&amp;I Initial Purchase &amp; End of Useful Life </v>
      </c>
      <c r="D208" s="91" t="str">
        <f>IF('Inputs Yr 2'!$B208=0,"",'Inputs Yr 2'!E208)</f>
        <v>HVAC - Custom</v>
      </c>
      <c r="E208" s="93" t="str">
        <f>IF('Inputs Yr 2'!$B208=0,"",'Inputs Yr 2'!F208)</f>
        <v>G16C1b08</v>
      </c>
      <c r="F208" s="93" t="str">
        <f>IF('Inputs Yr 2'!$B208=0,"",'Inputs Yr 2'!G208)</f>
        <v>HVAC</v>
      </c>
      <c r="G208" s="95" t="str">
        <f>IF('Inputs Yr 2'!$H208&lt;&gt;0,('Inputs Yr 2'!H208),"")</f>
        <v/>
      </c>
      <c r="H208" s="94">
        <f>IFERROR('Inputs Yr 2'!I208,"")</f>
        <v>0</v>
      </c>
      <c r="I208" s="298" t="str">
        <f>IFERROR('Inputs Yr 2'!J208*'Inputs Yr 2'!P208*G208,"")</f>
        <v/>
      </c>
      <c r="J208" s="298" t="str">
        <f>IFERROR('Inputs Yr 2'!K208*G208,"")</f>
        <v/>
      </c>
      <c r="K208" s="298" t="str">
        <f t="shared" si="113"/>
        <v/>
      </c>
      <c r="L208" s="194" t="str">
        <f>IFERROR(('Inputs Yr 2'!W208*G208)/1000,"")</f>
        <v/>
      </c>
      <c r="M208" s="194" t="str">
        <f>IFERROR(L208*('Inputs Yr 2'!$Q208*'Inputs Yr 2'!$V208*'Inputs Yr 2'!$R208),"")</f>
        <v/>
      </c>
      <c r="N208" s="194" t="str">
        <f t="shared" si="114"/>
        <v/>
      </c>
      <c r="O208" s="194" t="str">
        <f>IFERROR(M208*'Inputs Yr 2'!P208,"")</f>
        <v/>
      </c>
      <c r="P208" s="194" t="str">
        <f t="shared" si="115"/>
        <v/>
      </c>
      <c r="Q208" s="194" t="str">
        <f>IFERROR($P208*'Inputs Yr 2'!AA208,"")</f>
        <v/>
      </c>
      <c r="R208" s="194" t="str">
        <f>IFERROR($P208*'Inputs Yr 2'!AB208,"")</f>
        <v/>
      </c>
      <c r="S208" s="194" t="str">
        <f>IFERROR($P208*'Inputs Yr 2'!AC208,"")</f>
        <v/>
      </c>
      <c r="T208" s="194" t="str">
        <f>IFERROR($P208*'Inputs Yr 2'!AD208,"")</f>
        <v/>
      </c>
      <c r="U208" s="194" t="str">
        <f>IFERROR(G208*'Inputs Yr 2'!$AE208*'Inputs Yr 2'!$P208*'Inputs Yr 2'!$Q208,"")</f>
        <v/>
      </c>
      <c r="V208" s="194" t="str">
        <f>IFERROR($G208*'Inputs Yr 2'!$AE208*'Inputs Yr 2'!$AG208*'Inputs Yr 2'!Q208*'Inputs Yr 2'!$S208,"")</f>
        <v/>
      </c>
      <c r="W208" s="194" t="str">
        <f>IFERROR($G208*'Inputs Yr 2'!$AE208*'Inputs Yr 2'!$AG208*'Inputs Yr 2'!P208*'Inputs Yr 2'!Q208*'Inputs Yr 2'!$S208,"")</f>
        <v/>
      </c>
      <c r="X208" s="194" t="str">
        <f>IFERROR($G208*'Inputs Yr 2'!$AE208*'Inputs Yr 2'!$AF208*'Inputs Yr 2'!Q208*'Inputs Yr 2'!$T208,"")</f>
        <v/>
      </c>
      <c r="Y208" s="194" t="str">
        <f>IFERROR($G208*'Inputs Yr 2'!$AE208*'Inputs Yr 2'!$AF208*'Inputs Yr 2'!P208*'Inputs Yr 2'!Q208*'Inputs Yr 2'!$T208,"")</f>
        <v/>
      </c>
      <c r="Z208" s="257">
        <f>IFERROR($G208*'Inputs Yr 2'!$Q208*'Inputs Yr 2'!$U208*(IF(IFERROR(SEARCH("NG", 'Inputs Yr 2'!$AJ208),0),'Inputs Yr 2'!$AK208,0)+IF(IFERROR(SEARCH("NG", 'Inputs Yr 2'!$AL208),0),'Inputs Yr 2'!$AM208,0)+IF(IFERROR(SEARCH("NG", 'Inputs Yr 2'!$AN208),0),'Inputs Yr 2'!$AO208,0)),0)</f>
        <v>0</v>
      </c>
      <c r="AA208" s="257">
        <f t="shared" si="116"/>
        <v>0</v>
      </c>
      <c r="AB208" s="257">
        <f>IFERROR(Z208*'Inputs Yr 2'!$P208,0)</f>
        <v>0</v>
      </c>
      <c r="AC208" s="257">
        <f t="shared" si="117"/>
        <v>0</v>
      </c>
      <c r="AD208" s="257">
        <f>IFERROR($G208*'Inputs Yr 2'!$Q208*'Inputs Yr 2'!$U208*(IF(IFERROR(SEARCH("Oil", 'Inputs Yr 2'!$AJ208), 0),'Inputs Yr 2'!$AK208,0)+IF(IFERROR(SEARCH("Oil", 'Inputs Yr 2'!$AL208), 0),'Inputs Yr 2'!$AM208,0)+IF(IFERROR(SEARCH("Oil", 'Inputs Yr 2'!$AN208), 0),'Inputs Yr 2'!$AO208,0)),0)</f>
        <v>0</v>
      </c>
      <c r="AE208" s="257">
        <f t="shared" si="118"/>
        <v>0</v>
      </c>
      <c r="AF208" s="257">
        <f>IFERROR(AD208*'Inputs Yr 2'!$P208,0)</f>
        <v>0</v>
      </c>
      <c r="AG208" s="257">
        <f t="shared" si="119"/>
        <v>0</v>
      </c>
      <c r="AH208" s="257">
        <f>IFERROR($G208*'Inputs Yr 2'!$Q208*'Inputs Yr 2'!$U208*(IF('Inputs Yr 2'!$AJ208=CD$4,'Inputs Yr 2'!$AK208,IF('Inputs Yr 2'!$AL208=CD$4,'Inputs Yr 2'!$AM208,IF('Inputs Yr 2'!$AN208=CD$4,'Inputs Yr 2'!$AO208,0)))),0)</f>
        <v>0</v>
      </c>
      <c r="AI208" s="257">
        <f t="shared" si="120"/>
        <v>0</v>
      </c>
      <c r="AJ208" s="257">
        <f>IFERROR(AH208*'Inputs Yr 2'!$P208,0)</f>
        <v>0</v>
      </c>
      <c r="AK208" s="257">
        <f t="shared" si="121"/>
        <v>0</v>
      </c>
      <c r="AL208" s="258">
        <f>IFERROR($G208*'Inputs Yr 2'!$P208*'Inputs Yr 2'!$Q208*'Inputs Yr 2'!AP208,0)</f>
        <v>0</v>
      </c>
      <c r="AM208" s="260">
        <f>IFERROR($G208*'Inputs Yr 2'!$P208*'Inputs Yr 2'!$Q208*'Inputs Yr 2'!AQ208,0)</f>
        <v>0</v>
      </c>
      <c r="AN208" s="258">
        <f>IFERROR($G208*'Inputs Yr 2'!$P208*'Inputs Yr 2'!$Q208*'Inputs Yr 2'!AR208,0)</f>
        <v>0</v>
      </c>
      <c r="AO208" s="257">
        <f t="shared" si="122"/>
        <v>0</v>
      </c>
      <c r="AP208" s="195" t="str">
        <f>IFERROR($CQ208*(INDEX(avoidedcosttbl2,$H208,AP$2)+(($H208-ROUNDDOWN($H208,0))*(INDEX(avoidedcosttbl2,ROUNDUP($H208,0),AP$2)-(INDEX(avoidedcosttbl2,ROUNDDOWN($H208,0),AP$2)))))*$O208*1000*'Inputs Yr 2'!AA208,"")</f>
        <v/>
      </c>
      <c r="AQ208" s="195" t="str">
        <f>IFERROR($CR208*(INDEX(avoidedcosttbl2,$H208,AQ$2)+(($H208-ROUNDDOWN($H208,0))*(INDEX(avoidedcosttbl2,ROUNDUP($H208,0),AQ$2)-(INDEX(avoidedcosttbl2,ROUNDDOWN($H208,0),AQ$2)))))*$O208*1000*'Inputs Yr 2'!AB208,"")</f>
        <v/>
      </c>
      <c r="AR208" s="195" t="str">
        <f>IFERROR($CS208*(INDEX(avoidedcosttbl2,$H208,AR$2)+(($H208-ROUNDDOWN($H208,0))*(INDEX(avoidedcosttbl2,ROUNDUP($H208,0),AR$2)-(INDEX(avoidedcosttbl2,ROUNDDOWN($H208,0),AR$2)))))*$O208*1000*'Inputs Yr 2'!AC208,"")</f>
        <v/>
      </c>
      <c r="AS208" s="195" t="str">
        <f>IFERROR($CT208*(INDEX(avoidedcosttbl2,$H208,AS$2)+(($H208-ROUNDDOWN($H208,0))*(INDEX(avoidedcosttbl2,ROUNDUP($H208,0),AS$2)-(INDEX(avoidedcosttbl2,ROUNDDOWN($H208,0),AS$2)))))*$O208*1000*'Inputs Yr 2'!AD208,"")</f>
        <v/>
      </c>
      <c r="AT208" s="196">
        <f t="shared" si="123"/>
        <v>0</v>
      </c>
      <c r="AU208" s="197" t="str">
        <f>IFERROR($CQ208*((INDEX(avoidedcosttbl2,$H208,AU$2))+(($H208-ROUNDDOWN($H208,0))*((INDEX(avoidedcosttbl2,ROUNDUP($H208,0),AU$2))-(INDEX(avoidedcosttbl2,ROUNDDOWN($H208,0),AU$2)))))*$O208*1000*'Inputs Yr 2'!AA208,"")</f>
        <v/>
      </c>
      <c r="AV208" s="197" t="str">
        <f>IFERROR($CR208*((INDEX(avoidedcosttbl2,$H208,AV$2))+(($H208-ROUNDDOWN($H208,0))*((INDEX(avoidedcosttbl2,ROUNDUP($H208,0),AV$2))-(INDEX(avoidedcosttbl2,ROUNDDOWN($H208,0),AV$2)))))*$O208*1000*'Inputs Yr 2'!AB208,"")</f>
        <v/>
      </c>
      <c r="AW208" s="197" t="str">
        <f>IFERROR($CS208*((INDEX(avoidedcosttbl2,$H208,AW$2))+(($H208-ROUNDDOWN($H208,0))*((INDEX(avoidedcosttbl2,ROUNDUP($H208,0),AW$2))-(INDEX(avoidedcosttbl2,ROUNDDOWN($H208,0),AW$2)))))*$O208*1000*'Inputs Yr 2'!AC208,"")</f>
        <v/>
      </c>
      <c r="AX208" s="197" t="str">
        <f>IFERROR($CT208*((INDEX(avoidedcosttbl2,$H208,AX$2))+(($H208-ROUNDDOWN($H208,0))*((INDEX(avoidedcosttbl2,ROUNDUP($H208,0),AX$2))-(INDEX(avoidedcosttbl2,ROUNDDOWN($H208,0),AX$2)))))*$O208*1000*'Inputs Yr 2'!AD208,"")</f>
        <v/>
      </c>
      <c r="AY208" s="197" t="str">
        <f>IFERROR(((INDEX(avoidedcosttbl2,$H208,AY$2))+(($H208-ROUNDDOWN($H208,0))*((INDEX(avoidedcosttbl2,ROUNDUP($H208,0),AY$2))-(INDEX(avoidedcosttbl2,ROUNDDOWN($H208,0),AY$2)))))*$O208*1000*('Inputs Yr 2'!AC208+'Inputs Yr 2'!AD208),"")</f>
        <v/>
      </c>
      <c r="AZ208" s="197" t="str">
        <f>IFERROR(((INDEX(avoidedcosttbl2,$H208,AZ$2))+(($H208-ROUNDDOWN($H208,0))*((INDEX(avoidedcosttbl2,ROUNDUP($H208,0),AZ$2))-(INDEX(avoidedcosttbl2,ROUNDDOWN($H208,0),AZ$2)))))*$O208*1000*('Inputs Yr 2'!AA208+'Inputs Yr 2'!AB208),"")</f>
        <v/>
      </c>
      <c r="BA208" s="198">
        <f t="shared" si="124"/>
        <v>0</v>
      </c>
      <c r="BB208" s="198">
        <f t="shared" si="125"/>
        <v>0</v>
      </c>
      <c r="BC208" s="195" t="str">
        <f t="shared" si="107"/>
        <v/>
      </c>
      <c r="BD208" s="195" t="str">
        <f t="shared" si="108"/>
        <v/>
      </c>
      <c r="BE208" s="195" t="str">
        <f t="shared" si="109"/>
        <v/>
      </c>
      <c r="BF208" s="195" t="str">
        <f t="shared" si="110"/>
        <v/>
      </c>
      <c r="BG208" s="195" t="str">
        <f t="shared" si="111"/>
        <v/>
      </c>
      <c r="BH208" s="196">
        <f t="shared" si="126"/>
        <v>0</v>
      </c>
      <c r="BI208" s="196">
        <f t="shared" si="127"/>
        <v>0</v>
      </c>
      <c r="BJ208" s="195" t="str">
        <f>IFERROR($G208*(IF('Inputs Yr 2'!$AJ208=BJ$4,'Inputs Yr 2'!$AK208,IF('Inputs Yr 2'!$AL208=BJ$4,'Inputs Yr 2'!$AM208,IF('Inputs Yr 2'!$AN208=BJ$4,'Inputs Yr 2'!$AO208,0))))*(INDEX(avoidedcosttbl2,$H208,BJ$2)+(($H208-ROUNDDOWN($H208,0))*(INDEX(avoidedcosttbl2,ROUNDUP($H208,0),BJ$2)-(INDEX(avoidedcosttbl2,ROUNDDOWN($H208,0),BJ$2)))))*'Inputs Yr 2'!P208*'Inputs Yr 2'!Q208*'Inputs Yr 2'!U208,"")</f>
        <v/>
      </c>
      <c r="BK208" s="195" t="str">
        <f>IFERROR($G208*(IF('Inputs Yr 2'!$AJ208=BK$4,'Inputs Yr 2'!$AK208,IF('Inputs Yr 2'!$AL208=BK$4,'Inputs Yr 2'!$AM208,IF('Inputs Yr 2'!$AN208=BK$4,'Inputs Yr 2'!$AO208,0))))*(INDEX(avoidedcosttbl2,$H208,BK$2)+(($H208-ROUNDDOWN($H208,0))*(INDEX(avoidedcosttbl2,ROUNDUP($H208,0),BK$2)-(INDEX(avoidedcosttbl2,ROUNDDOWN($H208,0),BK$2)))))*'Inputs Yr 2'!P208*'Inputs Yr 2'!Q208*'Inputs Yr 2'!U208,"")</f>
        <v/>
      </c>
      <c r="BL208" s="195" t="str">
        <f>IFERROR($G208*(IF('Inputs Yr 2'!$AJ208=BL$4,'Inputs Yr 2'!$AK208,IF('Inputs Yr 2'!$AL208=BL$4,'Inputs Yr 2'!$AM208,IF('Inputs Yr 2'!$AN208=BL$4,'Inputs Yr 2'!$AO208,0))))*(INDEX(avoidedcosttbl2,$H208,BL$2)+(($H208-ROUNDDOWN($H208,0))*(INDEX(avoidedcosttbl2,ROUNDUP($H208,0),BL$2)-(INDEX(avoidedcosttbl2,ROUNDDOWN($H208,0),BL$2)))))*'Inputs Yr 2'!P208*'Inputs Yr 2'!Q208*'Inputs Yr 2'!U208,"")</f>
        <v/>
      </c>
      <c r="BM208" s="195" t="str">
        <f>IFERROR($G208*(IF('Inputs Yr 2'!$AJ208=BM$4,'Inputs Yr 2'!$AK208,IF('Inputs Yr 2'!$AL208=BM$4,'Inputs Yr 2'!$AM208,IF('Inputs Yr 2'!$AN208=BM$4,'Inputs Yr 2'!$AO208,0))))*(INDEX(avoidedcosttbl2,$H208,BM$2)+(($H208-ROUNDDOWN($H208,0))*(INDEX(avoidedcosttbl2,ROUNDUP($H208,0),BM$2)-(INDEX(avoidedcosttbl2,ROUNDDOWN($H208,0),BM$2)))))*'Inputs Yr 2'!P208*'Inputs Yr 2'!Q208*'Inputs Yr 2'!U208,"")</f>
        <v/>
      </c>
      <c r="BN208" s="195" t="str">
        <f>IFERROR($G208*(IF('Inputs Yr 2'!$AJ208=BN$4,'Inputs Yr 2'!$AK208,IF('Inputs Yr 2'!$AL208=BN$4,'Inputs Yr 2'!$AM208,IF('Inputs Yr 2'!$AN208=BN$4,'Inputs Yr 2'!$AO208,0))))*(INDEX(avoidedcosttbl2,$H208,BN$2)+(($H208-ROUNDDOWN($H208,0))*(INDEX(avoidedcosttbl2,ROUNDUP($H208,0),BN$2)-(INDEX(avoidedcosttbl2,ROUNDDOWN($H208,0),BN$2)))))*'Inputs Yr 2'!P208*'Inputs Yr 2'!Q208*'Inputs Yr 2'!U208,"")</f>
        <v/>
      </c>
      <c r="BO208" s="195" t="str">
        <f>IFERROR($G208*(IF('Inputs Yr 2'!$AJ208=BO$4,'Inputs Yr 2'!$AK208,IF('Inputs Yr 2'!$AL208=BO$4,'Inputs Yr 2'!$AM208,IF('Inputs Yr 2'!$AN208=BO$4,'Inputs Yr 2'!$AO208,0))))*(INDEX(avoidedcosttbl2,$H208,BO$2)+(($H208-ROUNDDOWN($H208,0))*(INDEX(avoidedcosttbl2,ROUNDUP($H208,0),BO$2)-(INDEX(avoidedcosttbl2,ROUNDDOWN($H208,0),BO$2)))))*'Inputs Yr 2'!P208*'Inputs Yr 2'!Q208*'Inputs Yr 2'!U208,"")</f>
        <v/>
      </c>
      <c r="BP208" s="195" t="str">
        <f>IFERROR($G208*(IF('Inputs Yr 2'!$AJ208=BP$4,'Inputs Yr 2'!$AK208,IF('Inputs Yr 2'!$AL208=BP$4,'Inputs Yr 2'!$AM208,IF('Inputs Yr 2'!$AN208=BP$4,'Inputs Yr 2'!$AO208,0))))*(INDEX(avoidedcosttbl2,$H208,BP$2)+(($H208-ROUNDDOWN($H208,0))*(INDEX(avoidedcosttbl2,ROUNDUP($H208,0),BP$2)-(INDEX(avoidedcosttbl2,ROUNDDOWN($H208,0),BP$2)))))*'Inputs Yr 2'!P208*'Inputs Yr 2'!Q208*'Inputs Yr 2'!U208,"")</f>
        <v/>
      </c>
      <c r="BQ208" s="230">
        <f t="shared" si="128"/>
        <v>0</v>
      </c>
      <c r="BR208" s="197" t="str">
        <f t="shared" si="112"/>
        <v/>
      </c>
      <c r="BS208" s="197" t="str">
        <f>IFERROR(($G208*IF('Inputs Yr 2'!$AJ208=BM$4,'Inputs Yr 2'!$AK208,IF('Inputs Yr 2'!$AL208=BM$4,'Inputs Yr 2'!$AM208,IF('Inputs Yr 2'!$AN208=BM$4,'Inputs Yr 2'!$AO208,0))))*(INDEX(avoidedcosttbl2,$H208,BS$2)+(($H208-ROUNDDOWN($H208,0))*(INDEX(avoidedcosttbl2,ROUNDUP($H208,0),BS$2)-(INDEX(avoidedcosttbl2,ROUNDDOWN($H208,0),BS$2)))))*'Inputs Yr 2'!P208*'Inputs Yr 2'!Q208*'Inputs Yr 2'!U208,"")</f>
        <v/>
      </c>
      <c r="BT208" s="197" t="str">
        <f>IFERROR(($G208*IF('Inputs Yr 2'!$AJ208=BK$4,'Inputs Yr 2'!$AK208,IF('Inputs Yr 2'!$AL208=BK$4,'Inputs Yr 2'!$AM208,IF('Inputs Yr 2'!$AN208=BK$4,'Inputs Yr 2'!$AO208,0))))*(INDEX(avoidedcosttbl2,$H208,BT$2)+(($H208-ROUNDDOWN($H208,0))*(INDEX(avoidedcosttbl2,ROUNDUP($H208,0),BT$2)-(INDEX(avoidedcosttbl2,ROUNDDOWN($H208,0),BT$2)))))*'Inputs Yr 2'!P208*'Inputs Yr 2'!Q208*'Inputs Yr 2'!U208,"")</f>
        <v/>
      </c>
      <c r="BU208" s="197" t="str">
        <f>IFERROR(($G208*IF('Inputs Yr 2'!$AJ208=BL$4,'Inputs Yr 2'!$AK208,IF('Inputs Yr 2'!$AL208=BL$4,'Inputs Yr 2'!$AM208,IF('Inputs Yr 2'!$AN208=BL$4,'Inputs Yr 2'!$AO208,0))))*(INDEX(avoidedcosttbl2,$H208,BU$2)+(($H208-ROUNDDOWN($H208,0))*(INDEX(avoidedcosttbl2,ROUNDUP($H208,0),BU$2)-(INDEX(avoidedcosttbl2,ROUNDDOWN($H208,0),BU$2)))))*'Inputs Yr 2'!P208*'Inputs Yr 2'!Q208*'Inputs Yr 2'!U208,"")</f>
        <v/>
      </c>
      <c r="BV208" s="775" t="str">
        <f>IFERROR(($G208*IF('Inputs Yr 2'!$AJ208=BJ$4,'Inputs Yr 2'!$AK208,IF('Inputs Yr 2'!$AL208=BJ$4,'Inputs Yr 2'!$AM208,IF('Inputs Yr 2'!$AN208=BJ$4,'Inputs Yr 2'!$AO208,0))))*(INDEX(avoidedcosttbl2,$H208,BV$2)+(($H208-ROUNDDOWN($H208,0))*(INDEX(avoidedcosttbl2,ROUNDUP($H208,0),BV$2)-(INDEX(avoidedcosttbl2,ROUNDDOWN($H208,0),BV$2)))))*'Inputs Yr 2'!P208*'Inputs Yr 2'!Q208*'Inputs Yr 2'!U208,"")</f>
        <v/>
      </c>
      <c r="BW208" s="197" t="str">
        <f>IFERROR(($G208*IF('Inputs Yr 2'!$AJ208=BN$4,'Inputs Yr 2'!$AK208,IF('Inputs Yr 2'!$AL208=BN$4,'Inputs Yr 2'!$AM208,IF('Inputs Yr 2'!$AN208=BN$4,'Inputs Yr 2'!$AO208,0))))*(INDEX(avoidedcosttbl2,$H208,BW$2)+(($H208-ROUNDDOWN($H208,0))*(INDEX(avoidedcosttbl2,ROUNDUP($H208,0),BW$2)-(INDEX(avoidedcosttbl2,ROUNDDOWN($H208,0),BW$2)))))*'Inputs Yr 2'!P208*'Inputs Yr 2'!Q208*'Inputs Yr 2'!U208,"")</f>
        <v/>
      </c>
      <c r="BX208" s="197" t="str">
        <f>IFERROR(($G208*IF('Inputs Yr 2'!$AJ208=BO$4,'Inputs Yr 2'!$AK208,IF('Inputs Yr 2'!$AL208=BO$4,'Inputs Yr 2'!$AM208,IF('Inputs Yr 2'!$AN208=BO$4,'Inputs Yr 2'!$AO208,0))))*(INDEX(avoidedcosttbl2,$H208,BX$2)+(($H208-ROUNDDOWN($H208,0))*(INDEX(avoidedcosttbl2,ROUNDUP($H208,0),BX$2)-(INDEX(avoidedcosttbl2,ROUNDDOWN($H208,0),BX$2)))))*'Inputs Yr 2'!P208*'Inputs Yr 2'!Q208*'Inputs Yr 2'!U208,"")</f>
        <v/>
      </c>
      <c r="BY208" s="197" t="str">
        <f>IFERROR(($G208*IF('Inputs Yr 2'!$AJ208=BP$4,'Inputs Yr 2'!$AK208,IF('Inputs Yr 2'!$AL208=BP$4,'Inputs Yr 2'!$AM208,IF('Inputs Yr 2'!$AN208=BP$4,'Inputs Yr 2'!$AO208,0))))*(INDEX(avoidedcosttbl2,$H208,BY$2)+(($H208-ROUNDDOWN($H208,0))*(INDEX(avoidedcosttbl2,ROUNDUP($H208,0),BY$2)-(INDEX(avoidedcosttbl2,ROUNDDOWN($H208,0),BY$2)))))*'Inputs Yr 2'!P208*'Inputs Yr 2'!Q208*'Inputs Yr 2'!U208,"")</f>
        <v/>
      </c>
      <c r="BZ208" s="193">
        <f t="shared" si="129"/>
        <v>0</v>
      </c>
      <c r="CA208" s="193">
        <f t="shared" si="130"/>
        <v>0</v>
      </c>
      <c r="CB208" s="195" t="str">
        <f>IFERROR(G208*(IF('Inputs Yr 2'!$AJ208=CB$4,'Inputs Yr 2'!$AK208,IF('Inputs Yr 2'!$AL208=CB$4,'Inputs Yr 2'!$AM208,IF('Inputs Yr 2'!$AN208=CB$4,'Inputs Yr 2'!$AO208,0))))*(INDEX(avoidedcosttbl2,$H208,CB$2)+(($H208-ROUNDDOWN($H208,0))*(INDEX(avoidedcosttbl2,ROUNDUP($H208,0),CB$2)-(INDEX(avoidedcosttbl2,ROUNDDOWN($H208,0),CB$2)))))*'Inputs Yr 2'!P208*'Inputs Yr 2'!Q208*'Inputs Yr 2'!U208,"")</f>
        <v/>
      </c>
      <c r="CC208" s="195" t="str">
        <f>IFERROR(H208*(IF('Inputs Yr 2'!$AJ208=CC$4,'Inputs Yr 2'!$AK208,IF('Inputs Yr 2'!$AL208=CC$4,'Inputs Yr 2'!$AM208,IF('Inputs Yr 2'!$AN208=CC$4,'Inputs Yr 2'!$AO208,0))))*(INDEX(avoidedcosttbl2,$H208,CC$2)+(($H208-ROUNDDOWN($H208,0))*(INDEX(avoidedcosttbl2,ROUNDUP($H208,0),CC$2)-(INDEX(avoidedcosttbl2,ROUNDDOWN($H208,0),CC$2)))))*'Inputs Yr 2'!Q208*'Inputs Yr 2'!R208*'Inputs Yr 2'!V208,"")</f>
        <v/>
      </c>
      <c r="CD208" s="195" t="str">
        <f>IFERROR(I208*(IF('Inputs Yr 2'!$AJ208=CD$4,'Inputs Yr 2'!$AK208,IF('Inputs Yr 2'!$AL208=CD$4,'Inputs Yr 2'!$AM208,IF('Inputs Yr 2'!$AN208=CD$4,'Inputs Yr 2'!$AO208,0))))*(INDEX(avoidedcosttbl2,$H208,CD$2)+(($H208-ROUNDDOWN($H208,0))*(INDEX(avoidedcosttbl2,ROUNDUP($H208,0),CD$2)-(INDEX(avoidedcosttbl2,ROUNDDOWN($H208,0),CD$2)))))*'Inputs Yr 2'!R208*'Inputs Yr 2'!S208*'Inputs Yr 2'!W208,"")</f>
        <v/>
      </c>
      <c r="CE208" s="213" t="str">
        <f t="shared" si="131"/>
        <v/>
      </c>
      <c r="CF208" s="213" t="str">
        <f t="shared" si="132"/>
        <v/>
      </c>
      <c r="CG208" s="213" t="str">
        <f t="shared" si="133"/>
        <v/>
      </c>
      <c r="CH208" s="698">
        <f t="shared" si="134"/>
        <v>0</v>
      </c>
      <c r="CI208" s="79" t="str">
        <f>IFERROR(($G208*'Inputs Yr 2'!$P208*'Inputs Yr 2'!$Q208*(((INDEX(avoidedcosttbl2,$H208,CI$2)+(($H208-ROUNDDOWN($H208,0))*(INDEX(avoidedcosttbl2,ROUNDUP($H208,0),CI$2)-INDEX(avoidedcosttbl2,ROUNDDOWN($H208,0),CI$2))))*'Inputs Yr 2'!AS208))),"")</f>
        <v/>
      </c>
      <c r="CJ208" s="504" t="str">
        <f>IFERROR($G208*'Inputs Yr 2'!AT208*'Inputs Yr 2'!$P208*'Inputs Yr 2'!$Q208/((1+realdiscrt1)^-0.5),"")</f>
        <v/>
      </c>
      <c r="CK208" s="79" t="str">
        <f>IFERROR((O208*1000*(((INDEX(avoidedcosttbl2,$H208,CK$2)+(($H208-ROUNDDOWN($H208,0))*(INDEX(avoidedcosttbl2,ROUNDUP($H208,0),CK$2)-INDEX(avoidedcosttbl2,ROUNDDOWN($H208,0),CK$2))))*'Inputs Yr 2'!AU208))),"")</f>
        <v/>
      </c>
      <c r="CL208" s="504" t="str">
        <f>IFERROR(O208*1000*'Inputs Yr 2'!AV208/((1+realdiscrt1)^-0.5),"")</f>
        <v/>
      </c>
      <c r="CM208" s="79" t="str">
        <f>IFERROR((AB208*'Inputs Yr 2'!AW208*(((INDEX(avoidedcosttbl2,$H208,CM$2)+(($H208-ROUNDDOWN($H208,0))*(INDEX(avoidedcosttbl2,ROUNDUP($H208,0),CM$2)-INDEX(avoidedcosttbl2,ROUNDDOWN($H208,0),CM$2)))))))*10,"")</f>
        <v/>
      </c>
      <c r="CN208" s="504">
        <f>IFERROR(10*AB208*'Inputs Yr 2'!AX208/((1+realdiscrt1)^-0.5),"")</f>
        <v>0</v>
      </c>
      <c r="CO208" s="505">
        <f t="shared" si="135"/>
        <v>0</v>
      </c>
      <c r="CP208" s="230">
        <f t="shared" si="136"/>
        <v>0</v>
      </c>
      <c r="CQ208" s="199">
        <f>ROUND(IFERROR(IF(LEFT($A208,1)="C",'Avoided Costs'!$K$13,'Avoided Costs'!$K$12)+1,""),4)</f>
        <v>1.0720000000000001</v>
      </c>
      <c r="CR208" s="199">
        <f>ROUND(IFERROR(IF(LEFT($A208,1)="C",'Avoided Costs'!$L$13,'Avoided Costs'!$L$12)+1,""),4)</f>
        <v>1.04</v>
      </c>
      <c r="CS208" s="199">
        <f>ROUND(IFERROR(IF(LEFT($A208,1)="C",'Avoided Costs'!$M$13,'Avoided Costs'!$M$12)+1,""),4)</f>
        <v>1.0720000000000001</v>
      </c>
      <c r="CT208" s="199">
        <f>ROUND(IFERROR(IF(LEFT($A208,1)="C",'Avoided Costs'!$N$13,'Avoided Costs'!$N$12)+1,""),4)</f>
        <v>1.04</v>
      </c>
      <c r="CU208" s="199">
        <f>ROUND(IFERROR(IF(LEFT($A208,1)="C",'Avoided Costs'!$O$13,'Avoided Costs'!$O$12)+1,""),4)</f>
        <v>1.1120000000000001</v>
      </c>
      <c r="CV208" s="199">
        <f>ROUND(IFERROR(IF(LEFT($A208,1)="C",'Avoided Costs'!$P$13,'Avoided Costs'!$P$12)+1,""),4)</f>
        <v>1.095</v>
      </c>
      <c r="CW208" s="199">
        <f>ROUND(IFERROR(IF(LEFT($A208,1)="C",'Avoided Costs'!$Q$13,'Avoided Costs'!$Q$12)+1,""),4)</f>
        <v>1.1120000000000001</v>
      </c>
      <c r="CX208" s="200">
        <f>ROUND(IFERROR(IF(LEFT($A208,1)="C",'Avoided Costs'!$R$13,'Avoided Costs'!$R$12)+1,""),4)</f>
        <v>1.1120000000000001</v>
      </c>
    </row>
    <row r="209" spans="1:102" ht="12.75" customHeight="1">
      <c r="A209" s="91" t="str">
        <f>IF('Inputs Yr 2'!$B209=0,"",'Inputs Yr 2'!A209)</f>
        <v>C - Commercial &amp; Industrial</v>
      </c>
      <c r="B209" s="91" t="str">
        <f>IF('Inputs Yr 2'!$B209=0,"",'Inputs Yr 2'!B209)</f>
        <v>C1 - C&amp;I New Construction</v>
      </c>
      <c r="C209" s="91" t="str">
        <f>IF('Inputs Yr 2'!$B209=0,"",'Inputs Yr 2'!C209)</f>
        <v xml:space="preserve">C1b - C&amp;I Initial Purchase &amp; End of Useful Life </v>
      </c>
      <c r="D209" s="91" t="str">
        <f>IF('Inputs Yr 2'!$B209=0,"",'Inputs Yr 2'!E209)</f>
        <v>HVAC - Prescriptive</v>
      </c>
      <c r="E209" s="93" t="str">
        <f>IF('Inputs Yr 2'!$B209=0,"",'Inputs Yr 2'!F209)</f>
        <v>G16C1b09</v>
      </c>
      <c r="F209" s="93" t="str">
        <f>IF('Inputs Yr 2'!$B209=0,"",'Inputs Yr 2'!G209)</f>
        <v>HVAC</v>
      </c>
      <c r="G209" s="95" t="str">
        <f>IF('Inputs Yr 2'!$H209&lt;&gt;0,('Inputs Yr 2'!H209),"")</f>
        <v/>
      </c>
      <c r="H209" s="94">
        <f>IFERROR('Inputs Yr 2'!I209,"")</f>
        <v>0</v>
      </c>
      <c r="I209" s="298" t="str">
        <f>IFERROR('Inputs Yr 2'!J209*'Inputs Yr 2'!P209*G209,"")</f>
        <v/>
      </c>
      <c r="J209" s="298" t="str">
        <f>IFERROR('Inputs Yr 2'!K209*G209,"")</f>
        <v/>
      </c>
      <c r="K209" s="298" t="str">
        <f t="shared" si="113"/>
        <v/>
      </c>
      <c r="L209" s="194" t="str">
        <f>IFERROR(('Inputs Yr 2'!W209*G209)/1000,"")</f>
        <v/>
      </c>
      <c r="M209" s="194" t="str">
        <f>IFERROR(L209*('Inputs Yr 2'!$Q209*'Inputs Yr 2'!$V209*'Inputs Yr 2'!$R209),"")</f>
        <v/>
      </c>
      <c r="N209" s="194" t="str">
        <f t="shared" si="114"/>
        <v/>
      </c>
      <c r="O209" s="194" t="str">
        <f>IFERROR(M209*'Inputs Yr 2'!P209,"")</f>
        <v/>
      </c>
      <c r="P209" s="194" t="str">
        <f t="shared" si="115"/>
        <v/>
      </c>
      <c r="Q209" s="194" t="str">
        <f>IFERROR($P209*'Inputs Yr 2'!AA209,"")</f>
        <v/>
      </c>
      <c r="R209" s="194" t="str">
        <f>IFERROR($P209*'Inputs Yr 2'!AB209,"")</f>
        <v/>
      </c>
      <c r="S209" s="194" t="str">
        <f>IFERROR($P209*'Inputs Yr 2'!AC209,"")</f>
        <v/>
      </c>
      <c r="T209" s="194" t="str">
        <f>IFERROR($P209*'Inputs Yr 2'!AD209,"")</f>
        <v/>
      </c>
      <c r="U209" s="194" t="str">
        <f>IFERROR(G209*'Inputs Yr 2'!$AE209*'Inputs Yr 2'!$P209*'Inputs Yr 2'!$Q209,"")</f>
        <v/>
      </c>
      <c r="V209" s="194" t="str">
        <f>IFERROR($G209*'Inputs Yr 2'!$AE209*'Inputs Yr 2'!$AG209*'Inputs Yr 2'!Q209*'Inputs Yr 2'!$S209,"")</f>
        <v/>
      </c>
      <c r="W209" s="194" t="str">
        <f>IFERROR($G209*'Inputs Yr 2'!$AE209*'Inputs Yr 2'!$AG209*'Inputs Yr 2'!P209*'Inputs Yr 2'!Q209*'Inputs Yr 2'!$S209,"")</f>
        <v/>
      </c>
      <c r="X209" s="194" t="str">
        <f>IFERROR($G209*'Inputs Yr 2'!$AE209*'Inputs Yr 2'!$AF209*'Inputs Yr 2'!Q209*'Inputs Yr 2'!$T209,"")</f>
        <v/>
      </c>
      <c r="Y209" s="194" t="str">
        <f>IFERROR($G209*'Inputs Yr 2'!$AE209*'Inputs Yr 2'!$AF209*'Inputs Yr 2'!P209*'Inputs Yr 2'!Q209*'Inputs Yr 2'!$T209,"")</f>
        <v/>
      </c>
      <c r="Z209" s="257">
        <f>IFERROR($G209*'Inputs Yr 2'!$Q209*'Inputs Yr 2'!$U209*(IF(IFERROR(SEARCH("NG", 'Inputs Yr 2'!$AJ209),0),'Inputs Yr 2'!$AK209,0)+IF(IFERROR(SEARCH("NG", 'Inputs Yr 2'!$AL209),0),'Inputs Yr 2'!$AM209,0)+IF(IFERROR(SEARCH("NG", 'Inputs Yr 2'!$AN209),0),'Inputs Yr 2'!$AO209,0)),0)</f>
        <v>0</v>
      </c>
      <c r="AA209" s="257">
        <f t="shared" si="116"/>
        <v>0</v>
      </c>
      <c r="AB209" s="257">
        <f>IFERROR(Z209*'Inputs Yr 2'!$P209,0)</f>
        <v>0</v>
      </c>
      <c r="AC209" s="257">
        <f t="shared" si="117"/>
        <v>0</v>
      </c>
      <c r="AD209" s="257">
        <f>IFERROR($G209*'Inputs Yr 2'!$Q209*'Inputs Yr 2'!$U209*(IF(IFERROR(SEARCH("Oil", 'Inputs Yr 2'!$AJ209), 0),'Inputs Yr 2'!$AK209,0)+IF(IFERROR(SEARCH("Oil", 'Inputs Yr 2'!$AL209), 0),'Inputs Yr 2'!$AM209,0)+IF(IFERROR(SEARCH("Oil", 'Inputs Yr 2'!$AN209), 0),'Inputs Yr 2'!$AO209,0)),0)</f>
        <v>0</v>
      </c>
      <c r="AE209" s="257">
        <f t="shared" si="118"/>
        <v>0</v>
      </c>
      <c r="AF209" s="257">
        <f>IFERROR(AD209*'Inputs Yr 2'!$P209,0)</f>
        <v>0</v>
      </c>
      <c r="AG209" s="257">
        <f t="shared" si="119"/>
        <v>0</v>
      </c>
      <c r="AH209" s="257">
        <f>IFERROR($G209*'Inputs Yr 2'!$Q209*'Inputs Yr 2'!$U209*(IF('Inputs Yr 2'!$AJ209=CD$4,'Inputs Yr 2'!$AK209,IF('Inputs Yr 2'!$AL209=CD$4,'Inputs Yr 2'!$AM209,IF('Inputs Yr 2'!$AN209=CD$4,'Inputs Yr 2'!$AO209,0)))),0)</f>
        <v>0</v>
      </c>
      <c r="AI209" s="257">
        <f t="shared" si="120"/>
        <v>0</v>
      </c>
      <c r="AJ209" s="257">
        <f>IFERROR(AH209*'Inputs Yr 2'!$P209,0)</f>
        <v>0</v>
      </c>
      <c r="AK209" s="257">
        <f t="shared" si="121"/>
        <v>0</v>
      </c>
      <c r="AL209" s="258">
        <f>IFERROR($G209*'Inputs Yr 2'!$P209*'Inputs Yr 2'!$Q209*'Inputs Yr 2'!AP209,0)</f>
        <v>0</v>
      </c>
      <c r="AM209" s="260">
        <f>IFERROR($G209*'Inputs Yr 2'!$P209*'Inputs Yr 2'!$Q209*'Inputs Yr 2'!AQ209,0)</f>
        <v>0</v>
      </c>
      <c r="AN209" s="258">
        <f>IFERROR($G209*'Inputs Yr 2'!$P209*'Inputs Yr 2'!$Q209*'Inputs Yr 2'!AR209,0)</f>
        <v>0</v>
      </c>
      <c r="AO209" s="257">
        <f t="shared" si="122"/>
        <v>0</v>
      </c>
      <c r="AP209" s="195" t="str">
        <f>IFERROR($CQ209*(INDEX(avoidedcosttbl2,$H209,AP$2)+(($H209-ROUNDDOWN($H209,0))*(INDEX(avoidedcosttbl2,ROUNDUP($H209,0),AP$2)-(INDEX(avoidedcosttbl2,ROUNDDOWN($H209,0),AP$2)))))*$O209*1000*'Inputs Yr 2'!AA209,"")</f>
        <v/>
      </c>
      <c r="AQ209" s="195" t="str">
        <f>IFERROR($CR209*(INDEX(avoidedcosttbl2,$H209,AQ$2)+(($H209-ROUNDDOWN($H209,0))*(INDEX(avoidedcosttbl2,ROUNDUP($H209,0),AQ$2)-(INDEX(avoidedcosttbl2,ROUNDDOWN($H209,0),AQ$2)))))*$O209*1000*'Inputs Yr 2'!AB209,"")</f>
        <v/>
      </c>
      <c r="AR209" s="195" t="str">
        <f>IFERROR($CS209*(INDEX(avoidedcosttbl2,$H209,AR$2)+(($H209-ROUNDDOWN($H209,0))*(INDEX(avoidedcosttbl2,ROUNDUP($H209,0),AR$2)-(INDEX(avoidedcosttbl2,ROUNDDOWN($H209,0),AR$2)))))*$O209*1000*'Inputs Yr 2'!AC209,"")</f>
        <v/>
      </c>
      <c r="AS209" s="195" t="str">
        <f>IFERROR($CT209*(INDEX(avoidedcosttbl2,$H209,AS$2)+(($H209-ROUNDDOWN($H209,0))*(INDEX(avoidedcosttbl2,ROUNDUP($H209,0),AS$2)-(INDEX(avoidedcosttbl2,ROUNDDOWN($H209,0),AS$2)))))*$O209*1000*'Inputs Yr 2'!AD209,"")</f>
        <v/>
      </c>
      <c r="AT209" s="196">
        <f t="shared" si="123"/>
        <v>0</v>
      </c>
      <c r="AU209" s="197" t="str">
        <f>IFERROR($CQ209*((INDEX(avoidedcosttbl2,$H209,AU$2))+(($H209-ROUNDDOWN($H209,0))*((INDEX(avoidedcosttbl2,ROUNDUP($H209,0),AU$2))-(INDEX(avoidedcosttbl2,ROUNDDOWN($H209,0),AU$2)))))*$O209*1000*'Inputs Yr 2'!AA209,"")</f>
        <v/>
      </c>
      <c r="AV209" s="197" t="str">
        <f>IFERROR($CR209*((INDEX(avoidedcosttbl2,$H209,AV$2))+(($H209-ROUNDDOWN($H209,0))*((INDEX(avoidedcosttbl2,ROUNDUP($H209,0),AV$2))-(INDEX(avoidedcosttbl2,ROUNDDOWN($H209,0),AV$2)))))*$O209*1000*'Inputs Yr 2'!AB209,"")</f>
        <v/>
      </c>
      <c r="AW209" s="197" t="str">
        <f>IFERROR($CS209*((INDEX(avoidedcosttbl2,$H209,AW$2))+(($H209-ROUNDDOWN($H209,0))*((INDEX(avoidedcosttbl2,ROUNDUP($H209,0),AW$2))-(INDEX(avoidedcosttbl2,ROUNDDOWN($H209,0),AW$2)))))*$O209*1000*'Inputs Yr 2'!AC209,"")</f>
        <v/>
      </c>
      <c r="AX209" s="197" t="str">
        <f>IFERROR($CT209*((INDEX(avoidedcosttbl2,$H209,AX$2))+(($H209-ROUNDDOWN($H209,0))*((INDEX(avoidedcosttbl2,ROUNDUP($H209,0),AX$2))-(INDEX(avoidedcosttbl2,ROUNDDOWN($H209,0),AX$2)))))*$O209*1000*'Inputs Yr 2'!AD209,"")</f>
        <v/>
      </c>
      <c r="AY209" s="197" t="str">
        <f>IFERROR(((INDEX(avoidedcosttbl2,$H209,AY$2))+(($H209-ROUNDDOWN($H209,0))*((INDEX(avoidedcosttbl2,ROUNDUP($H209,0),AY$2))-(INDEX(avoidedcosttbl2,ROUNDDOWN($H209,0),AY$2)))))*$O209*1000*('Inputs Yr 2'!AC209+'Inputs Yr 2'!AD209),"")</f>
        <v/>
      </c>
      <c r="AZ209" s="197" t="str">
        <f>IFERROR(((INDEX(avoidedcosttbl2,$H209,AZ$2))+(($H209-ROUNDDOWN($H209,0))*((INDEX(avoidedcosttbl2,ROUNDUP($H209,0),AZ$2))-(INDEX(avoidedcosttbl2,ROUNDDOWN($H209,0),AZ$2)))))*$O209*1000*('Inputs Yr 2'!AA209+'Inputs Yr 2'!AB209),"")</f>
        <v/>
      </c>
      <c r="BA209" s="198">
        <f t="shared" si="124"/>
        <v>0</v>
      </c>
      <c r="BB209" s="198">
        <f t="shared" si="125"/>
        <v>0</v>
      </c>
      <c r="BC209" s="195" t="str">
        <f t="shared" si="107"/>
        <v/>
      </c>
      <c r="BD209" s="195" t="str">
        <f t="shared" si="108"/>
        <v/>
      </c>
      <c r="BE209" s="195" t="str">
        <f t="shared" si="109"/>
        <v/>
      </c>
      <c r="BF209" s="195" t="str">
        <f t="shared" si="110"/>
        <v/>
      </c>
      <c r="BG209" s="195" t="str">
        <f t="shared" si="111"/>
        <v/>
      </c>
      <c r="BH209" s="196">
        <f t="shared" si="126"/>
        <v>0</v>
      </c>
      <c r="BI209" s="196">
        <f t="shared" si="127"/>
        <v>0</v>
      </c>
      <c r="BJ209" s="195" t="str">
        <f>IFERROR($G209*(IF('Inputs Yr 2'!$AJ209=BJ$4,'Inputs Yr 2'!$AK209,IF('Inputs Yr 2'!$AL209=BJ$4,'Inputs Yr 2'!$AM209,IF('Inputs Yr 2'!$AN209=BJ$4,'Inputs Yr 2'!$AO209,0))))*(INDEX(avoidedcosttbl2,$H209,BJ$2)+(($H209-ROUNDDOWN($H209,0))*(INDEX(avoidedcosttbl2,ROUNDUP($H209,0),BJ$2)-(INDEX(avoidedcosttbl2,ROUNDDOWN($H209,0),BJ$2)))))*'Inputs Yr 2'!P209*'Inputs Yr 2'!Q209*'Inputs Yr 2'!U209,"")</f>
        <v/>
      </c>
      <c r="BK209" s="195" t="str">
        <f>IFERROR($G209*(IF('Inputs Yr 2'!$AJ209=BK$4,'Inputs Yr 2'!$AK209,IF('Inputs Yr 2'!$AL209=BK$4,'Inputs Yr 2'!$AM209,IF('Inputs Yr 2'!$AN209=BK$4,'Inputs Yr 2'!$AO209,0))))*(INDEX(avoidedcosttbl2,$H209,BK$2)+(($H209-ROUNDDOWN($H209,0))*(INDEX(avoidedcosttbl2,ROUNDUP($H209,0),BK$2)-(INDEX(avoidedcosttbl2,ROUNDDOWN($H209,0),BK$2)))))*'Inputs Yr 2'!P209*'Inputs Yr 2'!Q209*'Inputs Yr 2'!U209,"")</f>
        <v/>
      </c>
      <c r="BL209" s="195" t="str">
        <f>IFERROR($G209*(IF('Inputs Yr 2'!$AJ209=BL$4,'Inputs Yr 2'!$AK209,IF('Inputs Yr 2'!$AL209=BL$4,'Inputs Yr 2'!$AM209,IF('Inputs Yr 2'!$AN209=BL$4,'Inputs Yr 2'!$AO209,0))))*(INDEX(avoidedcosttbl2,$H209,BL$2)+(($H209-ROUNDDOWN($H209,0))*(INDEX(avoidedcosttbl2,ROUNDUP($H209,0),BL$2)-(INDEX(avoidedcosttbl2,ROUNDDOWN($H209,0),BL$2)))))*'Inputs Yr 2'!P209*'Inputs Yr 2'!Q209*'Inputs Yr 2'!U209,"")</f>
        <v/>
      </c>
      <c r="BM209" s="195" t="str">
        <f>IFERROR($G209*(IF('Inputs Yr 2'!$AJ209=BM$4,'Inputs Yr 2'!$AK209,IF('Inputs Yr 2'!$AL209=BM$4,'Inputs Yr 2'!$AM209,IF('Inputs Yr 2'!$AN209=BM$4,'Inputs Yr 2'!$AO209,0))))*(INDEX(avoidedcosttbl2,$H209,BM$2)+(($H209-ROUNDDOWN($H209,0))*(INDEX(avoidedcosttbl2,ROUNDUP($H209,0),BM$2)-(INDEX(avoidedcosttbl2,ROUNDDOWN($H209,0),BM$2)))))*'Inputs Yr 2'!P209*'Inputs Yr 2'!Q209*'Inputs Yr 2'!U209,"")</f>
        <v/>
      </c>
      <c r="BN209" s="195" t="str">
        <f>IFERROR($G209*(IF('Inputs Yr 2'!$AJ209=BN$4,'Inputs Yr 2'!$AK209,IF('Inputs Yr 2'!$AL209=BN$4,'Inputs Yr 2'!$AM209,IF('Inputs Yr 2'!$AN209=BN$4,'Inputs Yr 2'!$AO209,0))))*(INDEX(avoidedcosttbl2,$H209,BN$2)+(($H209-ROUNDDOWN($H209,0))*(INDEX(avoidedcosttbl2,ROUNDUP($H209,0),BN$2)-(INDEX(avoidedcosttbl2,ROUNDDOWN($H209,0),BN$2)))))*'Inputs Yr 2'!P209*'Inputs Yr 2'!Q209*'Inputs Yr 2'!U209,"")</f>
        <v/>
      </c>
      <c r="BO209" s="195" t="str">
        <f>IFERROR($G209*(IF('Inputs Yr 2'!$AJ209=BO$4,'Inputs Yr 2'!$AK209,IF('Inputs Yr 2'!$AL209=BO$4,'Inputs Yr 2'!$AM209,IF('Inputs Yr 2'!$AN209=BO$4,'Inputs Yr 2'!$AO209,0))))*(INDEX(avoidedcosttbl2,$H209,BO$2)+(($H209-ROUNDDOWN($H209,0))*(INDEX(avoidedcosttbl2,ROUNDUP($H209,0),BO$2)-(INDEX(avoidedcosttbl2,ROUNDDOWN($H209,0),BO$2)))))*'Inputs Yr 2'!P209*'Inputs Yr 2'!Q209*'Inputs Yr 2'!U209,"")</f>
        <v/>
      </c>
      <c r="BP209" s="195" t="str">
        <f>IFERROR($G209*(IF('Inputs Yr 2'!$AJ209=BP$4,'Inputs Yr 2'!$AK209,IF('Inputs Yr 2'!$AL209=BP$4,'Inputs Yr 2'!$AM209,IF('Inputs Yr 2'!$AN209=BP$4,'Inputs Yr 2'!$AO209,0))))*(INDEX(avoidedcosttbl2,$H209,BP$2)+(($H209-ROUNDDOWN($H209,0))*(INDEX(avoidedcosttbl2,ROUNDUP($H209,0),BP$2)-(INDEX(avoidedcosttbl2,ROUNDDOWN($H209,0),BP$2)))))*'Inputs Yr 2'!P209*'Inputs Yr 2'!Q209*'Inputs Yr 2'!U209,"")</f>
        <v/>
      </c>
      <c r="BQ209" s="230">
        <f t="shared" si="128"/>
        <v>0</v>
      </c>
      <c r="BR209" s="197" t="str">
        <f t="shared" si="112"/>
        <v/>
      </c>
      <c r="BS209" s="197" t="str">
        <f>IFERROR(($G209*IF('Inputs Yr 2'!$AJ209=BM$4,'Inputs Yr 2'!$AK209,IF('Inputs Yr 2'!$AL209=BM$4,'Inputs Yr 2'!$AM209,IF('Inputs Yr 2'!$AN209=BM$4,'Inputs Yr 2'!$AO209,0))))*(INDEX(avoidedcosttbl2,$H209,BS$2)+(($H209-ROUNDDOWN($H209,0))*(INDEX(avoidedcosttbl2,ROUNDUP($H209,0),BS$2)-(INDEX(avoidedcosttbl2,ROUNDDOWN($H209,0),BS$2)))))*'Inputs Yr 2'!P209*'Inputs Yr 2'!Q209*'Inputs Yr 2'!U209,"")</f>
        <v/>
      </c>
      <c r="BT209" s="197" t="str">
        <f>IFERROR(($G209*IF('Inputs Yr 2'!$AJ209=BK$4,'Inputs Yr 2'!$AK209,IF('Inputs Yr 2'!$AL209=BK$4,'Inputs Yr 2'!$AM209,IF('Inputs Yr 2'!$AN209=BK$4,'Inputs Yr 2'!$AO209,0))))*(INDEX(avoidedcosttbl2,$H209,BT$2)+(($H209-ROUNDDOWN($H209,0))*(INDEX(avoidedcosttbl2,ROUNDUP($H209,0),BT$2)-(INDEX(avoidedcosttbl2,ROUNDDOWN($H209,0),BT$2)))))*'Inputs Yr 2'!P209*'Inputs Yr 2'!Q209*'Inputs Yr 2'!U209,"")</f>
        <v/>
      </c>
      <c r="BU209" s="197" t="str">
        <f>IFERROR(($G209*IF('Inputs Yr 2'!$AJ209=BL$4,'Inputs Yr 2'!$AK209,IF('Inputs Yr 2'!$AL209=BL$4,'Inputs Yr 2'!$AM209,IF('Inputs Yr 2'!$AN209=BL$4,'Inputs Yr 2'!$AO209,0))))*(INDEX(avoidedcosttbl2,$H209,BU$2)+(($H209-ROUNDDOWN($H209,0))*(INDEX(avoidedcosttbl2,ROUNDUP($H209,0),BU$2)-(INDEX(avoidedcosttbl2,ROUNDDOWN($H209,0),BU$2)))))*'Inputs Yr 2'!P209*'Inputs Yr 2'!Q209*'Inputs Yr 2'!U209,"")</f>
        <v/>
      </c>
      <c r="BV209" s="775" t="str">
        <f>IFERROR(($G209*IF('Inputs Yr 2'!$AJ209=BJ$4,'Inputs Yr 2'!$AK209,IF('Inputs Yr 2'!$AL209=BJ$4,'Inputs Yr 2'!$AM209,IF('Inputs Yr 2'!$AN209=BJ$4,'Inputs Yr 2'!$AO209,0))))*(INDEX(avoidedcosttbl2,$H209,BV$2)+(($H209-ROUNDDOWN($H209,0))*(INDEX(avoidedcosttbl2,ROUNDUP($H209,0),BV$2)-(INDEX(avoidedcosttbl2,ROUNDDOWN($H209,0),BV$2)))))*'Inputs Yr 2'!P209*'Inputs Yr 2'!Q209*'Inputs Yr 2'!U209,"")</f>
        <v/>
      </c>
      <c r="BW209" s="197" t="str">
        <f>IFERROR(($G209*IF('Inputs Yr 2'!$AJ209=BN$4,'Inputs Yr 2'!$AK209,IF('Inputs Yr 2'!$AL209=BN$4,'Inputs Yr 2'!$AM209,IF('Inputs Yr 2'!$AN209=BN$4,'Inputs Yr 2'!$AO209,0))))*(INDEX(avoidedcosttbl2,$H209,BW$2)+(($H209-ROUNDDOWN($H209,0))*(INDEX(avoidedcosttbl2,ROUNDUP($H209,0),BW$2)-(INDEX(avoidedcosttbl2,ROUNDDOWN($H209,0),BW$2)))))*'Inputs Yr 2'!P209*'Inputs Yr 2'!Q209*'Inputs Yr 2'!U209,"")</f>
        <v/>
      </c>
      <c r="BX209" s="197" t="str">
        <f>IFERROR(($G209*IF('Inputs Yr 2'!$AJ209=BO$4,'Inputs Yr 2'!$AK209,IF('Inputs Yr 2'!$AL209=BO$4,'Inputs Yr 2'!$AM209,IF('Inputs Yr 2'!$AN209=BO$4,'Inputs Yr 2'!$AO209,0))))*(INDEX(avoidedcosttbl2,$H209,BX$2)+(($H209-ROUNDDOWN($H209,0))*(INDEX(avoidedcosttbl2,ROUNDUP($H209,0),BX$2)-(INDEX(avoidedcosttbl2,ROUNDDOWN($H209,0),BX$2)))))*'Inputs Yr 2'!P209*'Inputs Yr 2'!Q209*'Inputs Yr 2'!U209,"")</f>
        <v/>
      </c>
      <c r="BY209" s="197" t="str">
        <f>IFERROR(($G209*IF('Inputs Yr 2'!$AJ209=BP$4,'Inputs Yr 2'!$AK209,IF('Inputs Yr 2'!$AL209=BP$4,'Inputs Yr 2'!$AM209,IF('Inputs Yr 2'!$AN209=BP$4,'Inputs Yr 2'!$AO209,0))))*(INDEX(avoidedcosttbl2,$H209,BY$2)+(($H209-ROUNDDOWN($H209,0))*(INDEX(avoidedcosttbl2,ROUNDUP($H209,0),BY$2)-(INDEX(avoidedcosttbl2,ROUNDDOWN($H209,0),BY$2)))))*'Inputs Yr 2'!P209*'Inputs Yr 2'!Q209*'Inputs Yr 2'!U209,"")</f>
        <v/>
      </c>
      <c r="BZ209" s="193">
        <f t="shared" si="129"/>
        <v>0</v>
      </c>
      <c r="CA209" s="193">
        <f t="shared" si="130"/>
        <v>0</v>
      </c>
      <c r="CB209" s="195" t="str">
        <f>IFERROR(G209*(IF('Inputs Yr 2'!$AJ209=CB$4,'Inputs Yr 2'!$AK209,IF('Inputs Yr 2'!$AL209=CB$4,'Inputs Yr 2'!$AM209,IF('Inputs Yr 2'!$AN209=CB$4,'Inputs Yr 2'!$AO209,0))))*(INDEX(avoidedcosttbl2,$H209,CB$2)+(($H209-ROUNDDOWN($H209,0))*(INDEX(avoidedcosttbl2,ROUNDUP($H209,0),CB$2)-(INDEX(avoidedcosttbl2,ROUNDDOWN($H209,0),CB$2)))))*'Inputs Yr 2'!P209*'Inputs Yr 2'!Q209*'Inputs Yr 2'!U209,"")</f>
        <v/>
      </c>
      <c r="CC209" s="195" t="str">
        <f>IFERROR(H209*(IF('Inputs Yr 2'!$AJ209=CC$4,'Inputs Yr 2'!$AK209,IF('Inputs Yr 2'!$AL209=CC$4,'Inputs Yr 2'!$AM209,IF('Inputs Yr 2'!$AN209=CC$4,'Inputs Yr 2'!$AO209,0))))*(INDEX(avoidedcosttbl2,$H209,CC$2)+(($H209-ROUNDDOWN($H209,0))*(INDEX(avoidedcosttbl2,ROUNDUP($H209,0),CC$2)-(INDEX(avoidedcosttbl2,ROUNDDOWN($H209,0),CC$2)))))*'Inputs Yr 2'!Q209*'Inputs Yr 2'!R209*'Inputs Yr 2'!V209,"")</f>
        <v/>
      </c>
      <c r="CD209" s="195" t="str">
        <f>IFERROR(I209*(IF('Inputs Yr 2'!$AJ209=CD$4,'Inputs Yr 2'!$AK209,IF('Inputs Yr 2'!$AL209=CD$4,'Inputs Yr 2'!$AM209,IF('Inputs Yr 2'!$AN209=CD$4,'Inputs Yr 2'!$AO209,0))))*(INDEX(avoidedcosttbl2,$H209,CD$2)+(($H209-ROUNDDOWN($H209,0))*(INDEX(avoidedcosttbl2,ROUNDUP($H209,0),CD$2)-(INDEX(avoidedcosttbl2,ROUNDDOWN($H209,0),CD$2)))))*'Inputs Yr 2'!R209*'Inputs Yr 2'!S209*'Inputs Yr 2'!W209,"")</f>
        <v/>
      </c>
      <c r="CE209" s="213" t="str">
        <f t="shared" si="131"/>
        <v/>
      </c>
      <c r="CF209" s="213" t="str">
        <f t="shared" si="132"/>
        <v/>
      </c>
      <c r="CG209" s="213" t="str">
        <f t="shared" si="133"/>
        <v/>
      </c>
      <c r="CH209" s="698">
        <f t="shared" si="134"/>
        <v>0</v>
      </c>
      <c r="CI209" s="79" t="str">
        <f>IFERROR(($G209*'Inputs Yr 2'!$P209*'Inputs Yr 2'!$Q209*(((INDEX(avoidedcosttbl2,$H209,CI$2)+(($H209-ROUNDDOWN($H209,0))*(INDEX(avoidedcosttbl2,ROUNDUP($H209,0),CI$2)-INDEX(avoidedcosttbl2,ROUNDDOWN($H209,0),CI$2))))*'Inputs Yr 2'!AS209))),"")</f>
        <v/>
      </c>
      <c r="CJ209" s="504" t="str">
        <f>IFERROR($G209*'Inputs Yr 2'!AT209*'Inputs Yr 2'!$P209*'Inputs Yr 2'!$Q209/((1+realdiscrt1)^-0.5),"")</f>
        <v/>
      </c>
      <c r="CK209" s="79" t="str">
        <f>IFERROR((O209*1000*(((INDEX(avoidedcosttbl2,$H209,CK$2)+(($H209-ROUNDDOWN($H209,0))*(INDEX(avoidedcosttbl2,ROUNDUP($H209,0),CK$2)-INDEX(avoidedcosttbl2,ROUNDDOWN($H209,0),CK$2))))*'Inputs Yr 2'!AU209))),"")</f>
        <v/>
      </c>
      <c r="CL209" s="504" t="str">
        <f>IFERROR(O209*1000*'Inputs Yr 2'!AV209/((1+realdiscrt1)^-0.5),"")</f>
        <v/>
      </c>
      <c r="CM209" s="79" t="str">
        <f>IFERROR((AB209*'Inputs Yr 2'!AW209*(((INDEX(avoidedcosttbl2,$H209,CM$2)+(($H209-ROUNDDOWN($H209,0))*(INDEX(avoidedcosttbl2,ROUNDUP($H209,0),CM$2)-INDEX(avoidedcosttbl2,ROUNDDOWN($H209,0),CM$2)))))))*10,"")</f>
        <v/>
      </c>
      <c r="CN209" s="504">
        <f>IFERROR(10*AB209*'Inputs Yr 2'!AX209/((1+realdiscrt1)^-0.5),"")</f>
        <v>0</v>
      </c>
      <c r="CO209" s="505">
        <f t="shared" si="135"/>
        <v>0</v>
      </c>
      <c r="CP209" s="230">
        <f t="shared" si="136"/>
        <v>0</v>
      </c>
      <c r="CQ209" s="199">
        <f>ROUND(IFERROR(IF(LEFT($A209,1)="C",'Avoided Costs'!$K$13,'Avoided Costs'!$K$12)+1,""),4)</f>
        <v>1.0720000000000001</v>
      </c>
      <c r="CR209" s="199">
        <f>ROUND(IFERROR(IF(LEFT($A209,1)="C",'Avoided Costs'!$L$13,'Avoided Costs'!$L$12)+1,""),4)</f>
        <v>1.04</v>
      </c>
      <c r="CS209" s="199">
        <f>ROUND(IFERROR(IF(LEFT($A209,1)="C",'Avoided Costs'!$M$13,'Avoided Costs'!$M$12)+1,""),4)</f>
        <v>1.0720000000000001</v>
      </c>
      <c r="CT209" s="199">
        <f>ROUND(IFERROR(IF(LEFT($A209,1)="C",'Avoided Costs'!$N$13,'Avoided Costs'!$N$12)+1,""),4)</f>
        <v>1.04</v>
      </c>
      <c r="CU209" s="199">
        <f>ROUND(IFERROR(IF(LEFT($A209,1)="C",'Avoided Costs'!$O$13,'Avoided Costs'!$O$12)+1,""),4)</f>
        <v>1.1120000000000001</v>
      </c>
      <c r="CV209" s="199">
        <f>ROUND(IFERROR(IF(LEFT($A209,1)="C",'Avoided Costs'!$P$13,'Avoided Costs'!$P$12)+1,""),4)</f>
        <v>1.095</v>
      </c>
      <c r="CW209" s="199">
        <f>ROUND(IFERROR(IF(LEFT($A209,1)="C",'Avoided Costs'!$Q$13,'Avoided Costs'!$Q$12)+1,""),4)</f>
        <v>1.1120000000000001</v>
      </c>
      <c r="CX209" s="200">
        <f>ROUND(IFERROR(IF(LEFT($A209,1)="C",'Avoided Costs'!$R$13,'Avoided Costs'!$R$12)+1,""),4)</f>
        <v>1.1120000000000001</v>
      </c>
    </row>
    <row r="210" spans="1:102" ht="12.75" customHeight="1">
      <c r="A210" s="91" t="str">
        <f>IF('Inputs Yr 2'!$B210=0,"",'Inputs Yr 2'!A210)</f>
        <v>C - Commercial &amp; Industrial</v>
      </c>
      <c r="B210" s="91" t="str">
        <f>IF('Inputs Yr 2'!$B210=0,"",'Inputs Yr 2'!B210)</f>
        <v>C1 - C&amp;I New Construction</v>
      </c>
      <c r="C210" s="91" t="str">
        <f>IF('Inputs Yr 2'!$B210=0,"",'Inputs Yr 2'!C210)</f>
        <v xml:space="preserve">C1b - C&amp;I Initial Purchase &amp; End of Useful Life </v>
      </c>
      <c r="D210" s="91" t="str">
        <f>IF('Inputs Yr 2'!$B210=0,"",'Inputs Yr 2'!E210)</f>
        <v>Other - Custom  20</v>
      </c>
      <c r="E210" s="93" t="str">
        <f>IF('Inputs Yr 2'!$B210=0,"",'Inputs Yr 2'!F210)</f>
        <v>G16C1b10</v>
      </c>
      <c r="F210" s="93" t="str">
        <f>IF('Inputs Yr 2'!$B210=0,"",'Inputs Yr 2'!G210)</f>
        <v>Custom Measures</v>
      </c>
      <c r="G210" s="95">
        <f>IF('Inputs Yr 2'!$H210&lt;&gt;0,('Inputs Yr 2'!H210),"")</f>
        <v>1</v>
      </c>
      <c r="H210" s="94">
        <f>IFERROR('Inputs Yr 2'!I210,"")</f>
        <v>20</v>
      </c>
      <c r="I210" s="298">
        <f>IFERROR('Inputs Yr 2'!J210*'Inputs Yr 2'!P210*G210,"")</f>
        <v>106662.93853333335</v>
      </c>
      <c r="J210" s="298">
        <f>IFERROR('Inputs Yr 2'!K210*G210,"")</f>
        <v>87048.1</v>
      </c>
      <c r="K210" s="298">
        <f t="shared" si="113"/>
        <v>19614.838533333343</v>
      </c>
      <c r="L210" s="194">
        <f>IFERROR(('Inputs Yr 2'!W210*G210)/1000,"")</f>
        <v>0</v>
      </c>
      <c r="M210" s="194">
        <f>IFERROR(L210*('Inputs Yr 2'!$Q210*'Inputs Yr 2'!$V210*'Inputs Yr 2'!$R210),"")</f>
        <v>0</v>
      </c>
      <c r="N210" s="194">
        <f t="shared" si="114"/>
        <v>0</v>
      </c>
      <c r="O210" s="194">
        <f>IFERROR(M210*'Inputs Yr 2'!P210,"")</f>
        <v>0</v>
      </c>
      <c r="P210" s="194">
        <f t="shared" si="115"/>
        <v>0</v>
      </c>
      <c r="Q210" s="194">
        <f>IFERROR($P210*'Inputs Yr 2'!AA210,"")</f>
        <v>0</v>
      </c>
      <c r="R210" s="194">
        <f>IFERROR($P210*'Inputs Yr 2'!AB210,"")</f>
        <v>0</v>
      </c>
      <c r="S210" s="194">
        <f>IFERROR($P210*'Inputs Yr 2'!AC210,"")</f>
        <v>0</v>
      </c>
      <c r="T210" s="194">
        <f>IFERROR($P210*'Inputs Yr 2'!AD210,"")</f>
        <v>0</v>
      </c>
      <c r="U210" s="194">
        <f>IFERROR(G210*'Inputs Yr 2'!$AE210*'Inputs Yr 2'!$P210*'Inputs Yr 2'!$Q210,"")</f>
        <v>0</v>
      </c>
      <c r="V210" s="194">
        <f>IFERROR($G210*'Inputs Yr 2'!$AE210*'Inputs Yr 2'!$AG210*'Inputs Yr 2'!Q210*'Inputs Yr 2'!$S210,"")</f>
        <v>0</v>
      </c>
      <c r="W210" s="194">
        <f>IFERROR($G210*'Inputs Yr 2'!$AE210*'Inputs Yr 2'!$AG210*'Inputs Yr 2'!P210*'Inputs Yr 2'!Q210*'Inputs Yr 2'!$S210,"")</f>
        <v>0</v>
      </c>
      <c r="X210" s="194">
        <f>IFERROR($G210*'Inputs Yr 2'!$AE210*'Inputs Yr 2'!$AF210*'Inputs Yr 2'!Q210*'Inputs Yr 2'!$T210,"")</f>
        <v>0</v>
      </c>
      <c r="Y210" s="194">
        <f>IFERROR($G210*'Inputs Yr 2'!$AE210*'Inputs Yr 2'!$AF210*'Inputs Yr 2'!P210*'Inputs Yr 2'!Q210*'Inputs Yr 2'!$T210,"")</f>
        <v>0</v>
      </c>
      <c r="Z210" s="257">
        <f>IFERROR($G210*'Inputs Yr 2'!$Q210*'Inputs Yr 2'!$U210*(IF(IFERROR(SEARCH("NG", 'Inputs Yr 2'!$AJ210),0),'Inputs Yr 2'!$AK210,0)+IF(IFERROR(SEARCH("NG", 'Inputs Yr 2'!$AL210),0),'Inputs Yr 2'!$AM210,0)+IF(IFERROR(SEARCH("NG", 'Inputs Yr 2'!$AN210),0),'Inputs Yr 2'!$AO210,0)),0)</f>
        <v>3390.6754000000005</v>
      </c>
      <c r="AA210" s="257">
        <f t="shared" si="116"/>
        <v>67813.508000000016</v>
      </c>
      <c r="AB210" s="257">
        <f>IFERROR(Z210*'Inputs Yr 2'!$P210,0)</f>
        <v>3116.0306926000007</v>
      </c>
      <c r="AC210" s="257">
        <f t="shared" si="117"/>
        <v>62320.613852000017</v>
      </c>
      <c r="AD210" s="257">
        <f>IFERROR($G210*'Inputs Yr 2'!$Q210*'Inputs Yr 2'!$U210*(IF(IFERROR(SEARCH("Oil", 'Inputs Yr 2'!$AJ210), 0),'Inputs Yr 2'!$AK210,0)+IF(IFERROR(SEARCH("Oil", 'Inputs Yr 2'!$AL210), 0),'Inputs Yr 2'!$AM210,0)+IF(IFERROR(SEARCH("Oil", 'Inputs Yr 2'!$AN210), 0),'Inputs Yr 2'!$AO210,0)),0)</f>
        <v>0</v>
      </c>
      <c r="AE210" s="257">
        <f t="shared" si="118"/>
        <v>0</v>
      </c>
      <c r="AF210" s="257">
        <f>IFERROR(AD210*'Inputs Yr 2'!$P210,0)</f>
        <v>0</v>
      </c>
      <c r="AG210" s="257">
        <f t="shared" si="119"/>
        <v>0</v>
      </c>
      <c r="AH210" s="257">
        <f>IFERROR($G210*'Inputs Yr 2'!$Q210*'Inputs Yr 2'!$U210*(IF('Inputs Yr 2'!$AJ210=CD$4,'Inputs Yr 2'!$AK210,IF('Inputs Yr 2'!$AL210=CD$4,'Inputs Yr 2'!$AM210,IF('Inputs Yr 2'!$AN210=CD$4,'Inputs Yr 2'!$AO210,0)))),0)</f>
        <v>0</v>
      </c>
      <c r="AI210" s="257">
        <f t="shared" si="120"/>
        <v>0</v>
      </c>
      <c r="AJ210" s="257">
        <f>IFERROR(AH210*'Inputs Yr 2'!$P210,0)</f>
        <v>0</v>
      </c>
      <c r="AK210" s="257">
        <f t="shared" si="121"/>
        <v>0</v>
      </c>
      <c r="AL210" s="258">
        <f>IFERROR($G210*'Inputs Yr 2'!$P210*'Inputs Yr 2'!$Q210*'Inputs Yr 2'!AP210,0)</f>
        <v>0</v>
      </c>
      <c r="AM210" s="260">
        <f>IFERROR($G210*'Inputs Yr 2'!$P210*'Inputs Yr 2'!$Q210*'Inputs Yr 2'!AQ210,0)</f>
        <v>0</v>
      </c>
      <c r="AN210" s="258">
        <f>IFERROR($G210*'Inputs Yr 2'!$P210*'Inputs Yr 2'!$Q210*'Inputs Yr 2'!AR210,0)</f>
        <v>0</v>
      </c>
      <c r="AO210" s="257">
        <f t="shared" si="122"/>
        <v>0</v>
      </c>
      <c r="AP210" s="195">
        <f>IFERROR($CQ210*(INDEX(avoidedcosttbl2,$H210,AP$2)+(($H210-ROUNDDOWN($H210,0))*(INDEX(avoidedcosttbl2,ROUNDUP($H210,0),AP$2)-(INDEX(avoidedcosttbl2,ROUNDDOWN($H210,0),AP$2)))))*$O210*1000*'Inputs Yr 2'!AA210,"")</f>
        <v>0</v>
      </c>
      <c r="AQ210" s="195">
        <f>IFERROR($CR210*(INDEX(avoidedcosttbl2,$H210,AQ$2)+(($H210-ROUNDDOWN($H210,0))*(INDEX(avoidedcosttbl2,ROUNDUP($H210,0),AQ$2)-(INDEX(avoidedcosttbl2,ROUNDDOWN($H210,0),AQ$2)))))*$O210*1000*'Inputs Yr 2'!AB210,"")</f>
        <v>0</v>
      </c>
      <c r="AR210" s="195">
        <f>IFERROR($CS210*(INDEX(avoidedcosttbl2,$H210,AR$2)+(($H210-ROUNDDOWN($H210,0))*(INDEX(avoidedcosttbl2,ROUNDUP($H210,0),AR$2)-(INDEX(avoidedcosttbl2,ROUNDDOWN($H210,0),AR$2)))))*$O210*1000*'Inputs Yr 2'!AC210,"")</f>
        <v>0</v>
      </c>
      <c r="AS210" s="195">
        <f>IFERROR($CT210*(INDEX(avoidedcosttbl2,$H210,AS$2)+(($H210-ROUNDDOWN($H210,0))*(INDEX(avoidedcosttbl2,ROUNDUP($H210,0),AS$2)-(INDEX(avoidedcosttbl2,ROUNDDOWN($H210,0),AS$2)))))*$O210*1000*'Inputs Yr 2'!AD210,"")</f>
        <v>0</v>
      </c>
      <c r="AT210" s="196">
        <f t="shared" si="123"/>
        <v>0</v>
      </c>
      <c r="AU210" s="197">
        <f>IFERROR($CQ210*((INDEX(avoidedcosttbl2,$H210,AU$2))+(($H210-ROUNDDOWN($H210,0))*((INDEX(avoidedcosttbl2,ROUNDUP($H210,0),AU$2))-(INDEX(avoidedcosttbl2,ROUNDDOWN($H210,0),AU$2)))))*$O210*1000*'Inputs Yr 2'!AA210,"")</f>
        <v>0</v>
      </c>
      <c r="AV210" s="197">
        <f>IFERROR($CR210*((INDEX(avoidedcosttbl2,$H210,AV$2))+(($H210-ROUNDDOWN($H210,0))*((INDEX(avoidedcosttbl2,ROUNDUP($H210,0),AV$2))-(INDEX(avoidedcosttbl2,ROUNDDOWN($H210,0),AV$2)))))*$O210*1000*'Inputs Yr 2'!AB210,"")</f>
        <v>0</v>
      </c>
      <c r="AW210" s="197">
        <f>IFERROR($CS210*((INDEX(avoidedcosttbl2,$H210,AW$2))+(($H210-ROUNDDOWN($H210,0))*((INDEX(avoidedcosttbl2,ROUNDUP($H210,0),AW$2))-(INDEX(avoidedcosttbl2,ROUNDDOWN($H210,0),AW$2)))))*$O210*1000*'Inputs Yr 2'!AC210,"")</f>
        <v>0</v>
      </c>
      <c r="AX210" s="197">
        <f>IFERROR($CT210*((INDEX(avoidedcosttbl2,$H210,AX$2))+(($H210-ROUNDDOWN($H210,0))*((INDEX(avoidedcosttbl2,ROUNDUP($H210,0),AX$2))-(INDEX(avoidedcosttbl2,ROUNDDOWN($H210,0),AX$2)))))*$O210*1000*'Inputs Yr 2'!AD210,"")</f>
        <v>0</v>
      </c>
      <c r="AY210" s="197">
        <f>IFERROR(((INDEX(avoidedcosttbl2,$H210,AY$2))+(($H210-ROUNDDOWN($H210,0))*((INDEX(avoidedcosttbl2,ROUNDUP($H210,0),AY$2))-(INDEX(avoidedcosttbl2,ROUNDDOWN($H210,0),AY$2)))))*$O210*1000*('Inputs Yr 2'!AC210+'Inputs Yr 2'!AD210),"")</f>
        <v>0</v>
      </c>
      <c r="AZ210" s="197">
        <f>IFERROR(((INDEX(avoidedcosttbl2,$H210,AZ$2))+(($H210-ROUNDDOWN($H210,0))*((INDEX(avoidedcosttbl2,ROUNDUP($H210,0),AZ$2))-(INDEX(avoidedcosttbl2,ROUNDDOWN($H210,0),AZ$2)))))*$O210*1000*('Inputs Yr 2'!AA210+'Inputs Yr 2'!AB210),"")</f>
        <v>0</v>
      </c>
      <c r="BA210" s="198">
        <f t="shared" si="124"/>
        <v>0</v>
      </c>
      <c r="BB210" s="198">
        <f t="shared" si="125"/>
        <v>0</v>
      </c>
      <c r="BC210" s="195">
        <f t="shared" si="107"/>
        <v>0</v>
      </c>
      <c r="BD210" s="195">
        <f t="shared" si="108"/>
        <v>0</v>
      </c>
      <c r="BE210" s="195">
        <f t="shared" si="109"/>
        <v>0</v>
      </c>
      <c r="BF210" s="195">
        <f t="shared" si="110"/>
        <v>0</v>
      </c>
      <c r="BG210" s="195">
        <f t="shared" si="111"/>
        <v>0</v>
      </c>
      <c r="BH210" s="196">
        <f t="shared" si="126"/>
        <v>0</v>
      </c>
      <c r="BI210" s="196">
        <f t="shared" si="127"/>
        <v>0</v>
      </c>
      <c r="BJ210" s="195">
        <f>IFERROR($G210*(IF('Inputs Yr 2'!$AJ210=BJ$4,'Inputs Yr 2'!$AK210,IF('Inputs Yr 2'!$AL210=BJ$4,'Inputs Yr 2'!$AM210,IF('Inputs Yr 2'!$AN210=BJ$4,'Inputs Yr 2'!$AO210,0))))*(INDEX(avoidedcosttbl2,$H210,BJ$2)+(($H210-ROUNDDOWN($H210,0))*(INDEX(avoidedcosttbl2,ROUNDUP($H210,0),BJ$2)-(INDEX(avoidedcosttbl2,ROUNDDOWN($H210,0),BJ$2)))))*'Inputs Yr 2'!P210*'Inputs Yr 2'!Q210*'Inputs Yr 2'!U210,"")</f>
        <v>0</v>
      </c>
      <c r="BK210" s="195">
        <f>IFERROR($G210*(IF('Inputs Yr 2'!$AJ210=BK$4,'Inputs Yr 2'!$AK210,IF('Inputs Yr 2'!$AL210=BK$4,'Inputs Yr 2'!$AM210,IF('Inputs Yr 2'!$AN210=BK$4,'Inputs Yr 2'!$AO210,0))))*(INDEX(avoidedcosttbl2,$H210,BK$2)+(($H210-ROUNDDOWN($H210,0))*(INDEX(avoidedcosttbl2,ROUNDUP($H210,0),BK$2)-(INDEX(avoidedcosttbl2,ROUNDDOWN($H210,0),BK$2)))))*'Inputs Yr 2'!P210*'Inputs Yr 2'!Q210*'Inputs Yr 2'!U210,"")</f>
        <v>0</v>
      </c>
      <c r="BL210" s="195">
        <f>IFERROR($G210*(IF('Inputs Yr 2'!$AJ210=BL$4,'Inputs Yr 2'!$AK210,IF('Inputs Yr 2'!$AL210=BL$4,'Inputs Yr 2'!$AM210,IF('Inputs Yr 2'!$AN210=BL$4,'Inputs Yr 2'!$AO210,0))))*(INDEX(avoidedcosttbl2,$H210,BL$2)+(($H210-ROUNDDOWN($H210,0))*(INDEX(avoidedcosttbl2,ROUNDUP($H210,0),BL$2)-(INDEX(avoidedcosttbl2,ROUNDDOWN($H210,0),BL$2)))))*'Inputs Yr 2'!P210*'Inputs Yr 2'!Q210*'Inputs Yr 2'!U210,"")</f>
        <v>0</v>
      </c>
      <c r="BM210" s="195">
        <f>IFERROR($G210*(IF('Inputs Yr 2'!$AJ210=BM$4,'Inputs Yr 2'!$AK210,IF('Inputs Yr 2'!$AL210=BM$4,'Inputs Yr 2'!$AM210,IF('Inputs Yr 2'!$AN210=BM$4,'Inputs Yr 2'!$AO210,0))))*(INDEX(avoidedcosttbl2,$H210,BM$2)+(($H210-ROUNDDOWN($H210,0))*(INDEX(avoidedcosttbl2,ROUNDUP($H210,0),BM$2)-(INDEX(avoidedcosttbl2,ROUNDDOWN($H210,0),BM$2)))))*'Inputs Yr 2'!P210*'Inputs Yr 2'!Q210*'Inputs Yr 2'!U210,"")</f>
        <v>0</v>
      </c>
      <c r="BN210" s="195">
        <f>IFERROR($G210*(IF('Inputs Yr 2'!$AJ210=BN$4,'Inputs Yr 2'!$AK210,IF('Inputs Yr 2'!$AL210=BN$4,'Inputs Yr 2'!$AM210,IF('Inputs Yr 2'!$AN210=BN$4,'Inputs Yr 2'!$AO210,0))))*(INDEX(avoidedcosttbl2,$H210,BN$2)+(($H210-ROUNDDOWN($H210,0))*(INDEX(avoidedcosttbl2,ROUNDUP($H210,0),BN$2)-(INDEX(avoidedcosttbl2,ROUNDDOWN($H210,0),BN$2)))))*'Inputs Yr 2'!P210*'Inputs Yr 2'!Q210*'Inputs Yr 2'!U210,"")</f>
        <v>0</v>
      </c>
      <c r="BO210" s="195">
        <f>IFERROR($G210*(IF('Inputs Yr 2'!$AJ210=BO$4,'Inputs Yr 2'!$AK210,IF('Inputs Yr 2'!$AL210=BO$4,'Inputs Yr 2'!$AM210,IF('Inputs Yr 2'!$AN210=BO$4,'Inputs Yr 2'!$AO210,0))))*(INDEX(avoidedcosttbl2,$H210,BO$2)+(($H210-ROUNDDOWN($H210,0))*(INDEX(avoidedcosttbl2,ROUNDUP($H210,0),BO$2)-(INDEX(avoidedcosttbl2,ROUNDDOWN($H210,0),BO$2)))))*'Inputs Yr 2'!P210*'Inputs Yr 2'!Q210*'Inputs Yr 2'!U210,"")</f>
        <v>0</v>
      </c>
      <c r="BP210" s="195">
        <f>IFERROR($G210*(IF('Inputs Yr 2'!$AJ210=BP$4,'Inputs Yr 2'!$AK210,IF('Inputs Yr 2'!$AL210=BP$4,'Inputs Yr 2'!$AM210,IF('Inputs Yr 2'!$AN210=BP$4,'Inputs Yr 2'!$AO210,0))))*(INDEX(avoidedcosttbl2,$H210,BP$2)+(($H210-ROUNDDOWN($H210,0))*(INDEX(avoidedcosttbl2,ROUNDUP($H210,0),BP$2)-(INDEX(avoidedcosttbl2,ROUNDDOWN($H210,0),BP$2)))))*'Inputs Yr 2'!P210*'Inputs Yr 2'!Q210*'Inputs Yr 2'!U210,"")</f>
        <v>482552.57169207203</v>
      </c>
      <c r="BQ210" s="230">
        <f t="shared" si="128"/>
        <v>482552.57169207203</v>
      </c>
      <c r="BR210" s="197">
        <f t="shared" si="112"/>
        <v>8356.0221037990614</v>
      </c>
      <c r="BS210" s="197">
        <f>IFERROR(($G210*IF('Inputs Yr 2'!$AJ210=BM$4,'Inputs Yr 2'!$AK210,IF('Inputs Yr 2'!$AL210=BM$4,'Inputs Yr 2'!$AM210,IF('Inputs Yr 2'!$AN210=BM$4,'Inputs Yr 2'!$AO210,0))))*(INDEX(avoidedcosttbl2,$H210,BS$2)+(($H210-ROUNDDOWN($H210,0))*(INDEX(avoidedcosttbl2,ROUNDUP($H210,0),BS$2)-(INDEX(avoidedcosttbl2,ROUNDDOWN($H210,0),BS$2)))))*'Inputs Yr 2'!P210*'Inputs Yr 2'!Q210*'Inputs Yr 2'!U210,"")</f>
        <v>0</v>
      </c>
      <c r="BT210" s="197">
        <f>IFERROR(($G210*IF('Inputs Yr 2'!$AJ210=BK$4,'Inputs Yr 2'!$AK210,IF('Inputs Yr 2'!$AL210=BK$4,'Inputs Yr 2'!$AM210,IF('Inputs Yr 2'!$AN210=BK$4,'Inputs Yr 2'!$AO210,0))))*(INDEX(avoidedcosttbl2,$H210,BT$2)+(($H210-ROUNDDOWN($H210,0))*(INDEX(avoidedcosttbl2,ROUNDUP($H210,0),BT$2)-(INDEX(avoidedcosttbl2,ROUNDDOWN($H210,0),BT$2)))))*'Inputs Yr 2'!P210*'Inputs Yr 2'!Q210*'Inputs Yr 2'!U210,"")</f>
        <v>0</v>
      </c>
      <c r="BU210" s="197">
        <f>IFERROR(($G210*IF('Inputs Yr 2'!$AJ210=BL$4,'Inputs Yr 2'!$AK210,IF('Inputs Yr 2'!$AL210=BL$4,'Inputs Yr 2'!$AM210,IF('Inputs Yr 2'!$AN210=BL$4,'Inputs Yr 2'!$AO210,0))))*(INDEX(avoidedcosttbl2,$H210,BU$2)+(($H210-ROUNDDOWN($H210,0))*(INDEX(avoidedcosttbl2,ROUNDUP($H210,0),BU$2)-(INDEX(avoidedcosttbl2,ROUNDDOWN($H210,0),BU$2)))))*'Inputs Yr 2'!P210*'Inputs Yr 2'!Q210*'Inputs Yr 2'!U210,"")</f>
        <v>0</v>
      </c>
      <c r="BV210" s="775">
        <f>IFERROR(($G210*IF('Inputs Yr 2'!$AJ210=BJ$4,'Inputs Yr 2'!$AK210,IF('Inputs Yr 2'!$AL210=BJ$4,'Inputs Yr 2'!$AM210,IF('Inputs Yr 2'!$AN210=BJ$4,'Inputs Yr 2'!$AO210,0))))*(INDEX(avoidedcosttbl2,$H210,BV$2)+(($H210-ROUNDDOWN($H210,0))*(INDEX(avoidedcosttbl2,ROUNDUP($H210,0),BV$2)-(INDEX(avoidedcosttbl2,ROUNDDOWN($H210,0),BV$2)))))*'Inputs Yr 2'!P210*'Inputs Yr 2'!Q210*'Inputs Yr 2'!U210,"")</f>
        <v>0</v>
      </c>
      <c r="BW210" s="197">
        <f>IFERROR(($G210*IF('Inputs Yr 2'!$AJ210=BN$4,'Inputs Yr 2'!$AK210,IF('Inputs Yr 2'!$AL210=BN$4,'Inputs Yr 2'!$AM210,IF('Inputs Yr 2'!$AN210=BN$4,'Inputs Yr 2'!$AO210,0))))*(INDEX(avoidedcosttbl2,$H210,BW$2)+(($H210-ROUNDDOWN($H210,0))*(INDEX(avoidedcosttbl2,ROUNDUP($H210,0),BW$2)-(INDEX(avoidedcosttbl2,ROUNDDOWN($H210,0),BW$2)))))*'Inputs Yr 2'!P210*'Inputs Yr 2'!Q210*'Inputs Yr 2'!U210,"")</f>
        <v>0</v>
      </c>
      <c r="BX210" s="197">
        <f>IFERROR(($G210*IF('Inputs Yr 2'!$AJ210=BO$4,'Inputs Yr 2'!$AK210,IF('Inputs Yr 2'!$AL210=BO$4,'Inputs Yr 2'!$AM210,IF('Inputs Yr 2'!$AN210=BO$4,'Inputs Yr 2'!$AO210,0))))*(INDEX(avoidedcosttbl2,$H210,BX$2)+(($H210-ROUNDDOWN($H210,0))*(INDEX(avoidedcosttbl2,ROUNDUP($H210,0),BX$2)-(INDEX(avoidedcosttbl2,ROUNDDOWN($H210,0),BX$2)))))*'Inputs Yr 2'!P210*'Inputs Yr 2'!Q210*'Inputs Yr 2'!U210,"")</f>
        <v>0</v>
      </c>
      <c r="BY210" s="197">
        <f>IFERROR(($G210*IF('Inputs Yr 2'!$AJ210=BP$4,'Inputs Yr 2'!$AK210,IF('Inputs Yr 2'!$AL210=BP$4,'Inputs Yr 2'!$AM210,IF('Inputs Yr 2'!$AN210=BP$4,'Inputs Yr 2'!$AO210,0))))*(INDEX(avoidedcosttbl2,$H210,BY$2)+(($H210-ROUNDDOWN($H210,0))*(INDEX(avoidedcosttbl2,ROUNDUP($H210,0),BY$2)-(INDEX(avoidedcosttbl2,ROUNDDOWN($H210,0),BY$2)))))*'Inputs Yr 2'!P210*'Inputs Yr 2'!Q210*'Inputs Yr 2'!U210,"")</f>
        <v>29149.244570748022</v>
      </c>
      <c r="BZ210" s="193">
        <f t="shared" si="129"/>
        <v>37505.266674547085</v>
      </c>
      <c r="CA210" s="193">
        <f t="shared" si="130"/>
        <v>520057.83836661914</v>
      </c>
      <c r="CB210" s="195">
        <f>IFERROR(G210*(IF('Inputs Yr 2'!$AJ210=CB$4,'Inputs Yr 2'!$AK210,IF('Inputs Yr 2'!$AL210=CB$4,'Inputs Yr 2'!$AM210,IF('Inputs Yr 2'!$AN210=CB$4,'Inputs Yr 2'!$AO210,0))))*(INDEX(avoidedcosttbl2,$H210,CB$2)+(($H210-ROUNDDOWN($H210,0))*(INDEX(avoidedcosttbl2,ROUNDUP($H210,0),CB$2)-(INDEX(avoidedcosttbl2,ROUNDDOWN($H210,0),CB$2)))))*'Inputs Yr 2'!P210*'Inputs Yr 2'!Q210*'Inputs Yr 2'!U210,"")</f>
        <v>0</v>
      </c>
      <c r="CC210" s="195">
        <f>IFERROR(H210*(IF('Inputs Yr 2'!$AJ210=CC$4,'Inputs Yr 2'!$AK210,IF('Inputs Yr 2'!$AL210=CC$4,'Inputs Yr 2'!$AM210,IF('Inputs Yr 2'!$AN210=CC$4,'Inputs Yr 2'!$AO210,0))))*(INDEX(avoidedcosttbl2,$H210,CC$2)+(($H210-ROUNDDOWN($H210,0))*(INDEX(avoidedcosttbl2,ROUNDUP($H210,0),CC$2)-(INDEX(avoidedcosttbl2,ROUNDDOWN($H210,0),CC$2)))))*'Inputs Yr 2'!Q210*'Inputs Yr 2'!R210*'Inputs Yr 2'!V210,"")</f>
        <v>0</v>
      </c>
      <c r="CD210" s="195">
        <f>IFERROR(I210*(IF('Inputs Yr 2'!$AJ210=CD$4,'Inputs Yr 2'!$AK210,IF('Inputs Yr 2'!$AL210=CD$4,'Inputs Yr 2'!$AM210,IF('Inputs Yr 2'!$AN210=CD$4,'Inputs Yr 2'!$AO210,0))))*(INDEX(avoidedcosttbl2,$H210,CD$2)+(($H210-ROUNDDOWN($H210,0))*(INDEX(avoidedcosttbl2,ROUNDUP($H210,0),CD$2)-(INDEX(avoidedcosttbl2,ROUNDDOWN($H210,0),CD$2)))))*'Inputs Yr 2'!R210*'Inputs Yr 2'!S210*'Inputs Yr 2'!W210,"")</f>
        <v>0</v>
      </c>
      <c r="CE210" s="213">
        <f t="shared" si="131"/>
        <v>0</v>
      </c>
      <c r="CF210" s="213">
        <f t="shared" si="132"/>
        <v>0</v>
      </c>
      <c r="CG210" s="213">
        <f t="shared" si="133"/>
        <v>0</v>
      </c>
      <c r="CH210" s="698">
        <f t="shared" si="134"/>
        <v>520057.83836661914</v>
      </c>
      <c r="CI210" s="79">
        <f>IFERROR(($G210*'Inputs Yr 2'!$P210*'Inputs Yr 2'!$Q210*(((INDEX(avoidedcosttbl2,$H210,CI$2)+(($H210-ROUNDDOWN($H210,0))*(INDEX(avoidedcosttbl2,ROUNDUP($H210,0),CI$2)-INDEX(avoidedcosttbl2,ROUNDDOWN($H210,0),CI$2))))*'Inputs Yr 2'!AS210))),"")</f>
        <v>0</v>
      </c>
      <c r="CJ210" s="504">
        <f>IFERROR($G210*'Inputs Yr 2'!AT210*'Inputs Yr 2'!$P210*'Inputs Yr 2'!$Q210/((1+realdiscrt1)^-0.5),"")</f>
        <v>0</v>
      </c>
      <c r="CK210" s="79">
        <f>IFERROR((O210*1000*(((INDEX(avoidedcosttbl2,$H210,CK$2)+(($H210-ROUNDDOWN($H210,0))*(INDEX(avoidedcosttbl2,ROUNDUP($H210,0),CK$2)-INDEX(avoidedcosttbl2,ROUNDDOWN($H210,0),CK$2))))*'Inputs Yr 2'!AU210))),"")</f>
        <v>0</v>
      </c>
      <c r="CL210" s="504">
        <f>IFERROR(O210*1000*'Inputs Yr 2'!AV210/((1+realdiscrt1)^-0.5),"")</f>
        <v>0</v>
      </c>
      <c r="CM210" s="79">
        <f>IFERROR((AB210*'Inputs Yr 2'!AW210*(((INDEX(avoidedcosttbl2,$H210,CM$2)+(($H210-ROUNDDOWN($H210,0))*(INDEX(avoidedcosttbl2,ROUNDUP($H210,0),CM$2)-INDEX(avoidedcosttbl2,ROUNDDOWN($H210,0),CM$2)))))))*10,"")</f>
        <v>0</v>
      </c>
      <c r="CN210" s="504">
        <f>IFERROR(10*AB210*'Inputs Yr 2'!AX210/((1+realdiscrt1)^-0.5),"")</f>
        <v>0</v>
      </c>
      <c r="CO210" s="505">
        <f t="shared" si="135"/>
        <v>0</v>
      </c>
      <c r="CP210" s="230">
        <f t="shared" si="136"/>
        <v>520057.83836661914</v>
      </c>
      <c r="CQ210" s="199">
        <f>ROUND(IFERROR(IF(LEFT($A210,1)="C",'Avoided Costs'!$K$13,'Avoided Costs'!$K$12)+1,""),4)</f>
        <v>1.0720000000000001</v>
      </c>
      <c r="CR210" s="199">
        <f>ROUND(IFERROR(IF(LEFT($A210,1)="C",'Avoided Costs'!$L$13,'Avoided Costs'!$L$12)+1,""),4)</f>
        <v>1.04</v>
      </c>
      <c r="CS210" s="199">
        <f>ROUND(IFERROR(IF(LEFT($A210,1)="C",'Avoided Costs'!$M$13,'Avoided Costs'!$M$12)+1,""),4)</f>
        <v>1.0720000000000001</v>
      </c>
      <c r="CT210" s="199">
        <f>ROUND(IFERROR(IF(LEFT($A210,1)="C",'Avoided Costs'!$N$13,'Avoided Costs'!$N$12)+1,""),4)</f>
        <v>1.04</v>
      </c>
      <c r="CU210" s="199">
        <f>ROUND(IFERROR(IF(LEFT($A210,1)="C",'Avoided Costs'!$O$13,'Avoided Costs'!$O$12)+1,""),4)</f>
        <v>1.1120000000000001</v>
      </c>
      <c r="CV210" s="199">
        <f>ROUND(IFERROR(IF(LEFT($A210,1)="C",'Avoided Costs'!$P$13,'Avoided Costs'!$P$12)+1,""),4)</f>
        <v>1.095</v>
      </c>
      <c r="CW210" s="199">
        <f>ROUND(IFERROR(IF(LEFT($A210,1)="C",'Avoided Costs'!$Q$13,'Avoided Costs'!$Q$12)+1,""),4)</f>
        <v>1.1120000000000001</v>
      </c>
      <c r="CX210" s="200">
        <f>ROUND(IFERROR(IF(LEFT($A210,1)="C",'Avoided Costs'!$R$13,'Avoided Costs'!$R$12)+1,""),4)</f>
        <v>1.1120000000000001</v>
      </c>
    </row>
    <row r="211" spans="1:102" ht="12.75" customHeight="1">
      <c r="A211" s="91" t="str">
        <f>IF('Inputs Yr 2'!$B211=0,"",'Inputs Yr 2'!A211)</f>
        <v>C - Commercial &amp; Industrial</v>
      </c>
      <c r="B211" s="91" t="str">
        <f>IF('Inputs Yr 2'!$B211=0,"",'Inputs Yr 2'!B211)</f>
        <v>C1 - C&amp;I New Construction</v>
      </c>
      <c r="C211" s="91" t="str">
        <f>IF('Inputs Yr 2'!$B211=0,"",'Inputs Yr 2'!C211)</f>
        <v xml:space="preserve">C1b - C&amp;I Initial Purchase &amp; End of Useful Life </v>
      </c>
      <c r="D211" s="91" t="str">
        <f>IF('Inputs Yr 2'!$B211=0,"",'Inputs Yr 2'!E211)</f>
        <v>Process - Custom  10</v>
      </c>
      <c r="E211" s="93" t="str">
        <f>IF('Inputs Yr 2'!$B211=0,"",'Inputs Yr 2'!F211)</f>
        <v>G16C1b11</v>
      </c>
      <c r="F211" s="93" t="str">
        <f>IF('Inputs Yr 2'!$B211=0,"",'Inputs Yr 2'!G211)</f>
        <v>Process</v>
      </c>
      <c r="G211" s="95">
        <f>IF('Inputs Yr 2'!$H211&lt;&gt;0,('Inputs Yr 2'!H211),"")</f>
        <v>1</v>
      </c>
      <c r="H211" s="94">
        <f>IFERROR('Inputs Yr 2'!I211,"")</f>
        <v>10</v>
      </c>
      <c r="I211" s="298">
        <f>IFERROR('Inputs Yr 2'!J211*'Inputs Yr 2'!P211*G211,"")</f>
        <v>2437.1880000000001</v>
      </c>
      <c r="J211" s="298">
        <f>IFERROR('Inputs Yr 2'!K211*G211,"")</f>
        <v>1989</v>
      </c>
      <c r="K211" s="298">
        <f t="shared" si="113"/>
        <v>448.1880000000001</v>
      </c>
      <c r="L211" s="194">
        <f>IFERROR(('Inputs Yr 2'!W211*G211)/1000,"")</f>
        <v>0</v>
      </c>
      <c r="M211" s="194">
        <f>IFERROR(L211*('Inputs Yr 2'!$Q211*'Inputs Yr 2'!$V211*'Inputs Yr 2'!$R211),"")</f>
        <v>0</v>
      </c>
      <c r="N211" s="194">
        <f t="shared" si="114"/>
        <v>0</v>
      </c>
      <c r="O211" s="194">
        <f>IFERROR(M211*'Inputs Yr 2'!P211,"")</f>
        <v>0</v>
      </c>
      <c r="P211" s="194">
        <f t="shared" si="115"/>
        <v>0</v>
      </c>
      <c r="Q211" s="194">
        <f>IFERROR($P211*'Inputs Yr 2'!AA211,"")</f>
        <v>0</v>
      </c>
      <c r="R211" s="194">
        <f>IFERROR($P211*'Inputs Yr 2'!AB211,"")</f>
        <v>0</v>
      </c>
      <c r="S211" s="194">
        <f>IFERROR($P211*'Inputs Yr 2'!AC211,"")</f>
        <v>0</v>
      </c>
      <c r="T211" s="194">
        <f>IFERROR($P211*'Inputs Yr 2'!AD211,"")</f>
        <v>0</v>
      </c>
      <c r="U211" s="194">
        <f>IFERROR(G211*'Inputs Yr 2'!$AE211*'Inputs Yr 2'!$P211*'Inputs Yr 2'!$Q211,"")</f>
        <v>0</v>
      </c>
      <c r="V211" s="194">
        <f>IFERROR($G211*'Inputs Yr 2'!$AE211*'Inputs Yr 2'!$AG211*'Inputs Yr 2'!Q211*'Inputs Yr 2'!$S211,"")</f>
        <v>0</v>
      </c>
      <c r="W211" s="194">
        <f>IFERROR($G211*'Inputs Yr 2'!$AE211*'Inputs Yr 2'!$AG211*'Inputs Yr 2'!P211*'Inputs Yr 2'!Q211*'Inputs Yr 2'!$S211,"")</f>
        <v>0</v>
      </c>
      <c r="X211" s="194">
        <f>IFERROR($G211*'Inputs Yr 2'!$AE211*'Inputs Yr 2'!$AF211*'Inputs Yr 2'!Q211*'Inputs Yr 2'!$T211,"")</f>
        <v>0</v>
      </c>
      <c r="Y211" s="194">
        <f>IFERROR($G211*'Inputs Yr 2'!$AE211*'Inputs Yr 2'!$AF211*'Inputs Yr 2'!P211*'Inputs Yr 2'!Q211*'Inputs Yr 2'!$T211,"")</f>
        <v>0</v>
      </c>
      <c r="Z211" s="257">
        <f>IFERROR($G211*'Inputs Yr 2'!$Q211*'Inputs Yr 2'!$U211*(IF(IFERROR(SEARCH("NG", 'Inputs Yr 2'!$AJ211),0),'Inputs Yr 2'!$AK211,0)+IF(IFERROR(SEARCH("NG", 'Inputs Yr 2'!$AL211),0),'Inputs Yr 2'!$AM211,0)+IF(IFERROR(SEARCH("NG", 'Inputs Yr 2'!$AN211),0),'Inputs Yr 2'!$AO211,0)),0)</f>
        <v>103.2954</v>
      </c>
      <c r="AA211" s="257">
        <f t="shared" si="116"/>
        <v>1032.954</v>
      </c>
      <c r="AB211" s="257">
        <f>IFERROR(Z211*'Inputs Yr 2'!$P211,0)</f>
        <v>94.928472600000006</v>
      </c>
      <c r="AC211" s="257">
        <f t="shared" si="117"/>
        <v>949.28472600000009</v>
      </c>
      <c r="AD211" s="257">
        <f>IFERROR($G211*'Inputs Yr 2'!$Q211*'Inputs Yr 2'!$U211*(IF(IFERROR(SEARCH("Oil", 'Inputs Yr 2'!$AJ211), 0),'Inputs Yr 2'!$AK211,0)+IF(IFERROR(SEARCH("Oil", 'Inputs Yr 2'!$AL211), 0),'Inputs Yr 2'!$AM211,0)+IF(IFERROR(SEARCH("Oil", 'Inputs Yr 2'!$AN211), 0),'Inputs Yr 2'!$AO211,0)),0)</f>
        <v>0</v>
      </c>
      <c r="AE211" s="257">
        <f t="shared" si="118"/>
        <v>0</v>
      </c>
      <c r="AF211" s="257">
        <f>IFERROR(AD211*'Inputs Yr 2'!$P211,0)</f>
        <v>0</v>
      </c>
      <c r="AG211" s="257">
        <f t="shared" si="119"/>
        <v>0</v>
      </c>
      <c r="AH211" s="257">
        <f>IFERROR($G211*'Inputs Yr 2'!$Q211*'Inputs Yr 2'!$U211*(IF('Inputs Yr 2'!$AJ211=CD$4,'Inputs Yr 2'!$AK211,IF('Inputs Yr 2'!$AL211=CD$4,'Inputs Yr 2'!$AM211,IF('Inputs Yr 2'!$AN211=CD$4,'Inputs Yr 2'!$AO211,0)))),0)</f>
        <v>0</v>
      </c>
      <c r="AI211" s="257">
        <f t="shared" si="120"/>
        <v>0</v>
      </c>
      <c r="AJ211" s="257">
        <f>IFERROR(AH211*'Inputs Yr 2'!$P211,0)</f>
        <v>0</v>
      </c>
      <c r="AK211" s="257">
        <f t="shared" si="121"/>
        <v>0</v>
      </c>
      <c r="AL211" s="258">
        <f>IFERROR($G211*'Inputs Yr 2'!$P211*'Inputs Yr 2'!$Q211*'Inputs Yr 2'!AP211,0)</f>
        <v>0</v>
      </c>
      <c r="AM211" s="260">
        <f>IFERROR($G211*'Inputs Yr 2'!$P211*'Inputs Yr 2'!$Q211*'Inputs Yr 2'!AQ211,0)</f>
        <v>0</v>
      </c>
      <c r="AN211" s="258">
        <f>IFERROR($G211*'Inputs Yr 2'!$P211*'Inputs Yr 2'!$Q211*'Inputs Yr 2'!AR211,0)</f>
        <v>0</v>
      </c>
      <c r="AO211" s="257">
        <f t="shared" si="122"/>
        <v>0</v>
      </c>
      <c r="AP211" s="195">
        <f>IFERROR($CQ211*(INDEX(avoidedcosttbl2,$H211,AP$2)+(($H211-ROUNDDOWN($H211,0))*(INDEX(avoidedcosttbl2,ROUNDUP($H211,0),AP$2)-(INDEX(avoidedcosttbl2,ROUNDDOWN($H211,0),AP$2)))))*$O211*1000*'Inputs Yr 2'!AA211,"")</f>
        <v>0</v>
      </c>
      <c r="AQ211" s="195">
        <f>IFERROR($CR211*(INDEX(avoidedcosttbl2,$H211,AQ$2)+(($H211-ROUNDDOWN($H211,0))*(INDEX(avoidedcosttbl2,ROUNDUP($H211,0),AQ$2)-(INDEX(avoidedcosttbl2,ROUNDDOWN($H211,0),AQ$2)))))*$O211*1000*'Inputs Yr 2'!AB211,"")</f>
        <v>0</v>
      </c>
      <c r="AR211" s="195">
        <f>IFERROR($CS211*(INDEX(avoidedcosttbl2,$H211,AR$2)+(($H211-ROUNDDOWN($H211,0))*(INDEX(avoidedcosttbl2,ROUNDUP($H211,0),AR$2)-(INDEX(avoidedcosttbl2,ROUNDDOWN($H211,0),AR$2)))))*$O211*1000*'Inputs Yr 2'!AC211,"")</f>
        <v>0</v>
      </c>
      <c r="AS211" s="195">
        <f>IFERROR($CT211*(INDEX(avoidedcosttbl2,$H211,AS$2)+(($H211-ROUNDDOWN($H211,0))*(INDEX(avoidedcosttbl2,ROUNDUP($H211,0),AS$2)-(INDEX(avoidedcosttbl2,ROUNDDOWN($H211,0),AS$2)))))*$O211*1000*'Inputs Yr 2'!AD211,"")</f>
        <v>0</v>
      </c>
      <c r="AT211" s="196">
        <f t="shared" si="123"/>
        <v>0</v>
      </c>
      <c r="AU211" s="197">
        <f>IFERROR($CQ211*((INDEX(avoidedcosttbl2,$H211,AU$2))+(($H211-ROUNDDOWN($H211,0))*((INDEX(avoidedcosttbl2,ROUNDUP($H211,0),AU$2))-(INDEX(avoidedcosttbl2,ROUNDDOWN($H211,0),AU$2)))))*$O211*1000*'Inputs Yr 2'!AA211,"")</f>
        <v>0</v>
      </c>
      <c r="AV211" s="197">
        <f>IFERROR($CR211*((INDEX(avoidedcosttbl2,$H211,AV$2))+(($H211-ROUNDDOWN($H211,0))*((INDEX(avoidedcosttbl2,ROUNDUP($H211,0),AV$2))-(INDEX(avoidedcosttbl2,ROUNDDOWN($H211,0),AV$2)))))*$O211*1000*'Inputs Yr 2'!AB211,"")</f>
        <v>0</v>
      </c>
      <c r="AW211" s="197">
        <f>IFERROR($CS211*((INDEX(avoidedcosttbl2,$H211,AW$2))+(($H211-ROUNDDOWN($H211,0))*((INDEX(avoidedcosttbl2,ROUNDUP($H211,0),AW$2))-(INDEX(avoidedcosttbl2,ROUNDDOWN($H211,0),AW$2)))))*$O211*1000*'Inputs Yr 2'!AC211,"")</f>
        <v>0</v>
      </c>
      <c r="AX211" s="197">
        <f>IFERROR($CT211*((INDEX(avoidedcosttbl2,$H211,AX$2))+(($H211-ROUNDDOWN($H211,0))*((INDEX(avoidedcosttbl2,ROUNDUP($H211,0),AX$2))-(INDEX(avoidedcosttbl2,ROUNDDOWN($H211,0),AX$2)))))*$O211*1000*'Inputs Yr 2'!AD211,"")</f>
        <v>0</v>
      </c>
      <c r="AY211" s="197">
        <f>IFERROR(((INDEX(avoidedcosttbl2,$H211,AY$2))+(($H211-ROUNDDOWN($H211,0))*((INDEX(avoidedcosttbl2,ROUNDUP($H211,0),AY$2))-(INDEX(avoidedcosttbl2,ROUNDDOWN($H211,0),AY$2)))))*$O211*1000*('Inputs Yr 2'!AC211+'Inputs Yr 2'!AD211),"")</f>
        <v>0</v>
      </c>
      <c r="AZ211" s="197">
        <f>IFERROR(((INDEX(avoidedcosttbl2,$H211,AZ$2))+(($H211-ROUNDDOWN($H211,0))*((INDEX(avoidedcosttbl2,ROUNDUP($H211,0),AZ$2))-(INDEX(avoidedcosttbl2,ROUNDDOWN($H211,0),AZ$2)))))*$O211*1000*('Inputs Yr 2'!AA211+'Inputs Yr 2'!AB211),"")</f>
        <v>0</v>
      </c>
      <c r="BA211" s="198">
        <f t="shared" si="124"/>
        <v>0</v>
      </c>
      <c r="BB211" s="198">
        <f t="shared" si="125"/>
        <v>0</v>
      </c>
      <c r="BC211" s="195">
        <f t="shared" si="107"/>
        <v>0</v>
      </c>
      <c r="BD211" s="195">
        <f t="shared" si="108"/>
        <v>0</v>
      </c>
      <c r="BE211" s="195">
        <f t="shared" si="109"/>
        <v>0</v>
      </c>
      <c r="BF211" s="195">
        <f t="shared" si="110"/>
        <v>0</v>
      </c>
      <c r="BG211" s="195">
        <f t="shared" si="111"/>
        <v>0</v>
      </c>
      <c r="BH211" s="196">
        <f t="shared" si="126"/>
        <v>0</v>
      </c>
      <c r="BI211" s="196">
        <f t="shared" si="127"/>
        <v>0</v>
      </c>
      <c r="BJ211" s="195">
        <f>IFERROR($G211*(IF('Inputs Yr 2'!$AJ211=BJ$4,'Inputs Yr 2'!$AK211,IF('Inputs Yr 2'!$AL211=BJ$4,'Inputs Yr 2'!$AM211,IF('Inputs Yr 2'!$AN211=BJ$4,'Inputs Yr 2'!$AO211,0))))*(INDEX(avoidedcosttbl2,$H211,BJ$2)+(($H211-ROUNDDOWN($H211,0))*(INDEX(avoidedcosttbl2,ROUNDUP($H211,0),BJ$2)-(INDEX(avoidedcosttbl2,ROUNDDOWN($H211,0),BJ$2)))))*'Inputs Yr 2'!P211*'Inputs Yr 2'!Q211*'Inputs Yr 2'!U211,"")</f>
        <v>0</v>
      </c>
      <c r="BK211" s="195">
        <f>IFERROR($G211*(IF('Inputs Yr 2'!$AJ211=BK$4,'Inputs Yr 2'!$AK211,IF('Inputs Yr 2'!$AL211=BK$4,'Inputs Yr 2'!$AM211,IF('Inputs Yr 2'!$AN211=BK$4,'Inputs Yr 2'!$AO211,0))))*(INDEX(avoidedcosttbl2,$H211,BK$2)+(($H211-ROUNDDOWN($H211,0))*(INDEX(avoidedcosttbl2,ROUNDUP($H211,0),BK$2)-(INDEX(avoidedcosttbl2,ROUNDDOWN($H211,0),BK$2)))))*'Inputs Yr 2'!P211*'Inputs Yr 2'!Q211*'Inputs Yr 2'!U211,"")</f>
        <v>0</v>
      </c>
      <c r="BL211" s="195">
        <f>IFERROR($G211*(IF('Inputs Yr 2'!$AJ211=BL$4,'Inputs Yr 2'!$AK211,IF('Inputs Yr 2'!$AL211=BL$4,'Inputs Yr 2'!$AM211,IF('Inputs Yr 2'!$AN211=BL$4,'Inputs Yr 2'!$AO211,0))))*(INDEX(avoidedcosttbl2,$H211,BL$2)+(($H211-ROUNDDOWN($H211,0))*(INDEX(avoidedcosttbl2,ROUNDUP($H211,0),BL$2)-(INDEX(avoidedcosttbl2,ROUNDDOWN($H211,0),BL$2)))))*'Inputs Yr 2'!P211*'Inputs Yr 2'!Q211*'Inputs Yr 2'!U211,"")</f>
        <v>0</v>
      </c>
      <c r="BM211" s="195">
        <f>IFERROR($G211*(IF('Inputs Yr 2'!$AJ211=BM$4,'Inputs Yr 2'!$AK211,IF('Inputs Yr 2'!$AL211=BM$4,'Inputs Yr 2'!$AM211,IF('Inputs Yr 2'!$AN211=BM$4,'Inputs Yr 2'!$AO211,0))))*(INDEX(avoidedcosttbl2,$H211,BM$2)+(($H211-ROUNDDOWN($H211,0))*(INDEX(avoidedcosttbl2,ROUNDUP($H211,0),BM$2)-(INDEX(avoidedcosttbl2,ROUNDDOWN($H211,0),BM$2)))))*'Inputs Yr 2'!P211*'Inputs Yr 2'!Q211*'Inputs Yr 2'!U211,"")</f>
        <v>0</v>
      </c>
      <c r="BN211" s="195">
        <f>IFERROR($G211*(IF('Inputs Yr 2'!$AJ211=BN$4,'Inputs Yr 2'!$AK211,IF('Inputs Yr 2'!$AL211=BN$4,'Inputs Yr 2'!$AM211,IF('Inputs Yr 2'!$AN211=BN$4,'Inputs Yr 2'!$AO211,0))))*(INDEX(avoidedcosttbl2,$H211,BN$2)+(($H211-ROUNDDOWN($H211,0))*(INDEX(avoidedcosttbl2,ROUNDUP($H211,0),BN$2)-(INDEX(avoidedcosttbl2,ROUNDDOWN($H211,0),BN$2)))))*'Inputs Yr 2'!P211*'Inputs Yr 2'!Q211*'Inputs Yr 2'!U211,"")</f>
        <v>0</v>
      </c>
      <c r="BO211" s="195">
        <f>IFERROR($G211*(IF('Inputs Yr 2'!$AJ211=BO$4,'Inputs Yr 2'!$AK211,IF('Inputs Yr 2'!$AL211=BO$4,'Inputs Yr 2'!$AM211,IF('Inputs Yr 2'!$AN211=BO$4,'Inputs Yr 2'!$AO211,0))))*(INDEX(avoidedcosttbl2,$H211,BO$2)+(($H211-ROUNDDOWN($H211,0))*(INDEX(avoidedcosttbl2,ROUNDUP($H211,0),BO$2)-(INDEX(avoidedcosttbl2,ROUNDDOWN($H211,0),BO$2)))))*'Inputs Yr 2'!P211*'Inputs Yr 2'!Q211*'Inputs Yr 2'!U211,"")</f>
        <v>0</v>
      </c>
      <c r="BP211" s="195">
        <f>IFERROR($G211*(IF('Inputs Yr 2'!$AJ211=BP$4,'Inputs Yr 2'!$AK211,IF('Inputs Yr 2'!$AL211=BP$4,'Inputs Yr 2'!$AM211,IF('Inputs Yr 2'!$AN211=BP$4,'Inputs Yr 2'!$AO211,0))))*(INDEX(avoidedcosttbl2,$H211,BP$2)+(($H211-ROUNDDOWN($H211,0))*(INDEX(avoidedcosttbl2,ROUNDUP($H211,0),BP$2)-(INDEX(avoidedcosttbl2,ROUNDDOWN($H211,0),BP$2)))))*'Inputs Yr 2'!P211*'Inputs Yr 2'!Q211*'Inputs Yr 2'!U211,"")</f>
        <v>6915.7103227798598</v>
      </c>
      <c r="BQ211" s="230">
        <f t="shared" si="128"/>
        <v>6915.7103227798598</v>
      </c>
      <c r="BR211" s="197">
        <f t="shared" si="112"/>
        <v>130.07482214157918</v>
      </c>
      <c r="BS211" s="197">
        <f>IFERROR(($G211*IF('Inputs Yr 2'!$AJ211=BM$4,'Inputs Yr 2'!$AK211,IF('Inputs Yr 2'!$AL211=BM$4,'Inputs Yr 2'!$AM211,IF('Inputs Yr 2'!$AN211=BM$4,'Inputs Yr 2'!$AO211,0))))*(INDEX(avoidedcosttbl2,$H211,BS$2)+(($H211-ROUNDDOWN($H211,0))*(INDEX(avoidedcosttbl2,ROUNDUP($H211,0),BS$2)-(INDEX(avoidedcosttbl2,ROUNDDOWN($H211,0),BS$2)))))*'Inputs Yr 2'!P211*'Inputs Yr 2'!Q211*'Inputs Yr 2'!U211,"")</f>
        <v>0</v>
      </c>
      <c r="BT211" s="197">
        <f>IFERROR(($G211*IF('Inputs Yr 2'!$AJ211=BK$4,'Inputs Yr 2'!$AK211,IF('Inputs Yr 2'!$AL211=BK$4,'Inputs Yr 2'!$AM211,IF('Inputs Yr 2'!$AN211=BK$4,'Inputs Yr 2'!$AO211,0))))*(INDEX(avoidedcosttbl2,$H211,BT$2)+(($H211-ROUNDDOWN($H211,0))*(INDEX(avoidedcosttbl2,ROUNDUP($H211,0),BT$2)-(INDEX(avoidedcosttbl2,ROUNDDOWN($H211,0),BT$2)))))*'Inputs Yr 2'!P211*'Inputs Yr 2'!Q211*'Inputs Yr 2'!U211,"")</f>
        <v>0</v>
      </c>
      <c r="BU211" s="197">
        <f>IFERROR(($G211*IF('Inputs Yr 2'!$AJ211=BL$4,'Inputs Yr 2'!$AK211,IF('Inputs Yr 2'!$AL211=BL$4,'Inputs Yr 2'!$AM211,IF('Inputs Yr 2'!$AN211=BL$4,'Inputs Yr 2'!$AO211,0))))*(INDEX(avoidedcosttbl2,$H211,BU$2)+(($H211-ROUNDDOWN($H211,0))*(INDEX(avoidedcosttbl2,ROUNDUP($H211,0),BU$2)-(INDEX(avoidedcosttbl2,ROUNDDOWN($H211,0),BU$2)))))*'Inputs Yr 2'!P211*'Inputs Yr 2'!Q211*'Inputs Yr 2'!U211,"")</f>
        <v>0</v>
      </c>
      <c r="BV211" s="775">
        <f>IFERROR(($G211*IF('Inputs Yr 2'!$AJ211=BJ$4,'Inputs Yr 2'!$AK211,IF('Inputs Yr 2'!$AL211=BJ$4,'Inputs Yr 2'!$AM211,IF('Inputs Yr 2'!$AN211=BJ$4,'Inputs Yr 2'!$AO211,0))))*(INDEX(avoidedcosttbl2,$H211,BV$2)+(($H211-ROUNDDOWN($H211,0))*(INDEX(avoidedcosttbl2,ROUNDUP($H211,0),BV$2)-(INDEX(avoidedcosttbl2,ROUNDDOWN($H211,0),BV$2)))))*'Inputs Yr 2'!P211*'Inputs Yr 2'!Q211*'Inputs Yr 2'!U211,"")</f>
        <v>0</v>
      </c>
      <c r="BW211" s="197">
        <f>IFERROR(($G211*IF('Inputs Yr 2'!$AJ211=BN$4,'Inputs Yr 2'!$AK211,IF('Inputs Yr 2'!$AL211=BN$4,'Inputs Yr 2'!$AM211,IF('Inputs Yr 2'!$AN211=BN$4,'Inputs Yr 2'!$AO211,0))))*(INDEX(avoidedcosttbl2,$H211,BW$2)+(($H211-ROUNDDOWN($H211,0))*(INDEX(avoidedcosttbl2,ROUNDUP($H211,0),BW$2)-(INDEX(avoidedcosttbl2,ROUNDDOWN($H211,0),BW$2)))))*'Inputs Yr 2'!P211*'Inputs Yr 2'!Q211*'Inputs Yr 2'!U211,"")</f>
        <v>0</v>
      </c>
      <c r="BX211" s="197">
        <f>IFERROR(($G211*IF('Inputs Yr 2'!$AJ211=BO$4,'Inputs Yr 2'!$AK211,IF('Inputs Yr 2'!$AL211=BO$4,'Inputs Yr 2'!$AM211,IF('Inputs Yr 2'!$AN211=BO$4,'Inputs Yr 2'!$AO211,0))))*(INDEX(avoidedcosttbl2,$H211,BX$2)+(($H211-ROUNDDOWN($H211,0))*(INDEX(avoidedcosttbl2,ROUNDUP($H211,0),BX$2)-(INDEX(avoidedcosttbl2,ROUNDDOWN($H211,0),BX$2)))))*'Inputs Yr 2'!P211*'Inputs Yr 2'!Q211*'Inputs Yr 2'!U211,"")</f>
        <v>0</v>
      </c>
      <c r="BY211" s="197">
        <f>IFERROR(($G211*IF('Inputs Yr 2'!$AJ211=BP$4,'Inputs Yr 2'!$AK211,IF('Inputs Yr 2'!$AL211=BP$4,'Inputs Yr 2'!$AM211,IF('Inputs Yr 2'!$AN211=BP$4,'Inputs Yr 2'!$AO211,0))))*(INDEX(avoidedcosttbl2,$H211,BY$2)+(($H211-ROUNDDOWN($H211,0))*(INDEX(avoidedcosttbl2,ROUNDUP($H211,0),BY$2)-(INDEX(avoidedcosttbl2,ROUNDDOWN($H211,0),BY$2)))))*'Inputs Yr 2'!P211*'Inputs Yr 2'!Q211*'Inputs Yr 2'!U211,"")</f>
        <v>760.13994389805532</v>
      </c>
      <c r="BZ211" s="193">
        <f t="shared" si="129"/>
        <v>890.21476603963447</v>
      </c>
      <c r="CA211" s="193">
        <f t="shared" si="130"/>
        <v>7805.9250888194947</v>
      </c>
      <c r="CB211" s="195">
        <f>IFERROR(G211*(IF('Inputs Yr 2'!$AJ211=CB$4,'Inputs Yr 2'!$AK211,IF('Inputs Yr 2'!$AL211=CB$4,'Inputs Yr 2'!$AM211,IF('Inputs Yr 2'!$AN211=CB$4,'Inputs Yr 2'!$AO211,0))))*(INDEX(avoidedcosttbl2,$H211,CB$2)+(($H211-ROUNDDOWN($H211,0))*(INDEX(avoidedcosttbl2,ROUNDUP($H211,0),CB$2)-(INDEX(avoidedcosttbl2,ROUNDDOWN($H211,0),CB$2)))))*'Inputs Yr 2'!P211*'Inputs Yr 2'!Q211*'Inputs Yr 2'!U211,"")</f>
        <v>0</v>
      </c>
      <c r="CC211" s="195">
        <f>IFERROR(H211*(IF('Inputs Yr 2'!$AJ211=CC$4,'Inputs Yr 2'!$AK211,IF('Inputs Yr 2'!$AL211=CC$4,'Inputs Yr 2'!$AM211,IF('Inputs Yr 2'!$AN211=CC$4,'Inputs Yr 2'!$AO211,0))))*(INDEX(avoidedcosttbl2,$H211,CC$2)+(($H211-ROUNDDOWN($H211,0))*(INDEX(avoidedcosttbl2,ROUNDUP($H211,0),CC$2)-(INDEX(avoidedcosttbl2,ROUNDDOWN($H211,0),CC$2)))))*'Inputs Yr 2'!Q211*'Inputs Yr 2'!R211*'Inputs Yr 2'!V211,"")</f>
        <v>0</v>
      </c>
      <c r="CD211" s="195">
        <f>IFERROR(I211*(IF('Inputs Yr 2'!$AJ211=CD$4,'Inputs Yr 2'!$AK211,IF('Inputs Yr 2'!$AL211=CD$4,'Inputs Yr 2'!$AM211,IF('Inputs Yr 2'!$AN211=CD$4,'Inputs Yr 2'!$AO211,0))))*(INDEX(avoidedcosttbl2,$H211,CD$2)+(($H211-ROUNDDOWN($H211,0))*(INDEX(avoidedcosttbl2,ROUNDUP($H211,0),CD$2)-(INDEX(avoidedcosttbl2,ROUNDDOWN($H211,0),CD$2)))))*'Inputs Yr 2'!R211*'Inputs Yr 2'!S211*'Inputs Yr 2'!W211,"")</f>
        <v>0</v>
      </c>
      <c r="CE211" s="213">
        <f t="shared" si="131"/>
        <v>0</v>
      </c>
      <c r="CF211" s="213">
        <f t="shared" si="132"/>
        <v>0</v>
      </c>
      <c r="CG211" s="213">
        <f t="shared" si="133"/>
        <v>0</v>
      </c>
      <c r="CH211" s="698">
        <f t="shared" si="134"/>
        <v>7805.9250888194947</v>
      </c>
      <c r="CI211" s="79">
        <f>IFERROR(($G211*'Inputs Yr 2'!$P211*'Inputs Yr 2'!$Q211*(((INDEX(avoidedcosttbl2,$H211,CI$2)+(($H211-ROUNDDOWN($H211,0))*(INDEX(avoidedcosttbl2,ROUNDUP($H211,0),CI$2)-INDEX(avoidedcosttbl2,ROUNDDOWN($H211,0),CI$2))))*'Inputs Yr 2'!AS211))),"")</f>
        <v>0</v>
      </c>
      <c r="CJ211" s="504">
        <f>IFERROR($G211*'Inputs Yr 2'!AT211*'Inputs Yr 2'!$P211*'Inputs Yr 2'!$Q211/((1+realdiscrt1)^-0.5),"")</f>
        <v>0</v>
      </c>
      <c r="CK211" s="79">
        <f>IFERROR((O211*1000*(((INDEX(avoidedcosttbl2,$H211,CK$2)+(($H211-ROUNDDOWN($H211,0))*(INDEX(avoidedcosttbl2,ROUNDUP($H211,0),CK$2)-INDEX(avoidedcosttbl2,ROUNDDOWN($H211,0),CK$2))))*'Inputs Yr 2'!AU211))),"")</f>
        <v>0</v>
      </c>
      <c r="CL211" s="504">
        <f>IFERROR(O211*1000*'Inputs Yr 2'!AV211/((1+realdiscrt1)^-0.5),"")</f>
        <v>0</v>
      </c>
      <c r="CM211" s="79">
        <f>IFERROR((AB211*'Inputs Yr 2'!AW211*(((INDEX(avoidedcosttbl2,$H211,CM$2)+(($H211-ROUNDDOWN($H211,0))*(INDEX(avoidedcosttbl2,ROUNDUP($H211,0),CM$2)-INDEX(avoidedcosttbl2,ROUNDDOWN($H211,0),CM$2)))))))*10,"")</f>
        <v>0</v>
      </c>
      <c r="CN211" s="504">
        <f>IFERROR(10*AB211*'Inputs Yr 2'!AX211/((1+realdiscrt1)^-0.5),"")</f>
        <v>0</v>
      </c>
      <c r="CO211" s="505">
        <f t="shared" si="135"/>
        <v>0</v>
      </c>
      <c r="CP211" s="230">
        <f t="shared" si="136"/>
        <v>7805.9250888194947</v>
      </c>
      <c r="CQ211" s="199">
        <f>ROUND(IFERROR(IF(LEFT($A211,1)="C",'Avoided Costs'!$K$13,'Avoided Costs'!$K$12)+1,""),4)</f>
        <v>1.0720000000000001</v>
      </c>
      <c r="CR211" s="199">
        <f>ROUND(IFERROR(IF(LEFT($A211,1)="C",'Avoided Costs'!$L$13,'Avoided Costs'!$L$12)+1,""),4)</f>
        <v>1.04</v>
      </c>
      <c r="CS211" s="199">
        <f>ROUND(IFERROR(IF(LEFT($A211,1)="C",'Avoided Costs'!$M$13,'Avoided Costs'!$M$12)+1,""),4)</f>
        <v>1.0720000000000001</v>
      </c>
      <c r="CT211" s="199">
        <f>ROUND(IFERROR(IF(LEFT($A211,1)="C",'Avoided Costs'!$N$13,'Avoided Costs'!$N$12)+1,""),4)</f>
        <v>1.04</v>
      </c>
      <c r="CU211" s="199">
        <f>ROUND(IFERROR(IF(LEFT($A211,1)="C",'Avoided Costs'!$O$13,'Avoided Costs'!$O$12)+1,""),4)</f>
        <v>1.1120000000000001</v>
      </c>
      <c r="CV211" s="199">
        <f>ROUND(IFERROR(IF(LEFT($A211,1)="C",'Avoided Costs'!$P$13,'Avoided Costs'!$P$12)+1,""),4)</f>
        <v>1.095</v>
      </c>
      <c r="CW211" s="199">
        <f>ROUND(IFERROR(IF(LEFT($A211,1)="C",'Avoided Costs'!$Q$13,'Avoided Costs'!$Q$12)+1,""),4)</f>
        <v>1.1120000000000001</v>
      </c>
      <c r="CX211" s="200">
        <f>ROUND(IFERROR(IF(LEFT($A211,1)="C",'Avoided Costs'!$R$13,'Avoided Costs'!$R$12)+1,""),4)</f>
        <v>1.1120000000000001</v>
      </c>
    </row>
    <row r="212" spans="1:102" ht="12.75" customHeight="1">
      <c r="A212" s="91" t="str">
        <f>IF('Inputs Yr 2'!$B212=0,"",'Inputs Yr 2'!A212)</f>
        <v>C - Commercial &amp; Industrial</v>
      </c>
      <c r="B212" s="91" t="str">
        <f>IF('Inputs Yr 2'!$B212=0,"",'Inputs Yr 2'!B212)</f>
        <v>C1 - C&amp;I New Construction</v>
      </c>
      <c r="C212" s="91" t="str">
        <f>IF('Inputs Yr 2'!$B212=0,"",'Inputs Yr 2'!C212)</f>
        <v xml:space="preserve">C1b - C&amp;I Initial Purchase &amp; End of Useful Life </v>
      </c>
      <c r="D212" s="91" t="str">
        <f>IF('Inputs Yr 2'!$B212=0,"",'Inputs Yr 2'!E212)</f>
        <v>Furnace w/ECM 95%</v>
      </c>
      <c r="E212" s="93" t="str">
        <f>IF('Inputs Yr 2'!$B212=0,"",'Inputs Yr 2'!F212)</f>
        <v>G16C1b12</v>
      </c>
      <c r="F212" s="93" t="str">
        <f>IF('Inputs Yr 2'!$B212=0,"",'Inputs Yr 2'!G212)</f>
        <v>HVAC</v>
      </c>
      <c r="G212" s="95">
        <f>IF('Inputs Yr 2'!$H212&lt;&gt;0,('Inputs Yr 2'!H212),"")</f>
        <v>21</v>
      </c>
      <c r="H212" s="94">
        <f>IFERROR('Inputs Yr 2'!I212,"")</f>
        <v>18</v>
      </c>
      <c r="I212" s="298">
        <f>IFERROR('Inputs Yr 2'!J212*'Inputs Yr 2'!P212*G212,"")</f>
        <v>20111.112000000005</v>
      </c>
      <c r="J212" s="298">
        <f>IFERROR('Inputs Yr 2'!K212*G212,"")</f>
        <v>4299.96</v>
      </c>
      <c r="K212" s="298">
        <f t="shared" si="113"/>
        <v>15811.152000000006</v>
      </c>
      <c r="L212" s="194">
        <f>IFERROR(('Inputs Yr 2'!W212*G212)/1000,"")</f>
        <v>0</v>
      </c>
      <c r="M212" s="194">
        <f>IFERROR(L212*('Inputs Yr 2'!$Q212*'Inputs Yr 2'!$V212*'Inputs Yr 2'!$R212),"")</f>
        <v>0</v>
      </c>
      <c r="N212" s="194">
        <f t="shared" si="114"/>
        <v>0</v>
      </c>
      <c r="O212" s="194">
        <f>IFERROR(M212*'Inputs Yr 2'!P212,"")</f>
        <v>0</v>
      </c>
      <c r="P212" s="194">
        <f t="shared" si="115"/>
        <v>0</v>
      </c>
      <c r="Q212" s="194">
        <f>IFERROR($P212*'Inputs Yr 2'!AA212,"")</f>
        <v>0</v>
      </c>
      <c r="R212" s="194">
        <f>IFERROR($P212*'Inputs Yr 2'!AB212,"")</f>
        <v>0</v>
      </c>
      <c r="S212" s="194">
        <f>IFERROR($P212*'Inputs Yr 2'!AC212,"")</f>
        <v>0</v>
      </c>
      <c r="T212" s="194">
        <f>IFERROR($P212*'Inputs Yr 2'!AD212,"")</f>
        <v>0</v>
      </c>
      <c r="U212" s="194">
        <f>IFERROR(G212*'Inputs Yr 2'!$AE212*'Inputs Yr 2'!$P212*'Inputs Yr 2'!$Q212,"")</f>
        <v>0</v>
      </c>
      <c r="V212" s="194">
        <f>IFERROR($G212*'Inputs Yr 2'!$AE212*'Inputs Yr 2'!$AG212*'Inputs Yr 2'!Q212*'Inputs Yr 2'!$S212,"")</f>
        <v>0</v>
      </c>
      <c r="W212" s="194">
        <f>IFERROR($G212*'Inputs Yr 2'!$AE212*'Inputs Yr 2'!$AG212*'Inputs Yr 2'!P212*'Inputs Yr 2'!Q212*'Inputs Yr 2'!$S212,"")</f>
        <v>0</v>
      </c>
      <c r="X212" s="194">
        <f>IFERROR($G212*'Inputs Yr 2'!$AE212*'Inputs Yr 2'!$AF212*'Inputs Yr 2'!Q212*'Inputs Yr 2'!$T212,"")</f>
        <v>0</v>
      </c>
      <c r="Y212" s="194">
        <f>IFERROR($G212*'Inputs Yr 2'!$AE212*'Inputs Yr 2'!$AF212*'Inputs Yr 2'!P212*'Inputs Yr 2'!Q212*'Inputs Yr 2'!$T212,"")</f>
        <v>0</v>
      </c>
      <c r="Z212" s="257">
        <f>IFERROR($G212*'Inputs Yr 2'!$Q212*'Inputs Yr 2'!$U212*(IF(IFERROR(SEARCH("NG", 'Inputs Yr 2'!$AJ212),0),'Inputs Yr 2'!$AK212,0)+IF(IFERROR(SEARCH("NG", 'Inputs Yr 2'!$AL212),0),'Inputs Yr 2'!$AM212,0)+IF(IFERROR(SEARCH("NG", 'Inputs Yr 2'!$AN212),0),'Inputs Yr 2'!$AO212,0)),0)</f>
        <v>119.7</v>
      </c>
      <c r="AA212" s="257">
        <f t="shared" si="116"/>
        <v>2154.6</v>
      </c>
      <c r="AB212" s="257">
        <f>IFERROR(Z212*'Inputs Yr 2'!$P212,0)</f>
        <v>101.26620000000001</v>
      </c>
      <c r="AC212" s="257">
        <f t="shared" si="117"/>
        <v>1822.7916000000002</v>
      </c>
      <c r="AD212" s="257">
        <f>IFERROR($G212*'Inputs Yr 2'!$Q212*'Inputs Yr 2'!$U212*(IF(IFERROR(SEARCH("Oil", 'Inputs Yr 2'!$AJ212), 0),'Inputs Yr 2'!$AK212,0)+IF(IFERROR(SEARCH("Oil", 'Inputs Yr 2'!$AL212), 0),'Inputs Yr 2'!$AM212,0)+IF(IFERROR(SEARCH("Oil", 'Inputs Yr 2'!$AN212), 0),'Inputs Yr 2'!$AO212,0)),0)</f>
        <v>0</v>
      </c>
      <c r="AE212" s="257">
        <f t="shared" si="118"/>
        <v>0</v>
      </c>
      <c r="AF212" s="257">
        <f>IFERROR(AD212*'Inputs Yr 2'!$P212,0)</f>
        <v>0</v>
      </c>
      <c r="AG212" s="257">
        <f t="shared" si="119"/>
        <v>0</v>
      </c>
      <c r="AH212" s="257">
        <f>IFERROR($G212*'Inputs Yr 2'!$Q212*'Inputs Yr 2'!$U212*(IF('Inputs Yr 2'!$AJ212=CD$4,'Inputs Yr 2'!$AK212,IF('Inputs Yr 2'!$AL212=CD$4,'Inputs Yr 2'!$AM212,IF('Inputs Yr 2'!$AN212=CD$4,'Inputs Yr 2'!$AO212,0)))),0)</f>
        <v>0</v>
      </c>
      <c r="AI212" s="257">
        <f t="shared" si="120"/>
        <v>0</v>
      </c>
      <c r="AJ212" s="257">
        <f>IFERROR(AH212*'Inputs Yr 2'!$P212,0)</f>
        <v>0</v>
      </c>
      <c r="AK212" s="257">
        <f t="shared" si="121"/>
        <v>0</v>
      </c>
      <c r="AL212" s="258">
        <f>IFERROR($G212*'Inputs Yr 2'!$P212*'Inputs Yr 2'!$Q212*'Inputs Yr 2'!AP212,0)</f>
        <v>0</v>
      </c>
      <c r="AM212" s="260">
        <f>IFERROR($G212*'Inputs Yr 2'!$P212*'Inputs Yr 2'!$Q212*'Inputs Yr 2'!AQ212,0)</f>
        <v>0</v>
      </c>
      <c r="AN212" s="258">
        <f>IFERROR($G212*'Inputs Yr 2'!$P212*'Inputs Yr 2'!$Q212*'Inputs Yr 2'!AR212,0)</f>
        <v>0</v>
      </c>
      <c r="AO212" s="257">
        <f t="shared" si="122"/>
        <v>0</v>
      </c>
      <c r="AP212" s="195">
        <f>IFERROR($CQ212*(INDEX(avoidedcosttbl2,$H212,AP$2)+(($H212-ROUNDDOWN($H212,0))*(INDEX(avoidedcosttbl2,ROUNDUP($H212,0),AP$2)-(INDEX(avoidedcosttbl2,ROUNDDOWN($H212,0),AP$2)))))*$O212*1000*'Inputs Yr 2'!AA212,"")</f>
        <v>0</v>
      </c>
      <c r="AQ212" s="195">
        <f>IFERROR($CR212*(INDEX(avoidedcosttbl2,$H212,AQ$2)+(($H212-ROUNDDOWN($H212,0))*(INDEX(avoidedcosttbl2,ROUNDUP($H212,0),AQ$2)-(INDEX(avoidedcosttbl2,ROUNDDOWN($H212,0),AQ$2)))))*$O212*1000*'Inputs Yr 2'!AB212,"")</f>
        <v>0</v>
      </c>
      <c r="AR212" s="195">
        <f>IFERROR($CS212*(INDEX(avoidedcosttbl2,$H212,AR$2)+(($H212-ROUNDDOWN($H212,0))*(INDEX(avoidedcosttbl2,ROUNDUP($H212,0),AR$2)-(INDEX(avoidedcosttbl2,ROUNDDOWN($H212,0),AR$2)))))*$O212*1000*'Inputs Yr 2'!AC212,"")</f>
        <v>0</v>
      </c>
      <c r="AS212" s="195">
        <f>IFERROR($CT212*(INDEX(avoidedcosttbl2,$H212,AS$2)+(($H212-ROUNDDOWN($H212,0))*(INDEX(avoidedcosttbl2,ROUNDUP($H212,0),AS$2)-(INDEX(avoidedcosttbl2,ROUNDDOWN($H212,0),AS$2)))))*$O212*1000*'Inputs Yr 2'!AD212,"")</f>
        <v>0</v>
      </c>
      <c r="AT212" s="196">
        <f t="shared" si="123"/>
        <v>0</v>
      </c>
      <c r="AU212" s="197">
        <f>IFERROR($CQ212*((INDEX(avoidedcosttbl2,$H212,AU$2))+(($H212-ROUNDDOWN($H212,0))*((INDEX(avoidedcosttbl2,ROUNDUP($H212,0),AU$2))-(INDEX(avoidedcosttbl2,ROUNDDOWN($H212,0),AU$2)))))*$O212*1000*'Inputs Yr 2'!AA212,"")</f>
        <v>0</v>
      </c>
      <c r="AV212" s="197">
        <f>IFERROR($CR212*((INDEX(avoidedcosttbl2,$H212,AV$2))+(($H212-ROUNDDOWN($H212,0))*((INDEX(avoidedcosttbl2,ROUNDUP($H212,0),AV$2))-(INDEX(avoidedcosttbl2,ROUNDDOWN($H212,0),AV$2)))))*$O212*1000*'Inputs Yr 2'!AB212,"")</f>
        <v>0</v>
      </c>
      <c r="AW212" s="197">
        <f>IFERROR($CS212*((INDEX(avoidedcosttbl2,$H212,AW$2))+(($H212-ROUNDDOWN($H212,0))*((INDEX(avoidedcosttbl2,ROUNDUP($H212,0),AW$2))-(INDEX(avoidedcosttbl2,ROUNDDOWN($H212,0),AW$2)))))*$O212*1000*'Inputs Yr 2'!AC212,"")</f>
        <v>0</v>
      </c>
      <c r="AX212" s="197">
        <f>IFERROR($CT212*((INDEX(avoidedcosttbl2,$H212,AX$2))+(($H212-ROUNDDOWN($H212,0))*((INDEX(avoidedcosttbl2,ROUNDUP($H212,0),AX$2))-(INDEX(avoidedcosttbl2,ROUNDDOWN($H212,0),AX$2)))))*$O212*1000*'Inputs Yr 2'!AD212,"")</f>
        <v>0</v>
      </c>
      <c r="AY212" s="197">
        <f>IFERROR(((INDEX(avoidedcosttbl2,$H212,AY$2))+(($H212-ROUNDDOWN($H212,0))*((INDEX(avoidedcosttbl2,ROUNDUP($H212,0),AY$2))-(INDEX(avoidedcosttbl2,ROUNDDOWN($H212,0),AY$2)))))*$O212*1000*('Inputs Yr 2'!AC212+'Inputs Yr 2'!AD212),"")</f>
        <v>0</v>
      </c>
      <c r="AZ212" s="197">
        <f>IFERROR(((INDEX(avoidedcosttbl2,$H212,AZ$2))+(($H212-ROUNDDOWN($H212,0))*((INDEX(avoidedcosttbl2,ROUNDUP($H212,0),AZ$2))-(INDEX(avoidedcosttbl2,ROUNDDOWN($H212,0),AZ$2)))))*$O212*1000*('Inputs Yr 2'!AA212+'Inputs Yr 2'!AB212),"")</f>
        <v>0</v>
      </c>
      <c r="BA212" s="198">
        <f t="shared" si="124"/>
        <v>0</v>
      </c>
      <c r="BB212" s="198">
        <f t="shared" si="125"/>
        <v>0</v>
      </c>
      <c r="BC212" s="195">
        <f t="shared" si="107"/>
        <v>0</v>
      </c>
      <c r="BD212" s="195">
        <f t="shared" si="108"/>
        <v>0</v>
      </c>
      <c r="BE212" s="195">
        <f t="shared" si="109"/>
        <v>0</v>
      </c>
      <c r="BF212" s="195">
        <f t="shared" si="110"/>
        <v>0</v>
      </c>
      <c r="BG212" s="195">
        <f t="shared" si="111"/>
        <v>0</v>
      </c>
      <c r="BH212" s="196">
        <f t="shared" si="126"/>
        <v>0</v>
      </c>
      <c r="BI212" s="196">
        <f t="shared" si="127"/>
        <v>0</v>
      </c>
      <c r="BJ212" s="195">
        <f>IFERROR($G212*(IF('Inputs Yr 2'!$AJ212=BJ$4,'Inputs Yr 2'!$AK212,IF('Inputs Yr 2'!$AL212=BJ$4,'Inputs Yr 2'!$AM212,IF('Inputs Yr 2'!$AN212=BJ$4,'Inputs Yr 2'!$AO212,0))))*(INDEX(avoidedcosttbl2,$H212,BJ$2)+(($H212-ROUNDDOWN($H212,0))*(INDEX(avoidedcosttbl2,ROUNDUP($H212,0),BJ$2)-(INDEX(avoidedcosttbl2,ROUNDDOWN($H212,0),BJ$2)))))*'Inputs Yr 2'!P212*'Inputs Yr 2'!Q212*'Inputs Yr 2'!U212,"")</f>
        <v>0</v>
      </c>
      <c r="BK212" s="195">
        <f>IFERROR($G212*(IF('Inputs Yr 2'!$AJ212=BK$4,'Inputs Yr 2'!$AK212,IF('Inputs Yr 2'!$AL212=BK$4,'Inputs Yr 2'!$AM212,IF('Inputs Yr 2'!$AN212=BK$4,'Inputs Yr 2'!$AO212,0))))*(INDEX(avoidedcosttbl2,$H212,BK$2)+(($H212-ROUNDDOWN($H212,0))*(INDEX(avoidedcosttbl2,ROUNDUP($H212,0),BK$2)-(INDEX(avoidedcosttbl2,ROUNDDOWN($H212,0),BK$2)))))*'Inputs Yr 2'!P212*'Inputs Yr 2'!Q212*'Inputs Yr 2'!U212,"")</f>
        <v>0</v>
      </c>
      <c r="BL212" s="195">
        <f>IFERROR($G212*(IF('Inputs Yr 2'!$AJ212=BL$4,'Inputs Yr 2'!$AK212,IF('Inputs Yr 2'!$AL212=BL$4,'Inputs Yr 2'!$AM212,IF('Inputs Yr 2'!$AN212=BL$4,'Inputs Yr 2'!$AO212,0))))*(INDEX(avoidedcosttbl2,$H212,BL$2)+(($H212-ROUNDDOWN($H212,0))*(INDEX(avoidedcosttbl2,ROUNDUP($H212,0),BL$2)-(INDEX(avoidedcosttbl2,ROUNDDOWN($H212,0),BL$2)))))*'Inputs Yr 2'!P212*'Inputs Yr 2'!Q212*'Inputs Yr 2'!U212,"")</f>
        <v>0</v>
      </c>
      <c r="BM212" s="195">
        <f>IFERROR($G212*(IF('Inputs Yr 2'!$AJ212=BM$4,'Inputs Yr 2'!$AK212,IF('Inputs Yr 2'!$AL212=BM$4,'Inputs Yr 2'!$AM212,IF('Inputs Yr 2'!$AN212=BM$4,'Inputs Yr 2'!$AO212,0))))*(INDEX(avoidedcosttbl2,$H212,BM$2)+(($H212-ROUNDDOWN($H212,0))*(INDEX(avoidedcosttbl2,ROUNDUP($H212,0),BM$2)-(INDEX(avoidedcosttbl2,ROUNDDOWN($H212,0),BM$2)))))*'Inputs Yr 2'!P212*'Inputs Yr 2'!Q212*'Inputs Yr 2'!U212,"")</f>
        <v>0</v>
      </c>
      <c r="BN212" s="195">
        <f>IFERROR($G212*(IF('Inputs Yr 2'!$AJ212=BN$4,'Inputs Yr 2'!$AK212,IF('Inputs Yr 2'!$AL212=BN$4,'Inputs Yr 2'!$AM212,IF('Inputs Yr 2'!$AN212=BN$4,'Inputs Yr 2'!$AO212,0))))*(INDEX(avoidedcosttbl2,$H212,BN$2)+(($H212-ROUNDDOWN($H212,0))*(INDEX(avoidedcosttbl2,ROUNDUP($H212,0),BN$2)-(INDEX(avoidedcosttbl2,ROUNDDOWN($H212,0),BN$2)))))*'Inputs Yr 2'!P212*'Inputs Yr 2'!Q212*'Inputs Yr 2'!U212,"")</f>
        <v>0</v>
      </c>
      <c r="BO212" s="195">
        <f>IFERROR($G212*(IF('Inputs Yr 2'!$AJ212=BO$4,'Inputs Yr 2'!$AK212,IF('Inputs Yr 2'!$AL212=BO$4,'Inputs Yr 2'!$AM212,IF('Inputs Yr 2'!$AN212=BO$4,'Inputs Yr 2'!$AO212,0))))*(INDEX(avoidedcosttbl2,$H212,BO$2)+(($H212-ROUNDDOWN($H212,0))*(INDEX(avoidedcosttbl2,ROUNDUP($H212,0),BO$2)-(INDEX(avoidedcosttbl2,ROUNDDOWN($H212,0),BO$2)))))*'Inputs Yr 2'!P212*'Inputs Yr 2'!Q212*'Inputs Yr 2'!U212,"")</f>
        <v>14482.045797959074</v>
      </c>
      <c r="BP212" s="195">
        <f>IFERROR($G212*(IF('Inputs Yr 2'!$AJ212=BP$4,'Inputs Yr 2'!$AK212,IF('Inputs Yr 2'!$AL212=BP$4,'Inputs Yr 2'!$AM212,IF('Inputs Yr 2'!$AN212=BP$4,'Inputs Yr 2'!$AO212,0))))*(INDEX(avoidedcosttbl2,$H212,BP$2)+(($H212-ROUNDDOWN($H212,0))*(INDEX(avoidedcosttbl2,ROUNDUP($H212,0),BP$2)-(INDEX(avoidedcosttbl2,ROUNDDOWN($H212,0),BP$2)))))*'Inputs Yr 2'!P212*'Inputs Yr 2'!Q212*'Inputs Yr 2'!U212,"")</f>
        <v>0</v>
      </c>
      <c r="BQ212" s="230">
        <f t="shared" si="128"/>
        <v>14482.045797959074</v>
      </c>
      <c r="BR212" s="197">
        <f t="shared" si="112"/>
        <v>245.46245577818891</v>
      </c>
      <c r="BS212" s="197">
        <f>IFERROR(($G212*IF('Inputs Yr 2'!$AJ212=BM$4,'Inputs Yr 2'!$AK212,IF('Inputs Yr 2'!$AL212=BM$4,'Inputs Yr 2'!$AM212,IF('Inputs Yr 2'!$AN212=BM$4,'Inputs Yr 2'!$AO212,0))))*(INDEX(avoidedcosttbl2,$H212,BS$2)+(($H212-ROUNDDOWN($H212,0))*(INDEX(avoidedcosttbl2,ROUNDUP($H212,0),BS$2)-(INDEX(avoidedcosttbl2,ROUNDDOWN($H212,0),BS$2)))))*'Inputs Yr 2'!P212*'Inputs Yr 2'!Q212*'Inputs Yr 2'!U212,"")</f>
        <v>0</v>
      </c>
      <c r="BT212" s="197">
        <f>IFERROR(($G212*IF('Inputs Yr 2'!$AJ212=BK$4,'Inputs Yr 2'!$AK212,IF('Inputs Yr 2'!$AL212=BK$4,'Inputs Yr 2'!$AM212,IF('Inputs Yr 2'!$AN212=BK$4,'Inputs Yr 2'!$AO212,0))))*(INDEX(avoidedcosttbl2,$H212,BT$2)+(($H212-ROUNDDOWN($H212,0))*(INDEX(avoidedcosttbl2,ROUNDUP($H212,0),BT$2)-(INDEX(avoidedcosttbl2,ROUNDDOWN($H212,0),BT$2)))))*'Inputs Yr 2'!P212*'Inputs Yr 2'!Q212*'Inputs Yr 2'!U212,"")</f>
        <v>0</v>
      </c>
      <c r="BU212" s="197">
        <f>IFERROR(($G212*IF('Inputs Yr 2'!$AJ212=BL$4,'Inputs Yr 2'!$AK212,IF('Inputs Yr 2'!$AL212=BL$4,'Inputs Yr 2'!$AM212,IF('Inputs Yr 2'!$AN212=BL$4,'Inputs Yr 2'!$AO212,0))))*(INDEX(avoidedcosttbl2,$H212,BU$2)+(($H212-ROUNDDOWN($H212,0))*(INDEX(avoidedcosttbl2,ROUNDUP($H212,0),BU$2)-(INDEX(avoidedcosttbl2,ROUNDDOWN($H212,0),BU$2)))))*'Inputs Yr 2'!P212*'Inputs Yr 2'!Q212*'Inputs Yr 2'!U212,"")</f>
        <v>0</v>
      </c>
      <c r="BV212" s="775">
        <f>IFERROR(($G212*IF('Inputs Yr 2'!$AJ212=BJ$4,'Inputs Yr 2'!$AK212,IF('Inputs Yr 2'!$AL212=BJ$4,'Inputs Yr 2'!$AM212,IF('Inputs Yr 2'!$AN212=BJ$4,'Inputs Yr 2'!$AO212,0))))*(INDEX(avoidedcosttbl2,$H212,BV$2)+(($H212-ROUNDDOWN($H212,0))*(INDEX(avoidedcosttbl2,ROUNDUP($H212,0),BV$2)-(INDEX(avoidedcosttbl2,ROUNDDOWN($H212,0),BV$2)))))*'Inputs Yr 2'!P212*'Inputs Yr 2'!Q212*'Inputs Yr 2'!U212,"")</f>
        <v>0</v>
      </c>
      <c r="BW212" s="197">
        <f>IFERROR(($G212*IF('Inputs Yr 2'!$AJ212=BN$4,'Inputs Yr 2'!$AK212,IF('Inputs Yr 2'!$AL212=BN$4,'Inputs Yr 2'!$AM212,IF('Inputs Yr 2'!$AN212=BN$4,'Inputs Yr 2'!$AO212,0))))*(INDEX(avoidedcosttbl2,$H212,BW$2)+(($H212-ROUNDDOWN($H212,0))*(INDEX(avoidedcosttbl2,ROUNDUP($H212,0),BW$2)-(INDEX(avoidedcosttbl2,ROUNDDOWN($H212,0),BW$2)))))*'Inputs Yr 2'!P212*'Inputs Yr 2'!Q212*'Inputs Yr 2'!U212,"")</f>
        <v>0</v>
      </c>
      <c r="BX212" s="197">
        <f>IFERROR(($G212*IF('Inputs Yr 2'!$AJ212=BO$4,'Inputs Yr 2'!$AK212,IF('Inputs Yr 2'!$AL212=BO$4,'Inputs Yr 2'!$AM212,IF('Inputs Yr 2'!$AN212=BO$4,'Inputs Yr 2'!$AO212,0))))*(INDEX(avoidedcosttbl2,$H212,BX$2)+(($H212-ROUNDDOWN($H212,0))*(INDEX(avoidedcosttbl2,ROUNDUP($H212,0),BX$2)-(INDEX(avoidedcosttbl2,ROUNDDOWN($H212,0),BX$2)))))*'Inputs Yr 2'!P212*'Inputs Yr 2'!Q212*'Inputs Yr 2'!U212,"")</f>
        <v>867.86652527094634</v>
      </c>
      <c r="BY212" s="197">
        <f>IFERROR(($G212*IF('Inputs Yr 2'!$AJ212=BP$4,'Inputs Yr 2'!$AK212,IF('Inputs Yr 2'!$AL212=BP$4,'Inputs Yr 2'!$AM212,IF('Inputs Yr 2'!$AN212=BP$4,'Inputs Yr 2'!$AO212,0))))*(INDEX(avoidedcosttbl2,$H212,BY$2)+(($H212-ROUNDDOWN($H212,0))*(INDEX(avoidedcosttbl2,ROUNDUP($H212,0),BY$2)-(INDEX(avoidedcosttbl2,ROUNDDOWN($H212,0),BY$2)))))*'Inputs Yr 2'!P212*'Inputs Yr 2'!Q212*'Inputs Yr 2'!U212,"")</f>
        <v>0</v>
      </c>
      <c r="BZ212" s="193">
        <f t="shared" si="129"/>
        <v>1113.3289810491353</v>
      </c>
      <c r="CA212" s="193">
        <f t="shared" si="130"/>
        <v>15595.374779008209</v>
      </c>
      <c r="CB212" s="195">
        <f>IFERROR(G212*(IF('Inputs Yr 2'!$AJ212=CB$4,'Inputs Yr 2'!$AK212,IF('Inputs Yr 2'!$AL212=CB$4,'Inputs Yr 2'!$AM212,IF('Inputs Yr 2'!$AN212=CB$4,'Inputs Yr 2'!$AO212,0))))*(INDEX(avoidedcosttbl2,$H212,CB$2)+(($H212-ROUNDDOWN($H212,0))*(INDEX(avoidedcosttbl2,ROUNDUP($H212,0),CB$2)-(INDEX(avoidedcosttbl2,ROUNDDOWN($H212,0),CB$2)))))*'Inputs Yr 2'!P212*'Inputs Yr 2'!Q212*'Inputs Yr 2'!U212,"")</f>
        <v>0</v>
      </c>
      <c r="CC212" s="195">
        <f>IFERROR(H212*(IF('Inputs Yr 2'!$AJ212=CC$4,'Inputs Yr 2'!$AK212,IF('Inputs Yr 2'!$AL212=CC$4,'Inputs Yr 2'!$AM212,IF('Inputs Yr 2'!$AN212=CC$4,'Inputs Yr 2'!$AO212,0))))*(INDEX(avoidedcosttbl2,$H212,CC$2)+(($H212-ROUNDDOWN($H212,0))*(INDEX(avoidedcosttbl2,ROUNDUP($H212,0),CC$2)-(INDEX(avoidedcosttbl2,ROUNDDOWN($H212,0),CC$2)))))*'Inputs Yr 2'!Q212*'Inputs Yr 2'!R212*'Inputs Yr 2'!V212,"")</f>
        <v>0</v>
      </c>
      <c r="CD212" s="195">
        <f>IFERROR(I212*(IF('Inputs Yr 2'!$AJ212=CD$4,'Inputs Yr 2'!$AK212,IF('Inputs Yr 2'!$AL212=CD$4,'Inputs Yr 2'!$AM212,IF('Inputs Yr 2'!$AN212=CD$4,'Inputs Yr 2'!$AO212,0))))*(INDEX(avoidedcosttbl2,$H212,CD$2)+(($H212-ROUNDDOWN($H212,0))*(INDEX(avoidedcosttbl2,ROUNDUP($H212,0),CD$2)-(INDEX(avoidedcosttbl2,ROUNDDOWN($H212,0),CD$2)))))*'Inputs Yr 2'!R212*'Inputs Yr 2'!S212*'Inputs Yr 2'!W212,"")</f>
        <v>0</v>
      </c>
      <c r="CE212" s="213">
        <f t="shared" si="131"/>
        <v>0</v>
      </c>
      <c r="CF212" s="213">
        <f t="shared" si="132"/>
        <v>0</v>
      </c>
      <c r="CG212" s="213">
        <f t="shared" si="133"/>
        <v>0</v>
      </c>
      <c r="CH212" s="698">
        <f t="shared" si="134"/>
        <v>15595.374779008209</v>
      </c>
      <c r="CI212" s="79">
        <f>IFERROR(($G212*'Inputs Yr 2'!$P212*'Inputs Yr 2'!$Q212*(((INDEX(avoidedcosttbl2,$H212,CI$2)+(($H212-ROUNDDOWN($H212,0))*(INDEX(avoidedcosttbl2,ROUNDUP($H212,0),CI$2)-INDEX(avoidedcosttbl2,ROUNDDOWN($H212,0),CI$2))))*'Inputs Yr 2'!AS212))),"")</f>
        <v>0</v>
      </c>
      <c r="CJ212" s="504">
        <f>IFERROR($G212*'Inputs Yr 2'!AT212*'Inputs Yr 2'!$P212*'Inputs Yr 2'!$Q212/((1+realdiscrt1)^-0.5),"")</f>
        <v>0</v>
      </c>
      <c r="CK212" s="79">
        <f>IFERROR((O212*1000*(((INDEX(avoidedcosttbl2,$H212,CK$2)+(($H212-ROUNDDOWN($H212,0))*(INDEX(avoidedcosttbl2,ROUNDUP($H212,0),CK$2)-INDEX(avoidedcosttbl2,ROUNDDOWN($H212,0),CK$2))))*'Inputs Yr 2'!AU212))),"")</f>
        <v>0</v>
      </c>
      <c r="CL212" s="504">
        <f>IFERROR(O212*1000*'Inputs Yr 2'!AV212/((1+realdiscrt1)^-0.5),"")</f>
        <v>0</v>
      </c>
      <c r="CM212" s="79">
        <f>IFERROR((AB212*'Inputs Yr 2'!AW212*(((INDEX(avoidedcosttbl2,$H212,CM$2)+(($H212-ROUNDDOWN($H212,0))*(INDEX(avoidedcosttbl2,ROUNDUP($H212,0),CM$2)-INDEX(avoidedcosttbl2,ROUNDDOWN($H212,0),CM$2)))))))*10,"")</f>
        <v>0</v>
      </c>
      <c r="CN212" s="504">
        <f>IFERROR(10*AB212*'Inputs Yr 2'!AX212/((1+realdiscrt1)^-0.5),"")</f>
        <v>0</v>
      </c>
      <c r="CO212" s="505">
        <f t="shared" si="135"/>
        <v>0</v>
      </c>
      <c r="CP212" s="230">
        <f t="shared" si="136"/>
        <v>15595.374779008209</v>
      </c>
      <c r="CQ212" s="199">
        <f>ROUND(IFERROR(IF(LEFT($A212,1)="C",'Avoided Costs'!$K$13,'Avoided Costs'!$K$12)+1,""),4)</f>
        <v>1.0720000000000001</v>
      </c>
      <c r="CR212" s="199">
        <f>ROUND(IFERROR(IF(LEFT($A212,1)="C",'Avoided Costs'!$L$13,'Avoided Costs'!$L$12)+1,""),4)</f>
        <v>1.04</v>
      </c>
      <c r="CS212" s="199">
        <f>ROUND(IFERROR(IF(LEFT($A212,1)="C",'Avoided Costs'!$M$13,'Avoided Costs'!$M$12)+1,""),4)</f>
        <v>1.0720000000000001</v>
      </c>
      <c r="CT212" s="199">
        <f>ROUND(IFERROR(IF(LEFT($A212,1)="C",'Avoided Costs'!$N$13,'Avoided Costs'!$N$12)+1,""),4)</f>
        <v>1.04</v>
      </c>
      <c r="CU212" s="199">
        <f>ROUND(IFERROR(IF(LEFT($A212,1)="C",'Avoided Costs'!$O$13,'Avoided Costs'!$O$12)+1,""),4)</f>
        <v>1.1120000000000001</v>
      </c>
      <c r="CV212" s="199">
        <f>ROUND(IFERROR(IF(LEFT($A212,1)="C",'Avoided Costs'!$P$13,'Avoided Costs'!$P$12)+1,""),4)</f>
        <v>1.095</v>
      </c>
      <c r="CW212" s="199">
        <f>ROUND(IFERROR(IF(LEFT($A212,1)="C",'Avoided Costs'!$Q$13,'Avoided Costs'!$Q$12)+1,""),4)</f>
        <v>1.1120000000000001</v>
      </c>
      <c r="CX212" s="200">
        <f>ROUND(IFERROR(IF(LEFT($A212,1)="C",'Avoided Costs'!$R$13,'Avoided Costs'!$R$12)+1,""),4)</f>
        <v>1.1120000000000001</v>
      </c>
    </row>
    <row r="213" spans="1:102" ht="12.75" customHeight="1">
      <c r="A213" s="91" t="str">
        <f>IF('Inputs Yr 2'!$B213=0,"",'Inputs Yr 2'!A213)</f>
        <v>C - Commercial &amp; Industrial</v>
      </c>
      <c r="B213" s="91" t="str">
        <f>IF('Inputs Yr 2'!$B213=0,"",'Inputs Yr 2'!B213)</f>
        <v>C1 - C&amp;I New Construction</v>
      </c>
      <c r="C213" s="91" t="str">
        <f>IF('Inputs Yr 2'!$B213=0,"",'Inputs Yr 2'!C213)</f>
        <v xml:space="preserve">C1b - C&amp;I Initial Purchase &amp; End of Useful Life </v>
      </c>
      <c r="D213" s="91" t="str">
        <f>IF('Inputs Yr 2'!$B213=0,"",'Inputs Yr 2'!E213)</f>
        <v>Furnace w/ECM 95% - Muni</v>
      </c>
      <c r="E213" s="93" t="str">
        <f>IF('Inputs Yr 2'!$B213=0,"",'Inputs Yr 2'!F213)</f>
        <v>G16C1b13</v>
      </c>
      <c r="F213" s="93" t="str">
        <f>IF('Inputs Yr 2'!$B213=0,"",'Inputs Yr 2'!G213)</f>
        <v>HVAC</v>
      </c>
      <c r="G213" s="95" t="str">
        <f>IF('Inputs Yr 2'!$H213&lt;&gt;0,('Inputs Yr 2'!H213),"")</f>
        <v/>
      </c>
      <c r="H213" s="94">
        <f>IFERROR('Inputs Yr 2'!I213,"")</f>
        <v>18</v>
      </c>
      <c r="I213" s="298" t="str">
        <f>IFERROR('Inputs Yr 2'!J213*'Inputs Yr 2'!P213*G213,"")</f>
        <v/>
      </c>
      <c r="J213" s="298" t="str">
        <f>IFERROR('Inputs Yr 2'!K213*G213,"")</f>
        <v/>
      </c>
      <c r="K213" s="298" t="str">
        <f t="shared" si="113"/>
        <v/>
      </c>
      <c r="L213" s="194" t="str">
        <f>IFERROR(('Inputs Yr 2'!W213*G213)/1000,"")</f>
        <v/>
      </c>
      <c r="M213" s="194" t="str">
        <f>IFERROR(L213*('Inputs Yr 2'!$Q213*'Inputs Yr 2'!$V213*'Inputs Yr 2'!$R213),"")</f>
        <v/>
      </c>
      <c r="N213" s="194" t="str">
        <f t="shared" si="114"/>
        <v/>
      </c>
      <c r="O213" s="194" t="str">
        <f>IFERROR(M213*'Inputs Yr 2'!P213,"")</f>
        <v/>
      </c>
      <c r="P213" s="194" t="str">
        <f t="shared" si="115"/>
        <v/>
      </c>
      <c r="Q213" s="194" t="str">
        <f>IFERROR($P213*'Inputs Yr 2'!AA213,"")</f>
        <v/>
      </c>
      <c r="R213" s="194" t="str">
        <f>IFERROR($P213*'Inputs Yr 2'!AB213,"")</f>
        <v/>
      </c>
      <c r="S213" s="194" t="str">
        <f>IFERROR($P213*'Inputs Yr 2'!AC213,"")</f>
        <v/>
      </c>
      <c r="T213" s="194" t="str">
        <f>IFERROR($P213*'Inputs Yr 2'!AD213,"")</f>
        <v/>
      </c>
      <c r="U213" s="194" t="str">
        <f>IFERROR(G213*'Inputs Yr 2'!$AE213*'Inputs Yr 2'!$P213*'Inputs Yr 2'!$Q213,"")</f>
        <v/>
      </c>
      <c r="V213" s="194" t="str">
        <f>IFERROR($G213*'Inputs Yr 2'!$AE213*'Inputs Yr 2'!$AG213*'Inputs Yr 2'!Q213*'Inputs Yr 2'!$S213,"")</f>
        <v/>
      </c>
      <c r="W213" s="194" t="str">
        <f>IFERROR($G213*'Inputs Yr 2'!$AE213*'Inputs Yr 2'!$AG213*'Inputs Yr 2'!P213*'Inputs Yr 2'!Q213*'Inputs Yr 2'!$S213,"")</f>
        <v/>
      </c>
      <c r="X213" s="194" t="str">
        <f>IFERROR($G213*'Inputs Yr 2'!$AE213*'Inputs Yr 2'!$AF213*'Inputs Yr 2'!Q213*'Inputs Yr 2'!$T213,"")</f>
        <v/>
      </c>
      <c r="Y213" s="194" t="str">
        <f>IFERROR($G213*'Inputs Yr 2'!$AE213*'Inputs Yr 2'!$AF213*'Inputs Yr 2'!P213*'Inputs Yr 2'!Q213*'Inputs Yr 2'!$T213,"")</f>
        <v/>
      </c>
      <c r="Z213" s="257">
        <f>IFERROR($G213*'Inputs Yr 2'!$Q213*'Inputs Yr 2'!$U213*(IF(IFERROR(SEARCH("NG", 'Inputs Yr 2'!$AJ213),0),'Inputs Yr 2'!$AK213,0)+IF(IFERROR(SEARCH("NG", 'Inputs Yr 2'!$AL213),0),'Inputs Yr 2'!$AM213,0)+IF(IFERROR(SEARCH("NG", 'Inputs Yr 2'!$AN213),0),'Inputs Yr 2'!$AO213,0)),0)</f>
        <v>0</v>
      </c>
      <c r="AA213" s="257">
        <f t="shared" si="116"/>
        <v>0</v>
      </c>
      <c r="AB213" s="257">
        <f>IFERROR(Z213*'Inputs Yr 2'!$P213,0)</f>
        <v>0</v>
      </c>
      <c r="AC213" s="257">
        <f t="shared" si="117"/>
        <v>0</v>
      </c>
      <c r="AD213" s="257">
        <f>IFERROR($G213*'Inputs Yr 2'!$Q213*'Inputs Yr 2'!$U213*(IF(IFERROR(SEARCH("Oil", 'Inputs Yr 2'!$AJ213), 0),'Inputs Yr 2'!$AK213,0)+IF(IFERROR(SEARCH("Oil", 'Inputs Yr 2'!$AL213), 0),'Inputs Yr 2'!$AM213,0)+IF(IFERROR(SEARCH("Oil", 'Inputs Yr 2'!$AN213), 0),'Inputs Yr 2'!$AO213,0)),0)</f>
        <v>0</v>
      </c>
      <c r="AE213" s="257">
        <f t="shared" si="118"/>
        <v>0</v>
      </c>
      <c r="AF213" s="257">
        <f>IFERROR(AD213*'Inputs Yr 2'!$P213,0)</f>
        <v>0</v>
      </c>
      <c r="AG213" s="257">
        <f t="shared" si="119"/>
        <v>0</v>
      </c>
      <c r="AH213" s="257">
        <f>IFERROR($G213*'Inputs Yr 2'!$Q213*'Inputs Yr 2'!$U213*(IF('Inputs Yr 2'!$AJ213=CD$4,'Inputs Yr 2'!$AK213,IF('Inputs Yr 2'!$AL213=CD$4,'Inputs Yr 2'!$AM213,IF('Inputs Yr 2'!$AN213=CD$4,'Inputs Yr 2'!$AO213,0)))),0)</f>
        <v>0</v>
      </c>
      <c r="AI213" s="257">
        <f t="shared" si="120"/>
        <v>0</v>
      </c>
      <c r="AJ213" s="257">
        <f>IFERROR(AH213*'Inputs Yr 2'!$P213,0)</f>
        <v>0</v>
      </c>
      <c r="AK213" s="257">
        <f t="shared" si="121"/>
        <v>0</v>
      </c>
      <c r="AL213" s="258">
        <f>IFERROR($G213*'Inputs Yr 2'!$P213*'Inputs Yr 2'!$Q213*'Inputs Yr 2'!AP213,0)</f>
        <v>0</v>
      </c>
      <c r="AM213" s="260">
        <f>IFERROR($G213*'Inputs Yr 2'!$P213*'Inputs Yr 2'!$Q213*'Inputs Yr 2'!AQ213,0)</f>
        <v>0</v>
      </c>
      <c r="AN213" s="258">
        <f>IFERROR($G213*'Inputs Yr 2'!$P213*'Inputs Yr 2'!$Q213*'Inputs Yr 2'!AR213,0)</f>
        <v>0</v>
      </c>
      <c r="AO213" s="257">
        <f t="shared" si="122"/>
        <v>0</v>
      </c>
      <c r="AP213" s="195" t="str">
        <f>IFERROR($CQ213*(INDEX(avoidedcosttbl2,$H213,AP$2)+(($H213-ROUNDDOWN($H213,0))*(INDEX(avoidedcosttbl2,ROUNDUP($H213,0),AP$2)-(INDEX(avoidedcosttbl2,ROUNDDOWN($H213,0),AP$2)))))*$O213*1000*'Inputs Yr 2'!AA213,"")</f>
        <v/>
      </c>
      <c r="AQ213" s="195" t="str">
        <f>IFERROR($CR213*(INDEX(avoidedcosttbl2,$H213,AQ$2)+(($H213-ROUNDDOWN($H213,0))*(INDEX(avoidedcosttbl2,ROUNDUP($H213,0),AQ$2)-(INDEX(avoidedcosttbl2,ROUNDDOWN($H213,0),AQ$2)))))*$O213*1000*'Inputs Yr 2'!AB213,"")</f>
        <v/>
      </c>
      <c r="AR213" s="195" t="str">
        <f>IFERROR($CS213*(INDEX(avoidedcosttbl2,$H213,AR$2)+(($H213-ROUNDDOWN($H213,0))*(INDEX(avoidedcosttbl2,ROUNDUP($H213,0),AR$2)-(INDEX(avoidedcosttbl2,ROUNDDOWN($H213,0),AR$2)))))*$O213*1000*'Inputs Yr 2'!AC213,"")</f>
        <v/>
      </c>
      <c r="AS213" s="195" t="str">
        <f>IFERROR($CT213*(INDEX(avoidedcosttbl2,$H213,AS$2)+(($H213-ROUNDDOWN($H213,0))*(INDEX(avoidedcosttbl2,ROUNDUP($H213,0),AS$2)-(INDEX(avoidedcosttbl2,ROUNDDOWN($H213,0),AS$2)))))*$O213*1000*'Inputs Yr 2'!AD213,"")</f>
        <v/>
      </c>
      <c r="AT213" s="196">
        <f t="shared" si="123"/>
        <v>0</v>
      </c>
      <c r="AU213" s="197" t="str">
        <f>IFERROR($CQ213*((INDEX(avoidedcosttbl2,$H213,AU$2))+(($H213-ROUNDDOWN($H213,0))*((INDEX(avoidedcosttbl2,ROUNDUP($H213,0),AU$2))-(INDEX(avoidedcosttbl2,ROUNDDOWN($H213,0),AU$2)))))*$O213*1000*'Inputs Yr 2'!AA213,"")</f>
        <v/>
      </c>
      <c r="AV213" s="197" t="str">
        <f>IFERROR($CR213*((INDEX(avoidedcosttbl2,$H213,AV$2))+(($H213-ROUNDDOWN($H213,0))*((INDEX(avoidedcosttbl2,ROUNDUP($H213,0),AV$2))-(INDEX(avoidedcosttbl2,ROUNDDOWN($H213,0),AV$2)))))*$O213*1000*'Inputs Yr 2'!AB213,"")</f>
        <v/>
      </c>
      <c r="AW213" s="197" t="str">
        <f>IFERROR($CS213*((INDEX(avoidedcosttbl2,$H213,AW$2))+(($H213-ROUNDDOWN($H213,0))*((INDEX(avoidedcosttbl2,ROUNDUP($H213,0),AW$2))-(INDEX(avoidedcosttbl2,ROUNDDOWN($H213,0),AW$2)))))*$O213*1000*'Inputs Yr 2'!AC213,"")</f>
        <v/>
      </c>
      <c r="AX213" s="197" t="str">
        <f>IFERROR($CT213*((INDEX(avoidedcosttbl2,$H213,AX$2))+(($H213-ROUNDDOWN($H213,0))*((INDEX(avoidedcosttbl2,ROUNDUP($H213,0),AX$2))-(INDEX(avoidedcosttbl2,ROUNDDOWN($H213,0),AX$2)))))*$O213*1000*'Inputs Yr 2'!AD213,"")</f>
        <v/>
      </c>
      <c r="AY213" s="197" t="str">
        <f>IFERROR(((INDEX(avoidedcosttbl2,$H213,AY$2))+(($H213-ROUNDDOWN($H213,0))*((INDEX(avoidedcosttbl2,ROUNDUP($H213,0),AY$2))-(INDEX(avoidedcosttbl2,ROUNDDOWN($H213,0),AY$2)))))*$O213*1000*('Inputs Yr 2'!AC213+'Inputs Yr 2'!AD213),"")</f>
        <v/>
      </c>
      <c r="AZ213" s="197" t="str">
        <f>IFERROR(((INDEX(avoidedcosttbl2,$H213,AZ$2))+(($H213-ROUNDDOWN($H213,0))*((INDEX(avoidedcosttbl2,ROUNDUP($H213,0),AZ$2))-(INDEX(avoidedcosttbl2,ROUNDDOWN($H213,0),AZ$2)))))*$O213*1000*('Inputs Yr 2'!AA213+'Inputs Yr 2'!AB213),"")</f>
        <v/>
      </c>
      <c r="BA213" s="198">
        <f t="shared" si="124"/>
        <v>0</v>
      </c>
      <c r="BB213" s="198">
        <f t="shared" si="125"/>
        <v>0</v>
      </c>
      <c r="BC213" s="195" t="str">
        <f t="shared" si="107"/>
        <v/>
      </c>
      <c r="BD213" s="195" t="str">
        <f t="shared" si="108"/>
        <v/>
      </c>
      <c r="BE213" s="195" t="str">
        <f t="shared" si="109"/>
        <v/>
      </c>
      <c r="BF213" s="195" t="str">
        <f t="shared" si="110"/>
        <v/>
      </c>
      <c r="BG213" s="195" t="str">
        <f t="shared" si="111"/>
        <v/>
      </c>
      <c r="BH213" s="196">
        <f t="shared" si="126"/>
        <v>0</v>
      </c>
      <c r="BI213" s="196">
        <f t="shared" si="127"/>
        <v>0</v>
      </c>
      <c r="BJ213" s="195" t="str">
        <f>IFERROR($G213*(IF('Inputs Yr 2'!$AJ213=BJ$4,'Inputs Yr 2'!$AK213,IF('Inputs Yr 2'!$AL213=BJ$4,'Inputs Yr 2'!$AM213,IF('Inputs Yr 2'!$AN213=BJ$4,'Inputs Yr 2'!$AO213,0))))*(INDEX(avoidedcosttbl2,$H213,BJ$2)+(($H213-ROUNDDOWN($H213,0))*(INDEX(avoidedcosttbl2,ROUNDUP($H213,0),BJ$2)-(INDEX(avoidedcosttbl2,ROUNDDOWN($H213,0),BJ$2)))))*'Inputs Yr 2'!P213*'Inputs Yr 2'!Q213*'Inputs Yr 2'!U213,"")</f>
        <v/>
      </c>
      <c r="BK213" s="195" t="str">
        <f>IFERROR($G213*(IF('Inputs Yr 2'!$AJ213=BK$4,'Inputs Yr 2'!$AK213,IF('Inputs Yr 2'!$AL213=BK$4,'Inputs Yr 2'!$AM213,IF('Inputs Yr 2'!$AN213=BK$4,'Inputs Yr 2'!$AO213,0))))*(INDEX(avoidedcosttbl2,$H213,BK$2)+(($H213-ROUNDDOWN($H213,0))*(INDEX(avoidedcosttbl2,ROUNDUP($H213,0),BK$2)-(INDEX(avoidedcosttbl2,ROUNDDOWN($H213,0),BK$2)))))*'Inputs Yr 2'!P213*'Inputs Yr 2'!Q213*'Inputs Yr 2'!U213,"")</f>
        <v/>
      </c>
      <c r="BL213" s="195" t="str">
        <f>IFERROR($G213*(IF('Inputs Yr 2'!$AJ213=BL$4,'Inputs Yr 2'!$AK213,IF('Inputs Yr 2'!$AL213=BL$4,'Inputs Yr 2'!$AM213,IF('Inputs Yr 2'!$AN213=BL$4,'Inputs Yr 2'!$AO213,0))))*(INDEX(avoidedcosttbl2,$H213,BL$2)+(($H213-ROUNDDOWN($H213,0))*(INDEX(avoidedcosttbl2,ROUNDUP($H213,0),BL$2)-(INDEX(avoidedcosttbl2,ROUNDDOWN($H213,0),BL$2)))))*'Inputs Yr 2'!P213*'Inputs Yr 2'!Q213*'Inputs Yr 2'!U213,"")</f>
        <v/>
      </c>
      <c r="BM213" s="195" t="str">
        <f>IFERROR($G213*(IF('Inputs Yr 2'!$AJ213=BM$4,'Inputs Yr 2'!$AK213,IF('Inputs Yr 2'!$AL213=BM$4,'Inputs Yr 2'!$AM213,IF('Inputs Yr 2'!$AN213=BM$4,'Inputs Yr 2'!$AO213,0))))*(INDEX(avoidedcosttbl2,$H213,BM$2)+(($H213-ROUNDDOWN($H213,0))*(INDEX(avoidedcosttbl2,ROUNDUP($H213,0),BM$2)-(INDEX(avoidedcosttbl2,ROUNDDOWN($H213,0),BM$2)))))*'Inputs Yr 2'!P213*'Inputs Yr 2'!Q213*'Inputs Yr 2'!U213,"")</f>
        <v/>
      </c>
      <c r="BN213" s="195" t="str">
        <f>IFERROR($G213*(IF('Inputs Yr 2'!$AJ213=BN$4,'Inputs Yr 2'!$AK213,IF('Inputs Yr 2'!$AL213=BN$4,'Inputs Yr 2'!$AM213,IF('Inputs Yr 2'!$AN213=BN$4,'Inputs Yr 2'!$AO213,0))))*(INDEX(avoidedcosttbl2,$H213,BN$2)+(($H213-ROUNDDOWN($H213,0))*(INDEX(avoidedcosttbl2,ROUNDUP($H213,0),BN$2)-(INDEX(avoidedcosttbl2,ROUNDDOWN($H213,0),BN$2)))))*'Inputs Yr 2'!P213*'Inputs Yr 2'!Q213*'Inputs Yr 2'!U213,"")</f>
        <v/>
      </c>
      <c r="BO213" s="195" t="str">
        <f>IFERROR($G213*(IF('Inputs Yr 2'!$AJ213=BO$4,'Inputs Yr 2'!$AK213,IF('Inputs Yr 2'!$AL213=BO$4,'Inputs Yr 2'!$AM213,IF('Inputs Yr 2'!$AN213=BO$4,'Inputs Yr 2'!$AO213,0))))*(INDEX(avoidedcosttbl2,$H213,BO$2)+(($H213-ROUNDDOWN($H213,0))*(INDEX(avoidedcosttbl2,ROUNDUP($H213,0),BO$2)-(INDEX(avoidedcosttbl2,ROUNDDOWN($H213,0),BO$2)))))*'Inputs Yr 2'!P213*'Inputs Yr 2'!Q213*'Inputs Yr 2'!U213,"")</f>
        <v/>
      </c>
      <c r="BP213" s="195" t="str">
        <f>IFERROR($G213*(IF('Inputs Yr 2'!$AJ213=BP$4,'Inputs Yr 2'!$AK213,IF('Inputs Yr 2'!$AL213=BP$4,'Inputs Yr 2'!$AM213,IF('Inputs Yr 2'!$AN213=BP$4,'Inputs Yr 2'!$AO213,0))))*(INDEX(avoidedcosttbl2,$H213,BP$2)+(($H213-ROUNDDOWN($H213,0))*(INDEX(avoidedcosttbl2,ROUNDUP($H213,0),BP$2)-(INDEX(avoidedcosttbl2,ROUNDDOWN($H213,0),BP$2)))))*'Inputs Yr 2'!P213*'Inputs Yr 2'!Q213*'Inputs Yr 2'!U213,"")</f>
        <v/>
      </c>
      <c r="BQ213" s="230">
        <f t="shared" si="128"/>
        <v>0</v>
      </c>
      <c r="BR213" s="197">
        <f t="shared" si="112"/>
        <v>0</v>
      </c>
      <c r="BS213" s="197" t="str">
        <f>IFERROR(($G213*IF('Inputs Yr 2'!$AJ213=BM$4,'Inputs Yr 2'!$AK213,IF('Inputs Yr 2'!$AL213=BM$4,'Inputs Yr 2'!$AM213,IF('Inputs Yr 2'!$AN213=BM$4,'Inputs Yr 2'!$AO213,0))))*(INDEX(avoidedcosttbl2,$H213,BS$2)+(($H213-ROUNDDOWN($H213,0))*(INDEX(avoidedcosttbl2,ROUNDUP($H213,0),BS$2)-(INDEX(avoidedcosttbl2,ROUNDDOWN($H213,0),BS$2)))))*'Inputs Yr 2'!P213*'Inputs Yr 2'!Q213*'Inputs Yr 2'!U213,"")</f>
        <v/>
      </c>
      <c r="BT213" s="197" t="str">
        <f>IFERROR(($G213*IF('Inputs Yr 2'!$AJ213=BK$4,'Inputs Yr 2'!$AK213,IF('Inputs Yr 2'!$AL213=BK$4,'Inputs Yr 2'!$AM213,IF('Inputs Yr 2'!$AN213=BK$4,'Inputs Yr 2'!$AO213,0))))*(INDEX(avoidedcosttbl2,$H213,BT$2)+(($H213-ROUNDDOWN($H213,0))*(INDEX(avoidedcosttbl2,ROUNDUP($H213,0),BT$2)-(INDEX(avoidedcosttbl2,ROUNDDOWN($H213,0),BT$2)))))*'Inputs Yr 2'!P213*'Inputs Yr 2'!Q213*'Inputs Yr 2'!U213,"")</f>
        <v/>
      </c>
      <c r="BU213" s="197" t="str">
        <f>IFERROR(($G213*IF('Inputs Yr 2'!$AJ213=BL$4,'Inputs Yr 2'!$AK213,IF('Inputs Yr 2'!$AL213=BL$4,'Inputs Yr 2'!$AM213,IF('Inputs Yr 2'!$AN213=BL$4,'Inputs Yr 2'!$AO213,0))))*(INDEX(avoidedcosttbl2,$H213,BU$2)+(($H213-ROUNDDOWN($H213,0))*(INDEX(avoidedcosttbl2,ROUNDUP($H213,0),BU$2)-(INDEX(avoidedcosttbl2,ROUNDDOWN($H213,0),BU$2)))))*'Inputs Yr 2'!P213*'Inputs Yr 2'!Q213*'Inputs Yr 2'!U213,"")</f>
        <v/>
      </c>
      <c r="BV213" s="775" t="str">
        <f>IFERROR(($G213*IF('Inputs Yr 2'!$AJ213=BJ$4,'Inputs Yr 2'!$AK213,IF('Inputs Yr 2'!$AL213=BJ$4,'Inputs Yr 2'!$AM213,IF('Inputs Yr 2'!$AN213=BJ$4,'Inputs Yr 2'!$AO213,0))))*(INDEX(avoidedcosttbl2,$H213,BV$2)+(($H213-ROUNDDOWN($H213,0))*(INDEX(avoidedcosttbl2,ROUNDUP($H213,0),BV$2)-(INDEX(avoidedcosttbl2,ROUNDDOWN($H213,0),BV$2)))))*'Inputs Yr 2'!P213*'Inputs Yr 2'!Q213*'Inputs Yr 2'!U213,"")</f>
        <v/>
      </c>
      <c r="BW213" s="197" t="str">
        <f>IFERROR(($G213*IF('Inputs Yr 2'!$AJ213=BN$4,'Inputs Yr 2'!$AK213,IF('Inputs Yr 2'!$AL213=BN$4,'Inputs Yr 2'!$AM213,IF('Inputs Yr 2'!$AN213=BN$4,'Inputs Yr 2'!$AO213,0))))*(INDEX(avoidedcosttbl2,$H213,BW$2)+(($H213-ROUNDDOWN($H213,0))*(INDEX(avoidedcosttbl2,ROUNDUP($H213,0),BW$2)-(INDEX(avoidedcosttbl2,ROUNDDOWN($H213,0),BW$2)))))*'Inputs Yr 2'!P213*'Inputs Yr 2'!Q213*'Inputs Yr 2'!U213,"")</f>
        <v/>
      </c>
      <c r="BX213" s="197" t="str">
        <f>IFERROR(($G213*IF('Inputs Yr 2'!$AJ213=BO$4,'Inputs Yr 2'!$AK213,IF('Inputs Yr 2'!$AL213=BO$4,'Inputs Yr 2'!$AM213,IF('Inputs Yr 2'!$AN213=BO$4,'Inputs Yr 2'!$AO213,0))))*(INDEX(avoidedcosttbl2,$H213,BX$2)+(($H213-ROUNDDOWN($H213,0))*(INDEX(avoidedcosttbl2,ROUNDUP($H213,0),BX$2)-(INDEX(avoidedcosttbl2,ROUNDDOWN($H213,0),BX$2)))))*'Inputs Yr 2'!P213*'Inputs Yr 2'!Q213*'Inputs Yr 2'!U213,"")</f>
        <v/>
      </c>
      <c r="BY213" s="197" t="str">
        <f>IFERROR(($G213*IF('Inputs Yr 2'!$AJ213=BP$4,'Inputs Yr 2'!$AK213,IF('Inputs Yr 2'!$AL213=BP$4,'Inputs Yr 2'!$AM213,IF('Inputs Yr 2'!$AN213=BP$4,'Inputs Yr 2'!$AO213,0))))*(INDEX(avoidedcosttbl2,$H213,BY$2)+(($H213-ROUNDDOWN($H213,0))*(INDEX(avoidedcosttbl2,ROUNDUP($H213,0),BY$2)-(INDEX(avoidedcosttbl2,ROUNDDOWN($H213,0),BY$2)))))*'Inputs Yr 2'!P213*'Inputs Yr 2'!Q213*'Inputs Yr 2'!U213,"")</f>
        <v/>
      </c>
      <c r="BZ213" s="193">
        <f t="shared" si="129"/>
        <v>0</v>
      </c>
      <c r="CA213" s="193">
        <f t="shared" si="130"/>
        <v>0</v>
      </c>
      <c r="CB213" s="195" t="str">
        <f>IFERROR(G213*(IF('Inputs Yr 2'!$AJ213=CB$4,'Inputs Yr 2'!$AK213,IF('Inputs Yr 2'!$AL213=CB$4,'Inputs Yr 2'!$AM213,IF('Inputs Yr 2'!$AN213=CB$4,'Inputs Yr 2'!$AO213,0))))*(INDEX(avoidedcosttbl2,$H213,CB$2)+(($H213-ROUNDDOWN($H213,0))*(INDEX(avoidedcosttbl2,ROUNDUP($H213,0),CB$2)-(INDEX(avoidedcosttbl2,ROUNDDOWN($H213,0),CB$2)))))*'Inputs Yr 2'!P213*'Inputs Yr 2'!Q213*'Inputs Yr 2'!U213,"")</f>
        <v/>
      </c>
      <c r="CC213" s="195">
        <f>IFERROR(H213*(IF('Inputs Yr 2'!$AJ213=CC$4,'Inputs Yr 2'!$AK213,IF('Inputs Yr 2'!$AL213=CC$4,'Inputs Yr 2'!$AM213,IF('Inputs Yr 2'!$AN213=CC$4,'Inputs Yr 2'!$AO213,0))))*(INDEX(avoidedcosttbl2,$H213,CC$2)+(($H213-ROUNDDOWN($H213,0))*(INDEX(avoidedcosttbl2,ROUNDUP($H213,0),CC$2)-(INDEX(avoidedcosttbl2,ROUNDDOWN($H213,0),CC$2)))))*'Inputs Yr 2'!Q213*'Inputs Yr 2'!R213*'Inputs Yr 2'!V213,"")</f>
        <v>0</v>
      </c>
      <c r="CD213" s="195" t="str">
        <f>IFERROR(I213*(IF('Inputs Yr 2'!$AJ213=CD$4,'Inputs Yr 2'!$AK213,IF('Inputs Yr 2'!$AL213=CD$4,'Inputs Yr 2'!$AM213,IF('Inputs Yr 2'!$AN213=CD$4,'Inputs Yr 2'!$AO213,0))))*(INDEX(avoidedcosttbl2,$H213,CD$2)+(($H213-ROUNDDOWN($H213,0))*(INDEX(avoidedcosttbl2,ROUNDUP($H213,0),CD$2)-(INDEX(avoidedcosttbl2,ROUNDDOWN($H213,0),CD$2)))))*'Inputs Yr 2'!R213*'Inputs Yr 2'!S213*'Inputs Yr 2'!W213,"")</f>
        <v/>
      </c>
      <c r="CE213" s="213">
        <f t="shared" si="131"/>
        <v>0</v>
      </c>
      <c r="CF213" s="213">
        <f t="shared" si="132"/>
        <v>0</v>
      </c>
      <c r="CG213" s="213">
        <f t="shared" si="133"/>
        <v>0</v>
      </c>
      <c r="CH213" s="698">
        <f t="shared" si="134"/>
        <v>0</v>
      </c>
      <c r="CI213" s="79" t="str">
        <f>IFERROR(($G213*'Inputs Yr 2'!$P213*'Inputs Yr 2'!$Q213*(((INDEX(avoidedcosttbl2,$H213,CI$2)+(($H213-ROUNDDOWN($H213,0))*(INDEX(avoidedcosttbl2,ROUNDUP($H213,0),CI$2)-INDEX(avoidedcosttbl2,ROUNDDOWN($H213,0),CI$2))))*'Inputs Yr 2'!AS213))),"")</f>
        <v/>
      </c>
      <c r="CJ213" s="504" t="str">
        <f>IFERROR($G213*'Inputs Yr 2'!AT213*'Inputs Yr 2'!$P213*'Inputs Yr 2'!$Q213/((1+realdiscrt1)^-0.5),"")</f>
        <v/>
      </c>
      <c r="CK213" s="79" t="str">
        <f>IFERROR((O213*1000*(((INDEX(avoidedcosttbl2,$H213,CK$2)+(($H213-ROUNDDOWN($H213,0))*(INDEX(avoidedcosttbl2,ROUNDUP($H213,0),CK$2)-INDEX(avoidedcosttbl2,ROUNDDOWN($H213,0),CK$2))))*'Inputs Yr 2'!AU213))),"")</f>
        <v/>
      </c>
      <c r="CL213" s="504" t="str">
        <f>IFERROR(O213*1000*'Inputs Yr 2'!AV213/((1+realdiscrt1)^-0.5),"")</f>
        <v/>
      </c>
      <c r="CM213" s="79">
        <f>IFERROR((AB213*'Inputs Yr 2'!AW213*(((INDEX(avoidedcosttbl2,$H213,CM$2)+(($H213-ROUNDDOWN($H213,0))*(INDEX(avoidedcosttbl2,ROUNDUP($H213,0),CM$2)-INDEX(avoidedcosttbl2,ROUNDDOWN($H213,0),CM$2)))))))*10,"")</f>
        <v>0</v>
      </c>
      <c r="CN213" s="504">
        <f>IFERROR(10*AB213*'Inputs Yr 2'!AX213/((1+realdiscrt1)^-0.5),"")</f>
        <v>0</v>
      </c>
      <c r="CO213" s="505">
        <f t="shared" si="135"/>
        <v>0</v>
      </c>
      <c r="CP213" s="230">
        <f t="shared" si="136"/>
        <v>0</v>
      </c>
      <c r="CQ213" s="199">
        <f>ROUND(IFERROR(IF(LEFT($A213,1)="C",'Avoided Costs'!$K$13,'Avoided Costs'!$K$12)+1,""),4)</f>
        <v>1.0720000000000001</v>
      </c>
      <c r="CR213" s="199">
        <f>ROUND(IFERROR(IF(LEFT($A213,1)="C",'Avoided Costs'!$L$13,'Avoided Costs'!$L$12)+1,""),4)</f>
        <v>1.04</v>
      </c>
      <c r="CS213" s="199">
        <f>ROUND(IFERROR(IF(LEFT($A213,1)="C",'Avoided Costs'!$M$13,'Avoided Costs'!$M$12)+1,""),4)</f>
        <v>1.0720000000000001</v>
      </c>
      <c r="CT213" s="199">
        <f>ROUND(IFERROR(IF(LEFT($A213,1)="C",'Avoided Costs'!$N$13,'Avoided Costs'!$N$12)+1,""),4)</f>
        <v>1.04</v>
      </c>
      <c r="CU213" s="199">
        <f>ROUND(IFERROR(IF(LEFT($A213,1)="C",'Avoided Costs'!$O$13,'Avoided Costs'!$O$12)+1,""),4)</f>
        <v>1.1120000000000001</v>
      </c>
      <c r="CV213" s="199">
        <f>ROUND(IFERROR(IF(LEFT($A213,1)="C",'Avoided Costs'!$P$13,'Avoided Costs'!$P$12)+1,""),4)</f>
        <v>1.095</v>
      </c>
      <c r="CW213" s="199">
        <f>ROUND(IFERROR(IF(LEFT($A213,1)="C",'Avoided Costs'!$Q$13,'Avoided Costs'!$Q$12)+1,""),4)</f>
        <v>1.1120000000000001</v>
      </c>
      <c r="CX213" s="200">
        <f>ROUND(IFERROR(IF(LEFT($A213,1)="C",'Avoided Costs'!$R$13,'Avoided Costs'!$R$12)+1,""),4)</f>
        <v>1.1120000000000001</v>
      </c>
    </row>
    <row r="214" spans="1:102" ht="12.75" customHeight="1">
      <c r="A214" s="91" t="str">
        <f>IF('Inputs Yr 2'!$B214=0,"",'Inputs Yr 2'!A214)</f>
        <v>C - Commercial &amp; Industrial</v>
      </c>
      <c r="B214" s="91" t="str">
        <f>IF('Inputs Yr 2'!$B214=0,"",'Inputs Yr 2'!B214)</f>
        <v>C1 - C&amp;I New Construction</v>
      </c>
      <c r="C214" s="91" t="str">
        <f>IF('Inputs Yr 2'!$B214=0,"",'Inputs Yr 2'!C214)</f>
        <v xml:space="preserve">C1b - C&amp;I Initial Purchase &amp; End of Useful Life </v>
      </c>
      <c r="D214" s="91" t="str">
        <f>IF('Inputs Yr 2'!$B214=0,"",'Inputs Yr 2'!E214)</f>
        <v>Furnace w/ECM 97%</v>
      </c>
      <c r="E214" s="93" t="str">
        <f>IF('Inputs Yr 2'!$B214=0,"",'Inputs Yr 2'!F214)</f>
        <v>G16C1b14</v>
      </c>
      <c r="F214" s="93" t="str">
        <f>IF('Inputs Yr 2'!$B214=0,"",'Inputs Yr 2'!G214)</f>
        <v>HVAC</v>
      </c>
      <c r="G214" s="95">
        <f>IF('Inputs Yr 2'!$H214&lt;&gt;0,('Inputs Yr 2'!H214),"")</f>
        <v>15</v>
      </c>
      <c r="H214" s="94">
        <f>IFERROR('Inputs Yr 2'!I214,"")</f>
        <v>18</v>
      </c>
      <c r="I214" s="298">
        <f>IFERROR('Inputs Yr 2'!J214*'Inputs Yr 2'!P214*G214,"")</f>
        <v>16420.86</v>
      </c>
      <c r="J214" s="298">
        <f>IFERROR('Inputs Yr 2'!K214*G214,"")</f>
        <v>7699.9500000000007</v>
      </c>
      <c r="K214" s="298">
        <f t="shared" si="113"/>
        <v>8720.91</v>
      </c>
      <c r="L214" s="194">
        <f>IFERROR(('Inputs Yr 2'!W214*G214)/1000,"")</f>
        <v>0</v>
      </c>
      <c r="M214" s="194">
        <f>IFERROR(L214*('Inputs Yr 2'!$Q214*'Inputs Yr 2'!$V214*'Inputs Yr 2'!$R214),"")</f>
        <v>0</v>
      </c>
      <c r="N214" s="194">
        <f t="shared" si="114"/>
        <v>0</v>
      </c>
      <c r="O214" s="194">
        <f>IFERROR(M214*'Inputs Yr 2'!P214,"")</f>
        <v>0</v>
      </c>
      <c r="P214" s="194">
        <f t="shared" si="115"/>
        <v>0</v>
      </c>
      <c r="Q214" s="194">
        <f>IFERROR($P214*'Inputs Yr 2'!AA214,"")</f>
        <v>0</v>
      </c>
      <c r="R214" s="194">
        <f>IFERROR($P214*'Inputs Yr 2'!AB214,"")</f>
        <v>0</v>
      </c>
      <c r="S214" s="194">
        <f>IFERROR($P214*'Inputs Yr 2'!AC214,"")</f>
        <v>0</v>
      </c>
      <c r="T214" s="194">
        <f>IFERROR($P214*'Inputs Yr 2'!AD214,"")</f>
        <v>0</v>
      </c>
      <c r="U214" s="194">
        <f>IFERROR(G214*'Inputs Yr 2'!$AE214*'Inputs Yr 2'!$P214*'Inputs Yr 2'!$Q214,"")</f>
        <v>0</v>
      </c>
      <c r="V214" s="194">
        <f>IFERROR($G214*'Inputs Yr 2'!$AE214*'Inputs Yr 2'!$AG214*'Inputs Yr 2'!Q214*'Inputs Yr 2'!$S214,"")</f>
        <v>0</v>
      </c>
      <c r="W214" s="194">
        <f>IFERROR($G214*'Inputs Yr 2'!$AE214*'Inputs Yr 2'!$AG214*'Inputs Yr 2'!P214*'Inputs Yr 2'!Q214*'Inputs Yr 2'!$S214,"")</f>
        <v>0</v>
      </c>
      <c r="X214" s="194">
        <f>IFERROR($G214*'Inputs Yr 2'!$AE214*'Inputs Yr 2'!$AF214*'Inputs Yr 2'!Q214*'Inputs Yr 2'!$T214,"")</f>
        <v>0</v>
      </c>
      <c r="Y214" s="194">
        <f>IFERROR($G214*'Inputs Yr 2'!$AE214*'Inputs Yr 2'!$AF214*'Inputs Yr 2'!P214*'Inputs Yr 2'!Q214*'Inputs Yr 2'!$T214,"")</f>
        <v>0</v>
      </c>
      <c r="Z214" s="257">
        <f>IFERROR($G214*'Inputs Yr 2'!$Q214*'Inputs Yr 2'!$U214*(IF(IFERROR(SEARCH("NG", 'Inputs Yr 2'!$AJ214),0),'Inputs Yr 2'!$AK214,0)+IF(IFERROR(SEARCH("NG", 'Inputs Yr 2'!$AL214),0),'Inputs Yr 2'!$AM214,0)+IF(IFERROR(SEARCH("NG", 'Inputs Yr 2'!$AN214),0),'Inputs Yr 2'!$AO214,0)),0)</f>
        <v>100.49999999999999</v>
      </c>
      <c r="AA214" s="257">
        <f t="shared" si="116"/>
        <v>1808.9999999999998</v>
      </c>
      <c r="AB214" s="257">
        <f>IFERROR(Z214*'Inputs Yr 2'!$P214,0)</f>
        <v>85.022999999999996</v>
      </c>
      <c r="AC214" s="257">
        <f t="shared" si="117"/>
        <v>1530.414</v>
      </c>
      <c r="AD214" s="257">
        <f>IFERROR($G214*'Inputs Yr 2'!$Q214*'Inputs Yr 2'!$U214*(IF(IFERROR(SEARCH("Oil", 'Inputs Yr 2'!$AJ214), 0),'Inputs Yr 2'!$AK214,0)+IF(IFERROR(SEARCH("Oil", 'Inputs Yr 2'!$AL214), 0),'Inputs Yr 2'!$AM214,0)+IF(IFERROR(SEARCH("Oil", 'Inputs Yr 2'!$AN214), 0),'Inputs Yr 2'!$AO214,0)),0)</f>
        <v>0</v>
      </c>
      <c r="AE214" s="257">
        <f t="shared" si="118"/>
        <v>0</v>
      </c>
      <c r="AF214" s="257">
        <f>IFERROR(AD214*'Inputs Yr 2'!$P214,0)</f>
        <v>0</v>
      </c>
      <c r="AG214" s="257">
        <f t="shared" si="119"/>
        <v>0</v>
      </c>
      <c r="AH214" s="257">
        <f>IFERROR($G214*'Inputs Yr 2'!$Q214*'Inputs Yr 2'!$U214*(IF('Inputs Yr 2'!$AJ214=CD$4,'Inputs Yr 2'!$AK214,IF('Inputs Yr 2'!$AL214=CD$4,'Inputs Yr 2'!$AM214,IF('Inputs Yr 2'!$AN214=CD$4,'Inputs Yr 2'!$AO214,0)))),0)</f>
        <v>0</v>
      </c>
      <c r="AI214" s="257">
        <f t="shared" si="120"/>
        <v>0</v>
      </c>
      <c r="AJ214" s="257">
        <f>IFERROR(AH214*'Inputs Yr 2'!$P214,0)</f>
        <v>0</v>
      </c>
      <c r="AK214" s="257">
        <f t="shared" si="121"/>
        <v>0</v>
      </c>
      <c r="AL214" s="258">
        <f>IFERROR($G214*'Inputs Yr 2'!$P214*'Inputs Yr 2'!$Q214*'Inputs Yr 2'!AP214,0)</f>
        <v>0</v>
      </c>
      <c r="AM214" s="260">
        <f>IFERROR($G214*'Inputs Yr 2'!$P214*'Inputs Yr 2'!$Q214*'Inputs Yr 2'!AQ214,0)</f>
        <v>0</v>
      </c>
      <c r="AN214" s="258">
        <f>IFERROR($G214*'Inputs Yr 2'!$P214*'Inputs Yr 2'!$Q214*'Inputs Yr 2'!AR214,0)</f>
        <v>0</v>
      </c>
      <c r="AO214" s="257">
        <f t="shared" si="122"/>
        <v>0</v>
      </c>
      <c r="AP214" s="195">
        <f>IFERROR($CQ214*(INDEX(avoidedcosttbl2,$H214,AP$2)+(($H214-ROUNDDOWN($H214,0))*(INDEX(avoidedcosttbl2,ROUNDUP($H214,0),AP$2)-(INDEX(avoidedcosttbl2,ROUNDDOWN($H214,0),AP$2)))))*$O214*1000*'Inputs Yr 2'!AA214,"")</f>
        <v>0</v>
      </c>
      <c r="AQ214" s="195">
        <f>IFERROR($CR214*(INDEX(avoidedcosttbl2,$H214,AQ$2)+(($H214-ROUNDDOWN($H214,0))*(INDEX(avoidedcosttbl2,ROUNDUP($H214,0),AQ$2)-(INDEX(avoidedcosttbl2,ROUNDDOWN($H214,0),AQ$2)))))*$O214*1000*'Inputs Yr 2'!AB214,"")</f>
        <v>0</v>
      </c>
      <c r="AR214" s="195">
        <f>IFERROR($CS214*(INDEX(avoidedcosttbl2,$H214,AR$2)+(($H214-ROUNDDOWN($H214,0))*(INDEX(avoidedcosttbl2,ROUNDUP($H214,0),AR$2)-(INDEX(avoidedcosttbl2,ROUNDDOWN($H214,0),AR$2)))))*$O214*1000*'Inputs Yr 2'!AC214,"")</f>
        <v>0</v>
      </c>
      <c r="AS214" s="195">
        <f>IFERROR($CT214*(INDEX(avoidedcosttbl2,$H214,AS$2)+(($H214-ROUNDDOWN($H214,0))*(INDEX(avoidedcosttbl2,ROUNDUP($H214,0),AS$2)-(INDEX(avoidedcosttbl2,ROUNDDOWN($H214,0),AS$2)))))*$O214*1000*'Inputs Yr 2'!AD214,"")</f>
        <v>0</v>
      </c>
      <c r="AT214" s="196">
        <f t="shared" si="123"/>
        <v>0</v>
      </c>
      <c r="AU214" s="197">
        <f>IFERROR($CQ214*((INDEX(avoidedcosttbl2,$H214,AU$2))+(($H214-ROUNDDOWN($H214,0))*((INDEX(avoidedcosttbl2,ROUNDUP($H214,0),AU$2))-(INDEX(avoidedcosttbl2,ROUNDDOWN($H214,0),AU$2)))))*$O214*1000*'Inputs Yr 2'!AA214,"")</f>
        <v>0</v>
      </c>
      <c r="AV214" s="197">
        <f>IFERROR($CR214*((INDEX(avoidedcosttbl2,$H214,AV$2))+(($H214-ROUNDDOWN($H214,0))*((INDEX(avoidedcosttbl2,ROUNDUP($H214,0),AV$2))-(INDEX(avoidedcosttbl2,ROUNDDOWN($H214,0),AV$2)))))*$O214*1000*'Inputs Yr 2'!AB214,"")</f>
        <v>0</v>
      </c>
      <c r="AW214" s="197">
        <f>IFERROR($CS214*((INDEX(avoidedcosttbl2,$H214,AW$2))+(($H214-ROUNDDOWN($H214,0))*((INDEX(avoidedcosttbl2,ROUNDUP($H214,0),AW$2))-(INDEX(avoidedcosttbl2,ROUNDDOWN($H214,0),AW$2)))))*$O214*1000*'Inputs Yr 2'!AC214,"")</f>
        <v>0</v>
      </c>
      <c r="AX214" s="197">
        <f>IFERROR($CT214*((INDEX(avoidedcosttbl2,$H214,AX$2))+(($H214-ROUNDDOWN($H214,0))*((INDEX(avoidedcosttbl2,ROUNDUP($H214,0),AX$2))-(INDEX(avoidedcosttbl2,ROUNDDOWN($H214,0),AX$2)))))*$O214*1000*'Inputs Yr 2'!AD214,"")</f>
        <v>0</v>
      </c>
      <c r="AY214" s="197">
        <f>IFERROR(((INDEX(avoidedcosttbl2,$H214,AY$2))+(($H214-ROUNDDOWN($H214,0))*((INDEX(avoidedcosttbl2,ROUNDUP($H214,0),AY$2))-(INDEX(avoidedcosttbl2,ROUNDDOWN($H214,0),AY$2)))))*$O214*1000*('Inputs Yr 2'!AC214+'Inputs Yr 2'!AD214),"")</f>
        <v>0</v>
      </c>
      <c r="AZ214" s="197">
        <f>IFERROR(((INDEX(avoidedcosttbl2,$H214,AZ$2))+(($H214-ROUNDDOWN($H214,0))*((INDEX(avoidedcosttbl2,ROUNDUP($H214,0),AZ$2))-(INDEX(avoidedcosttbl2,ROUNDDOWN($H214,0),AZ$2)))))*$O214*1000*('Inputs Yr 2'!AA214+'Inputs Yr 2'!AB214),"")</f>
        <v>0</v>
      </c>
      <c r="BA214" s="198">
        <f t="shared" si="124"/>
        <v>0</v>
      </c>
      <c r="BB214" s="198">
        <f t="shared" si="125"/>
        <v>0</v>
      </c>
      <c r="BC214" s="195">
        <f t="shared" si="107"/>
        <v>0</v>
      </c>
      <c r="BD214" s="195">
        <f t="shared" si="108"/>
        <v>0</v>
      </c>
      <c r="BE214" s="195">
        <f t="shared" si="109"/>
        <v>0</v>
      </c>
      <c r="BF214" s="195">
        <f t="shared" si="110"/>
        <v>0</v>
      </c>
      <c r="BG214" s="195">
        <f t="shared" si="111"/>
        <v>0</v>
      </c>
      <c r="BH214" s="196">
        <f t="shared" si="126"/>
        <v>0</v>
      </c>
      <c r="BI214" s="196">
        <f t="shared" si="127"/>
        <v>0</v>
      </c>
      <c r="BJ214" s="195">
        <f>IFERROR($G214*(IF('Inputs Yr 2'!$AJ214=BJ$4,'Inputs Yr 2'!$AK214,IF('Inputs Yr 2'!$AL214=BJ$4,'Inputs Yr 2'!$AM214,IF('Inputs Yr 2'!$AN214=BJ$4,'Inputs Yr 2'!$AO214,0))))*(INDEX(avoidedcosttbl2,$H214,BJ$2)+(($H214-ROUNDDOWN($H214,0))*(INDEX(avoidedcosttbl2,ROUNDUP($H214,0),BJ$2)-(INDEX(avoidedcosttbl2,ROUNDDOWN($H214,0),BJ$2)))))*'Inputs Yr 2'!P214*'Inputs Yr 2'!Q214*'Inputs Yr 2'!U214,"")</f>
        <v>0</v>
      </c>
      <c r="BK214" s="195">
        <f>IFERROR($G214*(IF('Inputs Yr 2'!$AJ214=BK$4,'Inputs Yr 2'!$AK214,IF('Inputs Yr 2'!$AL214=BK$4,'Inputs Yr 2'!$AM214,IF('Inputs Yr 2'!$AN214=BK$4,'Inputs Yr 2'!$AO214,0))))*(INDEX(avoidedcosttbl2,$H214,BK$2)+(($H214-ROUNDDOWN($H214,0))*(INDEX(avoidedcosttbl2,ROUNDUP($H214,0),BK$2)-(INDEX(avoidedcosttbl2,ROUNDDOWN($H214,0),BK$2)))))*'Inputs Yr 2'!P214*'Inputs Yr 2'!Q214*'Inputs Yr 2'!U214,"")</f>
        <v>0</v>
      </c>
      <c r="BL214" s="195">
        <f>IFERROR($G214*(IF('Inputs Yr 2'!$AJ214=BL$4,'Inputs Yr 2'!$AK214,IF('Inputs Yr 2'!$AL214=BL$4,'Inputs Yr 2'!$AM214,IF('Inputs Yr 2'!$AN214=BL$4,'Inputs Yr 2'!$AO214,0))))*(INDEX(avoidedcosttbl2,$H214,BL$2)+(($H214-ROUNDDOWN($H214,0))*(INDEX(avoidedcosttbl2,ROUNDUP($H214,0),BL$2)-(INDEX(avoidedcosttbl2,ROUNDDOWN($H214,0),BL$2)))))*'Inputs Yr 2'!P214*'Inputs Yr 2'!Q214*'Inputs Yr 2'!U214,"")</f>
        <v>0</v>
      </c>
      <c r="BM214" s="195">
        <f>IFERROR($G214*(IF('Inputs Yr 2'!$AJ214=BM$4,'Inputs Yr 2'!$AK214,IF('Inputs Yr 2'!$AL214=BM$4,'Inputs Yr 2'!$AM214,IF('Inputs Yr 2'!$AN214=BM$4,'Inputs Yr 2'!$AO214,0))))*(INDEX(avoidedcosttbl2,$H214,BM$2)+(($H214-ROUNDDOWN($H214,0))*(INDEX(avoidedcosttbl2,ROUNDUP($H214,0),BM$2)-(INDEX(avoidedcosttbl2,ROUNDDOWN($H214,0),BM$2)))))*'Inputs Yr 2'!P214*'Inputs Yr 2'!Q214*'Inputs Yr 2'!U214,"")</f>
        <v>0</v>
      </c>
      <c r="BN214" s="195">
        <f>IFERROR($G214*(IF('Inputs Yr 2'!$AJ214=BN$4,'Inputs Yr 2'!$AK214,IF('Inputs Yr 2'!$AL214=BN$4,'Inputs Yr 2'!$AM214,IF('Inputs Yr 2'!$AN214=BN$4,'Inputs Yr 2'!$AO214,0))))*(INDEX(avoidedcosttbl2,$H214,BN$2)+(($H214-ROUNDDOWN($H214,0))*(INDEX(avoidedcosttbl2,ROUNDUP($H214,0),BN$2)-(INDEX(avoidedcosttbl2,ROUNDDOWN($H214,0),BN$2)))))*'Inputs Yr 2'!P214*'Inputs Yr 2'!Q214*'Inputs Yr 2'!U214,"")</f>
        <v>0</v>
      </c>
      <c r="BO214" s="195">
        <f>IFERROR($G214*(IF('Inputs Yr 2'!$AJ214=BO$4,'Inputs Yr 2'!$AK214,IF('Inputs Yr 2'!$AL214=BO$4,'Inputs Yr 2'!$AM214,IF('Inputs Yr 2'!$AN214=BO$4,'Inputs Yr 2'!$AO214,0))))*(INDEX(avoidedcosttbl2,$H214,BO$2)+(($H214-ROUNDDOWN($H214,0))*(INDEX(avoidedcosttbl2,ROUNDUP($H214,0),BO$2)-(INDEX(avoidedcosttbl2,ROUNDDOWN($H214,0),BO$2)))))*'Inputs Yr 2'!P214*'Inputs Yr 2'!Q214*'Inputs Yr 2'!U214,"")</f>
        <v>12159.111133624785</v>
      </c>
      <c r="BP214" s="195">
        <f>IFERROR($G214*(IF('Inputs Yr 2'!$AJ214=BP$4,'Inputs Yr 2'!$AK214,IF('Inputs Yr 2'!$AL214=BP$4,'Inputs Yr 2'!$AM214,IF('Inputs Yr 2'!$AN214=BP$4,'Inputs Yr 2'!$AO214,0))))*(INDEX(avoidedcosttbl2,$H214,BP$2)+(($H214-ROUNDDOWN($H214,0))*(INDEX(avoidedcosttbl2,ROUNDUP($H214,0),BP$2)-(INDEX(avoidedcosttbl2,ROUNDDOWN($H214,0),BP$2)))))*'Inputs Yr 2'!P214*'Inputs Yr 2'!Q214*'Inputs Yr 2'!U214,"")</f>
        <v>0</v>
      </c>
      <c r="BQ214" s="230">
        <f t="shared" si="128"/>
        <v>12159.111133624785</v>
      </c>
      <c r="BR214" s="197">
        <f t="shared" si="112"/>
        <v>206.09003179371746</v>
      </c>
      <c r="BS214" s="197">
        <f>IFERROR(($G214*IF('Inputs Yr 2'!$AJ214=BM$4,'Inputs Yr 2'!$AK214,IF('Inputs Yr 2'!$AL214=BM$4,'Inputs Yr 2'!$AM214,IF('Inputs Yr 2'!$AN214=BM$4,'Inputs Yr 2'!$AO214,0))))*(INDEX(avoidedcosttbl2,$H214,BS$2)+(($H214-ROUNDDOWN($H214,0))*(INDEX(avoidedcosttbl2,ROUNDUP($H214,0),BS$2)-(INDEX(avoidedcosttbl2,ROUNDDOWN($H214,0),BS$2)))))*'Inputs Yr 2'!P214*'Inputs Yr 2'!Q214*'Inputs Yr 2'!U214,"")</f>
        <v>0</v>
      </c>
      <c r="BT214" s="197">
        <f>IFERROR(($G214*IF('Inputs Yr 2'!$AJ214=BK$4,'Inputs Yr 2'!$AK214,IF('Inputs Yr 2'!$AL214=BK$4,'Inputs Yr 2'!$AM214,IF('Inputs Yr 2'!$AN214=BK$4,'Inputs Yr 2'!$AO214,0))))*(INDEX(avoidedcosttbl2,$H214,BT$2)+(($H214-ROUNDDOWN($H214,0))*(INDEX(avoidedcosttbl2,ROUNDUP($H214,0),BT$2)-(INDEX(avoidedcosttbl2,ROUNDDOWN($H214,0),BT$2)))))*'Inputs Yr 2'!P214*'Inputs Yr 2'!Q214*'Inputs Yr 2'!U214,"")</f>
        <v>0</v>
      </c>
      <c r="BU214" s="197">
        <f>IFERROR(($G214*IF('Inputs Yr 2'!$AJ214=BL$4,'Inputs Yr 2'!$AK214,IF('Inputs Yr 2'!$AL214=BL$4,'Inputs Yr 2'!$AM214,IF('Inputs Yr 2'!$AN214=BL$4,'Inputs Yr 2'!$AO214,0))))*(INDEX(avoidedcosttbl2,$H214,BU$2)+(($H214-ROUNDDOWN($H214,0))*(INDEX(avoidedcosttbl2,ROUNDUP($H214,0),BU$2)-(INDEX(avoidedcosttbl2,ROUNDDOWN($H214,0),BU$2)))))*'Inputs Yr 2'!P214*'Inputs Yr 2'!Q214*'Inputs Yr 2'!U214,"")</f>
        <v>0</v>
      </c>
      <c r="BV214" s="775">
        <f>IFERROR(($G214*IF('Inputs Yr 2'!$AJ214=BJ$4,'Inputs Yr 2'!$AK214,IF('Inputs Yr 2'!$AL214=BJ$4,'Inputs Yr 2'!$AM214,IF('Inputs Yr 2'!$AN214=BJ$4,'Inputs Yr 2'!$AO214,0))))*(INDEX(avoidedcosttbl2,$H214,BV$2)+(($H214-ROUNDDOWN($H214,0))*(INDEX(avoidedcosttbl2,ROUNDUP($H214,0),BV$2)-(INDEX(avoidedcosttbl2,ROUNDDOWN($H214,0),BV$2)))))*'Inputs Yr 2'!P214*'Inputs Yr 2'!Q214*'Inputs Yr 2'!U214,"")</f>
        <v>0</v>
      </c>
      <c r="BW214" s="197">
        <f>IFERROR(($G214*IF('Inputs Yr 2'!$AJ214=BN$4,'Inputs Yr 2'!$AK214,IF('Inputs Yr 2'!$AL214=BN$4,'Inputs Yr 2'!$AM214,IF('Inputs Yr 2'!$AN214=BN$4,'Inputs Yr 2'!$AO214,0))))*(INDEX(avoidedcosttbl2,$H214,BW$2)+(($H214-ROUNDDOWN($H214,0))*(INDEX(avoidedcosttbl2,ROUNDUP($H214,0),BW$2)-(INDEX(avoidedcosttbl2,ROUNDDOWN($H214,0),BW$2)))))*'Inputs Yr 2'!P214*'Inputs Yr 2'!Q214*'Inputs Yr 2'!U214,"")</f>
        <v>0</v>
      </c>
      <c r="BX214" s="197">
        <f>IFERROR(($G214*IF('Inputs Yr 2'!$AJ214=BO$4,'Inputs Yr 2'!$AK214,IF('Inputs Yr 2'!$AL214=BO$4,'Inputs Yr 2'!$AM214,IF('Inputs Yr 2'!$AN214=BO$4,'Inputs Yr 2'!$AO214,0))))*(INDEX(avoidedcosttbl2,$H214,BX$2)+(($H214-ROUNDDOWN($H214,0))*(INDEX(avoidedcosttbl2,ROUNDUP($H214,0),BX$2)-(INDEX(avoidedcosttbl2,ROUNDDOWN($H214,0),BX$2)))))*'Inputs Yr 2'!P214*'Inputs Yr 2'!Q214*'Inputs Yr 2'!U214,"")</f>
        <v>728.659864575857</v>
      </c>
      <c r="BY214" s="197">
        <f>IFERROR(($G214*IF('Inputs Yr 2'!$AJ214=BP$4,'Inputs Yr 2'!$AK214,IF('Inputs Yr 2'!$AL214=BP$4,'Inputs Yr 2'!$AM214,IF('Inputs Yr 2'!$AN214=BP$4,'Inputs Yr 2'!$AO214,0))))*(INDEX(avoidedcosttbl2,$H214,BY$2)+(($H214-ROUNDDOWN($H214,0))*(INDEX(avoidedcosttbl2,ROUNDUP($H214,0),BY$2)-(INDEX(avoidedcosttbl2,ROUNDDOWN($H214,0),BY$2)))))*'Inputs Yr 2'!P214*'Inputs Yr 2'!Q214*'Inputs Yr 2'!U214,"")</f>
        <v>0</v>
      </c>
      <c r="BZ214" s="193">
        <f t="shared" si="129"/>
        <v>934.74989636957446</v>
      </c>
      <c r="CA214" s="193">
        <f t="shared" si="130"/>
        <v>13093.861029994359</v>
      </c>
      <c r="CB214" s="195">
        <f>IFERROR(G214*(IF('Inputs Yr 2'!$AJ214=CB$4,'Inputs Yr 2'!$AK214,IF('Inputs Yr 2'!$AL214=CB$4,'Inputs Yr 2'!$AM214,IF('Inputs Yr 2'!$AN214=CB$4,'Inputs Yr 2'!$AO214,0))))*(INDEX(avoidedcosttbl2,$H214,CB$2)+(($H214-ROUNDDOWN($H214,0))*(INDEX(avoidedcosttbl2,ROUNDUP($H214,0),CB$2)-(INDEX(avoidedcosttbl2,ROUNDDOWN($H214,0),CB$2)))))*'Inputs Yr 2'!P214*'Inputs Yr 2'!Q214*'Inputs Yr 2'!U214,"")</f>
        <v>0</v>
      </c>
      <c r="CC214" s="195">
        <f>IFERROR(H214*(IF('Inputs Yr 2'!$AJ214=CC$4,'Inputs Yr 2'!$AK214,IF('Inputs Yr 2'!$AL214=CC$4,'Inputs Yr 2'!$AM214,IF('Inputs Yr 2'!$AN214=CC$4,'Inputs Yr 2'!$AO214,0))))*(INDEX(avoidedcosttbl2,$H214,CC$2)+(($H214-ROUNDDOWN($H214,0))*(INDEX(avoidedcosttbl2,ROUNDUP($H214,0),CC$2)-(INDEX(avoidedcosttbl2,ROUNDDOWN($H214,0),CC$2)))))*'Inputs Yr 2'!Q214*'Inputs Yr 2'!R214*'Inputs Yr 2'!V214,"")</f>
        <v>0</v>
      </c>
      <c r="CD214" s="195">
        <f>IFERROR(I214*(IF('Inputs Yr 2'!$AJ214=CD$4,'Inputs Yr 2'!$AK214,IF('Inputs Yr 2'!$AL214=CD$4,'Inputs Yr 2'!$AM214,IF('Inputs Yr 2'!$AN214=CD$4,'Inputs Yr 2'!$AO214,0))))*(INDEX(avoidedcosttbl2,$H214,CD$2)+(($H214-ROUNDDOWN($H214,0))*(INDEX(avoidedcosttbl2,ROUNDUP($H214,0),CD$2)-(INDEX(avoidedcosttbl2,ROUNDDOWN($H214,0),CD$2)))))*'Inputs Yr 2'!R214*'Inputs Yr 2'!S214*'Inputs Yr 2'!W214,"")</f>
        <v>0</v>
      </c>
      <c r="CE214" s="213">
        <f t="shared" si="131"/>
        <v>0</v>
      </c>
      <c r="CF214" s="213">
        <f t="shared" si="132"/>
        <v>0</v>
      </c>
      <c r="CG214" s="213">
        <f t="shared" si="133"/>
        <v>0</v>
      </c>
      <c r="CH214" s="698">
        <f t="shared" si="134"/>
        <v>13093.861029994359</v>
      </c>
      <c r="CI214" s="79">
        <f>IFERROR(($G214*'Inputs Yr 2'!$P214*'Inputs Yr 2'!$Q214*(((INDEX(avoidedcosttbl2,$H214,CI$2)+(($H214-ROUNDDOWN($H214,0))*(INDEX(avoidedcosttbl2,ROUNDUP($H214,0),CI$2)-INDEX(avoidedcosttbl2,ROUNDDOWN($H214,0),CI$2))))*'Inputs Yr 2'!AS214))),"")</f>
        <v>0</v>
      </c>
      <c r="CJ214" s="504">
        <f>IFERROR($G214*'Inputs Yr 2'!AT214*'Inputs Yr 2'!$P214*'Inputs Yr 2'!$Q214/((1+realdiscrt1)^-0.5),"")</f>
        <v>0</v>
      </c>
      <c r="CK214" s="79">
        <f>IFERROR((O214*1000*(((INDEX(avoidedcosttbl2,$H214,CK$2)+(($H214-ROUNDDOWN($H214,0))*(INDEX(avoidedcosttbl2,ROUNDUP($H214,0),CK$2)-INDEX(avoidedcosttbl2,ROUNDDOWN($H214,0),CK$2))))*'Inputs Yr 2'!AU214))),"")</f>
        <v>0</v>
      </c>
      <c r="CL214" s="504">
        <f>IFERROR(O214*1000*'Inputs Yr 2'!AV214/((1+realdiscrt1)^-0.5),"")</f>
        <v>0</v>
      </c>
      <c r="CM214" s="79">
        <f>IFERROR((AB214*'Inputs Yr 2'!AW214*(((INDEX(avoidedcosttbl2,$H214,CM$2)+(($H214-ROUNDDOWN($H214,0))*(INDEX(avoidedcosttbl2,ROUNDUP($H214,0),CM$2)-INDEX(avoidedcosttbl2,ROUNDDOWN($H214,0),CM$2)))))))*10,"")</f>
        <v>0</v>
      </c>
      <c r="CN214" s="504">
        <f>IFERROR(10*AB214*'Inputs Yr 2'!AX214/((1+realdiscrt1)^-0.5),"")</f>
        <v>0</v>
      </c>
      <c r="CO214" s="505">
        <f t="shared" si="135"/>
        <v>0</v>
      </c>
      <c r="CP214" s="230">
        <f t="shared" si="136"/>
        <v>13093.861029994359</v>
      </c>
      <c r="CQ214" s="199">
        <f>ROUND(IFERROR(IF(LEFT($A214,1)="C",'Avoided Costs'!$K$13,'Avoided Costs'!$K$12)+1,""),4)</f>
        <v>1.0720000000000001</v>
      </c>
      <c r="CR214" s="199">
        <f>ROUND(IFERROR(IF(LEFT($A214,1)="C",'Avoided Costs'!$L$13,'Avoided Costs'!$L$12)+1,""),4)</f>
        <v>1.04</v>
      </c>
      <c r="CS214" s="199">
        <f>ROUND(IFERROR(IF(LEFT($A214,1)="C",'Avoided Costs'!$M$13,'Avoided Costs'!$M$12)+1,""),4)</f>
        <v>1.0720000000000001</v>
      </c>
      <c r="CT214" s="199">
        <f>ROUND(IFERROR(IF(LEFT($A214,1)="C",'Avoided Costs'!$N$13,'Avoided Costs'!$N$12)+1,""),4)</f>
        <v>1.04</v>
      </c>
      <c r="CU214" s="199">
        <f>ROUND(IFERROR(IF(LEFT($A214,1)="C",'Avoided Costs'!$O$13,'Avoided Costs'!$O$12)+1,""),4)</f>
        <v>1.1120000000000001</v>
      </c>
      <c r="CV214" s="199">
        <f>ROUND(IFERROR(IF(LEFT($A214,1)="C",'Avoided Costs'!$P$13,'Avoided Costs'!$P$12)+1,""),4)</f>
        <v>1.095</v>
      </c>
      <c r="CW214" s="199">
        <f>ROUND(IFERROR(IF(LEFT($A214,1)="C",'Avoided Costs'!$Q$13,'Avoided Costs'!$Q$12)+1,""),4)</f>
        <v>1.1120000000000001</v>
      </c>
      <c r="CX214" s="200">
        <f>ROUND(IFERROR(IF(LEFT($A214,1)="C",'Avoided Costs'!$R$13,'Avoided Costs'!$R$12)+1,""),4)</f>
        <v>1.1120000000000001</v>
      </c>
    </row>
    <row r="215" spans="1:102" ht="12.75" customHeight="1">
      <c r="A215" s="91" t="str">
        <f>IF('Inputs Yr 2'!$B215=0,"",'Inputs Yr 2'!A215)</f>
        <v>C - Commercial &amp; Industrial</v>
      </c>
      <c r="B215" s="91" t="str">
        <f>IF('Inputs Yr 2'!$B215=0,"",'Inputs Yr 2'!B215)</f>
        <v>C1 - C&amp;I New Construction</v>
      </c>
      <c r="C215" s="91" t="str">
        <f>IF('Inputs Yr 2'!$B215=0,"",'Inputs Yr 2'!C215)</f>
        <v xml:space="preserve">C1b - C&amp;I Initial Purchase &amp; End of Useful Life </v>
      </c>
      <c r="D215" s="91" t="str">
        <f>IF('Inputs Yr 2'!$B215=0,"",'Inputs Yr 2'!E215)</f>
        <v>Furnace w/ECM 97% - Muni</v>
      </c>
      <c r="E215" s="93" t="str">
        <f>IF('Inputs Yr 2'!$B215=0,"",'Inputs Yr 2'!F215)</f>
        <v>G16C1b15</v>
      </c>
      <c r="F215" s="93" t="str">
        <f>IF('Inputs Yr 2'!$B215=0,"",'Inputs Yr 2'!G215)</f>
        <v>HVAC</v>
      </c>
      <c r="G215" s="95" t="str">
        <f>IF('Inputs Yr 2'!$H215&lt;&gt;0,('Inputs Yr 2'!H215),"")</f>
        <v/>
      </c>
      <c r="H215" s="94">
        <f>IFERROR('Inputs Yr 2'!I215,"")</f>
        <v>18</v>
      </c>
      <c r="I215" s="298" t="str">
        <f>IFERROR('Inputs Yr 2'!J215*'Inputs Yr 2'!P215*G215,"")</f>
        <v/>
      </c>
      <c r="J215" s="298" t="str">
        <f>IFERROR('Inputs Yr 2'!K215*G215,"")</f>
        <v/>
      </c>
      <c r="K215" s="298" t="str">
        <f t="shared" si="113"/>
        <v/>
      </c>
      <c r="L215" s="194" t="str">
        <f>IFERROR(('Inputs Yr 2'!W215*G215)/1000,"")</f>
        <v/>
      </c>
      <c r="M215" s="194" t="str">
        <f>IFERROR(L215*('Inputs Yr 2'!$Q215*'Inputs Yr 2'!$V215*'Inputs Yr 2'!$R215),"")</f>
        <v/>
      </c>
      <c r="N215" s="194" t="str">
        <f t="shared" si="114"/>
        <v/>
      </c>
      <c r="O215" s="194" t="str">
        <f>IFERROR(M215*'Inputs Yr 2'!P215,"")</f>
        <v/>
      </c>
      <c r="P215" s="194" t="str">
        <f t="shared" si="115"/>
        <v/>
      </c>
      <c r="Q215" s="194" t="str">
        <f>IFERROR($P215*'Inputs Yr 2'!AA215,"")</f>
        <v/>
      </c>
      <c r="R215" s="194" t="str">
        <f>IFERROR($P215*'Inputs Yr 2'!AB215,"")</f>
        <v/>
      </c>
      <c r="S215" s="194" t="str">
        <f>IFERROR($P215*'Inputs Yr 2'!AC215,"")</f>
        <v/>
      </c>
      <c r="T215" s="194" t="str">
        <f>IFERROR($P215*'Inputs Yr 2'!AD215,"")</f>
        <v/>
      </c>
      <c r="U215" s="194" t="str">
        <f>IFERROR(G215*'Inputs Yr 2'!$AE215*'Inputs Yr 2'!$P215*'Inputs Yr 2'!$Q215,"")</f>
        <v/>
      </c>
      <c r="V215" s="194" t="str">
        <f>IFERROR($G215*'Inputs Yr 2'!$AE215*'Inputs Yr 2'!$AG215*'Inputs Yr 2'!Q215*'Inputs Yr 2'!$S215,"")</f>
        <v/>
      </c>
      <c r="W215" s="194" t="str">
        <f>IFERROR($G215*'Inputs Yr 2'!$AE215*'Inputs Yr 2'!$AG215*'Inputs Yr 2'!P215*'Inputs Yr 2'!Q215*'Inputs Yr 2'!$S215,"")</f>
        <v/>
      </c>
      <c r="X215" s="194" t="str">
        <f>IFERROR($G215*'Inputs Yr 2'!$AE215*'Inputs Yr 2'!$AF215*'Inputs Yr 2'!Q215*'Inputs Yr 2'!$T215,"")</f>
        <v/>
      </c>
      <c r="Y215" s="194" t="str">
        <f>IFERROR($G215*'Inputs Yr 2'!$AE215*'Inputs Yr 2'!$AF215*'Inputs Yr 2'!P215*'Inputs Yr 2'!Q215*'Inputs Yr 2'!$T215,"")</f>
        <v/>
      </c>
      <c r="Z215" s="257">
        <f>IFERROR($G215*'Inputs Yr 2'!$Q215*'Inputs Yr 2'!$U215*(IF(IFERROR(SEARCH("NG", 'Inputs Yr 2'!$AJ215),0),'Inputs Yr 2'!$AK215,0)+IF(IFERROR(SEARCH("NG", 'Inputs Yr 2'!$AL215),0),'Inputs Yr 2'!$AM215,0)+IF(IFERROR(SEARCH("NG", 'Inputs Yr 2'!$AN215),0),'Inputs Yr 2'!$AO215,0)),0)</f>
        <v>0</v>
      </c>
      <c r="AA215" s="257">
        <f t="shared" si="116"/>
        <v>0</v>
      </c>
      <c r="AB215" s="257">
        <f>IFERROR(Z215*'Inputs Yr 2'!$P215,0)</f>
        <v>0</v>
      </c>
      <c r="AC215" s="257">
        <f t="shared" si="117"/>
        <v>0</v>
      </c>
      <c r="AD215" s="257">
        <f>IFERROR($G215*'Inputs Yr 2'!$Q215*'Inputs Yr 2'!$U215*(IF(IFERROR(SEARCH("Oil", 'Inputs Yr 2'!$AJ215), 0),'Inputs Yr 2'!$AK215,0)+IF(IFERROR(SEARCH("Oil", 'Inputs Yr 2'!$AL215), 0),'Inputs Yr 2'!$AM215,0)+IF(IFERROR(SEARCH("Oil", 'Inputs Yr 2'!$AN215), 0),'Inputs Yr 2'!$AO215,0)),0)</f>
        <v>0</v>
      </c>
      <c r="AE215" s="257">
        <f t="shared" si="118"/>
        <v>0</v>
      </c>
      <c r="AF215" s="257">
        <f>IFERROR(AD215*'Inputs Yr 2'!$P215,0)</f>
        <v>0</v>
      </c>
      <c r="AG215" s="257">
        <f t="shared" si="119"/>
        <v>0</v>
      </c>
      <c r="AH215" s="257">
        <f>IFERROR($G215*'Inputs Yr 2'!$Q215*'Inputs Yr 2'!$U215*(IF('Inputs Yr 2'!$AJ215=CD$4,'Inputs Yr 2'!$AK215,IF('Inputs Yr 2'!$AL215=CD$4,'Inputs Yr 2'!$AM215,IF('Inputs Yr 2'!$AN215=CD$4,'Inputs Yr 2'!$AO215,0)))),0)</f>
        <v>0</v>
      </c>
      <c r="AI215" s="257">
        <f t="shared" si="120"/>
        <v>0</v>
      </c>
      <c r="AJ215" s="257">
        <f>IFERROR(AH215*'Inputs Yr 2'!$P215,0)</f>
        <v>0</v>
      </c>
      <c r="AK215" s="257">
        <f t="shared" si="121"/>
        <v>0</v>
      </c>
      <c r="AL215" s="258">
        <f>IFERROR($G215*'Inputs Yr 2'!$P215*'Inputs Yr 2'!$Q215*'Inputs Yr 2'!AP215,0)</f>
        <v>0</v>
      </c>
      <c r="AM215" s="260">
        <f>IFERROR($G215*'Inputs Yr 2'!$P215*'Inputs Yr 2'!$Q215*'Inputs Yr 2'!AQ215,0)</f>
        <v>0</v>
      </c>
      <c r="AN215" s="258">
        <f>IFERROR($G215*'Inputs Yr 2'!$P215*'Inputs Yr 2'!$Q215*'Inputs Yr 2'!AR215,0)</f>
        <v>0</v>
      </c>
      <c r="AO215" s="257">
        <f t="shared" si="122"/>
        <v>0</v>
      </c>
      <c r="AP215" s="195" t="str">
        <f>IFERROR($CQ215*(INDEX(avoidedcosttbl2,$H215,AP$2)+(($H215-ROUNDDOWN($H215,0))*(INDEX(avoidedcosttbl2,ROUNDUP($H215,0),AP$2)-(INDEX(avoidedcosttbl2,ROUNDDOWN($H215,0),AP$2)))))*$O215*1000*'Inputs Yr 2'!AA215,"")</f>
        <v/>
      </c>
      <c r="AQ215" s="195" t="str">
        <f>IFERROR($CR215*(INDEX(avoidedcosttbl2,$H215,AQ$2)+(($H215-ROUNDDOWN($H215,0))*(INDEX(avoidedcosttbl2,ROUNDUP($H215,0),AQ$2)-(INDEX(avoidedcosttbl2,ROUNDDOWN($H215,0),AQ$2)))))*$O215*1000*'Inputs Yr 2'!AB215,"")</f>
        <v/>
      </c>
      <c r="AR215" s="195" t="str">
        <f>IFERROR($CS215*(INDEX(avoidedcosttbl2,$H215,AR$2)+(($H215-ROUNDDOWN($H215,0))*(INDEX(avoidedcosttbl2,ROUNDUP($H215,0),AR$2)-(INDEX(avoidedcosttbl2,ROUNDDOWN($H215,0),AR$2)))))*$O215*1000*'Inputs Yr 2'!AC215,"")</f>
        <v/>
      </c>
      <c r="AS215" s="195" t="str">
        <f>IFERROR($CT215*(INDEX(avoidedcosttbl2,$H215,AS$2)+(($H215-ROUNDDOWN($H215,0))*(INDEX(avoidedcosttbl2,ROUNDUP($H215,0),AS$2)-(INDEX(avoidedcosttbl2,ROUNDDOWN($H215,0),AS$2)))))*$O215*1000*'Inputs Yr 2'!AD215,"")</f>
        <v/>
      </c>
      <c r="AT215" s="196">
        <f t="shared" si="123"/>
        <v>0</v>
      </c>
      <c r="AU215" s="197" t="str">
        <f>IFERROR($CQ215*((INDEX(avoidedcosttbl2,$H215,AU$2))+(($H215-ROUNDDOWN($H215,0))*((INDEX(avoidedcosttbl2,ROUNDUP($H215,0),AU$2))-(INDEX(avoidedcosttbl2,ROUNDDOWN($H215,0),AU$2)))))*$O215*1000*'Inputs Yr 2'!AA215,"")</f>
        <v/>
      </c>
      <c r="AV215" s="197" t="str">
        <f>IFERROR($CR215*((INDEX(avoidedcosttbl2,$H215,AV$2))+(($H215-ROUNDDOWN($H215,0))*((INDEX(avoidedcosttbl2,ROUNDUP($H215,0),AV$2))-(INDEX(avoidedcosttbl2,ROUNDDOWN($H215,0),AV$2)))))*$O215*1000*'Inputs Yr 2'!AB215,"")</f>
        <v/>
      </c>
      <c r="AW215" s="197" t="str">
        <f>IFERROR($CS215*((INDEX(avoidedcosttbl2,$H215,AW$2))+(($H215-ROUNDDOWN($H215,0))*((INDEX(avoidedcosttbl2,ROUNDUP($H215,0),AW$2))-(INDEX(avoidedcosttbl2,ROUNDDOWN($H215,0),AW$2)))))*$O215*1000*'Inputs Yr 2'!AC215,"")</f>
        <v/>
      </c>
      <c r="AX215" s="197" t="str">
        <f>IFERROR($CT215*((INDEX(avoidedcosttbl2,$H215,AX$2))+(($H215-ROUNDDOWN($H215,0))*((INDEX(avoidedcosttbl2,ROUNDUP($H215,0),AX$2))-(INDEX(avoidedcosttbl2,ROUNDDOWN($H215,0),AX$2)))))*$O215*1000*'Inputs Yr 2'!AD215,"")</f>
        <v/>
      </c>
      <c r="AY215" s="197" t="str">
        <f>IFERROR(((INDEX(avoidedcosttbl2,$H215,AY$2))+(($H215-ROUNDDOWN($H215,0))*((INDEX(avoidedcosttbl2,ROUNDUP($H215,0),AY$2))-(INDEX(avoidedcosttbl2,ROUNDDOWN($H215,0),AY$2)))))*$O215*1000*('Inputs Yr 2'!AC215+'Inputs Yr 2'!AD215),"")</f>
        <v/>
      </c>
      <c r="AZ215" s="197" t="str">
        <f>IFERROR(((INDEX(avoidedcosttbl2,$H215,AZ$2))+(($H215-ROUNDDOWN($H215,0))*((INDEX(avoidedcosttbl2,ROUNDUP($H215,0),AZ$2))-(INDEX(avoidedcosttbl2,ROUNDDOWN($H215,0),AZ$2)))))*$O215*1000*('Inputs Yr 2'!AA215+'Inputs Yr 2'!AB215),"")</f>
        <v/>
      </c>
      <c r="BA215" s="198">
        <f t="shared" si="124"/>
        <v>0</v>
      </c>
      <c r="BB215" s="198">
        <f t="shared" si="125"/>
        <v>0</v>
      </c>
      <c r="BC215" s="195" t="str">
        <f t="shared" si="107"/>
        <v/>
      </c>
      <c r="BD215" s="195" t="str">
        <f t="shared" si="108"/>
        <v/>
      </c>
      <c r="BE215" s="195" t="str">
        <f t="shared" si="109"/>
        <v/>
      </c>
      <c r="BF215" s="195" t="str">
        <f t="shared" si="110"/>
        <v/>
      </c>
      <c r="BG215" s="195" t="str">
        <f t="shared" si="111"/>
        <v/>
      </c>
      <c r="BH215" s="196">
        <f t="shared" si="126"/>
        <v>0</v>
      </c>
      <c r="BI215" s="196">
        <f t="shared" si="127"/>
        <v>0</v>
      </c>
      <c r="BJ215" s="195" t="str">
        <f>IFERROR($G215*(IF('Inputs Yr 2'!$AJ215=BJ$4,'Inputs Yr 2'!$AK215,IF('Inputs Yr 2'!$AL215=BJ$4,'Inputs Yr 2'!$AM215,IF('Inputs Yr 2'!$AN215=BJ$4,'Inputs Yr 2'!$AO215,0))))*(INDEX(avoidedcosttbl2,$H215,BJ$2)+(($H215-ROUNDDOWN($H215,0))*(INDEX(avoidedcosttbl2,ROUNDUP($H215,0),BJ$2)-(INDEX(avoidedcosttbl2,ROUNDDOWN($H215,0),BJ$2)))))*'Inputs Yr 2'!P215*'Inputs Yr 2'!Q215*'Inputs Yr 2'!U215,"")</f>
        <v/>
      </c>
      <c r="BK215" s="195" t="str">
        <f>IFERROR($G215*(IF('Inputs Yr 2'!$AJ215=BK$4,'Inputs Yr 2'!$AK215,IF('Inputs Yr 2'!$AL215=BK$4,'Inputs Yr 2'!$AM215,IF('Inputs Yr 2'!$AN215=BK$4,'Inputs Yr 2'!$AO215,0))))*(INDEX(avoidedcosttbl2,$H215,BK$2)+(($H215-ROUNDDOWN($H215,0))*(INDEX(avoidedcosttbl2,ROUNDUP($H215,0),BK$2)-(INDEX(avoidedcosttbl2,ROUNDDOWN($H215,0),BK$2)))))*'Inputs Yr 2'!P215*'Inputs Yr 2'!Q215*'Inputs Yr 2'!U215,"")</f>
        <v/>
      </c>
      <c r="BL215" s="195" t="str">
        <f>IFERROR($G215*(IF('Inputs Yr 2'!$AJ215=BL$4,'Inputs Yr 2'!$AK215,IF('Inputs Yr 2'!$AL215=BL$4,'Inputs Yr 2'!$AM215,IF('Inputs Yr 2'!$AN215=BL$4,'Inputs Yr 2'!$AO215,0))))*(INDEX(avoidedcosttbl2,$H215,BL$2)+(($H215-ROUNDDOWN($H215,0))*(INDEX(avoidedcosttbl2,ROUNDUP($H215,0),BL$2)-(INDEX(avoidedcosttbl2,ROUNDDOWN($H215,0),BL$2)))))*'Inputs Yr 2'!P215*'Inputs Yr 2'!Q215*'Inputs Yr 2'!U215,"")</f>
        <v/>
      </c>
      <c r="BM215" s="195" t="str">
        <f>IFERROR($G215*(IF('Inputs Yr 2'!$AJ215=BM$4,'Inputs Yr 2'!$AK215,IF('Inputs Yr 2'!$AL215=BM$4,'Inputs Yr 2'!$AM215,IF('Inputs Yr 2'!$AN215=BM$4,'Inputs Yr 2'!$AO215,0))))*(INDEX(avoidedcosttbl2,$H215,BM$2)+(($H215-ROUNDDOWN($H215,0))*(INDEX(avoidedcosttbl2,ROUNDUP($H215,0),BM$2)-(INDEX(avoidedcosttbl2,ROUNDDOWN($H215,0),BM$2)))))*'Inputs Yr 2'!P215*'Inputs Yr 2'!Q215*'Inputs Yr 2'!U215,"")</f>
        <v/>
      </c>
      <c r="BN215" s="195" t="str">
        <f>IFERROR($G215*(IF('Inputs Yr 2'!$AJ215=BN$4,'Inputs Yr 2'!$AK215,IF('Inputs Yr 2'!$AL215=BN$4,'Inputs Yr 2'!$AM215,IF('Inputs Yr 2'!$AN215=BN$4,'Inputs Yr 2'!$AO215,0))))*(INDEX(avoidedcosttbl2,$H215,BN$2)+(($H215-ROUNDDOWN($H215,0))*(INDEX(avoidedcosttbl2,ROUNDUP($H215,0),BN$2)-(INDEX(avoidedcosttbl2,ROUNDDOWN($H215,0),BN$2)))))*'Inputs Yr 2'!P215*'Inputs Yr 2'!Q215*'Inputs Yr 2'!U215,"")</f>
        <v/>
      </c>
      <c r="BO215" s="195" t="str">
        <f>IFERROR($G215*(IF('Inputs Yr 2'!$AJ215=BO$4,'Inputs Yr 2'!$AK215,IF('Inputs Yr 2'!$AL215=BO$4,'Inputs Yr 2'!$AM215,IF('Inputs Yr 2'!$AN215=BO$4,'Inputs Yr 2'!$AO215,0))))*(INDEX(avoidedcosttbl2,$H215,BO$2)+(($H215-ROUNDDOWN($H215,0))*(INDEX(avoidedcosttbl2,ROUNDUP($H215,0),BO$2)-(INDEX(avoidedcosttbl2,ROUNDDOWN($H215,0),BO$2)))))*'Inputs Yr 2'!P215*'Inputs Yr 2'!Q215*'Inputs Yr 2'!U215,"")</f>
        <v/>
      </c>
      <c r="BP215" s="195" t="str">
        <f>IFERROR($G215*(IF('Inputs Yr 2'!$AJ215=BP$4,'Inputs Yr 2'!$AK215,IF('Inputs Yr 2'!$AL215=BP$4,'Inputs Yr 2'!$AM215,IF('Inputs Yr 2'!$AN215=BP$4,'Inputs Yr 2'!$AO215,0))))*(INDEX(avoidedcosttbl2,$H215,BP$2)+(($H215-ROUNDDOWN($H215,0))*(INDEX(avoidedcosttbl2,ROUNDUP($H215,0),BP$2)-(INDEX(avoidedcosttbl2,ROUNDDOWN($H215,0),BP$2)))))*'Inputs Yr 2'!P215*'Inputs Yr 2'!Q215*'Inputs Yr 2'!U215,"")</f>
        <v/>
      </c>
      <c r="BQ215" s="230">
        <f t="shared" si="128"/>
        <v>0</v>
      </c>
      <c r="BR215" s="197">
        <f t="shared" si="112"/>
        <v>0</v>
      </c>
      <c r="BS215" s="197" t="str">
        <f>IFERROR(($G215*IF('Inputs Yr 2'!$AJ215=BM$4,'Inputs Yr 2'!$AK215,IF('Inputs Yr 2'!$AL215=BM$4,'Inputs Yr 2'!$AM215,IF('Inputs Yr 2'!$AN215=BM$4,'Inputs Yr 2'!$AO215,0))))*(INDEX(avoidedcosttbl2,$H215,BS$2)+(($H215-ROUNDDOWN($H215,0))*(INDEX(avoidedcosttbl2,ROUNDUP($H215,0),BS$2)-(INDEX(avoidedcosttbl2,ROUNDDOWN($H215,0),BS$2)))))*'Inputs Yr 2'!P215*'Inputs Yr 2'!Q215*'Inputs Yr 2'!U215,"")</f>
        <v/>
      </c>
      <c r="BT215" s="197" t="str">
        <f>IFERROR(($G215*IF('Inputs Yr 2'!$AJ215=BK$4,'Inputs Yr 2'!$AK215,IF('Inputs Yr 2'!$AL215=BK$4,'Inputs Yr 2'!$AM215,IF('Inputs Yr 2'!$AN215=BK$4,'Inputs Yr 2'!$AO215,0))))*(INDEX(avoidedcosttbl2,$H215,BT$2)+(($H215-ROUNDDOWN($H215,0))*(INDEX(avoidedcosttbl2,ROUNDUP($H215,0),BT$2)-(INDEX(avoidedcosttbl2,ROUNDDOWN($H215,0),BT$2)))))*'Inputs Yr 2'!P215*'Inputs Yr 2'!Q215*'Inputs Yr 2'!U215,"")</f>
        <v/>
      </c>
      <c r="BU215" s="197" t="str">
        <f>IFERROR(($G215*IF('Inputs Yr 2'!$AJ215=BL$4,'Inputs Yr 2'!$AK215,IF('Inputs Yr 2'!$AL215=BL$4,'Inputs Yr 2'!$AM215,IF('Inputs Yr 2'!$AN215=BL$4,'Inputs Yr 2'!$AO215,0))))*(INDEX(avoidedcosttbl2,$H215,BU$2)+(($H215-ROUNDDOWN($H215,0))*(INDEX(avoidedcosttbl2,ROUNDUP($H215,0),BU$2)-(INDEX(avoidedcosttbl2,ROUNDDOWN($H215,0),BU$2)))))*'Inputs Yr 2'!P215*'Inputs Yr 2'!Q215*'Inputs Yr 2'!U215,"")</f>
        <v/>
      </c>
      <c r="BV215" s="775" t="str">
        <f>IFERROR(($G215*IF('Inputs Yr 2'!$AJ215=BJ$4,'Inputs Yr 2'!$AK215,IF('Inputs Yr 2'!$AL215=BJ$4,'Inputs Yr 2'!$AM215,IF('Inputs Yr 2'!$AN215=BJ$4,'Inputs Yr 2'!$AO215,0))))*(INDEX(avoidedcosttbl2,$H215,BV$2)+(($H215-ROUNDDOWN($H215,0))*(INDEX(avoidedcosttbl2,ROUNDUP($H215,0),BV$2)-(INDEX(avoidedcosttbl2,ROUNDDOWN($H215,0),BV$2)))))*'Inputs Yr 2'!P215*'Inputs Yr 2'!Q215*'Inputs Yr 2'!U215,"")</f>
        <v/>
      </c>
      <c r="BW215" s="197" t="str">
        <f>IFERROR(($G215*IF('Inputs Yr 2'!$AJ215=BN$4,'Inputs Yr 2'!$AK215,IF('Inputs Yr 2'!$AL215=BN$4,'Inputs Yr 2'!$AM215,IF('Inputs Yr 2'!$AN215=BN$4,'Inputs Yr 2'!$AO215,0))))*(INDEX(avoidedcosttbl2,$H215,BW$2)+(($H215-ROUNDDOWN($H215,0))*(INDEX(avoidedcosttbl2,ROUNDUP($H215,0),BW$2)-(INDEX(avoidedcosttbl2,ROUNDDOWN($H215,0),BW$2)))))*'Inputs Yr 2'!P215*'Inputs Yr 2'!Q215*'Inputs Yr 2'!U215,"")</f>
        <v/>
      </c>
      <c r="BX215" s="197" t="str">
        <f>IFERROR(($G215*IF('Inputs Yr 2'!$AJ215=BO$4,'Inputs Yr 2'!$AK215,IF('Inputs Yr 2'!$AL215=BO$4,'Inputs Yr 2'!$AM215,IF('Inputs Yr 2'!$AN215=BO$4,'Inputs Yr 2'!$AO215,0))))*(INDEX(avoidedcosttbl2,$H215,BX$2)+(($H215-ROUNDDOWN($H215,0))*(INDEX(avoidedcosttbl2,ROUNDUP($H215,0),BX$2)-(INDEX(avoidedcosttbl2,ROUNDDOWN($H215,0),BX$2)))))*'Inputs Yr 2'!P215*'Inputs Yr 2'!Q215*'Inputs Yr 2'!U215,"")</f>
        <v/>
      </c>
      <c r="BY215" s="197" t="str">
        <f>IFERROR(($G215*IF('Inputs Yr 2'!$AJ215=BP$4,'Inputs Yr 2'!$AK215,IF('Inputs Yr 2'!$AL215=BP$4,'Inputs Yr 2'!$AM215,IF('Inputs Yr 2'!$AN215=BP$4,'Inputs Yr 2'!$AO215,0))))*(INDEX(avoidedcosttbl2,$H215,BY$2)+(($H215-ROUNDDOWN($H215,0))*(INDEX(avoidedcosttbl2,ROUNDUP($H215,0),BY$2)-(INDEX(avoidedcosttbl2,ROUNDDOWN($H215,0),BY$2)))))*'Inputs Yr 2'!P215*'Inputs Yr 2'!Q215*'Inputs Yr 2'!U215,"")</f>
        <v/>
      </c>
      <c r="BZ215" s="193">
        <f t="shared" si="129"/>
        <v>0</v>
      </c>
      <c r="CA215" s="193">
        <f t="shared" si="130"/>
        <v>0</v>
      </c>
      <c r="CB215" s="195" t="str">
        <f>IFERROR(G215*(IF('Inputs Yr 2'!$AJ215=CB$4,'Inputs Yr 2'!$AK215,IF('Inputs Yr 2'!$AL215=CB$4,'Inputs Yr 2'!$AM215,IF('Inputs Yr 2'!$AN215=CB$4,'Inputs Yr 2'!$AO215,0))))*(INDEX(avoidedcosttbl2,$H215,CB$2)+(($H215-ROUNDDOWN($H215,0))*(INDEX(avoidedcosttbl2,ROUNDUP($H215,0),CB$2)-(INDEX(avoidedcosttbl2,ROUNDDOWN($H215,0),CB$2)))))*'Inputs Yr 2'!P215*'Inputs Yr 2'!Q215*'Inputs Yr 2'!U215,"")</f>
        <v/>
      </c>
      <c r="CC215" s="195">
        <f>IFERROR(H215*(IF('Inputs Yr 2'!$AJ215=CC$4,'Inputs Yr 2'!$AK215,IF('Inputs Yr 2'!$AL215=CC$4,'Inputs Yr 2'!$AM215,IF('Inputs Yr 2'!$AN215=CC$4,'Inputs Yr 2'!$AO215,0))))*(INDEX(avoidedcosttbl2,$H215,CC$2)+(($H215-ROUNDDOWN($H215,0))*(INDEX(avoidedcosttbl2,ROUNDUP($H215,0),CC$2)-(INDEX(avoidedcosttbl2,ROUNDDOWN($H215,0),CC$2)))))*'Inputs Yr 2'!Q215*'Inputs Yr 2'!R215*'Inputs Yr 2'!V215,"")</f>
        <v>0</v>
      </c>
      <c r="CD215" s="195" t="str">
        <f>IFERROR(I215*(IF('Inputs Yr 2'!$AJ215=CD$4,'Inputs Yr 2'!$AK215,IF('Inputs Yr 2'!$AL215=CD$4,'Inputs Yr 2'!$AM215,IF('Inputs Yr 2'!$AN215=CD$4,'Inputs Yr 2'!$AO215,0))))*(INDEX(avoidedcosttbl2,$H215,CD$2)+(($H215-ROUNDDOWN($H215,0))*(INDEX(avoidedcosttbl2,ROUNDUP($H215,0),CD$2)-(INDEX(avoidedcosttbl2,ROUNDDOWN($H215,0),CD$2)))))*'Inputs Yr 2'!R215*'Inputs Yr 2'!S215*'Inputs Yr 2'!W215,"")</f>
        <v/>
      </c>
      <c r="CE215" s="213">
        <f t="shared" si="131"/>
        <v>0</v>
      </c>
      <c r="CF215" s="213">
        <f t="shared" si="132"/>
        <v>0</v>
      </c>
      <c r="CG215" s="213">
        <f t="shared" si="133"/>
        <v>0</v>
      </c>
      <c r="CH215" s="698">
        <f t="shared" si="134"/>
        <v>0</v>
      </c>
      <c r="CI215" s="79" t="str">
        <f>IFERROR(($G215*'Inputs Yr 2'!$P215*'Inputs Yr 2'!$Q215*(((INDEX(avoidedcosttbl2,$H215,CI$2)+(($H215-ROUNDDOWN($H215,0))*(INDEX(avoidedcosttbl2,ROUNDUP($H215,0),CI$2)-INDEX(avoidedcosttbl2,ROUNDDOWN($H215,0),CI$2))))*'Inputs Yr 2'!AS215))),"")</f>
        <v/>
      </c>
      <c r="CJ215" s="504" t="str">
        <f>IFERROR($G215*'Inputs Yr 2'!AT215*'Inputs Yr 2'!$P215*'Inputs Yr 2'!$Q215/((1+realdiscrt1)^-0.5),"")</f>
        <v/>
      </c>
      <c r="CK215" s="79" t="str">
        <f>IFERROR((O215*1000*(((INDEX(avoidedcosttbl2,$H215,CK$2)+(($H215-ROUNDDOWN($H215,0))*(INDEX(avoidedcosttbl2,ROUNDUP($H215,0),CK$2)-INDEX(avoidedcosttbl2,ROUNDDOWN($H215,0),CK$2))))*'Inputs Yr 2'!AU215))),"")</f>
        <v/>
      </c>
      <c r="CL215" s="504" t="str">
        <f>IFERROR(O215*1000*'Inputs Yr 2'!AV215/((1+realdiscrt1)^-0.5),"")</f>
        <v/>
      </c>
      <c r="CM215" s="79">
        <f>IFERROR((AB215*'Inputs Yr 2'!AW215*(((INDEX(avoidedcosttbl2,$H215,CM$2)+(($H215-ROUNDDOWN($H215,0))*(INDEX(avoidedcosttbl2,ROUNDUP($H215,0),CM$2)-INDEX(avoidedcosttbl2,ROUNDDOWN($H215,0),CM$2)))))))*10,"")</f>
        <v>0</v>
      </c>
      <c r="CN215" s="504">
        <f>IFERROR(10*AB215*'Inputs Yr 2'!AX215/((1+realdiscrt1)^-0.5),"")</f>
        <v>0</v>
      </c>
      <c r="CO215" s="505">
        <f t="shared" si="135"/>
        <v>0</v>
      </c>
      <c r="CP215" s="230">
        <f t="shared" si="136"/>
        <v>0</v>
      </c>
      <c r="CQ215" s="199">
        <f>ROUND(IFERROR(IF(LEFT($A215,1)="C",'Avoided Costs'!$K$13,'Avoided Costs'!$K$12)+1,""),4)</f>
        <v>1.0720000000000001</v>
      </c>
      <c r="CR215" s="199">
        <f>ROUND(IFERROR(IF(LEFT($A215,1)="C",'Avoided Costs'!$L$13,'Avoided Costs'!$L$12)+1,""),4)</f>
        <v>1.04</v>
      </c>
      <c r="CS215" s="199">
        <f>ROUND(IFERROR(IF(LEFT($A215,1)="C",'Avoided Costs'!$M$13,'Avoided Costs'!$M$12)+1,""),4)</f>
        <v>1.0720000000000001</v>
      </c>
      <c r="CT215" s="199">
        <f>ROUND(IFERROR(IF(LEFT($A215,1)="C",'Avoided Costs'!$N$13,'Avoided Costs'!$N$12)+1,""),4)</f>
        <v>1.04</v>
      </c>
      <c r="CU215" s="199">
        <f>ROUND(IFERROR(IF(LEFT($A215,1)="C",'Avoided Costs'!$O$13,'Avoided Costs'!$O$12)+1,""),4)</f>
        <v>1.1120000000000001</v>
      </c>
      <c r="CV215" s="199">
        <f>ROUND(IFERROR(IF(LEFT($A215,1)="C",'Avoided Costs'!$P$13,'Avoided Costs'!$P$12)+1,""),4)</f>
        <v>1.095</v>
      </c>
      <c r="CW215" s="199">
        <f>ROUND(IFERROR(IF(LEFT($A215,1)="C",'Avoided Costs'!$Q$13,'Avoided Costs'!$Q$12)+1,""),4)</f>
        <v>1.1120000000000001</v>
      </c>
      <c r="CX215" s="200">
        <f>ROUND(IFERROR(IF(LEFT($A215,1)="C",'Avoided Costs'!$R$13,'Avoided Costs'!$R$12)+1,""),4)</f>
        <v>1.1120000000000001</v>
      </c>
    </row>
    <row r="216" spans="1:102" ht="12.75" customHeight="1">
      <c r="A216" s="91" t="str">
        <f>IF('Inputs Yr 2'!$B216=0,"",'Inputs Yr 2'!A216)</f>
        <v>C - Commercial &amp; Industrial</v>
      </c>
      <c r="B216" s="91" t="str">
        <f>IF('Inputs Yr 2'!$B216=0,"",'Inputs Yr 2'!B216)</f>
        <v>C1 - C&amp;I New Construction</v>
      </c>
      <c r="C216" s="91" t="str">
        <f>IF('Inputs Yr 2'!$B216=0,"",'Inputs Yr 2'!C216)</f>
        <v xml:space="preserve">C1b - C&amp;I Initial Purchase &amp; End of Useful Life </v>
      </c>
      <c r="D216" s="91" t="str">
        <f>IF('Inputs Yr 2'!$B216=0,"",'Inputs Yr 2'!E216)</f>
        <v>Condensing Boiler &lt;= 300 mbh (.95 TE)</v>
      </c>
      <c r="E216" s="93" t="str">
        <f>IF('Inputs Yr 2'!$B216=0,"",'Inputs Yr 2'!F216)</f>
        <v>G16C1b16</v>
      </c>
      <c r="F216" s="93" t="str">
        <f>IF('Inputs Yr 2'!$B216=0,"",'Inputs Yr 2'!G216)</f>
        <v>HVAC</v>
      </c>
      <c r="G216" s="95">
        <f>IF('Inputs Yr 2'!$H216&lt;&gt;0,('Inputs Yr 2'!H216),"")</f>
        <v>75</v>
      </c>
      <c r="H216" s="94">
        <f>IFERROR('Inputs Yr 2'!I216,"")</f>
        <v>25</v>
      </c>
      <c r="I216" s="298">
        <f>IFERROR('Inputs Yr 2'!J216*'Inputs Yr 2'!P216*G216,"")</f>
        <v>244155.60000000003</v>
      </c>
      <c r="J216" s="298">
        <f>IFERROR('Inputs Yr 2'!K216*G216,"")</f>
        <v>106500</v>
      </c>
      <c r="K216" s="298">
        <f t="shared" si="113"/>
        <v>137655.60000000003</v>
      </c>
      <c r="L216" s="194">
        <f>IFERROR(('Inputs Yr 2'!W216*G216)/1000,"")</f>
        <v>0</v>
      </c>
      <c r="M216" s="194">
        <f>IFERROR(L216*('Inputs Yr 2'!$Q216*'Inputs Yr 2'!$V216*'Inputs Yr 2'!$R216),"")</f>
        <v>0</v>
      </c>
      <c r="N216" s="194">
        <f t="shared" si="114"/>
        <v>0</v>
      </c>
      <c r="O216" s="194">
        <f>IFERROR(M216*'Inputs Yr 2'!P216,"")</f>
        <v>0</v>
      </c>
      <c r="P216" s="194">
        <f t="shared" si="115"/>
        <v>0</v>
      </c>
      <c r="Q216" s="194">
        <f>IFERROR($P216*'Inputs Yr 2'!AA216,"")</f>
        <v>0</v>
      </c>
      <c r="R216" s="194">
        <f>IFERROR($P216*'Inputs Yr 2'!AB216,"")</f>
        <v>0</v>
      </c>
      <c r="S216" s="194">
        <f>IFERROR($P216*'Inputs Yr 2'!AC216,"")</f>
        <v>0</v>
      </c>
      <c r="T216" s="194">
        <f>IFERROR($P216*'Inputs Yr 2'!AD216,"")</f>
        <v>0</v>
      </c>
      <c r="U216" s="194">
        <f>IFERROR(G216*'Inputs Yr 2'!$AE216*'Inputs Yr 2'!$P216*'Inputs Yr 2'!$Q216,"")</f>
        <v>0</v>
      </c>
      <c r="V216" s="194">
        <f>IFERROR($G216*'Inputs Yr 2'!$AE216*'Inputs Yr 2'!$AG216*'Inputs Yr 2'!Q216*'Inputs Yr 2'!$S216,"")</f>
        <v>0</v>
      </c>
      <c r="W216" s="194">
        <f>IFERROR($G216*'Inputs Yr 2'!$AE216*'Inputs Yr 2'!$AG216*'Inputs Yr 2'!P216*'Inputs Yr 2'!Q216*'Inputs Yr 2'!$S216,"")</f>
        <v>0</v>
      </c>
      <c r="X216" s="194">
        <f>IFERROR($G216*'Inputs Yr 2'!$AE216*'Inputs Yr 2'!$AF216*'Inputs Yr 2'!Q216*'Inputs Yr 2'!$T216,"")</f>
        <v>0</v>
      </c>
      <c r="Y216" s="194">
        <f>IFERROR($G216*'Inputs Yr 2'!$AE216*'Inputs Yr 2'!$AF216*'Inputs Yr 2'!P216*'Inputs Yr 2'!Q216*'Inputs Yr 2'!$T216,"")</f>
        <v>0</v>
      </c>
      <c r="Z216" s="257">
        <f>IFERROR($G216*'Inputs Yr 2'!$Q216*'Inputs Yr 2'!$U216*(IF(IFERROR(SEARCH("NG", 'Inputs Yr 2'!$AJ216),0),'Inputs Yr 2'!$AK216,0)+IF(IFERROR(SEARCH("NG", 'Inputs Yr 2'!$AL216),0),'Inputs Yr 2'!$AM216,0)+IF(IFERROR(SEARCH("NG", 'Inputs Yr 2'!$AN216),0),'Inputs Yr 2'!$AO216,0)),0)</f>
        <v>1327.5</v>
      </c>
      <c r="AA216" s="257">
        <f t="shared" si="116"/>
        <v>33187.5</v>
      </c>
      <c r="AB216" s="257">
        <f>IFERROR(Z216*'Inputs Yr 2'!$P216,0)</f>
        <v>1123.0650000000001</v>
      </c>
      <c r="AC216" s="257">
        <f t="shared" si="117"/>
        <v>28076.625</v>
      </c>
      <c r="AD216" s="257">
        <f>IFERROR($G216*'Inputs Yr 2'!$Q216*'Inputs Yr 2'!$U216*(IF(IFERROR(SEARCH("Oil", 'Inputs Yr 2'!$AJ216), 0),'Inputs Yr 2'!$AK216,0)+IF(IFERROR(SEARCH("Oil", 'Inputs Yr 2'!$AL216), 0),'Inputs Yr 2'!$AM216,0)+IF(IFERROR(SEARCH("Oil", 'Inputs Yr 2'!$AN216), 0),'Inputs Yr 2'!$AO216,0)),0)</f>
        <v>0</v>
      </c>
      <c r="AE216" s="257">
        <f t="shared" si="118"/>
        <v>0</v>
      </c>
      <c r="AF216" s="257">
        <f>IFERROR(AD216*'Inputs Yr 2'!$P216,0)</f>
        <v>0</v>
      </c>
      <c r="AG216" s="257">
        <f t="shared" si="119"/>
        <v>0</v>
      </c>
      <c r="AH216" s="257">
        <f>IFERROR($G216*'Inputs Yr 2'!$Q216*'Inputs Yr 2'!$U216*(IF('Inputs Yr 2'!$AJ216=CD$4,'Inputs Yr 2'!$AK216,IF('Inputs Yr 2'!$AL216=CD$4,'Inputs Yr 2'!$AM216,IF('Inputs Yr 2'!$AN216=CD$4,'Inputs Yr 2'!$AO216,0)))),0)</f>
        <v>0</v>
      </c>
      <c r="AI216" s="257">
        <f t="shared" si="120"/>
        <v>0</v>
      </c>
      <c r="AJ216" s="257">
        <f>IFERROR(AH216*'Inputs Yr 2'!$P216,0)</f>
        <v>0</v>
      </c>
      <c r="AK216" s="257">
        <f t="shared" si="121"/>
        <v>0</v>
      </c>
      <c r="AL216" s="258">
        <f>IFERROR($G216*'Inputs Yr 2'!$P216*'Inputs Yr 2'!$Q216*'Inputs Yr 2'!AP216,0)</f>
        <v>0</v>
      </c>
      <c r="AM216" s="260">
        <f>IFERROR($G216*'Inputs Yr 2'!$P216*'Inputs Yr 2'!$Q216*'Inputs Yr 2'!AQ216,0)</f>
        <v>0</v>
      </c>
      <c r="AN216" s="258">
        <f>IFERROR($G216*'Inputs Yr 2'!$P216*'Inputs Yr 2'!$Q216*'Inputs Yr 2'!AR216,0)</f>
        <v>0</v>
      </c>
      <c r="AO216" s="257">
        <f t="shared" si="122"/>
        <v>0</v>
      </c>
      <c r="AP216" s="195">
        <f>IFERROR($CQ216*(INDEX(avoidedcosttbl2,$H216,AP$2)+(($H216-ROUNDDOWN($H216,0))*(INDEX(avoidedcosttbl2,ROUNDUP($H216,0),AP$2)-(INDEX(avoidedcosttbl2,ROUNDDOWN($H216,0),AP$2)))))*$O216*1000*'Inputs Yr 2'!AA216,"")</f>
        <v>0</v>
      </c>
      <c r="AQ216" s="195">
        <f>IFERROR($CR216*(INDEX(avoidedcosttbl2,$H216,AQ$2)+(($H216-ROUNDDOWN($H216,0))*(INDEX(avoidedcosttbl2,ROUNDUP($H216,0),AQ$2)-(INDEX(avoidedcosttbl2,ROUNDDOWN($H216,0),AQ$2)))))*$O216*1000*'Inputs Yr 2'!AB216,"")</f>
        <v>0</v>
      </c>
      <c r="AR216" s="195">
        <f>IFERROR($CS216*(INDEX(avoidedcosttbl2,$H216,AR$2)+(($H216-ROUNDDOWN($H216,0))*(INDEX(avoidedcosttbl2,ROUNDUP($H216,0),AR$2)-(INDEX(avoidedcosttbl2,ROUNDDOWN($H216,0),AR$2)))))*$O216*1000*'Inputs Yr 2'!AC216,"")</f>
        <v>0</v>
      </c>
      <c r="AS216" s="195">
        <f>IFERROR($CT216*(INDEX(avoidedcosttbl2,$H216,AS$2)+(($H216-ROUNDDOWN($H216,0))*(INDEX(avoidedcosttbl2,ROUNDUP($H216,0),AS$2)-(INDEX(avoidedcosttbl2,ROUNDDOWN($H216,0),AS$2)))))*$O216*1000*'Inputs Yr 2'!AD216,"")</f>
        <v>0</v>
      </c>
      <c r="AT216" s="196">
        <f t="shared" si="123"/>
        <v>0</v>
      </c>
      <c r="AU216" s="197">
        <f>IFERROR($CQ216*((INDEX(avoidedcosttbl2,$H216,AU$2))+(($H216-ROUNDDOWN($H216,0))*((INDEX(avoidedcosttbl2,ROUNDUP($H216,0),AU$2))-(INDEX(avoidedcosttbl2,ROUNDDOWN($H216,0),AU$2)))))*$O216*1000*'Inputs Yr 2'!AA216,"")</f>
        <v>0</v>
      </c>
      <c r="AV216" s="197">
        <f>IFERROR($CR216*((INDEX(avoidedcosttbl2,$H216,AV$2))+(($H216-ROUNDDOWN($H216,0))*((INDEX(avoidedcosttbl2,ROUNDUP($H216,0),AV$2))-(INDEX(avoidedcosttbl2,ROUNDDOWN($H216,0),AV$2)))))*$O216*1000*'Inputs Yr 2'!AB216,"")</f>
        <v>0</v>
      </c>
      <c r="AW216" s="197">
        <f>IFERROR($CS216*((INDEX(avoidedcosttbl2,$H216,AW$2))+(($H216-ROUNDDOWN($H216,0))*((INDEX(avoidedcosttbl2,ROUNDUP($H216,0),AW$2))-(INDEX(avoidedcosttbl2,ROUNDDOWN($H216,0),AW$2)))))*$O216*1000*'Inputs Yr 2'!AC216,"")</f>
        <v>0</v>
      </c>
      <c r="AX216" s="197">
        <f>IFERROR($CT216*((INDEX(avoidedcosttbl2,$H216,AX$2))+(($H216-ROUNDDOWN($H216,0))*((INDEX(avoidedcosttbl2,ROUNDUP($H216,0),AX$2))-(INDEX(avoidedcosttbl2,ROUNDDOWN($H216,0),AX$2)))))*$O216*1000*'Inputs Yr 2'!AD216,"")</f>
        <v>0</v>
      </c>
      <c r="AY216" s="197">
        <f>IFERROR(((INDEX(avoidedcosttbl2,$H216,AY$2))+(($H216-ROUNDDOWN($H216,0))*((INDEX(avoidedcosttbl2,ROUNDUP($H216,0),AY$2))-(INDEX(avoidedcosttbl2,ROUNDDOWN($H216,0),AY$2)))))*$O216*1000*('Inputs Yr 2'!AC216+'Inputs Yr 2'!AD216),"")</f>
        <v>0</v>
      </c>
      <c r="AZ216" s="197">
        <f>IFERROR(((INDEX(avoidedcosttbl2,$H216,AZ$2))+(($H216-ROUNDDOWN($H216,0))*((INDEX(avoidedcosttbl2,ROUNDUP($H216,0),AZ$2))-(INDEX(avoidedcosttbl2,ROUNDDOWN($H216,0),AZ$2)))))*$O216*1000*('Inputs Yr 2'!AA216+'Inputs Yr 2'!AB216),"")</f>
        <v>0</v>
      </c>
      <c r="BA216" s="198">
        <f t="shared" si="124"/>
        <v>0</v>
      </c>
      <c r="BB216" s="198">
        <f t="shared" si="125"/>
        <v>0</v>
      </c>
      <c r="BC216" s="195">
        <f t="shared" si="107"/>
        <v>0</v>
      </c>
      <c r="BD216" s="195">
        <f t="shared" si="108"/>
        <v>0</v>
      </c>
      <c r="BE216" s="195">
        <f t="shared" si="109"/>
        <v>0</v>
      </c>
      <c r="BF216" s="195">
        <f t="shared" si="110"/>
        <v>0</v>
      </c>
      <c r="BG216" s="195">
        <f t="shared" si="111"/>
        <v>0</v>
      </c>
      <c r="BH216" s="196">
        <f t="shared" si="126"/>
        <v>0</v>
      </c>
      <c r="BI216" s="196">
        <f t="shared" si="127"/>
        <v>0</v>
      </c>
      <c r="BJ216" s="195">
        <f>IFERROR($G216*(IF('Inputs Yr 2'!$AJ216=BJ$4,'Inputs Yr 2'!$AK216,IF('Inputs Yr 2'!$AL216=BJ$4,'Inputs Yr 2'!$AM216,IF('Inputs Yr 2'!$AN216=BJ$4,'Inputs Yr 2'!$AO216,0))))*(INDEX(avoidedcosttbl2,$H216,BJ$2)+(($H216-ROUNDDOWN($H216,0))*(INDEX(avoidedcosttbl2,ROUNDUP($H216,0),BJ$2)-(INDEX(avoidedcosttbl2,ROUNDDOWN($H216,0),BJ$2)))))*'Inputs Yr 2'!P216*'Inputs Yr 2'!Q216*'Inputs Yr 2'!U216,"")</f>
        <v>0</v>
      </c>
      <c r="BK216" s="195">
        <f>IFERROR($G216*(IF('Inputs Yr 2'!$AJ216=BK$4,'Inputs Yr 2'!$AK216,IF('Inputs Yr 2'!$AL216=BK$4,'Inputs Yr 2'!$AM216,IF('Inputs Yr 2'!$AN216=BK$4,'Inputs Yr 2'!$AO216,0))))*(INDEX(avoidedcosttbl2,$H216,BK$2)+(($H216-ROUNDDOWN($H216,0))*(INDEX(avoidedcosttbl2,ROUNDUP($H216,0),BK$2)-(INDEX(avoidedcosttbl2,ROUNDDOWN($H216,0),BK$2)))))*'Inputs Yr 2'!P216*'Inputs Yr 2'!Q216*'Inputs Yr 2'!U216,"")</f>
        <v>0</v>
      </c>
      <c r="BL216" s="195">
        <f>IFERROR($G216*(IF('Inputs Yr 2'!$AJ216=BL$4,'Inputs Yr 2'!$AK216,IF('Inputs Yr 2'!$AL216=BL$4,'Inputs Yr 2'!$AM216,IF('Inputs Yr 2'!$AN216=BL$4,'Inputs Yr 2'!$AO216,0))))*(INDEX(avoidedcosttbl2,$H216,BL$2)+(($H216-ROUNDDOWN($H216,0))*(INDEX(avoidedcosttbl2,ROUNDUP($H216,0),BL$2)-(INDEX(avoidedcosttbl2,ROUNDDOWN($H216,0),BL$2)))))*'Inputs Yr 2'!P216*'Inputs Yr 2'!Q216*'Inputs Yr 2'!U216,"")</f>
        <v>0</v>
      </c>
      <c r="BM216" s="195">
        <f>IFERROR($G216*(IF('Inputs Yr 2'!$AJ216=BM$4,'Inputs Yr 2'!$AK216,IF('Inputs Yr 2'!$AL216=BM$4,'Inputs Yr 2'!$AM216,IF('Inputs Yr 2'!$AN216=BM$4,'Inputs Yr 2'!$AO216,0))))*(INDEX(avoidedcosttbl2,$H216,BM$2)+(($H216-ROUNDDOWN($H216,0))*(INDEX(avoidedcosttbl2,ROUNDUP($H216,0),BM$2)-(INDEX(avoidedcosttbl2,ROUNDDOWN($H216,0),BM$2)))))*'Inputs Yr 2'!P216*'Inputs Yr 2'!Q216*'Inputs Yr 2'!U216,"")</f>
        <v>0</v>
      </c>
      <c r="BN216" s="195">
        <f>IFERROR($G216*(IF('Inputs Yr 2'!$AJ216=BN$4,'Inputs Yr 2'!$AK216,IF('Inputs Yr 2'!$AL216=BN$4,'Inputs Yr 2'!$AM216,IF('Inputs Yr 2'!$AN216=BN$4,'Inputs Yr 2'!$AO216,0))))*(INDEX(avoidedcosttbl2,$H216,BN$2)+(($H216-ROUNDDOWN($H216,0))*(INDEX(avoidedcosttbl2,ROUNDUP($H216,0),BN$2)-(INDEX(avoidedcosttbl2,ROUNDDOWN($H216,0),BN$2)))))*'Inputs Yr 2'!P216*'Inputs Yr 2'!Q216*'Inputs Yr 2'!U216,"")</f>
        <v>0</v>
      </c>
      <c r="BO216" s="195">
        <f>IFERROR($G216*(IF('Inputs Yr 2'!$AJ216=BO$4,'Inputs Yr 2'!$AK216,IF('Inputs Yr 2'!$AL216=BO$4,'Inputs Yr 2'!$AM216,IF('Inputs Yr 2'!$AN216=BO$4,'Inputs Yr 2'!$AO216,0))))*(INDEX(avoidedcosttbl2,$H216,BO$2)+(($H216-ROUNDDOWN($H216,0))*(INDEX(avoidedcosttbl2,ROUNDUP($H216,0),BO$2)-(INDEX(avoidedcosttbl2,ROUNDDOWN($H216,0),BO$2)))))*'Inputs Yr 2'!P216*'Inputs Yr 2'!Q216*'Inputs Yr 2'!U216,"")</f>
        <v>232626.34457608126</v>
      </c>
      <c r="BP216" s="195">
        <f>IFERROR($G216*(IF('Inputs Yr 2'!$AJ216=BP$4,'Inputs Yr 2'!$AK216,IF('Inputs Yr 2'!$AL216=BP$4,'Inputs Yr 2'!$AM216,IF('Inputs Yr 2'!$AN216=BP$4,'Inputs Yr 2'!$AO216,0))))*(INDEX(avoidedcosttbl2,$H216,BP$2)+(($H216-ROUNDDOWN($H216,0))*(INDEX(avoidedcosttbl2,ROUNDUP($H216,0),BP$2)-(INDEX(avoidedcosttbl2,ROUNDDOWN($H216,0),BP$2)))))*'Inputs Yr 2'!P216*'Inputs Yr 2'!Q216*'Inputs Yr 2'!U216,"")</f>
        <v>0</v>
      </c>
      <c r="BQ216" s="230">
        <f t="shared" si="128"/>
        <v>232626.34457608126</v>
      </c>
      <c r="BR216" s="197">
        <f t="shared" si="112"/>
        <v>3724.1268481528491</v>
      </c>
      <c r="BS216" s="197">
        <f>IFERROR(($G216*IF('Inputs Yr 2'!$AJ216=BM$4,'Inputs Yr 2'!$AK216,IF('Inputs Yr 2'!$AL216=BM$4,'Inputs Yr 2'!$AM216,IF('Inputs Yr 2'!$AN216=BM$4,'Inputs Yr 2'!$AO216,0))))*(INDEX(avoidedcosttbl2,$H216,BS$2)+(($H216-ROUNDDOWN($H216,0))*(INDEX(avoidedcosttbl2,ROUNDUP($H216,0),BS$2)-(INDEX(avoidedcosttbl2,ROUNDDOWN($H216,0),BS$2)))))*'Inputs Yr 2'!P216*'Inputs Yr 2'!Q216*'Inputs Yr 2'!U216,"")</f>
        <v>0</v>
      </c>
      <c r="BT216" s="197">
        <f>IFERROR(($G216*IF('Inputs Yr 2'!$AJ216=BK$4,'Inputs Yr 2'!$AK216,IF('Inputs Yr 2'!$AL216=BK$4,'Inputs Yr 2'!$AM216,IF('Inputs Yr 2'!$AN216=BK$4,'Inputs Yr 2'!$AO216,0))))*(INDEX(avoidedcosttbl2,$H216,BT$2)+(($H216-ROUNDDOWN($H216,0))*(INDEX(avoidedcosttbl2,ROUNDUP($H216,0),BT$2)-(INDEX(avoidedcosttbl2,ROUNDDOWN($H216,0),BT$2)))))*'Inputs Yr 2'!P216*'Inputs Yr 2'!Q216*'Inputs Yr 2'!U216,"")</f>
        <v>0</v>
      </c>
      <c r="BU216" s="197">
        <f>IFERROR(($G216*IF('Inputs Yr 2'!$AJ216=BL$4,'Inputs Yr 2'!$AK216,IF('Inputs Yr 2'!$AL216=BL$4,'Inputs Yr 2'!$AM216,IF('Inputs Yr 2'!$AN216=BL$4,'Inputs Yr 2'!$AO216,0))))*(INDEX(avoidedcosttbl2,$H216,BU$2)+(($H216-ROUNDDOWN($H216,0))*(INDEX(avoidedcosttbl2,ROUNDUP($H216,0),BU$2)-(INDEX(avoidedcosttbl2,ROUNDDOWN($H216,0),BU$2)))))*'Inputs Yr 2'!P216*'Inputs Yr 2'!Q216*'Inputs Yr 2'!U216,"")</f>
        <v>0</v>
      </c>
      <c r="BV216" s="775">
        <f>IFERROR(($G216*IF('Inputs Yr 2'!$AJ216=BJ$4,'Inputs Yr 2'!$AK216,IF('Inputs Yr 2'!$AL216=BJ$4,'Inputs Yr 2'!$AM216,IF('Inputs Yr 2'!$AN216=BJ$4,'Inputs Yr 2'!$AO216,0))))*(INDEX(avoidedcosttbl2,$H216,BV$2)+(($H216-ROUNDDOWN($H216,0))*(INDEX(avoidedcosttbl2,ROUNDUP($H216,0),BV$2)-(INDEX(avoidedcosttbl2,ROUNDDOWN($H216,0),BV$2)))))*'Inputs Yr 2'!P216*'Inputs Yr 2'!Q216*'Inputs Yr 2'!U216,"")</f>
        <v>0</v>
      </c>
      <c r="BW216" s="197">
        <f>IFERROR(($G216*IF('Inputs Yr 2'!$AJ216=BN$4,'Inputs Yr 2'!$AK216,IF('Inputs Yr 2'!$AL216=BN$4,'Inputs Yr 2'!$AM216,IF('Inputs Yr 2'!$AN216=BN$4,'Inputs Yr 2'!$AO216,0))))*(INDEX(avoidedcosttbl2,$H216,BW$2)+(($H216-ROUNDDOWN($H216,0))*(INDEX(avoidedcosttbl2,ROUNDUP($H216,0),BW$2)-(INDEX(avoidedcosttbl2,ROUNDDOWN($H216,0),BW$2)))))*'Inputs Yr 2'!P216*'Inputs Yr 2'!Q216*'Inputs Yr 2'!U216,"")</f>
        <v>0</v>
      </c>
      <c r="BX216" s="197">
        <f>IFERROR(($G216*IF('Inputs Yr 2'!$AJ216=BO$4,'Inputs Yr 2'!$AK216,IF('Inputs Yr 2'!$AL216=BO$4,'Inputs Yr 2'!$AM216,IF('Inputs Yr 2'!$AN216=BO$4,'Inputs Yr 2'!$AO216,0))))*(INDEX(avoidedcosttbl2,$H216,BX$2)+(($H216-ROUNDDOWN($H216,0))*(INDEX(avoidedcosttbl2,ROUNDUP($H216,0),BX$2)-(INDEX(avoidedcosttbl2,ROUNDDOWN($H216,0),BX$2)))))*'Inputs Yr 2'!P216*'Inputs Yr 2'!Q216*'Inputs Yr 2'!U216,"")</f>
        <v>10458.958481454411</v>
      </c>
      <c r="BY216" s="197">
        <f>IFERROR(($G216*IF('Inputs Yr 2'!$AJ216=BP$4,'Inputs Yr 2'!$AK216,IF('Inputs Yr 2'!$AL216=BP$4,'Inputs Yr 2'!$AM216,IF('Inputs Yr 2'!$AN216=BP$4,'Inputs Yr 2'!$AO216,0))))*(INDEX(avoidedcosttbl2,$H216,BY$2)+(($H216-ROUNDDOWN($H216,0))*(INDEX(avoidedcosttbl2,ROUNDUP($H216,0),BY$2)-(INDEX(avoidedcosttbl2,ROUNDDOWN($H216,0),BY$2)))))*'Inputs Yr 2'!P216*'Inputs Yr 2'!Q216*'Inputs Yr 2'!U216,"")</f>
        <v>0</v>
      </c>
      <c r="BZ216" s="193">
        <f t="shared" si="129"/>
        <v>14183.08532960726</v>
      </c>
      <c r="CA216" s="193">
        <f t="shared" si="130"/>
        <v>246809.42990568851</v>
      </c>
      <c r="CB216" s="195">
        <f>IFERROR(G216*(IF('Inputs Yr 2'!$AJ216=CB$4,'Inputs Yr 2'!$AK216,IF('Inputs Yr 2'!$AL216=CB$4,'Inputs Yr 2'!$AM216,IF('Inputs Yr 2'!$AN216=CB$4,'Inputs Yr 2'!$AO216,0))))*(INDEX(avoidedcosttbl2,$H216,CB$2)+(($H216-ROUNDDOWN($H216,0))*(INDEX(avoidedcosttbl2,ROUNDUP($H216,0),CB$2)-(INDEX(avoidedcosttbl2,ROUNDDOWN($H216,0),CB$2)))))*'Inputs Yr 2'!P216*'Inputs Yr 2'!Q216*'Inputs Yr 2'!U216,"")</f>
        <v>0</v>
      </c>
      <c r="CC216" s="195">
        <f>IFERROR(H216*(IF('Inputs Yr 2'!$AJ216=CC$4,'Inputs Yr 2'!$AK216,IF('Inputs Yr 2'!$AL216=CC$4,'Inputs Yr 2'!$AM216,IF('Inputs Yr 2'!$AN216=CC$4,'Inputs Yr 2'!$AO216,0))))*(INDEX(avoidedcosttbl2,$H216,CC$2)+(($H216-ROUNDDOWN($H216,0))*(INDEX(avoidedcosttbl2,ROUNDUP($H216,0),CC$2)-(INDEX(avoidedcosttbl2,ROUNDDOWN($H216,0),CC$2)))))*'Inputs Yr 2'!Q216*'Inputs Yr 2'!R216*'Inputs Yr 2'!V216,"")</f>
        <v>0</v>
      </c>
      <c r="CD216" s="195">
        <f>IFERROR(I216*(IF('Inputs Yr 2'!$AJ216=CD$4,'Inputs Yr 2'!$AK216,IF('Inputs Yr 2'!$AL216=CD$4,'Inputs Yr 2'!$AM216,IF('Inputs Yr 2'!$AN216=CD$4,'Inputs Yr 2'!$AO216,0))))*(INDEX(avoidedcosttbl2,$H216,CD$2)+(($H216-ROUNDDOWN($H216,0))*(INDEX(avoidedcosttbl2,ROUNDUP($H216,0),CD$2)-(INDEX(avoidedcosttbl2,ROUNDDOWN($H216,0),CD$2)))))*'Inputs Yr 2'!R216*'Inputs Yr 2'!S216*'Inputs Yr 2'!W216,"")</f>
        <v>0</v>
      </c>
      <c r="CE216" s="213">
        <f t="shared" si="131"/>
        <v>0</v>
      </c>
      <c r="CF216" s="213">
        <f t="shared" si="132"/>
        <v>0</v>
      </c>
      <c r="CG216" s="213">
        <f t="shared" si="133"/>
        <v>0</v>
      </c>
      <c r="CH216" s="698">
        <f t="shared" si="134"/>
        <v>246809.42990568851</v>
      </c>
      <c r="CI216" s="79">
        <f>IFERROR(($G216*'Inputs Yr 2'!$P216*'Inputs Yr 2'!$Q216*(((INDEX(avoidedcosttbl2,$H216,CI$2)+(($H216-ROUNDDOWN($H216,0))*(INDEX(avoidedcosttbl2,ROUNDUP($H216,0),CI$2)-INDEX(avoidedcosttbl2,ROUNDDOWN($H216,0),CI$2))))*'Inputs Yr 2'!AS216))),"")</f>
        <v>0</v>
      </c>
      <c r="CJ216" s="504">
        <f>IFERROR($G216*'Inputs Yr 2'!AT216*'Inputs Yr 2'!$P216*'Inputs Yr 2'!$Q216/((1+realdiscrt1)^-0.5),"")</f>
        <v>0</v>
      </c>
      <c r="CK216" s="79">
        <f>IFERROR((O216*1000*(((INDEX(avoidedcosttbl2,$H216,CK$2)+(($H216-ROUNDDOWN($H216,0))*(INDEX(avoidedcosttbl2,ROUNDUP($H216,0),CK$2)-INDEX(avoidedcosttbl2,ROUNDDOWN($H216,0),CK$2))))*'Inputs Yr 2'!AU216))),"")</f>
        <v>0</v>
      </c>
      <c r="CL216" s="504">
        <f>IFERROR(O216*1000*'Inputs Yr 2'!AV216/((1+realdiscrt1)^-0.5),"")</f>
        <v>0</v>
      </c>
      <c r="CM216" s="79">
        <f>IFERROR((AB216*'Inputs Yr 2'!AW216*(((INDEX(avoidedcosttbl2,$H216,CM$2)+(($H216-ROUNDDOWN($H216,0))*(INDEX(avoidedcosttbl2,ROUNDUP($H216,0),CM$2)-INDEX(avoidedcosttbl2,ROUNDDOWN($H216,0),CM$2)))))))*10,"")</f>
        <v>0</v>
      </c>
      <c r="CN216" s="504">
        <f>IFERROR(10*AB216*'Inputs Yr 2'!AX216/((1+realdiscrt1)^-0.5),"")</f>
        <v>0</v>
      </c>
      <c r="CO216" s="505">
        <f t="shared" si="135"/>
        <v>0</v>
      </c>
      <c r="CP216" s="230">
        <f t="shared" si="136"/>
        <v>246809.42990568851</v>
      </c>
      <c r="CQ216" s="199">
        <f>ROUND(IFERROR(IF(LEFT($A216,1)="C",'Avoided Costs'!$K$13,'Avoided Costs'!$K$12)+1,""),4)</f>
        <v>1.0720000000000001</v>
      </c>
      <c r="CR216" s="199">
        <f>ROUND(IFERROR(IF(LEFT($A216,1)="C",'Avoided Costs'!$L$13,'Avoided Costs'!$L$12)+1,""),4)</f>
        <v>1.04</v>
      </c>
      <c r="CS216" s="199">
        <f>ROUND(IFERROR(IF(LEFT($A216,1)="C",'Avoided Costs'!$M$13,'Avoided Costs'!$M$12)+1,""),4)</f>
        <v>1.0720000000000001</v>
      </c>
      <c r="CT216" s="199">
        <f>ROUND(IFERROR(IF(LEFT($A216,1)="C",'Avoided Costs'!$N$13,'Avoided Costs'!$N$12)+1,""),4)</f>
        <v>1.04</v>
      </c>
      <c r="CU216" s="199">
        <f>ROUND(IFERROR(IF(LEFT($A216,1)="C",'Avoided Costs'!$O$13,'Avoided Costs'!$O$12)+1,""),4)</f>
        <v>1.1120000000000001</v>
      </c>
      <c r="CV216" s="199">
        <f>ROUND(IFERROR(IF(LEFT($A216,1)="C",'Avoided Costs'!$P$13,'Avoided Costs'!$P$12)+1,""),4)</f>
        <v>1.095</v>
      </c>
      <c r="CW216" s="199">
        <f>ROUND(IFERROR(IF(LEFT($A216,1)="C",'Avoided Costs'!$Q$13,'Avoided Costs'!$Q$12)+1,""),4)</f>
        <v>1.1120000000000001</v>
      </c>
      <c r="CX216" s="200">
        <f>ROUND(IFERROR(IF(LEFT($A216,1)="C",'Avoided Costs'!$R$13,'Avoided Costs'!$R$12)+1,""),4)</f>
        <v>1.1120000000000001</v>
      </c>
    </row>
    <row r="217" spans="1:102" ht="12.75" customHeight="1">
      <c r="A217" s="91" t="str">
        <f>IF('Inputs Yr 2'!$B217=0,"",'Inputs Yr 2'!A217)</f>
        <v>C - Commercial &amp; Industrial</v>
      </c>
      <c r="B217" s="91" t="str">
        <f>IF('Inputs Yr 2'!$B217=0,"",'Inputs Yr 2'!B217)</f>
        <v>C1 - C&amp;I New Construction</v>
      </c>
      <c r="C217" s="91" t="str">
        <f>IF('Inputs Yr 2'!$B217=0,"",'Inputs Yr 2'!C217)</f>
        <v xml:space="preserve">C1b - C&amp;I Initial Purchase &amp; End of Useful Life </v>
      </c>
      <c r="D217" s="91" t="str">
        <f>IF('Inputs Yr 2'!$B217=0,"",'Inputs Yr 2'!E217)</f>
        <v>Condensing Boiler &lt;= 300 mbh (.90 TE)</v>
      </c>
      <c r="E217" s="93" t="str">
        <f>IF('Inputs Yr 2'!$B217=0,"",'Inputs Yr 2'!F217)</f>
        <v>G16C1b17</v>
      </c>
      <c r="F217" s="93" t="str">
        <f>IF('Inputs Yr 2'!$B217=0,"",'Inputs Yr 2'!G217)</f>
        <v>HVAC</v>
      </c>
      <c r="G217" s="95">
        <f>IF('Inputs Yr 2'!$H217&lt;&gt;0,('Inputs Yr 2'!H217),"")</f>
        <v>11</v>
      </c>
      <c r="H217" s="94">
        <f>IFERROR('Inputs Yr 2'!I217,"")</f>
        <v>25</v>
      </c>
      <c r="I217" s="298">
        <f>IFERROR('Inputs Yr 2'!J217*'Inputs Yr 2'!P217*G217,"")</f>
        <v>32375.574000000004</v>
      </c>
      <c r="J217" s="298">
        <f>IFERROR('Inputs Yr 2'!K217*G217,"")</f>
        <v>14000.03</v>
      </c>
      <c r="K217" s="298">
        <f t="shared" si="113"/>
        <v>18375.544000000002</v>
      </c>
      <c r="L217" s="194">
        <f>IFERROR(('Inputs Yr 2'!W217*G217)/1000,"")</f>
        <v>0</v>
      </c>
      <c r="M217" s="194">
        <f>IFERROR(L217*('Inputs Yr 2'!$Q217*'Inputs Yr 2'!$V217*'Inputs Yr 2'!$R217),"")</f>
        <v>0</v>
      </c>
      <c r="N217" s="194">
        <f t="shared" si="114"/>
        <v>0</v>
      </c>
      <c r="O217" s="194">
        <f>IFERROR(M217*'Inputs Yr 2'!P217,"")</f>
        <v>0</v>
      </c>
      <c r="P217" s="194">
        <f t="shared" si="115"/>
        <v>0</v>
      </c>
      <c r="Q217" s="194">
        <f>IFERROR($P217*'Inputs Yr 2'!AA217,"")</f>
        <v>0</v>
      </c>
      <c r="R217" s="194">
        <f>IFERROR($P217*'Inputs Yr 2'!AB217,"")</f>
        <v>0</v>
      </c>
      <c r="S217" s="194">
        <f>IFERROR($P217*'Inputs Yr 2'!AC217,"")</f>
        <v>0</v>
      </c>
      <c r="T217" s="194">
        <f>IFERROR($P217*'Inputs Yr 2'!AD217,"")</f>
        <v>0</v>
      </c>
      <c r="U217" s="194">
        <f>IFERROR(G217*'Inputs Yr 2'!$AE217*'Inputs Yr 2'!$P217*'Inputs Yr 2'!$Q217,"")</f>
        <v>0</v>
      </c>
      <c r="V217" s="194">
        <f>IFERROR($G217*'Inputs Yr 2'!$AE217*'Inputs Yr 2'!$AG217*'Inputs Yr 2'!Q217*'Inputs Yr 2'!$S217,"")</f>
        <v>0</v>
      </c>
      <c r="W217" s="194">
        <f>IFERROR($G217*'Inputs Yr 2'!$AE217*'Inputs Yr 2'!$AG217*'Inputs Yr 2'!P217*'Inputs Yr 2'!Q217*'Inputs Yr 2'!$S217,"")</f>
        <v>0</v>
      </c>
      <c r="X217" s="194">
        <f>IFERROR($G217*'Inputs Yr 2'!$AE217*'Inputs Yr 2'!$AF217*'Inputs Yr 2'!Q217*'Inputs Yr 2'!$T217,"")</f>
        <v>0</v>
      </c>
      <c r="Y217" s="194">
        <f>IFERROR($G217*'Inputs Yr 2'!$AE217*'Inputs Yr 2'!$AF217*'Inputs Yr 2'!P217*'Inputs Yr 2'!Q217*'Inputs Yr 2'!$T217,"")</f>
        <v>0</v>
      </c>
      <c r="Z217" s="257">
        <f>IFERROR($G217*'Inputs Yr 2'!$Q217*'Inputs Yr 2'!$U217*(IF(IFERROR(SEARCH("NG", 'Inputs Yr 2'!$AJ217),0),'Inputs Yr 2'!$AK217,0)+IF(IFERROR(SEARCH("NG", 'Inputs Yr 2'!$AL217),0),'Inputs Yr 2'!$AM217,0)+IF(IFERROR(SEARCH("NG", 'Inputs Yr 2'!$AN217),0),'Inputs Yr 2'!$AO217,0)),0)</f>
        <v>161.69999999999996</v>
      </c>
      <c r="AA217" s="257">
        <f t="shared" si="116"/>
        <v>4042.4999999999991</v>
      </c>
      <c r="AB217" s="257">
        <f>IFERROR(Z217*'Inputs Yr 2'!$P217,0)</f>
        <v>136.79819999999998</v>
      </c>
      <c r="AC217" s="257">
        <f t="shared" si="117"/>
        <v>3419.9549999999995</v>
      </c>
      <c r="AD217" s="257">
        <f>IFERROR($G217*'Inputs Yr 2'!$Q217*'Inputs Yr 2'!$U217*(IF(IFERROR(SEARCH("Oil", 'Inputs Yr 2'!$AJ217), 0),'Inputs Yr 2'!$AK217,0)+IF(IFERROR(SEARCH("Oil", 'Inputs Yr 2'!$AL217), 0),'Inputs Yr 2'!$AM217,0)+IF(IFERROR(SEARCH("Oil", 'Inputs Yr 2'!$AN217), 0),'Inputs Yr 2'!$AO217,0)),0)</f>
        <v>0</v>
      </c>
      <c r="AE217" s="257">
        <f t="shared" si="118"/>
        <v>0</v>
      </c>
      <c r="AF217" s="257">
        <f>IFERROR(AD217*'Inputs Yr 2'!$P217,0)</f>
        <v>0</v>
      </c>
      <c r="AG217" s="257">
        <f t="shared" si="119"/>
        <v>0</v>
      </c>
      <c r="AH217" s="257">
        <f>IFERROR($G217*'Inputs Yr 2'!$Q217*'Inputs Yr 2'!$U217*(IF('Inputs Yr 2'!$AJ217=CD$4,'Inputs Yr 2'!$AK217,IF('Inputs Yr 2'!$AL217=CD$4,'Inputs Yr 2'!$AM217,IF('Inputs Yr 2'!$AN217=CD$4,'Inputs Yr 2'!$AO217,0)))),0)</f>
        <v>0</v>
      </c>
      <c r="AI217" s="257">
        <f t="shared" si="120"/>
        <v>0</v>
      </c>
      <c r="AJ217" s="257">
        <f>IFERROR(AH217*'Inputs Yr 2'!$P217,0)</f>
        <v>0</v>
      </c>
      <c r="AK217" s="257">
        <f t="shared" si="121"/>
        <v>0</v>
      </c>
      <c r="AL217" s="258">
        <f>IFERROR($G217*'Inputs Yr 2'!$P217*'Inputs Yr 2'!$Q217*'Inputs Yr 2'!AP217,0)</f>
        <v>0</v>
      </c>
      <c r="AM217" s="260">
        <f>IFERROR($G217*'Inputs Yr 2'!$P217*'Inputs Yr 2'!$Q217*'Inputs Yr 2'!AQ217,0)</f>
        <v>0</v>
      </c>
      <c r="AN217" s="258">
        <f>IFERROR($G217*'Inputs Yr 2'!$P217*'Inputs Yr 2'!$Q217*'Inputs Yr 2'!AR217,0)</f>
        <v>0</v>
      </c>
      <c r="AO217" s="257">
        <f t="shared" si="122"/>
        <v>0</v>
      </c>
      <c r="AP217" s="195">
        <f>IFERROR($CQ217*(INDEX(avoidedcosttbl2,$H217,AP$2)+(($H217-ROUNDDOWN($H217,0))*(INDEX(avoidedcosttbl2,ROUNDUP($H217,0),AP$2)-(INDEX(avoidedcosttbl2,ROUNDDOWN($H217,0),AP$2)))))*$O217*1000*'Inputs Yr 2'!AA217,"")</f>
        <v>0</v>
      </c>
      <c r="AQ217" s="195">
        <f>IFERROR($CR217*(INDEX(avoidedcosttbl2,$H217,AQ$2)+(($H217-ROUNDDOWN($H217,0))*(INDEX(avoidedcosttbl2,ROUNDUP($H217,0),AQ$2)-(INDEX(avoidedcosttbl2,ROUNDDOWN($H217,0),AQ$2)))))*$O217*1000*'Inputs Yr 2'!AB217,"")</f>
        <v>0</v>
      </c>
      <c r="AR217" s="195">
        <f>IFERROR($CS217*(INDEX(avoidedcosttbl2,$H217,AR$2)+(($H217-ROUNDDOWN($H217,0))*(INDEX(avoidedcosttbl2,ROUNDUP($H217,0),AR$2)-(INDEX(avoidedcosttbl2,ROUNDDOWN($H217,0),AR$2)))))*$O217*1000*'Inputs Yr 2'!AC217,"")</f>
        <v>0</v>
      </c>
      <c r="AS217" s="195">
        <f>IFERROR($CT217*(INDEX(avoidedcosttbl2,$H217,AS$2)+(($H217-ROUNDDOWN($H217,0))*(INDEX(avoidedcosttbl2,ROUNDUP($H217,0),AS$2)-(INDEX(avoidedcosttbl2,ROUNDDOWN($H217,0),AS$2)))))*$O217*1000*'Inputs Yr 2'!AD217,"")</f>
        <v>0</v>
      </c>
      <c r="AT217" s="196">
        <f t="shared" si="123"/>
        <v>0</v>
      </c>
      <c r="AU217" s="197">
        <f>IFERROR($CQ217*((INDEX(avoidedcosttbl2,$H217,AU$2))+(($H217-ROUNDDOWN($H217,0))*((INDEX(avoidedcosttbl2,ROUNDUP($H217,0),AU$2))-(INDEX(avoidedcosttbl2,ROUNDDOWN($H217,0),AU$2)))))*$O217*1000*'Inputs Yr 2'!AA217,"")</f>
        <v>0</v>
      </c>
      <c r="AV217" s="197">
        <f>IFERROR($CR217*((INDEX(avoidedcosttbl2,$H217,AV$2))+(($H217-ROUNDDOWN($H217,0))*((INDEX(avoidedcosttbl2,ROUNDUP($H217,0),AV$2))-(INDEX(avoidedcosttbl2,ROUNDDOWN($H217,0),AV$2)))))*$O217*1000*'Inputs Yr 2'!AB217,"")</f>
        <v>0</v>
      </c>
      <c r="AW217" s="197">
        <f>IFERROR($CS217*((INDEX(avoidedcosttbl2,$H217,AW$2))+(($H217-ROUNDDOWN($H217,0))*((INDEX(avoidedcosttbl2,ROUNDUP($H217,0),AW$2))-(INDEX(avoidedcosttbl2,ROUNDDOWN($H217,0),AW$2)))))*$O217*1000*'Inputs Yr 2'!AC217,"")</f>
        <v>0</v>
      </c>
      <c r="AX217" s="197">
        <f>IFERROR($CT217*((INDEX(avoidedcosttbl2,$H217,AX$2))+(($H217-ROUNDDOWN($H217,0))*((INDEX(avoidedcosttbl2,ROUNDUP($H217,0),AX$2))-(INDEX(avoidedcosttbl2,ROUNDDOWN($H217,0),AX$2)))))*$O217*1000*'Inputs Yr 2'!AD217,"")</f>
        <v>0</v>
      </c>
      <c r="AY217" s="197">
        <f>IFERROR(((INDEX(avoidedcosttbl2,$H217,AY$2))+(($H217-ROUNDDOWN($H217,0))*((INDEX(avoidedcosttbl2,ROUNDUP($H217,0),AY$2))-(INDEX(avoidedcosttbl2,ROUNDDOWN($H217,0),AY$2)))))*$O217*1000*('Inputs Yr 2'!AC217+'Inputs Yr 2'!AD217),"")</f>
        <v>0</v>
      </c>
      <c r="AZ217" s="197">
        <f>IFERROR(((INDEX(avoidedcosttbl2,$H217,AZ$2))+(($H217-ROUNDDOWN($H217,0))*((INDEX(avoidedcosttbl2,ROUNDUP($H217,0),AZ$2))-(INDEX(avoidedcosttbl2,ROUNDDOWN($H217,0),AZ$2)))))*$O217*1000*('Inputs Yr 2'!AA217+'Inputs Yr 2'!AB217),"")</f>
        <v>0</v>
      </c>
      <c r="BA217" s="198">
        <f t="shared" si="124"/>
        <v>0</v>
      </c>
      <c r="BB217" s="198">
        <f t="shared" si="125"/>
        <v>0</v>
      </c>
      <c r="BC217" s="195">
        <f t="shared" si="107"/>
        <v>0</v>
      </c>
      <c r="BD217" s="195">
        <f t="shared" si="108"/>
        <v>0</v>
      </c>
      <c r="BE217" s="195">
        <f t="shared" si="109"/>
        <v>0</v>
      </c>
      <c r="BF217" s="195">
        <f t="shared" si="110"/>
        <v>0</v>
      </c>
      <c r="BG217" s="195">
        <f t="shared" si="111"/>
        <v>0</v>
      </c>
      <c r="BH217" s="196">
        <f t="shared" si="126"/>
        <v>0</v>
      </c>
      <c r="BI217" s="196">
        <f t="shared" si="127"/>
        <v>0</v>
      </c>
      <c r="BJ217" s="195">
        <f>IFERROR($G217*(IF('Inputs Yr 2'!$AJ217=BJ$4,'Inputs Yr 2'!$AK217,IF('Inputs Yr 2'!$AL217=BJ$4,'Inputs Yr 2'!$AM217,IF('Inputs Yr 2'!$AN217=BJ$4,'Inputs Yr 2'!$AO217,0))))*(INDEX(avoidedcosttbl2,$H217,BJ$2)+(($H217-ROUNDDOWN($H217,0))*(INDEX(avoidedcosttbl2,ROUNDUP($H217,0),BJ$2)-(INDEX(avoidedcosttbl2,ROUNDDOWN($H217,0),BJ$2)))))*'Inputs Yr 2'!P217*'Inputs Yr 2'!Q217*'Inputs Yr 2'!U217,"")</f>
        <v>0</v>
      </c>
      <c r="BK217" s="195">
        <f>IFERROR($G217*(IF('Inputs Yr 2'!$AJ217=BK$4,'Inputs Yr 2'!$AK217,IF('Inputs Yr 2'!$AL217=BK$4,'Inputs Yr 2'!$AM217,IF('Inputs Yr 2'!$AN217=BK$4,'Inputs Yr 2'!$AO217,0))))*(INDEX(avoidedcosttbl2,$H217,BK$2)+(($H217-ROUNDDOWN($H217,0))*(INDEX(avoidedcosttbl2,ROUNDUP($H217,0),BK$2)-(INDEX(avoidedcosttbl2,ROUNDDOWN($H217,0),BK$2)))))*'Inputs Yr 2'!P217*'Inputs Yr 2'!Q217*'Inputs Yr 2'!U217,"")</f>
        <v>0</v>
      </c>
      <c r="BL217" s="195">
        <f>IFERROR($G217*(IF('Inputs Yr 2'!$AJ217=BL$4,'Inputs Yr 2'!$AK217,IF('Inputs Yr 2'!$AL217=BL$4,'Inputs Yr 2'!$AM217,IF('Inputs Yr 2'!$AN217=BL$4,'Inputs Yr 2'!$AO217,0))))*(INDEX(avoidedcosttbl2,$H217,BL$2)+(($H217-ROUNDDOWN($H217,0))*(INDEX(avoidedcosttbl2,ROUNDUP($H217,0),BL$2)-(INDEX(avoidedcosttbl2,ROUNDDOWN($H217,0),BL$2)))))*'Inputs Yr 2'!P217*'Inputs Yr 2'!Q217*'Inputs Yr 2'!U217,"")</f>
        <v>0</v>
      </c>
      <c r="BM217" s="195">
        <f>IFERROR($G217*(IF('Inputs Yr 2'!$AJ217=BM$4,'Inputs Yr 2'!$AK217,IF('Inputs Yr 2'!$AL217=BM$4,'Inputs Yr 2'!$AM217,IF('Inputs Yr 2'!$AN217=BM$4,'Inputs Yr 2'!$AO217,0))))*(INDEX(avoidedcosttbl2,$H217,BM$2)+(($H217-ROUNDDOWN($H217,0))*(INDEX(avoidedcosttbl2,ROUNDUP($H217,0),BM$2)-(INDEX(avoidedcosttbl2,ROUNDDOWN($H217,0),BM$2)))))*'Inputs Yr 2'!P217*'Inputs Yr 2'!Q217*'Inputs Yr 2'!U217,"")</f>
        <v>0</v>
      </c>
      <c r="BN217" s="195">
        <f>IFERROR($G217*(IF('Inputs Yr 2'!$AJ217=BN$4,'Inputs Yr 2'!$AK217,IF('Inputs Yr 2'!$AL217=BN$4,'Inputs Yr 2'!$AM217,IF('Inputs Yr 2'!$AN217=BN$4,'Inputs Yr 2'!$AO217,0))))*(INDEX(avoidedcosttbl2,$H217,BN$2)+(($H217-ROUNDDOWN($H217,0))*(INDEX(avoidedcosttbl2,ROUNDUP($H217,0),BN$2)-(INDEX(avoidedcosttbl2,ROUNDDOWN($H217,0),BN$2)))))*'Inputs Yr 2'!P217*'Inputs Yr 2'!Q217*'Inputs Yr 2'!U217,"")</f>
        <v>0</v>
      </c>
      <c r="BO217" s="195">
        <f>IFERROR($G217*(IF('Inputs Yr 2'!$AJ217=BO$4,'Inputs Yr 2'!$AK217,IF('Inputs Yr 2'!$AL217=BO$4,'Inputs Yr 2'!$AM217,IF('Inputs Yr 2'!$AN217=BO$4,'Inputs Yr 2'!$AO217,0))))*(INDEX(avoidedcosttbl2,$H217,BO$2)+(($H217-ROUNDDOWN($H217,0))*(INDEX(avoidedcosttbl2,ROUNDUP($H217,0),BO$2)-(INDEX(avoidedcosttbl2,ROUNDDOWN($H217,0),BO$2)))))*'Inputs Yr 2'!P217*'Inputs Yr 2'!Q217*'Inputs Yr 2'!U217,"")</f>
        <v>28335.728751753169</v>
      </c>
      <c r="BP217" s="195">
        <f>IFERROR($G217*(IF('Inputs Yr 2'!$AJ217=BP$4,'Inputs Yr 2'!$AK217,IF('Inputs Yr 2'!$AL217=BP$4,'Inputs Yr 2'!$AM217,IF('Inputs Yr 2'!$AN217=BP$4,'Inputs Yr 2'!$AO217,0))))*(INDEX(avoidedcosttbl2,$H217,BP$2)+(($H217-ROUNDDOWN($H217,0))*(INDEX(avoidedcosttbl2,ROUNDUP($H217,0),BP$2)-(INDEX(avoidedcosttbl2,ROUNDDOWN($H217,0),BP$2)))))*'Inputs Yr 2'!P217*'Inputs Yr 2'!Q217*'Inputs Yr 2'!U217,"")</f>
        <v>0</v>
      </c>
      <c r="BQ217" s="230">
        <f t="shared" si="128"/>
        <v>28335.728751753169</v>
      </c>
      <c r="BR217" s="197">
        <f t="shared" si="112"/>
        <v>453.62810647556728</v>
      </c>
      <c r="BS217" s="197">
        <f>IFERROR(($G217*IF('Inputs Yr 2'!$AJ217=BM$4,'Inputs Yr 2'!$AK217,IF('Inputs Yr 2'!$AL217=BM$4,'Inputs Yr 2'!$AM217,IF('Inputs Yr 2'!$AN217=BM$4,'Inputs Yr 2'!$AO217,0))))*(INDEX(avoidedcosttbl2,$H217,BS$2)+(($H217-ROUNDDOWN($H217,0))*(INDEX(avoidedcosttbl2,ROUNDUP($H217,0),BS$2)-(INDEX(avoidedcosttbl2,ROUNDDOWN($H217,0),BS$2)))))*'Inputs Yr 2'!P217*'Inputs Yr 2'!Q217*'Inputs Yr 2'!U217,"")</f>
        <v>0</v>
      </c>
      <c r="BT217" s="197">
        <f>IFERROR(($G217*IF('Inputs Yr 2'!$AJ217=BK$4,'Inputs Yr 2'!$AK217,IF('Inputs Yr 2'!$AL217=BK$4,'Inputs Yr 2'!$AM217,IF('Inputs Yr 2'!$AN217=BK$4,'Inputs Yr 2'!$AO217,0))))*(INDEX(avoidedcosttbl2,$H217,BT$2)+(($H217-ROUNDDOWN($H217,0))*(INDEX(avoidedcosttbl2,ROUNDUP($H217,0),BT$2)-(INDEX(avoidedcosttbl2,ROUNDDOWN($H217,0),BT$2)))))*'Inputs Yr 2'!P217*'Inputs Yr 2'!Q217*'Inputs Yr 2'!U217,"")</f>
        <v>0</v>
      </c>
      <c r="BU217" s="197">
        <f>IFERROR(($G217*IF('Inputs Yr 2'!$AJ217=BL$4,'Inputs Yr 2'!$AK217,IF('Inputs Yr 2'!$AL217=BL$4,'Inputs Yr 2'!$AM217,IF('Inputs Yr 2'!$AN217=BL$4,'Inputs Yr 2'!$AO217,0))))*(INDEX(avoidedcosttbl2,$H217,BU$2)+(($H217-ROUNDDOWN($H217,0))*(INDEX(avoidedcosttbl2,ROUNDUP($H217,0),BU$2)-(INDEX(avoidedcosttbl2,ROUNDDOWN($H217,0),BU$2)))))*'Inputs Yr 2'!P217*'Inputs Yr 2'!Q217*'Inputs Yr 2'!U217,"")</f>
        <v>0</v>
      </c>
      <c r="BV217" s="775">
        <f>IFERROR(($G217*IF('Inputs Yr 2'!$AJ217=BJ$4,'Inputs Yr 2'!$AK217,IF('Inputs Yr 2'!$AL217=BJ$4,'Inputs Yr 2'!$AM217,IF('Inputs Yr 2'!$AN217=BJ$4,'Inputs Yr 2'!$AO217,0))))*(INDEX(avoidedcosttbl2,$H217,BV$2)+(($H217-ROUNDDOWN($H217,0))*(INDEX(avoidedcosttbl2,ROUNDUP($H217,0),BV$2)-(INDEX(avoidedcosttbl2,ROUNDDOWN($H217,0),BV$2)))))*'Inputs Yr 2'!P217*'Inputs Yr 2'!Q217*'Inputs Yr 2'!U217,"")</f>
        <v>0</v>
      </c>
      <c r="BW217" s="197">
        <f>IFERROR(($G217*IF('Inputs Yr 2'!$AJ217=BN$4,'Inputs Yr 2'!$AK217,IF('Inputs Yr 2'!$AL217=BN$4,'Inputs Yr 2'!$AM217,IF('Inputs Yr 2'!$AN217=BN$4,'Inputs Yr 2'!$AO217,0))))*(INDEX(avoidedcosttbl2,$H217,BW$2)+(($H217-ROUNDDOWN($H217,0))*(INDEX(avoidedcosttbl2,ROUNDUP($H217,0),BW$2)-(INDEX(avoidedcosttbl2,ROUNDDOWN($H217,0),BW$2)))))*'Inputs Yr 2'!P217*'Inputs Yr 2'!Q217*'Inputs Yr 2'!U217,"")</f>
        <v>0</v>
      </c>
      <c r="BX217" s="197">
        <f>IFERROR(($G217*IF('Inputs Yr 2'!$AJ217=BO$4,'Inputs Yr 2'!$AK217,IF('Inputs Yr 2'!$AL217=BO$4,'Inputs Yr 2'!$AM217,IF('Inputs Yr 2'!$AN217=BO$4,'Inputs Yr 2'!$AO217,0))))*(INDEX(avoidedcosttbl2,$H217,BX$2)+(($H217-ROUNDDOWN($H217,0))*(INDEX(avoidedcosttbl2,ROUNDUP($H217,0),BX$2)-(INDEX(avoidedcosttbl2,ROUNDDOWN($H217,0),BX$2)))))*'Inputs Yr 2'!P217*'Inputs Yr 2'!Q217*'Inputs Yr 2'!U217,"")</f>
        <v>1273.9838692664239</v>
      </c>
      <c r="BY217" s="197">
        <f>IFERROR(($G217*IF('Inputs Yr 2'!$AJ217=BP$4,'Inputs Yr 2'!$AK217,IF('Inputs Yr 2'!$AL217=BP$4,'Inputs Yr 2'!$AM217,IF('Inputs Yr 2'!$AN217=BP$4,'Inputs Yr 2'!$AO217,0))))*(INDEX(avoidedcosttbl2,$H217,BY$2)+(($H217-ROUNDDOWN($H217,0))*(INDEX(avoidedcosttbl2,ROUNDUP($H217,0),BY$2)-(INDEX(avoidedcosttbl2,ROUNDDOWN($H217,0),BY$2)))))*'Inputs Yr 2'!P217*'Inputs Yr 2'!Q217*'Inputs Yr 2'!U217,"")</f>
        <v>0</v>
      </c>
      <c r="BZ217" s="193">
        <f t="shared" si="129"/>
        <v>1727.611975741991</v>
      </c>
      <c r="CA217" s="193">
        <f t="shared" si="130"/>
        <v>30063.340727495161</v>
      </c>
      <c r="CB217" s="195">
        <f>IFERROR(G217*(IF('Inputs Yr 2'!$AJ217=CB$4,'Inputs Yr 2'!$AK217,IF('Inputs Yr 2'!$AL217=CB$4,'Inputs Yr 2'!$AM217,IF('Inputs Yr 2'!$AN217=CB$4,'Inputs Yr 2'!$AO217,0))))*(INDEX(avoidedcosttbl2,$H217,CB$2)+(($H217-ROUNDDOWN($H217,0))*(INDEX(avoidedcosttbl2,ROUNDUP($H217,0),CB$2)-(INDEX(avoidedcosttbl2,ROUNDDOWN($H217,0),CB$2)))))*'Inputs Yr 2'!P217*'Inputs Yr 2'!Q217*'Inputs Yr 2'!U217,"")</f>
        <v>0</v>
      </c>
      <c r="CC217" s="195">
        <f>IFERROR(H217*(IF('Inputs Yr 2'!$AJ217=CC$4,'Inputs Yr 2'!$AK217,IF('Inputs Yr 2'!$AL217=CC$4,'Inputs Yr 2'!$AM217,IF('Inputs Yr 2'!$AN217=CC$4,'Inputs Yr 2'!$AO217,0))))*(INDEX(avoidedcosttbl2,$H217,CC$2)+(($H217-ROUNDDOWN($H217,0))*(INDEX(avoidedcosttbl2,ROUNDUP($H217,0),CC$2)-(INDEX(avoidedcosttbl2,ROUNDDOWN($H217,0),CC$2)))))*'Inputs Yr 2'!Q217*'Inputs Yr 2'!R217*'Inputs Yr 2'!V217,"")</f>
        <v>0</v>
      </c>
      <c r="CD217" s="195">
        <f>IFERROR(I217*(IF('Inputs Yr 2'!$AJ217=CD$4,'Inputs Yr 2'!$AK217,IF('Inputs Yr 2'!$AL217=CD$4,'Inputs Yr 2'!$AM217,IF('Inputs Yr 2'!$AN217=CD$4,'Inputs Yr 2'!$AO217,0))))*(INDEX(avoidedcosttbl2,$H217,CD$2)+(($H217-ROUNDDOWN($H217,0))*(INDEX(avoidedcosttbl2,ROUNDUP($H217,0),CD$2)-(INDEX(avoidedcosttbl2,ROUNDDOWN($H217,0),CD$2)))))*'Inputs Yr 2'!R217*'Inputs Yr 2'!S217*'Inputs Yr 2'!W217,"")</f>
        <v>0</v>
      </c>
      <c r="CE217" s="213">
        <f t="shared" si="131"/>
        <v>0</v>
      </c>
      <c r="CF217" s="213">
        <f t="shared" si="132"/>
        <v>0</v>
      </c>
      <c r="CG217" s="213">
        <f t="shared" si="133"/>
        <v>0</v>
      </c>
      <c r="CH217" s="698">
        <f t="shared" si="134"/>
        <v>30063.340727495161</v>
      </c>
      <c r="CI217" s="79">
        <f>IFERROR(($G217*'Inputs Yr 2'!$P217*'Inputs Yr 2'!$Q217*(((INDEX(avoidedcosttbl2,$H217,CI$2)+(($H217-ROUNDDOWN($H217,0))*(INDEX(avoidedcosttbl2,ROUNDUP($H217,0),CI$2)-INDEX(avoidedcosttbl2,ROUNDDOWN($H217,0),CI$2))))*'Inputs Yr 2'!AS217))),"")</f>
        <v>0</v>
      </c>
      <c r="CJ217" s="504">
        <f>IFERROR($G217*'Inputs Yr 2'!AT217*'Inputs Yr 2'!$P217*'Inputs Yr 2'!$Q217/((1+realdiscrt1)^-0.5),"")</f>
        <v>0</v>
      </c>
      <c r="CK217" s="79">
        <f>IFERROR((O217*1000*(((INDEX(avoidedcosttbl2,$H217,CK$2)+(($H217-ROUNDDOWN($H217,0))*(INDEX(avoidedcosttbl2,ROUNDUP($H217,0),CK$2)-INDEX(avoidedcosttbl2,ROUNDDOWN($H217,0),CK$2))))*'Inputs Yr 2'!AU217))),"")</f>
        <v>0</v>
      </c>
      <c r="CL217" s="504">
        <f>IFERROR(O217*1000*'Inputs Yr 2'!AV217/((1+realdiscrt1)^-0.5),"")</f>
        <v>0</v>
      </c>
      <c r="CM217" s="79">
        <f>IFERROR((AB217*'Inputs Yr 2'!AW217*(((INDEX(avoidedcosttbl2,$H217,CM$2)+(($H217-ROUNDDOWN($H217,0))*(INDEX(avoidedcosttbl2,ROUNDUP($H217,0),CM$2)-INDEX(avoidedcosttbl2,ROUNDDOWN($H217,0),CM$2)))))))*10,"")</f>
        <v>0</v>
      </c>
      <c r="CN217" s="504">
        <f>IFERROR(10*AB217*'Inputs Yr 2'!AX217/((1+realdiscrt1)^-0.5),"")</f>
        <v>0</v>
      </c>
      <c r="CO217" s="505">
        <f t="shared" si="135"/>
        <v>0</v>
      </c>
      <c r="CP217" s="230">
        <f t="shared" si="136"/>
        <v>30063.340727495161</v>
      </c>
      <c r="CQ217" s="199">
        <f>ROUND(IFERROR(IF(LEFT($A217,1)="C",'Avoided Costs'!$K$13,'Avoided Costs'!$K$12)+1,""),4)</f>
        <v>1.0720000000000001</v>
      </c>
      <c r="CR217" s="199">
        <f>ROUND(IFERROR(IF(LEFT($A217,1)="C",'Avoided Costs'!$L$13,'Avoided Costs'!$L$12)+1,""),4)</f>
        <v>1.04</v>
      </c>
      <c r="CS217" s="199">
        <f>ROUND(IFERROR(IF(LEFT($A217,1)="C",'Avoided Costs'!$M$13,'Avoided Costs'!$M$12)+1,""),4)</f>
        <v>1.0720000000000001</v>
      </c>
      <c r="CT217" s="199">
        <f>ROUND(IFERROR(IF(LEFT($A217,1)="C",'Avoided Costs'!$N$13,'Avoided Costs'!$N$12)+1,""),4)</f>
        <v>1.04</v>
      </c>
      <c r="CU217" s="199">
        <f>ROUND(IFERROR(IF(LEFT($A217,1)="C",'Avoided Costs'!$O$13,'Avoided Costs'!$O$12)+1,""),4)</f>
        <v>1.1120000000000001</v>
      </c>
      <c r="CV217" s="199">
        <f>ROUND(IFERROR(IF(LEFT($A217,1)="C",'Avoided Costs'!$P$13,'Avoided Costs'!$P$12)+1,""),4)</f>
        <v>1.095</v>
      </c>
      <c r="CW217" s="199">
        <f>ROUND(IFERROR(IF(LEFT($A217,1)="C",'Avoided Costs'!$Q$13,'Avoided Costs'!$Q$12)+1,""),4)</f>
        <v>1.1120000000000001</v>
      </c>
      <c r="CX217" s="200">
        <f>ROUND(IFERROR(IF(LEFT($A217,1)="C",'Avoided Costs'!$R$13,'Avoided Costs'!$R$12)+1,""),4)</f>
        <v>1.1120000000000001</v>
      </c>
    </row>
    <row r="218" spans="1:102" ht="12.75" customHeight="1">
      <c r="A218" s="91" t="str">
        <f>IF('Inputs Yr 2'!$B218=0,"",'Inputs Yr 2'!A218)</f>
        <v>C - Commercial &amp; Industrial</v>
      </c>
      <c r="B218" s="91" t="str">
        <f>IF('Inputs Yr 2'!$B218=0,"",'Inputs Yr 2'!B218)</f>
        <v>C1 - C&amp;I New Construction</v>
      </c>
      <c r="C218" s="91" t="str">
        <f>IF('Inputs Yr 2'!$B218=0,"",'Inputs Yr 2'!C218)</f>
        <v xml:space="preserve">C1b - C&amp;I Initial Purchase &amp; End of Useful Life </v>
      </c>
      <c r="D218" s="91" t="str">
        <f>IF('Inputs Yr 2'!$B218=0,"",'Inputs Yr 2'!E218)</f>
        <v>Condensing Boiler 301-499 mbh  (.90 TE)</v>
      </c>
      <c r="E218" s="93" t="str">
        <f>IF('Inputs Yr 2'!$B218=0,"",'Inputs Yr 2'!F218)</f>
        <v>G16C1b18</v>
      </c>
      <c r="F218" s="93" t="str">
        <f>IF('Inputs Yr 2'!$B218=0,"",'Inputs Yr 2'!G218)</f>
        <v>HVAC</v>
      </c>
      <c r="G218" s="95">
        <f>IF('Inputs Yr 2'!$H218&lt;&gt;0,('Inputs Yr 2'!H218),"")</f>
        <v>48</v>
      </c>
      <c r="H218" s="94">
        <f>IFERROR('Inputs Yr 2'!I218,"")</f>
        <v>25</v>
      </c>
      <c r="I218" s="298">
        <f>IFERROR('Inputs Yr 2'!J218*'Inputs Yr 2'!P218*G218,"")</f>
        <v>157518.43200000003</v>
      </c>
      <c r="J218" s="298">
        <f>IFERROR('Inputs Yr 2'!K218*G218,"")</f>
        <v>96000</v>
      </c>
      <c r="K218" s="298">
        <f t="shared" si="113"/>
        <v>61518.43200000003</v>
      </c>
      <c r="L218" s="194">
        <f>IFERROR(('Inputs Yr 2'!W218*G218)/1000,"")</f>
        <v>0</v>
      </c>
      <c r="M218" s="194">
        <f>IFERROR(L218*('Inputs Yr 2'!$Q218*'Inputs Yr 2'!$V218*'Inputs Yr 2'!$R218),"")</f>
        <v>0</v>
      </c>
      <c r="N218" s="194">
        <f t="shared" si="114"/>
        <v>0</v>
      </c>
      <c r="O218" s="194">
        <f>IFERROR(M218*'Inputs Yr 2'!P218,"")</f>
        <v>0</v>
      </c>
      <c r="P218" s="194">
        <f t="shared" si="115"/>
        <v>0</v>
      </c>
      <c r="Q218" s="194">
        <f>IFERROR($P218*'Inputs Yr 2'!AA218,"")</f>
        <v>0</v>
      </c>
      <c r="R218" s="194">
        <f>IFERROR($P218*'Inputs Yr 2'!AB218,"")</f>
        <v>0</v>
      </c>
      <c r="S218" s="194">
        <f>IFERROR($P218*'Inputs Yr 2'!AC218,"")</f>
        <v>0</v>
      </c>
      <c r="T218" s="194">
        <f>IFERROR($P218*'Inputs Yr 2'!AD218,"")</f>
        <v>0</v>
      </c>
      <c r="U218" s="194">
        <f>IFERROR(G218*'Inputs Yr 2'!$AE218*'Inputs Yr 2'!$P218*'Inputs Yr 2'!$Q218,"")</f>
        <v>0</v>
      </c>
      <c r="V218" s="194">
        <f>IFERROR($G218*'Inputs Yr 2'!$AE218*'Inputs Yr 2'!$AG218*'Inputs Yr 2'!Q218*'Inputs Yr 2'!$S218,"")</f>
        <v>0</v>
      </c>
      <c r="W218" s="194">
        <f>IFERROR($G218*'Inputs Yr 2'!$AE218*'Inputs Yr 2'!$AG218*'Inputs Yr 2'!P218*'Inputs Yr 2'!Q218*'Inputs Yr 2'!$S218,"")</f>
        <v>0</v>
      </c>
      <c r="X218" s="194">
        <f>IFERROR($G218*'Inputs Yr 2'!$AE218*'Inputs Yr 2'!$AF218*'Inputs Yr 2'!Q218*'Inputs Yr 2'!$T218,"")</f>
        <v>0</v>
      </c>
      <c r="Y218" s="194">
        <f>IFERROR($G218*'Inputs Yr 2'!$AE218*'Inputs Yr 2'!$AF218*'Inputs Yr 2'!P218*'Inputs Yr 2'!Q218*'Inputs Yr 2'!$T218,"")</f>
        <v>0</v>
      </c>
      <c r="Z218" s="257">
        <f>IFERROR($G218*'Inputs Yr 2'!$Q218*'Inputs Yr 2'!$U218*(IF(IFERROR(SEARCH("NG", 'Inputs Yr 2'!$AJ218),0),'Inputs Yr 2'!$AK218,0)+IF(IFERROR(SEARCH("NG", 'Inputs Yr 2'!$AL218),0),'Inputs Yr 2'!$AM218,0)+IF(IFERROR(SEARCH("NG", 'Inputs Yr 2'!$AN218),0),'Inputs Yr 2'!$AO218,0)),0)</f>
        <v>1344</v>
      </c>
      <c r="AA218" s="257">
        <f t="shared" si="116"/>
        <v>33600</v>
      </c>
      <c r="AB218" s="257">
        <f>IFERROR(Z218*'Inputs Yr 2'!$P218,0)</f>
        <v>1137.0240000000001</v>
      </c>
      <c r="AC218" s="257">
        <f t="shared" si="117"/>
        <v>28425.600000000002</v>
      </c>
      <c r="AD218" s="257">
        <f>IFERROR($G218*'Inputs Yr 2'!$Q218*'Inputs Yr 2'!$U218*(IF(IFERROR(SEARCH("Oil", 'Inputs Yr 2'!$AJ218), 0),'Inputs Yr 2'!$AK218,0)+IF(IFERROR(SEARCH("Oil", 'Inputs Yr 2'!$AL218), 0),'Inputs Yr 2'!$AM218,0)+IF(IFERROR(SEARCH("Oil", 'Inputs Yr 2'!$AN218), 0),'Inputs Yr 2'!$AO218,0)),0)</f>
        <v>0</v>
      </c>
      <c r="AE218" s="257">
        <f t="shared" si="118"/>
        <v>0</v>
      </c>
      <c r="AF218" s="257">
        <f>IFERROR(AD218*'Inputs Yr 2'!$P218,0)</f>
        <v>0</v>
      </c>
      <c r="AG218" s="257">
        <f t="shared" si="119"/>
        <v>0</v>
      </c>
      <c r="AH218" s="257">
        <f>IFERROR($G218*'Inputs Yr 2'!$Q218*'Inputs Yr 2'!$U218*(IF('Inputs Yr 2'!$AJ218=CD$4,'Inputs Yr 2'!$AK218,IF('Inputs Yr 2'!$AL218=CD$4,'Inputs Yr 2'!$AM218,IF('Inputs Yr 2'!$AN218=CD$4,'Inputs Yr 2'!$AO218,0)))),0)</f>
        <v>0</v>
      </c>
      <c r="AI218" s="257">
        <f t="shared" si="120"/>
        <v>0</v>
      </c>
      <c r="AJ218" s="257">
        <f>IFERROR(AH218*'Inputs Yr 2'!$P218,0)</f>
        <v>0</v>
      </c>
      <c r="AK218" s="257">
        <f t="shared" si="121"/>
        <v>0</v>
      </c>
      <c r="AL218" s="258">
        <f>IFERROR($G218*'Inputs Yr 2'!$P218*'Inputs Yr 2'!$Q218*'Inputs Yr 2'!AP218,0)</f>
        <v>0</v>
      </c>
      <c r="AM218" s="260">
        <f>IFERROR($G218*'Inputs Yr 2'!$P218*'Inputs Yr 2'!$Q218*'Inputs Yr 2'!AQ218,0)</f>
        <v>0</v>
      </c>
      <c r="AN218" s="258">
        <f>IFERROR($G218*'Inputs Yr 2'!$P218*'Inputs Yr 2'!$Q218*'Inputs Yr 2'!AR218,0)</f>
        <v>0</v>
      </c>
      <c r="AO218" s="257">
        <f t="shared" si="122"/>
        <v>0</v>
      </c>
      <c r="AP218" s="195">
        <f>IFERROR($CQ218*(INDEX(avoidedcosttbl2,$H218,AP$2)+(($H218-ROUNDDOWN($H218,0))*(INDEX(avoidedcosttbl2,ROUNDUP($H218,0),AP$2)-(INDEX(avoidedcosttbl2,ROUNDDOWN($H218,0),AP$2)))))*$O218*1000*'Inputs Yr 2'!AA218,"")</f>
        <v>0</v>
      </c>
      <c r="AQ218" s="195">
        <f>IFERROR($CR218*(INDEX(avoidedcosttbl2,$H218,AQ$2)+(($H218-ROUNDDOWN($H218,0))*(INDEX(avoidedcosttbl2,ROUNDUP($H218,0),AQ$2)-(INDEX(avoidedcosttbl2,ROUNDDOWN($H218,0),AQ$2)))))*$O218*1000*'Inputs Yr 2'!AB218,"")</f>
        <v>0</v>
      </c>
      <c r="AR218" s="195">
        <f>IFERROR($CS218*(INDEX(avoidedcosttbl2,$H218,AR$2)+(($H218-ROUNDDOWN($H218,0))*(INDEX(avoidedcosttbl2,ROUNDUP($H218,0),AR$2)-(INDEX(avoidedcosttbl2,ROUNDDOWN($H218,0),AR$2)))))*$O218*1000*'Inputs Yr 2'!AC218,"")</f>
        <v>0</v>
      </c>
      <c r="AS218" s="195">
        <f>IFERROR($CT218*(INDEX(avoidedcosttbl2,$H218,AS$2)+(($H218-ROUNDDOWN($H218,0))*(INDEX(avoidedcosttbl2,ROUNDUP($H218,0),AS$2)-(INDEX(avoidedcosttbl2,ROUNDDOWN($H218,0),AS$2)))))*$O218*1000*'Inputs Yr 2'!AD218,"")</f>
        <v>0</v>
      </c>
      <c r="AT218" s="196">
        <f t="shared" si="123"/>
        <v>0</v>
      </c>
      <c r="AU218" s="197">
        <f>IFERROR($CQ218*((INDEX(avoidedcosttbl2,$H218,AU$2))+(($H218-ROUNDDOWN($H218,0))*((INDEX(avoidedcosttbl2,ROUNDUP($H218,0),AU$2))-(INDEX(avoidedcosttbl2,ROUNDDOWN($H218,0),AU$2)))))*$O218*1000*'Inputs Yr 2'!AA218,"")</f>
        <v>0</v>
      </c>
      <c r="AV218" s="197">
        <f>IFERROR($CR218*((INDEX(avoidedcosttbl2,$H218,AV$2))+(($H218-ROUNDDOWN($H218,0))*((INDEX(avoidedcosttbl2,ROUNDUP($H218,0),AV$2))-(INDEX(avoidedcosttbl2,ROUNDDOWN($H218,0),AV$2)))))*$O218*1000*'Inputs Yr 2'!AB218,"")</f>
        <v>0</v>
      </c>
      <c r="AW218" s="197">
        <f>IFERROR($CS218*((INDEX(avoidedcosttbl2,$H218,AW$2))+(($H218-ROUNDDOWN($H218,0))*((INDEX(avoidedcosttbl2,ROUNDUP($H218,0),AW$2))-(INDEX(avoidedcosttbl2,ROUNDDOWN($H218,0),AW$2)))))*$O218*1000*'Inputs Yr 2'!AC218,"")</f>
        <v>0</v>
      </c>
      <c r="AX218" s="197">
        <f>IFERROR($CT218*((INDEX(avoidedcosttbl2,$H218,AX$2))+(($H218-ROUNDDOWN($H218,0))*((INDEX(avoidedcosttbl2,ROUNDUP($H218,0),AX$2))-(INDEX(avoidedcosttbl2,ROUNDDOWN($H218,0),AX$2)))))*$O218*1000*'Inputs Yr 2'!AD218,"")</f>
        <v>0</v>
      </c>
      <c r="AY218" s="197">
        <f>IFERROR(((INDEX(avoidedcosttbl2,$H218,AY$2))+(($H218-ROUNDDOWN($H218,0))*((INDEX(avoidedcosttbl2,ROUNDUP($H218,0),AY$2))-(INDEX(avoidedcosttbl2,ROUNDDOWN($H218,0),AY$2)))))*$O218*1000*('Inputs Yr 2'!AC218+'Inputs Yr 2'!AD218),"")</f>
        <v>0</v>
      </c>
      <c r="AZ218" s="197">
        <f>IFERROR(((INDEX(avoidedcosttbl2,$H218,AZ$2))+(($H218-ROUNDDOWN($H218,0))*((INDEX(avoidedcosttbl2,ROUNDUP($H218,0),AZ$2))-(INDEX(avoidedcosttbl2,ROUNDDOWN($H218,0),AZ$2)))))*$O218*1000*('Inputs Yr 2'!AA218+'Inputs Yr 2'!AB218),"")</f>
        <v>0</v>
      </c>
      <c r="BA218" s="198">
        <f t="shared" si="124"/>
        <v>0</v>
      </c>
      <c r="BB218" s="198">
        <f t="shared" si="125"/>
        <v>0</v>
      </c>
      <c r="BC218" s="195">
        <f t="shared" si="107"/>
        <v>0</v>
      </c>
      <c r="BD218" s="195">
        <f t="shared" si="108"/>
        <v>0</v>
      </c>
      <c r="BE218" s="195">
        <f t="shared" si="109"/>
        <v>0</v>
      </c>
      <c r="BF218" s="195">
        <f t="shared" si="110"/>
        <v>0</v>
      </c>
      <c r="BG218" s="195">
        <f t="shared" si="111"/>
        <v>0</v>
      </c>
      <c r="BH218" s="196">
        <f t="shared" si="126"/>
        <v>0</v>
      </c>
      <c r="BI218" s="196">
        <f t="shared" si="127"/>
        <v>0</v>
      </c>
      <c r="BJ218" s="195">
        <f>IFERROR($G218*(IF('Inputs Yr 2'!$AJ218=BJ$4,'Inputs Yr 2'!$AK218,IF('Inputs Yr 2'!$AL218=BJ$4,'Inputs Yr 2'!$AM218,IF('Inputs Yr 2'!$AN218=BJ$4,'Inputs Yr 2'!$AO218,0))))*(INDEX(avoidedcosttbl2,$H218,BJ$2)+(($H218-ROUNDDOWN($H218,0))*(INDEX(avoidedcosttbl2,ROUNDUP($H218,0),BJ$2)-(INDEX(avoidedcosttbl2,ROUNDDOWN($H218,0),BJ$2)))))*'Inputs Yr 2'!P218*'Inputs Yr 2'!Q218*'Inputs Yr 2'!U218,"")</f>
        <v>0</v>
      </c>
      <c r="BK218" s="195">
        <f>IFERROR($G218*(IF('Inputs Yr 2'!$AJ218=BK$4,'Inputs Yr 2'!$AK218,IF('Inputs Yr 2'!$AL218=BK$4,'Inputs Yr 2'!$AM218,IF('Inputs Yr 2'!$AN218=BK$4,'Inputs Yr 2'!$AO218,0))))*(INDEX(avoidedcosttbl2,$H218,BK$2)+(($H218-ROUNDDOWN($H218,0))*(INDEX(avoidedcosttbl2,ROUNDUP($H218,0),BK$2)-(INDEX(avoidedcosttbl2,ROUNDDOWN($H218,0),BK$2)))))*'Inputs Yr 2'!P218*'Inputs Yr 2'!Q218*'Inputs Yr 2'!U218,"")</f>
        <v>0</v>
      </c>
      <c r="BL218" s="195">
        <f>IFERROR($G218*(IF('Inputs Yr 2'!$AJ218=BL$4,'Inputs Yr 2'!$AK218,IF('Inputs Yr 2'!$AL218=BL$4,'Inputs Yr 2'!$AM218,IF('Inputs Yr 2'!$AN218=BL$4,'Inputs Yr 2'!$AO218,0))))*(INDEX(avoidedcosttbl2,$H218,BL$2)+(($H218-ROUNDDOWN($H218,0))*(INDEX(avoidedcosttbl2,ROUNDUP($H218,0),BL$2)-(INDEX(avoidedcosttbl2,ROUNDDOWN($H218,0),BL$2)))))*'Inputs Yr 2'!P218*'Inputs Yr 2'!Q218*'Inputs Yr 2'!U218,"")</f>
        <v>0</v>
      </c>
      <c r="BM218" s="195">
        <f>IFERROR($G218*(IF('Inputs Yr 2'!$AJ218=BM$4,'Inputs Yr 2'!$AK218,IF('Inputs Yr 2'!$AL218=BM$4,'Inputs Yr 2'!$AM218,IF('Inputs Yr 2'!$AN218=BM$4,'Inputs Yr 2'!$AO218,0))))*(INDEX(avoidedcosttbl2,$H218,BM$2)+(($H218-ROUNDDOWN($H218,0))*(INDEX(avoidedcosttbl2,ROUNDUP($H218,0),BM$2)-(INDEX(avoidedcosttbl2,ROUNDDOWN($H218,0),BM$2)))))*'Inputs Yr 2'!P218*'Inputs Yr 2'!Q218*'Inputs Yr 2'!U218,"")</f>
        <v>0</v>
      </c>
      <c r="BN218" s="195">
        <f>IFERROR($G218*(IF('Inputs Yr 2'!$AJ218=BN$4,'Inputs Yr 2'!$AK218,IF('Inputs Yr 2'!$AL218=BN$4,'Inputs Yr 2'!$AM218,IF('Inputs Yr 2'!$AN218=BN$4,'Inputs Yr 2'!$AO218,0))))*(INDEX(avoidedcosttbl2,$H218,BN$2)+(($H218-ROUNDDOWN($H218,0))*(INDEX(avoidedcosttbl2,ROUNDUP($H218,0),BN$2)-(INDEX(avoidedcosttbl2,ROUNDDOWN($H218,0),BN$2)))))*'Inputs Yr 2'!P218*'Inputs Yr 2'!Q218*'Inputs Yr 2'!U218,"")</f>
        <v>0</v>
      </c>
      <c r="BO218" s="195">
        <f>IFERROR($G218*(IF('Inputs Yr 2'!$AJ218=BO$4,'Inputs Yr 2'!$AK218,IF('Inputs Yr 2'!$AL218=BO$4,'Inputs Yr 2'!$AM218,IF('Inputs Yr 2'!$AN218=BO$4,'Inputs Yr 2'!$AO218,0))))*(INDEX(avoidedcosttbl2,$H218,BO$2)+(($H218-ROUNDDOWN($H218,0))*(INDEX(avoidedcosttbl2,ROUNDUP($H218,0),BO$2)-(INDEX(avoidedcosttbl2,ROUNDDOWN($H218,0),BO$2)))))*'Inputs Yr 2'!P218*'Inputs Yr 2'!Q218*'Inputs Yr 2'!U218,"")</f>
        <v>235517.7454691173</v>
      </c>
      <c r="BP218" s="195">
        <f>IFERROR($G218*(IF('Inputs Yr 2'!$AJ218=BP$4,'Inputs Yr 2'!$AK218,IF('Inputs Yr 2'!$AL218=BP$4,'Inputs Yr 2'!$AM218,IF('Inputs Yr 2'!$AN218=BP$4,'Inputs Yr 2'!$AO218,0))))*(INDEX(avoidedcosttbl2,$H218,BP$2)+(($H218-ROUNDDOWN($H218,0))*(INDEX(avoidedcosttbl2,ROUNDUP($H218,0),BP$2)-(INDEX(avoidedcosttbl2,ROUNDDOWN($H218,0),BP$2)))))*'Inputs Yr 2'!P218*'Inputs Yr 2'!Q218*'Inputs Yr 2'!U218,"")</f>
        <v>0</v>
      </c>
      <c r="BQ218" s="230">
        <f t="shared" si="128"/>
        <v>235517.7454691173</v>
      </c>
      <c r="BR218" s="197">
        <f t="shared" si="112"/>
        <v>3770.4154304462745</v>
      </c>
      <c r="BS218" s="197">
        <f>IFERROR(($G218*IF('Inputs Yr 2'!$AJ218=BM$4,'Inputs Yr 2'!$AK218,IF('Inputs Yr 2'!$AL218=BM$4,'Inputs Yr 2'!$AM218,IF('Inputs Yr 2'!$AN218=BM$4,'Inputs Yr 2'!$AO218,0))))*(INDEX(avoidedcosttbl2,$H218,BS$2)+(($H218-ROUNDDOWN($H218,0))*(INDEX(avoidedcosttbl2,ROUNDUP($H218,0),BS$2)-(INDEX(avoidedcosttbl2,ROUNDDOWN($H218,0),BS$2)))))*'Inputs Yr 2'!P218*'Inputs Yr 2'!Q218*'Inputs Yr 2'!U218,"")</f>
        <v>0</v>
      </c>
      <c r="BT218" s="197">
        <f>IFERROR(($G218*IF('Inputs Yr 2'!$AJ218=BK$4,'Inputs Yr 2'!$AK218,IF('Inputs Yr 2'!$AL218=BK$4,'Inputs Yr 2'!$AM218,IF('Inputs Yr 2'!$AN218=BK$4,'Inputs Yr 2'!$AO218,0))))*(INDEX(avoidedcosttbl2,$H218,BT$2)+(($H218-ROUNDDOWN($H218,0))*(INDEX(avoidedcosttbl2,ROUNDUP($H218,0),BT$2)-(INDEX(avoidedcosttbl2,ROUNDDOWN($H218,0),BT$2)))))*'Inputs Yr 2'!P218*'Inputs Yr 2'!Q218*'Inputs Yr 2'!U218,"")</f>
        <v>0</v>
      </c>
      <c r="BU218" s="197">
        <f>IFERROR(($G218*IF('Inputs Yr 2'!$AJ218=BL$4,'Inputs Yr 2'!$AK218,IF('Inputs Yr 2'!$AL218=BL$4,'Inputs Yr 2'!$AM218,IF('Inputs Yr 2'!$AN218=BL$4,'Inputs Yr 2'!$AO218,0))))*(INDEX(avoidedcosttbl2,$H218,BU$2)+(($H218-ROUNDDOWN($H218,0))*(INDEX(avoidedcosttbl2,ROUNDUP($H218,0),BU$2)-(INDEX(avoidedcosttbl2,ROUNDDOWN($H218,0),BU$2)))))*'Inputs Yr 2'!P218*'Inputs Yr 2'!Q218*'Inputs Yr 2'!U218,"")</f>
        <v>0</v>
      </c>
      <c r="BV218" s="775">
        <f>IFERROR(($G218*IF('Inputs Yr 2'!$AJ218=BJ$4,'Inputs Yr 2'!$AK218,IF('Inputs Yr 2'!$AL218=BJ$4,'Inputs Yr 2'!$AM218,IF('Inputs Yr 2'!$AN218=BJ$4,'Inputs Yr 2'!$AO218,0))))*(INDEX(avoidedcosttbl2,$H218,BV$2)+(($H218-ROUNDDOWN($H218,0))*(INDEX(avoidedcosttbl2,ROUNDUP($H218,0),BV$2)-(INDEX(avoidedcosttbl2,ROUNDDOWN($H218,0),BV$2)))))*'Inputs Yr 2'!P218*'Inputs Yr 2'!Q218*'Inputs Yr 2'!U218,"")</f>
        <v>0</v>
      </c>
      <c r="BW218" s="197">
        <f>IFERROR(($G218*IF('Inputs Yr 2'!$AJ218=BN$4,'Inputs Yr 2'!$AK218,IF('Inputs Yr 2'!$AL218=BN$4,'Inputs Yr 2'!$AM218,IF('Inputs Yr 2'!$AN218=BN$4,'Inputs Yr 2'!$AO218,0))))*(INDEX(avoidedcosttbl2,$H218,BW$2)+(($H218-ROUNDDOWN($H218,0))*(INDEX(avoidedcosttbl2,ROUNDUP($H218,0),BW$2)-(INDEX(avoidedcosttbl2,ROUNDDOWN($H218,0),BW$2)))))*'Inputs Yr 2'!P218*'Inputs Yr 2'!Q218*'Inputs Yr 2'!U218,"")</f>
        <v>0</v>
      </c>
      <c r="BX218" s="197">
        <f>IFERROR(($G218*IF('Inputs Yr 2'!$AJ218=BO$4,'Inputs Yr 2'!$AK218,IF('Inputs Yr 2'!$AL218=BO$4,'Inputs Yr 2'!$AM218,IF('Inputs Yr 2'!$AN218=BO$4,'Inputs Yr 2'!$AO218,0))))*(INDEX(avoidedcosttbl2,$H218,BX$2)+(($H218-ROUNDDOWN($H218,0))*(INDEX(avoidedcosttbl2,ROUNDUP($H218,0),BX$2)-(INDEX(avoidedcosttbl2,ROUNDDOWN($H218,0),BX$2)))))*'Inputs Yr 2'!P218*'Inputs Yr 2'!Q218*'Inputs Yr 2'!U218,"")</f>
        <v>10588.956835461187</v>
      </c>
      <c r="BY218" s="197">
        <f>IFERROR(($G218*IF('Inputs Yr 2'!$AJ218=BP$4,'Inputs Yr 2'!$AK218,IF('Inputs Yr 2'!$AL218=BP$4,'Inputs Yr 2'!$AM218,IF('Inputs Yr 2'!$AN218=BP$4,'Inputs Yr 2'!$AO218,0))))*(INDEX(avoidedcosttbl2,$H218,BY$2)+(($H218-ROUNDDOWN($H218,0))*(INDEX(avoidedcosttbl2,ROUNDUP($H218,0),BY$2)-(INDEX(avoidedcosttbl2,ROUNDDOWN($H218,0),BY$2)))))*'Inputs Yr 2'!P218*'Inputs Yr 2'!Q218*'Inputs Yr 2'!U218,"")</f>
        <v>0</v>
      </c>
      <c r="BZ218" s="193">
        <f t="shared" si="129"/>
        <v>14359.372265907463</v>
      </c>
      <c r="CA218" s="193">
        <f t="shared" si="130"/>
        <v>249877.11773502477</v>
      </c>
      <c r="CB218" s="195">
        <f>IFERROR(G218*(IF('Inputs Yr 2'!$AJ218=CB$4,'Inputs Yr 2'!$AK218,IF('Inputs Yr 2'!$AL218=CB$4,'Inputs Yr 2'!$AM218,IF('Inputs Yr 2'!$AN218=CB$4,'Inputs Yr 2'!$AO218,0))))*(INDEX(avoidedcosttbl2,$H218,CB$2)+(($H218-ROUNDDOWN($H218,0))*(INDEX(avoidedcosttbl2,ROUNDUP($H218,0),CB$2)-(INDEX(avoidedcosttbl2,ROUNDDOWN($H218,0),CB$2)))))*'Inputs Yr 2'!P218*'Inputs Yr 2'!Q218*'Inputs Yr 2'!U218,"")</f>
        <v>0</v>
      </c>
      <c r="CC218" s="195">
        <f>IFERROR(H218*(IF('Inputs Yr 2'!$AJ218=CC$4,'Inputs Yr 2'!$AK218,IF('Inputs Yr 2'!$AL218=CC$4,'Inputs Yr 2'!$AM218,IF('Inputs Yr 2'!$AN218=CC$4,'Inputs Yr 2'!$AO218,0))))*(INDEX(avoidedcosttbl2,$H218,CC$2)+(($H218-ROUNDDOWN($H218,0))*(INDEX(avoidedcosttbl2,ROUNDUP($H218,0),CC$2)-(INDEX(avoidedcosttbl2,ROUNDDOWN($H218,0),CC$2)))))*'Inputs Yr 2'!Q218*'Inputs Yr 2'!R218*'Inputs Yr 2'!V218,"")</f>
        <v>0</v>
      </c>
      <c r="CD218" s="195">
        <f>IFERROR(I218*(IF('Inputs Yr 2'!$AJ218=CD$4,'Inputs Yr 2'!$AK218,IF('Inputs Yr 2'!$AL218=CD$4,'Inputs Yr 2'!$AM218,IF('Inputs Yr 2'!$AN218=CD$4,'Inputs Yr 2'!$AO218,0))))*(INDEX(avoidedcosttbl2,$H218,CD$2)+(($H218-ROUNDDOWN($H218,0))*(INDEX(avoidedcosttbl2,ROUNDUP($H218,0),CD$2)-(INDEX(avoidedcosttbl2,ROUNDDOWN($H218,0),CD$2)))))*'Inputs Yr 2'!R218*'Inputs Yr 2'!S218*'Inputs Yr 2'!W218,"")</f>
        <v>0</v>
      </c>
      <c r="CE218" s="213">
        <f t="shared" si="131"/>
        <v>0</v>
      </c>
      <c r="CF218" s="213">
        <f t="shared" si="132"/>
        <v>0</v>
      </c>
      <c r="CG218" s="213">
        <f t="shared" si="133"/>
        <v>0</v>
      </c>
      <c r="CH218" s="698">
        <f t="shared" si="134"/>
        <v>249877.11773502477</v>
      </c>
      <c r="CI218" s="79">
        <f>IFERROR(($G218*'Inputs Yr 2'!$P218*'Inputs Yr 2'!$Q218*(((INDEX(avoidedcosttbl2,$H218,CI$2)+(($H218-ROUNDDOWN($H218,0))*(INDEX(avoidedcosttbl2,ROUNDUP($H218,0),CI$2)-INDEX(avoidedcosttbl2,ROUNDDOWN($H218,0),CI$2))))*'Inputs Yr 2'!AS218))),"")</f>
        <v>0</v>
      </c>
      <c r="CJ218" s="504">
        <f>IFERROR($G218*'Inputs Yr 2'!AT218*'Inputs Yr 2'!$P218*'Inputs Yr 2'!$Q218/((1+realdiscrt1)^-0.5),"")</f>
        <v>0</v>
      </c>
      <c r="CK218" s="79">
        <f>IFERROR((O218*1000*(((INDEX(avoidedcosttbl2,$H218,CK$2)+(($H218-ROUNDDOWN($H218,0))*(INDEX(avoidedcosttbl2,ROUNDUP($H218,0),CK$2)-INDEX(avoidedcosttbl2,ROUNDDOWN($H218,0),CK$2))))*'Inputs Yr 2'!AU218))),"")</f>
        <v>0</v>
      </c>
      <c r="CL218" s="504">
        <f>IFERROR(O218*1000*'Inputs Yr 2'!AV218/((1+realdiscrt1)^-0.5),"")</f>
        <v>0</v>
      </c>
      <c r="CM218" s="79">
        <f>IFERROR((AB218*'Inputs Yr 2'!AW218*(((INDEX(avoidedcosttbl2,$H218,CM$2)+(($H218-ROUNDDOWN($H218,0))*(INDEX(avoidedcosttbl2,ROUNDUP($H218,0),CM$2)-INDEX(avoidedcosttbl2,ROUNDDOWN($H218,0),CM$2)))))))*10,"")</f>
        <v>0</v>
      </c>
      <c r="CN218" s="504">
        <f>IFERROR(10*AB218*'Inputs Yr 2'!AX218/((1+realdiscrt1)^-0.5),"")</f>
        <v>0</v>
      </c>
      <c r="CO218" s="505">
        <f t="shared" si="135"/>
        <v>0</v>
      </c>
      <c r="CP218" s="230">
        <f t="shared" si="136"/>
        <v>249877.11773502477</v>
      </c>
      <c r="CQ218" s="199">
        <f>ROUND(IFERROR(IF(LEFT($A218,1)="C",'Avoided Costs'!$K$13,'Avoided Costs'!$K$12)+1,""),4)</f>
        <v>1.0720000000000001</v>
      </c>
      <c r="CR218" s="199">
        <f>ROUND(IFERROR(IF(LEFT($A218,1)="C",'Avoided Costs'!$L$13,'Avoided Costs'!$L$12)+1,""),4)</f>
        <v>1.04</v>
      </c>
      <c r="CS218" s="199">
        <f>ROUND(IFERROR(IF(LEFT($A218,1)="C",'Avoided Costs'!$M$13,'Avoided Costs'!$M$12)+1,""),4)</f>
        <v>1.0720000000000001</v>
      </c>
      <c r="CT218" s="199">
        <f>ROUND(IFERROR(IF(LEFT($A218,1)="C",'Avoided Costs'!$N$13,'Avoided Costs'!$N$12)+1,""),4)</f>
        <v>1.04</v>
      </c>
      <c r="CU218" s="199">
        <f>ROUND(IFERROR(IF(LEFT($A218,1)="C",'Avoided Costs'!$O$13,'Avoided Costs'!$O$12)+1,""),4)</f>
        <v>1.1120000000000001</v>
      </c>
      <c r="CV218" s="199">
        <f>ROUND(IFERROR(IF(LEFT($A218,1)="C",'Avoided Costs'!$P$13,'Avoided Costs'!$P$12)+1,""),4)</f>
        <v>1.095</v>
      </c>
      <c r="CW218" s="199">
        <f>ROUND(IFERROR(IF(LEFT($A218,1)="C",'Avoided Costs'!$Q$13,'Avoided Costs'!$Q$12)+1,""),4)</f>
        <v>1.1120000000000001</v>
      </c>
      <c r="CX218" s="200">
        <f>ROUND(IFERROR(IF(LEFT($A218,1)="C",'Avoided Costs'!$R$13,'Avoided Costs'!$R$12)+1,""),4)</f>
        <v>1.1120000000000001</v>
      </c>
    </row>
    <row r="219" spans="1:102" ht="12.75" customHeight="1">
      <c r="A219" s="91" t="str">
        <f>IF('Inputs Yr 2'!$B219=0,"",'Inputs Yr 2'!A219)</f>
        <v>C - Commercial &amp; Industrial</v>
      </c>
      <c r="B219" s="91" t="str">
        <f>IF('Inputs Yr 2'!$B219=0,"",'Inputs Yr 2'!B219)</f>
        <v>C1 - C&amp;I New Construction</v>
      </c>
      <c r="C219" s="91" t="str">
        <f>IF('Inputs Yr 2'!$B219=0,"",'Inputs Yr 2'!C219)</f>
        <v xml:space="preserve">C1b - C&amp;I Initial Purchase &amp; End of Useful Life </v>
      </c>
      <c r="D219" s="91" t="str">
        <f>IF('Inputs Yr 2'!$B219=0,"",'Inputs Yr 2'!E219)</f>
        <v>Condensing Boiler 500-999 mbh  (.90 TE)</v>
      </c>
      <c r="E219" s="93" t="str">
        <f>IF('Inputs Yr 2'!$B219=0,"",'Inputs Yr 2'!F219)</f>
        <v>G16C1b19</v>
      </c>
      <c r="F219" s="93" t="str">
        <f>IF('Inputs Yr 2'!$B219=0,"",'Inputs Yr 2'!G219)</f>
        <v>HVAC</v>
      </c>
      <c r="G219" s="95">
        <f>IF('Inputs Yr 2'!$H219&lt;&gt;0,('Inputs Yr 2'!H219),"")</f>
        <v>99</v>
      </c>
      <c r="H219" s="94">
        <f>IFERROR('Inputs Yr 2'!I219,"")</f>
        <v>25</v>
      </c>
      <c r="I219" s="298">
        <f>IFERROR('Inputs Yr 2'!J219*'Inputs Yr 2'!P219*G219,"")</f>
        <v>425219.05800000008</v>
      </c>
      <c r="J219" s="298">
        <f>IFERROR('Inputs Yr 2'!K219*G219,"")</f>
        <v>379999.62</v>
      </c>
      <c r="K219" s="298">
        <f t="shared" si="113"/>
        <v>45219.438000000082</v>
      </c>
      <c r="L219" s="194">
        <f>IFERROR(('Inputs Yr 2'!W219*G219)/1000,"")</f>
        <v>0</v>
      </c>
      <c r="M219" s="194">
        <f>IFERROR(L219*('Inputs Yr 2'!$Q219*'Inputs Yr 2'!$V219*'Inputs Yr 2'!$R219),"")</f>
        <v>0</v>
      </c>
      <c r="N219" s="194">
        <f t="shared" si="114"/>
        <v>0</v>
      </c>
      <c r="O219" s="194">
        <f>IFERROR(M219*'Inputs Yr 2'!P219,"")</f>
        <v>0</v>
      </c>
      <c r="P219" s="194">
        <f t="shared" si="115"/>
        <v>0</v>
      </c>
      <c r="Q219" s="194">
        <f>IFERROR($P219*'Inputs Yr 2'!AA219,"")</f>
        <v>0</v>
      </c>
      <c r="R219" s="194">
        <f>IFERROR($P219*'Inputs Yr 2'!AB219,"")</f>
        <v>0</v>
      </c>
      <c r="S219" s="194">
        <f>IFERROR($P219*'Inputs Yr 2'!AC219,"")</f>
        <v>0</v>
      </c>
      <c r="T219" s="194">
        <f>IFERROR($P219*'Inputs Yr 2'!AD219,"")</f>
        <v>0</v>
      </c>
      <c r="U219" s="194">
        <f>IFERROR(G219*'Inputs Yr 2'!$AE219*'Inputs Yr 2'!$P219*'Inputs Yr 2'!$Q219,"")</f>
        <v>0</v>
      </c>
      <c r="V219" s="194">
        <f>IFERROR($G219*'Inputs Yr 2'!$AE219*'Inputs Yr 2'!$AG219*'Inputs Yr 2'!Q219*'Inputs Yr 2'!$S219,"")</f>
        <v>0</v>
      </c>
      <c r="W219" s="194">
        <f>IFERROR($G219*'Inputs Yr 2'!$AE219*'Inputs Yr 2'!$AG219*'Inputs Yr 2'!P219*'Inputs Yr 2'!Q219*'Inputs Yr 2'!$S219,"")</f>
        <v>0</v>
      </c>
      <c r="X219" s="194">
        <f>IFERROR($G219*'Inputs Yr 2'!$AE219*'Inputs Yr 2'!$AF219*'Inputs Yr 2'!Q219*'Inputs Yr 2'!$T219,"")</f>
        <v>0</v>
      </c>
      <c r="Y219" s="194">
        <f>IFERROR($G219*'Inputs Yr 2'!$AE219*'Inputs Yr 2'!$AF219*'Inputs Yr 2'!P219*'Inputs Yr 2'!Q219*'Inputs Yr 2'!$T219,"")</f>
        <v>0</v>
      </c>
      <c r="Z219" s="257">
        <f>IFERROR($G219*'Inputs Yr 2'!$Q219*'Inputs Yr 2'!$U219*(IF(IFERROR(SEARCH("NG", 'Inputs Yr 2'!$AJ219),0),'Inputs Yr 2'!$AK219,0)+IF(IFERROR(SEARCH("NG", 'Inputs Yr 2'!$AL219),0),'Inputs Yr 2'!$AM219,0)+IF(IFERROR(SEARCH("NG", 'Inputs Yr 2'!$AN219),0),'Inputs Yr 2'!$AO219,0)),0)</f>
        <v>5088.5999999999985</v>
      </c>
      <c r="AA219" s="257">
        <f t="shared" si="116"/>
        <v>127214.99999999997</v>
      </c>
      <c r="AB219" s="257">
        <f>IFERROR(Z219*'Inputs Yr 2'!$P219,0)</f>
        <v>4304.9555999999993</v>
      </c>
      <c r="AC219" s="257">
        <f t="shared" si="117"/>
        <v>107623.88999999998</v>
      </c>
      <c r="AD219" s="257">
        <f>IFERROR($G219*'Inputs Yr 2'!$Q219*'Inputs Yr 2'!$U219*(IF(IFERROR(SEARCH("Oil", 'Inputs Yr 2'!$AJ219), 0),'Inputs Yr 2'!$AK219,0)+IF(IFERROR(SEARCH("Oil", 'Inputs Yr 2'!$AL219), 0),'Inputs Yr 2'!$AM219,0)+IF(IFERROR(SEARCH("Oil", 'Inputs Yr 2'!$AN219), 0),'Inputs Yr 2'!$AO219,0)),0)</f>
        <v>0</v>
      </c>
      <c r="AE219" s="257">
        <f t="shared" si="118"/>
        <v>0</v>
      </c>
      <c r="AF219" s="257">
        <f>IFERROR(AD219*'Inputs Yr 2'!$P219,0)</f>
        <v>0</v>
      </c>
      <c r="AG219" s="257">
        <f t="shared" si="119"/>
        <v>0</v>
      </c>
      <c r="AH219" s="257">
        <f>IFERROR($G219*'Inputs Yr 2'!$Q219*'Inputs Yr 2'!$U219*(IF('Inputs Yr 2'!$AJ219=CD$4,'Inputs Yr 2'!$AK219,IF('Inputs Yr 2'!$AL219=CD$4,'Inputs Yr 2'!$AM219,IF('Inputs Yr 2'!$AN219=CD$4,'Inputs Yr 2'!$AO219,0)))),0)</f>
        <v>0</v>
      </c>
      <c r="AI219" s="257">
        <f t="shared" si="120"/>
        <v>0</v>
      </c>
      <c r="AJ219" s="257">
        <f>IFERROR(AH219*'Inputs Yr 2'!$P219,0)</f>
        <v>0</v>
      </c>
      <c r="AK219" s="257">
        <f t="shared" si="121"/>
        <v>0</v>
      </c>
      <c r="AL219" s="258">
        <f>IFERROR($G219*'Inputs Yr 2'!$P219*'Inputs Yr 2'!$Q219*'Inputs Yr 2'!AP219,0)</f>
        <v>0</v>
      </c>
      <c r="AM219" s="260">
        <f>IFERROR($G219*'Inputs Yr 2'!$P219*'Inputs Yr 2'!$Q219*'Inputs Yr 2'!AQ219,0)</f>
        <v>0</v>
      </c>
      <c r="AN219" s="258">
        <f>IFERROR($G219*'Inputs Yr 2'!$P219*'Inputs Yr 2'!$Q219*'Inputs Yr 2'!AR219,0)</f>
        <v>0</v>
      </c>
      <c r="AO219" s="257">
        <f t="shared" si="122"/>
        <v>0</v>
      </c>
      <c r="AP219" s="195">
        <f>IFERROR($CQ219*(INDEX(avoidedcosttbl2,$H219,AP$2)+(($H219-ROUNDDOWN($H219,0))*(INDEX(avoidedcosttbl2,ROUNDUP($H219,0),AP$2)-(INDEX(avoidedcosttbl2,ROUNDDOWN($H219,0),AP$2)))))*$O219*1000*'Inputs Yr 2'!AA219,"")</f>
        <v>0</v>
      </c>
      <c r="AQ219" s="195">
        <f>IFERROR($CR219*(INDEX(avoidedcosttbl2,$H219,AQ$2)+(($H219-ROUNDDOWN($H219,0))*(INDEX(avoidedcosttbl2,ROUNDUP($H219,0),AQ$2)-(INDEX(avoidedcosttbl2,ROUNDDOWN($H219,0),AQ$2)))))*$O219*1000*'Inputs Yr 2'!AB219,"")</f>
        <v>0</v>
      </c>
      <c r="AR219" s="195">
        <f>IFERROR($CS219*(INDEX(avoidedcosttbl2,$H219,AR$2)+(($H219-ROUNDDOWN($H219,0))*(INDEX(avoidedcosttbl2,ROUNDUP($H219,0),AR$2)-(INDEX(avoidedcosttbl2,ROUNDDOWN($H219,0),AR$2)))))*$O219*1000*'Inputs Yr 2'!AC219,"")</f>
        <v>0</v>
      </c>
      <c r="AS219" s="195">
        <f>IFERROR($CT219*(INDEX(avoidedcosttbl2,$H219,AS$2)+(($H219-ROUNDDOWN($H219,0))*(INDEX(avoidedcosttbl2,ROUNDUP($H219,0),AS$2)-(INDEX(avoidedcosttbl2,ROUNDDOWN($H219,0),AS$2)))))*$O219*1000*'Inputs Yr 2'!AD219,"")</f>
        <v>0</v>
      </c>
      <c r="AT219" s="196">
        <f t="shared" si="123"/>
        <v>0</v>
      </c>
      <c r="AU219" s="197">
        <f>IFERROR($CQ219*((INDEX(avoidedcosttbl2,$H219,AU$2))+(($H219-ROUNDDOWN($H219,0))*((INDEX(avoidedcosttbl2,ROUNDUP($H219,0),AU$2))-(INDEX(avoidedcosttbl2,ROUNDDOWN($H219,0),AU$2)))))*$O219*1000*'Inputs Yr 2'!AA219,"")</f>
        <v>0</v>
      </c>
      <c r="AV219" s="197">
        <f>IFERROR($CR219*((INDEX(avoidedcosttbl2,$H219,AV$2))+(($H219-ROUNDDOWN($H219,0))*((INDEX(avoidedcosttbl2,ROUNDUP($H219,0),AV$2))-(INDEX(avoidedcosttbl2,ROUNDDOWN($H219,0),AV$2)))))*$O219*1000*'Inputs Yr 2'!AB219,"")</f>
        <v>0</v>
      </c>
      <c r="AW219" s="197">
        <f>IFERROR($CS219*((INDEX(avoidedcosttbl2,$H219,AW$2))+(($H219-ROUNDDOWN($H219,0))*((INDEX(avoidedcosttbl2,ROUNDUP($H219,0),AW$2))-(INDEX(avoidedcosttbl2,ROUNDDOWN($H219,0),AW$2)))))*$O219*1000*'Inputs Yr 2'!AC219,"")</f>
        <v>0</v>
      </c>
      <c r="AX219" s="197">
        <f>IFERROR($CT219*((INDEX(avoidedcosttbl2,$H219,AX$2))+(($H219-ROUNDDOWN($H219,0))*((INDEX(avoidedcosttbl2,ROUNDUP($H219,0),AX$2))-(INDEX(avoidedcosttbl2,ROUNDDOWN($H219,0),AX$2)))))*$O219*1000*'Inputs Yr 2'!AD219,"")</f>
        <v>0</v>
      </c>
      <c r="AY219" s="197">
        <f>IFERROR(((INDEX(avoidedcosttbl2,$H219,AY$2))+(($H219-ROUNDDOWN($H219,0))*((INDEX(avoidedcosttbl2,ROUNDUP($H219,0),AY$2))-(INDEX(avoidedcosttbl2,ROUNDDOWN($H219,0),AY$2)))))*$O219*1000*('Inputs Yr 2'!AC219+'Inputs Yr 2'!AD219),"")</f>
        <v>0</v>
      </c>
      <c r="AZ219" s="197">
        <f>IFERROR(((INDEX(avoidedcosttbl2,$H219,AZ$2))+(($H219-ROUNDDOWN($H219,0))*((INDEX(avoidedcosttbl2,ROUNDUP($H219,0),AZ$2))-(INDEX(avoidedcosttbl2,ROUNDDOWN($H219,0),AZ$2)))))*$O219*1000*('Inputs Yr 2'!AA219+'Inputs Yr 2'!AB219),"")</f>
        <v>0</v>
      </c>
      <c r="BA219" s="198">
        <f t="shared" si="124"/>
        <v>0</v>
      </c>
      <c r="BB219" s="198">
        <f t="shared" si="125"/>
        <v>0</v>
      </c>
      <c r="BC219" s="195">
        <f t="shared" si="107"/>
        <v>0</v>
      </c>
      <c r="BD219" s="195">
        <f t="shared" si="108"/>
        <v>0</v>
      </c>
      <c r="BE219" s="195">
        <f t="shared" si="109"/>
        <v>0</v>
      </c>
      <c r="BF219" s="195">
        <f t="shared" si="110"/>
        <v>0</v>
      </c>
      <c r="BG219" s="195">
        <f t="shared" si="111"/>
        <v>0</v>
      </c>
      <c r="BH219" s="196">
        <f t="shared" si="126"/>
        <v>0</v>
      </c>
      <c r="BI219" s="196">
        <f t="shared" si="127"/>
        <v>0</v>
      </c>
      <c r="BJ219" s="195">
        <f>IFERROR($G219*(IF('Inputs Yr 2'!$AJ219=BJ$4,'Inputs Yr 2'!$AK219,IF('Inputs Yr 2'!$AL219=BJ$4,'Inputs Yr 2'!$AM219,IF('Inputs Yr 2'!$AN219=BJ$4,'Inputs Yr 2'!$AO219,0))))*(INDEX(avoidedcosttbl2,$H219,BJ$2)+(($H219-ROUNDDOWN($H219,0))*(INDEX(avoidedcosttbl2,ROUNDUP($H219,0),BJ$2)-(INDEX(avoidedcosttbl2,ROUNDDOWN($H219,0),BJ$2)))))*'Inputs Yr 2'!P219*'Inputs Yr 2'!Q219*'Inputs Yr 2'!U219,"")</f>
        <v>0</v>
      </c>
      <c r="BK219" s="195">
        <f>IFERROR($G219*(IF('Inputs Yr 2'!$AJ219=BK$4,'Inputs Yr 2'!$AK219,IF('Inputs Yr 2'!$AL219=BK$4,'Inputs Yr 2'!$AM219,IF('Inputs Yr 2'!$AN219=BK$4,'Inputs Yr 2'!$AO219,0))))*(INDEX(avoidedcosttbl2,$H219,BK$2)+(($H219-ROUNDDOWN($H219,0))*(INDEX(avoidedcosttbl2,ROUNDUP($H219,0),BK$2)-(INDEX(avoidedcosttbl2,ROUNDDOWN($H219,0),BK$2)))))*'Inputs Yr 2'!P219*'Inputs Yr 2'!Q219*'Inputs Yr 2'!U219,"")</f>
        <v>0</v>
      </c>
      <c r="BL219" s="195">
        <f>IFERROR($G219*(IF('Inputs Yr 2'!$AJ219=BL$4,'Inputs Yr 2'!$AK219,IF('Inputs Yr 2'!$AL219=BL$4,'Inputs Yr 2'!$AM219,IF('Inputs Yr 2'!$AN219=BL$4,'Inputs Yr 2'!$AO219,0))))*(INDEX(avoidedcosttbl2,$H219,BL$2)+(($H219-ROUNDDOWN($H219,0))*(INDEX(avoidedcosttbl2,ROUNDUP($H219,0),BL$2)-(INDEX(avoidedcosttbl2,ROUNDDOWN($H219,0),BL$2)))))*'Inputs Yr 2'!P219*'Inputs Yr 2'!Q219*'Inputs Yr 2'!U219,"")</f>
        <v>0</v>
      </c>
      <c r="BM219" s="195">
        <f>IFERROR($G219*(IF('Inputs Yr 2'!$AJ219=BM$4,'Inputs Yr 2'!$AK219,IF('Inputs Yr 2'!$AL219=BM$4,'Inputs Yr 2'!$AM219,IF('Inputs Yr 2'!$AN219=BM$4,'Inputs Yr 2'!$AO219,0))))*(INDEX(avoidedcosttbl2,$H219,BM$2)+(($H219-ROUNDDOWN($H219,0))*(INDEX(avoidedcosttbl2,ROUNDUP($H219,0),BM$2)-(INDEX(avoidedcosttbl2,ROUNDDOWN($H219,0),BM$2)))))*'Inputs Yr 2'!P219*'Inputs Yr 2'!Q219*'Inputs Yr 2'!U219,"")</f>
        <v>0</v>
      </c>
      <c r="BN219" s="195">
        <f>IFERROR($G219*(IF('Inputs Yr 2'!$AJ219=BN$4,'Inputs Yr 2'!$AK219,IF('Inputs Yr 2'!$AL219=BN$4,'Inputs Yr 2'!$AM219,IF('Inputs Yr 2'!$AN219=BN$4,'Inputs Yr 2'!$AO219,0))))*(INDEX(avoidedcosttbl2,$H219,BN$2)+(($H219-ROUNDDOWN($H219,0))*(INDEX(avoidedcosttbl2,ROUNDUP($H219,0),BN$2)-(INDEX(avoidedcosttbl2,ROUNDDOWN($H219,0),BN$2)))))*'Inputs Yr 2'!P219*'Inputs Yr 2'!Q219*'Inputs Yr 2'!U219,"")</f>
        <v>0</v>
      </c>
      <c r="BO219" s="195">
        <f>IFERROR($G219*(IF('Inputs Yr 2'!$AJ219=BO$4,'Inputs Yr 2'!$AK219,IF('Inputs Yr 2'!$AL219=BO$4,'Inputs Yr 2'!$AM219,IF('Inputs Yr 2'!$AN219=BO$4,'Inputs Yr 2'!$AO219,0))))*(INDEX(avoidedcosttbl2,$H219,BO$2)+(($H219-ROUNDDOWN($H219,0))*(INDEX(avoidedcosttbl2,ROUNDUP($H219,0),BO$2)-(INDEX(avoidedcosttbl2,ROUNDDOWN($H219,0),BO$2)))))*'Inputs Yr 2'!P219*'Inputs Yr 2'!Q219*'Inputs Yr 2'!U219,"")</f>
        <v>891708.035412314</v>
      </c>
      <c r="BP219" s="195">
        <f>IFERROR($G219*(IF('Inputs Yr 2'!$AJ219=BP$4,'Inputs Yr 2'!$AK219,IF('Inputs Yr 2'!$AL219=BP$4,'Inputs Yr 2'!$AM219,IF('Inputs Yr 2'!$AN219=BP$4,'Inputs Yr 2'!$AO219,0))))*(INDEX(avoidedcosttbl2,$H219,BP$2)+(($H219-ROUNDDOWN($H219,0))*(INDEX(avoidedcosttbl2,ROUNDUP($H219,0),BP$2)-(INDEX(avoidedcosttbl2,ROUNDDOWN($H219,0),BP$2)))))*'Inputs Yr 2'!P219*'Inputs Yr 2'!Q219*'Inputs Yr 2'!U219,"")</f>
        <v>0</v>
      </c>
      <c r="BQ219" s="230">
        <f t="shared" si="128"/>
        <v>891708.035412314</v>
      </c>
      <c r="BR219" s="197">
        <f t="shared" si="112"/>
        <v>14275.398779292342</v>
      </c>
      <c r="BS219" s="197">
        <f>IFERROR(($G219*IF('Inputs Yr 2'!$AJ219=BM$4,'Inputs Yr 2'!$AK219,IF('Inputs Yr 2'!$AL219=BM$4,'Inputs Yr 2'!$AM219,IF('Inputs Yr 2'!$AN219=BM$4,'Inputs Yr 2'!$AO219,0))))*(INDEX(avoidedcosttbl2,$H219,BS$2)+(($H219-ROUNDDOWN($H219,0))*(INDEX(avoidedcosttbl2,ROUNDUP($H219,0),BS$2)-(INDEX(avoidedcosttbl2,ROUNDDOWN($H219,0),BS$2)))))*'Inputs Yr 2'!P219*'Inputs Yr 2'!Q219*'Inputs Yr 2'!U219,"")</f>
        <v>0</v>
      </c>
      <c r="BT219" s="197">
        <f>IFERROR(($G219*IF('Inputs Yr 2'!$AJ219=BK$4,'Inputs Yr 2'!$AK219,IF('Inputs Yr 2'!$AL219=BK$4,'Inputs Yr 2'!$AM219,IF('Inputs Yr 2'!$AN219=BK$4,'Inputs Yr 2'!$AO219,0))))*(INDEX(avoidedcosttbl2,$H219,BT$2)+(($H219-ROUNDDOWN($H219,0))*(INDEX(avoidedcosttbl2,ROUNDUP($H219,0),BT$2)-(INDEX(avoidedcosttbl2,ROUNDDOWN($H219,0),BT$2)))))*'Inputs Yr 2'!P219*'Inputs Yr 2'!Q219*'Inputs Yr 2'!U219,"")</f>
        <v>0</v>
      </c>
      <c r="BU219" s="197">
        <f>IFERROR(($G219*IF('Inputs Yr 2'!$AJ219=BL$4,'Inputs Yr 2'!$AK219,IF('Inputs Yr 2'!$AL219=BL$4,'Inputs Yr 2'!$AM219,IF('Inputs Yr 2'!$AN219=BL$4,'Inputs Yr 2'!$AO219,0))))*(INDEX(avoidedcosttbl2,$H219,BU$2)+(($H219-ROUNDDOWN($H219,0))*(INDEX(avoidedcosttbl2,ROUNDUP($H219,0),BU$2)-(INDEX(avoidedcosttbl2,ROUNDDOWN($H219,0),BU$2)))))*'Inputs Yr 2'!P219*'Inputs Yr 2'!Q219*'Inputs Yr 2'!U219,"")</f>
        <v>0</v>
      </c>
      <c r="BV219" s="775">
        <f>IFERROR(($G219*IF('Inputs Yr 2'!$AJ219=BJ$4,'Inputs Yr 2'!$AK219,IF('Inputs Yr 2'!$AL219=BJ$4,'Inputs Yr 2'!$AM219,IF('Inputs Yr 2'!$AN219=BJ$4,'Inputs Yr 2'!$AO219,0))))*(INDEX(avoidedcosttbl2,$H219,BV$2)+(($H219-ROUNDDOWN($H219,0))*(INDEX(avoidedcosttbl2,ROUNDUP($H219,0),BV$2)-(INDEX(avoidedcosttbl2,ROUNDDOWN($H219,0),BV$2)))))*'Inputs Yr 2'!P219*'Inputs Yr 2'!Q219*'Inputs Yr 2'!U219,"")</f>
        <v>0</v>
      </c>
      <c r="BW219" s="197">
        <f>IFERROR(($G219*IF('Inputs Yr 2'!$AJ219=BN$4,'Inputs Yr 2'!$AK219,IF('Inputs Yr 2'!$AL219=BN$4,'Inputs Yr 2'!$AM219,IF('Inputs Yr 2'!$AN219=BN$4,'Inputs Yr 2'!$AO219,0))))*(INDEX(avoidedcosttbl2,$H219,BW$2)+(($H219-ROUNDDOWN($H219,0))*(INDEX(avoidedcosttbl2,ROUNDUP($H219,0),BW$2)-(INDEX(avoidedcosttbl2,ROUNDDOWN($H219,0),BW$2)))))*'Inputs Yr 2'!P219*'Inputs Yr 2'!Q219*'Inputs Yr 2'!U219,"")</f>
        <v>0</v>
      </c>
      <c r="BX219" s="197">
        <f>IFERROR(($G219*IF('Inputs Yr 2'!$AJ219=BO$4,'Inputs Yr 2'!$AK219,IF('Inputs Yr 2'!$AL219=BO$4,'Inputs Yr 2'!$AM219,IF('Inputs Yr 2'!$AN219=BO$4,'Inputs Yr 2'!$AO219,0))))*(INDEX(avoidedcosttbl2,$H219,BX$2)+(($H219-ROUNDDOWN($H219,0))*(INDEX(avoidedcosttbl2,ROUNDUP($H219,0),BX$2)-(INDEX(avoidedcosttbl2,ROUNDDOWN($H219,0),BX$2)))))*'Inputs Yr 2'!P219*'Inputs Yr 2'!Q219*'Inputs Yr 2'!U219,"")</f>
        <v>40091.492375690315</v>
      </c>
      <c r="BY219" s="197">
        <f>IFERROR(($G219*IF('Inputs Yr 2'!$AJ219=BP$4,'Inputs Yr 2'!$AK219,IF('Inputs Yr 2'!$AL219=BP$4,'Inputs Yr 2'!$AM219,IF('Inputs Yr 2'!$AN219=BP$4,'Inputs Yr 2'!$AO219,0))))*(INDEX(avoidedcosttbl2,$H219,BY$2)+(($H219-ROUNDDOWN($H219,0))*(INDEX(avoidedcosttbl2,ROUNDUP($H219,0),BY$2)-(INDEX(avoidedcosttbl2,ROUNDDOWN($H219,0),BY$2)))))*'Inputs Yr 2'!P219*'Inputs Yr 2'!Q219*'Inputs Yr 2'!U219,"")</f>
        <v>0</v>
      </c>
      <c r="BZ219" s="193">
        <f t="shared" si="129"/>
        <v>54366.891154982659</v>
      </c>
      <c r="CA219" s="193">
        <f t="shared" si="130"/>
        <v>946074.92656729661</v>
      </c>
      <c r="CB219" s="195">
        <f>IFERROR(G219*(IF('Inputs Yr 2'!$AJ219=CB$4,'Inputs Yr 2'!$AK219,IF('Inputs Yr 2'!$AL219=CB$4,'Inputs Yr 2'!$AM219,IF('Inputs Yr 2'!$AN219=CB$4,'Inputs Yr 2'!$AO219,0))))*(INDEX(avoidedcosttbl2,$H219,CB$2)+(($H219-ROUNDDOWN($H219,0))*(INDEX(avoidedcosttbl2,ROUNDUP($H219,0),CB$2)-(INDEX(avoidedcosttbl2,ROUNDDOWN($H219,0),CB$2)))))*'Inputs Yr 2'!P219*'Inputs Yr 2'!Q219*'Inputs Yr 2'!U219,"")</f>
        <v>0</v>
      </c>
      <c r="CC219" s="195">
        <f>IFERROR(H219*(IF('Inputs Yr 2'!$AJ219=CC$4,'Inputs Yr 2'!$AK219,IF('Inputs Yr 2'!$AL219=CC$4,'Inputs Yr 2'!$AM219,IF('Inputs Yr 2'!$AN219=CC$4,'Inputs Yr 2'!$AO219,0))))*(INDEX(avoidedcosttbl2,$H219,CC$2)+(($H219-ROUNDDOWN($H219,0))*(INDEX(avoidedcosttbl2,ROUNDUP($H219,0),CC$2)-(INDEX(avoidedcosttbl2,ROUNDDOWN($H219,0),CC$2)))))*'Inputs Yr 2'!Q219*'Inputs Yr 2'!R219*'Inputs Yr 2'!V219,"")</f>
        <v>0</v>
      </c>
      <c r="CD219" s="195">
        <f>IFERROR(I219*(IF('Inputs Yr 2'!$AJ219=CD$4,'Inputs Yr 2'!$AK219,IF('Inputs Yr 2'!$AL219=CD$4,'Inputs Yr 2'!$AM219,IF('Inputs Yr 2'!$AN219=CD$4,'Inputs Yr 2'!$AO219,0))))*(INDEX(avoidedcosttbl2,$H219,CD$2)+(($H219-ROUNDDOWN($H219,0))*(INDEX(avoidedcosttbl2,ROUNDUP($H219,0),CD$2)-(INDEX(avoidedcosttbl2,ROUNDDOWN($H219,0),CD$2)))))*'Inputs Yr 2'!R219*'Inputs Yr 2'!S219*'Inputs Yr 2'!W219,"")</f>
        <v>0</v>
      </c>
      <c r="CE219" s="213">
        <f t="shared" si="131"/>
        <v>0</v>
      </c>
      <c r="CF219" s="213">
        <f t="shared" si="132"/>
        <v>0</v>
      </c>
      <c r="CG219" s="213">
        <f t="shared" si="133"/>
        <v>0</v>
      </c>
      <c r="CH219" s="698">
        <f t="shared" si="134"/>
        <v>946074.92656729661</v>
      </c>
      <c r="CI219" s="79">
        <f>IFERROR(($G219*'Inputs Yr 2'!$P219*'Inputs Yr 2'!$Q219*(((INDEX(avoidedcosttbl2,$H219,CI$2)+(($H219-ROUNDDOWN($H219,0))*(INDEX(avoidedcosttbl2,ROUNDUP($H219,0),CI$2)-INDEX(avoidedcosttbl2,ROUNDDOWN($H219,0),CI$2))))*'Inputs Yr 2'!AS219))),"")</f>
        <v>0</v>
      </c>
      <c r="CJ219" s="504">
        <f>IFERROR($G219*'Inputs Yr 2'!AT219*'Inputs Yr 2'!$P219*'Inputs Yr 2'!$Q219/((1+realdiscrt1)^-0.5),"")</f>
        <v>0</v>
      </c>
      <c r="CK219" s="79">
        <f>IFERROR((O219*1000*(((INDEX(avoidedcosttbl2,$H219,CK$2)+(($H219-ROUNDDOWN($H219,0))*(INDEX(avoidedcosttbl2,ROUNDUP($H219,0),CK$2)-INDEX(avoidedcosttbl2,ROUNDDOWN($H219,0),CK$2))))*'Inputs Yr 2'!AU219))),"")</f>
        <v>0</v>
      </c>
      <c r="CL219" s="504">
        <f>IFERROR(O219*1000*'Inputs Yr 2'!AV219/((1+realdiscrt1)^-0.5),"")</f>
        <v>0</v>
      </c>
      <c r="CM219" s="79">
        <f>IFERROR((AB219*'Inputs Yr 2'!AW219*(((INDEX(avoidedcosttbl2,$H219,CM$2)+(($H219-ROUNDDOWN($H219,0))*(INDEX(avoidedcosttbl2,ROUNDUP($H219,0),CM$2)-INDEX(avoidedcosttbl2,ROUNDDOWN($H219,0),CM$2)))))))*10,"")</f>
        <v>0</v>
      </c>
      <c r="CN219" s="504">
        <f>IFERROR(10*AB219*'Inputs Yr 2'!AX219/((1+realdiscrt1)^-0.5),"")</f>
        <v>0</v>
      </c>
      <c r="CO219" s="505">
        <f t="shared" si="135"/>
        <v>0</v>
      </c>
      <c r="CP219" s="230">
        <f t="shared" si="136"/>
        <v>946074.92656729661</v>
      </c>
      <c r="CQ219" s="199">
        <f>ROUND(IFERROR(IF(LEFT($A219,1)="C",'Avoided Costs'!$K$13,'Avoided Costs'!$K$12)+1,""),4)</f>
        <v>1.0720000000000001</v>
      </c>
      <c r="CR219" s="199">
        <f>ROUND(IFERROR(IF(LEFT($A219,1)="C",'Avoided Costs'!$L$13,'Avoided Costs'!$L$12)+1,""),4)</f>
        <v>1.04</v>
      </c>
      <c r="CS219" s="199">
        <f>ROUND(IFERROR(IF(LEFT($A219,1)="C",'Avoided Costs'!$M$13,'Avoided Costs'!$M$12)+1,""),4)</f>
        <v>1.0720000000000001</v>
      </c>
      <c r="CT219" s="199">
        <f>ROUND(IFERROR(IF(LEFT($A219,1)="C",'Avoided Costs'!$N$13,'Avoided Costs'!$N$12)+1,""),4)</f>
        <v>1.04</v>
      </c>
      <c r="CU219" s="199">
        <f>ROUND(IFERROR(IF(LEFT($A219,1)="C",'Avoided Costs'!$O$13,'Avoided Costs'!$O$12)+1,""),4)</f>
        <v>1.1120000000000001</v>
      </c>
      <c r="CV219" s="199">
        <f>ROUND(IFERROR(IF(LEFT($A219,1)="C",'Avoided Costs'!$P$13,'Avoided Costs'!$P$12)+1,""),4)</f>
        <v>1.095</v>
      </c>
      <c r="CW219" s="199">
        <f>ROUND(IFERROR(IF(LEFT($A219,1)="C",'Avoided Costs'!$Q$13,'Avoided Costs'!$Q$12)+1,""),4)</f>
        <v>1.1120000000000001</v>
      </c>
      <c r="CX219" s="200">
        <f>ROUND(IFERROR(IF(LEFT($A219,1)="C",'Avoided Costs'!$R$13,'Avoided Costs'!$R$12)+1,""),4)</f>
        <v>1.1120000000000001</v>
      </c>
    </row>
    <row r="220" spans="1:102" ht="12.75" customHeight="1">
      <c r="A220" s="91" t="str">
        <f>IF('Inputs Yr 2'!$B220=0,"",'Inputs Yr 2'!A220)</f>
        <v>C - Commercial &amp; Industrial</v>
      </c>
      <c r="B220" s="91" t="str">
        <f>IF('Inputs Yr 2'!$B220=0,"",'Inputs Yr 2'!B220)</f>
        <v>C1 - C&amp;I New Construction</v>
      </c>
      <c r="C220" s="91" t="str">
        <f>IF('Inputs Yr 2'!$B220=0,"",'Inputs Yr 2'!C220)</f>
        <v xml:space="preserve">C1b - C&amp;I Initial Purchase &amp; End of Useful Life </v>
      </c>
      <c r="D220" s="91" t="str">
        <f>IF('Inputs Yr 2'!$B220=0,"",'Inputs Yr 2'!E220)</f>
        <v>Condensing Boiler 1000-1700 mbh  (.90 TE)</v>
      </c>
      <c r="E220" s="93" t="str">
        <f>IF('Inputs Yr 2'!$B220=0,"",'Inputs Yr 2'!F220)</f>
        <v>G16C1b20</v>
      </c>
      <c r="F220" s="93" t="str">
        <f>IF('Inputs Yr 2'!$B220=0,"",'Inputs Yr 2'!G220)</f>
        <v>HVAC</v>
      </c>
      <c r="G220" s="95">
        <f>IF('Inputs Yr 2'!$H220&lt;&gt;0,('Inputs Yr 2'!H220),"")</f>
        <v>26</v>
      </c>
      <c r="H220" s="94">
        <f>IFERROR('Inputs Yr 2'!I220,"")</f>
        <v>25</v>
      </c>
      <c r="I220" s="298">
        <f>IFERROR('Inputs Yr 2'!J220*'Inputs Yr 2'!P220*G220,"")</f>
        <v>173196.50400000002</v>
      </c>
      <c r="J220" s="298">
        <f>IFERROR('Inputs Yr 2'!K220*G220,"")</f>
        <v>195000</v>
      </c>
      <c r="K220" s="298">
        <f t="shared" si="113"/>
        <v>-21803.495999999985</v>
      </c>
      <c r="L220" s="194">
        <f>IFERROR(('Inputs Yr 2'!W220*G220)/1000,"")</f>
        <v>0</v>
      </c>
      <c r="M220" s="194">
        <f>IFERROR(L220*('Inputs Yr 2'!$Q220*'Inputs Yr 2'!$V220*'Inputs Yr 2'!$R220),"")</f>
        <v>0</v>
      </c>
      <c r="N220" s="194">
        <f t="shared" si="114"/>
        <v>0</v>
      </c>
      <c r="O220" s="194">
        <f>IFERROR(M220*'Inputs Yr 2'!P220,"")</f>
        <v>0</v>
      </c>
      <c r="P220" s="194">
        <f t="shared" si="115"/>
        <v>0</v>
      </c>
      <c r="Q220" s="194">
        <f>IFERROR($P220*'Inputs Yr 2'!AA220,"")</f>
        <v>0</v>
      </c>
      <c r="R220" s="194">
        <f>IFERROR($P220*'Inputs Yr 2'!AB220,"")</f>
        <v>0</v>
      </c>
      <c r="S220" s="194">
        <f>IFERROR($P220*'Inputs Yr 2'!AC220,"")</f>
        <v>0</v>
      </c>
      <c r="T220" s="194">
        <f>IFERROR($P220*'Inputs Yr 2'!AD220,"")</f>
        <v>0</v>
      </c>
      <c r="U220" s="194">
        <f>IFERROR(G220*'Inputs Yr 2'!$AE220*'Inputs Yr 2'!$P220*'Inputs Yr 2'!$Q220,"")</f>
        <v>0</v>
      </c>
      <c r="V220" s="194">
        <f>IFERROR($G220*'Inputs Yr 2'!$AE220*'Inputs Yr 2'!$AG220*'Inputs Yr 2'!Q220*'Inputs Yr 2'!$S220,"")</f>
        <v>0</v>
      </c>
      <c r="W220" s="194">
        <f>IFERROR($G220*'Inputs Yr 2'!$AE220*'Inputs Yr 2'!$AG220*'Inputs Yr 2'!P220*'Inputs Yr 2'!Q220*'Inputs Yr 2'!$S220,"")</f>
        <v>0</v>
      </c>
      <c r="X220" s="194">
        <f>IFERROR($G220*'Inputs Yr 2'!$AE220*'Inputs Yr 2'!$AF220*'Inputs Yr 2'!Q220*'Inputs Yr 2'!$T220,"")</f>
        <v>0</v>
      </c>
      <c r="Y220" s="194">
        <f>IFERROR($G220*'Inputs Yr 2'!$AE220*'Inputs Yr 2'!$AF220*'Inputs Yr 2'!P220*'Inputs Yr 2'!Q220*'Inputs Yr 2'!$T220,"")</f>
        <v>0</v>
      </c>
      <c r="Z220" s="257">
        <f>IFERROR($G220*'Inputs Yr 2'!$Q220*'Inputs Yr 2'!$U220*(IF(IFERROR(SEARCH("NG", 'Inputs Yr 2'!$AJ220),0),'Inputs Yr 2'!$AK220,0)+IF(IFERROR(SEARCH("NG", 'Inputs Yr 2'!$AL220),0),'Inputs Yr 2'!$AM220,0)+IF(IFERROR(SEARCH("NG", 'Inputs Yr 2'!$AN220),0),'Inputs Yr 2'!$AO220,0)),0)</f>
        <v>2457</v>
      </c>
      <c r="AA220" s="257">
        <f t="shared" si="116"/>
        <v>61425</v>
      </c>
      <c r="AB220" s="257">
        <f>IFERROR(Z220*'Inputs Yr 2'!$P220,0)</f>
        <v>2078.6220000000003</v>
      </c>
      <c r="AC220" s="257">
        <f t="shared" si="117"/>
        <v>51965.55000000001</v>
      </c>
      <c r="AD220" s="257">
        <f>IFERROR($G220*'Inputs Yr 2'!$Q220*'Inputs Yr 2'!$U220*(IF(IFERROR(SEARCH("Oil", 'Inputs Yr 2'!$AJ220), 0),'Inputs Yr 2'!$AK220,0)+IF(IFERROR(SEARCH("Oil", 'Inputs Yr 2'!$AL220), 0),'Inputs Yr 2'!$AM220,0)+IF(IFERROR(SEARCH("Oil", 'Inputs Yr 2'!$AN220), 0),'Inputs Yr 2'!$AO220,0)),0)</f>
        <v>0</v>
      </c>
      <c r="AE220" s="257">
        <f t="shared" si="118"/>
        <v>0</v>
      </c>
      <c r="AF220" s="257">
        <f>IFERROR(AD220*'Inputs Yr 2'!$P220,0)</f>
        <v>0</v>
      </c>
      <c r="AG220" s="257">
        <f t="shared" si="119"/>
        <v>0</v>
      </c>
      <c r="AH220" s="257">
        <f>IFERROR($G220*'Inputs Yr 2'!$Q220*'Inputs Yr 2'!$U220*(IF('Inputs Yr 2'!$AJ220=CD$4,'Inputs Yr 2'!$AK220,IF('Inputs Yr 2'!$AL220=CD$4,'Inputs Yr 2'!$AM220,IF('Inputs Yr 2'!$AN220=CD$4,'Inputs Yr 2'!$AO220,0)))),0)</f>
        <v>0</v>
      </c>
      <c r="AI220" s="257">
        <f t="shared" si="120"/>
        <v>0</v>
      </c>
      <c r="AJ220" s="257">
        <f>IFERROR(AH220*'Inputs Yr 2'!$P220,0)</f>
        <v>0</v>
      </c>
      <c r="AK220" s="257">
        <f t="shared" si="121"/>
        <v>0</v>
      </c>
      <c r="AL220" s="258">
        <f>IFERROR($G220*'Inputs Yr 2'!$P220*'Inputs Yr 2'!$Q220*'Inputs Yr 2'!AP220,0)</f>
        <v>0</v>
      </c>
      <c r="AM220" s="260">
        <f>IFERROR($G220*'Inputs Yr 2'!$P220*'Inputs Yr 2'!$Q220*'Inputs Yr 2'!AQ220,0)</f>
        <v>0</v>
      </c>
      <c r="AN220" s="258">
        <f>IFERROR($G220*'Inputs Yr 2'!$P220*'Inputs Yr 2'!$Q220*'Inputs Yr 2'!AR220,0)</f>
        <v>0</v>
      </c>
      <c r="AO220" s="257">
        <f t="shared" si="122"/>
        <v>0</v>
      </c>
      <c r="AP220" s="195">
        <f>IFERROR($CQ220*(INDEX(avoidedcosttbl2,$H220,AP$2)+(($H220-ROUNDDOWN($H220,0))*(INDEX(avoidedcosttbl2,ROUNDUP($H220,0),AP$2)-(INDEX(avoidedcosttbl2,ROUNDDOWN($H220,0),AP$2)))))*$O220*1000*'Inputs Yr 2'!AA220,"")</f>
        <v>0</v>
      </c>
      <c r="AQ220" s="195">
        <f>IFERROR($CR220*(INDEX(avoidedcosttbl2,$H220,AQ$2)+(($H220-ROUNDDOWN($H220,0))*(INDEX(avoidedcosttbl2,ROUNDUP($H220,0),AQ$2)-(INDEX(avoidedcosttbl2,ROUNDDOWN($H220,0),AQ$2)))))*$O220*1000*'Inputs Yr 2'!AB220,"")</f>
        <v>0</v>
      </c>
      <c r="AR220" s="195">
        <f>IFERROR($CS220*(INDEX(avoidedcosttbl2,$H220,AR$2)+(($H220-ROUNDDOWN($H220,0))*(INDEX(avoidedcosttbl2,ROUNDUP($H220,0),AR$2)-(INDEX(avoidedcosttbl2,ROUNDDOWN($H220,0),AR$2)))))*$O220*1000*'Inputs Yr 2'!AC220,"")</f>
        <v>0</v>
      </c>
      <c r="AS220" s="195">
        <f>IFERROR($CT220*(INDEX(avoidedcosttbl2,$H220,AS$2)+(($H220-ROUNDDOWN($H220,0))*(INDEX(avoidedcosttbl2,ROUNDUP($H220,0),AS$2)-(INDEX(avoidedcosttbl2,ROUNDDOWN($H220,0),AS$2)))))*$O220*1000*'Inputs Yr 2'!AD220,"")</f>
        <v>0</v>
      </c>
      <c r="AT220" s="196">
        <f t="shared" si="123"/>
        <v>0</v>
      </c>
      <c r="AU220" s="197">
        <f>IFERROR($CQ220*((INDEX(avoidedcosttbl2,$H220,AU$2))+(($H220-ROUNDDOWN($H220,0))*((INDEX(avoidedcosttbl2,ROUNDUP($H220,0),AU$2))-(INDEX(avoidedcosttbl2,ROUNDDOWN($H220,0),AU$2)))))*$O220*1000*'Inputs Yr 2'!AA220,"")</f>
        <v>0</v>
      </c>
      <c r="AV220" s="197">
        <f>IFERROR($CR220*((INDEX(avoidedcosttbl2,$H220,AV$2))+(($H220-ROUNDDOWN($H220,0))*((INDEX(avoidedcosttbl2,ROUNDUP($H220,0),AV$2))-(INDEX(avoidedcosttbl2,ROUNDDOWN($H220,0),AV$2)))))*$O220*1000*'Inputs Yr 2'!AB220,"")</f>
        <v>0</v>
      </c>
      <c r="AW220" s="197">
        <f>IFERROR($CS220*((INDEX(avoidedcosttbl2,$H220,AW$2))+(($H220-ROUNDDOWN($H220,0))*((INDEX(avoidedcosttbl2,ROUNDUP($H220,0),AW$2))-(INDEX(avoidedcosttbl2,ROUNDDOWN($H220,0),AW$2)))))*$O220*1000*'Inputs Yr 2'!AC220,"")</f>
        <v>0</v>
      </c>
      <c r="AX220" s="197">
        <f>IFERROR($CT220*((INDEX(avoidedcosttbl2,$H220,AX$2))+(($H220-ROUNDDOWN($H220,0))*((INDEX(avoidedcosttbl2,ROUNDUP($H220,0),AX$2))-(INDEX(avoidedcosttbl2,ROUNDDOWN($H220,0),AX$2)))))*$O220*1000*'Inputs Yr 2'!AD220,"")</f>
        <v>0</v>
      </c>
      <c r="AY220" s="197">
        <f>IFERROR(((INDEX(avoidedcosttbl2,$H220,AY$2))+(($H220-ROUNDDOWN($H220,0))*((INDEX(avoidedcosttbl2,ROUNDUP($H220,0),AY$2))-(INDEX(avoidedcosttbl2,ROUNDDOWN($H220,0),AY$2)))))*$O220*1000*('Inputs Yr 2'!AC220+'Inputs Yr 2'!AD220),"")</f>
        <v>0</v>
      </c>
      <c r="AZ220" s="197">
        <f>IFERROR(((INDEX(avoidedcosttbl2,$H220,AZ$2))+(($H220-ROUNDDOWN($H220,0))*((INDEX(avoidedcosttbl2,ROUNDUP($H220,0),AZ$2))-(INDEX(avoidedcosttbl2,ROUNDDOWN($H220,0),AZ$2)))))*$O220*1000*('Inputs Yr 2'!AA220+'Inputs Yr 2'!AB220),"")</f>
        <v>0</v>
      </c>
      <c r="BA220" s="198">
        <f t="shared" si="124"/>
        <v>0</v>
      </c>
      <c r="BB220" s="198">
        <f t="shared" si="125"/>
        <v>0</v>
      </c>
      <c r="BC220" s="195">
        <f t="shared" si="107"/>
        <v>0</v>
      </c>
      <c r="BD220" s="195">
        <f t="shared" si="108"/>
        <v>0</v>
      </c>
      <c r="BE220" s="195">
        <f t="shared" si="109"/>
        <v>0</v>
      </c>
      <c r="BF220" s="195">
        <f t="shared" si="110"/>
        <v>0</v>
      </c>
      <c r="BG220" s="195">
        <f t="shared" si="111"/>
        <v>0</v>
      </c>
      <c r="BH220" s="196">
        <f t="shared" si="126"/>
        <v>0</v>
      </c>
      <c r="BI220" s="196">
        <f t="shared" si="127"/>
        <v>0</v>
      </c>
      <c r="BJ220" s="195">
        <f>IFERROR($G220*(IF('Inputs Yr 2'!$AJ220=BJ$4,'Inputs Yr 2'!$AK220,IF('Inputs Yr 2'!$AL220=BJ$4,'Inputs Yr 2'!$AM220,IF('Inputs Yr 2'!$AN220=BJ$4,'Inputs Yr 2'!$AO220,0))))*(INDEX(avoidedcosttbl2,$H220,BJ$2)+(($H220-ROUNDDOWN($H220,0))*(INDEX(avoidedcosttbl2,ROUNDUP($H220,0),BJ$2)-(INDEX(avoidedcosttbl2,ROUNDDOWN($H220,0),BJ$2)))))*'Inputs Yr 2'!P220*'Inputs Yr 2'!Q220*'Inputs Yr 2'!U220,"")</f>
        <v>0</v>
      </c>
      <c r="BK220" s="195">
        <f>IFERROR($G220*(IF('Inputs Yr 2'!$AJ220=BK$4,'Inputs Yr 2'!$AK220,IF('Inputs Yr 2'!$AL220=BK$4,'Inputs Yr 2'!$AM220,IF('Inputs Yr 2'!$AN220=BK$4,'Inputs Yr 2'!$AO220,0))))*(INDEX(avoidedcosttbl2,$H220,BK$2)+(($H220-ROUNDDOWN($H220,0))*(INDEX(avoidedcosttbl2,ROUNDUP($H220,0),BK$2)-(INDEX(avoidedcosttbl2,ROUNDDOWN($H220,0),BK$2)))))*'Inputs Yr 2'!P220*'Inputs Yr 2'!Q220*'Inputs Yr 2'!U220,"")</f>
        <v>0</v>
      </c>
      <c r="BL220" s="195">
        <f>IFERROR($G220*(IF('Inputs Yr 2'!$AJ220=BL$4,'Inputs Yr 2'!$AK220,IF('Inputs Yr 2'!$AL220=BL$4,'Inputs Yr 2'!$AM220,IF('Inputs Yr 2'!$AN220=BL$4,'Inputs Yr 2'!$AO220,0))))*(INDEX(avoidedcosttbl2,$H220,BL$2)+(($H220-ROUNDDOWN($H220,0))*(INDEX(avoidedcosttbl2,ROUNDUP($H220,0),BL$2)-(INDEX(avoidedcosttbl2,ROUNDDOWN($H220,0),BL$2)))))*'Inputs Yr 2'!P220*'Inputs Yr 2'!Q220*'Inputs Yr 2'!U220,"")</f>
        <v>0</v>
      </c>
      <c r="BM220" s="195">
        <f>IFERROR($G220*(IF('Inputs Yr 2'!$AJ220=BM$4,'Inputs Yr 2'!$AK220,IF('Inputs Yr 2'!$AL220=BM$4,'Inputs Yr 2'!$AM220,IF('Inputs Yr 2'!$AN220=BM$4,'Inputs Yr 2'!$AO220,0))))*(INDEX(avoidedcosttbl2,$H220,BM$2)+(($H220-ROUNDDOWN($H220,0))*(INDEX(avoidedcosttbl2,ROUNDUP($H220,0),BM$2)-(INDEX(avoidedcosttbl2,ROUNDDOWN($H220,0),BM$2)))))*'Inputs Yr 2'!P220*'Inputs Yr 2'!Q220*'Inputs Yr 2'!U220,"")</f>
        <v>0</v>
      </c>
      <c r="BN220" s="195">
        <f>IFERROR($G220*(IF('Inputs Yr 2'!$AJ220=BN$4,'Inputs Yr 2'!$AK220,IF('Inputs Yr 2'!$AL220=BN$4,'Inputs Yr 2'!$AM220,IF('Inputs Yr 2'!$AN220=BN$4,'Inputs Yr 2'!$AO220,0))))*(INDEX(avoidedcosttbl2,$H220,BN$2)+(($H220-ROUNDDOWN($H220,0))*(INDEX(avoidedcosttbl2,ROUNDUP($H220,0),BN$2)-(INDEX(avoidedcosttbl2,ROUNDDOWN($H220,0),BN$2)))))*'Inputs Yr 2'!P220*'Inputs Yr 2'!Q220*'Inputs Yr 2'!U220,"")</f>
        <v>0</v>
      </c>
      <c r="BO220" s="195">
        <f>IFERROR($G220*(IF('Inputs Yr 2'!$AJ220=BO$4,'Inputs Yr 2'!$AK220,IF('Inputs Yr 2'!$AL220=BO$4,'Inputs Yr 2'!$AM220,IF('Inputs Yr 2'!$AN220=BO$4,'Inputs Yr 2'!$AO220,0))))*(INDEX(avoidedcosttbl2,$H220,BO$2)+(($H220-ROUNDDOWN($H220,0))*(INDEX(avoidedcosttbl2,ROUNDUP($H220,0),BO$2)-(INDEX(avoidedcosttbl2,ROUNDDOWN($H220,0),BO$2)))))*'Inputs Yr 2'!P220*'Inputs Yr 2'!Q220*'Inputs Yr 2'!U220,"")</f>
        <v>430555.87843573012</v>
      </c>
      <c r="BP220" s="195">
        <f>IFERROR($G220*(IF('Inputs Yr 2'!$AJ220=BP$4,'Inputs Yr 2'!$AK220,IF('Inputs Yr 2'!$AL220=BP$4,'Inputs Yr 2'!$AM220,IF('Inputs Yr 2'!$AN220=BP$4,'Inputs Yr 2'!$AO220,0))))*(INDEX(avoidedcosttbl2,$H220,BP$2)+(($H220-ROUNDDOWN($H220,0))*(INDEX(avoidedcosttbl2,ROUNDUP($H220,0),BP$2)-(INDEX(avoidedcosttbl2,ROUNDDOWN($H220,0),BP$2)))))*'Inputs Yr 2'!P220*'Inputs Yr 2'!Q220*'Inputs Yr 2'!U220,"")</f>
        <v>0</v>
      </c>
      <c r="BQ220" s="230">
        <f t="shared" si="128"/>
        <v>430555.87843573012</v>
      </c>
      <c r="BR220" s="197">
        <f t="shared" si="112"/>
        <v>6892.7907087845952</v>
      </c>
      <c r="BS220" s="197">
        <f>IFERROR(($G220*IF('Inputs Yr 2'!$AJ220=BM$4,'Inputs Yr 2'!$AK220,IF('Inputs Yr 2'!$AL220=BM$4,'Inputs Yr 2'!$AM220,IF('Inputs Yr 2'!$AN220=BM$4,'Inputs Yr 2'!$AO220,0))))*(INDEX(avoidedcosttbl2,$H220,BS$2)+(($H220-ROUNDDOWN($H220,0))*(INDEX(avoidedcosttbl2,ROUNDUP($H220,0),BS$2)-(INDEX(avoidedcosttbl2,ROUNDDOWN($H220,0),BS$2)))))*'Inputs Yr 2'!P220*'Inputs Yr 2'!Q220*'Inputs Yr 2'!U220,"")</f>
        <v>0</v>
      </c>
      <c r="BT220" s="197">
        <f>IFERROR(($G220*IF('Inputs Yr 2'!$AJ220=BK$4,'Inputs Yr 2'!$AK220,IF('Inputs Yr 2'!$AL220=BK$4,'Inputs Yr 2'!$AM220,IF('Inputs Yr 2'!$AN220=BK$4,'Inputs Yr 2'!$AO220,0))))*(INDEX(avoidedcosttbl2,$H220,BT$2)+(($H220-ROUNDDOWN($H220,0))*(INDEX(avoidedcosttbl2,ROUNDUP($H220,0),BT$2)-(INDEX(avoidedcosttbl2,ROUNDDOWN($H220,0),BT$2)))))*'Inputs Yr 2'!P220*'Inputs Yr 2'!Q220*'Inputs Yr 2'!U220,"")</f>
        <v>0</v>
      </c>
      <c r="BU220" s="197">
        <f>IFERROR(($G220*IF('Inputs Yr 2'!$AJ220=BL$4,'Inputs Yr 2'!$AK220,IF('Inputs Yr 2'!$AL220=BL$4,'Inputs Yr 2'!$AM220,IF('Inputs Yr 2'!$AN220=BL$4,'Inputs Yr 2'!$AO220,0))))*(INDEX(avoidedcosttbl2,$H220,BU$2)+(($H220-ROUNDDOWN($H220,0))*(INDEX(avoidedcosttbl2,ROUNDUP($H220,0),BU$2)-(INDEX(avoidedcosttbl2,ROUNDDOWN($H220,0),BU$2)))))*'Inputs Yr 2'!P220*'Inputs Yr 2'!Q220*'Inputs Yr 2'!U220,"")</f>
        <v>0</v>
      </c>
      <c r="BV220" s="775">
        <f>IFERROR(($G220*IF('Inputs Yr 2'!$AJ220=BJ$4,'Inputs Yr 2'!$AK220,IF('Inputs Yr 2'!$AL220=BJ$4,'Inputs Yr 2'!$AM220,IF('Inputs Yr 2'!$AN220=BJ$4,'Inputs Yr 2'!$AO220,0))))*(INDEX(avoidedcosttbl2,$H220,BV$2)+(($H220-ROUNDDOWN($H220,0))*(INDEX(avoidedcosttbl2,ROUNDUP($H220,0),BV$2)-(INDEX(avoidedcosttbl2,ROUNDDOWN($H220,0),BV$2)))))*'Inputs Yr 2'!P220*'Inputs Yr 2'!Q220*'Inputs Yr 2'!U220,"")</f>
        <v>0</v>
      </c>
      <c r="BW220" s="197">
        <f>IFERROR(($G220*IF('Inputs Yr 2'!$AJ220=BN$4,'Inputs Yr 2'!$AK220,IF('Inputs Yr 2'!$AL220=BN$4,'Inputs Yr 2'!$AM220,IF('Inputs Yr 2'!$AN220=BN$4,'Inputs Yr 2'!$AO220,0))))*(INDEX(avoidedcosttbl2,$H220,BW$2)+(($H220-ROUNDDOWN($H220,0))*(INDEX(avoidedcosttbl2,ROUNDUP($H220,0),BW$2)-(INDEX(avoidedcosttbl2,ROUNDDOWN($H220,0),BW$2)))))*'Inputs Yr 2'!P220*'Inputs Yr 2'!Q220*'Inputs Yr 2'!U220,"")</f>
        <v>0</v>
      </c>
      <c r="BX220" s="197">
        <f>IFERROR(($G220*IF('Inputs Yr 2'!$AJ220=BO$4,'Inputs Yr 2'!$AK220,IF('Inputs Yr 2'!$AL220=BO$4,'Inputs Yr 2'!$AM220,IF('Inputs Yr 2'!$AN220=BO$4,'Inputs Yr 2'!$AO220,0))))*(INDEX(avoidedcosttbl2,$H220,BX$2)+(($H220-ROUNDDOWN($H220,0))*(INDEX(avoidedcosttbl2,ROUNDUP($H220,0),BX$2)-(INDEX(avoidedcosttbl2,ROUNDDOWN($H220,0),BX$2)))))*'Inputs Yr 2'!P220*'Inputs Yr 2'!Q220*'Inputs Yr 2'!U220,"")</f>
        <v>19357.936714827483</v>
      </c>
      <c r="BY220" s="197">
        <f>IFERROR(($G220*IF('Inputs Yr 2'!$AJ220=BP$4,'Inputs Yr 2'!$AK220,IF('Inputs Yr 2'!$AL220=BP$4,'Inputs Yr 2'!$AM220,IF('Inputs Yr 2'!$AN220=BP$4,'Inputs Yr 2'!$AO220,0))))*(INDEX(avoidedcosttbl2,$H220,BY$2)+(($H220-ROUNDDOWN($H220,0))*(INDEX(avoidedcosttbl2,ROUNDUP($H220,0),BY$2)-(INDEX(avoidedcosttbl2,ROUNDDOWN($H220,0),BY$2)))))*'Inputs Yr 2'!P220*'Inputs Yr 2'!Q220*'Inputs Yr 2'!U220,"")</f>
        <v>0</v>
      </c>
      <c r="BZ220" s="193">
        <f t="shared" si="129"/>
        <v>26250.727423612079</v>
      </c>
      <c r="CA220" s="193">
        <f t="shared" si="130"/>
        <v>456806.60585934221</v>
      </c>
      <c r="CB220" s="195">
        <f>IFERROR(G220*(IF('Inputs Yr 2'!$AJ220=CB$4,'Inputs Yr 2'!$AK220,IF('Inputs Yr 2'!$AL220=CB$4,'Inputs Yr 2'!$AM220,IF('Inputs Yr 2'!$AN220=CB$4,'Inputs Yr 2'!$AO220,0))))*(INDEX(avoidedcosttbl2,$H220,CB$2)+(($H220-ROUNDDOWN($H220,0))*(INDEX(avoidedcosttbl2,ROUNDUP($H220,0),CB$2)-(INDEX(avoidedcosttbl2,ROUNDDOWN($H220,0),CB$2)))))*'Inputs Yr 2'!P220*'Inputs Yr 2'!Q220*'Inputs Yr 2'!U220,"")</f>
        <v>0</v>
      </c>
      <c r="CC220" s="195">
        <f>IFERROR(H220*(IF('Inputs Yr 2'!$AJ220=CC$4,'Inputs Yr 2'!$AK220,IF('Inputs Yr 2'!$AL220=CC$4,'Inputs Yr 2'!$AM220,IF('Inputs Yr 2'!$AN220=CC$4,'Inputs Yr 2'!$AO220,0))))*(INDEX(avoidedcosttbl2,$H220,CC$2)+(($H220-ROUNDDOWN($H220,0))*(INDEX(avoidedcosttbl2,ROUNDUP($H220,0),CC$2)-(INDEX(avoidedcosttbl2,ROUNDDOWN($H220,0),CC$2)))))*'Inputs Yr 2'!Q220*'Inputs Yr 2'!R220*'Inputs Yr 2'!V220,"")</f>
        <v>0</v>
      </c>
      <c r="CD220" s="195">
        <f>IFERROR(I220*(IF('Inputs Yr 2'!$AJ220=CD$4,'Inputs Yr 2'!$AK220,IF('Inputs Yr 2'!$AL220=CD$4,'Inputs Yr 2'!$AM220,IF('Inputs Yr 2'!$AN220=CD$4,'Inputs Yr 2'!$AO220,0))))*(INDEX(avoidedcosttbl2,$H220,CD$2)+(($H220-ROUNDDOWN($H220,0))*(INDEX(avoidedcosttbl2,ROUNDUP($H220,0),CD$2)-(INDEX(avoidedcosttbl2,ROUNDDOWN($H220,0),CD$2)))))*'Inputs Yr 2'!R220*'Inputs Yr 2'!S220*'Inputs Yr 2'!W220,"")</f>
        <v>0</v>
      </c>
      <c r="CE220" s="213">
        <f t="shared" si="131"/>
        <v>0</v>
      </c>
      <c r="CF220" s="213">
        <f t="shared" si="132"/>
        <v>0</v>
      </c>
      <c r="CG220" s="213">
        <f t="shared" si="133"/>
        <v>0</v>
      </c>
      <c r="CH220" s="698">
        <f t="shared" si="134"/>
        <v>456806.60585934221</v>
      </c>
      <c r="CI220" s="79">
        <f>IFERROR(($G220*'Inputs Yr 2'!$P220*'Inputs Yr 2'!$Q220*(((INDEX(avoidedcosttbl2,$H220,CI$2)+(($H220-ROUNDDOWN($H220,0))*(INDEX(avoidedcosttbl2,ROUNDUP($H220,0),CI$2)-INDEX(avoidedcosttbl2,ROUNDDOWN($H220,0),CI$2))))*'Inputs Yr 2'!AS220))),"")</f>
        <v>0</v>
      </c>
      <c r="CJ220" s="504">
        <f>IFERROR($G220*'Inputs Yr 2'!AT220*'Inputs Yr 2'!$P220*'Inputs Yr 2'!$Q220/((1+realdiscrt1)^-0.5),"")</f>
        <v>0</v>
      </c>
      <c r="CK220" s="79">
        <f>IFERROR((O220*1000*(((INDEX(avoidedcosttbl2,$H220,CK$2)+(($H220-ROUNDDOWN($H220,0))*(INDEX(avoidedcosttbl2,ROUNDUP($H220,0),CK$2)-INDEX(avoidedcosttbl2,ROUNDDOWN($H220,0),CK$2))))*'Inputs Yr 2'!AU220))),"")</f>
        <v>0</v>
      </c>
      <c r="CL220" s="504">
        <f>IFERROR(O220*1000*'Inputs Yr 2'!AV220/((1+realdiscrt1)^-0.5),"")</f>
        <v>0</v>
      </c>
      <c r="CM220" s="79">
        <f>IFERROR((AB220*'Inputs Yr 2'!AW220*(((INDEX(avoidedcosttbl2,$H220,CM$2)+(($H220-ROUNDDOWN($H220,0))*(INDEX(avoidedcosttbl2,ROUNDUP($H220,0),CM$2)-INDEX(avoidedcosttbl2,ROUNDDOWN($H220,0),CM$2)))))))*10,"")</f>
        <v>0</v>
      </c>
      <c r="CN220" s="504">
        <f>IFERROR(10*AB220*'Inputs Yr 2'!AX220/((1+realdiscrt1)^-0.5),"")</f>
        <v>0</v>
      </c>
      <c r="CO220" s="505">
        <f t="shared" si="135"/>
        <v>0</v>
      </c>
      <c r="CP220" s="230">
        <f t="shared" si="136"/>
        <v>456806.60585934221</v>
      </c>
      <c r="CQ220" s="199">
        <f>ROUND(IFERROR(IF(LEFT($A220,1)="C",'Avoided Costs'!$K$13,'Avoided Costs'!$K$12)+1,""),4)</f>
        <v>1.0720000000000001</v>
      </c>
      <c r="CR220" s="199">
        <f>ROUND(IFERROR(IF(LEFT($A220,1)="C",'Avoided Costs'!$L$13,'Avoided Costs'!$L$12)+1,""),4)</f>
        <v>1.04</v>
      </c>
      <c r="CS220" s="199">
        <f>ROUND(IFERROR(IF(LEFT($A220,1)="C",'Avoided Costs'!$M$13,'Avoided Costs'!$M$12)+1,""),4)</f>
        <v>1.0720000000000001</v>
      </c>
      <c r="CT220" s="199">
        <f>ROUND(IFERROR(IF(LEFT($A220,1)="C",'Avoided Costs'!$N$13,'Avoided Costs'!$N$12)+1,""),4)</f>
        <v>1.04</v>
      </c>
      <c r="CU220" s="199">
        <f>ROUND(IFERROR(IF(LEFT($A220,1)="C",'Avoided Costs'!$O$13,'Avoided Costs'!$O$12)+1,""),4)</f>
        <v>1.1120000000000001</v>
      </c>
      <c r="CV220" s="199">
        <f>ROUND(IFERROR(IF(LEFT($A220,1)="C",'Avoided Costs'!$P$13,'Avoided Costs'!$P$12)+1,""),4)</f>
        <v>1.095</v>
      </c>
      <c r="CW220" s="199">
        <f>ROUND(IFERROR(IF(LEFT($A220,1)="C",'Avoided Costs'!$Q$13,'Avoided Costs'!$Q$12)+1,""),4)</f>
        <v>1.1120000000000001</v>
      </c>
      <c r="CX220" s="200">
        <f>ROUND(IFERROR(IF(LEFT($A220,1)="C",'Avoided Costs'!$R$13,'Avoided Costs'!$R$12)+1,""),4)</f>
        <v>1.1120000000000001</v>
      </c>
    </row>
    <row r="221" spans="1:102" ht="12.75" customHeight="1">
      <c r="A221" s="91" t="str">
        <f>IF('Inputs Yr 2'!$B221=0,"",'Inputs Yr 2'!A221)</f>
        <v>C - Commercial &amp; Industrial</v>
      </c>
      <c r="B221" s="91" t="str">
        <f>IF('Inputs Yr 2'!$B221=0,"",'Inputs Yr 2'!B221)</f>
        <v>C1 - C&amp;I New Construction</v>
      </c>
      <c r="C221" s="91" t="str">
        <f>IF('Inputs Yr 2'!$B221=0,"",'Inputs Yr 2'!C221)</f>
        <v xml:space="preserve">C1b - C&amp;I Initial Purchase &amp; End of Useful Life </v>
      </c>
      <c r="D221" s="91" t="str">
        <f>IF('Inputs Yr 2'!$B221=0,"",'Inputs Yr 2'!E221)</f>
        <v>Condensing Boiler 1701+ mbh  (.90 TE)</v>
      </c>
      <c r="E221" s="93" t="str">
        <f>IF('Inputs Yr 2'!$B221=0,"",'Inputs Yr 2'!F221)</f>
        <v>G16C1b21</v>
      </c>
      <c r="F221" s="93" t="str">
        <f>IF('Inputs Yr 2'!$B221=0,"",'Inputs Yr 2'!G221)</f>
        <v>HVAC</v>
      </c>
      <c r="G221" s="95">
        <f>IF('Inputs Yr 2'!$H221&lt;&gt;0,('Inputs Yr 2'!H221),"")</f>
        <v>25</v>
      </c>
      <c r="H221" s="94">
        <f>IFERROR('Inputs Yr 2'!I221,"")</f>
        <v>25</v>
      </c>
      <c r="I221" s="298">
        <f>IFERROR('Inputs Yr 2'!J221*'Inputs Yr 2'!P221*G221,"")</f>
        <v>224211.15000000005</v>
      </c>
      <c r="J221" s="298">
        <f>IFERROR('Inputs Yr 2'!K221*G221,"")</f>
        <v>250000</v>
      </c>
      <c r="K221" s="298">
        <f t="shared" si="113"/>
        <v>-25788.849999999948</v>
      </c>
      <c r="L221" s="194">
        <f>IFERROR(('Inputs Yr 2'!W221*G221)/1000,"")</f>
        <v>0</v>
      </c>
      <c r="M221" s="194">
        <f>IFERROR(L221*('Inputs Yr 2'!$Q221*'Inputs Yr 2'!$V221*'Inputs Yr 2'!$R221),"")</f>
        <v>0</v>
      </c>
      <c r="N221" s="194">
        <f t="shared" si="114"/>
        <v>0</v>
      </c>
      <c r="O221" s="194">
        <f>IFERROR(M221*'Inputs Yr 2'!P221,"")</f>
        <v>0</v>
      </c>
      <c r="P221" s="194">
        <f t="shared" si="115"/>
        <v>0</v>
      </c>
      <c r="Q221" s="194">
        <f>IFERROR($P221*'Inputs Yr 2'!AA221,"")</f>
        <v>0</v>
      </c>
      <c r="R221" s="194">
        <f>IFERROR($P221*'Inputs Yr 2'!AB221,"")</f>
        <v>0</v>
      </c>
      <c r="S221" s="194">
        <f>IFERROR($P221*'Inputs Yr 2'!AC221,"")</f>
        <v>0</v>
      </c>
      <c r="T221" s="194">
        <f>IFERROR($P221*'Inputs Yr 2'!AD221,"")</f>
        <v>0</v>
      </c>
      <c r="U221" s="194">
        <f>IFERROR(G221*'Inputs Yr 2'!$AE221*'Inputs Yr 2'!$P221*'Inputs Yr 2'!$Q221,"")</f>
        <v>0</v>
      </c>
      <c r="V221" s="194">
        <f>IFERROR($G221*'Inputs Yr 2'!$AE221*'Inputs Yr 2'!$AG221*'Inputs Yr 2'!Q221*'Inputs Yr 2'!$S221,"")</f>
        <v>0</v>
      </c>
      <c r="W221" s="194">
        <f>IFERROR($G221*'Inputs Yr 2'!$AE221*'Inputs Yr 2'!$AG221*'Inputs Yr 2'!P221*'Inputs Yr 2'!Q221*'Inputs Yr 2'!$S221,"")</f>
        <v>0</v>
      </c>
      <c r="X221" s="194">
        <f>IFERROR($G221*'Inputs Yr 2'!$AE221*'Inputs Yr 2'!$AF221*'Inputs Yr 2'!Q221*'Inputs Yr 2'!$T221,"")</f>
        <v>0</v>
      </c>
      <c r="Y221" s="194">
        <f>IFERROR($G221*'Inputs Yr 2'!$AE221*'Inputs Yr 2'!$AF221*'Inputs Yr 2'!P221*'Inputs Yr 2'!Q221*'Inputs Yr 2'!$T221,"")</f>
        <v>0</v>
      </c>
      <c r="Z221" s="257">
        <f>IFERROR($G221*'Inputs Yr 2'!$Q221*'Inputs Yr 2'!$U221*(IF(IFERROR(SEARCH("NG", 'Inputs Yr 2'!$AJ221),0),'Inputs Yr 2'!$AK221,0)+IF(IFERROR(SEARCH("NG", 'Inputs Yr 2'!$AL221),0),'Inputs Yr 2'!$AM221,0)+IF(IFERROR(SEARCH("NG", 'Inputs Yr 2'!$AN221),0),'Inputs Yr 2'!$AO221,0)),0)</f>
        <v>4132.5</v>
      </c>
      <c r="AA221" s="257">
        <f t="shared" si="116"/>
        <v>103312.5</v>
      </c>
      <c r="AB221" s="257">
        <f>IFERROR(Z221*'Inputs Yr 2'!$P221,0)</f>
        <v>3496.0950000000003</v>
      </c>
      <c r="AC221" s="257">
        <f t="shared" si="117"/>
        <v>87402.375</v>
      </c>
      <c r="AD221" s="257">
        <f>IFERROR($G221*'Inputs Yr 2'!$Q221*'Inputs Yr 2'!$U221*(IF(IFERROR(SEARCH("Oil", 'Inputs Yr 2'!$AJ221), 0),'Inputs Yr 2'!$AK221,0)+IF(IFERROR(SEARCH("Oil", 'Inputs Yr 2'!$AL221), 0),'Inputs Yr 2'!$AM221,0)+IF(IFERROR(SEARCH("Oil", 'Inputs Yr 2'!$AN221), 0),'Inputs Yr 2'!$AO221,0)),0)</f>
        <v>0</v>
      </c>
      <c r="AE221" s="257">
        <f t="shared" si="118"/>
        <v>0</v>
      </c>
      <c r="AF221" s="257">
        <f>IFERROR(AD221*'Inputs Yr 2'!$P221,0)</f>
        <v>0</v>
      </c>
      <c r="AG221" s="257">
        <f t="shared" si="119"/>
        <v>0</v>
      </c>
      <c r="AH221" s="257">
        <f>IFERROR($G221*'Inputs Yr 2'!$Q221*'Inputs Yr 2'!$U221*(IF('Inputs Yr 2'!$AJ221=CD$4,'Inputs Yr 2'!$AK221,IF('Inputs Yr 2'!$AL221=CD$4,'Inputs Yr 2'!$AM221,IF('Inputs Yr 2'!$AN221=CD$4,'Inputs Yr 2'!$AO221,0)))),0)</f>
        <v>0</v>
      </c>
      <c r="AI221" s="257">
        <f t="shared" si="120"/>
        <v>0</v>
      </c>
      <c r="AJ221" s="257">
        <f>IFERROR(AH221*'Inputs Yr 2'!$P221,0)</f>
        <v>0</v>
      </c>
      <c r="AK221" s="257">
        <f t="shared" si="121"/>
        <v>0</v>
      </c>
      <c r="AL221" s="258">
        <f>IFERROR($G221*'Inputs Yr 2'!$P221*'Inputs Yr 2'!$Q221*'Inputs Yr 2'!AP221,0)</f>
        <v>0</v>
      </c>
      <c r="AM221" s="260">
        <f>IFERROR($G221*'Inputs Yr 2'!$P221*'Inputs Yr 2'!$Q221*'Inputs Yr 2'!AQ221,0)</f>
        <v>0</v>
      </c>
      <c r="AN221" s="258">
        <f>IFERROR($G221*'Inputs Yr 2'!$P221*'Inputs Yr 2'!$Q221*'Inputs Yr 2'!AR221,0)</f>
        <v>0</v>
      </c>
      <c r="AO221" s="257">
        <f t="shared" si="122"/>
        <v>0</v>
      </c>
      <c r="AP221" s="195">
        <f>IFERROR($CQ221*(INDEX(avoidedcosttbl2,$H221,AP$2)+(($H221-ROUNDDOWN($H221,0))*(INDEX(avoidedcosttbl2,ROUNDUP($H221,0),AP$2)-(INDEX(avoidedcosttbl2,ROUNDDOWN($H221,0),AP$2)))))*$O221*1000*'Inputs Yr 2'!AA221,"")</f>
        <v>0</v>
      </c>
      <c r="AQ221" s="195">
        <f>IFERROR($CR221*(INDEX(avoidedcosttbl2,$H221,AQ$2)+(($H221-ROUNDDOWN($H221,0))*(INDEX(avoidedcosttbl2,ROUNDUP($H221,0),AQ$2)-(INDEX(avoidedcosttbl2,ROUNDDOWN($H221,0),AQ$2)))))*$O221*1000*'Inputs Yr 2'!AB221,"")</f>
        <v>0</v>
      </c>
      <c r="AR221" s="195">
        <f>IFERROR($CS221*(INDEX(avoidedcosttbl2,$H221,AR$2)+(($H221-ROUNDDOWN($H221,0))*(INDEX(avoidedcosttbl2,ROUNDUP($H221,0),AR$2)-(INDEX(avoidedcosttbl2,ROUNDDOWN($H221,0),AR$2)))))*$O221*1000*'Inputs Yr 2'!AC221,"")</f>
        <v>0</v>
      </c>
      <c r="AS221" s="195">
        <f>IFERROR($CT221*(INDEX(avoidedcosttbl2,$H221,AS$2)+(($H221-ROUNDDOWN($H221,0))*(INDEX(avoidedcosttbl2,ROUNDUP($H221,0),AS$2)-(INDEX(avoidedcosttbl2,ROUNDDOWN($H221,0),AS$2)))))*$O221*1000*'Inputs Yr 2'!AD221,"")</f>
        <v>0</v>
      </c>
      <c r="AT221" s="196">
        <f t="shared" si="123"/>
        <v>0</v>
      </c>
      <c r="AU221" s="197">
        <f>IFERROR($CQ221*((INDEX(avoidedcosttbl2,$H221,AU$2))+(($H221-ROUNDDOWN($H221,0))*((INDEX(avoidedcosttbl2,ROUNDUP($H221,0),AU$2))-(INDEX(avoidedcosttbl2,ROUNDDOWN($H221,0),AU$2)))))*$O221*1000*'Inputs Yr 2'!AA221,"")</f>
        <v>0</v>
      </c>
      <c r="AV221" s="197">
        <f>IFERROR($CR221*((INDEX(avoidedcosttbl2,$H221,AV$2))+(($H221-ROUNDDOWN($H221,0))*((INDEX(avoidedcosttbl2,ROUNDUP($H221,0),AV$2))-(INDEX(avoidedcosttbl2,ROUNDDOWN($H221,0),AV$2)))))*$O221*1000*'Inputs Yr 2'!AB221,"")</f>
        <v>0</v>
      </c>
      <c r="AW221" s="197">
        <f>IFERROR($CS221*((INDEX(avoidedcosttbl2,$H221,AW$2))+(($H221-ROUNDDOWN($H221,0))*((INDEX(avoidedcosttbl2,ROUNDUP($H221,0),AW$2))-(INDEX(avoidedcosttbl2,ROUNDDOWN($H221,0),AW$2)))))*$O221*1000*'Inputs Yr 2'!AC221,"")</f>
        <v>0</v>
      </c>
      <c r="AX221" s="197">
        <f>IFERROR($CT221*((INDEX(avoidedcosttbl2,$H221,AX$2))+(($H221-ROUNDDOWN($H221,0))*((INDEX(avoidedcosttbl2,ROUNDUP($H221,0),AX$2))-(INDEX(avoidedcosttbl2,ROUNDDOWN($H221,0),AX$2)))))*$O221*1000*'Inputs Yr 2'!AD221,"")</f>
        <v>0</v>
      </c>
      <c r="AY221" s="197">
        <f>IFERROR(((INDEX(avoidedcosttbl2,$H221,AY$2))+(($H221-ROUNDDOWN($H221,0))*((INDEX(avoidedcosttbl2,ROUNDUP($H221,0),AY$2))-(INDEX(avoidedcosttbl2,ROUNDDOWN($H221,0),AY$2)))))*$O221*1000*('Inputs Yr 2'!AC221+'Inputs Yr 2'!AD221),"")</f>
        <v>0</v>
      </c>
      <c r="AZ221" s="197">
        <f>IFERROR(((INDEX(avoidedcosttbl2,$H221,AZ$2))+(($H221-ROUNDDOWN($H221,0))*((INDEX(avoidedcosttbl2,ROUNDUP($H221,0),AZ$2))-(INDEX(avoidedcosttbl2,ROUNDDOWN($H221,0),AZ$2)))))*$O221*1000*('Inputs Yr 2'!AA221+'Inputs Yr 2'!AB221),"")</f>
        <v>0</v>
      </c>
      <c r="BA221" s="198">
        <f t="shared" si="124"/>
        <v>0</v>
      </c>
      <c r="BB221" s="198">
        <f t="shared" si="125"/>
        <v>0</v>
      </c>
      <c r="BC221" s="195">
        <f t="shared" si="107"/>
        <v>0</v>
      </c>
      <c r="BD221" s="195">
        <f t="shared" si="108"/>
        <v>0</v>
      </c>
      <c r="BE221" s="195">
        <f t="shared" si="109"/>
        <v>0</v>
      </c>
      <c r="BF221" s="195">
        <f t="shared" si="110"/>
        <v>0</v>
      </c>
      <c r="BG221" s="195">
        <f t="shared" si="111"/>
        <v>0</v>
      </c>
      <c r="BH221" s="196">
        <f t="shared" si="126"/>
        <v>0</v>
      </c>
      <c r="BI221" s="196">
        <f t="shared" si="127"/>
        <v>0</v>
      </c>
      <c r="BJ221" s="195">
        <f>IFERROR($G221*(IF('Inputs Yr 2'!$AJ221=BJ$4,'Inputs Yr 2'!$AK221,IF('Inputs Yr 2'!$AL221=BJ$4,'Inputs Yr 2'!$AM221,IF('Inputs Yr 2'!$AN221=BJ$4,'Inputs Yr 2'!$AO221,0))))*(INDEX(avoidedcosttbl2,$H221,BJ$2)+(($H221-ROUNDDOWN($H221,0))*(INDEX(avoidedcosttbl2,ROUNDUP($H221,0),BJ$2)-(INDEX(avoidedcosttbl2,ROUNDDOWN($H221,0),BJ$2)))))*'Inputs Yr 2'!P221*'Inputs Yr 2'!Q221*'Inputs Yr 2'!U221,"")</f>
        <v>0</v>
      </c>
      <c r="BK221" s="195">
        <f>IFERROR($G221*(IF('Inputs Yr 2'!$AJ221=BK$4,'Inputs Yr 2'!$AK221,IF('Inputs Yr 2'!$AL221=BK$4,'Inputs Yr 2'!$AM221,IF('Inputs Yr 2'!$AN221=BK$4,'Inputs Yr 2'!$AO221,0))))*(INDEX(avoidedcosttbl2,$H221,BK$2)+(($H221-ROUNDDOWN($H221,0))*(INDEX(avoidedcosttbl2,ROUNDUP($H221,0),BK$2)-(INDEX(avoidedcosttbl2,ROUNDDOWN($H221,0),BK$2)))))*'Inputs Yr 2'!P221*'Inputs Yr 2'!Q221*'Inputs Yr 2'!U221,"")</f>
        <v>0</v>
      </c>
      <c r="BL221" s="195">
        <f>IFERROR($G221*(IF('Inputs Yr 2'!$AJ221=BL$4,'Inputs Yr 2'!$AK221,IF('Inputs Yr 2'!$AL221=BL$4,'Inputs Yr 2'!$AM221,IF('Inputs Yr 2'!$AN221=BL$4,'Inputs Yr 2'!$AO221,0))))*(INDEX(avoidedcosttbl2,$H221,BL$2)+(($H221-ROUNDDOWN($H221,0))*(INDEX(avoidedcosttbl2,ROUNDUP($H221,0),BL$2)-(INDEX(avoidedcosttbl2,ROUNDDOWN($H221,0),BL$2)))))*'Inputs Yr 2'!P221*'Inputs Yr 2'!Q221*'Inputs Yr 2'!U221,"")</f>
        <v>0</v>
      </c>
      <c r="BM221" s="195">
        <f>IFERROR($G221*(IF('Inputs Yr 2'!$AJ221=BM$4,'Inputs Yr 2'!$AK221,IF('Inputs Yr 2'!$AL221=BM$4,'Inputs Yr 2'!$AM221,IF('Inputs Yr 2'!$AN221=BM$4,'Inputs Yr 2'!$AO221,0))))*(INDEX(avoidedcosttbl2,$H221,BM$2)+(($H221-ROUNDDOWN($H221,0))*(INDEX(avoidedcosttbl2,ROUNDUP($H221,0),BM$2)-(INDEX(avoidedcosttbl2,ROUNDDOWN($H221,0),BM$2)))))*'Inputs Yr 2'!P221*'Inputs Yr 2'!Q221*'Inputs Yr 2'!U221,"")</f>
        <v>0</v>
      </c>
      <c r="BN221" s="195">
        <f>IFERROR($G221*(IF('Inputs Yr 2'!$AJ221=BN$4,'Inputs Yr 2'!$AK221,IF('Inputs Yr 2'!$AL221=BN$4,'Inputs Yr 2'!$AM221,IF('Inputs Yr 2'!$AN221=BN$4,'Inputs Yr 2'!$AO221,0))))*(INDEX(avoidedcosttbl2,$H221,BN$2)+(($H221-ROUNDDOWN($H221,0))*(INDEX(avoidedcosttbl2,ROUNDUP($H221,0),BN$2)-(INDEX(avoidedcosttbl2,ROUNDDOWN($H221,0),BN$2)))))*'Inputs Yr 2'!P221*'Inputs Yr 2'!Q221*'Inputs Yr 2'!U221,"")</f>
        <v>0</v>
      </c>
      <c r="BO221" s="195">
        <f>IFERROR($G221*(IF('Inputs Yr 2'!$AJ221=BO$4,'Inputs Yr 2'!$AK221,IF('Inputs Yr 2'!$AL221=BO$4,'Inputs Yr 2'!$AM221,IF('Inputs Yr 2'!$AN221=BO$4,'Inputs Yr 2'!$AO221,0))))*(INDEX(avoidedcosttbl2,$H221,BO$2)+(($H221-ROUNDDOWN($H221,0))*(INDEX(avoidedcosttbl2,ROUNDUP($H221,0),BO$2)-(INDEX(avoidedcosttbl2,ROUNDDOWN($H221,0),BO$2)))))*'Inputs Yr 2'!P221*'Inputs Yr 2'!Q221*'Inputs Yr 2'!U221,"")</f>
        <v>724164.4963922078</v>
      </c>
      <c r="BP221" s="195">
        <f>IFERROR($G221*(IF('Inputs Yr 2'!$AJ221=BP$4,'Inputs Yr 2'!$AK221,IF('Inputs Yr 2'!$AL221=BP$4,'Inputs Yr 2'!$AM221,IF('Inputs Yr 2'!$AN221=BP$4,'Inputs Yr 2'!$AO221,0))))*(INDEX(avoidedcosttbl2,$H221,BP$2)+(($H221-ROUNDDOWN($H221,0))*(INDEX(avoidedcosttbl2,ROUNDUP($H221,0),BP$2)-(INDEX(avoidedcosttbl2,ROUNDDOWN($H221,0),BP$2)))))*'Inputs Yr 2'!P221*'Inputs Yr 2'!Q221*'Inputs Yr 2'!U221,"")</f>
        <v>0</v>
      </c>
      <c r="BQ221" s="230">
        <f t="shared" si="128"/>
        <v>724164.4963922078</v>
      </c>
      <c r="BR221" s="197">
        <f t="shared" si="112"/>
        <v>11593.18583803514</v>
      </c>
      <c r="BS221" s="197">
        <f>IFERROR(($G221*IF('Inputs Yr 2'!$AJ221=BM$4,'Inputs Yr 2'!$AK221,IF('Inputs Yr 2'!$AL221=BM$4,'Inputs Yr 2'!$AM221,IF('Inputs Yr 2'!$AN221=BM$4,'Inputs Yr 2'!$AO221,0))))*(INDEX(avoidedcosttbl2,$H221,BS$2)+(($H221-ROUNDDOWN($H221,0))*(INDEX(avoidedcosttbl2,ROUNDUP($H221,0),BS$2)-(INDEX(avoidedcosttbl2,ROUNDDOWN($H221,0),BS$2)))))*'Inputs Yr 2'!P221*'Inputs Yr 2'!Q221*'Inputs Yr 2'!U221,"")</f>
        <v>0</v>
      </c>
      <c r="BT221" s="197">
        <f>IFERROR(($G221*IF('Inputs Yr 2'!$AJ221=BK$4,'Inputs Yr 2'!$AK221,IF('Inputs Yr 2'!$AL221=BK$4,'Inputs Yr 2'!$AM221,IF('Inputs Yr 2'!$AN221=BK$4,'Inputs Yr 2'!$AO221,0))))*(INDEX(avoidedcosttbl2,$H221,BT$2)+(($H221-ROUNDDOWN($H221,0))*(INDEX(avoidedcosttbl2,ROUNDUP($H221,0),BT$2)-(INDEX(avoidedcosttbl2,ROUNDDOWN($H221,0),BT$2)))))*'Inputs Yr 2'!P221*'Inputs Yr 2'!Q221*'Inputs Yr 2'!U221,"")</f>
        <v>0</v>
      </c>
      <c r="BU221" s="197">
        <f>IFERROR(($G221*IF('Inputs Yr 2'!$AJ221=BL$4,'Inputs Yr 2'!$AK221,IF('Inputs Yr 2'!$AL221=BL$4,'Inputs Yr 2'!$AM221,IF('Inputs Yr 2'!$AN221=BL$4,'Inputs Yr 2'!$AO221,0))))*(INDEX(avoidedcosttbl2,$H221,BU$2)+(($H221-ROUNDDOWN($H221,0))*(INDEX(avoidedcosttbl2,ROUNDUP($H221,0),BU$2)-(INDEX(avoidedcosttbl2,ROUNDDOWN($H221,0),BU$2)))))*'Inputs Yr 2'!P221*'Inputs Yr 2'!Q221*'Inputs Yr 2'!U221,"")</f>
        <v>0</v>
      </c>
      <c r="BV221" s="775">
        <f>IFERROR(($G221*IF('Inputs Yr 2'!$AJ221=BJ$4,'Inputs Yr 2'!$AK221,IF('Inputs Yr 2'!$AL221=BJ$4,'Inputs Yr 2'!$AM221,IF('Inputs Yr 2'!$AN221=BJ$4,'Inputs Yr 2'!$AO221,0))))*(INDEX(avoidedcosttbl2,$H221,BV$2)+(($H221-ROUNDDOWN($H221,0))*(INDEX(avoidedcosttbl2,ROUNDUP($H221,0),BV$2)-(INDEX(avoidedcosttbl2,ROUNDDOWN($H221,0),BV$2)))))*'Inputs Yr 2'!P221*'Inputs Yr 2'!Q221*'Inputs Yr 2'!U221,"")</f>
        <v>0</v>
      </c>
      <c r="BW221" s="197">
        <f>IFERROR(($G221*IF('Inputs Yr 2'!$AJ221=BN$4,'Inputs Yr 2'!$AK221,IF('Inputs Yr 2'!$AL221=BN$4,'Inputs Yr 2'!$AM221,IF('Inputs Yr 2'!$AN221=BN$4,'Inputs Yr 2'!$AO221,0))))*(INDEX(avoidedcosttbl2,$H221,BW$2)+(($H221-ROUNDDOWN($H221,0))*(INDEX(avoidedcosttbl2,ROUNDUP($H221,0),BW$2)-(INDEX(avoidedcosttbl2,ROUNDDOWN($H221,0),BW$2)))))*'Inputs Yr 2'!P221*'Inputs Yr 2'!Q221*'Inputs Yr 2'!U221,"")</f>
        <v>0</v>
      </c>
      <c r="BX221" s="197">
        <f>IFERROR(($G221*IF('Inputs Yr 2'!$AJ221=BO$4,'Inputs Yr 2'!$AK221,IF('Inputs Yr 2'!$AL221=BO$4,'Inputs Yr 2'!$AM221,IF('Inputs Yr 2'!$AN221=BO$4,'Inputs Yr 2'!$AO221,0))))*(INDEX(avoidedcosttbl2,$H221,BX$2)+(($H221-ROUNDDOWN($H221,0))*(INDEX(avoidedcosttbl2,ROUNDUP($H221,0),BX$2)-(INDEX(avoidedcosttbl2,ROUNDDOWN($H221,0),BX$2)))))*'Inputs Yr 2'!P221*'Inputs Yr 2'!Q221*'Inputs Yr 2'!U221,"")</f>
        <v>32558.678662606661</v>
      </c>
      <c r="BY221" s="197">
        <f>IFERROR(($G221*IF('Inputs Yr 2'!$AJ221=BP$4,'Inputs Yr 2'!$AK221,IF('Inputs Yr 2'!$AL221=BP$4,'Inputs Yr 2'!$AM221,IF('Inputs Yr 2'!$AN221=BP$4,'Inputs Yr 2'!$AO221,0))))*(INDEX(avoidedcosttbl2,$H221,BY$2)+(($H221-ROUNDDOWN($H221,0))*(INDEX(avoidedcosttbl2,ROUNDUP($H221,0),BY$2)-(INDEX(avoidedcosttbl2,ROUNDDOWN($H221,0),BY$2)))))*'Inputs Yr 2'!P221*'Inputs Yr 2'!Q221*'Inputs Yr 2'!U221,"")</f>
        <v>0</v>
      </c>
      <c r="BZ221" s="193">
        <f t="shared" si="129"/>
        <v>44151.864500641801</v>
      </c>
      <c r="CA221" s="193">
        <f t="shared" si="130"/>
        <v>768316.36089284963</v>
      </c>
      <c r="CB221" s="195">
        <f>IFERROR(G221*(IF('Inputs Yr 2'!$AJ221=CB$4,'Inputs Yr 2'!$AK221,IF('Inputs Yr 2'!$AL221=CB$4,'Inputs Yr 2'!$AM221,IF('Inputs Yr 2'!$AN221=CB$4,'Inputs Yr 2'!$AO221,0))))*(INDEX(avoidedcosttbl2,$H221,CB$2)+(($H221-ROUNDDOWN($H221,0))*(INDEX(avoidedcosttbl2,ROUNDUP($H221,0),CB$2)-(INDEX(avoidedcosttbl2,ROUNDDOWN($H221,0),CB$2)))))*'Inputs Yr 2'!P221*'Inputs Yr 2'!Q221*'Inputs Yr 2'!U221,"")</f>
        <v>0</v>
      </c>
      <c r="CC221" s="195">
        <f>IFERROR(H221*(IF('Inputs Yr 2'!$AJ221=CC$4,'Inputs Yr 2'!$AK221,IF('Inputs Yr 2'!$AL221=CC$4,'Inputs Yr 2'!$AM221,IF('Inputs Yr 2'!$AN221=CC$4,'Inputs Yr 2'!$AO221,0))))*(INDEX(avoidedcosttbl2,$H221,CC$2)+(($H221-ROUNDDOWN($H221,0))*(INDEX(avoidedcosttbl2,ROUNDUP($H221,0),CC$2)-(INDEX(avoidedcosttbl2,ROUNDDOWN($H221,0),CC$2)))))*'Inputs Yr 2'!Q221*'Inputs Yr 2'!R221*'Inputs Yr 2'!V221,"")</f>
        <v>0</v>
      </c>
      <c r="CD221" s="195">
        <f>IFERROR(I221*(IF('Inputs Yr 2'!$AJ221=CD$4,'Inputs Yr 2'!$AK221,IF('Inputs Yr 2'!$AL221=CD$4,'Inputs Yr 2'!$AM221,IF('Inputs Yr 2'!$AN221=CD$4,'Inputs Yr 2'!$AO221,0))))*(INDEX(avoidedcosttbl2,$H221,CD$2)+(($H221-ROUNDDOWN($H221,0))*(INDEX(avoidedcosttbl2,ROUNDUP($H221,0),CD$2)-(INDEX(avoidedcosttbl2,ROUNDDOWN($H221,0),CD$2)))))*'Inputs Yr 2'!R221*'Inputs Yr 2'!S221*'Inputs Yr 2'!W221,"")</f>
        <v>0</v>
      </c>
      <c r="CE221" s="213">
        <f t="shared" si="131"/>
        <v>0</v>
      </c>
      <c r="CF221" s="213">
        <f t="shared" si="132"/>
        <v>0</v>
      </c>
      <c r="CG221" s="213">
        <f t="shared" si="133"/>
        <v>0</v>
      </c>
      <c r="CH221" s="698">
        <f t="shared" si="134"/>
        <v>768316.36089284963</v>
      </c>
      <c r="CI221" s="79">
        <f>IFERROR(($G221*'Inputs Yr 2'!$P221*'Inputs Yr 2'!$Q221*(((INDEX(avoidedcosttbl2,$H221,CI$2)+(($H221-ROUNDDOWN($H221,0))*(INDEX(avoidedcosttbl2,ROUNDUP($H221,0),CI$2)-INDEX(avoidedcosttbl2,ROUNDDOWN($H221,0),CI$2))))*'Inputs Yr 2'!AS221))),"")</f>
        <v>0</v>
      </c>
      <c r="CJ221" s="504">
        <f>IFERROR($G221*'Inputs Yr 2'!AT221*'Inputs Yr 2'!$P221*'Inputs Yr 2'!$Q221/((1+realdiscrt1)^-0.5),"")</f>
        <v>0</v>
      </c>
      <c r="CK221" s="79">
        <f>IFERROR((O221*1000*(((INDEX(avoidedcosttbl2,$H221,CK$2)+(($H221-ROUNDDOWN($H221,0))*(INDEX(avoidedcosttbl2,ROUNDUP($H221,0),CK$2)-INDEX(avoidedcosttbl2,ROUNDDOWN($H221,0),CK$2))))*'Inputs Yr 2'!AU221))),"")</f>
        <v>0</v>
      </c>
      <c r="CL221" s="504">
        <f>IFERROR(O221*1000*'Inputs Yr 2'!AV221/((1+realdiscrt1)^-0.5),"")</f>
        <v>0</v>
      </c>
      <c r="CM221" s="79">
        <f>IFERROR((AB221*'Inputs Yr 2'!AW221*(((INDEX(avoidedcosttbl2,$H221,CM$2)+(($H221-ROUNDDOWN($H221,0))*(INDEX(avoidedcosttbl2,ROUNDUP($H221,0),CM$2)-INDEX(avoidedcosttbl2,ROUNDDOWN($H221,0),CM$2)))))))*10,"")</f>
        <v>0</v>
      </c>
      <c r="CN221" s="504">
        <f>IFERROR(10*AB221*'Inputs Yr 2'!AX221/((1+realdiscrt1)^-0.5),"")</f>
        <v>0</v>
      </c>
      <c r="CO221" s="505">
        <f t="shared" si="135"/>
        <v>0</v>
      </c>
      <c r="CP221" s="230">
        <f t="shared" si="136"/>
        <v>768316.36089284963</v>
      </c>
      <c r="CQ221" s="199">
        <f>ROUND(IFERROR(IF(LEFT($A221,1)="C",'Avoided Costs'!$K$13,'Avoided Costs'!$K$12)+1,""),4)</f>
        <v>1.0720000000000001</v>
      </c>
      <c r="CR221" s="199">
        <f>ROUND(IFERROR(IF(LEFT($A221,1)="C",'Avoided Costs'!$L$13,'Avoided Costs'!$L$12)+1,""),4)</f>
        <v>1.04</v>
      </c>
      <c r="CS221" s="199">
        <f>ROUND(IFERROR(IF(LEFT($A221,1)="C",'Avoided Costs'!$M$13,'Avoided Costs'!$M$12)+1,""),4)</f>
        <v>1.0720000000000001</v>
      </c>
      <c r="CT221" s="199">
        <f>ROUND(IFERROR(IF(LEFT($A221,1)="C",'Avoided Costs'!$N$13,'Avoided Costs'!$N$12)+1,""),4)</f>
        <v>1.04</v>
      </c>
      <c r="CU221" s="199">
        <f>ROUND(IFERROR(IF(LEFT($A221,1)="C",'Avoided Costs'!$O$13,'Avoided Costs'!$O$12)+1,""),4)</f>
        <v>1.1120000000000001</v>
      </c>
      <c r="CV221" s="199">
        <f>ROUND(IFERROR(IF(LEFT($A221,1)="C",'Avoided Costs'!$P$13,'Avoided Costs'!$P$12)+1,""),4)</f>
        <v>1.095</v>
      </c>
      <c r="CW221" s="199">
        <f>ROUND(IFERROR(IF(LEFT($A221,1)="C",'Avoided Costs'!$Q$13,'Avoided Costs'!$Q$12)+1,""),4)</f>
        <v>1.1120000000000001</v>
      </c>
      <c r="CX221" s="200">
        <f>ROUND(IFERROR(IF(LEFT($A221,1)="C",'Avoided Costs'!$R$13,'Avoided Costs'!$R$12)+1,""),4)</f>
        <v>1.1120000000000001</v>
      </c>
    </row>
    <row r="222" spans="1:102" ht="12.75" customHeight="1">
      <c r="A222" s="91" t="str">
        <f>IF('Inputs Yr 2'!$B222=0,"",'Inputs Yr 2'!A222)</f>
        <v>C - Commercial &amp; Industrial</v>
      </c>
      <c r="B222" s="91" t="str">
        <f>IF('Inputs Yr 2'!$B222=0,"",'Inputs Yr 2'!B222)</f>
        <v>C1 - C&amp;I New Construction</v>
      </c>
      <c r="C222" s="91" t="str">
        <f>IF('Inputs Yr 2'!$B222=0,"",'Inputs Yr 2'!C222)</f>
        <v xml:space="preserve">C1b - C&amp;I Initial Purchase &amp; End of Useful Life </v>
      </c>
      <c r="D222" s="91" t="str">
        <f>IF('Inputs Yr 2'!$B222=0,"",'Inputs Yr 2'!E222)</f>
        <v>Condensing Unit Heater &lt;= 300 mbh</v>
      </c>
      <c r="E222" s="93" t="str">
        <f>IF('Inputs Yr 2'!$B222=0,"",'Inputs Yr 2'!F222)</f>
        <v>G16C1b22</v>
      </c>
      <c r="F222" s="93" t="str">
        <f>IF('Inputs Yr 2'!$B222=0,"",'Inputs Yr 2'!G222)</f>
        <v>HVAC</v>
      </c>
      <c r="G222" s="95">
        <f>IF('Inputs Yr 2'!$H222&lt;&gt;0,('Inputs Yr 2'!H222),"")</f>
        <v>7</v>
      </c>
      <c r="H222" s="94">
        <f>IFERROR('Inputs Yr 2'!I222,"")</f>
        <v>18</v>
      </c>
      <c r="I222" s="298">
        <f>IFERROR('Inputs Yr 2'!J222*'Inputs Yr 2'!P222*G222,"")</f>
        <v>14212.800000000001</v>
      </c>
      <c r="J222" s="298">
        <f>IFERROR('Inputs Yr 2'!K222*G222,"")</f>
        <v>5250</v>
      </c>
      <c r="K222" s="298">
        <f t="shared" si="113"/>
        <v>8962.8000000000011</v>
      </c>
      <c r="L222" s="194">
        <f>IFERROR(('Inputs Yr 2'!W222*G222)/1000,"")</f>
        <v>0</v>
      </c>
      <c r="M222" s="194">
        <f>IFERROR(L222*('Inputs Yr 2'!$Q222*'Inputs Yr 2'!$V222*'Inputs Yr 2'!$R222),"")</f>
        <v>0</v>
      </c>
      <c r="N222" s="194">
        <f t="shared" si="114"/>
        <v>0</v>
      </c>
      <c r="O222" s="194">
        <f>IFERROR(M222*'Inputs Yr 2'!P222,"")</f>
        <v>0</v>
      </c>
      <c r="P222" s="194">
        <f t="shared" si="115"/>
        <v>0</v>
      </c>
      <c r="Q222" s="194">
        <f>IFERROR($P222*'Inputs Yr 2'!AA222,"")</f>
        <v>0</v>
      </c>
      <c r="R222" s="194">
        <f>IFERROR($P222*'Inputs Yr 2'!AB222,"")</f>
        <v>0</v>
      </c>
      <c r="S222" s="194">
        <f>IFERROR($P222*'Inputs Yr 2'!AC222,"")</f>
        <v>0</v>
      </c>
      <c r="T222" s="194">
        <f>IFERROR($P222*'Inputs Yr 2'!AD222,"")</f>
        <v>0</v>
      </c>
      <c r="U222" s="194">
        <f>IFERROR(G222*'Inputs Yr 2'!$AE222*'Inputs Yr 2'!$P222*'Inputs Yr 2'!$Q222,"")</f>
        <v>0</v>
      </c>
      <c r="V222" s="194">
        <f>IFERROR($G222*'Inputs Yr 2'!$AE222*'Inputs Yr 2'!$AG222*'Inputs Yr 2'!Q222*'Inputs Yr 2'!$S222,"")</f>
        <v>0</v>
      </c>
      <c r="W222" s="194">
        <f>IFERROR($G222*'Inputs Yr 2'!$AE222*'Inputs Yr 2'!$AG222*'Inputs Yr 2'!P222*'Inputs Yr 2'!Q222*'Inputs Yr 2'!$S222,"")</f>
        <v>0</v>
      </c>
      <c r="X222" s="194">
        <f>IFERROR($G222*'Inputs Yr 2'!$AE222*'Inputs Yr 2'!$AF222*'Inputs Yr 2'!Q222*'Inputs Yr 2'!$T222,"")</f>
        <v>0</v>
      </c>
      <c r="Y222" s="194">
        <f>IFERROR($G222*'Inputs Yr 2'!$AE222*'Inputs Yr 2'!$AF222*'Inputs Yr 2'!P222*'Inputs Yr 2'!Q222*'Inputs Yr 2'!$T222,"")</f>
        <v>0</v>
      </c>
      <c r="Z222" s="257">
        <f>IFERROR($G222*'Inputs Yr 2'!$Q222*'Inputs Yr 2'!$U222*(IF(IFERROR(SEARCH("NG", 'Inputs Yr 2'!$AJ222),0),'Inputs Yr 2'!$AK222,0)+IF(IFERROR(SEARCH("NG", 'Inputs Yr 2'!$AL222),0),'Inputs Yr 2'!$AM222,0)+IF(IFERROR(SEARCH("NG", 'Inputs Yr 2'!$AN222),0),'Inputs Yr 2'!$AO222,0)),0)</f>
        <v>286.29999999999995</v>
      </c>
      <c r="AA222" s="257">
        <f t="shared" si="116"/>
        <v>5153.3999999999996</v>
      </c>
      <c r="AB222" s="257">
        <f>IFERROR(Z222*'Inputs Yr 2'!$P222,0)</f>
        <v>242.20979999999997</v>
      </c>
      <c r="AC222" s="257">
        <f t="shared" si="117"/>
        <v>4359.7763999999997</v>
      </c>
      <c r="AD222" s="257">
        <f>IFERROR($G222*'Inputs Yr 2'!$Q222*'Inputs Yr 2'!$U222*(IF(IFERROR(SEARCH("Oil", 'Inputs Yr 2'!$AJ222), 0),'Inputs Yr 2'!$AK222,0)+IF(IFERROR(SEARCH("Oil", 'Inputs Yr 2'!$AL222), 0),'Inputs Yr 2'!$AM222,0)+IF(IFERROR(SEARCH("Oil", 'Inputs Yr 2'!$AN222), 0),'Inputs Yr 2'!$AO222,0)),0)</f>
        <v>0</v>
      </c>
      <c r="AE222" s="257">
        <f t="shared" si="118"/>
        <v>0</v>
      </c>
      <c r="AF222" s="257">
        <f>IFERROR(AD222*'Inputs Yr 2'!$P222,0)</f>
        <v>0</v>
      </c>
      <c r="AG222" s="257">
        <f t="shared" si="119"/>
        <v>0</v>
      </c>
      <c r="AH222" s="257">
        <f>IFERROR($G222*'Inputs Yr 2'!$Q222*'Inputs Yr 2'!$U222*(IF('Inputs Yr 2'!$AJ222=CD$4,'Inputs Yr 2'!$AK222,IF('Inputs Yr 2'!$AL222=CD$4,'Inputs Yr 2'!$AM222,IF('Inputs Yr 2'!$AN222=CD$4,'Inputs Yr 2'!$AO222,0)))),0)</f>
        <v>0</v>
      </c>
      <c r="AI222" s="257">
        <f t="shared" si="120"/>
        <v>0</v>
      </c>
      <c r="AJ222" s="257">
        <f>IFERROR(AH222*'Inputs Yr 2'!$P222,0)</f>
        <v>0</v>
      </c>
      <c r="AK222" s="257">
        <f t="shared" si="121"/>
        <v>0</v>
      </c>
      <c r="AL222" s="258">
        <f>IFERROR($G222*'Inputs Yr 2'!$P222*'Inputs Yr 2'!$Q222*'Inputs Yr 2'!AP222,0)</f>
        <v>0</v>
      </c>
      <c r="AM222" s="260">
        <f>IFERROR($G222*'Inputs Yr 2'!$P222*'Inputs Yr 2'!$Q222*'Inputs Yr 2'!AQ222,0)</f>
        <v>0</v>
      </c>
      <c r="AN222" s="258">
        <f>IFERROR($G222*'Inputs Yr 2'!$P222*'Inputs Yr 2'!$Q222*'Inputs Yr 2'!AR222,0)</f>
        <v>0</v>
      </c>
      <c r="AO222" s="257">
        <f t="shared" si="122"/>
        <v>0</v>
      </c>
      <c r="AP222" s="195">
        <f>IFERROR($CQ222*(INDEX(avoidedcosttbl2,$H222,AP$2)+(($H222-ROUNDDOWN($H222,0))*(INDEX(avoidedcosttbl2,ROUNDUP($H222,0),AP$2)-(INDEX(avoidedcosttbl2,ROUNDDOWN($H222,0),AP$2)))))*$O222*1000*'Inputs Yr 2'!AA222,"")</f>
        <v>0</v>
      </c>
      <c r="AQ222" s="195">
        <f>IFERROR($CR222*(INDEX(avoidedcosttbl2,$H222,AQ$2)+(($H222-ROUNDDOWN($H222,0))*(INDEX(avoidedcosttbl2,ROUNDUP($H222,0),AQ$2)-(INDEX(avoidedcosttbl2,ROUNDDOWN($H222,0),AQ$2)))))*$O222*1000*'Inputs Yr 2'!AB222,"")</f>
        <v>0</v>
      </c>
      <c r="AR222" s="195">
        <f>IFERROR($CS222*(INDEX(avoidedcosttbl2,$H222,AR$2)+(($H222-ROUNDDOWN($H222,0))*(INDEX(avoidedcosttbl2,ROUNDUP($H222,0),AR$2)-(INDEX(avoidedcosttbl2,ROUNDDOWN($H222,0),AR$2)))))*$O222*1000*'Inputs Yr 2'!AC222,"")</f>
        <v>0</v>
      </c>
      <c r="AS222" s="195">
        <f>IFERROR($CT222*(INDEX(avoidedcosttbl2,$H222,AS$2)+(($H222-ROUNDDOWN($H222,0))*(INDEX(avoidedcosttbl2,ROUNDUP($H222,0),AS$2)-(INDEX(avoidedcosttbl2,ROUNDDOWN($H222,0),AS$2)))))*$O222*1000*'Inputs Yr 2'!AD222,"")</f>
        <v>0</v>
      </c>
      <c r="AT222" s="196">
        <f t="shared" si="123"/>
        <v>0</v>
      </c>
      <c r="AU222" s="197">
        <f>IFERROR($CQ222*((INDEX(avoidedcosttbl2,$H222,AU$2))+(($H222-ROUNDDOWN($H222,0))*((INDEX(avoidedcosttbl2,ROUNDUP($H222,0),AU$2))-(INDEX(avoidedcosttbl2,ROUNDDOWN($H222,0),AU$2)))))*$O222*1000*'Inputs Yr 2'!AA222,"")</f>
        <v>0</v>
      </c>
      <c r="AV222" s="197">
        <f>IFERROR($CR222*((INDEX(avoidedcosttbl2,$H222,AV$2))+(($H222-ROUNDDOWN($H222,0))*((INDEX(avoidedcosttbl2,ROUNDUP($H222,0),AV$2))-(INDEX(avoidedcosttbl2,ROUNDDOWN($H222,0),AV$2)))))*$O222*1000*'Inputs Yr 2'!AB222,"")</f>
        <v>0</v>
      </c>
      <c r="AW222" s="197">
        <f>IFERROR($CS222*((INDEX(avoidedcosttbl2,$H222,AW$2))+(($H222-ROUNDDOWN($H222,0))*((INDEX(avoidedcosttbl2,ROUNDUP($H222,0),AW$2))-(INDEX(avoidedcosttbl2,ROUNDDOWN($H222,0),AW$2)))))*$O222*1000*'Inputs Yr 2'!AC222,"")</f>
        <v>0</v>
      </c>
      <c r="AX222" s="197">
        <f>IFERROR($CT222*((INDEX(avoidedcosttbl2,$H222,AX$2))+(($H222-ROUNDDOWN($H222,0))*((INDEX(avoidedcosttbl2,ROUNDUP($H222,0),AX$2))-(INDEX(avoidedcosttbl2,ROUNDDOWN($H222,0),AX$2)))))*$O222*1000*'Inputs Yr 2'!AD222,"")</f>
        <v>0</v>
      </c>
      <c r="AY222" s="197">
        <f>IFERROR(((INDEX(avoidedcosttbl2,$H222,AY$2))+(($H222-ROUNDDOWN($H222,0))*((INDEX(avoidedcosttbl2,ROUNDUP($H222,0),AY$2))-(INDEX(avoidedcosttbl2,ROUNDDOWN($H222,0),AY$2)))))*$O222*1000*('Inputs Yr 2'!AC222+'Inputs Yr 2'!AD222),"")</f>
        <v>0</v>
      </c>
      <c r="AZ222" s="197">
        <f>IFERROR(((INDEX(avoidedcosttbl2,$H222,AZ$2))+(($H222-ROUNDDOWN($H222,0))*((INDEX(avoidedcosttbl2,ROUNDUP($H222,0),AZ$2))-(INDEX(avoidedcosttbl2,ROUNDDOWN($H222,0),AZ$2)))))*$O222*1000*('Inputs Yr 2'!AA222+'Inputs Yr 2'!AB222),"")</f>
        <v>0</v>
      </c>
      <c r="BA222" s="198">
        <f t="shared" si="124"/>
        <v>0</v>
      </c>
      <c r="BB222" s="198">
        <f t="shared" si="125"/>
        <v>0</v>
      </c>
      <c r="BC222" s="195">
        <f t="shared" si="107"/>
        <v>0</v>
      </c>
      <c r="BD222" s="195">
        <f t="shared" si="108"/>
        <v>0</v>
      </c>
      <c r="BE222" s="195">
        <f t="shared" si="109"/>
        <v>0</v>
      </c>
      <c r="BF222" s="195">
        <f t="shared" si="110"/>
        <v>0</v>
      </c>
      <c r="BG222" s="195">
        <f t="shared" si="111"/>
        <v>0</v>
      </c>
      <c r="BH222" s="196">
        <f t="shared" si="126"/>
        <v>0</v>
      </c>
      <c r="BI222" s="196">
        <f t="shared" si="127"/>
        <v>0</v>
      </c>
      <c r="BJ222" s="195">
        <f>IFERROR($G222*(IF('Inputs Yr 2'!$AJ222=BJ$4,'Inputs Yr 2'!$AK222,IF('Inputs Yr 2'!$AL222=BJ$4,'Inputs Yr 2'!$AM222,IF('Inputs Yr 2'!$AN222=BJ$4,'Inputs Yr 2'!$AO222,0))))*(INDEX(avoidedcosttbl2,$H222,BJ$2)+(($H222-ROUNDDOWN($H222,0))*(INDEX(avoidedcosttbl2,ROUNDUP($H222,0),BJ$2)-(INDEX(avoidedcosttbl2,ROUNDDOWN($H222,0),BJ$2)))))*'Inputs Yr 2'!P222*'Inputs Yr 2'!Q222*'Inputs Yr 2'!U222,"")</f>
        <v>0</v>
      </c>
      <c r="BK222" s="195">
        <f>IFERROR($G222*(IF('Inputs Yr 2'!$AJ222=BK$4,'Inputs Yr 2'!$AK222,IF('Inputs Yr 2'!$AL222=BK$4,'Inputs Yr 2'!$AM222,IF('Inputs Yr 2'!$AN222=BK$4,'Inputs Yr 2'!$AO222,0))))*(INDEX(avoidedcosttbl2,$H222,BK$2)+(($H222-ROUNDDOWN($H222,0))*(INDEX(avoidedcosttbl2,ROUNDUP($H222,0),BK$2)-(INDEX(avoidedcosttbl2,ROUNDDOWN($H222,0),BK$2)))))*'Inputs Yr 2'!P222*'Inputs Yr 2'!Q222*'Inputs Yr 2'!U222,"")</f>
        <v>0</v>
      </c>
      <c r="BL222" s="195">
        <f>IFERROR($G222*(IF('Inputs Yr 2'!$AJ222=BL$4,'Inputs Yr 2'!$AK222,IF('Inputs Yr 2'!$AL222=BL$4,'Inputs Yr 2'!$AM222,IF('Inputs Yr 2'!$AN222=BL$4,'Inputs Yr 2'!$AO222,0))))*(INDEX(avoidedcosttbl2,$H222,BL$2)+(($H222-ROUNDDOWN($H222,0))*(INDEX(avoidedcosttbl2,ROUNDUP($H222,0),BL$2)-(INDEX(avoidedcosttbl2,ROUNDDOWN($H222,0),BL$2)))))*'Inputs Yr 2'!P222*'Inputs Yr 2'!Q222*'Inputs Yr 2'!U222,"")</f>
        <v>0</v>
      </c>
      <c r="BM222" s="195">
        <f>IFERROR($G222*(IF('Inputs Yr 2'!$AJ222=BM$4,'Inputs Yr 2'!$AK222,IF('Inputs Yr 2'!$AL222=BM$4,'Inputs Yr 2'!$AM222,IF('Inputs Yr 2'!$AN222=BM$4,'Inputs Yr 2'!$AO222,0))))*(INDEX(avoidedcosttbl2,$H222,BM$2)+(($H222-ROUNDDOWN($H222,0))*(INDEX(avoidedcosttbl2,ROUNDUP($H222,0),BM$2)-(INDEX(avoidedcosttbl2,ROUNDDOWN($H222,0),BM$2)))))*'Inputs Yr 2'!P222*'Inputs Yr 2'!Q222*'Inputs Yr 2'!U222,"")</f>
        <v>0</v>
      </c>
      <c r="BN222" s="195">
        <f>IFERROR($G222*(IF('Inputs Yr 2'!$AJ222=BN$4,'Inputs Yr 2'!$AK222,IF('Inputs Yr 2'!$AL222=BN$4,'Inputs Yr 2'!$AM222,IF('Inputs Yr 2'!$AN222=BN$4,'Inputs Yr 2'!$AO222,0))))*(INDEX(avoidedcosttbl2,$H222,BN$2)+(($H222-ROUNDDOWN($H222,0))*(INDEX(avoidedcosttbl2,ROUNDUP($H222,0),BN$2)-(INDEX(avoidedcosttbl2,ROUNDDOWN($H222,0),BN$2)))))*'Inputs Yr 2'!P222*'Inputs Yr 2'!Q222*'Inputs Yr 2'!U222,"")</f>
        <v>0</v>
      </c>
      <c r="BO222" s="195">
        <f>IFERROR($G222*(IF('Inputs Yr 2'!$AJ222=BO$4,'Inputs Yr 2'!$AK222,IF('Inputs Yr 2'!$AL222=BO$4,'Inputs Yr 2'!$AM222,IF('Inputs Yr 2'!$AN222=BO$4,'Inputs Yr 2'!$AO222,0))))*(INDEX(avoidedcosttbl2,$H222,BO$2)+(($H222-ROUNDDOWN($H222,0))*(INDEX(avoidedcosttbl2,ROUNDUP($H222,0),BO$2)-(INDEX(avoidedcosttbl2,ROUNDDOWN($H222,0),BO$2)))))*'Inputs Yr 2'!P222*'Inputs Yr 2'!Q222*'Inputs Yr 2'!U222,"")</f>
        <v>34638.343458276373</v>
      </c>
      <c r="BP222" s="195">
        <f>IFERROR($G222*(IF('Inputs Yr 2'!$AJ222=BP$4,'Inputs Yr 2'!$AK222,IF('Inputs Yr 2'!$AL222=BP$4,'Inputs Yr 2'!$AM222,IF('Inputs Yr 2'!$AN222=BP$4,'Inputs Yr 2'!$AO222,0))))*(INDEX(avoidedcosttbl2,$H222,BP$2)+(($H222-ROUNDDOWN($H222,0))*(INDEX(avoidedcosttbl2,ROUNDUP($H222,0),BP$2)-(INDEX(avoidedcosttbl2,ROUNDDOWN($H222,0),BP$2)))))*'Inputs Yr 2'!P222*'Inputs Yr 2'!Q222*'Inputs Yr 2'!U222,"")</f>
        <v>0</v>
      </c>
      <c r="BQ222" s="230">
        <f t="shared" si="128"/>
        <v>34638.343458276373</v>
      </c>
      <c r="BR222" s="197">
        <f t="shared" si="112"/>
        <v>587.1002597267792</v>
      </c>
      <c r="BS222" s="197">
        <f>IFERROR(($G222*IF('Inputs Yr 2'!$AJ222=BM$4,'Inputs Yr 2'!$AK222,IF('Inputs Yr 2'!$AL222=BM$4,'Inputs Yr 2'!$AM222,IF('Inputs Yr 2'!$AN222=BM$4,'Inputs Yr 2'!$AO222,0))))*(INDEX(avoidedcosttbl2,$H222,BS$2)+(($H222-ROUNDDOWN($H222,0))*(INDEX(avoidedcosttbl2,ROUNDUP($H222,0),BS$2)-(INDEX(avoidedcosttbl2,ROUNDDOWN($H222,0),BS$2)))))*'Inputs Yr 2'!P222*'Inputs Yr 2'!Q222*'Inputs Yr 2'!U222,"")</f>
        <v>0</v>
      </c>
      <c r="BT222" s="197">
        <f>IFERROR(($G222*IF('Inputs Yr 2'!$AJ222=BK$4,'Inputs Yr 2'!$AK222,IF('Inputs Yr 2'!$AL222=BK$4,'Inputs Yr 2'!$AM222,IF('Inputs Yr 2'!$AN222=BK$4,'Inputs Yr 2'!$AO222,0))))*(INDEX(avoidedcosttbl2,$H222,BT$2)+(($H222-ROUNDDOWN($H222,0))*(INDEX(avoidedcosttbl2,ROUNDUP($H222,0),BT$2)-(INDEX(avoidedcosttbl2,ROUNDDOWN($H222,0),BT$2)))))*'Inputs Yr 2'!P222*'Inputs Yr 2'!Q222*'Inputs Yr 2'!U222,"")</f>
        <v>0</v>
      </c>
      <c r="BU222" s="197">
        <f>IFERROR(($G222*IF('Inputs Yr 2'!$AJ222=BL$4,'Inputs Yr 2'!$AK222,IF('Inputs Yr 2'!$AL222=BL$4,'Inputs Yr 2'!$AM222,IF('Inputs Yr 2'!$AN222=BL$4,'Inputs Yr 2'!$AO222,0))))*(INDEX(avoidedcosttbl2,$H222,BU$2)+(($H222-ROUNDDOWN($H222,0))*(INDEX(avoidedcosttbl2,ROUNDUP($H222,0),BU$2)-(INDEX(avoidedcosttbl2,ROUNDDOWN($H222,0),BU$2)))))*'Inputs Yr 2'!P222*'Inputs Yr 2'!Q222*'Inputs Yr 2'!U222,"")</f>
        <v>0</v>
      </c>
      <c r="BV222" s="775">
        <f>IFERROR(($G222*IF('Inputs Yr 2'!$AJ222=BJ$4,'Inputs Yr 2'!$AK222,IF('Inputs Yr 2'!$AL222=BJ$4,'Inputs Yr 2'!$AM222,IF('Inputs Yr 2'!$AN222=BJ$4,'Inputs Yr 2'!$AO222,0))))*(INDEX(avoidedcosttbl2,$H222,BV$2)+(($H222-ROUNDDOWN($H222,0))*(INDEX(avoidedcosttbl2,ROUNDUP($H222,0),BV$2)-(INDEX(avoidedcosttbl2,ROUNDDOWN($H222,0),BV$2)))))*'Inputs Yr 2'!P222*'Inputs Yr 2'!Q222*'Inputs Yr 2'!U222,"")</f>
        <v>0</v>
      </c>
      <c r="BW222" s="197">
        <f>IFERROR(($G222*IF('Inputs Yr 2'!$AJ222=BN$4,'Inputs Yr 2'!$AK222,IF('Inputs Yr 2'!$AL222=BN$4,'Inputs Yr 2'!$AM222,IF('Inputs Yr 2'!$AN222=BN$4,'Inputs Yr 2'!$AO222,0))))*(INDEX(avoidedcosttbl2,$H222,BW$2)+(($H222-ROUNDDOWN($H222,0))*(INDEX(avoidedcosttbl2,ROUNDUP($H222,0),BW$2)-(INDEX(avoidedcosttbl2,ROUNDDOWN($H222,0),BW$2)))))*'Inputs Yr 2'!P222*'Inputs Yr 2'!Q222*'Inputs Yr 2'!U222,"")</f>
        <v>0</v>
      </c>
      <c r="BX222" s="197">
        <f>IFERROR(($G222*IF('Inputs Yr 2'!$AJ222=BO$4,'Inputs Yr 2'!$AK222,IF('Inputs Yr 2'!$AL222=BO$4,'Inputs Yr 2'!$AM222,IF('Inputs Yr 2'!$AN222=BO$4,'Inputs Yr 2'!$AO222,0))))*(INDEX(avoidedcosttbl2,$H222,BX$2)+(($H222-ROUNDDOWN($H222,0))*(INDEX(avoidedcosttbl2,ROUNDUP($H222,0),BX$2)-(INDEX(avoidedcosttbl2,ROUNDDOWN($H222,0),BX$2)))))*'Inputs Yr 2'!P222*'Inputs Yr 2'!Q222*'Inputs Yr 2'!U222,"")</f>
        <v>2075.7743206772921</v>
      </c>
      <c r="BY222" s="197">
        <f>IFERROR(($G222*IF('Inputs Yr 2'!$AJ222=BP$4,'Inputs Yr 2'!$AK222,IF('Inputs Yr 2'!$AL222=BP$4,'Inputs Yr 2'!$AM222,IF('Inputs Yr 2'!$AN222=BP$4,'Inputs Yr 2'!$AO222,0))))*(INDEX(avoidedcosttbl2,$H222,BY$2)+(($H222-ROUNDDOWN($H222,0))*(INDEX(avoidedcosttbl2,ROUNDUP($H222,0),BY$2)-(INDEX(avoidedcosttbl2,ROUNDDOWN($H222,0),BY$2)))))*'Inputs Yr 2'!P222*'Inputs Yr 2'!Q222*'Inputs Yr 2'!U222,"")</f>
        <v>0</v>
      </c>
      <c r="BZ222" s="193">
        <f t="shared" si="129"/>
        <v>2662.8745804040714</v>
      </c>
      <c r="CA222" s="193">
        <f t="shared" si="130"/>
        <v>37301.218038680447</v>
      </c>
      <c r="CB222" s="195">
        <f>IFERROR(G222*(IF('Inputs Yr 2'!$AJ222=CB$4,'Inputs Yr 2'!$AK222,IF('Inputs Yr 2'!$AL222=CB$4,'Inputs Yr 2'!$AM222,IF('Inputs Yr 2'!$AN222=CB$4,'Inputs Yr 2'!$AO222,0))))*(INDEX(avoidedcosttbl2,$H222,CB$2)+(($H222-ROUNDDOWN($H222,0))*(INDEX(avoidedcosttbl2,ROUNDUP($H222,0),CB$2)-(INDEX(avoidedcosttbl2,ROUNDDOWN($H222,0),CB$2)))))*'Inputs Yr 2'!P222*'Inputs Yr 2'!Q222*'Inputs Yr 2'!U222,"")</f>
        <v>0</v>
      </c>
      <c r="CC222" s="195">
        <f>IFERROR(H222*(IF('Inputs Yr 2'!$AJ222=CC$4,'Inputs Yr 2'!$AK222,IF('Inputs Yr 2'!$AL222=CC$4,'Inputs Yr 2'!$AM222,IF('Inputs Yr 2'!$AN222=CC$4,'Inputs Yr 2'!$AO222,0))))*(INDEX(avoidedcosttbl2,$H222,CC$2)+(($H222-ROUNDDOWN($H222,0))*(INDEX(avoidedcosttbl2,ROUNDUP($H222,0),CC$2)-(INDEX(avoidedcosttbl2,ROUNDDOWN($H222,0),CC$2)))))*'Inputs Yr 2'!Q222*'Inputs Yr 2'!R222*'Inputs Yr 2'!V222,"")</f>
        <v>0</v>
      </c>
      <c r="CD222" s="195">
        <f>IFERROR(I222*(IF('Inputs Yr 2'!$AJ222=CD$4,'Inputs Yr 2'!$AK222,IF('Inputs Yr 2'!$AL222=CD$4,'Inputs Yr 2'!$AM222,IF('Inputs Yr 2'!$AN222=CD$4,'Inputs Yr 2'!$AO222,0))))*(INDEX(avoidedcosttbl2,$H222,CD$2)+(($H222-ROUNDDOWN($H222,0))*(INDEX(avoidedcosttbl2,ROUNDUP($H222,0),CD$2)-(INDEX(avoidedcosttbl2,ROUNDDOWN($H222,0),CD$2)))))*'Inputs Yr 2'!R222*'Inputs Yr 2'!S222*'Inputs Yr 2'!W222,"")</f>
        <v>0</v>
      </c>
      <c r="CE222" s="213">
        <f t="shared" si="131"/>
        <v>0</v>
      </c>
      <c r="CF222" s="213">
        <f t="shared" si="132"/>
        <v>0</v>
      </c>
      <c r="CG222" s="213">
        <f t="shared" si="133"/>
        <v>0</v>
      </c>
      <c r="CH222" s="698">
        <f t="shared" si="134"/>
        <v>37301.218038680447</v>
      </c>
      <c r="CI222" s="79">
        <f>IFERROR(($G222*'Inputs Yr 2'!$P222*'Inputs Yr 2'!$Q222*(((INDEX(avoidedcosttbl2,$H222,CI$2)+(($H222-ROUNDDOWN($H222,0))*(INDEX(avoidedcosttbl2,ROUNDUP($H222,0),CI$2)-INDEX(avoidedcosttbl2,ROUNDDOWN($H222,0),CI$2))))*'Inputs Yr 2'!AS222))),"")</f>
        <v>0</v>
      </c>
      <c r="CJ222" s="504">
        <f>IFERROR($G222*'Inputs Yr 2'!AT222*'Inputs Yr 2'!$P222*'Inputs Yr 2'!$Q222/((1+realdiscrt1)^-0.5),"")</f>
        <v>0</v>
      </c>
      <c r="CK222" s="79">
        <f>IFERROR((O222*1000*(((INDEX(avoidedcosttbl2,$H222,CK$2)+(($H222-ROUNDDOWN($H222,0))*(INDEX(avoidedcosttbl2,ROUNDUP($H222,0),CK$2)-INDEX(avoidedcosttbl2,ROUNDDOWN($H222,0),CK$2))))*'Inputs Yr 2'!AU222))),"")</f>
        <v>0</v>
      </c>
      <c r="CL222" s="504">
        <f>IFERROR(O222*1000*'Inputs Yr 2'!AV222/((1+realdiscrt1)^-0.5),"")</f>
        <v>0</v>
      </c>
      <c r="CM222" s="79">
        <f>IFERROR((AB222*'Inputs Yr 2'!AW222*(((INDEX(avoidedcosttbl2,$H222,CM$2)+(($H222-ROUNDDOWN($H222,0))*(INDEX(avoidedcosttbl2,ROUNDUP($H222,0),CM$2)-INDEX(avoidedcosttbl2,ROUNDDOWN($H222,0),CM$2)))))))*10,"")</f>
        <v>0</v>
      </c>
      <c r="CN222" s="504">
        <f>IFERROR(10*AB222*'Inputs Yr 2'!AX222/((1+realdiscrt1)^-0.5),"")</f>
        <v>0</v>
      </c>
      <c r="CO222" s="505">
        <f t="shared" si="135"/>
        <v>0</v>
      </c>
      <c r="CP222" s="230">
        <f t="shared" si="136"/>
        <v>37301.218038680447</v>
      </c>
      <c r="CQ222" s="199">
        <f>ROUND(IFERROR(IF(LEFT($A222,1)="C",'Avoided Costs'!$K$13,'Avoided Costs'!$K$12)+1,""),4)</f>
        <v>1.0720000000000001</v>
      </c>
      <c r="CR222" s="199">
        <f>ROUND(IFERROR(IF(LEFT($A222,1)="C",'Avoided Costs'!$L$13,'Avoided Costs'!$L$12)+1,""),4)</f>
        <v>1.04</v>
      </c>
      <c r="CS222" s="199">
        <f>ROUND(IFERROR(IF(LEFT($A222,1)="C",'Avoided Costs'!$M$13,'Avoided Costs'!$M$12)+1,""),4)</f>
        <v>1.0720000000000001</v>
      </c>
      <c r="CT222" s="199">
        <f>ROUND(IFERROR(IF(LEFT($A222,1)="C",'Avoided Costs'!$N$13,'Avoided Costs'!$N$12)+1,""),4)</f>
        <v>1.04</v>
      </c>
      <c r="CU222" s="199">
        <f>ROUND(IFERROR(IF(LEFT($A222,1)="C",'Avoided Costs'!$O$13,'Avoided Costs'!$O$12)+1,""),4)</f>
        <v>1.1120000000000001</v>
      </c>
      <c r="CV222" s="199">
        <f>ROUND(IFERROR(IF(LEFT($A222,1)="C",'Avoided Costs'!$P$13,'Avoided Costs'!$P$12)+1,""),4)</f>
        <v>1.095</v>
      </c>
      <c r="CW222" s="199">
        <f>ROUND(IFERROR(IF(LEFT($A222,1)="C",'Avoided Costs'!$Q$13,'Avoided Costs'!$Q$12)+1,""),4)</f>
        <v>1.1120000000000001</v>
      </c>
      <c r="CX222" s="200">
        <f>ROUND(IFERROR(IF(LEFT($A222,1)="C",'Avoided Costs'!$R$13,'Avoided Costs'!$R$12)+1,""),4)</f>
        <v>1.1120000000000001</v>
      </c>
    </row>
    <row r="223" spans="1:102" ht="12.75" customHeight="1">
      <c r="A223" s="91" t="str">
        <f>IF('Inputs Yr 2'!$B223=0,"",'Inputs Yr 2'!A223)</f>
        <v>C - Commercial &amp; Industrial</v>
      </c>
      <c r="B223" s="91" t="str">
        <f>IF('Inputs Yr 2'!$B223=0,"",'Inputs Yr 2'!B223)</f>
        <v>C1 - C&amp;I New Construction</v>
      </c>
      <c r="C223" s="91" t="str">
        <f>IF('Inputs Yr 2'!$B223=0,"",'Inputs Yr 2'!C223)</f>
        <v xml:space="preserve">C1b - C&amp;I Initial Purchase &amp; End of Useful Life </v>
      </c>
      <c r="D223" s="91" t="str">
        <f>IF('Inputs Yr 2'!$B223=0,"",'Inputs Yr 2'!E223)</f>
        <v>Infrared Heaters</v>
      </c>
      <c r="E223" s="93" t="str">
        <f>IF('Inputs Yr 2'!$B223=0,"",'Inputs Yr 2'!F223)</f>
        <v>G16C1b23</v>
      </c>
      <c r="F223" s="93" t="str">
        <f>IF('Inputs Yr 2'!$B223=0,"",'Inputs Yr 2'!G223)</f>
        <v>HVAC</v>
      </c>
      <c r="G223" s="95">
        <f>IF('Inputs Yr 2'!$H223&lt;&gt;0,('Inputs Yr 2'!H223),"")</f>
        <v>195</v>
      </c>
      <c r="H223" s="94">
        <f>IFERROR('Inputs Yr 2'!I223,"")</f>
        <v>17</v>
      </c>
      <c r="I223" s="298">
        <f>IFERROR('Inputs Yr 2'!J223*'Inputs Yr 2'!P223*G223,"")</f>
        <v>491940.5400000001</v>
      </c>
      <c r="J223" s="298">
        <f>IFERROR('Inputs Yr 2'!K223*G223,"")</f>
        <v>146250</v>
      </c>
      <c r="K223" s="298">
        <f t="shared" si="113"/>
        <v>345690.5400000001</v>
      </c>
      <c r="L223" s="194">
        <f>IFERROR(('Inputs Yr 2'!W223*G223)/1000,"")</f>
        <v>0</v>
      </c>
      <c r="M223" s="194">
        <f>IFERROR(L223*('Inputs Yr 2'!$Q223*'Inputs Yr 2'!$V223*'Inputs Yr 2'!$R223),"")</f>
        <v>0</v>
      </c>
      <c r="N223" s="194">
        <f t="shared" si="114"/>
        <v>0</v>
      </c>
      <c r="O223" s="194">
        <f>IFERROR(M223*'Inputs Yr 2'!P223,"")</f>
        <v>0</v>
      </c>
      <c r="P223" s="194">
        <f t="shared" si="115"/>
        <v>0</v>
      </c>
      <c r="Q223" s="194">
        <f>IFERROR($P223*'Inputs Yr 2'!AA223,"")</f>
        <v>0</v>
      </c>
      <c r="R223" s="194">
        <f>IFERROR($P223*'Inputs Yr 2'!AB223,"")</f>
        <v>0</v>
      </c>
      <c r="S223" s="194">
        <f>IFERROR($P223*'Inputs Yr 2'!AC223,"")</f>
        <v>0</v>
      </c>
      <c r="T223" s="194">
        <f>IFERROR($P223*'Inputs Yr 2'!AD223,"")</f>
        <v>0</v>
      </c>
      <c r="U223" s="194">
        <f>IFERROR(G223*'Inputs Yr 2'!$AE223*'Inputs Yr 2'!$P223*'Inputs Yr 2'!$Q223,"")</f>
        <v>0</v>
      </c>
      <c r="V223" s="194">
        <f>IFERROR($G223*'Inputs Yr 2'!$AE223*'Inputs Yr 2'!$AG223*'Inputs Yr 2'!Q223*'Inputs Yr 2'!$S223,"")</f>
        <v>0</v>
      </c>
      <c r="W223" s="194">
        <f>IFERROR($G223*'Inputs Yr 2'!$AE223*'Inputs Yr 2'!$AG223*'Inputs Yr 2'!P223*'Inputs Yr 2'!Q223*'Inputs Yr 2'!$S223,"")</f>
        <v>0</v>
      </c>
      <c r="X223" s="194">
        <f>IFERROR($G223*'Inputs Yr 2'!$AE223*'Inputs Yr 2'!$AF223*'Inputs Yr 2'!Q223*'Inputs Yr 2'!$T223,"")</f>
        <v>0</v>
      </c>
      <c r="Y223" s="194">
        <f>IFERROR($G223*'Inputs Yr 2'!$AE223*'Inputs Yr 2'!$AF223*'Inputs Yr 2'!P223*'Inputs Yr 2'!Q223*'Inputs Yr 2'!$T223,"")</f>
        <v>0</v>
      </c>
      <c r="Z223" s="257">
        <f>IFERROR($G223*'Inputs Yr 2'!$Q223*'Inputs Yr 2'!$U223*(IF(IFERROR(SEARCH("NG", 'Inputs Yr 2'!$AJ223),0),'Inputs Yr 2'!$AK223,0)+IF(IFERROR(SEARCH("NG", 'Inputs Yr 2'!$AL223),0),'Inputs Yr 2'!$AM223,0)+IF(IFERROR(SEARCH("NG", 'Inputs Yr 2'!$AN223),0),'Inputs Yr 2'!$AO223,0)),0)</f>
        <v>2340</v>
      </c>
      <c r="AA223" s="257">
        <f t="shared" si="116"/>
        <v>39780</v>
      </c>
      <c r="AB223" s="257">
        <f>IFERROR(Z223*'Inputs Yr 2'!$P223,0)</f>
        <v>1979.64</v>
      </c>
      <c r="AC223" s="257">
        <f t="shared" si="117"/>
        <v>33653.880000000005</v>
      </c>
      <c r="AD223" s="257">
        <f>IFERROR($G223*'Inputs Yr 2'!$Q223*'Inputs Yr 2'!$U223*(IF(IFERROR(SEARCH("Oil", 'Inputs Yr 2'!$AJ223), 0),'Inputs Yr 2'!$AK223,0)+IF(IFERROR(SEARCH("Oil", 'Inputs Yr 2'!$AL223), 0),'Inputs Yr 2'!$AM223,0)+IF(IFERROR(SEARCH("Oil", 'Inputs Yr 2'!$AN223), 0),'Inputs Yr 2'!$AO223,0)),0)</f>
        <v>0</v>
      </c>
      <c r="AE223" s="257">
        <f t="shared" si="118"/>
        <v>0</v>
      </c>
      <c r="AF223" s="257">
        <f>IFERROR(AD223*'Inputs Yr 2'!$P223,0)</f>
        <v>0</v>
      </c>
      <c r="AG223" s="257">
        <f t="shared" si="119"/>
        <v>0</v>
      </c>
      <c r="AH223" s="257">
        <f>IFERROR($G223*'Inputs Yr 2'!$Q223*'Inputs Yr 2'!$U223*(IF('Inputs Yr 2'!$AJ223=CD$4,'Inputs Yr 2'!$AK223,IF('Inputs Yr 2'!$AL223=CD$4,'Inputs Yr 2'!$AM223,IF('Inputs Yr 2'!$AN223=CD$4,'Inputs Yr 2'!$AO223,0)))),0)</f>
        <v>0</v>
      </c>
      <c r="AI223" s="257">
        <f t="shared" si="120"/>
        <v>0</v>
      </c>
      <c r="AJ223" s="257">
        <f>IFERROR(AH223*'Inputs Yr 2'!$P223,0)</f>
        <v>0</v>
      </c>
      <c r="AK223" s="257">
        <f t="shared" si="121"/>
        <v>0</v>
      </c>
      <c r="AL223" s="258">
        <f>IFERROR($G223*'Inputs Yr 2'!$P223*'Inputs Yr 2'!$Q223*'Inputs Yr 2'!AP223,0)</f>
        <v>0</v>
      </c>
      <c r="AM223" s="260">
        <f>IFERROR($G223*'Inputs Yr 2'!$P223*'Inputs Yr 2'!$Q223*'Inputs Yr 2'!AQ223,0)</f>
        <v>0</v>
      </c>
      <c r="AN223" s="258">
        <f>IFERROR($G223*'Inputs Yr 2'!$P223*'Inputs Yr 2'!$Q223*'Inputs Yr 2'!AR223,0)</f>
        <v>0</v>
      </c>
      <c r="AO223" s="257">
        <f t="shared" si="122"/>
        <v>0</v>
      </c>
      <c r="AP223" s="195">
        <f>IFERROR($CQ223*(INDEX(avoidedcosttbl2,$H223,AP$2)+(($H223-ROUNDDOWN($H223,0))*(INDEX(avoidedcosttbl2,ROUNDUP($H223,0),AP$2)-(INDEX(avoidedcosttbl2,ROUNDDOWN($H223,0),AP$2)))))*$O223*1000*'Inputs Yr 2'!AA223,"")</f>
        <v>0</v>
      </c>
      <c r="AQ223" s="195">
        <f>IFERROR($CR223*(INDEX(avoidedcosttbl2,$H223,AQ$2)+(($H223-ROUNDDOWN($H223,0))*(INDEX(avoidedcosttbl2,ROUNDUP($H223,0),AQ$2)-(INDEX(avoidedcosttbl2,ROUNDDOWN($H223,0),AQ$2)))))*$O223*1000*'Inputs Yr 2'!AB223,"")</f>
        <v>0</v>
      </c>
      <c r="AR223" s="195">
        <f>IFERROR($CS223*(INDEX(avoidedcosttbl2,$H223,AR$2)+(($H223-ROUNDDOWN($H223,0))*(INDEX(avoidedcosttbl2,ROUNDUP($H223,0),AR$2)-(INDEX(avoidedcosttbl2,ROUNDDOWN($H223,0),AR$2)))))*$O223*1000*'Inputs Yr 2'!AC223,"")</f>
        <v>0</v>
      </c>
      <c r="AS223" s="195">
        <f>IFERROR($CT223*(INDEX(avoidedcosttbl2,$H223,AS$2)+(($H223-ROUNDDOWN($H223,0))*(INDEX(avoidedcosttbl2,ROUNDUP($H223,0),AS$2)-(INDEX(avoidedcosttbl2,ROUNDDOWN($H223,0),AS$2)))))*$O223*1000*'Inputs Yr 2'!AD223,"")</f>
        <v>0</v>
      </c>
      <c r="AT223" s="196">
        <f t="shared" si="123"/>
        <v>0</v>
      </c>
      <c r="AU223" s="197">
        <f>IFERROR($CQ223*((INDEX(avoidedcosttbl2,$H223,AU$2))+(($H223-ROUNDDOWN($H223,0))*((INDEX(avoidedcosttbl2,ROUNDUP($H223,0),AU$2))-(INDEX(avoidedcosttbl2,ROUNDDOWN($H223,0),AU$2)))))*$O223*1000*'Inputs Yr 2'!AA223,"")</f>
        <v>0</v>
      </c>
      <c r="AV223" s="197">
        <f>IFERROR($CR223*((INDEX(avoidedcosttbl2,$H223,AV$2))+(($H223-ROUNDDOWN($H223,0))*((INDEX(avoidedcosttbl2,ROUNDUP($H223,0),AV$2))-(INDEX(avoidedcosttbl2,ROUNDDOWN($H223,0),AV$2)))))*$O223*1000*'Inputs Yr 2'!AB223,"")</f>
        <v>0</v>
      </c>
      <c r="AW223" s="197">
        <f>IFERROR($CS223*((INDEX(avoidedcosttbl2,$H223,AW$2))+(($H223-ROUNDDOWN($H223,0))*((INDEX(avoidedcosttbl2,ROUNDUP($H223,0),AW$2))-(INDEX(avoidedcosttbl2,ROUNDDOWN($H223,0),AW$2)))))*$O223*1000*'Inputs Yr 2'!AC223,"")</f>
        <v>0</v>
      </c>
      <c r="AX223" s="197">
        <f>IFERROR($CT223*((INDEX(avoidedcosttbl2,$H223,AX$2))+(($H223-ROUNDDOWN($H223,0))*((INDEX(avoidedcosttbl2,ROUNDUP($H223,0),AX$2))-(INDEX(avoidedcosttbl2,ROUNDDOWN($H223,0),AX$2)))))*$O223*1000*'Inputs Yr 2'!AD223,"")</f>
        <v>0</v>
      </c>
      <c r="AY223" s="197">
        <f>IFERROR(((INDEX(avoidedcosttbl2,$H223,AY$2))+(($H223-ROUNDDOWN($H223,0))*((INDEX(avoidedcosttbl2,ROUNDUP($H223,0),AY$2))-(INDEX(avoidedcosttbl2,ROUNDDOWN($H223,0),AY$2)))))*$O223*1000*('Inputs Yr 2'!AC223+'Inputs Yr 2'!AD223),"")</f>
        <v>0</v>
      </c>
      <c r="AZ223" s="197">
        <f>IFERROR(((INDEX(avoidedcosttbl2,$H223,AZ$2))+(($H223-ROUNDDOWN($H223,0))*((INDEX(avoidedcosttbl2,ROUNDUP($H223,0),AZ$2))-(INDEX(avoidedcosttbl2,ROUNDDOWN($H223,0),AZ$2)))))*$O223*1000*('Inputs Yr 2'!AA223+'Inputs Yr 2'!AB223),"")</f>
        <v>0</v>
      </c>
      <c r="BA223" s="198">
        <f t="shared" si="124"/>
        <v>0</v>
      </c>
      <c r="BB223" s="198">
        <f t="shared" si="125"/>
        <v>0</v>
      </c>
      <c r="BC223" s="195">
        <f t="shared" si="107"/>
        <v>0</v>
      </c>
      <c r="BD223" s="195">
        <f t="shared" si="108"/>
        <v>0</v>
      </c>
      <c r="BE223" s="195">
        <f t="shared" si="109"/>
        <v>0</v>
      </c>
      <c r="BF223" s="195">
        <f t="shared" si="110"/>
        <v>0</v>
      </c>
      <c r="BG223" s="195">
        <f t="shared" si="111"/>
        <v>0</v>
      </c>
      <c r="BH223" s="196">
        <f t="shared" si="126"/>
        <v>0</v>
      </c>
      <c r="BI223" s="196">
        <f t="shared" si="127"/>
        <v>0</v>
      </c>
      <c r="BJ223" s="195">
        <f>IFERROR($G223*(IF('Inputs Yr 2'!$AJ223=BJ$4,'Inputs Yr 2'!$AK223,IF('Inputs Yr 2'!$AL223=BJ$4,'Inputs Yr 2'!$AM223,IF('Inputs Yr 2'!$AN223=BJ$4,'Inputs Yr 2'!$AO223,0))))*(INDEX(avoidedcosttbl2,$H223,BJ$2)+(($H223-ROUNDDOWN($H223,0))*(INDEX(avoidedcosttbl2,ROUNDUP($H223,0),BJ$2)-(INDEX(avoidedcosttbl2,ROUNDDOWN($H223,0),BJ$2)))))*'Inputs Yr 2'!P223*'Inputs Yr 2'!Q223*'Inputs Yr 2'!U223,"")</f>
        <v>0</v>
      </c>
      <c r="BK223" s="195">
        <f>IFERROR($G223*(IF('Inputs Yr 2'!$AJ223=BK$4,'Inputs Yr 2'!$AK223,IF('Inputs Yr 2'!$AL223=BK$4,'Inputs Yr 2'!$AM223,IF('Inputs Yr 2'!$AN223=BK$4,'Inputs Yr 2'!$AO223,0))))*(INDEX(avoidedcosttbl2,$H223,BK$2)+(($H223-ROUNDDOWN($H223,0))*(INDEX(avoidedcosttbl2,ROUNDUP($H223,0),BK$2)-(INDEX(avoidedcosttbl2,ROUNDDOWN($H223,0),BK$2)))))*'Inputs Yr 2'!P223*'Inputs Yr 2'!Q223*'Inputs Yr 2'!U223,"")</f>
        <v>0</v>
      </c>
      <c r="BL223" s="195">
        <f>IFERROR($G223*(IF('Inputs Yr 2'!$AJ223=BL$4,'Inputs Yr 2'!$AK223,IF('Inputs Yr 2'!$AL223=BL$4,'Inputs Yr 2'!$AM223,IF('Inputs Yr 2'!$AN223=BL$4,'Inputs Yr 2'!$AO223,0))))*(INDEX(avoidedcosttbl2,$H223,BL$2)+(($H223-ROUNDDOWN($H223,0))*(INDEX(avoidedcosttbl2,ROUNDUP($H223,0),BL$2)-(INDEX(avoidedcosttbl2,ROUNDDOWN($H223,0),BL$2)))))*'Inputs Yr 2'!P223*'Inputs Yr 2'!Q223*'Inputs Yr 2'!U223,"")</f>
        <v>0</v>
      </c>
      <c r="BM223" s="195">
        <f>IFERROR($G223*(IF('Inputs Yr 2'!$AJ223=BM$4,'Inputs Yr 2'!$AK223,IF('Inputs Yr 2'!$AL223=BM$4,'Inputs Yr 2'!$AM223,IF('Inputs Yr 2'!$AN223=BM$4,'Inputs Yr 2'!$AO223,0))))*(INDEX(avoidedcosttbl2,$H223,BM$2)+(($H223-ROUNDDOWN($H223,0))*(INDEX(avoidedcosttbl2,ROUNDUP($H223,0),BM$2)-(INDEX(avoidedcosttbl2,ROUNDDOWN($H223,0),BM$2)))))*'Inputs Yr 2'!P223*'Inputs Yr 2'!Q223*'Inputs Yr 2'!U223,"")</f>
        <v>0</v>
      </c>
      <c r="BN223" s="195">
        <f>IFERROR($G223*(IF('Inputs Yr 2'!$AJ223=BN$4,'Inputs Yr 2'!$AK223,IF('Inputs Yr 2'!$AL223=BN$4,'Inputs Yr 2'!$AM223,IF('Inputs Yr 2'!$AN223=BN$4,'Inputs Yr 2'!$AO223,0))))*(INDEX(avoidedcosttbl2,$H223,BN$2)+(($H223-ROUNDDOWN($H223,0))*(INDEX(avoidedcosttbl2,ROUNDUP($H223,0),BN$2)-(INDEX(avoidedcosttbl2,ROUNDDOWN($H223,0),BN$2)))))*'Inputs Yr 2'!P223*'Inputs Yr 2'!Q223*'Inputs Yr 2'!U223,"")</f>
        <v>0</v>
      </c>
      <c r="BO223" s="195">
        <f>IFERROR($G223*(IF('Inputs Yr 2'!$AJ223=BO$4,'Inputs Yr 2'!$AK223,IF('Inputs Yr 2'!$AL223=BO$4,'Inputs Yr 2'!$AM223,IF('Inputs Yr 2'!$AN223=BO$4,'Inputs Yr 2'!$AO223,0))))*(INDEX(avoidedcosttbl2,$H223,BO$2)+(($H223-ROUNDDOWN($H223,0))*(INDEX(avoidedcosttbl2,ROUNDUP($H223,0),BO$2)-(INDEX(avoidedcosttbl2,ROUNDDOWN($H223,0),BO$2)))))*'Inputs Yr 2'!P223*'Inputs Yr 2'!Q223*'Inputs Yr 2'!U223,"")</f>
        <v>265748.16695586266</v>
      </c>
      <c r="BP223" s="195">
        <f>IFERROR($G223*(IF('Inputs Yr 2'!$AJ223=BP$4,'Inputs Yr 2'!$AK223,IF('Inputs Yr 2'!$AL223=BP$4,'Inputs Yr 2'!$AM223,IF('Inputs Yr 2'!$AN223=BP$4,'Inputs Yr 2'!$AO223,0))))*(INDEX(avoidedcosttbl2,$H223,BP$2)+(($H223-ROUNDDOWN($H223,0))*(INDEX(avoidedcosttbl2,ROUNDUP($H223,0),BP$2)-(INDEX(avoidedcosttbl2,ROUNDDOWN($H223,0),BP$2)))))*'Inputs Yr 2'!P223*'Inputs Yr 2'!Q223*'Inputs Yr 2'!U223,"")</f>
        <v>0</v>
      </c>
      <c r="BQ223" s="230">
        <f t="shared" si="128"/>
        <v>265748.16695586266</v>
      </c>
      <c r="BR223" s="197">
        <f t="shared" si="112"/>
        <v>4541.7616989298303</v>
      </c>
      <c r="BS223" s="197">
        <f>IFERROR(($G223*IF('Inputs Yr 2'!$AJ223=BM$4,'Inputs Yr 2'!$AK223,IF('Inputs Yr 2'!$AL223=BM$4,'Inputs Yr 2'!$AM223,IF('Inputs Yr 2'!$AN223=BM$4,'Inputs Yr 2'!$AO223,0))))*(INDEX(avoidedcosttbl2,$H223,BS$2)+(($H223-ROUNDDOWN($H223,0))*(INDEX(avoidedcosttbl2,ROUNDUP($H223,0),BS$2)-(INDEX(avoidedcosttbl2,ROUNDDOWN($H223,0),BS$2)))))*'Inputs Yr 2'!P223*'Inputs Yr 2'!Q223*'Inputs Yr 2'!U223,"")</f>
        <v>0</v>
      </c>
      <c r="BT223" s="197">
        <f>IFERROR(($G223*IF('Inputs Yr 2'!$AJ223=BK$4,'Inputs Yr 2'!$AK223,IF('Inputs Yr 2'!$AL223=BK$4,'Inputs Yr 2'!$AM223,IF('Inputs Yr 2'!$AN223=BK$4,'Inputs Yr 2'!$AO223,0))))*(INDEX(avoidedcosttbl2,$H223,BT$2)+(($H223-ROUNDDOWN($H223,0))*(INDEX(avoidedcosttbl2,ROUNDUP($H223,0),BT$2)-(INDEX(avoidedcosttbl2,ROUNDDOWN($H223,0),BT$2)))))*'Inputs Yr 2'!P223*'Inputs Yr 2'!Q223*'Inputs Yr 2'!U223,"")</f>
        <v>0</v>
      </c>
      <c r="BU223" s="197">
        <f>IFERROR(($G223*IF('Inputs Yr 2'!$AJ223=BL$4,'Inputs Yr 2'!$AK223,IF('Inputs Yr 2'!$AL223=BL$4,'Inputs Yr 2'!$AM223,IF('Inputs Yr 2'!$AN223=BL$4,'Inputs Yr 2'!$AO223,0))))*(INDEX(avoidedcosttbl2,$H223,BU$2)+(($H223-ROUNDDOWN($H223,0))*(INDEX(avoidedcosttbl2,ROUNDUP($H223,0),BU$2)-(INDEX(avoidedcosttbl2,ROUNDDOWN($H223,0),BU$2)))))*'Inputs Yr 2'!P223*'Inputs Yr 2'!Q223*'Inputs Yr 2'!U223,"")</f>
        <v>0</v>
      </c>
      <c r="BV223" s="775">
        <f>IFERROR(($G223*IF('Inputs Yr 2'!$AJ223=BJ$4,'Inputs Yr 2'!$AK223,IF('Inputs Yr 2'!$AL223=BJ$4,'Inputs Yr 2'!$AM223,IF('Inputs Yr 2'!$AN223=BJ$4,'Inputs Yr 2'!$AO223,0))))*(INDEX(avoidedcosttbl2,$H223,BV$2)+(($H223-ROUNDDOWN($H223,0))*(INDEX(avoidedcosttbl2,ROUNDUP($H223,0),BV$2)-(INDEX(avoidedcosttbl2,ROUNDDOWN($H223,0),BV$2)))))*'Inputs Yr 2'!P223*'Inputs Yr 2'!Q223*'Inputs Yr 2'!U223,"")</f>
        <v>0</v>
      </c>
      <c r="BW223" s="197">
        <f>IFERROR(($G223*IF('Inputs Yr 2'!$AJ223=BN$4,'Inputs Yr 2'!$AK223,IF('Inputs Yr 2'!$AL223=BN$4,'Inputs Yr 2'!$AM223,IF('Inputs Yr 2'!$AN223=BN$4,'Inputs Yr 2'!$AO223,0))))*(INDEX(avoidedcosttbl2,$H223,BW$2)+(($H223-ROUNDDOWN($H223,0))*(INDEX(avoidedcosttbl2,ROUNDUP($H223,0),BW$2)-(INDEX(avoidedcosttbl2,ROUNDDOWN($H223,0),BW$2)))))*'Inputs Yr 2'!P223*'Inputs Yr 2'!Q223*'Inputs Yr 2'!U223,"")</f>
        <v>0</v>
      </c>
      <c r="BX223" s="197">
        <f>IFERROR(($G223*IF('Inputs Yr 2'!$AJ223=BO$4,'Inputs Yr 2'!$AK223,IF('Inputs Yr 2'!$AL223=BO$4,'Inputs Yr 2'!$AM223,IF('Inputs Yr 2'!$AN223=BO$4,'Inputs Yr 2'!$AO223,0))))*(INDEX(avoidedcosttbl2,$H223,BX$2)+(($H223-ROUNDDOWN($H223,0))*(INDEX(avoidedcosttbl2,ROUNDUP($H223,0),BX$2)-(INDEX(avoidedcosttbl2,ROUNDDOWN($H223,0),BX$2)))))*'Inputs Yr 2'!P223*'Inputs Yr 2'!Q223*'Inputs Yr 2'!U223,"")</f>
        <v>16752.053251261801</v>
      </c>
      <c r="BY223" s="197">
        <f>IFERROR(($G223*IF('Inputs Yr 2'!$AJ223=BP$4,'Inputs Yr 2'!$AK223,IF('Inputs Yr 2'!$AL223=BP$4,'Inputs Yr 2'!$AM223,IF('Inputs Yr 2'!$AN223=BP$4,'Inputs Yr 2'!$AO223,0))))*(INDEX(avoidedcosttbl2,$H223,BY$2)+(($H223-ROUNDDOWN($H223,0))*(INDEX(avoidedcosttbl2,ROUNDUP($H223,0),BY$2)-(INDEX(avoidedcosttbl2,ROUNDDOWN($H223,0),BY$2)))))*'Inputs Yr 2'!P223*'Inputs Yr 2'!Q223*'Inputs Yr 2'!U223,"")</f>
        <v>0</v>
      </c>
      <c r="BZ223" s="193">
        <f t="shared" si="129"/>
        <v>21293.81495019163</v>
      </c>
      <c r="CA223" s="193">
        <f t="shared" si="130"/>
        <v>287041.98190605431</v>
      </c>
      <c r="CB223" s="195">
        <f>IFERROR(G223*(IF('Inputs Yr 2'!$AJ223=CB$4,'Inputs Yr 2'!$AK223,IF('Inputs Yr 2'!$AL223=CB$4,'Inputs Yr 2'!$AM223,IF('Inputs Yr 2'!$AN223=CB$4,'Inputs Yr 2'!$AO223,0))))*(INDEX(avoidedcosttbl2,$H223,CB$2)+(($H223-ROUNDDOWN($H223,0))*(INDEX(avoidedcosttbl2,ROUNDUP($H223,0),CB$2)-(INDEX(avoidedcosttbl2,ROUNDDOWN($H223,0),CB$2)))))*'Inputs Yr 2'!P223*'Inputs Yr 2'!Q223*'Inputs Yr 2'!U223,"")</f>
        <v>0</v>
      </c>
      <c r="CC223" s="195">
        <f>IFERROR(H223*(IF('Inputs Yr 2'!$AJ223=CC$4,'Inputs Yr 2'!$AK223,IF('Inputs Yr 2'!$AL223=CC$4,'Inputs Yr 2'!$AM223,IF('Inputs Yr 2'!$AN223=CC$4,'Inputs Yr 2'!$AO223,0))))*(INDEX(avoidedcosttbl2,$H223,CC$2)+(($H223-ROUNDDOWN($H223,0))*(INDEX(avoidedcosttbl2,ROUNDUP($H223,0),CC$2)-(INDEX(avoidedcosttbl2,ROUNDDOWN($H223,0),CC$2)))))*'Inputs Yr 2'!Q223*'Inputs Yr 2'!R223*'Inputs Yr 2'!V223,"")</f>
        <v>0</v>
      </c>
      <c r="CD223" s="195">
        <f>IFERROR(I223*(IF('Inputs Yr 2'!$AJ223=CD$4,'Inputs Yr 2'!$AK223,IF('Inputs Yr 2'!$AL223=CD$4,'Inputs Yr 2'!$AM223,IF('Inputs Yr 2'!$AN223=CD$4,'Inputs Yr 2'!$AO223,0))))*(INDEX(avoidedcosttbl2,$H223,CD$2)+(($H223-ROUNDDOWN($H223,0))*(INDEX(avoidedcosttbl2,ROUNDUP($H223,0),CD$2)-(INDEX(avoidedcosttbl2,ROUNDDOWN($H223,0),CD$2)))))*'Inputs Yr 2'!R223*'Inputs Yr 2'!S223*'Inputs Yr 2'!W223,"")</f>
        <v>0</v>
      </c>
      <c r="CE223" s="213">
        <f t="shared" si="131"/>
        <v>0</v>
      </c>
      <c r="CF223" s="213">
        <f t="shared" si="132"/>
        <v>0</v>
      </c>
      <c r="CG223" s="213">
        <f t="shared" si="133"/>
        <v>0</v>
      </c>
      <c r="CH223" s="698">
        <f t="shared" si="134"/>
        <v>287041.98190605431</v>
      </c>
      <c r="CI223" s="79">
        <f>IFERROR(($G223*'Inputs Yr 2'!$P223*'Inputs Yr 2'!$Q223*(((INDEX(avoidedcosttbl2,$H223,CI$2)+(($H223-ROUNDDOWN($H223,0))*(INDEX(avoidedcosttbl2,ROUNDUP($H223,0),CI$2)-INDEX(avoidedcosttbl2,ROUNDDOWN($H223,0),CI$2))))*'Inputs Yr 2'!AS223))),"")</f>
        <v>0</v>
      </c>
      <c r="CJ223" s="504">
        <f>IFERROR($G223*'Inputs Yr 2'!AT223*'Inputs Yr 2'!$P223*'Inputs Yr 2'!$Q223/((1+realdiscrt1)^-0.5),"")</f>
        <v>0</v>
      </c>
      <c r="CK223" s="79">
        <f>IFERROR((O223*1000*(((INDEX(avoidedcosttbl2,$H223,CK$2)+(($H223-ROUNDDOWN($H223,0))*(INDEX(avoidedcosttbl2,ROUNDUP($H223,0),CK$2)-INDEX(avoidedcosttbl2,ROUNDDOWN($H223,0),CK$2))))*'Inputs Yr 2'!AU223))),"")</f>
        <v>0</v>
      </c>
      <c r="CL223" s="504">
        <f>IFERROR(O223*1000*'Inputs Yr 2'!AV223/((1+realdiscrt1)^-0.5),"")</f>
        <v>0</v>
      </c>
      <c r="CM223" s="79">
        <f>IFERROR((AB223*'Inputs Yr 2'!AW223*(((INDEX(avoidedcosttbl2,$H223,CM$2)+(($H223-ROUNDDOWN($H223,0))*(INDEX(avoidedcosttbl2,ROUNDUP($H223,0),CM$2)-INDEX(avoidedcosttbl2,ROUNDDOWN($H223,0),CM$2)))))))*10,"")</f>
        <v>0</v>
      </c>
      <c r="CN223" s="504">
        <f>IFERROR(10*AB223*'Inputs Yr 2'!AX223/((1+realdiscrt1)^-0.5),"")</f>
        <v>0</v>
      </c>
      <c r="CO223" s="505">
        <f t="shared" si="135"/>
        <v>0</v>
      </c>
      <c r="CP223" s="230">
        <f t="shared" si="136"/>
        <v>287041.98190605431</v>
      </c>
      <c r="CQ223" s="199">
        <f>ROUND(IFERROR(IF(LEFT($A223,1)="C",'Avoided Costs'!$K$13,'Avoided Costs'!$K$12)+1,""),4)</f>
        <v>1.0720000000000001</v>
      </c>
      <c r="CR223" s="199">
        <f>ROUND(IFERROR(IF(LEFT($A223,1)="C",'Avoided Costs'!$L$13,'Avoided Costs'!$L$12)+1,""),4)</f>
        <v>1.04</v>
      </c>
      <c r="CS223" s="199">
        <f>ROUND(IFERROR(IF(LEFT($A223,1)="C",'Avoided Costs'!$M$13,'Avoided Costs'!$M$12)+1,""),4)</f>
        <v>1.0720000000000001</v>
      </c>
      <c r="CT223" s="199">
        <f>ROUND(IFERROR(IF(LEFT($A223,1)="C",'Avoided Costs'!$N$13,'Avoided Costs'!$N$12)+1,""),4)</f>
        <v>1.04</v>
      </c>
      <c r="CU223" s="199">
        <f>ROUND(IFERROR(IF(LEFT($A223,1)="C",'Avoided Costs'!$O$13,'Avoided Costs'!$O$12)+1,""),4)</f>
        <v>1.1120000000000001</v>
      </c>
      <c r="CV223" s="199">
        <f>ROUND(IFERROR(IF(LEFT($A223,1)="C",'Avoided Costs'!$P$13,'Avoided Costs'!$P$12)+1,""),4)</f>
        <v>1.095</v>
      </c>
      <c r="CW223" s="199">
        <f>ROUND(IFERROR(IF(LEFT($A223,1)="C",'Avoided Costs'!$Q$13,'Avoided Costs'!$Q$12)+1,""),4)</f>
        <v>1.1120000000000001</v>
      </c>
      <c r="CX223" s="200">
        <f>ROUND(IFERROR(IF(LEFT($A223,1)="C",'Avoided Costs'!$R$13,'Avoided Costs'!$R$12)+1,""),4)</f>
        <v>1.1120000000000001</v>
      </c>
    </row>
    <row r="224" spans="1:102" ht="12.75" customHeight="1">
      <c r="A224" s="91" t="str">
        <f>IF('Inputs Yr 2'!$B224=0,"",'Inputs Yr 2'!A224)</f>
        <v>C - Commercial &amp; Industrial</v>
      </c>
      <c r="B224" s="91" t="str">
        <f>IF('Inputs Yr 2'!$B224=0,"",'Inputs Yr 2'!B224)</f>
        <v>C1 - C&amp;I New Construction</v>
      </c>
      <c r="C224" s="91" t="str">
        <f>IF('Inputs Yr 2'!$B224=0,"",'Inputs Yr 2'!C224)</f>
        <v xml:space="preserve">C1b - C&amp;I Initial Purchase &amp; End of Useful Life </v>
      </c>
      <c r="D224" s="91" t="str">
        <f>IF('Inputs Yr 2'!$B224=0,"",'Inputs Yr 2'!E224)</f>
        <v>Tankless Water Heater 0.82 - Upstream</v>
      </c>
      <c r="E224" s="93" t="str">
        <f>IF('Inputs Yr 2'!$B224=0,"",'Inputs Yr 2'!F224)</f>
        <v>G16C1b24</v>
      </c>
      <c r="F224" s="93" t="str">
        <f>IF('Inputs Yr 2'!$B224=0,"",'Inputs Yr 2'!G224)</f>
        <v>Hot Water</v>
      </c>
      <c r="G224" s="95">
        <f>IF('Inputs Yr 2'!$H224&lt;&gt;0,('Inputs Yr 2'!H224),"")</f>
        <v>16</v>
      </c>
      <c r="H224" s="94">
        <f>IFERROR('Inputs Yr 2'!I224,"")</f>
        <v>20</v>
      </c>
      <c r="I224" s="298">
        <f>IFERROR('Inputs Yr 2'!J224*'Inputs Yr 2'!P224*G224,"")</f>
        <v>5958.9532800000006</v>
      </c>
      <c r="J224" s="298">
        <f>IFERROR('Inputs Yr 2'!K224*G224,"")</f>
        <v>1593.6</v>
      </c>
      <c r="K224" s="298">
        <f t="shared" si="113"/>
        <v>4365.3532800000012</v>
      </c>
      <c r="L224" s="194">
        <f>IFERROR(('Inputs Yr 2'!W224*G224)/1000,"")</f>
        <v>0</v>
      </c>
      <c r="M224" s="194">
        <f>IFERROR(L224*('Inputs Yr 2'!$Q224*'Inputs Yr 2'!$V224*'Inputs Yr 2'!$R224),"")</f>
        <v>0</v>
      </c>
      <c r="N224" s="194">
        <f t="shared" si="114"/>
        <v>0</v>
      </c>
      <c r="O224" s="194">
        <f>IFERROR(M224*'Inputs Yr 2'!P224,"")</f>
        <v>0</v>
      </c>
      <c r="P224" s="194">
        <f t="shared" si="115"/>
        <v>0</v>
      </c>
      <c r="Q224" s="194">
        <f>IFERROR($P224*'Inputs Yr 2'!AA224,"")</f>
        <v>0</v>
      </c>
      <c r="R224" s="194">
        <f>IFERROR($P224*'Inputs Yr 2'!AB224,"")</f>
        <v>0</v>
      </c>
      <c r="S224" s="194">
        <f>IFERROR($P224*'Inputs Yr 2'!AC224,"")</f>
        <v>0</v>
      </c>
      <c r="T224" s="194">
        <f>IFERROR($P224*'Inputs Yr 2'!AD224,"")</f>
        <v>0</v>
      </c>
      <c r="U224" s="194">
        <f>IFERROR(G224*'Inputs Yr 2'!$AE224*'Inputs Yr 2'!$P224*'Inputs Yr 2'!$Q224,"")</f>
        <v>0</v>
      </c>
      <c r="V224" s="194">
        <f>IFERROR($G224*'Inputs Yr 2'!$AE224*'Inputs Yr 2'!$AG224*'Inputs Yr 2'!Q224*'Inputs Yr 2'!$S224,"")</f>
        <v>0</v>
      </c>
      <c r="W224" s="194">
        <f>IFERROR($G224*'Inputs Yr 2'!$AE224*'Inputs Yr 2'!$AG224*'Inputs Yr 2'!P224*'Inputs Yr 2'!Q224*'Inputs Yr 2'!$S224,"")</f>
        <v>0</v>
      </c>
      <c r="X224" s="194">
        <f>IFERROR($G224*'Inputs Yr 2'!$AE224*'Inputs Yr 2'!$AF224*'Inputs Yr 2'!Q224*'Inputs Yr 2'!$T224,"")</f>
        <v>0</v>
      </c>
      <c r="Y224" s="194">
        <f>IFERROR($G224*'Inputs Yr 2'!$AE224*'Inputs Yr 2'!$AF224*'Inputs Yr 2'!P224*'Inputs Yr 2'!Q224*'Inputs Yr 2'!$T224,"")</f>
        <v>0</v>
      </c>
      <c r="Z224" s="257">
        <f>IFERROR($G224*'Inputs Yr 2'!$Q224*'Inputs Yr 2'!$U224*(IF(IFERROR(SEARCH("NG", 'Inputs Yr 2'!$AJ224),0),'Inputs Yr 2'!$AK224,0)+IF(IFERROR(SEARCH("NG", 'Inputs Yr 2'!$AL224),0),'Inputs Yr 2'!$AM224,0)+IF(IFERROR(SEARCH("NG", 'Inputs Yr 2'!$AN224),0),'Inputs Yr 2'!$AO224,0)),0)</f>
        <v>100.79999999999997</v>
      </c>
      <c r="AA224" s="257">
        <f t="shared" si="116"/>
        <v>2015.9999999999993</v>
      </c>
      <c r="AB224" s="257">
        <f>IFERROR(Z224*'Inputs Yr 2'!$P224,0)</f>
        <v>85.27679999999998</v>
      </c>
      <c r="AC224" s="257">
        <f t="shared" si="117"/>
        <v>1705.5359999999996</v>
      </c>
      <c r="AD224" s="257">
        <f>IFERROR($G224*'Inputs Yr 2'!$Q224*'Inputs Yr 2'!$U224*(IF(IFERROR(SEARCH("Oil", 'Inputs Yr 2'!$AJ224), 0),'Inputs Yr 2'!$AK224,0)+IF(IFERROR(SEARCH("Oil", 'Inputs Yr 2'!$AL224), 0),'Inputs Yr 2'!$AM224,0)+IF(IFERROR(SEARCH("Oil", 'Inputs Yr 2'!$AN224), 0),'Inputs Yr 2'!$AO224,0)),0)</f>
        <v>0</v>
      </c>
      <c r="AE224" s="257">
        <f t="shared" si="118"/>
        <v>0</v>
      </c>
      <c r="AF224" s="257">
        <f>IFERROR(AD224*'Inputs Yr 2'!$P224,0)</f>
        <v>0</v>
      </c>
      <c r="AG224" s="257">
        <f t="shared" si="119"/>
        <v>0</v>
      </c>
      <c r="AH224" s="257">
        <f>IFERROR($G224*'Inputs Yr 2'!$Q224*'Inputs Yr 2'!$U224*(IF('Inputs Yr 2'!$AJ224=CD$4,'Inputs Yr 2'!$AK224,IF('Inputs Yr 2'!$AL224=CD$4,'Inputs Yr 2'!$AM224,IF('Inputs Yr 2'!$AN224=CD$4,'Inputs Yr 2'!$AO224,0)))),0)</f>
        <v>0</v>
      </c>
      <c r="AI224" s="257">
        <f t="shared" si="120"/>
        <v>0</v>
      </c>
      <c r="AJ224" s="257">
        <f>IFERROR(AH224*'Inputs Yr 2'!$P224,0)</f>
        <v>0</v>
      </c>
      <c r="AK224" s="257">
        <f t="shared" si="121"/>
        <v>0</v>
      </c>
      <c r="AL224" s="258">
        <f>IFERROR($G224*'Inputs Yr 2'!$P224*'Inputs Yr 2'!$Q224*'Inputs Yr 2'!AP224,0)</f>
        <v>0</v>
      </c>
      <c r="AM224" s="260">
        <f>IFERROR($G224*'Inputs Yr 2'!$P224*'Inputs Yr 2'!$Q224*'Inputs Yr 2'!AQ224,0)</f>
        <v>0</v>
      </c>
      <c r="AN224" s="258">
        <f>IFERROR($G224*'Inputs Yr 2'!$P224*'Inputs Yr 2'!$Q224*'Inputs Yr 2'!AR224,0)</f>
        <v>0</v>
      </c>
      <c r="AO224" s="257">
        <f t="shared" si="122"/>
        <v>0</v>
      </c>
      <c r="AP224" s="195">
        <f>IFERROR($CQ224*(INDEX(avoidedcosttbl2,$H224,AP$2)+(($H224-ROUNDDOWN($H224,0))*(INDEX(avoidedcosttbl2,ROUNDUP($H224,0),AP$2)-(INDEX(avoidedcosttbl2,ROUNDDOWN($H224,0),AP$2)))))*$O224*1000*'Inputs Yr 2'!AA224,"")</f>
        <v>0</v>
      </c>
      <c r="AQ224" s="195">
        <f>IFERROR($CR224*(INDEX(avoidedcosttbl2,$H224,AQ$2)+(($H224-ROUNDDOWN($H224,0))*(INDEX(avoidedcosttbl2,ROUNDUP($H224,0),AQ$2)-(INDEX(avoidedcosttbl2,ROUNDDOWN($H224,0),AQ$2)))))*$O224*1000*'Inputs Yr 2'!AB224,"")</f>
        <v>0</v>
      </c>
      <c r="AR224" s="195">
        <f>IFERROR($CS224*(INDEX(avoidedcosttbl2,$H224,AR$2)+(($H224-ROUNDDOWN($H224,0))*(INDEX(avoidedcosttbl2,ROUNDUP($H224,0),AR$2)-(INDEX(avoidedcosttbl2,ROUNDDOWN($H224,0),AR$2)))))*$O224*1000*'Inputs Yr 2'!AC224,"")</f>
        <v>0</v>
      </c>
      <c r="AS224" s="195">
        <f>IFERROR($CT224*(INDEX(avoidedcosttbl2,$H224,AS$2)+(($H224-ROUNDDOWN($H224,0))*(INDEX(avoidedcosttbl2,ROUNDUP($H224,0),AS$2)-(INDEX(avoidedcosttbl2,ROUNDDOWN($H224,0),AS$2)))))*$O224*1000*'Inputs Yr 2'!AD224,"")</f>
        <v>0</v>
      </c>
      <c r="AT224" s="196">
        <f t="shared" si="123"/>
        <v>0</v>
      </c>
      <c r="AU224" s="197">
        <f>IFERROR($CQ224*((INDEX(avoidedcosttbl2,$H224,AU$2))+(($H224-ROUNDDOWN($H224,0))*((INDEX(avoidedcosttbl2,ROUNDUP($H224,0),AU$2))-(INDEX(avoidedcosttbl2,ROUNDDOWN($H224,0),AU$2)))))*$O224*1000*'Inputs Yr 2'!AA224,"")</f>
        <v>0</v>
      </c>
      <c r="AV224" s="197">
        <f>IFERROR($CR224*((INDEX(avoidedcosttbl2,$H224,AV$2))+(($H224-ROUNDDOWN($H224,0))*((INDEX(avoidedcosttbl2,ROUNDUP($H224,0),AV$2))-(INDEX(avoidedcosttbl2,ROUNDDOWN($H224,0),AV$2)))))*$O224*1000*'Inputs Yr 2'!AB224,"")</f>
        <v>0</v>
      </c>
      <c r="AW224" s="197">
        <f>IFERROR($CS224*((INDEX(avoidedcosttbl2,$H224,AW$2))+(($H224-ROUNDDOWN($H224,0))*((INDEX(avoidedcosttbl2,ROUNDUP($H224,0),AW$2))-(INDEX(avoidedcosttbl2,ROUNDDOWN($H224,0),AW$2)))))*$O224*1000*'Inputs Yr 2'!AC224,"")</f>
        <v>0</v>
      </c>
      <c r="AX224" s="197">
        <f>IFERROR($CT224*((INDEX(avoidedcosttbl2,$H224,AX$2))+(($H224-ROUNDDOWN($H224,0))*((INDEX(avoidedcosttbl2,ROUNDUP($H224,0),AX$2))-(INDEX(avoidedcosttbl2,ROUNDDOWN($H224,0),AX$2)))))*$O224*1000*'Inputs Yr 2'!AD224,"")</f>
        <v>0</v>
      </c>
      <c r="AY224" s="197">
        <f>IFERROR(((INDEX(avoidedcosttbl2,$H224,AY$2))+(($H224-ROUNDDOWN($H224,0))*((INDEX(avoidedcosttbl2,ROUNDUP($H224,0),AY$2))-(INDEX(avoidedcosttbl2,ROUNDDOWN($H224,0),AY$2)))))*$O224*1000*('Inputs Yr 2'!AC224+'Inputs Yr 2'!AD224),"")</f>
        <v>0</v>
      </c>
      <c r="AZ224" s="197">
        <f>IFERROR(((INDEX(avoidedcosttbl2,$H224,AZ$2))+(($H224-ROUNDDOWN($H224,0))*((INDEX(avoidedcosttbl2,ROUNDUP($H224,0),AZ$2))-(INDEX(avoidedcosttbl2,ROUNDDOWN($H224,0),AZ$2)))))*$O224*1000*('Inputs Yr 2'!AA224+'Inputs Yr 2'!AB224),"")</f>
        <v>0</v>
      </c>
      <c r="BA224" s="198">
        <f t="shared" si="124"/>
        <v>0</v>
      </c>
      <c r="BB224" s="198">
        <f t="shared" si="125"/>
        <v>0</v>
      </c>
      <c r="BC224" s="195">
        <f t="shared" si="107"/>
        <v>0</v>
      </c>
      <c r="BD224" s="195">
        <f t="shared" si="108"/>
        <v>0</v>
      </c>
      <c r="BE224" s="195">
        <f t="shared" si="109"/>
        <v>0</v>
      </c>
      <c r="BF224" s="195">
        <f t="shared" si="110"/>
        <v>0</v>
      </c>
      <c r="BG224" s="195">
        <f t="shared" si="111"/>
        <v>0</v>
      </c>
      <c r="BH224" s="196">
        <f t="shared" si="126"/>
        <v>0</v>
      </c>
      <c r="BI224" s="196">
        <f t="shared" si="127"/>
        <v>0</v>
      </c>
      <c r="BJ224" s="195">
        <f>IFERROR($G224*(IF('Inputs Yr 2'!$AJ224=BJ$4,'Inputs Yr 2'!$AK224,IF('Inputs Yr 2'!$AL224=BJ$4,'Inputs Yr 2'!$AM224,IF('Inputs Yr 2'!$AN224=BJ$4,'Inputs Yr 2'!$AO224,0))))*(INDEX(avoidedcosttbl2,$H224,BJ$2)+(($H224-ROUNDDOWN($H224,0))*(INDEX(avoidedcosttbl2,ROUNDUP($H224,0),BJ$2)-(INDEX(avoidedcosttbl2,ROUNDDOWN($H224,0),BJ$2)))))*'Inputs Yr 2'!P224*'Inputs Yr 2'!Q224*'Inputs Yr 2'!U224,"")</f>
        <v>0</v>
      </c>
      <c r="BK224" s="195">
        <f>IFERROR($G224*(IF('Inputs Yr 2'!$AJ224=BK$4,'Inputs Yr 2'!$AK224,IF('Inputs Yr 2'!$AL224=BK$4,'Inputs Yr 2'!$AM224,IF('Inputs Yr 2'!$AN224=BK$4,'Inputs Yr 2'!$AO224,0))))*(INDEX(avoidedcosttbl2,$H224,BK$2)+(($H224-ROUNDDOWN($H224,0))*(INDEX(avoidedcosttbl2,ROUNDUP($H224,0),BK$2)-(INDEX(avoidedcosttbl2,ROUNDDOWN($H224,0),BK$2)))))*'Inputs Yr 2'!P224*'Inputs Yr 2'!Q224*'Inputs Yr 2'!U224,"")</f>
        <v>0</v>
      </c>
      <c r="BL224" s="195">
        <f>IFERROR($G224*(IF('Inputs Yr 2'!$AJ224=BL$4,'Inputs Yr 2'!$AK224,IF('Inputs Yr 2'!$AL224=BL$4,'Inputs Yr 2'!$AM224,IF('Inputs Yr 2'!$AN224=BL$4,'Inputs Yr 2'!$AO224,0))))*(INDEX(avoidedcosttbl2,$H224,BL$2)+(($H224-ROUNDDOWN($H224,0))*(INDEX(avoidedcosttbl2,ROUNDUP($H224,0),BL$2)-(INDEX(avoidedcosttbl2,ROUNDDOWN($H224,0),BL$2)))))*'Inputs Yr 2'!P224*'Inputs Yr 2'!Q224*'Inputs Yr 2'!U224,"")</f>
        <v>0</v>
      </c>
      <c r="BM224" s="195">
        <f>IFERROR($G224*(IF('Inputs Yr 2'!$AJ224=BM$4,'Inputs Yr 2'!$AK224,IF('Inputs Yr 2'!$AL224=BM$4,'Inputs Yr 2'!$AM224,IF('Inputs Yr 2'!$AN224=BM$4,'Inputs Yr 2'!$AO224,0))))*(INDEX(avoidedcosttbl2,$H224,BM$2)+(($H224-ROUNDDOWN($H224,0))*(INDEX(avoidedcosttbl2,ROUNDUP($H224,0),BM$2)-(INDEX(avoidedcosttbl2,ROUNDDOWN($H224,0),BM$2)))))*'Inputs Yr 2'!P224*'Inputs Yr 2'!Q224*'Inputs Yr 2'!U224,"")</f>
        <v>0</v>
      </c>
      <c r="BN224" s="195">
        <f>IFERROR($G224*(IF('Inputs Yr 2'!$AJ224=BN$4,'Inputs Yr 2'!$AK224,IF('Inputs Yr 2'!$AL224=BN$4,'Inputs Yr 2'!$AM224,IF('Inputs Yr 2'!$AN224=BN$4,'Inputs Yr 2'!$AO224,0))))*(INDEX(avoidedcosttbl2,$H224,BN$2)+(($H224-ROUNDDOWN($H224,0))*(INDEX(avoidedcosttbl2,ROUNDUP($H224,0),BN$2)-(INDEX(avoidedcosttbl2,ROUNDDOWN($H224,0),BN$2)))))*'Inputs Yr 2'!P224*'Inputs Yr 2'!Q224*'Inputs Yr 2'!U224,"")</f>
        <v>12285.547420339926</v>
      </c>
      <c r="BO224" s="195">
        <f>IFERROR($G224*(IF('Inputs Yr 2'!$AJ224=BO$4,'Inputs Yr 2'!$AK224,IF('Inputs Yr 2'!$AL224=BO$4,'Inputs Yr 2'!$AM224,IF('Inputs Yr 2'!$AN224=BO$4,'Inputs Yr 2'!$AO224,0))))*(INDEX(avoidedcosttbl2,$H224,BO$2)+(($H224-ROUNDDOWN($H224,0))*(INDEX(avoidedcosttbl2,ROUNDUP($H224,0),BO$2)-(INDEX(avoidedcosttbl2,ROUNDDOWN($H224,0),BO$2)))))*'Inputs Yr 2'!P224*'Inputs Yr 2'!Q224*'Inputs Yr 2'!U224,"")</f>
        <v>0</v>
      </c>
      <c r="BP224" s="195">
        <f>IFERROR($G224*(IF('Inputs Yr 2'!$AJ224=BP$4,'Inputs Yr 2'!$AK224,IF('Inputs Yr 2'!$AL224=BP$4,'Inputs Yr 2'!$AM224,IF('Inputs Yr 2'!$AN224=BP$4,'Inputs Yr 2'!$AO224,0))))*(INDEX(avoidedcosttbl2,$H224,BP$2)+(($H224-ROUNDDOWN($H224,0))*(INDEX(avoidedcosttbl2,ROUNDUP($H224,0),BP$2)-(INDEX(avoidedcosttbl2,ROUNDDOWN($H224,0),BP$2)))))*'Inputs Yr 2'!P224*'Inputs Yr 2'!Q224*'Inputs Yr 2'!U224,"")</f>
        <v>0</v>
      </c>
      <c r="BQ224" s="230">
        <f t="shared" si="128"/>
        <v>12285.547420339926</v>
      </c>
      <c r="BR224" s="197">
        <f t="shared" si="112"/>
        <v>228.68029748021601</v>
      </c>
      <c r="BS224" s="197">
        <f>IFERROR(($G224*IF('Inputs Yr 2'!$AJ224=BM$4,'Inputs Yr 2'!$AK224,IF('Inputs Yr 2'!$AL224=BM$4,'Inputs Yr 2'!$AM224,IF('Inputs Yr 2'!$AN224=BM$4,'Inputs Yr 2'!$AO224,0))))*(INDEX(avoidedcosttbl2,$H224,BS$2)+(($H224-ROUNDDOWN($H224,0))*(INDEX(avoidedcosttbl2,ROUNDUP($H224,0),BS$2)-(INDEX(avoidedcosttbl2,ROUNDDOWN($H224,0),BS$2)))))*'Inputs Yr 2'!P224*'Inputs Yr 2'!Q224*'Inputs Yr 2'!U224,"")</f>
        <v>0</v>
      </c>
      <c r="BT224" s="197">
        <f>IFERROR(($G224*IF('Inputs Yr 2'!$AJ224=BK$4,'Inputs Yr 2'!$AK224,IF('Inputs Yr 2'!$AL224=BK$4,'Inputs Yr 2'!$AM224,IF('Inputs Yr 2'!$AN224=BK$4,'Inputs Yr 2'!$AO224,0))))*(INDEX(avoidedcosttbl2,$H224,BT$2)+(($H224-ROUNDDOWN($H224,0))*(INDEX(avoidedcosttbl2,ROUNDUP($H224,0),BT$2)-(INDEX(avoidedcosttbl2,ROUNDDOWN($H224,0),BT$2)))))*'Inputs Yr 2'!P224*'Inputs Yr 2'!Q224*'Inputs Yr 2'!U224,"")</f>
        <v>0</v>
      </c>
      <c r="BU224" s="197">
        <f>IFERROR(($G224*IF('Inputs Yr 2'!$AJ224=BL$4,'Inputs Yr 2'!$AK224,IF('Inputs Yr 2'!$AL224=BL$4,'Inputs Yr 2'!$AM224,IF('Inputs Yr 2'!$AN224=BL$4,'Inputs Yr 2'!$AO224,0))))*(INDEX(avoidedcosttbl2,$H224,BU$2)+(($H224-ROUNDDOWN($H224,0))*(INDEX(avoidedcosttbl2,ROUNDUP($H224,0),BU$2)-(INDEX(avoidedcosttbl2,ROUNDDOWN($H224,0),BU$2)))))*'Inputs Yr 2'!P224*'Inputs Yr 2'!Q224*'Inputs Yr 2'!U224,"")</f>
        <v>0</v>
      </c>
      <c r="BV224" s="775">
        <f>IFERROR(($G224*IF('Inputs Yr 2'!$AJ224=BJ$4,'Inputs Yr 2'!$AK224,IF('Inputs Yr 2'!$AL224=BJ$4,'Inputs Yr 2'!$AM224,IF('Inputs Yr 2'!$AN224=BJ$4,'Inputs Yr 2'!$AO224,0))))*(INDEX(avoidedcosttbl2,$H224,BV$2)+(($H224-ROUNDDOWN($H224,0))*(INDEX(avoidedcosttbl2,ROUNDUP($H224,0),BV$2)-(INDEX(avoidedcosttbl2,ROUNDDOWN($H224,0),BV$2)))))*'Inputs Yr 2'!P224*'Inputs Yr 2'!Q224*'Inputs Yr 2'!U224,"")</f>
        <v>0</v>
      </c>
      <c r="BW224" s="197">
        <f>IFERROR(($G224*IF('Inputs Yr 2'!$AJ224=BN$4,'Inputs Yr 2'!$AK224,IF('Inputs Yr 2'!$AL224=BN$4,'Inputs Yr 2'!$AM224,IF('Inputs Yr 2'!$AN224=BN$4,'Inputs Yr 2'!$AO224,0))))*(INDEX(avoidedcosttbl2,$H224,BW$2)+(($H224-ROUNDDOWN($H224,0))*(INDEX(avoidedcosttbl2,ROUNDUP($H224,0),BW$2)-(INDEX(avoidedcosttbl2,ROUNDDOWN($H224,0),BW$2)))))*'Inputs Yr 2'!P224*'Inputs Yr 2'!Q224*'Inputs Yr 2'!U224,"")</f>
        <v>860.34479461309184</v>
      </c>
      <c r="BX224" s="197">
        <f>IFERROR(($G224*IF('Inputs Yr 2'!$AJ224=BO$4,'Inputs Yr 2'!$AK224,IF('Inputs Yr 2'!$AL224=BO$4,'Inputs Yr 2'!$AM224,IF('Inputs Yr 2'!$AN224=BO$4,'Inputs Yr 2'!$AO224,0))))*(INDEX(avoidedcosttbl2,$H224,BX$2)+(($H224-ROUNDDOWN($H224,0))*(INDEX(avoidedcosttbl2,ROUNDUP($H224,0),BX$2)-(INDEX(avoidedcosttbl2,ROUNDDOWN($H224,0),BX$2)))))*'Inputs Yr 2'!P224*'Inputs Yr 2'!Q224*'Inputs Yr 2'!U224,"")</f>
        <v>0</v>
      </c>
      <c r="BY224" s="197">
        <f>IFERROR(($G224*IF('Inputs Yr 2'!$AJ224=BP$4,'Inputs Yr 2'!$AK224,IF('Inputs Yr 2'!$AL224=BP$4,'Inputs Yr 2'!$AM224,IF('Inputs Yr 2'!$AN224=BP$4,'Inputs Yr 2'!$AO224,0))))*(INDEX(avoidedcosttbl2,$H224,BY$2)+(($H224-ROUNDDOWN($H224,0))*(INDEX(avoidedcosttbl2,ROUNDUP($H224,0),BY$2)-(INDEX(avoidedcosttbl2,ROUNDDOWN($H224,0),BY$2)))))*'Inputs Yr 2'!P224*'Inputs Yr 2'!Q224*'Inputs Yr 2'!U224,"")</f>
        <v>0</v>
      </c>
      <c r="BZ224" s="193">
        <f t="shared" si="129"/>
        <v>1089.0250920933079</v>
      </c>
      <c r="CA224" s="193">
        <f t="shared" si="130"/>
        <v>13374.572512433235</v>
      </c>
      <c r="CB224" s="195">
        <f>IFERROR(G224*(IF('Inputs Yr 2'!$AJ224=CB$4,'Inputs Yr 2'!$AK224,IF('Inputs Yr 2'!$AL224=CB$4,'Inputs Yr 2'!$AM224,IF('Inputs Yr 2'!$AN224=CB$4,'Inputs Yr 2'!$AO224,0))))*(INDEX(avoidedcosttbl2,$H224,CB$2)+(($H224-ROUNDDOWN($H224,0))*(INDEX(avoidedcosttbl2,ROUNDUP($H224,0),CB$2)-(INDEX(avoidedcosttbl2,ROUNDDOWN($H224,0),CB$2)))))*'Inputs Yr 2'!P224*'Inputs Yr 2'!Q224*'Inputs Yr 2'!U224,"")</f>
        <v>0</v>
      </c>
      <c r="CC224" s="195">
        <f>IFERROR(H224*(IF('Inputs Yr 2'!$AJ224=CC$4,'Inputs Yr 2'!$AK224,IF('Inputs Yr 2'!$AL224=CC$4,'Inputs Yr 2'!$AM224,IF('Inputs Yr 2'!$AN224=CC$4,'Inputs Yr 2'!$AO224,0))))*(INDEX(avoidedcosttbl2,$H224,CC$2)+(($H224-ROUNDDOWN($H224,0))*(INDEX(avoidedcosttbl2,ROUNDUP($H224,0),CC$2)-(INDEX(avoidedcosttbl2,ROUNDDOWN($H224,0),CC$2)))))*'Inputs Yr 2'!Q224*'Inputs Yr 2'!R224*'Inputs Yr 2'!V224,"")</f>
        <v>0</v>
      </c>
      <c r="CD224" s="195">
        <f>IFERROR(I224*(IF('Inputs Yr 2'!$AJ224=CD$4,'Inputs Yr 2'!$AK224,IF('Inputs Yr 2'!$AL224=CD$4,'Inputs Yr 2'!$AM224,IF('Inputs Yr 2'!$AN224=CD$4,'Inputs Yr 2'!$AO224,0))))*(INDEX(avoidedcosttbl2,$H224,CD$2)+(($H224-ROUNDDOWN($H224,0))*(INDEX(avoidedcosttbl2,ROUNDUP($H224,0),CD$2)-(INDEX(avoidedcosttbl2,ROUNDDOWN($H224,0),CD$2)))))*'Inputs Yr 2'!R224*'Inputs Yr 2'!S224*'Inputs Yr 2'!W224,"")</f>
        <v>0</v>
      </c>
      <c r="CE224" s="213">
        <f t="shared" si="131"/>
        <v>0</v>
      </c>
      <c r="CF224" s="213">
        <f t="shared" si="132"/>
        <v>0</v>
      </c>
      <c r="CG224" s="213">
        <f t="shared" si="133"/>
        <v>0</v>
      </c>
      <c r="CH224" s="698">
        <f t="shared" si="134"/>
        <v>13374.572512433235</v>
      </c>
      <c r="CI224" s="79">
        <f>IFERROR(($G224*'Inputs Yr 2'!$P224*'Inputs Yr 2'!$Q224*(((INDEX(avoidedcosttbl2,$H224,CI$2)+(($H224-ROUNDDOWN($H224,0))*(INDEX(avoidedcosttbl2,ROUNDUP($H224,0),CI$2)-INDEX(avoidedcosttbl2,ROUNDDOWN($H224,0),CI$2))))*'Inputs Yr 2'!AS224))),"")</f>
        <v>0</v>
      </c>
      <c r="CJ224" s="504">
        <f>IFERROR($G224*'Inputs Yr 2'!AT224*'Inputs Yr 2'!$P224*'Inputs Yr 2'!$Q224/((1+realdiscrt1)^-0.5),"")</f>
        <v>0</v>
      </c>
      <c r="CK224" s="79">
        <f>IFERROR((O224*1000*(((INDEX(avoidedcosttbl2,$H224,CK$2)+(($H224-ROUNDDOWN($H224,0))*(INDEX(avoidedcosttbl2,ROUNDUP($H224,0),CK$2)-INDEX(avoidedcosttbl2,ROUNDDOWN($H224,0),CK$2))))*'Inputs Yr 2'!AU224))),"")</f>
        <v>0</v>
      </c>
      <c r="CL224" s="504">
        <f>IFERROR(O224*1000*'Inputs Yr 2'!AV224/((1+realdiscrt1)^-0.5),"")</f>
        <v>0</v>
      </c>
      <c r="CM224" s="79">
        <f>IFERROR((AB224*'Inputs Yr 2'!AW224*(((INDEX(avoidedcosttbl2,$H224,CM$2)+(($H224-ROUNDDOWN($H224,0))*(INDEX(avoidedcosttbl2,ROUNDUP($H224,0),CM$2)-INDEX(avoidedcosttbl2,ROUNDDOWN($H224,0),CM$2)))))))*10,"")</f>
        <v>0</v>
      </c>
      <c r="CN224" s="504">
        <f>IFERROR(10*AB224*'Inputs Yr 2'!AX224/((1+realdiscrt1)^-0.5),"")</f>
        <v>0</v>
      </c>
      <c r="CO224" s="505">
        <f t="shared" si="135"/>
        <v>0</v>
      </c>
      <c r="CP224" s="230">
        <f t="shared" si="136"/>
        <v>13374.572512433235</v>
      </c>
      <c r="CQ224" s="199">
        <f>ROUND(IFERROR(IF(LEFT($A224,1)="C",'Avoided Costs'!$K$13,'Avoided Costs'!$K$12)+1,""),4)</f>
        <v>1.0720000000000001</v>
      </c>
      <c r="CR224" s="199">
        <f>ROUND(IFERROR(IF(LEFT($A224,1)="C",'Avoided Costs'!$L$13,'Avoided Costs'!$L$12)+1,""),4)</f>
        <v>1.04</v>
      </c>
      <c r="CS224" s="199">
        <f>ROUND(IFERROR(IF(LEFT($A224,1)="C",'Avoided Costs'!$M$13,'Avoided Costs'!$M$12)+1,""),4)</f>
        <v>1.0720000000000001</v>
      </c>
      <c r="CT224" s="199">
        <f>ROUND(IFERROR(IF(LEFT($A224,1)="C",'Avoided Costs'!$N$13,'Avoided Costs'!$N$12)+1,""),4)</f>
        <v>1.04</v>
      </c>
      <c r="CU224" s="199">
        <f>ROUND(IFERROR(IF(LEFT($A224,1)="C",'Avoided Costs'!$O$13,'Avoided Costs'!$O$12)+1,""),4)</f>
        <v>1.1120000000000001</v>
      </c>
      <c r="CV224" s="199">
        <f>ROUND(IFERROR(IF(LEFT($A224,1)="C",'Avoided Costs'!$P$13,'Avoided Costs'!$P$12)+1,""),4)</f>
        <v>1.095</v>
      </c>
      <c r="CW224" s="199">
        <f>ROUND(IFERROR(IF(LEFT($A224,1)="C",'Avoided Costs'!$Q$13,'Avoided Costs'!$Q$12)+1,""),4)</f>
        <v>1.1120000000000001</v>
      </c>
      <c r="CX224" s="200">
        <f>ROUND(IFERROR(IF(LEFT($A224,1)="C",'Avoided Costs'!$R$13,'Avoided Costs'!$R$12)+1,""),4)</f>
        <v>1.1120000000000001</v>
      </c>
    </row>
    <row r="225" spans="1:102" ht="12.75" customHeight="1">
      <c r="A225" s="91" t="str">
        <f>IF('Inputs Yr 2'!$B225=0,"",'Inputs Yr 2'!A225)</f>
        <v>C - Commercial &amp; Industrial</v>
      </c>
      <c r="B225" s="91" t="str">
        <f>IF('Inputs Yr 2'!$B225=0,"",'Inputs Yr 2'!B225)</f>
        <v>C1 - C&amp;I New Construction</v>
      </c>
      <c r="C225" s="91" t="str">
        <f>IF('Inputs Yr 2'!$B225=0,"",'Inputs Yr 2'!C225)</f>
        <v xml:space="preserve">C1b - C&amp;I Initial Purchase &amp; End of Useful Life </v>
      </c>
      <c r="D225" s="91" t="str">
        <f>IF('Inputs Yr 2'!$B225=0,"",'Inputs Yr 2'!E225)</f>
        <v>Tankless Water Heater 0.90 - Upstream</v>
      </c>
      <c r="E225" s="93" t="str">
        <f>IF('Inputs Yr 2'!$B225=0,"",'Inputs Yr 2'!F225)</f>
        <v>G16C1b25</v>
      </c>
      <c r="F225" s="93" t="str">
        <f>IF('Inputs Yr 2'!$B225=0,"",'Inputs Yr 2'!G225)</f>
        <v>Hot Water</v>
      </c>
      <c r="G225" s="95">
        <f>IF('Inputs Yr 2'!$H225&lt;&gt;0,('Inputs Yr 2'!H225),"")</f>
        <v>1891</v>
      </c>
      <c r="H225" s="94">
        <f>IFERROR('Inputs Yr 2'!I225,"")</f>
        <v>20</v>
      </c>
      <c r="I225" s="298">
        <f>IFERROR('Inputs Yr 2'!J225*'Inputs Yr 2'!P225*G225,"")</f>
        <v>1000746.1323000002</v>
      </c>
      <c r="J225" s="298">
        <f>IFERROR('Inputs Yr 2'!K225*G225,"")</f>
        <v>743976.13</v>
      </c>
      <c r="K225" s="298">
        <f t="shared" si="113"/>
        <v>256770.00230000017</v>
      </c>
      <c r="L225" s="194">
        <f>IFERROR(('Inputs Yr 2'!W225*G225)/1000,"")</f>
        <v>0</v>
      </c>
      <c r="M225" s="194">
        <f>IFERROR(L225*('Inputs Yr 2'!$Q225*'Inputs Yr 2'!$V225*'Inputs Yr 2'!$R225),"")</f>
        <v>0</v>
      </c>
      <c r="N225" s="194">
        <f t="shared" si="114"/>
        <v>0</v>
      </c>
      <c r="O225" s="194">
        <f>IFERROR(M225*'Inputs Yr 2'!P225,"")</f>
        <v>0</v>
      </c>
      <c r="P225" s="194">
        <f t="shared" si="115"/>
        <v>0</v>
      </c>
      <c r="Q225" s="194">
        <f>IFERROR($P225*'Inputs Yr 2'!AA225,"")</f>
        <v>0</v>
      </c>
      <c r="R225" s="194">
        <f>IFERROR($P225*'Inputs Yr 2'!AB225,"")</f>
        <v>0</v>
      </c>
      <c r="S225" s="194">
        <f>IFERROR($P225*'Inputs Yr 2'!AC225,"")</f>
        <v>0</v>
      </c>
      <c r="T225" s="194">
        <f>IFERROR($P225*'Inputs Yr 2'!AD225,"")</f>
        <v>0</v>
      </c>
      <c r="U225" s="194">
        <f>IFERROR(G225*'Inputs Yr 2'!$AE225*'Inputs Yr 2'!$P225*'Inputs Yr 2'!$Q225,"")</f>
        <v>0</v>
      </c>
      <c r="V225" s="194">
        <f>IFERROR($G225*'Inputs Yr 2'!$AE225*'Inputs Yr 2'!$AG225*'Inputs Yr 2'!Q225*'Inputs Yr 2'!$S225,"")</f>
        <v>0</v>
      </c>
      <c r="W225" s="194">
        <f>IFERROR($G225*'Inputs Yr 2'!$AE225*'Inputs Yr 2'!$AG225*'Inputs Yr 2'!P225*'Inputs Yr 2'!Q225*'Inputs Yr 2'!$S225,"")</f>
        <v>0</v>
      </c>
      <c r="X225" s="194">
        <f>IFERROR($G225*'Inputs Yr 2'!$AE225*'Inputs Yr 2'!$AF225*'Inputs Yr 2'!Q225*'Inputs Yr 2'!$T225,"")</f>
        <v>0</v>
      </c>
      <c r="Y225" s="194">
        <f>IFERROR($G225*'Inputs Yr 2'!$AE225*'Inputs Yr 2'!$AF225*'Inputs Yr 2'!P225*'Inputs Yr 2'!Q225*'Inputs Yr 2'!$T225,"")</f>
        <v>0</v>
      </c>
      <c r="Z225" s="257">
        <f>IFERROR($G225*'Inputs Yr 2'!$Q225*'Inputs Yr 2'!$U225*(IF(IFERROR(SEARCH("NG", 'Inputs Yr 2'!$AJ225),0),'Inputs Yr 2'!$AK225,0)+IF(IFERROR(SEARCH("NG", 'Inputs Yr 2'!$AL225),0),'Inputs Yr 2'!$AM225,0)+IF(IFERROR(SEARCH("NG", 'Inputs Yr 2'!$AN225),0),'Inputs Yr 2'!$AO225,0)),0)</f>
        <v>16829.900000000001</v>
      </c>
      <c r="AA225" s="257">
        <f t="shared" si="116"/>
        <v>336598</v>
      </c>
      <c r="AB225" s="257">
        <f>IFERROR(Z225*'Inputs Yr 2'!$P225,0)</f>
        <v>14238.095400000002</v>
      </c>
      <c r="AC225" s="257">
        <f t="shared" si="117"/>
        <v>284761.90800000005</v>
      </c>
      <c r="AD225" s="257">
        <f>IFERROR($G225*'Inputs Yr 2'!$Q225*'Inputs Yr 2'!$U225*(IF(IFERROR(SEARCH("Oil", 'Inputs Yr 2'!$AJ225), 0),'Inputs Yr 2'!$AK225,0)+IF(IFERROR(SEARCH("Oil", 'Inputs Yr 2'!$AL225), 0),'Inputs Yr 2'!$AM225,0)+IF(IFERROR(SEARCH("Oil", 'Inputs Yr 2'!$AN225), 0),'Inputs Yr 2'!$AO225,0)),0)</f>
        <v>0</v>
      </c>
      <c r="AE225" s="257">
        <f t="shared" si="118"/>
        <v>0</v>
      </c>
      <c r="AF225" s="257">
        <f>IFERROR(AD225*'Inputs Yr 2'!$P225,0)</f>
        <v>0</v>
      </c>
      <c r="AG225" s="257">
        <f t="shared" si="119"/>
        <v>0</v>
      </c>
      <c r="AH225" s="257">
        <f>IFERROR($G225*'Inputs Yr 2'!$Q225*'Inputs Yr 2'!$U225*(IF('Inputs Yr 2'!$AJ225=CD$4,'Inputs Yr 2'!$AK225,IF('Inputs Yr 2'!$AL225=CD$4,'Inputs Yr 2'!$AM225,IF('Inputs Yr 2'!$AN225=CD$4,'Inputs Yr 2'!$AO225,0)))),0)</f>
        <v>0</v>
      </c>
      <c r="AI225" s="257">
        <f t="shared" si="120"/>
        <v>0</v>
      </c>
      <c r="AJ225" s="257">
        <f>IFERROR(AH225*'Inputs Yr 2'!$P225,0)</f>
        <v>0</v>
      </c>
      <c r="AK225" s="257">
        <f t="shared" si="121"/>
        <v>0</v>
      </c>
      <c r="AL225" s="258">
        <f>IFERROR($G225*'Inputs Yr 2'!$P225*'Inputs Yr 2'!$Q225*'Inputs Yr 2'!AP225,0)</f>
        <v>0</v>
      </c>
      <c r="AM225" s="260">
        <f>IFERROR($G225*'Inputs Yr 2'!$P225*'Inputs Yr 2'!$Q225*'Inputs Yr 2'!AQ225,0)</f>
        <v>0</v>
      </c>
      <c r="AN225" s="258">
        <f>IFERROR($G225*'Inputs Yr 2'!$P225*'Inputs Yr 2'!$Q225*'Inputs Yr 2'!AR225,0)</f>
        <v>0</v>
      </c>
      <c r="AO225" s="257">
        <f t="shared" si="122"/>
        <v>0</v>
      </c>
      <c r="AP225" s="195">
        <f>IFERROR($CQ225*(INDEX(avoidedcosttbl2,$H225,AP$2)+(($H225-ROUNDDOWN($H225,0))*(INDEX(avoidedcosttbl2,ROUNDUP($H225,0),AP$2)-(INDEX(avoidedcosttbl2,ROUNDDOWN($H225,0),AP$2)))))*$O225*1000*'Inputs Yr 2'!AA225,"")</f>
        <v>0</v>
      </c>
      <c r="AQ225" s="195">
        <f>IFERROR($CR225*(INDEX(avoidedcosttbl2,$H225,AQ$2)+(($H225-ROUNDDOWN($H225,0))*(INDEX(avoidedcosttbl2,ROUNDUP($H225,0),AQ$2)-(INDEX(avoidedcosttbl2,ROUNDDOWN($H225,0),AQ$2)))))*$O225*1000*'Inputs Yr 2'!AB225,"")</f>
        <v>0</v>
      </c>
      <c r="AR225" s="195">
        <f>IFERROR($CS225*(INDEX(avoidedcosttbl2,$H225,AR$2)+(($H225-ROUNDDOWN($H225,0))*(INDEX(avoidedcosttbl2,ROUNDUP($H225,0),AR$2)-(INDEX(avoidedcosttbl2,ROUNDDOWN($H225,0),AR$2)))))*$O225*1000*'Inputs Yr 2'!AC225,"")</f>
        <v>0</v>
      </c>
      <c r="AS225" s="195">
        <f>IFERROR($CT225*(INDEX(avoidedcosttbl2,$H225,AS$2)+(($H225-ROUNDDOWN($H225,0))*(INDEX(avoidedcosttbl2,ROUNDUP($H225,0),AS$2)-(INDEX(avoidedcosttbl2,ROUNDDOWN($H225,0),AS$2)))))*$O225*1000*'Inputs Yr 2'!AD225,"")</f>
        <v>0</v>
      </c>
      <c r="AT225" s="196">
        <f t="shared" si="123"/>
        <v>0</v>
      </c>
      <c r="AU225" s="197">
        <f>IFERROR($CQ225*((INDEX(avoidedcosttbl2,$H225,AU$2))+(($H225-ROUNDDOWN($H225,0))*((INDEX(avoidedcosttbl2,ROUNDUP($H225,0),AU$2))-(INDEX(avoidedcosttbl2,ROUNDDOWN($H225,0),AU$2)))))*$O225*1000*'Inputs Yr 2'!AA225,"")</f>
        <v>0</v>
      </c>
      <c r="AV225" s="197">
        <f>IFERROR($CR225*((INDEX(avoidedcosttbl2,$H225,AV$2))+(($H225-ROUNDDOWN($H225,0))*((INDEX(avoidedcosttbl2,ROUNDUP($H225,0),AV$2))-(INDEX(avoidedcosttbl2,ROUNDDOWN($H225,0),AV$2)))))*$O225*1000*'Inputs Yr 2'!AB225,"")</f>
        <v>0</v>
      </c>
      <c r="AW225" s="197">
        <f>IFERROR($CS225*((INDEX(avoidedcosttbl2,$H225,AW$2))+(($H225-ROUNDDOWN($H225,0))*((INDEX(avoidedcosttbl2,ROUNDUP($H225,0),AW$2))-(INDEX(avoidedcosttbl2,ROUNDDOWN($H225,0),AW$2)))))*$O225*1000*'Inputs Yr 2'!AC225,"")</f>
        <v>0</v>
      </c>
      <c r="AX225" s="197">
        <f>IFERROR($CT225*((INDEX(avoidedcosttbl2,$H225,AX$2))+(($H225-ROUNDDOWN($H225,0))*((INDEX(avoidedcosttbl2,ROUNDUP($H225,0),AX$2))-(INDEX(avoidedcosttbl2,ROUNDDOWN($H225,0),AX$2)))))*$O225*1000*'Inputs Yr 2'!AD225,"")</f>
        <v>0</v>
      </c>
      <c r="AY225" s="197">
        <f>IFERROR(((INDEX(avoidedcosttbl2,$H225,AY$2))+(($H225-ROUNDDOWN($H225,0))*((INDEX(avoidedcosttbl2,ROUNDUP($H225,0),AY$2))-(INDEX(avoidedcosttbl2,ROUNDDOWN($H225,0),AY$2)))))*$O225*1000*('Inputs Yr 2'!AC225+'Inputs Yr 2'!AD225),"")</f>
        <v>0</v>
      </c>
      <c r="AZ225" s="197">
        <f>IFERROR(((INDEX(avoidedcosttbl2,$H225,AZ$2))+(($H225-ROUNDDOWN($H225,0))*((INDEX(avoidedcosttbl2,ROUNDUP($H225,0),AZ$2))-(INDEX(avoidedcosttbl2,ROUNDDOWN($H225,0),AZ$2)))))*$O225*1000*('Inputs Yr 2'!AA225+'Inputs Yr 2'!AB225),"")</f>
        <v>0</v>
      </c>
      <c r="BA225" s="198">
        <f t="shared" si="124"/>
        <v>0</v>
      </c>
      <c r="BB225" s="198">
        <f t="shared" si="125"/>
        <v>0</v>
      </c>
      <c r="BC225" s="195">
        <f t="shared" si="107"/>
        <v>0</v>
      </c>
      <c r="BD225" s="195">
        <f t="shared" si="108"/>
        <v>0</v>
      </c>
      <c r="BE225" s="195">
        <f t="shared" si="109"/>
        <v>0</v>
      </c>
      <c r="BF225" s="195">
        <f t="shared" si="110"/>
        <v>0</v>
      </c>
      <c r="BG225" s="195">
        <f t="shared" si="111"/>
        <v>0</v>
      </c>
      <c r="BH225" s="196">
        <f t="shared" si="126"/>
        <v>0</v>
      </c>
      <c r="BI225" s="196">
        <f t="shared" si="127"/>
        <v>0</v>
      </c>
      <c r="BJ225" s="195">
        <f>IFERROR($G225*(IF('Inputs Yr 2'!$AJ225=BJ$4,'Inputs Yr 2'!$AK225,IF('Inputs Yr 2'!$AL225=BJ$4,'Inputs Yr 2'!$AM225,IF('Inputs Yr 2'!$AN225=BJ$4,'Inputs Yr 2'!$AO225,0))))*(INDEX(avoidedcosttbl2,$H225,BJ$2)+(($H225-ROUNDDOWN($H225,0))*(INDEX(avoidedcosttbl2,ROUNDUP($H225,0),BJ$2)-(INDEX(avoidedcosttbl2,ROUNDDOWN($H225,0),BJ$2)))))*'Inputs Yr 2'!P225*'Inputs Yr 2'!Q225*'Inputs Yr 2'!U225,"")</f>
        <v>0</v>
      </c>
      <c r="BK225" s="195">
        <f>IFERROR($G225*(IF('Inputs Yr 2'!$AJ225=BK$4,'Inputs Yr 2'!$AK225,IF('Inputs Yr 2'!$AL225=BK$4,'Inputs Yr 2'!$AM225,IF('Inputs Yr 2'!$AN225=BK$4,'Inputs Yr 2'!$AO225,0))))*(INDEX(avoidedcosttbl2,$H225,BK$2)+(($H225-ROUNDDOWN($H225,0))*(INDEX(avoidedcosttbl2,ROUNDUP($H225,0),BK$2)-(INDEX(avoidedcosttbl2,ROUNDDOWN($H225,0),BK$2)))))*'Inputs Yr 2'!P225*'Inputs Yr 2'!Q225*'Inputs Yr 2'!U225,"")</f>
        <v>0</v>
      </c>
      <c r="BL225" s="195">
        <f>IFERROR($G225*(IF('Inputs Yr 2'!$AJ225=BL$4,'Inputs Yr 2'!$AK225,IF('Inputs Yr 2'!$AL225=BL$4,'Inputs Yr 2'!$AM225,IF('Inputs Yr 2'!$AN225=BL$4,'Inputs Yr 2'!$AO225,0))))*(INDEX(avoidedcosttbl2,$H225,BL$2)+(($H225-ROUNDDOWN($H225,0))*(INDEX(avoidedcosttbl2,ROUNDUP($H225,0),BL$2)-(INDEX(avoidedcosttbl2,ROUNDDOWN($H225,0),BL$2)))))*'Inputs Yr 2'!P225*'Inputs Yr 2'!Q225*'Inputs Yr 2'!U225,"")</f>
        <v>0</v>
      </c>
      <c r="BM225" s="195">
        <f>IFERROR($G225*(IF('Inputs Yr 2'!$AJ225=BM$4,'Inputs Yr 2'!$AK225,IF('Inputs Yr 2'!$AL225=BM$4,'Inputs Yr 2'!$AM225,IF('Inputs Yr 2'!$AN225=BM$4,'Inputs Yr 2'!$AO225,0))))*(INDEX(avoidedcosttbl2,$H225,BM$2)+(($H225-ROUNDDOWN($H225,0))*(INDEX(avoidedcosttbl2,ROUNDUP($H225,0),BM$2)-(INDEX(avoidedcosttbl2,ROUNDDOWN($H225,0),BM$2)))))*'Inputs Yr 2'!P225*'Inputs Yr 2'!Q225*'Inputs Yr 2'!U225,"")</f>
        <v>0</v>
      </c>
      <c r="BN225" s="195">
        <f>IFERROR($G225*(IF('Inputs Yr 2'!$AJ225=BN$4,'Inputs Yr 2'!$AK225,IF('Inputs Yr 2'!$AL225=BN$4,'Inputs Yr 2'!$AM225,IF('Inputs Yr 2'!$AN225=BN$4,'Inputs Yr 2'!$AO225,0))))*(INDEX(avoidedcosttbl2,$H225,BN$2)+(($H225-ROUNDDOWN($H225,0))*(INDEX(avoidedcosttbl2,ROUNDUP($H225,0),BN$2)-(INDEX(avoidedcosttbl2,ROUNDDOWN($H225,0),BN$2)))))*'Inputs Yr 2'!P225*'Inputs Yr 2'!Q225*'Inputs Yr 2'!U225,"")</f>
        <v>2051235.4616029665</v>
      </c>
      <c r="BO225" s="195">
        <f>IFERROR($G225*(IF('Inputs Yr 2'!$AJ225=BO$4,'Inputs Yr 2'!$AK225,IF('Inputs Yr 2'!$AL225=BO$4,'Inputs Yr 2'!$AM225,IF('Inputs Yr 2'!$AN225=BO$4,'Inputs Yr 2'!$AO225,0))))*(INDEX(avoidedcosttbl2,$H225,BO$2)+(($H225-ROUNDDOWN($H225,0))*(INDEX(avoidedcosttbl2,ROUNDUP($H225,0),BO$2)-(INDEX(avoidedcosttbl2,ROUNDDOWN($H225,0),BO$2)))))*'Inputs Yr 2'!P225*'Inputs Yr 2'!Q225*'Inputs Yr 2'!U225,"")</f>
        <v>0</v>
      </c>
      <c r="BP225" s="195">
        <f>IFERROR($G225*(IF('Inputs Yr 2'!$AJ225=BP$4,'Inputs Yr 2'!$AK225,IF('Inputs Yr 2'!$AL225=BP$4,'Inputs Yr 2'!$AM225,IF('Inputs Yr 2'!$AN225=BP$4,'Inputs Yr 2'!$AO225,0))))*(INDEX(avoidedcosttbl2,$H225,BP$2)+(($H225-ROUNDDOWN($H225,0))*(INDEX(avoidedcosttbl2,ROUNDUP($H225,0),BP$2)-(INDEX(avoidedcosttbl2,ROUNDDOWN($H225,0),BP$2)))))*'Inputs Yr 2'!P225*'Inputs Yr 2'!Q225*'Inputs Yr 2'!U225,"")</f>
        <v>0</v>
      </c>
      <c r="BQ225" s="230">
        <f t="shared" si="128"/>
        <v>2051235.4616029665</v>
      </c>
      <c r="BR225" s="197">
        <f t="shared" si="112"/>
        <v>38181.215660340167</v>
      </c>
      <c r="BS225" s="197">
        <f>IFERROR(($G225*IF('Inputs Yr 2'!$AJ225=BM$4,'Inputs Yr 2'!$AK225,IF('Inputs Yr 2'!$AL225=BM$4,'Inputs Yr 2'!$AM225,IF('Inputs Yr 2'!$AN225=BM$4,'Inputs Yr 2'!$AO225,0))))*(INDEX(avoidedcosttbl2,$H225,BS$2)+(($H225-ROUNDDOWN($H225,0))*(INDEX(avoidedcosttbl2,ROUNDUP($H225,0),BS$2)-(INDEX(avoidedcosttbl2,ROUNDDOWN($H225,0),BS$2)))))*'Inputs Yr 2'!P225*'Inputs Yr 2'!Q225*'Inputs Yr 2'!U225,"")</f>
        <v>0</v>
      </c>
      <c r="BT225" s="197">
        <f>IFERROR(($G225*IF('Inputs Yr 2'!$AJ225=BK$4,'Inputs Yr 2'!$AK225,IF('Inputs Yr 2'!$AL225=BK$4,'Inputs Yr 2'!$AM225,IF('Inputs Yr 2'!$AN225=BK$4,'Inputs Yr 2'!$AO225,0))))*(INDEX(avoidedcosttbl2,$H225,BT$2)+(($H225-ROUNDDOWN($H225,0))*(INDEX(avoidedcosttbl2,ROUNDUP($H225,0),BT$2)-(INDEX(avoidedcosttbl2,ROUNDDOWN($H225,0),BT$2)))))*'Inputs Yr 2'!P225*'Inputs Yr 2'!Q225*'Inputs Yr 2'!U225,"")</f>
        <v>0</v>
      </c>
      <c r="BU225" s="197">
        <f>IFERROR(($G225*IF('Inputs Yr 2'!$AJ225=BL$4,'Inputs Yr 2'!$AK225,IF('Inputs Yr 2'!$AL225=BL$4,'Inputs Yr 2'!$AM225,IF('Inputs Yr 2'!$AN225=BL$4,'Inputs Yr 2'!$AO225,0))))*(INDEX(avoidedcosttbl2,$H225,BU$2)+(($H225-ROUNDDOWN($H225,0))*(INDEX(avoidedcosttbl2,ROUNDUP($H225,0),BU$2)-(INDEX(avoidedcosttbl2,ROUNDDOWN($H225,0),BU$2)))))*'Inputs Yr 2'!P225*'Inputs Yr 2'!Q225*'Inputs Yr 2'!U225,"")</f>
        <v>0</v>
      </c>
      <c r="BV225" s="775">
        <f>IFERROR(($G225*IF('Inputs Yr 2'!$AJ225=BJ$4,'Inputs Yr 2'!$AK225,IF('Inputs Yr 2'!$AL225=BJ$4,'Inputs Yr 2'!$AM225,IF('Inputs Yr 2'!$AN225=BJ$4,'Inputs Yr 2'!$AO225,0))))*(INDEX(avoidedcosttbl2,$H225,BV$2)+(($H225-ROUNDDOWN($H225,0))*(INDEX(avoidedcosttbl2,ROUNDUP($H225,0),BV$2)-(INDEX(avoidedcosttbl2,ROUNDDOWN($H225,0),BV$2)))))*'Inputs Yr 2'!P225*'Inputs Yr 2'!Q225*'Inputs Yr 2'!U225,"")</f>
        <v>0</v>
      </c>
      <c r="BW225" s="197">
        <f>IFERROR(($G225*IF('Inputs Yr 2'!$AJ225=BN$4,'Inputs Yr 2'!$AK225,IF('Inputs Yr 2'!$AL225=BN$4,'Inputs Yr 2'!$AM225,IF('Inputs Yr 2'!$AN225=BN$4,'Inputs Yr 2'!$AO225,0))))*(INDEX(avoidedcosttbl2,$H225,BW$2)+(($H225-ROUNDDOWN($H225,0))*(INDEX(avoidedcosttbl2,ROUNDUP($H225,0),BW$2)-(INDEX(avoidedcosttbl2,ROUNDDOWN($H225,0),BW$2)))))*'Inputs Yr 2'!P225*'Inputs Yr 2'!Q225*'Inputs Yr 2'!U225,"")</f>
        <v>143646.00058391746</v>
      </c>
      <c r="BX225" s="197">
        <f>IFERROR(($G225*IF('Inputs Yr 2'!$AJ225=BO$4,'Inputs Yr 2'!$AK225,IF('Inputs Yr 2'!$AL225=BO$4,'Inputs Yr 2'!$AM225,IF('Inputs Yr 2'!$AN225=BO$4,'Inputs Yr 2'!$AO225,0))))*(INDEX(avoidedcosttbl2,$H225,BX$2)+(($H225-ROUNDDOWN($H225,0))*(INDEX(avoidedcosttbl2,ROUNDUP($H225,0),BX$2)-(INDEX(avoidedcosttbl2,ROUNDDOWN($H225,0),BX$2)))))*'Inputs Yr 2'!P225*'Inputs Yr 2'!Q225*'Inputs Yr 2'!U225,"")</f>
        <v>0</v>
      </c>
      <c r="BY225" s="197">
        <f>IFERROR(($G225*IF('Inputs Yr 2'!$AJ225=BP$4,'Inputs Yr 2'!$AK225,IF('Inputs Yr 2'!$AL225=BP$4,'Inputs Yr 2'!$AM225,IF('Inputs Yr 2'!$AN225=BP$4,'Inputs Yr 2'!$AO225,0))))*(INDEX(avoidedcosttbl2,$H225,BY$2)+(($H225-ROUNDDOWN($H225,0))*(INDEX(avoidedcosttbl2,ROUNDUP($H225,0),BY$2)-(INDEX(avoidedcosttbl2,ROUNDDOWN($H225,0),BY$2)))))*'Inputs Yr 2'!P225*'Inputs Yr 2'!Q225*'Inputs Yr 2'!U225,"")</f>
        <v>0</v>
      </c>
      <c r="BZ225" s="193">
        <f t="shared" si="129"/>
        <v>181827.21624425764</v>
      </c>
      <c r="CA225" s="193">
        <f t="shared" si="130"/>
        <v>2233062.6778472243</v>
      </c>
      <c r="CB225" s="195">
        <f>IFERROR(G225*(IF('Inputs Yr 2'!$AJ225=CB$4,'Inputs Yr 2'!$AK225,IF('Inputs Yr 2'!$AL225=CB$4,'Inputs Yr 2'!$AM225,IF('Inputs Yr 2'!$AN225=CB$4,'Inputs Yr 2'!$AO225,0))))*(INDEX(avoidedcosttbl2,$H225,CB$2)+(($H225-ROUNDDOWN($H225,0))*(INDEX(avoidedcosttbl2,ROUNDUP($H225,0),CB$2)-(INDEX(avoidedcosttbl2,ROUNDDOWN($H225,0),CB$2)))))*'Inputs Yr 2'!P225*'Inputs Yr 2'!Q225*'Inputs Yr 2'!U225,"")</f>
        <v>0</v>
      </c>
      <c r="CC225" s="195">
        <f>IFERROR(H225*(IF('Inputs Yr 2'!$AJ225=CC$4,'Inputs Yr 2'!$AK225,IF('Inputs Yr 2'!$AL225=CC$4,'Inputs Yr 2'!$AM225,IF('Inputs Yr 2'!$AN225=CC$4,'Inputs Yr 2'!$AO225,0))))*(INDEX(avoidedcosttbl2,$H225,CC$2)+(($H225-ROUNDDOWN($H225,0))*(INDEX(avoidedcosttbl2,ROUNDUP($H225,0),CC$2)-(INDEX(avoidedcosttbl2,ROUNDDOWN($H225,0),CC$2)))))*'Inputs Yr 2'!Q225*'Inputs Yr 2'!R225*'Inputs Yr 2'!V225,"")</f>
        <v>0</v>
      </c>
      <c r="CD225" s="195">
        <f>IFERROR(I225*(IF('Inputs Yr 2'!$AJ225=CD$4,'Inputs Yr 2'!$AK225,IF('Inputs Yr 2'!$AL225=CD$4,'Inputs Yr 2'!$AM225,IF('Inputs Yr 2'!$AN225=CD$4,'Inputs Yr 2'!$AO225,0))))*(INDEX(avoidedcosttbl2,$H225,CD$2)+(($H225-ROUNDDOWN($H225,0))*(INDEX(avoidedcosttbl2,ROUNDUP($H225,0),CD$2)-(INDEX(avoidedcosttbl2,ROUNDDOWN($H225,0),CD$2)))))*'Inputs Yr 2'!R225*'Inputs Yr 2'!S225*'Inputs Yr 2'!W225,"")</f>
        <v>0</v>
      </c>
      <c r="CE225" s="213">
        <f t="shared" si="131"/>
        <v>0</v>
      </c>
      <c r="CF225" s="213">
        <f t="shared" si="132"/>
        <v>0</v>
      </c>
      <c r="CG225" s="213">
        <f t="shared" si="133"/>
        <v>0</v>
      </c>
      <c r="CH225" s="698">
        <f t="shared" si="134"/>
        <v>2233062.6778472243</v>
      </c>
      <c r="CI225" s="79">
        <f>IFERROR(($G225*'Inputs Yr 2'!$P225*'Inputs Yr 2'!$Q225*(((INDEX(avoidedcosttbl2,$H225,CI$2)+(($H225-ROUNDDOWN($H225,0))*(INDEX(avoidedcosttbl2,ROUNDUP($H225,0),CI$2)-INDEX(avoidedcosttbl2,ROUNDDOWN($H225,0),CI$2))))*'Inputs Yr 2'!AS225))),"")</f>
        <v>0</v>
      </c>
      <c r="CJ225" s="504">
        <f>IFERROR($G225*'Inputs Yr 2'!AT225*'Inputs Yr 2'!$P225*'Inputs Yr 2'!$Q225/((1+realdiscrt1)^-0.5),"")</f>
        <v>0</v>
      </c>
      <c r="CK225" s="79">
        <f>IFERROR((O225*1000*(((INDEX(avoidedcosttbl2,$H225,CK$2)+(($H225-ROUNDDOWN($H225,0))*(INDEX(avoidedcosttbl2,ROUNDUP($H225,0),CK$2)-INDEX(avoidedcosttbl2,ROUNDDOWN($H225,0),CK$2))))*'Inputs Yr 2'!AU225))),"")</f>
        <v>0</v>
      </c>
      <c r="CL225" s="504">
        <f>IFERROR(O225*1000*'Inputs Yr 2'!AV225/((1+realdiscrt1)^-0.5),"")</f>
        <v>0</v>
      </c>
      <c r="CM225" s="79">
        <f>IFERROR((AB225*'Inputs Yr 2'!AW225*(((INDEX(avoidedcosttbl2,$H225,CM$2)+(($H225-ROUNDDOWN($H225,0))*(INDEX(avoidedcosttbl2,ROUNDUP($H225,0),CM$2)-INDEX(avoidedcosttbl2,ROUNDDOWN($H225,0),CM$2)))))))*10,"")</f>
        <v>0</v>
      </c>
      <c r="CN225" s="504">
        <f>IFERROR(10*AB225*'Inputs Yr 2'!AX225/((1+realdiscrt1)^-0.5),"")</f>
        <v>0</v>
      </c>
      <c r="CO225" s="505">
        <f t="shared" si="135"/>
        <v>0</v>
      </c>
      <c r="CP225" s="230">
        <f t="shared" si="136"/>
        <v>2233062.6778472243</v>
      </c>
      <c r="CQ225" s="199">
        <f>ROUND(IFERROR(IF(LEFT($A225,1)="C",'Avoided Costs'!$K$13,'Avoided Costs'!$K$12)+1,""),4)</f>
        <v>1.0720000000000001</v>
      </c>
      <c r="CR225" s="199">
        <f>ROUND(IFERROR(IF(LEFT($A225,1)="C",'Avoided Costs'!$L$13,'Avoided Costs'!$L$12)+1,""),4)</f>
        <v>1.04</v>
      </c>
      <c r="CS225" s="199">
        <f>ROUND(IFERROR(IF(LEFT($A225,1)="C",'Avoided Costs'!$M$13,'Avoided Costs'!$M$12)+1,""),4)</f>
        <v>1.0720000000000001</v>
      </c>
      <c r="CT225" s="199">
        <f>ROUND(IFERROR(IF(LEFT($A225,1)="C",'Avoided Costs'!$N$13,'Avoided Costs'!$N$12)+1,""),4)</f>
        <v>1.04</v>
      </c>
      <c r="CU225" s="199">
        <f>ROUND(IFERROR(IF(LEFT($A225,1)="C",'Avoided Costs'!$O$13,'Avoided Costs'!$O$12)+1,""),4)</f>
        <v>1.1120000000000001</v>
      </c>
      <c r="CV225" s="199">
        <f>ROUND(IFERROR(IF(LEFT($A225,1)="C",'Avoided Costs'!$P$13,'Avoided Costs'!$P$12)+1,""),4)</f>
        <v>1.095</v>
      </c>
      <c r="CW225" s="199">
        <f>ROUND(IFERROR(IF(LEFT($A225,1)="C",'Avoided Costs'!$Q$13,'Avoided Costs'!$Q$12)+1,""),4)</f>
        <v>1.1120000000000001</v>
      </c>
      <c r="CX225" s="200">
        <f>ROUND(IFERROR(IF(LEFT($A225,1)="C",'Avoided Costs'!$R$13,'Avoided Costs'!$R$12)+1,""),4)</f>
        <v>1.1120000000000001</v>
      </c>
    </row>
    <row r="226" spans="1:102" ht="12.75" customHeight="1">
      <c r="A226" s="91" t="str">
        <f>IF('Inputs Yr 2'!$B226=0,"",'Inputs Yr 2'!A226)</f>
        <v>C - Commercial &amp; Industrial</v>
      </c>
      <c r="B226" s="91" t="str">
        <f>IF('Inputs Yr 2'!$B226=0,"",'Inputs Yr 2'!B226)</f>
        <v>C1 - C&amp;I New Construction</v>
      </c>
      <c r="C226" s="91" t="str">
        <f>IF('Inputs Yr 2'!$B226=0,"",'Inputs Yr 2'!C226)</f>
        <v xml:space="preserve">C1b - C&amp;I Initial Purchase &amp; End of Useful Life </v>
      </c>
      <c r="D226" s="91" t="str">
        <f>IF('Inputs Yr 2'!$B226=0,"",'Inputs Yr 2'!E226)</f>
        <v>Indirect Water Heater - Upstream</v>
      </c>
      <c r="E226" s="93" t="str">
        <f>IF('Inputs Yr 2'!$B226=0,"",'Inputs Yr 2'!F226)</f>
        <v>G16C1b26</v>
      </c>
      <c r="F226" s="93" t="str">
        <f>IF('Inputs Yr 2'!$B226=0,"",'Inputs Yr 2'!G226)</f>
        <v>Hot Water</v>
      </c>
      <c r="G226" s="95">
        <f>IF('Inputs Yr 2'!$H226&lt;&gt;0,('Inputs Yr 2'!H226),"")</f>
        <v>328</v>
      </c>
      <c r="H226" s="94">
        <f>IFERROR('Inputs Yr 2'!I226,"")</f>
        <v>15</v>
      </c>
      <c r="I226" s="298">
        <f>IFERROR('Inputs Yr 2'!J226*'Inputs Yr 2'!P226*G226,"")</f>
        <v>300796.99200000003</v>
      </c>
      <c r="J226" s="298">
        <f>IFERROR('Inputs Yr 2'!K226*G226,"")</f>
        <v>133090.43000000014</v>
      </c>
      <c r="K226" s="298">
        <f t="shared" si="113"/>
        <v>167706.56199999989</v>
      </c>
      <c r="L226" s="194">
        <f>IFERROR(('Inputs Yr 2'!W226*G226)/1000,"")</f>
        <v>0</v>
      </c>
      <c r="M226" s="194">
        <f>IFERROR(L226*('Inputs Yr 2'!$Q226*'Inputs Yr 2'!$V226*'Inputs Yr 2'!$R226),"")</f>
        <v>0</v>
      </c>
      <c r="N226" s="194">
        <f t="shared" si="114"/>
        <v>0</v>
      </c>
      <c r="O226" s="194">
        <f>IFERROR(M226*'Inputs Yr 2'!P226,"")</f>
        <v>0</v>
      </c>
      <c r="P226" s="194">
        <f t="shared" si="115"/>
        <v>0</v>
      </c>
      <c r="Q226" s="194">
        <f>IFERROR($P226*'Inputs Yr 2'!AA226,"")</f>
        <v>0</v>
      </c>
      <c r="R226" s="194">
        <f>IFERROR($P226*'Inputs Yr 2'!AB226,"")</f>
        <v>0</v>
      </c>
      <c r="S226" s="194">
        <f>IFERROR($P226*'Inputs Yr 2'!AC226,"")</f>
        <v>0</v>
      </c>
      <c r="T226" s="194">
        <f>IFERROR($P226*'Inputs Yr 2'!AD226,"")</f>
        <v>0</v>
      </c>
      <c r="U226" s="194">
        <f>IFERROR(G226*'Inputs Yr 2'!$AE226*'Inputs Yr 2'!$P226*'Inputs Yr 2'!$Q226,"")</f>
        <v>0</v>
      </c>
      <c r="V226" s="194">
        <f>IFERROR($G226*'Inputs Yr 2'!$AE226*'Inputs Yr 2'!$AG226*'Inputs Yr 2'!Q226*'Inputs Yr 2'!$S226,"")</f>
        <v>0</v>
      </c>
      <c r="W226" s="194">
        <f>IFERROR($G226*'Inputs Yr 2'!$AE226*'Inputs Yr 2'!$AG226*'Inputs Yr 2'!P226*'Inputs Yr 2'!Q226*'Inputs Yr 2'!$S226,"")</f>
        <v>0</v>
      </c>
      <c r="X226" s="194">
        <f>IFERROR($G226*'Inputs Yr 2'!$AE226*'Inputs Yr 2'!$AF226*'Inputs Yr 2'!Q226*'Inputs Yr 2'!$T226,"")</f>
        <v>0</v>
      </c>
      <c r="Y226" s="194">
        <f>IFERROR($G226*'Inputs Yr 2'!$AE226*'Inputs Yr 2'!$AF226*'Inputs Yr 2'!P226*'Inputs Yr 2'!Q226*'Inputs Yr 2'!$T226,"")</f>
        <v>0</v>
      </c>
      <c r="Z226" s="257">
        <f>IFERROR($G226*'Inputs Yr 2'!$Q226*'Inputs Yr 2'!$U226*(IF(IFERROR(SEARCH("NG", 'Inputs Yr 2'!$AJ226),0),'Inputs Yr 2'!$AK226,0)+IF(IFERROR(SEARCH("NG", 'Inputs Yr 2'!$AL226),0),'Inputs Yr 2'!$AM226,0)+IF(IFERROR(SEARCH("NG", 'Inputs Yr 2'!$AN226),0),'Inputs Yr 2'!$AO226,0)),0)</f>
        <v>6231.9999999999991</v>
      </c>
      <c r="AA226" s="257">
        <f t="shared" si="116"/>
        <v>93479.999999999985</v>
      </c>
      <c r="AB226" s="257">
        <f>IFERROR(Z226*'Inputs Yr 2'!$P226,0)</f>
        <v>5272.2719999999999</v>
      </c>
      <c r="AC226" s="257">
        <f t="shared" si="117"/>
        <v>79084.08</v>
      </c>
      <c r="AD226" s="257">
        <f>IFERROR($G226*'Inputs Yr 2'!$Q226*'Inputs Yr 2'!$U226*(IF(IFERROR(SEARCH("Oil", 'Inputs Yr 2'!$AJ226), 0),'Inputs Yr 2'!$AK226,0)+IF(IFERROR(SEARCH("Oil", 'Inputs Yr 2'!$AL226), 0),'Inputs Yr 2'!$AM226,0)+IF(IFERROR(SEARCH("Oil", 'Inputs Yr 2'!$AN226), 0),'Inputs Yr 2'!$AO226,0)),0)</f>
        <v>0</v>
      </c>
      <c r="AE226" s="257">
        <f t="shared" si="118"/>
        <v>0</v>
      </c>
      <c r="AF226" s="257">
        <f>IFERROR(AD226*'Inputs Yr 2'!$P226,0)</f>
        <v>0</v>
      </c>
      <c r="AG226" s="257">
        <f t="shared" si="119"/>
        <v>0</v>
      </c>
      <c r="AH226" s="257">
        <f>IFERROR($G226*'Inputs Yr 2'!$Q226*'Inputs Yr 2'!$U226*(IF('Inputs Yr 2'!$AJ226=CD$4,'Inputs Yr 2'!$AK226,IF('Inputs Yr 2'!$AL226=CD$4,'Inputs Yr 2'!$AM226,IF('Inputs Yr 2'!$AN226=CD$4,'Inputs Yr 2'!$AO226,0)))),0)</f>
        <v>0</v>
      </c>
      <c r="AI226" s="257">
        <f t="shared" si="120"/>
        <v>0</v>
      </c>
      <c r="AJ226" s="257">
        <f>IFERROR(AH226*'Inputs Yr 2'!$P226,0)</f>
        <v>0</v>
      </c>
      <c r="AK226" s="257">
        <f t="shared" si="121"/>
        <v>0</v>
      </c>
      <c r="AL226" s="258">
        <f>IFERROR($G226*'Inputs Yr 2'!$P226*'Inputs Yr 2'!$Q226*'Inputs Yr 2'!AP226,0)</f>
        <v>0</v>
      </c>
      <c r="AM226" s="260">
        <f>IFERROR($G226*'Inputs Yr 2'!$P226*'Inputs Yr 2'!$Q226*'Inputs Yr 2'!AQ226,0)</f>
        <v>0</v>
      </c>
      <c r="AN226" s="258">
        <f>IFERROR($G226*'Inputs Yr 2'!$P226*'Inputs Yr 2'!$Q226*'Inputs Yr 2'!AR226,0)</f>
        <v>0</v>
      </c>
      <c r="AO226" s="257">
        <f t="shared" si="122"/>
        <v>0</v>
      </c>
      <c r="AP226" s="195">
        <f>IFERROR($CQ226*(INDEX(avoidedcosttbl2,$H226,AP$2)+(($H226-ROUNDDOWN($H226,0))*(INDEX(avoidedcosttbl2,ROUNDUP($H226,0),AP$2)-(INDEX(avoidedcosttbl2,ROUNDDOWN($H226,0),AP$2)))))*$O226*1000*'Inputs Yr 2'!AA226,"")</f>
        <v>0</v>
      </c>
      <c r="AQ226" s="195">
        <f>IFERROR($CR226*(INDEX(avoidedcosttbl2,$H226,AQ$2)+(($H226-ROUNDDOWN($H226,0))*(INDEX(avoidedcosttbl2,ROUNDUP($H226,0),AQ$2)-(INDEX(avoidedcosttbl2,ROUNDDOWN($H226,0),AQ$2)))))*$O226*1000*'Inputs Yr 2'!AB226,"")</f>
        <v>0</v>
      </c>
      <c r="AR226" s="195">
        <f>IFERROR($CS226*(INDEX(avoidedcosttbl2,$H226,AR$2)+(($H226-ROUNDDOWN($H226,0))*(INDEX(avoidedcosttbl2,ROUNDUP($H226,0),AR$2)-(INDEX(avoidedcosttbl2,ROUNDDOWN($H226,0),AR$2)))))*$O226*1000*'Inputs Yr 2'!AC226,"")</f>
        <v>0</v>
      </c>
      <c r="AS226" s="195">
        <f>IFERROR($CT226*(INDEX(avoidedcosttbl2,$H226,AS$2)+(($H226-ROUNDDOWN($H226,0))*(INDEX(avoidedcosttbl2,ROUNDUP($H226,0),AS$2)-(INDEX(avoidedcosttbl2,ROUNDDOWN($H226,0),AS$2)))))*$O226*1000*'Inputs Yr 2'!AD226,"")</f>
        <v>0</v>
      </c>
      <c r="AT226" s="196">
        <f t="shared" si="123"/>
        <v>0</v>
      </c>
      <c r="AU226" s="197">
        <f>IFERROR($CQ226*((INDEX(avoidedcosttbl2,$H226,AU$2))+(($H226-ROUNDDOWN($H226,0))*((INDEX(avoidedcosttbl2,ROUNDUP($H226,0),AU$2))-(INDEX(avoidedcosttbl2,ROUNDDOWN($H226,0),AU$2)))))*$O226*1000*'Inputs Yr 2'!AA226,"")</f>
        <v>0</v>
      </c>
      <c r="AV226" s="197">
        <f>IFERROR($CR226*((INDEX(avoidedcosttbl2,$H226,AV$2))+(($H226-ROUNDDOWN($H226,0))*((INDEX(avoidedcosttbl2,ROUNDUP($H226,0),AV$2))-(INDEX(avoidedcosttbl2,ROUNDDOWN($H226,0),AV$2)))))*$O226*1000*'Inputs Yr 2'!AB226,"")</f>
        <v>0</v>
      </c>
      <c r="AW226" s="197">
        <f>IFERROR($CS226*((INDEX(avoidedcosttbl2,$H226,AW$2))+(($H226-ROUNDDOWN($H226,0))*((INDEX(avoidedcosttbl2,ROUNDUP($H226,0),AW$2))-(INDEX(avoidedcosttbl2,ROUNDDOWN($H226,0),AW$2)))))*$O226*1000*'Inputs Yr 2'!AC226,"")</f>
        <v>0</v>
      </c>
      <c r="AX226" s="197">
        <f>IFERROR($CT226*((INDEX(avoidedcosttbl2,$H226,AX$2))+(($H226-ROUNDDOWN($H226,0))*((INDEX(avoidedcosttbl2,ROUNDUP($H226,0),AX$2))-(INDEX(avoidedcosttbl2,ROUNDDOWN($H226,0),AX$2)))))*$O226*1000*'Inputs Yr 2'!AD226,"")</f>
        <v>0</v>
      </c>
      <c r="AY226" s="197">
        <f>IFERROR(((INDEX(avoidedcosttbl2,$H226,AY$2))+(($H226-ROUNDDOWN($H226,0))*((INDEX(avoidedcosttbl2,ROUNDUP($H226,0),AY$2))-(INDEX(avoidedcosttbl2,ROUNDDOWN($H226,0),AY$2)))))*$O226*1000*('Inputs Yr 2'!AC226+'Inputs Yr 2'!AD226),"")</f>
        <v>0</v>
      </c>
      <c r="AZ226" s="197">
        <f>IFERROR(((INDEX(avoidedcosttbl2,$H226,AZ$2))+(($H226-ROUNDDOWN($H226,0))*((INDEX(avoidedcosttbl2,ROUNDUP($H226,0),AZ$2))-(INDEX(avoidedcosttbl2,ROUNDDOWN($H226,0),AZ$2)))))*$O226*1000*('Inputs Yr 2'!AA226+'Inputs Yr 2'!AB226),"")</f>
        <v>0</v>
      </c>
      <c r="BA226" s="198">
        <f t="shared" si="124"/>
        <v>0</v>
      </c>
      <c r="BB226" s="198">
        <f t="shared" si="125"/>
        <v>0</v>
      </c>
      <c r="BC226" s="195">
        <f t="shared" si="107"/>
        <v>0</v>
      </c>
      <c r="BD226" s="195">
        <f t="shared" si="108"/>
        <v>0</v>
      </c>
      <c r="BE226" s="195">
        <f t="shared" si="109"/>
        <v>0</v>
      </c>
      <c r="BF226" s="195">
        <f t="shared" si="110"/>
        <v>0</v>
      </c>
      <c r="BG226" s="195">
        <f t="shared" si="111"/>
        <v>0</v>
      </c>
      <c r="BH226" s="196">
        <f t="shared" si="126"/>
        <v>0</v>
      </c>
      <c r="BI226" s="196">
        <f t="shared" si="127"/>
        <v>0</v>
      </c>
      <c r="BJ226" s="195">
        <f>IFERROR($G226*(IF('Inputs Yr 2'!$AJ226=BJ$4,'Inputs Yr 2'!$AK226,IF('Inputs Yr 2'!$AL226=BJ$4,'Inputs Yr 2'!$AM226,IF('Inputs Yr 2'!$AN226=BJ$4,'Inputs Yr 2'!$AO226,0))))*(INDEX(avoidedcosttbl2,$H226,BJ$2)+(($H226-ROUNDDOWN($H226,0))*(INDEX(avoidedcosttbl2,ROUNDUP($H226,0),BJ$2)-(INDEX(avoidedcosttbl2,ROUNDDOWN($H226,0),BJ$2)))))*'Inputs Yr 2'!P226*'Inputs Yr 2'!Q226*'Inputs Yr 2'!U226,"")</f>
        <v>0</v>
      </c>
      <c r="BK226" s="195">
        <f>IFERROR($G226*(IF('Inputs Yr 2'!$AJ226=BK$4,'Inputs Yr 2'!$AK226,IF('Inputs Yr 2'!$AL226=BK$4,'Inputs Yr 2'!$AM226,IF('Inputs Yr 2'!$AN226=BK$4,'Inputs Yr 2'!$AO226,0))))*(INDEX(avoidedcosttbl2,$H226,BK$2)+(($H226-ROUNDDOWN($H226,0))*(INDEX(avoidedcosttbl2,ROUNDUP($H226,0),BK$2)-(INDEX(avoidedcosttbl2,ROUNDDOWN($H226,0),BK$2)))))*'Inputs Yr 2'!P226*'Inputs Yr 2'!Q226*'Inputs Yr 2'!U226,"")</f>
        <v>0</v>
      </c>
      <c r="BL226" s="195">
        <f>IFERROR($G226*(IF('Inputs Yr 2'!$AJ226=BL$4,'Inputs Yr 2'!$AK226,IF('Inputs Yr 2'!$AL226=BL$4,'Inputs Yr 2'!$AM226,IF('Inputs Yr 2'!$AN226=BL$4,'Inputs Yr 2'!$AO226,0))))*(INDEX(avoidedcosttbl2,$H226,BL$2)+(($H226-ROUNDDOWN($H226,0))*(INDEX(avoidedcosttbl2,ROUNDUP($H226,0),BL$2)-(INDEX(avoidedcosttbl2,ROUNDDOWN($H226,0),BL$2)))))*'Inputs Yr 2'!P226*'Inputs Yr 2'!Q226*'Inputs Yr 2'!U226,"")</f>
        <v>0</v>
      </c>
      <c r="BM226" s="195">
        <f>IFERROR($G226*(IF('Inputs Yr 2'!$AJ226=BM$4,'Inputs Yr 2'!$AK226,IF('Inputs Yr 2'!$AL226=BM$4,'Inputs Yr 2'!$AM226,IF('Inputs Yr 2'!$AN226=BM$4,'Inputs Yr 2'!$AO226,0))))*(INDEX(avoidedcosttbl2,$H226,BM$2)+(($H226-ROUNDDOWN($H226,0))*(INDEX(avoidedcosttbl2,ROUNDUP($H226,0),BM$2)-(INDEX(avoidedcosttbl2,ROUNDDOWN($H226,0),BM$2)))))*'Inputs Yr 2'!P226*'Inputs Yr 2'!Q226*'Inputs Yr 2'!U226,"")</f>
        <v>0</v>
      </c>
      <c r="BN226" s="195">
        <f>IFERROR($G226*(IF('Inputs Yr 2'!$AJ226=BN$4,'Inputs Yr 2'!$AK226,IF('Inputs Yr 2'!$AL226=BN$4,'Inputs Yr 2'!$AM226,IF('Inputs Yr 2'!$AN226=BN$4,'Inputs Yr 2'!$AO226,0))))*(INDEX(avoidedcosttbl2,$H226,BN$2)+(($H226-ROUNDDOWN($H226,0))*(INDEX(avoidedcosttbl2,ROUNDUP($H226,0),BN$2)-(INDEX(avoidedcosttbl2,ROUNDDOWN($H226,0),BN$2)))))*'Inputs Yr 2'!P226*'Inputs Yr 2'!Q226*'Inputs Yr 2'!U226,"")</f>
        <v>549176.37035969156</v>
      </c>
      <c r="BO226" s="195">
        <f>IFERROR($G226*(IF('Inputs Yr 2'!$AJ226=BO$4,'Inputs Yr 2'!$AK226,IF('Inputs Yr 2'!$AL226=BO$4,'Inputs Yr 2'!$AM226,IF('Inputs Yr 2'!$AN226=BO$4,'Inputs Yr 2'!$AO226,0))))*(INDEX(avoidedcosttbl2,$H226,BO$2)+(($H226-ROUNDDOWN($H226,0))*(INDEX(avoidedcosttbl2,ROUNDUP($H226,0),BO$2)-(INDEX(avoidedcosttbl2,ROUNDDOWN($H226,0),BO$2)))))*'Inputs Yr 2'!P226*'Inputs Yr 2'!Q226*'Inputs Yr 2'!U226,"")</f>
        <v>0</v>
      </c>
      <c r="BP226" s="195">
        <f>IFERROR($G226*(IF('Inputs Yr 2'!$AJ226=BP$4,'Inputs Yr 2'!$AK226,IF('Inputs Yr 2'!$AL226=BP$4,'Inputs Yr 2'!$AM226,IF('Inputs Yr 2'!$AN226=BP$4,'Inputs Yr 2'!$AO226,0))))*(INDEX(avoidedcosttbl2,$H226,BP$2)+(($H226-ROUNDDOWN($H226,0))*(INDEX(avoidedcosttbl2,ROUNDUP($H226,0),BP$2)-(INDEX(avoidedcosttbl2,ROUNDDOWN($H226,0),BP$2)))))*'Inputs Yr 2'!P226*'Inputs Yr 2'!Q226*'Inputs Yr 2'!U226,"")</f>
        <v>0</v>
      </c>
      <c r="BQ226" s="230">
        <f t="shared" si="128"/>
        <v>549176.37035969156</v>
      </c>
      <c r="BR226" s="197">
        <f t="shared" si="112"/>
        <v>10719.206844988365</v>
      </c>
      <c r="BS226" s="197">
        <f>IFERROR(($G226*IF('Inputs Yr 2'!$AJ226=BM$4,'Inputs Yr 2'!$AK226,IF('Inputs Yr 2'!$AL226=BM$4,'Inputs Yr 2'!$AM226,IF('Inputs Yr 2'!$AN226=BM$4,'Inputs Yr 2'!$AO226,0))))*(INDEX(avoidedcosttbl2,$H226,BS$2)+(($H226-ROUNDDOWN($H226,0))*(INDEX(avoidedcosttbl2,ROUNDUP($H226,0),BS$2)-(INDEX(avoidedcosttbl2,ROUNDDOWN($H226,0),BS$2)))))*'Inputs Yr 2'!P226*'Inputs Yr 2'!Q226*'Inputs Yr 2'!U226,"")</f>
        <v>0</v>
      </c>
      <c r="BT226" s="197">
        <f>IFERROR(($G226*IF('Inputs Yr 2'!$AJ226=BK$4,'Inputs Yr 2'!$AK226,IF('Inputs Yr 2'!$AL226=BK$4,'Inputs Yr 2'!$AM226,IF('Inputs Yr 2'!$AN226=BK$4,'Inputs Yr 2'!$AO226,0))))*(INDEX(avoidedcosttbl2,$H226,BT$2)+(($H226-ROUNDDOWN($H226,0))*(INDEX(avoidedcosttbl2,ROUNDUP($H226,0),BT$2)-(INDEX(avoidedcosttbl2,ROUNDDOWN($H226,0),BT$2)))))*'Inputs Yr 2'!P226*'Inputs Yr 2'!Q226*'Inputs Yr 2'!U226,"")</f>
        <v>0</v>
      </c>
      <c r="BU226" s="197">
        <f>IFERROR(($G226*IF('Inputs Yr 2'!$AJ226=BL$4,'Inputs Yr 2'!$AK226,IF('Inputs Yr 2'!$AL226=BL$4,'Inputs Yr 2'!$AM226,IF('Inputs Yr 2'!$AN226=BL$4,'Inputs Yr 2'!$AO226,0))))*(INDEX(avoidedcosttbl2,$H226,BU$2)+(($H226-ROUNDDOWN($H226,0))*(INDEX(avoidedcosttbl2,ROUNDUP($H226,0),BU$2)-(INDEX(avoidedcosttbl2,ROUNDDOWN($H226,0),BU$2)))))*'Inputs Yr 2'!P226*'Inputs Yr 2'!Q226*'Inputs Yr 2'!U226,"")</f>
        <v>0</v>
      </c>
      <c r="BV226" s="775">
        <f>IFERROR(($G226*IF('Inputs Yr 2'!$AJ226=BJ$4,'Inputs Yr 2'!$AK226,IF('Inputs Yr 2'!$AL226=BJ$4,'Inputs Yr 2'!$AM226,IF('Inputs Yr 2'!$AN226=BJ$4,'Inputs Yr 2'!$AO226,0))))*(INDEX(avoidedcosttbl2,$H226,BV$2)+(($H226-ROUNDDOWN($H226,0))*(INDEX(avoidedcosttbl2,ROUNDUP($H226,0),BV$2)-(INDEX(avoidedcosttbl2,ROUNDDOWN($H226,0),BV$2)))))*'Inputs Yr 2'!P226*'Inputs Yr 2'!Q226*'Inputs Yr 2'!U226,"")</f>
        <v>0</v>
      </c>
      <c r="BW226" s="197">
        <f>IFERROR(($G226*IF('Inputs Yr 2'!$AJ226=BN$4,'Inputs Yr 2'!$AK226,IF('Inputs Yr 2'!$AL226=BN$4,'Inputs Yr 2'!$AM226,IF('Inputs Yr 2'!$AN226=BN$4,'Inputs Yr 2'!$AO226,0))))*(INDEX(avoidedcosttbl2,$H226,BW$2)+(($H226-ROUNDDOWN($H226,0))*(INDEX(avoidedcosttbl2,ROUNDUP($H226,0),BW$2)-(INDEX(avoidedcosttbl2,ROUNDDOWN($H226,0),BW$2)))))*'Inputs Yr 2'!P226*'Inputs Yr 2'!Q226*'Inputs Yr 2'!U226,"")</f>
        <v>48829.614304588962</v>
      </c>
      <c r="BX226" s="197">
        <f>IFERROR(($G226*IF('Inputs Yr 2'!$AJ226=BO$4,'Inputs Yr 2'!$AK226,IF('Inputs Yr 2'!$AL226=BO$4,'Inputs Yr 2'!$AM226,IF('Inputs Yr 2'!$AN226=BO$4,'Inputs Yr 2'!$AO226,0))))*(INDEX(avoidedcosttbl2,$H226,BX$2)+(($H226-ROUNDDOWN($H226,0))*(INDEX(avoidedcosttbl2,ROUNDUP($H226,0),BX$2)-(INDEX(avoidedcosttbl2,ROUNDDOWN($H226,0),BX$2)))))*'Inputs Yr 2'!P226*'Inputs Yr 2'!Q226*'Inputs Yr 2'!U226,"")</f>
        <v>0</v>
      </c>
      <c r="BY226" s="197">
        <f>IFERROR(($G226*IF('Inputs Yr 2'!$AJ226=BP$4,'Inputs Yr 2'!$AK226,IF('Inputs Yr 2'!$AL226=BP$4,'Inputs Yr 2'!$AM226,IF('Inputs Yr 2'!$AN226=BP$4,'Inputs Yr 2'!$AO226,0))))*(INDEX(avoidedcosttbl2,$H226,BY$2)+(($H226-ROUNDDOWN($H226,0))*(INDEX(avoidedcosttbl2,ROUNDUP($H226,0),BY$2)-(INDEX(avoidedcosttbl2,ROUNDDOWN($H226,0),BY$2)))))*'Inputs Yr 2'!P226*'Inputs Yr 2'!Q226*'Inputs Yr 2'!U226,"")</f>
        <v>0</v>
      </c>
      <c r="BZ226" s="193">
        <f t="shared" si="129"/>
        <v>59548.821149577328</v>
      </c>
      <c r="CA226" s="193">
        <f t="shared" si="130"/>
        <v>608725.19150926895</v>
      </c>
      <c r="CB226" s="195">
        <f>IFERROR(G226*(IF('Inputs Yr 2'!$AJ226=CB$4,'Inputs Yr 2'!$AK226,IF('Inputs Yr 2'!$AL226=CB$4,'Inputs Yr 2'!$AM226,IF('Inputs Yr 2'!$AN226=CB$4,'Inputs Yr 2'!$AO226,0))))*(INDEX(avoidedcosttbl2,$H226,CB$2)+(($H226-ROUNDDOWN($H226,0))*(INDEX(avoidedcosttbl2,ROUNDUP($H226,0),CB$2)-(INDEX(avoidedcosttbl2,ROUNDDOWN($H226,0),CB$2)))))*'Inputs Yr 2'!P226*'Inputs Yr 2'!Q226*'Inputs Yr 2'!U226,"")</f>
        <v>0</v>
      </c>
      <c r="CC226" s="195">
        <f>IFERROR(H226*(IF('Inputs Yr 2'!$AJ226=CC$4,'Inputs Yr 2'!$AK226,IF('Inputs Yr 2'!$AL226=CC$4,'Inputs Yr 2'!$AM226,IF('Inputs Yr 2'!$AN226=CC$4,'Inputs Yr 2'!$AO226,0))))*(INDEX(avoidedcosttbl2,$H226,CC$2)+(($H226-ROUNDDOWN($H226,0))*(INDEX(avoidedcosttbl2,ROUNDUP($H226,0),CC$2)-(INDEX(avoidedcosttbl2,ROUNDDOWN($H226,0),CC$2)))))*'Inputs Yr 2'!Q226*'Inputs Yr 2'!R226*'Inputs Yr 2'!V226,"")</f>
        <v>0</v>
      </c>
      <c r="CD226" s="195">
        <f>IFERROR(I226*(IF('Inputs Yr 2'!$AJ226=CD$4,'Inputs Yr 2'!$AK226,IF('Inputs Yr 2'!$AL226=CD$4,'Inputs Yr 2'!$AM226,IF('Inputs Yr 2'!$AN226=CD$4,'Inputs Yr 2'!$AO226,0))))*(INDEX(avoidedcosttbl2,$H226,CD$2)+(($H226-ROUNDDOWN($H226,0))*(INDEX(avoidedcosttbl2,ROUNDUP($H226,0),CD$2)-(INDEX(avoidedcosttbl2,ROUNDDOWN($H226,0),CD$2)))))*'Inputs Yr 2'!R226*'Inputs Yr 2'!S226*'Inputs Yr 2'!W226,"")</f>
        <v>0</v>
      </c>
      <c r="CE226" s="213">
        <f t="shared" si="131"/>
        <v>0</v>
      </c>
      <c r="CF226" s="213">
        <f t="shared" si="132"/>
        <v>0</v>
      </c>
      <c r="CG226" s="213">
        <f t="shared" si="133"/>
        <v>0</v>
      </c>
      <c r="CH226" s="698">
        <f t="shared" si="134"/>
        <v>608725.19150926895</v>
      </c>
      <c r="CI226" s="79">
        <f>IFERROR(($G226*'Inputs Yr 2'!$P226*'Inputs Yr 2'!$Q226*(((INDEX(avoidedcosttbl2,$H226,CI$2)+(($H226-ROUNDDOWN($H226,0))*(INDEX(avoidedcosttbl2,ROUNDUP($H226,0),CI$2)-INDEX(avoidedcosttbl2,ROUNDDOWN($H226,0),CI$2))))*'Inputs Yr 2'!AS226))),"")</f>
        <v>0</v>
      </c>
      <c r="CJ226" s="504">
        <f>IFERROR($G226*'Inputs Yr 2'!AT226*'Inputs Yr 2'!$P226*'Inputs Yr 2'!$Q226/((1+realdiscrt1)^-0.5),"")</f>
        <v>0</v>
      </c>
      <c r="CK226" s="79">
        <f>IFERROR((O226*1000*(((INDEX(avoidedcosttbl2,$H226,CK$2)+(($H226-ROUNDDOWN($H226,0))*(INDEX(avoidedcosttbl2,ROUNDUP($H226,0),CK$2)-INDEX(avoidedcosttbl2,ROUNDDOWN($H226,0),CK$2))))*'Inputs Yr 2'!AU226))),"")</f>
        <v>0</v>
      </c>
      <c r="CL226" s="504">
        <f>IFERROR(O226*1000*'Inputs Yr 2'!AV226/((1+realdiscrt1)^-0.5),"")</f>
        <v>0</v>
      </c>
      <c r="CM226" s="79">
        <f>IFERROR((AB226*'Inputs Yr 2'!AW226*(((INDEX(avoidedcosttbl2,$H226,CM$2)+(($H226-ROUNDDOWN($H226,0))*(INDEX(avoidedcosttbl2,ROUNDUP($H226,0),CM$2)-INDEX(avoidedcosttbl2,ROUNDDOWN($H226,0),CM$2)))))))*10,"")</f>
        <v>0</v>
      </c>
      <c r="CN226" s="504">
        <f>IFERROR(10*AB226*'Inputs Yr 2'!AX226/((1+realdiscrt1)^-0.5),"")</f>
        <v>0</v>
      </c>
      <c r="CO226" s="505">
        <f t="shared" si="135"/>
        <v>0</v>
      </c>
      <c r="CP226" s="230">
        <f t="shared" si="136"/>
        <v>608725.19150926895</v>
      </c>
      <c r="CQ226" s="199">
        <f>ROUND(IFERROR(IF(LEFT($A226,1)="C",'Avoided Costs'!$K$13,'Avoided Costs'!$K$12)+1,""),4)</f>
        <v>1.0720000000000001</v>
      </c>
      <c r="CR226" s="199">
        <f>ROUND(IFERROR(IF(LEFT($A226,1)="C",'Avoided Costs'!$L$13,'Avoided Costs'!$L$12)+1,""),4)</f>
        <v>1.04</v>
      </c>
      <c r="CS226" s="199">
        <f>ROUND(IFERROR(IF(LEFT($A226,1)="C",'Avoided Costs'!$M$13,'Avoided Costs'!$M$12)+1,""),4)</f>
        <v>1.0720000000000001</v>
      </c>
      <c r="CT226" s="199">
        <f>ROUND(IFERROR(IF(LEFT($A226,1)="C",'Avoided Costs'!$N$13,'Avoided Costs'!$N$12)+1,""),4)</f>
        <v>1.04</v>
      </c>
      <c r="CU226" s="199">
        <f>ROUND(IFERROR(IF(LEFT($A226,1)="C",'Avoided Costs'!$O$13,'Avoided Costs'!$O$12)+1,""),4)</f>
        <v>1.1120000000000001</v>
      </c>
      <c r="CV226" s="199">
        <f>ROUND(IFERROR(IF(LEFT($A226,1)="C",'Avoided Costs'!$P$13,'Avoided Costs'!$P$12)+1,""),4)</f>
        <v>1.095</v>
      </c>
      <c r="CW226" s="199">
        <f>ROUND(IFERROR(IF(LEFT($A226,1)="C",'Avoided Costs'!$Q$13,'Avoided Costs'!$Q$12)+1,""),4)</f>
        <v>1.1120000000000001</v>
      </c>
      <c r="CX226" s="200">
        <f>ROUND(IFERROR(IF(LEFT($A226,1)="C",'Avoided Costs'!$R$13,'Avoided Costs'!$R$12)+1,""),4)</f>
        <v>1.1120000000000001</v>
      </c>
    </row>
    <row r="227" spans="1:102" ht="12.75" customHeight="1">
      <c r="A227" s="91" t="str">
        <f>IF('Inputs Yr 2'!$B227=0,"",'Inputs Yr 2'!A227)</f>
        <v>C - Commercial &amp; Industrial</v>
      </c>
      <c r="B227" s="91" t="str">
        <f>IF('Inputs Yr 2'!$B227=0,"",'Inputs Yr 2'!B227)</f>
        <v>C1 - C&amp;I New Construction</v>
      </c>
      <c r="C227" s="91" t="str">
        <f>IF('Inputs Yr 2'!$B227=0,"",'Inputs Yr 2'!C227)</f>
        <v xml:space="preserve">C1b - C&amp;I Initial Purchase &amp; End of Useful Life </v>
      </c>
      <c r="D227" s="91" t="str">
        <f>IF('Inputs Yr 2'!$B227=0,"",'Inputs Yr 2'!E227)</f>
        <v>Stand Alone Water Heater 0.67 - Upstream</v>
      </c>
      <c r="E227" s="93" t="str">
        <f>IF('Inputs Yr 2'!$B227=0,"",'Inputs Yr 2'!F227)</f>
        <v>G16C1b27</v>
      </c>
      <c r="F227" s="93" t="str">
        <f>IF('Inputs Yr 2'!$B227=0,"",'Inputs Yr 2'!G227)</f>
        <v>Hot Water</v>
      </c>
      <c r="G227" s="95" t="str">
        <f>IF('Inputs Yr 2'!$H227&lt;&gt;0,('Inputs Yr 2'!H227),"")</f>
        <v/>
      </c>
      <c r="H227" s="94">
        <f>IFERROR('Inputs Yr 2'!I227,"")</f>
        <v>13</v>
      </c>
      <c r="I227" s="298" t="str">
        <f>IFERROR('Inputs Yr 2'!J227*'Inputs Yr 2'!P227*G227,"")</f>
        <v/>
      </c>
      <c r="J227" s="298" t="str">
        <f>IFERROR('Inputs Yr 2'!K227*G227,"")</f>
        <v/>
      </c>
      <c r="K227" s="298" t="str">
        <f t="shared" si="113"/>
        <v/>
      </c>
      <c r="L227" s="194" t="str">
        <f>IFERROR(('Inputs Yr 2'!W227*G227)/1000,"")</f>
        <v/>
      </c>
      <c r="M227" s="194" t="str">
        <f>IFERROR(L227*('Inputs Yr 2'!$Q227*'Inputs Yr 2'!$V227*'Inputs Yr 2'!$R227),"")</f>
        <v/>
      </c>
      <c r="N227" s="194" t="str">
        <f t="shared" si="114"/>
        <v/>
      </c>
      <c r="O227" s="194" t="str">
        <f>IFERROR(M227*'Inputs Yr 2'!P227,"")</f>
        <v/>
      </c>
      <c r="P227" s="194" t="str">
        <f t="shared" si="115"/>
        <v/>
      </c>
      <c r="Q227" s="194" t="str">
        <f>IFERROR($P227*'Inputs Yr 2'!AA227,"")</f>
        <v/>
      </c>
      <c r="R227" s="194" t="str">
        <f>IFERROR($P227*'Inputs Yr 2'!AB227,"")</f>
        <v/>
      </c>
      <c r="S227" s="194" t="str">
        <f>IFERROR($P227*'Inputs Yr 2'!AC227,"")</f>
        <v/>
      </c>
      <c r="T227" s="194" t="str">
        <f>IFERROR($P227*'Inputs Yr 2'!AD227,"")</f>
        <v/>
      </c>
      <c r="U227" s="194" t="str">
        <f>IFERROR(G227*'Inputs Yr 2'!$AE227*'Inputs Yr 2'!$P227*'Inputs Yr 2'!$Q227,"")</f>
        <v/>
      </c>
      <c r="V227" s="194" t="str">
        <f>IFERROR($G227*'Inputs Yr 2'!$AE227*'Inputs Yr 2'!$AG227*'Inputs Yr 2'!Q227*'Inputs Yr 2'!$S227,"")</f>
        <v/>
      </c>
      <c r="W227" s="194" t="str">
        <f>IFERROR($G227*'Inputs Yr 2'!$AE227*'Inputs Yr 2'!$AG227*'Inputs Yr 2'!P227*'Inputs Yr 2'!Q227*'Inputs Yr 2'!$S227,"")</f>
        <v/>
      </c>
      <c r="X227" s="194" t="str">
        <f>IFERROR($G227*'Inputs Yr 2'!$AE227*'Inputs Yr 2'!$AF227*'Inputs Yr 2'!Q227*'Inputs Yr 2'!$T227,"")</f>
        <v/>
      </c>
      <c r="Y227" s="194" t="str">
        <f>IFERROR($G227*'Inputs Yr 2'!$AE227*'Inputs Yr 2'!$AF227*'Inputs Yr 2'!P227*'Inputs Yr 2'!Q227*'Inputs Yr 2'!$T227,"")</f>
        <v/>
      </c>
      <c r="Z227" s="257">
        <f>IFERROR($G227*'Inputs Yr 2'!$Q227*'Inputs Yr 2'!$U227*(IF(IFERROR(SEARCH("NG", 'Inputs Yr 2'!$AJ227),0),'Inputs Yr 2'!$AK227,0)+IF(IFERROR(SEARCH("NG", 'Inputs Yr 2'!$AL227),0),'Inputs Yr 2'!$AM227,0)+IF(IFERROR(SEARCH("NG", 'Inputs Yr 2'!$AN227),0),'Inputs Yr 2'!$AO227,0)),0)</f>
        <v>0</v>
      </c>
      <c r="AA227" s="257">
        <f t="shared" si="116"/>
        <v>0</v>
      </c>
      <c r="AB227" s="257">
        <f>IFERROR(Z227*'Inputs Yr 2'!$P227,0)</f>
        <v>0</v>
      </c>
      <c r="AC227" s="257">
        <f t="shared" si="117"/>
        <v>0</v>
      </c>
      <c r="AD227" s="257">
        <f>IFERROR($G227*'Inputs Yr 2'!$Q227*'Inputs Yr 2'!$U227*(IF(IFERROR(SEARCH("Oil", 'Inputs Yr 2'!$AJ227), 0),'Inputs Yr 2'!$AK227,0)+IF(IFERROR(SEARCH("Oil", 'Inputs Yr 2'!$AL227), 0),'Inputs Yr 2'!$AM227,0)+IF(IFERROR(SEARCH("Oil", 'Inputs Yr 2'!$AN227), 0),'Inputs Yr 2'!$AO227,0)),0)</f>
        <v>0</v>
      </c>
      <c r="AE227" s="257">
        <f t="shared" si="118"/>
        <v>0</v>
      </c>
      <c r="AF227" s="257">
        <f>IFERROR(AD227*'Inputs Yr 2'!$P227,0)</f>
        <v>0</v>
      </c>
      <c r="AG227" s="257">
        <f t="shared" si="119"/>
        <v>0</v>
      </c>
      <c r="AH227" s="257">
        <f>IFERROR($G227*'Inputs Yr 2'!$Q227*'Inputs Yr 2'!$U227*(IF('Inputs Yr 2'!$AJ227=CD$4,'Inputs Yr 2'!$AK227,IF('Inputs Yr 2'!$AL227=CD$4,'Inputs Yr 2'!$AM227,IF('Inputs Yr 2'!$AN227=CD$4,'Inputs Yr 2'!$AO227,0)))),0)</f>
        <v>0</v>
      </c>
      <c r="AI227" s="257">
        <f t="shared" si="120"/>
        <v>0</v>
      </c>
      <c r="AJ227" s="257">
        <f>IFERROR(AH227*'Inputs Yr 2'!$P227,0)</f>
        <v>0</v>
      </c>
      <c r="AK227" s="257">
        <f t="shared" si="121"/>
        <v>0</v>
      </c>
      <c r="AL227" s="258">
        <f>IFERROR($G227*'Inputs Yr 2'!$P227*'Inputs Yr 2'!$Q227*'Inputs Yr 2'!AP227,0)</f>
        <v>0</v>
      </c>
      <c r="AM227" s="260">
        <f>IFERROR($G227*'Inputs Yr 2'!$P227*'Inputs Yr 2'!$Q227*'Inputs Yr 2'!AQ227,0)</f>
        <v>0</v>
      </c>
      <c r="AN227" s="258">
        <f>IFERROR($G227*'Inputs Yr 2'!$P227*'Inputs Yr 2'!$Q227*'Inputs Yr 2'!AR227,0)</f>
        <v>0</v>
      </c>
      <c r="AO227" s="257">
        <f t="shared" si="122"/>
        <v>0</v>
      </c>
      <c r="AP227" s="195" t="str">
        <f>IFERROR($CQ227*(INDEX(avoidedcosttbl2,$H227,AP$2)+(($H227-ROUNDDOWN($H227,0))*(INDEX(avoidedcosttbl2,ROUNDUP($H227,0),AP$2)-(INDEX(avoidedcosttbl2,ROUNDDOWN($H227,0),AP$2)))))*$O227*1000*'Inputs Yr 2'!AA227,"")</f>
        <v/>
      </c>
      <c r="AQ227" s="195" t="str">
        <f>IFERROR($CR227*(INDEX(avoidedcosttbl2,$H227,AQ$2)+(($H227-ROUNDDOWN($H227,0))*(INDEX(avoidedcosttbl2,ROUNDUP($H227,0),AQ$2)-(INDEX(avoidedcosttbl2,ROUNDDOWN($H227,0),AQ$2)))))*$O227*1000*'Inputs Yr 2'!AB227,"")</f>
        <v/>
      </c>
      <c r="AR227" s="195" t="str">
        <f>IFERROR($CS227*(INDEX(avoidedcosttbl2,$H227,AR$2)+(($H227-ROUNDDOWN($H227,0))*(INDEX(avoidedcosttbl2,ROUNDUP($H227,0),AR$2)-(INDEX(avoidedcosttbl2,ROUNDDOWN($H227,0),AR$2)))))*$O227*1000*'Inputs Yr 2'!AC227,"")</f>
        <v/>
      </c>
      <c r="AS227" s="195" t="str">
        <f>IFERROR($CT227*(INDEX(avoidedcosttbl2,$H227,AS$2)+(($H227-ROUNDDOWN($H227,0))*(INDEX(avoidedcosttbl2,ROUNDUP($H227,0),AS$2)-(INDEX(avoidedcosttbl2,ROUNDDOWN($H227,0),AS$2)))))*$O227*1000*'Inputs Yr 2'!AD227,"")</f>
        <v/>
      </c>
      <c r="AT227" s="196">
        <f t="shared" si="123"/>
        <v>0</v>
      </c>
      <c r="AU227" s="197" t="str">
        <f>IFERROR($CQ227*((INDEX(avoidedcosttbl2,$H227,AU$2))+(($H227-ROUNDDOWN($H227,0))*((INDEX(avoidedcosttbl2,ROUNDUP($H227,0),AU$2))-(INDEX(avoidedcosttbl2,ROUNDDOWN($H227,0),AU$2)))))*$O227*1000*'Inputs Yr 2'!AA227,"")</f>
        <v/>
      </c>
      <c r="AV227" s="197" t="str">
        <f>IFERROR($CR227*((INDEX(avoidedcosttbl2,$H227,AV$2))+(($H227-ROUNDDOWN($H227,0))*((INDEX(avoidedcosttbl2,ROUNDUP($H227,0),AV$2))-(INDEX(avoidedcosttbl2,ROUNDDOWN($H227,0),AV$2)))))*$O227*1000*'Inputs Yr 2'!AB227,"")</f>
        <v/>
      </c>
      <c r="AW227" s="197" t="str">
        <f>IFERROR($CS227*((INDEX(avoidedcosttbl2,$H227,AW$2))+(($H227-ROUNDDOWN($H227,0))*((INDEX(avoidedcosttbl2,ROUNDUP($H227,0),AW$2))-(INDEX(avoidedcosttbl2,ROUNDDOWN($H227,0),AW$2)))))*$O227*1000*'Inputs Yr 2'!AC227,"")</f>
        <v/>
      </c>
      <c r="AX227" s="197" t="str">
        <f>IFERROR($CT227*((INDEX(avoidedcosttbl2,$H227,AX$2))+(($H227-ROUNDDOWN($H227,0))*((INDEX(avoidedcosttbl2,ROUNDUP($H227,0),AX$2))-(INDEX(avoidedcosttbl2,ROUNDDOWN($H227,0),AX$2)))))*$O227*1000*'Inputs Yr 2'!AD227,"")</f>
        <v/>
      </c>
      <c r="AY227" s="197" t="str">
        <f>IFERROR(((INDEX(avoidedcosttbl2,$H227,AY$2))+(($H227-ROUNDDOWN($H227,0))*((INDEX(avoidedcosttbl2,ROUNDUP($H227,0),AY$2))-(INDEX(avoidedcosttbl2,ROUNDDOWN($H227,0),AY$2)))))*$O227*1000*('Inputs Yr 2'!AC227+'Inputs Yr 2'!AD227),"")</f>
        <v/>
      </c>
      <c r="AZ227" s="197" t="str">
        <f>IFERROR(((INDEX(avoidedcosttbl2,$H227,AZ$2))+(($H227-ROUNDDOWN($H227,0))*((INDEX(avoidedcosttbl2,ROUNDUP($H227,0),AZ$2))-(INDEX(avoidedcosttbl2,ROUNDDOWN($H227,0),AZ$2)))))*$O227*1000*('Inputs Yr 2'!AA227+'Inputs Yr 2'!AB227),"")</f>
        <v/>
      </c>
      <c r="BA227" s="198">
        <f t="shared" si="124"/>
        <v>0</v>
      </c>
      <c r="BB227" s="198">
        <f t="shared" si="125"/>
        <v>0</v>
      </c>
      <c r="BC227" s="195" t="str">
        <f t="shared" si="107"/>
        <v/>
      </c>
      <c r="BD227" s="195" t="str">
        <f t="shared" si="108"/>
        <v/>
      </c>
      <c r="BE227" s="195" t="str">
        <f t="shared" si="109"/>
        <v/>
      </c>
      <c r="BF227" s="195" t="str">
        <f t="shared" si="110"/>
        <v/>
      </c>
      <c r="BG227" s="195" t="str">
        <f t="shared" si="111"/>
        <v/>
      </c>
      <c r="BH227" s="196">
        <f t="shared" si="126"/>
        <v>0</v>
      </c>
      <c r="BI227" s="196">
        <f t="shared" si="127"/>
        <v>0</v>
      </c>
      <c r="BJ227" s="195" t="str">
        <f>IFERROR($G227*(IF('Inputs Yr 2'!$AJ227=BJ$4,'Inputs Yr 2'!$AK227,IF('Inputs Yr 2'!$AL227=BJ$4,'Inputs Yr 2'!$AM227,IF('Inputs Yr 2'!$AN227=BJ$4,'Inputs Yr 2'!$AO227,0))))*(INDEX(avoidedcosttbl2,$H227,BJ$2)+(($H227-ROUNDDOWN($H227,0))*(INDEX(avoidedcosttbl2,ROUNDUP($H227,0),BJ$2)-(INDEX(avoidedcosttbl2,ROUNDDOWN($H227,0),BJ$2)))))*'Inputs Yr 2'!P227*'Inputs Yr 2'!Q227*'Inputs Yr 2'!U227,"")</f>
        <v/>
      </c>
      <c r="BK227" s="195" t="str">
        <f>IFERROR($G227*(IF('Inputs Yr 2'!$AJ227=BK$4,'Inputs Yr 2'!$AK227,IF('Inputs Yr 2'!$AL227=BK$4,'Inputs Yr 2'!$AM227,IF('Inputs Yr 2'!$AN227=BK$4,'Inputs Yr 2'!$AO227,0))))*(INDEX(avoidedcosttbl2,$H227,BK$2)+(($H227-ROUNDDOWN($H227,0))*(INDEX(avoidedcosttbl2,ROUNDUP($H227,0),BK$2)-(INDEX(avoidedcosttbl2,ROUNDDOWN($H227,0),BK$2)))))*'Inputs Yr 2'!P227*'Inputs Yr 2'!Q227*'Inputs Yr 2'!U227,"")</f>
        <v/>
      </c>
      <c r="BL227" s="195" t="str">
        <f>IFERROR($G227*(IF('Inputs Yr 2'!$AJ227=BL$4,'Inputs Yr 2'!$AK227,IF('Inputs Yr 2'!$AL227=BL$4,'Inputs Yr 2'!$AM227,IF('Inputs Yr 2'!$AN227=BL$4,'Inputs Yr 2'!$AO227,0))))*(INDEX(avoidedcosttbl2,$H227,BL$2)+(($H227-ROUNDDOWN($H227,0))*(INDEX(avoidedcosttbl2,ROUNDUP($H227,0),BL$2)-(INDEX(avoidedcosttbl2,ROUNDDOWN($H227,0),BL$2)))))*'Inputs Yr 2'!P227*'Inputs Yr 2'!Q227*'Inputs Yr 2'!U227,"")</f>
        <v/>
      </c>
      <c r="BM227" s="195" t="str">
        <f>IFERROR($G227*(IF('Inputs Yr 2'!$AJ227=BM$4,'Inputs Yr 2'!$AK227,IF('Inputs Yr 2'!$AL227=BM$4,'Inputs Yr 2'!$AM227,IF('Inputs Yr 2'!$AN227=BM$4,'Inputs Yr 2'!$AO227,0))))*(INDEX(avoidedcosttbl2,$H227,BM$2)+(($H227-ROUNDDOWN($H227,0))*(INDEX(avoidedcosttbl2,ROUNDUP($H227,0),BM$2)-(INDEX(avoidedcosttbl2,ROUNDDOWN($H227,0),BM$2)))))*'Inputs Yr 2'!P227*'Inputs Yr 2'!Q227*'Inputs Yr 2'!U227,"")</f>
        <v/>
      </c>
      <c r="BN227" s="195" t="str">
        <f>IFERROR($G227*(IF('Inputs Yr 2'!$AJ227=BN$4,'Inputs Yr 2'!$AK227,IF('Inputs Yr 2'!$AL227=BN$4,'Inputs Yr 2'!$AM227,IF('Inputs Yr 2'!$AN227=BN$4,'Inputs Yr 2'!$AO227,0))))*(INDEX(avoidedcosttbl2,$H227,BN$2)+(($H227-ROUNDDOWN($H227,0))*(INDEX(avoidedcosttbl2,ROUNDUP($H227,0),BN$2)-(INDEX(avoidedcosttbl2,ROUNDDOWN($H227,0),BN$2)))))*'Inputs Yr 2'!P227*'Inputs Yr 2'!Q227*'Inputs Yr 2'!U227,"")</f>
        <v/>
      </c>
      <c r="BO227" s="195" t="str">
        <f>IFERROR($G227*(IF('Inputs Yr 2'!$AJ227=BO$4,'Inputs Yr 2'!$AK227,IF('Inputs Yr 2'!$AL227=BO$4,'Inputs Yr 2'!$AM227,IF('Inputs Yr 2'!$AN227=BO$4,'Inputs Yr 2'!$AO227,0))))*(INDEX(avoidedcosttbl2,$H227,BO$2)+(($H227-ROUNDDOWN($H227,0))*(INDEX(avoidedcosttbl2,ROUNDUP($H227,0),BO$2)-(INDEX(avoidedcosttbl2,ROUNDDOWN($H227,0),BO$2)))))*'Inputs Yr 2'!P227*'Inputs Yr 2'!Q227*'Inputs Yr 2'!U227,"")</f>
        <v/>
      </c>
      <c r="BP227" s="195" t="str">
        <f>IFERROR($G227*(IF('Inputs Yr 2'!$AJ227=BP$4,'Inputs Yr 2'!$AK227,IF('Inputs Yr 2'!$AL227=BP$4,'Inputs Yr 2'!$AM227,IF('Inputs Yr 2'!$AN227=BP$4,'Inputs Yr 2'!$AO227,0))))*(INDEX(avoidedcosttbl2,$H227,BP$2)+(($H227-ROUNDDOWN($H227,0))*(INDEX(avoidedcosttbl2,ROUNDUP($H227,0),BP$2)-(INDEX(avoidedcosttbl2,ROUNDDOWN($H227,0),BP$2)))))*'Inputs Yr 2'!P227*'Inputs Yr 2'!Q227*'Inputs Yr 2'!U227,"")</f>
        <v/>
      </c>
      <c r="BQ227" s="230">
        <f t="shared" si="128"/>
        <v>0</v>
      </c>
      <c r="BR227" s="197">
        <f t="shared" si="112"/>
        <v>0</v>
      </c>
      <c r="BS227" s="197" t="str">
        <f>IFERROR(($G227*IF('Inputs Yr 2'!$AJ227=BM$4,'Inputs Yr 2'!$AK227,IF('Inputs Yr 2'!$AL227=BM$4,'Inputs Yr 2'!$AM227,IF('Inputs Yr 2'!$AN227=BM$4,'Inputs Yr 2'!$AO227,0))))*(INDEX(avoidedcosttbl2,$H227,BS$2)+(($H227-ROUNDDOWN($H227,0))*(INDEX(avoidedcosttbl2,ROUNDUP($H227,0),BS$2)-(INDEX(avoidedcosttbl2,ROUNDDOWN($H227,0),BS$2)))))*'Inputs Yr 2'!P227*'Inputs Yr 2'!Q227*'Inputs Yr 2'!U227,"")</f>
        <v/>
      </c>
      <c r="BT227" s="197" t="str">
        <f>IFERROR(($G227*IF('Inputs Yr 2'!$AJ227=BK$4,'Inputs Yr 2'!$AK227,IF('Inputs Yr 2'!$AL227=BK$4,'Inputs Yr 2'!$AM227,IF('Inputs Yr 2'!$AN227=BK$4,'Inputs Yr 2'!$AO227,0))))*(INDEX(avoidedcosttbl2,$H227,BT$2)+(($H227-ROUNDDOWN($H227,0))*(INDEX(avoidedcosttbl2,ROUNDUP($H227,0),BT$2)-(INDEX(avoidedcosttbl2,ROUNDDOWN($H227,0),BT$2)))))*'Inputs Yr 2'!P227*'Inputs Yr 2'!Q227*'Inputs Yr 2'!U227,"")</f>
        <v/>
      </c>
      <c r="BU227" s="197" t="str">
        <f>IFERROR(($G227*IF('Inputs Yr 2'!$AJ227=BL$4,'Inputs Yr 2'!$AK227,IF('Inputs Yr 2'!$AL227=BL$4,'Inputs Yr 2'!$AM227,IF('Inputs Yr 2'!$AN227=BL$4,'Inputs Yr 2'!$AO227,0))))*(INDEX(avoidedcosttbl2,$H227,BU$2)+(($H227-ROUNDDOWN($H227,0))*(INDEX(avoidedcosttbl2,ROUNDUP($H227,0),BU$2)-(INDEX(avoidedcosttbl2,ROUNDDOWN($H227,0),BU$2)))))*'Inputs Yr 2'!P227*'Inputs Yr 2'!Q227*'Inputs Yr 2'!U227,"")</f>
        <v/>
      </c>
      <c r="BV227" s="775" t="str">
        <f>IFERROR(($G227*IF('Inputs Yr 2'!$AJ227=BJ$4,'Inputs Yr 2'!$AK227,IF('Inputs Yr 2'!$AL227=BJ$4,'Inputs Yr 2'!$AM227,IF('Inputs Yr 2'!$AN227=BJ$4,'Inputs Yr 2'!$AO227,0))))*(INDEX(avoidedcosttbl2,$H227,BV$2)+(($H227-ROUNDDOWN($H227,0))*(INDEX(avoidedcosttbl2,ROUNDUP($H227,0),BV$2)-(INDEX(avoidedcosttbl2,ROUNDDOWN($H227,0),BV$2)))))*'Inputs Yr 2'!P227*'Inputs Yr 2'!Q227*'Inputs Yr 2'!U227,"")</f>
        <v/>
      </c>
      <c r="BW227" s="197" t="str">
        <f>IFERROR(($G227*IF('Inputs Yr 2'!$AJ227=BN$4,'Inputs Yr 2'!$AK227,IF('Inputs Yr 2'!$AL227=BN$4,'Inputs Yr 2'!$AM227,IF('Inputs Yr 2'!$AN227=BN$4,'Inputs Yr 2'!$AO227,0))))*(INDEX(avoidedcosttbl2,$H227,BW$2)+(($H227-ROUNDDOWN($H227,0))*(INDEX(avoidedcosttbl2,ROUNDUP($H227,0),BW$2)-(INDEX(avoidedcosttbl2,ROUNDDOWN($H227,0),BW$2)))))*'Inputs Yr 2'!P227*'Inputs Yr 2'!Q227*'Inputs Yr 2'!U227,"")</f>
        <v/>
      </c>
      <c r="BX227" s="197" t="str">
        <f>IFERROR(($G227*IF('Inputs Yr 2'!$AJ227=BO$4,'Inputs Yr 2'!$AK227,IF('Inputs Yr 2'!$AL227=BO$4,'Inputs Yr 2'!$AM227,IF('Inputs Yr 2'!$AN227=BO$4,'Inputs Yr 2'!$AO227,0))))*(INDEX(avoidedcosttbl2,$H227,BX$2)+(($H227-ROUNDDOWN($H227,0))*(INDEX(avoidedcosttbl2,ROUNDUP($H227,0),BX$2)-(INDEX(avoidedcosttbl2,ROUNDDOWN($H227,0),BX$2)))))*'Inputs Yr 2'!P227*'Inputs Yr 2'!Q227*'Inputs Yr 2'!U227,"")</f>
        <v/>
      </c>
      <c r="BY227" s="197" t="str">
        <f>IFERROR(($G227*IF('Inputs Yr 2'!$AJ227=BP$4,'Inputs Yr 2'!$AK227,IF('Inputs Yr 2'!$AL227=BP$4,'Inputs Yr 2'!$AM227,IF('Inputs Yr 2'!$AN227=BP$4,'Inputs Yr 2'!$AO227,0))))*(INDEX(avoidedcosttbl2,$H227,BY$2)+(($H227-ROUNDDOWN($H227,0))*(INDEX(avoidedcosttbl2,ROUNDUP($H227,0),BY$2)-(INDEX(avoidedcosttbl2,ROUNDDOWN($H227,0),BY$2)))))*'Inputs Yr 2'!P227*'Inputs Yr 2'!Q227*'Inputs Yr 2'!U227,"")</f>
        <v/>
      </c>
      <c r="BZ227" s="193">
        <f t="shared" si="129"/>
        <v>0</v>
      </c>
      <c r="CA227" s="193">
        <f t="shared" si="130"/>
        <v>0</v>
      </c>
      <c r="CB227" s="195" t="str">
        <f>IFERROR(G227*(IF('Inputs Yr 2'!$AJ227=CB$4,'Inputs Yr 2'!$AK227,IF('Inputs Yr 2'!$AL227=CB$4,'Inputs Yr 2'!$AM227,IF('Inputs Yr 2'!$AN227=CB$4,'Inputs Yr 2'!$AO227,0))))*(INDEX(avoidedcosttbl2,$H227,CB$2)+(($H227-ROUNDDOWN($H227,0))*(INDEX(avoidedcosttbl2,ROUNDUP($H227,0),CB$2)-(INDEX(avoidedcosttbl2,ROUNDDOWN($H227,0),CB$2)))))*'Inputs Yr 2'!P227*'Inputs Yr 2'!Q227*'Inputs Yr 2'!U227,"")</f>
        <v/>
      </c>
      <c r="CC227" s="195">
        <f>IFERROR(H227*(IF('Inputs Yr 2'!$AJ227=CC$4,'Inputs Yr 2'!$AK227,IF('Inputs Yr 2'!$AL227=CC$4,'Inputs Yr 2'!$AM227,IF('Inputs Yr 2'!$AN227=CC$4,'Inputs Yr 2'!$AO227,0))))*(INDEX(avoidedcosttbl2,$H227,CC$2)+(($H227-ROUNDDOWN($H227,0))*(INDEX(avoidedcosttbl2,ROUNDUP($H227,0),CC$2)-(INDEX(avoidedcosttbl2,ROUNDDOWN($H227,0),CC$2)))))*'Inputs Yr 2'!Q227*'Inputs Yr 2'!R227*'Inputs Yr 2'!V227,"")</f>
        <v>0</v>
      </c>
      <c r="CD227" s="195" t="str">
        <f>IFERROR(I227*(IF('Inputs Yr 2'!$AJ227=CD$4,'Inputs Yr 2'!$AK227,IF('Inputs Yr 2'!$AL227=CD$4,'Inputs Yr 2'!$AM227,IF('Inputs Yr 2'!$AN227=CD$4,'Inputs Yr 2'!$AO227,0))))*(INDEX(avoidedcosttbl2,$H227,CD$2)+(($H227-ROUNDDOWN($H227,0))*(INDEX(avoidedcosttbl2,ROUNDUP($H227,0),CD$2)-(INDEX(avoidedcosttbl2,ROUNDDOWN($H227,0),CD$2)))))*'Inputs Yr 2'!R227*'Inputs Yr 2'!S227*'Inputs Yr 2'!W227,"")</f>
        <v/>
      </c>
      <c r="CE227" s="213">
        <f t="shared" si="131"/>
        <v>0</v>
      </c>
      <c r="CF227" s="213">
        <f t="shared" si="132"/>
        <v>0</v>
      </c>
      <c r="CG227" s="213">
        <f t="shared" si="133"/>
        <v>0</v>
      </c>
      <c r="CH227" s="698">
        <f t="shared" si="134"/>
        <v>0</v>
      </c>
      <c r="CI227" s="79" t="str">
        <f>IFERROR(($G227*'Inputs Yr 2'!$P227*'Inputs Yr 2'!$Q227*(((INDEX(avoidedcosttbl2,$H227,CI$2)+(($H227-ROUNDDOWN($H227,0))*(INDEX(avoidedcosttbl2,ROUNDUP($H227,0),CI$2)-INDEX(avoidedcosttbl2,ROUNDDOWN($H227,0),CI$2))))*'Inputs Yr 2'!AS227))),"")</f>
        <v/>
      </c>
      <c r="CJ227" s="504" t="str">
        <f>IFERROR($G227*'Inputs Yr 2'!AT227*'Inputs Yr 2'!$P227*'Inputs Yr 2'!$Q227/((1+realdiscrt1)^-0.5),"")</f>
        <v/>
      </c>
      <c r="CK227" s="79" t="str">
        <f>IFERROR((O227*1000*(((INDEX(avoidedcosttbl2,$H227,CK$2)+(($H227-ROUNDDOWN($H227,0))*(INDEX(avoidedcosttbl2,ROUNDUP($H227,0),CK$2)-INDEX(avoidedcosttbl2,ROUNDDOWN($H227,0),CK$2))))*'Inputs Yr 2'!AU227))),"")</f>
        <v/>
      </c>
      <c r="CL227" s="504" t="str">
        <f>IFERROR(O227*1000*'Inputs Yr 2'!AV227/((1+realdiscrt1)^-0.5),"")</f>
        <v/>
      </c>
      <c r="CM227" s="79">
        <f>IFERROR((AB227*'Inputs Yr 2'!AW227*(((INDEX(avoidedcosttbl2,$H227,CM$2)+(($H227-ROUNDDOWN($H227,0))*(INDEX(avoidedcosttbl2,ROUNDUP($H227,0),CM$2)-INDEX(avoidedcosttbl2,ROUNDDOWN($H227,0),CM$2)))))))*10,"")</f>
        <v>0</v>
      </c>
      <c r="CN227" s="504">
        <f>IFERROR(10*AB227*'Inputs Yr 2'!AX227/((1+realdiscrt1)^-0.5),"")</f>
        <v>0</v>
      </c>
      <c r="CO227" s="505">
        <f t="shared" si="135"/>
        <v>0</v>
      </c>
      <c r="CP227" s="230">
        <f t="shared" si="136"/>
        <v>0</v>
      </c>
      <c r="CQ227" s="199">
        <f>ROUND(IFERROR(IF(LEFT($A227,1)="C",'Avoided Costs'!$K$13,'Avoided Costs'!$K$12)+1,""),4)</f>
        <v>1.0720000000000001</v>
      </c>
      <c r="CR227" s="199">
        <f>ROUND(IFERROR(IF(LEFT($A227,1)="C",'Avoided Costs'!$L$13,'Avoided Costs'!$L$12)+1,""),4)</f>
        <v>1.04</v>
      </c>
      <c r="CS227" s="199">
        <f>ROUND(IFERROR(IF(LEFT($A227,1)="C",'Avoided Costs'!$M$13,'Avoided Costs'!$M$12)+1,""),4)</f>
        <v>1.0720000000000001</v>
      </c>
      <c r="CT227" s="199">
        <f>ROUND(IFERROR(IF(LEFT($A227,1)="C",'Avoided Costs'!$N$13,'Avoided Costs'!$N$12)+1,""),4)</f>
        <v>1.04</v>
      </c>
      <c r="CU227" s="199">
        <f>ROUND(IFERROR(IF(LEFT($A227,1)="C",'Avoided Costs'!$O$13,'Avoided Costs'!$O$12)+1,""),4)</f>
        <v>1.1120000000000001</v>
      </c>
      <c r="CV227" s="199">
        <f>ROUND(IFERROR(IF(LEFT($A227,1)="C",'Avoided Costs'!$P$13,'Avoided Costs'!$P$12)+1,""),4)</f>
        <v>1.095</v>
      </c>
      <c r="CW227" s="199">
        <f>ROUND(IFERROR(IF(LEFT($A227,1)="C",'Avoided Costs'!$Q$13,'Avoided Costs'!$Q$12)+1,""),4)</f>
        <v>1.1120000000000001</v>
      </c>
      <c r="CX227" s="200">
        <f>ROUND(IFERROR(IF(LEFT($A227,1)="C",'Avoided Costs'!$R$13,'Avoided Costs'!$R$12)+1,""),4)</f>
        <v>1.1120000000000001</v>
      </c>
    </row>
    <row r="228" spans="1:102" ht="12.75" customHeight="1">
      <c r="A228" s="91" t="str">
        <f>IF('Inputs Yr 2'!$B228=0,"",'Inputs Yr 2'!A228)</f>
        <v>C - Commercial &amp; Industrial</v>
      </c>
      <c r="B228" s="91" t="str">
        <f>IF('Inputs Yr 2'!$B228=0,"",'Inputs Yr 2'!B228)</f>
        <v>C1 - C&amp;I New Construction</v>
      </c>
      <c r="C228" s="91" t="str">
        <f>IF('Inputs Yr 2'!$B228=0,"",'Inputs Yr 2'!C228)</f>
        <v xml:space="preserve">C1b - C&amp;I Initial Purchase &amp; End of Useful Life </v>
      </c>
      <c r="D228" s="91" t="str">
        <f>IF('Inputs Yr 2'!$B228=0,"",'Inputs Yr 2'!E228)</f>
        <v>Condensing Water Heater 0.90 - Upstream</v>
      </c>
      <c r="E228" s="93" t="str">
        <f>IF('Inputs Yr 2'!$B228=0,"",'Inputs Yr 2'!F228)</f>
        <v>G16C1b28</v>
      </c>
      <c r="F228" s="93" t="str">
        <f>IF('Inputs Yr 2'!$B228=0,"",'Inputs Yr 2'!G228)</f>
        <v>Hot Water</v>
      </c>
      <c r="G228" s="95">
        <f>IF('Inputs Yr 2'!$H228&lt;&gt;0,('Inputs Yr 2'!H228),"")</f>
        <v>864</v>
      </c>
      <c r="H228" s="94">
        <f>IFERROR('Inputs Yr 2'!I228,"")</f>
        <v>15</v>
      </c>
      <c r="I228" s="298">
        <f>IFERROR('Inputs Yr 2'!J228*'Inputs Yr 2'!P228*G228,"")</f>
        <v>588614.58432000002</v>
      </c>
      <c r="J228" s="298">
        <f>IFERROR('Inputs Yr 2'!K228*G228,"")</f>
        <v>489974.4</v>
      </c>
      <c r="K228" s="298">
        <f t="shared" si="113"/>
        <v>98640.18432</v>
      </c>
      <c r="L228" s="194">
        <f>IFERROR(('Inputs Yr 2'!W228*G228)/1000,"")</f>
        <v>0</v>
      </c>
      <c r="M228" s="194">
        <f>IFERROR(L228*('Inputs Yr 2'!$Q228*'Inputs Yr 2'!$V228*'Inputs Yr 2'!$R228),"")</f>
        <v>0</v>
      </c>
      <c r="N228" s="194">
        <f t="shared" si="114"/>
        <v>0</v>
      </c>
      <c r="O228" s="194">
        <f>IFERROR(M228*'Inputs Yr 2'!P228,"")</f>
        <v>0</v>
      </c>
      <c r="P228" s="194">
        <f t="shared" si="115"/>
        <v>0</v>
      </c>
      <c r="Q228" s="194">
        <f>IFERROR($P228*'Inputs Yr 2'!AA228,"")</f>
        <v>0</v>
      </c>
      <c r="R228" s="194">
        <f>IFERROR($P228*'Inputs Yr 2'!AB228,"")</f>
        <v>0</v>
      </c>
      <c r="S228" s="194">
        <f>IFERROR($P228*'Inputs Yr 2'!AC228,"")</f>
        <v>0</v>
      </c>
      <c r="T228" s="194">
        <f>IFERROR($P228*'Inputs Yr 2'!AD228,"")</f>
        <v>0</v>
      </c>
      <c r="U228" s="194">
        <f>IFERROR(G228*'Inputs Yr 2'!$AE228*'Inputs Yr 2'!$P228*'Inputs Yr 2'!$Q228,"")</f>
        <v>0</v>
      </c>
      <c r="V228" s="194">
        <f>IFERROR($G228*'Inputs Yr 2'!$AE228*'Inputs Yr 2'!$AG228*'Inputs Yr 2'!Q228*'Inputs Yr 2'!$S228,"")</f>
        <v>0</v>
      </c>
      <c r="W228" s="194">
        <f>IFERROR($G228*'Inputs Yr 2'!$AE228*'Inputs Yr 2'!$AG228*'Inputs Yr 2'!P228*'Inputs Yr 2'!Q228*'Inputs Yr 2'!$S228,"")</f>
        <v>0</v>
      </c>
      <c r="X228" s="194">
        <f>IFERROR($G228*'Inputs Yr 2'!$AE228*'Inputs Yr 2'!$AF228*'Inputs Yr 2'!Q228*'Inputs Yr 2'!$T228,"")</f>
        <v>0</v>
      </c>
      <c r="Y228" s="194">
        <f>IFERROR($G228*'Inputs Yr 2'!$AE228*'Inputs Yr 2'!$AF228*'Inputs Yr 2'!P228*'Inputs Yr 2'!Q228*'Inputs Yr 2'!$T228,"")</f>
        <v>0</v>
      </c>
      <c r="Z228" s="257">
        <f>IFERROR($G228*'Inputs Yr 2'!$Q228*'Inputs Yr 2'!$U228*(IF(IFERROR(SEARCH("NG", 'Inputs Yr 2'!$AJ228),0),'Inputs Yr 2'!$AK228,0)+IF(IFERROR(SEARCH("NG", 'Inputs Yr 2'!$AL228),0),'Inputs Yr 2'!$AM228,0)+IF(IFERROR(SEARCH("NG", 'Inputs Yr 2'!$AN228),0),'Inputs Yr 2'!$AO228,0)),0)</f>
        <v>19958.400000000001</v>
      </c>
      <c r="AA228" s="257">
        <f t="shared" si="116"/>
        <v>299376</v>
      </c>
      <c r="AB228" s="257">
        <f>IFERROR(Z228*'Inputs Yr 2'!$P228,0)</f>
        <v>16884.806400000001</v>
      </c>
      <c r="AC228" s="257">
        <f t="shared" si="117"/>
        <v>253272.09600000002</v>
      </c>
      <c r="AD228" s="257">
        <f>IFERROR($G228*'Inputs Yr 2'!$Q228*'Inputs Yr 2'!$U228*(IF(IFERROR(SEARCH("Oil", 'Inputs Yr 2'!$AJ228), 0),'Inputs Yr 2'!$AK228,0)+IF(IFERROR(SEARCH("Oil", 'Inputs Yr 2'!$AL228), 0),'Inputs Yr 2'!$AM228,0)+IF(IFERROR(SEARCH("Oil", 'Inputs Yr 2'!$AN228), 0),'Inputs Yr 2'!$AO228,0)),0)</f>
        <v>0</v>
      </c>
      <c r="AE228" s="257">
        <f t="shared" si="118"/>
        <v>0</v>
      </c>
      <c r="AF228" s="257">
        <f>IFERROR(AD228*'Inputs Yr 2'!$P228,0)</f>
        <v>0</v>
      </c>
      <c r="AG228" s="257">
        <f t="shared" si="119"/>
        <v>0</v>
      </c>
      <c r="AH228" s="257">
        <f>IFERROR($G228*'Inputs Yr 2'!$Q228*'Inputs Yr 2'!$U228*(IF('Inputs Yr 2'!$AJ228=CD$4,'Inputs Yr 2'!$AK228,IF('Inputs Yr 2'!$AL228=CD$4,'Inputs Yr 2'!$AM228,IF('Inputs Yr 2'!$AN228=CD$4,'Inputs Yr 2'!$AO228,0)))),0)</f>
        <v>0</v>
      </c>
      <c r="AI228" s="257">
        <f t="shared" si="120"/>
        <v>0</v>
      </c>
      <c r="AJ228" s="257">
        <f>IFERROR(AH228*'Inputs Yr 2'!$P228,0)</f>
        <v>0</v>
      </c>
      <c r="AK228" s="257">
        <f t="shared" si="121"/>
        <v>0</v>
      </c>
      <c r="AL228" s="258">
        <f>IFERROR($G228*'Inputs Yr 2'!$P228*'Inputs Yr 2'!$Q228*'Inputs Yr 2'!AP228,0)</f>
        <v>0</v>
      </c>
      <c r="AM228" s="260">
        <f>IFERROR($G228*'Inputs Yr 2'!$P228*'Inputs Yr 2'!$Q228*'Inputs Yr 2'!AQ228,0)</f>
        <v>0</v>
      </c>
      <c r="AN228" s="258">
        <f>IFERROR($G228*'Inputs Yr 2'!$P228*'Inputs Yr 2'!$Q228*'Inputs Yr 2'!AR228,0)</f>
        <v>0</v>
      </c>
      <c r="AO228" s="257">
        <f t="shared" si="122"/>
        <v>0</v>
      </c>
      <c r="AP228" s="195">
        <f>IFERROR($CQ228*(INDEX(avoidedcosttbl2,$H228,AP$2)+(($H228-ROUNDDOWN($H228,0))*(INDEX(avoidedcosttbl2,ROUNDUP($H228,0),AP$2)-(INDEX(avoidedcosttbl2,ROUNDDOWN($H228,0),AP$2)))))*$O228*1000*'Inputs Yr 2'!AA228,"")</f>
        <v>0</v>
      </c>
      <c r="AQ228" s="195">
        <f>IFERROR($CR228*(INDEX(avoidedcosttbl2,$H228,AQ$2)+(($H228-ROUNDDOWN($H228,0))*(INDEX(avoidedcosttbl2,ROUNDUP($H228,0),AQ$2)-(INDEX(avoidedcosttbl2,ROUNDDOWN($H228,0),AQ$2)))))*$O228*1000*'Inputs Yr 2'!AB228,"")</f>
        <v>0</v>
      </c>
      <c r="AR228" s="195">
        <f>IFERROR($CS228*(INDEX(avoidedcosttbl2,$H228,AR$2)+(($H228-ROUNDDOWN($H228,0))*(INDEX(avoidedcosttbl2,ROUNDUP($H228,0),AR$2)-(INDEX(avoidedcosttbl2,ROUNDDOWN($H228,0),AR$2)))))*$O228*1000*'Inputs Yr 2'!AC228,"")</f>
        <v>0</v>
      </c>
      <c r="AS228" s="195">
        <f>IFERROR($CT228*(INDEX(avoidedcosttbl2,$H228,AS$2)+(($H228-ROUNDDOWN($H228,0))*(INDEX(avoidedcosttbl2,ROUNDUP($H228,0),AS$2)-(INDEX(avoidedcosttbl2,ROUNDDOWN($H228,0),AS$2)))))*$O228*1000*'Inputs Yr 2'!AD228,"")</f>
        <v>0</v>
      </c>
      <c r="AT228" s="196">
        <f t="shared" si="123"/>
        <v>0</v>
      </c>
      <c r="AU228" s="197">
        <f>IFERROR($CQ228*((INDEX(avoidedcosttbl2,$H228,AU$2))+(($H228-ROUNDDOWN($H228,0))*((INDEX(avoidedcosttbl2,ROUNDUP($H228,0),AU$2))-(INDEX(avoidedcosttbl2,ROUNDDOWN($H228,0),AU$2)))))*$O228*1000*'Inputs Yr 2'!AA228,"")</f>
        <v>0</v>
      </c>
      <c r="AV228" s="197">
        <f>IFERROR($CR228*((INDEX(avoidedcosttbl2,$H228,AV$2))+(($H228-ROUNDDOWN($H228,0))*((INDEX(avoidedcosttbl2,ROUNDUP($H228,0),AV$2))-(INDEX(avoidedcosttbl2,ROUNDDOWN($H228,0),AV$2)))))*$O228*1000*'Inputs Yr 2'!AB228,"")</f>
        <v>0</v>
      </c>
      <c r="AW228" s="197">
        <f>IFERROR($CS228*((INDEX(avoidedcosttbl2,$H228,AW$2))+(($H228-ROUNDDOWN($H228,0))*((INDEX(avoidedcosttbl2,ROUNDUP($H228,0),AW$2))-(INDEX(avoidedcosttbl2,ROUNDDOWN($H228,0),AW$2)))))*$O228*1000*'Inputs Yr 2'!AC228,"")</f>
        <v>0</v>
      </c>
      <c r="AX228" s="197">
        <f>IFERROR($CT228*((INDEX(avoidedcosttbl2,$H228,AX$2))+(($H228-ROUNDDOWN($H228,0))*((INDEX(avoidedcosttbl2,ROUNDUP($H228,0),AX$2))-(INDEX(avoidedcosttbl2,ROUNDDOWN($H228,0),AX$2)))))*$O228*1000*'Inputs Yr 2'!AD228,"")</f>
        <v>0</v>
      </c>
      <c r="AY228" s="197">
        <f>IFERROR(((INDEX(avoidedcosttbl2,$H228,AY$2))+(($H228-ROUNDDOWN($H228,0))*((INDEX(avoidedcosttbl2,ROUNDUP($H228,0),AY$2))-(INDEX(avoidedcosttbl2,ROUNDDOWN($H228,0),AY$2)))))*$O228*1000*('Inputs Yr 2'!AC228+'Inputs Yr 2'!AD228),"")</f>
        <v>0</v>
      </c>
      <c r="AZ228" s="197">
        <f>IFERROR(((INDEX(avoidedcosttbl2,$H228,AZ$2))+(($H228-ROUNDDOWN($H228,0))*((INDEX(avoidedcosttbl2,ROUNDUP($H228,0),AZ$2))-(INDEX(avoidedcosttbl2,ROUNDDOWN($H228,0),AZ$2)))))*$O228*1000*('Inputs Yr 2'!AA228+'Inputs Yr 2'!AB228),"")</f>
        <v>0</v>
      </c>
      <c r="BA228" s="198">
        <f t="shared" si="124"/>
        <v>0</v>
      </c>
      <c r="BB228" s="198">
        <f t="shared" si="125"/>
        <v>0</v>
      </c>
      <c r="BC228" s="195">
        <f t="shared" si="107"/>
        <v>0</v>
      </c>
      <c r="BD228" s="195">
        <f t="shared" si="108"/>
        <v>0</v>
      </c>
      <c r="BE228" s="195">
        <f t="shared" si="109"/>
        <v>0</v>
      </c>
      <c r="BF228" s="195">
        <f t="shared" si="110"/>
        <v>0</v>
      </c>
      <c r="BG228" s="195">
        <f t="shared" si="111"/>
        <v>0</v>
      </c>
      <c r="BH228" s="196">
        <f t="shared" si="126"/>
        <v>0</v>
      </c>
      <c r="BI228" s="196">
        <f t="shared" si="127"/>
        <v>0</v>
      </c>
      <c r="BJ228" s="195">
        <f>IFERROR($G228*(IF('Inputs Yr 2'!$AJ228=BJ$4,'Inputs Yr 2'!$AK228,IF('Inputs Yr 2'!$AL228=BJ$4,'Inputs Yr 2'!$AM228,IF('Inputs Yr 2'!$AN228=BJ$4,'Inputs Yr 2'!$AO228,0))))*(INDEX(avoidedcosttbl2,$H228,BJ$2)+(($H228-ROUNDDOWN($H228,0))*(INDEX(avoidedcosttbl2,ROUNDUP($H228,0),BJ$2)-(INDEX(avoidedcosttbl2,ROUNDDOWN($H228,0),BJ$2)))))*'Inputs Yr 2'!P228*'Inputs Yr 2'!Q228*'Inputs Yr 2'!U228,"")</f>
        <v>0</v>
      </c>
      <c r="BK228" s="195">
        <f>IFERROR($G228*(IF('Inputs Yr 2'!$AJ228=BK$4,'Inputs Yr 2'!$AK228,IF('Inputs Yr 2'!$AL228=BK$4,'Inputs Yr 2'!$AM228,IF('Inputs Yr 2'!$AN228=BK$4,'Inputs Yr 2'!$AO228,0))))*(INDEX(avoidedcosttbl2,$H228,BK$2)+(($H228-ROUNDDOWN($H228,0))*(INDEX(avoidedcosttbl2,ROUNDUP($H228,0),BK$2)-(INDEX(avoidedcosttbl2,ROUNDDOWN($H228,0),BK$2)))))*'Inputs Yr 2'!P228*'Inputs Yr 2'!Q228*'Inputs Yr 2'!U228,"")</f>
        <v>0</v>
      </c>
      <c r="BL228" s="195">
        <f>IFERROR($G228*(IF('Inputs Yr 2'!$AJ228=BL$4,'Inputs Yr 2'!$AK228,IF('Inputs Yr 2'!$AL228=BL$4,'Inputs Yr 2'!$AM228,IF('Inputs Yr 2'!$AN228=BL$4,'Inputs Yr 2'!$AO228,0))))*(INDEX(avoidedcosttbl2,$H228,BL$2)+(($H228-ROUNDDOWN($H228,0))*(INDEX(avoidedcosttbl2,ROUNDUP($H228,0),BL$2)-(INDEX(avoidedcosttbl2,ROUNDDOWN($H228,0),BL$2)))))*'Inputs Yr 2'!P228*'Inputs Yr 2'!Q228*'Inputs Yr 2'!U228,"")</f>
        <v>0</v>
      </c>
      <c r="BM228" s="195">
        <f>IFERROR($G228*(IF('Inputs Yr 2'!$AJ228=BM$4,'Inputs Yr 2'!$AK228,IF('Inputs Yr 2'!$AL228=BM$4,'Inputs Yr 2'!$AM228,IF('Inputs Yr 2'!$AN228=BM$4,'Inputs Yr 2'!$AO228,0))))*(INDEX(avoidedcosttbl2,$H228,BM$2)+(($H228-ROUNDDOWN($H228,0))*(INDEX(avoidedcosttbl2,ROUNDUP($H228,0),BM$2)-(INDEX(avoidedcosttbl2,ROUNDDOWN($H228,0),BM$2)))))*'Inputs Yr 2'!P228*'Inputs Yr 2'!Q228*'Inputs Yr 2'!U228,"")</f>
        <v>0</v>
      </c>
      <c r="BN228" s="195">
        <f>IFERROR($G228*(IF('Inputs Yr 2'!$AJ228=BN$4,'Inputs Yr 2'!$AK228,IF('Inputs Yr 2'!$AL228=BN$4,'Inputs Yr 2'!$AM228,IF('Inputs Yr 2'!$AN228=BN$4,'Inputs Yr 2'!$AO228,0))))*(INDEX(avoidedcosttbl2,$H228,BN$2)+(($H228-ROUNDDOWN($H228,0))*(INDEX(avoidedcosttbl2,ROUNDUP($H228,0),BN$2)-(INDEX(avoidedcosttbl2,ROUNDDOWN($H228,0),BN$2)))))*'Inputs Yr 2'!P228*'Inputs Yr 2'!Q228*'Inputs Yr 2'!U228,"")</f>
        <v>1758774.3373213848</v>
      </c>
      <c r="BO228" s="195">
        <f>IFERROR($G228*(IF('Inputs Yr 2'!$AJ228=BO$4,'Inputs Yr 2'!$AK228,IF('Inputs Yr 2'!$AL228=BO$4,'Inputs Yr 2'!$AM228,IF('Inputs Yr 2'!$AN228=BO$4,'Inputs Yr 2'!$AO228,0))))*(INDEX(avoidedcosttbl2,$H228,BO$2)+(($H228-ROUNDDOWN($H228,0))*(INDEX(avoidedcosttbl2,ROUNDUP($H228,0),BO$2)-(INDEX(avoidedcosttbl2,ROUNDDOWN($H228,0),BO$2)))))*'Inputs Yr 2'!P228*'Inputs Yr 2'!Q228*'Inputs Yr 2'!U228,"")</f>
        <v>0</v>
      </c>
      <c r="BP228" s="195">
        <f>IFERROR($G228*(IF('Inputs Yr 2'!$AJ228=BP$4,'Inputs Yr 2'!$AK228,IF('Inputs Yr 2'!$AL228=BP$4,'Inputs Yr 2'!$AM228,IF('Inputs Yr 2'!$AN228=BP$4,'Inputs Yr 2'!$AO228,0))))*(INDEX(avoidedcosttbl2,$H228,BP$2)+(($H228-ROUNDDOWN($H228,0))*(INDEX(avoidedcosttbl2,ROUNDUP($H228,0),BP$2)-(INDEX(avoidedcosttbl2,ROUNDDOWN($H228,0),BP$2)))))*'Inputs Yr 2'!P228*'Inputs Yr 2'!Q228*'Inputs Yr 2'!U228,"")</f>
        <v>0</v>
      </c>
      <c r="BQ228" s="230">
        <f t="shared" si="128"/>
        <v>1758774.3373213848</v>
      </c>
      <c r="BR228" s="197">
        <f t="shared" si="112"/>
        <v>34328.982332319611</v>
      </c>
      <c r="BS228" s="197">
        <f>IFERROR(($G228*IF('Inputs Yr 2'!$AJ228=BM$4,'Inputs Yr 2'!$AK228,IF('Inputs Yr 2'!$AL228=BM$4,'Inputs Yr 2'!$AM228,IF('Inputs Yr 2'!$AN228=BM$4,'Inputs Yr 2'!$AO228,0))))*(INDEX(avoidedcosttbl2,$H228,BS$2)+(($H228-ROUNDDOWN($H228,0))*(INDEX(avoidedcosttbl2,ROUNDUP($H228,0),BS$2)-(INDEX(avoidedcosttbl2,ROUNDDOWN($H228,0),BS$2)))))*'Inputs Yr 2'!P228*'Inputs Yr 2'!Q228*'Inputs Yr 2'!U228,"")</f>
        <v>0</v>
      </c>
      <c r="BT228" s="197">
        <f>IFERROR(($G228*IF('Inputs Yr 2'!$AJ228=BK$4,'Inputs Yr 2'!$AK228,IF('Inputs Yr 2'!$AL228=BK$4,'Inputs Yr 2'!$AM228,IF('Inputs Yr 2'!$AN228=BK$4,'Inputs Yr 2'!$AO228,0))))*(INDEX(avoidedcosttbl2,$H228,BT$2)+(($H228-ROUNDDOWN($H228,0))*(INDEX(avoidedcosttbl2,ROUNDUP($H228,0),BT$2)-(INDEX(avoidedcosttbl2,ROUNDDOWN($H228,0),BT$2)))))*'Inputs Yr 2'!P228*'Inputs Yr 2'!Q228*'Inputs Yr 2'!U228,"")</f>
        <v>0</v>
      </c>
      <c r="BU228" s="197">
        <f>IFERROR(($G228*IF('Inputs Yr 2'!$AJ228=BL$4,'Inputs Yr 2'!$AK228,IF('Inputs Yr 2'!$AL228=BL$4,'Inputs Yr 2'!$AM228,IF('Inputs Yr 2'!$AN228=BL$4,'Inputs Yr 2'!$AO228,0))))*(INDEX(avoidedcosttbl2,$H228,BU$2)+(($H228-ROUNDDOWN($H228,0))*(INDEX(avoidedcosttbl2,ROUNDUP($H228,0),BU$2)-(INDEX(avoidedcosttbl2,ROUNDDOWN($H228,0),BU$2)))))*'Inputs Yr 2'!P228*'Inputs Yr 2'!Q228*'Inputs Yr 2'!U228,"")</f>
        <v>0</v>
      </c>
      <c r="BV228" s="775">
        <f>IFERROR(($G228*IF('Inputs Yr 2'!$AJ228=BJ$4,'Inputs Yr 2'!$AK228,IF('Inputs Yr 2'!$AL228=BJ$4,'Inputs Yr 2'!$AM228,IF('Inputs Yr 2'!$AN228=BJ$4,'Inputs Yr 2'!$AO228,0))))*(INDEX(avoidedcosttbl2,$H228,BV$2)+(($H228-ROUNDDOWN($H228,0))*(INDEX(avoidedcosttbl2,ROUNDUP($H228,0),BV$2)-(INDEX(avoidedcosttbl2,ROUNDDOWN($H228,0),BV$2)))))*'Inputs Yr 2'!P228*'Inputs Yr 2'!Q228*'Inputs Yr 2'!U228,"")</f>
        <v>0</v>
      </c>
      <c r="BW228" s="197">
        <f>IFERROR(($G228*IF('Inputs Yr 2'!$AJ228=BN$4,'Inputs Yr 2'!$AK228,IF('Inputs Yr 2'!$AL228=BN$4,'Inputs Yr 2'!$AM228,IF('Inputs Yr 2'!$AN228=BN$4,'Inputs Yr 2'!$AO228,0))))*(INDEX(avoidedcosttbl2,$H228,BW$2)+(($H228-ROUNDDOWN($H228,0))*(INDEX(avoidedcosttbl2,ROUNDUP($H228,0),BW$2)-(INDEX(avoidedcosttbl2,ROUNDDOWN($H228,0),BW$2)))))*'Inputs Yr 2'!P228*'Inputs Yr 2'!Q228*'Inputs Yr 2'!U228,"")</f>
        <v>156380.13063811112</v>
      </c>
      <c r="BX228" s="197">
        <f>IFERROR(($G228*IF('Inputs Yr 2'!$AJ228=BO$4,'Inputs Yr 2'!$AK228,IF('Inputs Yr 2'!$AL228=BO$4,'Inputs Yr 2'!$AM228,IF('Inputs Yr 2'!$AN228=BO$4,'Inputs Yr 2'!$AO228,0))))*(INDEX(avoidedcosttbl2,$H228,BX$2)+(($H228-ROUNDDOWN($H228,0))*(INDEX(avoidedcosttbl2,ROUNDUP($H228,0),BX$2)-(INDEX(avoidedcosttbl2,ROUNDDOWN($H228,0),BX$2)))))*'Inputs Yr 2'!P228*'Inputs Yr 2'!Q228*'Inputs Yr 2'!U228,"")</f>
        <v>0</v>
      </c>
      <c r="BY228" s="197">
        <f>IFERROR(($G228*IF('Inputs Yr 2'!$AJ228=BP$4,'Inputs Yr 2'!$AK228,IF('Inputs Yr 2'!$AL228=BP$4,'Inputs Yr 2'!$AM228,IF('Inputs Yr 2'!$AN228=BP$4,'Inputs Yr 2'!$AO228,0))))*(INDEX(avoidedcosttbl2,$H228,BY$2)+(($H228-ROUNDDOWN($H228,0))*(INDEX(avoidedcosttbl2,ROUNDUP($H228,0),BY$2)-(INDEX(avoidedcosttbl2,ROUNDDOWN($H228,0),BY$2)))))*'Inputs Yr 2'!P228*'Inputs Yr 2'!Q228*'Inputs Yr 2'!U228,"")</f>
        <v>0</v>
      </c>
      <c r="BZ228" s="193">
        <f t="shared" si="129"/>
        <v>190709.11297043072</v>
      </c>
      <c r="CA228" s="193">
        <f t="shared" si="130"/>
        <v>1949483.4502918154</v>
      </c>
      <c r="CB228" s="195">
        <f>IFERROR(G228*(IF('Inputs Yr 2'!$AJ228=CB$4,'Inputs Yr 2'!$AK228,IF('Inputs Yr 2'!$AL228=CB$4,'Inputs Yr 2'!$AM228,IF('Inputs Yr 2'!$AN228=CB$4,'Inputs Yr 2'!$AO228,0))))*(INDEX(avoidedcosttbl2,$H228,CB$2)+(($H228-ROUNDDOWN($H228,0))*(INDEX(avoidedcosttbl2,ROUNDUP($H228,0),CB$2)-(INDEX(avoidedcosttbl2,ROUNDDOWN($H228,0),CB$2)))))*'Inputs Yr 2'!P228*'Inputs Yr 2'!Q228*'Inputs Yr 2'!U228,"")</f>
        <v>0</v>
      </c>
      <c r="CC228" s="195">
        <f>IFERROR(H228*(IF('Inputs Yr 2'!$AJ228=CC$4,'Inputs Yr 2'!$AK228,IF('Inputs Yr 2'!$AL228=CC$4,'Inputs Yr 2'!$AM228,IF('Inputs Yr 2'!$AN228=CC$4,'Inputs Yr 2'!$AO228,0))))*(INDEX(avoidedcosttbl2,$H228,CC$2)+(($H228-ROUNDDOWN($H228,0))*(INDEX(avoidedcosttbl2,ROUNDUP($H228,0),CC$2)-(INDEX(avoidedcosttbl2,ROUNDDOWN($H228,0),CC$2)))))*'Inputs Yr 2'!Q228*'Inputs Yr 2'!R228*'Inputs Yr 2'!V228,"")</f>
        <v>0</v>
      </c>
      <c r="CD228" s="195">
        <f>IFERROR(I228*(IF('Inputs Yr 2'!$AJ228=CD$4,'Inputs Yr 2'!$AK228,IF('Inputs Yr 2'!$AL228=CD$4,'Inputs Yr 2'!$AM228,IF('Inputs Yr 2'!$AN228=CD$4,'Inputs Yr 2'!$AO228,0))))*(INDEX(avoidedcosttbl2,$H228,CD$2)+(($H228-ROUNDDOWN($H228,0))*(INDEX(avoidedcosttbl2,ROUNDUP($H228,0),CD$2)-(INDEX(avoidedcosttbl2,ROUNDDOWN($H228,0),CD$2)))))*'Inputs Yr 2'!R228*'Inputs Yr 2'!S228*'Inputs Yr 2'!W228,"")</f>
        <v>0</v>
      </c>
      <c r="CE228" s="213">
        <f t="shared" si="131"/>
        <v>0</v>
      </c>
      <c r="CF228" s="213">
        <f t="shared" si="132"/>
        <v>0</v>
      </c>
      <c r="CG228" s="213">
        <f t="shared" si="133"/>
        <v>0</v>
      </c>
      <c r="CH228" s="698">
        <f t="shared" si="134"/>
        <v>1949483.4502918154</v>
      </c>
      <c r="CI228" s="79">
        <f>IFERROR(($G228*'Inputs Yr 2'!$P228*'Inputs Yr 2'!$Q228*(((INDEX(avoidedcosttbl2,$H228,CI$2)+(($H228-ROUNDDOWN($H228,0))*(INDEX(avoidedcosttbl2,ROUNDUP($H228,0),CI$2)-INDEX(avoidedcosttbl2,ROUNDDOWN($H228,0),CI$2))))*'Inputs Yr 2'!AS228))),"")</f>
        <v>0</v>
      </c>
      <c r="CJ228" s="504">
        <f>IFERROR($G228*'Inputs Yr 2'!AT228*'Inputs Yr 2'!$P228*'Inputs Yr 2'!$Q228/((1+realdiscrt1)^-0.5),"")</f>
        <v>0</v>
      </c>
      <c r="CK228" s="79">
        <f>IFERROR((O228*1000*(((INDEX(avoidedcosttbl2,$H228,CK$2)+(($H228-ROUNDDOWN($H228,0))*(INDEX(avoidedcosttbl2,ROUNDUP($H228,0),CK$2)-INDEX(avoidedcosttbl2,ROUNDDOWN($H228,0),CK$2))))*'Inputs Yr 2'!AU228))),"")</f>
        <v>0</v>
      </c>
      <c r="CL228" s="504">
        <f>IFERROR(O228*1000*'Inputs Yr 2'!AV228/((1+realdiscrt1)^-0.5),"")</f>
        <v>0</v>
      </c>
      <c r="CM228" s="79">
        <f>IFERROR((AB228*'Inputs Yr 2'!AW228*(((INDEX(avoidedcosttbl2,$H228,CM$2)+(($H228-ROUNDDOWN($H228,0))*(INDEX(avoidedcosttbl2,ROUNDUP($H228,0),CM$2)-INDEX(avoidedcosttbl2,ROUNDDOWN($H228,0),CM$2)))))))*10,"")</f>
        <v>0</v>
      </c>
      <c r="CN228" s="504">
        <f>IFERROR(10*AB228*'Inputs Yr 2'!AX228/((1+realdiscrt1)^-0.5),"")</f>
        <v>0</v>
      </c>
      <c r="CO228" s="505">
        <f t="shared" si="135"/>
        <v>0</v>
      </c>
      <c r="CP228" s="230">
        <f t="shared" si="136"/>
        <v>1949483.4502918154</v>
      </c>
      <c r="CQ228" s="199">
        <f>ROUND(IFERROR(IF(LEFT($A228,1)="C",'Avoided Costs'!$K$13,'Avoided Costs'!$K$12)+1,""),4)</f>
        <v>1.0720000000000001</v>
      </c>
      <c r="CR228" s="199">
        <f>ROUND(IFERROR(IF(LEFT($A228,1)="C",'Avoided Costs'!$L$13,'Avoided Costs'!$L$12)+1,""),4)</f>
        <v>1.04</v>
      </c>
      <c r="CS228" s="199">
        <f>ROUND(IFERROR(IF(LEFT($A228,1)="C",'Avoided Costs'!$M$13,'Avoided Costs'!$M$12)+1,""),4)</f>
        <v>1.0720000000000001</v>
      </c>
      <c r="CT228" s="199">
        <f>ROUND(IFERROR(IF(LEFT($A228,1)="C",'Avoided Costs'!$N$13,'Avoided Costs'!$N$12)+1,""),4)</f>
        <v>1.04</v>
      </c>
      <c r="CU228" s="199">
        <f>ROUND(IFERROR(IF(LEFT($A228,1)="C",'Avoided Costs'!$O$13,'Avoided Costs'!$O$12)+1,""),4)</f>
        <v>1.1120000000000001</v>
      </c>
      <c r="CV228" s="199">
        <f>ROUND(IFERROR(IF(LEFT($A228,1)="C",'Avoided Costs'!$P$13,'Avoided Costs'!$P$12)+1,""),4)</f>
        <v>1.095</v>
      </c>
      <c r="CW228" s="199">
        <f>ROUND(IFERROR(IF(LEFT($A228,1)="C",'Avoided Costs'!$Q$13,'Avoided Costs'!$Q$12)+1,""),4)</f>
        <v>1.1120000000000001</v>
      </c>
      <c r="CX228" s="200">
        <f>ROUND(IFERROR(IF(LEFT($A228,1)="C",'Avoided Costs'!$R$13,'Avoided Costs'!$R$12)+1,""),4)</f>
        <v>1.1120000000000001</v>
      </c>
    </row>
    <row r="229" spans="1:102" ht="12.75" customHeight="1">
      <c r="A229" s="91" t="str">
        <f>IF('Inputs Yr 2'!$B229=0,"",'Inputs Yr 2'!A229)</f>
        <v>C - Commercial &amp; Industrial</v>
      </c>
      <c r="B229" s="91" t="str">
        <f>IF('Inputs Yr 2'!$B229=0,"",'Inputs Yr 2'!B229)</f>
        <v>C1 - C&amp;I New Construction</v>
      </c>
      <c r="C229" s="91" t="str">
        <f>IF('Inputs Yr 2'!$B229=0,"",'Inputs Yr 2'!C229)</f>
        <v xml:space="preserve">C1b - C&amp;I Initial Purchase &amp; End of Useful Life </v>
      </c>
      <c r="D229" s="91" t="str">
        <f>IF('Inputs Yr 2'!$B229=0,"",'Inputs Yr 2'!E229)</f>
        <v>Combo Condensing Boiler/Water Heater 90%</v>
      </c>
      <c r="E229" s="93" t="str">
        <f>IF('Inputs Yr 2'!$B229=0,"",'Inputs Yr 2'!F229)</f>
        <v>G16C1b29</v>
      </c>
      <c r="F229" s="93" t="str">
        <f>IF('Inputs Yr 2'!$B229=0,"",'Inputs Yr 2'!G229)</f>
        <v>HVAC</v>
      </c>
      <c r="G229" s="95">
        <f>IF('Inputs Yr 2'!$H229&lt;&gt;0,('Inputs Yr 2'!H229),"")</f>
        <v>1</v>
      </c>
      <c r="H229" s="94">
        <f>IFERROR('Inputs Yr 2'!I229,"")</f>
        <v>20</v>
      </c>
      <c r="I229" s="298">
        <f>IFERROR('Inputs Yr 2'!J229*'Inputs Yr 2'!P229*G229,"")</f>
        <v>1076.9580000000001</v>
      </c>
      <c r="J229" s="298">
        <f>IFERROR('Inputs Yr 2'!K229*G229,"")</f>
        <v>1200</v>
      </c>
      <c r="K229" s="298">
        <f t="shared" si="113"/>
        <v>-123.04199999999992</v>
      </c>
      <c r="L229" s="194">
        <f>IFERROR(('Inputs Yr 2'!W229*G229)/1000,"")</f>
        <v>0</v>
      </c>
      <c r="M229" s="194">
        <f>IFERROR(L229*('Inputs Yr 2'!$Q229*'Inputs Yr 2'!$V229*'Inputs Yr 2'!$R229),"")</f>
        <v>0</v>
      </c>
      <c r="N229" s="194">
        <f t="shared" si="114"/>
        <v>0</v>
      </c>
      <c r="O229" s="194">
        <f>IFERROR(M229*'Inputs Yr 2'!P229,"")</f>
        <v>0</v>
      </c>
      <c r="P229" s="194">
        <f t="shared" si="115"/>
        <v>0</v>
      </c>
      <c r="Q229" s="194">
        <f>IFERROR($P229*'Inputs Yr 2'!AA229,"")</f>
        <v>0</v>
      </c>
      <c r="R229" s="194">
        <f>IFERROR($P229*'Inputs Yr 2'!AB229,"")</f>
        <v>0</v>
      </c>
      <c r="S229" s="194">
        <f>IFERROR($P229*'Inputs Yr 2'!AC229,"")</f>
        <v>0</v>
      </c>
      <c r="T229" s="194">
        <f>IFERROR($P229*'Inputs Yr 2'!AD229,"")</f>
        <v>0</v>
      </c>
      <c r="U229" s="194">
        <f>IFERROR(G229*'Inputs Yr 2'!$AE229*'Inputs Yr 2'!$P229*'Inputs Yr 2'!$Q229,"")</f>
        <v>0</v>
      </c>
      <c r="V229" s="194">
        <f>IFERROR($G229*'Inputs Yr 2'!$AE229*'Inputs Yr 2'!$AG229*'Inputs Yr 2'!Q229*'Inputs Yr 2'!$S229,"")</f>
        <v>0</v>
      </c>
      <c r="W229" s="194">
        <f>IFERROR($G229*'Inputs Yr 2'!$AE229*'Inputs Yr 2'!$AG229*'Inputs Yr 2'!P229*'Inputs Yr 2'!Q229*'Inputs Yr 2'!$S229,"")</f>
        <v>0</v>
      </c>
      <c r="X229" s="194">
        <f>IFERROR($G229*'Inputs Yr 2'!$AE229*'Inputs Yr 2'!$AF229*'Inputs Yr 2'!Q229*'Inputs Yr 2'!$T229,"")</f>
        <v>0</v>
      </c>
      <c r="Y229" s="194">
        <f>IFERROR($G229*'Inputs Yr 2'!$AE229*'Inputs Yr 2'!$AF229*'Inputs Yr 2'!P229*'Inputs Yr 2'!Q229*'Inputs Yr 2'!$T229,"")</f>
        <v>0</v>
      </c>
      <c r="Z229" s="257">
        <f>IFERROR($G229*'Inputs Yr 2'!$Q229*'Inputs Yr 2'!$U229*(IF(IFERROR(SEARCH("NG", 'Inputs Yr 2'!$AJ229),0),'Inputs Yr 2'!$AK229,0)+IF(IFERROR(SEARCH("NG", 'Inputs Yr 2'!$AL229),0),'Inputs Yr 2'!$AM229,0)+IF(IFERROR(SEARCH("NG", 'Inputs Yr 2'!$AN229),0),'Inputs Yr 2'!$AO229,0)),0)</f>
        <v>24.6</v>
      </c>
      <c r="AA229" s="257">
        <f t="shared" si="116"/>
        <v>492</v>
      </c>
      <c r="AB229" s="257">
        <f>IFERROR(Z229*'Inputs Yr 2'!$P229,0)</f>
        <v>20.811600000000002</v>
      </c>
      <c r="AC229" s="257">
        <f t="shared" si="117"/>
        <v>416.23200000000003</v>
      </c>
      <c r="AD229" s="257">
        <f>IFERROR($G229*'Inputs Yr 2'!$Q229*'Inputs Yr 2'!$U229*(IF(IFERROR(SEARCH("Oil", 'Inputs Yr 2'!$AJ229), 0),'Inputs Yr 2'!$AK229,0)+IF(IFERROR(SEARCH("Oil", 'Inputs Yr 2'!$AL229), 0),'Inputs Yr 2'!$AM229,0)+IF(IFERROR(SEARCH("Oil", 'Inputs Yr 2'!$AN229), 0),'Inputs Yr 2'!$AO229,0)),0)</f>
        <v>0</v>
      </c>
      <c r="AE229" s="257">
        <f t="shared" si="118"/>
        <v>0</v>
      </c>
      <c r="AF229" s="257">
        <f>IFERROR(AD229*'Inputs Yr 2'!$P229,0)</f>
        <v>0</v>
      </c>
      <c r="AG229" s="257">
        <f t="shared" si="119"/>
        <v>0</v>
      </c>
      <c r="AH229" s="257">
        <f>IFERROR($G229*'Inputs Yr 2'!$Q229*'Inputs Yr 2'!$U229*(IF('Inputs Yr 2'!$AJ229=CD$4,'Inputs Yr 2'!$AK229,IF('Inputs Yr 2'!$AL229=CD$4,'Inputs Yr 2'!$AM229,IF('Inputs Yr 2'!$AN229=CD$4,'Inputs Yr 2'!$AO229,0)))),0)</f>
        <v>0</v>
      </c>
      <c r="AI229" s="257">
        <f t="shared" si="120"/>
        <v>0</v>
      </c>
      <c r="AJ229" s="257">
        <f>IFERROR(AH229*'Inputs Yr 2'!$P229,0)</f>
        <v>0</v>
      </c>
      <c r="AK229" s="257">
        <f t="shared" si="121"/>
        <v>0</v>
      </c>
      <c r="AL229" s="258">
        <f>IFERROR($G229*'Inputs Yr 2'!$P229*'Inputs Yr 2'!$Q229*'Inputs Yr 2'!AP229,0)</f>
        <v>0</v>
      </c>
      <c r="AM229" s="260">
        <f>IFERROR($G229*'Inputs Yr 2'!$P229*'Inputs Yr 2'!$Q229*'Inputs Yr 2'!AQ229,0)</f>
        <v>0</v>
      </c>
      <c r="AN229" s="258">
        <f>IFERROR($G229*'Inputs Yr 2'!$P229*'Inputs Yr 2'!$Q229*'Inputs Yr 2'!AR229,0)</f>
        <v>0</v>
      </c>
      <c r="AO229" s="257">
        <f t="shared" si="122"/>
        <v>0</v>
      </c>
      <c r="AP229" s="195">
        <f>IFERROR($CQ229*(INDEX(avoidedcosttbl2,$H229,AP$2)+(($H229-ROUNDDOWN($H229,0))*(INDEX(avoidedcosttbl2,ROUNDUP($H229,0),AP$2)-(INDEX(avoidedcosttbl2,ROUNDDOWN($H229,0),AP$2)))))*$O229*1000*'Inputs Yr 2'!AA229,"")</f>
        <v>0</v>
      </c>
      <c r="AQ229" s="195">
        <f>IFERROR($CR229*(INDEX(avoidedcosttbl2,$H229,AQ$2)+(($H229-ROUNDDOWN($H229,0))*(INDEX(avoidedcosttbl2,ROUNDUP($H229,0),AQ$2)-(INDEX(avoidedcosttbl2,ROUNDDOWN($H229,0),AQ$2)))))*$O229*1000*'Inputs Yr 2'!AB229,"")</f>
        <v>0</v>
      </c>
      <c r="AR229" s="195">
        <f>IFERROR($CS229*(INDEX(avoidedcosttbl2,$H229,AR$2)+(($H229-ROUNDDOWN($H229,0))*(INDEX(avoidedcosttbl2,ROUNDUP($H229,0),AR$2)-(INDEX(avoidedcosttbl2,ROUNDDOWN($H229,0),AR$2)))))*$O229*1000*'Inputs Yr 2'!AC229,"")</f>
        <v>0</v>
      </c>
      <c r="AS229" s="195">
        <f>IFERROR($CT229*(INDEX(avoidedcosttbl2,$H229,AS$2)+(($H229-ROUNDDOWN($H229,0))*(INDEX(avoidedcosttbl2,ROUNDUP($H229,0),AS$2)-(INDEX(avoidedcosttbl2,ROUNDDOWN($H229,0),AS$2)))))*$O229*1000*'Inputs Yr 2'!AD229,"")</f>
        <v>0</v>
      </c>
      <c r="AT229" s="196">
        <f t="shared" si="123"/>
        <v>0</v>
      </c>
      <c r="AU229" s="197">
        <f>IFERROR($CQ229*((INDEX(avoidedcosttbl2,$H229,AU$2))+(($H229-ROUNDDOWN($H229,0))*((INDEX(avoidedcosttbl2,ROUNDUP($H229,0),AU$2))-(INDEX(avoidedcosttbl2,ROUNDDOWN($H229,0),AU$2)))))*$O229*1000*'Inputs Yr 2'!AA229,"")</f>
        <v>0</v>
      </c>
      <c r="AV229" s="197">
        <f>IFERROR($CR229*((INDEX(avoidedcosttbl2,$H229,AV$2))+(($H229-ROUNDDOWN($H229,0))*((INDEX(avoidedcosttbl2,ROUNDUP($H229,0),AV$2))-(INDEX(avoidedcosttbl2,ROUNDDOWN($H229,0),AV$2)))))*$O229*1000*'Inputs Yr 2'!AB229,"")</f>
        <v>0</v>
      </c>
      <c r="AW229" s="197">
        <f>IFERROR($CS229*((INDEX(avoidedcosttbl2,$H229,AW$2))+(($H229-ROUNDDOWN($H229,0))*((INDEX(avoidedcosttbl2,ROUNDUP($H229,0),AW$2))-(INDEX(avoidedcosttbl2,ROUNDDOWN($H229,0),AW$2)))))*$O229*1000*'Inputs Yr 2'!AC229,"")</f>
        <v>0</v>
      </c>
      <c r="AX229" s="197">
        <f>IFERROR($CT229*((INDEX(avoidedcosttbl2,$H229,AX$2))+(($H229-ROUNDDOWN($H229,0))*((INDEX(avoidedcosttbl2,ROUNDUP($H229,0),AX$2))-(INDEX(avoidedcosttbl2,ROUNDDOWN($H229,0),AX$2)))))*$O229*1000*'Inputs Yr 2'!AD229,"")</f>
        <v>0</v>
      </c>
      <c r="AY229" s="197">
        <f>IFERROR(((INDEX(avoidedcosttbl2,$H229,AY$2))+(($H229-ROUNDDOWN($H229,0))*((INDEX(avoidedcosttbl2,ROUNDUP($H229,0),AY$2))-(INDEX(avoidedcosttbl2,ROUNDDOWN($H229,0),AY$2)))))*$O229*1000*('Inputs Yr 2'!AC229+'Inputs Yr 2'!AD229),"")</f>
        <v>0</v>
      </c>
      <c r="AZ229" s="197">
        <f>IFERROR(((INDEX(avoidedcosttbl2,$H229,AZ$2))+(($H229-ROUNDDOWN($H229,0))*((INDEX(avoidedcosttbl2,ROUNDUP($H229,0),AZ$2))-(INDEX(avoidedcosttbl2,ROUNDDOWN($H229,0),AZ$2)))))*$O229*1000*('Inputs Yr 2'!AA229+'Inputs Yr 2'!AB229),"")</f>
        <v>0</v>
      </c>
      <c r="BA229" s="198">
        <f t="shared" si="124"/>
        <v>0</v>
      </c>
      <c r="BB229" s="198">
        <f t="shared" si="125"/>
        <v>0</v>
      </c>
      <c r="BC229" s="195">
        <f t="shared" si="107"/>
        <v>0</v>
      </c>
      <c r="BD229" s="195">
        <f t="shared" si="108"/>
        <v>0</v>
      </c>
      <c r="BE229" s="195">
        <f t="shared" si="109"/>
        <v>0</v>
      </c>
      <c r="BF229" s="195">
        <f t="shared" si="110"/>
        <v>0</v>
      </c>
      <c r="BG229" s="195">
        <f t="shared" si="111"/>
        <v>0</v>
      </c>
      <c r="BH229" s="196">
        <f t="shared" si="126"/>
        <v>0</v>
      </c>
      <c r="BI229" s="196">
        <f t="shared" si="127"/>
        <v>0</v>
      </c>
      <c r="BJ229" s="195">
        <f>IFERROR($G229*(IF('Inputs Yr 2'!$AJ229=BJ$4,'Inputs Yr 2'!$AK229,IF('Inputs Yr 2'!$AL229=BJ$4,'Inputs Yr 2'!$AM229,IF('Inputs Yr 2'!$AN229=BJ$4,'Inputs Yr 2'!$AO229,0))))*(INDEX(avoidedcosttbl2,$H229,BJ$2)+(($H229-ROUNDDOWN($H229,0))*(INDEX(avoidedcosttbl2,ROUNDUP($H229,0),BJ$2)-(INDEX(avoidedcosttbl2,ROUNDDOWN($H229,0),BJ$2)))))*'Inputs Yr 2'!P229*'Inputs Yr 2'!Q229*'Inputs Yr 2'!U229,"")</f>
        <v>0</v>
      </c>
      <c r="BK229" s="195">
        <f>IFERROR($G229*(IF('Inputs Yr 2'!$AJ229=BK$4,'Inputs Yr 2'!$AK229,IF('Inputs Yr 2'!$AL229=BK$4,'Inputs Yr 2'!$AM229,IF('Inputs Yr 2'!$AN229=BK$4,'Inputs Yr 2'!$AO229,0))))*(INDEX(avoidedcosttbl2,$H229,BK$2)+(($H229-ROUNDDOWN($H229,0))*(INDEX(avoidedcosttbl2,ROUNDUP($H229,0),BK$2)-(INDEX(avoidedcosttbl2,ROUNDDOWN($H229,0),BK$2)))))*'Inputs Yr 2'!P229*'Inputs Yr 2'!Q229*'Inputs Yr 2'!U229,"")</f>
        <v>0</v>
      </c>
      <c r="BL229" s="195">
        <f>IFERROR($G229*(IF('Inputs Yr 2'!$AJ229=BL$4,'Inputs Yr 2'!$AK229,IF('Inputs Yr 2'!$AL229=BL$4,'Inputs Yr 2'!$AM229,IF('Inputs Yr 2'!$AN229=BL$4,'Inputs Yr 2'!$AO229,0))))*(INDEX(avoidedcosttbl2,$H229,BL$2)+(($H229-ROUNDDOWN($H229,0))*(INDEX(avoidedcosttbl2,ROUNDUP($H229,0),BL$2)-(INDEX(avoidedcosttbl2,ROUNDDOWN($H229,0),BL$2)))))*'Inputs Yr 2'!P229*'Inputs Yr 2'!Q229*'Inputs Yr 2'!U229,"")</f>
        <v>0</v>
      </c>
      <c r="BM229" s="195">
        <f>IFERROR($G229*(IF('Inputs Yr 2'!$AJ229=BM$4,'Inputs Yr 2'!$AK229,IF('Inputs Yr 2'!$AL229=BM$4,'Inputs Yr 2'!$AM229,IF('Inputs Yr 2'!$AN229=BM$4,'Inputs Yr 2'!$AO229,0))))*(INDEX(avoidedcosttbl2,$H229,BM$2)+(($H229-ROUNDDOWN($H229,0))*(INDEX(avoidedcosttbl2,ROUNDUP($H229,0),BM$2)-(INDEX(avoidedcosttbl2,ROUNDDOWN($H229,0),BM$2)))))*'Inputs Yr 2'!P229*'Inputs Yr 2'!Q229*'Inputs Yr 2'!U229,"")</f>
        <v>0</v>
      </c>
      <c r="BN229" s="195">
        <f>IFERROR($G229*(IF('Inputs Yr 2'!$AJ229=BN$4,'Inputs Yr 2'!$AK229,IF('Inputs Yr 2'!$AL229=BN$4,'Inputs Yr 2'!$AM229,IF('Inputs Yr 2'!$AN229=BN$4,'Inputs Yr 2'!$AO229,0))))*(INDEX(avoidedcosttbl2,$H229,BN$2)+(($H229-ROUNDDOWN($H229,0))*(INDEX(avoidedcosttbl2,ROUNDUP($H229,0),BN$2)-(INDEX(avoidedcosttbl2,ROUNDDOWN($H229,0),BN$2)))))*'Inputs Yr 2'!P229*'Inputs Yr 2'!Q229*'Inputs Yr 2'!U229,"")</f>
        <v>0</v>
      </c>
      <c r="BO229" s="195">
        <f>IFERROR($G229*(IF('Inputs Yr 2'!$AJ229=BO$4,'Inputs Yr 2'!$AK229,IF('Inputs Yr 2'!$AL229=BO$4,'Inputs Yr 2'!$AM229,IF('Inputs Yr 2'!$AN229=BO$4,'Inputs Yr 2'!$AO229,0))))*(INDEX(avoidedcosttbl2,$H229,BO$2)+(($H229-ROUNDDOWN($H229,0))*(INDEX(avoidedcosttbl2,ROUNDUP($H229,0),BO$2)-(INDEX(avoidedcosttbl2,ROUNDDOWN($H229,0),BO$2)))))*'Inputs Yr 2'!P229*'Inputs Yr 2'!Q229*'Inputs Yr 2'!U229,"")</f>
        <v>3347.2589777632229</v>
      </c>
      <c r="BP229" s="195">
        <f>IFERROR($G229*(IF('Inputs Yr 2'!$AJ229=BP$4,'Inputs Yr 2'!$AK229,IF('Inputs Yr 2'!$AL229=BP$4,'Inputs Yr 2'!$AM229,IF('Inputs Yr 2'!$AN229=BP$4,'Inputs Yr 2'!$AO229,0))))*(INDEX(avoidedcosttbl2,$H229,BP$2)+(($H229-ROUNDDOWN($H229,0))*(INDEX(avoidedcosttbl2,ROUNDUP($H229,0),BP$2)-(INDEX(avoidedcosttbl2,ROUNDDOWN($H229,0),BP$2)))))*'Inputs Yr 2'!P229*'Inputs Yr 2'!Q229*'Inputs Yr 2'!U229,"")</f>
        <v>0</v>
      </c>
      <c r="BQ229" s="230">
        <f t="shared" si="128"/>
        <v>3347.2589777632229</v>
      </c>
      <c r="BR229" s="197">
        <f t="shared" si="112"/>
        <v>55.808882123147974</v>
      </c>
      <c r="BS229" s="197">
        <f>IFERROR(($G229*IF('Inputs Yr 2'!$AJ229=BM$4,'Inputs Yr 2'!$AK229,IF('Inputs Yr 2'!$AL229=BM$4,'Inputs Yr 2'!$AM229,IF('Inputs Yr 2'!$AN229=BM$4,'Inputs Yr 2'!$AO229,0))))*(INDEX(avoidedcosttbl2,$H229,BS$2)+(($H229-ROUNDDOWN($H229,0))*(INDEX(avoidedcosttbl2,ROUNDUP($H229,0),BS$2)-(INDEX(avoidedcosttbl2,ROUNDDOWN($H229,0),BS$2)))))*'Inputs Yr 2'!P229*'Inputs Yr 2'!Q229*'Inputs Yr 2'!U229,"")</f>
        <v>0</v>
      </c>
      <c r="BT229" s="197">
        <f>IFERROR(($G229*IF('Inputs Yr 2'!$AJ229=BK$4,'Inputs Yr 2'!$AK229,IF('Inputs Yr 2'!$AL229=BK$4,'Inputs Yr 2'!$AM229,IF('Inputs Yr 2'!$AN229=BK$4,'Inputs Yr 2'!$AO229,0))))*(INDEX(avoidedcosttbl2,$H229,BT$2)+(($H229-ROUNDDOWN($H229,0))*(INDEX(avoidedcosttbl2,ROUNDUP($H229,0),BT$2)-(INDEX(avoidedcosttbl2,ROUNDDOWN($H229,0),BT$2)))))*'Inputs Yr 2'!P229*'Inputs Yr 2'!Q229*'Inputs Yr 2'!U229,"")</f>
        <v>0</v>
      </c>
      <c r="BU229" s="197">
        <f>IFERROR(($G229*IF('Inputs Yr 2'!$AJ229=BL$4,'Inputs Yr 2'!$AK229,IF('Inputs Yr 2'!$AL229=BL$4,'Inputs Yr 2'!$AM229,IF('Inputs Yr 2'!$AN229=BL$4,'Inputs Yr 2'!$AO229,0))))*(INDEX(avoidedcosttbl2,$H229,BU$2)+(($H229-ROUNDDOWN($H229,0))*(INDEX(avoidedcosttbl2,ROUNDUP($H229,0),BU$2)-(INDEX(avoidedcosttbl2,ROUNDDOWN($H229,0),BU$2)))))*'Inputs Yr 2'!P229*'Inputs Yr 2'!Q229*'Inputs Yr 2'!U229,"")</f>
        <v>0</v>
      </c>
      <c r="BV229" s="775">
        <f>IFERROR(($G229*IF('Inputs Yr 2'!$AJ229=BJ$4,'Inputs Yr 2'!$AK229,IF('Inputs Yr 2'!$AL229=BJ$4,'Inputs Yr 2'!$AM229,IF('Inputs Yr 2'!$AN229=BJ$4,'Inputs Yr 2'!$AO229,0))))*(INDEX(avoidedcosttbl2,$H229,BV$2)+(($H229-ROUNDDOWN($H229,0))*(INDEX(avoidedcosttbl2,ROUNDUP($H229,0),BV$2)-(INDEX(avoidedcosttbl2,ROUNDDOWN($H229,0),BV$2)))))*'Inputs Yr 2'!P229*'Inputs Yr 2'!Q229*'Inputs Yr 2'!U229,"")</f>
        <v>0</v>
      </c>
      <c r="BW229" s="197">
        <f>IFERROR(($G229*IF('Inputs Yr 2'!$AJ229=BN$4,'Inputs Yr 2'!$AK229,IF('Inputs Yr 2'!$AL229=BN$4,'Inputs Yr 2'!$AM229,IF('Inputs Yr 2'!$AN229=BN$4,'Inputs Yr 2'!$AO229,0))))*(INDEX(avoidedcosttbl2,$H229,BW$2)+(($H229-ROUNDDOWN($H229,0))*(INDEX(avoidedcosttbl2,ROUNDUP($H229,0),BW$2)-(INDEX(avoidedcosttbl2,ROUNDDOWN($H229,0),BW$2)))))*'Inputs Yr 2'!P229*'Inputs Yr 2'!Q229*'Inputs Yr 2'!U229,"")</f>
        <v>0</v>
      </c>
      <c r="BX229" s="197">
        <f>IFERROR(($G229*IF('Inputs Yr 2'!$AJ229=BO$4,'Inputs Yr 2'!$AK229,IF('Inputs Yr 2'!$AL229=BO$4,'Inputs Yr 2'!$AM229,IF('Inputs Yr 2'!$AN229=BO$4,'Inputs Yr 2'!$AO229,0))))*(INDEX(avoidedcosttbl2,$H229,BX$2)+(($H229-ROUNDDOWN($H229,0))*(INDEX(avoidedcosttbl2,ROUNDUP($H229,0),BX$2)-(INDEX(avoidedcosttbl2,ROUNDDOWN($H229,0),BX$2)))))*'Inputs Yr 2'!P229*'Inputs Yr 2'!Q229*'Inputs Yr 2'!U229,"")</f>
        <v>182.82345390922325</v>
      </c>
      <c r="BY229" s="197">
        <f>IFERROR(($G229*IF('Inputs Yr 2'!$AJ229=BP$4,'Inputs Yr 2'!$AK229,IF('Inputs Yr 2'!$AL229=BP$4,'Inputs Yr 2'!$AM229,IF('Inputs Yr 2'!$AN229=BP$4,'Inputs Yr 2'!$AO229,0))))*(INDEX(avoidedcosttbl2,$H229,BY$2)+(($H229-ROUNDDOWN($H229,0))*(INDEX(avoidedcosttbl2,ROUNDUP($H229,0),BY$2)-(INDEX(avoidedcosttbl2,ROUNDDOWN($H229,0),BY$2)))))*'Inputs Yr 2'!P229*'Inputs Yr 2'!Q229*'Inputs Yr 2'!U229,"")</f>
        <v>0</v>
      </c>
      <c r="BZ229" s="193">
        <f t="shared" si="129"/>
        <v>238.63233603237123</v>
      </c>
      <c r="CA229" s="193">
        <f t="shared" si="130"/>
        <v>3585.8913137955942</v>
      </c>
      <c r="CB229" s="195">
        <f>IFERROR(G229*(IF('Inputs Yr 2'!$AJ229=CB$4,'Inputs Yr 2'!$AK229,IF('Inputs Yr 2'!$AL229=CB$4,'Inputs Yr 2'!$AM229,IF('Inputs Yr 2'!$AN229=CB$4,'Inputs Yr 2'!$AO229,0))))*(INDEX(avoidedcosttbl2,$H229,CB$2)+(($H229-ROUNDDOWN($H229,0))*(INDEX(avoidedcosttbl2,ROUNDUP($H229,0),CB$2)-(INDEX(avoidedcosttbl2,ROUNDDOWN($H229,0),CB$2)))))*'Inputs Yr 2'!P229*'Inputs Yr 2'!Q229*'Inputs Yr 2'!U229,"")</f>
        <v>0</v>
      </c>
      <c r="CC229" s="195">
        <f>IFERROR(H229*(IF('Inputs Yr 2'!$AJ229=CC$4,'Inputs Yr 2'!$AK229,IF('Inputs Yr 2'!$AL229=CC$4,'Inputs Yr 2'!$AM229,IF('Inputs Yr 2'!$AN229=CC$4,'Inputs Yr 2'!$AO229,0))))*(INDEX(avoidedcosttbl2,$H229,CC$2)+(($H229-ROUNDDOWN($H229,0))*(INDEX(avoidedcosttbl2,ROUNDUP($H229,0),CC$2)-(INDEX(avoidedcosttbl2,ROUNDDOWN($H229,0),CC$2)))))*'Inputs Yr 2'!Q229*'Inputs Yr 2'!R229*'Inputs Yr 2'!V229,"")</f>
        <v>0</v>
      </c>
      <c r="CD229" s="195">
        <f>IFERROR(I229*(IF('Inputs Yr 2'!$AJ229=CD$4,'Inputs Yr 2'!$AK229,IF('Inputs Yr 2'!$AL229=CD$4,'Inputs Yr 2'!$AM229,IF('Inputs Yr 2'!$AN229=CD$4,'Inputs Yr 2'!$AO229,0))))*(INDEX(avoidedcosttbl2,$H229,CD$2)+(($H229-ROUNDDOWN($H229,0))*(INDEX(avoidedcosttbl2,ROUNDUP($H229,0),CD$2)-(INDEX(avoidedcosttbl2,ROUNDDOWN($H229,0),CD$2)))))*'Inputs Yr 2'!R229*'Inputs Yr 2'!S229*'Inputs Yr 2'!W229,"")</f>
        <v>0</v>
      </c>
      <c r="CE229" s="213">
        <f t="shared" si="131"/>
        <v>0</v>
      </c>
      <c r="CF229" s="213">
        <f t="shared" si="132"/>
        <v>0</v>
      </c>
      <c r="CG229" s="213">
        <f t="shared" si="133"/>
        <v>0</v>
      </c>
      <c r="CH229" s="698">
        <f t="shared" si="134"/>
        <v>3585.8913137955942</v>
      </c>
      <c r="CI229" s="79">
        <f>IFERROR(($G229*'Inputs Yr 2'!$P229*'Inputs Yr 2'!$Q229*(((INDEX(avoidedcosttbl2,$H229,CI$2)+(($H229-ROUNDDOWN($H229,0))*(INDEX(avoidedcosttbl2,ROUNDUP($H229,0),CI$2)-INDEX(avoidedcosttbl2,ROUNDDOWN($H229,0),CI$2))))*'Inputs Yr 2'!AS229))),"")</f>
        <v>0</v>
      </c>
      <c r="CJ229" s="504">
        <f>IFERROR($G229*'Inputs Yr 2'!AT229*'Inputs Yr 2'!$P229*'Inputs Yr 2'!$Q229/((1+realdiscrt1)^-0.5),"")</f>
        <v>0</v>
      </c>
      <c r="CK229" s="79">
        <f>IFERROR((O229*1000*(((INDEX(avoidedcosttbl2,$H229,CK$2)+(($H229-ROUNDDOWN($H229,0))*(INDEX(avoidedcosttbl2,ROUNDUP($H229,0),CK$2)-INDEX(avoidedcosttbl2,ROUNDDOWN($H229,0),CK$2))))*'Inputs Yr 2'!AU229))),"")</f>
        <v>0</v>
      </c>
      <c r="CL229" s="504">
        <f>IFERROR(O229*1000*'Inputs Yr 2'!AV229/((1+realdiscrt1)^-0.5),"")</f>
        <v>0</v>
      </c>
      <c r="CM229" s="79">
        <f>IFERROR((AB229*'Inputs Yr 2'!AW229*(((INDEX(avoidedcosttbl2,$H229,CM$2)+(($H229-ROUNDDOWN($H229,0))*(INDEX(avoidedcosttbl2,ROUNDUP($H229,0),CM$2)-INDEX(avoidedcosttbl2,ROUNDDOWN($H229,0),CM$2)))))))*10,"")</f>
        <v>0</v>
      </c>
      <c r="CN229" s="504">
        <f>IFERROR(10*AB229*'Inputs Yr 2'!AX229/((1+realdiscrt1)^-0.5),"")</f>
        <v>0</v>
      </c>
      <c r="CO229" s="505">
        <f t="shared" si="135"/>
        <v>0</v>
      </c>
      <c r="CP229" s="230">
        <f t="shared" si="136"/>
        <v>3585.8913137955942</v>
      </c>
      <c r="CQ229" s="199">
        <f>ROUND(IFERROR(IF(LEFT($A229,1)="C",'Avoided Costs'!$K$13,'Avoided Costs'!$K$12)+1,""),4)</f>
        <v>1.0720000000000001</v>
      </c>
      <c r="CR229" s="199">
        <f>ROUND(IFERROR(IF(LEFT($A229,1)="C",'Avoided Costs'!$L$13,'Avoided Costs'!$L$12)+1,""),4)</f>
        <v>1.04</v>
      </c>
      <c r="CS229" s="199">
        <f>ROUND(IFERROR(IF(LEFT($A229,1)="C",'Avoided Costs'!$M$13,'Avoided Costs'!$M$12)+1,""),4)</f>
        <v>1.0720000000000001</v>
      </c>
      <c r="CT229" s="199">
        <f>ROUND(IFERROR(IF(LEFT($A229,1)="C",'Avoided Costs'!$N$13,'Avoided Costs'!$N$12)+1,""),4)</f>
        <v>1.04</v>
      </c>
      <c r="CU229" s="199">
        <f>ROUND(IFERROR(IF(LEFT($A229,1)="C",'Avoided Costs'!$O$13,'Avoided Costs'!$O$12)+1,""),4)</f>
        <v>1.1120000000000001</v>
      </c>
      <c r="CV229" s="199">
        <f>ROUND(IFERROR(IF(LEFT($A229,1)="C",'Avoided Costs'!$P$13,'Avoided Costs'!$P$12)+1,""),4)</f>
        <v>1.095</v>
      </c>
      <c r="CW229" s="199">
        <f>ROUND(IFERROR(IF(LEFT($A229,1)="C",'Avoided Costs'!$Q$13,'Avoided Costs'!$Q$12)+1,""),4)</f>
        <v>1.1120000000000001</v>
      </c>
      <c r="CX229" s="200">
        <f>ROUND(IFERROR(IF(LEFT($A229,1)="C",'Avoided Costs'!$R$13,'Avoided Costs'!$R$12)+1,""),4)</f>
        <v>1.1120000000000001</v>
      </c>
    </row>
    <row r="230" spans="1:102" ht="12.75" customHeight="1">
      <c r="A230" s="91" t="str">
        <f>IF('Inputs Yr 2'!$B230=0,"",'Inputs Yr 2'!A230)</f>
        <v>C - Commercial &amp; Industrial</v>
      </c>
      <c r="B230" s="91" t="str">
        <f>IF('Inputs Yr 2'!$B230=0,"",'Inputs Yr 2'!B230)</f>
        <v>C1 - C&amp;I New Construction</v>
      </c>
      <c r="C230" s="91" t="str">
        <f>IF('Inputs Yr 2'!$B230=0,"",'Inputs Yr 2'!C230)</f>
        <v xml:space="preserve">C1b - C&amp;I Initial Purchase &amp; End of Useful Life </v>
      </c>
      <c r="D230" s="91" t="str">
        <f>IF('Inputs Yr 2'!$B230=0,"",'Inputs Yr 2'!E230)</f>
        <v>Combo Condensing Boiler/Water Heater 95%</v>
      </c>
      <c r="E230" s="93" t="str">
        <f>IF('Inputs Yr 2'!$B230=0,"",'Inputs Yr 2'!F230)</f>
        <v>G16C1b30</v>
      </c>
      <c r="F230" s="93" t="str">
        <f>IF('Inputs Yr 2'!$B230=0,"",'Inputs Yr 2'!G230)</f>
        <v>HVAC</v>
      </c>
      <c r="G230" s="95">
        <f>IF('Inputs Yr 2'!$H230&lt;&gt;0,('Inputs Yr 2'!H230),"")</f>
        <v>17</v>
      </c>
      <c r="H230" s="94">
        <f>IFERROR('Inputs Yr 2'!I230,"")</f>
        <v>20</v>
      </c>
      <c r="I230" s="298">
        <f>IFERROR('Inputs Yr 2'!J230*'Inputs Yr 2'!P230*G230,"")</f>
        <v>41851.620000000003</v>
      </c>
      <c r="J230" s="298">
        <f>IFERROR('Inputs Yr 2'!K230*G230,"")</f>
        <v>27200</v>
      </c>
      <c r="K230" s="298">
        <f t="shared" si="113"/>
        <v>14651.620000000003</v>
      </c>
      <c r="L230" s="194">
        <f>IFERROR(('Inputs Yr 2'!W230*G230)/1000,"")</f>
        <v>0</v>
      </c>
      <c r="M230" s="194">
        <f>IFERROR(L230*('Inputs Yr 2'!$Q230*'Inputs Yr 2'!$V230*'Inputs Yr 2'!$R230),"")</f>
        <v>0</v>
      </c>
      <c r="N230" s="194">
        <f t="shared" si="114"/>
        <v>0</v>
      </c>
      <c r="O230" s="194">
        <f>IFERROR(M230*'Inputs Yr 2'!P230,"")</f>
        <v>0</v>
      </c>
      <c r="P230" s="194">
        <f t="shared" si="115"/>
        <v>0</v>
      </c>
      <c r="Q230" s="194">
        <f>IFERROR($P230*'Inputs Yr 2'!AA230,"")</f>
        <v>0</v>
      </c>
      <c r="R230" s="194">
        <f>IFERROR($P230*'Inputs Yr 2'!AB230,"")</f>
        <v>0</v>
      </c>
      <c r="S230" s="194">
        <f>IFERROR($P230*'Inputs Yr 2'!AC230,"")</f>
        <v>0</v>
      </c>
      <c r="T230" s="194">
        <f>IFERROR($P230*'Inputs Yr 2'!AD230,"")</f>
        <v>0</v>
      </c>
      <c r="U230" s="194">
        <f>IFERROR(G230*'Inputs Yr 2'!$AE230*'Inputs Yr 2'!$P230*'Inputs Yr 2'!$Q230,"")</f>
        <v>0</v>
      </c>
      <c r="V230" s="194">
        <f>IFERROR($G230*'Inputs Yr 2'!$AE230*'Inputs Yr 2'!$AG230*'Inputs Yr 2'!Q230*'Inputs Yr 2'!$S230,"")</f>
        <v>0</v>
      </c>
      <c r="W230" s="194">
        <f>IFERROR($G230*'Inputs Yr 2'!$AE230*'Inputs Yr 2'!$AG230*'Inputs Yr 2'!P230*'Inputs Yr 2'!Q230*'Inputs Yr 2'!$S230,"")</f>
        <v>0</v>
      </c>
      <c r="X230" s="194">
        <f>IFERROR($G230*'Inputs Yr 2'!$AE230*'Inputs Yr 2'!$AF230*'Inputs Yr 2'!Q230*'Inputs Yr 2'!$T230,"")</f>
        <v>0</v>
      </c>
      <c r="Y230" s="194">
        <f>IFERROR($G230*'Inputs Yr 2'!$AE230*'Inputs Yr 2'!$AF230*'Inputs Yr 2'!P230*'Inputs Yr 2'!Q230*'Inputs Yr 2'!$T230,"")</f>
        <v>0</v>
      </c>
      <c r="Z230" s="257">
        <f>IFERROR($G230*'Inputs Yr 2'!$Q230*'Inputs Yr 2'!$U230*(IF(IFERROR(SEARCH("NG", 'Inputs Yr 2'!$AJ230),0),'Inputs Yr 2'!$AK230,0)+IF(IFERROR(SEARCH("NG", 'Inputs Yr 2'!$AL230),0),'Inputs Yr 2'!$AM230,0)+IF(IFERROR(SEARCH("NG", 'Inputs Yr 2'!$AN230),0),'Inputs Yr 2'!$AO230,0)),0)</f>
        <v>518.49999999999977</v>
      </c>
      <c r="AA230" s="257">
        <f t="shared" si="116"/>
        <v>10369.999999999996</v>
      </c>
      <c r="AB230" s="257">
        <f>IFERROR(Z230*'Inputs Yr 2'!$P230,0)</f>
        <v>438.65099999999984</v>
      </c>
      <c r="AC230" s="257">
        <f t="shared" si="117"/>
        <v>8773.0199999999968</v>
      </c>
      <c r="AD230" s="257">
        <f>IFERROR($G230*'Inputs Yr 2'!$Q230*'Inputs Yr 2'!$U230*(IF(IFERROR(SEARCH("Oil", 'Inputs Yr 2'!$AJ230), 0),'Inputs Yr 2'!$AK230,0)+IF(IFERROR(SEARCH("Oil", 'Inputs Yr 2'!$AL230), 0),'Inputs Yr 2'!$AM230,0)+IF(IFERROR(SEARCH("Oil", 'Inputs Yr 2'!$AN230), 0),'Inputs Yr 2'!$AO230,0)),0)</f>
        <v>0</v>
      </c>
      <c r="AE230" s="257">
        <f t="shared" si="118"/>
        <v>0</v>
      </c>
      <c r="AF230" s="257">
        <f>IFERROR(AD230*'Inputs Yr 2'!$P230,0)</f>
        <v>0</v>
      </c>
      <c r="AG230" s="257">
        <f t="shared" si="119"/>
        <v>0</v>
      </c>
      <c r="AH230" s="257">
        <f>IFERROR($G230*'Inputs Yr 2'!$Q230*'Inputs Yr 2'!$U230*(IF('Inputs Yr 2'!$AJ230=CD$4,'Inputs Yr 2'!$AK230,IF('Inputs Yr 2'!$AL230=CD$4,'Inputs Yr 2'!$AM230,IF('Inputs Yr 2'!$AN230=CD$4,'Inputs Yr 2'!$AO230,0)))),0)</f>
        <v>0</v>
      </c>
      <c r="AI230" s="257">
        <f t="shared" si="120"/>
        <v>0</v>
      </c>
      <c r="AJ230" s="257">
        <f>IFERROR(AH230*'Inputs Yr 2'!$P230,0)</f>
        <v>0</v>
      </c>
      <c r="AK230" s="257">
        <f t="shared" si="121"/>
        <v>0</v>
      </c>
      <c r="AL230" s="258">
        <f>IFERROR($G230*'Inputs Yr 2'!$P230*'Inputs Yr 2'!$Q230*'Inputs Yr 2'!AP230,0)</f>
        <v>0</v>
      </c>
      <c r="AM230" s="260">
        <f>IFERROR($G230*'Inputs Yr 2'!$P230*'Inputs Yr 2'!$Q230*'Inputs Yr 2'!AQ230,0)</f>
        <v>0</v>
      </c>
      <c r="AN230" s="258">
        <f>IFERROR($G230*'Inputs Yr 2'!$P230*'Inputs Yr 2'!$Q230*'Inputs Yr 2'!AR230,0)</f>
        <v>0</v>
      </c>
      <c r="AO230" s="257">
        <f t="shared" si="122"/>
        <v>0</v>
      </c>
      <c r="AP230" s="195">
        <f>IFERROR($CQ230*(INDEX(avoidedcosttbl2,$H230,AP$2)+(($H230-ROUNDDOWN($H230,0))*(INDEX(avoidedcosttbl2,ROUNDUP($H230,0),AP$2)-(INDEX(avoidedcosttbl2,ROUNDDOWN($H230,0),AP$2)))))*$O230*1000*'Inputs Yr 2'!AA230,"")</f>
        <v>0</v>
      </c>
      <c r="AQ230" s="195">
        <f>IFERROR($CR230*(INDEX(avoidedcosttbl2,$H230,AQ$2)+(($H230-ROUNDDOWN($H230,0))*(INDEX(avoidedcosttbl2,ROUNDUP($H230,0),AQ$2)-(INDEX(avoidedcosttbl2,ROUNDDOWN($H230,0),AQ$2)))))*$O230*1000*'Inputs Yr 2'!AB230,"")</f>
        <v>0</v>
      </c>
      <c r="AR230" s="195">
        <f>IFERROR($CS230*(INDEX(avoidedcosttbl2,$H230,AR$2)+(($H230-ROUNDDOWN($H230,0))*(INDEX(avoidedcosttbl2,ROUNDUP($H230,0),AR$2)-(INDEX(avoidedcosttbl2,ROUNDDOWN($H230,0),AR$2)))))*$O230*1000*'Inputs Yr 2'!AC230,"")</f>
        <v>0</v>
      </c>
      <c r="AS230" s="195">
        <f>IFERROR($CT230*(INDEX(avoidedcosttbl2,$H230,AS$2)+(($H230-ROUNDDOWN($H230,0))*(INDEX(avoidedcosttbl2,ROUNDUP($H230,0),AS$2)-(INDEX(avoidedcosttbl2,ROUNDDOWN($H230,0),AS$2)))))*$O230*1000*'Inputs Yr 2'!AD230,"")</f>
        <v>0</v>
      </c>
      <c r="AT230" s="196">
        <f t="shared" si="123"/>
        <v>0</v>
      </c>
      <c r="AU230" s="197">
        <f>IFERROR($CQ230*((INDEX(avoidedcosttbl2,$H230,AU$2))+(($H230-ROUNDDOWN($H230,0))*((INDEX(avoidedcosttbl2,ROUNDUP($H230,0),AU$2))-(INDEX(avoidedcosttbl2,ROUNDDOWN($H230,0),AU$2)))))*$O230*1000*'Inputs Yr 2'!AA230,"")</f>
        <v>0</v>
      </c>
      <c r="AV230" s="197">
        <f>IFERROR($CR230*((INDEX(avoidedcosttbl2,$H230,AV$2))+(($H230-ROUNDDOWN($H230,0))*((INDEX(avoidedcosttbl2,ROUNDUP($H230,0),AV$2))-(INDEX(avoidedcosttbl2,ROUNDDOWN($H230,0),AV$2)))))*$O230*1000*'Inputs Yr 2'!AB230,"")</f>
        <v>0</v>
      </c>
      <c r="AW230" s="197">
        <f>IFERROR($CS230*((INDEX(avoidedcosttbl2,$H230,AW$2))+(($H230-ROUNDDOWN($H230,0))*((INDEX(avoidedcosttbl2,ROUNDUP($H230,0),AW$2))-(INDEX(avoidedcosttbl2,ROUNDDOWN($H230,0),AW$2)))))*$O230*1000*'Inputs Yr 2'!AC230,"")</f>
        <v>0</v>
      </c>
      <c r="AX230" s="197">
        <f>IFERROR($CT230*((INDEX(avoidedcosttbl2,$H230,AX$2))+(($H230-ROUNDDOWN($H230,0))*((INDEX(avoidedcosttbl2,ROUNDUP($H230,0),AX$2))-(INDEX(avoidedcosttbl2,ROUNDDOWN($H230,0),AX$2)))))*$O230*1000*'Inputs Yr 2'!AD230,"")</f>
        <v>0</v>
      </c>
      <c r="AY230" s="197">
        <f>IFERROR(((INDEX(avoidedcosttbl2,$H230,AY$2))+(($H230-ROUNDDOWN($H230,0))*((INDEX(avoidedcosttbl2,ROUNDUP($H230,0),AY$2))-(INDEX(avoidedcosttbl2,ROUNDDOWN($H230,0),AY$2)))))*$O230*1000*('Inputs Yr 2'!AC230+'Inputs Yr 2'!AD230),"")</f>
        <v>0</v>
      </c>
      <c r="AZ230" s="197">
        <f>IFERROR(((INDEX(avoidedcosttbl2,$H230,AZ$2))+(($H230-ROUNDDOWN($H230,0))*((INDEX(avoidedcosttbl2,ROUNDUP($H230,0),AZ$2))-(INDEX(avoidedcosttbl2,ROUNDDOWN($H230,0),AZ$2)))))*$O230*1000*('Inputs Yr 2'!AA230+'Inputs Yr 2'!AB230),"")</f>
        <v>0</v>
      </c>
      <c r="BA230" s="198">
        <f t="shared" si="124"/>
        <v>0</v>
      </c>
      <c r="BB230" s="198">
        <f t="shared" si="125"/>
        <v>0</v>
      </c>
      <c r="BC230" s="195">
        <f t="shared" si="107"/>
        <v>0</v>
      </c>
      <c r="BD230" s="195">
        <f t="shared" si="108"/>
        <v>0</v>
      </c>
      <c r="BE230" s="195">
        <f t="shared" si="109"/>
        <v>0</v>
      </c>
      <c r="BF230" s="195">
        <f t="shared" si="110"/>
        <v>0</v>
      </c>
      <c r="BG230" s="195">
        <f t="shared" si="111"/>
        <v>0</v>
      </c>
      <c r="BH230" s="196">
        <f t="shared" si="126"/>
        <v>0</v>
      </c>
      <c r="BI230" s="196">
        <f t="shared" si="127"/>
        <v>0</v>
      </c>
      <c r="BJ230" s="195">
        <f>IFERROR($G230*(IF('Inputs Yr 2'!$AJ230=BJ$4,'Inputs Yr 2'!$AK230,IF('Inputs Yr 2'!$AL230=BJ$4,'Inputs Yr 2'!$AM230,IF('Inputs Yr 2'!$AN230=BJ$4,'Inputs Yr 2'!$AO230,0))))*(INDEX(avoidedcosttbl2,$H230,BJ$2)+(($H230-ROUNDDOWN($H230,0))*(INDEX(avoidedcosttbl2,ROUNDUP($H230,0),BJ$2)-(INDEX(avoidedcosttbl2,ROUNDDOWN($H230,0),BJ$2)))))*'Inputs Yr 2'!P230*'Inputs Yr 2'!Q230*'Inputs Yr 2'!U230,"")</f>
        <v>0</v>
      </c>
      <c r="BK230" s="195">
        <f>IFERROR($G230*(IF('Inputs Yr 2'!$AJ230=BK$4,'Inputs Yr 2'!$AK230,IF('Inputs Yr 2'!$AL230=BK$4,'Inputs Yr 2'!$AM230,IF('Inputs Yr 2'!$AN230=BK$4,'Inputs Yr 2'!$AO230,0))))*(INDEX(avoidedcosttbl2,$H230,BK$2)+(($H230-ROUNDDOWN($H230,0))*(INDEX(avoidedcosttbl2,ROUNDUP($H230,0),BK$2)-(INDEX(avoidedcosttbl2,ROUNDDOWN($H230,0),BK$2)))))*'Inputs Yr 2'!P230*'Inputs Yr 2'!Q230*'Inputs Yr 2'!U230,"")</f>
        <v>0</v>
      </c>
      <c r="BL230" s="195">
        <f>IFERROR($G230*(IF('Inputs Yr 2'!$AJ230=BL$4,'Inputs Yr 2'!$AK230,IF('Inputs Yr 2'!$AL230=BL$4,'Inputs Yr 2'!$AM230,IF('Inputs Yr 2'!$AN230=BL$4,'Inputs Yr 2'!$AO230,0))))*(INDEX(avoidedcosttbl2,$H230,BL$2)+(($H230-ROUNDDOWN($H230,0))*(INDEX(avoidedcosttbl2,ROUNDUP($H230,0),BL$2)-(INDEX(avoidedcosttbl2,ROUNDDOWN($H230,0),BL$2)))))*'Inputs Yr 2'!P230*'Inputs Yr 2'!Q230*'Inputs Yr 2'!U230,"")</f>
        <v>0</v>
      </c>
      <c r="BM230" s="195">
        <f>IFERROR($G230*(IF('Inputs Yr 2'!$AJ230=BM$4,'Inputs Yr 2'!$AK230,IF('Inputs Yr 2'!$AL230=BM$4,'Inputs Yr 2'!$AM230,IF('Inputs Yr 2'!$AN230=BM$4,'Inputs Yr 2'!$AO230,0))))*(INDEX(avoidedcosttbl2,$H230,BM$2)+(($H230-ROUNDDOWN($H230,0))*(INDEX(avoidedcosttbl2,ROUNDUP($H230,0),BM$2)-(INDEX(avoidedcosttbl2,ROUNDDOWN($H230,0),BM$2)))))*'Inputs Yr 2'!P230*'Inputs Yr 2'!Q230*'Inputs Yr 2'!U230,"")</f>
        <v>0</v>
      </c>
      <c r="BN230" s="195">
        <f>IFERROR($G230*(IF('Inputs Yr 2'!$AJ230=BN$4,'Inputs Yr 2'!$AK230,IF('Inputs Yr 2'!$AL230=BN$4,'Inputs Yr 2'!$AM230,IF('Inputs Yr 2'!$AN230=BN$4,'Inputs Yr 2'!$AO230,0))))*(INDEX(avoidedcosttbl2,$H230,BN$2)+(($H230-ROUNDDOWN($H230,0))*(INDEX(avoidedcosttbl2,ROUNDUP($H230,0),BN$2)-(INDEX(avoidedcosttbl2,ROUNDDOWN($H230,0),BN$2)))))*'Inputs Yr 2'!P230*'Inputs Yr 2'!Q230*'Inputs Yr 2'!U230,"")</f>
        <v>0</v>
      </c>
      <c r="BO230" s="195">
        <f>IFERROR($G230*(IF('Inputs Yr 2'!$AJ230=BO$4,'Inputs Yr 2'!$AK230,IF('Inputs Yr 2'!$AL230=BO$4,'Inputs Yr 2'!$AM230,IF('Inputs Yr 2'!$AN230=BO$4,'Inputs Yr 2'!$AO230,0))))*(INDEX(avoidedcosttbl2,$H230,BO$2)+(($H230-ROUNDDOWN($H230,0))*(INDEX(avoidedcosttbl2,ROUNDUP($H230,0),BO$2)-(INDEX(avoidedcosttbl2,ROUNDDOWN($H230,0),BO$2)))))*'Inputs Yr 2'!P230*'Inputs Yr 2'!Q230*'Inputs Yr 2'!U230,"")</f>
        <v>70550.966665456508</v>
      </c>
      <c r="BP230" s="195">
        <f>IFERROR($G230*(IF('Inputs Yr 2'!$AJ230=BP$4,'Inputs Yr 2'!$AK230,IF('Inputs Yr 2'!$AL230=BP$4,'Inputs Yr 2'!$AM230,IF('Inputs Yr 2'!$AN230=BP$4,'Inputs Yr 2'!$AO230,0))))*(INDEX(avoidedcosttbl2,$H230,BP$2)+(($H230-ROUNDDOWN($H230,0))*(INDEX(avoidedcosttbl2,ROUNDUP($H230,0),BP$2)-(INDEX(avoidedcosttbl2,ROUNDDOWN($H230,0),BP$2)))))*'Inputs Yr 2'!P230*'Inputs Yr 2'!Q230*'Inputs Yr 2'!U230,"")</f>
        <v>0</v>
      </c>
      <c r="BQ230" s="230">
        <f t="shared" si="128"/>
        <v>70550.966665456508</v>
      </c>
      <c r="BR230" s="197">
        <f t="shared" si="112"/>
        <v>1176.2969667013094</v>
      </c>
      <c r="BS230" s="197">
        <f>IFERROR(($G230*IF('Inputs Yr 2'!$AJ230=BM$4,'Inputs Yr 2'!$AK230,IF('Inputs Yr 2'!$AL230=BM$4,'Inputs Yr 2'!$AM230,IF('Inputs Yr 2'!$AN230=BM$4,'Inputs Yr 2'!$AO230,0))))*(INDEX(avoidedcosttbl2,$H230,BS$2)+(($H230-ROUNDDOWN($H230,0))*(INDEX(avoidedcosttbl2,ROUNDUP($H230,0),BS$2)-(INDEX(avoidedcosttbl2,ROUNDDOWN($H230,0),BS$2)))))*'Inputs Yr 2'!P230*'Inputs Yr 2'!Q230*'Inputs Yr 2'!U230,"")</f>
        <v>0</v>
      </c>
      <c r="BT230" s="197">
        <f>IFERROR(($G230*IF('Inputs Yr 2'!$AJ230=BK$4,'Inputs Yr 2'!$AK230,IF('Inputs Yr 2'!$AL230=BK$4,'Inputs Yr 2'!$AM230,IF('Inputs Yr 2'!$AN230=BK$4,'Inputs Yr 2'!$AO230,0))))*(INDEX(avoidedcosttbl2,$H230,BT$2)+(($H230-ROUNDDOWN($H230,0))*(INDEX(avoidedcosttbl2,ROUNDUP($H230,0),BT$2)-(INDEX(avoidedcosttbl2,ROUNDDOWN($H230,0),BT$2)))))*'Inputs Yr 2'!P230*'Inputs Yr 2'!Q230*'Inputs Yr 2'!U230,"")</f>
        <v>0</v>
      </c>
      <c r="BU230" s="197">
        <f>IFERROR(($G230*IF('Inputs Yr 2'!$AJ230=BL$4,'Inputs Yr 2'!$AK230,IF('Inputs Yr 2'!$AL230=BL$4,'Inputs Yr 2'!$AM230,IF('Inputs Yr 2'!$AN230=BL$4,'Inputs Yr 2'!$AO230,0))))*(INDEX(avoidedcosttbl2,$H230,BU$2)+(($H230-ROUNDDOWN($H230,0))*(INDEX(avoidedcosttbl2,ROUNDUP($H230,0),BU$2)-(INDEX(avoidedcosttbl2,ROUNDDOWN($H230,0),BU$2)))))*'Inputs Yr 2'!P230*'Inputs Yr 2'!Q230*'Inputs Yr 2'!U230,"")</f>
        <v>0</v>
      </c>
      <c r="BV230" s="775">
        <f>IFERROR(($G230*IF('Inputs Yr 2'!$AJ230=BJ$4,'Inputs Yr 2'!$AK230,IF('Inputs Yr 2'!$AL230=BJ$4,'Inputs Yr 2'!$AM230,IF('Inputs Yr 2'!$AN230=BJ$4,'Inputs Yr 2'!$AO230,0))))*(INDEX(avoidedcosttbl2,$H230,BV$2)+(($H230-ROUNDDOWN($H230,0))*(INDEX(avoidedcosttbl2,ROUNDUP($H230,0),BV$2)-(INDEX(avoidedcosttbl2,ROUNDDOWN($H230,0),BV$2)))))*'Inputs Yr 2'!P230*'Inputs Yr 2'!Q230*'Inputs Yr 2'!U230,"")</f>
        <v>0</v>
      </c>
      <c r="BW230" s="197">
        <f>IFERROR(($G230*IF('Inputs Yr 2'!$AJ230=BN$4,'Inputs Yr 2'!$AK230,IF('Inputs Yr 2'!$AL230=BN$4,'Inputs Yr 2'!$AM230,IF('Inputs Yr 2'!$AN230=BN$4,'Inputs Yr 2'!$AO230,0))))*(INDEX(avoidedcosttbl2,$H230,BW$2)+(($H230-ROUNDDOWN($H230,0))*(INDEX(avoidedcosttbl2,ROUNDUP($H230,0),BW$2)-(INDEX(avoidedcosttbl2,ROUNDDOWN($H230,0),BW$2)))))*'Inputs Yr 2'!P230*'Inputs Yr 2'!Q230*'Inputs Yr 2'!U230,"")</f>
        <v>0</v>
      </c>
      <c r="BX230" s="197">
        <f>IFERROR(($G230*IF('Inputs Yr 2'!$AJ230=BO$4,'Inputs Yr 2'!$AK230,IF('Inputs Yr 2'!$AL230=BO$4,'Inputs Yr 2'!$AM230,IF('Inputs Yr 2'!$AN230=BO$4,'Inputs Yr 2'!$AO230,0))))*(INDEX(avoidedcosttbl2,$H230,BX$2)+(($H230-ROUNDDOWN($H230,0))*(INDEX(avoidedcosttbl2,ROUNDUP($H230,0),BX$2)-(INDEX(avoidedcosttbl2,ROUNDDOWN($H230,0),BX$2)))))*'Inputs Yr 2'!P230*'Inputs Yr 2'!Q230*'Inputs Yr 2'!U230,"")</f>
        <v>3853.4130427614718</v>
      </c>
      <c r="BY230" s="197">
        <f>IFERROR(($G230*IF('Inputs Yr 2'!$AJ230=BP$4,'Inputs Yr 2'!$AK230,IF('Inputs Yr 2'!$AL230=BP$4,'Inputs Yr 2'!$AM230,IF('Inputs Yr 2'!$AN230=BP$4,'Inputs Yr 2'!$AO230,0))))*(INDEX(avoidedcosttbl2,$H230,BY$2)+(($H230-ROUNDDOWN($H230,0))*(INDEX(avoidedcosttbl2,ROUNDUP($H230,0),BY$2)-(INDEX(avoidedcosttbl2,ROUNDDOWN($H230,0),BY$2)))))*'Inputs Yr 2'!P230*'Inputs Yr 2'!Q230*'Inputs Yr 2'!U230,"")</f>
        <v>0</v>
      </c>
      <c r="BZ230" s="193">
        <f t="shared" si="129"/>
        <v>5029.7100094627813</v>
      </c>
      <c r="CA230" s="193">
        <f t="shared" si="130"/>
        <v>75580.67667491929</v>
      </c>
      <c r="CB230" s="195">
        <f>IFERROR(G230*(IF('Inputs Yr 2'!$AJ230=CB$4,'Inputs Yr 2'!$AK230,IF('Inputs Yr 2'!$AL230=CB$4,'Inputs Yr 2'!$AM230,IF('Inputs Yr 2'!$AN230=CB$4,'Inputs Yr 2'!$AO230,0))))*(INDEX(avoidedcosttbl2,$H230,CB$2)+(($H230-ROUNDDOWN($H230,0))*(INDEX(avoidedcosttbl2,ROUNDUP($H230,0),CB$2)-(INDEX(avoidedcosttbl2,ROUNDDOWN($H230,0),CB$2)))))*'Inputs Yr 2'!P230*'Inputs Yr 2'!Q230*'Inputs Yr 2'!U230,"")</f>
        <v>0</v>
      </c>
      <c r="CC230" s="195">
        <f>IFERROR(H230*(IF('Inputs Yr 2'!$AJ230=CC$4,'Inputs Yr 2'!$AK230,IF('Inputs Yr 2'!$AL230=CC$4,'Inputs Yr 2'!$AM230,IF('Inputs Yr 2'!$AN230=CC$4,'Inputs Yr 2'!$AO230,0))))*(INDEX(avoidedcosttbl2,$H230,CC$2)+(($H230-ROUNDDOWN($H230,0))*(INDEX(avoidedcosttbl2,ROUNDUP($H230,0),CC$2)-(INDEX(avoidedcosttbl2,ROUNDDOWN($H230,0),CC$2)))))*'Inputs Yr 2'!Q230*'Inputs Yr 2'!R230*'Inputs Yr 2'!V230,"")</f>
        <v>0</v>
      </c>
      <c r="CD230" s="195">
        <f>IFERROR(I230*(IF('Inputs Yr 2'!$AJ230=CD$4,'Inputs Yr 2'!$AK230,IF('Inputs Yr 2'!$AL230=CD$4,'Inputs Yr 2'!$AM230,IF('Inputs Yr 2'!$AN230=CD$4,'Inputs Yr 2'!$AO230,0))))*(INDEX(avoidedcosttbl2,$H230,CD$2)+(($H230-ROUNDDOWN($H230,0))*(INDEX(avoidedcosttbl2,ROUNDUP($H230,0),CD$2)-(INDEX(avoidedcosttbl2,ROUNDDOWN($H230,0),CD$2)))))*'Inputs Yr 2'!R230*'Inputs Yr 2'!S230*'Inputs Yr 2'!W230,"")</f>
        <v>0</v>
      </c>
      <c r="CE230" s="213">
        <f t="shared" si="131"/>
        <v>0</v>
      </c>
      <c r="CF230" s="213">
        <f t="shared" si="132"/>
        <v>0</v>
      </c>
      <c r="CG230" s="213">
        <f t="shared" si="133"/>
        <v>0</v>
      </c>
      <c r="CH230" s="698">
        <f t="shared" si="134"/>
        <v>75580.67667491929</v>
      </c>
      <c r="CI230" s="79">
        <f>IFERROR(($G230*'Inputs Yr 2'!$P230*'Inputs Yr 2'!$Q230*(((INDEX(avoidedcosttbl2,$H230,CI$2)+(($H230-ROUNDDOWN($H230,0))*(INDEX(avoidedcosttbl2,ROUNDUP($H230,0),CI$2)-INDEX(avoidedcosttbl2,ROUNDDOWN($H230,0),CI$2))))*'Inputs Yr 2'!AS230))),"")</f>
        <v>0</v>
      </c>
      <c r="CJ230" s="504">
        <f>IFERROR($G230*'Inputs Yr 2'!AT230*'Inputs Yr 2'!$P230*'Inputs Yr 2'!$Q230/((1+realdiscrt1)^-0.5),"")</f>
        <v>0</v>
      </c>
      <c r="CK230" s="79">
        <f>IFERROR((O230*1000*(((INDEX(avoidedcosttbl2,$H230,CK$2)+(($H230-ROUNDDOWN($H230,0))*(INDEX(avoidedcosttbl2,ROUNDUP($H230,0),CK$2)-INDEX(avoidedcosttbl2,ROUNDDOWN($H230,0),CK$2))))*'Inputs Yr 2'!AU230))),"")</f>
        <v>0</v>
      </c>
      <c r="CL230" s="504">
        <f>IFERROR(O230*1000*'Inputs Yr 2'!AV230/((1+realdiscrt1)^-0.5),"")</f>
        <v>0</v>
      </c>
      <c r="CM230" s="79">
        <f>IFERROR((AB230*'Inputs Yr 2'!AW230*(((INDEX(avoidedcosttbl2,$H230,CM$2)+(($H230-ROUNDDOWN($H230,0))*(INDEX(avoidedcosttbl2,ROUNDUP($H230,0),CM$2)-INDEX(avoidedcosttbl2,ROUNDDOWN($H230,0),CM$2)))))))*10,"")</f>
        <v>0</v>
      </c>
      <c r="CN230" s="504">
        <f>IFERROR(10*AB230*'Inputs Yr 2'!AX230/((1+realdiscrt1)^-0.5),"")</f>
        <v>0</v>
      </c>
      <c r="CO230" s="505">
        <f t="shared" si="135"/>
        <v>0</v>
      </c>
      <c r="CP230" s="230">
        <f t="shared" si="136"/>
        <v>75580.67667491929</v>
      </c>
      <c r="CQ230" s="199">
        <f>ROUND(IFERROR(IF(LEFT($A230,1)="C",'Avoided Costs'!$K$13,'Avoided Costs'!$K$12)+1,""),4)</f>
        <v>1.0720000000000001</v>
      </c>
      <c r="CR230" s="199">
        <f>ROUND(IFERROR(IF(LEFT($A230,1)="C",'Avoided Costs'!$L$13,'Avoided Costs'!$L$12)+1,""),4)</f>
        <v>1.04</v>
      </c>
      <c r="CS230" s="199">
        <f>ROUND(IFERROR(IF(LEFT($A230,1)="C",'Avoided Costs'!$M$13,'Avoided Costs'!$M$12)+1,""),4)</f>
        <v>1.0720000000000001</v>
      </c>
      <c r="CT230" s="199">
        <f>ROUND(IFERROR(IF(LEFT($A230,1)="C",'Avoided Costs'!$N$13,'Avoided Costs'!$N$12)+1,""),4)</f>
        <v>1.04</v>
      </c>
      <c r="CU230" s="199">
        <f>ROUND(IFERROR(IF(LEFT($A230,1)="C",'Avoided Costs'!$O$13,'Avoided Costs'!$O$12)+1,""),4)</f>
        <v>1.1120000000000001</v>
      </c>
      <c r="CV230" s="199">
        <f>ROUND(IFERROR(IF(LEFT($A230,1)="C",'Avoided Costs'!$P$13,'Avoided Costs'!$P$12)+1,""),4)</f>
        <v>1.095</v>
      </c>
      <c r="CW230" s="199">
        <f>ROUND(IFERROR(IF(LEFT($A230,1)="C",'Avoided Costs'!$Q$13,'Avoided Costs'!$Q$12)+1,""),4)</f>
        <v>1.1120000000000001</v>
      </c>
      <c r="CX230" s="200">
        <f>ROUND(IFERROR(IF(LEFT($A230,1)="C",'Avoided Costs'!$R$13,'Avoided Costs'!$R$12)+1,""),4)</f>
        <v>1.1120000000000001</v>
      </c>
    </row>
    <row r="231" spans="1:102" ht="12.75" customHeight="1">
      <c r="A231" s="91" t="str">
        <f>IF('Inputs Yr 2'!$B231=0,"",'Inputs Yr 2'!A231)</f>
        <v>C - Commercial &amp; Industrial</v>
      </c>
      <c r="B231" s="91" t="str">
        <f>IF('Inputs Yr 2'!$B231=0,"",'Inputs Yr 2'!B231)</f>
        <v>C1 - C&amp;I New Construction</v>
      </c>
      <c r="C231" s="91" t="str">
        <f>IF('Inputs Yr 2'!$B231=0,"",'Inputs Yr 2'!C231)</f>
        <v xml:space="preserve">C1b - C&amp;I Initial Purchase &amp; End of Useful Life </v>
      </c>
      <c r="D231" s="91" t="str">
        <f>IF('Inputs Yr 2'!$B231=0,"",'Inputs Yr 2'!E231)</f>
        <v>Volume Water Heater 0.85 TE - Upstream</v>
      </c>
      <c r="E231" s="93" t="str">
        <f>IF('Inputs Yr 2'!$B231=0,"",'Inputs Yr 2'!F231)</f>
        <v>G16C1b38</v>
      </c>
      <c r="F231" s="93" t="str">
        <f>IF('Inputs Yr 2'!$B231=0,"",'Inputs Yr 2'!G231)</f>
        <v>Hot Water</v>
      </c>
      <c r="G231" s="95">
        <f>IF('Inputs Yr 2'!$H231&lt;&gt;0,('Inputs Yr 2'!H231),"")</f>
        <v>2698</v>
      </c>
      <c r="H231" s="94">
        <f>IFERROR('Inputs Yr 2'!I231,"")</f>
        <v>15</v>
      </c>
      <c r="I231" s="298">
        <f>IFERROR('Inputs Yr 2'!J231*'Inputs Yr 2'!P231*G231,"")</f>
        <v>3423.7620000000002</v>
      </c>
      <c r="J231" s="298">
        <f>IFERROR('Inputs Yr 2'!K231*G231,"")</f>
        <v>2724.98</v>
      </c>
      <c r="K231" s="298">
        <f t="shared" si="113"/>
        <v>698.78200000000015</v>
      </c>
      <c r="L231" s="194">
        <f>IFERROR(('Inputs Yr 2'!W231*G231)/1000,"")</f>
        <v>0</v>
      </c>
      <c r="M231" s="194">
        <f>IFERROR(L231*('Inputs Yr 2'!$Q231*'Inputs Yr 2'!$V231*'Inputs Yr 2'!$R231),"")</f>
        <v>0</v>
      </c>
      <c r="N231" s="194">
        <f t="shared" si="114"/>
        <v>0</v>
      </c>
      <c r="O231" s="194">
        <f>IFERROR(M231*'Inputs Yr 2'!P231,"")</f>
        <v>0</v>
      </c>
      <c r="P231" s="194">
        <f t="shared" si="115"/>
        <v>0</v>
      </c>
      <c r="Q231" s="194">
        <f>IFERROR($P231*'Inputs Yr 2'!AA231,"")</f>
        <v>0</v>
      </c>
      <c r="R231" s="194">
        <f>IFERROR($P231*'Inputs Yr 2'!AB231,"")</f>
        <v>0</v>
      </c>
      <c r="S231" s="194">
        <f>IFERROR($P231*'Inputs Yr 2'!AC231,"")</f>
        <v>0</v>
      </c>
      <c r="T231" s="194">
        <f>IFERROR($P231*'Inputs Yr 2'!AD231,"")</f>
        <v>0</v>
      </c>
      <c r="U231" s="194">
        <f>IFERROR(G231*'Inputs Yr 2'!$AE231*'Inputs Yr 2'!$P231*'Inputs Yr 2'!$Q231,"")</f>
        <v>0</v>
      </c>
      <c r="V231" s="194">
        <f>IFERROR($G231*'Inputs Yr 2'!$AE231*'Inputs Yr 2'!$AG231*'Inputs Yr 2'!Q231*'Inputs Yr 2'!$S231,"")</f>
        <v>0</v>
      </c>
      <c r="W231" s="194">
        <f>IFERROR($G231*'Inputs Yr 2'!$AE231*'Inputs Yr 2'!$AG231*'Inputs Yr 2'!P231*'Inputs Yr 2'!Q231*'Inputs Yr 2'!$S231,"")</f>
        <v>0</v>
      </c>
      <c r="X231" s="194">
        <f>IFERROR($G231*'Inputs Yr 2'!$AE231*'Inputs Yr 2'!$AF231*'Inputs Yr 2'!Q231*'Inputs Yr 2'!$T231,"")</f>
        <v>0</v>
      </c>
      <c r="Y231" s="194">
        <f>IFERROR($G231*'Inputs Yr 2'!$AE231*'Inputs Yr 2'!$AF231*'Inputs Yr 2'!P231*'Inputs Yr 2'!Q231*'Inputs Yr 2'!$T231,"")</f>
        <v>0</v>
      </c>
      <c r="Z231" s="257">
        <f>IFERROR($G231*'Inputs Yr 2'!$Q231*'Inputs Yr 2'!$U231*(IF(IFERROR(SEARCH("NG", 'Inputs Yr 2'!$AJ231),0),'Inputs Yr 2'!$AK231,0)+IF(IFERROR(SEARCH("NG", 'Inputs Yr 2'!$AL231),0),'Inputs Yr 2'!$AM231,0)+IF(IFERROR(SEARCH("NG", 'Inputs Yr 2'!$AN231),0),'Inputs Yr 2'!$AO231,0)),0)</f>
        <v>524.76097602161417</v>
      </c>
      <c r="AA231" s="257">
        <f t="shared" si="116"/>
        <v>7871.4146403242121</v>
      </c>
      <c r="AB231" s="257">
        <f>IFERROR(Z231*'Inputs Yr 2'!$P231,0)</f>
        <v>443.94778571428566</v>
      </c>
      <c r="AC231" s="257">
        <f t="shared" si="117"/>
        <v>6659.2167857142849</v>
      </c>
      <c r="AD231" s="257">
        <f>IFERROR($G231*'Inputs Yr 2'!$Q231*'Inputs Yr 2'!$U231*(IF(IFERROR(SEARCH("Oil", 'Inputs Yr 2'!$AJ231), 0),'Inputs Yr 2'!$AK231,0)+IF(IFERROR(SEARCH("Oil", 'Inputs Yr 2'!$AL231), 0),'Inputs Yr 2'!$AM231,0)+IF(IFERROR(SEARCH("Oil", 'Inputs Yr 2'!$AN231), 0),'Inputs Yr 2'!$AO231,0)),0)</f>
        <v>0</v>
      </c>
      <c r="AE231" s="257">
        <f t="shared" si="118"/>
        <v>0</v>
      </c>
      <c r="AF231" s="257">
        <f>IFERROR(AD231*'Inputs Yr 2'!$P231,0)</f>
        <v>0</v>
      </c>
      <c r="AG231" s="257">
        <f t="shared" si="119"/>
        <v>0</v>
      </c>
      <c r="AH231" s="257">
        <f>IFERROR($G231*'Inputs Yr 2'!$Q231*'Inputs Yr 2'!$U231*(IF('Inputs Yr 2'!$AJ231=CD$4,'Inputs Yr 2'!$AK231,IF('Inputs Yr 2'!$AL231=CD$4,'Inputs Yr 2'!$AM231,IF('Inputs Yr 2'!$AN231=CD$4,'Inputs Yr 2'!$AO231,0)))),0)</f>
        <v>0</v>
      </c>
      <c r="AI231" s="257">
        <f t="shared" si="120"/>
        <v>0</v>
      </c>
      <c r="AJ231" s="257">
        <f>IFERROR(AH231*'Inputs Yr 2'!$P231,0)</f>
        <v>0</v>
      </c>
      <c r="AK231" s="257">
        <f t="shared" si="121"/>
        <v>0</v>
      </c>
      <c r="AL231" s="258">
        <f>IFERROR($G231*'Inputs Yr 2'!$P231*'Inputs Yr 2'!$Q231*'Inputs Yr 2'!AP231,0)</f>
        <v>0</v>
      </c>
      <c r="AM231" s="260">
        <f>IFERROR($G231*'Inputs Yr 2'!$P231*'Inputs Yr 2'!$Q231*'Inputs Yr 2'!AQ231,0)</f>
        <v>0</v>
      </c>
      <c r="AN231" s="258">
        <f>IFERROR($G231*'Inputs Yr 2'!$P231*'Inputs Yr 2'!$Q231*'Inputs Yr 2'!AR231,0)</f>
        <v>0</v>
      </c>
      <c r="AO231" s="257">
        <f t="shared" si="122"/>
        <v>0</v>
      </c>
      <c r="AP231" s="195">
        <f>IFERROR($CQ231*(INDEX(avoidedcosttbl2,$H231,AP$2)+(($H231-ROUNDDOWN($H231,0))*(INDEX(avoidedcosttbl2,ROUNDUP($H231,0),AP$2)-(INDEX(avoidedcosttbl2,ROUNDDOWN($H231,0),AP$2)))))*$O231*1000*'Inputs Yr 2'!AA231,"")</f>
        <v>0</v>
      </c>
      <c r="AQ231" s="195">
        <f>IFERROR($CR231*(INDEX(avoidedcosttbl2,$H231,AQ$2)+(($H231-ROUNDDOWN($H231,0))*(INDEX(avoidedcosttbl2,ROUNDUP($H231,0),AQ$2)-(INDEX(avoidedcosttbl2,ROUNDDOWN($H231,0),AQ$2)))))*$O231*1000*'Inputs Yr 2'!AB231,"")</f>
        <v>0</v>
      </c>
      <c r="AR231" s="195">
        <f>IFERROR($CS231*(INDEX(avoidedcosttbl2,$H231,AR$2)+(($H231-ROUNDDOWN($H231,0))*(INDEX(avoidedcosttbl2,ROUNDUP($H231,0),AR$2)-(INDEX(avoidedcosttbl2,ROUNDDOWN($H231,0),AR$2)))))*$O231*1000*'Inputs Yr 2'!AC231,"")</f>
        <v>0</v>
      </c>
      <c r="AS231" s="195">
        <f>IFERROR($CT231*(INDEX(avoidedcosttbl2,$H231,AS$2)+(($H231-ROUNDDOWN($H231,0))*(INDEX(avoidedcosttbl2,ROUNDUP($H231,0),AS$2)-(INDEX(avoidedcosttbl2,ROUNDDOWN($H231,0),AS$2)))))*$O231*1000*'Inputs Yr 2'!AD231,"")</f>
        <v>0</v>
      </c>
      <c r="AT231" s="196">
        <f t="shared" si="123"/>
        <v>0</v>
      </c>
      <c r="AU231" s="197">
        <f>IFERROR($CQ231*((INDEX(avoidedcosttbl2,$H231,AU$2))+(($H231-ROUNDDOWN($H231,0))*((INDEX(avoidedcosttbl2,ROUNDUP($H231,0),AU$2))-(INDEX(avoidedcosttbl2,ROUNDDOWN($H231,0),AU$2)))))*$O231*1000*'Inputs Yr 2'!AA231,"")</f>
        <v>0</v>
      </c>
      <c r="AV231" s="197">
        <f>IFERROR($CR231*((INDEX(avoidedcosttbl2,$H231,AV$2))+(($H231-ROUNDDOWN($H231,0))*((INDEX(avoidedcosttbl2,ROUNDUP($H231,0),AV$2))-(INDEX(avoidedcosttbl2,ROUNDDOWN($H231,0),AV$2)))))*$O231*1000*'Inputs Yr 2'!AB231,"")</f>
        <v>0</v>
      </c>
      <c r="AW231" s="197">
        <f>IFERROR($CS231*((INDEX(avoidedcosttbl2,$H231,AW$2))+(($H231-ROUNDDOWN($H231,0))*((INDEX(avoidedcosttbl2,ROUNDUP($H231,0),AW$2))-(INDEX(avoidedcosttbl2,ROUNDDOWN($H231,0),AW$2)))))*$O231*1000*'Inputs Yr 2'!AC231,"")</f>
        <v>0</v>
      </c>
      <c r="AX231" s="197">
        <f>IFERROR($CT231*((INDEX(avoidedcosttbl2,$H231,AX$2))+(($H231-ROUNDDOWN($H231,0))*((INDEX(avoidedcosttbl2,ROUNDUP($H231,0),AX$2))-(INDEX(avoidedcosttbl2,ROUNDDOWN($H231,0),AX$2)))))*$O231*1000*'Inputs Yr 2'!AD231,"")</f>
        <v>0</v>
      </c>
      <c r="AY231" s="197">
        <f>IFERROR(((INDEX(avoidedcosttbl2,$H231,AY$2))+(($H231-ROUNDDOWN($H231,0))*((INDEX(avoidedcosttbl2,ROUNDUP($H231,0),AY$2))-(INDEX(avoidedcosttbl2,ROUNDDOWN($H231,0),AY$2)))))*$O231*1000*('Inputs Yr 2'!AC231+'Inputs Yr 2'!AD231),"")</f>
        <v>0</v>
      </c>
      <c r="AZ231" s="197">
        <f>IFERROR(((INDEX(avoidedcosttbl2,$H231,AZ$2))+(($H231-ROUNDDOWN($H231,0))*((INDEX(avoidedcosttbl2,ROUNDUP($H231,0),AZ$2))-(INDEX(avoidedcosttbl2,ROUNDDOWN($H231,0),AZ$2)))))*$O231*1000*('Inputs Yr 2'!AA231+'Inputs Yr 2'!AB231),"")</f>
        <v>0</v>
      </c>
      <c r="BA231" s="198">
        <f t="shared" si="124"/>
        <v>0</v>
      </c>
      <c r="BB231" s="198">
        <f t="shared" si="125"/>
        <v>0</v>
      </c>
      <c r="BC231" s="195">
        <f t="shared" si="107"/>
        <v>0</v>
      </c>
      <c r="BD231" s="195">
        <f t="shared" si="108"/>
        <v>0</v>
      </c>
      <c r="BE231" s="195">
        <f t="shared" si="109"/>
        <v>0</v>
      </c>
      <c r="BF231" s="195">
        <f t="shared" si="110"/>
        <v>0</v>
      </c>
      <c r="BG231" s="195">
        <f t="shared" si="111"/>
        <v>0</v>
      </c>
      <c r="BH231" s="196">
        <f t="shared" si="126"/>
        <v>0</v>
      </c>
      <c r="BI231" s="196">
        <f t="shared" si="127"/>
        <v>0</v>
      </c>
      <c r="BJ231" s="195">
        <f>IFERROR($G231*(IF('Inputs Yr 2'!$AJ231=BJ$4,'Inputs Yr 2'!$AK231,IF('Inputs Yr 2'!$AL231=BJ$4,'Inputs Yr 2'!$AM231,IF('Inputs Yr 2'!$AN231=BJ$4,'Inputs Yr 2'!$AO231,0))))*(INDEX(avoidedcosttbl2,$H231,BJ$2)+(($H231-ROUNDDOWN($H231,0))*(INDEX(avoidedcosttbl2,ROUNDUP($H231,0),BJ$2)-(INDEX(avoidedcosttbl2,ROUNDDOWN($H231,0),BJ$2)))))*'Inputs Yr 2'!P231*'Inputs Yr 2'!Q231*'Inputs Yr 2'!U231,"")</f>
        <v>0</v>
      </c>
      <c r="BK231" s="195">
        <f>IFERROR($G231*(IF('Inputs Yr 2'!$AJ231=BK$4,'Inputs Yr 2'!$AK231,IF('Inputs Yr 2'!$AL231=BK$4,'Inputs Yr 2'!$AM231,IF('Inputs Yr 2'!$AN231=BK$4,'Inputs Yr 2'!$AO231,0))))*(INDEX(avoidedcosttbl2,$H231,BK$2)+(($H231-ROUNDDOWN($H231,0))*(INDEX(avoidedcosttbl2,ROUNDUP($H231,0),BK$2)-(INDEX(avoidedcosttbl2,ROUNDDOWN($H231,0),BK$2)))))*'Inputs Yr 2'!P231*'Inputs Yr 2'!Q231*'Inputs Yr 2'!U231,"")</f>
        <v>0</v>
      </c>
      <c r="BL231" s="195">
        <f>IFERROR($G231*(IF('Inputs Yr 2'!$AJ231=BL$4,'Inputs Yr 2'!$AK231,IF('Inputs Yr 2'!$AL231=BL$4,'Inputs Yr 2'!$AM231,IF('Inputs Yr 2'!$AN231=BL$4,'Inputs Yr 2'!$AO231,0))))*(INDEX(avoidedcosttbl2,$H231,BL$2)+(($H231-ROUNDDOWN($H231,0))*(INDEX(avoidedcosttbl2,ROUNDUP($H231,0),BL$2)-(INDEX(avoidedcosttbl2,ROUNDDOWN($H231,0),BL$2)))))*'Inputs Yr 2'!P231*'Inputs Yr 2'!Q231*'Inputs Yr 2'!U231,"")</f>
        <v>0</v>
      </c>
      <c r="BM231" s="195">
        <f>IFERROR($G231*(IF('Inputs Yr 2'!$AJ231=BM$4,'Inputs Yr 2'!$AK231,IF('Inputs Yr 2'!$AL231=BM$4,'Inputs Yr 2'!$AM231,IF('Inputs Yr 2'!$AN231=BM$4,'Inputs Yr 2'!$AO231,0))))*(INDEX(avoidedcosttbl2,$H231,BM$2)+(($H231-ROUNDDOWN($H231,0))*(INDEX(avoidedcosttbl2,ROUNDUP($H231,0),BM$2)-(INDEX(avoidedcosttbl2,ROUNDDOWN($H231,0),BM$2)))))*'Inputs Yr 2'!P231*'Inputs Yr 2'!Q231*'Inputs Yr 2'!U231,"")</f>
        <v>0</v>
      </c>
      <c r="BN231" s="195">
        <f>IFERROR($G231*(IF('Inputs Yr 2'!$AJ231=BN$4,'Inputs Yr 2'!$AK231,IF('Inputs Yr 2'!$AL231=BN$4,'Inputs Yr 2'!$AM231,IF('Inputs Yr 2'!$AN231=BN$4,'Inputs Yr 2'!$AO231,0))))*(INDEX(avoidedcosttbl2,$H231,BN$2)+(($H231-ROUNDDOWN($H231,0))*(INDEX(avoidedcosttbl2,ROUNDUP($H231,0),BN$2)-(INDEX(avoidedcosttbl2,ROUNDDOWN($H231,0),BN$2)))))*'Inputs Yr 2'!P231*'Inputs Yr 2'!Q231*'Inputs Yr 2'!U231,"")</f>
        <v>46242.992316745702</v>
      </c>
      <c r="BO231" s="195">
        <f>IFERROR($G231*(IF('Inputs Yr 2'!$AJ231=BO$4,'Inputs Yr 2'!$AK231,IF('Inputs Yr 2'!$AL231=BO$4,'Inputs Yr 2'!$AM231,IF('Inputs Yr 2'!$AN231=BO$4,'Inputs Yr 2'!$AO231,0))))*(INDEX(avoidedcosttbl2,$H231,BO$2)+(($H231-ROUNDDOWN($H231,0))*(INDEX(avoidedcosttbl2,ROUNDUP($H231,0),BO$2)-(INDEX(avoidedcosttbl2,ROUNDDOWN($H231,0),BO$2)))))*'Inputs Yr 2'!P231*'Inputs Yr 2'!Q231*'Inputs Yr 2'!U231,"")</f>
        <v>0</v>
      </c>
      <c r="BP231" s="195">
        <f>IFERROR($G231*(IF('Inputs Yr 2'!$AJ231=BP$4,'Inputs Yr 2'!$AK231,IF('Inputs Yr 2'!$AL231=BP$4,'Inputs Yr 2'!$AM231,IF('Inputs Yr 2'!$AN231=BP$4,'Inputs Yr 2'!$AO231,0))))*(INDEX(avoidedcosttbl2,$H231,BP$2)+(($H231-ROUNDDOWN($H231,0))*(INDEX(avoidedcosttbl2,ROUNDUP($H231,0),BP$2)-(INDEX(avoidedcosttbl2,ROUNDDOWN($H231,0),BP$2)))))*'Inputs Yr 2'!P231*'Inputs Yr 2'!Q231*'Inputs Yr 2'!U231,"")</f>
        <v>0</v>
      </c>
      <c r="BQ231" s="230">
        <f t="shared" si="128"/>
        <v>46242.992316745702</v>
      </c>
      <c r="BR231" s="197">
        <f t="shared" si="112"/>
        <v>902.60292781669818</v>
      </c>
      <c r="BS231" s="197">
        <f>IFERROR(($G231*IF('Inputs Yr 2'!$AJ231=BM$4,'Inputs Yr 2'!$AK231,IF('Inputs Yr 2'!$AL231=BM$4,'Inputs Yr 2'!$AM231,IF('Inputs Yr 2'!$AN231=BM$4,'Inputs Yr 2'!$AO231,0))))*(INDEX(avoidedcosttbl2,$H231,BS$2)+(($H231-ROUNDDOWN($H231,0))*(INDEX(avoidedcosttbl2,ROUNDUP($H231,0),BS$2)-(INDEX(avoidedcosttbl2,ROUNDDOWN($H231,0),BS$2)))))*'Inputs Yr 2'!P231*'Inputs Yr 2'!Q231*'Inputs Yr 2'!U231,"")</f>
        <v>0</v>
      </c>
      <c r="BT231" s="197">
        <f>IFERROR(($G231*IF('Inputs Yr 2'!$AJ231=BK$4,'Inputs Yr 2'!$AK231,IF('Inputs Yr 2'!$AL231=BK$4,'Inputs Yr 2'!$AM231,IF('Inputs Yr 2'!$AN231=BK$4,'Inputs Yr 2'!$AO231,0))))*(INDEX(avoidedcosttbl2,$H231,BT$2)+(($H231-ROUNDDOWN($H231,0))*(INDEX(avoidedcosttbl2,ROUNDUP($H231,0),BT$2)-(INDEX(avoidedcosttbl2,ROUNDDOWN($H231,0),BT$2)))))*'Inputs Yr 2'!P231*'Inputs Yr 2'!Q231*'Inputs Yr 2'!U231,"")</f>
        <v>0</v>
      </c>
      <c r="BU231" s="197">
        <f>IFERROR(($G231*IF('Inputs Yr 2'!$AJ231=BL$4,'Inputs Yr 2'!$AK231,IF('Inputs Yr 2'!$AL231=BL$4,'Inputs Yr 2'!$AM231,IF('Inputs Yr 2'!$AN231=BL$4,'Inputs Yr 2'!$AO231,0))))*(INDEX(avoidedcosttbl2,$H231,BU$2)+(($H231-ROUNDDOWN($H231,0))*(INDEX(avoidedcosttbl2,ROUNDUP($H231,0),BU$2)-(INDEX(avoidedcosttbl2,ROUNDDOWN($H231,0),BU$2)))))*'Inputs Yr 2'!P231*'Inputs Yr 2'!Q231*'Inputs Yr 2'!U231,"")</f>
        <v>0</v>
      </c>
      <c r="BV231" s="775">
        <f>IFERROR(($G231*IF('Inputs Yr 2'!$AJ231=BJ$4,'Inputs Yr 2'!$AK231,IF('Inputs Yr 2'!$AL231=BJ$4,'Inputs Yr 2'!$AM231,IF('Inputs Yr 2'!$AN231=BJ$4,'Inputs Yr 2'!$AO231,0))))*(INDEX(avoidedcosttbl2,$H231,BV$2)+(($H231-ROUNDDOWN($H231,0))*(INDEX(avoidedcosttbl2,ROUNDUP($H231,0),BV$2)-(INDEX(avoidedcosttbl2,ROUNDDOWN($H231,0),BV$2)))))*'Inputs Yr 2'!P231*'Inputs Yr 2'!Q231*'Inputs Yr 2'!U231,"")</f>
        <v>0</v>
      </c>
      <c r="BW231" s="197">
        <f>IFERROR(($G231*IF('Inputs Yr 2'!$AJ231=BN$4,'Inputs Yr 2'!$AK231,IF('Inputs Yr 2'!$AL231=BN$4,'Inputs Yr 2'!$AM231,IF('Inputs Yr 2'!$AN231=BN$4,'Inputs Yr 2'!$AO231,0))))*(INDEX(avoidedcosttbl2,$H231,BW$2)+(($H231-ROUNDDOWN($H231,0))*(INDEX(avoidedcosttbl2,ROUNDUP($H231,0),BW$2)-(INDEX(avoidedcosttbl2,ROUNDDOWN($H231,0),BW$2)))))*'Inputs Yr 2'!P231*'Inputs Yr 2'!Q231*'Inputs Yr 2'!U231,"")</f>
        <v>4111.6617556538959</v>
      </c>
      <c r="BX231" s="197">
        <f>IFERROR(($G231*IF('Inputs Yr 2'!$AJ231=BO$4,'Inputs Yr 2'!$AK231,IF('Inputs Yr 2'!$AL231=BO$4,'Inputs Yr 2'!$AM231,IF('Inputs Yr 2'!$AN231=BO$4,'Inputs Yr 2'!$AO231,0))))*(INDEX(avoidedcosttbl2,$H231,BX$2)+(($H231-ROUNDDOWN($H231,0))*(INDEX(avoidedcosttbl2,ROUNDUP($H231,0),BX$2)-(INDEX(avoidedcosttbl2,ROUNDDOWN($H231,0),BX$2)))))*'Inputs Yr 2'!P231*'Inputs Yr 2'!Q231*'Inputs Yr 2'!U231,"")</f>
        <v>0</v>
      </c>
      <c r="BY231" s="197">
        <f>IFERROR(($G231*IF('Inputs Yr 2'!$AJ231=BP$4,'Inputs Yr 2'!$AK231,IF('Inputs Yr 2'!$AL231=BP$4,'Inputs Yr 2'!$AM231,IF('Inputs Yr 2'!$AN231=BP$4,'Inputs Yr 2'!$AO231,0))))*(INDEX(avoidedcosttbl2,$H231,BY$2)+(($H231-ROUNDDOWN($H231,0))*(INDEX(avoidedcosttbl2,ROUNDUP($H231,0),BY$2)-(INDEX(avoidedcosttbl2,ROUNDDOWN($H231,0),BY$2)))))*'Inputs Yr 2'!P231*'Inputs Yr 2'!Q231*'Inputs Yr 2'!U231,"")</f>
        <v>0</v>
      </c>
      <c r="BZ231" s="193">
        <f t="shared" si="129"/>
        <v>5014.2646834705938</v>
      </c>
      <c r="CA231" s="193">
        <f t="shared" si="130"/>
        <v>51257.257000216297</v>
      </c>
      <c r="CB231" s="195">
        <f>IFERROR(G231*(IF('Inputs Yr 2'!$AJ231=CB$4,'Inputs Yr 2'!$AK231,IF('Inputs Yr 2'!$AL231=CB$4,'Inputs Yr 2'!$AM231,IF('Inputs Yr 2'!$AN231=CB$4,'Inputs Yr 2'!$AO231,0))))*(INDEX(avoidedcosttbl2,$H231,CB$2)+(($H231-ROUNDDOWN($H231,0))*(INDEX(avoidedcosttbl2,ROUNDUP($H231,0),CB$2)-(INDEX(avoidedcosttbl2,ROUNDDOWN($H231,0),CB$2)))))*'Inputs Yr 2'!P231*'Inputs Yr 2'!Q231*'Inputs Yr 2'!U231,"")</f>
        <v>0</v>
      </c>
      <c r="CC231" s="195">
        <f>IFERROR(H231*(IF('Inputs Yr 2'!$AJ231=CC$4,'Inputs Yr 2'!$AK231,IF('Inputs Yr 2'!$AL231=CC$4,'Inputs Yr 2'!$AM231,IF('Inputs Yr 2'!$AN231=CC$4,'Inputs Yr 2'!$AO231,0))))*(INDEX(avoidedcosttbl2,$H231,CC$2)+(($H231-ROUNDDOWN($H231,0))*(INDEX(avoidedcosttbl2,ROUNDUP($H231,0),CC$2)-(INDEX(avoidedcosttbl2,ROUNDDOWN($H231,0),CC$2)))))*'Inputs Yr 2'!Q231*'Inputs Yr 2'!R231*'Inputs Yr 2'!V231,"")</f>
        <v>0</v>
      </c>
      <c r="CD231" s="195">
        <f>IFERROR(I231*(IF('Inputs Yr 2'!$AJ231=CD$4,'Inputs Yr 2'!$AK231,IF('Inputs Yr 2'!$AL231=CD$4,'Inputs Yr 2'!$AM231,IF('Inputs Yr 2'!$AN231=CD$4,'Inputs Yr 2'!$AO231,0))))*(INDEX(avoidedcosttbl2,$H231,CD$2)+(($H231-ROUNDDOWN($H231,0))*(INDEX(avoidedcosttbl2,ROUNDUP($H231,0),CD$2)-(INDEX(avoidedcosttbl2,ROUNDDOWN($H231,0),CD$2)))))*'Inputs Yr 2'!R231*'Inputs Yr 2'!S231*'Inputs Yr 2'!W231,"")</f>
        <v>0</v>
      </c>
      <c r="CE231" s="213">
        <f t="shared" si="131"/>
        <v>0</v>
      </c>
      <c r="CF231" s="213">
        <f t="shared" si="132"/>
        <v>0</v>
      </c>
      <c r="CG231" s="213">
        <f t="shared" si="133"/>
        <v>0</v>
      </c>
      <c r="CH231" s="698">
        <f t="shared" si="134"/>
        <v>51257.257000216297</v>
      </c>
      <c r="CI231" s="79">
        <f>IFERROR(($G231*'Inputs Yr 2'!$P231*'Inputs Yr 2'!$Q231*(((INDEX(avoidedcosttbl2,$H231,CI$2)+(($H231-ROUNDDOWN($H231,0))*(INDEX(avoidedcosttbl2,ROUNDUP($H231,0),CI$2)-INDEX(avoidedcosttbl2,ROUNDDOWN($H231,0),CI$2))))*'Inputs Yr 2'!AS231))),"")</f>
        <v>0</v>
      </c>
      <c r="CJ231" s="504">
        <f>IFERROR($G231*'Inputs Yr 2'!AT231*'Inputs Yr 2'!$P231*'Inputs Yr 2'!$Q231/((1+realdiscrt1)^-0.5),"")</f>
        <v>0</v>
      </c>
      <c r="CK231" s="79">
        <f>IFERROR((O231*1000*(((INDEX(avoidedcosttbl2,$H231,CK$2)+(($H231-ROUNDDOWN($H231,0))*(INDEX(avoidedcosttbl2,ROUNDUP($H231,0),CK$2)-INDEX(avoidedcosttbl2,ROUNDDOWN($H231,0),CK$2))))*'Inputs Yr 2'!AU231))),"")</f>
        <v>0</v>
      </c>
      <c r="CL231" s="504">
        <f>IFERROR(O231*1000*'Inputs Yr 2'!AV231/((1+realdiscrt1)^-0.5),"")</f>
        <v>0</v>
      </c>
      <c r="CM231" s="79">
        <f>IFERROR((AB231*'Inputs Yr 2'!AW231*(((INDEX(avoidedcosttbl2,$H231,CM$2)+(($H231-ROUNDDOWN($H231,0))*(INDEX(avoidedcosttbl2,ROUNDUP($H231,0),CM$2)-INDEX(avoidedcosttbl2,ROUNDDOWN($H231,0),CM$2)))))))*10,"")</f>
        <v>0</v>
      </c>
      <c r="CN231" s="504">
        <f>IFERROR(10*AB231*'Inputs Yr 2'!AX231/((1+realdiscrt1)^-0.5),"")</f>
        <v>0</v>
      </c>
      <c r="CO231" s="505">
        <f t="shared" si="135"/>
        <v>0</v>
      </c>
      <c r="CP231" s="230">
        <f t="shared" si="136"/>
        <v>51257.257000216297</v>
      </c>
      <c r="CQ231" s="199">
        <f>ROUND(IFERROR(IF(LEFT($A231,1)="C",'Avoided Costs'!$K$13,'Avoided Costs'!$K$12)+1,""),4)</f>
        <v>1.0720000000000001</v>
      </c>
      <c r="CR231" s="199">
        <f>ROUND(IFERROR(IF(LEFT($A231,1)="C",'Avoided Costs'!$L$13,'Avoided Costs'!$L$12)+1,""),4)</f>
        <v>1.04</v>
      </c>
      <c r="CS231" s="199">
        <f>ROUND(IFERROR(IF(LEFT($A231,1)="C",'Avoided Costs'!$M$13,'Avoided Costs'!$M$12)+1,""),4)</f>
        <v>1.0720000000000001</v>
      </c>
      <c r="CT231" s="199">
        <f>ROUND(IFERROR(IF(LEFT($A231,1)="C",'Avoided Costs'!$N$13,'Avoided Costs'!$N$12)+1,""),4)</f>
        <v>1.04</v>
      </c>
      <c r="CU231" s="199">
        <f>ROUND(IFERROR(IF(LEFT($A231,1)="C",'Avoided Costs'!$O$13,'Avoided Costs'!$O$12)+1,""),4)</f>
        <v>1.1120000000000001</v>
      </c>
      <c r="CV231" s="199">
        <f>ROUND(IFERROR(IF(LEFT($A231,1)="C",'Avoided Costs'!$P$13,'Avoided Costs'!$P$12)+1,""),4)</f>
        <v>1.095</v>
      </c>
      <c r="CW231" s="199">
        <f>ROUND(IFERROR(IF(LEFT($A231,1)="C",'Avoided Costs'!$Q$13,'Avoided Costs'!$Q$12)+1,""),4)</f>
        <v>1.1120000000000001</v>
      </c>
      <c r="CX231" s="200">
        <f>ROUND(IFERROR(IF(LEFT($A231,1)="C",'Avoided Costs'!$R$13,'Avoided Costs'!$R$12)+1,""),4)</f>
        <v>1.1120000000000001</v>
      </c>
    </row>
    <row r="232" spans="1:102" ht="12.75" customHeight="1">
      <c r="A232" s="91" t="str">
        <f>IF('Inputs Yr 2'!$B232=0,"",'Inputs Yr 2'!A232)</f>
        <v>C - Commercial &amp; Industrial</v>
      </c>
      <c r="B232" s="91" t="str">
        <f>IF('Inputs Yr 2'!$B232=0,"",'Inputs Yr 2'!B232)</f>
        <v>C1 - C&amp;I New Construction</v>
      </c>
      <c r="C232" s="91" t="str">
        <f>IF('Inputs Yr 2'!$B232=0,"",'Inputs Yr 2'!C232)</f>
        <v xml:space="preserve">C1b - C&amp;I Initial Purchase &amp; End of Useful Life </v>
      </c>
      <c r="D232" s="91" t="str">
        <f>IF('Inputs Yr 2'!$B232=0,"",'Inputs Yr 2'!E232)</f>
        <v>Volume Water Heater 0.92 TE - Upstream</v>
      </c>
      <c r="E232" s="93" t="str">
        <f>IF('Inputs Yr 2'!$B232=0,"",'Inputs Yr 2'!F232)</f>
        <v>G16C1b39</v>
      </c>
      <c r="F232" s="93" t="str">
        <f>IF('Inputs Yr 2'!$B232=0,"",'Inputs Yr 2'!G232)</f>
        <v>Hot Water</v>
      </c>
      <c r="G232" s="95">
        <f>IF('Inputs Yr 2'!$H232&lt;&gt;0,('Inputs Yr 2'!H232),"")</f>
        <v>87316</v>
      </c>
      <c r="H232" s="94">
        <f>IFERROR('Inputs Yr 2'!I232,"")</f>
        <v>15</v>
      </c>
      <c r="I232" s="298">
        <f>IFERROR('Inputs Yr 2'!J232*'Inputs Yr 2'!P232*G232,"")</f>
        <v>590954.68800000008</v>
      </c>
      <c r="J232" s="298">
        <f>IFERROR('Inputs Yr 2'!K232*G232,"")</f>
        <v>581524.56000000006</v>
      </c>
      <c r="K232" s="298">
        <f t="shared" si="113"/>
        <v>9430.1280000000261</v>
      </c>
      <c r="L232" s="194">
        <f>IFERROR(('Inputs Yr 2'!W232*G232)/1000,"")</f>
        <v>0</v>
      </c>
      <c r="M232" s="194">
        <f>IFERROR(L232*('Inputs Yr 2'!$Q232*'Inputs Yr 2'!$V232*'Inputs Yr 2'!$R232),"")</f>
        <v>0</v>
      </c>
      <c r="N232" s="194">
        <f t="shared" si="114"/>
        <v>0</v>
      </c>
      <c r="O232" s="194">
        <f>IFERROR(M232*'Inputs Yr 2'!P232,"")</f>
        <v>0</v>
      </c>
      <c r="P232" s="194">
        <f t="shared" si="115"/>
        <v>0</v>
      </c>
      <c r="Q232" s="194">
        <f>IFERROR($P232*'Inputs Yr 2'!AA232,"")</f>
        <v>0</v>
      </c>
      <c r="R232" s="194">
        <f>IFERROR($P232*'Inputs Yr 2'!AB232,"")</f>
        <v>0</v>
      </c>
      <c r="S232" s="194">
        <f>IFERROR($P232*'Inputs Yr 2'!AC232,"")</f>
        <v>0</v>
      </c>
      <c r="T232" s="194">
        <f>IFERROR($P232*'Inputs Yr 2'!AD232,"")</f>
        <v>0</v>
      </c>
      <c r="U232" s="194">
        <f>IFERROR(G232*'Inputs Yr 2'!$AE232*'Inputs Yr 2'!$P232*'Inputs Yr 2'!$Q232,"")</f>
        <v>0</v>
      </c>
      <c r="V232" s="194">
        <f>IFERROR($G232*'Inputs Yr 2'!$AE232*'Inputs Yr 2'!$AG232*'Inputs Yr 2'!Q232*'Inputs Yr 2'!$S232,"")</f>
        <v>0</v>
      </c>
      <c r="W232" s="194">
        <f>IFERROR($G232*'Inputs Yr 2'!$AE232*'Inputs Yr 2'!$AG232*'Inputs Yr 2'!P232*'Inputs Yr 2'!Q232*'Inputs Yr 2'!$S232,"")</f>
        <v>0</v>
      </c>
      <c r="X232" s="194">
        <f>IFERROR($G232*'Inputs Yr 2'!$AE232*'Inputs Yr 2'!$AF232*'Inputs Yr 2'!Q232*'Inputs Yr 2'!$T232,"")</f>
        <v>0</v>
      </c>
      <c r="Y232" s="194">
        <f>IFERROR($G232*'Inputs Yr 2'!$AE232*'Inputs Yr 2'!$AF232*'Inputs Yr 2'!P232*'Inputs Yr 2'!Q232*'Inputs Yr 2'!$T232,"")</f>
        <v>0</v>
      </c>
      <c r="Z232" s="257">
        <f>IFERROR($G232*'Inputs Yr 2'!$Q232*'Inputs Yr 2'!$U232*(IF(IFERROR(SEARCH("NG", 'Inputs Yr 2'!$AJ232),0),'Inputs Yr 2'!$AK232,0)+IF(IFERROR(SEARCH("NG", 'Inputs Yr 2'!$AL232),0),'Inputs Yr 2'!$AM232,0)+IF(IFERROR(SEARCH("NG", 'Inputs Yr 2'!$AN232),0),'Inputs Yr 2'!$AO232,0)),0)</f>
        <v>40759.108914300472</v>
      </c>
      <c r="AA232" s="257">
        <f t="shared" si="116"/>
        <v>611386.6337145071</v>
      </c>
      <c r="AB232" s="257">
        <f>IFERROR(Z232*'Inputs Yr 2'!$P232,0)</f>
        <v>34482.206141498202</v>
      </c>
      <c r="AC232" s="257">
        <f t="shared" si="117"/>
        <v>517233.09212247306</v>
      </c>
      <c r="AD232" s="257">
        <f>IFERROR($G232*'Inputs Yr 2'!$Q232*'Inputs Yr 2'!$U232*(IF(IFERROR(SEARCH("Oil", 'Inputs Yr 2'!$AJ232), 0),'Inputs Yr 2'!$AK232,0)+IF(IFERROR(SEARCH("Oil", 'Inputs Yr 2'!$AL232), 0),'Inputs Yr 2'!$AM232,0)+IF(IFERROR(SEARCH("Oil", 'Inputs Yr 2'!$AN232), 0),'Inputs Yr 2'!$AO232,0)),0)</f>
        <v>0</v>
      </c>
      <c r="AE232" s="257">
        <f t="shared" si="118"/>
        <v>0</v>
      </c>
      <c r="AF232" s="257">
        <f>IFERROR(AD232*'Inputs Yr 2'!$P232,0)</f>
        <v>0</v>
      </c>
      <c r="AG232" s="257">
        <f t="shared" si="119"/>
        <v>0</v>
      </c>
      <c r="AH232" s="257">
        <f>IFERROR($G232*'Inputs Yr 2'!$Q232*'Inputs Yr 2'!$U232*(IF('Inputs Yr 2'!$AJ232=CD$4,'Inputs Yr 2'!$AK232,IF('Inputs Yr 2'!$AL232=CD$4,'Inputs Yr 2'!$AM232,IF('Inputs Yr 2'!$AN232=CD$4,'Inputs Yr 2'!$AO232,0)))),0)</f>
        <v>0</v>
      </c>
      <c r="AI232" s="257">
        <f t="shared" si="120"/>
        <v>0</v>
      </c>
      <c r="AJ232" s="257">
        <f>IFERROR(AH232*'Inputs Yr 2'!$P232,0)</f>
        <v>0</v>
      </c>
      <c r="AK232" s="257">
        <f t="shared" si="121"/>
        <v>0</v>
      </c>
      <c r="AL232" s="258">
        <f>IFERROR($G232*'Inputs Yr 2'!$P232*'Inputs Yr 2'!$Q232*'Inputs Yr 2'!AP232,0)</f>
        <v>0</v>
      </c>
      <c r="AM232" s="260">
        <f>IFERROR($G232*'Inputs Yr 2'!$P232*'Inputs Yr 2'!$Q232*'Inputs Yr 2'!AQ232,0)</f>
        <v>0</v>
      </c>
      <c r="AN232" s="258">
        <f>IFERROR($G232*'Inputs Yr 2'!$P232*'Inputs Yr 2'!$Q232*'Inputs Yr 2'!AR232,0)</f>
        <v>0</v>
      </c>
      <c r="AO232" s="257">
        <f t="shared" si="122"/>
        <v>0</v>
      </c>
      <c r="AP232" s="195">
        <f>IFERROR($CQ232*(INDEX(avoidedcosttbl2,$H232,AP$2)+(($H232-ROUNDDOWN($H232,0))*(INDEX(avoidedcosttbl2,ROUNDUP($H232,0),AP$2)-(INDEX(avoidedcosttbl2,ROUNDDOWN($H232,0),AP$2)))))*$O232*1000*'Inputs Yr 2'!AA232,"")</f>
        <v>0</v>
      </c>
      <c r="AQ232" s="195">
        <f>IFERROR($CR232*(INDEX(avoidedcosttbl2,$H232,AQ$2)+(($H232-ROUNDDOWN($H232,0))*(INDEX(avoidedcosttbl2,ROUNDUP($H232,0),AQ$2)-(INDEX(avoidedcosttbl2,ROUNDDOWN($H232,0),AQ$2)))))*$O232*1000*'Inputs Yr 2'!AB232,"")</f>
        <v>0</v>
      </c>
      <c r="AR232" s="195">
        <f>IFERROR($CS232*(INDEX(avoidedcosttbl2,$H232,AR$2)+(($H232-ROUNDDOWN($H232,0))*(INDEX(avoidedcosttbl2,ROUNDUP($H232,0),AR$2)-(INDEX(avoidedcosttbl2,ROUNDDOWN($H232,0),AR$2)))))*$O232*1000*'Inputs Yr 2'!AC232,"")</f>
        <v>0</v>
      </c>
      <c r="AS232" s="195">
        <f>IFERROR($CT232*(INDEX(avoidedcosttbl2,$H232,AS$2)+(($H232-ROUNDDOWN($H232,0))*(INDEX(avoidedcosttbl2,ROUNDUP($H232,0),AS$2)-(INDEX(avoidedcosttbl2,ROUNDDOWN($H232,0),AS$2)))))*$O232*1000*'Inputs Yr 2'!AD232,"")</f>
        <v>0</v>
      </c>
      <c r="AT232" s="196">
        <f t="shared" si="123"/>
        <v>0</v>
      </c>
      <c r="AU232" s="197">
        <f>IFERROR($CQ232*((INDEX(avoidedcosttbl2,$H232,AU$2))+(($H232-ROUNDDOWN($H232,0))*((INDEX(avoidedcosttbl2,ROUNDUP($H232,0),AU$2))-(INDEX(avoidedcosttbl2,ROUNDDOWN($H232,0),AU$2)))))*$O232*1000*'Inputs Yr 2'!AA232,"")</f>
        <v>0</v>
      </c>
      <c r="AV232" s="197">
        <f>IFERROR($CR232*((INDEX(avoidedcosttbl2,$H232,AV$2))+(($H232-ROUNDDOWN($H232,0))*((INDEX(avoidedcosttbl2,ROUNDUP($H232,0),AV$2))-(INDEX(avoidedcosttbl2,ROUNDDOWN($H232,0),AV$2)))))*$O232*1000*'Inputs Yr 2'!AB232,"")</f>
        <v>0</v>
      </c>
      <c r="AW232" s="197">
        <f>IFERROR($CS232*((INDEX(avoidedcosttbl2,$H232,AW$2))+(($H232-ROUNDDOWN($H232,0))*((INDEX(avoidedcosttbl2,ROUNDUP($H232,0),AW$2))-(INDEX(avoidedcosttbl2,ROUNDDOWN($H232,0),AW$2)))))*$O232*1000*'Inputs Yr 2'!AC232,"")</f>
        <v>0</v>
      </c>
      <c r="AX232" s="197">
        <f>IFERROR($CT232*((INDEX(avoidedcosttbl2,$H232,AX$2))+(($H232-ROUNDDOWN($H232,0))*((INDEX(avoidedcosttbl2,ROUNDUP($H232,0),AX$2))-(INDEX(avoidedcosttbl2,ROUNDDOWN($H232,0),AX$2)))))*$O232*1000*'Inputs Yr 2'!AD232,"")</f>
        <v>0</v>
      </c>
      <c r="AY232" s="197">
        <f>IFERROR(((INDEX(avoidedcosttbl2,$H232,AY$2))+(($H232-ROUNDDOWN($H232,0))*((INDEX(avoidedcosttbl2,ROUNDUP($H232,0),AY$2))-(INDEX(avoidedcosttbl2,ROUNDDOWN($H232,0),AY$2)))))*$O232*1000*('Inputs Yr 2'!AC232+'Inputs Yr 2'!AD232),"")</f>
        <v>0</v>
      </c>
      <c r="AZ232" s="197">
        <f>IFERROR(((INDEX(avoidedcosttbl2,$H232,AZ$2))+(($H232-ROUNDDOWN($H232,0))*((INDEX(avoidedcosttbl2,ROUNDUP($H232,0),AZ$2))-(INDEX(avoidedcosttbl2,ROUNDDOWN($H232,0),AZ$2)))))*$O232*1000*('Inputs Yr 2'!AA232+'Inputs Yr 2'!AB232),"")</f>
        <v>0</v>
      </c>
      <c r="BA232" s="198">
        <f t="shared" si="124"/>
        <v>0</v>
      </c>
      <c r="BB232" s="198">
        <f t="shared" si="125"/>
        <v>0</v>
      </c>
      <c r="BC232" s="195">
        <f t="shared" si="107"/>
        <v>0</v>
      </c>
      <c r="BD232" s="195">
        <f t="shared" si="108"/>
        <v>0</v>
      </c>
      <c r="BE232" s="195">
        <f t="shared" si="109"/>
        <v>0</v>
      </c>
      <c r="BF232" s="195">
        <f t="shared" si="110"/>
        <v>0</v>
      </c>
      <c r="BG232" s="195">
        <f t="shared" si="111"/>
        <v>0</v>
      </c>
      <c r="BH232" s="196">
        <f t="shared" si="126"/>
        <v>0</v>
      </c>
      <c r="BI232" s="196">
        <f t="shared" si="127"/>
        <v>0</v>
      </c>
      <c r="BJ232" s="195">
        <f>IFERROR($G232*(IF('Inputs Yr 2'!$AJ232=BJ$4,'Inputs Yr 2'!$AK232,IF('Inputs Yr 2'!$AL232=BJ$4,'Inputs Yr 2'!$AM232,IF('Inputs Yr 2'!$AN232=BJ$4,'Inputs Yr 2'!$AO232,0))))*(INDEX(avoidedcosttbl2,$H232,BJ$2)+(($H232-ROUNDDOWN($H232,0))*(INDEX(avoidedcosttbl2,ROUNDUP($H232,0),BJ$2)-(INDEX(avoidedcosttbl2,ROUNDDOWN($H232,0),BJ$2)))))*'Inputs Yr 2'!P232*'Inputs Yr 2'!Q232*'Inputs Yr 2'!U232,"")</f>
        <v>0</v>
      </c>
      <c r="BK232" s="195">
        <f>IFERROR($G232*(IF('Inputs Yr 2'!$AJ232=BK$4,'Inputs Yr 2'!$AK232,IF('Inputs Yr 2'!$AL232=BK$4,'Inputs Yr 2'!$AM232,IF('Inputs Yr 2'!$AN232=BK$4,'Inputs Yr 2'!$AO232,0))))*(INDEX(avoidedcosttbl2,$H232,BK$2)+(($H232-ROUNDDOWN($H232,0))*(INDEX(avoidedcosttbl2,ROUNDUP($H232,0),BK$2)-(INDEX(avoidedcosttbl2,ROUNDDOWN($H232,0),BK$2)))))*'Inputs Yr 2'!P232*'Inputs Yr 2'!Q232*'Inputs Yr 2'!U232,"")</f>
        <v>0</v>
      </c>
      <c r="BL232" s="195">
        <f>IFERROR($G232*(IF('Inputs Yr 2'!$AJ232=BL$4,'Inputs Yr 2'!$AK232,IF('Inputs Yr 2'!$AL232=BL$4,'Inputs Yr 2'!$AM232,IF('Inputs Yr 2'!$AN232=BL$4,'Inputs Yr 2'!$AO232,0))))*(INDEX(avoidedcosttbl2,$H232,BL$2)+(($H232-ROUNDDOWN($H232,0))*(INDEX(avoidedcosttbl2,ROUNDUP($H232,0),BL$2)-(INDEX(avoidedcosttbl2,ROUNDDOWN($H232,0),BL$2)))))*'Inputs Yr 2'!P232*'Inputs Yr 2'!Q232*'Inputs Yr 2'!U232,"")</f>
        <v>0</v>
      </c>
      <c r="BM232" s="195">
        <f>IFERROR($G232*(IF('Inputs Yr 2'!$AJ232=BM$4,'Inputs Yr 2'!$AK232,IF('Inputs Yr 2'!$AL232=BM$4,'Inputs Yr 2'!$AM232,IF('Inputs Yr 2'!$AN232=BM$4,'Inputs Yr 2'!$AO232,0))))*(INDEX(avoidedcosttbl2,$H232,BM$2)+(($H232-ROUNDDOWN($H232,0))*(INDEX(avoidedcosttbl2,ROUNDUP($H232,0),BM$2)-(INDEX(avoidedcosttbl2,ROUNDDOWN($H232,0),BM$2)))))*'Inputs Yr 2'!P232*'Inputs Yr 2'!Q232*'Inputs Yr 2'!U232,"")</f>
        <v>0</v>
      </c>
      <c r="BN232" s="195">
        <f>IFERROR($G232*(IF('Inputs Yr 2'!$AJ232=BN$4,'Inputs Yr 2'!$AK232,IF('Inputs Yr 2'!$AL232=BN$4,'Inputs Yr 2'!$AM232,IF('Inputs Yr 2'!$AN232=BN$4,'Inputs Yr 2'!$AO232,0))))*(INDEX(avoidedcosttbl2,$H232,BN$2)+(($H232-ROUNDDOWN($H232,0))*(INDEX(avoidedcosttbl2,ROUNDUP($H232,0),BN$2)-(INDEX(avoidedcosttbl2,ROUNDDOWN($H232,0),BN$2)))))*'Inputs Yr 2'!P232*'Inputs Yr 2'!Q232*'Inputs Yr 2'!U232,"")</f>
        <v>3591774.6297578439</v>
      </c>
      <c r="BO232" s="195">
        <f>IFERROR($G232*(IF('Inputs Yr 2'!$AJ232=BO$4,'Inputs Yr 2'!$AK232,IF('Inputs Yr 2'!$AL232=BO$4,'Inputs Yr 2'!$AM232,IF('Inputs Yr 2'!$AN232=BO$4,'Inputs Yr 2'!$AO232,0))))*(INDEX(avoidedcosttbl2,$H232,BO$2)+(($H232-ROUNDDOWN($H232,0))*(INDEX(avoidedcosttbl2,ROUNDUP($H232,0),BO$2)-(INDEX(avoidedcosttbl2,ROUNDDOWN($H232,0),BO$2)))))*'Inputs Yr 2'!P232*'Inputs Yr 2'!Q232*'Inputs Yr 2'!U232,"")</f>
        <v>0</v>
      </c>
      <c r="BP232" s="195">
        <f>IFERROR($G232*(IF('Inputs Yr 2'!$AJ232=BP$4,'Inputs Yr 2'!$AK232,IF('Inputs Yr 2'!$AL232=BP$4,'Inputs Yr 2'!$AM232,IF('Inputs Yr 2'!$AN232=BP$4,'Inputs Yr 2'!$AO232,0))))*(INDEX(avoidedcosttbl2,$H232,BP$2)+(($H232-ROUNDDOWN($H232,0))*(INDEX(avoidedcosttbl2,ROUNDUP($H232,0),BP$2)-(INDEX(avoidedcosttbl2,ROUNDDOWN($H232,0),BP$2)))))*'Inputs Yr 2'!P232*'Inputs Yr 2'!Q232*'Inputs Yr 2'!U232,"")</f>
        <v>0</v>
      </c>
      <c r="BQ232" s="230">
        <f t="shared" si="128"/>
        <v>3591774.6297578439</v>
      </c>
      <c r="BR232" s="197">
        <f t="shared" si="112"/>
        <v>70106.758547784979</v>
      </c>
      <c r="BS232" s="197">
        <f>IFERROR(($G232*IF('Inputs Yr 2'!$AJ232=BM$4,'Inputs Yr 2'!$AK232,IF('Inputs Yr 2'!$AL232=BM$4,'Inputs Yr 2'!$AM232,IF('Inputs Yr 2'!$AN232=BM$4,'Inputs Yr 2'!$AO232,0))))*(INDEX(avoidedcosttbl2,$H232,BS$2)+(($H232-ROUNDDOWN($H232,0))*(INDEX(avoidedcosttbl2,ROUNDUP($H232,0),BS$2)-(INDEX(avoidedcosttbl2,ROUNDDOWN($H232,0),BS$2)))))*'Inputs Yr 2'!P232*'Inputs Yr 2'!Q232*'Inputs Yr 2'!U232,"")</f>
        <v>0</v>
      </c>
      <c r="BT232" s="197">
        <f>IFERROR(($G232*IF('Inputs Yr 2'!$AJ232=BK$4,'Inputs Yr 2'!$AK232,IF('Inputs Yr 2'!$AL232=BK$4,'Inputs Yr 2'!$AM232,IF('Inputs Yr 2'!$AN232=BK$4,'Inputs Yr 2'!$AO232,0))))*(INDEX(avoidedcosttbl2,$H232,BT$2)+(($H232-ROUNDDOWN($H232,0))*(INDEX(avoidedcosttbl2,ROUNDUP($H232,0),BT$2)-(INDEX(avoidedcosttbl2,ROUNDDOWN($H232,0),BT$2)))))*'Inputs Yr 2'!P232*'Inputs Yr 2'!Q232*'Inputs Yr 2'!U232,"")</f>
        <v>0</v>
      </c>
      <c r="BU232" s="197">
        <f>IFERROR(($G232*IF('Inputs Yr 2'!$AJ232=BL$4,'Inputs Yr 2'!$AK232,IF('Inputs Yr 2'!$AL232=BL$4,'Inputs Yr 2'!$AM232,IF('Inputs Yr 2'!$AN232=BL$4,'Inputs Yr 2'!$AO232,0))))*(INDEX(avoidedcosttbl2,$H232,BU$2)+(($H232-ROUNDDOWN($H232,0))*(INDEX(avoidedcosttbl2,ROUNDUP($H232,0),BU$2)-(INDEX(avoidedcosttbl2,ROUNDDOWN($H232,0),BU$2)))))*'Inputs Yr 2'!P232*'Inputs Yr 2'!Q232*'Inputs Yr 2'!U232,"")</f>
        <v>0</v>
      </c>
      <c r="BV232" s="775">
        <f>IFERROR(($G232*IF('Inputs Yr 2'!$AJ232=BJ$4,'Inputs Yr 2'!$AK232,IF('Inputs Yr 2'!$AL232=BJ$4,'Inputs Yr 2'!$AM232,IF('Inputs Yr 2'!$AN232=BJ$4,'Inputs Yr 2'!$AO232,0))))*(INDEX(avoidedcosttbl2,$H232,BV$2)+(($H232-ROUNDDOWN($H232,0))*(INDEX(avoidedcosttbl2,ROUNDUP($H232,0),BV$2)-(INDEX(avoidedcosttbl2,ROUNDDOWN($H232,0),BV$2)))))*'Inputs Yr 2'!P232*'Inputs Yr 2'!Q232*'Inputs Yr 2'!U232,"")</f>
        <v>0</v>
      </c>
      <c r="BW232" s="197">
        <f>IFERROR(($G232*IF('Inputs Yr 2'!$AJ232=BN$4,'Inputs Yr 2'!$AK232,IF('Inputs Yr 2'!$AL232=BN$4,'Inputs Yr 2'!$AM232,IF('Inputs Yr 2'!$AN232=BN$4,'Inputs Yr 2'!$AO232,0))))*(INDEX(avoidedcosttbl2,$H232,BW$2)+(($H232-ROUNDDOWN($H232,0))*(INDEX(avoidedcosttbl2,ROUNDUP($H232,0),BW$2)-(INDEX(avoidedcosttbl2,ROUNDDOWN($H232,0),BW$2)))))*'Inputs Yr 2'!P232*'Inputs Yr 2'!Q232*'Inputs Yr 2'!U232,"")</f>
        <v>319360.00765148044</v>
      </c>
      <c r="BX232" s="197">
        <f>IFERROR(($G232*IF('Inputs Yr 2'!$AJ232=BO$4,'Inputs Yr 2'!$AK232,IF('Inputs Yr 2'!$AL232=BO$4,'Inputs Yr 2'!$AM232,IF('Inputs Yr 2'!$AN232=BO$4,'Inputs Yr 2'!$AO232,0))))*(INDEX(avoidedcosttbl2,$H232,BX$2)+(($H232-ROUNDDOWN($H232,0))*(INDEX(avoidedcosttbl2,ROUNDUP($H232,0),BX$2)-(INDEX(avoidedcosttbl2,ROUNDDOWN($H232,0),BX$2)))))*'Inputs Yr 2'!P232*'Inputs Yr 2'!Q232*'Inputs Yr 2'!U232,"")</f>
        <v>0</v>
      </c>
      <c r="BY232" s="197">
        <f>IFERROR(($G232*IF('Inputs Yr 2'!$AJ232=BP$4,'Inputs Yr 2'!$AK232,IF('Inputs Yr 2'!$AL232=BP$4,'Inputs Yr 2'!$AM232,IF('Inputs Yr 2'!$AN232=BP$4,'Inputs Yr 2'!$AO232,0))))*(INDEX(avoidedcosttbl2,$H232,BY$2)+(($H232-ROUNDDOWN($H232,0))*(INDEX(avoidedcosttbl2,ROUNDUP($H232,0),BY$2)-(INDEX(avoidedcosttbl2,ROUNDDOWN($H232,0),BY$2)))))*'Inputs Yr 2'!P232*'Inputs Yr 2'!Q232*'Inputs Yr 2'!U232,"")</f>
        <v>0</v>
      </c>
      <c r="BZ232" s="193">
        <f t="shared" si="129"/>
        <v>389466.76619926543</v>
      </c>
      <c r="CA232" s="193">
        <f t="shared" si="130"/>
        <v>3981241.3959571095</v>
      </c>
      <c r="CB232" s="195">
        <f>IFERROR(G232*(IF('Inputs Yr 2'!$AJ232=CB$4,'Inputs Yr 2'!$AK232,IF('Inputs Yr 2'!$AL232=CB$4,'Inputs Yr 2'!$AM232,IF('Inputs Yr 2'!$AN232=CB$4,'Inputs Yr 2'!$AO232,0))))*(INDEX(avoidedcosttbl2,$H232,CB$2)+(($H232-ROUNDDOWN($H232,0))*(INDEX(avoidedcosttbl2,ROUNDUP($H232,0),CB$2)-(INDEX(avoidedcosttbl2,ROUNDDOWN($H232,0),CB$2)))))*'Inputs Yr 2'!P232*'Inputs Yr 2'!Q232*'Inputs Yr 2'!U232,"")</f>
        <v>0</v>
      </c>
      <c r="CC232" s="195">
        <f>IFERROR(H232*(IF('Inputs Yr 2'!$AJ232=CC$4,'Inputs Yr 2'!$AK232,IF('Inputs Yr 2'!$AL232=CC$4,'Inputs Yr 2'!$AM232,IF('Inputs Yr 2'!$AN232=CC$4,'Inputs Yr 2'!$AO232,0))))*(INDEX(avoidedcosttbl2,$H232,CC$2)+(($H232-ROUNDDOWN($H232,0))*(INDEX(avoidedcosttbl2,ROUNDUP($H232,0),CC$2)-(INDEX(avoidedcosttbl2,ROUNDDOWN($H232,0),CC$2)))))*'Inputs Yr 2'!Q232*'Inputs Yr 2'!R232*'Inputs Yr 2'!V232,"")</f>
        <v>0</v>
      </c>
      <c r="CD232" s="195">
        <f>IFERROR(I232*(IF('Inputs Yr 2'!$AJ232=CD$4,'Inputs Yr 2'!$AK232,IF('Inputs Yr 2'!$AL232=CD$4,'Inputs Yr 2'!$AM232,IF('Inputs Yr 2'!$AN232=CD$4,'Inputs Yr 2'!$AO232,0))))*(INDEX(avoidedcosttbl2,$H232,CD$2)+(($H232-ROUNDDOWN($H232,0))*(INDEX(avoidedcosttbl2,ROUNDUP($H232,0),CD$2)-(INDEX(avoidedcosttbl2,ROUNDDOWN($H232,0),CD$2)))))*'Inputs Yr 2'!R232*'Inputs Yr 2'!S232*'Inputs Yr 2'!W232,"")</f>
        <v>0</v>
      </c>
      <c r="CE232" s="213">
        <f t="shared" si="131"/>
        <v>0</v>
      </c>
      <c r="CF232" s="213">
        <f t="shared" si="132"/>
        <v>0</v>
      </c>
      <c r="CG232" s="213">
        <f t="shared" si="133"/>
        <v>0</v>
      </c>
      <c r="CH232" s="698">
        <f t="shared" si="134"/>
        <v>3981241.3959571095</v>
      </c>
      <c r="CI232" s="79">
        <f>IFERROR(($G232*'Inputs Yr 2'!$P232*'Inputs Yr 2'!$Q232*(((INDEX(avoidedcosttbl2,$H232,CI$2)+(($H232-ROUNDDOWN($H232,0))*(INDEX(avoidedcosttbl2,ROUNDUP($H232,0),CI$2)-INDEX(avoidedcosttbl2,ROUNDDOWN($H232,0),CI$2))))*'Inputs Yr 2'!AS232))),"")</f>
        <v>0</v>
      </c>
      <c r="CJ232" s="504">
        <f>IFERROR($G232*'Inputs Yr 2'!AT232*'Inputs Yr 2'!$P232*'Inputs Yr 2'!$Q232/((1+realdiscrt1)^-0.5),"")</f>
        <v>0</v>
      </c>
      <c r="CK232" s="79">
        <f>IFERROR((O232*1000*(((INDEX(avoidedcosttbl2,$H232,CK$2)+(($H232-ROUNDDOWN($H232,0))*(INDEX(avoidedcosttbl2,ROUNDUP($H232,0),CK$2)-INDEX(avoidedcosttbl2,ROUNDDOWN($H232,0),CK$2))))*'Inputs Yr 2'!AU232))),"")</f>
        <v>0</v>
      </c>
      <c r="CL232" s="504">
        <f>IFERROR(O232*1000*'Inputs Yr 2'!AV232/((1+realdiscrt1)^-0.5),"")</f>
        <v>0</v>
      </c>
      <c r="CM232" s="79">
        <f>IFERROR((AB232*'Inputs Yr 2'!AW232*(((INDEX(avoidedcosttbl2,$H232,CM$2)+(($H232-ROUNDDOWN($H232,0))*(INDEX(avoidedcosttbl2,ROUNDUP($H232,0),CM$2)-INDEX(avoidedcosttbl2,ROUNDDOWN($H232,0),CM$2)))))))*10,"")</f>
        <v>0</v>
      </c>
      <c r="CN232" s="504">
        <f>IFERROR(10*AB232*'Inputs Yr 2'!AX232/((1+realdiscrt1)^-0.5),"")</f>
        <v>0</v>
      </c>
      <c r="CO232" s="505">
        <f t="shared" si="135"/>
        <v>0</v>
      </c>
      <c r="CP232" s="230">
        <f t="shared" si="136"/>
        <v>3981241.3959571095</v>
      </c>
      <c r="CQ232" s="199">
        <f>ROUND(IFERROR(IF(LEFT($A232,1)="C",'Avoided Costs'!$K$13,'Avoided Costs'!$K$12)+1,""),4)</f>
        <v>1.0720000000000001</v>
      </c>
      <c r="CR232" s="199">
        <f>ROUND(IFERROR(IF(LEFT($A232,1)="C",'Avoided Costs'!$L$13,'Avoided Costs'!$L$12)+1,""),4)</f>
        <v>1.04</v>
      </c>
      <c r="CS232" s="199">
        <f>ROUND(IFERROR(IF(LEFT($A232,1)="C",'Avoided Costs'!$M$13,'Avoided Costs'!$M$12)+1,""),4)</f>
        <v>1.0720000000000001</v>
      </c>
      <c r="CT232" s="199">
        <f>ROUND(IFERROR(IF(LEFT($A232,1)="C",'Avoided Costs'!$N$13,'Avoided Costs'!$N$12)+1,""),4)</f>
        <v>1.04</v>
      </c>
      <c r="CU232" s="199">
        <f>ROUND(IFERROR(IF(LEFT($A232,1)="C",'Avoided Costs'!$O$13,'Avoided Costs'!$O$12)+1,""),4)</f>
        <v>1.1120000000000001</v>
      </c>
      <c r="CV232" s="199">
        <f>ROUND(IFERROR(IF(LEFT($A232,1)="C",'Avoided Costs'!$P$13,'Avoided Costs'!$P$12)+1,""),4)</f>
        <v>1.095</v>
      </c>
      <c r="CW232" s="199">
        <f>ROUND(IFERROR(IF(LEFT($A232,1)="C",'Avoided Costs'!$Q$13,'Avoided Costs'!$Q$12)+1,""),4)</f>
        <v>1.1120000000000001</v>
      </c>
      <c r="CX232" s="200">
        <f>ROUND(IFERROR(IF(LEFT($A232,1)="C",'Avoided Costs'!$R$13,'Avoided Costs'!$R$12)+1,""),4)</f>
        <v>1.1120000000000001</v>
      </c>
    </row>
    <row r="233" spans="1:102" ht="12.75" customHeight="1">
      <c r="A233" s="91" t="str">
        <f>IF('Inputs Yr 2'!$B233=0,"",'Inputs Yr 2'!A233)</f>
        <v>C - Commercial &amp; Industrial</v>
      </c>
      <c r="B233" s="91" t="str">
        <f>IF('Inputs Yr 2'!$B233=0,"",'Inputs Yr 2'!B233)</f>
        <v>C1 - C&amp;I New Construction</v>
      </c>
      <c r="C233" s="91" t="str">
        <f>IF('Inputs Yr 2'!$B233=0,"",'Inputs Yr 2'!C233)</f>
        <v xml:space="preserve">C1b - C&amp;I Initial Purchase &amp; End of Useful Life </v>
      </c>
      <c r="D233" s="91" t="str">
        <f>IF('Inputs Yr 2'!$B233=0,"",'Inputs Yr 2'!E233)</f>
        <v>Combination Oven</v>
      </c>
      <c r="E233" s="93" t="str">
        <f>IF('Inputs Yr 2'!$B233=0,"",'Inputs Yr 2'!F233)</f>
        <v>G16C1b31</v>
      </c>
      <c r="F233" s="93" t="str">
        <f>IF('Inputs Yr 2'!$B233=0,"",'Inputs Yr 2'!G233)</f>
        <v>Food Service</v>
      </c>
      <c r="G233" s="95">
        <f>IF('Inputs Yr 2'!$H233&lt;&gt;0,('Inputs Yr 2'!H233),"")</f>
        <v>4</v>
      </c>
      <c r="H233" s="94">
        <f>IFERROR('Inputs Yr 2'!I233,"")</f>
        <v>12</v>
      </c>
      <c r="I233" s="298">
        <f>IFERROR('Inputs Yr 2'!J233*'Inputs Yr 2'!P233*G233,"")</f>
        <v>4399.2000000000007</v>
      </c>
      <c r="J233" s="298">
        <f>IFERROR('Inputs Yr 2'!K233*G233,"")</f>
        <v>4000</v>
      </c>
      <c r="K233" s="298">
        <f t="shared" si="113"/>
        <v>399.20000000000073</v>
      </c>
      <c r="L233" s="194">
        <f>IFERROR(('Inputs Yr 2'!W233*G233)/1000,"")</f>
        <v>0</v>
      </c>
      <c r="M233" s="194">
        <f>IFERROR(L233*('Inputs Yr 2'!$Q233*'Inputs Yr 2'!$V233*'Inputs Yr 2'!$R233),"")</f>
        <v>0</v>
      </c>
      <c r="N233" s="194">
        <f t="shared" si="114"/>
        <v>0</v>
      </c>
      <c r="O233" s="194">
        <f>IFERROR(M233*'Inputs Yr 2'!P233,"")</f>
        <v>0</v>
      </c>
      <c r="P233" s="194">
        <f t="shared" si="115"/>
        <v>0</v>
      </c>
      <c r="Q233" s="194">
        <f>IFERROR($P233*'Inputs Yr 2'!AA233,"")</f>
        <v>0</v>
      </c>
      <c r="R233" s="194">
        <f>IFERROR($P233*'Inputs Yr 2'!AB233,"")</f>
        <v>0</v>
      </c>
      <c r="S233" s="194">
        <f>IFERROR($P233*'Inputs Yr 2'!AC233,"")</f>
        <v>0</v>
      </c>
      <c r="T233" s="194">
        <f>IFERROR($P233*'Inputs Yr 2'!AD233,"")</f>
        <v>0</v>
      </c>
      <c r="U233" s="194">
        <f>IFERROR(G233*'Inputs Yr 2'!$AE233*'Inputs Yr 2'!$P233*'Inputs Yr 2'!$Q233,"")</f>
        <v>0</v>
      </c>
      <c r="V233" s="194">
        <f>IFERROR($G233*'Inputs Yr 2'!$AE233*'Inputs Yr 2'!$AG233*'Inputs Yr 2'!Q233*'Inputs Yr 2'!$S233,"")</f>
        <v>0</v>
      </c>
      <c r="W233" s="194">
        <f>IFERROR($G233*'Inputs Yr 2'!$AE233*'Inputs Yr 2'!$AG233*'Inputs Yr 2'!P233*'Inputs Yr 2'!Q233*'Inputs Yr 2'!$S233,"")</f>
        <v>0</v>
      </c>
      <c r="X233" s="194">
        <f>IFERROR($G233*'Inputs Yr 2'!$AE233*'Inputs Yr 2'!$AF233*'Inputs Yr 2'!Q233*'Inputs Yr 2'!$T233,"")</f>
        <v>0</v>
      </c>
      <c r="Y233" s="194">
        <f>IFERROR($G233*'Inputs Yr 2'!$AE233*'Inputs Yr 2'!$AF233*'Inputs Yr 2'!P233*'Inputs Yr 2'!Q233*'Inputs Yr 2'!$T233,"")</f>
        <v>0</v>
      </c>
      <c r="Z233" s="257">
        <f>IFERROR($G233*'Inputs Yr 2'!$Q233*'Inputs Yr 2'!$U233*(IF(IFERROR(SEARCH("NG", 'Inputs Yr 2'!$AJ233),0),'Inputs Yr 2'!$AK233,0)+IF(IFERROR(SEARCH("NG", 'Inputs Yr 2'!$AL233),0),'Inputs Yr 2'!$AM233,0)+IF(IFERROR(SEARCH("NG", 'Inputs Yr 2'!$AN233),0),'Inputs Yr 2'!$AO233,0)),0)</f>
        <v>448</v>
      </c>
      <c r="AA233" s="257">
        <f t="shared" si="116"/>
        <v>5376</v>
      </c>
      <c r="AB233" s="257">
        <f>IFERROR(Z233*'Inputs Yr 2'!$P233,0)</f>
        <v>379.00800000000004</v>
      </c>
      <c r="AC233" s="257">
        <f t="shared" si="117"/>
        <v>4548.0960000000005</v>
      </c>
      <c r="AD233" s="257">
        <f>IFERROR($G233*'Inputs Yr 2'!$Q233*'Inputs Yr 2'!$U233*(IF(IFERROR(SEARCH("Oil", 'Inputs Yr 2'!$AJ233), 0),'Inputs Yr 2'!$AK233,0)+IF(IFERROR(SEARCH("Oil", 'Inputs Yr 2'!$AL233), 0),'Inputs Yr 2'!$AM233,0)+IF(IFERROR(SEARCH("Oil", 'Inputs Yr 2'!$AN233), 0),'Inputs Yr 2'!$AO233,0)),0)</f>
        <v>0</v>
      </c>
      <c r="AE233" s="257">
        <f t="shared" si="118"/>
        <v>0</v>
      </c>
      <c r="AF233" s="257">
        <f>IFERROR(AD233*'Inputs Yr 2'!$P233,0)</f>
        <v>0</v>
      </c>
      <c r="AG233" s="257">
        <f t="shared" si="119"/>
        <v>0</v>
      </c>
      <c r="AH233" s="257">
        <f>IFERROR($G233*'Inputs Yr 2'!$Q233*'Inputs Yr 2'!$U233*(IF('Inputs Yr 2'!$AJ233=CD$4,'Inputs Yr 2'!$AK233,IF('Inputs Yr 2'!$AL233=CD$4,'Inputs Yr 2'!$AM233,IF('Inputs Yr 2'!$AN233=CD$4,'Inputs Yr 2'!$AO233,0)))),0)</f>
        <v>0</v>
      </c>
      <c r="AI233" s="257">
        <f t="shared" si="120"/>
        <v>0</v>
      </c>
      <c r="AJ233" s="257">
        <f>IFERROR(AH233*'Inputs Yr 2'!$P233,0)</f>
        <v>0</v>
      </c>
      <c r="AK233" s="257">
        <f t="shared" si="121"/>
        <v>0</v>
      </c>
      <c r="AL233" s="258">
        <f>IFERROR($G233*'Inputs Yr 2'!$P233*'Inputs Yr 2'!$Q233*'Inputs Yr 2'!AP233,0)</f>
        <v>0</v>
      </c>
      <c r="AM233" s="260">
        <f>IFERROR($G233*'Inputs Yr 2'!$P233*'Inputs Yr 2'!$Q233*'Inputs Yr 2'!AQ233,0)</f>
        <v>222328.80000000002</v>
      </c>
      <c r="AN233" s="258">
        <f>IFERROR($G233*'Inputs Yr 2'!$P233*'Inputs Yr 2'!$Q233*'Inputs Yr 2'!AR233,0)</f>
        <v>222328.80000000002</v>
      </c>
      <c r="AO233" s="257">
        <f t="shared" si="122"/>
        <v>2667945.6</v>
      </c>
      <c r="AP233" s="195">
        <f>IFERROR($CQ233*(INDEX(avoidedcosttbl2,$H233,AP$2)+(($H233-ROUNDDOWN($H233,0))*(INDEX(avoidedcosttbl2,ROUNDUP($H233,0),AP$2)-(INDEX(avoidedcosttbl2,ROUNDDOWN($H233,0),AP$2)))))*$O233*1000*'Inputs Yr 2'!AA233,"")</f>
        <v>0</v>
      </c>
      <c r="AQ233" s="195">
        <f>IFERROR($CR233*(INDEX(avoidedcosttbl2,$H233,AQ$2)+(($H233-ROUNDDOWN($H233,0))*(INDEX(avoidedcosttbl2,ROUNDUP($H233,0),AQ$2)-(INDEX(avoidedcosttbl2,ROUNDDOWN($H233,0),AQ$2)))))*$O233*1000*'Inputs Yr 2'!AB233,"")</f>
        <v>0</v>
      </c>
      <c r="AR233" s="195">
        <f>IFERROR($CS233*(INDEX(avoidedcosttbl2,$H233,AR$2)+(($H233-ROUNDDOWN($H233,0))*(INDEX(avoidedcosttbl2,ROUNDUP($H233,0),AR$2)-(INDEX(avoidedcosttbl2,ROUNDDOWN($H233,0),AR$2)))))*$O233*1000*'Inputs Yr 2'!AC233,"")</f>
        <v>0</v>
      </c>
      <c r="AS233" s="195">
        <f>IFERROR($CT233*(INDEX(avoidedcosttbl2,$H233,AS$2)+(($H233-ROUNDDOWN($H233,0))*(INDEX(avoidedcosttbl2,ROUNDUP($H233,0),AS$2)-(INDEX(avoidedcosttbl2,ROUNDDOWN($H233,0),AS$2)))))*$O233*1000*'Inputs Yr 2'!AD233,"")</f>
        <v>0</v>
      </c>
      <c r="AT233" s="196">
        <f t="shared" si="123"/>
        <v>0</v>
      </c>
      <c r="AU233" s="197">
        <f>IFERROR($CQ233*((INDEX(avoidedcosttbl2,$H233,AU$2))+(($H233-ROUNDDOWN($H233,0))*((INDEX(avoidedcosttbl2,ROUNDUP($H233,0),AU$2))-(INDEX(avoidedcosttbl2,ROUNDDOWN($H233,0),AU$2)))))*$O233*1000*'Inputs Yr 2'!AA233,"")</f>
        <v>0</v>
      </c>
      <c r="AV233" s="197">
        <f>IFERROR($CR233*((INDEX(avoidedcosttbl2,$H233,AV$2))+(($H233-ROUNDDOWN($H233,0))*((INDEX(avoidedcosttbl2,ROUNDUP($H233,0),AV$2))-(INDEX(avoidedcosttbl2,ROUNDDOWN($H233,0),AV$2)))))*$O233*1000*'Inputs Yr 2'!AB233,"")</f>
        <v>0</v>
      </c>
      <c r="AW233" s="197">
        <f>IFERROR($CS233*((INDEX(avoidedcosttbl2,$H233,AW$2))+(($H233-ROUNDDOWN($H233,0))*((INDEX(avoidedcosttbl2,ROUNDUP($H233,0),AW$2))-(INDEX(avoidedcosttbl2,ROUNDDOWN($H233,0),AW$2)))))*$O233*1000*'Inputs Yr 2'!AC233,"")</f>
        <v>0</v>
      </c>
      <c r="AX233" s="197">
        <f>IFERROR($CT233*((INDEX(avoidedcosttbl2,$H233,AX$2))+(($H233-ROUNDDOWN($H233,0))*((INDEX(avoidedcosttbl2,ROUNDUP($H233,0),AX$2))-(INDEX(avoidedcosttbl2,ROUNDDOWN($H233,0),AX$2)))))*$O233*1000*'Inputs Yr 2'!AD233,"")</f>
        <v>0</v>
      </c>
      <c r="AY233" s="197">
        <f>IFERROR(((INDEX(avoidedcosttbl2,$H233,AY$2))+(($H233-ROUNDDOWN($H233,0))*((INDEX(avoidedcosttbl2,ROUNDUP($H233,0),AY$2))-(INDEX(avoidedcosttbl2,ROUNDDOWN($H233,0),AY$2)))))*$O233*1000*('Inputs Yr 2'!AC233+'Inputs Yr 2'!AD233),"")</f>
        <v>0</v>
      </c>
      <c r="AZ233" s="197">
        <f>IFERROR(((INDEX(avoidedcosttbl2,$H233,AZ$2))+(($H233-ROUNDDOWN($H233,0))*((INDEX(avoidedcosttbl2,ROUNDUP($H233,0),AZ$2))-(INDEX(avoidedcosttbl2,ROUNDDOWN($H233,0),AZ$2)))))*$O233*1000*('Inputs Yr 2'!AA233+'Inputs Yr 2'!AB233),"")</f>
        <v>0</v>
      </c>
      <c r="BA233" s="198">
        <f t="shared" si="124"/>
        <v>0</v>
      </c>
      <c r="BB233" s="198">
        <f t="shared" si="125"/>
        <v>0</v>
      </c>
      <c r="BC233" s="195">
        <f t="shared" si="107"/>
        <v>0</v>
      </c>
      <c r="BD233" s="195">
        <f t="shared" si="108"/>
        <v>0</v>
      </c>
      <c r="BE233" s="195">
        <f t="shared" si="109"/>
        <v>0</v>
      </c>
      <c r="BF233" s="195">
        <f t="shared" si="110"/>
        <v>0</v>
      </c>
      <c r="BG233" s="195">
        <f t="shared" si="111"/>
        <v>0</v>
      </c>
      <c r="BH233" s="196">
        <f t="shared" si="126"/>
        <v>0</v>
      </c>
      <c r="BI233" s="196">
        <f t="shared" si="127"/>
        <v>0</v>
      </c>
      <c r="BJ233" s="195">
        <f>IFERROR($G233*(IF('Inputs Yr 2'!$AJ233=BJ$4,'Inputs Yr 2'!$AK233,IF('Inputs Yr 2'!$AL233=BJ$4,'Inputs Yr 2'!$AM233,IF('Inputs Yr 2'!$AN233=BJ$4,'Inputs Yr 2'!$AO233,0))))*(INDEX(avoidedcosttbl2,$H233,BJ$2)+(($H233-ROUNDDOWN($H233,0))*(INDEX(avoidedcosttbl2,ROUNDUP($H233,0),BJ$2)-(INDEX(avoidedcosttbl2,ROUNDDOWN($H233,0),BJ$2)))))*'Inputs Yr 2'!P233*'Inputs Yr 2'!Q233*'Inputs Yr 2'!U233,"")</f>
        <v>0</v>
      </c>
      <c r="BK233" s="195">
        <f>IFERROR($G233*(IF('Inputs Yr 2'!$AJ233=BK$4,'Inputs Yr 2'!$AK233,IF('Inputs Yr 2'!$AL233=BK$4,'Inputs Yr 2'!$AM233,IF('Inputs Yr 2'!$AN233=BK$4,'Inputs Yr 2'!$AO233,0))))*(INDEX(avoidedcosttbl2,$H233,BK$2)+(($H233-ROUNDDOWN($H233,0))*(INDEX(avoidedcosttbl2,ROUNDUP($H233,0),BK$2)-(INDEX(avoidedcosttbl2,ROUNDDOWN($H233,0),BK$2)))))*'Inputs Yr 2'!P233*'Inputs Yr 2'!Q233*'Inputs Yr 2'!U233,"")</f>
        <v>0</v>
      </c>
      <c r="BL233" s="195">
        <f>IFERROR($G233*(IF('Inputs Yr 2'!$AJ233=BL$4,'Inputs Yr 2'!$AK233,IF('Inputs Yr 2'!$AL233=BL$4,'Inputs Yr 2'!$AM233,IF('Inputs Yr 2'!$AN233=BL$4,'Inputs Yr 2'!$AO233,0))))*(INDEX(avoidedcosttbl2,$H233,BL$2)+(($H233-ROUNDDOWN($H233,0))*(INDEX(avoidedcosttbl2,ROUNDUP($H233,0),BL$2)-(INDEX(avoidedcosttbl2,ROUNDDOWN($H233,0),BL$2)))))*'Inputs Yr 2'!P233*'Inputs Yr 2'!Q233*'Inputs Yr 2'!U233,"")</f>
        <v>0</v>
      </c>
      <c r="BM233" s="195">
        <f>IFERROR($G233*(IF('Inputs Yr 2'!$AJ233=BM$4,'Inputs Yr 2'!$AK233,IF('Inputs Yr 2'!$AL233=BM$4,'Inputs Yr 2'!$AM233,IF('Inputs Yr 2'!$AN233=BM$4,'Inputs Yr 2'!$AO233,0))))*(INDEX(avoidedcosttbl2,$H233,BM$2)+(($H233-ROUNDDOWN($H233,0))*(INDEX(avoidedcosttbl2,ROUNDUP($H233,0),BM$2)-(INDEX(avoidedcosttbl2,ROUNDDOWN($H233,0),BM$2)))))*'Inputs Yr 2'!P233*'Inputs Yr 2'!Q233*'Inputs Yr 2'!U233,"")</f>
        <v>0</v>
      </c>
      <c r="BN233" s="195">
        <f>IFERROR($G233*(IF('Inputs Yr 2'!$AJ233=BN$4,'Inputs Yr 2'!$AK233,IF('Inputs Yr 2'!$AL233=BN$4,'Inputs Yr 2'!$AM233,IF('Inputs Yr 2'!$AN233=BN$4,'Inputs Yr 2'!$AO233,0))))*(INDEX(avoidedcosttbl2,$H233,BN$2)+(($H233-ROUNDDOWN($H233,0))*(INDEX(avoidedcosttbl2,ROUNDUP($H233,0),BN$2)-(INDEX(avoidedcosttbl2,ROUNDDOWN($H233,0),BN$2)))))*'Inputs Yr 2'!P233*'Inputs Yr 2'!Q233*'Inputs Yr 2'!U233,"")</f>
        <v>0</v>
      </c>
      <c r="BO233" s="195">
        <f>IFERROR($G233*(IF('Inputs Yr 2'!$AJ233=BO$4,'Inputs Yr 2'!$AK233,IF('Inputs Yr 2'!$AL233=BO$4,'Inputs Yr 2'!$AM233,IF('Inputs Yr 2'!$AN233=BO$4,'Inputs Yr 2'!$AO233,0))))*(INDEX(avoidedcosttbl2,$H233,BO$2)+(($H233-ROUNDDOWN($H233,0))*(INDEX(avoidedcosttbl2,ROUNDUP($H233,0),BO$2)-(INDEX(avoidedcosttbl2,ROUNDDOWN($H233,0),BO$2)))))*'Inputs Yr 2'!P233*'Inputs Yr 2'!Q233*'Inputs Yr 2'!U233,"")</f>
        <v>0</v>
      </c>
      <c r="BP233" s="195">
        <f>IFERROR($G233*(IF('Inputs Yr 2'!$AJ233=BP$4,'Inputs Yr 2'!$AK233,IF('Inputs Yr 2'!$AL233=BP$4,'Inputs Yr 2'!$AM233,IF('Inputs Yr 2'!$AN233=BP$4,'Inputs Yr 2'!$AO233,0))))*(INDEX(avoidedcosttbl2,$H233,BP$2)+(($H233-ROUNDDOWN($H233,0))*(INDEX(avoidedcosttbl2,ROUNDUP($H233,0),BP$2)-(INDEX(avoidedcosttbl2,ROUNDDOWN($H233,0),BP$2)))))*'Inputs Yr 2'!P233*'Inputs Yr 2'!Q233*'Inputs Yr 2'!U233,"")</f>
        <v>33433.781878297828</v>
      </c>
      <c r="BQ233" s="230">
        <f t="shared" si="128"/>
        <v>33433.781878297828</v>
      </c>
      <c r="BR233" s="197">
        <f t="shared" si="112"/>
        <v>620.49032344054581</v>
      </c>
      <c r="BS233" s="197">
        <f>IFERROR(($G233*IF('Inputs Yr 2'!$AJ233=BM$4,'Inputs Yr 2'!$AK233,IF('Inputs Yr 2'!$AL233=BM$4,'Inputs Yr 2'!$AM233,IF('Inputs Yr 2'!$AN233=BM$4,'Inputs Yr 2'!$AO233,0))))*(INDEX(avoidedcosttbl2,$H233,BS$2)+(($H233-ROUNDDOWN($H233,0))*(INDEX(avoidedcosttbl2,ROUNDUP($H233,0),BS$2)-(INDEX(avoidedcosttbl2,ROUNDDOWN($H233,0),BS$2)))))*'Inputs Yr 2'!P233*'Inputs Yr 2'!Q233*'Inputs Yr 2'!U233,"")</f>
        <v>0</v>
      </c>
      <c r="BT233" s="197">
        <f>IFERROR(($G233*IF('Inputs Yr 2'!$AJ233=BK$4,'Inputs Yr 2'!$AK233,IF('Inputs Yr 2'!$AL233=BK$4,'Inputs Yr 2'!$AM233,IF('Inputs Yr 2'!$AN233=BK$4,'Inputs Yr 2'!$AO233,0))))*(INDEX(avoidedcosttbl2,$H233,BT$2)+(($H233-ROUNDDOWN($H233,0))*(INDEX(avoidedcosttbl2,ROUNDUP($H233,0),BT$2)-(INDEX(avoidedcosttbl2,ROUNDDOWN($H233,0),BT$2)))))*'Inputs Yr 2'!P233*'Inputs Yr 2'!Q233*'Inputs Yr 2'!U233,"")</f>
        <v>0</v>
      </c>
      <c r="BU233" s="197">
        <f>IFERROR(($G233*IF('Inputs Yr 2'!$AJ233=BL$4,'Inputs Yr 2'!$AK233,IF('Inputs Yr 2'!$AL233=BL$4,'Inputs Yr 2'!$AM233,IF('Inputs Yr 2'!$AN233=BL$4,'Inputs Yr 2'!$AO233,0))))*(INDEX(avoidedcosttbl2,$H233,BU$2)+(($H233-ROUNDDOWN($H233,0))*(INDEX(avoidedcosttbl2,ROUNDUP($H233,0),BU$2)-(INDEX(avoidedcosttbl2,ROUNDDOWN($H233,0),BU$2)))))*'Inputs Yr 2'!P233*'Inputs Yr 2'!Q233*'Inputs Yr 2'!U233,"")</f>
        <v>0</v>
      </c>
      <c r="BV233" s="775">
        <f>IFERROR(($G233*IF('Inputs Yr 2'!$AJ233=BJ$4,'Inputs Yr 2'!$AK233,IF('Inputs Yr 2'!$AL233=BJ$4,'Inputs Yr 2'!$AM233,IF('Inputs Yr 2'!$AN233=BJ$4,'Inputs Yr 2'!$AO233,0))))*(INDEX(avoidedcosttbl2,$H233,BV$2)+(($H233-ROUNDDOWN($H233,0))*(INDEX(avoidedcosttbl2,ROUNDUP($H233,0),BV$2)-(INDEX(avoidedcosttbl2,ROUNDDOWN($H233,0),BV$2)))))*'Inputs Yr 2'!P233*'Inputs Yr 2'!Q233*'Inputs Yr 2'!U233,"")</f>
        <v>0</v>
      </c>
      <c r="BW233" s="197">
        <f>IFERROR(($G233*IF('Inputs Yr 2'!$AJ233=BN$4,'Inputs Yr 2'!$AK233,IF('Inputs Yr 2'!$AL233=BN$4,'Inputs Yr 2'!$AM233,IF('Inputs Yr 2'!$AN233=BN$4,'Inputs Yr 2'!$AO233,0))))*(INDEX(avoidedcosttbl2,$H233,BW$2)+(($H233-ROUNDDOWN($H233,0))*(INDEX(avoidedcosttbl2,ROUNDUP($H233,0),BW$2)-(INDEX(avoidedcosttbl2,ROUNDDOWN($H233,0),BW$2)))))*'Inputs Yr 2'!P233*'Inputs Yr 2'!Q233*'Inputs Yr 2'!U233,"")</f>
        <v>0</v>
      </c>
      <c r="BX233" s="197">
        <f>IFERROR(($G233*IF('Inputs Yr 2'!$AJ233=BO$4,'Inputs Yr 2'!$AK233,IF('Inputs Yr 2'!$AL233=BO$4,'Inputs Yr 2'!$AM233,IF('Inputs Yr 2'!$AN233=BO$4,'Inputs Yr 2'!$AO233,0))))*(INDEX(avoidedcosttbl2,$H233,BX$2)+(($H233-ROUNDDOWN($H233,0))*(INDEX(avoidedcosttbl2,ROUNDUP($H233,0),BX$2)-(INDEX(avoidedcosttbl2,ROUNDDOWN($H233,0),BX$2)))))*'Inputs Yr 2'!P233*'Inputs Yr 2'!Q233*'Inputs Yr 2'!U233,"")</f>
        <v>0</v>
      </c>
      <c r="BY233" s="197">
        <f>IFERROR(($G233*IF('Inputs Yr 2'!$AJ233=BP$4,'Inputs Yr 2'!$AK233,IF('Inputs Yr 2'!$AL233=BP$4,'Inputs Yr 2'!$AM233,IF('Inputs Yr 2'!$AN233=BP$4,'Inputs Yr 2'!$AO233,0))))*(INDEX(avoidedcosttbl2,$H233,BY$2)+(($H233-ROUNDDOWN($H233,0))*(INDEX(avoidedcosttbl2,ROUNDUP($H233,0),BY$2)-(INDEX(avoidedcosttbl2,ROUNDDOWN($H233,0),BY$2)))))*'Inputs Yr 2'!P233*'Inputs Yr 2'!Q233*'Inputs Yr 2'!U233,"")</f>
        <v>3139.1511300330308</v>
      </c>
      <c r="BZ233" s="193">
        <f t="shared" si="129"/>
        <v>3759.6414534735768</v>
      </c>
      <c r="CA233" s="193">
        <f t="shared" si="130"/>
        <v>37193.423331771402</v>
      </c>
      <c r="CB233" s="195">
        <f>IFERROR(G233*(IF('Inputs Yr 2'!$AJ233=CB$4,'Inputs Yr 2'!$AK233,IF('Inputs Yr 2'!$AL233=CB$4,'Inputs Yr 2'!$AM233,IF('Inputs Yr 2'!$AN233=CB$4,'Inputs Yr 2'!$AO233,0))))*(INDEX(avoidedcosttbl2,$H233,CB$2)+(($H233-ROUNDDOWN($H233,0))*(INDEX(avoidedcosttbl2,ROUNDUP($H233,0),CB$2)-(INDEX(avoidedcosttbl2,ROUNDDOWN($H233,0),CB$2)))))*'Inputs Yr 2'!P233*'Inputs Yr 2'!Q233*'Inputs Yr 2'!U233,"")</f>
        <v>0</v>
      </c>
      <c r="CC233" s="195">
        <f>IFERROR(H233*(IF('Inputs Yr 2'!$AJ233=CC$4,'Inputs Yr 2'!$AK233,IF('Inputs Yr 2'!$AL233=CC$4,'Inputs Yr 2'!$AM233,IF('Inputs Yr 2'!$AN233=CC$4,'Inputs Yr 2'!$AO233,0))))*(INDEX(avoidedcosttbl2,$H233,CC$2)+(($H233-ROUNDDOWN($H233,0))*(INDEX(avoidedcosttbl2,ROUNDUP($H233,0),CC$2)-(INDEX(avoidedcosttbl2,ROUNDDOWN($H233,0),CC$2)))))*'Inputs Yr 2'!Q233*'Inputs Yr 2'!R233*'Inputs Yr 2'!V233,"")</f>
        <v>0</v>
      </c>
      <c r="CD233" s="195">
        <f>IFERROR(I233*(IF('Inputs Yr 2'!$AJ233=CD$4,'Inputs Yr 2'!$AK233,IF('Inputs Yr 2'!$AL233=CD$4,'Inputs Yr 2'!$AM233,IF('Inputs Yr 2'!$AN233=CD$4,'Inputs Yr 2'!$AO233,0))))*(INDEX(avoidedcosttbl2,$H233,CD$2)+(($H233-ROUNDDOWN($H233,0))*(INDEX(avoidedcosttbl2,ROUNDUP($H233,0),CD$2)-(INDEX(avoidedcosttbl2,ROUNDDOWN($H233,0),CD$2)))))*'Inputs Yr 2'!R233*'Inputs Yr 2'!S233*'Inputs Yr 2'!W233,"")</f>
        <v>0</v>
      </c>
      <c r="CE233" s="213">
        <f t="shared" si="131"/>
        <v>0</v>
      </c>
      <c r="CF233" s="213">
        <f t="shared" si="132"/>
        <v>11793.65081716715</v>
      </c>
      <c r="CG233" s="213">
        <f t="shared" si="133"/>
        <v>16360.507794140929</v>
      </c>
      <c r="CH233" s="698">
        <f t="shared" si="134"/>
        <v>65347.58194307948</v>
      </c>
      <c r="CI233" s="79">
        <f>IFERROR(($G233*'Inputs Yr 2'!$P233*'Inputs Yr 2'!$Q233*(((INDEX(avoidedcosttbl2,$H233,CI$2)+(($H233-ROUNDDOWN($H233,0))*(INDEX(avoidedcosttbl2,ROUNDUP($H233,0),CI$2)-INDEX(avoidedcosttbl2,ROUNDDOWN($H233,0),CI$2))))*'Inputs Yr 2'!AS233))),"")</f>
        <v>0</v>
      </c>
      <c r="CJ233" s="504">
        <f>IFERROR($G233*'Inputs Yr 2'!AT233*'Inputs Yr 2'!$P233*'Inputs Yr 2'!$Q233/((1+realdiscrt1)^-0.5),"")</f>
        <v>0</v>
      </c>
      <c r="CK233" s="79">
        <f>IFERROR((O233*1000*(((INDEX(avoidedcosttbl2,$H233,CK$2)+(($H233-ROUNDDOWN($H233,0))*(INDEX(avoidedcosttbl2,ROUNDUP($H233,0),CK$2)-INDEX(avoidedcosttbl2,ROUNDDOWN($H233,0),CK$2))))*'Inputs Yr 2'!AU233))),"")</f>
        <v>0</v>
      </c>
      <c r="CL233" s="504">
        <f>IFERROR(O233*1000*'Inputs Yr 2'!AV233/((1+realdiscrt1)^-0.5),"")</f>
        <v>0</v>
      </c>
      <c r="CM233" s="79">
        <f>IFERROR((AB233*'Inputs Yr 2'!AW233*(((INDEX(avoidedcosttbl2,$H233,CM$2)+(($H233-ROUNDDOWN($H233,0))*(INDEX(avoidedcosttbl2,ROUNDUP($H233,0),CM$2)-INDEX(avoidedcosttbl2,ROUNDDOWN($H233,0),CM$2)))))))*10,"")</f>
        <v>0</v>
      </c>
      <c r="CN233" s="504">
        <f>IFERROR(10*AB233*'Inputs Yr 2'!AX233/((1+realdiscrt1)^-0.5),"")</f>
        <v>0</v>
      </c>
      <c r="CO233" s="505">
        <f t="shared" si="135"/>
        <v>0</v>
      </c>
      <c r="CP233" s="230">
        <f t="shared" si="136"/>
        <v>65347.58194307948</v>
      </c>
      <c r="CQ233" s="199">
        <f>ROUND(IFERROR(IF(LEFT($A233,1)="C",'Avoided Costs'!$K$13,'Avoided Costs'!$K$12)+1,""),4)</f>
        <v>1.0720000000000001</v>
      </c>
      <c r="CR233" s="199">
        <f>ROUND(IFERROR(IF(LEFT($A233,1)="C",'Avoided Costs'!$L$13,'Avoided Costs'!$L$12)+1,""),4)</f>
        <v>1.04</v>
      </c>
      <c r="CS233" s="199">
        <f>ROUND(IFERROR(IF(LEFT($A233,1)="C",'Avoided Costs'!$M$13,'Avoided Costs'!$M$12)+1,""),4)</f>
        <v>1.0720000000000001</v>
      </c>
      <c r="CT233" s="199">
        <f>ROUND(IFERROR(IF(LEFT($A233,1)="C",'Avoided Costs'!$N$13,'Avoided Costs'!$N$12)+1,""),4)</f>
        <v>1.04</v>
      </c>
      <c r="CU233" s="199">
        <f>ROUND(IFERROR(IF(LEFT($A233,1)="C",'Avoided Costs'!$O$13,'Avoided Costs'!$O$12)+1,""),4)</f>
        <v>1.1120000000000001</v>
      </c>
      <c r="CV233" s="199">
        <f>ROUND(IFERROR(IF(LEFT($A233,1)="C",'Avoided Costs'!$P$13,'Avoided Costs'!$P$12)+1,""),4)</f>
        <v>1.095</v>
      </c>
      <c r="CW233" s="199">
        <f>ROUND(IFERROR(IF(LEFT($A233,1)="C",'Avoided Costs'!$Q$13,'Avoided Costs'!$Q$12)+1,""),4)</f>
        <v>1.1120000000000001</v>
      </c>
      <c r="CX233" s="200">
        <f>ROUND(IFERROR(IF(LEFT($A233,1)="C",'Avoided Costs'!$R$13,'Avoided Costs'!$R$12)+1,""),4)</f>
        <v>1.1120000000000001</v>
      </c>
    </row>
    <row r="234" spans="1:102" ht="12.75" customHeight="1">
      <c r="A234" s="91" t="str">
        <f>IF('Inputs Yr 2'!$B234=0,"",'Inputs Yr 2'!A234)</f>
        <v>C - Commercial &amp; Industrial</v>
      </c>
      <c r="B234" s="91" t="str">
        <f>IF('Inputs Yr 2'!$B234=0,"",'Inputs Yr 2'!B234)</f>
        <v>C1 - C&amp;I New Construction</v>
      </c>
      <c r="C234" s="91" t="str">
        <f>IF('Inputs Yr 2'!$B234=0,"",'Inputs Yr 2'!C234)</f>
        <v xml:space="preserve">C1b - C&amp;I Initial Purchase &amp; End of Useful Life </v>
      </c>
      <c r="D234" s="91" t="str">
        <f>IF('Inputs Yr 2'!$B234=0,"",'Inputs Yr 2'!E234)</f>
        <v>Convection Oven</v>
      </c>
      <c r="E234" s="93" t="str">
        <f>IF('Inputs Yr 2'!$B234=0,"",'Inputs Yr 2'!F234)</f>
        <v>G16C1b32</v>
      </c>
      <c r="F234" s="93" t="str">
        <f>IF('Inputs Yr 2'!$B234=0,"",'Inputs Yr 2'!G234)</f>
        <v>Food Service</v>
      </c>
      <c r="G234" s="95">
        <f>IF('Inputs Yr 2'!$H234&lt;&gt;0,('Inputs Yr 2'!H234),"")</f>
        <v>183</v>
      </c>
      <c r="H234" s="94">
        <f>IFERROR('Inputs Yr 2'!I234,"")</f>
        <v>12</v>
      </c>
      <c r="I234" s="298">
        <f>IFERROR('Inputs Yr 2'!J234*'Inputs Yr 2'!P234*G234,"")</f>
        <v>291986.74800000002</v>
      </c>
      <c r="J234" s="298">
        <f>IFERROR('Inputs Yr 2'!K234*G234,"")</f>
        <v>197495.43</v>
      </c>
      <c r="K234" s="298">
        <f t="shared" si="113"/>
        <v>94491.318000000028</v>
      </c>
      <c r="L234" s="194">
        <f>IFERROR(('Inputs Yr 2'!W234*G234)/1000,"")</f>
        <v>0</v>
      </c>
      <c r="M234" s="194">
        <f>IFERROR(L234*('Inputs Yr 2'!$Q234*'Inputs Yr 2'!$V234*'Inputs Yr 2'!$R234),"")</f>
        <v>0</v>
      </c>
      <c r="N234" s="194">
        <f t="shared" si="114"/>
        <v>0</v>
      </c>
      <c r="O234" s="194">
        <f>IFERROR(M234*'Inputs Yr 2'!P234,"")</f>
        <v>0</v>
      </c>
      <c r="P234" s="194">
        <f t="shared" si="115"/>
        <v>0</v>
      </c>
      <c r="Q234" s="194">
        <f>IFERROR($P234*'Inputs Yr 2'!AA234,"")</f>
        <v>0</v>
      </c>
      <c r="R234" s="194">
        <f>IFERROR($P234*'Inputs Yr 2'!AB234,"")</f>
        <v>0</v>
      </c>
      <c r="S234" s="194">
        <f>IFERROR($P234*'Inputs Yr 2'!AC234,"")</f>
        <v>0</v>
      </c>
      <c r="T234" s="194">
        <f>IFERROR($P234*'Inputs Yr 2'!AD234,"")</f>
        <v>0</v>
      </c>
      <c r="U234" s="194">
        <f>IFERROR(G234*'Inputs Yr 2'!$AE234*'Inputs Yr 2'!$P234*'Inputs Yr 2'!$Q234,"")</f>
        <v>0</v>
      </c>
      <c r="V234" s="194">
        <f>IFERROR($G234*'Inputs Yr 2'!$AE234*'Inputs Yr 2'!$AG234*'Inputs Yr 2'!Q234*'Inputs Yr 2'!$S234,"")</f>
        <v>0</v>
      </c>
      <c r="W234" s="194">
        <f>IFERROR($G234*'Inputs Yr 2'!$AE234*'Inputs Yr 2'!$AG234*'Inputs Yr 2'!P234*'Inputs Yr 2'!Q234*'Inputs Yr 2'!$S234,"")</f>
        <v>0</v>
      </c>
      <c r="X234" s="194">
        <f>IFERROR($G234*'Inputs Yr 2'!$AE234*'Inputs Yr 2'!$AF234*'Inputs Yr 2'!Q234*'Inputs Yr 2'!$T234,"")</f>
        <v>0</v>
      </c>
      <c r="Y234" s="194">
        <f>IFERROR($G234*'Inputs Yr 2'!$AE234*'Inputs Yr 2'!$AF234*'Inputs Yr 2'!P234*'Inputs Yr 2'!Q234*'Inputs Yr 2'!$T234,"")</f>
        <v>0</v>
      </c>
      <c r="Z234" s="257">
        <f>IFERROR($G234*'Inputs Yr 2'!$Q234*'Inputs Yr 2'!$U234*(IF(IFERROR(SEARCH("NG", 'Inputs Yr 2'!$AJ234),0),'Inputs Yr 2'!$AK234,0)+IF(IFERROR(SEARCH("NG", 'Inputs Yr 2'!$AL234),0),'Inputs Yr 2'!$AM234,0)+IF(IFERROR(SEARCH("NG", 'Inputs Yr 2'!$AN234),0),'Inputs Yr 2'!$AO234,0)),0)</f>
        <v>2360.7000000000003</v>
      </c>
      <c r="AA234" s="257">
        <f t="shared" si="116"/>
        <v>28328.400000000001</v>
      </c>
      <c r="AB234" s="257">
        <f>IFERROR(Z234*'Inputs Yr 2'!$P234,0)</f>
        <v>1997.1522000000004</v>
      </c>
      <c r="AC234" s="257">
        <f t="shared" si="117"/>
        <v>23965.826400000005</v>
      </c>
      <c r="AD234" s="257">
        <f>IFERROR($G234*'Inputs Yr 2'!$Q234*'Inputs Yr 2'!$U234*(IF(IFERROR(SEARCH("Oil", 'Inputs Yr 2'!$AJ234), 0),'Inputs Yr 2'!$AK234,0)+IF(IFERROR(SEARCH("Oil", 'Inputs Yr 2'!$AL234), 0),'Inputs Yr 2'!$AM234,0)+IF(IFERROR(SEARCH("Oil", 'Inputs Yr 2'!$AN234), 0),'Inputs Yr 2'!$AO234,0)),0)</f>
        <v>0</v>
      </c>
      <c r="AE234" s="257">
        <f t="shared" si="118"/>
        <v>0</v>
      </c>
      <c r="AF234" s="257">
        <f>IFERROR(AD234*'Inputs Yr 2'!$P234,0)</f>
        <v>0</v>
      </c>
      <c r="AG234" s="257">
        <f t="shared" si="119"/>
        <v>0</v>
      </c>
      <c r="AH234" s="257">
        <f>IFERROR($G234*'Inputs Yr 2'!$Q234*'Inputs Yr 2'!$U234*(IF('Inputs Yr 2'!$AJ234=CD$4,'Inputs Yr 2'!$AK234,IF('Inputs Yr 2'!$AL234=CD$4,'Inputs Yr 2'!$AM234,IF('Inputs Yr 2'!$AN234=CD$4,'Inputs Yr 2'!$AO234,0)))),0)</f>
        <v>0</v>
      </c>
      <c r="AI234" s="257">
        <f t="shared" si="120"/>
        <v>0</v>
      </c>
      <c r="AJ234" s="257">
        <f>IFERROR(AH234*'Inputs Yr 2'!$P234,0)</f>
        <v>0</v>
      </c>
      <c r="AK234" s="257">
        <f t="shared" si="121"/>
        <v>0</v>
      </c>
      <c r="AL234" s="258">
        <f>IFERROR($G234*'Inputs Yr 2'!$P234*'Inputs Yr 2'!$Q234*'Inputs Yr 2'!AP234,0)</f>
        <v>0</v>
      </c>
      <c r="AM234" s="260">
        <f>IFERROR($G234*'Inputs Yr 2'!$P234*'Inputs Yr 2'!$Q234*'Inputs Yr 2'!AQ234,0)</f>
        <v>0</v>
      </c>
      <c r="AN234" s="258">
        <f>IFERROR($G234*'Inputs Yr 2'!$P234*'Inputs Yr 2'!$Q234*'Inputs Yr 2'!AR234,0)</f>
        <v>0</v>
      </c>
      <c r="AO234" s="257">
        <f t="shared" si="122"/>
        <v>0</v>
      </c>
      <c r="AP234" s="195">
        <f>IFERROR($CQ234*(INDEX(avoidedcosttbl2,$H234,AP$2)+(($H234-ROUNDDOWN($H234,0))*(INDEX(avoidedcosttbl2,ROUNDUP($H234,0),AP$2)-(INDEX(avoidedcosttbl2,ROUNDDOWN($H234,0),AP$2)))))*$O234*1000*'Inputs Yr 2'!AA234,"")</f>
        <v>0</v>
      </c>
      <c r="AQ234" s="195">
        <f>IFERROR($CR234*(INDEX(avoidedcosttbl2,$H234,AQ$2)+(($H234-ROUNDDOWN($H234,0))*(INDEX(avoidedcosttbl2,ROUNDUP($H234,0),AQ$2)-(INDEX(avoidedcosttbl2,ROUNDDOWN($H234,0),AQ$2)))))*$O234*1000*'Inputs Yr 2'!AB234,"")</f>
        <v>0</v>
      </c>
      <c r="AR234" s="195">
        <f>IFERROR($CS234*(INDEX(avoidedcosttbl2,$H234,AR$2)+(($H234-ROUNDDOWN($H234,0))*(INDEX(avoidedcosttbl2,ROUNDUP($H234,0),AR$2)-(INDEX(avoidedcosttbl2,ROUNDDOWN($H234,0),AR$2)))))*$O234*1000*'Inputs Yr 2'!AC234,"")</f>
        <v>0</v>
      </c>
      <c r="AS234" s="195">
        <f>IFERROR($CT234*(INDEX(avoidedcosttbl2,$H234,AS$2)+(($H234-ROUNDDOWN($H234,0))*(INDEX(avoidedcosttbl2,ROUNDUP($H234,0),AS$2)-(INDEX(avoidedcosttbl2,ROUNDDOWN($H234,0),AS$2)))))*$O234*1000*'Inputs Yr 2'!AD234,"")</f>
        <v>0</v>
      </c>
      <c r="AT234" s="196">
        <f t="shared" si="123"/>
        <v>0</v>
      </c>
      <c r="AU234" s="197">
        <f>IFERROR($CQ234*((INDEX(avoidedcosttbl2,$H234,AU$2))+(($H234-ROUNDDOWN($H234,0))*((INDEX(avoidedcosttbl2,ROUNDUP($H234,0),AU$2))-(INDEX(avoidedcosttbl2,ROUNDDOWN($H234,0),AU$2)))))*$O234*1000*'Inputs Yr 2'!AA234,"")</f>
        <v>0</v>
      </c>
      <c r="AV234" s="197">
        <f>IFERROR($CR234*((INDEX(avoidedcosttbl2,$H234,AV$2))+(($H234-ROUNDDOWN($H234,0))*((INDEX(avoidedcosttbl2,ROUNDUP($H234,0),AV$2))-(INDEX(avoidedcosttbl2,ROUNDDOWN($H234,0),AV$2)))))*$O234*1000*'Inputs Yr 2'!AB234,"")</f>
        <v>0</v>
      </c>
      <c r="AW234" s="197">
        <f>IFERROR($CS234*((INDEX(avoidedcosttbl2,$H234,AW$2))+(($H234-ROUNDDOWN($H234,0))*((INDEX(avoidedcosttbl2,ROUNDUP($H234,0),AW$2))-(INDEX(avoidedcosttbl2,ROUNDDOWN($H234,0),AW$2)))))*$O234*1000*'Inputs Yr 2'!AC234,"")</f>
        <v>0</v>
      </c>
      <c r="AX234" s="197">
        <f>IFERROR($CT234*((INDEX(avoidedcosttbl2,$H234,AX$2))+(($H234-ROUNDDOWN($H234,0))*((INDEX(avoidedcosttbl2,ROUNDUP($H234,0),AX$2))-(INDEX(avoidedcosttbl2,ROUNDDOWN($H234,0),AX$2)))))*$O234*1000*'Inputs Yr 2'!AD234,"")</f>
        <v>0</v>
      </c>
      <c r="AY234" s="197">
        <f>IFERROR(((INDEX(avoidedcosttbl2,$H234,AY$2))+(($H234-ROUNDDOWN($H234,0))*((INDEX(avoidedcosttbl2,ROUNDUP($H234,0),AY$2))-(INDEX(avoidedcosttbl2,ROUNDDOWN($H234,0),AY$2)))))*$O234*1000*('Inputs Yr 2'!AC234+'Inputs Yr 2'!AD234),"")</f>
        <v>0</v>
      </c>
      <c r="AZ234" s="197">
        <f>IFERROR(((INDEX(avoidedcosttbl2,$H234,AZ$2))+(($H234-ROUNDDOWN($H234,0))*((INDEX(avoidedcosttbl2,ROUNDUP($H234,0),AZ$2))-(INDEX(avoidedcosttbl2,ROUNDDOWN($H234,0),AZ$2)))))*$O234*1000*('Inputs Yr 2'!AA234+'Inputs Yr 2'!AB234),"")</f>
        <v>0</v>
      </c>
      <c r="BA234" s="198">
        <f t="shared" si="124"/>
        <v>0</v>
      </c>
      <c r="BB234" s="198">
        <f t="shared" si="125"/>
        <v>0</v>
      </c>
      <c r="BC234" s="195">
        <f t="shared" si="107"/>
        <v>0</v>
      </c>
      <c r="BD234" s="195">
        <f t="shared" si="108"/>
        <v>0</v>
      </c>
      <c r="BE234" s="195">
        <f t="shared" si="109"/>
        <v>0</v>
      </c>
      <c r="BF234" s="195">
        <f t="shared" si="110"/>
        <v>0</v>
      </c>
      <c r="BG234" s="195">
        <f t="shared" si="111"/>
        <v>0</v>
      </c>
      <c r="BH234" s="196">
        <f t="shared" si="126"/>
        <v>0</v>
      </c>
      <c r="BI234" s="196">
        <f t="shared" si="127"/>
        <v>0</v>
      </c>
      <c r="BJ234" s="195">
        <f>IFERROR($G234*(IF('Inputs Yr 2'!$AJ234=BJ$4,'Inputs Yr 2'!$AK234,IF('Inputs Yr 2'!$AL234=BJ$4,'Inputs Yr 2'!$AM234,IF('Inputs Yr 2'!$AN234=BJ$4,'Inputs Yr 2'!$AO234,0))))*(INDEX(avoidedcosttbl2,$H234,BJ$2)+(($H234-ROUNDDOWN($H234,0))*(INDEX(avoidedcosttbl2,ROUNDUP($H234,0),BJ$2)-(INDEX(avoidedcosttbl2,ROUNDDOWN($H234,0),BJ$2)))))*'Inputs Yr 2'!P234*'Inputs Yr 2'!Q234*'Inputs Yr 2'!U234,"")</f>
        <v>0</v>
      </c>
      <c r="BK234" s="195">
        <f>IFERROR($G234*(IF('Inputs Yr 2'!$AJ234=BK$4,'Inputs Yr 2'!$AK234,IF('Inputs Yr 2'!$AL234=BK$4,'Inputs Yr 2'!$AM234,IF('Inputs Yr 2'!$AN234=BK$4,'Inputs Yr 2'!$AO234,0))))*(INDEX(avoidedcosttbl2,$H234,BK$2)+(($H234-ROUNDDOWN($H234,0))*(INDEX(avoidedcosttbl2,ROUNDUP($H234,0),BK$2)-(INDEX(avoidedcosttbl2,ROUNDDOWN($H234,0),BK$2)))))*'Inputs Yr 2'!P234*'Inputs Yr 2'!Q234*'Inputs Yr 2'!U234,"")</f>
        <v>0</v>
      </c>
      <c r="BL234" s="195">
        <f>IFERROR($G234*(IF('Inputs Yr 2'!$AJ234=BL$4,'Inputs Yr 2'!$AK234,IF('Inputs Yr 2'!$AL234=BL$4,'Inputs Yr 2'!$AM234,IF('Inputs Yr 2'!$AN234=BL$4,'Inputs Yr 2'!$AO234,0))))*(INDEX(avoidedcosttbl2,$H234,BL$2)+(($H234-ROUNDDOWN($H234,0))*(INDEX(avoidedcosttbl2,ROUNDUP($H234,0),BL$2)-(INDEX(avoidedcosttbl2,ROUNDDOWN($H234,0),BL$2)))))*'Inputs Yr 2'!P234*'Inputs Yr 2'!Q234*'Inputs Yr 2'!U234,"")</f>
        <v>0</v>
      </c>
      <c r="BM234" s="195">
        <f>IFERROR($G234*(IF('Inputs Yr 2'!$AJ234=BM$4,'Inputs Yr 2'!$AK234,IF('Inputs Yr 2'!$AL234=BM$4,'Inputs Yr 2'!$AM234,IF('Inputs Yr 2'!$AN234=BM$4,'Inputs Yr 2'!$AO234,0))))*(INDEX(avoidedcosttbl2,$H234,BM$2)+(($H234-ROUNDDOWN($H234,0))*(INDEX(avoidedcosttbl2,ROUNDUP($H234,0),BM$2)-(INDEX(avoidedcosttbl2,ROUNDDOWN($H234,0),BM$2)))))*'Inputs Yr 2'!P234*'Inputs Yr 2'!Q234*'Inputs Yr 2'!U234,"")</f>
        <v>0</v>
      </c>
      <c r="BN234" s="195">
        <f>IFERROR($G234*(IF('Inputs Yr 2'!$AJ234=BN$4,'Inputs Yr 2'!$AK234,IF('Inputs Yr 2'!$AL234=BN$4,'Inputs Yr 2'!$AM234,IF('Inputs Yr 2'!$AN234=BN$4,'Inputs Yr 2'!$AO234,0))))*(INDEX(avoidedcosttbl2,$H234,BN$2)+(($H234-ROUNDDOWN($H234,0))*(INDEX(avoidedcosttbl2,ROUNDUP($H234,0),BN$2)-(INDEX(avoidedcosttbl2,ROUNDDOWN($H234,0),BN$2)))))*'Inputs Yr 2'!P234*'Inputs Yr 2'!Q234*'Inputs Yr 2'!U234,"")</f>
        <v>0</v>
      </c>
      <c r="BO234" s="195">
        <f>IFERROR($G234*(IF('Inputs Yr 2'!$AJ234=BO$4,'Inputs Yr 2'!$AK234,IF('Inputs Yr 2'!$AL234=BO$4,'Inputs Yr 2'!$AM234,IF('Inputs Yr 2'!$AN234=BO$4,'Inputs Yr 2'!$AO234,0))))*(INDEX(avoidedcosttbl2,$H234,BO$2)+(($H234-ROUNDDOWN($H234,0))*(INDEX(avoidedcosttbl2,ROUNDUP($H234,0),BO$2)-(INDEX(avoidedcosttbl2,ROUNDDOWN($H234,0),BO$2)))))*'Inputs Yr 2'!P234*'Inputs Yr 2'!Q234*'Inputs Yr 2'!U234,"")</f>
        <v>0</v>
      </c>
      <c r="BP234" s="195">
        <f>IFERROR($G234*(IF('Inputs Yr 2'!$AJ234=BP$4,'Inputs Yr 2'!$AK234,IF('Inputs Yr 2'!$AL234=BP$4,'Inputs Yr 2'!$AM234,IF('Inputs Yr 2'!$AN234=BP$4,'Inputs Yr 2'!$AO234,0))))*(INDEX(avoidedcosttbl2,$H234,BP$2)+(($H234-ROUNDDOWN($H234,0))*(INDEX(avoidedcosttbl2,ROUNDUP($H234,0),BP$2)-(INDEX(avoidedcosttbl2,ROUNDDOWN($H234,0),BP$2)))))*'Inputs Yr 2'!P234*'Inputs Yr 2'!Q234*'Inputs Yr 2'!U234,"")</f>
        <v>176176.62696450375</v>
      </c>
      <c r="BQ234" s="230">
        <f t="shared" si="128"/>
        <v>176176.62696450375</v>
      </c>
      <c r="BR234" s="197">
        <f t="shared" si="112"/>
        <v>3269.6238985403943</v>
      </c>
      <c r="BS234" s="197">
        <f>IFERROR(($G234*IF('Inputs Yr 2'!$AJ234=BM$4,'Inputs Yr 2'!$AK234,IF('Inputs Yr 2'!$AL234=BM$4,'Inputs Yr 2'!$AM234,IF('Inputs Yr 2'!$AN234=BM$4,'Inputs Yr 2'!$AO234,0))))*(INDEX(avoidedcosttbl2,$H234,BS$2)+(($H234-ROUNDDOWN($H234,0))*(INDEX(avoidedcosttbl2,ROUNDUP($H234,0),BS$2)-(INDEX(avoidedcosttbl2,ROUNDDOWN($H234,0),BS$2)))))*'Inputs Yr 2'!P234*'Inputs Yr 2'!Q234*'Inputs Yr 2'!U234,"")</f>
        <v>0</v>
      </c>
      <c r="BT234" s="197">
        <f>IFERROR(($G234*IF('Inputs Yr 2'!$AJ234=BK$4,'Inputs Yr 2'!$AK234,IF('Inputs Yr 2'!$AL234=BK$4,'Inputs Yr 2'!$AM234,IF('Inputs Yr 2'!$AN234=BK$4,'Inputs Yr 2'!$AO234,0))))*(INDEX(avoidedcosttbl2,$H234,BT$2)+(($H234-ROUNDDOWN($H234,0))*(INDEX(avoidedcosttbl2,ROUNDUP($H234,0),BT$2)-(INDEX(avoidedcosttbl2,ROUNDDOWN($H234,0),BT$2)))))*'Inputs Yr 2'!P234*'Inputs Yr 2'!Q234*'Inputs Yr 2'!U234,"")</f>
        <v>0</v>
      </c>
      <c r="BU234" s="197">
        <f>IFERROR(($G234*IF('Inputs Yr 2'!$AJ234=BL$4,'Inputs Yr 2'!$AK234,IF('Inputs Yr 2'!$AL234=BL$4,'Inputs Yr 2'!$AM234,IF('Inputs Yr 2'!$AN234=BL$4,'Inputs Yr 2'!$AO234,0))))*(INDEX(avoidedcosttbl2,$H234,BU$2)+(($H234-ROUNDDOWN($H234,0))*(INDEX(avoidedcosttbl2,ROUNDUP($H234,0),BU$2)-(INDEX(avoidedcosttbl2,ROUNDDOWN($H234,0),BU$2)))))*'Inputs Yr 2'!P234*'Inputs Yr 2'!Q234*'Inputs Yr 2'!U234,"")</f>
        <v>0</v>
      </c>
      <c r="BV234" s="775">
        <f>IFERROR(($G234*IF('Inputs Yr 2'!$AJ234=BJ$4,'Inputs Yr 2'!$AK234,IF('Inputs Yr 2'!$AL234=BJ$4,'Inputs Yr 2'!$AM234,IF('Inputs Yr 2'!$AN234=BJ$4,'Inputs Yr 2'!$AO234,0))))*(INDEX(avoidedcosttbl2,$H234,BV$2)+(($H234-ROUNDDOWN($H234,0))*(INDEX(avoidedcosttbl2,ROUNDUP($H234,0),BV$2)-(INDEX(avoidedcosttbl2,ROUNDDOWN($H234,0),BV$2)))))*'Inputs Yr 2'!P234*'Inputs Yr 2'!Q234*'Inputs Yr 2'!U234,"")</f>
        <v>0</v>
      </c>
      <c r="BW234" s="197">
        <f>IFERROR(($G234*IF('Inputs Yr 2'!$AJ234=BN$4,'Inputs Yr 2'!$AK234,IF('Inputs Yr 2'!$AL234=BN$4,'Inputs Yr 2'!$AM234,IF('Inputs Yr 2'!$AN234=BN$4,'Inputs Yr 2'!$AO234,0))))*(INDEX(avoidedcosttbl2,$H234,BW$2)+(($H234-ROUNDDOWN($H234,0))*(INDEX(avoidedcosttbl2,ROUNDUP($H234,0),BW$2)-(INDEX(avoidedcosttbl2,ROUNDDOWN($H234,0),BW$2)))))*'Inputs Yr 2'!P234*'Inputs Yr 2'!Q234*'Inputs Yr 2'!U234,"")</f>
        <v>0</v>
      </c>
      <c r="BX234" s="197">
        <f>IFERROR(($G234*IF('Inputs Yr 2'!$AJ234=BO$4,'Inputs Yr 2'!$AK234,IF('Inputs Yr 2'!$AL234=BO$4,'Inputs Yr 2'!$AM234,IF('Inputs Yr 2'!$AN234=BO$4,'Inputs Yr 2'!$AO234,0))))*(INDEX(avoidedcosttbl2,$H234,BX$2)+(($H234-ROUNDDOWN($H234,0))*(INDEX(avoidedcosttbl2,ROUNDUP($H234,0),BX$2)-(INDEX(avoidedcosttbl2,ROUNDDOWN($H234,0),BX$2)))))*'Inputs Yr 2'!P234*'Inputs Yr 2'!Q234*'Inputs Yr 2'!U234,"")</f>
        <v>0</v>
      </c>
      <c r="BY234" s="197">
        <f>IFERROR(($G234*IF('Inputs Yr 2'!$AJ234=BP$4,'Inputs Yr 2'!$AK234,IF('Inputs Yr 2'!$AL234=BP$4,'Inputs Yr 2'!$AM234,IF('Inputs Yr 2'!$AN234=BP$4,'Inputs Yr 2'!$AO234,0))))*(INDEX(avoidedcosttbl2,$H234,BY$2)+(($H234-ROUNDDOWN($H234,0))*(INDEX(avoidedcosttbl2,ROUNDUP($H234,0),BY$2)-(INDEX(avoidedcosttbl2,ROUNDDOWN($H234,0),BY$2)))))*'Inputs Yr 2'!P234*'Inputs Yr 2'!Q234*'Inputs Yr 2'!U234,"")</f>
        <v>16541.50462649325</v>
      </c>
      <c r="BZ234" s="193">
        <f t="shared" si="129"/>
        <v>19811.128525033644</v>
      </c>
      <c r="CA234" s="193">
        <f t="shared" si="130"/>
        <v>195987.75548953741</v>
      </c>
      <c r="CB234" s="195">
        <f>IFERROR(G234*(IF('Inputs Yr 2'!$AJ234=CB$4,'Inputs Yr 2'!$AK234,IF('Inputs Yr 2'!$AL234=CB$4,'Inputs Yr 2'!$AM234,IF('Inputs Yr 2'!$AN234=CB$4,'Inputs Yr 2'!$AO234,0))))*(INDEX(avoidedcosttbl2,$H234,CB$2)+(($H234-ROUNDDOWN($H234,0))*(INDEX(avoidedcosttbl2,ROUNDUP($H234,0),CB$2)-(INDEX(avoidedcosttbl2,ROUNDDOWN($H234,0),CB$2)))))*'Inputs Yr 2'!P234*'Inputs Yr 2'!Q234*'Inputs Yr 2'!U234,"")</f>
        <v>0</v>
      </c>
      <c r="CC234" s="195">
        <f>IFERROR(H234*(IF('Inputs Yr 2'!$AJ234=CC$4,'Inputs Yr 2'!$AK234,IF('Inputs Yr 2'!$AL234=CC$4,'Inputs Yr 2'!$AM234,IF('Inputs Yr 2'!$AN234=CC$4,'Inputs Yr 2'!$AO234,0))))*(INDEX(avoidedcosttbl2,$H234,CC$2)+(($H234-ROUNDDOWN($H234,0))*(INDEX(avoidedcosttbl2,ROUNDUP($H234,0),CC$2)-(INDEX(avoidedcosttbl2,ROUNDDOWN($H234,0),CC$2)))))*'Inputs Yr 2'!Q234*'Inputs Yr 2'!R234*'Inputs Yr 2'!V234,"")</f>
        <v>0</v>
      </c>
      <c r="CD234" s="195">
        <f>IFERROR(I234*(IF('Inputs Yr 2'!$AJ234=CD$4,'Inputs Yr 2'!$AK234,IF('Inputs Yr 2'!$AL234=CD$4,'Inputs Yr 2'!$AM234,IF('Inputs Yr 2'!$AN234=CD$4,'Inputs Yr 2'!$AO234,0))))*(INDEX(avoidedcosttbl2,$H234,CD$2)+(($H234-ROUNDDOWN($H234,0))*(INDEX(avoidedcosttbl2,ROUNDUP($H234,0),CD$2)-(INDEX(avoidedcosttbl2,ROUNDDOWN($H234,0),CD$2)))))*'Inputs Yr 2'!R234*'Inputs Yr 2'!S234*'Inputs Yr 2'!W234,"")</f>
        <v>0</v>
      </c>
      <c r="CE234" s="213">
        <f t="shared" si="131"/>
        <v>0</v>
      </c>
      <c r="CF234" s="213">
        <f t="shared" si="132"/>
        <v>0</v>
      </c>
      <c r="CG234" s="213">
        <f t="shared" si="133"/>
        <v>0</v>
      </c>
      <c r="CH234" s="698">
        <f t="shared" si="134"/>
        <v>195987.75548953741</v>
      </c>
      <c r="CI234" s="79">
        <f>IFERROR(($G234*'Inputs Yr 2'!$P234*'Inputs Yr 2'!$Q234*(((INDEX(avoidedcosttbl2,$H234,CI$2)+(($H234-ROUNDDOWN($H234,0))*(INDEX(avoidedcosttbl2,ROUNDUP($H234,0),CI$2)-INDEX(avoidedcosttbl2,ROUNDDOWN($H234,0),CI$2))))*'Inputs Yr 2'!AS234))),"")</f>
        <v>0</v>
      </c>
      <c r="CJ234" s="504">
        <f>IFERROR($G234*'Inputs Yr 2'!AT234*'Inputs Yr 2'!$P234*'Inputs Yr 2'!$Q234/((1+realdiscrt1)^-0.5),"")</f>
        <v>0</v>
      </c>
      <c r="CK234" s="79">
        <f>IFERROR((O234*1000*(((INDEX(avoidedcosttbl2,$H234,CK$2)+(($H234-ROUNDDOWN($H234,0))*(INDEX(avoidedcosttbl2,ROUNDUP($H234,0),CK$2)-INDEX(avoidedcosttbl2,ROUNDDOWN($H234,0),CK$2))))*'Inputs Yr 2'!AU234))),"")</f>
        <v>0</v>
      </c>
      <c r="CL234" s="504">
        <f>IFERROR(O234*1000*'Inputs Yr 2'!AV234/((1+realdiscrt1)^-0.5),"")</f>
        <v>0</v>
      </c>
      <c r="CM234" s="79">
        <f>IFERROR((AB234*'Inputs Yr 2'!AW234*(((INDEX(avoidedcosttbl2,$H234,CM$2)+(($H234-ROUNDDOWN($H234,0))*(INDEX(avoidedcosttbl2,ROUNDUP($H234,0),CM$2)-INDEX(avoidedcosttbl2,ROUNDDOWN($H234,0),CM$2)))))))*10,"")</f>
        <v>0</v>
      </c>
      <c r="CN234" s="504">
        <f>IFERROR(10*AB234*'Inputs Yr 2'!AX234/((1+realdiscrt1)^-0.5),"")</f>
        <v>0</v>
      </c>
      <c r="CO234" s="505">
        <f t="shared" si="135"/>
        <v>0</v>
      </c>
      <c r="CP234" s="230">
        <f t="shared" si="136"/>
        <v>195987.75548953741</v>
      </c>
      <c r="CQ234" s="199">
        <f>ROUND(IFERROR(IF(LEFT($A234,1)="C",'Avoided Costs'!$K$13,'Avoided Costs'!$K$12)+1,""),4)</f>
        <v>1.0720000000000001</v>
      </c>
      <c r="CR234" s="199">
        <f>ROUND(IFERROR(IF(LEFT($A234,1)="C",'Avoided Costs'!$L$13,'Avoided Costs'!$L$12)+1,""),4)</f>
        <v>1.04</v>
      </c>
      <c r="CS234" s="199">
        <f>ROUND(IFERROR(IF(LEFT($A234,1)="C",'Avoided Costs'!$M$13,'Avoided Costs'!$M$12)+1,""),4)</f>
        <v>1.0720000000000001</v>
      </c>
      <c r="CT234" s="199">
        <f>ROUND(IFERROR(IF(LEFT($A234,1)="C",'Avoided Costs'!$N$13,'Avoided Costs'!$N$12)+1,""),4)</f>
        <v>1.04</v>
      </c>
      <c r="CU234" s="199">
        <f>ROUND(IFERROR(IF(LEFT($A234,1)="C",'Avoided Costs'!$O$13,'Avoided Costs'!$O$12)+1,""),4)</f>
        <v>1.1120000000000001</v>
      </c>
      <c r="CV234" s="199">
        <f>ROUND(IFERROR(IF(LEFT($A234,1)="C",'Avoided Costs'!$P$13,'Avoided Costs'!$P$12)+1,""),4)</f>
        <v>1.095</v>
      </c>
      <c r="CW234" s="199">
        <f>ROUND(IFERROR(IF(LEFT($A234,1)="C",'Avoided Costs'!$Q$13,'Avoided Costs'!$Q$12)+1,""),4)</f>
        <v>1.1120000000000001</v>
      </c>
      <c r="CX234" s="200">
        <f>ROUND(IFERROR(IF(LEFT($A234,1)="C",'Avoided Costs'!$R$13,'Avoided Costs'!$R$12)+1,""),4)</f>
        <v>1.1120000000000001</v>
      </c>
    </row>
    <row r="235" spans="1:102" ht="12.75" customHeight="1">
      <c r="A235" s="91" t="str">
        <f>IF('Inputs Yr 2'!$B235=0,"",'Inputs Yr 2'!A235)</f>
        <v>C - Commercial &amp; Industrial</v>
      </c>
      <c r="B235" s="91" t="str">
        <f>IF('Inputs Yr 2'!$B235=0,"",'Inputs Yr 2'!B235)</f>
        <v>C1 - C&amp;I New Construction</v>
      </c>
      <c r="C235" s="91" t="str">
        <f>IF('Inputs Yr 2'!$B235=0,"",'Inputs Yr 2'!C235)</f>
        <v xml:space="preserve">C1b - C&amp;I Initial Purchase &amp; End of Useful Life </v>
      </c>
      <c r="D235" s="91" t="str">
        <f>IF('Inputs Yr 2'!$B235=0,"",'Inputs Yr 2'!E235)</f>
        <v>Conveyer Oven</v>
      </c>
      <c r="E235" s="93" t="str">
        <f>IF('Inputs Yr 2'!$B235=0,"",'Inputs Yr 2'!F235)</f>
        <v>G16C1b33</v>
      </c>
      <c r="F235" s="93" t="str">
        <f>IF('Inputs Yr 2'!$B235=0,"",'Inputs Yr 2'!G235)</f>
        <v>Food Service</v>
      </c>
      <c r="G235" s="95">
        <f>IF('Inputs Yr 2'!$H235&lt;&gt;0,('Inputs Yr 2'!H235),"")</f>
        <v>2</v>
      </c>
      <c r="H235" s="94">
        <f>IFERROR('Inputs Yr 2'!I235,"")</f>
        <v>12</v>
      </c>
      <c r="I235" s="298">
        <f>IFERROR('Inputs Yr 2'!J235*'Inputs Yr 2'!P235*G235,"")</f>
        <v>3553.2000000000003</v>
      </c>
      <c r="J235" s="298">
        <f>IFERROR('Inputs Yr 2'!K235*G235,"")</f>
        <v>2000</v>
      </c>
      <c r="K235" s="298">
        <f t="shared" si="113"/>
        <v>1553.2000000000003</v>
      </c>
      <c r="L235" s="194">
        <f>IFERROR(('Inputs Yr 2'!W235*G235)/1000,"")</f>
        <v>0</v>
      </c>
      <c r="M235" s="194">
        <f>IFERROR(L235*('Inputs Yr 2'!$Q235*'Inputs Yr 2'!$V235*'Inputs Yr 2'!$R235),"")</f>
        <v>0</v>
      </c>
      <c r="N235" s="194">
        <f t="shared" si="114"/>
        <v>0</v>
      </c>
      <c r="O235" s="194">
        <f>IFERROR(M235*'Inputs Yr 2'!P235,"")</f>
        <v>0</v>
      </c>
      <c r="P235" s="194">
        <f t="shared" si="115"/>
        <v>0</v>
      </c>
      <c r="Q235" s="194">
        <f>IFERROR($P235*'Inputs Yr 2'!AA235,"")</f>
        <v>0</v>
      </c>
      <c r="R235" s="194">
        <f>IFERROR($P235*'Inputs Yr 2'!AB235,"")</f>
        <v>0</v>
      </c>
      <c r="S235" s="194">
        <f>IFERROR($P235*'Inputs Yr 2'!AC235,"")</f>
        <v>0</v>
      </c>
      <c r="T235" s="194">
        <f>IFERROR($P235*'Inputs Yr 2'!AD235,"")</f>
        <v>0</v>
      </c>
      <c r="U235" s="194">
        <f>IFERROR(G235*'Inputs Yr 2'!$AE235*'Inputs Yr 2'!$P235*'Inputs Yr 2'!$Q235,"")</f>
        <v>0</v>
      </c>
      <c r="V235" s="194">
        <f>IFERROR($G235*'Inputs Yr 2'!$AE235*'Inputs Yr 2'!$AG235*'Inputs Yr 2'!Q235*'Inputs Yr 2'!$S235,"")</f>
        <v>0</v>
      </c>
      <c r="W235" s="194">
        <f>IFERROR($G235*'Inputs Yr 2'!$AE235*'Inputs Yr 2'!$AG235*'Inputs Yr 2'!P235*'Inputs Yr 2'!Q235*'Inputs Yr 2'!$S235,"")</f>
        <v>0</v>
      </c>
      <c r="X235" s="194">
        <f>IFERROR($G235*'Inputs Yr 2'!$AE235*'Inputs Yr 2'!$AF235*'Inputs Yr 2'!Q235*'Inputs Yr 2'!$T235,"")</f>
        <v>0</v>
      </c>
      <c r="Y235" s="194">
        <f>IFERROR($G235*'Inputs Yr 2'!$AE235*'Inputs Yr 2'!$AF235*'Inputs Yr 2'!P235*'Inputs Yr 2'!Q235*'Inputs Yr 2'!$T235,"")</f>
        <v>0</v>
      </c>
      <c r="Z235" s="257">
        <f>IFERROR($G235*'Inputs Yr 2'!$Q235*'Inputs Yr 2'!$U235*(IF(IFERROR(SEARCH("NG", 'Inputs Yr 2'!$AJ235),0),'Inputs Yr 2'!$AK235,0)+IF(IFERROR(SEARCH("NG", 'Inputs Yr 2'!$AL235),0),'Inputs Yr 2'!$AM235,0)+IF(IFERROR(SEARCH("NG", 'Inputs Yr 2'!$AN235),0),'Inputs Yr 2'!$AO235,0)),0)</f>
        <v>176.79999999999998</v>
      </c>
      <c r="AA235" s="257">
        <f t="shared" si="116"/>
        <v>2121.6</v>
      </c>
      <c r="AB235" s="257">
        <f>IFERROR(Z235*'Inputs Yr 2'!$P235,0)</f>
        <v>149.5728</v>
      </c>
      <c r="AC235" s="257">
        <f t="shared" si="117"/>
        <v>1794.8735999999999</v>
      </c>
      <c r="AD235" s="257">
        <f>IFERROR($G235*'Inputs Yr 2'!$Q235*'Inputs Yr 2'!$U235*(IF(IFERROR(SEARCH("Oil", 'Inputs Yr 2'!$AJ235), 0),'Inputs Yr 2'!$AK235,0)+IF(IFERROR(SEARCH("Oil", 'Inputs Yr 2'!$AL235), 0),'Inputs Yr 2'!$AM235,0)+IF(IFERROR(SEARCH("Oil", 'Inputs Yr 2'!$AN235), 0),'Inputs Yr 2'!$AO235,0)),0)</f>
        <v>0</v>
      </c>
      <c r="AE235" s="257">
        <f t="shared" si="118"/>
        <v>0</v>
      </c>
      <c r="AF235" s="257">
        <f>IFERROR(AD235*'Inputs Yr 2'!$P235,0)</f>
        <v>0</v>
      </c>
      <c r="AG235" s="257">
        <f t="shared" si="119"/>
        <v>0</v>
      </c>
      <c r="AH235" s="257">
        <f>IFERROR($G235*'Inputs Yr 2'!$Q235*'Inputs Yr 2'!$U235*(IF('Inputs Yr 2'!$AJ235=CD$4,'Inputs Yr 2'!$AK235,IF('Inputs Yr 2'!$AL235=CD$4,'Inputs Yr 2'!$AM235,IF('Inputs Yr 2'!$AN235=CD$4,'Inputs Yr 2'!$AO235,0)))),0)</f>
        <v>0</v>
      </c>
      <c r="AI235" s="257">
        <f t="shared" si="120"/>
        <v>0</v>
      </c>
      <c r="AJ235" s="257">
        <f>IFERROR(AH235*'Inputs Yr 2'!$P235,0)</f>
        <v>0</v>
      </c>
      <c r="AK235" s="257">
        <f t="shared" si="121"/>
        <v>0</v>
      </c>
      <c r="AL235" s="258">
        <f>IFERROR($G235*'Inputs Yr 2'!$P235*'Inputs Yr 2'!$Q235*'Inputs Yr 2'!AP235,0)</f>
        <v>0</v>
      </c>
      <c r="AM235" s="260">
        <f>IFERROR($G235*'Inputs Yr 2'!$P235*'Inputs Yr 2'!$Q235*'Inputs Yr 2'!AQ235,0)</f>
        <v>0</v>
      </c>
      <c r="AN235" s="258">
        <f>IFERROR($G235*'Inputs Yr 2'!$P235*'Inputs Yr 2'!$Q235*'Inputs Yr 2'!AR235,0)</f>
        <v>0</v>
      </c>
      <c r="AO235" s="257">
        <f t="shared" si="122"/>
        <v>0</v>
      </c>
      <c r="AP235" s="195">
        <f>IFERROR($CQ235*(INDEX(avoidedcosttbl2,$H235,AP$2)+(($H235-ROUNDDOWN($H235,0))*(INDEX(avoidedcosttbl2,ROUNDUP($H235,0),AP$2)-(INDEX(avoidedcosttbl2,ROUNDDOWN($H235,0),AP$2)))))*$O235*1000*'Inputs Yr 2'!AA235,"")</f>
        <v>0</v>
      </c>
      <c r="AQ235" s="195">
        <f>IFERROR($CR235*(INDEX(avoidedcosttbl2,$H235,AQ$2)+(($H235-ROUNDDOWN($H235,0))*(INDEX(avoidedcosttbl2,ROUNDUP($H235,0),AQ$2)-(INDEX(avoidedcosttbl2,ROUNDDOWN($H235,0),AQ$2)))))*$O235*1000*'Inputs Yr 2'!AB235,"")</f>
        <v>0</v>
      </c>
      <c r="AR235" s="195">
        <f>IFERROR($CS235*(INDEX(avoidedcosttbl2,$H235,AR$2)+(($H235-ROUNDDOWN($H235,0))*(INDEX(avoidedcosttbl2,ROUNDUP($H235,0),AR$2)-(INDEX(avoidedcosttbl2,ROUNDDOWN($H235,0),AR$2)))))*$O235*1000*'Inputs Yr 2'!AC235,"")</f>
        <v>0</v>
      </c>
      <c r="AS235" s="195">
        <f>IFERROR($CT235*(INDEX(avoidedcosttbl2,$H235,AS$2)+(($H235-ROUNDDOWN($H235,0))*(INDEX(avoidedcosttbl2,ROUNDUP($H235,0),AS$2)-(INDEX(avoidedcosttbl2,ROUNDDOWN($H235,0),AS$2)))))*$O235*1000*'Inputs Yr 2'!AD235,"")</f>
        <v>0</v>
      </c>
      <c r="AT235" s="196">
        <f t="shared" si="123"/>
        <v>0</v>
      </c>
      <c r="AU235" s="197">
        <f>IFERROR($CQ235*((INDEX(avoidedcosttbl2,$H235,AU$2))+(($H235-ROUNDDOWN($H235,0))*((INDEX(avoidedcosttbl2,ROUNDUP($H235,0),AU$2))-(INDEX(avoidedcosttbl2,ROUNDDOWN($H235,0),AU$2)))))*$O235*1000*'Inputs Yr 2'!AA235,"")</f>
        <v>0</v>
      </c>
      <c r="AV235" s="197">
        <f>IFERROR($CR235*((INDEX(avoidedcosttbl2,$H235,AV$2))+(($H235-ROUNDDOWN($H235,0))*((INDEX(avoidedcosttbl2,ROUNDUP($H235,0),AV$2))-(INDEX(avoidedcosttbl2,ROUNDDOWN($H235,0),AV$2)))))*$O235*1000*'Inputs Yr 2'!AB235,"")</f>
        <v>0</v>
      </c>
      <c r="AW235" s="197">
        <f>IFERROR($CS235*((INDEX(avoidedcosttbl2,$H235,AW$2))+(($H235-ROUNDDOWN($H235,0))*((INDEX(avoidedcosttbl2,ROUNDUP($H235,0),AW$2))-(INDEX(avoidedcosttbl2,ROUNDDOWN($H235,0),AW$2)))))*$O235*1000*'Inputs Yr 2'!AC235,"")</f>
        <v>0</v>
      </c>
      <c r="AX235" s="197">
        <f>IFERROR($CT235*((INDEX(avoidedcosttbl2,$H235,AX$2))+(($H235-ROUNDDOWN($H235,0))*((INDEX(avoidedcosttbl2,ROUNDUP($H235,0),AX$2))-(INDEX(avoidedcosttbl2,ROUNDDOWN($H235,0),AX$2)))))*$O235*1000*'Inputs Yr 2'!AD235,"")</f>
        <v>0</v>
      </c>
      <c r="AY235" s="197">
        <f>IFERROR(((INDEX(avoidedcosttbl2,$H235,AY$2))+(($H235-ROUNDDOWN($H235,0))*((INDEX(avoidedcosttbl2,ROUNDUP($H235,0),AY$2))-(INDEX(avoidedcosttbl2,ROUNDDOWN($H235,0),AY$2)))))*$O235*1000*('Inputs Yr 2'!AC235+'Inputs Yr 2'!AD235),"")</f>
        <v>0</v>
      </c>
      <c r="AZ235" s="197">
        <f>IFERROR(((INDEX(avoidedcosttbl2,$H235,AZ$2))+(($H235-ROUNDDOWN($H235,0))*((INDEX(avoidedcosttbl2,ROUNDUP($H235,0),AZ$2))-(INDEX(avoidedcosttbl2,ROUNDDOWN($H235,0),AZ$2)))))*$O235*1000*('Inputs Yr 2'!AA235+'Inputs Yr 2'!AB235),"")</f>
        <v>0</v>
      </c>
      <c r="BA235" s="198">
        <f t="shared" si="124"/>
        <v>0</v>
      </c>
      <c r="BB235" s="198">
        <f t="shared" si="125"/>
        <v>0</v>
      </c>
      <c r="BC235" s="195">
        <f t="shared" si="107"/>
        <v>0</v>
      </c>
      <c r="BD235" s="195">
        <f t="shared" si="108"/>
        <v>0</v>
      </c>
      <c r="BE235" s="195">
        <f t="shared" si="109"/>
        <v>0</v>
      </c>
      <c r="BF235" s="195">
        <f t="shared" si="110"/>
        <v>0</v>
      </c>
      <c r="BG235" s="195">
        <f t="shared" si="111"/>
        <v>0</v>
      </c>
      <c r="BH235" s="196">
        <f t="shared" si="126"/>
        <v>0</v>
      </c>
      <c r="BI235" s="196">
        <f t="shared" si="127"/>
        <v>0</v>
      </c>
      <c r="BJ235" s="195">
        <f>IFERROR($G235*(IF('Inputs Yr 2'!$AJ235=BJ$4,'Inputs Yr 2'!$AK235,IF('Inputs Yr 2'!$AL235=BJ$4,'Inputs Yr 2'!$AM235,IF('Inputs Yr 2'!$AN235=BJ$4,'Inputs Yr 2'!$AO235,0))))*(INDEX(avoidedcosttbl2,$H235,BJ$2)+(($H235-ROUNDDOWN($H235,0))*(INDEX(avoidedcosttbl2,ROUNDUP($H235,0),BJ$2)-(INDEX(avoidedcosttbl2,ROUNDDOWN($H235,0),BJ$2)))))*'Inputs Yr 2'!P235*'Inputs Yr 2'!Q235*'Inputs Yr 2'!U235,"")</f>
        <v>0</v>
      </c>
      <c r="BK235" s="195">
        <f>IFERROR($G235*(IF('Inputs Yr 2'!$AJ235=BK$4,'Inputs Yr 2'!$AK235,IF('Inputs Yr 2'!$AL235=BK$4,'Inputs Yr 2'!$AM235,IF('Inputs Yr 2'!$AN235=BK$4,'Inputs Yr 2'!$AO235,0))))*(INDEX(avoidedcosttbl2,$H235,BK$2)+(($H235-ROUNDDOWN($H235,0))*(INDEX(avoidedcosttbl2,ROUNDUP($H235,0),BK$2)-(INDEX(avoidedcosttbl2,ROUNDDOWN($H235,0),BK$2)))))*'Inputs Yr 2'!P235*'Inputs Yr 2'!Q235*'Inputs Yr 2'!U235,"")</f>
        <v>0</v>
      </c>
      <c r="BL235" s="195">
        <f>IFERROR($G235*(IF('Inputs Yr 2'!$AJ235=BL$4,'Inputs Yr 2'!$AK235,IF('Inputs Yr 2'!$AL235=BL$4,'Inputs Yr 2'!$AM235,IF('Inputs Yr 2'!$AN235=BL$4,'Inputs Yr 2'!$AO235,0))))*(INDEX(avoidedcosttbl2,$H235,BL$2)+(($H235-ROUNDDOWN($H235,0))*(INDEX(avoidedcosttbl2,ROUNDUP($H235,0),BL$2)-(INDEX(avoidedcosttbl2,ROUNDDOWN($H235,0),BL$2)))))*'Inputs Yr 2'!P235*'Inputs Yr 2'!Q235*'Inputs Yr 2'!U235,"")</f>
        <v>0</v>
      </c>
      <c r="BM235" s="195">
        <f>IFERROR($G235*(IF('Inputs Yr 2'!$AJ235=BM$4,'Inputs Yr 2'!$AK235,IF('Inputs Yr 2'!$AL235=BM$4,'Inputs Yr 2'!$AM235,IF('Inputs Yr 2'!$AN235=BM$4,'Inputs Yr 2'!$AO235,0))))*(INDEX(avoidedcosttbl2,$H235,BM$2)+(($H235-ROUNDDOWN($H235,0))*(INDEX(avoidedcosttbl2,ROUNDUP($H235,0),BM$2)-(INDEX(avoidedcosttbl2,ROUNDDOWN($H235,0),BM$2)))))*'Inputs Yr 2'!P235*'Inputs Yr 2'!Q235*'Inputs Yr 2'!U235,"")</f>
        <v>0</v>
      </c>
      <c r="BN235" s="195">
        <f>IFERROR($G235*(IF('Inputs Yr 2'!$AJ235=BN$4,'Inputs Yr 2'!$AK235,IF('Inputs Yr 2'!$AL235=BN$4,'Inputs Yr 2'!$AM235,IF('Inputs Yr 2'!$AN235=BN$4,'Inputs Yr 2'!$AO235,0))))*(INDEX(avoidedcosttbl2,$H235,BN$2)+(($H235-ROUNDDOWN($H235,0))*(INDEX(avoidedcosttbl2,ROUNDUP($H235,0),BN$2)-(INDEX(avoidedcosttbl2,ROUNDDOWN($H235,0),BN$2)))))*'Inputs Yr 2'!P235*'Inputs Yr 2'!Q235*'Inputs Yr 2'!U235,"")</f>
        <v>0</v>
      </c>
      <c r="BO235" s="195">
        <f>IFERROR($G235*(IF('Inputs Yr 2'!$AJ235=BO$4,'Inputs Yr 2'!$AK235,IF('Inputs Yr 2'!$AL235=BO$4,'Inputs Yr 2'!$AM235,IF('Inputs Yr 2'!$AN235=BO$4,'Inputs Yr 2'!$AO235,0))))*(INDEX(avoidedcosttbl2,$H235,BO$2)+(($H235-ROUNDDOWN($H235,0))*(INDEX(avoidedcosttbl2,ROUNDUP($H235,0),BO$2)-(INDEX(avoidedcosttbl2,ROUNDDOWN($H235,0),BO$2)))))*'Inputs Yr 2'!P235*'Inputs Yr 2'!Q235*'Inputs Yr 2'!U235,"")</f>
        <v>0</v>
      </c>
      <c r="BP235" s="195">
        <f>IFERROR($G235*(IF('Inputs Yr 2'!$AJ235=BP$4,'Inputs Yr 2'!$AK235,IF('Inputs Yr 2'!$AL235=BP$4,'Inputs Yr 2'!$AM235,IF('Inputs Yr 2'!$AN235=BP$4,'Inputs Yr 2'!$AO235,0))))*(INDEX(avoidedcosttbl2,$H235,BP$2)+(($H235-ROUNDDOWN($H235,0))*(INDEX(avoidedcosttbl2,ROUNDUP($H235,0),BP$2)-(INDEX(avoidedcosttbl2,ROUNDDOWN($H235,0),BP$2)))))*'Inputs Yr 2'!P235*'Inputs Yr 2'!Q235*'Inputs Yr 2'!U235,"")</f>
        <v>13194.403205542532</v>
      </c>
      <c r="BQ235" s="230">
        <f t="shared" si="128"/>
        <v>13194.403205542532</v>
      </c>
      <c r="BR235" s="197">
        <f t="shared" si="112"/>
        <v>244.87207407207251</v>
      </c>
      <c r="BS235" s="197">
        <f>IFERROR(($G235*IF('Inputs Yr 2'!$AJ235=BM$4,'Inputs Yr 2'!$AK235,IF('Inputs Yr 2'!$AL235=BM$4,'Inputs Yr 2'!$AM235,IF('Inputs Yr 2'!$AN235=BM$4,'Inputs Yr 2'!$AO235,0))))*(INDEX(avoidedcosttbl2,$H235,BS$2)+(($H235-ROUNDDOWN($H235,0))*(INDEX(avoidedcosttbl2,ROUNDUP($H235,0),BS$2)-(INDEX(avoidedcosttbl2,ROUNDDOWN($H235,0),BS$2)))))*'Inputs Yr 2'!P235*'Inputs Yr 2'!Q235*'Inputs Yr 2'!U235,"")</f>
        <v>0</v>
      </c>
      <c r="BT235" s="197">
        <f>IFERROR(($G235*IF('Inputs Yr 2'!$AJ235=BK$4,'Inputs Yr 2'!$AK235,IF('Inputs Yr 2'!$AL235=BK$4,'Inputs Yr 2'!$AM235,IF('Inputs Yr 2'!$AN235=BK$4,'Inputs Yr 2'!$AO235,0))))*(INDEX(avoidedcosttbl2,$H235,BT$2)+(($H235-ROUNDDOWN($H235,0))*(INDEX(avoidedcosttbl2,ROUNDUP($H235,0),BT$2)-(INDEX(avoidedcosttbl2,ROUNDDOWN($H235,0),BT$2)))))*'Inputs Yr 2'!P235*'Inputs Yr 2'!Q235*'Inputs Yr 2'!U235,"")</f>
        <v>0</v>
      </c>
      <c r="BU235" s="197">
        <f>IFERROR(($G235*IF('Inputs Yr 2'!$AJ235=BL$4,'Inputs Yr 2'!$AK235,IF('Inputs Yr 2'!$AL235=BL$4,'Inputs Yr 2'!$AM235,IF('Inputs Yr 2'!$AN235=BL$4,'Inputs Yr 2'!$AO235,0))))*(INDEX(avoidedcosttbl2,$H235,BU$2)+(($H235-ROUNDDOWN($H235,0))*(INDEX(avoidedcosttbl2,ROUNDUP($H235,0),BU$2)-(INDEX(avoidedcosttbl2,ROUNDDOWN($H235,0),BU$2)))))*'Inputs Yr 2'!P235*'Inputs Yr 2'!Q235*'Inputs Yr 2'!U235,"")</f>
        <v>0</v>
      </c>
      <c r="BV235" s="775">
        <f>IFERROR(($G235*IF('Inputs Yr 2'!$AJ235=BJ$4,'Inputs Yr 2'!$AK235,IF('Inputs Yr 2'!$AL235=BJ$4,'Inputs Yr 2'!$AM235,IF('Inputs Yr 2'!$AN235=BJ$4,'Inputs Yr 2'!$AO235,0))))*(INDEX(avoidedcosttbl2,$H235,BV$2)+(($H235-ROUNDDOWN($H235,0))*(INDEX(avoidedcosttbl2,ROUNDUP($H235,0),BV$2)-(INDEX(avoidedcosttbl2,ROUNDDOWN($H235,0),BV$2)))))*'Inputs Yr 2'!P235*'Inputs Yr 2'!Q235*'Inputs Yr 2'!U235,"")</f>
        <v>0</v>
      </c>
      <c r="BW235" s="197">
        <f>IFERROR(($G235*IF('Inputs Yr 2'!$AJ235=BN$4,'Inputs Yr 2'!$AK235,IF('Inputs Yr 2'!$AL235=BN$4,'Inputs Yr 2'!$AM235,IF('Inputs Yr 2'!$AN235=BN$4,'Inputs Yr 2'!$AO235,0))))*(INDEX(avoidedcosttbl2,$H235,BW$2)+(($H235-ROUNDDOWN($H235,0))*(INDEX(avoidedcosttbl2,ROUNDUP($H235,0),BW$2)-(INDEX(avoidedcosttbl2,ROUNDDOWN($H235,0),BW$2)))))*'Inputs Yr 2'!P235*'Inputs Yr 2'!Q235*'Inputs Yr 2'!U235,"")</f>
        <v>0</v>
      </c>
      <c r="BX235" s="197">
        <f>IFERROR(($G235*IF('Inputs Yr 2'!$AJ235=BO$4,'Inputs Yr 2'!$AK235,IF('Inputs Yr 2'!$AL235=BO$4,'Inputs Yr 2'!$AM235,IF('Inputs Yr 2'!$AN235=BO$4,'Inputs Yr 2'!$AO235,0))))*(INDEX(avoidedcosttbl2,$H235,BX$2)+(($H235-ROUNDDOWN($H235,0))*(INDEX(avoidedcosttbl2,ROUNDUP($H235,0),BX$2)-(INDEX(avoidedcosttbl2,ROUNDDOWN($H235,0),BX$2)))))*'Inputs Yr 2'!P235*'Inputs Yr 2'!Q235*'Inputs Yr 2'!U235,"")</f>
        <v>0</v>
      </c>
      <c r="BY235" s="197">
        <f>IFERROR(($G235*IF('Inputs Yr 2'!$AJ235=BP$4,'Inputs Yr 2'!$AK235,IF('Inputs Yr 2'!$AL235=BP$4,'Inputs Yr 2'!$AM235,IF('Inputs Yr 2'!$AN235=BP$4,'Inputs Yr 2'!$AO235,0))))*(INDEX(avoidedcosttbl2,$H235,BY$2)+(($H235-ROUNDDOWN($H235,0))*(INDEX(avoidedcosttbl2,ROUNDUP($H235,0),BY$2)-(INDEX(avoidedcosttbl2,ROUNDDOWN($H235,0),BY$2)))))*'Inputs Yr 2'!P235*'Inputs Yr 2'!Q235*'Inputs Yr 2'!U235,"")</f>
        <v>1238.8435709594637</v>
      </c>
      <c r="BZ235" s="193">
        <f t="shared" si="129"/>
        <v>1483.7156450315363</v>
      </c>
      <c r="CA235" s="193">
        <f t="shared" si="130"/>
        <v>14678.118850574068</v>
      </c>
      <c r="CB235" s="195">
        <f>IFERROR(G235*(IF('Inputs Yr 2'!$AJ235=CB$4,'Inputs Yr 2'!$AK235,IF('Inputs Yr 2'!$AL235=CB$4,'Inputs Yr 2'!$AM235,IF('Inputs Yr 2'!$AN235=CB$4,'Inputs Yr 2'!$AO235,0))))*(INDEX(avoidedcosttbl2,$H235,CB$2)+(($H235-ROUNDDOWN($H235,0))*(INDEX(avoidedcosttbl2,ROUNDUP($H235,0),CB$2)-(INDEX(avoidedcosttbl2,ROUNDDOWN($H235,0),CB$2)))))*'Inputs Yr 2'!P235*'Inputs Yr 2'!Q235*'Inputs Yr 2'!U235,"")</f>
        <v>0</v>
      </c>
      <c r="CC235" s="195">
        <f>IFERROR(H235*(IF('Inputs Yr 2'!$AJ235=CC$4,'Inputs Yr 2'!$AK235,IF('Inputs Yr 2'!$AL235=CC$4,'Inputs Yr 2'!$AM235,IF('Inputs Yr 2'!$AN235=CC$4,'Inputs Yr 2'!$AO235,0))))*(INDEX(avoidedcosttbl2,$H235,CC$2)+(($H235-ROUNDDOWN($H235,0))*(INDEX(avoidedcosttbl2,ROUNDUP($H235,0),CC$2)-(INDEX(avoidedcosttbl2,ROUNDDOWN($H235,0),CC$2)))))*'Inputs Yr 2'!Q235*'Inputs Yr 2'!R235*'Inputs Yr 2'!V235,"")</f>
        <v>0</v>
      </c>
      <c r="CD235" s="195">
        <f>IFERROR(I235*(IF('Inputs Yr 2'!$AJ235=CD$4,'Inputs Yr 2'!$AK235,IF('Inputs Yr 2'!$AL235=CD$4,'Inputs Yr 2'!$AM235,IF('Inputs Yr 2'!$AN235=CD$4,'Inputs Yr 2'!$AO235,0))))*(INDEX(avoidedcosttbl2,$H235,CD$2)+(($H235-ROUNDDOWN($H235,0))*(INDEX(avoidedcosttbl2,ROUNDUP($H235,0),CD$2)-(INDEX(avoidedcosttbl2,ROUNDDOWN($H235,0),CD$2)))))*'Inputs Yr 2'!R235*'Inputs Yr 2'!S235*'Inputs Yr 2'!W235,"")</f>
        <v>0</v>
      </c>
      <c r="CE235" s="213">
        <f t="shared" si="131"/>
        <v>0</v>
      </c>
      <c r="CF235" s="213">
        <f t="shared" si="132"/>
        <v>0</v>
      </c>
      <c r="CG235" s="213">
        <f t="shared" si="133"/>
        <v>0</v>
      </c>
      <c r="CH235" s="698">
        <f t="shared" si="134"/>
        <v>14678.118850574068</v>
      </c>
      <c r="CI235" s="79">
        <f>IFERROR(($G235*'Inputs Yr 2'!$P235*'Inputs Yr 2'!$Q235*(((INDEX(avoidedcosttbl2,$H235,CI$2)+(($H235-ROUNDDOWN($H235,0))*(INDEX(avoidedcosttbl2,ROUNDUP($H235,0),CI$2)-INDEX(avoidedcosttbl2,ROUNDDOWN($H235,0),CI$2))))*'Inputs Yr 2'!AS235))),"")</f>
        <v>0</v>
      </c>
      <c r="CJ235" s="504">
        <f>IFERROR($G235*'Inputs Yr 2'!AT235*'Inputs Yr 2'!$P235*'Inputs Yr 2'!$Q235/((1+realdiscrt1)^-0.5),"")</f>
        <v>0</v>
      </c>
      <c r="CK235" s="79">
        <f>IFERROR((O235*1000*(((INDEX(avoidedcosttbl2,$H235,CK$2)+(($H235-ROUNDDOWN($H235,0))*(INDEX(avoidedcosttbl2,ROUNDUP($H235,0),CK$2)-INDEX(avoidedcosttbl2,ROUNDDOWN($H235,0),CK$2))))*'Inputs Yr 2'!AU235))),"")</f>
        <v>0</v>
      </c>
      <c r="CL235" s="504">
        <f>IFERROR(O235*1000*'Inputs Yr 2'!AV235/((1+realdiscrt1)^-0.5),"")</f>
        <v>0</v>
      </c>
      <c r="CM235" s="79">
        <f>IFERROR((AB235*'Inputs Yr 2'!AW235*(((INDEX(avoidedcosttbl2,$H235,CM$2)+(($H235-ROUNDDOWN($H235,0))*(INDEX(avoidedcosttbl2,ROUNDUP($H235,0),CM$2)-INDEX(avoidedcosttbl2,ROUNDDOWN($H235,0),CM$2)))))))*10,"")</f>
        <v>0</v>
      </c>
      <c r="CN235" s="504">
        <f>IFERROR(10*AB235*'Inputs Yr 2'!AX235/((1+realdiscrt1)^-0.5),"")</f>
        <v>0</v>
      </c>
      <c r="CO235" s="505">
        <f t="shared" si="135"/>
        <v>0</v>
      </c>
      <c r="CP235" s="230">
        <f t="shared" si="136"/>
        <v>14678.118850574068</v>
      </c>
      <c r="CQ235" s="199">
        <f>ROUND(IFERROR(IF(LEFT($A235,1)="C",'Avoided Costs'!$K$13,'Avoided Costs'!$K$12)+1,""),4)</f>
        <v>1.0720000000000001</v>
      </c>
      <c r="CR235" s="199">
        <f>ROUND(IFERROR(IF(LEFT($A235,1)="C",'Avoided Costs'!$L$13,'Avoided Costs'!$L$12)+1,""),4)</f>
        <v>1.04</v>
      </c>
      <c r="CS235" s="199">
        <f>ROUND(IFERROR(IF(LEFT($A235,1)="C",'Avoided Costs'!$M$13,'Avoided Costs'!$M$12)+1,""),4)</f>
        <v>1.0720000000000001</v>
      </c>
      <c r="CT235" s="199">
        <f>ROUND(IFERROR(IF(LEFT($A235,1)="C",'Avoided Costs'!$N$13,'Avoided Costs'!$N$12)+1,""),4)</f>
        <v>1.04</v>
      </c>
      <c r="CU235" s="199">
        <f>ROUND(IFERROR(IF(LEFT($A235,1)="C",'Avoided Costs'!$O$13,'Avoided Costs'!$O$12)+1,""),4)</f>
        <v>1.1120000000000001</v>
      </c>
      <c r="CV235" s="199">
        <f>ROUND(IFERROR(IF(LEFT($A235,1)="C",'Avoided Costs'!$P$13,'Avoided Costs'!$P$12)+1,""),4)</f>
        <v>1.095</v>
      </c>
      <c r="CW235" s="199">
        <f>ROUND(IFERROR(IF(LEFT($A235,1)="C",'Avoided Costs'!$Q$13,'Avoided Costs'!$Q$12)+1,""),4)</f>
        <v>1.1120000000000001</v>
      </c>
      <c r="CX235" s="200">
        <f>ROUND(IFERROR(IF(LEFT($A235,1)="C",'Avoided Costs'!$R$13,'Avoided Costs'!$R$12)+1,""),4)</f>
        <v>1.1120000000000001</v>
      </c>
    </row>
    <row r="236" spans="1:102" ht="12.75" customHeight="1">
      <c r="A236" s="91" t="str">
        <f>IF('Inputs Yr 2'!$B236=0,"",'Inputs Yr 2'!A236)</f>
        <v>C - Commercial &amp; Industrial</v>
      </c>
      <c r="B236" s="91" t="str">
        <f>IF('Inputs Yr 2'!$B236=0,"",'Inputs Yr 2'!B236)</f>
        <v>C1 - C&amp;I New Construction</v>
      </c>
      <c r="C236" s="91" t="str">
        <f>IF('Inputs Yr 2'!$B236=0,"",'Inputs Yr 2'!C236)</f>
        <v xml:space="preserve">C1b - C&amp;I Initial Purchase &amp; End of Useful Life </v>
      </c>
      <c r="D236" s="91" t="str">
        <f>IF('Inputs Yr 2'!$B236=0,"",'Inputs Yr 2'!E236)</f>
        <v xml:space="preserve">Rack Oven </v>
      </c>
      <c r="E236" s="93" t="str">
        <f>IF('Inputs Yr 2'!$B236=0,"",'Inputs Yr 2'!F236)</f>
        <v>G16C1b34</v>
      </c>
      <c r="F236" s="93" t="str">
        <f>IF('Inputs Yr 2'!$B236=0,"",'Inputs Yr 2'!G236)</f>
        <v>Food Service</v>
      </c>
      <c r="G236" s="95">
        <f>IF('Inputs Yr 2'!$H236&lt;&gt;0,('Inputs Yr 2'!H236),"")</f>
        <v>3</v>
      </c>
      <c r="H236" s="94">
        <f>IFERROR('Inputs Yr 2'!I236,"")</f>
        <v>12</v>
      </c>
      <c r="I236" s="298">
        <f>IFERROR('Inputs Yr 2'!J236*'Inputs Yr 2'!P236*G236,"")</f>
        <v>10152.000000000002</v>
      </c>
      <c r="J236" s="298">
        <f>IFERROR('Inputs Yr 2'!K236*G236,"")</f>
        <v>3000</v>
      </c>
      <c r="K236" s="298">
        <f t="shared" si="113"/>
        <v>7152.0000000000018</v>
      </c>
      <c r="L236" s="194">
        <f>IFERROR(('Inputs Yr 2'!W236*G236)/1000,"")</f>
        <v>0</v>
      </c>
      <c r="M236" s="194">
        <f>IFERROR(L236*('Inputs Yr 2'!$Q236*'Inputs Yr 2'!$V236*'Inputs Yr 2'!$R236),"")</f>
        <v>0</v>
      </c>
      <c r="N236" s="194">
        <f t="shared" si="114"/>
        <v>0</v>
      </c>
      <c r="O236" s="194">
        <f>IFERROR(M236*'Inputs Yr 2'!P236,"")</f>
        <v>0</v>
      </c>
      <c r="P236" s="194">
        <f t="shared" si="115"/>
        <v>0</v>
      </c>
      <c r="Q236" s="194">
        <f>IFERROR($P236*'Inputs Yr 2'!AA236,"")</f>
        <v>0</v>
      </c>
      <c r="R236" s="194">
        <f>IFERROR($P236*'Inputs Yr 2'!AB236,"")</f>
        <v>0</v>
      </c>
      <c r="S236" s="194">
        <f>IFERROR($P236*'Inputs Yr 2'!AC236,"")</f>
        <v>0</v>
      </c>
      <c r="T236" s="194">
        <f>IFERROR($P236*'Inputs Yr 2'!AD236,"")</f>
        <v>0</v>
      </c>
      <c r="U236" s="194">
        <f>IFERROR(G236*'Inputs Yr 2'!$AE236*'Inputs Yr 2'!$P236*'Inputs Yr 2'!$Q236,"")</f>
        <v>0</v>
      </c>
      <c r="V236" s="194">
        <f>IFERROR($G236*'Inputs Yr 2'!$AE236*'Inputs Yr 2'!$AG236*'Inputs Yr 2'!Q236*'Inputs Yr 2'!$S236,"")</f>
        <v>0</v>
      </c>
      <c r="W236" s="194">
        <f>IFERROR($G236*'Inputs Yr 2'!$AE236*'Inputs Yr 2'!$AG236*'Inputs Yr 2'!P236*'Inputs Yr 2'!Q236*'Inputs Yr 2'!$S236,"")</f>
        <v>0</v>
      </c>
      <c r="X236" s="194">
        <f>IFERROR($G236*'Inputs Yr 2'!$AE236*'Inputs Yr 2'!$AF236*'Inputs Yr 2'!Q236*'Inputs Yr 2'!$T236,"")</f>
        <v>0</v>
      </c>
      <c r="Y236" s="194">
        <f>IFERROR($G236*'Inputs Yr 2'!$AE236*'Inputs Yr 2'!$AF236*'Inputs Yr 2'!P236*'Inputs Yr 2'!Q236*'Inputs Yr 2'!$T236,"")</f>
        <v>0</v>
      </c>
      <c r="Z236" s="257">
        <f>IFERROR($G236*'Inputs Yr 2'!$Q236*'Inputs Yr 2'!$U236*(IF(IFERROR(SEARCH("NG", 'Inputs Yr 2'!$AJ236),0),'Inputs Yr 2'!$AK236,0)+IF(IFERROR(SEARCH("NG", 'Inputs Yr 2'!$AL236),0),'Inputs Yr 2'!$AM236,0)+IF(IFERROR(SEARCH("NG", 'Inputs Yr 2'!$AN236),0),'Inputs Yr 2'!$AO236,0)),0)</f>
        <v>633.90000000000009</v>
      </c>
      <c r="AA236" s="257">
        <f t="shared" si="116"/>
        <v>7606.8000000000011</v>
      </c>
      <c r="AB236" s="257">
        <f>IFERROR(Z236*'Inputs Yr 2'!$P236,0)</f>
        <v>536.27940000000012</v>
      </c>
      <c r="AC236" s="257">
        <f t="shared" si="117"/>
        <v>6435.3528000000015</v>
      </c>
      <c r="AD236" s="257">
        <f>IFERROR($G236*'Inputs Yr 2'!$Q236*'Inputs Yr 2'!$U236*(IF(IFERROR(SEARCH("Oil", 'Inputs Yr 2'!$AJ236), 0),'Inputs Yr 2'!$AK236,0)+IF(IFERROR(SEARCH("Oil", 'Inputs Yr 2'!$AL236), 0),'Inputs Yr 2'!$AM236,0)+IF(IFERROR(SEARCH("Oil", 'Inputs Yr 2'!$AN236), 0),'Inputs Yr 2'!$AO236,0)),0)</f>
        <v>0</v>
      </c>
      <c r="AE236" s="257">
        <f t="shared" si="118"/>
        <v>0</v>
      </c>
      <c r="AF236" s="257">
        <f>IFERROR(AD236*'Inputs Yr 2'!$P236,0)</f>
        <v>0</v>
      </c>
      <c r="AG236" s="257">
        <f t="shared" si="119"/>
        <v>0</v>
      </c>
      <c r="AH236" s="257">
        <f>IFERROR($G236*'Inputs Yr 2'!$Q236*'Inputs Yr 2'!$U236*(IF('Inputs Yr 2'!$AJ236=CD$4,'Inputs Yr 2'!$AK236,IF('Inputs Yr 2'!$AL236=CD$4,'Inputs Yr 2'!$AM236,IF('Inputs Yr 2'!$AN236=CD$4,'Inputs Yr 2'!$AO236,0)))),0)</f>
        <v>0</v>
      </c>
      <c r="AI236" s="257">
        <f t="shared" si="120"/>
        <v>0</v>
      </c>
      <c r="AJ236" s="257">
        <f>IFERROR(AH236*'Inputs Yr 2'!$P236,0)</f>
        <v>0</v>
      </c>
      <c r="AK236" s="257">
        <f t="shared" si="121"/>
        <v>0</v>
      </c>
      <c r="AL236" s="258">
        <f>IFERROR($G236*'Inputs Yr 2'!$P236*'Inputs Yr 2'!$Q236*'Inputs Yr 2'!AP236,0)</f>
        <v>0</v>
      </c>
      <c r="AM236" s="260">
        <f>IFERROR($G236*'Inputs Yr 2'!$P236*'Inputs Yr 2'!$Q236*'Inputs Yr 2'!AQ236,0)</f>
        <v>0</v>
      </c>
      <c r="AN236" s="258">
        <f>IFERROR($G236*'Inputs Yr 2'!$P236*'Inputs Yr 2'!$Q236*'Inputs Yr 2'!AR236,0)</f>
        <v>0</v>
      </c>
      <c r="AO236" s="257">
        <f t="shared" si="122"/>
        <v>0</v>
      </c>
      <c r="AP236" s="195">
        <f>IFERROR($CQ236*(INDEX(avoidedcosttbl2,$H236,AP$2)+(($H236-ROUNDDOWN($H236,0))*(INDEX(avoidedcosttbl2,ROUNDUP($H236,0),AP$2)-(INDEX(avoidedcosttbl2,ROUNDDOWN($H236,0),AP$2)))))*$O236*1000*'Inputs Yr 2'!AA236,"")</f>
        <v>0</v>
      </c>
      <c r="AQ236" s="195">
        <f>IFERROR($CR236*(INDEX(avoidedcosttbl2,$H236,AQ$2)+(($H236-ROUNDDOWN($H236,0))*(INDEX(avoidedcosttbl2,ROUNDUP($H236,0),AQ$2)-(INDEX(avoidedcosttbl2,ROUNDDOWN($H236,0),AQ$2)))))*$O236*1000*'Inputs Yr 2'!AB236,"")</f>
        <v>0</v>
      </c>
      <c r="AR236" s="195">
        <f>IFERROR($CS236*(INDEX(avoidedcosttbl2,$H236,AR$2)+(($H236-ROUNDDOWN($H236,0))*(INDEX(avoidedcosttbl2,ROUNDUP($H236,0),AR$2)-(INDEX(avoidedcosttbl2,ROUNDDOWN($H236,0),AR$2)))))*$O236*1000*'Inputs Yr 2'!AC236,"")</f>
        <v>0</v>
      </c>
      <c r="AS236" s="195">
        <f>IFERROR($CT236*(INDEX(avoidedcosttbl2,$H236,AS$2)+(($H236-ROUNDDOWN($H236,0))*(INDEX(avoidedcosttbl2,ROUNDUP($H236,0),AS$2)-(INDEX(avoidedcosttbl2,ROUNDDOWN($H236,0),AS$2)))))*$O236*1000*'Inputs Yr 2'!AD236,"")</f>
        <v>0</v>
      </c>
      <c r="AT236" s="196">
        <f t="shared" si="123"/>
        <v>0</v>
      </c>
      <c r="AU236" s="197">
        <f>IFERROR($CQ236*((INDEX(avoidedcosttbl2,$H236,AU$2))+(($H236-ROUNDDOWN($H236,0))*((INDEX(avoidedcosttbl2,ROUNDUP($H236,0),AU$2))-(INDEX(avoidedcosttbl2,ROUNDDOWN($H236,0),AU$2)))))*$O236*1000*'Inputs Yr 2'!AA236,"")</f>
        <v>0</v>
      </c>
      <c r="AV236" s="197">
        <f>IFERROR($CR236*((INDEX(avoidedcosttbl2,$H236,AV$2))+(($H236-ROUNDDOWN($H236,0))*((INDEX(avoidedcosttbl2,ROUNDUP($H236,0),AV$2))-(INDEX(avoidedcosttbl2,ROUNDDOWN($H236,0),AV$2)))))*$O236*1000*'Inputs Yr 2'!AB236,"")</f>
        <v>0</v>
      </c>
      <c r="AW236" s="197">
        <f>IFERROR($CS236*((INDEX(avoidedcosttbl2,$H236,AW$2))+(($H236-ROUNDDOWN($H236,0))*((INDEX(avoidedcosttbl2,ROUNDUP($H236,0),AW$2))-(INDEX(avoidedcosttbl2,ROUNDDOWN($H236,0),AW$2)))))*$O236*1000*'Inputs Yr 2'!AC236,"")</f>
        <v>0</v>
      </c>
      <c r="AX236" s="197">
        <f>IFERROR($CT236*((INDEX(avoidedcosttbl2,$H236,AX$2))+(($H236-ROUNDDOWN($H236,0))*((INDEX(avoidedcosttbl2,ROUNDUP($H236,0),AX$2))-(INDEX(avoidedcosttbl2,ROUNDDOWN($H236,0),AX$2)))))*$O236*1000*'Inputs Yr 2'!AD236,"")</f>
        <v>0</v>
      </c>
      <c r="AY236" s="197">
        <f>IFERROR(((INDEX(avoidedcosttbl2,$H236,AY$2))+(($H236-ROUNDDOWN($H236,0))*((INDEX(avoidedcosttbl2,ROUNDUP($H236,0),AY$2))-(INDEX(avoidedcosttbl2,ROUNDDOWN($H236,0),AY$2)))))*$O236*1000*('Inputs Yr 2'!AC236+'Inputs Yr 2'!AD236),"")</f>
        <v>0</v>
      </c>
      <c r="AZ236" s="197">
        <f>IFERROR(((INDEX(avoidedcosttbl2,$H236,AZ$2))+(($H236-ROUNDDOWN($H236,0))*((INDEX(avoidedcosttbl2,ROUNDUP($H236,0),AZ$2))-(INDEX(avoidedcosttbl2,ROUNDDOWN($H236,0),AZ$2)))))*$O236*1000*('Inputs Yr 2'!AA236+'Inputs Yr 2'!AB236),"")</f>
        <v>0</v>
      </c>
      <c r="BA236" s="198">
        <f t="shared" si="124"/>
        <v>0</v>
      </c>
      <c r="BB236" s="198">
        <f t="shared" si="125"/>
        <v>0</v>
      </c>
      <c r="BC236" s="195">
        <f t="shared" si="107"/>
        <v>0</v>
      </c>
      <c r="BD236" s="195">
        <f t="shared" si="108"/>
        <v>0</v>
      </c>
      <c r="BE236" s="195">
        <f t="shared" si="109"/>
        <v>0</v>
      </c>
      <c r="BF236" s="195">
        <f t="shared" si="110"/>
        <v>0</v>
      </c>
      <c r="BG236" s="195">
        <f t="shared" si="111"/>
        <v>0</v>
      </c>
      <c r="BH236" s="196">
        <f t="shared" si="126"/>
        <v>0</v>
      </c>
      <c r="BI236" s="196">
        <f t="shared" si="127"/>
        <v>0</v>
      </c>
      <c r="BJ236" s="195">
        <f>IFERROR($G236*(IF('Inputs Yr 2'!$AJ236=BJ$4,'Inputs Yr 2'!$AK236,IF('Inputs Yr 2'!$AL236=BJ$4,'Inputs Yr 2'!$AM236,IF('Inputs Yr 2'!$AN236=BJ$4,'Inputs Yr 2'!$AO236,0))))*(INDEX(avoidedcosttbl2,$H236,BJ$2)+(($H236-ROUNDDOWN($H236,0))*(INDEX(avoidedcosttbl2,ROUNDUP($H236,0),BJ$2)-(INDEX(avoidedcosttbl2,ROUNDDOWN($H236,0),BJ$2)))))*'Inputs Yr 2'!P236*'Inputs Yr 2'!Q236*'Inputs Yr 2'!U236,"")</f>
        <v>0</v>
      </c>
      <c r="BK236" s="195">
        <f>IFERROR($G236*(IF('Inputs Yr 2'!$AJ236=BK$4,'Inputs Yr 2'!$AK236,IF('Inputs Yr 2'!$AL236=BK$4,'Inputs Yr 2'!$AM236,IF('Inputs Yr 2'!$AN236=BK$4,'Inputs Yr 2'!$AO236,0))))*(INDEX(avoidedcosttbl2,$H236,BK$2)+(($H236-ROUNDDOWN($H236,0))*(INDEX(avoidedcosttbl2,ROUNDUP($H236,0),BK$2)-(INDEX(avoidedcosttbl2,ROUNDDOWN($H236,0),BK$2)))))*'Inputs Yr 2'!P236*'Inputs Yr 2'!Q236*'Inputs Yr 2'!U236,"")</f>
        <v>0</v>
      </c>
      <c r="BL236" s="195">
        <f>IFERROR($G236*(IF('Inputs Yr 2'!$AJ236=BL$4,'Inputs Yr 2'!$AK236,IF('Inputs Yr 2'!$AL236=BL$4,'Inputs Yr 2'!$AM236,IF('Inputs Yr 2'!$AN236=BL$4,'Inputs Yr 2'!$AO236,0))))*(INDEX(avoidedcosttbl2,$H236,BL$2)+(($H236-ROUNDDOWN($H236,0))*(INDEX(avoidedcosttbl2,ROUNDUP($H236,0),BL$2)-(INDEX(avoidedcosttbl2,ROUNDDOWN($H236,0),BL$2)))))*'Inputs Yr 2'!P236*'Inputs Yr 2'!Q236*'Inputs Yr 2'!U236,"")</f>
        <v>0</v>
      </c>
      <c r="BM236" s="195">
        <f>IFERROR($G236*(IF('Inputs Yr 2'!$AJ236=BM$4,'Inputs Yr 2'!$AK236,IF('Inputs Yr 2'!$AL236=BM$4,'Inputs Yr 2'!$AM236,IF('Inputs Yr 2'!$AN236=BM$4,'Inputs Yr 2'!$AO236,0))))*(INDEX(avoidedcosttbl2,$H236,BM$2)+(($H236-ROUNDDOWN($H236,0))*(INDEX(avoidedcosttbl2,ROUNDUP($H236,0),BM$2)-(INDEX(avoidedcosttbl2,ROUNDDOWN($H236,0),BM$2)))))*'Inputs Yr 2'!P236*'Inputs Yr 2'!Q236*'Inputs Yr 2'!U236,"")</f>
        <v>0</v>
      </c>
      <c r="BN236" s="195">
        <f>IFERROR($G236*(IF('Inputs Yr 2'!$AJ236=BN$4,'Inputs Yr 2'!$AK236,IF('Inputs Yr 2'!$AL236=BN$4,'Inputs Yr 2'!$AM236,IF('Inputs Yr 2'!$AN236=BN$4,'Inputs Yr 2'!$AO236,0))))*(INDEX(avoidedcosttbl2,$H236,BN$2)+(($H236-ROUNDDOWN($H236,0))*(INDEX(avoidedcosttbl2,ROUNDUP($H236,0),BN$2)-(INDEX(avoidedcosttbl2,ROUNDDOWN($H236,0),BN$2)))))*'Inputs Yr 2'!P236*'Inputs Yr 2'!Q236*'Inputs Yr 2'!U236,"")</f>
        <v>0</v>
      </c>
      <c r="BO236" s="195">
        <f>IFERROR($G236*(IF('Inputs Yr 2'!$AJ236=BO$4,'Inputs Yr 2'!$AK236,IF('Inputs Yr 2'!$AL236=BO$4,'Inputs Yr 2'!$AM236,IF('Inputs Yr 2'!$AN236=BO$4,'Inputs Yr 2'!$AO236,0))))*(INDEX(avoidedcosttbl2,$H236,BO$2)+(($H236-ROUNDDOWN($H236,0))*(INDEX(avoidedcosttbl2,ROUNDUP($H236,0),BO$2)-(INDEX(avoidedcosttbl2,ROUNDDOWN($H236,0),BO$2)))))*'Inputs Yr 2'!P236*'Inputs Yr 2'!Q236*'Inputs Yr 2'!U236,"")</f>
        <v>0</v>
      </c>
      <c r="BP236" s="195">
        <f>IFERROR($G236*(IF('Inputs Yr 2'!$AJ236=BP$4,'Inputs Yr 2'!$AK236,IF('Inputs Yr 2'!$AL236=BP$4,'Inputs Yr 2'!$AM236,IF('Inputs Yr 2'!$AN236=BP$4,'Inputs Yr 2'!$AO236,0))))*(INDEX(avoidedcosttbl2,$H236,BP$2)+(($H236-ROUNDDOWN($H236,0))*(INDEX(avoidedcosttbl2,ROUNDUP($H236,0),BP$2)-(INDEX(avoidedcosttbl2,ROUNDDOWN($H236,0),BP$2)))))*'Inputs Yr 2'!P236*'Inputs Yr 2'!Q236*'Inputs Yr 2'!U236,"")</f>
        <v>47307.308778243292</v>
      </c>
      <c r="BQ236" s="230">
        <f t="shared" si="128"/>
        <v>47307.308778243292</v>
      </c>
      <c r="BR236" s="197">
        <f t="shared" si="112"/>
        <v>877.96610720750459</v>
      </c>
      <c r="BS236" s="197">
        <f>IFERROR(($G236*IF('Inputs Yr 2'!$AJ236=BM$4,'Inputs Yr 2'!$AK236,IF('Inputs Yr 2'!$AL236=BM$4,'Inputs Yr 2'!$AM236,IF('Inputs Yr 2'!$AN236=BM$4,'Inputs Yr 2'!$AO236,0))))*(INDEX(avoidedcosttbl2,$H236,BS$2)+(($H236-ROUNDDOWN($H236,0))*(INDEX(avoidedcosttbl2,ROUNDUP($H236,0),BS$2)-(INDEX(avoidedcosttbl2,ROUNDDOWN($H236,0),BS$2)))))*'Inputs Yr 2'!P236*'Inputs Yr 2'!Q236*'Inputs Yr 2'!U236,"")</f>
        <v>0</v>
      </c>
      <c r="BT236" s="197">
        <f>IFERROR(($G236*IF('Inputs Yr 2'!$AJ236=BK$4,'Inputs Yr 2'!$AK236,IF('Inputs Yr 2'!$AL236=BK$4,'Inputs Yr 2'!$AM236,IF('Inputs Yr 2'!$AN236=BK$4,'Inputs Yr 2'!$AO236,0))))*(INDEX(avoidedcosttbl2,$H236,BT$2)+(($H236-ROUNDDOWN($H236,0))*(INDEX(avoidedcosttbl2,ROUNDUP($H236,0),BT$2)-(INDEX(avoidedcosttbl2,ROUNDDOWN($H236,0),BT$2)))))*'Inputs Yr 2'!P236*'Inputs Yr 2'!Q236*'Inputs Yr 2'!U236,"")</f>
        <v>0</v>
      </c>
      <c r="BU236" s="197">
        <f>IFERROR(($G236*IF('Inputs Yr 2'!$AJ236=BL$4,'Inputs Yr 2'!$AK236,IF('Inputs Yr 2'!$AL236=BL$4,'Inputs Yr 2'!$AM236,IF('Inputs Yr 2'!$AN236=BL$4,'Inputs Yr 2'!$AO236,0))))*(INDEX(avoidedcosttbl2,$H236,BU$2)+(($H236-ROUNDDOWN($H236,0))*(INDEX(avoidedcosttbl2,ROUNDUP($H236,0),BU$2)-(INDEX(avoidedcosttbl2,ROUNDDOWN($H236,0),BU$2)))))*'Inputs Yr 2'!P236*'Inputs Yr 2'!Q236*'Inputs Yr 2'!U236,"")</f>
        <v>0</v>
      </c>
      <c r="BV236" s="775">
        <f>IFERROR(($G236*IF('Inputs Yr 2'!$AJ236=BJ$4,'Inputs Yr 2'!$AK236,IF('Inputs Yr 2'!$AL236=BJ$4,'Inputs Yr 2'!$AM236,IF('Inputs Yr 2'!$AN236=BJ$4,'Inputs Yr 2'!$AO236,0))))*(INDEX(avoidedcosttbl2,$H236,BV$2)+(($H236-ROUNDDOWN($H236,0))*(INDEX(avoidedcosttbl2,ROUNDUP($H236,0),BV$2)-(INDEX(avoidedcosttbl2,ROUNDDOWN($H236,0),BV$2)))))*'Inputs Yr 2'!P236*'Inputs Yr 2'!Q236*'Inputs Yr 2'!U236,"")</f>
        <v>0</v>
      </c>
      <c r="BW236" s="197">
        <f>IFERROR(($G236*IF('Inputs Yr 2'!$AJ236=BN$4,'Inputs Yr 2'!$AK236,IF('Inputs Yr 2'!$AL236=BN$4,'Inputs Yr 2'!$AM236,IF('Inputs Yr 2'!$AN236=BN$4,'Inputs Yr 2'!$AO236,0))))*(INDEX(avoidedcosttbl2,$H236,BW$2)+(($H236-ROUNDDOWN($H236,0))*(INDEX(avoidedcosttbl2,ROUNDUP($H236,0),BW$2)-(INDEX(avoidedcosttbl2,ROUNDDOWN($H236,0),BW$2)))))*'Inputs Yr 2'!P236*'Inputs Yr 2'!Q236*'Inputs Yr 2'!U236,"")</f>
        <v>0</v>
      </c>
      <c r="BX236" s="197">
        <f>IFERROR(($G236*IF('Inputs Yr 2'!$AJ236=BO$4,'Inputs Yr 2'!$AK236,IF('Inputs Yr 2'!$AL236=BO$4,'Inputs Yr 2'!$AM236,IF('Inputs Yr 2'!$AN236=BO$4,'Inputs Yr 2'!$AO236,0))))*(INDEX(avoidedcosttbl2,$H236,BX$2)+(($H236-ROUNDDOWN($H236,0))*(INDEX(avoidedcosttbl2,ROUNDUP($H236,0),BX$2)-(INDEX(avoidedcosttbl2,ROUNDDOWN($H236,0),BX$2)))))*'Inputs Yr 2'!P236*'Inputs Yr 2'!Q236*'Inputs Yr 2'!U236,"")</f>
        <v>0</v>
      </c>
      <c r="BY236" s="197">
        <f>IFERROR(($G236*IF('Inputs Yr 2'!$AJ236=BP$4,'Inputs Yr 2'!$AK236,IF('Inputs Yr 2'!$AL236=BP$4,'Inputs Yr 2'!$AM236,IF('Inputs Yr 2'!$AN236=BP$4,'Inputs Yr 2'!$AO236,0))))*(INDEX(avoidedcosttbl2,$H236,BY$2)+(($H236-ROUNDDOWN($H236,0))*(INDEX(avoidedcosttbl2,ROUNDUP($H236,0),BY$2)-(INDEX(avoidedcosttbl2,ROUNDDOWN($H236,0),BY$2)))))*'Inputs Yr 2'!P236*'Inputs Yr 2'!Q236*'Inputs Yr 2'!U236,"")</f>
        <v>4441.7587083212911</v>
      </c>
      <c r="BZ236" s="193">
        <f t="shared" si="129"/>
        <v>5319.7248155287962</v>
      </c>
      <c r="CA236" s="193">
        <f t="shared" si="130"/>
        <v>52627.033593772088</v>
      </c>
      <c r="CB236" s="195">
        <f>IFERROR(G236*(IF('Inputs Yr 2'!$AJ236=CB$4,'Inputs Yr 2'!$AK236,IF('Inputs Yr 2'!$AL236=CB$4,'Inputs Yr 2'!$AM236,IF('Inputs Yr 2'!$AN236=CB$4,'Inputs Yr 2'!$AO236,0))))*(INDEX(avoidedcosttbl2,$H236,CB$2)+(($H236-ROUNDDOWN($H236,0))*(INDEX(avoidedcosttbl2,ROUNDUP($H236,0),CB$2)-(INDEX(avoidedcosttbl2,ROUNDDOWN($H236,0),CB$2)))))*'Inputs Yr 2'!P236*'Inputs Yr 2'!Q236*'Inputs Yr 2'!U236,"")</f>
        <v>0</v>
      </c>
      <c r="CC236" s="195">
        <f>IFERROR(H236*(IF('Inputs Yr 2'!$AJ236=CC$4,'Inputs Yr 2'!$AK236,IF('Inputs Yr 2'!$AL236=CC$4,'Inputs Yr 2'!$AM236,IF('Inputs Yr 2'!$AN236=CC$4,'Inputs Yr 2'!$AO236,0))))*(INDEX(avoidedcosttbl2,$H236,CC$2)+(($H236-ROUNDDOWN($H236,0))*(INDEX(avoidedcosttbl2,ROUNDUP($H236,0),CC$2)-(INDEX(avoidedcosttbl2,ROUNDDOWN($H236,0),CC$2)))))*'Inputs Yr 2'!Q236*'Inputs Yr 2'!R236*'Inputs Yr 2'!V236,"")</f>
        <v>0</v>
      </c>
      <c r="CD236" s="195">
        <f>IFERROR(I236*(IF('Inputs Yr 2'!$AJ236=CD$4,'Inputs Yr 2'!$AK236,IF('Inputs Yr 2'!$AL236=CD$4,'Inputs Yr 2'!$AM236,IF('Inputs Yr 2'!$AN236=CD$4,'Inputs Yr 2'!$AO236,0))))*(INDEX(avoidedcosttbl2,$H236,CD$2)+(($H236-ROUNDDOWN($H236,0))*(INDEX(avoidedcosttbl2,ROUNDUP($H236,0),CD$2)-(INDEX(avoidedcosttbl2,ROUNDDOWN($H236,0),CD$2)))))*'Inputs Yr 2'!R236*'Inputs Yr 2'!S236*'Inputs Yr 2'!W236,"")</f>
        <v>0</v>
      </c>
      <c r="CE236" s="213">
        <f t="shared" si="131"/>
        <v>0</v>
      </c>
      <c r="CF236" s="213">
        <f t="shared" si="132"/>
        <v>0</v>
      </c>
      <c r="CG236" s="213">
        <f t="shared" si="133"/>
        <v>0</v>
      </c>
      <c r="CH236" s="698">
        <f t="shared" si="134"/>
        <v>52627.033593772088</v>
      </c>
      <c r="CI236" s="79">
        <f>IFERROR(($G236*'Inputs Yr 2'!$P236*'Inputs Yr 2'!$Q236*(((INDEX(avoidedcosttbl2,$H236,CI$2)+(($H236-ROUNDDOWN($H236,0))*(INDEX(avoidedcosttbl2,ROUNDUP($H236,0),CI$2)-INDEX(avoidedcosttbl2,ROUNDDOWN($H236,0),CI$2))))*'Inputs Yr 2'!AS236))),"")</f>
        <v>0</v>
      </c>
      <c r="CJ236" s="504">
        <f>IFERROR($G236*'Inputs Yr 2'!AT236*'Inputs Yr 2'!$P236*'Inputs Yr 2'!$Q236/((1+realdiscrt1)^-0.5),"")</f>
        <v>0</v>
      </c>
      <c r="CK236" s="79">
        <f>IFERROR((O236*1000*(((INDEX(avoidedcosttbl2,$H236,CK$2)+(($H236-ROUNDDOWN($H236,0))*(INDEX(avoidedcosttbl2,ROUNDUP($H236,0),CK$2)-INDEX(avoidedcosttbl2,ROUNDDOWN($H236,0),CK$2))))*'Inputs Yr 2'!AU236))),"")</f>
        <v>0</v>
      </c>
      <c r="CL236" s="504">
        <f>IFERROR(O236*1000*'Inputs Yr 2'!AV236/((1+realdiscrt1)^-0.5),"")</f>
        <v>0</v>
      </c>
      <c r="CM236" s="79">
        <f>IFERROR((AB236*'Inputs Yr 2'!AW236*(((INDEX(avoidedcosttbl2,$H236,CM$2)+(($H236-ROUNDDOWN($H236,0))*(INDEX(avoidedcosttbl2,ROUNDUP($H236,0),CM$2)-INDEX(avoidedcosttbl2,ROUNDDOWN($H236,0),CM$2)))))))*10,"")</f>
        <v>0</v>
      </c>
      <c r="CN236" s="504">
        <f>IFERROR(10*AB236*'Inputs Yr 2'!AX236/((1+realdiscrt1)^-0.5),"")</f>
        <v>0</v>
      </c>
      <c r="CO236" s="505">
        <f t="shared" si="135"/>
        <v>0</v>
      </c>
      <c r="CP236" s="230">
        <f t="shared" si="136"/>
        <v>52627.033593772088</v>
      </c>
      <c r="CQ236" s="199">
        <f>ROUND(IFERROR(IF(LEFT($A236,1)="C",'Avoided Costs'!$K$13,'Avoided Costs'!$K$12)+1,""),4)</f>
        <v>1.0720000000000001</v>
      </c>
      <c r="CR236" s="199">
        <f>ROUND(IFERROR(IF(LEFT($A236,1)="C",'Avoided Costs'!$L$13,'Avoided Costs'!$L$12)+1,""),4)</f>
        <v>1.04</v>
      </c>
      <c r="CS236" s="199">
        <f>ROUND(IFERROR(IF(LEFT($A236,1)="C",'Avoided Costs'!$M$13,'Avoided Costs'!$M$12)+1,""),4)</f>
        <v>1.0720000000000001</v>
      </c>
      <c r="CT236" s="199">
        <f>ROUND(IFERROR(IF(LEFT($A236,1)="C",'Avoided Costs'!$N$13,'Avoided Costs'!$N$12)+1,""),4)</f>
        <v>1.04</v>
      </c>
      <c r="CU236" s="199">
        <f>ROUND(IFERROR(IF(LEFT($A236,1)="C",'Avoided Costs'!$O$13,'Avoided Costs'!$O$12)+1,""),4)</f>
        <v>1.1120000000000001</v>
      </c>
      <c r="CV236" s="199">
        <f>ROUND(IFERROR(IF(LEFT($A236,1)="C",'Avoided Costs'!$P$13,'Avoided Costs'!$P$12)+1,""),4)</f>
        <v>1.095</v>
      </c>
      <c r="CW236" s="199">
        <f>ROUND(IFERROR(IF(LEFT($A236,1)="C",'Avoided Costs'!$Q$13,'Avoided Costs'!$Q$12)+1,""),4)</f>
        <v>1.1120000000000001</v>
      </c>
      <c r="CX236" s="200">
        <f>ROUND(IFERROR(IF(LEFT($A236,1)="C",'Avoided Costs'!$R$13,'Avoided Costs'!$R$12)+1,""),4)</f>
        <v>1.1120000000000001</v>
      </c>
    </row>
    <row r="237" spans="1:102" ht="12.75" customHeight="1">
      <c r="A237" s="91" t="str">
        <f>IF('Inputs Yr 2'!$B237=0,"",'Inputs Yr 2'!A237)</f>
        <v>C - Commercial &amp; Industrial</v>
      </c>
      <c r="B237" s="91" t="str">
        <f>IF('Inputs Yr 2'!$B237=0,"",'Inputs Yr 2'!B237)</f>
        <v>C1 - C&amp;I New Construction</v>
      </c>
      <c r="C237" s="91" t="str">
        <f>IF('Inputs Yr 2'!$B237=0,"",'Inputs Yr 2'!C237)</f>
        <v xml:space="preserve">C1b - C&amp;I Initial Purchase &amp; End of Useful Life </v>
      </c>
      <c r="D237" s="91" t="str">
        <f>IF('Inputs Yr 2'!$B237=0,"",'Inputs Yr 2'!E237)</f>
        <v>Griddle</v>
      </c>
      <c r="E237" s="93" t="str">
        <f>IF('Inputs Yr 2'!$B237=0,"",'Inputs Yr 2'!F237)</f>
        <v>G16C1b35</v>
      </c>
      <c r="F237" s="93" t="str">
        <f>IF('Inputs Yr 2'!$B237=0,"",'Inputs Yr 2'!G237)</f>
        <v>Food Service</v>
      </c>
      <c r="G237" s="95">
        <f>IF('Inputs Yr 2'!$H237&lt;&gt;0,('Inputs Yr 2'!H237),"")</f>
        <v>1</v>
      </c>
      <c r="H237" s="94">
        <f>IFERROR('Inputs Yr 2'!I237,"")</f>
        <v>12</v>
      </c>
      <c r="I237" s="298">
        <f>IFERROR('Inputs Yr 2'!J237*'Inputs Yr 2'!P237*G237,"")</f>
        <v>985.59000000000015</v>
      </c>
      <c r="J237" s="298">
        <f>IFERROR('Inputs Yr 2'!K237*G237,"")</f>
        <v>500</v>
      </c>
      <c r="K237" s="298">
        <f t="shared" si="113"/>
        <v>485.59000000000015</v>
      </c>
      <c r="L237" s="194">
        <f>IFERROR(('Inputs Yr 2'!W237*G237)/1000,"")</f>
        <v>0</v>
      </c>
      <c r="M237" s="194">
        <f>IFERROR(L237*('Inputs Yr 2'!$Q237*'Inputs Yr 2'!$V237*'Inputs Yr 2'!$R237),"")</f>
        <v>0</v>
      </c>
      <c r="N237" s="194">
        <f t="shared" si="114"/>
        <v>0</v>
      </c>
      <c r="O237" s="194">
        <f>IFERROR(M237*'Inputs Yr 2'!P237,"")</f>
        <v>0</v>
      </c>
      <c r="P237" s="194">
        <f t="shared" si="115"/>
        <v>0</v>
      </c>
      <c r="Q237" s="194">
        <f>IFERROR($P237*'Inputs Yr 2'!AA237,"")</f>
        <v>0</v>
      </c>
      <c r="R237" s="194">
        <f>IFERROR($P237*'Inputs Yr 2'!AB237,"")</f>
        <v>0</v>
      </c>
      <c r="S237" s="194">
        <f>IFERROR($P237*'Inputs Yr 2'!AC237,"")</f>
        <v>0</v>
      </c>
      <c r="T237" s="194">
        <f>IFERROR($P237*'Inputs Yr 2'!AD237,"")</f>
        <v>0</v>
      </c>
      <c r="U237" s="194">
        <f>IFERROR(G237*'Inputs Yr 2'!$AE237*'Inputs Yr 2'!$P237*'Inputs Yr 2'!$Q237,"")</f>
        <v>0</v>
      </c>
      <c r="V237" s="194">
        <f>IFERROR($G237*'Inputs Yr 2'!$AE237*'Inputs Yr 2'!$AG237*'Inputs Yr 2'!Q237*'Inputs Yr 2'!$S237,"")</f>
        <v>0</v>
      </c>
      <c r="W237" s="194">
        <f>IFERROR($G237*'Inputs Yr 2'!$AE237*'Inputs Yr 2'!$AG237*'Inputs Yr 2'!P237*'Inputs Yr 2'!Q237*'Inputs Yr 2'!$S237,"")</f>
        <v>0</v>
      </c>
      <c r="X237" s="194">
        <f>IFERROR($G237*'Inputs Yr 2'!$AE237*'Inputs Yr 2'!$AF237*'Inputs Yr 2'!Q237*'Inputs Yr 2'!$T237,"")</f>
        <v>0</v>
      </c>
      <c r="Y237" s="194">
        <f>IFERROR($G237*'Inputs Yr 2'!$AE237*'Inputs Yr 2'!$AF237*'Inputs Yr 2'!P237*'Inputs Yr 2'!Q237*'Inputs Yr 2'!$T237,"")</f>
        <v>0</v>
      </c>
      <c r="Z237" s="257">
        <f>IFERROR($G237*'Inputs Yr 2'!$Q237*'Inputs Yr 2'!$U237*(IF(IFERROR(SEARCH("NG", 'Inputs Yr 2'!$AJ237),0),'Inputs Yr 2'!$AK237,0)+IF(IFERROR(SEARCH("NG", 'Inputs Yr 2'!$AL237),0),'Inputs Yr 2'!$AM237,0)+IF(IFERROR(SEARCH("NG", 'Inputs Yr 2'!$AN237),0),'Inputs Yr 2'!$AO237,0)),0)</f>
        <v>13.1</v>
      </c>
      <c r="AA237" s="257">
        <f t="shared" si="116"/>
        <v>157.19999999999999</v>
      </c>
      <c r="AB237" s="257">
        <f>IFERROR(Z237*'Inputs Yr 2'!$P237,0)</f>
        <v>11.082600000000001</v>
      </c>
      <c r="AC237" s="257">
        <f t="shared" si="117"/>
        <v>132.99120000000002</v>
      </c>
      <c r="AD237" s="257">
        <f>IFERROR($G237*'Inputs Yr 2'!$Q237*'Inputs Yr 2'!$U237*(IF(IFERROR(SEARCH("Oil", 'Inputs Yr 2'!$AJ237), 0),'Inputs Yr 2'!$AK237,0)+IF(IFERROR(SEARCH("Oil", 'Inputs Yr 2'!$AL237), 0),'Inputs Yr 2'!$AM237,0)+IF(IFERROR(SEARCH("Oil", 'Inputs Yr 2'!$AN237), 0),'Inputs Yr 2'!$AO237,0)),0)</f>
        <v>0</v>
      </c>
      <c r="AE237" s="257">
        <f t="shared" si="118"/>
        <v>0</v>
      </c>
      <c r="AF237" s="257">
        <f>IFERROR(AD237*'Inputs Yr 2'!$P237,0)</f>
        <v>0</v>
      </c>
      <c r="AG237" s="257">
        <f t="shared" si="119"/>
        <v>0</v>
      </c>
      <c r="AH237" s="257">
        <f>IFERROR($G237*'Inputs Yr 2'!$Q237*'Inputs Yr 2'!$U237*(IF('Inputs Yr 2'!$AJ237=CD$4,'Inputs Yr 2'!$AK237,IF('Inputs Yr 2'!$AL237=CD$4,'Inputs Yr 2'!$AM237,IF('Inputs Yr 2'!$AN237=CD$4,'Inputs Yr 2'!$AO237,0)))),0)</f>
        <v>0</v>
      </c>
      <c r="AI237" s="257">
        <f t="shared" si="120"/>
        <v>0</v>
      </c>
      <c r="AJ237" s="257">
        <f>IFERROR(AH237*'Inputs Yr 2'!$P237,0)</f>
        <v>0</v>
      </c>
      <c r="AK237" s="257">
        <f t="shared" si="121"/>
        <v>0</v>
      </c>
      <c r="AL237" s="258">
        <f>IFERROR($G237*'Inputs Yr 2'!$P237*'Inputs Yr 2'!$Q237*'Inputs Yr 2'!AP237,0)</f>
        <v>0</v>
      </c>
      <c r="AM237" s="260">
        <f>IFERROR($G237*'Inputs Yr 2'!$P237*'Inputs Yr 2'!$Q237*'Inputs Yr 2'!AQ237,0)</f>
        <v>0</v>
      </c>
      <c r="AN237" s="258">
        <f>IFERROR($G237*'Inputs Yr 2'!$P237*'Inputs Yr 2'!$Q237*'Inputs Yr 2'!AR237,0)</f>
        <v>0</v>
      </c>
      <c r="AO237" s="257">
        <f t="shared" si="122"/>
        <v>0</v>
      </c>
      <c r="AP237" s="195">
        <f>IFERROR($CQ237*(INDEX(avoidedcosttbl2,$H237,AP$2)+(($H237-ROUNDDOWN($H237,0))*(INDEX(avoidedcosttbl2,ROUNDUP($H237,0),AP$2)-(INDEX(avoidedcosttbl2,ROUNDDOWN($H237,0),AP$2)))))*$O237*1000*'Inputs Yr 2'!AA237,"")</f>
        <v>0</v>
      </c>
      <c r="AQ237" s="195">
        <f>IFERROR($CR237*(INDEX(avoidedcosttbl2,$H237,AQ$2)+(($H237-ROUNDDOWN($H237,0))*(INDEX(avoidedcosttbl2,ROUNDUP($H237,0),AQ$2)-(INDEX(avoidedcosttbl2,ROUNDDOWN($H237,0),AQ$2)))))*$O237*1000*'Inputs Yr 2'!AB237,"")</f>
        <v>0</v>
      </c>
      <c r="AR237" s="195">
        <f>IFERROR($CS237*(INDEX(avoidedcosttbl2,$H237,AR$2)+(($H237-ROUNDDOWN($H237,0))*(INDEX(avoidedcosttbl2,ROUNDUP($H237,0),AR$2)-(INDEX(avoidedcosttbl2,ROUNDDOWN($H237,0),AR$2)))))*$O237*1000*'Inputs Yr 2'!AC237,"")</f>
        <v>0</v>
      </c>
      <c r="AS237" s="195">
        <f>IFERROR($CT237*(INDEX(avoidedcosttbl2,$H237,AS$2)+(($H237-ROUNDDOWN($H237,0))*(INDEX(avoidedcosttbl2,ROUNDUP($H237,0),AS$2)-(INDEX(avoidedcosttbl2,ROUNDDOWN($H237,0),AS$2)))))*$O237*1000*'Inputs Yr 2'!AD237,"")</f>
        <v>0</v>
      </c>
      <c r="AT237" s="196">
        <f t="shared" si="123"/>
        <v>0</v>
      </c>
      <c r="AU237" s="197">
        <f>IFERROR($CQ237*((INDEX(avoidedcosttbl2,$H237,AU$2))+(($H237-ROUNDDOWN($H237,0))*((INDEX(avoidedcosttbl2,ROUNDUP($H237,0),AU$2))-(INDEX(avoidedcosttbl2,ROUNDDOWN($H237,0),AU$2)))))*$O237*1000*'Inputs Yr 2'!AA237,"")</f>
        <v>0</v>
      </c>
      <c r="AV237" s="197">
        <f>IFERROR($CR237*((INDEX(avoidedcosttbl2,$H237,AV$2))+(($H237-ROUNDDOWN($H237,0))*((INDEX(avoidedcosttbl2,ROUNDUP($H237,0),AV$2))-(INDEX(avoidedcosttbl2,ROUNDDOWN($H237,0),AV$2)))))*$O237*1000*'Inputs Yr 2'!AB237,"")</f>
        <v>0</v>
      </c>
      <c r="AW237" s="197">
        <f>IFERROR($CS237*((INDEX(avoidedcosttbl2,$H237,AW$2))+(($H237-ROUNDDOWN($H237,0))*((INDEX(avoidedcosttbl2,ROUNDUP($H237,0),AW$2))-(INDEX(avoidedcosttbl2,ROUNDDOWN($H237,0),AW$2)))))*$O237*1000*'Inputs Yr 2'!AC237,"")</f>
        <v>0</v>
      </c>
      <c r="AX237" s="197">
        <f>IFERROR($CT237*((INDEX(avoidedcosttbl2,$H237,AX$2))+(($H237-ROUNDDOWN($H237,0))*((INDEX(avoidedcosttbl2,ROUNDUP($H237,0),AX$2))-(INDEX(avoidedcosttbl2,ROUNDDOWN($H237,0),AX$2)))))*$O237*1000*'Inputs Yr 2'!AD237,"")</f>
        <v>0</v>
      </c>
      <c r="AY237" s="197">
        <f>IFERROR(((INDEX(avoidedcosttbl2,$H237,AY$2))+(($H237-ROUNDDOWN($H237,0))*((INDEX(avoidedcosttbl2,ROUNDUP($H237,0),AY$2))-(INDEX(avoidedcosttbl2,ROUNDDOWN($H237,0),AY$2)))))*$O237*1000*('Inputs Yr 2'!AC237+'Inputs Yr 2'!AD237),"")</f>
        <v>0</v>
      </c>
      <c r="AZ237" s="197">
        <f>IFERROR(((INDEX(avoidedcosttbl2,$H237,AZ$2))+(($H237-ROUNDDOWN($H237,0))*((INDEX(avoidedcosttbl2,ROUNDUP($H237,0),AZ$2))-(INDEX(avoidedcosttbl2,ROUNDDOWN($H237,0),AZ$2)))))*$O237*1000*('Inputs Yr 2'!AA237+'Inputs Yr 2'!AB237),"")</f>
        <v>0</v>
      </c>
      <c r="BA237" s="198">
        <f t="shared" si="124"/>
        <v>0</v>
      </c>
      <c r="BB237" s="198">
        <f t="shared" si="125"/>
        <v>0</v>
      </c>
      <c r="BC237" s="195">
        <f t="shared" si="107"/>
        <v>0</v>
      </c>
      <c r="BD237" s="195">
        <f t="shared" si="108"/>
        <v>0</v>
      </c>
      <c r="BE237" s="195">
        <f t="shared" si="109"/>
        <v>0</v>
      </c>
      <c r="BF237" s="195">
        <f t="shared" si="110"/>
        <v>0</v>
      </c>
      <c r="BG237" s="195">
        <f t="shared" si="111"/>
        <v>0</v>
      </c>
      <c r="BH237" s="196">
        <f t="shared" si="126"/>
        <v>0</v>
      </c>
      <c r="BI237" s="196">
        <f t="shared" si="127"/>
        <v>0</v>
      </c>
      <c r="BJ237" s="195">
        <f>IFERROR($G237*(IF('Inputs Yr 2'!$AJ237=BJ$4,'Inputs Yr 2'!$AK237,IF('Inputs Yr 2'!$AL237=BJ$4,'Inputs Yr 2'!$AM237,IF('Inputs Yr 2'!$AN237=BJ$4,'Inputs Yr 2'!$AO237,0))))*(INDEX(avoidedcosttbl2,$H237,BJ$2)+(($H237-ROUNDDOWN($H237,0))*(INDEX(avoidedcosttbl2,ROUNDUP($H237,0),BJ$2)-(INDEX(avoidedcosttbl2,ROUNDDOWN($H237,0),BJ$2)))))*'Inputs Yr 2'!P237*'Inputs Yr 2'!Q237*'Inputs Yr 2'!U237,"")</f>
        <v>0</v>
      </c>
      <c r="BK237" s="195">
        <f>IFERROR($G237*(IF('Inputs Yr 2'!$AJ237=BK$4,'Inputs Yr 2'!$AK237,IF('Inputs Yr 2'!$AL237=BK$4,'Inputs Yr 2'!$AM237,IF('Inputs Yr 2'!$AN237=BK$4,'Inputs Yr 2'!$AO237,0))))*(INDEX(avoidedcosttbl2,$H237,BK$2)+(($H237-ROUNDDOWN($H237,0))*(INDEX(avoidedcosttbl2,ROUNDUP($H237,0),BK$2)-(INDEX(avoidedcosttbl2,ROUNDDOWN($H237,0),BK$2)))))*'Inputs Yr 2'!P237*'Inputs Yr 2'!Q237*'Inputs Yr 2'!U237,"")</f>
        <v>0</v>
      </c>
      <c r="BL237" s="195">
        <f>IFERROR($G237*(IF('Inputs Yr 2'!$AJ237=BL$4,'Inputs Yr 2'!$AK237,IF('Inputs Yr 2'!$AL237=BL$4,'Inputs Yr 2'!$AM237,IF('Inputs Yr 2'!$AN237=BL$4,'Inputs Yr 2'!$AO237,0))))*(INDEX(avoidedcosttbl2,$H237,BL$2)+(($H237-ROUNDDOWN($H237,0))*(INDEX(avoidedcosttbl2,ROUNDUP($H237,0),BL$2)-(INDEX(avoidedcosttbl2,ROUNDDOWN($H237,0),BL$2)))))*'Inputs Yr 2'!P237*'Inputs Yr 2'!Q237*'Inputs Yr 2'!U237,"")</f>
        <v>0</v>
      </c>
      <c r="BM237" s="195">
        <f>IFERROR($G237*(IF('Inputs Yr 2'!$AJ237=BM$4,'Inputs Yr 2'!$AK237,IF('Inputs Yr 2'!$AL237=BM$4,'Inputs Yr 2'!$AM237,IF('Inputs Yr 2'!$AN237=BM$4,'Inputs Yr 2'!$AO237,0))))*(INDEX(avoidedcosttbl2,$H237,BM$2)+(($H237-ROUNDDOWN($H237,0))*(INDEX(avoidedcosttbl2,ROUNDUP($H237,0),BM$2)-(INDEX(avoidedcosttbl2,ROUNDDOWN($H237,0),BM$2)))))*'Inputs Yr 2'!P237*'Inputs Yr 2'!Q237*'Inputs Yr 2'!U237,"")</f>
        <v>0</v>
      </c>
      <c r="BN237" s="195">
        <f>IFERROR($G237*(IF('Inputs Yr 2'!$AJ237=BN$4,'Inputs Yr 2'!$AK237,IF('Inputs Yr 2'!$AL237=BN$4,'Inputs Yr 2'!$AM237,IF('Inputs Yr 2'!$AN237=BN$4,'Inputs Yr 2'!$AO237,0))))*(INDEX(avoidedcosttbl2,$H237,BN$2)+(($H237-ROUNDDOWN($H237,0))*(INDEX(avoidedcosttbl2,ROUNDUP($H237,0),BN$2)-(INDEX(avoidedcosttbl2,ROUNDDOWN($H237,0),BN$2)))))*'Inputs Yr 2'!P237*'Inputs Yr 2'!Q237*'Inputs Yr 2'!U237,"")</f>
        <v>0</v>
      </c>
      <c r="BO237" s="195">
        <f>IFERROR($G237*(IF('Inputs Yr 2'!$AJ237=BO$4,'Inputs Yr 2'!$AK237,IF('Inputs Yr 2'!$AL237=BO$4,'Inputs Yr 2'!$AM237,IF('Inputs Yr 2'!$AN237=BO$4,'Inputs Yr 2'!$AO237,0))))*(INDEX(avoidedcosttbl2,$H237,BO$2)+(($H237-ROUNDDOWN($H237,0))*(INDEX(avoidedcosttbl2,ROUNDUP($H237,0),BO$2)-(INDEX(avoidedcosttbl2,ROUNDDOWN($H237,0),BO$2)))))*'Inputs Yr 2'!P237*'Inputs Yr 2'!Q237*'Inputs Yr 2'!U237,"")</f>
        <v>0</v>
      </c>
      <c r="BP237" s="195">
        <f>IFERROR($G237*(IF('Inputs Yr 2'!$AJ237=BP$4,'Inputs Yr 2'!$AK237,IF('Inputs Yr 2'!$AL237=BP$4,'Inputs Yr 2'!$AM237,IF('Inputs Yr 2'!$AN237=BP$4,'Inputs Yr 2'!$AO237,0))))*(INDEX(avoidedcosttbl2,$H237,BP$2)+(($H237-ROUNDDOWN($H237,0))*(INDEX(avoidedcosttbl2,ROUNDUP($H237,0),BP$2)-(INDEX(avoidedcosttbl2,ROUNDDOWN($H237,0),BP$2)))))*'Inputs Yr 2'!P237*'Inputs Yr 2'!Q237*'Inputs Yr 2'!U237,"")</f>
        <v>977.63960403058366</v>
      </c>
      <c r="BQ237" s="230">
        <f t="shared" si="128"/>
        <v>977.63960403058366</v>
      </c>
      <c r="BR237" s="197">
        <f t="shared" si="112"/>
        <v>18.14380186846239</v>
      </c>
      <c r="BS237" s="197">
        <f>IFERROR(($G237*IF('Inputs Yr 2'!$AJ237=BM$4,'Inputs Yr 2'!$AK237,IF('Inputs Yr 2'!$AL237=BM$4,'Inputs Yr 2'!$AM237,IF('Inputs Yr 2'!$AN237=BM$4,'Inputs Yr 2'!$AO237,0))))*(INDEX(avoidedcosttbl2,$H237,BS$2)+(($H237-ROUNDDOWN($H237,0))*(INDEX(avoidedcosttbl2,ROUNDUP($H237,0),BS$2)-(INDEX(avoidedcosttbl2,ROUNDDOWN($H237,0),BS$2)))))*'Inputs Yr 2'!P237*'Inputs Yr 2'!Q237*'Inputs Yr 2'!U237,"")</f>
        <v>0</v>
      </c>
      <c r="BT237" s="197">
        <f>IFERROR(($G237*IF('Inputs Yr 2'!$AJ237=BK$4,'Inputs Yr 2'!$AK237,IF('Inputs Yr 2'!$AL237=BK$4,'Inputs Yr 2'!$AM237,IF('Inputs Yr 2'!$AN237=BK$4,'Inputs Yr 2'!$AO237,0))))*(INDEX(avoidedcosttbl2,$H237,BT$2)+(($H237-ROUNDDOWN($H237,0))*(INDEX(avoidedcosttbl2,ROUNDUP($H237,0),BT$2)-(INDEX(avoidedcosttbl2,ROUNDDOWN($H237,0),BT$2)))))*'Inputs Yr 2'!P237*'Inputs Yr 2'!Q237*'Inputs Yr 2'!U237,"")</f>
        <v>0</v>
      </c>
      <c r="BU237" s="197">
        <f>IFERROR(($G237*IF('Inputs Yr 2'!$AJ237=BL$4,'Inputs Yr 2'!$AK237,IF('Inputs Yr 2'!$AL237=BL$4,'Inputs Yr 2'!$AM237,IF('Inputs Yr 2'!$AN237=BL$4,'Inputs Yr 2'!$AO237,0))))*(INDEX(avoidedcosttbl2,$H237,BU$2)+(($H237-ROUNDDOWN($H237,0))*(INDEX(avoidedcosttbl2,ROUNDUP($H237,0),BU$2)-(INDEX(avoidedcosttbl2,ROUNDDOWN($H237,0),BU$2)))))*'Inputs Yr 2'!P237*'Inputs Yr 2'!Q237*'Inputs Yr 2'!U237,"")</f>
        <v>0</v>
      </c>
      <c r="BV237" s="775">
        <f>IFERROR(($G237*IF('Inputs Yr 2'!$AJ237=BJ$4,'Inputs Yr 2'!$AK237,IF('Inputs Yr 2'!$AL237=BJ$4,'Inputs Yr 2'!$AM237,IF('Inputs Yr 2'!$AN237=BJ$4,'Inputs Yr 2'!$AO237,0))))*(INDEX(avoidedcosttbl2,$H237,BV$2)+(($H237-ROUNDDOWN($H237,0))*(INDEX(avoidedcosttbl2,ROUNDUP($H237,0),BV$2)-(INDEX(avoidedcosttbl2,ROUNDDOWN($H237,0),BV$2)))))*'Inputs Yr 2'!P237*'Inputs Yr 2'!Q237*'Inputs Yr 2'!U237,"")</f>
        <v>0</v>
      </c>
      <c r="BW237" s="197">
        <f>IFERROR(($G237*IF('Inputs Yr 2'!$AJ237=BN$4,'Inputs Yr 2'!$AK237,IF('Inputs Yr 2'!$AL237=BN$4,'Inputs Yr 2'!$AM237,IF('Inputs Yr 2'!$AN237=BN$4,'Inputs Yr 2'!$AO237,0))))*(INDEX(avoidedcosttbl2,$H237,BW$2)+(($H237-ROUNDDOWN($H237,0))*(INDEX(avoidedcosttbl2,ROUNDUP($H237,0),BW$2)-(INDEX(avoidedcosttbl2,ROUNDDOWN($H237,0),BW$2)))))*'Inputs Yr 2'!P237*'Inputs Yr 2'!Q237*'Inputs Yr 2'!U237,"")</f>
        <v>0</v>
      </c>
      <c r="BX237" s="197">
        <f>IFERROR(($G237*IF('Inputs Yr 2'!$AJ237=BO$4,'Inputs Yr 2'!$AK237,IF('Inputs Yr 2'!$AL237=BO$4,'Inputs Yr 2'!$AM237,IF('Inputs Yr 2'!$AN237=BO$4,'Inputs Yr 2'!$AO237,0))))*(INDEX(avoidedcosttbl2,$H237,BX$2)+(($H237-ROUNDDOWN($H237,0))*(INDEX(avoidedcosttbl2,ROUNDUP($H237,0),BX$2)-(INDEX(avoidedcosttbl2,ROUNDDOWN($H237,0),BX$2)))))*'Inputs Yr 2'!P237*'Inputs Yr 2'!Q237*'Inputs Yr 2'!U237,"")</f>
        <v>0</v>
      </c>
      <c r="BY237" s="197">
        <f>IFERROR(($G237*IF('Inputs Yr 2'!$AJ237=BP$4,'Inputs Yr 2'!$AK237,IF('Inputs Yr 2'!$AL237=BP$4,'Inputs Yr 2'!$AM237,IF('Inputs Yr 2'!$AN237=BP$4,'Inputs Yr 2'!$AO237,0))))*(INDEX(avoidedcosttbl2,$H237,BY$2)+(($H237-ROUNDDOWN($H237,0))*(INDEX(avoidedcosttbl2,ROUNDUP($H237,0),BY$2)-(INDEX(avoidedcosttbl2,ROUNDDOWN($H237,0),BY$2)))))*'Inputs Yr 2'!P237*'Inputs Yr 2'!Q237*'Inputs Yr 2'!U237,"")</f>
        <v>91.792142418376571</v>
      </c>
      <c r="BZ237" s="193">
        <f t="shared" si="129"/>
        <v>109.93594428683896</v>
      </c>
      <c r="CA237" s="193">
        <f t="shared" si="130"/>
        <v>1087.5755483174225</v>
      </c>
      <c r="CB237" s="195">
        <f>IFERROR(G237*(IF('Inputs Yr 2'!$AJ237=CB$4,'Inputs Yr 2'!$AK237,IF('Inputs Yr 2'!$AL237=CB$4,'Inputs Yr 2'!$AM237,IF('Inputs Yr 2'!$AN237=CB$4,'Inputs Yr 2'!$AO237,0))))*(INDEX(avoidedcosttbl2,$H237,CB$2)+(($H237-ROUNDDOWN($H237,0))*(INDEX(avoidedcosttbl2,ROUNDUP($H237,0),CB$2)-(INDEX(avoidedcosttbl2,ROUNDDOWN($H237,0),CB$2)))))*'Inputs Yr 2'!P237*'Inputs Yr 2'!Q237*'Inputs Yr 2'!U237,"")</f>
        <v>0</v>
      </c>
      <c r="CC237" s="195">
        <f>IFERROR(H237*(IF('Inputs Yr 2'!$AJ237=CC$4,'Inputs Yr 2'!$AK237,IF('Inputs Yr 2'!$AL237=CC$4,'Inputs Yr 2'!$AM237,IF('Inputs Yr 2'!$AN237=CC$4,'Inputs Yr 2'!$AO237,0))))*(INDEX(avoidedcosttbl2,$H237,CC$2)+(($H237-ROUNDDOWN($H237,0))*(INDEX(avoidedcosttbl2,ROUNDUP($H237,0),CC$2)-(INDEX(avoidedcosttbl2,ROUNDDOWN($H237,0),CC$2)))))*'Inputs Yr 2'!Q237*'Inputs Yr 2'!R237*'Inputs Yr 2'!V237,"")</f>
        <v>0</v>
      </c>
      <c r="CD237" s="195">
        <f>IFERROR(I237*(IF('Inputs Yr 2'!$AJ237=CD$4,'Inputs Yr 2'!$AK237,IF('Inputs Yr 2'!$AL237=CD$4,'Inputs Yr 2'!$AM237,IF('Inputs Yr 2'!$AN237=CD$4,'Inputs Yr 2'!$AO237,0))))*(INDEX(avoidedcosttbl2,$H237,CD$2)+(($H237-ROUNDDOWN($H237,0))*(INDEX(avoidedcosttbl2,ROUNDUP($H237,0),CD$2)-(INDEX(avoidedcosttbl2,ROUNDDOWN($H237,0),CD$2)))))*'Inputs Yr 2'!R237*'Inputs Yr 2'!S237*'Inputs Yr 2'!W237,"")</f>
        <v>0</v>
      </c>
      <c r="CE237" s="213">
        <f t="shared" si="131"/>
        <v>0</v>
      </c>
      <c r="CF237" s="213">
        <f t="shared" si="132"/>
        <v>0</v>
      </c>
      <c r="CG237" s="213">
        <f t="shared" si="133"/>
        <v>0</v>
      </c>
      <c r="CH237" s="698">
        <f t="shared" si="134"/>
        <v>1087.5755483174225</v>
      </c>
      <c r="CI237" s="79">
        <f>IFERROR(($G237*'Inputs Yr 2'!$P237*'Inputs Yr 2'!$Q237*(((INDEX(avoidedcosttbl2,$H237,CI$2)+(($H237-ROUNDDOWN($H237,0))*(INDEX(avoidedcosttbl2,ROUNDUP($H237,0),CI$2)-INDEX(avoidedcosttbl2,ROUNDDOWN($H237,0),CI$2))))*'Inputs Yr 2'!AS237))),"")</f>
        <v>0</v>
      </c>
      <c r="CJ237" s="504">
        <f>IFERROR($G237*'Inputs Yr 2'!AT237*'Inputs Yr 2'!$P237*'Inputs Yr 2'!$Q237/((1+realdiscrt1)^-0.5),"")</f>
        <v>0</v>
      </c>
      <c r="CK237" s="79">
        <f>IFERROR((O237*1000*(((INDEX(avoidedcosttbl2,$H237,CK$2)+(($H237-ROUNDDOWN($H237,0))*(INDEX(avoidedcosttbl2,ROUNDUP($H237,0),CK$2)-INDEX(avoidedcosttbl2,ROUNDDOWN($H237,0),CK$2))))*'Inputs Yr 2'!AU237))),"")</f>
        <v>0</v>
      </c>
      <c r="CL237" s="504">
        <f>IFERROR(O237*1000*'Inputs Yr 2'!AV237/((1+realdiscrt1)^-0.5),"")</f>
        <v>0</v>
      </c>
      <c r="CM237" s="79">
        <f>IFERROR((AB237*'Inputs Yr 2'!AW237*(((INDEX(avoidedcosttbl2,$H237,CM$2)+(($H237-ROUNDDOWN($H237,0))*(INDEX(avoidedcosttbl2,ROUNDUP($H237,0),CM$2)-INDEX(avoidedcosttbl2,ROUNDDOWN($H237,0),CM$2)))))))*10,"")</f>
        <v>0</v>
      </c>
      <c r="CN237" s="504">
        <f>IFERROR(10*AB237*'Inputs Yr 2'!AX237/((1+realdiscrt1)^-0.5),"")</f>
        <v>0</v>
      </c>
      <c r="CO237" s="505">
        <f t="shared" si="135"/>
        <v>0</v>
      </c>
      <c r="CP237" s="230">
        <f t="shared" si="136"/>
        <v>1087.5755483174225</v>
      </c>
      <c r="CQ237" s="199">
        <f>ROUND(IFERROR(IF(LEFT($A237,1)="C",'Avoided Costs'!$K$13,'Avoided Costs'!$K$12)+1,""),4)</f>
        <v>1.0720000000000001</v>
      </c>
      <c r="CR237" s="199">
        <f>ROUND(IFERROR(IF(LEFT($A237,1)="C",'Avoided Costs'!$L$13,'Avoided Costs'!$L$12)+1,""),4)</f>
        <v>1.04</v>
      </c>
      <c r="CS237" s="199">
        <f>ROUND(IFERROR(IF(LEFT($A237,1)="C",'Avoided Costs'!$M$13,'Avoided Costs'!$M$12)+1,""),4)</f>
        <v>1.0720000000000001</v>
      </c>
      <c r="CT237" s="199">
        <f>ROUND(IFERROR(IF(LEFT($A237,1)="C",'Avoided Costs'!$N$13,'Avoided Costs'!$N$12)+1,""),4)</f>
        <v>1.04</v>
      </c>
      <c r="CU237" s="199">
        <f>ROUND(IFERROR(IF(LEFT($A237,1)="C",'Avoided Costs'!$O$13,'Avoided Costs'!$O$12)+1,""),4)</f>
        <v>1.1120000000000001</v>
      </c>
      <c r="CV237" s="199">
        <f>ROUND(IFERROR(IF(LEFT($A237,1)="C",'Avoided Costs'!$P$13,'Avoided Costs'!$P$12)+1,""),4)</f>
        <v>1.095</v>
      </c>
      <c r="CW237" s="199">
        <f>ROUND(IFERROR(IF(LEFT($A237,1)="C",'Avoided Costs'!$Q$13,'Avoided Costs'!$Q$12)+1,""),4)</f>
        <v>1.1120000000000001</v>
      </c>
      <c r="CX237" s="200">
        <f>ROUND(IFERROR(IF(LEFT($A237,1)="C",'Avoided Costs'!$R$13,'Avoided Costs'!$R$12)+1,""),4)</f>
        <v>1.1120000000000001</v>
      </c>
    </row>
    <row r="238" spans="1:102" ht="12.75" customHeight="1">
      <c r="A238" s="91" t="str">
        <f>IF('Inputs Yr 2'!$B238=0,"",'Inputs Yr 2'!A238)</f>
        <v>C - Commercial &amp; Industrial</v>
      </c>
      <c r="B238" s="91" t="str">
        <f>IF('Inputs Yr 2'!$B238=0,"",'Inputs Yr 2'!B238)</f>
        <v>C1 - C&amp;I New Construction</v>
      </c>
      <c r="C238" s="91" t="str">
        <f>IF('Inputs Yr 2'!$B238=0,"",'Inputs Yr 2'!C238)</f>
        <v xml:space="preserve">C1b - C&amp;I Initial Purchase &amp; End of Useful Life </v>
      </c>
      <c r="D238" s="91" t="str">
        <f>IF('Inputs Yr 2'!$B238=0,"",'Inputs Yr 2'!E238)</f>
        <v>Fryer</v>
      </c>
      <c r="E238" s="93" t="str">
        <f>IF('Inputs Yr 2'!$B238=0,"",'Inputs Yr 2'!F238)</f>
        <v>G16C1b36</v>
      </c>
      <c r="F238" s="93" t="str">
        <f>IF('Inputs Yr 2'!$B238=0,"",'Inputs Yr 2'!G238)</f>
        <v>Food Service</v>
      </c>
      <c r="G238" s="95">
        <f>IF('Inputs Yr 2'!$H238&lt;&gt;0,('Inputs Yr 2'!H238),"")</f>
        <v>178</v>
      </c>
      <c r="H238" s="94">
        <f>IFERROR('Inputs Yr 2'!I238,"")</f>
        <v>12</v>
      </c>
      <c r="I238" s="298">
        <f>IFERROR('Inputs Yr 2'!J238*'Inputs Yr 2'!P238*G238,"")</f>
        <v>511999.2</v>
      </c>
      <c r="J238" s="298">
        <f>IFERROR('Inputs Yr 2'!K238*G238,"")</f>
        <v>193165.6</v>
      </c>
      <c r="K238" s="298">
        <f t="shared" si="113"/>
        <v>318833.59999999998</v>
      </c>
      <c r="L238" s="194">
        <f>IFERROR(('Inputs Yr 2'!W238*G238)/1000,"")</f>
        <v>0</v>
      </c>
      <c r="M238" s="194">
        <f>IFERROR(L238*('Inputs Yr 2'!$Q238*'Inputs Yr 2'!$V238*'Inputs Yr 2'!$R238),"")</f>
        <v>0</v>
      </c>
      <c r="N238" s="194">
        <f t="shared" si="114"/>
        <v>0</v>
      </c>
      <c r="O238" s="194">
        <f>IFERROR(M238*'Inputs Yr 2'!P238,"")</f>
        <v>0</v>
      </c>
      <c r="P238" s="194">
        <f t="shared" si="115"/>
        <v>0</v>
      </c>
      <c r="Q238" s="194">
        <f>IFERROR($P238*'Inputs Yr 2'!AA238,"")</f>
        <v>0</v>
      </c>
      <c r="R238" s="194">
        <f>IFERROR($P238*'Inputs Yr 2'!AB238,"")</f>
        <v>0</v>
      </c>
      <c r="S238" s="194">
        <f>IFERROR($P238*'Inputs Yr 2'!AC238,"")</f>
        <v>0</v>
      </c>
      <c r="T238" s="194">
        <f>IFERROR($P238*'Inputs Yr 2'!AD238,"")</f>
        <v>0</v>
      </c>
      <c r="U238" s="194">
        <f>IFERROR(G238*'Inputs Yr 2'!$AE238*'Inputs Yr 2'!$P238*'Inputs Yr 2'!$Q238,"")</f>
        <v>0</v>
      </c>
      <c r="V238" s="194">
        <f>IFERROR($G238*'Inputs Yr 2'!$AE238*'Inputs Yr 2'!$AG238*'Inputs Yr 2'!Q238*'Inputs Yr 2'!$S238,"")</f>
        <v>0</v>
      </c>
      <c r="W238" s="194">
        <f>IFERROR($G238*'Inputs Yr 2'!$AE238*'Inputs Yr 2'!$AG238*'Inputs Yr 2'!P238*'Inputs Yr 2'!Q238*'Inputs Yr 2'!$S238,"")</f>
        <v>0</v>
      </c>
      <c r="X238" s="194">
        <f>IFERROR($G238*'Inputs Yr 2'!$AE238*'Inputs Yr 2'!$AF238*'Inputs Yr 2'!Q238*'Inputs Yr 2'!$T238,"")</f>
        <v>0</v>
      </c>
      <c r="Y238" s="194">
        <f>IFERROR($G238*'Inputs Yr 2'!$AE238*'Inputs Yr 2'!$AF238*'Inputs Yr 2'!P238*'Inputs Yr 2'!Q238*'Inputs Yr 2'!$T238,"")</f>
        <v>0</v>
      </c>
      <c r="Z238" s="257">
        <f>IFERROR($G238*'Inputs Yr 2'!$Q238*'Inputs Yr 2'!$U238*(IF(IFERROR(SEARCH("NG", 'Inputs Yr 2'!$AJ238),0),'Inputs Yr 2'!$AK238,0)+IF(IFERROR(SEARCH("NG", 'Inputs Yr 2'!$AL238),0),'Inputs Yr 2'!$AM238,0)+IF(IFERROR(SEARCH("NG", 'Inputs Yr 2'!$AN238),0),'Inputs Yr 2'!$AO238,0)),0)</f>
        <v>9042.4</v>
      </c>
      <c r="AA238" s="257">
        <f t="shared" si="116"/>
        <v>108508.79999999999</v>
      </c>
      <c r="AB238" s="257">
        <f>IFERROR(Z238*'Inputs Yr 2'!$P238,0)</f>
        <v>7649.8704000000007</v>
      </c>
      <c r="AC238" s="257">
        <f t="shared" si="117"/>
        <v>91798.444800000012</v>
      </c>
      <c r="AD238" s="257">
        <f>IFERROR($G238*'Inputs Yr 2'!$Q238*'Inputs Yr 2'!$U238*(IF(IFERROR(SEARCH("Oil", 'Inputs Yr 2'!$AJ238), 0),'Inputs Yr 2'!$AK238,0)+IF(IFERROR(SEARCH("Oil", 'Inputs Yr 2'!$AL238), 0),'Inputs Yr 2'!$AM238,0)+IF(IFERROR(SEARCH("Oil", 'Inputs Yr 2'!$AN238), 0),'Inputs Yr 2'!$AO238,0)),0)</f>
        <v>0</v>
      </c>
      <c r="AE238" s="257">
        <f t="shared" si="118"/>
        <v>0</v>
      </c>
      <c r="AF238" s="257">
        <f>IFERROR(AD238*'Inputs Yr 2'!$P238,0)</f>
        <v>0</v>
      </c>
      <c r="AG238" s="257">
        <f t="shared" si="119"/>
        <v>0</v>
      </c>
      <c r="AH238" s="257">
        <f>IFERROR($G238*'Inputs Yr 2'!$Q238*'Inputs Yr 2'!$U238*(IF('Inputs Yr 2'!$AJ238=CD$4,'Inputs Yr 2'!$AK238,IF('Inputs Yr 2'!$AL238=CD$4,'Inputs Yr 2'!$AM238,IF('Inputs Yr 2'!$AN238=CD$4,'Inputs Yr 2'!$AO238,0)))),0)</f>
        <v>0</v>
      </c>
      <c r="AI238" s="257">
        <f t="shared" si="120"/>
        <v>0</v>
      </c>
      <c r="AJ238" s="257">
        <f>IFERROR(AH238*'Inputs Yr 2'!$P238,0)</f>
        <v>0</v>
      </c>
      <c r="AK238" s="257">
        <f t="shared" si="121"/>
        <v>0</v>
      </c>
      <c r="AL238" s="258">
        <f>IFERROR($G238*'Inputs Yr 2'!$P238*'Inputs Yr 2'!$Q238*'Inputs Yr 2'!AP238,0)</f>
        <v>0</v>
      </c>
      <c r="AM238" s="260">
        <f>IFERROR($G238*'Inputs Yr 2'!$P238*'Inputs Yr 2'!$Q238*'Inputs Yr 2'!AQ238,0)</f>
        <v>0</v>
      </c>
      <c r="AN238" s="258">
        <f>IFERROR($G238*'Inputs Yr 2'!$P238*'Inputs Yr 2'!$Q238*'Inputs Yr 2'!AR238,0)</f>
        <v>0</v>
      </c>
      <c r="AO238" s="257">
        <f t="shared" si="122"/>
        <v>0</v>
      </c>
      <c r="AP238" s="195">
        <f>IFERROR($CQ238*(INDEX(avoidedcosttbl2,$H238,AP$2)+(($H238-ROUNDDOWN($H238,0))*(INDEX(avoidedcosttbl2,ROUNDUP($H238,0),AP$2)-(INDEX(avoidedcosttbl2,ROUNDDOWN($H238,0),AP$2)))))*$O238*1000*'Inputs Yr 2'!AA238,"")</f>
        <v>0</v>
      </c>
      <c r="AQ238" s="195">
        <f>IFERROR($CR238*(INDEX(avoidedcosttbl2,$H238,AQ$2)+(($H238-ROUNDDOWN($H238,0))*(INDEX(avoidedcosttbl2,ROUNDUP($H238,0),AQ$2)-(INDEX(avoidedcosttbl2,ROUNDDOWN($H238,0),AQ$2)))))*$O238*1000*'Inputs Yr 2'!AB238,"")</f>
        <v>0</v>
      </c>
      <c r="AR238" s="195">
        <f>IFERROR($CS238*(INDEX(avoidedcosttbl2,$H238,AR$2)+(($H238-ROUNDDOWN($H238,0))*(INDEX(avoidedcosttbl2,ROUNDUP($H238,0),AR$2)-(INDEX(avoidedcosttbl2,ROUNDDOWN($H238,0),AR$2)))))*$O238*1000*'Inputs Yr 2'!AC238,"")</f>
        <v>0</v>
      </c>
      <c r="AS238" s="195">
        <f>IFERROR($CT238*(INDEX(avoidedcosttbl2,$H238,AS$2)+(($H238-ROUNDDOWN($H238,0))*(INDEX(avoidedcosttbl2,ROUNDUP($H238,0),AS$2)-(INDEX(avoidedcosttbl2,ROUNDDOWN($H238,0),AS$2)))))*$O238*1000*'Inputs Yr 2'!AD238,"")</f>
        <v>0</v>
      </c>
      <c r="AT238" s="196">
        <f t="shared" si="123"/>
        <v>0</v>
      </c>
      <c r="AU238" s="197">
        <f>IFERROR($CQ238*((INDEX(avoidedcosttbl2,$H238,AU$2))+(($H238-ROUNDDOWN($H238,0))*((INDEX(avoidedcosttbl2,ROUNDUP($H238,0),AU$2))-(INDEX(avoidedcosttbl2,ROUNDDOWN($H238,0),AU$2)))))*$O238*1000*'Inputs Yr 2'!AA238,"")</f>
        <v>0</v>
      </c>
      <c r="AV238" s="197">
        <f>IFERROR($CR238*((INDEX(avoidedcosttbl2,$H238,AV$2))+(($H238-ROUNDDOWN($H238,0))*((INDEX(avoidedcosttbl2,ROUNDUP($H238,0),AV$2))-(INDEX(avoidedcosttbl2,ROUNDDOWN($H238,0),AV$2)))))*$O238*1000*'Inputs Yr 2'!AB238,"")</f>
        <v>0</v>
      </c>
      <c r="AW238" s="197">
        <f>IFERROR($CS238*((INDEX(avoidedcosttbl2,$H238,AW$2))+(($H238-ROUNDDOWN($H238,0))*((INDEX(avoidedcosttbl2,ROUNDUP($H238,0),AW$2))-(INDEX(avoidedcosttbl2,ROUNDDOWN($H238,0),AW$2)))))*$O238*1000*'Inputs Yr 2'!AC238,"")</f>
        <v>0</v>
      </c>
      <c r="AX238" s="197">
        <f>IFERROR($CT238*((INDEX(avoidedcosttbl2,$H238,AX$2))+(($H238-ROUNDDOWN($H238,0))*((INDEX(avoidedcosttbl2,ROUNDUP($H238,0),AX$2))-(INDEX(avoidedcosttbl2,ROUNDDOWN($H238,0),AX$2)))))*$O238*1000*'Inputs Yr 2'!AD238,"")</f>
        <v>0</v>
      </c>
      <c r="AY238" s="197">
        <f>IFERROR(((INDEX(avoidedcosttbl2,$H238,AY$2))+(($H238-ROUNDDOWN($H238,0))*((INDEX(avoidedcosttbl2,ROUNDUP($H238,0),AY$2))-(INDEX(avoidedcosttbl2,ROUNDDOWN($H238,0),AY$2)))))*$O238*1000*('Inputs Yr 2'!AC238+'Inputs Yr 2'!AD238),"")</f>
        <v>0</v>
      </c>
      <c r="AZ238" s="197">
        <f>IFERROR(((INDEX(avoidedcosttbl2,$H238,AZ$2))+(($H238-ROUNDDOWN($H238,0))*((INDEX(avoidedcosttbl2,ROUNDUP($H238,0),AZ$2))-(INDEX(avoidedcosttbl2,ROUNDDOWN($H238,0),AZ$2)))))*$O238*1000*('Inputs Yr 2'!AA238+'Inputs Yr 2'!AB238),"")</f>
        <v>0</v>
      </c>
      <c r="BA238" s="198">
        <f t="shared" si="124"/>
        <v>0</v>
      </c>
      <c r="BB238" s="198">
        <f t="shared" si="125"/>
        <v>0</v>
      </c>
      <c r="BC238" s="195">
        <f t="shared" si="107"/>
        <v>0</v>
      </c>
      <c r="BD238" s="195">
        <f t="shared" si="108"/>
        <v>0</v>
      </c>
      <c r="BE238" s="195">
        <f t="shared" si="109"/>
        <v>0</v>
      </c>
      <c r="BF238" s="195">
        <f t="shared" si="110"/>
        <v>0</v>
      </c>
      <c r="BG238" s="195">
        <f t="shared" si="111"/>
        <v>0</v>
      </c>
      <c r="BH238" s="196">
        <f t="shared" si="126"/>
        <v>0</v>
      </c>
      <c r="BI238" s="196">
        <f t="shared" si="127"/>
        <v>0</v>
      </c>
      <c r="BJ238" s="195">
        <f>IFERROR($G238*(IF('Inputs Yr 2'!$AJ238=BJ$4,'Inputs Yr 2'!$AK238,IF('Inputs Yr 2'!$AL238=BJ$4,'Inputs Yr 2'!$AM238,IF('Inputs Yr 2'!$AN238=BJ$4,'Inputs Yr 2'!$AO238,0))))*(INDEX(avoidedcosttbl2,$H238,BJ$2)+(($H238-ROUNDDOWN($H238,0))*(INDEX(avoidedcosttbl2,ROUNDUP($H238,0),BJ$2)-(INDEX(avoidedcosttbl2,ROUNDDOWN($H238,0),BJ$2)))))*'Inputs Yr 2'!P238*'Inputs Yr 2'!Q238*'Inputs Yr 2'!U238,"")</f>
        <v>0</v>
      </c>
      <c r="BK238" s="195">
        <f>IFERROR($G238*(IF('Inputs Yr 2'!$AJ238=BK$4,'Inputs Yr 2'!$AK238,IF('Inputs Yr 2'!$AL238=BK$4,'Inputs Yr 2'!$AM238,IF('Inputs Yr 2'!$AN238=BK$4,'Inputs Yr 2'!$AO238,0))))*(INDEX(avoidedcosttbl2,$H238,BK$2)+(($H238-ROUNDDOWN($H238,0))*(INDEX(avoidedcosttbl2,ROUNDUP($H238,0),BK$2)-(INDEX(avoidedcosttbl2,ROUNDDOWN($H238,0),BK$2)))))*'Inputs Yr 2'!P238*'Inputs Yr 2'!Q238*'Inputs Yr 2'!U238,"")</f>
        <v>0</v>
      </c>
      <c r="BL238" s="195">
        <f>IFERROR($G238*(IF('Inputs Yr 2'!$AJ238=BL$4,'Inputs Yr 2'!$AK238,IF('Inputs Yr 2'!$AL238=BL$4,'Inputs Yr 2'!$AM238,IF('Inputs Yr 2'!$AN238=BL$4,'Inputs Yr 2'!$AO238,0))))*(INDEX(avoidedcosttbl2,$H238,BL$2)+(($H238-ROUNDDOWN($H238,0))*(INDEX(avoidedcosttbl2,ROUNDUP($H238,0),BL$2)-(INDEX(avoidedcosttbl2,ROUNDDOWN($H238,0),BL$2)))))*'Inputs Yr 2'!P238*'Inputs Yr 2'!Q238*'Inputs Yr 2'!U238,"")</f>
        <v>0</v>
      </c>
      <c r="BM238" s="195">
        <f>IFERROR($G238*(IF('Inputs Yr 2'!$AJ238=BM$4,'Inputs Yr 2'!$AK238,IF('Inputs Yr 2'!$AL238=BM$4,'Inputs Yr 2'!$AM238,IF('Inputs Yr 2'!$AN238=BM$4,'Inputs Yr 2'!$AO238,0))))*(INDEX(avoidedcosttbl2,$H238,BM$2)+(($H238-ROUNDDOWN($H238,0))*(INDEX(avoidedcosttbl2,ROUNDUP($H238,0),BM$2)-(INDEX(avoidedcosttbl2,ROUNDDOWN($H238,0),BM$2)))))*'Inputs Yr 2'!P238*'Inputs Yr 2'!Q238*'Inputs Yr 2'!U238,"")</f>
        <v>0</v>
      </c>
      <c r="BN238" s="195">
        <f>IFERROR($G238*(IF('Inputs Yr 2'!$AJ238=BN$4,'Inputs Yr 2'!$AK238,IF('Inputs Yr 2'!$AL238=BN$4,'Inputs Yr 2'!$AM238,IF('Inputs Yr 2'!$AN238=BN$4,'Inputs Yr 2'!$AO238,0))))*(INDEX(avoidedcosttbl2,$H238,BN$2)+(($H238-ROUNDDOWN($H238,0))*(INDEX(avoidedcosttbl2,ROUNDUP($H238,0),BN$2)-(INDEX(avoidedcosttbl2,ROUNDDOWN($H238,0),BN$2)))))*'Inputs Yr 2'!P238*'Inputs Yr 2'!Q238*'Inputs Yr 2'!U238,"")</f>
        <v>0</v>
      </c>
      <c r="BO238" s="195">
        <f>IFERROR($G238*(IF('Inputs Yr 2'!$AJ238=BO$4,'Inputs Yr 2'!$AK238,IF('Inputs Yr 2'!$AL238=BO$4,'Inputs Yr 2'!$AM238,IF('Inputs Yr 2'!$AN238=BO$4,'Inputs Yr 2'!$AO238,0))))*(INDEX(avoidedcosttbl2,$H238,BO$2)+(($H238-ROUNDDOWN($H238,0))*(INDEX(avoidedcosttbl2,ROUNDUP($H238,0),BO$2)-(INDEX(avoidedcosttbl2,ROUNDDOWN($H238,0),BO$2)))))*'Inputs Yr 2'!P238*'Inputs Yr 2'!Q238*'Inputs Yr 2'!U238,"")</f>
        <v>0</v>
      </c>
      <c r="BP238" s="195">
        <f>IFERROR($G238*(IF('Inputs Yr 2'!$AJ238=BP$4,'Inputs Yr 2'!$AK238,IF('Inputs Yr 2'!$AL238=BP$4,'Inputs Yr 2'!$AM238,IF('Inputs Yr 2'!$AN238=BP$4,'Inputs Yr 2'!$AO238,0))))*(INDEX(avoidedcosttbl2,$H238,BP$2)+(($H238-ROUNDDOWN($H238,0))*(INDEX(avoidedcosttbl2,ROUNDUP($H238,0),BP$2)-(INDEX(avoidedcosttbl2,ROUNDDOWN($H238,0),BP$2)))))*'Inputs Yr 2'!P238*'Inputs Yr 2'!Q238*'Inputs Yr 2'!U238,"")</f>
        <v>674825.0653042862</v>
      </c>
      <c r="BQ238" s="230">
        <f t="shared" si="128"/>
        <v>674825.0653042862</v>
      </c>
      <c r="BR238" s="197">
        <f t="shared" si="112"/>
        <v>12523.932367586587</v>
      </c>
      <c r="BS238" s="197">
        <f>IFERROR(($G238*IF('Inputs Yr 2'!$AJ238=BM$4,'Inputs Yr 2'!$AK238,IF('Inputs Yr 2'!$AL238=BM$4,'Inputs Yr 2'!$AM238,IF('Inputs Yr 2'!$AN238=BM$4,'Inputs Yr 2'!$AO238,0))))*(INDEX(avoidedcosttbl2,$H238,BS$2)+(($H238-ROUNDDOWN($H238,0))*(INDEX(avoidedcosttbl2,ROUNDUP($H238,0),BS$2)-(INDEX(avoidedcosttbl2,ROUNDDOWN($H238,0),BS$2)))))*'Inputs Yr 2'!P238*'Inputs Yr 2'!Q238*'Inputs Yr 2'!U238,"")</f>
        <v>0</v>
      </c>
      <c r="BT238" s="197">
        <f>IFERROR(($G238*IF('Inputs Yr 2'!$AJ238=BK$4,'Inputs Yr 2'!$AK238,IF('Inputs Yr 2'!$AL238=BK$4,'Inputs Yr 2'!$AM238,IF('Inputs Yr 2'!$AN238=BK$4,'Inputs Yr 2'!$AO238,0))))*(INDEX(avoidedcosttbl2,$H238,BT$2)+(($H238-ROUNDDOWN($H238,0))*(INDEX(avoidedcosttbl2,ROUNDUP($H238,0),BT$2)-(INDEX(avoidedcosttbl2,ROUNDDOWN($H238,0),BT$2)))))*'Inputs Yr 2'!P238*'Inputs Yr 2'!Q238*'Inputs Yr 2'!U238,"")</f>
        <v>0</v>
      </c>
      <c r="BU238" s="197">
        <f>IFERROR(($G238*IF('Inputs Yr 2'!$AJ238=BL$4,'Inputs Yr 2'!$AK238,IF('Inputs Yr 2'!$AL238=BL$4,'Inputs Yr 2'!$AM238,IF('Inputs Yr 2'!$AN238=BL$4,'Inputs Yr 2'!$AO238,0))))*(INDEX(avoidedcosttbl2,$H238,BU$2)+(($H238-ROUNDDOWN($H238,0))*(INDEX(avoidedcosttbl2,ROUNDUP($H238,0),BU$2)-(INDEX(avoidedcosttbl2,ROUNDDOWN($H238,0),BU$2)))))*'Inputs Yr 2'!P238*'Inputs Yr 2'!Q238*'Inputs Yr 2'!U238,"")</f>
        <v>0</v>
      </c>
      <c r="BV238" s="775">
        <f>IFERROR(($G238*IF('Inputs Yr 2'!$AJ238=BJ$4,'Inputs Yr 2'!$AK238,IF('Inputs Yr 2'!$AL238=BJ$4,'Inputs Yr 2'!$AM238,IF('Inputs Yr 2'!$AN238=BJ$4,'Inputs Yr 2'!$AO238,0))))*(INDEX(avoidedcosttbl2,$H238,BV$2)+(($H238-ROUNDDOWN($H238,0))*(INDEX(avoidedcosttbl2,ROUNDUP($H238,0),BV$2)-(INDEX(avoidedcosttbl2,ROUNDDOWN($H238,0),BV$2)))))*'Inputs Yr 2'!P238*'Inputs Yr 2'!Q238*'Inputs Yr 2'!U238,"")</f>
        <v>0</v>
      </c>
      <c r="BW238" s="197">
        <f>IFERROR(($G238*IF('Inputs Yr 2'!$AJ238=BN$4,'Inputs Yr 2'!$AK238,IF('Inputs Yr 2'!$AL238=BN$4,'Inputs Yr 2'!$AM238,IF('Inputs Yr 2'!$AN238=BN$4,'Inputs Yr 2'!$AO238,0))))*(INDEX(avoidedcosttbl2,$H238,BW$2)+(($H238-ROUNDDOWN($H238,0))*(INDEX(avoidedcosttbl2,ROUNDUP($H238,0),BW$2)-(INDEX(avoidedcosttbl2,ROUNDDOWN($H238,0),BW$2)))))*'Inputs Yr 2'!P238*'Inputs Yr 2'!Q238*'Inputs Yr 2'!U238,"")</f>
        <v>0</v>
      </c>
      <c r="BX238" s="197">
        <f>IFERROR(($G238*IF('Inputs Yr 2'!$AJ238=BO$4,'Inputs Yr 2'!$AK238,IF('Inputs Yr 2'!$AL238=BO$4,'Inputs Yr 2'!$AM238,IF('Inputs Yr 2'!$AN238=BO$4,'Inputs Yr 2'!$AO238,0))))*(INDEX(avoidedcosttbl2,$H238,BX$2)+(($H238-ROUNDDOWN($H238,0))*(INDEX(avoidedcosttbl2,ROUNDUP($H238,0),BX$2)-(INDEX(avoidedcosttbl2,ROUNDDOWN($H238,0),BX$2)))))*'Inputs Yr 2'!P238*'Inputs Yr 2'!Q238*'Inputs Yr 2'!U238,"")</f>
        <v>0</v>
      </c>
      <c r="BY238" s="197">
        <f>IFERROR(($G238*IF('Inputs Yr 2'!$AJ238=BP$4,'Inputs Yr 2'!$AK238,IF('Inputs Yr 2'!$AL238=BP$4,'Inputs Yr 2'!$AM238,IF('Inputs Yr 2'!$AN238=BP$4,'Inputs Yr 2'!$AO238,0))))*(INDEX(avoidedcosttbl2,$H238,BY$2)+(($H238-ROUNDDOWN($H238,0))*(INDEX(avoidedcosttbl2,ROUNDUP($H238,0),BY$2)-(INDEX(avoidedcosttbl2,ROUNDDOWN($H238,0),BY$2)))))*'Inputs Yr 2'!P238*'Inputs Yr 2'!Q238*'Inputs Yr 2'!U238,"")</f>
        <v>63360.402183505976</v>
      </c>
      <c r="BZ238" s="193">
        <f t="shared" si="129"/>
        <v>75884.334551092557</v>
      </c>
      <c r="CA238" s="193">
        <f t="shared" si="130"/>
        <v>750709.39985537878</v>
      </c>
      <c r="CB238" s="195">
        <f>IFERROR(G238*(IF('Inputs Yr 2'!$AJ238=CB$4,'Inputs Yr 2'!$AK238,IF('Inputs Yr 2'!$AL238=CB$4,'Inputs Yr 2'!$AM238,IF('Inputs Yr 2'!$AN238=CB$4,'Inputs Yr 2'!$AO238,0))))*(INDEX(avoidedcosttbl2,$H238,CB$2)+(($H238-ROUNDDOWN($H238,0))*(INDEX(avoidedcosttbl2,ROUNDUP($H238,0),CB$2)-(INDEX(avoidedcosttbl2,ROUNDDOWN($H238,0),CB$2)))))*'Inputs Yr 2'!P238*'Inputs Yr 2'!Q238*'Inputs Yr 2'!U238,"")</f>
        <v>0</v>
      </c>
      <c r="CC238" s="195">
        <f>IFERROR(H238*(IF('Inputs Yr 2'!$AJ238=CC$4,'Inputs Yr 2'!$AK238,IF('Inputs Yr 2'!$AL238=CC$4,'Inputs Yr 2'!$AM238,IF('Inputs Yr 2'!$AN238=CC$4,'Inputs Yr 2'!$AO238,0))))*(INDEX(avoidedcosttbl2,$H238,CC$2)+(($H238-ROUNDDOWN($H238,0))*(INDEX(avoidedcosttbl2,ROUNDUP($H238,0),CC$2)-(INDEX(avoidedcosttbl2,ROUNDDOWN($H238,0),CC$2)))))*'Inputs Yr 2'!Q238*'Inputs Yr 2'!R238*'Inputs Yr 2'!V238,"")</f>
        <v>0</v>
      </c>
      <c r="CD238" s="195">
        <f>IFERROR(I238*(IF('Inputs Yr 2'!$AJ238=CD$4,'Inputs Yr 2'!$AK238,IF('Inputs Yr 2'!$AL238=CD$4,'Inputs Yr 2'!$AM238,IF('Inputs Yr 2'!$AN238=CD$4,'Inputs Yr 2'!$AO238,0))))*(INDEX(avoidedcosttbl2,$H238,CD$2)+(($H238-ROUNDDOWN($H238,0))*(INDEX(avoidedcosttbl2,ROUNDUP($H238,0),CD$2)-(INDEX(avoidedcosttbl2,ROUNDDOWN($H238,0),CD$2)))))*'Inputs Yr 2'!R238*'Inputs Yr 2'!S238*'Inputs Yr 2'!W238,"")</f>
        <v>0</v>
      </c>
      <c r="CE238" s="213">
        <f t="shared" si="131"/>
        <v>0</v>
      </c>
      <c r="CF238" s="213">
        <f t="shared" si="132"/>
        <v>0</v>
      </c>
      <c r="CG238" s="213">
        <f t="shared" si="133"/>
        <v>0</v>
      </c>
      <c r="CH238" s="698">
        <f t="shared" si="134"/>
        <v>750709.39985537878</v>
      </c>
      <c r="CI238" s="79">
        <f>IFERROR(($G238*'Inputs Yr 2'!$P238*'Inputs Yr 2'!$Q238*(((INDEX(avoidedcosttbl2,$H238,CI$2)+(($H238-ROUNDDOWN($H238,0))*(INDEX(avoidedcosttbl2,ROUNDUP($H238,0),CI$2)-INDEX(avoidedcosttbl2,ROUNDDOWN($H238,0),CI$2))))*'Inputs Yr 2'!AS238))),"")</f>
        <v>0</v>
      </c>
      <c r="CJ238" s="504">
        <f>IFERROR($G238*'Inputs Yr 2'!AT238*'Inputs Yr 2'!$P238*'Inputs Yr 2'!$Q238/((1+realdiscrt1)^-0.5),"")</f>
        <v>0</v>
      </c>
      <c r="CK238" s="79">
        <f>IFERROR((O238*1000*(((INDEX(avoidedcosttbl2,$H238,CK$2)+(($H238-ROUNDDOWN($H238,0))*(INDEX(avoidedcosttbl2,ROUNDUP($H238,0),CK$2)-INDEX(avoidedcosttbl2,ROUNDDOWN($H238,0),CK$2))))*'Inputs Yr 2'!AU238))),"")</f>
        <v>0</v>
      </c>
      <c r="CL238" s="504">
        <f>IFERROR(O238*1000*'Inputs Yr 2'!AV238/((1+realdiscrt1)^-0.5),"")</f>
        <v>0</v>
      </c>
      <c r="CM238" s="79">
        <f>IFERROR((AB238*'Inputs Yr 2'!AW238*(((INDEX(avoidedcosttbl2,$H238,CM$2)+(($H238-ROUNDDOWN($H238,0))*(INDEX(avoidedcosttbl2,ROUNDUP($H238,0),CM$2)-INDEX(avoidedcosttbl2,ROUNDDOWN($H238,0),CM$2)))))))*10,"")</f>
        <v>0</v>
      </c>
      <c r="CN238" s="504">
        <f>IFERROR(10*AB238*'Inputs Yr 2'!AX238/((1+realdiscrt1)^-0.5),"")</f>
        <v>0</v>
      </c>
      <c r="CO238" s="505">
        <f t="shared" si="135"/>
        <v>0</v>
      </c>
      <c r="CP238" s="230">
        <f t="shared" si="136"/>
        <v>750709.39985537878</v>
      </c>
      <c r="CQ238" s="199">
        <f>ROUND(IFERROR(IF(LEFT($A238,1)="C",'Avoided Costs'!$K$13,'Avoided Costs'!$K$12)+1,""),4)</f>
        <v>1.0720000000000001</v>
      </c>
      <c r="CR238" s="199">
        <f>ROUND(IFERROR(IF(LEFT($A238,1)="C",'Avoided Costs'!$L$13,'Avoided Costs'!$L$12)+1,""),4)</f>
        <v>1.04</v>
      </c>
      <c r="CS238" s="199">
        <f>ROUND(IFERROR(IF(LEFT($A238,1)="C",'Avoided Costs'!$M$13,'Avoided Costs'!$M$12)+1,""),4)</f>
        <v>1.0720000000000001</v>
      </c>
      <c r="CT238" s="199">
        <f>ROUND(IFERROR(IF(LEFT($A238,1)="C",'Avoided Costs'!$N$13,'Avoided Costs'!$N$12)+1,""),4)</f>
        <v>1.04</v>
      </c>
      <c r="CU238" s="199">
        <f>ROUND(IFERROR(IF(LEFT($A238,1)="C",'Avoided Costs'!$O$13,'Avoided Costs'!$O$12)+1,""),4)</f>
        <v>1.1120000000000001</v>
      </c>
      <c r="CV238" s="199">
        <f>ROUND(IFERROR(IF(LEFT($A238,1)="C",'Avoided Costs'!$P$13,'Avoided Costs'!$P$12)+1,""),4)</f>
        <v>1.095</v>
      </c>
      <c r="CW238" s="199">
        <f>ROUND(IFERROR(IF(LEFT($A238,1)="C",'Avoided Costs'!$Q$13,'Avoided Costs'!$Q$12)+1,""),4)</f>
        <v>1.1120000000000001</v>
      </c>
      <c r="CX238" s="200">
        <f>ROUND(IFERROR(IF(LEFT($A238,1)="C",'Avoided Costs'!$R$13,'Avoided Costs'!$R$12)+1,""),4)</f>
        <v>1.1120000000000001</v>
      </c>
    </row>
    <row r="239" spans="1:102" ht="12.75" customHeight="1">
      <c r="A239" s="91" t="str">
        <f>IF('Inputs Yr 2'!$B239=0,"",'Inputs Yr 2'!A239)</f>
        <v>C - Commercial &amp; Industrial</v>
      </c>
      <c r="B239" s="91" t="str">
        <f>IF('Inputs Yr 2'!$B239=0,"",'Inputs Yr 2'!B239)</f>
        <v>C1 - C&amp;I New Construction</v>
      </c>
      <c r="C239" s="91" t="str">
        <f>IF('Inputs Yr 2'!$B239=0,"",'Inputs Yr 2'!C239)</f>
        <v xml:space="preserve">C1b - C&amp;I Initial Purchase &amp; End of Useful Life </v>
      </c>
      <c r="D239" s="91" t="str">
        <f>IF('Inputs Yr 2'!$B239=0,"",'Inputs Yr 2'!E239)</f>
        <v>Steamer</v>
      </c>
      <c r="E239" s="93" t="str">
        <f>IF('Inputs Yr 2'!$B239=0,"",'Inputs Yr 2'!F239)</f>
        <v>G16C1b37</v>
      </c>
      <c r="F239" s="93" t="str">
        <f>IF('Inputs Yr 2'!$B239=0,"",'Inputs Yr 2'!G239)</f>
        <v>Food Service</v>
      </c>
      <c r="G239" s="95">
        <f>IF('Inputs Yr 2'!$H239&lt;&gt;0,('Inputs Yr 2'!H239),"")</f>
        <v>1</v>
      </c>
      <c r="H239" s="94">
        <f>IFERROR('Inputs Yr 2'!I239,"")</f>
        <v>12</v>
      </c>
      <c r="I239" s="298">
        <f>IFERROR('Inputs Yr 2'!J239*'Inputs Yr 2'!P239*G239,"")</f>
        <v>1692.0000000000002</v>
      </c>
      <c r="J239" s="298">
        <f>IFERROR('Inputs Yr 2'!K239*G239,"")</f>
        <v>1000</v>
      </c>
      <c r="K239" s="298">
        <f t="shared" si="113"/>
        <v>692.00000000000023</v>
      </c>
      <c r="L239" s="194">
        <f>IFERROR(('Inputs Yr 2'!W239*G239)/1000,"")</f>
        <v>0</v>
      </c>
      <c r="M239" s="194">
        <f>IFERROR(L239*('Inputs Yr 2'!$Q239*'Inputs Yr 2'!$V239*'Inputs Yr 2'!$R239),"")</f>
        <v>0</v>
      </c>
      <c r="N239" s="194">
        <f t="shared" si="114"/>
        <v>0</v>
      </c>
      <c r="O239" s="194">
        <f>IFERROR(M239*'Inputs Yr 2'!P239,"")</f>
        <v>0</v>
      </c>
      <c r="P239" s="194">
        <f t="shared" si="115"/>
        <v>0</v>
      </c>
      <c r="Q239" s="194">
        <f>IFERROR($P239*'Inputs Yr 2'!AA239,"")</f>
        <v>0</v>
      </c>
      <c r="R239" s="194">
        <f>IFERROR($P239*'Inputs Yr 2'!AB239,"")</f>
        <v>0</v>
      </c>
      <c r="S239" s="194">
        <f>IFERROR($P239*'Inputs Yr 2'!AC239,"")</f>
        <v>0</v>
      </c>
      <c r="T239" s="194">
        <f>IFERROR($P239*'Inputs Yr 2'!AD239,"")</f>
        <v>0</v>
      </c>
      <c r="U239" s="194">
        <f>IFERROR(G239*'Inputs Yr 2'!$AE239*'Inputs Yr 2'!$P239*'Inputs Yr 2'!$Q239,"")</f>
        <v>0</v>
      </c>
      <c r="V239" s="194">
        <f>IFERROR($G239*'Inputs Yr 2'!$AE239*'Inputs Yr 2'!$AG239*'Inputs Yr 2'!Q239*'Inputs Yr 2'!$S239,"")</f>
        <v>0</v>
      </c>
      <c r="W239" s="194">
        <f>IFERROR($G239*'Inputs Yr 2'!$AE239*'Inputs Yr 2'!$AG239*'Inputs Yr 2'!P239*'Inputs Yr 2'!Q239*'Inputs Yr 2'!$S239,"")</f>
        <v>0</v>
      </c>
      <c r="X239" s="194">
        <f>IFERROR($G239*'Inputs Yr 2'!$AE239*'Inputs Yr 2'!$AF239*'Inputs Yr 2'!Q239*'Inputs Yr 2'!$T239,"")</f>
        <v>0</v>
      </c>
      <c r="Y239" s="194">
        <f>IFERROR($G239*'Inputs Yr 2'!$AE239*'Inputs Yr 2'!$AF239*'Inputs Yr 2'!P239*'Inputs Yr 2'!Q239*'Inputs Yr 2'!$T239,"")</f>
        <v>0</v>
      </c>
      <c r="Z239" s="257">
        <f>IFERROR($G239*'Inputs Yr 2'!$Q239*'Inputs Yr 2'!$U239*(IF(IFERROR(SEARCH("NG", 'Inputs Yr 2'!$AJ239),0),'Inputs Yr 2'!$AK239,0)+IF(IFERROR(SEARCH("NG", 'Inputs Yr 2'!$AL239),0),'Inputs Yr 2'!$AM239,0)+IF(IFERROR(SEARCH("NG", 'Inputs Yr 2'!$AN239),0),'Inputs Yr 2'!$AO239,0)),0)</f>
        <v>105.39999999999999</v>
      </c>
      <c r="AA239" s="257">
        <f t="shared" si="116"/>
        <v>1264.8</v>
      </c>
      <c r="AB239" s="257">
        <f>IFERROR(Z239*'Inputs Yr 2'!$P239,0)</f>
        <v>89.168400000000005</v>
      </c>
      <c r="AC239" s="257">
        <f t="shared" si="117"/>
        <v>1070.0208</v>
      </c>
      <c r="AD239" s="257">
        <f>IFERROR($G239*'Inputs Yr 2'!$Q239*'Inputs Yr 2'!$U239*(IF(IFERROR(SEARCH("Oil", 'Inputs Yr 2'!$AJ239), 0),'Inputs Yr 2'!$AK239,0)+IF(IFERROR(SEARCH("Oil", 'Inputs Yr 2'!$AL239), 0),'Inputs Yr 2'!$AM239,0)+IF(IFERROR(SEARCH("Oil", 'Inputs Yr 2'!$AN239), 0),'Inputs Yr 2'!$AO239,0)),0)</f>
        <v>0</v>
      </c>
      <c r="AE239" s="257">
        <f t="shared" si="118"/>
        <v>0</v>
      </c>
      <c r="AF239" s="257">
        <f>IFERROR(AD239*'Inputs Yr 2'!$P239,0)</f>
        <v>0</v>
      </c>
      <c r="AG239" s="257">
        <f t="shared" si="119"/>
        <v>0</v>
      </c>
      <c r="AH239" s="257">
        <f>IFERROR($G239*'Inputs Yr 2'!$Q239*'Inputs Yr 2'!$U239*(IF('Inputs Yr 2'!$AJ239=CD$4,'Inputs Yr 2'!$AK239,IF('Inputs Yr 2'!$AL239=CD$4,'Inputs Yr 2'!$AM239,IF('Inputs Yr 2'!$AN239=CD$4,'Inputs Yr 2'!$AO239,0)))),0)</f>
        <v>0</v>
      </c>
      <c r="AI239" s="257">
        <f t="shared" si="120"/>
        <v>0</v>
      </c>
      <c r="AJ239" s="257">
        <f>IFERROR(AH239*'Inputs Yr 2'!$P239,0)</f>
        <v>0</v>
      </c>
      <c r="AK239" s="257">
        <f t="shared" si="121"/>
        <v>0</v>
      </c>
      <c r="AL239" s="258">
        <f>IFERROR($G239*'Inputs Yr 2'!$P239*'Inputs Yr 2'!$Q239*'Inputs Yr 2'!AP239,0)</f>
        <v>0</v>
      </c>
      <c r="AM239" s="260">
        <f>IFERROR($G239*'Inputs Yr 2'!$P239*'Inputs Yr 2'!$Q239*'Inputs Yr 2'!AQ239,0)</f>
        <v>137102.76</v>
      </c>
      <c r="AN239" s="258">
        <f>IFERROR($G239*'Inputs Yr 2'!$P239*'Inputs Yr 2'!$Q239*'Inputs Yr 2'!AR239,0)</f>
        <v>137102.76</v>
      </c>
      <c r="AO239" s="257">
        <f t="shared" si="122"/>
        <v>1645233.12</v>
      </c>
      <c r="AP239" s="195">
        <f>IFERROR($CQ239*(INDEX(avoidedcosttbl2,$H239,AP$2)+(($H239-ROUNDDOWN($H239,0))*(INDEX(avoidedcosttbl2,ROUNDUP($H239,0),AP$2)-(INDEX(avoidedcosttbl2,ROUNDDOWN($H239,0),AP$2)))))*$O239*1000*'Inputs Yr 2'!AA239,"")</f>
        <v>0</v>
      </c>
      <c r="AQ239" s="195">
        <f>IFERROR($CR239*(INDEX(avoidedcosttbl2,$H239,AQ$2)+(($H239-ROUNDDOWN($H239,0))*(INDEX(avoidedcosttbl2,ROUNDUP($H239,0),AQ$2)-(INDEX(avoidedcosttbl2,ROUNDDOWN($H239,0),AQ$2)))))*$O239*1000*'Inputs Yr 2'!AB239,"")</f>
        <v>0</v>
      </c>
      <c r="AR239" s="195">
        <f>IFERROR($CS239*(INDEX(avoidedcosttbl2,$H239,AR$2)+(($H239-ROUNDDOWN($H239,0))*(INDEX(avoidedcosttbl2,ROUNDUP($H239,0),AR$2)-(INDEX(avoidedcosttbl2,ROUNDDOWN($H239,0),AR$2)))))*$O239*1000*'Inputs Yr 2'!AC239,"")</f>
        <v>0</v>
      </c>
      <c r="AS239" s="195">
        <f>IFERROR($CT239*(INDEX(avoidedcosttbl2,$H239,AS$2)+(($H239-ROUNDDOWN($H239,0))*(INDEX(avoidedcosttbl2,ROUNDUP($H239,0),AS$2)-(INDEX(avoidedcosttbl2,ROUNDDOWN($H239,0),AS$2)))))*$O239*1000*'Inputs Yr 2'!AD239,"")</f>
        <v>0</v>
      </c>
      <c r="AT239" s="196">
        <f t="shared" si="123"/>
        <v>0</v>
      </c>
      <c r="AU239" s="197">
        <f>IFERROR($CQ239*((INDEX(avoidedcosttbl2,$H239,AU$2))+(($H239-ROUNDDOWN($H239,0))*((INDEX(avoidedcosttbl2,ROUNDUP($H239,0),AU$2))-(INDEX(avoidedcosttbl2,ROUNDDOWN($H239,0),AU$2)))))*$O239*1000*'Inputs Yr 2'!AA239,"")</f>
        <v>0</v>
      </c>
      <c r="AV239" s="197">
        <f>IFERROR($CR239*((INDEX(avoidedcosttbl2,$H239,AV$2))+(($H239-ROUNDDOWN($H239,0))*((INDEX(avoidedcosttbl2,ROUNDUP($H239,0),AV$2))-(INDEX(avoidedcosttbl2,ROUNDDOWN($H239,0),AV$2)))))*$O239*1000*'Inputs Yr 2'!AB239,"")</f>
        <v>0</v>
      </c>
      <c r="AW239" s="197">
        <f>IFERROR($CS239*((INDEX(avoidedcosttbl2,$H239,AW$2))+(($H239-ROUNDDOWN($H239,0))*((INDEX(avoidedcosttbl2,ROUNDUP($H239,0),AW$2))-(INDEX(avoidedcosttbl2,ROUNDDOWN($H239,0),AW$2)))))*$O239*1000*'Inputs Yr 2'!AC239,"")</f>
        <v>0</v>
      </c>
      <c r="AX239" s="197">
        <f>IFERROR($CT239*((INDEX(avoidedcosttbl2,$H239,AX$2))+(($H239-ROUNDDOWN($H239,0))*((INDEX(avoidedcosttbl2,ROUNDUP($H239,0),AX$2))-(INDEX(avoidedcosttbl2,ROUNDDOWN($H239,0),AX$2)))))*$O239*1000*'Inputs Yr 2'!AD239,"")</f>
        <v>0</v>
      </c>
      <c r="AY239" s="197">
        <f>IFERROR(((INDEX(avoidedcosttbl2,$H239,AY$2))+(($H239-ROUNDDOWN($H239,0))*((INDEX(avoidedcosttbl2,ROUNDUP($H239,0),AY$2))-(INDEX(avoidedcosttbl2,ROUNDDOWN($H239,0),AY$2)))))*$O239*1000*('Inputs Yr 2'!AC239+'Inputs Yr 2'!AD239),"")</f>
        <v>0</v>
      </c>
      <c r="AZ239" s="197">
        <f>IFERROR(((INDEX(avoidedcosttbl2,$H239,AZ$2))+(($H239-ROUNDDOWN($H239,0))*((INDEX(avoidedcosttbl2,ROUNDUP($H239,0),AZ$2))-(INDEX(avoidedcosttbl2,ROUNDDOWN($H239,0),AZ$2)))))*$O239*1000*('Inputs Yr 2'!AA239+'Inputs Yr 2'!AB239),"")</f>
        <v>0</v>
      </c>
      <c r="BA239" s="198">
        <f t="shared" si="124"/>
        <v>0</v>
      </c>
      <c r="BB239" s="198">
        <f t="shared" si="125"/>
        <v>0</v>
      </c>
      <c r="BC239" s="195">
        <f t="shared" si="107"/>
        <v>0</v>
      </c>
      <c r="BD239" s="195">
        <f t="shared" si="108"/>
        <v>0</v>
      </c>
      <c r="BE239" s="195">
        <f t="shared" si="109"/>
        <v>0</v>
      </c>
      <c r="BF239" s="195">
        <f t="shared" si="110"/>
        <v>0</v>
      </c>
      <c r="BG239" s="195">
        <f t="shared" si="111"/>
        <v>0</v>
      </c>
      <c r="BH239" s="196">
        <f t="shared" si="126"/>
        <v>0</v>
      </c>
      <c r="BI239" s="196">
        <f t="shared" si="127"/>
        <v>0</v>
      </c>
      <c r="BJ239" s="195">
        <f>IFERROR($G239*(IF('Inputs Yr 2'!$AJ239=BJ$4,'Inputs Yr 2'!$AK239,IF('Inputs Yr 2'!$AL239=BJ$4,'Inputs Yr 2'!$AM239,IF('Inputs Yr 2'!$AN239=BJ$4,'Inputs Yr 2'!$AO239,0))))*(INDEX(avoidedcosttbl2,$H239,BJ$2)+(($H239-ROUNDDOWN($H239,0))*(INDEX(avoidedcosttbl2,ROUNDUP($H239,0),BJ$2)-(INDEX(avoidedcosttbl2,ROUNDDOWN($H239,0),BJ$2)))))*'Inputs Yr 2'!P239*'Inputs Yr 2'!Q239*'Inputs Yr 2'!U239,"")</f>
        <v>0</v>
      </c>
      <c r="BK239" s="195">
        <f>IFERROR($G239*(IF('Inputs Yr 2'!$AJ239=BK$4,'Inputs Yr 2'!$AK239,IF('Inputs Yr 2'!$AL239=BK$4,'Inputs Yr 2'!$AM239,IF('Inputs Yr 2'!$AN239=BK$4,'Inputs Yr 2'!$AO239,0))))*(INDEX(avoidedcosttbl2,$H239,BK$2)+(($H239-ROUNDDOWN($H239,0))*(INDEX(avoidedcosttbl2,ROUNDUP($H239,0),BK$2)-(INDEX(avoidedcosttbl2,ROUNDDOWN($H239,0),BK$2)))))*'Inputs Yr 2'!P239*'Inputs Yr 2'!Q239*'Inputs Yr 2'!U239,"")</f>
        <v>0</v>
      </c>
      <c r="BL239" s="195">
        <f>IFERROR($G239*(IF('Inputs Yr 2'!$AJ239=BL$4,'Inputs Yr 2'!$AK239,IF('Inputs Yr 2'!$AL239=BL$4,'Inputs Yr 2'!$AM239,IF('Inputs Yr 2'!$AN239=BL$4,'Inputs Yr 2'!$AO239,0))))*(INDEX(avoidedcosttbl2,$H239,BL$2)+(($H239-ROUNDDOWN($H239,0))*(INDEX(avoidedcosttbl2,ROUNDUP($H239,0),BL$2)-(INDEX(avoidedcosttbl2,ROUNDDOWN($H239,0),BL$2)))))*'Inputs Yr 2'!P239*'Inputs Yr 2'!Q239*'Inputs Yr 2'!U239,"")</f>
        <v>0</v>
      </c>
      <c r="BM239" s="195">
        <f>IFERROR($G239*(IF('Inputs Yr 2'!$AJ239=BM$4,'Inputs Yr 2'!$AK239,IF('Inputs Yr 2'!$AL239=BM$4,'Inputs Yr 2'!$AM239,IF('Inputs Yr 2'!$AN239=BM$4,'Inputs Yr 2'!$AO239,0))))*(INDEX(avoidedcosttbl2,$H239,BM$2)+(($H239-ROUNDDOWN($H239,0))*(INDEX(avoidedcosttbl2,ROUNDUP($H239,0),BM$2)-(INDEX(avoidedcosttbl2,ROUNDDOWN($H239,0),BM$2)))))*'Inputs Yr 2'!P239*'Inputs Yr 2'!Q239*'Inputs Yr 2'!U239,"")</f>
        <v>0</v>
      </c>
      <c r="BN239" s="195">
        <f>IFERROR($G239*(IF('Inputs Yr 2'!$AJ239=BN$4,'Inputs Yr 2'!$AK239,IF('Inputs Yr 2'!$AL239=BN$4,'Inputs Yr 2'!$AM239,IF('Inputs Yr 2'!$AN239=BN$4,'Inputs Yr 2'!$AO239,0))))*(INDEX(avoidedcosttbl2,$H239,BN$2)+(($H239-ROUNDDOWN($H239,0))*(INDEX(avoidedcosttbl2,ROUNDUP($H239,0),BN$2)-(INDEX(avoidedcosttbl2,ROUNDDOWN($H239,0),BN$2)))))*'Inputs Yr 2'!P239*'Inputs Yr 2'!Q239*'Inputs Yr 2'!U239,"")</f>
        <v>0</v>
      </c>
      <c r="BO239" s="195">
        <f>IFERROR($G239*(IF('Inputs Yr 2'!$AJ239=BO$4,'Inputs Yr 2'!$AK239,IF('Inputs Yr 2'!$AL239=BO$4,'Inputs Yr 2'!$AM239,IF('Inputs Yr 2'!$AN239=BO$4,'Inputs Yr 2'!$AO239,0))))*(INDEX(avoidedcosttbl2,$H239,BO$2)+(($H239-ROUNDDOWN($H239,0))*(INDEX(avoidedcosttbl2,ROUNDUP($H239,0),BO$2)-(INDEX(avoidedcosttbl2,ROUNDDOWN($H239,0),BO$2)))))*'Inputs Yr 2'!P239*'Inputs Yr 2'!Q239*'Inputs Yr 2'!U239,"")</f>
        <v>0</v>
      </c>
      <c r="BP239" s="195">
        <f>IFERROR($G239*(IF('Inputs Yr 2'!$AJ239=BP$4,'Inputs Yr 2'!$AK239,IF('Inputs Yr 2'!$AL239=BP$4,'Inputs Yr 2'!$AM239,IF('Inputs Yr 2'!$AN239=BP$4,'Inputs Yr 2'!$AO239,0))))*(INDEX(avoidedcosttbl2,$H239,BP$2)+(($H239-ROUNDDOWN($H239,0))*(INDEX(avoidedcosttbl2,ROUNDUP($H239,0),BP$2)-(INDEX(avoidedcosttbl2,ROUNDDOWN($H239,0),BP$2)))))*'Inputs Yr 2'!P239*'Inputs Yr 2'!Q239*'Inputs Yr 2'!U239,"")</f>
        <v>7865.8942186888171</v>
      </c>
      <c r="BQ239" s="230">
        <f t="shared" si="128"/>
        <v>7865.8942186888171</v>
      </c>
      <c r="BR239" s="197">
        <f t="shared" si="112"/>
        <v>145.98142877373556</v>
      </c>
      <c r="BS239" s="197">
        <f>IFERROR(($G239*IF('Inputs Yr 2'!$AJ239=BM$4,'Inputs Yr 2'!$AK239,IF('Inputs Yr 2'!$AL239=BM$4,'Inputs Yr 2'!$AM239,IF('Inputs Yr 2'!$AN239=BM$4,'Inputs Yr 2'!$AO239,0))))*(INDEX(avoidedcosttbl2,$H239,BS$2)+(($H239-ROUNDDOWN($H239,0))*(INDEX(avoidedcosttbl2,ROUNDUP($H239,0),BS$2)-(INDEX(avoidedcosttbl2,ROUNDDOWN($H239,0),BS$2)))))*'Inputs Yr 2'!P239*'Inputs Yr 2'!Q239*'Inputs Yr 2'!U239,"")</f>
        <v>0</v>
      </c>
      <c r="BT239" s="197">
        <f>IFERROR(($G239*IF('Inputs Yr 2'!$AJ239=BK$4,'Inputs Yr 2'!$AK239,IF('Inputs Yr 2'!$AL239=BK$4,'Inputs Yr 2'!$AM239,IF('Inputs Yr 2'!$AN239=BK$4,'Inputs Yr 2'!$AO239,0))))*(INDEX(avoidedcosttbl2,$H239,BT$2)+(($H239-ROUNDDOWN($H239,0))*(INDEX(avoidedcosttbl2,ROUNDUP($H239,0),BT$2)-(INDEX(avoidedcosttbl2,ROUNDDOWN($H239,0),BT$2)))))*'Inputs Yr 2'!P239*'Inputs Yr 2'!Q239*'Inputs Yr 2'!U239,"")</f>
        <v>0</v>
      </c>
      <c r="BU239" s="197">
        <f>IFERROR(($G239*IF('Inputs Yr 2'!$AJ239=BL$4,'Inputs Yr 2'!$AK239,IF('Inputs Yr 2'!$AL239=BL$4,'Inputs Yr 2'!$AM239,IF('Inputs Yr 2'!$AN239=BL$4,'Inputs Yr 2'!$AO239,0))))*(INDEX(avoidedcosttbl2,$H239,BU$2)+(($H239-ROUNDDOWN($H239,0))*(INDEX(avoidedcosttbl2,ROUNDUP($H239,0),BU$2)-(INDEX(avoidedcosttbl2,ROUNDDOWN($H239,0),BU$2)))))*'Inputs Yr 2'!P239*'Inputs Yr 2'!Q239*'Inputs Yr 2'!U239,"")</f>
        <v>0</v>
      </c>
      <c r="BV239" s="775">
        <f>IFERROR(($G239*IF('Inputs Yr 2'!$AJ239=BJ$4,'Inputs Yr 2'!$AK239,IF('Inputs Yr 2'!$AL239=BJ$4,'Inputs Yr 2'!$AM239,IF('Inputs Yr 2'!$AN239=BJ$4,'Inputs Yr 2'!$AO239,0))))*(INDEX(avoidedcosttbl2,$H239,BV$2)+(($H239-ROUNDDOWN($H239,0))*(INDEX(avoidedcosttbl2,ROUNDUP($H239,0),BV$2)-(INDEX(avoidedcosttbl2,ROUNDDOWN($H239,0),BV$2)))))*'Inputs Yr 2'!P239*'Inputs Yr 2'!Q239*'Inputs Yr 2'!U239,"")</f>
        <v>0</v>
      </c>
      <c r="BW239" s="197">
        <f>IFERROR(($G239*IF('Inputs Yr 2'!$AJ239=BN$4,'Inputs Yr 2'!$AK239,IF('Inputs Yr 2'!$AL239=BN$4,'Inputs Yr 2'!$AM239,IF('Inputs Yr 2'!$AN239=BN$4,'Inputs Yr 2'!$AO239,0))))*(INDEX(avoidedcosttbl2,$H239,BW$2)+(($H239-ROUNDDOWN($H239,0))*(INDEX(avoidedcosttbl2,ROUNDUP($H239,0),BW$2)-(INDEX(avoidedcosttbl2,ROUNDDOWN($H239,0),BW$2)))))*'Inputs Yr 2'!P239*'Inputs Yr 2'!Q239*'Inputs Yr 2'!U239,"")</f>
        <v>0</v>
      </c>
      <c r="BX239" s="197">
        <f>IFERROR(($G239*IF('Inputs Yr 2'!$AJ239=BO$4,'Inputs Yr 2'!$AK239,IF('Inputs Yr 2'!$AL239=BO$4,'Inputs Yr 2'!$AM239,IF('Inputs Yr 2'!$AN239=BO$4,'Inputs Yr 2'!$AO239,0))))*(INDEX(avoidedcosttbl2,$H239,BX$2)+(($H239-ROUNDDOWN($H239,0))*(INDEX(avoidedcosttbl2,ROUNDUP($H239,0),BX$2)-(INDEX(avoidedcosttbl2,ROUNDDOWN($H239,0),BX$2)))))*'Inputs Yr 2'!P239*'Inputs Yr 2'!Q239*'Inputs Yr 2'!U239,"")</f>
        <v>0</v>
      </c>
      <c r="BY239" s="197">
        <f>IFERROR(($G239*IF('Inputs Yr 2'!$AJ239=BP$4,'Inputs Yr 2'!$AK239,IF('Inputs Yr 2'!$AL239=BP$4,'Inputs Yr 2'!$AM239,IF('Inputs Yr 2'!$AN239=BP$4,'Inputs Yr 2'!$AO239,0))))*(INDEX(avoidedcosttbl2,$H239,BY$2)+(($H239-ROUNDDOWN($H239,0))*(INDEX(avoidedcosttbl2,ROUNDUP($H239,0),BY$2)-(INDEX(avoidedcosttbl2,ROUNDDOWN($H239,0),BY$2)))))*'Inputs Yr 2'!P239*'Inputs Yr 2'!Q239*'Inputs Yr 2'!U239,"")</f>
        <v>738.5413596104496</v>
      </c>
      <c r="BZ239" s="193">
        <f t="shared" si="129"/>
        <v>884.52278838418511</v>
      </c>
      <c r="CA239" s="193">
        <f t="shared" si="130"/>
        <v>8750.4170070730015</v>
      </c>
      <c r="CB239" s="195">
        <f>IFERROR(G239*(IF('Inputs Yr 2'!$AJ239=CB$4,'Inputs Yr 2'!$AK239,IF('Inputs Yr 2'!$AL239=CB$4,'Inputs Yr 2'!$AM239,IF('Inputs Yr 2'!$AN239=CB$4,'Inputs Yr 2'!$AO239,0))))*(INDEX(avoidedcosttbl2,$H239,CB$2)+(($H239-ROUNDDOWN($H239,0))*(INDEX(avoidedcosttbl2,ROUNDUP($H239,0),CB$2)-(INDEX(avoidedcosttbl2,ROUNDDOWN($H239,0),CB$2)))))*'Inputs Yr 2'!P239*'Inputs Yr 2'!Q239*'Inputs Yr 2'!U239,"")</f>
        <v>0</v>
      </c>
      <c r="CC239" s="195">
        <f>IFERROR(H239*(IF('Inputs Yr 2'!$AJ239=CC$4,'Inputs Yr 2'!$AK239,IF('Inputs Yr 2'!$AL239=CC$4,'Inputs Yr 2'!$AM239,IF('Inputs Yr 2'!$AN239=CC$4,'Inputs Yr 2'!$AO239,0))))*(INDEX(avoidedcosttbl2,$H239,CC$2)+(($H239-ROUNDDOWN($H239,0))*(INDEX(avoidedcosttbl2,ROUNDUP($H239,0),CC$2)-(INDEX(avoidedcosttbl2,ROUNDDOWN($H239,0),CC$2)))))*'Inputs Yr 2'!Q239*'Inputs Yr 2'!R239*'Inputs Yr 2'!V239,"")</f>
        <v>0</v>
      </c>
      <c r="CD239" s="195">
        <f>IFERROR(I239*(IF('Inputs Yr 2'!$AJ239=CD$4,'Inputs Yr 2'!$AK239,IF('Inputs Yr 2'!$AL239=CD$4,'Inputs Yr 2'!$AM239,IF('Inputs Yr 2'!$AN239=CD$4,'Inputs Yr 2'!$AO239,0))))*(INDEX(avoidedcosttbl2,$H239,CD$2)+(($H239-ROUNDDOWN($H239,0))*(INDEX(avoidedcosttbl2,ROUNDUP($H239,0),CD$2)-(INDEX(avoidedcosttbl2,ROUNDDOWN($H239,0),CD$2)))))*'Inputs Yr 2'!R239*'Inputs Yr 2'!S239*'Inputs Yr 2'!W239,"")</f>
        <v>0</v>
      </c>
      <c r="CE239" s="213">
        <f t="shared" si="131"/>
        <v>0</v>
      </c>
      <c r="CF239" s="213">
        <f t="shared" si="132"/>
        <v>7272.7513372530766</v>
      </c>
      <c r="CG239" s="213">
        <f t="shared" si="133"/>
        <v>10088.979806386906</v>
      </c>
      <c r="CH239" s="698">
        <f t="shared" si="134"/>
        <v>26112.148150712983</v>
      </c>
      <c r="CI239" s="79">
        <f>IFERROR(($G239*'Inputs Yr 2'!$P239*'Inputs Yr 2'!$Q239*(((INDEX(avoidedcosttbl2,$H239,CI$2)+(($H239-ROUNDDOWN($H239,0))*(INDEX(avoidedcosttbl2,ROUNDUP($H239,0),CI$2)-INDEX(avoidedcosttbl2,ROUNDDOWN($H239,0),CI$2))))*'Inputs Yr 2'!AS239))),"")</f>
        <v>0</v>
      </c>
      <c r="CJ239" s="504">
        <f>IFERROR($G239*'Inputs Yr 2'!AT239*'Inputs Yr 2'!$P239*'Inputs Yr 2'!$Q239/((1+realdiscrt1)^-0.5),"")</f>
        <v>0</v>
      </c>
      <c r="CK239" s="79">
        <f>IFERROR((O239*1000*(((INDEX(avoidedcosttbl2,$H239,CK$2)+(($H239-ROUNDDOWN($H239,0))*(INDEX(avoidedcosttbl2,ROUNDUP($H239,0),CK$2)-INDEX(avoidedcosttbl2,ROUNDDOWN($H239,0),CK$2))))*'Inputs Yr 2'!AU239))),"")</f>
        <v>0</v>
      </c>
      <c r="CL239" s="504">
        <f>IFERROR(O239*1000*'Inputs Yr 2'!AV239/((1+realdiscrt1)^-0.5),"")</f>
        <v>0</v>
      </c>
      <c r="CM239" s="79">
        <f>IFERROR((AB239*'Inputs Yr 2'!AW239*(((INDEX(avoidedcosttbl2,$H239,CM$2)+(($H239-ROUNDDOWN($H239,0))*(INDEX(avoidedcosttbl2,ROUNDUP($H239,0),CM$2)-INDEX(avoidedcosttbl2,ROUNDDOWN($H239,0),CM$2)))))))*10,"")</f>
        <v>0</v>
      </c>
      <c r="CN239" s="504">
        <f>IFERROR(10*AB239*'Inputs Yr 2'!AX239/((1+realdiscrt1)^-0.5),"")</f>
        <v>0</v>
      </c>
      <c r="CO239" s="505">
        <f t="shared" si="135"/>
        <v>0</v>
      </c>
      <c r="CP239" s="230">
        <f t="shared" si="136"/>
        <v>26112.148150712983</v>
      </c>
      <c r="CQ239" s="199">
        <f>ROUND(IFERROR(IF(LEFT($A239,1)="C",'Avoided Costs'!$K$13,'Avoided Costs'!$K$12)+1,""),4)</f>
        <v>1.0720000000000001</v>
      </c>
      <c r="CR239" s="199">
        <f>ROUND(IFERROR(IF(LEFT($A239,1)="C",'Avoided Costs'!$L$13,'Avoided Costs'!$L$12)+1,""),4)</f>
        <v>1.04</v>
      </c>
      <c r="CS239" s="199">
        <f>ROUND(IFERROR(IF(LEFT($A239,1)="C",'Avoided Costs'!$M$13,'Avoided Costs'!$M$12)+1,""),4)</f>
        <v>1.0720000000000001</v>
      </c>
      <c r="CT239" s="199">
        <f>ROUND(IFERROR(IF(LEFT($A239,1)="C",'Avoided Costs'!$N$13,'Avoided Costs'!$N$12)+1,""),4)</f>
        <v>1.04</v>
      </c>
      <c r="CU239" s="199">
        <f>ROUND(IFERROR(IF(LEFT($A239,1)="C",'Avoided Costs'!$O$13,'Avoided Costs'!$O$12)+1,""),4)</f>
        <v>1.1120000000000001</v>
      </c>
      <c r="CV239" s="199">
        <f>ROUND(IFERROR(IF(LEFT($A239,1)="C",'Avoided Costs'!$P$13,'Avoided Costs'!$P$12)+1,""),4)</f>
        <v>1.095</v>
      </c>
      <c r="CW239" s="199">
        <f>ROUND(IFERROR(IF(LEFT($A239,1)="C",'Avoided Costs'!$Q$13,'Avoided Costs'!$Q$12)+1,""),4)</f>
        <v>1.1120000000000001</v>
      </c>
      <c r="CX239" s="200">
        <f>ROUND(IFERROR(IF(LEFT($A239,1)="C",'Avoided Costs'!$R$13,'Avoided Costs'!$R$12)+1,""),4)</f>
        <v>1.1120000000000001</v>
      </c>
    </row>
    <row r="240" spans="1:102" ht="12.75" customHeight="1">
      <c r="A240" s="91" t="str">
        <f>IF('Inputs Yr 2'!$B240=0,"",'Inputs Yr 2'!A240)</f>
        <v>C - Commercial &amp; Industrial</v>
      </c>
      <c r="B240" s="91" t="str">
        <f>IF('Inputs Yr 2'!$B240=0,"",'Inputs Yr 2'!B240)</f>
        <v>C1 - C&amp;I New Construction</v>
      </c>
      <c r="C240" s="91" t="str">
        <f>IF('Inputs Yr 2'!$B240=0,"",'Inputs Yr 2'!C240)</f>
        <v xml:space="preserve">C1b - C&amp;I Initial Purchase &amp; End of Useful Life </v>
      </c>
      <c r="D240" s="91" t="str">
        <f>IF('Inputs Yr 2'!$B240=0,"",'Inputs Yr 2'!E240)</f>
        <v>Custom/Future</v>
      </c>
      <c r="E240" s="93">
        <f>IF('Inputs Yr 2'!$B240=0,"",'Inputs Yr 2'!F240)</f>
        <v>0</v>
      </c>
      <c r="F240" s="93">
        <f>IF('Inputs Yr 2'!$B240=0,"",'Inputs Yr 2'!G240)</f>
        <v>0</v>
      </c>
      <c r="G240" s="95" t="str">
        <f>IF('Inputs Yr 2'!$H240&lt;&gt;0,('Inputs Yr 2'!H240),"")</f>
        <v/>
      </c>
      <c r="H240" s="94">
        <f>IFERROR('Inputs Yr 2'!I240,"")</f>
        <v>0</v>
      </c>
      <c r="I240" s="298" t="str">
        <f>IFERROR('Inputs Yr 2'!J240*'Inputs Yr 2'!P240*G240,"")</f>
        <v/>
      </c>
      <c r="J240" s="298" t="str">
        <f>IFERROR('Inputs Yr 2'!K240*G240,"")</f>
        <v/>
      </c>
      <c r="K240" s="298" t="str">
        <f t="shared" si="113"/>
        <v/>
      </c>
      <c r="L240" s="194" t="str">
        <f>IFERROR(('Inputs Yr 2'!W240*G240)/1000,"")</f>
        <v/>
      </c>
      <c r="M240" s="194" t="str">
        <f>IFERROR(L240*('Inputs Yr 2'!$Q240*'Inputs Yr 2'!$V240*'Inputs Yr 2'!$R240),"")</f>
        <v/>
      </c>
      <c r="N240" s="194" t="str">
        <f t="shared" si="114"/>
        <v/>
      </c>
      <c r="O240" s="194" t="str">
        <f>IFERROR(M240*'Inputs Yr 2'!P240,"")</f>
        <v/>
      </c>
      <c r="P240" s="194" t="str">
        <f t="shared" si="115"/>
        <v/>
      </c>
      <c r="Q240" s="194" t="str">
        <f>IFERROR($P240*'Inputs Yr 2'!AA240,"")</f>
        <v/>
      </c>
      <c r="R240" s="194" t="str">
        <f>IFERROR($P240*'Inputs Yr 2'!AB240,"")</f>
        <v/>
      </c>
      <c r="S240" s="194" t="str">
        <f>IFERROR($P240*'Inputs Yr 2'!AC240,"")</f>
        <v/>
      </c>
      <c r="T240" s="194" t="str">
        <f>IFERROR($P240*'Inputs Yr 2'!AD240,"")</f>
        <v/>
      </c>
      <c r="U240" s="194" t="str">
        <f>IFERROR(G240*'Inputs Yr 2'!$AE240*'Inputs Yr 2'!$P240*'Inputs Yr 2'!$Q240,"")</f>
        <v/>
      </c>
      <c r="V240" s="194" t="str">
        <f>IFERROR($G240*'Inputs Yr 2'!$AE240*'Inputs Yr 2'!$AG240*'Inputs Yr 2'!Q240*'Inputs Yr 2'!$S240,"")</f>
        <v/>
      </c>
      <c r="W240" s="194" t="str">
        <f>IFERROR($G240*'Inputs Yr 2'!$AE240*'Inputs Yr 2'!$AG240*'Inputs Yr 2'!P240*'Inputs Yr 2'!Q240*'Inputs Yr 2'!$S240,"")</f>
        <v/>
      </c>
      <c r="X240" s="194" t="str">
        <f>IFERROR($G240*'Inputs Yr 2'!$AE240*'Inputs Yr 2'!$AF240*'Inputs Yr 2'!Q240*'Inputs Yr 2'!$T240,"")</f>
        <v/>
      </c>
      <c r="Y240" s="194" t="str">
        <f>IFERROR($G240*'Inputs Yr 2'!$AE240*'Inputs Yr 2'!$AF240*'Inputs Yr 2'!P240*'Inputs Yr 2'!Q240*'Inputs Yr 2'!$T240,"")</f>
        <v/>
      </c>
      <c r="Z240" s="257">
        <f>IFERROR($G240*'Inputs Yr 2'!$Q240*'Inputs Yr 2'!$U240*(IF(IFERROR(SEARCH("NG", 'Inputs Yr 2'!$AJ240),0),'Inputs Yr 2'!$AK240,0)+IF(IFERROR(SEARCH("NG", 'Inputs Yr 2'!$AL240),0),'Inputs Yr 2'!$AM240,0)+IF(IFERROR(SEARCH("NG", 'Inputs Yr 2'!$AN240),0),'Inputs Yr 2'!$AO240,0)),0)</f>
        <v>0</v>
      </c>
      <c r="AA240" s="257">
        <f t="shared" si="116"/>
        <v>0</v>
      </c>
      <c r="AB240" s="257">
        <f>IFERROR(Z240*'Inputs Yr 2'!$P240,0)</f>
        <v>0</v>
      </c>
      <c r="AC240" s="257">
        <f t="shared" si="117"/>
        <v>0</v>
      </c>
      <c r="AD240" s="257">
        <f>IFERROR($G240*'Inputs Yr 2'!$Q240*'Inputs Yr 2'!$U240*(IF(IFERROR(SEARCH("Oil", 'Inputs Yr 2'!$AJ240), 0),'Inputs Yr 2'!$AK240,0)+IF(IFERROR(SEARCH("Oil", 'Inputs Yr 2'!$AL240), 0),'Inputs Yr 2'!$AM240,0)+IF(IFERROR(SEARCH("Oil", 'Inputs Yr 2'!$AN240), 0),'Inputs Yr 2'!$AO240,0)),0)</f>
        <v>0</v>
      </c>
      <c r="AE240" s="257">
        <f t="shared" si="118"/>
        <v>0</v>
      </c>
      <c r="AF240" s="257">
        <f>IFERROR(AD240*'Inputs Yr 2'!$P240,0)</f>
        <v>0</v>
      </c>
      <c r="AG240" s="257">
        <f t="shared" si="119"/>
        <v>0</v>
      </c>
      <c r="AH240" s="257">
        <f>IFERROR($G240*'Inputs Yr 2'!$Q240*'Inputs Yr 2'!$U240*(IF('Inputs Yr 2'!$AJ240=CD$4,'Inputs Yr 2'!$AK240,IF('Inputs Yr 2'!$AL240=CD$4,'Inputs Yr 2'!$AM240,IF('Inputs Yr 2'!$AN240=CD$4,'Inputs Yr 2'!$AO240,0)))),0)</f>
        <v>0</v>
      </c>
      <c r="AI240" s="257">
        <f t="shared" si="120"/>
        <v>0</v>
      </c>
      <c r="AJ240" s="257">
        <f>IFERROR(AH240*'Inputs Yr 2'!$P240,0)</f>
        <v>0</v>
      </c>
      <c r="AK240" s="257">
        <f t="shared" si="121"/>
        <v>0</v>
      </c>
      <c r="AL240" s="258">
        <f>IFERROR($G240*'Inputs Yr 2'!$P240*'Inputs Yr 2'!$Q240*'Inputs Yr 2'!AP240,0)</f>
        <v>0</v>
      </c>
      <c r="AM240" s="260">
        <f>IFERROR($G240*'Inputs Yr 2'!$P240*'Inputs Yr 2'!$Q240*'Inputs Yr 2'!AQ240,0)</f>
        <v>0</v>
      </c>
      <c r="AN240" s="258">
        <f>IFERROR($G240*'Inputs Yr 2'!$P240*'Inputs Yr 2'!$Q240*'Inputs Yr 2'!AR240,0)</f>
        <v>0</v>
      </c>
      <c r="AO240" s="257">
        <f t="shared" si="122"/>
        <v>0</v>
      </c>
      <c r="AP240" s="195" t="str">
        <f>IFERROR($CQ240*(INDEX(avoidedcosttbl2,$H240,AP$2)+(($H240-ROUNDDOWN($H240,0))*(INDEX(avoidedcosttbl2,ROUNDUP($H240,0),AP$2)-(INDEX(avoidedcosttbl2,ROUNDDOWN($H240,0),AP$2)))))*$O240*1000*'Inputs Yr 2'!AA240,"")</f>
        <v/>
      </c>
      <c r="AQ240" s="195" t="str">
        <f>IFERROR($CR240*(INDEX(avoidedcosttbl2,$H240,AQ$2)+(($H240-ROUNDDOWN($H240,0))*(INDEX(avoidedcosttbl2,ROUNDUP($H240,0),AQ$2)-(INDEX(avoidedcosttbl2,ROUNDDOWN($H240,0),AQ$2)))))*$O240*1000*'Inputs Yr 2'!AB240,"")</f>
        <v/>
      </c>
      <c r="AR240" s="195" t="str">
        <f>IFERROR($CS240*(INDEX(avoidedcosttbl2,$H240,AR$2)+(($H240-ROUNDDOWN($H240,0))*(INDEX(avoidedcosttbl2,ROUNDUP($H240,0),AR$2)-(INDEX(avoidedcosttbl2,ROUNDDOWN($H240,0),AR$2)))))*$O240*1000*'Inputs Yr 2'!AC240,"")</f>
        <v/>
      </c>
      <c r="AS240" s="195" t="str">
        <f>IFERROR($CT240*(INDEX(avoidedcosttbl2,$H240,AS$2)+(($H240-ROUNDDOWN($H240,0))*(INDEX(avoidedcosttbl2,ROUNDUP($H240,0),AS$2)-(INDEX(avoidedcosttbl2,ROUNDDOWN($H240,0),AS$2)))))*$O240*1000*'Inputs Yr 2'!AD240,"")</f>
        <v/>
      </c>
      <c r="AT240" s="196">
        <f t="shared" si="123"/>
        <v>0</v>
      </c>
      <c r="AU240" s="197" t="str">
        <f>IFERROR($CQ240*((INDEX(avoidedcosttbl2,$H240,AU$2))+(($H240-ROUNDDOWN($H240,0))*((INDEX(avoidedcosttbl2,ROUNDUP($H240,0),AU$2))-(INDEX(avoidedcosttbl2,ROUNDDOWN($H240,0),AU$2)))))*$O240*1000*'Inputs Yr 2'!AA240,"")</f>
        <v/>
      </c>
      <c r="AV240" s="197" t="str">
        <f>IFERROR($CR240*((INDEX(avoidedcosttbl2,$H240,AV$2))+(($H240-ROUNDDOWN($H240,0))*((INDEX(avoidedcosttbl2,ROUNDUP($H240,0),AV$2))-(INDEX(avoidedcosttbl2,ROUNDDOWN($H240,0),AV$2)))))*$O240*1000*'Inputs Yr 2'!AB240,"")</f>
        <v/>
      </c>
      <c r="AW240" s="197" t="str">
        <f>IFERROR($CS240*((INDEX(avoidedcosttbl2,$H240,AW$2))+(($H240-ROUNDDOWN($H240,0))*((INDEX(avoidedcosttbl2,ROUNDUP($H240,0),AW$2))-(INDEX(avoidedcosttbl2,ROUNDDOWN($H240,0),AW$2)))))*$O240*1000*'Inputs Yr 2'!AC240,"")</f>
        <v/>
      </c>
      <c r="AX240" s="197" t="str">
        <f>IFERROR($CT240*((INDEX(avoidedcosttbl2,$H240,AX$2))+(($H240-ROUNDDOWN($H240,0))*((INDEX(avoidedcosttbl2,ROUNDUP($H240,0),AX$2))-(INDEX(avoidedcosttbl2,ROUNDDOWN($H240,0),AX$2)))))*$O240*1000*'Inputs Yr 2'!AD240,"")</f>
        <v/>
      </c>
      <c r="AY240" s="197" t="str">
        <f>IFERROR(((INDEX(avoidedcosttbl2,$H240,AY$2))+(($H240-ROUNDDOWN($H240,0))*((INDEX(avoidedcosttbl2,ROUNDUP($H240,0),AY$2))-(INDEX(avoidedcosttbl2,ROUNDDOWN($H240,0),AY$2)))))*$O240*1000*('Inputs Yr 2'!AC240+'Inputs Yr 2'!AD240),"")</f>
        <v/>
      </c>
      <c r="AZ240" s="197" t="str">
        <f>IFERROR(((INDEX(avoidedcosttbl2,$H240,AZ$2))+(($H240-ROUNDDOWN($H240,0))*((INDEX(avoidedcosttbl2,ROUNDUP($H240,0),AZ$2))-(INDEX(avoidedcosttbl2,ROUNDDOWN($H240,0),AZ$2)))))*$O240*1000*('Inputs Yr 2'!AA240+'Inputs Yr 2'!AB240),"")</f>
        <v/>
      </c>
      <c r="BA240" s="198">
        <f t="shared" si="124"/>
        <v>0</v>
      </c>
      <c r="BB240" s="198">
        <f t="shared" si="125"/>
        <v>0</v>
      </c>
      <c r="BC240" s="195" t="str">
        <f t="shared" si="107"/>
        <v/>
      </c>
      <c r="BD240" s="195" t="str">
        <f t="shared" si="108"/>
        <v/>
      </c>
      <c r="BE240" s="195" t="str">
        <f t="shared" si="109"/>
        <v/>
      </c>
      <c r="BF240" s="195" t="str">
        <f t="shared" si="110"/>
        <v/>
      </c>
      <c r="BG240" s="195" t="str">
        <f t="shared" si="111"/>
        <v/>
      </c>
      <c r="BH240" s="196">
        <f t="shared" si="126"/>
        <v>0</v>
      </c>
      <c r="BI240" s="196">
        <f t="shared" si="127"/>
        <v>0</v>
      </c>
      <c r="BJ240" s="195" t="str">
        <f>IFERROR($G240*(IF('Inputs Yr 2'!$AJ240=BJ$4,'Inputs Yr 2'!$AK240,IF('Inputs Yr 2'!$AL240=BJ$4,'Inputs Yr 2'!$AM240,IF('Inputs Yr 2'!$AN240=BJ$4,'Inputs Yr 2'!$AO240,0))))*(INDEX(avoidedcosttbl2,$H240,BJ$2)+(($H240-ROUNDDOWN($H240,0))*(INDEX(avoidedcosttbl2,ROUNDUP($H240,0),BJ$2)-(INDEX(avoidedcosttbl2,ROUNDDOWN($H240,0),BJ$2)))))*'Inputs Yr 2'!P240*'Inputs Yr 2'!Q240*'Inputs Yr 2'!U240,"")</f>
        <v/>
      </c>
      <c r="BK240" s="195" t="str">
        <f>IFERROR($G240*(IF('Inputs Yr 2'!$AJ240=BK$4,'Inputs Yr 2'!$AK240,IF('Inputs Yr 2'!$AL240=BK$4,'Inputs Yr 2'!$AM240,IF('Inputs Yr 2'!$AN240=BK$4,'Inputs Yr 2'!$AO240,0))))*(INDEX(avoidedcosttbl2,$H240,BK$2)+(($H240-ROUNDDOWN($H240,0))*(INDEX(avoidedcosttbl2,ROUNDUP($H240,0),BK$2)-(INDEX(avoidedcosttbl2,ROUNDDOWN($H240,0),BK$2)))))*'Inputs Yr 2'!P240*'Inputs Yr 2'!Q240*'Inputs Yr 2'!U240,"")</f>
        <v/>
      </c>
      <c r="BL240" s="195" t="str">
        <f>IFERROR($G240*(IF('Inputs Yr 2'!$AJ240=BL$4,'Inputs Yr 2'!$AK240,IF('Inputs Yr 2'!$AL240=BL$4,'Inputs Yr 2'!$AM240,IF('Inputs Yr 2'!$AN240=BL$4,'Inputs Yr 2'!$AO240,0))))*(INDEX(avoidedcosttbl2,$H240,BL$2)+(($H240-ROUNDDOWN($H240,0))*(INDEX(avoidedcosttbl2,ROUNDUP($H240,0),BL$2)-(INDEX(avoidedcosttbl2,ROUNDDOWN($H240,0),BL$2)))))*'Inputs Yr 2'!P240*'Inputs Yr 2'!Q240*'Inputs Yr 2'!U240,"")</f>
        <v/>
      </c>
      <c r="BM240" s="195" t="str">
        <f>IFERROR($G240*(IF('Inputs Yr 2'!$AJ240=BM$4,'Inputs Yr 2'!$AK240,IF('Inputs Yr 2'!$AL240=BM$4,'Inputs Yr 2'!$AM240,IF('Inputs Yr 2'!$AN240=BM$4,'Inputs Yr 2'!$AO240,0))))*(INDEX(avoidedcosttbl2,$H240,BM$2)+(($H240-ROUNDDOWN($H240,0))*(INDEX(avoidedcosttbl2,ROUNDUP($H240,0),BM$2)-(INDEX(avoidedcosttbl2,ROUNDDOWN($H240,0),BM$2)))))*'Inputs Yr 2'!P240*'Inputs Yr 2'!Q240*'Inputs Yr 2'!U240,"")</f>
        <v/>
      </c>
      <c r="BN240" s="195" t="str">
        <f>IFERROR($G240*(IF('Inputs Yr 2'!$AJ240=BN$4,'Inputs Yr 2'!$AK240,IF('Inputs Yr 2'!$AL240=BN$4,'Inputs Yr 2'!$AM240,IF('Inputs Yr 2'!$AN240=BN$4,'Inputs Yr 2'!$AO240,0))))*(INDEX(avoidedcosttbl2,$H240,BN$2)+(($H240-ROUNDDOWN($H240,0))*(INDEX(avoidedcosttbl2,ROUNDUP($H240,0),BN$2)-(INDEX(avoidedcosttbl2,ROUNDDOWN($H240,0),BN$2)))))*'Inputs Yr 2'!P240*'Inputs Yr 2'!Q240*'Inputs Yr 2'!U240,"")</f>
        <v/>
      </c>
      <c r="BO240" s="195" t="str">
        <f>IFERROR($G240*(IF('Inputs Yr 2'!$AJ240=BO$4,'Inputs Yr 2'!$AK240,IF('Inputs Yr 2'!$AL240=BO$4,'Inputs Yr 2'!$AM240,IF('Inputs Yr 2'!$AN240=BO$4,'Inputs Yr 2'!$AO240,0))))*(INDEX(avoidedcosttbl2,$H240,BO$2)+(($H240-ROUNDDOWN($H240,0))*(INDEX(avoidedcosttbl2,ROUNDUP($H240,0),BO$2)-(INDEX(avoidedcosttbl2,ROUNDDOWN($H240,0),BO$2)))))*'Inputs Yr 2'!P240*'Inputs Yr 2'!Q240*'Inputs Yr 2'!U240,"")</f>
        <v/>
      </c>
      <c r="BP240" s="195" t="str">
        <f>IFERROR($G240*(IF('Inputs Yr 2'!$AJ240=BP$4,'Inputs Yr 2'!$AK240,IF('Inputs Yr 2'!$AL240=BP$4,'Inputs Yr 2'!$AM240,IF('Inputs Yr 2'!$AN240=BP$4,'Inputs Yr 2'!$AO240,0))))*(INDEX(avoidedcosttbl2,$H240,BP$2)+(($H240-ROUNDDOWN($H240,0))*(INDEX(avoidedcosttbl2,ROUNDUP($H240,0),BP$2)-(INDEX(avoidedcosttbl2,ROUNDDOWN($H240,0),BP$2)))))*'Inputs Yr 2'!P240*'Inputs Yr 2'!Q240*'Inputs Yr 2'!U240,"")</f>
        <v/>
      </c>
      <c r="BQ240" s="230">
        <f t="shared" si="128"/>
        <v>0</v>
      </c>
      <c r="BR240" s="197" t="str">
        <f t="shared" si="112"/>
        <v/>
      </c>
      <c r="BS240" s="197" t="str">
        <f>IFERROR(($G240*IF('Inputs Yr 2'!$AJ240=BM$4,'Inputs Yr 2'!$AK240,IF('Inputs Yr 2'!$AL240=BM$4,'Inputs Yr 2'!$AM240,IF('Inputs Yr 2'!$AN240=BM$4,'Inputs Yr 2'!$AO240,0))))*(INDEX(avoidedcosttbl2,$H240,BS$2)+(($H240-ROUNDDOWN($H240,0))*(INDEX(avoidedcosttbl2,ROUNDUP($H240,0),BS$2)-(INDEX(avoidedcosttbl2,ROUNDDOWN($H240,0),BS$2)))))*'Inputs Yr 2'!P240*'Inputs Yr 2'!Q240*'Inputs Yr 2'!U240,"")</f>
        <v/>
      </c>
      <c r="BT240" s="197" t="str">
        <f>IFERROR(($G240*IF('Inputs Yr 2'!$AJ240=BK$4,'Inputs Yr 2'!$AK240,IF('Inputs Yr 2'!$AL240=BK$4,'Inputs Yr 2'!$AM240,IF('Inputs Yr 2'!$AN240=BK$4,'Inputs Yr 2'!$AO240,0))))*(INDEX(avoidedcosttbl2,$H240,BT$2)+(($H240-ROUNDDOWN($H240,0))*(INDEX(avoidedcosttbl2,ROUNDUP($H240,0),BT$2)-(INDEX(avoidedcosttbl2,ROUNDDOWN($H240,0),BT$2)))))*'Inputs Yr 2'!P240*'Inputs Yr 2'!Q240*'Inputs Yr 2'!U240,"")</f>
        <v/>
      </c>
      <c r="BU240" s="197" t="str">
        <f>IFERROR(($G240*IF('Inputs Yr 2'!$AJ240=BL$4,'Inputs Yr 2'!$AK240,IF('Inputs Yr 2'!$AL240=BL$4,'Inputs Yr 2'!$AM240,IF('Inputs Yr 2'!$AN240=BL$4,'Inputs Yr 2'!$AO240,0))))*(INDEX(avoidedcosttbl2,$H240,BU$2)+(($H240-ROUNDDOWN($H240,0))*(INDEX(avoidedcosttbl2,ROUNDUP($H240,0),BU$2)-(INDEX(avoidedcosttbl2,ROUNDDOWN($H240,0),BU$2)))))*'Inputs Yr 2'!P240*'Inputs Yr 2'!Q240*'Inputs Yr 2'!U240,"")</f>
        <v/>
      </c>
      <c r="BV240" s="775" t="str">
        <f>IFERROR(($G240*IF('Inputs Yr 2'!$AJ240=BJ$4,'Inputs Yr 2'!$AK240,IF('Inputs Yr 2'!$AL240=BJ$4,'Inputs Yr 2'!$AM240,IF('Inputs Yr 2'!$AN240=BJ$4,'Inputs Yr 2'!$AO240,0))))*(INDEX(avoidedcosttbl2,$H240,BV$2)+(($H240-ROUNDDOWN($H240,0))*(INDEX(avoidedcosttbl2,ROUNDUP($H240,0),BV$2)-(INDEX(avoidedcosttbl2,ROUNDDOWN($H240,0),BV$2)))))*'Inputs Yr 2'!P240*'Inputs Yr 2'!Q240*'Inputs Yr 2'!U240,"")</f>
        <v/>
      </c>
      <c r="BW240" s="197" t="str">
        <f>IFERROR(($G240*IF('Inputs Yr 2'!$AJ240=BN$4,'Inputs Yr 2'!$AK240,IF('Inputs Yr 2'!$AL240=BN$4,'Inputs Yr 2'!$AM240,IF('Inputs Yr 2'!$AN240=BN$4,'Inputs Yr 2'!$AO240,0))))*(INDEX(avoidedcosttbl2,$H240,BW$2)+(($H240-ROUNDDOWN($H240,0))*(INDEX(avoidedcosttbl2,ROUNDUP($H240,0),BW$2)-(INDEX(avoidedcosttbl2,ROUNDDOWN($H240,0),BW$2)))))*'Inputs Yr 2'!P240*'Inputs Yr 2'!Q240*'Inputs Yr 2'!U240,"")</f>
        <v/>
      </c>
      <c r="BX240" s="197" t="str">
        <f>IFERROR(($G240*IF('Inputs Yr 2'!$AJ240=BO$4,'Inputs Yr 2'!$AK240,IF('Inputs Yr 2'!$AL240=BO$4,'Inputs Yr 2'!$AM240,IF('Inputs Yr 2'!$AN240=BO$4,'Inputs Yr 2'!$AO240,0))))*(INDEX(avoidedcosttbl2,$H240,BX$2)+(($H240-ROUNDDOWN($H240,0))*(INDEX(avoidedcosttbl2,ROUNDUP($H240,0),BX$2)-(INDEX(avoidedcosttbl2,ROUNDDOWN($H240,0),BX$2)))))*'Inputs Yr 2'!P240*'Inputs Yr 2'!Q240*'Inputs Yr 2'!U240,"")</f>
        <v/>
      </c>
      <c r="BY240" s="197" t="str">
        <f>IFERROR(($G240*IF('Inputs Yr 2'!$AJ240=BP$4,'Inputs Yr 2'!$AK240,IF('Inputs Yr 2'!$AL240=BP$4,'Inputs Yr 2'!$AM240,IF('Inputs Yr 2'!$AN240=BP$4,'Inputs Yr 2'!$AO240,0))))*(INDEX(avoidedcosttbl2,$H240,BY$2)+(($H240-ROUNDDOWN($H240,0))*(INDEX(avoidedcosttbl2,ROUNDUP($H240,0),BY$2)-(INDEX(avoidedcosttbl2,ROUNDDOWN($H240,0),BY$2)))))*'Inputs Yr 2'!P240*'Inputs Yr 2'!Q240*'Inputs Yr 2'!U240,"")</f>
        <v/>
      </c>
      <c r="BZ240" s="193">
        <f t="shared" si="129"/>
        <v>0</v>
      </c>
      <c r="CA240" s="193">
        <f t="shared" si="130"/>
        <v>0</v>
      </c>
      <c r="CB240" s="195" t="str">
        <f>IFERROR(G240*(IF('Inputs Yr 2'!$AJ240=CB$4,'Inputs Yr 2'!$AK240,IF('Inputs Yr 2'!$AL240=CB$4,'Inputs Yr 2'!$AM240,IF('Inputs Yr 2'!$AN240=CB$4,'Inputs Yr 2'!$AO240,0))))*(INDEX(avoidedcosttbl2,$H240,CB$2)+(($H240-ROUNDDOWN($H240,0))*(INDEX(avoidedcosttbl2,ROUNDUP($H240,0),CB$2)-(INDEX(avoidedcosttbl2,ROUNDDOWN($H240,0),CB$2)))))*'Inputs Yr 2'!P240*'Inputs Yr 2'!Q240*'Inputs Yr 2'!U240,"")</f>
        <v/>
      </c>
      <c r="CC240" s="195" t="str">
        <f>IFERROR(H240*(IF('Inputs Yr 2'!$AJ240=CC$4,'Inputs Yr 2'!$AK240,IF('Inputs Yr 2'!$AL240=CC$4,'Inputs Yr 2'!$AM240,IF('Inputs Yr 2'!$AN240=CC$4,'Inputs Yr 2'!$AO240,0))))*(INDEX(avoidedcosttbl2,$H240,CC$2)+(($H240-ROUNDDOWN($H240,0))*(INDEX(avoidedcosttbl2,ROUNDUP($H240,0),CC$2)-(INDEX(avoidedcosttbl2,ROUNDDOWN($H240,0),CC$2)))))*'Inputs Yr 2'!Q240*'Inputs Yr 2'!R240*'Inputs Yr 2'!V240,"")</f>
        <v/>
      </c>
      <c r="CD240" s="195" t="str">
        <f>IFERROR(I240*(IF('Inputs Yr 2'!$AJ240=CD$4,'Inputs Yr 2'!$AK240,IF('Inputs Yr 2'!$AL240=CD$4,'Inputs Yr 2'!$AM240,IF('Inputs Yr 2'!$AN240=CD$4,'Inputs Yr 2'!$AO240,0))))*(INDEX(avoidedcosttbl2,$H240,CD$2)+(($H240-ROUNDDOWN($H240,0))*(INDEX(avoidedcosttbl2,ROUNDUP($H240,0),CD$2)-(INDEX(avoidedcosttbl2,ROUNDDOWN($H240,0),CD$2)))))*'Inputs Yr 2'!R240*'Inputs Yr 2'!S240*'Inputs Yr 2'!W240,"")</f>
        <v/>
      </c>
      <c r="CE240" s="213" t="str">
        <f t="shared" si="131"/>
        <v/>
      </c>
      <c r="CF240" s="213" t="str">
        <f t="shared" si="132"/>
        <v/>
      </c>
      <c r="CG240" s="213" t="str">
        <f t="shared" si="133"/>
        <v/>
      </c>
      <c r="CH240" s="698">
        <f t="shared" si="134"/>
        <v>0</v>
      </c>
      <c r="CI240" s="79" t="str">
        <f>IFERROR(($G240*'Inputs Yr 2'!$P240*'Inputs Yr 2'!$Q240*(((INDEX(avoidedcosttbl2,$H240,CI$2)+(($H240-ROUNDDOWN($H240,0))*(INDEX(avoidedcosttbl2,ROUNDUP($H240,0),CI$2)-INDEX(avoidedcosttbl2,ROUNDDOWN($H240,0),CI$2))))*'Inputs Yr 2'!AS240))),"")</f>
        <v/>
      </c>
      <c r="CJ240" s="504" t="str">
        <f>IFERROR($G240*'Inputs Yr 2'!AT240*'Inputs Yr 2'!$P240*'Inputs Yr 2'!$Q240/((1+realdiscrt1)^-0.5),"")</f>
        <v/>
      </c>
      <c r="CK240" s="79" t="str">
        <f>IFERROR((O240*1000*(((INDEX(avoidedcosttbl2,$H240,CK$2)+(($H240-ROUNDDOWN($H240,0))*(INDEX(avoidedcosttbl2,ROUNDUP($H240,0),CK$2)-INDEX(avoidedcosttbl2,ROUNDDOWN($H240,0),CK$2))))*'Inputs Yr 2'!AU240))),"")</f>
        <v/>
      </c>
      <c r="CL240" s="504" t="str">
        <f>IFERROR(O240*1000*'Inputs Yr 2'!AV240/((1+realdiscrt1)^-0.5),"")</f>
        <v/>
      </c>
      <c r="CM240" s="79" t="str">
        <f>IFERROR((AB240*'Inputs Yr 2'!AW240*(((INDEX(avoidedcosttbl2,$H240,CM$2)+(($H240-ROUNDDOWN($H240,0))*(INDEX(avoidedcosttbl2,ROUNDUP($H240,0),CM$2)-INDEX(avoidedcosttbl2,ROUNDDOWN($H240,0),CM$2)))))))*10,"")</f>
        <v/>
      </c>
      <c r="CN240" s="504">
        <f>IFERROR(10*AB240*'Inputs Yr 2'!AX240/((1+realdiscrt1)^-0.5),"")</f>
        <v>0</v>
      </c>
      <c r="CO240" s="505">
        <f t="shared" si="135"/>
        <v>0</v>
      </c>
      <c r="CP240" s="230">
        <f t="shared" si="136"/>
        <v>0</v>
      </c>
      <c r="CQ240" s="199">
        <f>ROUND(IFERROR(IF(LEFT($A240,1)="C",'Avoided Costs'!$K$13,'Avoided Costs'!$K$12)+1,""),4)</f>
        <v>1.0720000000000001</v>
      </c>
      <c r="CR240" s="199">
        <f>ROUND(IFERROR(IF(LEFT($A240,1)="C",'Avoided Costs'!$L$13,'Avoided Costs'!$L$12)+1,""),4)</f>
        <v>1.04</v>
      </c>
      <c r="CS240" s="199">
        <f>ROUND(IFERROR(IF(LEFT($A240,1)="C",'Avoided Costs'!$M$13,'Avoided Costs'!$M$12)+1,""),4)</f>
        <v>1.0720000000000001</v>
      </c>
      <c r="CT240" s="199">
        <f>ROUND(IFERROR(IF(LEFT($A240,1)="C",'Avoided Costs'!$N$13,'Avoided Costs'!$N$12)+1,""),4)</f>
        <v>1.04</v>
      </c>
      <c r="CU240" s="199">
        <f>ROUND(IFERROR(IF(LEFT($A240,1)="C",'Avoided Costs'!$O$13,'Avoided Costs'!$O$12)+1,""),4)</f>
        <v>1.1120000000000001</v>
      </c>
      <c r="CV240" s="199">
        <f>ROUND(IFERROR(IF(LEFT($A240,1)="C",'Avoided Costs'!$P$13,'Avoided Costs'!$P$12)+1,""),4)</f>
        <v>1.095</v>
      </c>
      <c r="CW240" s="199">
        <f>ROUND(IFERROR(IF(LEFT($A240,1)="C",'Avoided Costs'!$Q$13,'Avoided Costs'!$Q$12)+1,""),4)</f>
        <v>1.1120000000000001</v>
      </c>
      <c r="CX240" s="200">
        <f>ROUND(IFERROR(IF(LEFT($A240,1)="C",'Avoided Costs'!$R$13,'Avoided Costs'!$R$12)+1,""),4)</f>
        <v>1.1120000000000001</v>
      </c>
    </row>
    <row r="241" spans="1:102" ht="12.75" customHeight="1">
      <c r="A241" s="91" t="str">
        <f>IF('Inputs Yr 2'!$B241=0,"",'Inputs Yr 2'!A241)</f>
        <v>C - Commercial &amp; Industrial</v>
      </c>
      <c r="B241" s="91" t="str">
        <f>IF('Inputs Yr 2'!$B241=0,"",'Inputs Yr 2'!B241)</f>
        <v>C2 - C&amp;I Retrofit</v>
      </c>
      <c r="C241" s="91" t="str">
        <f>IF('Inputs Yr 2'!$B241=0,"",'Inputs Yr 2'!C241)</f>
        <v>C2a - C&amp;I Existing Building Retrofit</v>
      </c>
      <c r="D241" s="91" t="str">
        <f>IF('Inputs Yr 2'!$B241=0,"",'Inputs Yr 2'!E241)</f>
        <v>Building Shell - Custom 10</v>
      </c>
      <c r="E241" s="93" t="str">
        <f>IF('Inputs Yr 2'!$B241=0,"",'Inputs Yr 2'!F241)</f>
        <v>G16C2a01</v>
      </c>
      <c r="F241" s="93" t="str">
        <f>IF('Inputs Yr 2'!$B241=0,"",'Inputs Yr 2'!G241)</f>
        <v>Custom Measures</v>
      </c>
      <c r="G241" s="95">
        <f>IF('Inputs Yr 2'!$H241&lt;&gt;0,('Inputs Yr 2'!H241),"")</f>
        <v>1</v>
      </c>
      <c r="H241" s="94">
        <f>IFERROR('Inputs Yr 2'!I241,"")</f>
        <v>10</v>
      </c>
      <c r="I241" s="298">
        <f>IFERROR('Inputs Yr 2'!J241*'Inputs Yr 2'!P241*G241,"")</f>
        <v>18017.4545</v>
      </c>
      <c r="J241" s="298">
        <f>IFERROR('Inputs Yr 2'!K241*G241,"")</f>
        <v>9802.75</v>
      </c>
      <c r="K241" s="298">
        <f t="shared" si="113"/>
        <v>8214.7044999999998</v>
      </c>
      <c r="L241" s="194">
        <f>IFERROR(('Inputs Yr 2'!W241*G241)/1000,"")</f>
        <v>0</v>
      </c>
      <c r="M241" s="194">
        <f>IFERROR(L241*('Inputs Yr 2'!$Q241*'Inputs Yr 2'!$V241*'Inputs Yr 2'!$R241),"")</f>
        <v>0</v>
      </c>
      <c r="N241" s="194">
        <f t="shared" si="114"/>
        <v>0</v>
      </c>
      <c r="O241" s="194">
        <f>IFERROR(M241*'Inputs Yr 2'!P241,"")</f>
        <v>0</v>
      </c>
      <c r="P241" s="194">
        <f t="shared" si="115"/>
        <v>0</v>
      </c>
      <c r="Q241" s="194">
        <f>IFERROR($P241*'Inputs Yr 2'!AA241,"")</f>
        <v>0</v>
      </c>
      <c r="R241" s="194">
        <f>IFERROR($P241*'Inputs Yr 2'!AB241,"")</f>
        <v>0</v>
      </c>
      <c r="S241" s="194">
        <f>IFERROR($P241*'Inputs Yr 2'!AC241,"")</f>
        <v>0</v>
      </c>
      <c r="T241" s="194">
        <f>IFERROR($P241*'Inputs Yr 2'!AD241,"")</f>
        <v>0</v>
      </c>
      <c r="U241" s="194">
        <f>IFERROR(G241*'Inputs Yr 2'!$AE241*'Inputs Yr 2'!$P241*'Inputs Yr 2'!$Q241,"")</f>
        <v>0</v>
      </c>
      <c r="V241" s="194">
        <f>IFERROR($G241*'Inputs Yr 2'!$AE241*'Inputs Yr 2'!$AG241*'Inputs Yr 2'!Q241*'Inputs Yr 2'!$S241,"")</f>
        <v>0</v>
      </c>
      <c r="W241" s="194">
        <f>IFERROR($G241*'Inputs Yr 2'!$AE241*'Inputs Yr 2'!$AG241*'Inputs Yr 2'!P241*'Inputs Yr 2'!Q241*'Inputs Yr 2'!$S241,"")</f>
        <v>0</v>
      </c>
      <c r="X241" s="194">
        <f>IFERROR($G241*'Inputs Yr 2'!$AE241*'Inputs Yr 2'!$AF241*'Inputs Yr 2'!Q241*'Inputs Yr 2'!$T241,"")</f>
        <v>0</v>
      </c>
      <c r="Y241" s="194">
        <f>IFERROR($G241*'Inputs Yr 2'!$AE241*'Inputs Yr 2'!$AF241*'Inputs Yr 2'!P241*'Inputs Yr 2'!Q241*'Inputs Yr 2'!$T241,"")</f>
        <v>0</v>
      </c>
      <c r="Z241" s="257">
        <f>IFERROR($G241*'Inputs Yr 2'!$Q241*'Inputs Yr 2'!$U241*(IF(IFERROR(SEARCH("NG", 'Inputs Yr 2'!$AJ241),0),'Inputs Yr 2'!$AK241,0)+IF(IFERROR(SEARCH("NG", 'Inputs Yr 2'!$AL241),0),'Inputs Yr 2'!$AM241,0)+IF(IFERROR(SEARCH("NG", 'Inputs Yr 2'!$AN241),0),'Inputs Yr 2'!$AO241,0)),0)</f>
        <v>522.16369999999995</v>
      </c>
      <c r="AA241" s="257">
        <f t="shared" si="116"/>
        <v>5221.6369999999997</v>
      </c>
      <c r="AB241" s="257">
        <f>IFERROR(Z241*'Inputs Yr 2'!$P241,0)</f>
        <v>479.86844029999997</v>
      </c>
      <c r="AC241" s="257">
        <f t="shared" si="117"/>
        <v>4798.6844029999993</v>
      </c>
      <c r="AD241" s="257">
        <f>IFERROR($G241*'Inputs Yr 2'!$Q241*'Inputs Yr 2'!$U241*(IF(IFERROR(SEARCH("Oil", 'Inputs Yr 2'!$AJ241), 0),'Inputs Yr 2'!$AK241,0)+IF(IFERROR(SEARCH("Oil", 'Inputs Yr 2'!$AL241), 0),'Inputs Yr 2'!$AM241,0)+IF(IFERROR(SEARCH("Oil", 'Inputs Yr 2'!$AN241), 0),'Inputs Yr 2'!$AO241,0)),0)</f>
        <v>0</v>
      </c>
      <c r="AE241" s="257">
        <f t="shared" si="118"/>
        <v>0</v>
      </c>
      <c r="AF241" s="257">
        <f>IFERROR(AD241*'Inputs Yr 2'!$P241,0)</f>
        <v>0</v>
      </c>
      <c r="AG241" s="257">
        <f t="shared" si="119"/>
        <v>0</v>
      </c>
      <c r="AH241" s="257">
        <f>IFERROR($G241*'Inputs Yr 2'!$Q241*'Inputs Yr 2'!$U241*(IF('Inputs Yr 2'!$AJ241=CD$4,'Inputs Yr 2'!$AK241,IF('Inputs Yr 2'!$AL241=CD$4,'Inputs Yr 2'!$AM241,IF('Inputs Yr 2'!$AN241=CD$4,'Inputs Yr 2'!$AO241,0)))),0)</f>
        <v>0</v>
      </c>
      <c r="AI241" s="257">
        <f t="shared" si="120"/>
        <v>0</v>
      </c>
      <c r="AJ241" s="257">
        <f>IFERROR(AH241*'Inputs Yr 2'!$P241,0)</f>
        <v>0</v>
      </c>
      <c r="AK241" s="257">
        <f t="shared" si="121"/>
        <v>0</v>
      </c>
      <c r="AL241" s="258">
        <f>IFERROR($G241*'Inputs Yr 2'!$P241*'Inputs Yr 2'!$Q241*'Inputs Yr 2'!AP241,0)</f>
        <v>0</v>
      </c>
      <c r="AM241" s="260">
        <f>IFERROR($G241*'Inputs Yr 2'!$P241*'Inputs Yr 2'!$Q241*'Inputs Yr 2'!AQ241,0)</f>
        <v>0</v>
      </c>
      <c r="AN241" s="258">
        <f>IFERROR($G241*'Inputs Yr 2'!$P241*'Inputs Yr 2'!$Q241*'Inputs Yr 2'!AR241,0)</f>
        <v>0</v>
      </c>
      <c r="AO241" s="257">
        <f t="shared" si="122"/>
        <v>0</v>
      </c>
      <c r="AP241" s="195">
        <f>IFERROR($CQ241*(INDEX(avoidedcosttbl2,$H241,AP$2)+(($H241-ROUNDDOWN($H241,0))*(INDEX(avoidedcosttbl2,ROUNDUP($H241,0),AP$2)-(INDEX(avoidedcosttbl2,ROUNDDOWN($H241,0),AP$2)))))*$O241*1000*'Inputs Yr 2'!AA241,"")</f>
        <v>0</v>
      </c>
      <c r="AQ241" s="195">
        <f>IFERROR($CR241*(INDEX(avoidedcosttbl2,$H241,AQ$2)+(($H241-ROUNDDOWN($H241,0))*(INDEX(avoidedcosttbl2,ROUNDUP($H241,0),AQ$2)-(INDEX(avoidedcosttbl2,ROUNDDOWN($H241,0),AQ$2)))))*$O241*1000*'Inputs Yr 2'!AB241,"")</f>
        <v>0</v>
      </c>
      <c r="AR241" s="195">
        <f>IFERROR($CS241*(INDEX(avoidedcosttbl2,$H241,AR$2)+(($H241-ROUNDDOWN($H241,0))*(INDEX(avoidedcosttbl2,ROUNDUP($H241,0),AR$2)-(INDEX(avoidedcosttbl2,ROUNDDOWN($H241,0),AR$2)))))*$O241*1000*'Inputs Yr 2'!AC241,"")</f>
        <v>0</v>
      </c>
      <c r="AS241" s="195">
        <f>IFERROR($CT241*(INDEX(avoidedcosttbl2,$H241,AS$2)+(($H241-ROUNDDOWN($H241,0))*(INDEX(avoidedcosttbl2,ROUNDUP($H241,0),AS$2)-(INDEX(avoidedcosttbl2,ROUNDDOWN($H241,0),AS$2)))))*$O241*1000*'Inputs Yr 2'!AD241,"")</f>
        <v>0</v>
      </c>
      <c r="AT241" s="196">
        <f t="shared" si="123"/>
        <v>0</v>
      </c>
      <c r="AU241" s="197">
        <f>IFERROR($CQ241*((INDEX(avoidedcosttbl2,$H241,AU$2))+(($H241-ROUNDDOWN($H241,0))*((INDEX(avoidedcosttbl2,ROUNDUP($H241,0),AU$2))-(INDEX(avoidedcosttbl2,ROUNDDOWN($H241,0),AU$2)))))*$O241*1000*'Inputs Yr 2'!AA241,"")</f>
        <v>0</v>
      </c>
      <c r="AV241" s="197">
        <f>IFERROR($CR241*((INDEX(avoidedcosttbl2,$H241,AV$2))+(($H241-ROUNDDOWN($H241,0))*((INDEX(avoidedcosttbl2,ROUNDUP($H241,0),AV$2))-(INDEX(avoidedcosttbl2,ROUNDDOWN($H241,0),AV$2)))))*$O241*1000*'Inputs Yr 2'!AB241,"")</f>
        <v>0</v>
      </c>
      <c r="AW241" s="197">
        <f>IFERROR($CS241*((INDEX(avoidedcosttbl2,$H241,AW$2))+(($H241-ROUNDDOWN($H241,0))*((INDEX(avoidedcosttbl2,ROUNDUP($H241,0),AW$2))-(INDEX(avoidedcosttbl2,ROUNDDOWN($H241,0),AW$2)))))*$O241*1000*'Inputs Yr 2'!AC241,"")</f>
        <v>0</v>
      </c>
      <c r="AX241" s="197">
        <f>IFERROR($CT241*((INDEX(avoidedcosttbl2,$H241,AX$2))+(($H241-ROUNDDOWN($H241,0))*((INDEX(avoidedcosttbl2,ROUNDUP($H241,0),AX$2))-(INDEX(avoidedcosttbl2,ROUNDDOWN($H241,0),AX$2)))))*$O241*1000*'Inputs Yr 2'!AD241,"")</f>
        <v>0</v>
      </c>
      <c r="AY241" s="197">
        <f>IFERROR(((INDEX(avoidedcosttbl2,$H241,AY$2))+(($H241-ROUNDDOWN($H241,0))*((INDEX(avoidedcosttbl2,ROUNDUP($H241,0),AY$2))-(INDEX(avoidedcosttbl2,ROUNDDOWN($H241,0),AY$2)))))*$O241*1000*('Inputs Yr 2'!AC241+'Inputs Yr 2'!AD241),"")</f>
        <v>0</v>
      </c>
      <c r="AZ241" s="197">
        <f>IFERROR(((INDEX(avoidedcosttbl2,$H241,AZ$2))+(($H241-ROUNDDOWN($H241,0))*((INDEX(avoidedcosttbl2,ROUNDUP($H241,0),AZ$2))-(INDEX(avoidedcosttbl2,ROUNDDOWN($H241,0),AZ$2)))))*$O241*1000*('Inputs Yr 2'!AA241+'Inputs Yr 2'!AB241),"")</f>
        <v>0</v>
      </c>
      <c r="BA241" s="198">
        <f t="shared" si="124"/>
        <v>0</v>
      </c>
      <c r="BB241" s="198">
        <f t="shared" si="125"/>
        <v>0</v>
      </c>
      <c r="BC241" s="195">
        <f t="shared" si="107"/>
        <v>0</v>
      </c>
      <c r="BD241" s="195">
        <f t="shared" si="108"/>
        <v>0</v>
      </c>
      <c r="BE241" s="195">
        <f t="shared" si="109"/>
        <v>0</v>
      </c>
      <c r="BF241" s="195">
        <f t="shared" si="110"/>
        <v>0</v>
      </c>
      <c r="BG241" s="195">
        <f t="shared" si="111"/>
        <v>0</v>
      </c>
      <c r="BH241" s="196">
        <f t="shared" si="126"/>
        <v>0</v>
      </c>
      <c r="BI241" s="196">
        <f t="shared" si="127"/>
        <v>0</v>
      </c>
      <c r="BJ241" s="195">
        <f>IFERROR($G241*(IF('Inputs Yr 2'!$AJ241=BJ$4,'Inputs Yr 2'!$AK241,IF('Inputs Yr 2'!$AL241=BJ$4,'Inputs Yr 2'!$AM241,IF('Inputs Yr 2'!$AN241=BJ$4,'Inputs Yr 2'!$AO241,0))))*(INDEX(avoidedcosttbl2,$H241,BJ$2)+(($H241-ROUNDDOWN($H241,0))*(INDEX(avoidedcosttbl2,ROUNDUP($H241,0),BJ$2)-(INDEX(avoidedcosttbl2,ROUNDDOWN($H241,0),BJ$2)))))*'Inputs Yr 2'!P241*'Inputs Yr 2'!Q241*'Inputs Yr 2'!U241,"")</f>
        <v>0</v>
      </c>
      <c r="BK241" s="195">
        <f>IFERROR($G241*(IF('Inputs Yr 2'!$AJ241=BK$4,'Inputs Yr 2'!$AK241,IF('Inputs Yr 2'!$AL241=BK$4,'Inputs Yr 2'!$AM241,IF('Inputs Yr 2'!$AN241=BK$4,'Inputs Yr 2'!$AO241,0))))*(INDEX(avoidedcosttbl2,$H241,BK$2)+(($H241-ROUNDDOWN($H241,0))*(INDEX(avoidedcosttbl2,ROUNDUP($H241,0),BK$2)-(INDEX(avoidedcosttbl2,ROUNDDOWN($H241,0),BK$2)))))*'Inputs Yr 2'!P241*'Inputs Yr 2'!Q241*'Inputs Yr 2'!U241,"")</f>
        <v>0</v>
      </c>
      <c r="BL241" s="195">
        <f>IFERROR($G241*(IF('Inputs Yr 2'!$AJ241=BL$4,'Inputs Yr 2'!$AK241,IF('Inputs Yr 2'!$AL241=BL$4,'Inputs Yr 2'!$AM241,IF('Inputs Yr 2'!$AN241=BL$4,'Inputs Yr 2'!$AO241,0))))*(INDEX(avoidedcosttbl2,$H241,BL$2)+(($H241-ROUNDDOWN($H241,0))*(INDEX(avoidedcosttbl2,ROUNDUP($H241,0),BL$2)-(INDEX(avoidedcosttbl2,ROUNDDOWN($H241,0),BL$2)))))*'Inputs Yr 2'!P241*'Inputs Yr 2'!Q241*'Inputs Yr 2'!U241,"")</f>
        <v>0</v>
      </c>
      <c r="BM241" s="195">
        <f>IFERROR($G241*(IF('Inputs Yr 2'!$AJ241=BM$4,'Inputs Yr 2'!$AK241,IF('Inputs Yr 2'!$AL241=BM$4,'Inputs Yr 2'!$AM241,IF('Inputs Yr 2'!$AN241=BM$4,'Inputs Yr 2'!$AO241,0))))*(INDEX(avoidedcosttbl2,$H241,BM$2)+(($H241-ROUNDDOWN($H241,0))*(INDEX(avoidedcosttbl2,ROUNDUP($H241,0),BM$2)-(INDEX(avoidedcosttbl2,ROUNDDOWN($H241,0),BM$2)))))*'Inputs Yr 2'!P241*'Inputs Yr 2'!Q241*'Inputs Yr 2'!U241,"")</f>
        <v>0</v>
      </c>
      <c r="BN241" s="195">
        <f>IFERROR($G241*(IF('Inputs Yr 2'!$AJ241=BN$4,'Inputs Yr 2'!$AK241,IF('Inputs Yr 2'!$AL241=BN$4,'Inputs Yr 2'!$AM241,IF('Inputs Yr 2'!$AN241=BN$4,'Inputs Yr 2'!$AO241,0))))*(INDEX(avoidedcosttbl2,$H241,BN$2)+(($H241-ROUNDDOWN($H241,0))*(INDEX(avoidedcosttbl2,ROUNDUP($H241,0),BN$2)-(INDEX(avoidedcosttbl2,ROUNDDOWN($H241,0),BN$2)))))*'Inputs Yr 2'!P241*'Inputs Yr 2'!Q241*'Inputs Yr 2'!U241,"")</f>
        <v>0</v>
      </c>
      <c r="BO241" s="195">
        <f>IFERROR($G241*(IF('Inputs Yr 2'!$AJ241=BO$4,'Inputs Yr 2'!$AK241,IF('Inputs Yr 2'!$AL241=BO$4,'Inputs Yr 2'!$AM241,IF('Inputs Yr 2'!$AN241=BO$4,'Inputs Yr 2'!$AO241,0))))*(INDEX(avoidedcosttbl2,$H241,BO$2)+(($H241-ROUNDDOWN($H241,0))*(INDEX(avoidedcosttbl2,ROUNDUP($H241,0),BO$2)-(INDEX(avoidedcosttbl2,ROUNDDOWN($H241,0),BO$2)))))*'Inputs Yr 2'!P241*'Inputs Yr 2'!Q241*'Inputs Yr 2'!U241,"")</f>
        <v>36461.05013486297</v>
      </c>
      <c r="BP241" s="195">
        <f>IFERROR($G241*(IF('Inputs Yr 2'!$AJ241=BP$4,'Inputs Yr 2'!$AK241,IF('Inputs Yr 2'!$AL241=BP$4,'Inputs Yr 2'!$AM241,IF('Inputs Yr 2'!$AN241=BP$4,'Inputs Yr 2'!$AO241,0))))*(INDEX(avoidedcosttbl2,$H241,BP$2)+(($H241-ROUNDDOWN($H241,0))*(INDEX(avoidedcosttbl2,ROUNDUP($H241,0),BP$2)-(INDEX(avoidedcosttbl2,ROUNDDOWN($H241,0),BP$2)))))*'Inputs Yr 2'!P241*'Inputs Yr 2'!Q241*'Inputs Yr 2'!U241,"")</f>
        <v>0</v>
      </c>
      <c r="BQ241" s="230">
        <f t="shared" si="128"/>
        <v>36461.05013486297</v>
      </c>
      <c r="BR241" s="197">
        <f t="shared" si="112"/>
        <v>657.53509262066746</v>
      </c>
      <c r="BS241" s="197">
        <f>IFERROR(($G241*IF('Inputs Yr 2'!$AJ241=BM$4,'Inputs Yr 2'!$AK241,IF('Inputs Yr 2'!$AL241=BM$4,'Inputs Yr 2'!$AM241,IF('Inputs Yr 2'!$AN241=BM$4,'Inputs Yr 2'!$AO241,0))))*(INDEX(avoidedcosttbl2,$H241,BS$2)+(($H241-ROUNDDOWN($H241,0))*(INDEX(avoidedcosttbl2,ROUNDUP($H241,0),BS$2)-(INDEX(avoidedcosttbl2,ROUNDDOWN($H241,0),BS$2)))))*'Inputs Yr 2'!P241*'Inputs Yr 2'!Q241*'Inputs Yr 2'!U241,"")</f>
        <v>0</v>
      </c>
      <c r="BT241" s="197">
        <f>IFERROR(($G241*IF('Inputs Yr 2'!$AJ241=BK$4,'Inputs Yr 2'!$AK241,IF('Inputs Yr 2'!$AL241=BK$4,'Inputs Yr 2'!$AM241,IF('Inputs Yr 2'!$AN241=BK$4,'Inputs Yr 2'!$AO241,0))))*(INDEX(avoidedcosttbl2,$H241,BT$2)+(($H241-ROUNDDOWN($H241,0))*(INDEX(avoidedcosttbl2,ROUNDUP($H241,0),BT$2)-(INDEX(avoidedcosttbl2,ROUNDDOWN($H241,0),BT$2)))))*'Inputs Yr 2'!P241*'Inputs Yr 2'!Q241*'Inputs Yr 2'!U241,"")</f>
        <v>0</v>
      </c>
      <c r="BU241" s="197">
        <f>IFERROR(($G241*IF('Inputs Yr 2'!$AJ241=BL$4,'Inputs Yr 2'!$AK241,IF('Inputs Yr 2'!$AL241=BL$4,'Inputs Yr 2'!$AM241,IF('Inputs Yr 2'!$AN241=BL$4,'Inputs Yr 2'!$AO241,0))))*(INDEX(avoidedcosttbl2,$H241,BU$2)+(($H241-ROUNDDOWN($H241,0))*(INDEX(avoidedcosttbl2,ROUNDUP($H241,0),BU$2)-(INDEX(avoidedcosttbl2,ROUNDDOWN($H241,0),BU$2)))))*'Inputs Yr 2'!P241*'Inputs Yr 2'!Q241*'Inputs Yr 2'!U241,"")</f>
        <v>0</v>
      </c>
      <c r="BV241" s="775">
        <f>IFERROR(($G241*IF('Inputs Yr 2'!$AJ241=BJ$4,'Inputs Yr 2'!$AK241,IF('Inputs Yr 2'!$AL241=BJ$4,'Inputs Yr 2'!$AM241,IF('Inputs Yr 2'!$AN241=BJ$4,'Inputs Yr 2'!$AO241,0))))*(INDEX(avoidedcosttbl2,$H241,BV$2)+(($H241-ROUNDDOWN($H241,0))*(INDEX(avoidedcosttbl2,ROUNDUP($H241,0),BV$2)-(INDEX(avoidedcosttbl2,ROUNDDOWN($H241,0),BV$2)))))*'Inputs Yr 2'!P241*'Inputs Yr 2'!Q241*'Inputs Yr 2'!U241,"")</f>
        <v>0</v>
      </c>
      <c r="BW241" s="197">
        <f>IFERROR(($G241*IF('Inputs Yr 2'!$AJ241=BN$4,'Inputs Yr 2'!$AK241,IF('Inputs Yr 2'!$AL241=BN$4,'Inputs Yr 2'!$AM241,IF('Inputs Yr 2'!$AN241=BN$4,'Inputs Yr 2'!$AO241,0))))*(INDEX(avoidedcosttbl2,$H241,BW$2)+(($H241-ROUNDDOWN($H241,0))*(INDEX(avoidedcosttbl2,ROUNDUP($H241,0),BW$2)-(INDEX(avoidedcosttbl2,ROUNDDOWN($H241,0),BW$2)))))*'Inputs Yr 2'!P241*'Inputs Yr 2'!Q241*'Inputs Yr 2'!U241,"")</f>
        <v>0</v>
      </c>
      <c r="BX241" s="197">
        <f>IFERROR(($G241*IF('Inputs Yr 2'!$AJ241=BO$4,'Inputs Yr 2'!$AK241,IF('Inputs Yr 2'!$AL241=BO$4,'Inputs Yr 2'!$AM241,IF('Inputs Yr 2'!$AN241=BO$4,'Inputs Yr 2'!$AO241,0))))*(INDEX(avoidedcosttbl2,$H241,BX$2)+(($H241-ROUNDDOWN($H241,0))*(INDEX(avoidedcosttbl2,ROUNDUP($H241,0),BX$2)-(INDEX(avoidedcosttbl2,ROUNDDOWN($H241,0),BX$2)))))*'Inputs Yr 2'!P241*'Inputs Yr 2'!Q241*'Inputs Yr 2'!U241,"")</f>
        <v>3691.0437343404883</v>
      </c>
      <c r="BY241" s="197">
        <f>IFERROR(($G241*IF('Inputs Yr 2'!$AJ241=BP$4,'Inputs Yr 2'!$AK241,IF('Inputs Yr 2'!$AL241=BP$4,'Inputs Yr 2'!$AM241,IF('Inputs Yr 2'!$AN241=BP$4,'Inputs Yr 2'!$AO241,0))))*(INDEX(avoidedcosttbl2,$H241,BY$2)+(($H241-ROUNDDOWN($H241,0))*(INDEX(avoidedcosttbl2,ROUNDUP($H241,0),BY$2)-(INDEX(avoidedcosttbl2,ROUNDDOWN($H241,0),BY$2)))))*'Inputs Yr 2'!P241*'Inputs Yr 2'!Q241*'Inputs Yr 2'!U241,"")</f>
        <v>0</v>
      </c>
      <c r="BZ241" s="193">
        <f t="shared" si="129"/>
        <v>4348.5788269611558</v>
      </c>
      <c r="CA241" s="193">
        <f t="shared" si="130"/>
        <v>40809.628961824128</v>
      </c>
      <c r="CB241" s="195">
        <f>IFERROR(G241*(IF('Inputs Yr 2'!$AJ241=CB$4,'Inputs Yr 2'!$AK241,IF('Inputs Yr 2'!$AL241=CB$4,'Inputs Yr 2'!$AM241,IF('Inputs Yr 2'!$AN241=CB$4,'Inputs Yr 2'!$AO241,0))))*(INDEX(avoidedcosttbl2,$H241,CB$2)+(($H241-ROUNDDOWN($H241,0))*(INDEX(avoidedcosttbl2,ROUNDUP($H241,0),CB$2)-(INDEX(avoidedcosttbl2,ROUNDDOWN($H241,0),CB$2)))))*'Inputs Yr 2'!P241*'Inputs Yr 2'!Q241*'Inputs Yr 2'!U241,"")</f>
        <v>0</v>
      </c>
      <c r="CC241" s="195">
        <f>IFERROR(H241*(IF('Inputs Yr 2'!$AJ241=CC$4,'Inputs Yr 2'!$AK241,IF('Inputs Yr 2'!$AL241=CC$4,'Inputs Yr 2'!$AM241,IF('Inputs Yr 2'!$AN241=CC$4,'Inputs Yr 2'!$AO241,0))))*(INDEX(avoidedcosttbl2,$H241,CC$2)+(($H241-ROUNDDOWN($H241,0))*(INDEX(avoidedcosttbl2,ROUNDUP($H241,0),CC$2)-(INDEX(avoidedcosttbl2,ROUNDDOWN($H241,0),CC$2)))))*'Inputs Yr 2'!Q241*'Inputs Yr 2'!R241*'Inputs Yr 2'!V241,"")</f>
        <v>0</v>
      </c>
      <c r="CD241" s="195">
        <f>IFERROR(I241*(IF('Inputs Yr 2'!$AJ241=CD$4,'Inputs Yr 2'!$AK241,IF('Inputs Yr 2'!$AL241=CD$4,'Inputs Yr 2'!$AM241,IF('Inputs Yr 2'!$AN241=CD$4,'Inputs Yr 2'!$AO241,0))))*(INDEX(avoidedcosttbl2,$H241,CD$2)+(($H241-ROUNDDOWN($H241,0))*(INDEX(avoidedcosttbl2,ROUNDUP($H241,0),CD$2)-(INDEX(avoidedcosttbl2,ROUNDDOWN($H241,0),CD$2)))))*'Inputs Yr 2'!R241*'Inputs Yr 2'!S241*'Inputs Yr 2'!W241,"")</f>
        <v>0</v>
      </c>
      <c r="CE241" s="213">
        <f t="shared" si="131"/>
        <v>0</v>
      </c>
      <c r="CF241" s="213">
        <f t="shared" si="132"/>
        <v>0</v>
      </c>
      <c r="CG241" s="213">
        <f t="shared" si="133"/>
        <v>0</v>
      </c>
      <c r="CH241" s="698">
        <f t="shared" si="134"/>
        <v>40809.628961824128</v>
      </c>
      <c r="CI241" s="79">
        <f>IFERROR(($G241*'Inputs Yr 2'!$P241*'Inputs Yr 2'!$Q241*(((INDEX(avoidedcosttbl2,$H241,CI$2)+(($H241-ROUNDDOWN($H241,0))*(INDEX(avoidedcosttbl2,ROUNDUP($H241,0),CI$2)-INDEX(avoidedcosttbl2,ROUNDDOWN($H241,0),CI$2))))*'Inputs Yr 2'!AS241))),"")</f>
        <v>0</v>
      </c>
      <c r="CJ241" s="504">
        <f>IFERROR($G241*'Inputs Yr 2'!AT241*'Inputs Yr 2'!$P241*'Inputs Yr 2'!$Q241/((1+realdiscrt1)^-0.5),"")</f>
        <v>0</v>
      </c>
      <c r="CK241" s="79">
        <f>IFERROR((O241*1000*(((INDEX(avoidedcosttbl2,$H241,CK$2)+(($H241-ROUNDDOWN($H241,0))*(INDEX(avoidedcosttbl2,ROUNDUP($H241,0),CK$2)-INDEX(avoidedcosttbl2,ROUNDDOWN($H241,0),CK$2))))*'Inputs Yr 2'!AU241))),"")</f>
        <v>0</v>
      </c>
      <c r="CL241" s="504">
        <f>IFERROR(O241*1000*'Inputs Yr 2'!AV241/((1+realdiscrt1)^-0.5),"")</f>
        <v>0</v>
      </c>
      <c r="CM241" s="79">
        <f>IFERROR((AB241*'Inputs Yr 2'!AW241*(((INDEX(avoidedcosttbl2,$H241,CM$2)+(($H241-ROUNDDOWN($H241,0))*(INDEX(avoidedcosttbl2,ROUNDUP($H241,0),CM$2)-INDEX(avoidedcosttbl2,ROUNDDOWN($H241,0),CM$2)))))))*10,"")</f>
        <v>11737.164925086237</v>
      </c>
      <c r="CN241" s="504">
        <f>IFERROR(10*AB241*'Inputs Yr 2'!AX241/((1+realdiscrt1)^-0.5),"")</f>
        <v>0</v>
      </c>
      <c r="CO241" s="505">
        <f t="shared" si="135"/>
        <v>11737.164925086237</v>
      </c>
      <c r="CP241" s="230">
        <f t="shared" si="136"/>
        <v>52546.793886910367</v>
      </c>
      <c r="CQ241" s="199">
        <f>ROUND(IFERROR(IF(LEFT($A241,1)="C",'Avoided Costs'!$K$13,'Avoided Costs'!$K$12)+1,""),4)</f>
        <v>1.0720000000000001</v>
      </c>
      <c r="CR241" s="199">
        <f>ROUND(IFERROR(IF(LEFT($A241,1)="C",'Avoided Costs'!$L$13,'Avoided Costs'!$L$12)+1,""),4)</f>
        <v>1.04</v>
      </c>
      <c r="CS241" s="199">
        <f>ROUND(IFERROR(IF(LEFT($A241,1)="C",'Avoided Costs'!$M$13,'Avoided Costs'!$M$12)+1,""),4)</f>
        <v>1.0720000000000001</v>
      </c>
      <c r="CT241" s="199">
        <f>ROUND(IFERROR(IF(LEFT($A241,1)="C",'Avoided Costs'!$N$13,'Avoided Costs'!$N$12)+1,""),4)</f>
        <v>1.04</v>
      </c>
      <c r="CU241" s="199">
        <f>ROUND(IFERROR(IF(LEFT($A241,1)="C",'Avoided Costs'!$O$13,'Avoided Costs'!$O$12)+1,""),4)</f>
        <v>1.1120000000000001</v>
      </c>
      <c r="CV241" s="199">
        <f>ROUND(IFERROR(IF(LEFT($A241,1)="C",'Avoided Costs'!$P$13,'Avoided Costs'!$P$12)+1,""),4)</f>
        <v>1.095</v>
      </c>
      <c r="CW241" s="199">
        <f>ROUND(IFERROR(IF(LEFT($A241,1)="C",'Avoided Costs'!$Q$13,'Avoided Costs'!$Q$12)+1,""),4)</f>
        <v>1.1120000000000001</v>
      </c>
      <c r="CX241" s="200">
        <f>ROUND(IFERROR(IF(LEFT($A241,1)="C",'Avoided Costs'!$R$13,'Avoided Costs'!$R$12)+1,""),4)</f>
        <v>1.1120000000000001</v>
      </c>
    </row>
    <row r="242" spans="1:102" ht="12.75" customHeight="1">
      <c r="A242" s="91" t="str">
        <f>IF('Inputs Yr 2'!$B242=0,"",'Inputs Yr 2'!A242)</f>
        <v>C - Commercial &amp; Industrial</v>
      </c>
      <c r="B242" s="91" t="str">
        <f>IF('Inputs Yr 2'!$B242=0,"",'Inputs Yr 2'!B242)</f>
        <v>C2 - C&amp;I Retrofit</v>
      </c>
      <c r="C242" s="91" t="str">
        <f>IF('Inputs Yr 2'!$B242=0,"",'Inputs Yr 2'!C242)</f>
        <v>C2a - C&amp;I Existing Building Retrofit</v>
      </c>
      <c r="D242" s="91" t="str">
        <f>IF('Inputs Yr 2'!$B242=0,"",'Inputs Yr 2'!E242)</f>
        <v>Building Shell - Custom 15</v>
      </c>
      <c r="E242" s="93" t="str">
        <f>IF('Inputs Yr 2'!$B242=0,"",'Inputs Yr 2'!F242)</f>
        <v>G16C2a01</v>
      </c>
      <c r="F242" s="93" t="str">
        <f>IF('Inputs Yr 2'!$B242=0,"",'Inputs Yr 2'!G242)</f>
        <v>Custom Measures</v>
      </c>
      <c r="G242" s="95">
        <f>IF('Inputs Yr 2'!$H242&lt;&gt;0,('Inputs Yr 2'!H242),"")</f>
        <v>1</v>
      </c>
      <c r="H242" s="94">
        <f>IFERROR('Inputs Yr 2'!I242,"")</f>
        <v>15</v>
      </c>
      <c r="I242" s="298">
        <f>IFERROR('Inputs Yr 2'!J242*'Inputs Yr 2'!P242*G242,"")</f>
        <v>103340.02446</v>
      </c>
      <c r="J242" s="298">
        <f>IFERROR('Inputs Yr 2'!K242*G242,"")</f>
        <v>56224.17</v>
      </c>
      <c r="K242" s="298">
        <f t="shared" si="113"/>
        <v>47115.854460000002</v>
      </c>
      <c r="L242" s="194">
        <f>IFERROR(('Inputs Yr 2'!W242*G242)/1000,"")</f>
        <v>0</v>
      </c>
      <c r="M242" s="194">
        <f>IFERROR(L242*('Inputs Yr 2'!$Q242*'Inputs Yr 2'!$V242*'Inputs Yr 2'!$R242),"")</f>
        <v>0</v>
      </c>
      <c r="N242" s="194">
        <f t="shared" si="114"/>
        <v>0</v>
      </c>
      <c r="O242" s="194">
        <f>IFERROR(M242*'Inputs Yr 2'!P242,"")</f>
        <v>0</v>
      </c>
      <c r="P242" s="194">
        <f t="shared" si="115"/>
        <v>0</v>
      </c>
      <c r="Q242" s="194">
        <f>IFERROR($P242*'Inputs Yr 2'!AA242,"")</f>
        <v>0</v>
      </c>
      <c r="R242" s="194">
        <f>IFERROR($P242*'Inputs Yr 2'!AB242,"")</f>
        <v>0</v>
      </c>
      <c r="S242" s="194">
        <f>IFERROR($P242*'Inputs Yr 2'!AC242,"")</f>
        <v>0</v>
      </c>
      <c r="T242" s="194">
        <f>IFERROR($P242*'Inputs Yr 2'!AD242,"")</f>
        <v>0</v>
      </c>
      <c r="U242" s="194">
        <f>IFERROR(G242*'Inputs Yr 2'!$AE242*'Inputs Yr 2'!$P242*'Inputs Yr 2'!$Q242,"")</f>
        <v>0</v>
      </c>
      <c r="V242" s="194">
        <f>IFERROR($G242*'Inputs Yr 2'!$AE242*'Inputs Yr 2'!$AG242*'Inputs Yr 2'!Q242*'Inputs Yr 2'!$S242,"")</f>
        <v>0</v>
      </c>
      <c r="W242" s="194">
        <f>IFERROR($G242*'Inputs Yr 2'!$AE242*'Inputs Yr 2'!$AG242*'Inputs Yr 2'!P242*'Inputs Yr 2'!Q242*'Inputs Yr 2'!$S242,"")</f>
        <v>0</v>
      </c>
      <c r="X242" s="194">
        <f>IFERROR($G242*'Inputs Yr 2'!$AE242*'Inputs Yr 2'!$AF242*'Inputs Yr 2'!Q242*'Inputs Yr 2'!$T242,"")</f>
        <v>0</v>
      </c>
      <c r="Y242" s="194">
        <f>IFERROR($G242*'Inputs Yr 2'!$AE242*'Inputs Yr 2'!$AF242*'Inputs Yr 2'!P242*'Inputs Yr 2'!Q242*'Inputs Yr 2'!$T242,"")</f>
        <v>0</v>
      </c>
      <c r="Z242" s="257">
        <f>IFERROR($G242*'Inputs Yr 2'!$Q242*'Inputs Yr 2'!$U242*(IF(IFERROR(SEARCH("NG", 'Inputs Yr 2'!$AJ242),0),'Inputs Yr 2'!$AK242,0)+IF(IFERROR(SEARCH("NG", 'Inputs Yr 2'!$AL242),0),'Inputs Yr 2'!$AM242,0)+IF(IFERROR(SEARCH("NG", 'Inputs Yr 2'!$AN242),0),'Inputs Yr 2'!$AO242,0)),0)</f>
        <v>2518.5070000000001</v>
      </c>
      <c r="AA242" s="257">
        <f t="shared" si="116"/>
        <v>37777.605000000003</v>
      </c>
      <c r="AB242" s="257">
        <f>IFERROR(Z242*'Inputs Yr 2'!$P242,0)</f>
        <v>2314.5079330000003</v>
      </c>
      <c r="AC242" s="257">
        <f t="shared" si="117"/>
        <v>34717.618995000004</v>
      </c>
      <c r="AD242" s="257">
        <f>IFERROR($G242*'Inputs Yr 2'!$Q242*'Inputs Yr 2'!$U242*(IF(IFERROR(SEARCH("Oil", 'Inputs Yr 2'!$AJ242), 0),'Inputs Yr 2'!$AK242,0)+IF(IFERROR(SEARCH("Oil", 'Inputs Yr 2'!$AL242), 0),'Inputs Yr 2'!$AM242,0)+IF(IFERROR(SEARCH("Oil", 'Inputs Yr 2'!$AN242), 0),'Inputs Yr 2'!$AO242,0)),0)</f>
        <v>0</v>
      </c>
      <c r="AE242" s="257">
        <f t="shared" si="118"/>
        <v>0</v>
      </c>
      <c r="AF242" s="257">
        <f>IFERROR(AD242*'Inputs Yr 2'!$P242,0)</f>
        <v>0</v>
      </c>
      <c r="AG242" s="257">
        <f t="shared" si="119"/>
        <v>0</v>
      </c>
      <c r="AH242" s="257">
        <f>IFERROR($G242*'Inputs Yr 2'!$Q242*'Inputs Yr 2'!$U242*(IF('Inputs Yr 2'!$AJ242=CD$4,'Inputs Yr 2'!$AK242,IF('Inputs Yr 2'!$AL242=CD$4,'Inputs Yr 2'!$AM242,IF('Inputs Yr 2'!$AN242=CD$4,'Inputs Yr 2'!$AO242,0)))),0)</f>
        <v>0</v>
      </c>
      <c r="AI242" s="257">
        <f t="shared" si="120"/>
        <v>0</v>
      </c>
      <c r="AJ242" s="257">
        <f>IFERROR(AH242*'Inputs Yr 2'!$P242,0)</f>
        <v>0</v>
      </c>
      <c r="AK242" s="257">
        <f t="shared" si="121"/>
        <v>0</v>
      </c>
      <c r="AL242" s="258">
        <f>IFERROR($G242*'Inputs Yr 2'!$P242*'Inputs Yr 2'!$Q242*'Inputs Yr 2'!AP242,0)</f>
        <v>0</v>
      </c>
      <c r="AM242" s="260">
        <f>IFERROR($G242*'Inputs Yr 2'!$P242*'Inputs Yr 2'!$Q242*'Inputs Yr 2'!AQ242,0)</f>
        <v>0</v>
      </c>
      <c r="AN242" s="258">
        <f>IFERROR($G242*'Inputs Yr 2'!$P242*'Inputs Yr 2'!$Q242*'Inputs Yr 2'!AR242,0)</f>
        <v>0</v>
      </c>
      <c r="AO242" s="257">
        <f t="shared" si="122"/>
        <v>0</v>
      </c>
      <c r="AP242" s="195">
        <f>IFERROR($CQ242*(INDEX(avoidedcosttbl2,$H242,AP$2)+(($H242-ROUNDDOWN($H242,0))*(INDEX(avoidedcosttbl2,ROUNDUP($H242,0),AP$2)-(INDEX(avoidedcosttbl2,ROUNDDOWN($H242,0),AP$2)))))*$O242*1000*'Inputs Yr 2'!AA242,"")</f>
        <v>0</v>
      </c>
      <c r="AQ242" s="195">
        <f>IFERROR($CR242*(INDEX(avoidedcosttbl2,$H242,AQ$2)+(($H242-ROUNDDOWN($H242,0))*(INDEX(avoidedcosttbl2,ROUNDUP($H242,0),AQ$2)-(INDEX(avoidedcosttbl2,ROUNDDOWN($H242,0),AQ$2)))))*$O242*1000*'Inputs Yr 2'!AB242,"")</f>
        <v>0</v>
      </c>
      <c r="AR242" s="195">
        <f>IFERROR($CS242*(INDEX(avoidedcosttbl2,$H242,AR$2)+(($H242-ROUNDDOWN($H242,0))*(INDEX(avoidedcosttbl2,ROUNDUP($H242,0),AR$2)-(INDEX(avoidedcosttbl2,ROUNDDOWN($H242,0),AR$2)))))*$O242*1000*'Inputs Yr 2'!AC242,"")</f>
        <v>0</v>
      </c>
      <c r="AS242" s="195">
        <f>IFERROR($CT242*(INDEX(avoidedcosttbl2,$H242,AS$2)+(($H242-ROUNDDOWN($H242,0))*(INDEX(avoidedcosttbl2,ROUNDUP($H242,0),AS$2)-(INDEX(avoidedcosttbl2,ROUNDDOWN($H242,0),AS$2)))))*$O242*1000*'Inputs Yr 2'!AD242,"")</f>
        <v>0</v>
      </c>
      <c r="AT242" s="196">
        <f t="shared" si="123"/>
        <v>0</v>
      </c>
      <c r="AU242" s="197">
        <f>IFERROR($CQ242*((INDEX(avoidedcosttbl2,$H242,AU$2))+(($H242-ROUNDDOWN($H242,0))*((INDEX(avoidedcosttbl2,ROUNDUP($H242,0),AU$2))-(INDEX(avoidedcosttbl2,ROUNDDOWN($H242,0),AU$2)))))*$O242*1000*'Inputs Yr 2'!AA242,"")</f>
        <v>0</v>
      </c>
      <c r="AV242" s="197">
        <f>IFERROR($CR242*((INDEX(avoidedcosttbl2,$H242,AV$2))+(($H242-ROUNDDOWN($H242,0))*((INDEX(avoidedcosttbl2,ROUNDUP($H242,0),AV$2))-(INDEX(avoidedcosttbl2,ROUNDDOWN($H242,0),AV$2)))))*$O242*1000*'Inputs Yr 2'!AB242,"")</f>
        <v>0</v>
      </c>
      <c r="AW242" s="197">
        <f>IFERROR($CS242*((INDEX(avoidedcosttbl2,$H242,AW$2))+(($H242-ROUNDDOWN($H242,0))*((INDEX(avoidedcosttbl2,ROUNDUP($H242,0),AW$2))-(INDEX(avoidedcosttbl2,ROUNDDOWN($H242,0),AW$2)))))*$O242*1000*'Inputs Yr 2'!AC242,"")</f>
        <v>0</v>
      </c>
      <c r="AX242" s="197">
        <f>IFERROR($CT242*((INDEX(avoidedcosttbl2,$H242,AX$2))+(($H242-ROUNDDOWN($H242,0))*((INDEX(avoidedcosttbl2,ROUNDUP($H242,0),AX$2))-(INDEX(avoidedcosttbl2,ROUNDDOWN($H242,0),AX$2)))))*$O242*1000*'Inputs Yr 2'!AD242,"")</f>
        <v>0</v>
      </c>
      <c r="AY242" s="197">
        <f>IFERROR(((INDEX(avoidedcosttbl2,$H242,AY$2))+(($H242-ROUNDDOWN($H242,0))*((INDEX(avoidedcosttbl2,ROUNDUP($H242,0),AY$2))-(INDEX(avoidedcosttbl2,ROUNDDOWN($H242,0),AY$2)))))*$O242*1000*('Inputs Yr 2'!AC242+'Inputs Yr 2'!AD242),"")</f>
        <v>0</v>
      </c>
      <c r="AZ242" s="197">
        <f>IFERROR(((INDEX(avoidedcosttbl2,$H242,AZ$2))+(($H242-ROUNDDOWN($H242,0))*((INDEX(avoidedcosttbl2,ROUNDUP($H242,0),AZ$2))-(INDEX(avoidedcosttbl2,ROUNDDOWN($H242,0),AZ$2)))))*$O242*1000*('Inputs Yr 2'!AA242+'Inputs Yr 2'!AB242),"")</f>
        <v>0</v>
      </c>
      <c r="BA242" s="198">
        <f t="shared" si="124"/>
        <v>0</v>
      </c>
      <c r="BB242" s="198">
        <f t="shared" si="125"/>
        <v>0</v>
      </c>
      <c r="BC242" s="195">
        <f t="shared" si="107"/>
        <v>0</v>
      </c>
      <c r="BD242" s="195">
        <f t="shared" si="108"/>
        <v>0</v>
      </c>
      <c r="BE242" s="195">
        <f t="shared" si="109"/>
        <v>0</v>
      </c>
      <c r="BF242" s="195">
        <f t="shared" si="110"/>
        <v>0</v>
      </c>
      <c r="BG242" s="195">
        <f t="shared" si="111"/>
        <v>0</v>
      </c>
      <c r="BH242" s="196">
        <f t="shared" si="126"/>
        <v>0</v>
      </c>
      <c r="BI242" s="196">
        <f t="shared" si="127"/>
        <v>0</v>
      </c>
      <c r="BJ242" s="195">
        <f>IFERROR($G242*(IF('Inputs Yr 2'!$AJ242=BJ$4,'Inputs Yr 2'!$AK242,IF('Inputs Yr 2'!$AL242=BJ$4,'Inputs Yr 2'!$AM242,IF('Inputs Yr 2'!$AN242=BJ$4,'Inputs Yr 2'!$AO242,0))))*(INDEX(avoidedcosttbl2,$H242,BJ$2)+(($H242-ROUNDDOWN($H242,0))*(INDEX(avoidedcosttbl2,ROUNDUP($H242,0),BJ$2)-(INDEX(avoidedcosttbl2,ROUNDDOWN($H242,0),BJ$2)))))*'Inputs Yr 2'!P242*'Inputs Yr 2'!Q242*'Inputs Yr 2'!U242,"")</f>
        <v>0</v>
      </c>
      <c r="BK242" s="195">
        <f>IFERROR($G242*(IF('Inputs Yr 2'!$AJ242=BK$4,'Inputs Yr 2'!$AK242,IF('Inputs Yr 2'!$AL242=BK$4,'Inputs Yr 2'!$AM242,IF('Inputs Yr 2'!$AN242=BK$4,'Inputs Yr 2'!$AO242,0))))*(INDEX(avoidedcosttbl2,$H242,BK$2)+(($H242-ROUNDDOWN($H242,0))*(INDEX(avoidedcosttbl2,ROUNDUP($H242,0),BK$2)-(INDEX(avoidedcosttbl2,ROUNDDOWN($H242,0),BK$2)))))*'Inputs Yr 2'!P242*'Inputs Yr 2'!Q242*'Inputs Yr 2'!U242,"")</f>
        <v>0</v>
      </c>
      <c r="BL242" s="195">
        <f>IFERROR($G242*(IF('Inputs Yr 2'!$AJ242=BL$4,'Inputs Yr 2'!$AK242,IF('Inputs Yr 2'!$AL242=BL$4,'Inputs Yr 2'!$AM242,IF('Inputs Yr 2'!$AN242=BL$4,'Inputs Yr 2'!$AO242,0))))*(INDEX(avoidedcosttbl2,$H242,BL$2)+(($H242-ROUNDDOWN($H242,0))*(INDEX(avoidedcosttbl2,ROUNDUP($H242,0),BL$2)-(INDEX(avoidedcosttbl2,ROUNDDOWN($H242,0),BL$2)))))*'Inputs Yr 2'!P242*'Inputs Yr 2'!Q242*'Inputs Yr 2'!U242,"")</f>
        <v>0</v>
      </c>
      <c r="BM242" s="195">
        <f>IFERROR($G242*(IF('Inputs Yr 2'!$AJ242=BM$4,'Inputs Yr 2'!$AK242,IF('Inputs Yr 2'!$AL242=BM$4,'Inputs Yr 2'!$AM242,IF('Inputs Yr 2'!$AN242=BM$4,'Inputs Yr 2'!$AO242,0))))*(INDEX(avoidedcosttbl2,$H242,BM$2)+(($H242-ROUNDDOWN($H242,0))*(INDEX(avoidedcosttbl2,ROUNDUP($H242,0),BM$2)-(INDEX(avoidedcosttbl2,ROUNDDOWN($H242,0),BM$2)))))*'Inputs Yr 2'!P242*'Inputs Yr 2'!Q242*'Inputs Yr 2'!U242,"")</f>
        <v>0</v>
      </c>
      <c r="BN242" s="195">
        <f>IFERROR($G242*(IF('Inputs Yr 2'!$AJ242=BN$4,'Inputs Yr 2'!$AK242,IF('Inputs Yr 2'!$AL242=BN$4,'Inputs Yr 2'!$AM242,IF('Inputs Yr 2'!$AN242=BN$4,'Inputs Yr 2'!$AO242,0))))*(INDEX(avoidedcosttbl2,$H242,BN$2)+(($H242-ROUNDDOWN($H242,0))*(INDEX(avoidedcosttbl2,ROUNDUP($H242,0),BN$2)-(INDEX(avoidedcosttbl2,ROUNDDOWN($H242,0),BN$2)))))*'Inputs Yr 2'!P242*'Inputs Yr 2'!Q242*'Inputs Yr 2'!U242,"")</f>
        <v>0</v>
      </c>
      <c r="BO242" s="195">
        <f>IFERROR($G242*(IF('Inputs Yr 2'!$AJ242=BO$4,'Inputs Yr 2'!$AK242,IF('Inputs Yr 2'!$AL242=BO$4,'Inputs Yr 2'!$AM242,IF('Inputs Yr 2'!$AN242=BO$4,'Inputs Yr 2'!$AO242,0))))*(INDEX(avoidedcosttbl2,$H242,BO$2)+(($H242-ROUNDDOWN($H242,0))*(INDEX(avoidedcosttbl2,ROUNDUP($H242,0),BO$2)-(INDEX(avoidedcosttbl2,ROUNDDOWN($H242,0),BO$2)))))*'Inputs Yr 2'!P242*'Inputs Yr 2'!Q242*'Inputs Yr 2'!U242,"")</f>
        <v>270764.92150140955</v>
      </c>
      <c r="BP242" s="195">
        <f>IFERROR($G242*(IF('Inputs Yr 2'!$AJ242=BP$4,'Inputs Yr 2'!$AK242,IF('Inputs Yr 2'!$AL242=BP$4,'Inputs Yr 2'!$AM242,IF('Inputs Yr 2'!$AN242=BP$4,'Inputs Yr 2'!$AO242,0))))*(INDEX(avoidedcosttbl2,$H242,BP$2)+(($H242-ROUNDDOWN($H242,0))*(INDEX(avoidedcosttbl2,ROUNDUP($H242,0),BP$2)-(INDEX(avoidedcosttbl2,ROUNDDOWN($H242,0),BP$2)))))*'Inputs Yr 2'!P242*'Inputs Yr 2'!Q242*'Inputs Yr 2'!U242,"")</f>
        <v>0</v>
      </c>
      <c r="BQ242" s="230">
        <f t="shared" si="128"/>
        <v>270764.92150140955</v>
      </c>
      <c r="BR242" s="197">
        <f t="shared" si="112"/>
        <v>4705.6922097709448</v>
      </c>
      <c r="BS242" s="197">
        <f>IFERROR(($G242*IF('Inputs Yr 2'!$AJ242=BM$4,'Inputs Yr 2'!$AK242,IF('Inputs Yr 2'!$AL242=BM$4,'Inputs Yr 2'!$AM242,IF('Inputs Yr 2'!$AN242=BM$4,'Inputs Yr 2'!$AO242,0))))*(INDEX(avoidedcosttbl2,$H242,BS$2)+(($H242-ROUNDDOWN($H242,0))*(INDEX(avoidedcosttbl2,ROUNDUP($H242,0),BS$2)-(INDEX(avoidedcosttbl2,ROUNDDOWN($H242,0),BS$2)))))*'Inputs Yr 2'!P242*'Inputs Yr 2'!Q242*'Inputs Yr 2'!U242,"")</f>
        <v>0</v>
      </c>
      <c r="BT242" s="197">
        <f>IFERROR(($G242*IF('Inputs Yr 2'!$AJ242=BK$4,'Inputs Yr 2'!$AK242,IF('Inputs Yr 2'!$AL242=BK$4,'Inputs Yr 2'!$AM242,IF('Inputs Yr 2'!$AN242=BK$4,'Inputs Yr 2'!$AO242,0))))*(INDEX(avoidedcosttbl2,$H242,BT$2)+(($H242-ROUNDDOWN($H242,0))*(INDEX(avoidedcosttbl2,ROUNDUP($H242,0),BT$2)-(INDEX(avoidedcosttbl2,ROUNDDOWN($H242,0),BT$2)))))*'Inputs Yr 2'!P242*'Inputs Yr 2'!Q242*'Inputs Yr 2'!U242,"")</f>
        <v>0</v>
      </c>
      <c r="BU242" s="197">
        <f>IFERROR(($G242*IF('Inputs Yr 2'!$AJ242=BL$4,'Inputs Yr 2'!$AK242,IF('Inputs Yr 2'!$AL242=BL$4,'Inputs Yr 2'!$AM242,IF('Inputs Yr 2'!$AN242=BL$4,'Inputs Yr 2'!$AO242,0))))*(INDEX(avoidedcosttbl2,$H242,BU$2)+(($H242-ROUNDDOWN($H242,0))*(INDEX(avoidedcosttbl2,ROUNDUP($H242,0),BU$2)-(INDEX(avoidedcosttbl2,ROUNDDOWN($H242,0),BU$2)))))*'Inputs Yr 2'!P242*'Inputs Yr 2'!Q242*'Inputs Yr 2'!U242,"")</f>
        <v>0</v>
      </c>
      <c r="BV242" s="775">
        <f>IFERROR(($G242*IF('Inputs Yr 2'!$AJ242=BJ$4,'Inputs Yr 2'!$AK242,IF('Inputs Yr 2'!$AL242=BJ$4,'Inputs Yr 2'!$AM242,IF('Inputs Yr 2'!$AN242=BJ$4,'Inputs Yr 2'!$AO242,0))))*(INDEX(avoidedcosttbl2,$H242,BV$2)+(($H242-ROUNDDOWN($H242,0))*(INDEX(avoidedcosttbl2,ROUNDUP($H242,0),BV$2)-(INDEX(avoidedcosttbl2,ROUNDDOWN($H242,0),BV$2)))))*'Inputs Yr 2'!P242*'Inputs Yr 2'!Q242*'Inputs Yr 2'!U242,"")</f>
        <v>0</v>
      </c>
      <c r="BW242" s="197">
        <f>IFERROR(($G242*IF('Inputs Yr 2'!$AJ242=BN$4,'Inputs Yr 2'!$AK242,IF('Inputs Yr 2'!$AL242=BN$4,'Inputs Yr 2'!$AM242,IF('Inputs Yr 2'!$AN242=BN$4,'Inputs Yr 2'!$AO242,0))))*(INDEX(avoidedcosttbl2,$H242,BW$2)+(($H242-ROUNDDOWN($H242,0))*(INDEX(avoidedcosttbl2,ROUNDUP($H242,0),BW$2)-(INDEX(avoidedcosttbl2,ROUNDDOWN($H242,0),BW$2)))))*'Inputs Yr 2'!P242*'Inputs Yr 2'!Q242*'Inputs Yr 2'!U242,"")</f>
        <v>0</v>
      </c>
      <c r="BX242" s="197">
        <f>IFERROR(($G242*IF('Inputs Yr 2'!$AJ242=BO$4,'Inputs Yr 2'!$AK242,IF('Inputs Yr 2'!$AL242=BO$4,'Inputs Yr 2'!$AM242,IF('Inputs Yr 2'!$AN242=BO$4,'Inputs Yr 2'!$AO242,0))))*(INDEX(avoidedcosttbl2,$H242,BX$2)+(($H242-ROUNDDOWN($H242,0))*(INDEX(avoidedcosttbl2,ROUNDUP($H242,0),BX$2)-(INDEX(avoidedcosttbl2,ROUNDDOWN($H242,0),BX$2)))))*'Inputs Yr 2'!P242*'Inputs Yr 2'!Q242*'Inputs Yr 2'!U242,"")</f>
        <v>19082.625293671637</v>
      </c>
      <c r="BY242" s="197">
        <f>IFERROR(($G242*IF('Inputs Yr 2'!$AJ242=BP$4,'Inputs Yr 2'!$AK242,IF('Inputs Yr 2'!$AL242=BP$4,'Inputs Yr 2'!$AM242,IF('Inputs Yr 2'!$AN242=BP$4,'Inputs Yr 2'!$AO242,0))))*(INDEX(avoidedcosttbl2,$H242,BY$2)+(($H242-ROUNDDOWN($H242,0))*(INDEX(avoidedcosttbl2,ROUNDUP($H242,0),BY$2)-(INDEX(avoidedcosttbl2,ROUNDDOWN($H242,0),BY$2)))))*'Inputs Yr 2'!P242*'Inputs Yr 2'!Q242*'Inputs Yr 2'!U242,"")</f>
        <v>0</v>
      </c>
      <c r="BZ242" s="193">
        <f t="shared" si="129"/>
        <v>23788.31750344258</v>
      </c>
      <c r="CA242" s="193">
        <f t="shared" si="130"/>
        <v>294553.23900485213</v>
      </c>
      <c r="CB242" s="195">
        <f>IFERROR(G242*(IF('Inputs Yr 2'!$AJ242=CB$4,'Inputs Yr 2'!$AK242,IF('Inputs Yr 2'!$AL242=CB$4,'Inputs Yr 2'!$AM242,IF('Inputs Yr 2'!$AN242=CB$4,'Inputs Yr 2'!$AO242,0))))*(INDEX(avoidedcosttbl2,$H242,CB$2)+(($H242-ROUNDDOWN($H242,0))*(INDEX(avoidedcosttbl2,ROUNDUP($H242,0),CB$2)-(INDEX(avoidedcosttbl2,ROUNDDOWN($H242,0),CB$2)))))*'Inputs Yr 2'!P242*'Inputs Yr 2'!Q242*'Inputs Yr 2'!U242,"")</f>
        <v>0</v>
      </c>
      <c r="CC242" s="195">
        <f>IFERROR(H242*(IF('Inputs Yr 2'!$AJ242=CC$4,'Inputs Yr 2'!$AK242,IF('Inputs Yr 2'!$AL242=CC$4,'Inputs Yr 2'!$AM242,IF('Inputs Yr 2'!$AN242=CC$4,'Inputs Yr 2'!$AO242,0))))*(INDEX(avoidedcosttbl2,$H242,CC$2)+(($H242-ROUNDDOWN($H242,0))*(INDEX(avoidedcosttbl2,ROUNDUP($H242,0),CC$2)-(INDEX(avoidedcosttbl2,ROUNDDOWN($H242,0),CC$2)))))*'Inputs Yr 2'!Q242*'Inputs Yr 2'!R242*'Inputs Yr 2'!V242,"")</f>
        <v>0</v>
      </c>
      <c r="CD242" s="195">
        <f>IFERROR(I242*(IF('Inputs Yr 2'!$AJ242=CD$4,'Inputs Yr 2'!$AK242,IF('Inputs Yr 2'!$AL242=CD$4,'Inputs Yr 2'!$AM242,IF('Inputs Yr 2'!$AN242=CD$4,'Inputs Yr 2'!$AO242,0))))*(INDEX(avoidedcosttbl2,$H242,CD$2)+(($H242-ROUNDDOWN($H242,0))*(INDEX(avoidedcosttbl2,ROUNDUP($H242,0),CD$2)-(INDEX(avoidedcosttbl2,ROUNDDOWN($H242,0),CD$2)))))*'Inputs Yr 2'!R242*'Inputs Yr 2'!S242*'Inputs Yr 2'!W242,"")</f>
        <v>0</v>
      </c>
      <c r="CE242" s="213">
        <f t="shared" si="131"/>
        <v>0</v>
      </c>
      <c r="CF242" s="213">
        <f t="shared" si="132"/>
        <v>0</v>
      </c>
      <c r="CG242" s="213">
        <f t="shared" si="133"/>
        <v>0</v>
      </c>
      <c r="CH242" s="698">
        <f t="shared" si="134"/>
        <v>294553.23900485213</v>
      </c>
      <c r="CI242" s="79">
        <f>IFERROR(($G242*'Inputs Yr 2'!$P242*'Inputs Yr 2'!$Q242*(((INDEX(avoidedcosttbl2,$H242,CI$2)+(($H242-ROUNDDOWN($H242,0))*(INDEX(avoidedcosttbl2,ROUNDUP($H242,0),CI$2)-INDEX(avoidedcosttbl2,ROUNDDOWN($H242,0),CI$2))))*'Inputs Yr 2'!AS242))),"")</f>
        <v>0</v>
      </c>
      <c r="CJ242" s="504">
        <f>IFERROR($G242*'Inputs Yr 2'!AT242*'Inputs Yr 2'!$P242*'Inputs Yr 2'!$Q242/((1+realdiscrt1)^-0.5),"")</f>
        <v>0</v>
      </c>
      <c r="CK242" s="79">
        <f>IFERROR((O242*1000*(((INDEX(avoidedcosttbl2,$H242,CK$2)+(($H242-ROUNDDOWN($H242,0))*(INDEX(avoidedcosttbl2,ROUNDUP($H242,0),CK$2)-INDEX(avoidedcosttbl2,ROUNDDOWN($H242,0),CK$2))))*'Inputs Yr 2'!AU242))),"")</f>
        <v>0</v>
      </c>
      <c r="CL242" s="504">
        <f>IFERROR(O242*1000*'Inputs Yr 2'!AV242/((1+realdiscrt1)^-0.5),"")</f>
        <v>0</v>
      </c>
      <c r="CM242" s="79">
        <f>IFERROR((AB242*'Inputs Yr 2'!AW242*(((INDEX(avoidedcosttbl2,$H242,CM$2)+(($H242-ROUNDDOWN($H242,0))*(INDEX(avoidedcosttbl2,ROUNDUP($H242,0),CM$2)-INDEX(avoidedcosttbl2,ROUNDDOWN($H242,0),CM$2)))))))*10,"")</f>
        <v>83997.776198749852</v>
      </c>
      <c r="CN242" s="504">
        <f>IFERROR(10*AB242*'Inputs Yr 2'!AX242/((1+realdiscrt1)^-0.5),"")</f>
        <v>0</v>
      </c>
      <c r="CO242" s="505">
        <f t="shared" si="135"/>
        <v>83997.776198749852</v>
      </c>
      <c r="CP242" s="230">
        <f t="shared" si="136"/>
        <v>378551.01520360197</v>
      </c>
      <c r="CQ242" s="199">
        <f>ROUND(IFERROR(IF(LEFT($A242,1)="C",'Avoided Costs'!$K$13,'Avoided Costs'!$K$12)+1,""),4)</f>
        <v>1.0720000000000001</v>
      </c>
      <c r="CR242" s="199">
        <f>ROUND(IFERROR(IF(LEFT($A242,1)="C",'Avoided Costs'!$L$13,'Avoided Costs'!$L$12)+1,""),4)</f>
        <v>1.04</v>
      </c>
      <c r="CS242" s="199">
        <f>ROUND(IFERROR(IF(LEFT($A242,1)="C",'Avoided Costs'!$M$13,'Avoided Costs'!$M$12)+1,""),4)</f>
        <v>1.0720000000000001</v>
      </c>
      <c r="CT242" s="199">
        <f>ROUND(IFERROR(IF(LEFT($A242,1)="C",'Avoided Costs'!$N$13,'Avoided Costs'!$N$12)+1,""),4)</f>
        <v>1.04</v>
      </c>
      <c r="CU242" s="199">
        <f>ROUND(IFERROR(IF(LEFT($A242,1)="C",'Avoided Costs'!$O$13,'Avoided Costs'!$O$12)+1,""),4)</f>
        <v>1.1120000000000001</v>
      </c>
      <c r="CV242" s="199">
        <f>ROUND(IFERROR(IF(LEFT($A242,1)="C",'Avoided Costs'!$P$13,'Avoided Costs'!$P$12)+1,""),4)</f>
        <v>1.095</v>
      </c>
      <c r="CW242" s="199">
        <f>ROUND(IFERROR(IF(LEFT($A242,1)="C",'Avoided Costs'!$Q$13,'Avoided Costs'!$Q$12)+1,""),4)</f>
        <v>1.1120000000000001</v>
      </c>
      <c r="CX242" s="200">
        <f>ROUND(IFERROR(IF(LEFT($A242,1)="C",'Avoided Costs'!$R$13,'Avoided Costs'!$R$12)+1,""),4)</f>
        <v>1.1120000000000001</v>
      </c>
    </row>
    <row r="243" spans="1:102" ht="12.75" customHeight="1">
      <c r="A243" s="91" t="str">
        <f>IF('Inputs Yr 2'!$B243=0,"",'Inputs Yr 2'!A243)</f>
        <v>C - Commercial &amp; Industrial</v>
      </c>
      <c r="B243" s="91" t="str">
        <f>IF('Inputs Yr 2'!$B243=0,"",'Inputs Yr 2'!B243)</f>
        <v>C2 - C&amp;I Retrofit</v>
      </c>
      <c r="C243" s="91" t="str">
        <f>IF('Inputs Yr 2'!$B243=0,"",'Inputs Yr 2'!C243)</f>
        <v>C2a - C&amp;I Existing Building Retrofit</v>
      </c>
      <c r="D243" s="91" t="str">
        <f>IF('Inputs Yr 2'!$B243=0,"",'Inputs Yr 2'!E243)</f>
        <v>Building Shell - Custom 18</v>
      </c>
      <c r="E243" s="93" t="str">
        <f>IF('Inputs Yr 2'!$B243=0,"",'Inputs Yr 2'!F243)</f>
        <v>G16C2a01</v>
      </c>
      <c r="F243" s="93" t="str">
        <f>IF('Inputs Yr 2'!$B243=0,"",'Inputs Yr 2'!G243)</f>
        <v>Custom Measures</v>
      </c>
      <c r="G243" s="95">
        <f>IF('Inputs Yr 2'!$H243&lt;&gt;0,('Inputs Yr 2'!H243),"")</f>
        <v>1</v>
      </c>
      <c r="H243" s="94">
        <f>IFERROR('Inputs Yr 2'!I243,"")</f>
        <v>18</v>
      </c>
      <c r="I243" s="298">
        <f>IFERROR('Inputs Yr 2'!J243*'Inputs Yr 2'!P243*G243,"")</f>
        <v>879350.29639999999</v>
      </c>
      <c r="J243" s="298">
        <f>IFERROR('Inputs Yr 2'!K243*G243,"")</f>
        <v>478427.8</v>
      </c>
      <c r="K243" s="298">
        <f t="shared" si="113"/>
        <v>400922.4964</v>
      </c>
      <c r="L243" s="194">
        <f>IFERROR(('Inputs Yr 2'!W243*G243)/1000,"")</f>
        <v>0</v>
      </c>
      <c r="M243" s="194">
        <f>IFERROR(L243*('Inputs Yr 2'!$Q243*'Inputs Yr 2'!$V243*'Inputs Yr 2'!$R243),"")</f>
        <v>0</v>
      </c>
      <c r="N243" s="194">
        <f t="shared" si="114"/>
        <v>0</v>
      </c>
      <c r="O243" s="194">
        <f>IFERROR(M243*'Inputs Yr 2'!P243,"")</f>
        <v>0</v>
      </c>
      <c r="P243" s="194">
        <f t="shared" si="115"/>
        <v>0</v>
      </c>
      <c r="Q243" s="194">
        <f>IFERROR($P243*'Inputs Yr 2'!AA243,"")</f>
        <v>0</v>
      </c>
      <c r="R243" s="194">
        <f>IFERROR($P243*'Inputs Yr 2'!AB243,"")</f>
        <v>0</v>
      </c>
      <c r="S243" s="194">
        <f>IFERROR($P243*'Inputs Yr 2'!AC243,"")</f>
        <v>0</v>
      </c>
      <c r="T243" s="194">
        <f>IFERROR($P243*'Inputs Yr 2'!AD243,"")</f>
        <v>0</v>
      </c>
      <c r="U243" s="194">
        <f>IFERROR(G243*'Inputs Yr 2'!$AE243*'Inputs Yr 2'!$P243*'Inputs Yr 2'!$Q243,"")</f>
        <v>0</v>
      </c>
      <c r="V243" s="194">
        <f>IFERROR($G243*'Inputs Yr 2'!$AE243*'Inputs Yr 2'!$AG243*'Inputs Yr 2'!Q243*'Inputs Yr 2'!$S243,"")</f>
        <v>0</v>
      </c>
      <c r="W243" s="194">
        <f>IFERROR($G243*'Inputs Yr 2'!$AE243*'Inputs Yr 2'!$AG243*'Inputs Yr 2'!P243*'Inputs Yr 2'!Q243*'Inputs Yr 2'!$S243,"")</f>
        <v>0</v>
      </c>
      <c r="X243" s="194">
        <f>IFERROR($G243*'Inputs Yr 2'!$AE243*'Inputs Yr 2'!$AF243*'Inputs Yr 2'!Q243*'Inputs Yr 2'!$T243,"")</f>
        <v>0</v>
      </c>
      <c r="Y243" s="194">
        <f>IFERROR($G243*'Inputs Yr 2'!$AE243*'Inputs Yr 2'!$AF243*'Inputs Yr 2'!P243*'Inputs Yr 2'!Q243*'Inputs Yr 2'!$T243,"")</f>
        <v>0</v>
      </c>
      <c r="Z243" s="257">
        <f>IFERROR($G243*'Inputs Yr 2'!$Q243*'Inputs Yr 2'!$U243*(IF(IFERROR(SEARCH("NG", 'Inputs Yr 2'!$AJ243),0),'Inputs Yr 2'!$AK243,0)+IF(IFERROR(SEARCH("NG", 'Inputs Yr 2'!$AL243),0),'Inputs Yr 2'!$AM243,0)+IF(IFERROR(SEARCH("NG", 'Inputs Yr 2'!$AN243),0),'Inputs Yr 2'!$AO243,0)),0)</f>
        <v>22053.213455000001</v>
      </c>
      <c r="AA243" s="257">
        <f t="shared" si="116"/>
        <v>396957.84219</v>
      </c>
      <c r="AB243" s="257">
        <f>IFERROR(Z243*'Inputs Yr 2'!$P243,0)</f>
        <v>20266.903165145002</v>
      </c>
      <c r="AC243" s="257">
        <f t="shared" si="117"/>
        <v>364804.25697261002</v>
      </c>
      <c r="AD243" s="257">
        <f>IFERROR($G243*'Inputs Yr 2'!$Q243*'Inputs Yr 2'!$U243*(IF(IFERROR(SEARCH("Oil", 'Inputs Yr 2'!$AJ243), 0),'Inputs Yr 2'!$AK243,0)+IF(IFERROR(SEARCH("Oil", 'Inputs Yr 2'!$AL243), 0),'Inputs Yr 2'!$AM243,0)+IF(IFERROR(SEARCH("Oil", 'Inputs Yr 2'!$AN243), 0),'Inputs Yr 2'!$AO243,0)),0)</f>
        <v>0</v>
      </c>
      <c r="AE243" s="257">
        <f t="shared" si="118"/>
        <v>0</v>
      </c>
      <c r="AF243" s="257">
        <f>IFERROR(AD243*'Inputs Yr 2'!$P243,0)</f>
        <v>0</v>
      </c>
      <c r="AG243" s="257">
        <f t="shared" si="119"/>
        <v>0</v>
      </c>
      <c r="AH243" s="257">
        <f>IFERROR($G243*'Inputs Yr 2'!$Q243*'Inputs Yr 2'!$U243*(IF('Inputs Yr 2'!$AJ243=CD$4,'Inputs Yr 2'!$AK243,IF('Inputs Yr 2'!$AL243=CD$4,'Inputs Yr 2'!$AM243,IF('Inputs Yr 2'!$AN243=CD$4,'Inputs Yr 2'!$AO243,0)))),0)</f>
        <v>0</v>
      </c>
      <c r="AI243" s="257">
        <f t="shared" si="120"/>
        <v>0</v>
      </c>
      <c r="AJ243" s="257">
        <f>IFERROR(AH243*'Inputs Yr 2'!$P243,0)</f>
        <v>0</v>
      </c>
      <c r="AK243" s="257">
        <f t="shared" si="121"/>
        <v>0</v>
      </c>
      <c r="AL243" s="258">
        <f>IFERROR($G243*'Inputs Yr 2'!$P243*'Inputs Yr 2'!$Q243*'Inputs Yr 2'!AP243,0)</f>
        <v>0</v>
      </c>
      <c r="AM243" s="260">
        <f>IFERROR($G243*'Inputs Yr 2'!$P243*'Inputs Yr 2'!$Q243*'Inputs Yr 2'!AQ243,0)</f>
        <v>0</v>
      </c>
      <c r="AN243" s="258">
        <f>IFERROR($G243*'Inputs Yr 2'!$P243*'Inputs Yr 2'!$Q243*'Inputs Yr 2'!AR243,0)</f>
        <v>0</v>
      </c>
      <c r="AO243" s="257">
        <f t="shared" si="122"/>
        <v>0</v>
      </c>
      <c r="AP243" s="195">
        <f>IFERROR($CQ243*(INDEX(avoidedcosttbl2,$H243,AP$2)+(($H243-ROUNDDOWN($H243,0))*(INDEX(avoidedcosttbl2,ROUNDUP($H243,0),AP$2)-(INDEX(avoidedcosttbl2,ROUNDDOWN($H243,0),AP$2)))))*$O243*1000*'Inputs Yr 2'!AA243,"")</f>
        <v>0</v>
      </c>
      <c r="AQ243" s="195">
        <f>IFERROR($CR243*(INDEX(avoidedcosttbl2,$H243,AQ$2)+(($H243-ROUNDDOWN($H243,0))*(INDEX(avoidedcosttbl2,ROUNDUP($H243,0),AQ$2)-(INDEX(avoidedcosttbl2,ROUNDDOWN($H243,0),AQ$2)))))*$O243*1000*'Inputs Yr 2'!AB243,"")</f>
        <v>0</v>
      </c>
      <c r="AR243" s="195">
        <f>IFERROR($CS243*(INDEX(avoidedcosttbl2,$H243,AR$2)+(($H243-ROUNDDOWN($H243,0))*(INDEX(avoidedcosttbl2,ROUNDUP($H243,0),AR$2)-(INDEX(avoidedcosttbl2,ROUNDDOWN($H243,0),AR$2)))))*$O243*1000*'Inputs Yr 2'!AC243,"")</f>
        <v>0</v>
      </c>
      <c r="AS243" s="195">
        <f>IFERROR($CT243*(INDEX(avoidedcosttbl2,$H243,AS$2)+(($H243-ROUNDDOWN($H243,0))*(INDEX(avoidedcosttbl2,ROUNDUP($H243,0),AS$2)-(INDEX(avoidedcosttbl2,ROUNDDOWN($H243,0),AS$2)))))*$O243*1000*'Inputs Yr 2'!AD243,"")</f>
        <v>0</v>
      </c>
      <c r="AT243" s="196">
        <f t="shared" si="123"/>
        <v>0</v>
      </c>
      <c r="AU243" s="197">
        <f>IFERROR($CQ243*((INDEX(avoidedcosttbl2,$H243,AU$2))+(($H243-ROUNDDOWN($H243,0))*((INDEX(avoidedcosttbl2,ROUNDUP($H243,0),AU$2))-(INDEX(avoidedcosttbl2,ROUNDDOWN($H243,0),AU$2)))))*$O243*1000*'Inputs Yr 2'!AA243,"")</f>
        <v>0</v>
      </c>
      <c r="AV243" s="197">
        <f>IFERROR($CR243*((INDEX(avoidedcosttbl2,$H243,AV$2))+(($H243-ROUNDDOWN($H243,0))*((INDEX(avoidedcosttbl2,ROUNDUP($H243,0),AV$2))-(INDEX(avoidedcosttbl2,ROUNDDOWN($H243,0),AV$2)))))*$O243*1000*'Inputs Yr 2'!AB243,"")</f>
        <v>0</v>
      </c>
      <c r="AW243" s="197">
        <f>IFERROR($CS243*((INDEX(avoidedcosttbl2,$H243,AW$2))+(($H243-ROUNDDOWN($H243,0))*((INDEX(avoidedcosttbl2,ROUNDUP($H243,0),AW$2))-(INDEX(avoidedcosttbl2,ROUNDDOWN($H243,0),AW$2)))))*$O243*1000*'Inputs Yr 2'!AC243,"")</f>
        <v>0</v>
      </c>
      <c r="AX243" s="197">
        <f>IFERROR($CT243*((INDEX(avoidedcosttbl2,$H243,AX$2))+(($H243-ROUNDDOWN($H243,0))*((INDEX(avoidedcosttbl2,ROUNDUP($H243,0),AX$2))-(INDEX(avoidedcosttbl2,ROUNDDOWN($H243,0),AX$2)))))*$O243*1000*'Inputs Yr 2'!AD243,"")</f>
        <v>0</v>
      </c>
      <c r="AY243" s="197">
        <f>IFERROR(((INDEX(avoidedcosttbl2,$H243,AY$2))+(($H243-ROUNDDOWN($H243,0))*((INDEX(avoidedcosttbl2,ROUNDUP($H243,0),AY$2))-(INDEX(avoidedcosttbl2,ROUNDDOWN($H243,0),AY$2)))))*$O243*1000*('Inputs Yr 2'!AC243+'Inputs Yr 2'!AD243),"")</f>
        <v>0</v>
      </c>
      <c r="AZ243" s="197">
        <f>IFERROR(((INDEX(avoidedcosttbl2,$H243,AZ$2))+(($H243-ROUNDDOWN($H243,0))*((INDEX(avoidedcosttbl2,ROUNDUP($H243,0),AZ$2))-(INDEX(avoidedcosttbl2,ROUNDDOWN($H243,0),AZ$2)))))*$O243*1000*('Inputs Yr 2'!AA243+'Inputs Yr 2'!AB243),"")</f>
        <v>0</v>
      </c>
      <c r="BA243" s="198">
        <f t="shared" si="124"/>
        <v>0</v>
      </c>
      <c r="BB243" s="198">
        <f t="shared" si="125"/>
        <v>0</v>
      </c>
      <c r="BC243" s="195">
        <f t="shared" si="107"/>
        <v>0</v>
      </c>
      <c r="BD243" s="195">
        <f t="shared" si="108"/>
        <v>0</v>
      </c>
      <c r="BE243" s="195">
        <f t="shared" si="109"/>
        <v>0</v>
      </c>
      <c r="BF243" s="195">
        <f t="shared" si="110"/>
        <v>0</v>
      </c>
      <c r="BG243" s="195">
        <f t="shared" si="111"/>
        <v>0</v>
      </c>
      <c r="BH243" s="196">
        <f t="shared" si="126"/>
        <v>0</v>
      </c>
      <c r="BI243" s="196">
        <f t="shared" si="127"/>
        <v>0</v>
      </c>
      <c r="BJ243" s="195">
        <f>IFERROR($G243*(IF('Inputs Yr 2'!$AJ243=BJ$4,'Inputs Yr 2'!$AK243,IF('Inputs Yr 2'!$AL243=BJ$4,'Inputs Yr 2'!$AM243,IF('Inputs Yr 2'!$AN243=BJ$4,'Inputs Yr 2'!$AO243,0))))*(INDEX(avoidedcosttbl2,$H243,BJ$2)+(($H243-ROUNDDOWN($H243,0))*(INDEX(avoidedcosttbl2,ROUNDUP($H243,0),BJ$2)-(INDEX(avoidedcosttbl2,ROUNDDOWN($H243,0),BJ$2)))))*'Inputs Yr 2'!P243*'Inputs Yr 2'!Q243*'Inputs Yr 2'!U243,"")</f>
        <v>0</v>
      </c>
      <c r="BK243" s="195">
        <f>IFERROR($G243*(IF('Inputs Yr 2'!$AJ243=BK$4,'Inputs Yr 2'!$AK243,IF('Inputs Yr 2'!$AL243=BK$4,'Inputs Yr 2'!$AM243,IF('Inputs Yr 2'!$AN243=BK$4,'Inputs Yr 2'!$AO243,0))))*(INDEX(avoidedcosttbl2,$H243,BK$2)+(($H243-ROUNDDOWN($H243,0))*(INDEX(avoidedcosttbl2,ROUNDUP($H243,0),BK$2)-(INDEX(avoidedcosttbl2,ROUNDDOWN($H243,0),BK$2)))))*'Inputs Yr 2'!P243*'Inputs Yr 2'!Q243*'Inputs Yr 2'!U243,"")</f>
        <v>0</v>
      </c>
      <c r="BL243" s="195">
        <f>IFERROR($G243*(IF('Inputs Yr 2'!$AJ243=BL$4,'Inputs Yr 2'!$AK243,IF('Inputs Yr 2'!$AL243=BL$4,'Inputs Yr 2'!$AM243,IF('Inputs Yr 2'!$AN243=BL$4,'Inputs Yr 2'!$AO243,0))))*(INDEX(avoidedcosttbl2,$H243,BL$2)+(($H243-ROUNDDOWN($H243,0))*(INDEX(avoidedcosttbl2,ROUNDUP($H243,0),BL$2)-(INDEX(avoidedcosttbl2,ROUNDDOWN($H243,0),BL$2)))))*'Inputs Yr 2'!P243*'Inputs Yr 2'!Q243*'Inputs Yr 2'!U243,"")</f>
        <v>0</v>
      </c>
      <c r="BM243" s="195">
        <f>IFERROR($G243*(IF('Inputs Yr 2'!$AJ243=BM$4,'Inputs Yr 2'!$AK243,IF('Inputs Yr 2'!$AL243=BM$4,'Inputs Yr 2'!$AM243,IF('Inputs Yr 2'!$AN243=BM$4,'Inputs Yr 2'!$AO243,0))))*(INDEX(avoidedcosttbl2,$H243,BM$2)+(($H243-ROUNDDOWN($H243,0))*(INDEX(avoidedcosttbl2,ROUNDUP($H243,0),BM$2)-(INDEX(avoidedcosttbl2,ROUNDDOWN($H243,0),BM$2)))))*'Inputs Yr 2'!P243*'Inputs Yr 2'!Q243*'Inputs Yr 2'!U243,"")</f>
        <v>0</v>
      </c>
      <c r="BN243" s="195">
        <f>IFERROR($G243*(IF('Inputs Yr 2'!$AJ243=BN$4,'Inputs Yr 2'!$AK243,IF('Inputs Yr 2'!$AL243=BN$4,'Inputs Yr 2'!$AM243,IF('Inputs Yr 2'!$AN243=BN$4,'Inputs Yr 2'!$AO243,0))))*(INDEX(avoidedcosttbl2,$H243,BN$2)+(($H243-ROUNDDOWN($H243,0))*(INDEX(avoidedcosttbl2,ROUNDUP($H243,0),BN$2)-(INDEX(avoidedcosttbl2,ROUNDDOWN($H243,0),BN$2)))))*'Inputs Yr 2'!P243*'Inputs Yr 2'!Q243*'Inputs Yr 2'!U243,"")</f>
        <v>0</v>
      </c>
      <c r="BO243" s="195">
        <f>IFERROR($G243*(IF('Inputs Yr 2'!$AJ243=BO$4,'Inputs Yr 2'!$AK243,IF('Inputs Yr 2'!$AL243=BO$4,'Inputs Yr 2'!$AM243,IF('Inputs Yr 2'!$AN243=BO$4,'Inputs Yr 2'!$AO243,0))))*(INDEX(avoidedcosttbl2,$H243,BO$2)+(($H243-ROUNDDOWN($H243,0))*(INDEX(avoidedcosttbl2,ROUNDUP($H243,0),BO$2)-(INDEX(avoidedcosttbl2,ROUNDDOWN($H243,0),BO$2)))))*'Inputs Yr 2'!P243*'Inputs Yr 2'!Q243*'Inputs Yr 2'!U243,"")</f>
        <v>2898363.1243241238</v>
      </c>
      <c r="BP243" s="195">
        <f>IFERROR($G243*(IF('Inputs Yr 2'!$AJ243=BP$4,'Inputs Yr 2'!$AK243,IF('Inputs Yr 2'!$AL243=BP$4,'Inputs Yr 2'!$AM243,IF('Inputs Yr 2'!$AN243=BP$4,'Inputs Yr 2'!$AO243,0))))*(INDEX(avoidedcosttbl2,$H243,BP$2)+(($H243-ROUNDDOWN($H243,0))*(INDEX(avoidedcosttbl2,ROUNDUP($H243,0),BP$2)-(INDEX(avoidedcosttbl2,ROUNDDOWN($H243,0),BP$2)))))*'Inputs Yr 2'!P243*'Inputs Yr 2'!Q243*'Inputs Yr 2'!U243,"")</f>
        <v>0</v>
      </c>
      <c r="BQ243" s="230">
        <f t="shared" si="128"/>
        <v>2898363.1243241238</v>
      </c>
      <c r="BR243" s="197">
        <f t="shared" si="112"/>
        <v>49125.609748714189</v>
      </c>
      <c r="BS243" s="197">
        <f>IFERROR(($G243*IF('Inputs Yr 2'!$AJ243=BM$4,'Inputs Yr 2'!$AK243,IF('Inputs Yr 2'!$AL243=BM$4,'Inputs Yr 2'!$AM243,IF('Inputs Yr 2'!$AN243=BM$4,'Inputs Yr 2'!$AO243,0))))*(INDEX(avoidedcosttbl2,$H243,BS$2)+(($H243-ROUNDDOWN($H243,0))*(INDEX(avoidedcosttbl2,ROUNDUP($H243,0),BS$2)-(INDEX(avoidedcosttbl2,ROUNDDOWN($H243,0),BS$2)))))*'Inputs Yr 2'!P243*'Inputs Yr 2'!Q243*'Inputs Yr 2'!U243,"")</f>
        <v>0</v>
      </c>
      <c r="BT243" s="197">
        <f>IFERROR(($G243*IF('Inputs Yr 2'!$AJ243=BK$4,'Inputs Yr 2'!$AK243,IF('Inputs Yr 2'!$AL243=BK$4,'Inputs Yr 2'!$AM243,IF('Inputs Yr 2'!$AN243=BK$4,'Inputs Yr 2'!$AO243,0))))*(INDEX(avoidedcosttbl2,$H243,BT$2)+(($H243-ROUNDDOWN($H243,0))*(INDEX(avoidedcosttbl2,ROUNDUP($H243,0),BT$2)-(INDEX(avoidedcosttbl2,ROUNDDOWN($H243,0),BT$2)))))*'Inputs Yr 2'!P243*'Inputs Yr 2'!Q243*'Inputs Yr 2'!U243,"")</f>
        <v>0</v>
      </c>
      <c r="BU243" s="197">
        <f>IFERROR(($G243*IF('Inputs Yr 2'!$AJ243=BL$4,'Inputs Yr 2'!$AK243,IF('Inputs Yr 2'!$AL243=BL$4,'Inputs Yr 2'!$AM243,IF('Inputs Yr 2'!$AN243=BL$4,'Inputs Yr 2'!$AO243,0))))*(INDEX(avoidedcosttbl2,$H243,BU$2)+(($H243-ROUNDDOWN($H243,0))*(INDEX(avoidedcosttbl2,ROUNDUP($H243,0),BU$2)-(INDEX(avoidedcosttbl2,ROUNDDOWN($H243,0),BU$2)))))*'Inputs Yr 2'!P243*'Inputs Yr 2'!Q243*'Inputs Yr 2'!U243,"")</f>
        <v>0</v>
      </c>
      <c r="BV243" s="775">
        <f>IFERROR(($G243*IF('Inputs Yr 2'!$AJ243=BJ$4,'Inputs Yr 2'!$AK243,IF('Inputs Yr 2'!$AL243=BJ$4,'Inputs Yr 2'!$AM243,IF('Inputs Yr 2'!$AN243=BJ$4,'Inputs Yr 2'!$AO243,0))))*(INDEX(avoidedcosttbl2,$H243,BV$2)+(($H243-ROUNDDOWN($H243,0))*(INDEX(avoidedcosttbl2,ROUNDUP($H243,0),BV$2)-(INDEX(avoidedcosttbl2,ROUNDDOWN($H243,0),BV$2)))))*'Inputs Yr 2'!P243*'Inputs Yr 2'!Q243*'Inputs Yr 2'!U243,"")</f>
        <v>0</v>
      </c>
      <c r="BW243" s="197">
        <f>IFERROR(($G243*IF('Inputs Yr 2'!$AJ243=BN$4,'Inputs Yr 2'!$AK243,IF('Inputs Yr 2'!$AL243=BN$4,'Inputs Yr 2'!$AM243,IF('Inputs Yr 2'!$AN243=BN$4,'Inputs Yr 2'!$AO243,0))))*(INDEX(avoidedcosttbl2,$H243,BW$2)+(($H243-ROUNDDOWN($H243,0))*(INDEX(avoidedcosttbl2,ROUNDUP($H243,0),BW$2)-(INDEX(avoidedcosttbl2,ROUNDDOWN($H243,0),BW$2)))))*'Inputs Yr 2'!P243*'Inputs Yr 2'!Q243*'Inputs Yr 2'!U243,"")</f>
        <v>0</v>
      </c>
      <c r="BX243" s="197">
        <f>IFERROR(($G243*IF('Inputs Yr 2'!$AJ243=BO$4,'Inputs Yr 2'!$AK243,IF('Inputs Yr 2'!$AL243=BO$4,'Inputs Yr 2'!$AM243,IF('Inputs Yr 2'!$AN243=BO$4,'Inputs Yr 2'!$AO243,0))))*(INDEX(avoidedcosttbl2,$H243,BX$2)+(($H243-ROUNDDOWN($H243,0))*(INDEX(avoidedcosttbl2,ROUNDUP($H243,0),BX$2)-(INDEX(avoidedcosttbl2,ROUNDDOWN($H243,0),BX$2)))))*'Inputs Yr 2'!P243*'Inputs Yr 2'!Q243*'Inputs Yr 2'!U243,"")</f>
        <v>173690.40042913757</v>
      </c>
      <c r="BY243" s="197">
        <f>IFERROR(($G243*IF('Inputs Yr 2'!$AJ243=BP$4,'Inputs Yr 2'!$AK243,IF('Inputs Yr 2'!$AL243=BP$4,'Inputs Yr 2'!$AM243,IF('Inputs Yr 2'!$AN243=BP$4,'Inputs Yr 2'!$AO243,0))))*(INDEX(avoidedcosttbl2,$H243,BY$2)+(($H243-ROUNDDOWN($H243,0))*(INDEX(avoidedcosttbl2,ROUNDUP($H243,0),BY$2)-(INDEX(avoidedcosttbl2,ROUNDDOWN($H243,0),BY$2)))))*'Inputs Yr 2'!P243*'Inputs Yr 2'!Q243*'Inputs Yr 2'!U243,"")</f>
        <v>0</v>
      </c>
      <c r="BZ243" s="193">
        <f t="shared" si="129"/>
        <v>222816.01017785177</v>
      </c>
      <c r="CA243" s="193">
        <f t="shared" si="130"/>
        <v>3121179.1345019755</v>
      </c>
      <c r="CB243" s="195">
        <f>IFERROR(G243*(IF('Inputs Yr 2'!$AJ243=CB$4,'Inputs Yr 2'!$AK243,IF('Inputs Yr 2'!$AL243=CB$4,'Inputs Yr 2'!$AM243,IF('Inputs Yr 2'!$AN243=CB$4,'Inputs Yr 2'!$AO243,0))))*(INDEX(avoidedcosttbl2,$H243,CB$2)+(($H243-ROUNDDOWN($H243,0))*(INDEX(avoidedcosttbl2,ROUNDUP($H243,0),CB$2)-(INDEX(avoidedcosttbl2,ROUNDDOWN($H243,0),CB$2)))))*'Inputs Yr 2'!P243*'Inputs Yr 2'!Q243*'Inputs Yr 2'!U243,"")</f>
        <v>0</v>
      </c>
      <c r="CC243" s="195">
        <f>IFERROR(H243*(IF('Inputs Yr 2'!$AJ243=CC$4,'Inputs Yr 2'!$AK243,IF('Inputs Yr 2'!$AL243=CC$4,'Inputs Yr 2'!$AM243,IF('Inputs Yr 2'!$AN243=CC$4,'Inputs Yr 2'!$AO243,0))))*(INDEX(avoidedcosttbl2,$H243,CC$2)+(($H243-ROUNDDOWN($H243,0))*(INDEX(avoidedcosttbl2,ROUNDUP($H243,0),CC$2)-(INDEX(avoidedcosttbl2,ROUNDDOWN($H243,0),CC$2)))))*'Inputs Yr 2'!Q243*'Inputs Yr 2'!R243*'Inputs Yr 2'!V243,"")</f>
        <v>0</v>
      </c>
      <c r="CD243" s="195">
        <f>IFERROR(I243*(IF('Inputs Yr 2'!$AJ243=CD$4,'Inputs Yr 2'!$AK243,IF('Inputs Yr 2'!$AL243=CD$4,'Inputs Yr 2'!$AM243,IF('Inputs Yr 2'!$AN243=CD$4,'Inputs Yr 2'!$AO243,0))))*(INDEX(avoidedcosttbl2,$H243,CD$2)+(($H243-ROUNDDOWN($H243,0))*(INDEX(avoidedcosttbl2,ROUNDUP($H243,0),CD$2)-(INDEX(avoidedcosttbl2,ROUNDDOWN($H243,0),CD$2)))))*'Inputs Yr 2'!R243*'Inputs Yr 2'!S243*'Inputs Yr 2'!W243,"")</f>
        <v>0</v>
      </c>
      <c r="CE243" s="213">
        <f t="shared" si="131"/>
        <v>0</v>
      </c>
      <c r="CF243" s="213">
        <f t="shared" si="132"/>
        <v>0</v>
      </c>
      <c r="CG243" s="213">
        <f t="shared" si="133"/>
        <v>0</v>
      </c>
      <c r="CH243" s="698">
        <f t="shared" si="134"/>
        <v>3121179.1345019755</v>
      </c>
      <c r="CI243" s="79">
        <f>IFERROR(($G243*'Inputs Yr 2'!$P243*'Inputs Yr 2'!$Q243*(((INDEX(avoidedcosttbl2,$H243,CI$2)+(($H243-ROUNDDOWN($H243,0))*(INDEX(avoidedcosttbl2,ROUNDUP($H243,0),CI$2)-INDEX(avoidedcosttbl2,ROUNDDOWN($H243,0),CI$2))))*'Inputs Yr 2'!AS243))),"")</f>
        <v>0</v>
      </c>
      <c r="CJ243" s="504">
        <f>IFERROR($G243*'Inputs Yr 2'!AT243*'Inputs Yr 2'!$P243*'Inputs Yr 2'!$Q243/((1+realdiscrt1)^-0.5),"")</f>
        <v>0</v>
      </c>
      <c r="CK243" s="79">
        <f>IFERROR((O243*1000*(((INDEX(avoidedcosttbl2,$H243,CK$2)+(($H243-ROUNDDOWN($H243,0))*(INDEX(avoidedcosttbl2,ROUNDUP($H243,0),CK$2)-INDEX(avoidedcosttbl2,ROUNDDOWN($H243,0),CK$2))))*'Inputs Yr 2'!AU243))),"")</f>
        <v>0</v>
      </c>
      <c r="CL243" s="504">
        <f>IFERROR(O243*1000*'Inputs Yr 2'!AV243/((1+realdiscrt1)^-0.5),"")</f>
        <v>0</v>
      </c>
      <c r="CM243" s="79">
        <f>IFERROR((AB243*'Inputs Yr 2'!AW243*(((INDEX(avoidedcosttbl2,$H243,CM$2)+(($H243-ROUNDDOWN($H243,0))*(INDEX(avoidedcosttbl2,ROUNDUP($H243,0),CM$2)-INDEX(avoidedcosttbl2,ROUNDDOWN($H243,0),CM$2)))))))*10,"")</f>
        <v>876904.35101799376</v>
      </c>
      <c r="CN243" s="504">
        <f>IFERROR(10*AB243*'Inputs Yr 2'!AX243/((1+realdiscrt1)^-0.5),"")</f>
        <v>0</v>
      </c>
      <c r="CO243" s="505">
        <f t="shared" si="135"/>
        <v>876904.35101799376</v>
      </c>
      <c r="CP243" s="230">
        <f t="shared" si="136"/>
        <v>3998083.4855199694</v>
      </c>
      <c r="CQ243" s="199">
        <f>ROUND(IFERROR(IF(LEFT($A243,1)="C",'Avoided Costs'!$K$13,'Avoided Costs'!$K$12)+1,""),4)</f>
        <v>1.0720000000000001</v>
      </c>
      <c r="CR243" s="199">
        <f>ROUND(IFERROR(IF(LEFT($A243,1)="C",'Avoided Costs'!$L$13,'Avoided Costs'!$L$12)+1,""),4)</f>
        <v>1.04</v>
      </c>
      <c r="CS243" s="199">
        <f>ROUND(IFERROR(IF(LEFT($A243,1)="C",'Avoided Costs'!$M$13,'Avoided Costs'!$M$12)+1,""),4)</f>
        <v>1.0720000000000001</v>
      </c>
      <c r="CT243" s="199">
        <f>ROUND(IFERROR(IF(LEFT($A243,1)="C",'Avoided Costs'!$N$13,'Avoided Costs'!$N$12)+1,""),4)</f>
        <v>1.04</v>
      </c>
      <c r="CU243" s="199">
        <f>ROUND(IFERROR(IF(LEFT($A243,1)="C",'Avoided Costs'!$O$13,'Avoided Costs'!$O$12)+1,""),4)</f>
        <v>1.1120000000000001</v>
      </c>
      <c r="CV243" s="199">
        <f>ROUND(IFERROR(IF(LEFT($A243,1)="C",'Avoided Costs'!$P$13,'Avoided Costs'!$P$12)+1,""),4)</f>
        <v>1.095</v>
      </c>
      <c r="CW243" s="199">
        <f>ROUND(IFERROR(IF(LEFT($A243,1)="C",'Avoided Costs'!$Q$13,'Avoided Costs'!$Q$12)+1,""),4)</f>
        <v>1.1120000000000001</v>
      </c>
      <c r="CX243" s="200">
        <f>ROUND(IFERROR(IF(LEFT($A243,1)="C",'Avoided Costs'!$R$13,'Avoided Costs'!$R$12)+1,""),4)</f>
        <v>1.1120000000000001</v>
      </c>
    </row>
    <row r="244" spans="1:102" ht="12.75" customHeight="1">
      <c r="A244" s="91" t="str">
        <f>IF('Inputs Yr 2'!$B244=0,"",'Inputs Yr 2'!A244)</f>
        <v>C - Commercial &amp; Industrial</v>
      </c>
      <c r="B244" s="91" t="str">
        <f>IF('Inputs Yr 2'!$B244=0,"",'Inputs Yr 2'!B244)</f>
        <v>C2 - C&amp;I Retrofit</v>
      </c>
      <c r="C244" s="91" t="str">
        <f>IF('Inputs Yr 2'!$B244=0,"",'Inputs Yr 2'!C244)</f>
        <v>C2a - C&amp;I Existing Building Retrofit</v>
      </c>
      <c r="D244" s="91" t="str">
        <f>IF('Inputs Yr 2'!$B244=0,"",'Inputs Yr 2'!E244)</f>
        <v>Building Shell - Custom 20</v>
      </c>
      <c r="E244" s="93" t="str">
        <f>IF('Inputs Yr 2'!$B244=0,"",'Inputs Yr 2'!F244)</f>
        <v>G16C2a01</v>
      </c>
      <c r="F244" s="93" t="str">
        <f>IF('Inputs Yr 2'!$B244=0,"",'Inputs Yr 2'!G244)</f>
        <v>Custom Measures</v>
      </c>
      <c r="G244" s="95">
        <f>IF('Inputs Yr 2'!$H244&lt;&gt;0,('Inputs Yr 2'!H244),"")</f>
        <v>1</v>
      </c>
      <c r="H244" s="94">
        <f>IFERROR('Inputs Yr 2'!I244,"")</f>
        <v>20</v>
      </c>
      <c r="I244" s="298">
        <f>IFERROR('Inputs Yr 2'!J244*'Inputs Yr 2'!P244*G244,"")</f>
        <v>13896.199000000001</v>
      </c>
      <c r="J244" s="298">
        <f>IFERROR('Inputs Yr 2'!K244*G244,"")</f>
        <v>7560.5</v>
      </c>
      <c r="K244" s="298">
        <f t="shared" si="113"/>
        <v>6335.6990000000005</v>
      </c>
      <c r="L244" s="194">
        <f>IFERROR(('Inputs Yr 2'!W244*G244)/1000,"")</f>
        <v>0</v>
      </c>
      <c r="M244" s="194">
        <f>IFERROR(L244*('Inputs Yr 2'!$Q244*'Inputs Yr 2'!$V244*'Inputs Yr 2'!$R244),"")</f>
        <v>0</v>
      </c>
      <c r="N244" s="194">
        <f t="shared" si="114"/>
        <v>0</v>
      </c>
      <c r="O244" s="194">
        <f>IFERROR(M244*'Inputs Yr 2'!P244,"")</f>
        <v>0</v>
      </c>
      <c r="P244" s="194">
        <f t="shared" si="115"/>
        <v>0</v>
      </c>
      <c r="Q244" s="194">
        <f>IFERROR($P244*'Inputs Yr 2'!AA244,"")</f>
        <v>0</v>
      </c>
      <c r="R244" s="194">
        <f>IFERROR($P244*'Inputs Yr 2'!AB244,"")</f>
        <v>0</v>
      </c>
      <c r="S244" s="194">
        <f>IFERROR($P244*'Inputs Yr 2'!AC244,"")</f>
        <v>0</v>
      </c>
      <c r="T244" s="194">
        <f>IFERROR($P244*'Inputs Yr 2'!AD244,"")</f>
        <v>0</v>
      </c>
      <c r="U244" s="194">
        <f>IFERROR(G244*'Inputs Yr 2'!$AE244*'Inputs Yr 2'!$P244*'Inputs Yr 2'!$Q244,"")</f>
        <v>0</v>
      </c>
      <c r="V244" s="194">
        <f>IFERROR($G244*'Inputs Yr 2'!$AE244*'Inputs Yr 2'!$AG244*'Inputs Yr 2'!Q244*'Inputs Yr 2'!$S244,"")</f>
        <v>0</v>
      </c>
      <c r="W244" s="194">
        <f>IFERROR($G244*'Inputs Yr 2'!$AE244*'Inputs Yr 2'!$AG244*'Inputs Yr 2'!P244*'Inputs Yr 2'!Q244*'Inputs Yr 2'!$S244,"")</f>
        <v>0</v>
      </c>
      <c r="X244" s="194">
        <f>IFERROR($G244*'Inputs Yr 2'!$AE244*'Inputs Yr 2'!$AF244*'Inputs Yr 2'!Q244*'Inputs Yr 2'!$T244,"")</f>
        <v>0</v>
      </c>
      <c r="Y244" s="194">
        <f>IFERROR($G244*'Inputs Yr 2'!$AE244*'Inputs Yr 2'!$AF244*'Inputs Yr 2'!P244*'Inputs Yr 2'!Q244*'Inputs Yr 2'!$T244,"")</f>
        <v>0</v>
      </c>
      <c r="Z244" s="257">
        <f>IFERROR($G244*'Inputs Yr 2'!$Q244*'Inputs Yr 2'!$U244*(IF(IFERROR(SEARCH("NG", 'Inputs Yr 2'!$AJ244),0),'Inputs Yr 2'!$AK244,0)+IF(IFERROR(SEARCH("NG", 'Inputs Yr 2'!$AL244),0),'Inputs Yr 2'!$AM244,0)+IF(IFERROR(SEARCH("NG", 'Inputs Yr 2'!$AN244),0),'Inputs Yr 2'!$AO244,0)),0)</f>
        <v>379.13929999999999</v>
      </c>
      <c r="AA244" s="257">
        <f t="shared" si="116"/>
        <v>7582.7860000000001</v>
      </c>
      <c r="AB244" s="257">
        <f>IFERROR(Z244*'Inputs Yr 2'!$P244,0)</f>
        <v>348.42901670000003</v>
      </c>
      <c r="AC244" s="257">
        <f t="shared" si="117"/>
        <v>6968.5803340000002</v>
      </c>
      <c r="AD244" s="257">
        <f>IFERROR($G244*'Inputs Yr 2'!$Q244*'Inputs Yr 2'!$U244*(IF(IFERROR(SEARCH("Oil", 'Inputs Yr 2'!$AJ244), 0),'Inputs Yr 2'!$AK244,0)+IF(IFERROR(SEARCH("Oil", 'Inputs Yr 2'!$AL244), 0),'Inputs Yr 2'!$AM244,0)+IF(IFERROR(SEARCH("Oil", 'Inputs Yr 2'!$AN244), 0),'Inputs Yr 2'!$AO244,0)),0)</f>
        <v>0</v>
      </c>
      <c r="AE244" s="257">
        <f t="shared" si="118"/>
        <v>0</v>
      </c>
      <c r="AF244" s="257">
        <f>IFERROR(AD244*'Inputs Yr 2'!$P244,0)</f>
        <v>0</v>
      </c>
      <c r="AG244" s="257">
        <f t="shared" si="119"/>
        <v>0</v>
      </c>
      <c r="AH244" s="257">
        <f>IFERROR($G244*'Inputs Yr 2'!$Q244*'Inputs Yr 2'!$U244*(IF('Inputs Yr 2'!$AJ244=CD$4,'Inputs Yr 2'!$AK244,IF('Inputs Yr 2'!$AL244=CD$4,'Inputs Yr 2'!$AM244,IF('Inputs Yr 2'!$AN244=CD$4,'Inputs Yr 2'!$AO244,0)))),0)</f>
        <v>0</v>
      </c>
      <c r="AI244" s="257">
        <f t="shared" si="120"/>
        <v>0</v>
      </c>
      <c r="AJ244" s="257">
        <f>IFERROR(AH244*'Inputs Yr 2'!$P244,0)</f>
        <v>0</v>
      </c>
      <c r="AK244" s="257">
        <f t="shared" si="121"/>
        <v>0</v>
      </c>
      <c r="AL244" s="258">
        <f>IFERROR($G244*'Inputs Yr 2'!$P244*'Inputs Yr 2'!$Q244*'Inputs Yr 2'!AP244,0)</f>
        <v>0</v>
      </c>
      <c r="AM244" s="260">
        <f>IFERROR($G244*'Inputs Yr 2'!$P244*'Inputs Yr 2'!$Q244*'Inputs Yr 2'!AQ244,0)</f>
        <v>0</v>
      </c>
      <c r="AN244" s="258">
        <f>IFERROR($G244*'Inputs Yr 2'!$P244*'Inputs Yr 2'!$Q244*'Inputs Yr 2'!AR244,0)</f>
        <v>0</v>
      </c>
      <c r="AO244" s="257">
        <f t="shared" si="122"/>
        <v>0</v>
      </c>
      <c r="AP244" s="195">
        <f>IFERROR($CQ244*(INDEX(avoidedcosttbl2,$H244,AP$2)+(($H244-ROUNDDOWN($H244,0))*(INDEX(avoidedcosttbl2,ROUNDUP($H244,0),AP$2)-(INDEX(avoidedcosttbl2,ROUNDDOWN($H244,0),AP$2)))))*$O244*1000*'Inputs Yr 2'!AA244,"")</f>
        <v>0</v>
      </c>
      <c r="AQ244" s="195">
        <f>IFERROR($CR244*(INDEX(avoidedcosttbl2,$H244,AQ$2)+(($H244-ROUNDDOWN($H244,0))*(INDEX(avoidedcosttbl2,ROUNDUP($H244,0),AQ$2)-(INDEX(avoidedcosttbl2,ROUNDDOWN($H244,0),AQ$2)))))*$O244*1000*'Inputs Yr 2'!AB244,"")</f>
        <v>0</v>
      </c>
      <c r="AR244" s="195">
        <f>IFERROR($CS244*(INDEX(avoidedcosttbl2,$H244,AR$2)+(($H244-ROUNDDOWN($H244,0))*(INDEX(avoidedcosttbl2,ROUNDUP($H244,0),AR$2)-(INDEX(avoidedcosttbl2,ROUNDDOWN($H244,0),AR$2)))))*$O244*1000*'Inputs Yr 2'!AC244,"")</f>
        <v>0</v>
      </c>
      <c r="AS244" s="195">
        <f>IFERROR($CT244*(INDEX(avoidedcosttbl2,$H244,AS$2)+(($H244-ROUNDDOWN($H244,0))*(INDEX(avoidedcosttbl2,ROUNDUP($H244,0),AS$2)-(INDEX(avoidedcosttbl2,ROUNDDOWN($H244,0),AS$2)))))*$O244*1000*'Inputs Yr 2'!AD244,"")</f>
        <v>0</v>
      </c>
      <c r="AT244" s="196">
        <f t="shared" si="123"/>
        <v>0</v>
      </c>
      <c r="AU244" s="197">
        <f>IFERROR($CQ244*((INDEX(avoidedcosttbl2,$H244,AU$2))+(($H244-ROUNDDOWN($H244,0))*((INDEX(avoidedcosttbl2,ROUNDUP($H244,0),AU$2))-(INDEX(avoidedcosttbl2,ROUNDDOWN($H244,0),AU$2)))))*$O244*1000*'Inputs Yr 2'!AA244,"")</f>
        <v>0</v>
      </c>
      <c r="AV244" s="197">
        <f>IFERROR($CR244*((INDEX(avoidedcosttbl2,$H244,AV$2))+(($H244-ROUNDDOWN($H244,0))*((INDEX(avoidedcosttbl2,ROUNDUP($H244,0),AV$2))-(INDEX(avoidedcosttbl2,ROUNDDOWN($H244,0),AV$2)))))*$O244*1000*'Inputs Yr 2'!AB244,"")</f>
        <v>0</v>
      </c>
      <c r="AW244" s="197">
        <f>IFERROR($CS244*((INDEX(avoidedcosttbl2,$H244,AW$2))+(($H244-ROUNDDOWN($H244,0))*((INDEX(avoidedcosttbl2,ROUNDUP($H244,0),AW$2))-(INDEX(avoidedcosttbl2,ROUNDDOWN($H244,0),AW$2)))))*$O244*1000*'Inputs Yr 2'!AC244,"")</f>
        <v>0</v>
      </c>
      <c r="AX244" s="197">
        <f>IFERROR($CT244*((INDEX(avoidedcosttbl2,$H244,AX$2))+(($H244-ROUNDDOWN($H244,0))*((INDEX(avoidedcosttbl2,ROUNDUP($H244,0),AX$2))-(INDEX(avoidedcosttbl2,ROUNDDOWN($H244,0),AX$2)))))*$O244*1000*'Inputs Yr 2'!AD244,"")</f>
        <v>0</v>
      </c>
      <c r="AY244" s="197">
        <f>IFERROR(((INDEX(avoidedcosttbl2,$H244,AY$2))+(($H244-ROUNDDOWN($H244,0))*((INDEX(avoidedcosttbl2,ROUNDUP($H244,0),AY$2))-(INDEX(avoidedcosttbl2,ROUNDDOWN($H244,0),AY$2)))))*$O244*1000*('Inputs Yr 2'!AC244+'Inputs Yr 2'!AD244),"")</f>
        <v>0</v>
      </c>
      <c r="AZ244" s="197">
        <f>IFERROR(((INDEX(avoidedcosttbl2,$H244,AZ$2))+(($H244-ROUNDDOWN($H244,0))*((INDEX(avoidedcosttbl2,ROUNDUP($H244,0),AZ$2))-(INDEX(avoidedcosttbl2,ROUNDDOWN($H244,0),AZ$2)))))*$O244*1000*('Inputs Yr 2'!AA244+'Inputs Yr 2'!AB244),"")</f>
        <v>0</v>
      </c>
      <c r="BA244" s="198">
        <f t="shared" si="124"/>
        <v>0</v>
      </c>
      <c r="BB244" s="198">
        <f t="shared" si="125"/>
        <v>0</v>
      </c>
      <c r="BC244" s="195">
        <f t="shared" si="107"/>
        <v>0</v>
      </c>
      <c r="BD244" s="195">
        <f t="shared" si="108"/>
        <v>0</v>
      </c>
      <c r="BE244" s="195">
        <f t="shared" si="109"/>
        <v>0</v>
      </c>
      <c r="BF244" s="195">
        <f t="shared" si="110"/>
        <v>0</v>
      </c>
      <c r="BG244" s="195">
        <f t="shared" si="111"/>
        <v>0</v>
      </c>
      <c r="BH244" s="196">
        <f t="shared" si="126"/>
        <v>0</v>
      </c>
      <c r="BI244" s="196">
        <f t="shared" si="127"/>
        <v>0</v>
      </c>
      <c r="BJ244" s="195">
        <f>IFERROR($G244*(IF('Inputs Yr 2'!$AJ244=BJ$4,'Inputs Yr 2'!$AK244,IF('Inputs Yr 2'!$AL244=BJ$4,'Inputs Yr 2'!$AM244,IF('Inputs Yr 2'!$AN244=BJ$4,'Inputs Yr 2'!$AO244,0))))*(INDEX(avoidedcosttbl2,$H244,BJ$2)+(($H244-ROUNDDOWN($H244,0))*(INDEX(avoidedcosttbl2,ROUNDUP($H244,0),BJ$2)-(INDEX(avoidedcosttbl2,ROUNDDOWN($H244,0),BJ$2)))))*'Inputs Yr 2'!P244*'Inputs Yr 2'!Q244*'Inputs Yr 2'!U244,"")</f>
        <v>0</v>
      </c>
      <c r="BK244" s="195">
        <f>IFERROR($G244*(IF('Inputs Yr 2'!$AJ244=BK$4,'Inputs Yr 2'!$AK244,IF('Inputs Yr 2'!$AL244=BK$4,'Inputs Yr 2'!$AM244,IF('Inputs Yr 2'!$AN244=BK$4,'Inputs Yr 2'!$AO244,0))))*(INDEX(avoidedcosttbl2,$H244,BK$2)+(($H244-ROUNDDOWN($H244,0))*(INDEX(avoidedcosttbl2,ROUNDUP($H244,0),BK$2)-(INDEX(avoidedcosttbl2,ROUNDDOWN($H244,0),BK$2)))))*'Inputs Yr 2'!P244*'Inputs Yr 2'!Q244*'Inputs Yr 2'!U244,"")</f>
        <v>0</v>
      </c>
      <c r="BL244" s="195">
        <f>IFERROR($G244*(IF('Inputs Yr 2'!$AJ244=BL$4,'Inputs Yr 2'!$AK244,IF('Inputs Yr 2'!$AL244=BL$4,'Inputs Yr 2'!$AM244,IF('Inputs Yr 2'!$AN244=BL$4,'Inputs Yr 2'!$AO244,0))))*(INDEX(avoidedcosttbl2,$H244,BL$2)+(($H244-ROUNDDOWN($H244,0))*(INDEX(avoidedcosttbl2,ROUNDUP($H244,0),BL$2)-(INDEX(avoidedcosttbl2,ROUNDDOWN($H244,0),BL$2)))))*'Inputs Yr 2'!P244*'Inputs Yr 2'!Q244*'Inputs Yr 2'!U244,"")</f>
        <v>0</v>
      </c>
      <c r="BM244" s="195">
        <f>IFERROR($G244*(IF('Inputs Yr 2'!$AJ244=BM$4,'Inputs Yr 2'!$AK244,IF('Inputs Yr 2'!$AL244=BM$4,'Inputs Yr 2'!$AM244,IF('Inputs Yr 2'!$AN244=BM$4,'Inputs Yr 2'!$AO244,0))))*(INDEX(avoidedcosttbl2,$H244,BM$2)+(($H244-ROUNDDOWN($H244,0))*(INDEX(avoidedcosttbl2,ROUNDUP($H244,0),BM$2)-(INDEX(avoidedcosttbl2,ROUNDDOWN($H244,0),BM$2)))))*'Inputs Yr 2'!P244*'Inputs Yr 2'!Q244*'Inputs Yr 2'!U244,"")</f>
        <v>0</v>
      </c>
      <c r="BN244" s="195">
        <f>IFERROR($G244*(IF('Inputs Yr 2'!$AJ244=BN$4,'Inputs Yr 2'!$AK244,IF('Inputs Yr 2'!$AL244=BN$4,'Inputs Yr 2'!$AM244,IF('Inputs Yr 2'!$AN244=BN$4,'Inputs Yr 2'!$AO244,0))))*(INDEX(avoidedcosttbl2,$H244,BN$2)+(($H244-ROUNDDOWN($H244,0))*(INDEX(avoidedcosttbl2,ROUNDUP($H244,0),BN$2)-(INDEX(avoidedcosttbl2,ROUNDDOWN($H244,0),BN$2)))))*'Inputs Yr 2'!P244*'Inputs Yr 2'!Q244*'Inputs Yr 2'!U244,"")</f>
        <v>0</v>
      </c>
      <c r="BO244" s="195">
        <f>IFERROR($G244*(IF('Inputs Yr 2'!$AJ244=BO$4,'Inputs Yr 2'!$AK244,IF('Inputs Yr 2'!$AL244=BO$4,'Inputs Yr 2'!$AM244,IF('Inputs Yr 2'!$AN244=BO$4,'Inputs Yr 2'!$AO244,0))))*(INDEX(avoidedcosttbl2,$H244,BO$2)+(($H244-ROUNDDOWN($H244,0))*(INDEX(avoidedcosttbl2,ROUNDUP($H244,0),BO$2)-(INDEX(avoidedcosttbl2,ROUNDDOWN($H244,0),BO$2)))))*'Inputs Yr 2'!P244*'Inputs Yr 2'!Q244*'Inputs Yr 2'!U244,"")</f>
        <v>56040.004337114253</v>
      </c>
      <c r="BP244" s="195">
        <f>IFERROR($G244*(IF('Inputs Yr 2'!$AJ244=BP$4,'Inputs Yr 2'!$AK244,IF('Inputs Yr 2'!$AL244=BP$4,'Inputs Yr 2'!$AM244,IF('Inputs Yr 2'!$AN244=BP$4,'Inputs Yr 2'!$AO244,0))))*(INDEX(avoidedcosttbl2,$H244,BP$2)+(($H244-ROUNDDOWN($H244,0))*(INDEX(avoidedcosttbl2,ROUNDUP($H244,0),BP$2)-(INDEX(avoidedcosttbl2,ROUNDDOWN($H244,0),BP$2)))))*'Inputs Yr 2'!P244*'Inputs Yr 2'!Q244*'Inputs Yr 2'!U244,"")</f>
        <v>0</v>
      </c>
      <c r="BQ244" s="230">
        <f t="shared" si="128"/>
        <v>56040.004337114253</v>
      </c>
      <c r="BR244" s="197">
        <f t="shared" si="112"/>
        <v>934.35554792974381</v>
      </c>
      <c r="BS244" s="197">
        <f>IFERROR(($G244*IF('Inputs Yr 2'!$AJ244=BM$4,'Inputs Yr 2'!$AK244,IF('Inputs Yr 2'!$AL244=BM$4,'Inputs Yr 2'!$AM244,IF('Inputs Yr 2'!$AN244=BM$4,'Inputs Yr 2'!$AO244,0))))*(INDEX(avoidedcosttbl2,$H244,BS$2)+(($H244-ROUNDDOWN($H244,0))*(INDEX(avoidedcosttbl2,ROUNDUP($H244,0),BS$2)-(INDEX(avoidedcosttbl2,ROUNDDOWN($H244,0),BS$2)))))*'Inputs Yr 2'!P244*'Inputs Yr 2'!Q244*'Inputs Yr 2'!U244,"")</f>
        <v>0</v>
      </c>
      <c r="BT244" s="197">
        <f>IFERROR(($G244*IF('Inputs Yr 2'!$AJ244=BK$4,'Inputs Yr 2'!$AK244,IF('Inputs Yr 2'!$AL244=BK$4,'Inputs Yr 2'!$AM244,IF('Inputs Yr 2'!$AN244=BK$4,'Inputs Yr 2'!$AO244,0))))*(INDEX(avoidedcosttbl2,$H244,BT$2)+(($H244-ROUNDDOWN($H244,0))*(INDEX(avoidedcosttbl2,ROUNDUP($H244,0),BT$2)-(INDEX(avoidedcosttbl2,ROUNDDOWN($H244,0),BT$2)))))*'Inputs Yr 2'!P244*'Inputs Yr 2'!Q244*'Inputs Yr 2'!U244,"")</f>
        <v>0</v>
      </c>
      <c r="BU244" s="197">
        <f>IFERROR(($G244*IF('Inputs Yr 2'!$AJ244=BL$4,'Inputs Yr 2'!$AK244,IF('Inputs Yr 2'!$AL244=BL$4,'Inputs Yr 2'!$AM244,IF('Inputs Yr 2'!$AN244=BL$4,'Inputs Yr 2'!$AO244,0))))*(INDEX(avoidedcosttbl2,$H244,BU$2)+(($H244-ROUNDDOWN($H244,0))*(INDEX(avoidedcosttbl2,ROUNDUP($H244,0),BU$2)-(INDEX(avoidedcosttbl2,ROUNDDOWN($H244,0),BU$2)))))*'Inputs Yr 2'!P244*'Inputs Yr 2'!Q244*'Inputs Yr 2'!U244,"")</f>
        <v>0</v>
      </c>
      <c r="BV244" s="775">
        <f>IFERROR(($G244*IF('Inputs Yr 2'!$AJ244=BJ$4,'Inputs Yr 2'!$AK244,IF('Inputs Yr 2'!$AL244=BJ$4,'Inputs Yr 2'!$AM244,IF('Inputs Yr 2'!$AN244=BJ$4,'Inputs Yr 2'!$AO244,0))))*(INDEX(avoidedcosttbl2,$H244,BV$2)+(($H244-ROUNDDOWN($H244,0))*(INDEX(avoidedcosttbl2,ROUNDUP($H244,0),BV$2)-(INDEX(avoidedcosttbl2,ROUNDDOWN($H244,0),BV$2)))))*'Inputs Yr 2'!P244*'Inputs Yr 2'!Q244*'Inputs Yr 2'!U244,"")</f>
        <v>0</v>
      </c>
      <c r="BW244" s="197">
        <f>IFERROR(($G244*IF('Inputs Yr 2'!$AJ244=BN$4,'Inputs Yr 2'!$AK244,IF('Inputs Yr 2'!$AL244=BN$4,'Inputs Yr 2'!$AM244,IF('Inputs Yr 2'!$AN244=BN$4,'Inputs Yr 2'!$AO244,0))))*(INDEX(avoidedcosttbl2,$H244,BW$2)+(($H244-ROUNDDOWN($H244,0))*(INDEX(avoidedcosttbl2,ROUNDUP($H244,0),BW$2)-(INDEX(avoidedcosttbl2,ROUNDDOWN($H244,0),BW$2)))))*'Inputs Yr 2'!P244*'Inputs Yr 2'!Q244*'Inputs Yr 2'!U244,"")</f>
        <v>0</v>
      </c>
      <c r="BX244" s="197">
        <f>IFERROR(($G244*IF('Inputs Yr 2'!$AJ244=BO$4,'Inputs Yr 2'!$AK244,IF('Inputs Yr 2'!$AL244=BO$4,'Inputs Yr 2'!$AM244,IF('Inputs Yr 2'!$AN244=BO$4,'Inputs Yr 2'!$AO244,0))))*(INDEX(avoidedcosttbl2,$H244,BX$2)+(($H244-ROUNDDOWN($H244,0))*(INDEX(avoidedcosttbl2,ROUNDUP($H244,0),BX$2)-(INDEX(avoidedcosttbl2,ROUNDDOWN($H244,0),BX$2)))))*'Inputs Yr 2'!P244*'Inputs Yr 2'!Q244*'Inputs Yr 2'!U244,"")</f>
        <v>3060.8408904307412</v>
      </c>
      <c r="BY244" s="197">
        <f>IFERROR(($G244*IF('Inputs Yr 2'!$AJ244=BP$4,'Inputs Yr 2'!$AK244,IF('Inputs Yr 2'!$AL244=BP$4,'Inputs Yr 2'!$AM244,IF('Inputs Yr 2'!$AN244=BP$4,'Inputs Yr 2'!$AO244,0))))*(INDEX(avoidedcosttbl2,$H244,BY$2)+(($H244-ROUNDDOWN($H244,0))*(INDEX(avoidedcosttbl2,ROUNDUP($H244,0),BY$2)-(INDEX(avoidedcosttbl2,ROUNDDOWN($H244,0),BY$2)))))*'Inputs Yr 2'!P244*'Inputs Yr 2'!Q244*'Inputs Yr 2'!U244,"")</f>
        <v>0</v>
      </c>
      <c r="BZ244" s="193">
        <f t="shared" si="129"/>
        <v>3995.196438360485</v>
      </c>
      <c r="CA244" s="193">
        <f t="shared" si="130"/>
        <v>60035.200775474739</v>
      </c>
      <c r="CB244" s="195">
        <f>IFERROR(G244*(IF('Inputs Yr 2'!$AJ244=CB$4,'Inputs Yr 2'!$AK244,IF('Inputs Yr 2'!$AL244=CB$4,'Inputs Yr 2'!$AM244,IF('Inputs Yr 2'!$AN244=CB$4,'Inputs Yr 2'!$AO244,0))))*(INDEX(avoidedcosttbl2,$H244,CB$2)+(($H244-ROUNDDOWN($H244,0))*(INDEX(avoidedcosttbl2,ROUNDUP($H244,0),CB$2)-(INDEX(avoidedcosttbl2,ROUNDDOWN($H244,0),CB$2)))))*'Inputs Yr 2'!P244*'Inputs Yr 2'!Q244*'Inputs Yr 2'!U244,"")</f>
        <v>0</v>
      </c>
      <c r="CC244" s="195">
        <f>IFERROR(H244*(IF('Inputs Yr 2'!$AJ244=CC$4,'Inputs Yr 2'!$AK244,IF('Inputs Yr 2'!$AL244=CC$4,'Inputs Yr 2'!$AM244,IF('Inputs Yr 2'!$AN244=CC$4,'Inputs Yr 2'!$AO244,0))))*(INDEX(avoidedcosttbl2,$H244,CC$2)+(($H244-ROUNDDOWN($H244,0))*(INDEX(avoidedcosttbl2,ROUNDUP($H244,0),CC$2)-(INDEX(avoidedcosttbl2,ROUNDDOWN($H244,0),CC$2)))))*'Inputs Yr 2'!Q244*'Inputs Yr 2'!R244*'Inputs Yr 2'!V244,"")</f>
        <v>0</v>
      </c>
      <c r="CD244" s="195">
        <f>IFERROR(I244*(IF('Inputs Yr 2'!$AJ244=CD$4,'Inputs Yr 2'!$AK244,IF('Inputs Yr 2'!$AL244=CD$4,'Inputs Yr 2'!$AM244,IF('Inputs Yr 2'!$AN244=CD$4,'Inputs Yr 2'!$AO244,0))))*(INDEX(avoidedcosttbl2,$H244,CD$2)+(($H244-ROUNDDOWN($H244,0))*(INDEX(avoidedcosttbl2,ROUNDUP($H244,0),CD$2)-(INDEX(avoidedcosttbl2,ROUNDDOWN($H244,0),CD$2)))))*'Inputs Yr 2'!R244*'Inputs Yr 2'!S244*'Inputs Yr 2'!W244,"")</f>
        <v>0</v>
      </c>
      <c r="CE244" s="213">
        <f t="shared" si="131"/>
        <v>0</v>
      </c>
      <c r="CF244" s="213">
        <f t="shared" si="132"/>
        <v>0</v>
      </c>
      <c r="CG244" s="213">
        <f t="shared" si="133"/>
        <v>0</v>
      </c>
      <c r="CH244" s="698">
        <f t="shared" si="134"/>
        <v>60035.200775474739</v>
      </c>
      <c r="CI244" s="79">
        <f>IFERROR(($G244*'Inputs Yr 2'!$P244*'Inputs Yr 2'!$Q244*(((INDEX(avoidedcosttbl2,$H244,CI$2)+(($H244-ROUNDDOWN($H244,0))*(INDEX(avoidedcosttbl2,ROUNDUP($H244,0),CI$2)-INDEX(avoidedcosttbl2,ROUNDDOWN($H244,0),CI$2))))*'Inputs Yr 2'!AS244))),"")</f>
        <v>0</v>
      </c>
      <c r="CJ244" s="504">
        <f>IFERROR($G244*'Inputs Yr 2'!AT244*'Inputs Yr 2'!$P244*'Inputs Yr 2'!$Q244/((1+realdiscrt1)^-0.5),"")</f>
        <v>0</v>
      </c>
      <c r="CK244" s="79">
        <f>IFERROR((O244*1000*(((INDEX(avoidedcosttbl2,$H244,CK$2)+(($H244-ROUNDDOWN($H244,0))*(INDEX(avoidedcosttbl2,ROUNDUP($H244,0),CK$2)-INDEX(avoidedcosttbl2,ROUNDDOWN($H244,0),CK$2))))*'Inputs Yr 2'!AU244))),"")</f>
        <v>0</v>
      </c>
      <c r="CL244" s="504">
        <f>IFERROR(O244*1000*'Inputs Yr 2'!AV244/((1+realdiscrt1)^-0.5),"")</f>
        <v>0</v>
      </c>
      <c r="CM244" s="79">
        <f>IFERROR((AB244*'Inputs Yr 2'!AW244*(((INDEX(avoidedcosttbl2,$H244,CM$2)+(($H244-ROUNDDOWN($H244,0))*(INDEX(avoidedcosttbl2,ROUNDUP($H244,0),CM$2)-INDEX(avoidedcosttbl2,ROUNDDOWN($H244,0),CM$2)))))))*10,"")</f>
        <v>16678.478894581844</v>
      </c>
      <c r="CN244" s="504">
        <f>IFERROR(10*AB244*'Inputs Yr 2'!AX244/((1+realdiscrt1)^-0.5),"")</f>
        <v>0</v>
      </c>
      <c r="CO244" s="505">
        <f t="shared" si="135"/>
        <v>16678.478894581844</v>
      </c>
      <c r="CP244" s="230">
        <f t="shared" si="136"/>
        <v>76713.67967005659</v>
      </c>
      <c r="CQ244" s="199">
        <f>ROUND(IFERROR(IF(LEFT($A244,1)="C",'Avoided Costs'!$K$13,'Avoided Costs'!$K$12)+1,""),4)</f>
        <v>1.0720000000000001</v>
      </c>
      <c r="CR244" s="199">
        <f>ROUND(IFERROR(IF(LEFT($A244,1)="C",'Avoided Costs'!$L$13,'Avoided Costs'!$L$12)+1,""),4)</f>
        <v>1.04</v>
      </c>
      <c r="CS244" s="199">
        <f>ROUND(IFERROR(IF(LEFT($A244,1)="C",'Avoided Costs'!$M$13,'Avoided Costs'!$M$12)+1,""),4)</f>
        <v>1.0720000000000001</v>
      </c>
      <c r="CT244" s="199">
        <f>ROUND(IFERROR(IF(LEFT($A244,1)="C",'Avoided Costs'!$N$13,'Avoided Costs'!$N$12)+1,""),4)</f>
        <v>1.04</v>
      </c>
      <c r="CU244" s="199">
        <f>ROUND(IFERROR(IF(LEFT($A244,1)="C",'Avoided Costs'!$O$13,'Avoided Costs'!$O$12)+1,""),4)</f>
        <v>1.1120000000000001</v>
      </c>
      <c r="CV244" s="199">
        <f>ROUND(IFERROR(IF(LEFT($A244,1)="C",'Avoided Costs'!$P$13,'Avoided Costs'!$P$12)+1,""),4)</f>
        <v>1.095</v>
      </c>
      <c r="CW244" s="199">
        <f>ROUND(IFERROR(IF(LEFT($A244,1)="C",'Avoided Costs'!$Q$13,'Avoided Costs'!$Q$12)+1,""),4)</f>
        <v>1.1120000000000001</v>
      </c>
      <c r="CX244" s="200">
        <f>ROUND(IFERROR(IF(LEFT($A244,1)="C",'Avoided Costs'!$R$13,'Avoided Costs'!$R$12)+1,""),4)</f>
        <v>1.1120000000000001</v>
      </c>
    </row>
    <row r="245" spans="1:102" ht="12.75" customHeight="1">
      <c r="A245" s="91" t="str">
        <f>IF('Inputs Yr 2'!$B245=0,"",'Inputs Yr 2'!A245)</f>
        <v>C - Commercial &amp; Industrial</v>
      </c>
      <c r="B245" s="91" t="str">
        <f>IF('Inputs Yr 2'!$B245=0,"",'Inputs Yr 2'!B245)</f>
        <v>C2 - C&amp;I Retrofit</v>
      </c>
      <c r="C245" s="91" t="str">
        <f>IF('Inputs Yr 2'!$B245=0,"",'Inputs Yr 2'!C245)</f>
        <v>C2a - C&amp;I Existing Building Retrofit</v>
      </c>
      <c r="D245" s="91" t="str">
        <f>IF('Inputs Yr 2'!$B245=0,"",'Inputs Yr 2'!E245)</f>
        <v>Building Shell - Custom 25</v>
      </c>
      <c r="E245" s="93" t="str">
        <f>IF('Inputs Yr 2'!$B245=0,"",'Inputs Yr 2'!F245)</f>
        <v>G16C2a01</v>
      </c>
      <c r="F245" s="93" t="str">
        <f>IF('Inputs Yr 2'!$B245=0,"",'Inputs Yr 2'!G245)</f>
        <v>Custom Measures</v>
      </c>
      <c r="G245" s="95">
        <f>IF('Inputs Yr 2'!$H245&lt;&gt;0,('Inputs Yr 2'!H245),"")</f>
        <v>1</v>
      </c>
      <c r="H245" s="94">
        <f>IFERROR('Inputs Yr 2'!I245,"")</f>
        <v>25</v>
      </c>
      <c r="I245" s="298">
        <f>IFERROR('Inputs Yr 2'!J245*'Inputs Yr 2'!P245*G245,"")</f>
        <v>13276.793</v>
      </c>
      <c r="J245" s="298">
        <f>IFERROR('Inputs Yr 2'!K245*G245,"")</f>
        <v>7223.5</v>
      </c>
      <c r="K245" s="298">
        <f t="shared" si="113"/>
        <v>6053.2929999999997</v>
      </c>
      <c r="L245" s="194">
        <f>IFERROR(('Inputs Yr 2'!W245*G245)/1000,"")</f>
        <v>0</v>
      </c>
      <c r="M245" s="194">
        <f>IFERROR(L245*('Inputs Yr 2'!$Q245*'Inputs Yr 2'!$V245*'Inputs Yr 2'!$R245),"")</f>
        <v>0</v>
      </c>
      <c r="N245" s="194">
        <f t="shared" si="114"/>
        <v>0</v>
      </c>
      <c r="O245" s="194">
        <f>IFERROR(M245*'Inputs Yr 2'!P245,"")</f>
        <v>0</v>
      </c>
      <c r="P245" s="194">
        <f t="shared" si="115"/>
        <v>0</v>
      </c>
      <c r="Q245" s="194">
        <f>IFERROR($P245*'Inputs Yr 2'!AA245,"")</f>
        <v>0</v>
      </c>
      <c r="R245" s="194">
        <f>IFERROR($P245*'Inputs Yr 2'!AB245,"")</f>
        <v>0</v>
      </c>
      <c r="S245" s="194">
        <f>IFERROR($P245*'Inputs Yr 2'!AC245,"")</f>
        <v>0</v>
      </c>
      <c r="T245" s="194">
        <f>IFERROR($P245*'Inputs Yr 2'!AD245,"")</f>
        <v>0</v>
      </c>
      <c r="U245" s="194">
        <f>IFERROR(G245*'Inputs Yr 2'!$AE245*'Inputs Yr 2'!$P245*'Inputs Yr 2'!$Q245,"")</f>
        <v>0</v>
      </c>
      <c r="V245" s="194">
        <f>IFERROR($G245*'Inputs Yr 2'!$AE245*'Inputs Yr 2'!$AG245*'Inputs Yr 2'!Q245*'Inputs Yr 2'!$S245,"")</f>
        <v>0</v>
      </c>
      <c r="W245" s="194">
        <f>IFERROR($G245*'Inputs Yr 2'!$AE245*'Inputs Yr 2'!$AG245*'Inputs Yr 2'!P245*'Inputs Yr 2'!Q245*'Inputs Yr 2'!$S245,"")</f>
        <v>0</v>
      </c>
      <c r="X245" s="194">
        <f>IFERROR($G245*'Inputs Yr 2'!$AE245*'Inputs Yr 2'!$AF245*'Inputs Yr 2'!Q245*'Inputs Yr 2'!$T245,"")</f>
        <v>0</v>
      </c>
      <c r="Y245" s="194">
        <f>IFERROR($G245*'Inputs Yr 2'!$AE245*'Inputs Yr 2'!$AF245*'Inputs Yr 2'!P245*'Inputs Yr 2'!Q245*'Inputs Yr 2'!$T245,"")</f>
        <v>0</v>
      </c>
      <c r="Z245" s="257">
        <f>IFERROR($G245*'Inputs Yr 2'!$Q245*'Inputs Yr 2'!$U245*(IF(IFERROR(SEARCH("NG", 'Inputs Yr 2'!$AJ245),0),'Inputs Yr 2'!$AK245,0)+IF(IFERROR(SEARCH("NG", 'Inputs Yr 2'!$AL245),0),'Inputs Yr 2'!$AM245,0)+IF(IFERROR(SEARCH("NG", 'Inputs Yr 2'!$AN245),0),'Inputs Yr 2'!$AO245,0)),0)</f>
        <v>379.52879999999999</v>
      </c>
      <c r="AA245" s="257">
        <f t="shared" si="116"/>
        <v>9488.2199999999993</v>
      </c>
      <c r="AB245" s="257">
        <f>IFERROR(Z245*'Inputs Yr 2'!$P245,0)</f>
        <v>348.78696719999999</v>
      </c>
      <c r="AC245" s="257">
        <f t="shared" si="117"/>
        <v>8719.67418</v>
      </c>
      <c r="AD245" s="257">
        <f>IFERROR($G245*'Inputs Yr 2'!$Q245*'Inputs Yr 2'!$U245*(IF(IFERROR(SEARCH("Oil", 'Inputs Yr 2'!$AJ245), 0),'Inputs Yr 2'!$AK245,0)+IF(IFERROR(SEARCH("Oil", 'Inputs Yr 2'!$AL245), 0),'Inputs Yr 2'!$AM245,0)+IF(IFERROR(SEARCH("Oil", 'Inputs Yr 2'!$AN245), 0),'Inputs Yr 2'!$AO245,0)),0)</f>
        <v>0</v>
      </c>
      <c r="AE245" s="257">
        <f t="shared" si="118"/>
        <v>0</v>
      </c>
      <c r="AF245" s="257">
        <f>IFERROR(AD245*'Inputs Yr 2'!$P245,0)</f>
        <v>0</v>
      </c>
      <c r="AG245" s="257">
        <f t="shared" si="119"/>
        <v>0</v>
      </c>
      <c r="AH245" s="257">
        <f>IFERROR($G245*'Inputs Yr 2'!$Q245*'Inputs Yr 2'!$U245*(IF('Inputs Yr 2'!$AJ245=CD$4,'Inputs Yr 2'!$AK245,IF('Inputs Yr 2'!$AL245=CD$4,'Inputs Yr 2'!$AM245,IF('Inputs Yr 2'!$AN245=CD$4,'Inputs Yr 2'!$AO245,0)))),0)</f>
        <v>0</v>
      </c>
      <c r="AI245" s="257">
        <f t="shared" si="120"/>
        <v>0</v>
      </c>
      <c r="AJ245" s="257">
        <f>IFERROR(AH245*'Inputs Yr 2'!$P245,0)</f>
        <v>0</v>
      </c>
      <c r="AK245" s="257">
        <f t="shared" si="121"/>
        <v>0</v>
      </c>
      <c r="AL245" s="258">
        <f>IFERROR($G245*'Inputs Yr 2'!$P245*'Inputs Yr 2'!$Q245*'Inputs Yr 2'!AP245,0)</f>
        <v>0</v>
      </c>
      <c r="AM245" s="260">
        <f>IFERROR($G245*'Inputs Yr 2'!$P245*'Inputs Yr 2'!$Q245*'Inputs Yr 2'!AQ245,0)</f>
        <v>0</v>
      </c>
      <c r="AN245" s="258">
        <f>IFERROR($G245*'Inputs Yr 2'!$P245*'Inputs Yr 2'!$Q245*'Inputs Yr 2'!AR245,0)</f>
        <v>0</v>
      </c>
      <c r="AO245" s="257">
        <f t="shared" si="122"/>
        <v>0</v>
      </c>
      <c r="AP245" s="195">
        <f>IFERROR($CQ245*(INDEX(avoidedcosttbl2,$H245,AP$2)+(($H245-ROUNDDOWN($H245,0))*(INDEX(avoidedcosttbl2,ROUNDUP($H245,0),AP$2)-(INDEX(avoidedcosttbl2,ROUNDDOWN($H245,0),AP$2)))))*$O245*1000*'Inputs Yr 2'!AA245,"")</f>
        <v>0</v>
      </c>
      <c r="AQ245" s="195">
        <f>IFERROR($CR245*(INDEX(avoidedcosttbl2,$H245,AQ$2)+(($H245-ROUNDDOWN($H245,0))*(INDEX(avoidedcosttbl2,ROUNDUP($H245,0),AQ$2)-(INDEX(avoidedcosttbl2,ROUNDDOWN($H245,0),AQ$2)))))*$O245*1000*'Inputs Yr 2'!AB245,"")</f>
        <v>0</v>
      </c>
      <c r="AR245" s="195">
        <f>IFERROR($CS245*(INDEX(avoidedcosttbl2,$H245,AR$2)+(($H245-ROUNDDOWN($H245,0))*(INDEX(avoidedcosttbl2,ROUNDUP($H245,0),AR$2)-(INDEX(avoidedcosttbl2,ROUNDDOWN($H245,0),AR$2)))))*$O245*1000*'Inputs Yr 2'!AC245,"")</f>
        <v>0</v>
      </c>
      <c r="AS245" s="195">
        <f>IFERROR($CT245*(INDEX(avoidedcosttbl2,$H245,AS$2)+(($H245-ROUNDDOWN($H245,0))*(INDEX(avoidedcosttbl2,ROUNDUP($H245,0),AS$2)-(INDEX(avoidedcosttbl2,ROUNDDOWN($H245,0),AS$2)))))*$O245*1000*'Inputs Yr 2'!AD245,"")</f>
        <v>0</v>
      </c>
      <c r="AT245" s="196">
        <f t="shared" si="123"/>
        <v>0</v>
      </c>
      <c r="AU245" s="197">
        <f>IFERROR($CQ245*((INDEX(avoidedcosttbl2,$H245,AU$2))+(($H245-ROUNDDOWN($H245,0))*((INDEX(avoidedcosttbl2,ROUNDUP($H245,0),AU$2))-(INDEX(avoidedcosttbl2,ROUNDDOWN($H245,0),AU$2)))))*$O245*1000*'Inputs Yr 2'!AA245,"")</f>
        <v>0</v>
      </c>
      <c r="AV245" s="197">
        <f>IFERROR($CR245*((INDEX(avoidedcosttbl2,$H245,AV$2))+(($H245-ROUNDDOWN($H245,0))*((INDEX(avoidedcosttbl2,ROUNDUP($H245,0),AV$2))-(INDEX(avoidedcosttbl2,ROUNDDOWN($H245,0),AV$2)))))*$O245*1000*'Inputs Yr 2'!AB245,"")</f>
        <v>0</v>
      </c>
      <c r="AW245" s="197">
        <f>IFERROR($CS245*((INDEX(avoidedcosttbl2,$H245,AW$2))+(($H245-ROUNDDOWN($H245,0))*((INDEX(avoidedcosttbl2,ROUNDUP($H245,0),AW$2))-(INDEX(avoidedcosttbl2,ROUNDDOWN($H245,0),AW$2)))))*$O245*1000*'Inputs Yr 2'!AC245,"")</f>
        <v>0</v>
      </c>
      <c r="AX245" s="197">
        <f>IFERROR($CT245*((INDEX(avoidedcosttbl2,$H245,AX$2))+(($H245-ROUNDDOWN($H245,0))*((INDEX(avoidedcosttbl2,ROUNDUP($H245,0),AX$2))-(INDEX(avoidedcosttbl2,ROUNDDOWN($H245,0),AX$2)))))*$O245*1000*'Inputs Yr 2'!AD245,"")</f>
        <v>0</v>
      </c>
      <c r="AY245" s="197">
        <f>IFERROR(((INDEX(avoidedcosttbl2,$H245,AY$2))+(($H245-ROUNDDOWN($H245,0))*((INDEX(avoidedcosttbl2,ROUNDUP($H245,0),AY$2))-(INDEX(avoidedcosttbl2,ROUNDDOWN($H245,0),AY$2)))))*$O245*1000*('Inputs Yr 2'!AC245+'Inputs Yr 2'!AD245),"")</f>
        <v>0</v>
      </c>
      <c r="AZ245" s="197">
        <f>IFERROR(((INDEX(avoidedcosttbl2,$H245,AZ$2))+(($H245-ROUNDDOWN($H245,0))*((INDEX(avoidedcosttbl2,ROUNDUP($H245,0),AZ$2))-(INDEX(avoidedcosttbl2,ROUNDDOWN($H245,0),AZ$2)))))*$O245*1000*('Inputs Yr 2'!AA245+'Inputs Yr 2'!AB245),"")</f>
        <v>0</v>
      </c>
      <c r="BA245" s="198">
        <f t="shared" si="124"/>
        <v>0</v>
      </c>
      <c r="BB245" s="198">
        <f t="shared" si="125"/>
        <v>0</v>
      </c>
      <c r="BC245" s="195">
        <f t="shared" si="107"/>
        <v>0</v>
      </c>
      <c r="BD245" s="195">
        <f t="shared" si="108"/>
        <v>0</v>
      </c>
      <c r="BE245" s="195">
        <f t="shared" si="109"/>
        <v>0</v>
      </c>
      <c r="BF245" s="195">
        <f t="shared" si="110"/>
        <v>0</v>
      </c>
      <c r="BG245" s="195">
        <f t="shared" si="111"/>
        <v>0</v>
      </c>
      <c r="BH245" s="196">
        <f t="shared" si="126"/>
        <v>0</v>
      </c>
      <c r="BI245" s="196">
        <f t="shared" si="127"/>
        <v>0</v>
      </c>
      <c r="BJ245" s="195">
        <f>IFERROR($G245*(IF('Inputs Yr 2'!$AJ245=BJ$4,'Inputs Yr 2'!$AK245,IF('Inputs Yr 2'!$AL245=BJ$4,'Inputs Yr 2'!$AM245,IF('Inputs Yr 2'!$AN245=BJ$4,'Inputs Yr 2'!$AO245,0))))*(INDEX(avoidedcosttbl2,$H245,BJ$2)+(($H245-ROUNDDOWN($H245,0))*(INDEX(avoidedcosttbl2,ROUNDUP($H245,0),BJ$2)-(INDEX(avoidedcosttbl2,ROUNDDOWN($H245,0),BJ$2)))))*'Inputs Yr 2'!P245*'Inputs Yr 2'!Q245*'Inputs Yr 2'!U245,"")</f>
        <v>0</v>
      </c>
      <c r="BK245" s="195">
        <f>IFERROR($G245*(IF('Inputs Yr 2'!$AJ245=BK$4,'Inputs Yr 2'!$AK245,IF('Inputs Yr 2'!$AL245=BK$4,'Inputs Yr 2'!$AM245,IF('Inputs Yr 2'!$AN245=BK$4,'Inputs Yr 2'!$AO245,0))))*(INDEX(avoidedcosttbl2,$H245,BK$2)+(($H245-ROUNDDOWN($H245,0))*(INDEX(avoidedcosttbl2,ROUNDUP($H245,0),BK$2)-(INDEX(avoidedcosttbl2,ROUNDDOWN($H245,0),BK$2)))))*'Inputs Yr 2'!P245*'Inputs Yr 2'!Q245*'Inputs Yr 2'!U245,"")</f>
        <v>0</v>
      </c>
      <c r="BL245" s="195">
        <f>IFERROR($G245*(IF('Inputs Yr 2'!$AJ245=BL$4,'Inputs Yr 2'!$AK245,IF('Inputs Yr 2'!$AL245=BL$4,'Inputs Yr 2'!$AM245,IF('Inputs Yr 2'!$AN245=BL$4,'Inputs Yr 2'!$AO245,0))))*(INDEX(avoidedcosttbl2,$H245,BL$2)+(($H245-ROUNDDOWN($H245,0))*(INDEX(avoidedcosttbl2,ROUNDUP($H245,0),BL$2)-(INDEX(avoidedcosttbl2,ROUNDDOWN($H245,0),BL$2)))))*'Inputs Yr 2'!P245*'Inputs Yr 2'!Q245*'Inputs Yr 2'!U245,"")</f>
        <v>0</v>
      </c>
      <c r="BM245" s="195">
        <f>IFERROR($G245*(IF('Inputs Yr 2'!$AJ245=BM$4,'Inputs Yr 2'!$AK245,IF('Inputs Yr 2'!$AL245=BM$4,'Inputs Yr 2'!$AM245,IF('Inputs Yr 2'!$AN245=BM$4,'Inputs Yr 2'!$AO245,0))))*(INDEX(avoidedcosttbl2,$H245,BM$2)+(($H245-ROUNDDOWN($H245,0))*(INDEX(avoidedcosttbl2,ROUNDUP($H245,0),BM$2)-(INDEX(avoidedcosttbl2,ROUNDDOWN($H245,0),BM$2)))))*'Inputs Yr 2'!P245*'Inputs Yr 2'!Q245*'Inputs Yr 2'!U245,"")</f>
        <v>0</v>
      </c>
      <c r="BN245" s="195">
        <f>IFERROR($G245*(IF('Inputs Yr 2'!$AJ245=BN$4,'Inputs Yr 2'!$AK245,IF('Inputs Yr 2'!$AL245=BN$4,'Inputs Yr 2'!$AM245,IF('Inputs Yr 2'!$AN245=BN$4,'Inputs Yr 2'!$AO245,0))))*(INDEX(avoidedcosttbl2,$H245,BN$2)+(($H245-ROUNDDOWN($H245,0))*(INDEX(avoidedcosttbl2,ROUNDUP($H245,0),BN$2)-(INDEX(avoidedcosttbl2,ROUNDDOWN($H245,0),BN$2)))))*'Inputs Yr 2'!P245*'Inputs Yr 2'!Q245*'Inputs Yr 2'!U245,"")</f>
        <v>0</v>
      </c>
      <c r="BO245" s="195">
        <f>IFERROR($G245*(IF('Inputs Yr 2'!$AJ245=BO$4,'Inputs Yr 2'!$AK245,IF('Inputs Yr 2'!$AL245=BO$4,'Inputs Yr 2'!$AM245,IF('Inputs Yr 2'!$AN245=BO$4,'Inputs Yr 2'!$AO245,0))))*(INDEX(avoidedcosttbl2,$H245,BO$2)+(($H245-ROUNDDOWN($H245,0))*(INDEX(avoidedcosttbl2,ROUNDUP($H245,0),BO$2)-(INDEX(avoidedcosttbl2,ROUNDDOWN($H245,0),BO$2)))))*'Inputs Yr 2'!P245*'Inputs Yr 2'!Q245*'Inputs Yr 2'!U245,"")</f>
        <v>72246.074105696069</v>
      </c>
      <c r="BP245" s="195">
        <f>IFERROR($G245*(IF('Inputs Yr 2'!$AJ245=BP$4,'Inputs Yr 2'!$AK245,IF('Inputs Yr 2'!$AL245=BP$4,'Inputs Yr 2'!$AM245,IF('Inputs Yr 2'!$AN245=BP$4,'Inputs Yr 2'!$AO245,0))))*(INDEX(avoidedcosttbl2,$H245,BP$2)+(($H245-ROUNDDOWN($H245,0))*(INDEX(avoidedcosttbl2,ROUNDUP($H245,0),BP$2)-(INDEX(avoidedcosttbl2,ROUNDDOWN($H245,0),BP$2)))))*'Inputs Yr 2'!P245*'Inputs Yr 2'!Q245*'Inputs Yr 2'!U245,"")</f>
        <v>0</v>
      </c>
      <c r="BQ245" s="230">
        <f t="shared" si="128"/>
        <v>72246.074105696069</v>
      </c>
      <c r="BR245" s="197">
        <f t="shared" si="112"/>
        <v>1156.5910333198231</v>
      </c>
      <c r="BS245" s="197">
        <f>IFERROR(($G245*IF('Inputs Yr 2'!$AJ245=BM$4,'Inputs Yr 2'!$AK245,IF('Inputs Yr 2'!$AL245=BM$4,'Inputs Yr 2'!$AM245,IF('Inputs Yr 2'!$AN245=BM$4,'Inputs Yr 2'!$AO245,0))))*(INDEX(avoidedcosttbl2,$H245,BS$2)+(($H245-ROUNDDOWN($H245,0))*(INDEX(avoidedcosttbl2,ROUNDUP($H245,0),BS$2)-(INDEX(avoidedcosttbl2,ROUNDDOWN($H245,0),BS$2)))))*'Inputs Yr 2'!P245*'Inputs Yr 2'!Q245*'Inputs Yr 2'!U245,"")</f>
        <v>0</v>
      </c>
      <c r="BT245" s="197">
        <f>IFERROR(($G245*IF('Inputs Yr 2'!$AJ245=BK$4,'Inputs Yr 2'!$AK245,IF('Inputs Yr 2'!$AL245=BK$4,'Inputs Yr 2'!$AM245,IF('Inputs Yr 2'!$AN245=BK$4,'Inputs Yr 2'!$AO245,0))))*(INDEX(avoidedcosttbl2,$H245,BT$2)+(($H245-ROUNDDOWN($H245,0))*(INDEX(avoidedcosttbl2,ROUNDUP($H245,0),BT$2)-(INDEX(avoidedcosttbl2,ROUNDDOWN($H245,0),BT$2)))))*'Inputs Yr 2'!P245*'Inputs Yr 2'!Q245*'Inputs Yr 2'!U245,"")</f>
        <v>0</v>
      </c>
      <c r="BU245" s="197">
        <f>IFERROR(($G245*IF('Inputs Yr 2'!$AJ245=BL$4,'Inputs Yr 2'!$AK245,IF('Inputs Yr 2'!$AL245=BL$4,'Inputs Yr 2'!$AM245,IF('Inputs Yr 2'!$AN245=BL$4,'Inputs Yr 2'!$AO245,0))))*(INDEX(avoidedcosttbl2,$H245,BU$2)+(($H245-ROUNDDOWN($H245,0))*(INDEX(avoidedcosttbl2,ROUNDUP($H245,0),BU$2)-(INDEX(avoidedcosttbl2,ROUNDDOWN($H245,0),BU$2)))))*'Inputs Yr 2'!P245*'Inputs Yr 2'!Q245*'Inputs Yr 2'!U245,"")</f>
        <v>0</v>
      </c>
      <c r="BV245" s="775">
        <f>IFERROR(($G245*IF('Inputs Yr 2'!$AJ245=BJ$4,'Inputs Yr 2'!$AK245,IF('Inputs Yr 2'!$AL245=BJ$4,'Inputs Yr 2'!$AM245,IF('Inputs Yr 2'!$AN245=BJ$4,'Inputs Yr 2'!$AO245,0))))*(INDEX(avoidedcosttbl2,$H245,BV$2)+(($H245-ROUNDDOWN($H245,0))*(INDEX(avoidedcosttbl2,ROUNDUP($H245,0),BV$2)-(INDEX(avoidedcosttbl2,ROUNDDOWN($H245,0),BV$2)))))*'Inputs Yr 2'!P245*'Inputs Yr 2'!Q245*'Inputs Yr 2'!U245,"")</f>
        <v>0</v>
      </c>
      <c r="BW245" s="197">
        <f>IFERROR(($G245*IF('Inputs Yr 2'!$AJ245=BN$4,'Inputs Yr 2'!$AK245,IF('Inputs Yr 2'!$AL245=BN$4,'Inputs Yr 2'!$AM245,IF('Inputs Yr 2'!$AN245=BN$4,'Inputs Yr 2'!$AO245,0))))*(INDEX(avoidedcosttbl2,$H245,BW$2)+(($H245-ROUNDDOWN($H245,0))*(INDEX(avoidedcosttbl2,ROUNDUP($H245,0),BW$2)-(INDEX(avoidedcosttbl2,ROUNDDOWN($H245,0),BW$2)))))*'Inputs Yr 2'!P245*'Inputs Yr 2'!Q245*'Inputs Yr 2'!U245,"")</f>
        <v>0</v>
      </c>
      <c r="BX245" s="197">
        <f>IFERROR(($G245*IF('Inputs Yr 2'!$AJ245=BO$4,'Inputs Yr 2'!$AK245,IF('Inputs Yr 2'!$AL245=BO$4,'Inputs Yr 2'!$AM245,IF('Inputs Yr 2'!$AN245=BO$4,'Inputs Yr 2'!$AO245,0))))*(INDEX(avoidedcosttbl2,$H245,BX$2)+(($H245-ROUNDDOWN($H245,0))*(INDEX(avoidedcosttbl2,ROUNDUP($H245,0),BX$2)-(INDEX(avoidedcosttbl2,ROUNDDOWN($H245,0),BX$2)))))*'Inputs Yr 2'!P245*'Inputs Yr 2'!Q245*'Inputs Yr 2'!U245,"")</f>
        <v>3248.2077251247265</v>
      </c>
      <c r="BY245" s="197">
        <f>IFERROR(($G245*IF('Inputs Yr 2'!$AJ245=BP$4,'Inputs Yr 2'!$AK245,IF('Inputs Yr 2'!$AL245=BP$4,'Inputs Yr 2'!$AM245,IF('Inputs Yr 2'!$AN245=BP$4,'Inputs Yr 2'!$AO245,0))))*(INDEX(avoidedcosttbl2,$H245,BY$2)+(($H245-ROUNDDOWN($H245,0))*(INDEX(avoidedcosttbl2,ROUNDUP($H245,0),BY$2)-(INDEX(avoidedcosttbl2,ROUNDDOWN($H245,0),BY$2)))))*'Inputs Yr 2'!P245*'Inputs Yr 2'!Q245*'Inputs Yr 2'!U245,"")</f>
        <v>0</v>
      </c>
      <c r="BZ245" s="193">
        <f t="shared" si="129"/>
        <v>4404.7987584445491</v>
      </c>
      <c r="CA245" s="193">
        <f t="shared" si="130"/>
        <v>76650.87286414062</v>
      </c>
      <c r="CB245" s="195">
        <f>IFERROR(G245*(IF('Inputs Yr 2'!$AJ245=CB$4,'Inputs Yr 2'!$AK245,IF('Inputs Yr 2'!$AL245=CB$4,'Inputs Yr 2'!$AM245,IF('Inputs Yr 2'!$AN245=CB$4,'Inputs Yr 2'!$AO245,0))))*(INDEX(avoidedcosttbl2,$H245,CB$2)+(($H245-ROUNDDOWN($H245,0))*(INDEX(avoidedcosttbl2,ROUNDUP($H245,0),CB$2)-(INDEX(avoidedcosttbl2,ROUNDDOWN($H245,0),CB$2)))))*'Inputs Yr 2'!P245*'Inputs Yr 2'!Q245*'Inputs Yr 2'!U245,"")</f>
        <v>0</v>
      </c>
      <c r="CC245" s="195">
        <f>IFERROR(H245*(IF('Inputs Yr 2'!$AJ245=CC$4,'Inputs Yr 2'!$AK245,IF('Inputs Yr 2'!$AL245=CC$4,'Inputs Yr 2'!$AM245,IF('Inputs Yr 2'!$AN245=CC$4,'Inputs Yr 2'!$AO245,0))))*(INDEX(avoidedcosttbl2,$H245,CC$2)+(($H245-ROUNDDOWN($H245,0))*(INDEX(avoidedcosttbl2,ROUNDUP($H245,0),CC$2)-(INDEX(avoidedcosttbl2,ROUNDDOWN($H245,0),CC$2)))))*'Inputs Yr 2'!Q245*'Inputs Yr 2'!R245*'Inputs Yr 2'!V245,"")</f>
        <v>0</v>
      </c>
      <c r="CD245" s="195">
        <f>IFERROR(I245*(IF('Inputs Yr 2'!$AJ245=CD$4,'Inputs Yr 2'!$AK245,IF('Inputs Yr 2'!$AL245=CD$4,'Inputs Yr 2'!$AM245,IF('Inputs Yr 2'!$AN245=CD$4,'Inputs Yr 2'!$AO245,0))))*(INDEX(avoidedcosttbl2,$H245,CD$2)+(($H245-ROUNDDOWN($H245,0))*(INDEX(avoidedcosttbl2,ROUNDUP($H245,0),CD$2)-(INDEX(avoidedcosttbl2,ROUNDDOWN($H245,0),CD$2)))))*'Inputs Yr 2'!R245*'Inputs Yr 2'!S245*'Inputs Yr 2'!W245,"")</f>
        <v>0</v>
      </c>
      <c r="CE245" s="213">
        <f t="shared" si="131"/>
        <v>0</v>
      </c>
      <c r="CF245" s="213">
        <f t="shared" si="132"/>
        <v>0</v>
      </c>
      <c r="CG245" s="213">
        <f t="shared" si="133"/>
        <v>0</v>
      </c>
      <c r="CH245" s="698">
        <f t="shared" si="134"/>
        <v>76650.87286414062</v>
      </c>
      <c r="CI245" s="79">
        <f>IFERROR(($G245*'Inputs Yr 2'!$P245*'Inputs Yr 2'!$Q245*(((INDEX(avoidedcosttbl2,$H245,CI$2)+(($H245-ROUNDDOWN($H245,0))*(INDEX(avoidedcosttbl2,ROUNDUP($H245,0),CI$2)-INDEX(avoidedcosttbl2,ROUNDDOWN($H245,0),CI$2))))*'Inputs Yr 2'!AS245))),"")</f>
        <v>0</v>
      </c>
      <c r="CJ245" s="504">
        <f>IFERROR($G245*'Inputs Yr 2'!AT245*'Inputs Yr 2'!$P245*'Inputs Yr 2'!$Q245/((1+realdiscrt1)^-0.5),"")</f>
        <v>0</v>
      </c>
      <c r="CK245" s="79">
        <f>IFERROR((O245*1000*(((INDEX(avoidedcosttbl2,$H245,CK$2)+(($H245-ROUNDDOWN($H245,0))*(INDEX(avoidedcosttbl2,ROUNDUP($H245,0),CK$2)-INDEX(avoidedcosttbl2,ROUNDDOWN($H245,0),CK$2))))*'Inputs Yr 2'!AU245))),"")</f>
        <v>0</v>
      </c>
      <c r="CL245" s="504">
        <f>IFERROR(O245*1000*'Inputs Yr 2'!AV245/((1+realdiscrt1)^-0.5),"")</f>
        <v>0</v>
      </c>
      <c r="CM245" s="79">
        <f>IFERROR((AB245*'Inputs Yr 2'!AW245*(((INDEX(avoidedcosttbl2,$H245,CM$2)+(($H245-ROUNDDOWN($H245,0))*(INDEX(avoidedcosttbl2,ROUNDUP($H245,0),CM$2)-INDEX(avoidedcosttbl2,ROUNDDOWN($H245,0),CM$2)))))))*10,"")</f>
        <v>20645.437576336568</v>
      </c>
      <c r="CN245" s="504">
        <f>IFERROR(10*AB245*'Inputs Yr 2'!AX245/((1+realdiscrt1)^-0.5),"")</f>
        <v>0</v>
      </c>
      <c r="CO245" s="505">
        <f t="shared" si="135"/>
        <v>20645.437576336568</v>
      </c>
      <c r="CP245" s="230">
        <f t="shared" si="136"/>
        <v>97296.310440477188</v>
      </c>
      <c r="CQ245" s="199">
        <f>ROUND(IFERROR(IF(LEFT($A245,1)="C",'Avoided Costs'!$K$13,'Avoided Costs'!$K$12)+1,""),4)</f>
        <v>1.0720000000000001</v>
      </c>
      <c r="CR245" s="199">
        <f>ROUND(IFERROR(IF(LEFT($A245,1)="C",'Avoided Costs'!$L$13,'Avoided Costs'!$L$12)+1,""),4)</f>
        <v>1.04</v>
      </c>
      <c r="CS245" s="199">
        <f>ROUND(IFERROR(IF(LEFT($A245,1)="C",'Avoided Costs'!$M$13,'Avoided Costs'!$M$12)+1,""),4)</f>
        <v>1.0720000000000001</v>
      </c>
      <c r="CT245" s="199">
        <f>ROUND(IFERROR(IF(LEFT($A245,1)="C",'Avoided Costs'!$N$13,'Avoided Costs'!$N$12)+1,""),4)</f>
        <v>1.04</v>
      </c>
      <c r="CU245" s="199">
        <f>ROUND(IFERROR(IF(LEFT($A245,1)="C",'Avoided Costs'!$O$13,'Avoided Costs'!$O$12)+1,""),4)</f>
        <v>1.1120000000000001</v>
      </c>
      <c r="CV245" s="199">
        <f>ROUND(IFERROR(IF(LEFT($A245,1)="C",'Avoided Costs'!$P$13,'Avoided Costs'!$P$12)+1,""),4)</f>
        <v>1.095</v>
      </c>
      <c r="CW245" s="199">
        <f>ROUND(IFERROR(IF(LEFT($A245,1)="C",'Avoided Costs'!$Q$13,'Avoided Costs'!$Q$12)+1,""),4)</f>
        <v>1.1120000000000001</v>
      </c>
      <c r="CX245" s="200">
        <f>ROUND(IFERROR(IF(LEFT($A245,1)="C",'Avoided Costs'!$R$13,'Avoided Costs'!$R$12)+1,""),4)</f>
        <v>1.1120000000000001</v>
      </c>
    </row>
    <row r="246" spans="1:102" ht="12.75" customHeight="1">
      <c r="A246" s="91" t="str">
        <f>IF('Inputs Yr 2'!$B246=0,"",'Inputs Yr 2'!A246)</f>
        <v>C - Commercial &amp; Industrial</v>
      </c>
      <c r="B246" s="91" t="str">
        <f>IF('Inputs Yr 2'!$B246=0,"",'Inputs Yr 2'!B246)</f>
        <v>C2 - C&amp;I Retrofit</v>
      </c>
      <c r="C246" s="91" t="str">
        <f>IF('Inputs Yr 2'!$B246=0,"",'Inputs Yr 2'!C246)</f>
        <v>C2a - C&amp;I Existing Building Retrofit</v>
      </c>
      <c r="D246" s="91" t="str">
        <f>IF('Inputs Yr 2'!$B246=0,"",'Inputs Yr 2'!E246)</f>
        <v>Food Services - Custom</v>
      </c>
      <c r="E246" s="93" t="str">
        <f>IF('Inputs Yr 2'!$B246=0,"",'Inputs Yr 2'!F246)</f>
        <v>G16C2a02</v>
      </c>
      <c r="F246" s="93" t="str">
        <f>IF('Inputs Yr 2'!$B246=0,"",'Inputs Yr 2'!G246)</f>
        <v>Food Service</v>
      </c>
      <c r="G246" s="95" t="str">
        <f>IF('Inputs Yr 2'!$H246&lt;&gt;0,('Inputs Yr 2'!H246),"")</f>
        <v/>
      </c>
      <c r="H246" s="94">
        <f>IFERROR('Inputs Yr 2'!I246,"")</f>
        <v>0</v>
      </c>
      <c r="I246" s="298" t="str">
        <f>IFERROR('Inputs Yr 2'!J246*'Inputs Yr 2'!P246*G246,"")</f>
        <v/>
      </c>
      <c r="J246" s="298" t="str">
        <f>IFERROR('Inputs Yr 2'!K246*G246,"")</f>
        <v/>
      </c>
      <c r="K246" s="298" t="str">
        <f t="shared" si="113"/>
        <v/>
      </c>
      <c r="L246" s="194" t="str">
        <f>IFERROR(('Inputs Yr 2'!W246*G246)/1000,"")</f>
        <v/>
      </c>
      <c r="M246" s="194" t="str">
        <f>IFERROR(L246*('Inputs Yr 2'!$Q246*'Inputs Yr 2'!$V246*'Inputs Yr 2'!$R246),"")</f>
        <v/>
      </c>
      <c r="N246" s="194" t="str">
        <f t="shared" si="114"/>
        <v/>
      </c>
      <c r="O246" s="194" t="str">
        <f>IFERROR(M246*'Inputs Yr 2'!P246,"")</f>
        <v/>
      </c>
      <c r="P246" s="194" t="str">
        <f t="shared" si="115"/>
        <v/>
      </c>
      <c r="Q246" s="194" t="str">
        <f>IFERROR($P246*'Inputs Yr 2'!AA246,"")</f>
        <v/>
      </c>
      <c r="R246" s="194" t="str">
        <f>IFERROR($P246*'Inputs Yr 2'!AB246,"")</f>
        <v/>
      </c>
      <c r="S246" s="194" t="str">
        <f>IFERROR($P246*'Inputs Yr 2'!AC246,"")</f>
        <v/>
      </c>
      <c r="T246" s="194" t="str">
        <f>IFERROR($P246*'Inputs Yr 2'!AD246,"")</f>
        <v/>
      </c>
      <c r="U246" s="194" t="str">
        <f>IFERROR(G246*'Inputs Yr 2'!$AE246*'Inputs Yr 2'!$P246*'Inputs Yr 2'!$Q246,"")</f>
        <v/>
      </c>
      <c r="V246" s="194" t="str">
        <f>IFERROR($G246*'Inputs Yr 2'!$AE246*'Inputs Yr 2'!$AG246*'Inputs Yr 2'!Q246*'Inputs Yr 2'!$S246,"")</f>
        <v/>
      </c>
      <c r="W246" s="194" t="str">
        <f>IFERROR($G246*'Inputs Yr 2'!$AE246*'Inputs Yr 2'!$AG246*'Inputs Yr 2'!P246*'Inputs Yr 2'!Q246*'Inputs Yr 2'!$S246,"")</f>
        <v/>
      </c>
      <c r="X246" s="194" t="str">
        <f>IFERROR($G246*'Inputs Yr 2'!$AE246*'Inputs Yr 2'!$AF246*'Inputs Yr 2'!Q246*'Inputs Yr 2'!$T246,"")</f>
        <v/>
      </c>
      <c r="Y246" s="194" t="str">
        <f>IFERROR($G246*'Inputs Yr 2'!$AE246*'Inputs Yr 2'!$AF246*'Inputs Yr 2'!P246*'Inputs Yr 2'!Q246*'Inputs Yr 2'!$T246,"")</f>
        <v/>
      </c>
      <c r="Z246" s="257">
        <f>IFERROR($G246*'Inputs Yr 2'!$Q246*'Inputs Yr 2'!$U246*(IF(IFERROR(SEARCH("NG", 'Inputs Yr 2'!$AJ246),0),'Inputs Yr 2'!$AK246,0)+IF(IFERROR(SEARCH("NG", 'Inputs Yr 2'!$AL246),0),'Inputs Yr 2'!$AM246,0)+IF(IFERROR(SEARCH("NG", 'Inputs Yr 2'!$AN246),0),'Inputs Yr 2'!$AO246,0)),0)</f>
        <v>0</v>
      </c>
      <c r="AA246" s="257">
        <f t="shared" si="116"/>
        <v>0</v>
      </c>
      <c r="AB246" s="257">
        <f>IFERROR(Z246*'Inputs Yr 2'!$P246,0)</f>
        <v>0</v>
      </c>
      <c r="AC246" s="257">
        <f t="shared" si="117"/>
        <v>0</v>
      </c>
      <c r="AD246" s="257">
        <f>IFERROR($G246*'Inputs Yr 2'!$Q246*'Inputs Yr 2'!$U246*(IF(IFERROR(SEARCH("Oil", 'Inputs Yr 2'!$AJ246), 0),'Inputs Yr 2'!$AK246,0)+IF(IFERROR(SEARCH("Oil", 'Inputs Yr 2'!$AL246), 0),'Inputs Yr 2'!$AM246,0)+IF(IFERROR(SEARCH("Oil", 'Inputs Yr 2'!$AN246), 0),'Inputs Yr 2'!$AO246,0)),0)</f>
        <v>0</v>
      </c>
      <c r="AE246" s="257">
        <f t="shared" si="118"/>
        <v>0</v>
      </c>
      <c r="AF246" s="257">
        <f>IFERROR(AD246*'Inputs Yr 2'!$P246,0)</f>
        <v>0</v>
      </c>
      <c r="AG246" s="257">
        <f t="shared" si="119"/>
        <v>0</v>
      </c>
      <c r="AH246" s="257">
        <f>IFERROR($G246*'Inputs Yr 2'!$Q246*'Inputs Yr 2'!$U246*(IF('Inputs Yr 2'!$AJ246=CD$4,'Inputs Yr 2'!$AK246,IF('Inputs Yr 2'!$AL246=CD$4,'Inputs Yr 2'!$AM246,IF('Inputs Yr 2'!$AN246=CD$4,'Inputs Yr 2'!$AO246,0)))),0)</f>
        <v>0</v>
      </c>
      <c r="AI246" s="257">
        <f t="shared" si="120"/>
        <v>0</v>
      </c>
      <c r="AJ246" s="257">
        <f>IFERROR(AH246*'Inputs Yr 2'!$P246,0)</f>
        <v>0</v>
      </c>
      <c r="AK246" s="257">
        <f t="shared" si="121"/>
        <v>0</v>
      </c>
      <c r="AL246" s="258">
        <f>IFERROR($G246*'Inputs Yr 2'!$P246*'Inputs Yr 2'!$Q246*'Inputs Yr 2'!AP246,0)</f>
        <v>0</v>
      </c>
      <c r="AM246" s="260">
        <f>IFERROR($G246*'Inputs Yr 2'!$P246*'Inputs Yr 2'!$Q246*'Inputs Yr 2'!AQ246,0)</f>
        <v>0</v>
      </c>
      <c r="AN246" s="258">
        <f>IFERROR($G246*'Inputs Yr 2'!$P246*'Inputs Yr 2'!$Q246*'Inputs Yr 2'!AR246,0)</f>
        <v>0</v>
      </c>
      <c r="AO246" s="257">
        <f t="shared" si="122"/>
        <v>0</v>
      </c>
      <c r="AP246" s="195" t="str">
        <f>IFERROR($CQ246*(INDEX(avoidedcosttbl2,$H246,AP$2)+(($H246-ROUNDDOWN($H246,0))*(INDEX(avoidedcosttbl2,ROUNDUP($H246,0),AP$2)-(INDEX(avoidedcosttbl2,ROUNDDOWN($H246,0),AP$2)))))*$O246*1000*'Inputs Yr 2'!AA246,"")</f>
        <v/>
      </c>
      <c r="AQ246" s="195" t="str">
        <f>IFERROR($CR246*(INDEX(avoidedcosttbl2,$H246,AQ$2)+(($H246-ROUNDDOWN($H246,0))*(INDEX(avoidedcosttbl2,ROUNDUP($H246,0),AQ$2)-(INDEX(avoidedcosttbl2,ROUNDDOWN($H246,0),AQ$2)))))*$O246*1000*'Inputs Yr 2'!AB246,"")</f>
        <v/>
      </c>
      <c r="AR246" s="195" t="str">
        <f>IFERROR($CS246*(INDEX(avoidedcosttbl2,$H246,AR$2)+(($H246-ROUNDDOWN($H246,0))*(INDEX(avoidedcosttbl2,ROUNDUP($H246,0),AR$2)-(INDEX(avoidedcosttbl2,ROUNDDOWN($H246,0),AR$2)))))*$O246*1000*'Inputs Yr 2'!AC246,"")</f>
        <v/>
      </c>
      <c r="AS246" s="195" t="str">
        <f>IFERROR($CT246*(INDEX(avoidedcosttbl2,$H246,AS$2)+(($H246-ROUNDDOWN($H246,0))*(INDEX(avoidedcosttbl2,ROUNDUP($H246,0),AS$2)-(INDEX(avoidedcosttbl2,ROUNDDOWN($H246,0),AS$2)))))*$O246*1000*'Inputs Yr 2'!AD246,"")</f>
        <v/>
      </c>
      <c r="AT246" s="196">
        <f t="shared" si="123"/>
        <v>0</v>
      </c>
      <c r="AU246" s="197" t="str">
        <f>IFERROR($CQ246*((INDEX(avoidedcosttbl2,$H246,AU$2))+(($H246-ROUNDDOWN($H246,0))*((INDEX(avoidedcosttbl2,ROUNDUP($H246,0),AU$2))-(INDEX(avoidedcosttbl2,ROUNDDOWN($H246,0),AU$2)))))*$O246*1000*'Inputs Yr 2'!AA246,"")</f>
        <v/>
      </c>
      <c r="AV246" s="197" t="str">
        <f>IFERROR($CR246*((INDEX(avoidedcosttbl2,$H246,AV$2))+(($H246-ROUNDDOWN($H246,0))*((INDEX(avoidedcosttbl2,ROUNDUP($H246,0),AV$2))-(INDEX(avoidedcosttbl2,ROUNDDOWN($H246,0),AV$2)))))*$O246*1000*'Inputs Yr 2'!AB246,"")</f>
        <v/>
      </c>
      <c r="AW246" s="197" t="str">
        <f>IFERROR($CS246*((INDEX(avoidedcosttbl2,$H246,AW$2))+(($H246-ROUNDDOWN($H246,0))*((INDEX(avoidedcosttbl2,ROUNDUP($H246,0),AW$2))-(INDEX(avoidedcosttbl2,ROUNDDOWN($H246,0),AW$2)))))*$O246*1000*'Inputs Yr 2'!AC246,"")</f>
        <v/>
      </c>
      <c r="AX246" s="197" t="str">
        <f>IFERROR($CT246*((INDEX(avoidedcosttbl2,$H246,AX$2))+(($H246-ROUNDDOWN($H246,0))*((INDEX(avoidedcosttbl2,ROUNDUP($H246,0),AX$2))-(INDEX(avoidedcosttbl2,ROUNDDOWN($H246,0),AX$2)))))*$O246*1000*'Inputs Yr 2'!AD246,"")</f>
        <v/>
      </c>
      <c r="AY246" s="197" t="str">
        <f>IFERROR(((INDEX(avoidedcosttbl2,$H246,AY$2))+(($H246-ROUNDDOWN($H246,0))*((INDEX(avoidedcosttbl2,ROUNDUP($H246,0),AY$2))-(INDEX(avoidedcosttbl2,ROUNDDOWN($H246,0),AY$2)))))*$O246*1000*('Inputs Yr 2'!AC246+'Inputs Yr 2'!AD246),"")</f>
        <v/>
      </c>
      <c r="AZ246" s="197" t="str">
        <f>IFERROR(((INDEX(avoidedcosttbl2,$H246,AZ$2))+(($H246-ROUNDDOWN($H246,0))*((INDEX(avoidedcosttbl2,ROUNDUP($H246,0),AZ$2))-(INDEX(avoidedcosttbl2,ROUNDDOWN($H246,0),AZ$2)))))*$O246*1000*('Inputs Yr 2'!AA246+'Inputs Yr 2'!AB246),"")</f>
        <v/>
      </c>
      <c r="BA246" s="198">
        <f t="shared" si="124"/>
        <v>0</v>
      </c>
      <c r="BB246" s="198">
        <f t="shared" si="125"/>
        <v>0</v>
      </c>
      <c r="BC246" s="195" t="str">
        <f t="shared" si="107"/>
        <v/>
      </c>
      <c r="BD246" s="195" t="str">
        <f t="shared" si="108"/>
        <v/>
      </c>
      <c r="BE246" s="195" t="str">
        <f t="shared" si="109"/>
        <v/>
      </c>
      <c r="BF246" s="195" t="str">
        <f t="shared" si="110"/>
        <v/>
      </c>
      <c r="BG246" s="195" t="str">
        <f t="shared" si="111"/>
        <v/>
      </c>
      <c r="BH246" s="196">
        <f t="shared" si="126"/>
        <v>0</v>
      </c>
      <c r="BI246" s="196">
        <f t="shared" si="127"/>
        <v>0</v>
      </c>
      <c r="BJ246" s="195" t="str">
        <f>IFERROR($G246*(IF('Inputs Yr 2'!$AJ246=BJ$4,'Inputs Yr 2'!$AK246,IF('Inputs Yr 2'!$AL246=BJ$4,'Inputs Yr 2'!$AM246,IF('Inputs Yr 2'!$AN246=BJ$4,'Inputs Yr 2'!$AO246,0))))*(INDEX(avoidedcosttbl2,$H246,BJ$2)+(($H246-ROUNDDOWN($H246,0))*(INDEX(avoidedcosttbl2,ROUNDUP($H246,0),BJ$2)-(INDEX(avoidedcosttbl2,ROUNDDOWN($H246,0),BJ$2)))))*'Inputs Yr 2'!P246*'Inputs Yr 2'!Q246*'Inputs Yr 2'!U246,"")</f>
        <v/>
      </c>
      <c r="BK246" s="195" t="str">
        <f>IFERROR($G246*(IF('Inputs Yr 2'!$AJ246=BK$4,'Inputs Yr 2'!$AK246,IF('Inputs Yr 2'!$AL246=BK$4,'Inputs Yr 2'!$AM246,IF('Inputs Yr 2'!$AN246=BK$4,'Inputs Yr 2'!$AO246,0))))*(INDEX(avoidedcosttbl2,$H246,BK$2)+(($H246-ROUNDDOWN($H246,0))*(INDEX(avoidedcosttbl2,ROUNDUP($H246,0),BK$2)-(INDEX(avoidedcosttbl2,ROUNDDOWN($H246,0),BK$2)))))*'Inputs Yr 2'!P246*'Inputs Yr 2'!Q246*'Inputs Yr 2'!U246,"")</f>
        <v/>
      </c>
      <c r="BL246" s="195" t="str">
        <f>IFERROR($G246*(IF('Inputs Yr 2'!$AJ246=BL$4,'Inputs Yr 2'!$AK246,IF('Inputs Yr 2'!$AL246=BL$4,'Inputs Yr 2'!$AM246,IF('Inputs Yr 2'!$AN246=BL$4,'Inputs Yr 2'!$AO246,0))))*(INDEX(avoidedcosttbl2,$H246,BL$2)+(($H246-ROUNDDOWN($H246,0))*(INDEX(avoidedcosttbl2,ROUNDUP($H246,0),BL$2)-(INDEX(avoidedcosttbl2,ROUNDDOWN($H246,0),BL$2)))))*'Inputs Yr 2'!P246*'Inputs Yr 2'!Q246*'Inputs Yr 2'!U246,"")</f>
        <v/>
      </c>
      <c r="BM246" s="195" t="str">
        <f>IFERROR($G246*(IF('Inputs Yr 2'!$AJ246=BM$4,'Inputs Yr 2'!$AK246,IF('Inputs Yr 2'!$AL246=BM$4,'Inputs Yr 2'!$AM246,IF('Inputs Yr 2'!$AN246=BM$4,'Inputs Yr 2'!$AO246,0))))*(INDEX(avoidedcosttbl2,$H246,BM$2)+(($H246-ROUNDDOWN($H246,0))*(INDEX(avoidedcosttbl2,ROUNDUP($H246,0),BM$2)-(INDEX(avoidedcosttbl2,ROUNDDOWN($H246,0),BM$2)))))*'Inputs Yr 2'!P246*'Inputs Yr 2'!Q246*'Inputs Yr 2'!U246,"")</f>
        <v/>
      </c>
      <c r="BN246" s="195" t="str">
        <f>IFERROR($G246*(IF('Inputs Yr 2'!$AJ246=BN$4,'Inputs Yr 2'!$AK246,IF('Inputs Yr 2'!$AL246=BN$4,'Inputs Yr 2'!$AM246,IF('Inputs Yr 2'!$AN246=BN$4,'Inputs Yr 2'!$AO246,0))))*(INDEX(avoidedcosttbl2,$H246,BN$2)+(($H246-ROUNDDOWN($H246,0))*(INDEX(avoidedcosttbl2,ROUNDUP($H246,0),BN$2)-(INDEX(avoidedcosttbl2,ROUNDDOWN($H246,0),BN$2)))))*'Inputs Yr 2'!P246*'Inputs Yr 2'!Q246*'Inputs Yr 2'!U246,"")</f>
        <v/>
      </c>
      <c r="BO246" s="195" t="str">
        <f>IFERROR($G246*(IF('Inputs Yr 2'!$AJ246=BO$4,'Inputs Yr 2'!$AK246,IF('Inputs Yr 2'!$AL246=BO$4,'Inputs Yr 2'!$AM246,IF('Inputs Yr 2'!$AN246=BO$4,'Inputs Yr 2'!$AO246,0))))*(INDEX(avoidedcosttbl2,$H246,BO$2)+(($H246-ROUNDDOWN($H246,0))*(INDEX(avoidedcosttbl2,ROUNDUP($H246,0),BO$2)-(INDEX(avoidedcosttbl2,ROUNDDOWN($H246,0),BO$2)))))*'Inputs Yr 2'!P246*'Inputs Yr 2'!Q246*'Inputs Yr 2'!U246,"")</f>
        <v/>
      </c>
      <c r="BP246" s="195" t="str">
        <f>IFERROR($G246*(IF('Inputs Yr 2'!$AJ246=BP$4,'Inputs Yr 2'!$AK246,IF('Inputs Yr 2'!$AL246=BP$4,'Inputs Yr 2'!$AM246,IF('Inputs Yr 2'!$AN246=BP$4,'Inputs Yr 2'!$AO246,0))))*(INDEX(avoidedcosttbl2,$H246,BP$2)+(($H246-ROUNDDOWN($H246,0))*(INDEX(avoidedcosttbl2,ROUNDUP($H246,0),BP$2)-(INDEX(avoidedcosttbl2,ROUNDDOWN($H246,0),BP$2)))))*'Inputs Yr 2'!P246*'Inputs Yr 2'!Q246*'Inputs Yr 2'!U246,"")</f>
        <v/>
      </c>
      <c r="BQ246" s="230">
        <f t="shared" si="128"/>
        <v>0</v>
      </c>
      <c r="BR246" s="197" t="str">
        <f t="shared" si="112"/>
        <v/>
      </c>
      <c r="BS246" s="197" t="str">
        <f>IFERROR(($G246*IF('Inputs Yr 2'!$AJ246=BM$4,'Inputs Yr 2'!$AK246,IF('Inputs Yr 2'!$AL246=BM$4,'Inputs Yr 2'!$AM246,IF('Inputs Yr 2'!$AN246=BM$4,'Inputs Yr 2'!$AO246,0))))*(INDEX(avoidedcosttbl2,$H246,BS$2)+(($H246-ROUNDDOWN($H246,0))*(INDEX(avoidedcosttbl2,ROUNDUP($H246,0),BS$2)-(INDEX(avoidedcosttbl2,ROUNDDOWN($H246,0),BS$2)))))*'Inputs Yr 2'!P246*'Inputs Yr 2'!Q246*'Inputs Yr 2'!U246,"")</f>
        <v/>
      </c>
      <c r="BT246" s="197" t="str">
        <f>IFERROR(($G246*IF('Inputs Yr 2'!$AJ246=BK$4,'Inputs Yr 2'!$AK246,IF('Inputs Yr 2'!$AL246=BK$4,'Inputs Yr 2'!$AM246,IF('Inputs Yr 2'!$AN246=BK$4,'Inputs Yr 2'!$AO246,0))))*(INDEX(avoidedcosttbl2,$H246,BT$2)+(($H246-ROUNDDOWN($H246,0))*(INDEX(avoidedcosttbl2,ROUNDUP($H246,0),BT$2)-(INDEX(avoidedcosttbl2,ROUNDDOWN($H246,0),BT$2)))))*'Inputs Yr 2'!P246*'Inputs Yr 2'!Q246*'Inputs Yr 2'!U246,"")</f>
        <v/>
      </c>
      <c r="BU246" s="197" t="str">
        <f>IFERROR(($G246*IF('Inputs Yr 2'!$AJ246=BL$4,'Inputs Yr 2'!$AK246,IF('Inputs Yr 2'!$AL246=BL$4,'Inputs Yr 2'!$AM246,IF('Inputs Yr 2'!$AN246=BL$4,'Inputs Yr 2'!$AO246,0))))*(INDEX(avoidedcosttbl2,$H246,BU$2)+(($H246-ROUNDDOWN($H246,0))*(INDEX(avoidedcosttbl2,ROUNDUP($H246,0),BU$2)-(INDEX(avoidedcosttbl2,ROUNDDOWN($H246,0),BU$2)))))*'Inputs Yr 2'!P246*'Inputs Yr 2'!Q246*'Inputs Yr 2'!U246,"")</f>
        <v/>
      </c>
      <c r="BV246" s="775" t="str">
        <f>IFERROR(($G246*IF('Inputs Yr 2'!$AJ246=BJ$4,'Inputs Yr 2'!$AK246,IF('Inputs Yr 2'!$AL246=BJ$4,'Inputs Yr 2'!$AM246,IF('Inputs Yr 2'!$AN246=BJ$4,'Inputs Yr 2'!$AO246,0))))*(INDEX(avoidedcosttbl2,$H246,BV$2)+(($H246-ROUNDDOWN($H246,0))*(INDEX(avoidedcosttbl2,ROUNDUP($H246,0),BV$2)-(INDEX(avoidedcosttbl2,ROUNDDOWN($H246,0),BV$2)))))*'Inputs Yr 2'!P246*'Inputs Yr 2'!Q246*'Inputs Yr 2'!U246,"")</f>
        <v/>
      </c>
      <c r="BW246" s="197" t="str">
        <f>IFERROR(($G246*IF('Inputs Yr 2'!$AJ246=BN$4,'Inputs Yr 2'!$AK246,IF('Inputs Yr 2'!$AL246=BN$4,'Inputs Yr 2'!$AM246,IF('Inputs Yr 2'!$AN246=BN$4,'Inputs Yr 2'!$AO246,0))))*(INDEX(avoidedcosttbl2,$H246,BW$2)+(($H246-ROUNDDOWN($H246,0))*(INDEX(avoidedcosttbl2,ROUNDUP($H246,0),BW$2)-(INDEX(avoidedcosttbl2,ROUNDDOWN($H246,0),BW$2)))))*'Inputs Yr 2'!P246*'Inputs Yr 2'!Q246*'Inputs Yr 2'!U246,"")</f>
        <v/>
      </c>
      <c r="BX246" s="197" t="str">
        <f>IFERROR(($G246*IF('Inputs Yr 2'!$AJ246=BO$4,'Inputs Yr 2'!$AK246,IF('Inputs Yr 2'!$AL246=BO$4,'Inputs Yr 2'!$AM246,IF('Inputs Yr 2'!$AN246=BO$4,'Inputs Yr 2'!$AO246,0))))*(INDEX(avoidedcosttbl2,$H246,BX$2)+(($H246-ROUNDDOWN($H246,0))*(INDEX(avoidedcosttbl2,ROUNDUP($H246,0),BX$2)-(INDEX(avoidedcosttbl2,ROUNDDOWN($H246,0),BX$2)))))*'Inputs Yr 2'!P246*'Inputs Yr 2'!Q246*'Inputs Yr 2'!U246,"")</f>
        <v/>
      </c>
      <c r="BY246" s="197" t="str">
        <f>IFERROR(($G246*IF('Inputs Yr 2'!$AJ246=BP$4,'Inputs Yr 2'!$AK246,IF('Inputs Yr 2'!$AL246=BP$4,'Inputs Yr 2'!$AM246,IF('Inputs Yr 2'!$AN246=BP$4,'Inputs Yr 2'!$AO246,0))))*(INDEX(avoidedcosttbl2,$H246,BY$2)+(($H246-ROUNDDOWN($H246,0))*(INDEX(avoidedcosttbl2,ROUNDUP($H246,0),BY$2)-(INDEX(avoidedcosttbl2,ROUNDDOWN($H246,0),BY$2)))))*'Inputs Yr 2'!P246*'Inputs Yr 2'!Q246*'Inputs Yr 2'!U246,"")</f>
        <v/>
      </c>
      <c r="BZ246" s="193">
        <f t="shared" si="129"/>
        <v>0</v>
      </c>
      <c r="CA246" s="193">
        <f t="shared" si="130"/>
        <v>0</v>
      </c>
      <c r="CB246" s="195" t="str">
        <f>IFERROR(G246*(IF('Inputs Yr 2'!$AJ246=CB$4,'Inputs Yr 2'!$AK246,IF('Inputs Yr 2'!$AL246=CB$4,'Inputs Yr 2'!$AM246,IF('Inputs Yr 2'!$AN246=CB$4,'Inputs Yr 2'!$AO246,0))))*(INDEX(avoidedcosttbl2,$H246,CB$2)+(($H246-ROUNDDOWN($H246,0))*(INDEX(avoidedcosttbl2,ROUNDUP($H246,0),CB$2)-(INDEX(avoidedcosttbl2,ROUNDDOWN($H246,0),CB$2)))))*'Inputs Yr 2'!P246*'Inputs Yr 2'!Q246*'Inputs Yr 2'!U246,"")</f>
        <v/>
      </c>
      <c r="CC246" s="195" t="str">
        <f>IFERROR(H246*(IF('Inputs Yr 2'!$AJ246=CC$4,'Inputs Yr 2'!$AK246,IF('Inputs Yr 2'!$AL246=CC$4,'Inputs Yr 2'!$AM246,IF('Inputs Yr 2'!$AN246=CC$4,'Inputs Yr 2'!$AO246,0))))*(INDEX(avoidedcosttbl2,$H246,CC$2)+(($H246-ROUNDDOWN($H246,0))*(INDEX(avoidedcosttbl2,ROUNDUP($H246,0),CC$2)-(INDEX(avoidedcosttbl2,ROUNDDOWN($H246,0),CC$2)))))*'Inputs Yr 2'!Q246*'Inputs Yr 2'!R246*'Inputs Yr 2'!V246,"")</f>
        <v/>
      </c>
      <c r="CD246" s="195" t="str">
        <f>IFERROR(I246*(IF('Inputs Yr 2'!$AJ246=CD$4,'Inputs Yr 2'!$AK246,IF('Inputs Yr 2'!$AL246=CD$4,'Inputs Yr 2'!$AM246,IF('Inputs Yr 2'!$AN246=CD$4,'Inputs Yr 2'!$AO246,0))))*(INDEX(avoidedcosttbl2,$H246,CD$2)+(($H246-ROUNDDOWN($H246,0))*(INDEX(avoidedcosttbl2,ROUNDUP($H246,0),CD$2)-(INDEX(avoidedcosttbl2,ROUNDDOWN($H246,0),CD$2)))))*'Inputs Yr 2'!R246*'Inputs Yr 2'!S246*'Inputs Yr 2'!W246,"")</f>
        <v/>
      </c>
      <c r="CE246" s="213" t="str">
        <f t="shared" si="131"/>
        <v/>
      </c>
      <c r="CF246" s="213" t="str">
        <f t="shared" si="132"/>
        <v/>
      </c>
      <c r="CG246" s="213" t="str">
        <f t="shared" si="133"/>
        <v/>
      </c>
      <c r="CH246" s="698">
        <f t="shared" si="134"/>
        <v>0</v>
      </c>
      <c r="CI246" s="79" t="str">
        <f>IFERROR(($G246*'Inputs Yr 2'!$P246*'Inputs Yr 2'!$Q246*(((INDEX(avoidedcosttbl2,$H246,CI$2)+(($H246-ROUNDDOWN($H246,0))*(INDEX(avoidedcosttbl2,ROUNDUP($H246,0),CI$2)-INDEX(avoidedcosttbl2,ROUNDDOWN($H246,0),CI$2))))*'Inputs Yr 2'!AS246))),"")</f>
        <v/>
      </c>
      <c r="CJ246" s="504" t="str">
        <f>IFERROR($G246*'Inputs Yr 2'!AT246*'Inputs Yr 2'!$P246*'Inputs Yr 2'!$Q246/((1+realdiscrt1)^-0.5),"")</f>
        <v/>
      </c>
      <c r="CK246" s="79" t="str">
        <f>IFERROR((O246*1000*(((INDEX(avoidedcosttbl2,$H246,CK$2)+(($H246-ROUNDDOWN($H246,0))*(INDEX(avoidedcosttbl2,ROUNDUP($H246,0),CK$2)-INDEX(avoidedcosttbl2,ROUNDDOWN($H246,0),CK$2))))*'Inputs Yr 2'!AU246))),"")</f>
        <v/>
      </c>
      <c r="CL246" s="504" t="str">
        <f>IFERROR(O246*1000*'Inputs Yr 2'!AV246/((1+realdiscrt1)^-0.5),"")</f>
        <v/>
      </c>
      <c r="CM246" s="79" t="str">
        <f>IFERROR((AB246*'Inputs Yr 2'!AW246*(((INDEX(avoidedcosttbl2,$H246,CM$2)+(($H246-ROUNDDOWN($H246,0))*(INDEX(avoidedcosttbl2,ROUNDUP($H246,0),CM$2)-INDEX(avoidedcosttbl2,ROUNDDOWN($H246,0),CM$2)))))))*10,"")</f>
        <v/>
      </c>
      <c r="CN246" s="504">
        <f>IFERROR(10*AB246*'Inputs Yr 2'!AX246/((1+realdiscrt1)^-0.5),"")</f>
        <v>0</v>
      </c>
      <c r="CO246" s="505">
        <f t="shared" si="135"/>
        <v>0</v>
      </c>
      <c r="CP246" s="230">
        <f t="shared" si="136"/>
        <v>0</v>
      </c>
      <c r="CQ246" s="199">
        <f>ROUND(IFERROR(IF(LEFT($A246,1)="C",'Avoided Costs'!$K$13,'Avoided Costs'!$K$12)+1,""),4)</f>
        <v>1.0720000000000001</v>
      </c>
      <c r="CR246" s="199">
        <f>ROUND(IFERROR(IF(LEFT($A246,1)="C",'Avoided Costs'!$L$13,'Avoided Costs'!$L$12)+1,""),4)</f>
        <v>1.04</v>
      </c>
      <c r="CS246" s="199">
        <f>ROUND(IFERROR(IF(LEFT($A246,1)="C",'Avoided Costs'!$M$13,'Avoided Costs'!$M$12)+1,""),4)</f>
        <v>1.0720000000000001</v>
      </c>
      <c r="CT246" s="199">
        <f>ROUND(IFERROR(IF(LEFT($A246,1)="C",'Avoided Costs'!$N$13,'Avoided Costs'!$N$12)+1,""),4)</f>
        <v>1.04</v>
      </c>
      <c r="CU246" s="199">
        <f>ROUND(IFERROR(IF(LEFT($A246,1)="C",'Avoided Costs'!$O$13,'Avoided Costs'!$O$12)+1,""),4)</f>
        <v>1.1120000000000001</v>
      </c>
      <c r="CV246" s="199">
        <f>ROUND(IFERROR(IF(LEFT($A246,1)="C",'Avoided Costs'!$P$13,'Avoided Costs'!$P$12)+1,""),4)</f>
        <v>1.095</v>
      </c>
      <c r="CW246" s="199">
        <f>ROUND(IFERROR(IF(LEFT($A246,1)="C",'Avoided Costs'!$Q$13,'Avoided Costs'!$Q$12)+1,""),4)</f>
        <v>1.1120000000000001</v>
      </c>
      <c r="CX246" s="200">
        <f>ROUND(IFERROR(IF(LEFT($A246,1)="C",'Avoided Costs'!$R$13,'Avoided Costs'!$R$12)+1,""),4)</f>
        <v>1.1120000000000001</v>
      </c>
    </row>
    <row r="247" spans="1:102" ht="12.75" customHeight="1">
      <c r="A247" s="91" t="str">
        <f>IF('Inputs Yr 2'!$B247=0,"",'Inputs Yr 2'!A247)</f>
        <v>C - Commercial &amp; Industrial</v>
      </c>
      <c r="B247" s="91" t="str">
        <f>IF('Inputs Yr 2'!$B247=0,"",'Inputs Yr 2'!B247)</f>
        <v>C2 - C&amp;I Retrofit</v>
      </c>
      <c r="C247" s="91" t="str">
        <f>IF('Inputs Yr 2'!$B247=0,"",'Inputs Yr 2'!C247)</f>
        <v>C2a - C&amp;I Existing Building Retrofit</v>
      </c>
      <c r="D247" s="91" t="str">
        <f>IF('Inputs Yr 2'!$B247=0,"",'Inputs Yr 2'!E247)</f>
        <v>Food Services - Prescriptive</v>
      </c>
      <c r="E247" s="93" t="str">
        <f>IF('Inputs Yr 2'!$B247=0,"",'Inputs Yr 2'!F247)</f>
        <v>G16C2a03</v>
      </c>
      <c r="F247" s="93" t="str">
        <f>IF('Inputs Yr 2'!$B247=0,"",'Inputs Yr 2'!G247)</f>
        <v>Food Service</v>
      </c>
      <c r="G247" s="95" t="str">
        <f>IF('Inputs Yr 2'!$H247&lt;&gt;0,('Inputs Yr 2'!H247),"")</f>
        <v/>
      </c>
      <c r="H247" s="94">
        <f>IFERROR('Inputs Yr 2'!I247,"")</f>
        <v>9</v>
      </c>
      <c r="I247" s="298" t="str">
        <f>IFERROR('Inputs Yr 2'!J247*'Inputs Yr 2'!P247*G247,"")</f>
        <v/>
      </c>
      <c r="J247" s="298" t="str">
        <f>IFERROR('Inputs Yr 2'!K247*G247,"")</f>
        <v/>
      </c>
      <c r="K247" s="298" t="str">
        <f t="shared" si="113"/>
        <v/>
      </c>
      <c r="L247" s="194" t="str">
        <f>IFERROR(('Inputs Yr 2'!W247*G247)/1000,"")</f>
        <v/>
      </c>
      <c r="M247" s="194" t="str">
        <f>IFERROR(L247*('Inputs Yr 2'!$Q247*'Inputs Yr 2'!$V247*'Inputs Yr 2'!$R247),"")</f>
        <v/>
      </c>
      <c r="N247" s="194" t="str">
        <f t="shared" si="114"/>
        <v/>
      </c>
      <c r="O247" s="194" t="str">
        <f>IFERROR(M247*'Inputs Yr 2'!P247,"")</f>
        <v/>
      </c>
      <c r="P247" s="194" t="str">
        <f t="shared" si="115"/>
        <v/>
      </c>
      <c r="Q247" s="194" t="str">
        <f>IFERROR($P247*'Inputs Yr 2'!AA247,"")</f>
        <v/>
      </c>
      <c r="R247" s="194" t="str">
        <f>IFERROR($P247*'Inputs Yr 2'!AB247,"")</f>
        <v/>
      </c>
      <c r="S247" s="194" t="str">
        <f>IFERROR($P247*'Inputs Yr 2'!AC247,"")</f>
        <v/>
      </c>
      <c r="T247" s="194" t="str">
        <f>IFERROR($P247*'Inputs Yr 2'!AD247,"")</f>
        <v/>
      </c>
      <c r="U247" s="194" t="str">
        <f>IFERROR(G247*'Inputs Yr 2'!$AE247*'Inputs Yr 2'!$P247*'Inputs Yr 2'!$Q247,"")</f>
        <v/>
      </c>
      <c r="V247" s="194" t="str">
        <f>IFERROR($G247*'Inputs Yr 2'!$AE247*'Inputs Yr 2'!$AG247*'Inputs Yr 2'!Q247*'Inputs Yr 2'!$S247,"")</f>
        <v/>
      </c>
      <c r="W247" s="194" t="str">
        <f>IFERROR($G247*'Inputs Yr 2'!$AE247*'Inputs Yr 2'!$AG247*'Inputs Yr 2'!P247*'Inputs Yr 2'!Q247*'Inputs Yr 2'!$S247,"")</f>
        <v/>
      </c>
      <c r="X247" s="194" t="str">
        <f>IFERROR($G247*'Inputs Yr 2'!$AE247*'Inputs Yr 2'!$AF247*'Inputs Yr 2'!Q247*'Inputs Yr 2'!$T247,"")</f>
        <v/>
      </c>
      <c r="Y247" s="194" t="str">
        <f>IFERROR($G247*'Inputs Yr 2'!$AE247*'Inputs Yr 2'!$AF247*'Inputs Yr 2'!P247*'Inputs Yr 2'!Q247*'Inputs Yr 2'!$T247,"")</f>
        <v/>
      </c>
      <c r="Z247" s="257">
        <f>IFERROR($G247*'Inputs Yr 2'!$Q247*'Inputs Yr 2'!$U247*(IF(IFERROR(SEARCH("NG", 'Inputs Yr 2'!$AJ247),0),'Inputs Yr 2'!$AK247,0)+IF(IFERROR(SEARCH("NG", 'Inputs Yr 2'!$AL247),0),'Inputs Yr 2'!$AM247,0)+IF(IFERROR(SEARCH("NG", 'Inputs Yr 2'!$AN247),0),'Inputs Yr 2'!$AO247,0)),0)</f>
        <v>0</v>
      </c>
      <c r="AA247" s="257">
        <f t="shared" si="116"/>
        <v>0</v>
      </c>
      <c r="AB247" s="257">
        <f>IFERROR(Z247*'Inputs Yr 2'!$P247,0)</f>
        <v>0</v>
      </c>
      <c r="AC247" s="257">
        <f t="shared" si="117"/>
        <v>0</v>
      </c>
      <c r="AD247" s="257">
        <f>IFERROR($G247*'Inputs Yr 2'!$Q247*'Inputs Yr 2'!$U247*(IF(IFERROR(SEARCH("Oil", 'Inputs Yr 2'!$AJ247), 0),'Inputs Yr 2'!$AK247,0)+IF(IFERROR(SEARCH("Oil", 'Inputs Yr 2'!$AL247), 0),'Inputs Yr 2'!$AM247,0)+IF(IFERROR(SEARCH("Oil", 'Inputs Yr 2'!$AN247), 0),'Inputs Yr 2'!$AO247,0)),0)</f>
        <v>0</v>
      </c>
      <c r="AE247" s="257">
        <f t="shared" si="118"/>
        <v>0</v>
      </c>
      <c r="AF247" s="257">
        <f>IFERROR(AD247*'Inputs Yr 2'!$P247,0)</f>
        <v>0</v>
      </c>
      <c r="AG247" s="257">
        <f t="shared" si="119"/>
        <v>0</v>
      </c>
      <c r="AH247" s="257">
        <f>IFERROR($G247*'Inputs Yr 2'!$Q247*'Inputs Yr 2'!$U247*(IF('Inputs Yr 2'!$AJ247=CD$4,'Inputs Yr 2'!$AK247,IF('Inputs Yr 2'!$AL247=CD$4,'Inputs Yr 2'!$AM247,IF('Inputs Yr 2'!$AN247=CD$4,'Inputs Yr 2'!$AO247,0)))),0)</f>
        <v>0</v>
      </c>
      <c r="AI247" s="257">
        <f t="shared" si="120"/>
        <v>0</v>
      </c>
      <c r="AJ247" s="257">
        <f>IFERROR(AH247*'Inputs Yr 2'!$P247,0)</f>
        <v>0</v>
      </c>
      <c r="AK247" s="257">
        <f t="shared" si="121"/>
        <v>0</v>
      </c>
      <c r="AL247" s="258">
        <f>IFERROR($G247*'Inputs Yr 2'!$P247*'Inputs Yr 2'!$Q247*'Inputs Yr 2'!AP247,0)</f>
        <v>0</v>
      </c>
      <c r="AM247" s="260">
        <f>IFERROR($G247*'Inputs Yr 2'!$P247*'Inputs Yr 2'!$Q247*'Inputs Yr 2'!AQ247,0)</f>
        <v>0</v>
      </c>
      <c r="AN247" s="258">
        <f>IFERROR($G247*'Inputs Yr 2'!$P247*'Inputs Yr 2'!$Q247*'Inputs Yr 2'!AR247,0)</f>
        <v>0</v>
      </c>
      <c r="AO247" s="257">
        <f t="shared" si="122"/>
        <v>0</v>
      </c>
      <c r="AP247" s="195" t="str">
        <f>IFERROR($CQ247*(INDEX(avoidedcosttbl2,$H247,AP$2)+(($H247-ROUNDDOWN($H247,0))*(INDEX(avoidedcosttbl2,ROUNDUP($H247,0),AP$2)-(INDEX(avoidedcosttbl2,ROUNDDOWN($H247,0),AP$2)))))*$O247*1000*'Inputs Yr 2'!AA247,"")</f>
        <v/>
      </c>
      <c r="AQ247" s="195" t="str">
        <f>IFERROR($CR247*(INDEX(avoidedcosttbl2,$H247,AQ$2)+(($H247-ROUNDDOWN($H247,0))*(INDEX(avoidedcosttbl2,ROUNDUP($H247,0),AQ$2)-(INDEX(avoidedcosttbl2,ROUNDDOWN($H247,0),AQ$2)))))*$O247*1000*'Inputs Yr 2'!AB247,"")</f>
        <v/>
      </c>
      <c r="AR247" s="195" t="str">
        <f>IFERROR($CS247*(INDEX(avoidedcosttbl2,$H247,AR$2)+(($H247-ROUNDDOWN($H247,0))*(INDEX(avoidedcosttbl2,ROUNDUP($H247,0),AR$2)-(INDEX(avoidedcosttbl2,ROUNDDOWN($H247,0),AR$2)))))*$O247*1000*'Inputs Yr 2'!AC247,"")</f>
        <v/>
      </c>
      <c r="AS247" s="195" t="str">
        <f>IFERROR($CT247*(INDEX(avoidedcosttbl2,$H247,AS$2)+(($H247-ROUNDDOWN($H247,0))*(INDEX(avoidedcosttbl2,ROUNDUP($H247,0),AS$2)-(INDEX(avoidedcosttbl2,ROUNDDOWN($H247,0),AS$2)))))*$O247*1000*'Inputs Yr 2'!AD247,"")</f>
        <v/>
      </c>
      <c r="AT247" s="196">
        <f t="shared" si="123"/>
        <v>0</v>
      </c>
      <c r="AU247" s="197" t="str">
        <f>IFERROR($CQ247*((INDEX(avoidedcosttbl2,$H247,AU$2))+(($H247-ROUNDDOWN($H247,0))*((INDEX(avoidedcosttbl2,ROUNDUP($H247,0),AU$2))-(INDEX(avoidedcosttbl2,ROUNDDOWN($H247,0),AU$2)))))*$O247*1000*'Inputs Yr 2'!AA247,"")</f>
        <v/>
      </c>
      <c r="AV247" s="197" t="str">
        <f>IFERROR($CR247*((INDEX(avoidedcosttbl2,$H247,AV$2))+(($H247-ROUNDDOWN($H247,0))*((INDEX(avoidedcosttbl2,ROUNDUP($H247,0),AV$2))-(INDEX(avoidedcosttbl2,ROUNDDOWN($H247,0),AV$2)))))*$O247*1000*'Inputs Yr 2'!AB247,"")</f>
        <v/>
      </c>
      <c r="AW247" s="197" t="str">
        <f>IFERROR($CS247*((INDEX(avoidedcosttbl2,$H247,AW$2))+(($H247-ROUNDDOWN($H247,0))*((INDEX(avoidedcosttbl2,ROUNDUP($H247,0),AW$2))-(INDEX(avoidedcosttbl2,ROUNDDOWN($H247,0),AW$2)))))*$O247*1000*'Inputs Yr 2'!AC247,"")</f>
        <v/>
      </c>
      <c r="AX247" s="197" t="str">
        <f>IFERROR($CT247*((INDEX(avoidedcosttbl2,$H247,AX$2))+(($H247-ROUNDDOWN($H247,0))*((INDEX(avoidedcosttbl2,ROUNDUP($H247,0),AX$2))-(INDEX(avoidedcosttbl2,ROUNDDOWN($H247,0),AX$2)))))*$O247*1000*'Inputs Yr 2'!AD247,"")</f>
        <v/>
      </c>
      <c r="AY247" s="197" t="str">
        <f>IFERROR(((INDEX(avoidedcosttbl2,$H247,AY$2))+(($H247-ROUNDDOWN($H247,0))*((INDEX(avoidedcosttbl2,ROUNDUP($H247,0),AY$2))-(INDEX(avoidedcosttbl2,ROUNDDOWN($H247,0),AY$2)))))*$O247*1000*('Inputs Yr 2'!AC247+'Inputs Yr 2'!AD247),"")</f>
        <v/>
      </c>
      <c r="AZ247" s="197" t="str">
        <f>IFERROR(((INDEX(avoidedcosttbl2,$H247,AZ$2))+(($H247-ROUNDDOWN($H247,0))*((INDEX(avoidedcosttbl2,ROUNDUP($H247,0),AZ$2))-(INDEX(avoidedcosttbl2,ROUNDDOWN($H247,0),AZ$2)))))*$O247*1000*('Inputs Yr 2'!AA247+'Inputs Yr 2'!AB247),"")</f>
        <v/>
      </c>
      <c r="BA247" s="198">
        <f t="shared" si="124"/>
        <v>0</v>
      </c>
      <c r="BB247" s="198">
        <f t="shared" si="125"/>
        <v>0</v>
      </c>
      <c r="BC247" s="195" t="str">
        <f t="shared" si="107"/>
        <v/>
      </c>
      <c r="BD247" s="195" t="str">
        <f t="shared" si="108"/>
        <v/>
      </c>
      <c r="BE247" s="195" t="str">
        <f t="shared" si="109"/>
        <v/>
      </c>
      <c r="BF247" s="195" t="str">
        <f t="shared" si="110"/>
        <v/>
      </c>
      <c r="BG247" s="195" t="str">
        <f t="shared" si="111"/>
        <v/>
      </c>
      <c r="BH247" s="196">
        <f t="shared" si="126"/>
        <v>0</v>
      </c>
      <c r="BI247" s="196">
        <f t="shared" si="127"/>
        <v>0</v>
      </c>
      <c r="BJ247" s="195" t="str">
        <f>IFERROR($G247*(IF('Inputs Yr 2'!$AJ247=BJ$4,'Inputs Yr 2'!$AK247,IF('Inputs Yr 2'!$AL247=BJ$4,'Inputs Yr 2'!$AM247,IF('Inputs Yr 2'!$AN247=BJ$4,'Inputs Yr 2'!$AO247,0))))*(INDEX(avoidedcosttbl2,$H247,BJ$2)+(($H247-ROUNDDOWN($H247,0))*(INDEX(avoidedcosttbl2,ROUNDUP($H247,0),BJ$2)-(INDEX(avoidedcosttbl2,ROUNDDOWN($H247,0),BJ$2)))))*'Inputs Yr 2'!P247*'Inputs Yr 2'!Q247*'Inputs Yr 2'!U247,"")</f>
        <v/>
      </c>
      <c r="BK247" s="195" t="str">
        <f>IFERROR($G247*(IF('Inputs Yr 2'!$AJ247=BK$4,'Inputs Yr 2'!$AK247,IF('Inputs Yr 2'!$AL247=BK$4,'Inputs Yr 2'!$AM247,IF('Inputs Yr 2'!$AN247=BK$4,'Inputs Yr 2'!$AO247,0))))*(INDEX(avoidedcosttbl2,$H247,BK$2)+(($H247-ROUNDDOWN($H247,0))*(INDEX(avoidedcosttbl2,ROUNDUP($H247,0),BK$2)-(INDEX(avoidedcosttbl2,ROUNDDOWN($H247,0),BK$2)))))*'Inputs Yr 2'!P247*'Inputs Yr 2'!Q247*'Inputs Yr 2'!U247,"")</f>
        <v/>
      </c>
      <c r="BL247" s="195" t="str">
        <f>IFERROR($G247*(IF('Inputs Yr 2'!$AJ247=BL$4,'Inputs Yr 2'!$AK247,IF('Inputs Yr 2'!$AL247=BL$4,'Inputs Yr 2'!$AM247,IF('Inputs Yr 2'!$AN247=BL$4,'Inputs Yr 2'!$AO247,0))))*(INDEX(avoidedcosttbl2,$H247,BL$2)+(($H247-ROUNDDOWN($H247,0))*(INDEX(avoidedcosttbl2,ROUNDUP($H247,0),BL$2)-(INDEX(avoidedcosttbl2,ROUNDDOWN($H247,0),BL$2)))))*'Inputs Yr 2'!P247*'Inputs Yr 2'!Q247*'Inputs Yr 2'!U247,"")</f>
        <v/>
      </c>
      <c r="BM247" s="195" t="str">
        <f>IFERROR($G247*(IF('Inputs Yr 2'!$AJ247=BM$4,'Inputs Yr 2'!$AK247,IF('Inputs Yr 2'!$AL247=BM$4,'Inputs Yr 2'!$AM247,IF('Inputs Yr 2'!$AN247=BM$4,'Inputs Yr 2'!$AO247,0))))*(INDEX(avoidedcosttbl2,$H247,BM$2)+(($H247-ROUNDDOWN($H247,0))*(INDEX(avoidedcosttbl2,ROUNDUP($H247,0),BM$2)-(INDEX(avoidedcosttbl2,ROUNDDOWN($H247,0),BM$2)))))*'Inputs Yr 2'!P247*'Inputs Yr 2'!Q247*'Inputs Yr 2'!U247,"")</f>
        <v/>
      </c>
      <c r="BN247" s="195" t="str">
        <f>IFERROR($G247*(IF('Inputs Yr 2'!$AJ247=BN$4,'Inputs Yr 2'!$AK247,IF('Inputs Yr 2'!$AL247=BN$4,'Inputs Yr 2'!$AM247,IF('Inputs Yr 2'!$AN247=BN$4,'Inputs Yr 2'!$AO247,0))))*(INDEX(avoidedcosttbl2,$H247,BN$2)+(($H247-ROUNDDOWN($H247,0))*(INDEX(avoidedcosttbl2,ROUNDUP($H247,0),BN$2)-(INDEX(avoidedcosttbl2,ROUNDDOWN($H247,0),BN$2)))))*'Inputs Yr 2'!P247*'Inputs Yr 2'!Q247*'Inputs Yr 2'!U247,"")</f>
        <v/>
      </c>
      <c r="BO247" s="195" t="str">
        <f>IFERROR($G247*(IF('Inputs Yr 2'!$AJ247=BO$4,'Inputs Yr 2'!$AK247,IF('Inputs Yr 2'!$AL247=BO$4,'Inputs Yr 2'!$AM247,IF('Inputs Yr 2'!$AN247=BO$4,'Inputs Yr 2'!$AO247,0))))*(INDEX(avoidedcosttbl2,$H247,BO$2)+(($H247-ROUNDDOWN($H247,0))*(INDEX(avoidedcosttbl2,ROUNDUP($H247,0),BO$2)-(INDEX(avoidedcosttbl2,ROUNDDOWN($H247,0),BO$2)))))*'Inputs Yr 2'!P247*'Inputs Yr 2'!Q247*'Inputs Yr 2'!U247,"")</f>
        <v/>
      </c>
      <c r="BP247" s="195" t="str">
        <f>IFERROR($G247*(IF('Inputs Yr 2'!$AJ247=BP$4,'Inputs Yr 2'!$AK247,IF('Inputs Yr 2'!$AL247=BP$4,'Inputs Yr 2'!$AM247,IF('Inputs Yr 2'!$AN247=BP$4,'Inputs Yr 2'!$AO247,0))))*(INDEX(avoidedcosttbl2,$H247,BP$2)+(($H247-ROUNDDOWN($H247,0))*(INDEX(avoidedcosttbl2,ROUNDUP($H247,0),BP$2)-(INDEX(avoidedcosttbl2,ROUNDDOWN($H247,0),BP$2)))))*'Inputs Yr 2'!P247*'Inputs Yr 2'!Q247*'Inputs Yr 2'!U247,"")</f>
        <v/>
      </c>
      <c r="BQ247" s="230">
        <f t="shared" si="128"/>
        <v>0</v>
      </c>
      <c r="BR247" s="197">
        <f t="shared" si="112"/>
        <v>0</v>
      </c>
      <c r="BS247" s="197" t="str">
        <f>IFERROR(($G247*IF('Inputs Yr 2'!$AJ247=BM$4,'Inputs Yr 2'!$AK247,IF('Inputs Yr 2'!$AL247=BM$4,'Inputs Yr 2'!$AM247,IF('Inputs Yr 2'!$AN247=BM$4,'Inputs Yr 2'!$AO247,0))))*(INDEX(avoidedcosttbl2,$H247,BS$2)+(($H247-ROUNDDOWN($H247,0))*(INDEX(avoidedcosttbl2,ROUNDUP($H247,0),BS$2)-(INDEX(avoidedcosttbl2,ROUNDDOWN($H247,0),BS$2)))))*'Inputs Yr 2'!P247*'Inputs Yr 2'!Q247*'Inputs Yr 2'!U247,"")</f>
        <v/>
      </c>
      <c r="BT247" s="197" t="str">
        <f>IFERROR(($G247*IF('Inputs Yr 2'!$AJ247=BK$4,'Inputs Yr 2'!$AK247,IF('Inputs Yr 2'!$AL247=BK$4,'Inputs Yr 2'!$AM247,IF('Inputs Yr 2'!$AN247=BK$4,'Inputs Yr 2'!$AO247,0))))*(INDEX(avoidedcosttbl2,$H247,BT$2)+(($H247-ROUNDDOWN($H247,0))*(INDEX(avoidedcosttbl2,ROUNDUP($H247,0),BT$2)-(INDEX(avoidedcosttbl2,ROUNDDOWN($H247,0),BT$2)))))*'Inputs Yr 2'!P247*'Inputs Yr 2'!Q247*'Inputs Yr 2'!U247,"")</f>
        <v/>
      </c>
      <c r="BU247" s="197" t="str">
        <f>IFERROR(($G247*IF('Inputs Yr 2'!$AJ247=BL$4,'Inputs Yr 2'!$AK247,IF('Inputs Yr 2'!$AL247=BL$4,'Inputs Yr 2'!$AM247,IF('Inputs Yr 2'!$AN247=BL$4,'Inputs Yr 2'!$AO247,0))))*(INDEX(avoidedcosttbl2,$H247,BU$2)+(($H247-ROUNDDOWN($H247,0))*(INDEX(avoidedcosttbl2,ROUNDUP($H247,0),BU$2)-(INDEX(avoidedcosttbl2,ROUNDDOWN($H247,0),BU$2)))))*'Inputs Yr 2'!P247*'Inputs Yr 2'!Q247*'Inputs Yr 2'!U247,"")</f>
        <v/>
      </c>
      <c r="BV247" s="775" t="str">
        <f>IFERROR(($G247*IF('Inputs Yr 2'!$AJ247=BJ$4,'Inputs Yr 2'!$AK247,IF('Inputs Yr 2'!$AL247=BJ$4,'Inputs Yr 2'!$AM247,IF('Inputs Yr 2'!$AN247=BJ$4,'Inputs Yr 2'!$AO247,0))))*(INDEX(avoidedcosttbl2,$H247,BV$2)+(($H247-ROUNDDOWN($H247,0))*(INDEX(avoidedcosttbl2,ROUNDUP($H247,0),BV$2)-(INDEX(avoidedcosttbl2,ROUNDDOWN($H247,0),BV$2)))))*'Inputs Yr 2'!P247*'Inputs Yr 2'!Q247*'Inputs Yr 2'!U247,"")</f>
        <v/>
      </c>
      <c r="BW247" s="197" t="str">
        <f>IFERROR(($G247*IF('Inputs Yr 2'!$AJ247=BN$4,'Inputs Yr 2'!$AK247,IF('Inputs Yr 2'!$AL247=BN$4,'Inputs Yr 2'!$AM247,IF('Inputs Yr 2'!$AN247=BN$4,'Inputs Yr 2'!$AO247,0))))*(INDEX(avoidedcosttbl2,$H247,BW$2)+(($H247-ROUNDDOWN($H247,0))*(INDEX(avoidedcosttbl2,ROUNDUP($H247,0),BW$2)-(INDEX(avoidedcosttbl2,ROUNDDOWN($H247,0),BW$2)))))*'Inputs Yr 2'!P247*'Inputs Yr 2'!Q247*'Inputs Yr 2'!U247,"")</f>
        <v/>
      </c>
      <c r="BX247" s="197" t="str">
        <f>IFERROR(($G247*IF('Inputs Yr 2'!$AJ247=BO$4,'Inputs Yr 2'!$AK247,IF('Inputs Yr 2'!$AL247=BO$4,'Inputs Yr 2'!$AM247,IF('Inputs Yr 2'!$AN247=BO$4,'Inputs Yr 2'!$AO247,0))))*(INDEX(avoidedcosttbl2,$H247,BX$2)+(($H247-ROUNDDOWN($H247,0))*(INDEX(avoidedcosttbl2,ROUNDUP($H247,0),BX$2)-(INDEX(avoidedcosttbl2,ROUNDDOWN($H247,0),BX$2)))))*'Inputs Yr 2'!P247*'Inputs Yr 2'!Q247*'Inputs Yr 2'!U247,"")</f>
        <v/>
      </c>
      <c r="BY247" s="197" t="str">
        <f>IFERROR(($G247*IF('Inputs Yr 2'!$AJ247=BP$4,'Inputs Yr 2'!$AK247,IF('Inputs Yr 2'!$AL247=BP$4,'Inputs Yr 2'!$AM247,IF('Inputs Yr 2'!$AN247=BP$4,'Inputs Yr 2'!$AO247,0))))*(INDEX(avoidedcosttbl2,$H247,BY$2)+(($H247-ROUNDDOWN($H247,0))*(INDEX(avoidedcosttbl2,ROUNDUP($H247,0),BY$2)-(INDEX(avoidedcosttbl2,ROUNDDOWN($H247,0),BY$2)))))*'Inputs Yr 2'!P247*'Inputs Yr 2'!Q247*'Inputs Yr 2'!U247,"")</f>
        <v/>
      </c>
      <c r="BZ247" s="193">
        <f t="shared" si="129"/>
        <v>0</v>
      </c>
      <c r="CA247" s="193">
        <f t="shared" si="130"/>
        <v>0</v>
      </c>
      <c r="CB247" s="195" t="str">
        <f>IFERROR(G247*(IF('Inputs Yr 2'!$AJ247=CB$4,'Inputs Yr 2'!$AK247,IF('Inputs Yr 2'!$AL247=CB$4,'Inputs Yr 2'!$AM247,IF('Inputs Yr 2'!$AN247=CB$4,'Inputs Yr 2'!$AO247,0))))*(INDEX(avoidedcosttbl2,$H247,CB$2)+(($H247-ROUNDDOWN($H247,0))*(INDEX(avoidedcosttbl2,ROUNDUP($H247,0),CB$2)-(INDEX(avoidedcosttbl2,ROUNDDOWN($H247,0),CB$2)))))*'Inputs Yr 2'!P247*'Inputs Yr 2'!Q247*'Inputs Yr 2'!U247,"")</f>
        <v/>
      </c>
      <c r="CC247" s="195">
        <f>IFERROR(H247*(IF('Inputs Yr 2'!$AJ247=CC$4,'Inputs Yr 2'!$AK247,IF('Inputs Yr 2'!$AL247=CC$4,'Inputs Yr 2'!$AM247,IF('Inputs Yr 2'!$AN247=CC$4,'Inputs Yr 2'!$AO247,0))))*(INDEX(avoidedcosttbl2,$H247,CC$2)+(($H247-ROUNDDOWN($H247,0))*(INDEX(avoidedcosttbl2,ROUNDUP($H247,0),CC$2)-(INDEX(avoidedcosttbl2,ROUNDDOWN($H247,0),CC$2)))))*'Inputs Yr 2'!Q247*'Inputs Yr 2'!R247*'Inputs Yr 2'!V247,"")</f>
        <v>0</v>
      </c>
      <c r="CD247" s="195" t="str">
        <f>IFERROR(I247*(IF('Inputs Yr 2'!$AJ247=CD$4,'Inputs Yr 2'!$AK247,IF('Inputs Yr 2'!$AL247=CD$4,'Inputs Yr 2'!$AM247,IF('Inputs Yr 2'!$AN247=CD$4,'Inputs Yr 2'!$AO247,0))))*(INDEX(avoidedcosttbl2,$H247,CD$2)+(($H247-ROUNDDOWN($H247,0))*(INDEX(avoidedcosttbl2,ROUNDUP($H247,0),CD$2)-(INDEX(avoidedcosttbl2,ROUNDDOWN($H247,0),CD$2)))))*'Inputs Yr 2'!R247*'Inputs Yr 2'!S247*'Inputs Yr 2'!W247,"")</f>
        <v/>
      </c>
      <c r="CE247" s="213">
        <f t="shared" si="131"/>
        <v>0</v>
      </c>
      <c r="CF247" s="213">
        <f t="shared" si="132"/>
        <v>0</v>
      </c>
      <c r="CG247" s="213">
        <f t="shared" si="133"/>
        <v>0</v>
      </c>
      <c r="CH247" s="698">
        <f t="shared" si="134"/>
        <v>0</v>
      </c>
      <c r="CI247" s="79" t="str">
        <f>IFERROR(($G247*'Inputs Yr 2'!$P247*'Inputs Yr 2'!$Q247*(((INDEX(avoidedcosttbl2,$H247,CI$2)+(($H247-ROUNDDOWN($H247,0))*(INDEX(avoidedcosttbl2,ROUNDUP($H247,0),CI$2)-INDEX(avoidedcosttbl2,ROUNDDOWN($H247,0),CI$2))))*'Inputs Yr 2'!AS247))),"")</f>
        <v/>
      </c>
      <c r="CJ247" s="504" t="str">
        <f>IFERROR($G247*'Inputs Yr 2'!AT247*'Inputs Yr 2'!$P247*'Inputs Yr 2'!$Q247/((1+realdiscrt1)^-0.5),"")</f>
        <v/>
      </c>
      <c r="CK247" s="79" t="str">
        <f>IFERROR((O247*1000*(((INDEX(avoidedcosttbl2,$H247,CK$2)+(($H247-ROUNDDOWN($H247,0))*(INDEX(avoidedcosttbl2,ROUNDUP($H247,0),CK$2)-INDEX(avoidedcosttbl2,ROUNDDOWN($H247,0),CK$2))))*'Inputs Yr 2'!AU247))),"")</f>
        <v/>
      </c>
      <c r="CL247" s="504" t="str">
        <f>IFERROR(O247*1000*'Inputs Yr 2'!AV247/((1+realdiscrt1)^-0.5),"")</f>
        <v/>
      </c>
      <c r="CM247" s="79">
        <f>IFERROR((AB247*'Inputs Yr 2'!AW247*(((INDEX(avoidedcosttbl2,$H247,CM$2)+(($H247-ROUNDDOWN($H247,0))*(INDEX(avoidedcosttbl2,ROUNDUP($H247,0),CM$2)-INDEX(avoidedcosttbl2,ROUNDDOWN($H247,0),CM$2)))))))*10,"")</f>
        <v>0</v>
      </c>
      <c r="CN247" s="504">
        <f>IFERROR(10*AB247*'Inputs Yr 2'!AX247/((1+realdiscrt1)^-0.5),"")</f>
        <v>0</v>
      </c>
      <c r="CO247" s="505">
        <f t="shared" si="135"/>
        <v>0</v>
      </c>
      <c r="CP247" s="230">
        <f t="shared" si="136"/>
        <v>0</v>
      </c>
      <c r="CQ247" s="199">
        <f>ROUND(IFERROR(IF(LEFT($A247,1)="C",'Avoided Costs'!$K$13,'Avoided Costs'!$K$12)+1,""),4)</f>
        <v>1.0720000000000001</v>
      </c>
      <c r="CR247" s="199">
        <f>ROUND(IFERROR(IF(LEFT($A247,1)="C",'Avoided Costs'!$L$13,'Avoided Costs'!$L$12)+1,""),4)</f>
        <v>1.04</v>
      </c>
      <c r="CS247" s="199">
        <f>ROUND(IFERROR(IF(LEFT($A247,1)="C",'Avoided Costs'!$M$13,'Avoided Costs'!$M$12)+1,""),4)</f>
        <v>1.0720000000000001</v>
      </c>
      <c r="CT247" s="199">
        <f>ROUND(IFERROR(IF(LEFT($A247,1)="C",'Avoided Costs'!$N$13,'Avoided Costs'!$N$12)+1,""),4)</f>
        <v>1.04</v>
      </c>
      <c r="CU247" s="199">
        <f>ROUND(IFERROR(IF(LEFT($A247,1)="C",'Avoided Costs'!$O$13,'Avoided Costs'!$O$12)+1,""),4)</f>
        <v>1.1120000000000001</v>
      </c>
      <c r="CV247" s="199">
        <f>ROUND(IFERROR(IF(LEFT($A247,1)="C",'Avoided Costs'!$P$13,'Avoided Costs'!$P$12)+1,""),4)</f>
        <v>1.095</v>
      </c>
      <c r="CW247" s="199">
        <f>ROUND(IFERROR(IF(LEFT($A247,1)="C",'Avoided Costs'!$Q$13,'Avoided Costs'!$Q$12)+1,""),4)</f>
        <v>1.1120000000000001</v>
      </c>
      <c r="CX247" s="200">
        <f>ROUND(IFERROR(IF(LEFT($A247,1)="C",'Avoided Costs'!$R$13,'Avoided Costs'!$R$12)+1,""),4)</f>
        <v>1.1120000000000001</v>
      </c>
    </row>
    <row r="248" spans="1:102" ht="12.75" customHeight="1">
      <c r="A248" s="91" t="str">
        <f>IF('Inputs Yr 2'!$B248=0,"",'Inputs Yr 2'!A248)</f>
        <v>C - Commercial &amp; Industrial</v>
      </c>
      <c r="B248" s="91" t="str">
        <f>IF('Inputs Yr 2'!$B248=0,"",'Inputs Yr 2'!B248)</f>
        <v>C2 - C&amp;I Retrofit</v>
      </c>
      <c r="C248" s="91" t="str">
        <f>IF('Inputs Yr 2'!$B248=0,"",'Inputs Yr 2'!C248)</f>
        <v>C2a - C&amp;I Existing Building Retrofit</v>
      </c>
      <c r="D248" s="91" t="str">
        <f>IF('Inputs Yr 2'!$B248=0,"",'Inputs Yr 2'!E248)</f>
        <v>Heat Recovery - Custom 15</v>
      </c>
      <c r="E248" s="93" t="str">
        <f>IF('Inputs Yr 2'!$B248=0,"",'Inputs Yr 2'!F248)</f>
        <v>G16C2a04</v>
      </c>
      <c r="F248" s="93" t="str">
        <f>IF('Inputs Yr 2'!$B248=0,"",'Inputs Yr 2'!G248)</f>
        <v>HVAC</v>
      </c>
      <c r="G248" s="95">
        <f>IF('Inputs Yr 2'!$H248&lt;&gt;0,('Inputs Yr 2'!H248),"")</f>
        <v>1</v>
      </c>
      <c r="H248" s="94">
        <f>IFERROR('Inputs Yr 2'!I248,"")</f>
        <v>15</v>
      </c>
      <c r="I248" s="298">
        <f>IFERROR('Inputs Yr 2'!J248*'Inputs Yr 2'!P248*G248,"")</f>
        <v>36295.721200000007</v>
      </c>
      <c r="J248" s="298">
        <f>IFERROR('Inputs Yr 2'!K248*G248,"")</f>
        <v>19747.400000000001</v>
      </c>
      <c r="K248" s="298">
        <f t="shared" si="113"/>
        <v>16548.321200000006</v>
      </c>
      <c r="L248" s="194">
        <f>IFERROR(('Inputs Yr 2'!W248*G248)/1000,"")</f>
        <v>0</v>
      </c>
      <c r="M248" s="194">
        <f>IFERROR(L248*('Inputs Yr 2'!$Q248*'Inputs Yr 2'!$V248*'Inputs Yr 2'!$R248),"")</f>
        <v>0</v>
      </c>
      <c r="N248" s="194">
        <f t="shared" si="114"/>
        <v>0</v>
      </c>
      <c r="O248" s="194">
        <f>IFERROR(M248*'Inputs Yr 2'!P248,"")</f>
        <v>0</v>
      </c>
      <c r="P248" s="194">
        <f t="shared" si="115"/>
        <v>0</v>
      </c>
      <c r="Q248" s="194">
        <f>IFERROR($P248*'Inputs Yr 2'!AA248,"")</f>
        <v>0</v>
      </c>
      <c r="R248" s="194">
        <f>IFERROR($P248*'Inputs Yr 2'!AB248,"")</f>
        <v>0</v>
      </c>
      <c r="S248" s="194">
        <f>IFERROR($P248*'Inputs Yr 2'!AC248,"")</f>
        <v>0</v>
      </c>
      <c r="T248" s="194">
        <f>IFERROR($P248*'Inputs Yr 2'!AD248,"")</f>
        <v>0</v>
      </c>
      <c r="U248" s="194">
        <f>IFERROR(G248*'Inputs Yr 2'!$AE248*'Inputs Yr 2'!$P248*'Inputs Yr 2'!$Q248,"")</f>
        <v>0</v>
      </c>
      <c r="V248" s="194">
        <f>IFERROR($G248*'Inputs Yr 2'!$AE248*'Inputs Yr 2'!$AG248*'Inputs Yr 2'!Q248*'Inputs Yr 2'!$S248,"")</f>
        <v>0</v>
      </c>
      <c r="W248" s="194">
        <f>IFERROR($G248*'Inputs Yr 2'!$AE248*'Inputs Yr 2'!$AG248*'Inputs Yr 2'!P248*'Inputs Yr 2'!Q248*'Inputs Yr 2'!$S248,"")</f>
        <v>0</v>
      </c>
      <c r="X248" s="194">
        <f>IFERROR($G248*'Inputs Yr 2'!$AE248*'Inputs Yr 2'!$AF248*'Inputs Yr 2'!Q248*'Inputs Yr 2'!$T248,"")</f>
        <v>0</v>
      </c>
      <c r="Y248" s="194">
        <f>IFERROR($G248*'Inputs Yr 2'!$AE248*'Inputs Yr 2'!$AF248*'Inputs Yr 2'!P248*'Inputs Yr 2'!Q248*'Inputs Yr 2'!$T248,"")</f>
        <v>0</v>
      </c>
      <c r="Z248" s="257">
        <f>IFERROR($G248*'Inputs Yr 2'!$Q248*'Inputs Yr 2'!$U248*(IF(IFERROR(SEARCH("NG", 'Inputs Yr 2'!$AJ248),0),'Inputs Yr 2'!$AK248,0)+IF(IFERROR(SEARCH("NG", 'Inputs Yr 2'!$AL248),0),'Inputs Yr 2'!$AM248,0)+IF(IFERROR(SEARCH("NG", 'Inputs Yr 2'!$AN248),0),'Inputs Yr 2'!$AO248,0)),0)</f>
        <v>622.96630000000005</v>
      </c>
      <c r="AA248" s="257">
        <f t="shared" si="116"/>
        <v>9344.4945000000007</v>
      </c>
      <c r="AB248" s="257">
        <f>IFERROR(Z248*'Inputs Yr 2'!$P248,0)</f>
        <v>572.50602970000011</v>
      </c>
      <c r="AC248" s="257">
        <f t="shared" si="117"/>
        <v>8587.5904455000018</v>
      </c>
      <c r="AD248" s="257">
        <f>IFERROR($G248*'Inputs Yr 2'!$Q248*'Inputs Yr 2'!$U248*(IF(IFERROR(SEARCH("Oil", 'Inputs Yr 2'!$AJ248), 0),'Inputs Yr 2'!$AK248,0)+IF(IFERROR(SEARCH("Oil", 'Inputs Yr 2'!$AL248), 0),'Inputs Yr 2'!$AM248,0)+IF(IFERROR(SEARCH("Oil", 'Inputs Yr 2'!$AN248), 0),'Inputs Yr 2'!$AO248,0)),0)</f>
        <v>0</v>
      </c>
      <c r="AE248" s="257">
        <f t="shared" si="118"/>
        <v>0</v>
      </c>
      <c r="AF248" s="257">
        <f>IFERROR(AD248*'Inputs Yr 2'!$P248,0)</f>
        <v>0</v>
      </c>
      <c r="AG248" s="257">
        <f t="shared" si="119"/>
        <v>0</v>
      </c>
      <c r="AH248" s="257">
        <f>IFERROR($G248*'Inputs Yr 2'!$Q248*'Inputs Yr 2'!$U248*(IF('Inputs Yr 2'!$AJ248=CD$4,'Inputs Yr 2'!$AK248,IF('Inputs Yr 2'!$AL248=CD$4,'Inputs Yr 2'!$AM248,IF('Inputs Yr 2'!$AN248=CD$4,'Inputs Yr 2'!$AO248,0)))),0)</f>
        <v>0</v>
      </c>
      <c r="AI248" s="257">
        <f t="shared" si="120"/>
        <v>0</v>
      </c>
      <c r="AJ248" s="257">
        <f>IFERROR(AH248*'Inputs Yr 2'!$P248,0)</f>
        <v>0</v>
      </c>
      <c r="AK248" s="257">
        <f t="shared" si="121"/>
        <v>0</v>
      </c>
      <c r="AL248" s="258">
        <f>IFERROR($G248*'Inputs Yr 2'!$P248*'Inputs Yr 2'!$Q248*'Inputs Yr 2'!AP248,0)</f>
        <v>0</v>
      </c>
      <c r="AM248" s="260">
        <f>IFERROR($G248*'Inputs Yr 2'!$P248*'Inputs Yr 2'!$Q248*'Inputs Yr 2'!AQ248,0)</f>
        <v>0</v>
      </c>
      <c r="AN248" s="258">
        <f>IFERROR($G248*'Inputs Yr 2'!$P248*'Inputs Yr 2'!$Q248*'Inputs Yr 2'!AR248,0)</f>
        <v>0</v>
      </c>
      <c r="AO248" s="257">
        <f t="shared" si="122"/>
        <v>0</v>
      </c>
      <c r="AP248" s="195">
        <f>IFERROR($CQ248*(INDEX(avoidedcosttbl2,$H248,AP$2)+(($H248-ROUNDDOWN($H248,0))*(INDEX(avoidedcosttbl2,ROUNDUP($H248,0),AP$2)-(INDEX(avoidedcosttbl2,ROUNDDOWN($H248,0),AP$2)))))*$O248*1000*'Inputs Yr 2'!AA248,"")</f>
        <v>0</v>
      </c>
      <c r="AQ248" s="195">
        <f>IFERROR($CR248*(INDEX(avoidedcosttbl2,$H248,AQ$2)+(($H248-ROUNDDOWN($H248,0))*(INDEX(avoidedcosttbl2,ROUNDUP($H248,0),AQ$2)-(INDEX(avoidedcosttbl2,ROUNDDOWN($H248,0),AQ$2)))))*$O248*1000*'Inputs Yr 2'!AB248,"")</f>
        <v>0</v>
      </c>
      <c r="AR248" s="195">
        <f>IFERROR($CS248*(INDEX(avoidedcosttbl2,$H248,AR$2)+(($H248-ROUNDDOWN($H248,0))*(INDEX(avoidedcosttbl2,ROUNDUP($H248,0),AR$2)-(INDEX(avoidedcosttbl2,ROUNDDOWN($H248,0),AR$2)))))*$O248*1000*'Inputs Yr 2'!AC248,"")</f>
        <v>0</v>
      </c>
      <c r="AS248" s="195">
        <f>IFERROR($CT248*(INDEX(avoidedcosttbl2,$H248,AS$2)+(($H248-ROUNDDOWN($H248,0))*(INDEX(avoidedcosttbl2,ROUNDUP($H248,0),AS$2)-(INDEX(avoidedcosttbl2,ROUNDDOWN($H248,0),AS$2)))))*$O248*1000*'Inputs Yr 2'!AD248,"")</f>
        <v>0</v>
      </c>
      <c r="AT248" s="196">
        <f t="shared" si="123"/>
        <v>0</v>
      </c>
      <c r="AU248" s="197">
        <f>IFERROR($CQ248*((INDEX(avoidedcosttbl2,$H248,AU$2))+(($H248-ROUNDDOWN($H248,0))*((INDEX(avoidedcosttbl2,ROUNDUP($H248,0),AU$2))-(INDEX(avoidedcosttbl2,ROUNDDOWN($H248,0),AU$2)))))*$O248*1000*'Inputs Yr 2'!AA248,"")</f>
        <v>0</v>
      </c>
      <c r="AV248" s="197">
        <f>IFERROR($CR248*((INDEX(avoidedcosttbl2,$H248,AV$2))+(($H248-ROUNDDOWN($H248,0))*((INDEX(avoidedcosttbl2,ROUNDUP($H248,0),AV$2))-(INDEX(avoidedcosttbl2,ROUNDDOWN($H248,0),AV$2)))))*$O248*1000*'Inputs Yr 2'!AB248,"")</f>
        <v>0</v>
      </c>
      <c r="AW248" s="197">
        <f>IFERROR($CS248*((INDEX(avoidedcosttbl2,$H248,AW$2))+(($H248-ROUNDDOWN($H248,0))*((INDEX(avoidedcosttbl2,ROUNDUP($H248,0),AW$2))-(INDEX(avoidedcosttbl2,ROUNDDOWN($H248,0),AW$2)))))*$O248*1000*'Inputs Yr 2'!AC248,"")</f>
        <v>0</v>
      </c>
      <c r="AX248" s="197">
        <f>IFERROR($CT248*((INDEX(avoidedcosttbl2,$H248,AX$2))+(($H248-ROUNDDOWN($H248,0))*((INDEX(avoidedcosttbl2,ROUNDUP($H248,0),AX$2))-(INDEX(avoidedcosttbl2,ROUNDDOWN($H248,0),AX$2)))))*$O248*1000*'Inputs Yr 2'!AD248,"")</f>
        <v>0</v>
      </c>
      <c r="AY248" s="197">
        <f>IFERROR(((INDEX(avoidedcosttbl2,$H248,AY$2))+(($H248-ROUNDDOWN($H248,0))*((INDEX(avoidedcosttbl2,ROUNDUP($H248,0),AY$2))-(INDEX(avoidedcosttbl2,ROUNDDOWN($H248,0),AY$2)))))*$O248*1000*('Inputs Yr 2'!AC248+'Inputs Yr 2'!AD248),"")</f>
        <v>0</v>
      </c>
      <c r="AZ248" s="197">
        <f>IFERROR(((INDEX(avoidedcosttbl2,$H248,AZ$2))+(($H248-ROUNDDOWN($H248,0))*((INDEX(avoidedcosttbl2,ROUNDUP($H248,0),AZ$2))-(INDEX(avoidedcosttbl2,ROUNDDOWN($H248,0),AZ$2)))))*$O248*1000*('Inputs Yr 2'!AA248+'Inputs Yr 2'!AB248),"")</f>
        <v>0</v>
      </c>
      <c r="BA248" s="198">
        <f t="shared" si="124"/>
        <v>0</v>
      </c>
      <c r="BB248" s="198">
        <f t="shared" si="125"/>
        <v>0</v>
      </c>
      <c r="BC248" s="195">
        <f t="shared" si="107"/>
        <v>0</v>
      </c>
      <c r="BD248" s="195">
        <f t="shared" si="108"/>
        <v>0</v>
      </c>
      <c r="BE248" s="195">
        <f t="shared" si="109"/>
        <v>0</v>
      </c>
      <c r="BF248" s="195">
        <f t="shared" si="110"/>
        <v>0</v>
      </c>
      <c r="BG248" s="195">
        <f t="shared" si="111"/>
        <v>0</v>
      </c>
      <c r="BH248" s="196">
        <f t="shared" si="126"/>
        <v>0</v>
      </c>
      <c r="BI248" s="196">
        <f t="shared" si="127"/>
        <v>0</v>
      </c>
      <c r="BJ248" s="195">
        <f>IFERROR($G248*(IF('Inputs Yr 2'!$AJ248=BJ$4,'Inputs Yr 2'!$AK248,IF('Inputs Yr 2'!$AL248=BJ$4,'Inputs Yr 2'!$AM248,IF('Inputs Yr 2'!$AN248=BJ$4,'Inputs Yr 2'!$AO248,0))))*(INDEX(avoidedcosttbl2,$H248,BJ$2)+(($H248-ROUNDDOWN($H248,0))*(INDEX(avoidedcosttbl2,ROUNDUP($H248,0),BJ$2)-(INDEX(avoidedcosttbl2,ROUNDDOWN($H248,0),BJ$2)))))*'Inputs Yr 2'!P248*'Inputs Yr 2'!Q248*'Inputs Yr 2'!U248,"")</f>
        <v>0</v>
      </c>
      <c r="BK248" s="195">
        <f>IFERROR($G248*(IF('Inputs Yr 2'!$AJ248=BK$4,'Inputs Yr 2'!$AK248,IF('Inputs Yr 2'!$AL248=BK$4,'Inputs Yr 2'!$AM248,IF('Inputs Yr 2'!$AN248=BK$4,'Inputs Yr 2'!$AO248,0))))*(INDEX(avoidedcosttbl2,$H248,BK$2)+(($H248-ROUNDDOWN($H248,0))*(INDEX(avoidedcosttbl2,ROUNDUP($H248,0),BK$2)-(INDEX(avoidedcosttbl2,ROUNDDOWN($H248,0),BK$2)))))*'Inputs Yr 2'!P248*'Inputs Yr 2'!Q248*'Inputs Yr 2'!U248,"")</f>
        <v>0</v>
      </c>
      <c r="BL248" s="195">
        <f>IFERROR($G248*(IF('Inputs Yr 2'!$AJ248=BL$4,'Inputs Yr 2'!$AK248,IF('Inputs Yr 2'!$AL248=BL$4,'Inputs Yr 2'!$AM248,IF('Inputs Yr 2'!$AN248=BL$4,'Inputs Yr 2'!$AO248,0))))*(INDEX(avoidedcosttbl2,$H248,BL$2)+(($H248-ROUNDDOWN($H248,0))*(INDEX(avoidedcosttbl2,ROUNDUP($H248,0),BL$2)-(INDEX(avoidedcosttbl2,ROUNDDOWN($H248,0),BL$2)))))*'Inputs Yr 2'!P248*'Inputs Yr 2'!Q248*'Inputs Yr 2'!U248,"")</f>
        <v>0</v>
      </c>
      <c r="BM248" s="195">
        <f>IFERROR($G248*(IF('Inputs Yr 2'!$AJ248=BM$4,'Inputs Yr 2'!$AK248,IF('Inputs Yr 2'!$AL248=BM$4,'Inputs Yr 2'!$AM248,IF('Inputs Yr 2'!$AN248=BM$4,'Inputs Yr 2'!$AO248,0))))*(INDEX(avoidedcosttbl2,$H248,BM$2)+(($H248-ROUNDDOWN($H248,0))*(INDEX(avoidedcosttbl2,ROUNDUP($H248,0),BM$2)-(INDEX(avoidedcosttbl2,ROUNDDOWN($H248,0),BM$2)))))*'Inputs Yr 2'!P248*'Inputs Yr 2'!Q248*'Inputs Yr 2'!U248,"")</f>
        <v>0</v>
      </c>
      <c r="BN248" s="195">
        <f>IFERROR($G248*(IF('Inputs Yr 2'!$AJ248=BN$4,'Inputs Yr 2'!$AK248,IF('Inputs Yr 2'!$AL248=BN$4,'Inputs Yr 2'!$AM248,IF('Inputs Yr 2'!$AN248=BN$4,'Inputs Yr 2'!$AO248,0))))*(INDEX(avoidedcosttbl2,$H248,BN$2)+(($H248-ROUNDDOWN($H248,0))*(INDEX(avoidedcosttbl2,ROUNDUP($H248,0),BN$2)-(INDEX(avoidedcosttbl2,ROUNDDOWN($H248,0),BN$2)))))*'Inputs Yr 2'!P248*'Inputs Yr 2'!Q248*'Inputs Yr 2'!U248,"")</f>
        <v>0</v>
      </c>
      <c r="BO248" s="195">
        <f>IFERROR($G248*(IF('Inputs Yr 2'!$AJ248=BO$4,'Inputs Yr 2'!$AK248,IF('Inputs Yr 2'!$AL248=BO$4,'Inputs Yr 2'!$AM248,IF('Inputs Yr 2'!$AN248=BO$4,'Inputs Yr 2'!$AO248,0))))*(INDEX(avoidedcosttbl2,$H248,BO$2)+(($H248-ROUNDDOWN($H248,0))*(INDEX(avoidedcosttbl2,ROUNDUP($H248,0),BO$2)-(INDEX(avoidedcosttbl2,ROUNDDOWN($H248,0),BO$2)))))*'Inputs Yr 2'!P248*'Inputs Yr 2'!Q248*'Inputs Yr 2'!U248,"")</f>
        <v>66975.164777196784</v>
      </c>
      <c r="BP248" s="195">
        <f>IFERROR($G248*(IF('Inputs Yr 2'!$AJ248=BP$4,'Inputs Yr 2'!$AK248,IF('Inputs Yr 2'!$AL248=BP$4,'Inputs Yr 2'!$AM248,IF('Inputs Yr 2'!$AN248=BP$4,'Inputs Yr 2'!$AO248,0))))*(INDEX(avoidedcosttbl2,$H248,BP$2)+(($H248-ROUNDDOWN($H248,0))*(INDEX(avoidedcosttbl2,ROUNDUP($H248,0),BP$2)-(INDEX(avoidedcosttbl2,ROUNDDOWN($H248,0),BP$2)))))*'Inputs Yr 2'!P248*'Inputs Yr 2'!Q248*'Inputs Yr 2'!U248,"")</f>
        <v>0</v>
      </c>
      <c r="BQ248" s="230">
        <f t="shared" si="128"/>
        <v>66975.164777196784</v>
      </c>
      <c r="BR248" s="197">
        <f t="shared" si="112"/>
        <v>1163.978366889522</v>
      </c>
      <c r="BS248" s="197">
        <f>IFERROR(($G248*IF('Inputs Yr 2'!$AJ248=BM$4,'Inputs Yr 2'!$AK248,IF('Inputs Yr 2'!$AL248=BM$4,'Inputs Yr 2'!$AM248,IF('Inputs Yr 2'!$AN248=BM$4,'Inputs Yr 2'!$AO248,0))))*(INDEX(avoidedcosttbl2,$H248,BS$2)+(($H248-ROUNDDOWN($H248,0))*(INDEX(avoidedcosttbl2,ROUNDUP($H248,0),BS$2)-(INDEX(avoidedcosttbl2,ROUNDDOWN($H248,0),BS$2)))))*'Inputs Yr 2'!P248*'Inputs Yr 2'!Q248*'Inputs Yr 2'!U248,"")</f>
        <v>0</v>
      </c>
      <c r="BT248" s="197">
        <f>IFERROR(($G248*IF('Inputs Yr 2'!$AJ248=BK$4,'Inputs Yr 2'!$AK248,IF('Inputs Yr 2'!$AL248=BK$4,'Inputs Yr 2'!$AM248,IF('Inputs Yr 2'!$AN248=BK$4,'Inputs Yr 2'!$AO248,0))))*(INDEX(avoidedcosttbl2,$H248,BT$2)+(($H248-ROUNDDOWN($H248,0))*(INDEX(avoidedcosttbl2,ROUNDUP($H248,0),BT$2)-(INDEX(avoidedcosttbl2,ROUNDDOWN($H248,0),BT$2)))))*'Inputs Yr 2'!P248*'Inputs Yr 2'!Q248*'Inputs Yr 2'!U248,"")</f>
        <v>0</v>
      </c>
      <c r="BU248" s="197">
        <f>IFERROR(($G248*IF('Inputs Yr 2'!$AJ248=BL$4,'Inputs Yr 2'!$AK248,IF('Inputs Yr 2'!$AL248=BL$4,'Inputs Yr 2'!$AM248,IF('Inputs Yr 2'!$AN248=BL$4,'Inputs Yr 2'!$AO248,0))))*(INDEX(avoidedcosttbl2,$H248,BU$2)+(($H248-ROUNDDOWN($H248,0))*(INDEX(avoidedcosttbl2,ROUNDUP($H248,0),BU$2)-(INDEX(avoidedcosttbl2,ROUNDDOWN($H248,0),BU$2)))))*'Inputs Yr 2'!P248*'Inputs Yr 2'!Q248*'Inputs Yr 2'!U248,"")</f>
        <v>0</v>
      </c>
      <c r="BV248" s="775">
        <f>IFERROR(($G248*IF('Inputs Yr 2'!$AJ248=BJ$4,'Inputs Yr 2'!$AK248,IF('Inputs Yr 2'!$AL248=BJ$4,'Inputs Yr 2'!$AM248,IF('Inputs Yr 2'!$AN248=BJ$4,'Inputs Yr 2'!$AO248,0))))*(INDEX(avoidedcosttbl2,$H248,BV$2)+(($H248-ROUNDDOWN($H248,0))*(INDEX(avoidedcosttbl2,ROUNDUP($H248,0),BV$2)-(INDEX(avoidedcosttbl2,ROUNDDOWN($H248,0),BV$2)))))*'Inputs Yr 2'!P248*'Inputs Yr 2'!Q248*'Inputs Yr 2'!U248,"")</f>
        <v>0</v>
      </c>
      <c r="BW248" s="197">
        <f>IFERROR(($G248*IF('Inputs Yr 2'!$AJ248=BN$4,'Inputs Yr 2'!$AK248,IF('Inputs Yr 2'!$AL248=BN$4,'Inputs Yr 2'!$AM248,IF('Inputs Yr 2'!$AN248=BN$4,'Inputs Yr 2'!$AO248,0))))*(INDEX(avoidedcosttbl2,$H248,BW$2)+(($H248-ROUNDDOWN($H248,0))*(INDEX(avoidedcosttbl2,ROUNDUP($H248,0),BW$2)-(INDEX(avoidedcosttbl2,ROUNDDOWN($H248,0),BW$2)))))*'Inputs Yr 2'!P248*'Inputs Yr 2'!Q248*'Inputs Yr 2'!U248,"")</f>
        <v>0</v>
      </c>
      <c r="BX248" s="197">
        <f>IFERROR(($G248*IF('Inputs Yr 2'!$AJ248=BO$4,'Inputs Yr 2'!$AK248,IF('Inputs Yr 2'!$AL248=BO$4,'Inputs Yr 2'!$AM248,IF('Inputs Yr 2'!$AN248=BO$4,'Inputs Yr 2'!$AO248,0))))*(INDEX(avoidedcosttbl2,$H248,BX$2)+(($H248-ROUNDDOWN($H248,0))*(INDEX(avoidedcosttbl2,ROUNDUP($H248,0),BX$2)-(INDEX(avoidedcosttbl2,ROUNDDOWN($H248,0),BX$2)))))*'Inputs Yr 2'!P248*'Inputs Yr 2'!Q248*'Inputs Yr 2'!U248,"")</f>
        <v>4720.1903641661647</v>
      </c>
      <c r="BY248" s="197">
        <f>IFERROR(($G248*IF('Inputs Yr 2'!$AJ248=BP$4,'Inputs Yr 2'!$AK248,IF('Inputs Yr 2'!$AL248=BP$4,'Inputs Yr 2'!$AM248,IF('Inputs Yr 2'!$AN248=BP$4,'Inputs Yr 2'!$AO248,0))))*(INDEX(avoidedcosttbl2,$H248,BY$2)+(($H248-ROUNDDOWN($H248,0))*(INDEX(avoidedcosttbl2,ROUNDUP($H248,0),BY$2)-(INDEX(avoidedcosttbl2,ROUNDDOWN($H248,0),BY$2)))))*'Inputs Yr 2'!P248*'Inputs Yr 2'!Q248*'Inputs Yr 2'!U248,"")</f>
        <v>0</v>
      </c>
      <c r="BZ248" s="193">
        <f t="shared" si="129"/>
        <v>5884.1687310556863</v>
      </c>
      <c r="CA248" s="193">
        <f t="shared" si="130"/>
        <v>72859.333508252472</v>
      </c>
      <c r="CB248" s="195">
        <f>IFERROR(G248*(IF('Inputs Yr 2'!$AJ248=CB$4,'Inputs Yr 2'!$AK248,IF('Inputs Yr 2'!$AL248=CB$4,'Inputs Yr 2'!$AM248,IF('Inputs Yr 2'!$AN248=CB$4,'Inputs Yr 2'!$AO248,0))))*(INDEX(avoidedcosttbl2,$H248,CB$2)+(($H248-ROUNDDOWN($H248,0))*(INDEX(avoidedcosttbl2,ROUNDUP($H248,0),CB$2)-(INDEX(avoidedcosttbl2,ROUNDDOWN($H248,0),CB$2)))))*'Inputs Yr 2'!P248*'Inputs Yr 2'!Q248*'Inputs Yr 2'!U248,"")</f>
        <v>0</v>
      </c>
      <c r="CC248" s="195">
        <f>IFERROR(H248*(IF('Inputs Yr 2'!$AJ248=CC$4,'Inputs Yr 2'!$AK248,IF('Inputs Yr 2'!$AL248=CC$4,'Inputs Yr 2'!$AM248,IF('Inputs Yr 2'!$AN248=CC$4,'Inputs Yr 2'!$AO248,0))))*(INDEX(avoidedcosttbl2,$H248,CC$2)+(($H248-ROUNDDOWN($H248,0))*(INDEX(avoidedcosttbl2,ROUNDUP($H248,0),CC$2)-(INDEX(avoidedcosttbl2,ROUNDDOWN($H248,0),CC$2)))))*'Inputs Yr 2'!Q248*'Inputs Yr 2'!R248*'Inputs Yr 2'!V248,"")</f>
        <v>0</v>
      </c>
      <c r="CD248" s="195">
        <f>IFERROR(I248*(IF('Inputs Yr 2'!$AJ248=CD$4,'Inputs Yr 2'!$AK248,IF('Inputs Yr 2'!$AL248=CD$4,'Inputs Yr 2'!$AM248,IF('Inputs Yr 2'!$AN248=CD$4,'Inputs Yr 2'!$AO248,0))))*(INDEX(avoidedcosttbl2,$H248,CD$2)+(($H248-ROUNDDOWN($H248,0))*(INDEX(avoidedcosttbl2,ROUNDUP($H248,0),CD$2)-(INDEX(avoidedcosttbl2,ROUNDDOWN($H248,0),CD$2)))))*'Inputs Yr 2'!R248*'Inputs Yr 2'!S248*'Inputs Yr 2'!W248,"")</f>
        <v>0</v>
      </c>
      <c r="CE248" s="213">
        <f t="shared" si="131"/>
        <v>0</v>
      </c>
      <c r="CF248" s="213">
        <f t="shared" si="132"/>
        <v>0</v>
      </c>
      <c r="CG248" s="213">
        <f t="shared" si="133"/>
        <v>0</v>
      </c>
      <c r="CH248" s="698">
        <f t="shared" si="134"/>
        <v>72859.333508252472</v>
      </c>
      <c r="CI248" s="79">
        <f>IFERROR(($G248*'Inputs Yr 2'!$P248*'Inputs Yr 2'!$Q248*(((INDEX(avoidedcosttbl2,$H248,CI$2)+(($H248-ROUNDDOWN($H248,0))*(INDEX(avoidedcosttbl2,ROUNDUP($H248,0),CI$2)-INDEX(avoidedcosttbl2,ROUNDDOWN($H248,0),CI$2))))*'Inputs Yr 2'!AS248))),"")</f>
        <v>0</v>
      </c>
      <c r="CJ248" s="504">
        <f>IFERROR($G248*'Inputs Yr 2'!AT248*'Inputs Yr 2'!$P248*'Inputs Yr 2'!$Q248/((1+realdiscrt1)^-0.5),"")</f>
        <v>0</v>
      </c>
      <c r="CK248" s="79">
        <f>IFERROR((O248*1000*(((INDEX(avoidedcosttbl2,$H248,CK$2)+(($H248-ROUNDDOWN($H248,0))*(INDEX(avoidedcosttbl2,ROUNDUP($H248,0),CK$2)-INDEX(avoidedcosttbl2,ROUNDDOWN($H248,0),CK$2))))*'Inputs Yr 2'!AU248))),"")</f>
        <v>0</v>
      </c>
      <c r="CL248" s="504">
        <f>IFERROR(O248*1000*'Inputs Yr 2'!AV248/((1+realdiscrt1)^-0.5),"")</f>
        <v>0</v>
      </c>
      <c r="CM248" s="79">
        <f>IFERROR((AB248*'Inputs Yr 2'!AW248*(((INDEX(avoidedcosttbl2,$H248,CM$2)+(($H248-ROUNDDOWN($H248,0))*(INDEX(avoidedcosttbl2,ROUNDUP($H248,0),CM$2)-INDEX(avoidedcosttbl2,ROUNDDOWN($H248,0),CM$2)))))))*10,"")</f>
        <v>20777.303317705002</v>
      </c>
      <c r="CN248" s="504">
        <f>IFERROR(10*AB248*'Inputs Yr 2'!AX248/((1+realdiscrt1)^-0.5),"")</f>
        <v>0</v>
      </c>
      <c r="CO248" s="505">
        <f t="shared" si="135"/>
        <v>20777.303317705002</v>
      </c>
      <c r="CP248" s="230">
        <f t="shared" si="136"/>
        <v>93636.636825957481</v>
      </c>
      <c r="CQ248" s="199">
        <f>ROUND(IFERROR(IF(LEFT($A248,1)="C",'Avoided Costs'!$K$13,'Avoided Costs'!$K$12)+1,""),4)</f>
        <v>1.0720000000000001</v>
      </c>
      <c r="CR248" s="199">
        <f>ROUND(IFERROR(IF(LEFT($A248,1)="C",'Avoided Costs'!$L$13,'Avoided Costs'!$L$12)+1,""),4)</f>
        <v>1.04</v>
      </c>
      <c r="CS248" s="199">
        <f>ROUND(IFERROR(IF(LEFT($A248,1)="C",'Avoided Costs'!$M$13,'Avoided Costs'!$M$12)+1,""),4)</f>
        <v>1.0720000000000001</v>
      </c>
      <c r="CT248" s="199">
        <f>ROUND(IFERROR(IF(LEFT($A248,1)="C",'Avoided Costs'!$N$13,'Avoided Costs'!$N$12)+1,""),4)</f>
        <v>1.04</v>
      </c>
      <c r="CU248" s="199">
        <f>ROUND(IFERROR(IF(LEFT($A248,1)="C",'Avoided Costs'!$O$13,'Avoided Costs'!$O$12)+1,""),4)</f>
        <v>1.1120000000000001</v>
      </c>
      <c r="CV248" s="199">
        <f>ROUND(IFERROR(IF(LEFT($A248,1)="C",'Avoided Costs'!$P$13,'Avoided Costs'!$P$12)+1,""),4)</f>
        <v>1.095</v>
      </c>
      <c r="CW248" s="199">
        <f>ROUND(IFERROR(IF(LEFT($A248,1)="C",'Avoided Costs'!$Q$13,'Avoided Costs'!$Q$12)+1,""),4)</f>
        <v>1.1120000000000001</v>
      </c>
      <c r="CX248" s="200">
        <f>ROUND(IFERROR(IF(LEFT($A248,1)="C",'Avoided Costs'!$R$13,'Avoided Costs'!$R$12)+1,""),4)</f>
        <v>1.1120000000000001</v>
      </c>
    </row>
    <row r="249" spans="1:102" ht="12.75" customHeight="1">
      <c r="A249" s="91" t="str">
        <f>IF('Inputs Yr 2'!$B249=0,"",'Inputs Yr 2'!A249)</f>
        <v>C - Commercial &amp; Industrial</v>
      </c>
      <c r="B249" s="91" t="str">
        <f>IF('Inputs Yr 2'!$B249=0,"",'Inputs Yr 2'!B249)</f>
        <v>C2 - C&amp;I Retrofit</v>
      </c>
      <c r="C249" s="91" t="str">
        <f>IF('Inputs Yr 2'!$B249=0,"",'Inputs Yr 2'!C249)</f>
        <v>C2a - C&amp;I Existing Building Retrofit</v>
      </c>
      <c r="D249" s="91" t="str">
        <f>IF('Inputs Yr 2'!$B249=0,"",'Inputs Yr 2'!E249)</f>
        <v>Heat Recovery - Custom 18</v>
      </c>
      <c r="E249" s="93" t="str">
        <f>IF('Inputs Yr 2'!$B249=0,"",'Inputs Yr 2'!F249)</f>
        <v>G16C2a04</v>
      </c>
      <c r="F249" s="93" t="str">
        <f>IF('Inputs Yr 2'!$B249=0,"",'Inputs Yr 2'!G249)</f>
        <v>HVAC</v>
      </c>
      <c r="G249" s="95">
        <f>IF('Inputs Yr 2'!$H249&lt;&gt;0,('Inputs Yr 2'!H249),"")</f>
        <v>1</v>
      </c>
      <c r="H249" s="94">
        <f>IFERROR('Inputs Yr 2'!I249,"")</f>
        <v>18</v>
      </c>
      <c r="I249" s="298">
        <f>IFERROR('Inputs Yr 2'!J249*'Inputs Yr 2'!P249*G249,"")</f>
        <v>1537584.4140000001</v>
      </c>
      <c r="J249" s="298">
        <f>IFERROR('Inputs Yr 2'!K249*G249,"")</f>
        <v>836553</v>
      </c>
      <c r="K249" s="298">
        <f t="shared" si="113"/>
        <v>701031.41400000011</v>
      </c>
      <c r="L249" s="194">
        <f>IFERROR(('Inputs Yr 2'!W249*G249)/1000,"")</f>
        <v>0</v>
      </c>
      <c r="M249" s="194">
        <f>IFERROR(L249*('Inputs Yr 2'!$Q249*'Inputs Yr 2'!$V249*'Inputs Yr 2'!$R249),"")</f>
        <v>0</v>
      </c>
      <c r="N249" s="194">
        <f t="shared" si="114"/>
        <v>0</v>
      </c>
      <c r="O249" s="194">
        <f>IFERROR(M249*'Inputs Yr 2'!P249,"")</f>
        <v>0</v>
      </c>
      <c r="P249" s="194">
        <f t="shared" si="115"/>
        <v>0</v>
      </c>
      <c r="Q249" s="194">
        <f>IFERROR($P249*'Inputs Yr 2'!AA249,"")</f>
        <v>0</v>
      </c>
      <c r="R249" s="194">
        <f>IFERROR($P249*'Inputs Yr 2'!AB249,"")</f>
        <v>0</v>
      </c>
      <c r="S249" s="194">
        <f>IFERROR($P249*'Inputs Yr 2'!AC249,"")</f>
        <v>0</v>
      </c>
      <c r="T249" s="194">
        <f>IFERROR($P249*'Inputs Yr 2'!AD249,"")</f>
        <v>0</v>
      </c>
      <c r="U249" s="194">
        <f>IFERROR(G249*'Inputs Yr 2'!$AE249*'Inputs Yr 2'!$P249*'Inputs Yr 2'!$Q249,"")</f>
        <v>0</v>
      </c>
      <c r="V249" s="194">
        <f>IFERROR($G249*'Inputs Yr 2'!$AE249*'Inputs Yr 2'!$AG249*'Inputs Yr 2'!Q249*'Inputs Yr 2'!$S249,"")</f>
        <v>0</v>
      </c>
      <c r="W249" s="194">
        <f>IFERROR($G249*'Inputs Yr 2'!$AE249*'Inputs Yr 2'!$AG249*'Inputs Yr 2'!P249*'Inputs Yr 2'!Q249*'Inputs Yr 2'!$S249,"")</f>
        <v>0</v>
      </c>
      <c r="X249" s="194">
        <f>IFERROR($G249*'Inputs Yr 2'!$AE249*'Inputs Yr 2'!$AF249*'Inputs Yr 2'!Q249*'Inputs Yr 2'!$T249,"")</f>
        <v>0</v>
      </c>
      <c r="Y249" s="194">
        <f>IFERROR($G249*'Inputs Yr 2'!$AE249*'Inputs Yr 2'!$AF249*'Inputs Yr 2'!P249*'Inputs Yr 2'!Q249*'Inputs Yr 2'!$T249,"")</f>
        <v>0</v>
      </c>
      <c r="Z249" s="257">
        <f>IFERROR($G249*'Inputs Yr 2'!$Q249*'Inputs Yr 2'!$U249*(IF(IFERROR(SEARCH("NG", 'Inputs Yr 2'!$AJ249),0),'Inputs Yr 2'!$AK249,0)+IF(IFERROR(SEARCH("NG", 'Inputs Yr 2'!$AL249),0),'Inputs Yr 2'!$AM249,0)+IF(IFERROR(SEARCH("NG", 'Inputs Yr 2'!$AN249),0),'Inputs Yr 2'!$AO249,0)),0)</f>
        <v>43444.985800000002</v>
      </c>
      <c r="AA249" s="257">
        <f t="shared" si="116"/>
        <v>782009.74440000008</v>
      </c>
      <c r="AB249" s="257">
        <f>IFERROR(Z249*'Inputs Yr 2'!$P249,0)</f>
        <v>39925.941950200002</v>
      </c>
      <c r="AC249" s="257">
        <f t="shared" si="117"/>
        <v>718666.95510360005</v>
      </c>
      <c r="AD249" s="257">
        <f>IFERROR($G249*'Inputs Yr 2'!$Q249*'Inputs Yr 2'!$U249*(IF(IFERROR(SEARCH("Oil", 'Inputs Yr 2'!$AJ249), 0),'Inputs Yr 2'!$AK249,0)+IF(IFERROR(SEARCH("Oil", 'Inputs Yr 2'!$AL249), 0),'Inputs Yr 2'!$AM249,0)+IF(IFERROR(SEARCH("Oil", 'Inputs Yr 2'!$AN249), 0),'Inputs Yr 2'!$AO249,0)),0)</f>
        <v>0</v>
      </c>
      <c r="AE249" s="257">
        <f t="shared" si="118"/>
        <v>0</v>
      </c>
      <c r="AF249" s="257">
        <f>IFERROR(AD249*'Inputs Yr 2'!$P249,0)</f>
        <v>0</v>
      </c>
      <c r="AG249" s="257">
        <f t="shared" si="119"/>
        <v>0</v>
      </c>
      <c r="AH249" s="257">
        <f>IFERROR($G249*'Inputs Yr 2'!$Q249*'Inputs Yr 2'!$U249*(IF('Inputs Yr 2'!$AJ249=CD$4,'Inputs Yr 2'!$AK249,IF('Inputs Yr 2'!$AL249=CD$4,'Inputs Yr 2'!$AM249,IF('Inputs Yr 2'!$AN249=CD$4,'Inputs Yr 2'!$AO249,0)))),0)</f>
        <v>0</v>
      </c>
      <c r="AI249" s="257">
        <f t="shared" si="120"/>
        <v>0</v>
      </c>
      <c r="AJ249" s="257">
        <f>IFERROR(AH249*'Inputs Yr 2'!$P249,0)</f>
        <v>0</v>
      </c>
      <c r="AK249" s="257">
        <f t="shared" si="121"/>
        <v>0</v>
      </c>
      <c r="AL249" s="258">
        <f>IFERROR($G249*'Inputs Yr 2'!$P249*'Inputs Yr 2'!$Q249*'Inputs Yr 2'!AP249,0)</f>
        <v>0</v>
      </c>
      <c r="AM249" s="260">
        <f>IFERROR($G249*'Inputs Yr 2'!$P249*'Inputs Yr 2'!$Q249*'Inputs Yr 2'!AQ249,0)</f>
        <v>0</v>
      </c>
      <c r="AN249" s="258">
        <f>IFERROR($G249*'Inputs Yr 2'!$P249*'Inputs Yr 2'!$Q249*'Inputs Yr 2'!AR249,0)</f>
        <v>0</v>
      </c>
      <c r="AO249" s="257">
        <f t="shared" si="122"/>
        <v>0</v>
      </c>
      <c r="AP249" s="195">
        <f>IFERROR($CQ249*(INDEX(avoidedcosttbl2,$H249,AP$2)+(($H249-ROUNDDOWN($H249,0))*(INDEX(avoidedcosttbl2,ROUNDUP($H249,0),AP$2)-(INDEX(avoidedcosttbl2,ROUNDDOWN($H249,0),AP$2)))))*$O249*1000*'Inputs Yr 2'!AA249,"")</f>
        <v>0</v>
      </c>
      <c r="AQ249" s="195">
        <f>IFERROR($CR249*(INDEX(avoidedcosttbl2,$H249,AQ$2)+(($H249-ROUNDDOWN($H249,0))*(INDEX(avoidedcosttbl2,ROUNDUP($H249,0),AQ$2)-(INDEX(avoidedcosttbl2,ROUNDDOWN($H249,0),AQ$2)))))*$O249*1000*'Inputs Yr 2'!AB249,"")</f>
        <v>0</v>
      </c>
      <c r="AR249" s="195">
        <f>IFERROR($CS249*(INDEX(avoidedcosttbl2,$H249,AR$2)+(($H249-ROUNDDOWN($H249,0))*(INDEX(avoidedcosttbl2,ROUNDUP($H249,0),AR$2)-(INDEX(avoidedcosttbl2,ROUNDDOWN($H249,0),AR$2)))))*$O249*1000*'Inputs Yr 2'!AC249,"")</f>
        <v>0</v>
      </c>
      <c r="AS249" s="195">
        <f>IFERROR($CT249*(INDEX(avoidedcosttbl2,$H249,AS$2)+(($H249-ROUNDDOWN($H249,0))*(INDEX(avoidedcosttbl2,ROUNDUP($H249,0),AS$2)-(INDEX(avoidedcosttbl2,ROUNDDOWN($H249,0),AS$2)))))*$O249*1000*'Inputs Yr 2'!AD249,"")</f>
        <v>0</v>
      </c>
      <c r="AT249" s="196">
        <f t="shared" si="123"/>
        <v>0</v>
      </c>
      <c r="AU249" s="197">
        <f>IFERROR($CQ249*((INDEX(avoidedcosttbl2,$H249,AU$2))+(($H249-ROUNDDOWN($H249,0))*((INDEX(avoidedcosttbl2,ROUNDUP($H249,0),AU$2))-(INDEX(avoidedcosttbl2,ROUNDDOWN($H249,0),AU$2)))))*$O249*1000*'Inputs Yr 2'!AA249,"")</f>
        <v>0</v>
      </c>
      <c r="AV249" s="197">
        <f>IFERROR($CR249*((INDEX(avoidedcosttbl2,$H249,AV$2))+(($H249-ROUNDDOWN($H249,0))*((INDEX(avoidedcosttbl2,ROUNDUP($H249,0),AV$2))-(INDEX(avoidedcosttbl2,ROUNDDOWN($H249,0),AV$2)))))*$O249*1000*'Inputs Yr 2'!AB249,"")</f>
        <v>0</v>
      </c>
      <c r="AW249" s="197">
        <f>IFERROR($CS249*((INDEX(avoidedcosttbl2,$H249,AW$2))+(($H249-ROUNDDOWN($H249,0))*((INDEX(avoidedcosttbl2,ROUNDUP($H249,0),AW$2))-(INDEX(avoidedcosttbl2,ROUNDDOWN($H249,0),AW$2)))))*$O249*1000*'Inputs Yr 2'!AC249,"")</f>
        <v>0</v>
      </c>
      <c r="AX249" s="197">
        <f>IFERROR($CT249*((INDEX(avoidedcosttbl2,$H249,AX$2))+(($H249-ROUNDDOWN($H249,0))*((INDEX(avoidedcosttbl2,ROUNDUP($H249,0),AX$2))-(INDEX(avoidedcosttbl2,ROUNDDOWN($H249,0),AX$2)))))*$O249*1000*'Inputs Yr 2'!AD249,"")</f>
        <v>0</v>
      </c>
      <c r="AY249" s="197">
        <f>IFERROR(((INDEX(avoidedcosttbl2,$H249,AY$2))+(($H249-ROUNDDOWN($H249,0))*((INDEX(avoidedcosttbl2,ROUNDUP($H249,0),AY$2))-(INDEX(avoidedcosttbl2,ROUNDDOWN($H249,0),AY$2)))))*$O249*1000*('Inputs Yr 2'!AC249+'Inputs Yr 2'!AD249),"")</f>
        <v>0</v>
      </c>
      <c r="AZ249" s="197">
        <f>IFERROR(((INDEX(avoidedcosttbl2,$H249,AZ$2))+(($H249-ROUNDDOWN($H249,0))*((INDEX(avoidedcosttbl2,ROUNDUP($H249,0),AZ$2))-(INDEX(avoidedcosttbl2,ROUNDDOWN($H249,0),AZ$2)))))*$O249*1000*('Inputs Yr 2'!AA249+'Inputs Yr 2'!AB249),"")</f>
        <v>0</v>
      </c>
      <c r="BA249" s="198">
        <f t="shared" si="124"/>
        <v>0</v>
      </c>
      <c r="BB249" s="198">
        <f t="shared" si="125"/>
        <v>0</v>
      </c>
      <c r="BC249" s="195">
        <f t="shared" si="107"/>
        <v>0</v>
      </c>
      <c r="BD249" s="195">
        <f t="shared" si="108"/>
        <v>0</v>
      </c>
      <c r="BE249" s="195">
        <f t="shared" si="109"/>
        <v>0</v>
      </c>
      <c r="BF249" s="195">
        <f t="shared" si="110"/>
        <v>0</v>
      </c>
      <c r="BG249" s="195">
        <f t="shared" si="111"/>
        <v>0</v>
      </c>
      <c r="BH249" s="196">
        <f t="shared" si="126"/>
        <v>0</v>
      </c>
      <c r="BI249" s="196">
        <f t="shared" si="127"/>
        <v>0</v>
      </c>
      <c r="BJ249" s="195">
        <f>IFERROR($G249*(IF('Inputs Yr 2'!$AJ249=BJ$4,'Inputs Yr 2'!$AK249,IF('Inputs Yr 2'!$AL249=BJ$4,'Inputs Yr 2'!$AM249,IF('Inputs Yr 2'!$AN249=BJ$4,'Inputs Yr 2'!$AO249,0))))*(INDEX(avoidedcosttbl2,$H249,BJ$2)+(($H249-ROUNDDOWN($H249,0))*(INDEX(avoidedcosttbl2,ROUNDUP($H249,0),BJ$2)-(INDEX(avoidedcosttbl2,ROUNDDOWN($H249,0),BJ$2)))))*'Inputs Yr 2'!P249*'Inputs Yr 2'!Q249*'Inputs Yr 2'!U249,"")</f>
        <v>0</v>
      </c>
      <c r="BK249" s="195">
        <f>IFERROR($G249*(IF('Inputs Yr 2'!$AJ249=BK$4,'Inputs Yr 2'!$AK249,IF('Inputs Yr 2'!$AL249=BK$4,'Inputs Yr 2'!$AM249,IF('Inputs Yr 2'!$AN249=BK$4,'Inputs Yr 2'!$AO249,0))))*(INDEX(avoidedcosttbl2,$H249,BK$2)+(($H249-ROUNDDOWN($H249,0))*(INDEX(avoidedcosttbl2,ROUNDUP($H249,0),BK$2)-(INDEX(avoidedcosttbl2,ROUNDDOWN($H249,0),BK$2)))))*'Inputs Yr 2'!P249*'Inputs Yr 2'!Q249*'Inputs Yr 2'!U249,"")</f>
        <v>0</v>
      </c>
      <c r="BL249" s="195">
        <f>IFERROR($G249*(IF('Inputs Yr 2'!$AJ249=BL$4,'Inputs Yr 2'!$AK249,IF('Inputs Yr 2'!$AL249=BL$4,'Inputs Yr 2'!$AM249,IF('Inputs Yr 2'!$AN249=BL$4,'Inputs Yr 2'!$AO249,0))))*(INDEX(avoidedcosttbl2,$H249,BL$2)+(($H249-ROUNDDOWN($H249,0))*(INDEX(avoidedcosttbl2,ROUNDUP($H249,0),BL$2)-(INDEX(avoidedcosttbl2,ROUNDDOWN($H249,0),BL$2)))))*'Inputs Yr 2'!P249*'Inputs Yr 2'!Q249*'Inputs Yr 2'!U249,"")</f>
        <v>0</v>
      </c>
      <c r="BM249" s="195">
        <f>IFERROR($G249*(IF('Inputs Yr 2'!$AJ249=BM$4,'Inputs Yr 2'!$AK249,IF('Inputs Yr 2'!$AL249=BM$4,'Inputs Yr 2'!$AM249,IF('Inputs Yr 2'!$AN249=BM$4,'Inputs Yr 2'!$AO249,0))))*(INDEX(avoidedcosttbl2,$H249,BM$2)+(($H249-ROUNDDOWN($H249,0))*(INDEX(avoidedcosttbl2,ROUNDUP($H249,0),BM$2)-(INDEX(avoidedcosttbl2,ROUNDDOWN($H249,0),BM$2)))))*'Inputs Yr 2'!P249*'Inputs Yr 2'!Q249*'Inputs Yr 2'!U249,"")</f>
        <v>0</v>
      </c>
      <c r="BN249" s="195">
        <f>IFERROR($G249*(IF('Inputs Yr 2'!$AJ249=BN$4,'Inputs Yr 2'!$AK249,IF('Inputs Yr 2'!$AL249=BN$4,'Inputs Yr 2'!$AM249,IF('Inputs Yr 2'!$AN249=BN$4,'Inputs Yr 2'!$AO249,0))))*(INDEX(avoidedcosttbl2,$H249,BN$2)+(($H249-ROUNDDOWN($H249,0))*(INDEX(avoidedcosttbl2,ROUNDUP($H249,0),BN$2)-(INDEX(avoidedcosttbl2,ROUNDDOWN($H249,0),BN$2)))))*'Inputs Yr 2'!P249*'Inputs Yr 2'!Q249*'Inputs Yr 2'!U249,"")</f>
        <v>0</v>
      </c>
      <c r="BO249" s="195">
        <f>IFERROR($G249*(IF('Inputs Yr 2'!$AJ249=BO$4,'Inputs Yr 2'!$AK249,IF('Inputs Yr 2'!$AL249=BO$4,'Inputs Yr 2'!$AM249,IF('Inputs Yr 2'!$AN249=BO$4,'Inputs Yr 2'!$AO249,0))))*(INDEX(avoidedcosttbl2,$H249,BO$2)+(($H249-ROUNDDOWN($H249,0))*(INDEX(avoidedcosttbl2,ROUNDUP($H249,0),BO$2)-(INDEX(avoidedcosttbl2,ROUNDDOWN($H249,0),BO$2)))))*'Inputs Yr 2'!P249*'Inputs Yr 2'!Q249*'Inputs Yr 2'!U249,"")</f>
        <v>5709795.7645241134</v>
      </c>
      <c r="BP249" s="195">
        <f>IFERROR($G249*(IF('Inputs Yr 2'!$AJ249=BP$4,'Inputs Yr 2'!$AK249,IF('Inputs Yr 2'!$AL249=BP$4,'Inputs Yr 2'!$AM249,IF('Inputs Yr 2'!$AN249=BP$4,'Inputs Yr 2'!$AO249,0))))*(INDEX(avoidedcosttbl2,$H249,BP$2)+(($H249-ROUNDDOWN($H249,0))*(INDEX(avoidedcosttbl2,ROUNDUP($H249,0),BP$2)-(INDEX(avoidedcosttbl2,ROUNDDOWN($H249,0),BP$2)))))*'Inputs Yr 2'!P249*'Inputs Yr 2'!Q249*'Inputs Yr 2'!U249,"")</f>
        <v>0</v>
      </c>
      <c r="BQ249" s="230">
        <f t="shared" si="128"/>
        <v>5709795.7645241134</v>
      </c>
      <c r="BR249" s="197">
        <f t="shared" si="112"/>
        <v>96777.797136196517</v>
      </c>
      <c r="BS249" s="197">
        <f>IFERROR(($G249*IF('Inputs Yr 2'!$AJ249=BM$4,'Inputs Yr 2'!$AK249,IF('Inputs Yr 2'!$AL249=BM$4,'Inputs Yr 2'!$AM249,IF('Inputs Yr 2'!$AN249=BM$4,'Inputs Yr 2'!$AO249,0))))*(INDEX(avoidedcosttbl2,$H249,BS$2)+(($H249-ROUNDDOWN($H249,0))*(INDEX(avoidedcosttbl2,ROUNDUP($H249,0),BS$2)-(INDEX(avoidedcosttbl2,ROUNDDOWN($H249,0),BS$2)))))*'Inputs Yr 2'!P249*'Inputs Yr 2'!Q249*'Inputs Yr 2'!U249,"")</f>
        <v>0</v>
      </c>
      <c r="BT249" s="197">
        <f>IFERROR(($G249*IF('Inputs Yr 2'!$AJ249=BK$4,'Inputs Yr 2'!$AK249,IF('Inputs Yr 2'!$AL249=BK$4,'Inputs Yr 2'!$AM249,IF('Inputs Yr 2'!$AN249=BK$4,'Inputs Yr 2'!$AO249,0))))*(INDEX(avoidedcosttbl2,$H249,BT$2)+(($H249-ROUNDDOWN($H249,0))*(INDEX(avoidedcosttbl2,ROUNDUP($H249,0),BT$2)-(INDEX(avoidedcosttbl2,ROUNDDOWN($H249,0),BT$2)))))*'Inputs Yr 2'!P249*'Inputs Yr 2'!Q249*'Inputs Yr 2'!U249,"")</f>
        <v>0</v>
      </c>
      <c r="BU249" s="197">
        <f>IFERROR(($G249*IF('Inputs Yr 2'!$AJ249=BL$4,'Inputs Yr 2'!$AK249,IF('Inputs Yr 2'!$AL249=BL$4,'Inputs Yr 2'!$AM249,IF('Inputs Yr 2'!$AN249=BL$4,'Inputs Yr 2'!$AO249,0))))*(INDEX(avoidedcosttbl2,$H249,BU$2)+(($H249-ROUNDDOWN($H249,0))*(INDEX(avoidedcosttbl2,ROUNDUP($H249,0),BU$2)-(INDEX(avoidedcosttbl2,ROUNDDOWN($H249,0),BU$2)))))*'Inputs Yr 2'!P249*'Inputs Yr 2'!Q249*'Inputs Yr 2'!U249,"")</f>
        <v>0</v>
      </c>
      <c r="BV249" s="775">
        <f>IFERROR(($G249*IF('Inputs Yr 2'!$AJ249=BJ$4,'Inputs Yr 2'!$AK249,IF('Inputs Yr 2'!$AL249=BJ$4,'Inputs Yr 2'!$AM249,IF('Inputs Yr 2'!$AN249=BJ$4,'Inputs Yr 2'!$AO249,0))))*(INDEX(avoidedcosttbl2,$H249,BV$2)+(($H249-ROUNDDOWN($H249,0))*(INDEX(avoidedcosttbl2,ROUNDUP($H249,0),BV$2)-(INDEX(avoidedcosttbl2,ROUNDDOWN($H249,0),BV$2)))))*'Inputs Yr 2'!P249*'Inputs Yr 2'!Q249*'Inputs Yr 2'!U249,"")</f>
        <v>0</v>
      </c>
      <c r="BW249" s="197">
        <f>IFERROR(($G249*IF('Inputs Yr 2'!$AJ249=BN$4,'Inputs Yr 2'!$AK249,IF('Inputs Yr 2'!$AL249=BN$4,'Inputs Yr 2'!$AM249,IF('Inputs Yr 2'!$AN249=BN$4,'Inputs Yr 2'!$AO249,0))))*(INDEX(avoidedcosttbl2,$H249,BW$2)+(($H249-ROUNDDOWN($H249,0))*(INDEX(avoidedcosttbl2,ROUNDUP($H249,0),BW$2)-(INDEX(avoidedcosttbl2,ROUNDDOWN($H249,0),BW$2)))))*'Inputs Yr 2'!P249*'Inputs Yr 2'!Q249*'Inputs Yr 2'!U249,"")</f>
        <v>0</v>
      </c>
      <c r="BX249" s="197">
        <f>IFERROR(($G249*IF('Inputs Yr 2'!$AJ249=BO$4,'Inputs Yr 2'!$AK249,IF('Inputs Yr 2'!$AL249=BO$4,'Inputs Yr 2'!$AM249,IF('Inputs Yr 2'!$AN249=BO$4,'Inputs Yr 2'!$AO249,0))))*(INDEX(avoidedcosttbl2,$H249,BX$2)+(($H249-ROUNDDOWN($H249,0))*(INDEX(avoidedcosttbl2,ROUNDUP($H249,0),BX$2)-(INDEX(avoidedcosttbl2,ROUNDDOWN($H249,0),BX$2)))))*'Inputs Yr 2'!P249*'Inputs Yr 2'!Q249*'Inputs Yr 2'!U249,"")</f>
        <v>342171.3119331976</v>
      </c>
      <c r="BY249" s="197">
        <f>IFERROR(($G249*IF('Inputs Yr 2'!$AJ249=BP$4,'Inputs Yr 2'!$AK249,IF('Inputs Yr 2'!$AL249=BP$4,'Inputs Yr 2'!$AM249,IF('Inputs Yr 2'!$AN249=BP$4,'Inputs Yr 2'!$AO249,0))))*(INDEX(avoidedcosttbl2,$H249,BY$2)+(($H249-ROUNDDOWN($H249,0))*(INDEX(avoidedcosttbl2,ROUNDUP($H249,0),BY$2)-(INDEX(avoidedcosttbl2,ROUNDDOWN($H249,0),BY$2)))))*'Inputs Yr 2'!P249*'Inputs Yr 2'!Q249*'Inputs Yr 2'!U249,"")</f>
        <v>0</v>
      </c>
      <c r="BZ249" s="193">
        <f t="shared" si="129"/>
        <v>438949.10906939412</v>
      </c>
      <c r="CA249" s="193">
        <f t="shared" si="130"/>
        <v>6148744.8735935073</v>
      </c>
      <c r="CB249" s="195">
        <f>IFERROR(G249*(IF('Inputs Yr 2'!$AJ249=CB$4,'Inputs Yr 2'!$AK249,IF('Inputs Yr 2'!$AL249=CB$4,'Inputs Yr 2'!$AM249,IF('Inputs Yr 2'!$AN249=CB$4,'Inputs Yr 2'!$AO249,0))))*(INDEX(avoidedcosttbl2,$H249,CB$2)+(($H249-ROUNDDOWN($H249,0))*(INDEX(avoidedcosttbl2,ROUNDUP($H249,0),CB$2)-(INDEX(avoidedcosttbl2,ROUNDDOWN($H249,0),CB$2)))))*'Inputs Yr 2'!P249*'Inputs Yr 2'!Q249*'Inputs Yr 2'!U249,"")</f>
        <v>0</v>
      </c>
      <c r="CC249" s="195">
        <f>IFERROR(H249*(IF('Inputs Yr 2'!$AJ249=CC$4,'Inputs Yr 2'!$AK249,IF('Inputs Yr 2'!$AL249=CC$4,'Inputs Yr 2'!$AM249,IF('Inputs Yr 2'!$AN249=CC$4,'Inputs Yr 2'!$AO249,0))))*(INDEX(avoidedcosttbl2,$H249,CC$2)+(($H249-ROUNDDOWN($H249,0))*(INDEX(avoidedcosttbl2,ROUNDUP($H249,0),CC$2)-(INDEX(avoidedcosttbl2,ROUNDDOWN($H249,0),CC$2)))))*'Inputs Yr 2'!Q249*'Inputs Yr 2'!R249*'Inputs Yr 2'!V249,"")</f>
        <v>0</v>
      </c>
      <c r="CD249" s="195">
        <f>IFERROR(I249*(IF('Inputs Yr 2'!$AJ249=CD$4,'Inputs Yr 2'!$AK249,IF('Inputs Yr 2'!$AL249=CD$4,'Inputs Yr 2'!$AM249,IF('Inputs Yr 2'!$AN249=CD$4,'Inputs Yr 2'!$AO249,0))))*(INDEX(avoidedcosttbl2,$H249,CD$2)+(($H249-ROUNDDOWN($H249,0))*(INDEX(avoidedcosttbl2,ROUNDUP($H249,0),CD$2)-(INDEX(avoidedcosttbl2,ROUNDDOWN($H249,0),CD$2)))))*'Inputs Yr 2'!R249*'Inputs Yr 2'!S249*'Inputs Yr 2'!W249,"")</f>
        <v>0</v>
      </c>
      <c r="CE249" s="213">
        <f t="shared" si="131"/>
        <v>0</v>
      </c>
      <c r="CF249" s="213">
        <f t="shared" si="132"/>
        <v>0</v>
      </c>
      <c r="CG249" s="213">
        <f t="shared" si="133"/>
        <v>0</v>
      </c>
      <c r="CH249" s="698">
        <f t="shared" si="134"/>
        <v>6148744.8735935073</v>
      </c>
      <c r="CI249" s="79">
        <f>IFERROR(($G249*'Inputs Yr 2'!$P249*'Inputs Yr 2'!$Q249*(((INDEX(avoidedcosttbl2,$H249,CI$2)+(($H249-ROUNDDOWN($H249,0))*(INDEX(avoidedcosttbl2,ROUNDUP($H249,0),CI$2)-INDEX(avoidedcosttbl2,ROUNDDOWN($H249,0),CI$2))))*'Inputs Yr 2'!AS249))),"")</f>
        <v>0</v>
      </c>
      <c r="CJ249" s="504">
        <f>IFERROR($G249*'Inputs Yr 2'!AT249*'Inputs Yr 2'!$P249*'Inputs Yr 2'!$Q249/((1+realdiscrt1)^-0.5),"")</f>
        <v>0</v>
      </c>
      <c r="CK249" s="79">
        <f>IFERROR((O249*1000*(((INDEX(avoidedcosttbl2,$H249,CK$2)+(($H249-ROUNDDOWN($H249,0))*(INDEX(avoidedcosttbl2,ROUNDUP($H249,0),CK$2)-INDEX(avoidedcosttbl2,ROUNDDOWN($H249,0),CK$2))))*'Inputs Yr 2'!AU249))),"")</f>
        <v>0</v>
      </c>
      <c r="CL249" s="504">
        <f>IFERROR(O249*1000*'Inputs Yr 2'!AV249/((1+realdiscrt1)^-0.5),"")</f>
        <v>0</v>
      </c>
      <c r="CM249" s="79">
        <f>IFERROR((AB249*'Inputs Yr 2'!AW249*(((INDEX(avoidedcosttbl2,$H249,CM$2)+(($H249-ROUNDDOWN($H249,0))*(INDEX(avoidedcosttbl2,ROUNDUP($H249,0),CM$2)-INDEX(avoidedcosttbl2,ROUNDDOWN($H249,0),CM$2)))))))*10,"")</f>
        <v>1727507.7464639246</v>
      </c>
      <c r="CN249" s="504">
        <f>IFERROR(10*AB249*'Inputs Yr 2'!AX249/((1+realdiscrt1)^-0.5),"")</f>
        <v>0</v>
      </c>
      <c r="CO249" s="505">
        <f t="shared" si="135"/>
        <v>1727507.7464639246</v>
      </c>
      <c r="CP249" s="230">
        <f t="shared" si="136"/>
        <v>7876252.620057432</v>
      </c>
      <c r="CQ249" s="199">
        <f>ROUND(IFERROR(IF(LEFT($A249,1)="C",'Avoided Costs'!$K$13,'Avoided Costs'!$K$12)+1,""),4)</f>
        <v>1.0720000000000001</v>
      </c>
      <c r="CR249" s="199">
        <f>ROUND(IFERROR(IF(LEFT($A249,1)="C",'Avoided Costs'!$L$13,'Avoided Costs'!$L$12)+1,""),4)</f>
        <v>1.04</v>
      </c>
      <c r="CS249" s="199">
        <f>ROUND(IFERROR(IF(LEFT($A249,1)="C",'Avoided Costs'!$M$13,'Avoided Costs'!$M$12)+1,""),4)</f>
        <v>1.0720000000000001</v>
      </c>
      <c r="CT249" s="199">
        <f>ROUND(IFERROR(IF(LEFT($A249,1)="C",'Avoided Costs'!$N$13,'Avoided Costs'!$N$12)+1,""),4)</f>
        <v>1.04</v>
      </c>
      <c r="CU249" s="199">
        <f>ROUND(IFERROR(IF(LEFT($A249,1)="C",'Avoided Costs'!$O$13,'Avoided Costs'!$O$12)+1,""),4)</f>
        <v>1.1120000000000001</v>
      </c>
      <c r="CV249" s="199">
        <f>ROUND(IFERROR(IF(LEFT($A249,1)="C",'Avoided Costs'!$P$13,'Avoided Costs'!$P$12)+1,""),4)</f>
        <v>1.095</v>
      </c>
      <c r="CW249" s="199">
        <f>ROUND(IFERROR(IF(LEFT($A249,1)="C",'Avoided Costs'!$Q$13,'Avoided Costs'!$Q$12)+1,""),4)</f>
        <v>1.1120000000000001</v>
      </c>
      <c r="CX249" s="200">
        <f>ROUND(IFERROR(IF(LEFT($A249,1)="C",'Avoided Costs'!$R$13,'Avoided Costs'!$R$12)+1,""),4)</f>
        <v>1.1120000000000001</v>
      </c>
    </row>
    <row r="250" spans="1:102" ht="12.75" customHeight="1">
      <c r="A250" s="91" t="str">
        <f>IF('Inputs Yr 2'!$B250=0,"",'Inputs Yr 2'!A250)</f>
        <v>C - Commercial &amp; Industrial</v>
      </c>
      <c r="B250" s="91" t="str">
        <f>IF('Inputs Yr 2'!$B250=0,"",'Inputs Yr 2'!B250)</f>
        <v>C2 - C&amp;I Retrofit</v>
      </c>
      <c r="C250" s="91" t="str">
        <f>IF('Inputs Yr 2'!$B250=0,"",'Inputs Yr 2'!C250)</f>
        <v>C2a - C&amp;I Existing Building Retrofit</v>
      </c>
      <c r="D250" s="91" t="str">
        <f>IF('Inputs Yr 2'!$B250=0,"",'Inputs Yr 2'!E250)</f>
        <v>Heating - Custom 2</v>
      </c>
      <c r="E250" s="93" t="str">
        <f>IF('Inputs Yr 2'!$B250=0,"",'Inputs Yr 2'!F250)</f>
        <v>G16C2a05</v>
      </c>
      <c r="F250" s="93" t="str">
        <f>IF('Inputs Yr 2'!$B250=0,"",'Inputs Yr 2'!G250)</f>
        <v>HVAC</v>
      </c>
      <c r="G250" s="95">
        <f>IF('Inputs Yr 2'!$H250&lt;&gt;0,('Inputs Yr 2'!H250),"")</f>
        <v>1</v>
      </c>
      <c r="H250" s="94">
        <f>IFERROR('Inputs Yr 2'!I250,"")</f>
        <v>2</v>
      </c>
      <c r="I250" s="298">
        <f>IFERROR('Inputs Yr 2'!J250*'Inputs Yr 2'!P250*G250,"")</f>
        <v>26558.732400000001</v>
      </c>
      <c r="J250" s="298">
        <f>IFERROR('Inputs Yr 2'!K250*G250,"")</f>
        <v>14449.8</v>
      </c>
      <c r="K250" s="298">
        <f t="shared" si="113"/>
        <v>12108.932400000002</v>
      </c>
      <c r="L250" s="194">
        <f>IFERROR(('Inputs Yr 2'!W250*G250)/1000,"")</f>
        <v>0</v>
      </c>
      <c r="M250" s="194">
        <f>IFERROR(L250*('Inputs Yr 2'!$Q250*'Inputs Yr 2'!$V250*'Inputs Yr 2'!$R250),"")</f>
        <v>0</v>
      </c>
      <c r="N250" s="194">
        <f t="shared" si="114"/>
        <v>0</v>
      </c>
      <c r="O250" s="194">
        <f>IFERROR(M250*'Inputs Yr 2'!P250,"")</f>
        <v>0</v>
      </c>
      <c r="P250" s="194">
        <f t="shared" si="115"/>
        <v>0</v>
      </c>
      <c r="Q250" s="194">
        <f>IFERROR($P250*'Inputs Yr 2'!AA250,"")</f>
        <v>0</v>
      </c>
      <c r="R250" s="194">
        <f>IFERROR($P250*'Inputs Yr 2'!AB250,"")</f>
        <v>0</v>
      </c>
      <c r="S250" s="194">
        <f>IFERROR($P250*'Inputs Yr 2'!AC250,"")</f>
        <v>0</v>
      </c>
      <c r="T250" s="194">
        <f>IFERROR($P250*'Inputs Yr 2'!AD250,"")</f>
        <v>0</v>
      </c>
      <c r="U250" s="194">
        <f>IFERROR(G250*'Inputs Yr 2'!$AE250*'Inputs Yr 2'!$P250*'Inputs Yr 2'!$Q250,"")</f>
        <v>0</v>
      </c>
      <c r="V250" s="194">
        <f>IFERROR($G250*'Inputs Yr 2'!$AE250*'Inputs Yr 2'!$AG250*'Inputs Yr 2'!Q250*'Inputs Yr 2'!$S250,"")</f>
        <v>0</v>
      </c>
      <c r="W250" s="194">
        <f>IFERROR($G250*'Inputs Yr 2'!$AE250*'Inputs Yr 2'!$AG250*'Inputs Yr 2'!P250*'Inputs Yr 2'!Q250*'Inputs Yr 2'!$S250,"")</f>
        <v>0</v>
      </c>
      <c r="X250" s="194">
        <f>IFERROR($G250*'Inputs Yr 2'!$AE250*'Inputs Yr 2'!$AF250*'Inputs Yr 2'!Q250*'Inputs Yr 2'!$T250,"")</f>
        <v>0</v>
      </c>
      <c r="Y250" s="194">
        <f>IFERROR($G250*'Inputs Yr 2'!$AE250*'Inputs Yr 2'!$AF250*'Inputs Yr 2'!P250*'Inputs Yr 2'!Q250*'Inputs Yr 2'!$T250,"")</f>
        <v>0</v>
      </c>
      <c r="Z250" s="257">
        <f>IFERROR($G250*'Inputs Yr 2'!$Q250*'Inputs Yr 2'!$U250*(IF(IFERROR(SEARCH("NG", 'Inputs Yr 2'!$AJ250),0),'Inputs Yr 2'!$AK250,0)+IF(IFERROR(SEARCH("NG", 'Inputs Yr 2'!$AL250),0),'Inputs Yr 2'!$AM250,0)+IF(IFERROR(SEARCH("NG", 'Inputs Yr 2'!$AN250),0),'Inputs Yr 2'!$AO250,0)),0)</f>
        <v>950.2242</v>
      </c>
      <c r="AA250" s="257">
        <f t="shared" si="116"/>
        <v>1900.4484</v>
      </c>
      <c r="AB250" s="257">
        <f>IFERROR(Z250*'Inputs Yr 2'!$P250,0)</f>
        <v>873.25603980000005</v>
      </c>
      <c r="AC250" s="257">
        <f t="shared" si="117"/>
        <v>1746.5120796000001</v>
      </c>
      <c r="AD250" s="257">
        <f>IFERROR($G250*'Inputs Yr 2'!$Q250*'Inputs Yr 2'!$U250*(IF(IFERROR(SEARCH("Oil", 'Inputs Yr 2'!$AJ250), 0),'Inputs Yr 2'!$AK250,0)+IF(IFERROR(SEARCH("Oil", 'Inputs Yr 2'!$AL250), 0),'Inputs Yr 2'!$AM250,0)+IF(IFERROR(SEARCH("Oil", 'Inputs Yr 2'!$AN250), 0),'Inputs Yr 2'!$AO250,0)),0)</f>
        <v>0</v>
      </c>
      <c r="AE250" s="257">
        <f t="shared" si="118"/>
        <v>0</v>
      </c>
      <c r="AF250" s="257">
        <f>IFERROR(AD250*'Inputs Yr 2'!$P250,0)</f>
        <v>0</v>
      </c>
      <c r="AG250" s="257">
        <f t="shared" si="119"/>
        <v>0</v>
      </c>
      <c r="AH250" s="257">
        <f>IFERROR($G250*'Inputs Yr 2'!$Q250*'Inputs Yr 2'!$U250*(IF('Inputs Yr 2'!$AJ250=CD$4,'Inputs Yr 2'!$AK250,IF('Inputs Yr 2'!$AL250=CD$4,'Inputs Yr 2'!$AM250,IF('Inputs Yr 2'!$AN250=CD$4,'Inputs Yr 2'!$AO250,0)))),0)</f>
        <v>0</v>
      </c>
      <c r="AI250" s="257">
        <f t="shared" si="120"/>
        <v>0</v>
      </c>
      <c r="AJ250" s="257">
        <f>IFERROR(AH250*'Inputs Yr 2'!$P250,0)</f>
        <v>0</v>
      </c>
      <c r="AK250" s="257">
        <f t="shared" si="121"/>
        <v>0</v>
      </c>
      <c r="AL250" s="258">
        <f>IFERROR($G250*'Inputs Yr 2'!$P250*'Inputs Yr 2'!$Q250*'Inputs Yr 2'!AP250,0)</f>
        <v>0</v>
      </c>
      <c r="AM250" s="260">
        <f>IFERROR($G250*'Inputs Yr 2'!$P250*'Inputs Yr 2'!$Q250*'Inputs Yr 2'!AQ250,0)</f>
        <v>0</v>
      </c>
      <c r="AN250" s="258">
        <f>IFERROR($G250*'Inputs Yr 2'!$P250*'Inputs Yr 2'!$Q250*'Inputs Yr 2'!AR250,0)</f>
        <v>0</v>
      </c>
      <c r="AO250" s="257">
        <f t="shared" si="122"/>
        <v>0</v>
      </c>
      <c r="AP250" s="195">
        <f>IFERROR($CQ250*(INDEX(avoidedcosttbl2,$H250,AP$2)+(($H250-ROUNDDOWN($H250,0))*(INDEX(avoidedcosttbl2,ROUNDUP($H250,0),AP$2)-(INDEX(avoidedcosttbl2,ROUNDDOWN($H250,0),AP$2)))))*$O250*1000*'Inputs Yr 2'!AA250,"")</f>
        <v>0</v>
      </c>
      <c r="AQ250" s="195">
        <f>IFERROR($CR250*(INDEX(avoidedcosttbl2,$H250,AQ$2)+(($H250-ROUNDDOWN($H250,0))*(INDEX(avoidedcosttbl2,ROUNDUP($H250,0),AQ$2)-(INDEX(avoidedcosttbl2,ROUNDDOWN($H250,0),AQ$2)))))*$O250*1000*'Inputs Yr 2'!AB250,"")</f>
        <v>0</v>
      </c>
      <c r="AR250" s="195">
        <f>IFERROR($CS250*(INDEX(avoidedcosttbl2,$H250,AR$2)+(($H250-ROUNDDOWN($H250,0))*(INDEX(avoidedcosttbl2,ROUNDUP($H250,0),AR$2)-(INDEX(avoidedcosttbl2,ROUNDDOWN($H250,0),AR$2)))))*$O250*1000*'Inputs Yr 2'!AC250,"")</f>
        <v>0</v>
      </c>
      <c r="AS250" s="195">
        <f>IFERROR($CT250*(INDEX(avoidedcosttbl2,$H250,AS$2)+(($H250-ROUNDDOWN($H250,0))*(INDEX(avoidedcosttbl2,ROUNDUP($H250,0),AS$2)-(INDEX(avoidedcosttbl2,ROUNDDOWN($H250,0),AS$2)))))*$O250*1000*'Inputs Yr 2'!AD250,"")</f>
        <v>0</v>
      </c>
      <c r="AT250" s="196">
        <f t="shared" si="123"/>
        <v>0</v>
      </c>
      <c r="AU250" s="197">
        <f>IFERROR($CQ250*((INDEX(avoidedcosttbl2,$H250,AU$2))+(($H250-ROUNDDOWN($H250,0))*((INDEX(avoidedcosttbl2,ROUNDUP($H250,0),AU$2))-(INDEX(avoidedcosttbl2,ROUNDDOWN($H250,0),AU$2)))))*$O250*1000*'Inputs Yr 2'!AA250,"")</f>
        <v>0</v>
      </c>
      <c r="AV250" s="197">
        <f>IFERROR($CR250*((INDEX(avoidedcosttbl2,$H250,AV$2))+(($H250-ROUNDDOWN($H250,0))*((INDEX(avoidedcosttbl2,ROUNDUP($H250,0),AV$2))-(INDEX(avoidedcosttbl2,ROUNDDOWN($H250,0),AV$2)))))*$O250*1000*'Inputs Yr 2'!AB250,"")</f>
        <v>0</v>
      </c>
      <c r="AW250" s="197">
        <f>IFERROR($CS250*((INDEX(avoidedcosttbl2,$H250,AW$2))+(($H250-ROUNDDOWN($H250,0))*((INDEX(avoidedcosttbl2,ROUNDUP($H250,0),AW$2))-(INDEX(avoidedcosttbl2,ROUNDDOWN($H250,0),AW$2)))))*$O250*1000*'Inputs Yr 2'!AC250,"")</f>
        <v>0</v>
      </c>
      <c r="AX250" s="197">
        <f>IFERROR($CT250*((INDEX(avoidedcosttbl2,$H250,AX$2))+(($H250-ROUNDDOWN($H250,0))*((INDEX(avoidedcosttbl2,ROUNDUP($H250,0),AX$2))-(INDEX(avoidedcosttbl2,ROUNDDOWN($H250,0),AX$2)))))*$O250*1000*'Inputs Yr 2'!AD250,"")</f>
        <v>0</v>
      </c>
      <c r="AY250" s="197">
        <f>IFERROR(((INDEX(avoidedcosttbl2,$H250,AY$2))+(($H250-ROUNDDOWN($H250,0))*((INDEX(avoidedcosttbl2,ROUNDUP($H250,0),AY$2))-(INDEX(avoidedcosttbl2,ROUNDDOWN($H250,0),AY$2)))))*$O250*1000*('Inputs Yr 2'!AC250+'Inputs Yr 2'!AD250),"")</f>
        <v>0</v>
      </c>
      <c r="AZ250" s="197">
        <f>IFERROR(((INDEX(avoidedcosttbl2,$H250,AZ$2))+(($H250-ROUNDDOWN($H250,0))*((INDEX(avoidedcosttbl2,ROUNDUP($H250,0),AZ$2))-(INDEX(avoidedcosttbl2,ROUNDDOWN($H250,0),AZ$2)))))*$O250*1000*('Inputs Yr 2'!AA250+'Inputs Yr 2'!AB250),"")</f>
        <v>0</v>
      </c>
      <c r="BA250" s="198">
        <f t="shared" si="124"/>
        <v>0</v>
      </c>
      <c r="BB250" s="198">
        <f t="shared" si="125"/>
        <v>0</v>
      </c>
      <c r="BC250" s="195">
        <f t="shared" si="107"/>
        <v>0</v>
      </c>
      <c r="BD250" s="195">
        <f t="shared" si="108"/>
        <v>0</v>
      </c>
      <c r="BE250" s="195">
        <f t="shared" si="109"/>
        <v>0</v>
      </c>
      <c r="BF250" s="195">
        <f t="shared" si="110"/>
        <v>0</v>
      </c>
      <c r="BG250" s="195">
        <f t="shared" si="111"/>
        <v>0</v>
      </c>
      <c r="BH250" s="196">
        <f t="shared" si="126"/>
        <v>0</v>
      </c>
      <c r="BI250" s="196">
        <f t="shared" si="127"/>
        <v>0</v>
      </c>
      <c r="BJ250" s="195">
        <f>IFERROR($G250*(IF('Inputs Yr 2'!$AJ250=BJ$4,'Inputs Yr 2'!$AK250,IF('Inputs Yr 2'!$AL250=BJ$4,'Inputs Yr 2'!$AM250,IF('Inputs Yr 2'!$AN250=BJ$4,'Inputs Yr 2'!$AO250,0))))*(INDEX(avoidedcosttbl2,$H250,BJ$2)+(($H250-ROUNDDOWN($H250,0))*(INDEX(avoidedcosttbl2,ROUNDUP($H250,0),BJ$2)-(INDEX(avoidedcosttbl2,ROUNDDOWN($H250,0),BJ$2)))))*'Inputs Yr 2'!P250*'Inputs Yr 2'!Q250*'Inputs Yr 2'!U250,"")</f>
        <v>0</v>
      </c>
      <c r="BK250" s="195">
        <f>IFERROR($G250*(IF('Inputs Yr 2'!$AJ250=BK$4,'Inputs Yr 2'!$AK250,IF('Inputs Yr 2'!$AL250=BK$4,'Inputs Yr 2'!$AM250,IF('Inputs Yr 2'!$AN250=BK$4,'Inputs Yr 2'!$AO250,0))))*(INDEX(avoidedcosttbl2,$H250,BK$2)+(($H250-ROUNDDOWN($H250,0))*(INDEX(avoidedcosttbl2,ROUNDUP($H250,0),BK$2)-(INDEX(avoidedcosttbl2,ROUNDDOWN($H250,0),BK$2)))))*'Inputs Yr 2'!P250*'Inputs Yr 2'!Q250*'Inputs Yr 2'!U250,"")</f>
        <v>0</v>
      </c>
      <c r="BL250" s="195">
        <f>IFERROR($G250*(IF('Inputs Yr 2'!$AJ250=BL$4,'Inputs Yr 2'!$AK250,IF('Inputs Yr 2'!$AL250=BL$4,'Inputs Yr 2'!$AM250,IF('Inputs Yr 2'!$AN250=BL$4,'Inputs Yr 2'!$AO250,0))))*(INDEX(avoidedcosttbl2,$H250,BL$2)+(($H250-ROUNDDOWN($H250,0))*(INDEX(avoidedcosttbl2,ROUNDUP($H250,0),BL$2)-(INDEX(avoidedcosttbl2,ROUNDDOWN($H250,0),BL$2)))))*'Inputs Yr 2'!P250*'Inputs Yr 2'!Q250*'Inputs Yr 2'!U250,"")</f>
        <v>0</v>
      </c>
      <c r="BM250" s="195">
        <f>IFERROR($G250*(IF('Inputs Yr 2'!$AJ250=BM$4,'Inputs Yr 2'!$AK250,IF('Inputs Yr 2'!$AL250=BM$4,'Inputs Yr 2'!$AM250,IF('Inputs Yr 2'!$AN250=BM$4,'Inputs Yr 2'!$AO250,0))))*(INDEX(avoidedcosttbl2,$H250,BM$2)+(($H250-ROUNDDOWN($H250,0))*(INDEX(avoidedcosttbl2,ROUNDUP($H250,0),BM$2)-(INDEX(avoidedcosttbl2,ROUNDDOWN($H250,0),BM$2)))))*'Inputs Yr 2'!P250*'Inputs Yr 2'!Q250*'Inputs Yr 2'!U250,"")</f>
        <v>0</v>
      </c>
      <c r="BN250" s="195">
        <f>IFERROR($G250*(IF('Inputs Yr 2'!$AJ250=BN$4,'Inputs Yr 2'!$AK250,IF('Inputs Yr 2'!$AL250=BN$4,'Inputs Yr 2'!$AM250,IF('Inputs Yr 2'!$AN250=BN$4,'Inputs Yr 2'!$AO250,0))))*(INDEX(avoidedcosttbl2,$H250,BN$2)+(($H250-ROUNDDOWN($H250,0))*(INDEX(avoidedcosttbl2,ROUNDUP($H250,0),BN$2)-(INDEX(avoidedcosttbl2,ROUNDDOWN($H250,0),BN$2)))))*'Inputs Yr 2'!P250*'Inputs Yr 2'!Q250*'Inputs Yr 2'!U250,"")</f>
        <v>0</v>
      </c>
      <c r="BO250" s="195">
        <f>IFERROR($G250*(IF('Inputs Yr 2'!$AJ250=BO$4,'Inputs Yr 2'!$AK250,IF('Inputs Yr 2'!$AL250=BO$4,'Inputs Yr 2'!$AM250,IF('Inputs Yr 2'!$AN250=BO$4,'Inputs Yr 2'!$AO250,0))))*(INDEX(avoidedcosttbl2,$H250,BO$2)+(($H250-ROUNDDOWN($H250,0))*(INDEX(avoidedcosttbl2,ROUNDUP($H250,0),BO$2)-(INDEX(avoidedcosttbl2,ROUNDDOWN($H250,0),BO$2)))))*'Inputs Yr 2'!P250*'Inputs Yr 2'!Q250*'Inputs Yr 2'!U250,"")</f>
        <v>13126.519660781796</v>
      </c>
      <c r="BP250" s="195">
        <f>IFERROR($G250*(IF('Inputs Yr 2'!$AJ250=BP$4,'Inputs Yr 2'!$AK250,IF('Inputs Yr 2'!$AL250=BP$4,'Inputs Yr 2'!$AM250,IF('Inputs Yr 2'!$AN250=BP$4,'Inputs Yr 2'!$AO250,0))))*(INDEX(avoidedcosttbl2,$H250,BP$2)+(($H250-ROUNDDOWN($H250,0))*(INDEX(avoidedcosttbl2,ROUNDUP($H250,0),BP$2)-(INDEX(avoidedcosttbl2,ROUNDDOWN($H250,0),BP$2)))))*'Inputs Yr 2'!P250*'Inputs Yr 2'!Q250*'Inputs Yr 2'!U250,"")</f>
        <v>0</v>
      </c>
      <c r="BQ250" s="230">
        <f t="shared" si="128"/>
        <v>13126.519660781796</v>
      </c>
      <c r="BR250" s="197">
        <f t="shared" si="112"/>
        <v>243.53516170719487</v>
      </c>
      <c r="BS250" s="197">
        <f>IFERROR(($G250*IF('Inputs Yr 2'!$AJ250=BM$4,'Inputs Yr 2'!$AK250,IF('Inputs Yr 2'!$AL250=BM$4,'Inputs Yr 2'!$AM250,IF('Inputs Yr 2'!$AN250=BM$4,'Inputs Yr 2'!$AO250,0))))*(INDEX(avoidedcosttbl2,$H250,BS$2)+(($H250-ROUNDDOWN($H250,0))*(INDEX(avoidedcosttbl2,ROUNDUP($H250,0),BS$2)-(INDEX(avoidedcosttbl2,ROUNDDOWN($H250,0),BS$2)))))*'Inputs Yr 2'!P250*'Inputs Yr 2'!Q250*'Inputs Yr 2'!U250,"")</f>
        <v>0</v>
      </c>
      <c r="BT250" s="197">
        <f>IFERROR(($G250*IF('Inputs Yr 2'!$AJ250=BK$4,'Inputs Yr 2'!$AK250,IF('Inputs Yr 2'!$AL250=BK$4,'Inputs Yr 2'!$AM250,IF('Inputs Yr 2'!$AN250=BK$4,'Inputs Yr 2'!$AO250,0))))*(INDEX(avoidedcosttbl2,$H250,BT$2)+(($H250-ROUNDDOWN($H250,0))*(INDEX(avoidedcosttbl2,ROUNDUP($H250,0),BT$2)-(INDEX(avoidedcosttbl2,ROUNDDOWN($H250,0),BT$2)))))*'Inputs Yr 2'!P250*'Inputs Yr 2'!Q250*'Inputs Yr 2'!U250,"")</f>
        <v>0</v>
      </c>
      <c r="BU250" s="197">
        <f>IFERROR(($G250*IF('Inputs Yr 2'!$AJ250=BL$4,'Inputs Yr 2'!$AK250,IF('Inputs Yr 2'!$AL250=BL$4,'Inputs Yr 2'!$AM250,IF('Inputs Yr 2'!$AN250=BL$4,'Inputs Yr 2'!$AO250,0))))*(INDEX(avoidedcosttbl2,$H250,BU$2)+(($H250-ROUNDDOWN($H250,0))*(INDEX(avoidedcosttbl2,ROUNDUP($H250,0),BU$2)-(INDEX(avoidedcosttbl2,ROUNDDOWN($H250,0),BU$2)))))*'Inputs Yr 2'!P250*'Inputs Yr 2'!Q250*'Inputs Yr 2'!U250,"")</f>
        <v>0</v>
      </c>
      <c r="BV250" s="775">
        <f>IFERROR(($G250*IF('Inputs Yr 2'!$AJ250=BJ$4,'Inputs Yr 2'!$AK250,IF('Inputs Yr 2'!$AL250=BJ$4,'Inputs Yr 2'!$AM250,IF('Inputs Yr 2'!$AN250=BJ$4,'Inputs Yr 2'!$AO250,0))))*(INDEX(avoidedcosttbl2,$H250,BV$2)+(($H250-ROUNDDOWN($H250,0))*(INDEX(avoidedcosttbl2,ROUNDUP($H250,0),BV$2)-(INDEX(avoidedcosttbl2,ROUNDDOWN($H250,0),BV$2)))))*'Inputs Yr 2'!P250*'Inputs Yr 2'!Q250*'Inputs Yr 2'!U250,"")</f>
        <v>0</v>
      </c>
      <c r="BW250" s="197">
        <f>IFERROR(($G250*IF('Inputs Yr 2'!$AJ250=BN$4,'Inputs Yr 2'!$AK250,IF('Inputs Yr 2'!$AL250=BN$4,'Inputs Yr 2'!$AM250,IF('Inputs Yr 2'!$AN250=BN$4,'Inputs Yr 2'!$AO250,0))))*(INDEX(avoidedcosttbl2,$H250,BW$2)+(($H250-ROUNDDOWN($H250,0))*(INDEX(avoidedcosttbl2,ROUNDUP($H250,0),BW$2)-(INDEX(avoidedcosttbl2,ROUNDDOWN($H250,0),BW$2)))))*'Inputs Yr 2'!P250*'Inputs Yr 2'!Q250*'Inputs Yr 2'!U250,"")</f>
        <v>0</v>
      </c>
      <c r="BX250" s="197">
        <f>IFERROR(($G250*IF('Inputs Yr 2'!$AJ250=BO$4,'Inputs Yr 2'!$AK250,IF('Inputs Yr 2'!$AL250=BO$4,'Inputs Yr 2'!$AM250,IF('Inputs Yr 2'!$AN250=BO$4,'Inputs Yr 2'!$AO250,0))))*(INDEX(avoidedcosttbl2,$H250,BX$2)+(($H250-ROUNDDOWN($H250,0))*(INDEX(avoidedcosttbl2,ROUNDUP($H250,0),BX$2)-(INDEX(avoidedcosttbl2,ROUNDDOWN($H250,0),BX$2)))))*'Inputs Yr 2'!P250*'Inputs Yr 2'!Q250*'Inputs Yr 2'!U250,"")</f>
        <v>4418.2377879330916</v>
      </c>
      <c r="BY250" s="197">
        <f>IFERROR(($G250*IF('Inputs Yr 2'!$AJ250=BP$4,'Inputs Yr 2'!$AK250,IF('Inputs Yr 2'!$AL250=BP$4,'Inputs Yr 2'!$AM250,IF('Inputs Yr 2'!$AN250=BP$4,'Inputs Yr 2'!$AO250,0))))*(INDEX(avoidedcosttbl2,$H250,BY$2)+(($H250-ROUNDDOWN($H250,0))*(INDEX(avoidedcosttbl2,ROUNDUP($H250,0),BY$2)-(INDEX(avoidedcosttbl2,ROUNDDOWN($H250,0),BY$2)))))*'Inputs Yr 2'!P250*'Inputs Yr 2'!Q250*'Inputs Yr 2'!U250,"")</f>
        <v>0</v>
      </c>
      <c r="BZ250" s="193">
        <f t="shared" si="129"/>
        <v>4661.7729496402862</v>
      </c>
      <c r="CA250" s="193">
        <f t="shared" si="130"/>
        <v>17788.292610422082</v>
      </c>
      <c r="CB250" s="195">
        <f>IFERROR(G250*(IF('Inputs Yr 2'!$AJ250=CB$4,'Inputs Yr 2'!$AK250,IF('Inputs Yr 2'!$AL250=CB$4,'Inputs Yr 2'!$AM250,IF('Inputs Yr 2'!$AN250=CB$4,'Inputs Yr 2'!$AO250,0))))*(INDEX(avoidedcosttbl2,$H250,CB$2)+(($H250-ROUNDDOWN($H250,0))*(INDEX(avoidedcosttbl2,ROUNDUP($H250,0),CB$2)-(INDEX(avoidedcosttbl2,ROUNDDOWN($H250,0),CB$2)))))*'Inputs Yr 2'!P250*'Inputs Yr 2'!Q250*'Inputs Yr 2'!U250,"")</f>
        <v>0</v>
      </c>
      <c r="CC250" s="195">
        <f>IFERROR(H250*(IF('Inputs Yr 2'!$AJ250=CC$4,'Inputs Yr 2'!$AK250,IF('Inputs Yr 2'!$AL250=CC$4,'Inputs Yr 2'!$AM250,IF('Inputs Yr 2'!$AN250=CC$4,'Inputs Yr 2'!$AO250,0))))*(INDEX(avoidedcosttbl2,$H250,CC$2)+(($H250-ROUNDDOWN($H250,0))*(INDEX(avoidedcosttbl2,ROUNDUP($H250,0),CC$2)-(INDEX(avoidedcosttbl2,ROUNDDOWN($H250,0),CC$2)))))*'Inputs Yr 2'!Q250*'Inputs Yr 2'!R250*'Inputs Yr 2'!V250,"")</f>
        <v>0</v>
      </c>
      <c r="CD250" s="195">
        <f>IFERROR(I250*(IF('Inputs Yr 2'!$AJ250=CD$4,'Inputs Yr 2'!$AK250,IF('Inputs Yr 2'!$AL250=CD$4,'Inputs Yr 2'!$AM250,IF('Inputs Yr 2'!$AN250=CD$4,'Inputs Yr 2'!$AO250,0))))*(INDEX(avoidedcosttbl2,$H250,CD$2)+(($H250-ROUNDDOWN($H250,0))*(INDEX(avoidedcosttbl2,ROUNDUP($H250,0),CD$2)-(INDEX(avoidedcosttbl2,ROUNDDOWN($H250,0),CD$2)))))*'Inputs Yr 2'!R250*'Inputs Yr 2'!S250*'Inputs Yr 2'!W250,"")</f>
        <v>0</v>
      </c>
      <c r="CE250" s="213">
        <f t="shared" si="131"/>
        <v>0</v>
      </c>
      <c r="CF250" s="213">
        <f t="shared" si="132"/>
        <v>0</v>
      </c>
      <c r="CG250" s="213">
        <f t="shared" si="133"/>
        <v>0</v>
      </c>
      <c r="CH250" s="698">
        <f t="shared" si="134"/>
        <v>17788.292610422082</v>
      </c>
      <c r="CI250" s="79">
        <f>IFERROR(($G250*'Inputs Yr 2'!$P250*'Inputs Yr 2'!$Q250*(((INDEX(avoidedcosttbl2,$H250,CI$2)+(($H250-ROUNDDOWN($H250,0))*(INDEX(avoidedcosttbl2,ROUNDUP($H250,0),CI$2)-INDEX(avoidedcosttbl2,ROUNDDOWN($H250,0),CI$2))))*'Inputs Yr 2'!AS250))),"")</f>
        <v>0</v>
      </c>
      <c r="CJ250" s="504">
        <f>IFERROR($G250*'Inputs Yr 2'!AT250*'Inputs Yr 2'!$P250*'Inputs Yr 2'!$Q250/((1+realdiscrt1)^-0.5),"")</f>
        <v>0</v>
      </c>
      <c r="CK250" s="79">
        <f>IFERROR((O250*1000*(((INDEX(avoidedcosttbl2,$H250,CK$2)+(($H250-ROUNDDOWN($H250,0))*(INDEX(avoidedcosttbl2,ROUNDUP($H250,0),CK$2)-INDEX(avoidedcosttbl2,ROUNDDOWN($H250,0),CK$2))))*'Inputs Yr 2'!AU250))),"")</f>
        <v>0</v>
      </c>
      <c r="CL250" s="504">
        <f>IFERROR(O250*1000*'Inputs Yr 2'!AV250/((1+realdiscrt1)^-0.5),"")</f>
        <v>0</v>
      </c>
      <c r="CM250" s="79">
        <f>IFERROR((AB250*'Inputs Yr 2'!AW250*(((INDEX(avoidedcosttbl2,$H250,CM$2)+(($H250-ROUNDDOWN($H250,0))*(INDEX(avoidedcosttbl2,ROUNDUP($H250,0),CM$2)-INDEX(avoidedcosttbl2,ROUNDDOWN($H250,0),CM$2)))))))*10,"")</f>
        <v>4347.1632010124713</v>
      </c>
      <c r="CN250" s="504">
        <f>IFERROR(10*AB250*'Inputs Yr 2'!AX250/((1+realdiscrt1)^-0.5),"")</f>
        <v>0</v>
      </c>
      <c r="CO250" s="505">
        <f t="shared" si="135"/>
        <v>4347.1632010124713</v>
      </c>
      <c r="CP250" s="230">
        <f t="shared" si="136"/>
        <v>22135.455811434553</v>
      </c>
      <c r="CQ250" s="199">
        <f>ROUND(IFERROR(IF(LEFT($A250,1)="C",'Avoided Costs'!$K$13,'Avoided Costs'!$K$12)+1,""),4)</f>
        <v>1.0720000000000001</v>
      </c>
      <c r="CR250" s="199">
        <f>ROUND(IFERROR(IF(LEFT($A250,1)="C",'Avoided Costs'!$L$13,'Avoided Costs'!$L$12)+1,""),4)</f>
        <v>1.04</v>
      </c>
      <c r="CS250" s="199">
        <f>ROUND(IFERROR(IF(LEFT($A250,1)="C",'Avoided Costs'!$M$13,'Avoided Costs'!$M$12)+1,""),4)</f>
        <v>1.0720000000000001</v>
      </c>
      <c r="CT250" s="199">
        <f>ROUND(IFERROR(IF(LEFT($A250,1)="C",'Avoided Costs'!$N$13,'Avoided Costs'!$N$12)+1,""),4)</f>
        <v>1.04</v>
      </c>
      <c r="CU250" s="199">
        <f>ROUND(IFERROR(IF(LEFT($A250,1)="C",'Avoided Costs'!$O$13,'Avoided Costs'!$O$12)+1,""),4)</f>
        <v>1.1120000000000001</v>
      </c>
      <c r="CV250" s="199">
        <f>ROUND(IFERROR(IF(LEFT($A250,1)="C",'Avoided Costs'!$P$13,'Avoided Costs'!$P$12)+1,""),4)</f>
        <v>1.095</v>
      </c>
      <c r="CW250" s="199">
        <f>ROUND(IFERROR(IF(LEFT($A250,1)="C",'Avoided Costs'!$Q$13,'Avoided Costs'!$Q$12)+1,""),4)</f>
        <v>1.1120000000000001</v>
      </c>
      <c r="CX250" s="200">
        <f>ROUND(IFERROR(IF(LEFT($A250,1)="C",'Avoided Costs'!$R$13,'Avoided Costs'!$R$12)+1,""),4)</f>
        <v>1.1120000000000001</v>
      </c>
    </row>
    <row r="251" spans="1:102" ht="12.75" customHeight="1">
      <c r="A251" s="91" t="str">
        <f>IF('Inputs Yr 2'!$B251=0,"",'Inputs Yr 2'!A251)</f>
        <v>C - Commercial &amp; Industrial</v>
      </c>
      <c r="B251" s="91" t="str">
        <f>IF('Inputs Yr 2'!$B251=0,"",'Inputs Yr 2'!B251)</f>
        <v>C2 - C&amp;I Retrofit</v>
      </c>
      <c r="C251" s="91" t="str">
        <f>IF('Inputs Yr 2'!$B251=0,"",'Inputs Yr 2'!C251)</f>
        <v>C2a - C&amp;I Existing Building Retrofit</v>
      </c>
      <c r="D251" s="91" t="str">
        <f>IF('Inputs Yr 2'!$B251=0,"",'Inputs Yr 2'!E251)</f>
        <v>Heating - Custom 5</v>
      </c>
      <c r="E251" s="93" t="str">
        <f>IF('Inputs Yr 2'!$B251=0,"",'Inputs Yr 2'!F251)</f>
        <v>G16C2a05</v>
      </c>
      <c r="F251" s="93" t="str">
        <f>IF('Inputs Yr 2'!$B251=0,"",'Inputs Yr 2'!G251)</f>
        <v>HVAC</v>
      </c>
      <c r="G251" s="95">
        <f>IF('Inputs Yr 2'!$H251&lt;&gt;0,('Inputs Yr 2'!H251),"")</f>
        <v>1</v>
      </c>
      <c r="H251" s="94">
        <f>IFERROR('Inputs Yr 2'!I251,"")</f>
        <v>5</v>
      </c>
      <c r="I251" s="298">
        <f>IFERROR('Inputs Yr 2'!J251*'Inputs Yr 2'!P251*G251,"")</f>
        <v>33986.641799999998</v>
      </c>
      <c r="J251" s="298">
        <f>IFERROR('Inputs Yr 2'!K251*G251,"")</f>
        <v>18491.099999999999</v>
      </c>
      <c r="K251" s="298">
        <f t="shared" si="113"/>
        <v>15495.541799999999</v>
      </c>
      <c r="L251" s="194">
        <f>IFERROR(('Inputs Yr 2'!W251*G251)/1000,"")</f>
        <v>0</v>
      </c>
      <c r="M251" s="194">
        <f>IFERROR(L251*('Inputs Yr 2'!$Q251*'Inputs Yr 2'!$V251*'Inputs Yr 2'!$R251),"")</f>
        <v>0</v>
      </c>
      <c r="N251" s="194">
        <f t="shared" si="114"/>
        <v>0</v>
      </c>
      <c r="O251" s="194">
        <f>IFERROR(M251*'Inputs Yr 2'!P251,"")</f>
        <v>0</v>
      </c>
      <c r="P251" s="194">
        <f t="shared" si="115"/>
        <v>0</v>
      </c>
      <c r="Q251" s="194">
        <f>IFERROR($P251*'Inputs Yr 2'!AA251,"")</f>
        <v>0</v>
      </c>
      <c r="R251" s="194">
        <f>IFERROR($P251*'Inputs Yr 2'!AB251,"")</f>
        <v>0</v>
      </c>
      <c r="S251" s="194">
        <f>IFERROR($P251*'Inputs Yr 2'!AC251,"")</f>
        <v>0</v>
      </c>
      <c r="T251" s="194">
        <f>IFERROR($P251*'Inputs Yr 2'!AD251,"")</f>
        <v>0</v>
      </c>
      <c r="U251" s="194">
        <f>IFERROR(G251*'Inputs Yr 2'!$AE251*'Inputs Yr 2'!$P251*'Inputs Yr 2'!$Q251,"")</f>
        <v>0</v>
      </c>
      <c r="V251" s="194">
        <f>IFERROR($G251*'Inputs Yr 2'!$AE251*'Inputs Yr 2'!$AG251*'Inputs Yr 2'!Q251*'Inputs Yr 2'!$S251,"")</f>
        <v>0</v>
      </c>
      <c r="W251" s="194">
        <f>IFERROR($G251*'Inputs Yr 2'!$AE251*'Inputs Yr 2'!$AG251*'Inputs Yr 2'!P251*'Inputs Yr 2'!Q251*'Inputs Yr 2'!$S251,"")</f>
        <v>0</v>
      </c>
      <c r="X251" s="194">
        <f>IFERROR($G251*'Inputs Yr 2'!$AE251*'Inputs Yr 2'!$AF251*'Inputs Yr 2'!Q251*'Inputs Yr 2'!$T251,"")</f>
        <v>0</v>
      </c>
      <c r="Y251" s="194">
        <f>IFERROR($G251*'Inputs Yr 2'!$AE251*'Inputs Yr 2'!$AF251*'Inputs Yr 2'!P251*'Inputs Yr 2'!Q251*'Inputs Yr 2'!$T251,"")</f>
        <v>0</v>
      </c>
      <c r="Z251" s="257">
        <f>IFERROR($G251*'Inputs Yr 2'!$Q251*'Inputs Yr 2'!$U251*(IF(IFERROR(SEARCH("NG", 'Inputs Yr 2'!$AJ251),0),'Inputs Yr 2'!$AK251,0)+IF(IFERROR(SEARCH("NG", 'Inputs Yr 2'!$AL251),0),'Inputs Yr 2'!$AM251,0)+IF(IFERROR(SEARCH("NG", 'Inputs Yr 2'!$AN251),0),'Inputs Yr 2'!$AO251,0)),0)</f>
        <v>751.50130000000001</v>
      </c>
      <c r="AA251" s="257">
        <f t="shared" si="116"/>
        <v>3757.5065</v>
      </c>
      <c r="AB251" s="257">
        <f>IFERROR(Z251*'Inputs Yr 2'!$P251,0)</f>
        <v>690.62969470000007</v>
      </c>
      <c r="AC251" s="257">
        <f t="shared" si="117"/>
        <v>3453.1484735000004</v>
      </c>
      <c r="AD251" s="257">
        <f>IFERROR($G251*'Inputs Yr 2'!$Q251*'Inputs Yr 2'!$U251*(IF(IFERROR(SEARCH("Oil", 'Inputs Yr 2'!$AJ251), 0),'Inputs Yr 2'!$AK251,0)+IF(IFERROR(SEARCH("Oil", 'Inputs Yr 2'!$AL251), 0),'Inputs Yr 2'!$AM251,0)+IF(IFERROR(SEARCH("Oil", 'Inputs Yr 2'!$AN251), 0),'Inputs Yr 2'!$AO251,0)),0)</f>
        <v>0</v>
      </c>
      <c r="AE251" s="257">
        <f t="shared" si="118"/>
        <v>0</v>
      </c>
      <c r="AF251" s="257">
        <f>IFERROR(AD251*'Inputs Yr 2'!$P251,0)</f>
        <v>0</v>
      </c>
      <c r="AG251" s="257">
        <f t="shared" si="119"/>
        <v>0</v>
      </c>
      <c r="AH251" s="257">
        <f>IFERROR($G251*'Inputs Yr 2'!$Q251*'Inputs Yr 2'!$U251*(IF('Inputs Yr 2'!$AJ251=CD$4,'Inputs Yr 2'!$AK251,IF('Inputs Yr 2'!$AL251=CD$4,'Inputs Yr 2'!$AM251,IF('Inputs Yr 2'!$AN251=CD$4,'Inputs Yr 2'!$AO251,0)))),0)</f>
        <v>0</v>
      </c>
      <c r="AI251" s="257">
        <f t="shared" si="120"/>
        <v>0</v>
      </c>
      <c r="AJ251" s="257">
        <f>IFERROR(AH251*'Inputs Yr 2'!$P251,0)</f>
        <v>0</v>
      </c>
      <c r="AK251" s="257">
        <f t="shared" si="121"/>
        <v>0</v>
      </c>
      <c r="AL251" s="258">
        <f>IFERROR($G251*'Inputs Yr 2'!$P251*'Inputs Yr 2'!$Q251*'Inputs Yr 2'!AP251,0)</f>
        <v>0</v>
      </c>
      <c r="AM251" s="260">
        <f>IFERROR($G251*'Inputs Yr 2'!$P251*'Inputs Yr 2'!$Q251*'Inputs Yr 2'!AQ251,0)</f>
        <v>0</v>
      </c>
      <c r="AN251" s="258">
        <f>IFERROR($G251*'Inputs Yr 2'!$P251*'Inputs Yr 2'!$Q251*'Inputs Yr 2'!AR251,0)</f>
        <v>0</v>
      </c>
      <c r="AO251" s="257">
        <f t="shared" si="122"/>
        <v>0</v>
      </c>
      <c r="AP251" s="195">
        <f>IFERROR($CQ251*(INDEX(avoidedcosttbl2,$H251,AP$2)+(($H251-ROUNDDOWN($H251,0))*(INDEX(avoidedcosttbl2,ROUNDUP($H251,0),AP$2)-(INDEX(avoidedcosttbl2,ROUNDDOWN($H251,0),AP$2)))))*$O251*1000*'Inputs Yr 2'!AA251,"")</f>
        <v>0</v>
      </c>
      <c r="AQ251" s="195">
        <f>IFERROR($CR251*(INDEX(avoidedcosttbl2,$H251,AQ$2)+(($H251-ROUNDDOWN($H251,0))*(INDEX(avoidedcosttbl2,ROUNDUP($H251,0),AQ$2)-(INDEX(avoidedcosttbl2,ROUNDDOWN($H251,0),AQ$2)))))*$O251*1000*'Inputs Yr 2'!AB251,"")</f>
        <v>0</v>
      </c>
      <c r="AR251" s="195">
        <f>IFERROR($CS251*(INDEX(avoidedcosttbl2,$H251,AR$2)+(($H251-ROUNDDOWN($H251,0))*(INDEX(avoidedcosttbl2,ROUNDUP($H251,0),AR$2)-(INDEX(avoidedcosttbl2,ROUNDDOWN($H251,0),AR$2)))))*$O251*1000*'Inputs Yr 2'!AC251,"")</f>
        <v>0</v>
      </c>
      <c r="AS251" s="195">
        <f>IFERROR($CT251*(INDEX(avoidedcosttbl2,$H251,AS$2)+(($H251-ROUNDDOWN($H251,0))*(INDEX(avoidedcosttbl2,ROUNDUP($H251,0),AS$2)-(INDEX(avoidedcosttbl2,ROUNDDOWN($H251,0),AS$2)))))*$O251*1000*'Inputs Yr 2'!AD251,"")</f>
        <v>0</v>
      </c>
      <c r="AT251" s="196">
        <f t="shared" si="123"/>
        <v>0</v>
      </c>
      <c r="AU251" s="197">
        <f>IFERROR($CQ251*((INDEX(avoidedcosttbl2,$H251,AU$2))+(($H251-ROUNDDOWN($H251,0))*((INDEX(avoidedcosttbl2,ROUNDUP($H251,0),AU$2))-(INDEX(avoidedcosttbl2,ROUNDDOWN($H251,0),AU$2)))))*$O251*1000*'Inputs Yr 2'!AA251,"")</f>
        <v>0</v>
      </c>
      <c r="AV251" s="197">
        <f>IFERROR($CR251*((INDEX(avoidedcosttbl2,$H251,AV$2))+(($H251-ROUNDDOWN($H251,0))*((INDEX(avoidedcosttbl2,ROUNDUP($H251,0),AV$2))-(INDEX(avoidedcosttbl2,ROUNDDOWN($H251,0),AV$2)))))*$O251*1000*'Inputs Yr 2'!AB251,"")</f>
        <v>0</v>
      </c>
      <c r="AW251" s="197">
        <f>IFERROR($CS251*((INDEX(avoidedcosttbl2,$H251,AW$2))+(($H251-ROUNDDOWN($H251,0))*((INDEX(avoidedcosttbl2,ROUNDUP($H251,0),AW$2))-(INDEX(avoidedcosttbl2,ROUNDDOWN($H251,0),AW$2)))))*$O251*1000*'Inputs Yr 2'!AC251,"")</f>
        <v>0</v>
      </c>
      <c r="AX251" s="197">
        <f>IFERROR($CT251*((INDEX(avoidedcosttbl2,$H251,AX$2))+(($H251-ROUNDDOWN($H251,0))*((INDEX(avoidedcosttbl2,ROUNDUP($H251,0),AX$2))-(INDEX(avoidedcosttbl2,ROUNDDOWN($H251,0),AX$2)))))*$O251*1000*'Inputs Yr 2'!AD251,"")</f>
        <v>0</v>
      </c>
      <c r="AY251" s="197">
        <f>IFERROR(((INDEX(avoidedcosttbl2,$H251,AY$2))+(($H251-ROUNDDOWN($H251,0))*((INDEX(avoidedcosttbl2,ROUNDUP($H251,0),AY$2))-(INDEX(avoidedcosttbl2,ROUNDDOWN($H251,0),AY$2)))))*$O251*1000*('Inputs Yr 2'!AC251+'Inputs Yr 2'!AD251),"")</f>
        <v>0</v>
      </c>
      <c r="AZ251" s="197">
        <f>IFERROR(((INDEX(avoidedcosttbl2,$H251,AZ$2))+(($H251-ROUNDDOWN($H251,0))*((INDEX(avoidedcosttbl2,ROUNDUP($H251,0),AZ$2))-(INDEX(avoidedcosttbl2,ROUNDDOWN($H251,0),AZ$2)))))*$O251*1000*('Inputs Yr 2'!AA251+'Inputs Yr 2'!AB251),"")</f>
        <v>0</v>
      </c>
      <c r="BA251" s="198">
        <f t="shared" si="124"/>
        <v>0</v>
      </c>
      <c r="BB251" s="198">
        <f t="shared" si="125"/>
        <v>0</v>
      </c>
      <c r="BC251" s="195">
        <f t="shared" si="107"/>
        <v>0</v>
      </c>
      <c r="BD251" s="195">
        <f t="shared" si="108"/>
        <v>0</v>
      </c>
      <c r="BE251" s="195">
        <f t="shared" si="109"/>
        <v>0</v>
      </c>
      <c r="BF251" s="195">
        <f t="shared" si="110"/>
        <v>0</v>
      </c>
      <c r="BG251" s="195">
        <f t="shared" si="111"/>
        <v>0</v>
      </c>
      <c r="BH251" s="196">
        <f t="shared" si="126"/>
        <v>0</v>
      </c>
      <c r="BI251" s="196">
        <f t="shared" si="127"/>
        <v>0</v>
      </c>
      <c r="BJ251" s="195">
        <f>IFERROR($G251*(IF('Inputs Yr 2'!$AJ251=BJ$4,'Inputs Yr 2'!$AK251,IF('Inputs Yr 2'!$AL251=BJ$4,'Inputs Yr 2'!$AM251,IF('Inputs Yr 2'!$AN251=BJ$4,'Inputs Yr 2'!$AO251,0))))*(INDEX(avoidedcosttbl2,$H251,BJ$2)+(($H251-ROUNDDOWN($H251,0))*(INDEX(avoidedcosttbl2,ROUNDUP($H251,0),BJ$2)-(INDEX(avoidedcosttbl2,ROUNDDOWN($H251,0),BJ$2)))))*'Inputs Yr 2'!P251*'Inputs Yr 2'!Q251*'Inputs Yr 2'!U251,"")</f>
        <v>0</v>
      </c>
      <c r="BK251" s="195">
        <f>IFERROR($G251*(IF('Inputs Yr 2'!$AJ251=BK$4,'Inputs Yr 2'!$AK251,IF('Inputs Yr 2'!$AL251=BK$4,'Inputs Yr 2'!$AM251,IF('Inputs Yr 2'!$AN251=BK$4,'Inputs Yr 2'!$AO251,0))))*(INDEX(avoidedcosttbl2,$H251,BK$2)+(($H251-ROUNDDOWN($H251,0))*(INDEX(avoidedcosttbl2,ROUNDUP($H251,0),BK$2)-(INDEX(avoidedcosttbl2,ROUNDDOWN($H251,0),BK$2)))))*'Inputs Yr 2'!P251*'Inputs Yr 2'!Q251*'Inputs Yr 2'!U251,"")</f>
        <v>0</v>
      </c>
      <c r="BL251" s="195">
        <f>IFERROR($G251*(IF('Inputs Yr 2'!$AJ251=BL$4,'Inputs Yr 2'!$AK251,IF('Inputs Yr 2'!$AL251=BL$4,'Inputs Yr 2'!$AM251,IF('Inputs Yr 2'!$AN251=BL$4,'Inputs Yr 2'!$AO251,0))))*(INDEX(avoidedcosttbl2,$H251,BL$2)+(($H251-ROUNDDOWN($H251,0))*(INDEX(avoidedcosttbl2,ROUNDUP($H251,0),BL$2)-(INDEX(avoidedcosttbl2,ROUNDDOWN($H251,0),BL$2)))))*'Inputs Yr 2'!P251*'Inputs Yr 2'!Q251*'Inputs Yr 2'!U251,"")</f>
        <v>0</v>
      </c>
      <c r="BM251" s="195">
        <f>IFERROR($G251*(IF('Inputs Yr 2'!$AJ251=BM$4,'Inputs Yr 2'!$AK251,IF('Inputs Yr 2'!$AL251=BM$4,'Inputs Yr 2'!$AM251,IF('Inputs Yr 2'!$AN251=BM$4,'Inputs Yr 2'!$AO251,0))))*(INDEX(avoidedcosttbl2,$H251,BM$2)+(($H251-ROUNDDOWN($H251,0))*(INDEX(avoidedcosttbl2,ROUNDUP($H251,0),BM$2)-(INDEX(avoidedcosttbl2,ROUNDDOWN($H251,0),BM$2)))))*'Inputs Yr 2'!P251*'Inputs Yr 2'!Q251*'Inputs Yr 2'!U251,"")</f>
        <v>0</v>
      </c>
      <c r="BN251" s="195">
        <f>IFERROR($G251*(IF('Inputs Yr 2'!$AJ251=BN$4,'Inputs Yr 2'!$AK251,IF('Inputs Yr 2'!$AL251=BN$4,'Inputs Yr 2'!$AM251,IF('Inputs Yr 2'!$AN251=BN$4,'Inputs Yr 2'!$AO251,0))))*(INDEX(avoidedcosttbl2,$H251,BN$2)+(($H251-ROUNDDOWN($H251,0))*(INDEX(avoidedcosttbl2,ROUNDUP($H251,0),BN$2)-(INDEX(avoidedcosttbl2,ROUNDDOWN($H251,0),BN$2)))))*'Inputs Yr 2'!P251*'Inputs Yr 2'!Q251*'Inputs Yr 2'!U251,"")</f>
        <v>0</v>
      </c>
      <c r="BO251" s="195">
        <f>IFERROR($G251*(IF('Inputs Yr 2'!$AJ251=BO$4,'Inputs Yr 2'!$AK251,IF('Inputs Yr 2'!$AL251=BO$4,'Inputs Yr 2'!$AM251,IF('Inputs Yr 2'!$AN251=BO$4,'Inputs Yr 2'!$AO251,0))))*(INDEX(avoidedcosttbl2,$H251,BO$2)+(($H251-ROUNDDOWN($H251,0))*(INDEX(avoidedcosttbl2,ROUNDUP($H251,0),BO$2)-(INDEX(avoidedcosttbl2,ROUNDDOWN($H251,0),BO$2)))))*'Inputs Yr 2'!P251*'Inputs Yr 2'!Q251*'Inputs Yr 2'!U251,"")</f>
        <v>25812.779426736601</v>
      </c>
      <c r="BP251" s="195">
        <f>IFERROR($G251*(IF('Inputs Yr 2'!$AJ251=BP$4,'Inputs Yr 2'!$AK251,IF('Inputs Yr 2'!$AL251=BP$4,'Inputs Yr 2'!$AM251,IF('Inputs Yr 2'!$AN251=BP$4,'Inputs Yr 2'!$AO251,0))))*(INDEX(avoidedcosttbl2,$H251,BP$2)+(($H251-ROUNDDOWN($H251,0))*(INDEX(avoidedcosttbl2,ROUNDUP($H251,0),BP$2)-(INDEX(avoidedcosttbl2,ROUNDDOWN($H251,0),BP$2)))))*'Inputs Yr 2'!P251*'Inputs Yr 2'!Q251*'Inputs Yr 2'!U251,"")</f>
        <v>0</v>
      </c>
      <c r="BQ251" s="230">
        <f t="shared" si="128"/>
        <v>25812.779426736601</v>
      </c>
      <c r="BR251" s="197">
        <f t="shared" si="112"/>
        <v>478.35751429482087</v>
      </c>
      <c r="BS251" s="197">
        <f>IFERROR(($G251*IF('Inputs Yr 2'!$AJ251=BM$4,'Inputs Yr 2'!$AK251,IF('Inputs Yr 2'!$AL251=BM$4,'Inputs Yr 2'!$AM251,IF('Inputs Yr 2'!$AN251=BM$4,'Inputs Yr 2'!$AO251,0))))*(INDEX(avoidedcosttbl2,$H251,BS$2)+(($H251-ROUNDDOWN($H251,0))*(INDEX(avoidedcosttbl2,ROUNDUP($H251,0),BS$2)-(INDEX(avoidedcosttbl2,ROUNDDOWN($H251,0),BS$2)))))*'Inputs Yr 2'!P251*'Inputs Yr 2'!Q251*'Inputs Yr 2'!U251,"")</f>
        <v>0</v>
      </c>
      <c r="BT251" s="197">
        <f>IFERROR(($G251*IF('Inputs Yr 2'!$AJ251=BK$4,'Inputs Yr 2'!$AK251,IF('Inputs Yr 2'!$AL251=BK$4,'Inputs Yr 2'!$AM251,IF('Inputs Yr 2'!$AN251=BK$4,'Inputs Yr 2'!$AO251,0))))*(INDEX(avoidedcosttbl2,$H251,BT$2)+(($H251-ROUNDDOWN($H251,0))*(INDEX(avoidedcosttbl2,ROUNDUP($H251,0),BT$2)-(INDEX(avoidedcosttbl2,ROUNDDOWN($H251,0),BT$2)))))*'Inputs Yr 2'!P251*'Inputs Yr 2'!Q251*'Inputs Yr 2'!U251,"")</f>
        <v>0</v>
      </c>
      <c r="BU251" s="197">
        <f>IFERROR(($G251*IF('Inputs Yr 2'!$AJ251=BL$4,'Inputs Yr 2'!$AK251,IF('Inputs Yr 2'!$AL251=BL$4,'Inputs Yr 2'!$AM251,IF('Inputs Yr 2'!$AN251=BL$4,'Inputs Yr 2'!$AO251,0))))*(INDEX(avoidedcosttbl2,$H251,BU$2)+(($H251-ROUNDDOWN($H251,0))*(INDEX(avoidedcosttbl2,ROUNDUP($H251,0),BU$2)-(INDEX(avoidedcosttbl2,ROUNDDOWN($H251,0),BU$2)))))*'Inputs Yr 2'!P251*'Inputs Yr 2'!Q251*'Inputs Yr 2'!U251,"")</f>
        <v>0</v>
      </c>
      <c r="BV251" s="775">
        <f>IFERROR(($G251*IF('Inputs Yr 2'!$AJ251=BJ$4,'Inputs Yr 2'!$AK251,IF('Inputs Yr 2'!$AL251=BJ$4,'Inputs Yr 2'!$AM251,IF('Inputs Yr 2'!$AN251=BJ$4,'Inputs Yr 2'!$AO251,0))))*(INDEX(avoidedcosttbl2,$H251,BV$2)+(($H251-ROUNDDOWN($H251,0))*(INDEX(avoidedcosttbl2,ROUNDUP($H251,0),BV$2)-(INDEX(avoidedcosttbl2,ROUNDDOWN($H251,0),BV$2)))))*'Inputs Yr 2'!P251*'Inputs Yr 2'!Q251*'Inputs Yr 2'!U251,"")</f>
        <v>0</v>
      </c>
      <c r="BW251" s="197">
        <f>IFERROR(($G251*IF('Inputs Yr 2'!$AJ251=BN$4,'Inputs Yr 2'!$AK251,IF('Inputs Yr 2'!$AL251=BN$4,'Inputs Yr 2'!$AM251,IF('Inputs Yr 2'!$AN251=BN$4,'Inputs Yr 2'!$AO251,0))))*(INDEX(avoidedcosttbl2,$H251,BW$2)+(($H251-ROUNDDOWN($H251,0))*(INDEX(avoidedcosttbl2,ROUNDUP($H251,0),BW$2)-(INDEX(avoidedcosttbl2,ROUNDDOWN($H251,0),BW$2)))))*'Inputs Yr 2'!P251*'Inputs Yr 2'!Q251*'Inputs Yr 2'!U251,"")</f>
        <v>0</v>
      </c>
      <c r="BX251" s="197">
        <f>IFERROR(($G251*IF('Inputs Yr 2'!$AJ251=BO$4,'Inputs Yr 2'!$AK251,IF('Inputs Yr 2'!$AL251=BO$4,'Inputs Yr 2'!$AM251,IF('Inputs Yr 2'!$AN251=BO$4,'Inputs Yr 2'!$AO251,0))))*(INDEX(avoidedcosttbl2,$H251,BX$2)+(($H251-ROUNDDOWN($H251,0))*(INDEX(avoidedcosttbl2,ROUNDUP($H251,0),BX$2)-(INDEX(avoidedcosttbl2,ROUNDDOWN($H251,0),BX$2)))))*'Inputs Yr 2'!P251*'Inputs Yr 2'!Q251*'Inputs Yr 2'!U251,"")</f>
        <v>4918.7301504761663</v>
      </c>
      <c r="BY251" s="197">
        <f>IFERROR(($G251*IF('Inputs Yr 2'!$AJ251=BP$4,'Inputs Yr 2'!$AK251,IF('Inputs Yr 2'!$AL251=BP$4,'Inputs Yr 2'!$AM251,IF('Inputs Yr 2'!$AN251=BP$4,'Inputs Yr 2'!$AO251,0))))*(INDEX(avoidedcosttbl2,$H251,BY$2)+(($H251-ROUNDDOWN($H251,0))*(INDEX(avoidedcosttbl2,ROUNDUP($H251,0),BY$2)-(INDEX(avoidedcosttbl2,ROUNDDOWN($H251,0),BY$2)))))*'Inputs Yr 2'!P251*'Inputs Yr 2'!Q251*'Inputs Yr 2'!U251,"")</f>
        <v>0</v>
      </c>
      <c r="BZ251" s="193">
        <f t="shared" si="129"/>
        <v>5397.0876647709874</v>
      </c>
      <c r="CA251" s="193">
        <f t="shared" si="130"/>
        <v>31209.867091507589</v>
      </c>
      <c r="CB251" s="195">
        <f>IFERROR(G251*(IF('Inputs Yr 2'!$AJ251=CB$4,'Inputs Yr 2'!$AK251,IF('Inputs Yr 2'!$AL251=CB$4,'Inputs Yr 2'!$AM251,IF('Inputs Yr 2'!$AN251=CB$4,'Inputs Yr 2'!$AO251,0))))*(INDEX(avoidedcosttbl2,$H251,CB$2)+(($H251-ROUNDDOWN($H251,0))*(INDEX(avoidedcosttbl2,ROUNDUP($H251,0),CB$2)-(INDEX(avoidedcosttbl2,ROUNDDOWN($H251,0),CB$2)))))*'Inputs Yr 2'!P251*'Inputs Yr 2'!Q251*'Inputs Yr 2'!U251,"")</f>
        <v>0</v>
      </c>
      <c r="CC251" s="195">
        <f>IFERROR(H251*(IF('Inputs Yr 2'!$AJ251=CC$4,'Inputs Yr 2'!$AK251,IF('Inputs Yr 2'!$AL251=CC$4,'Inputs Yr 2'!$AM251,IF('Inputs Yr 2'!$AN251=CC$4,'Inputs Yr 2'!$AO251,0))))*(INDEX(avoidedcosttbl2,$H251,CC$2)+(($H251-ROUNDDOWN($H251,0))*(INDEX(avoidedcosttbl2,ROUNDUP($H251,0),CC$2)-(INDEX(avoidedcosttbl2,ROUNDDOWN($H251,0),CC$2)))))*'Inputs Yr 2'!Q251*'Inputs Yr 2'!R251*'Inputs Yr 2'!V251,"")</f>
        <v>0</v>
      </c>
      <c r="CD251" s="195">
        <f>IFERROR(I251*(IF('Inputs Yr 2'!$AJ251=CD$4,'Inputs Yr 2'!$AK251,IF('Inputs Yr 2'!$AL251=CD$4,'Inputs Yr 2'!$AM251,IF('Inputs Yr 2'!$AN251=CD$4,'Inputs Yr 2'!$AO251,0))))*(INDEX(avoidedcosttbl2,$H251,CD$2)+(($H251-ROUNDDOWN($H251,0))*(INDEX(avoidedcosttbl2,ROUNDUP($H251,0),CD$2)-(INDEX(avoidedcosttbl2,ROUNDDOWN($H251,0),CD$2)))))*'Inputs Yr 2'!R251*'Inputs Yr 2'!S251*'Inputs Yr 2'!W251,"")</f>
        <v>0</v>
      </c>
      <c r="CE251" s="213">
        <f t="shared" si="131"/>
        <v>0</v>
      </c>
      <c r="CF251" s="213">
        <f t="shared" si="132"/>
        <v>0</v>
      </c>
      <c r="CG251" s="213">
        <f t="shared" si="133"/>
        <v>0</v>
      </c>
      <c r="CH251" s="698">
        <f t="shared" si="134"/>
        <v>31209.867091507589</v>
      </c>
      <c r="CI251" s="79">
        <f>IFERROR(($G251*'Inputs Yr 2'!$P251*'Inputs Yr 2'!$Q251*(((INDEX(avoidedcosttbl2,$H251,CI$2)+(($H251-ROUNDDOWN($H251,0))*(INDEX(avoidedcosttbl2,ROUNDUP($H251,0),CI$2)-INDEX(avoidedcosttbl2,ROUNDDOWN($H251,0),CI$2))))*'Inputs Yr 2'!AS251))),"")</f>
        <v>0</v>
      </c>
      <c r="CJ251" s="504">
        <f>IFERROR($G251*'Inputs Yr 2'!AT251*'Inputs Yr 2'!$P251*'Inputs Yr 2'!$Q251/((1+realdiscrt1)^-0.5),"")</f>
        <v>0</v>
      </c>
      <c r="CK251" s="79">
        <f>IFERROR((O251*1000*(((INDEX(avoidedcosttbl2,$H251,CK$2)+(($H251-ROUNDDOWN($H251,0))*(INDEX(avoidedcosttbl2,ROUNDUP($H251,0),CK$2)-INDEX(avoidedcosttbl2,ROUNDDOWN($H251,0),CK$2))))*'Inputs Yr 2'!AU251))),"")</f>
        <v>0</v>
      </c>
      <c r="CL251" s="504">
        <f>IFERROR(O251*1000*'Inputs Yr 2'!AV251/((1+realdiscrt1)^-0.5),"")</f>
        <v>0</v>
      </c>
      <c r="CM251" s="79">
        <f>IFERROR((AB251*'Inputs Yr 2'!AW251*(((INDEX(avoidedcosttbl2,$H251,CM$2)+(($H251-ROUNDDOWN($H251,0))*(INDEX(avoidedcosttbl2,ROUNDUP($H251,0),CM$2)-INDEX(avoidedcosttbl2,ROUNDDOWN($H251,0),CM$2)))))))*10,"")</f>
        <v>8538.800592460022</v>
      </c>
      <c r="CN251" s="504">
        <f>IFERROR(10*AB251*'Inputs Yr 2'!AX251/((1+realdiscrt1)^-0.5),"")</f>
        <v>0</v>
      </c>
      <c r="CO251" s="505">
        <f t="shared" si="135"/>
        <v>8538.800592460022</v>
      </c>
      <c r="CP251" s="230">
        <f t="shared" si="136"/>
        <v>39748.667683967607</v>
      </c>
      <c r="CQ251" s="199">
        <f>ROUND(IFERROR(IF(LEFT($A251,1)="C",'Avoided Costs'!$K$13,'Avoided Costs'!$K$12)+1,""),4)</f>
        <v>1.0720000000000001</v>
      </c>
      <c r="CR251" s="199">
        <f>ROUND(IFERROR(IF(LEFT($A251,1)="C",'Avoided Costs'!$L$13,'Avoided Costs'!$L$12)+1,""),4)</f>
        <v>1.04</v>
      </c>
      <c r="CS251" s="199">
        <f>ROUND(IFERROR(IF(LEFT($A251,1)="C",'Avoided Costs'!$M$13,'Avoided Costs'!$M$12)+1,""),4)</f>
        <v>1.0720000000000001</v>
      </c>
      <c r="CT251" s="199">
        <f>ROUND(IFERROR(IF(LEFT($A251,1)="C",'Avoided Costs'!$N$13,'Avoided Costs'!$N$12)+1,""),4)</f>
        <v>1.04</v>
      </c>
      <c r="CU251" s="199">
        <f>ROUND(IFERROR(IF(LEFT($A251,1)="C",'Avoided Costs'!$O$13,'Avoided Costs'!$O$12)+1,""),4)</f>
        <v>1.1120000000000001</v>
      </c>
      <c r="CV251" s="199">
        <f>ROUND(IFERROR(IF(LEFT($A251,1)="C",'Avoided Costs'!$P$13,'Avoided Costs'!$P$12)+1,""),4)</f>
        <v>1.095</v>
      </c>
      <c r="CW251" s="199">
        <f>ROUND(IFERROR(IF(LEFT($A251,1)="C",'Avoided Costs'!$Q$13,'Avoided Costs'!$Q$12)+1,""),4)</f>
        <v>1.1120000000000001</v>
      </c>
      <c r="CX251" s="200">
        <f>ROUND(IFERROR(IF(LEFT($A251,1)="C",'Avoided Costs'!$R$13,'Avoided Costs'!$R$12)+1,""),4)</f>
        <v>1.1120000000000001</v>
      </c>
    </row>
    <row r="252" spans="1:102" ht="12.75" customHeight="1">
      <c r="A252" s="91" t="str">
        <f>IF('Inputs Yr 2'!$B252=0,"",'Inputs Yr 2'!A252)</f>
        <v>C - Commercial &amp; Industrial</v>
      </c>
      <c r="B252" s="91" t="str">
        <f>IF('Inputs Yr 2'!$B252=0,"",'Inputs Yr 2'!B252)</f>
        <v>C2 - C&amp;I Retrofit</v>
      </c>
      <c r="C252" s="91" t="str">
        <f>IF('Inputs Yr 2'!$B252=0,"",'Inputs Yr 2'!C252)</f>
        <v>C2a - C&amp;I Existing Building Retrofit</v>
      </c>
      <c r="D252" s="91" t="str">
        <f>IF('Inputs Yr 2'!$B252=0,"",'Inputs Yr 2'!E252)</f>
        <v>Heating - Custom 10</v>
      </c>
      <c r="E252" s="93" t="str">
        <f>IF('Inputs Yr 2'!$B252=0,"",'Inputs Yr 2'!F252)</f>
        <v>G16C2a05</v>
      </c>
      <c r="F252" s="93" t="str">
        <f>IF('Inputs Yr 2'!$B252=0,"",'Inputs Yr 2'!G252)</f>
        <v>HVAC</v>
      </c>
      <c r="G252" s="95">
        <f>IF('Inputs Yr 2'!$H252&lt;&gt;0,('Inputs Yr 2'!H252),"")</f>
        <v>1</v>
      </c>
      <c r="H252" s="94">
        <f>IFERROR('Inputs Yr 2'!I252,"")</f>
        <v>10</v>
      </c>
      <c r="I252" s="298">
        <f>IFERROR('Inputs Yr 2'!J252*'Inputs Yr 2'!P252*G252,"")</f>
        <v>523.83000000000004</v>
      </c>
      <c r="J252" s="298">
        <f>IFERROR('Inputs Yr 2'!K252*G252,"")</f>
        <v>285</v>
      </c>
      <c r="K252" s="298">
        <f t="shared" si="113"/>
        <v>238.83000000000004</v>
      </c>
      <c r="L252" s="194">
        <f>IFERROR(('Inputs Yr 2'!W252*G252)/1000,"")</f>
        <v>0</v>
      </c>
      <c r="M252" s="194">
        <f>IFERROR(L252*('Inputs Yr 2'!$Q252*'Inputs Yr 2'!$V252*'Inputs Yr 2'!$R252),"")</f>
        <v>0</v>
      </c>
      <c r="N252" s="194">
        <f t="shared" si="114"/>
        <v>0</v>
      </c>
      <c r="O252" s="194">
        <f>IFERROR(M252*'Inputs Yr 2'!P252,"")</f>
        <v>0</v>
      </c>
      <c r="P252" s="194">
        <f t="shared" si="115"/>
        <v>0</v>
      </c>
      <c r="Q252" s="194">
        <f>IFERROR($P252*'Inputs Yr 2'!AA252,"")</f>
        <v>0</v>
      </c>
      <c r="R252" s="194">
        <f>IFERROR($P252*'Inputs Yr 2'!AB252,"")</f>
        <v>0</v>
      </c>
      <c r="S252" s="194">
        <f>IFERROR($P252*'Inputs Yr 2'!AC252,"")</f>
        <v>0</v>
      </c>
      <c r="T252" s="194">
        <f>IFERROR($P252*'Inputs Yr 2'!AD252,"")</f>
        <v>0</v>
      </c>
      <c r="U252" s="194">
        <f>IFERROR(G252*'Inputs Yr 2'!$AE252*'Inputs Yr 2'!$P252*'Inputs Yr 2'!$Q252,"")</f>
        <v>0</v>
      </c>
      <c r="V252" s="194">
        <f>IFERROR($G252*'Inputs Yr 2'!$AE252*'Inputs Yr 2'!$AG252*'Inputs Yr 2'!Q252*'Inputs Yr 2'!$S252,"")</f>
        <v>0</v>
      </c>
      <c r="W252" s="194">
        <f>IFERROR($G252*'Inputs Yr 2'!$AE252*'Inputs Yr 2'!$AG252*'Inputs Yr 2'!P252*'Inputs Yr 2'!Q252*'Inputs Yr 2'!$S252,"")</f>
        <v>0</v>
      </c>
      <c r="X252" s="194">
        <f>IFERROR($G252*'Inputs Yr 2'!$AE252*'Inputs Yr 2'!$AF252*'Inputs Yr 2'!Q252*'Inputs Yr 2'!$T252,"")</f>
        <v>0</v>
      </c>
      <c r="Y252" s="194">
        <f>IFERROR($G252*'Inputs Yr 2'!$AE252*'Inputs Yr 2'!$AF252*'Inputs Yr 2'!P252*'Inputs Yr 2'!Q252*'Inputs Yr 2'!$T252,"")</f>
        <v>0</v>
      </c>
      <c r="Z252" s="257">
        <f>IFERROR($G252*'Inputs Yr 2'!$Q252*'Inputs Yr 2'!$U252*(IF(IFERROR(SEARCH("NG", 'Inputs Yr 2'!$AJ252),0),'Inputs Yr 2'!$AK252,0)+IF(IFERROR(SEARCH("NG", 'Inputs Yr 2'!$AL252),0),'Inputs Yr 2'!$AM252,0)+IF(IFERROR(SEARCH("NG", 'Inputs Yr 2'!$AN252),0),'Inputs Yr 2'!$AO252,0)),0)</f>
        <v>22.201499999999999</v>
      </c>
      <c r="AA252" s="257">
        <f t="shared" si="116"/>
        <v>222.01499999999999</v>
      </c>
      <c r="AB252" s="257">
        <f>IFERROR(Z252*'Inputs Yr 2'!$P252,0)</f>
        <v>20.403178499999999</v>
      </c>
      <c r="AC252" s="257">
        <f t="shared" si="117"/>
        <v>204.03178499999999</v>
      </c>
      <c r="AD252" s="257">
        <f>IFERROR($G252*'Inputs Yr 2'!$Q252*'Inputs Yr 2'!$U252*(IF(IFERROR(SEARCH("Oil", 'Inputs Yr 2'!$AJ252), 0),'Inputs Yr 2'!$AK252,0)+IF(IFERROR(SEARCH("Oil", 'Inputs Yr 2'!$AL252), 0),'Inputs Yr 2'!$AM252,0)+IF(IFERROR(SEARCH("Oil", 'Inputs Yr 2'!$AN252), 0),'Inputs Yr 2'!$AO252,0)),0)</f>
        <v>0</v>
      </c>
      <c r="AE252" s="257">
        <f t="shared" si="118"/>
        <v>0</v>
      </c>
      <c r="AF252" s="257">
        <f>IFERROR(AD252*'Inputs Yr 2'!$P252,0)</f>
        <v>0</v>
      </c>
      <c r="AG252" s="257">
        <f t="shared" si="119"/>
        <v>0</v>
      </c>
      <c r="AH252" s="257">
        <f>IFERROR($G252*'Inputs Yr 2'!$Q252*'Inputs Yr 2'!$U252*(IF('Inputs Yr 2'!$AJ252=CD$4,'Inputs Yr 2'!$AK252,IF('Inputs Yr 2'!$AL252=CD$4,'Inputs Yr 2'!$AM252,IF('Inputs Yr 2'!$AN252=CD$4,'Inputs Yr 2'!$AO252,0)))),0)</f>
        <v>0</v>
      </c>
      <c r="AI252" s="257">
        <f t="shared" si="120"/>
        <v>0</v>
      </c>
      <c r="AJ252" s="257">
        <f>IFERROR(AH252*'Inputs Yr 2'!$P252,0)</f>
        <v>0</v>
      </c>
      <c r="AK252" s="257">
        <f t="shared" si="121"/>
        <v>0</v>
      </c>
      <c r="AL252" s="258">
        <f>IFERROR($G252*'Inputs Yr 2'!$P252*'Inputs Yr 2'!$Q252*'Inputs Yr 2'!AP252,0)</f>
        <v>0</v>
      </c>
      <c r="AM252" s="260">
        <f>IFERROR($G252*'Inputs Yr 2'!$P252*'Inputs Yr 2'!$Q252*'Inputs Yr 2'!AQ252,0)</f>
        <v>0</v>
      </c>
      <c r="AN252" s="258">
        <f>IFERROR($G252*'Inputs Yr 2'!$P252*'Inputs Yr 2'!$Q252*'Inputs Yr 2'!AR252,0)</f>
        <v>0</v>
      </c>
      <c r="AO252" s="257">
        <f t="shared" si="122"/>
        <v>0</v>
      </c>
      <c r="AP252" s="195">
        <f>IFERROR($CQ252*(INDEX(avoidedcosttbl2,$H252,AP$2)+(($H252-ROUNDDOWN($H252,0))*(INDEX(avoidedcosttbl2,ROUNDUP($H252,0),AP$2)-(INDEX(avoidedcosttbl2,ROUNDDOWN($H252,0),AP$2)))))*$O252*1000*'Inputs Yr 2'!AA252,"")</f>
        <v>0</v>
      </c>
      <c r="AQ252" s="195">
        <f>IFERROR($CR252*(INDEX(avoidedcosttbl2,$H252,AQ$2)+(($H252-ROUNDDOWN($H252,0))*(INDEX(avoidedcosttbl2,ROUNDUP($H252,0),AQ$2)-(INDEX(avoidedcosttbl2,ROUNDDOWN($H252,0),AQ$2)))))*$O252*1000*'Inputs Yr 2'!AB252,"")</f>
        <v>0</v>
      </c>
      <c r="AR252" s="195">
        <f>IFERROR($CS252*(INDEX(avoidedcosttbl2,$H252,AR$2)+(($H252-ROUNDDOWN($H252,0))*(INDEX(avoidedcosttbl2,ROUNDUP($H252,0),AR$2)-(INDEX(avoidedcosttbl2,ROUNDDOWN($H252,0),AR$2)))))*$O252*1000*'Inputs Yr 2'!AC252,"")</f>
        <v>0</v>
      </c>
      <c r="AS252" s="195">
        <f>IFERROR($CT252*(INDEX(avoidedcosttbl2,$H252,AS$2)+(($H252-ROUNDDOWN($H252,0))*(INDEX(avoidedcosttbl2,ROUNDUP($H252,0),AS$2)-(INDEX(avoidedcosttbl2,ROUNDDOWN($H252,0),AS$2)))))*$O252*1000*'Inputs Yr 2'!AD252,"")</f>
        <v>0</v>
      </c>
      <c r="AT252" s="196">
        <f t="shared" si="123"/>
        <v>0</v>
      </c>
      <c r="AU252" s="197">
        <f>IFERROR($CQ252*((INDEX(avoidedcosttbl2,$H252,AU$2))+(($H252-ROUNDDOWN($H252,0))*((INDEX(avoidedcosttbl2,ROUNDUP($H252,0),AU$2))-(INDEX(avoidedcosttbl2,ROUNDDOWN($H252,0),AU$2)))))*$O252*1000*'Inputs Yr 2'!AA252,"")</f>
        <v>0</v>
      </c>
      <c r="AV252" s="197">
        <f>IFERROR($CR252*((INDEX(avoidedcosttbl2,$H252,AV$2))+(($H252-ROUNDDOWN($H252,0))*((INDEX(avoidedcosttbl2,ROUNDUP($H252,0),AV$2))-(INDEX(avoidedcosttbl2,ROUNDDOWN($H252,0),AV$2)))))*$O252*1000*'Inputs Yr 2'!AB252,"")</f>
        <v>0</v>
      </c>
      <c r="AW252" s="197">
        <f>IFERROR($CS252*((INDEX(avoidedcosttbl2,$H252,AW$2))+(($H252-ROUNDDOWN($H252,0))*((INDEX(avoidedcosttbl2,ROUNDUP($H252,0),AW$2))-(INDEX(avoidedcosttbl2,ROUNDDOWN($H252,0),AW$2)))))*$O252*1000*'Inputs Yr 2'!AC252,"")</f>
        <v>0</v>
      </c>
      <c r="AX252" s="197">
        <f>IFERROR($CT252*((INDEX(avoidedcosttbl2,$H252,AX$2))+(($H252-ROUNDDOWN($H252,0))*((INDEX(avoidedcosttbl2,ROUNDUP($H252,0),AX$2))-(INDEX(avoidedcosttbl2,ROUNDDOWN($H252,0),AX$2)))))*$O252*1000*'Inputs Yr 2'!AD252,"")</f>
        <v>0</v>
      </c>
      <c r="AY252" s="197">
        <f>IFERROR(((INDEX(avoidedcosttbl2,$H252,AY$2))+(($H252-ROUNDDOWN($H252,0))*((INDEX(avoidedcosttbl2,ROUNDUP($H252,0),AY$2))-(INDEX(avoidedcosttbl2,ROUNDDOWN($H252,0),AY$2)))))*$O252*1000*('Inputs Yr 2'!AC252+'Inputs Yr 2'!AD252),"")</f>
        <v>0</v>
      </c>
      <c r="AZ252" s="197">
        <f>IFERROR(((INDEX(avoidedcosttbl2,$H252,AZ$2))+(($H252-ROUNDDOWN($H252,0))*((INDEX(avoidedcosttbl2,ROUNDUP($H252,0),AZ$2))-(INDEX(avoidedcosttbl2,ROUNDDOWN($H252,0),AZ$2)))))*$O252*1000*('Inputs Yr 2'!AA252+'Inputs Yr 2'!AB252),"")</f>
        <v>0</v>
      </c>
      <c r="BA252" s="198">
        <f t="shared" si="124"/>
        <v>0</v>
      </c>
      <c r="BB252" s="198">
        <f t="shared" si="125"/>
        <v>0</v>
      </c>
      <c r="BC252" s="195">
        <f t="shared" si="107"/>
        <v>0</v>
      </c>
      <c r="BD252" s="195">
        <f t="shared" si="108"/>
        <v>0</v>
      </c>
      <c r="BE252" s="195">
        <f t="shared" si="109"/>
        <v>0</v>
      </c>
      <c r="BF252" s="195">
        <f t="shared" si="110"/>
        <v>0</v>
      </c>
      <c r="BG252" s="195">
        <f t="shared" si="111"/>
        <v>0</v>
      </c>
      <c r="BH252" s="196">
        <f t="shared" si="126"/>
        <v>0</v>
      </c>
      <c r="BI252" s="196">
        <f t="shared" si="127"/>
        <v>0</v>
      </c>
      <c r="BJ252" s="195">
        <f>IFERROR($G252*(IF('Inputs Yr 2'!$AJ252=BJ$4,'Inputs Yr 2'!$AK252,IF('Inputs Yr 2'!$AL252=BJ$4,'Inputs Yr 2'!$AM252,IF('Inputs Yr 2'!$AN252=BJ$4,'Inputs Yr 2'!$AO252,0))))*(INDEX(avoidedcosttbl2,$H252,BJ$2)+(($H252-ROUNDDOWN($H252,0))*(INDEX(avoidedcosttbl2,ROUNDUP($H252,0),BJ$2)-(INDEX(avoidedcosttbl2,ROUNDDOWN($H252,0),BJ$2)))))*'Inputs Yr 2'!P252*'Inputs Yr 2'!Q252*'Inputs Yr 2'!U252,"")</f>
        <v>0</v>
      </c>
      <c r="BK252" s="195">
        <f>IFERROR($G252*(IF('Inputs Yr 2'!$AJ252=BK$4,'Inputs Yr 2'!$AK252,IF('Inputs Yr 2'!$AL252=BK$4,'Inputs Yr 2'!$AM252,IF('Inputs Yr 2'!$AN252=BK$4,'Inputs Yr 2'!$AO252,0))))*(INDEX(avoidedcosttbl2,$H252,BK$2)+(($H252-ROUNDDOWN($H252,0))*(INDEX(avoidedcosttbl2,ROUNDUP($H252,0),BK$2)-(INDEX(avoidedcosttbl2,ROUNDDOWN($H252,0),BK$2)))))*'Inputs Yr 2'!P252*'Inputs Yr 2'!Q252*'Inputs Yr 2'!U252,"")</f>
        <v>0</v>
      </c>
      <c r="BL252" s="195">
        <f>IFERROR($G252*(IF('Inputs Yr 2'!$AJ252=BL$4,'Inputs Yr 2'!$AK252,IF('Inputs Yr 2'!$AL252=BL$4,'Inputs Yr 2'!$AM252,IF('Inputs Yr 2'!$AN252=BL$4,'Inputs Yr 2'!$AO252,0))))*(INDEX(avoidedcosttbl2,$H252,BL$2)+(($H252-ROUNDDOWN($H252,0))*(INDEX(avoidedcosttbl2,ROUNDUP($H252,0),BL$2)-(INDEX(avoidedcosttbl2,ROUNDDOWN($H252,0),BL$2)))))*'Inputs Yr 2'!P252*'Inputs Yr 2'!Q252*'Inputs Yr 2'!U252,"")</f>
        <v>0</v>
      </c>
      <c r="BM252" s="195">
        <f>IFERROR($G252*(IF('Inputs Yr 2'!$AJ252=BM$4,'Inputs Yr 2'!$AK252,IF('Inputs Yr 2'!$AL252=BM$4,'Inputs Yr 2'!$AM252,IF('Inputs Yr 2'!$AN252=BM$4,'Inputs Yr 2'!$AO252,0))))*(INDEX(avoidedcosttbl2,$H252,BM$2)+(($H252-ROUNDDOWN($H252,0))*(INDEX(avoidedcosttbl2,ROUNDUP($H252,0),BM$2)-(INDEX(avoidedcosttbl2,ROUNDDOWN($H252,0),BM$2)))))*'Inputs Yr 2'!P252*'Inputs Yr 2'!Q252*'Inputs Yr 2'!U252,"")</f>
        <v>0</v>
      </c>
      <c r="BN252" s="195">
        <f>IFERROR($G252*(IF('Inputs Yr 2'!$AJ252=BN$4,'Inputs Yr 2'!$AK252,IF('Inputs Yr 2'!$AL252=BN$4,'Inputs Yr 2'!$AM252,IF('Inputs Yr 2'!$AN252=BN$4,'Inputs Yr 2'!$AO252,0))))*(INDEX(avoidedcosttbl2,$H252,BN$2)+(($H252-ROUNDDOWN($H252,0))*(INDEX(avoidedcosttbl2,ROUNDUP($H252,0),BN$2)-(INDEX(avoidedcosttbl2,ROUNDDOWN($H252,0),BN$2)))))*'Inputs Yr 2'!P252*'Inputs Yr 2'!Q252*'Inputs Yr 2'!U252,"")</f>
        <v>0</v>
      </c>
      <c r="BO252" s="195">
        <f>IFERROR($G252*(IF('Inputs Yr 2'!$AJ252=BO$4,'Inputs Yr 2'!$AK252,IF('Inputs Yr 2'!$AL252=BO$4,'Inputs Yr 2'!$AM252,IF('Inputs Yr 2'!$AN252=BO$4,'Inputs Yr 2'!$AO252,0))))*(INDEX(avoidedcosttbl2,$H252,BO$2)+(($H252-ROUNDDOWN($H252,0))*(INDEX(avoidedcosttbl2,ROUNDUP($H252,0),BO$2)-(INDEX(avoidedcosttbl2,ROUNDDOWN($H252,0),BO$2)))))*'Inputs Yr 2'!P252*'Inputs Yr 2'!Q252*'Inputs Yr 2'!U252,"")</f>
        <v>1550.2609709735862</v>
      </c>
      <c r="BP252" s="195">
        <f>IFERROR($G252*(IF('Inputs Yr 2'!$AJ252=BP$4,'Inputs Yr 2'!$AK252,IF('Inputs Yr 2'!$AL252=BP$4,'Inputs Yr 2'!$AM252,IF('Inputs Yr 2'!$AN252=BP$4,'Inputs Yr 2'!$AO252,0))))*(INDEX(avoidedcosttbl2,$H252,BP$2)+(($H252-ROUNDDOWN($H252,0))*(INDEX(avoidedcosttbl2,ROUNDUP($H252,0),BP$2)-(INDEX(avoidedcosttbl2,ROUNDDOWN($H252,0),BP$2)))))*'Inputs Yr 2'!P252*'Inputs Yr 2'!Q252*'Inputs Yr 2'!U252,"")</f>
        <v>0</v>
      </c>
      <c r="BQ252" s="230">
        <f t="shared" si="128"/>
        <v>1550.2609709735862</v>
      </c>
      <c r="BR252" s="197">
        <f t="shared" si="112"/>
        <v>27.957258152601852</v>
      </c>
      <c r="BS252" s="197">
        <f>IFERROR(($G252*IF('Inputs Yr 2'!$AJ252=BM$4,'Inputs Yr 2'!$AK252,IF('Inputs Yr 2'!$AL252=BM$4,'Inputs Yr 2'!$AM252,IF('Inputs Yr 2'!$AN252=BM$4,'Inputs Yr 2'!$AO252,0))))*(INDEX(avoidedcosttbl2,$H252,BS$2)+(($H252-ROUNDDOWN($H252,0))*(INDEX(avoidedcosttbl2,ROUNDUP($H252,0),BS$2)-(INDEX(avoidedcosttbl2,ROUNDDOWN($H252,0),BS$2)))))*'Inputs Yr 2'!P252*'Inputs Yr 2'!Q252*'Inputs Yr 2'!U252,"")</f>
        <v>0</v>
      </c>
      <c r="BT252" s="197">
        <f>IFERROR(($G252*IF('Inputs Yr 2'!$AJ252=BK$4,'Inputs Yr 2'!$AK252,IF('Inputs Yr 2'!$AL252=BK$4,'Inputs Yr 2'!$AM252,IF('Inputs Yr 2'!$AN252=BK$4,'Inputs Yr 2'!$AO252,0))))*(INDEX(avoidedcosttbl2,$H252,BT$2)+(($H252-ROUNDDOWN($H252,0))*(INDEX(avoidedcosttbl2,ROUNDUP($H252,0),BT$2)-(INDEX(avoidedcosttbl2,ROUNDDOWN($H252,0),BT$2)))))*'Inputs Yr 2'!P252*'Inputs Yr 2'!Q252*'Inputs Yr 2'!U252,"")</f>
        <v>0</v>
      </c>
      <c r="BU252" s="197">
        <f>IFERROR(($G252*IF('Inputs Yr 2'!$AJ252=BL$4,'Inputs Yr 2'!$AK252,IF('Inputs Yr 2'!$AL252=BL$4,'Inputs Yr 2'!$AM252,IF('Inputs Yr 2'!$AN252=BL$4,'Inputs Yr 2'!$AO252,0))))*(INDEX(avoidedcosttbl2,$H252,BU$2)+(($H252-ROUNDDOWN($H252,0))*(INDEX(avoidedcosttbl2,ROUNDUP($H252,0),BU$2)-(INDEX(avoidedcosttbl2,ROUNDDOWN($H252,0),BU$2)))))*'Inputs Yr 2'!P252*'Inputs Yr 2'!Q252*'Inputs Yr 2'!U252,"")</f>
        <v>0</v>
      </c>
      <c r="BV252" s="775">
        <f>IFERROR(($G252*IF('Inputs Yr 2'!$AJ252=BJ$4,'Inputs Yr 2'!$AK252,IF('Inputs Yr 2'!$AL252=BJ$4,'Inputs Yr 2'!$AM252,IF('Inputs Yr 2'!$AN252=BJ$4,'Inputs Yr 2'!$AO252,0))))*(INDEX(avoidedcosttbl2,$H252,BV$2)+(($H252-ROUNDDOWN($H252,0))*(INDEX(avoidedcosttbl2,ROUNDUP($H252,0),BV$2)-(INDEX(avoidedcosttbl2,ROUNDDOWN($H252,0),BV$2)))))*'Inputs Yr 2'!P252*'Inputs Yr 2'!Q252*'Inputs Yr 2'!U252,"")</f>
        <v>0</v>
      </c>
      <c r="BW252" s="197">
        <f>IFERROR(($G252*IF('Inputs Yr 2'!$AJ252=BN$4,'Inputs Yr 2'!$AK252,IF('Inputs Yr 2'!$AL252=BN$4,'Inputs Yr 2'!$AM252,IF('Inputs Yr 2'!$AN252=BN$4,'Inputs Yr 2'!$AO252,0))))*(INDEX(avoidedcosttbl2,$H252,BW$2)+(($H252-ROUNDDOWN($H252,0))*(INDEX(avoidedcosttbl2,ROUNDUP($H252,0),BW$2)-(INDEX(avoidedcosttbl2,ROUNDDOWN($H252,0),BW$2)))))*'Inputs Yr 2'!P252*'Inputs Yr 2'!Q252*'Inputs Yr 2'!U252,"")</f>
        <v>0</v>
      </c>
      <c r="BX252" s="197">
        <f>IFERROR(($G252*IF('Inputs Yr 2'!$AJ252=BO$4,'Inputs Yr 2'!$AK252,IF('Inputs Yr 2'!$AL252=BO$4,'Inputs Yr 2'!$AM252,IF('Inputs Yr 2'!$AN252=BO$4,'Inputs Yr 2'!$AO252,0))))*(INDEX(avoidedcosttbl2,$H252,BX$2)+(($H252-ROUNDDOWN($H252,0))*(INDEX(avoidedcosttbl2,ROUNDUP($H252,0),BX$2)-(INDEX(avoidedcosttbl2,ROUNDDOWN($H252,0),BX$2)))))*'Inputs Yr 2'!P252*'Inputs Yr 2'!Q252*'Inputs Yr 2'!U252,"")</f>
        <v>156.93681400671926</v>
      </c>
      <c r="BY252" s="197">
        <f>IFERROR(($G252*IF('Inputs Yr 2'!$AJ252=BP$4,'Inputs Yr 2'!$AK252,IF('Inputs Yr 2'!$AL252=BP$4,'Inputs Yr 2'!$AM252,IF('Inputs Yr 2'!$AN252=BP$4,'Inputs Yr 2'!$AO252,0))))*(INDEX(avoidedcosttbl2,$H252,BY$2)+(($H252-ROUNDDOWN($H252,0))*(INDEX(avoidedcosttbl2,ROUNDUP($H252,0),BY$2)-(INDEX(avoidedcosttbl2,ROUNDDOWN($H252,0),BY$2)))))*'Inputs Yr 2'!P252*'Inputs Yr 2'!Q252*'Inputs Yr 2'!U252,"")</f>
        <v>0</v>
      </c>
      <c r="BZ252" s="193">
        <f t="shared" si="129"/>
        <v>184.89407215932113</v>
      </c>
      <c r="CA252" s="193">
        <f t="shared" si="130"/>
        <v>1735.1550431329074</v>
      </c>
      <c r="CB252" s="195">
        <f>IFERROR(G252*(IF('Inputs Yr 2'!$AJ252=CB$4,'Inputs Yr 2'!$AK252,IF('Inputs Yr 2'!$AL252=CB$4,'Inputs Yr 2'!$AM252,IF('Inputs Yr 2'!$AN252=CB$4,'Inputs Yr 2'!$AO252,0))))*(INDEX(avoidedcosttbl2,$H252,CB$2)+(($H252-ROUNDDOWN($H252,0))*(INDEX(avoidedcosttbl2,ROUNDUP($H252,0),CB$2)-(INDEX(avoidedcosttbl2,ROUNDDOWN($H252,0),CB$2)))))*'Inputs Yr 2'!P252*'Inputs Yr 2'!Q252*'Inputs Yr 2'!U252,"")</f>
        <v>0</v>
      </c>
      <c r="CC252" s="195">
        <f>IFERROR(H252*(IF('Inputs Yr 2'!$AJ252=CC$4,'Inputs Yr 2'!$AK252,IF('Inputs Yr 2'!$AL252=CC$4,'Inputs Yr 2'!$AM252,IF('Inputs Yr 2'!$AN252=CC$4,'Inputs Yr 2'!$AO252,0))))*(INDEX(avoidedcosttbl2,$H252,CC$2)+(($H252-ROUNDDOWN($H252,0))*(INDEX(avoidedcosttbl2,ROUNDUP($H252,0),CC$2)-(INDEX(avoidedcosttbl2,ROUNDDOWN($H252,0),CC$2)))))*'Inputs Yr 2'!Q252*'Inputs Yr 2'!R252*'Inputs Yr 2'!V252,"")</f>
        <v>0</v>
      </c>
      <c r="CD252" s="195">
        <f>IFERROR(I252*(IF('Inputs Yr 2'!$AJ252=CD$4,'Inputs Yr 2'!$AK252,IF('Inputs Yr 2'!$AL252=CD$4,'Inputs Yr 2'!$AM252,IF('Inputs Yr 2'!$AN252=CD$4,'Inputs Yr 2'!$AO252,0))))*(INDEX(avoidedcosttbl2,$H252,CD$2)+(($H252-ROUNDDOWN($H252,0))*(INDEX(avoidedcosttbl2,ROUNDUP($H252,0),CD$2)-(INDEX(avoidedcosttbl2,ROUNDDOWN($H252,0),CD$2)))))*'Inputs Yr 2'!R252*'Inputs Yr 2'!S252*'Inputs Yr 2'!W252,"")</f>
        <v>0</v>
      </c>
      <c r="CE252" s="213">
        <f t="shared" si="131"/>
        <v>0</v>
      </c>
      <c r="CF252" s="213">
        <f t="shared" si="132"/>
        <v>0</v>
      </c>
      <c r="CG252" s="213">
        <f t="shared" si="133"/>
        <v>0</v>
      </c>
      <c r="CH252" s="698">
        <f t="shared" si="134"/>
        <v>1735.1550431329074</v>
      </c>
      <c r="CI252" s="79">
        <f>IFERROR(($G252*'Inputs Yr 2'!$P252*'Inputs Yr 2'!$Q252*(((INDEX(avoidedcosttbl2,$H252,CI$2)+(($H252-ROUNDDOWN($H252,0))*(INDEX(avoidedcosttbl2,ROUNDUP($H252,0),CI$2)-INDEX(avoidedcosttbl2,ROUNDDOWN($H252,0),CI$2))))*'Inputs Yr 2'!AS252))),"")</f>
        <v>0</v>
      </c>
      <c r="CJ252" s="504">
        <f>IFERROR($G252*'Inputs Yr 2'!AT252*'Inputs Yr 2'!$P252*'Inputs Yr 2'!$Q252/((1+realdiscrt1)^-0.5),"")</f>
        <v>0</v>
      </c>
      <c r="CK252" s="79">
        <f>IFERROR((O252*1000*(((INDEX(avoidedcosttbl2,$H252,CK$2)+(($H252-ROUNDDOWN($H252,0))*(INDEX(avoidedcosttbl2,ROUNDUP($H252,0),CK$2)-INDEX(avoidedcosttbl2,ROUNDDOWN($H252,0),CK$2))))*'Inputs Yr 2'!AU252))),"")</f>
        <v>0</v>
      </c>
      <c r="CL252" s="504">
        <f>IFERROR(O252*1000*'Inputs Yr 2'!AV252/((1+realdiscrt1)^-0.5),"")</f>
        <v>0</v>
      </c>
      <c r="CM252" s="79">
        <f>IFERROR((AB252*'Inputs Yr 2'!AW252*(((INDEX(avoidedcosttbl2,$H252,CM$2)+(($H252-ROUNDDOWN($H252,0))*(INDEX(avoidedcosttbl2,ROUNDUP($H252,0),CM$2)-INDEX(avoidedcosttbl2,ROUNDDOWN($H252,0),CM$2)))))))*10,"")</f>
        <v>499.04401068918071</v>
      </c>
      <c r="CN252" s="504">
        <f>IFERROR(10*AB252*'Inputs Yr 2'!AX252/((1+realdiscrt1)^-0.5),"")</f>
        <v>0</v>
      </c>
      <c r="CO252" s="505">
        <f t="shared" si="135"/>
        <v>499.04401068918071</v>
      </c>
      <c r="CP252" s="230">
        <f t="shared" si="136"/>
        <v>2234.199053822088</v>
      </c>
      <c r="CQ252" s="199">
        <f>ROUND(IFERROR(IF(LEFT($A252,1)="C",'Avoided Costs'!$K$13,'Avoided Costs'!$K$12)+1,""),4)</f>
        <v>1.0720000000000001</v>
      </c>
      <c r="CR252" s="199">
        <f>ROUND(IFERROR(IF(LEFT($A252,1)="C",'Avoided Costs'!$L$13,'Avoided Costs'!$L$12)+1,""),4)</f>
        <v>1.04</v>
      </c>
      <c r="CS252" s="199">
        <f>ROUND(IFERROR(IF(LEFT($A252,1)="C",'Avoided Costs'!$M$13,'Avoided Costs'!$M$12)+1,""),4)</f>
        <v>1.0720000000000001</v>
      </c>
      <c r="CT252" s="199">
        <f>ROUND(IFERROR(IF(LEFT($A252,1)="C",'Avoided Costs'!$N$13,'Avoided Costs'!$N$12)+1,""),4)</f>
        <v>1.04</v>
      </c>
      <c r="CU252" s="199">
        <f>ROUND(IFERROR(IF(LEFT($A252,1)="C",'Avoided Costs'!$O$13,'Avoided Costs'!$O$12)+1,""),4)</f>
        <v>1.1120000000000001</v>
      </c>
      <c r="CV252" s="199">
        <f>ROUND(IFERROR(IF(LEFT($A252,1)="C",'Avoided Costs'!$P$13,'Avoided Costs'!$P$12)+1,""),4)</f>
        <v>1.095</v>
      </c>
      <c r="CW252" s="199">
        <f>ROUND(IFERROR(IF(LEFT($A252,1)="C",'Avoided Costs'!$Q$13,'Avoided Costs'!$Q$12)+1,""),4)</f>
        <v>1.1120000000000001</v>
      </c>
      <c r="CX252" s="200">
        <f>ROUND(IFERROR(IF(LEFT($A252,1)="C",'Avoided Costs'!$R$13,'Avoided Costs'!$R$12)+1,""),4)</f>
        <v>1.1120000000000001</v>
      </c>
    </row>
    <row r="253" spans="1:102" ht="12.75" customHeight="1">
      <c r="A253" s="91" t="str">
        <f>IF('Inputs Yr 2'!$B253=0,"",'Inputs Yr 2'!A253)</f>
        <v>C - Commercial &amp; Industrial</v>
      </c>
      <c r="B253" s="91" t="str">
        <f>IF('Inputs Yr 2'!$B253=0,"",'Inputs Yr 2'!B253)</f>
        <v>C2 - C&amp;I Retrofit</v>
      </c>
      <c r="C253" s="91" t="str">
        <f>IF('Inputs Yr 2'!$B253=0,"",'Inputs Yr 2'!C253)</f>
        <v>C2a - C&amp;I Existing Building Retrofit</v>
      </c>
      <c r="D253" s="91" t="str">
        <f>IF('Inputs Yr 2'!$B253=0,"",'Inputs Yr 2'!E253)</f>
        <v>Heating - Custom 13</v>
      </c>
      <c r="E253" s="93" t="str">
        <f>IF('Inputs Yr 2'!$B253=0,"",'Inputs Yr 2'!F253)</f>
        <v>G16C2a05</v>
      </c>
      <c r="F253" s="93" t="str">
        <f>IF('Inputs Yr 2'!$B253=0,"",'Inputs Yr 2'!G253)</f>
        <v>HVAC</v>
      </c>
      <c r="G253" s="95">
        <f>IF('Inputs Yr 2'!$H253&lt;&gt;0,('Inputs Yr 2'!H253),"")</f>
        <v>1</v>
      </c>
      <c r="H253" s="94">
        <f>IFERROR('Inputs Yr 2'!I253,"")</f>
        <v>13</v>
      </c>
      <c r="I253" s="298">
        <f>IFERROR('Inputs Yr 2'!J253*'Inputs Yr 2'!P253*G253,"")</f>
        <v>184204.36000000002</v>
      </c>
      <c r="J253" s="298">
        <f>IFERROR('Inputs Yr 2'!K253*G253,"")</f>
        <v>100220</v>
      </c>
      <c r="K253" s="298">
        <f t="shared" si="113"/>
        <v>83984.360000000015</v>
      </c>
      <c r="L253" s="194">
        <f>IFERROR(('Inputs Yr 2'!W253*G253)/1000,"")</f>
        <v>0</v>
      </c>
      <c r="M253" s="194">
        <f>IFERROR(L253*('Inputs Yr 2'!$Q253*'Inputs Yr 2'!$V253*'Inputs Yr 2'!$R253),"")</f>
        <v>0</v>
      </c>
      <c r="N253" s="194">
        <f t="shared" si="114"/>
        <v>0</v>
      </c>
      <c r="O253" s="194">
        <f>IFERROR(M253*'Inputs Yr 2'!P253,"")</f>
        <v>0</v>
      </c>
      <c r="P253" s="194">
        <f t="shared" si="115"/>
        <v>0</v>
      </c>
      <c r="Q253" s="194">
        <f>IFERROR($P253*'Inputs Yr 2'!AA253,"")</f>
        <v>0</v>
      </c>
      <c r="R253" s="194">
        <f>IFERROR($P253*'Inputs Yr 2'!AB253,"")</f>
        <v>0</v>
      </c>
      <c r="S253" s="194">
        <f>IFERROR($P253*'Inputs Yr 2'!AC253,"")</f>
        <v>0</v>
      </c>
      <c r="T253" s="194">
        <f>IFERROR($P253*'Inputs Yr 2'!AD253,"")</f>
        <v>0</v>
      </c>
      <c r="U253" s="194">
        <f>IFERROR(G253*'Inputs Yr 2'!$AE253*'Inputs Yr 2'!$P253*'Inputs Yr 2'!$Q253,"")</f>
        <v>0</v>
      </c>
      <c r="V253" s="194">
        <f>IFERROR($G253*'Inputs Yr 2'!$AE253*'Inputs Yr 2'!$AG253*'Inputs Yr 2'!Q253*'Inputs Yr 2'!$S253,"")</f>
        <v>0</v>
      </c>
      <c r="W253" s="194">
        <f>IFERROR($G253*'Inputs Yr 2'!$AE253*'Inputs Yr 2'!$AG253*'Inputs Yr 2'!P253*'Inputs Yr 2'!Q253*'Inputs Yr 2'!$S253,"")</f>
        <v>0</v>
      </c>
      <c r="X253" s="194">
        <f>IFERROR($G253*'Inputs Yr 2'!$AE253*'Inputs Yr 2'!$AF253*'Inputs Yr 2'!Q253*'Inputs Yr 2'!$T253,"")</f>
        <v>0</v>
      </c>
      <c r="Y253" s="194">
        <f>IFERROR($G253*'Inputs Yr 2'!$AE253*'Inputs Yr 2'!$AF253*'Inputs Yr 2'!P253*'Inputs Yr 2'!Q253*'Inputs Yr 2'!$T253,"")</f>
        <v>0</v>
      </c>
      <c r="Z253" s="257">
        <f>IFERROR($G253*'Inputs Yr 2'!$Q253*'Inputs Yr 2'!$U253*(IF(IFERROR(SEARCH("NG", 'Inputs Yr 2'!$AJ253),0),'Inputs Yr 2'!$AK253,0)+IF(IFERROR(SEARCH("NG", 'Inputs Yr 2'!$AL253),0),'Inputs Yr 2'!$AM253,0)+IF(IFERROR(SEARCH("NG", 'Inputs Yr 2'!$AN253),0),'Inputs Yr 2'!$AO253,0)),0)</f>
        <v>3607.0816</v>
      </c>
      <c r="AA253" s="257">
        <f t="shared" si="116"/>
        <v>46892.060799999999</v>
      </c>
      <c r="AB253" s="257">
        <f>IFERROR(Z253*'Inputs Yr 2'!$P253,0)</f>
        <v>3314.9079904</v>
      </c>
      <c r="AC253" s="257">
        <f t="shared" si="117"/>
        <v>43093.803875199999</v>
      </c>
      <c r="AD253" s="257">
        <f>IFERROR($G253*'Inputs Yr 2'!$Q253*'Inputs Yr 2'!$U253*(IF(IFERROR(SEARCH("Oil", 'Inputs Yr 2'!$AJ253), 0),'Inputs Yr 2'!$AK253,0)+IF(IFERROR(SEARCH("Oil", 'Inputs Yr 2'!$AL253), 0),'Inputs Yr 2'!$AM253,0)+IF(IFERROR(SEARCH("Oil", 'Inputs Yr 2'!$AN253), 0),'Inputs Yr 2'!$AO253,0)),0)</f>
        <v>0</v>
      </c>
      <c r="AE253" s="257">
        <f t="shared" si="118"/>
        <v>0</v>
      </c>
      <c r="AF253" s="257">
        <f>IFERROR(AD253*'Inputs Yr 2'!$P253,0)</f>
        <v>0</v>
      </c>
      <c r="AG253" s="257">
        <f t="shared" si="119"/>
        <v>0</v>
      </c>
      <c r="AH253" s="257">
        <f>IFERROR($G253*'Inputs Yr 2'!$Q253*'Inputs Yr 2'!$U253*(IF('Inputs Yr 2'!$AJ253=CD$4,'Inputs Yr 2'!$AK253,IF('Inputs Yr 2'!$AL253=CD$4,'Inputs Yr 2'!$AM253,IF('Inputs Yr 2'!$AN253=CD$4,'Inputs Yr 2'!$AO253,0)))),0)</f>
        <v>0</v>
      </c>
      <c r="AI253" s="257">
        <f t="shared" si="120"/>
        <v>0</v>
      </c>
      <c r="AJ253" s="257">
        <f>IFERROR(AH253*'Inputs Yr 2'!$P253,0)</f>
        <v>0</v>
      </c>
      <c r="AK253" s="257">
        <f t="shared" si="121"/>
        <v>0</v>
      </c>
      <c r="AL253" s="258">
        <f>IFERROR($G253*'Inputs Yr 2'!$P253*'Inputs Yr 2'!$Q253*'Inputs Yr 2'!AP253,0)</f>
        <v>0</v>
      </c>
      <c r="AM253" s="260">
        <f>IFERROR($G253*'Inputs Yr 2'!$P253*'Inputs Yr 2'!$Q253*'Inputs Yr 2'!AQ253,0)</f>
        <v>0</v>
      </c>
      <c r="AN253" s="258">
        <f>IFERROR($G253*'Inputs Yr 2'!$P253*'Inputs Yr 2'!$Q253*'Inputs Yr 2'!AR253,0)</f>
        <v>0</v>
      </c>
      <c r="AO253" s="257">
        <f t="shared" si="122"/>
        <v>0</v>
      </c>
      <c r="AP253" s="195">
        <f>IFERROR($CQ253*(INDEX(avoidedcosttbl2,$H253,AP$2)+(($H253-ROUNDDOWN($H253,0))*(INDEX(avoidedcosttbl2,ROUNDUP($H253,0),AP$2)-(INDEX(avoidedcosttbl2,ROUNDDOWN($H253,0),AP$2)))))*$O253*1000*'Inputs Yr 2'!AA253,"")</f>
        <v>0</v>
      </c>
      <c r="AQ253" s="195">
        <f>IFERROR($CR253*(INDEX(avoidedcosttbl2,$H253,AQ$2)+(($H253-ROUNDDOWN($H253,0))*(INDEX(avoidedcosttbl2,ROUNDUP($H253,0),AQ$2)-(INDEX(avoidedcosttbl2,ROUNDDOWN($H253,0),AQ$2)))))*$O253*1000*'Inputs Yr 2'!AB253,"")</f>
        <v>0</v>
      </c>
      <c r="AR253" s="195">
        <f>IFERROR($CS253*(INDEX(avoidedcosttbl2,$H253,AR$2)+(($H253-ROUNDDOWN($H253,0))*(INDEX(avoidedcosttbl2,ROUNDUP($H253,0),AR$2)-(INDEX(avoidedcosttbl2,ROUNDDOWN($H253,0),AR$2)))))*$O253*1000*'Inputs Yr 2'!AC253,"")</f>
        <v>0</v>
      </c>
      <c r="AS253" s="195">
        <f>IFERROR($CT253*(INDEX(avoidedcosttbl2,$H253,AS$2)+(($H253-ROUNDDOWN($H253,0))*(INDEX(avoidedcosttbl2,ROUNDUP($H253,0),AS$2)-(INDEX(avoidedcosttbl2,ROUNDDOWN($H253,0),AS$2)))))*$O253*1000*'Inputs Yr 2'!AD253,"")</f>
        <v>0</v>
      </c>
      <c r="AT253" s="196">
        <f t="shared" si="123"/>
        <v>0</v>
      </c>
      <c r="AU253" s="197">
        <f>IFERROR($CQ253*((INDEX(avoidedcosttbl2,$H253,AU$2))+(($H253-ROUNDDOWN($H253,0))*((INDEX(avoidedcosttbl2,ROUNDUP($H253,0),AU$2))-(INDEX(avoidedcosttbl2,ROUNDDOWN($H253,0),AU$2)))))*$O253*1000*'Inputs Yr 2'!AA253,"")</f>
        <v>0</v>
      </c>
      <c r="AV253" s="197">
        <f>IFERROR($CR253*((INDEX(avoidedcosttbl2,$H253,AV$2))+(($H253-ROUNDDOWN($H253,0))*((INDEX(avoidedcosttbl2,ROUNDUP($H253,0),AV$2))-(INDEX(avoidedcosttbl2,ROUNDDOWN($H253,0),AV$2)))))*$O253*1000*'Inputs Yr 2'!AB253,"")</f>
        <v>0</v>
      </c>
      <c r="AW253" s="197">
        <f>IFERROR($CS253*((INDEX(avoidedcosttbl2,$H253,AW$2))+(($H253-ROUNDDOWN($H253,0))*((INDEX(avoidedcosttbl2,ROUNDUP($H253,0),AW$2))-(INDEX(avoidedcosttbl2,ROUNDDOWN($H253,0),AW$2)))))*$O253*1000*'Inputs Yr 2'!AC253,"")</f>
        <v>0</v>
      </c>
      <c r="AX253" s="197">
        <f>IFERROR($CT253*((INDEX(avoidedcosttbl2,$H253,AX$2))+(($H253-ROUNDDOWN($H253,0))*((INDEX(avoidedcosttbl2,ROUNDUP($H253,0),AX$2))-(INDEX(avoidedcosttbl2,ROUNDDOWN($H253,0),AX$2)))))*$O253*1000*'Inputs Yr 2'!AD253,"")</f>
        <v>0</v>
      </c>
      <c r="AY253" s="197">
        <f>IFERROR(((INDEX(avoidedcosttbl2,$H253,AY$2))+(($H253-ROUNDDOWN($H253,0))*((INDEX(avoidedcosttbl2,ROUNDUP($H253,0),AY$2))-(INDEX(avoidedcosttbl2,ROUNDDOWN($H253,0),AY$2)))))*$O253*1000*('Inputs Yr 2'!AC253+'Inputs Yr 2'!AD253),"")</f>
        <v>0</v>
      </c>
      <c r="AZ253" s="197">
        <f>IFERROR(((INDEX(avoidedcosttbl2,$H253,AZ$2))+(($H253-ROUNDDOWN($H253,0))*((INDEX(avoidedcosttbl2,ROUNDUP($H253,0),AZ$2))-(INDEX(avoidedcosttbl2,ROUNDDOWN($H253,0),AZ$2)))))*$O253*1000*('Inputs Yr 2'!AA253+'Inputs Yr 2'!AB253),"")</f>
        <v>0</v>
      </c>
      <c r="BA253" s="198">
        <f t="shared" si="124"/>
        <v>0</v>
      </c>
      <c r="BB253" s="198">
        <f t="shared" si="125"/>
        <v>0</v>
      </c>
      <c r="BC253" s="195">
        <f t="shared" si="107"/>
        <v>0</v>
      </c>
      <c r="BD253" s="195">
        <f t="shared" si="108"/>
        <v>0</v>
      </c>
      <c r="BE253" s="195">
        <f t="shared" si="109"/>
        <v>0</v>
      </c>
      <c r="BF253" s="195">
        <f t="shared" si="110"/>
        <v>0</v>
      </c>
      <c r="BG253" s="195">
        <f t="shared" si="111"/>
        <v>0</v>
      </c>
      <c r="BH253" s="196">
        <f t="shared" si="126"/>
        <v>0</v>
      </c>
      <c r="BI253" s="196">
        <f t="shared" si="127"/>
        <v>0</v>
      </c>
      <c r="BJ253" s="195">
        <f>IFERROR($G253*(IF('Inputs Yr 2'!$AJ253=BJ$4,'Inputs Yr 2'!$AK253,IF('Inputs Yr 2'!$AL253=BJ$4,'Inputs Yr 2'!$AM253,IF('Inputs Yr 2'!$AN253=BJ$4,'Inputs Yr 2'!$AO253,0))))*(INDEX(avoidedcosttbl2,$H253,BJ$2)+(($H253-ROUNDDOWN($H253,0))*(INDEX(avoidedcosttbl2,ROUNDUP($H253,0),BJ$2)-(INDEX(avoidedcosttbl2,ROUNDDOWN($H253,0),BJ$2)))))*'Inputs Yr 2'!P253*'Inputs Yr 2'!Q253*'Inputs Yr 2'!U253,"")</f>
        <v>0</v>
      </c>
      <c r="BK253" s="195">
        <f>IFERROR($G253*(IF('Inputs Yr 2'!$AJ253=BK$4,'Inputs Yr 2'!$AK253,IF('Inputs Yr 2'!$AL253=BK$4,'Inputs Yr 2'!$AM253,IF('Inputs Yr 2'!$AN253=BK$4,'Inputs Yr 2'!$AO253,0))))*(INDEX(avoidedcosttbl2,$H253,BK$2)+(($H253-ROUNDDOWN($H253,0))*(INDEX(avoidedcosttbl2,ROUNDUP($H253,0),BK$2)-(INDEX(avoidedcosttbl2,ROUNDDOWN($H253,0),BK$2)))))*'Inputs Yr 2'!P253*'Inputs Yr 2'!Q253*'Inputs Yr 2'!U253,"")</f>
        <v>0</v>
      </c>
      <c r="BL253" s="195">
        <f>IFERROR($G253*(IF('Inputs Yr 2'!$AJ253=BL$4,'Inputs Yr 2'!$AK253,IF('Inputs Yr 2'!$AL253=BL$4,'Inputs Yr 2'!$AM253,IF('Inputs Yr 2'!$AN253=BL$4,'Inputs Yr 2'!$AO253,0))))*(INDEX(avoidedcosttbl2,$H253,BL$2)+(($H253-ROUNDDOWN($H253,0))*(INDEX(avoidedcosttbl2,ROUNDUP($H253,0),BL$2)-(INDEX(avoidedcosttbl2,ROUNDDOWN($H253,0),BL$2)))))*'Inputs Yr 2'!P253*'Inputs Yr 2'!Q253*'Inputs Yr 2'!U253,"")</f>
        <v>0</v>
      </c>
      <c r="BM253" s="195">
        <f>IFERROR($G253*(IF('Inputs Yr 2'!$AJ253=BM$4,'Inputs Yr 2'!$AK253,IF('Inputs Yr 2'!$AL253=BM$4,'Inputs Yr 2'!$AM253,IF('Inputs Yr 2'!$AN253=BM$4,'Inputs Yr 2'!$AO253,0))))*(INDEX(avoidedcosttbl2,$H253,BM$2)+(($H253-ROUNDDOWN($H253,0))*(INDEX(avoidedcosttbl2,ROUNDUP($H253,0),BM$2)-(INDEX(avoidedcosttbl2,ROUNDDOWN($H253,0),BM$2)))))*'Inputs Yr 2'!P253*'Inputs Yr 2'!Q253*'Inputs Yr 2'!U253,"")</f>
        <v>0</v>
      </c>
      <c r="BN253" s="195">
        <f>IFERROR($G253*(IF('Inputs Yr 2'!$AJ253=BN$4,'Inputs Yr 2'!$AK253,IF('Inputs Yr 2'!$AL253=BN$4,'Inputs Yr 2'!$AM253,IF('Inputs Yr 2'!$AN253=BN$4,'Inputs Yr 2'!$AO253,0))))*(INDEX(avoidedcosttbl2,$H253,BN$2)+(($H253-ROUNDDOWN($H253,0))*(INDEX(avoidedcosttbl2,ROUNDUP($H253,0),BN$2)-(INDEX(avoidedcosttbl2,ROUNDDOWN($H253,0),BN$2)))))*'Inputs Yr 2'!P253*'Inputs Yr 2'!Q253*'Inputs Yr 2'!U253,"")</f>
        <v>0</v>
      </c>
      <c r="BO253" s="195">
        <f>IFERROR($G253*(IF('Inputs Yr 2'!$AJ253=BO$4,'Inputs Yr 2'!$AK253,IF('Inputs Yr 2'!$AL253=BO$4,'Inputs Yr 2'!$AM253,IF('Inputs Yr 2'!$AN253=BO$4,'Inputs Yr 2'!$AO253,0))))*(INDEX(avoidedcosttbl2,$H253,BO$2)+(($H253-ROUNDDOWN($H253,0))*(INDEX(avoidedcosttbl2,ROUNDUP($H253,0),BO$2)-(INDEX(avoidedcosttbl2,ROUNDDOWN($H253,0),BO$2)))))*'Inputs Yr 2'!P253*'Inputs Yr 2'!Q253*'Inputs Yr 2'!U253,"")</f>
        <v>331829.78534569044</v>
      </c>
      <c r="BP253" s="195">
        <f>IFERROR($G253*(IF('Inputs Yr 2'!$AJ253=BP$4,'Inputs Yr 2'!$AK253,IF('Inputs Yr 2'!$AL253=BP$4,'Inputs Yr 2'!$AM253,IF('Inputs Yr 2'!$AN253=BP$4,'Inputs Yr 2'!$AO253,0))))*(INDEX(avoidedcosttbl2,$H253,BP$2)+(($H253-ROUNDDOWN($H253,0))*(INDEX(avoidedcosttbl2,ROUNDUP($H253,0),BP$2)-(INDEX(avoidedcosttbl2,ROUNDDOWN($H253,0),BP$2)))))*'Inputs Yr 2'!P253*'Inputs Yr 2'!Q253*'Inputs Yr 2'!U253,"")</f>
        <v>0</v>
      </c>
      <c r="BQ253" s="230">
        <f t="shared" si="128"/>
        <v>331829.78534569044</v>
      </c>
      <c r="BR253" s="197">
        <f t="shared" si="112"/>
        <v>5866.4529000869661</v>
      </c>
      <c r="BS253" s="197">
        <f>IFERROR(($G253*IF('Inputs Yr 2'!$AJ253=BM$4,'Inputs Yr 2'!$AK253,IF('Inputs Yr 2'!$AL253=BM$4,'Inputs Yr 2'!$AM253,IF('Inputs Yr 2'!$AN253=BM$4,'Inputs Yr 2'!$AO253,0))))*(INDEX(avoidedcosttbl2,$H253,BS$2)+(($H253-ROUNDDOWN($H253,0))*(INDEX(avoidedcosttbl2,ROUNDUP($H253,0),BS$2)-(INDEX(avoidedcosttbl2,ROUNDDOWN($H253,0),BS$2)))))*'Inputs Yr 2'!P253*'Inputs Yr 2'!Q253*'Inputs Yr 2'!U253,"")</f>
        <v>0</v>
      </c>
      <c r="BT253" s="197">
        <f>IFERROR(($G253*IF('Inputs Yr 2'!$AJ253=BK$4,'Inputs Yr 2'!$AK253,IF('Inputs Yr 2'!$AL253=BK$4,'Inputs Yr 2'!$AM253,IF('Inputs Yr 2'!$AN253=BK$4,'Inputs Yr 2'!$AO253,0))))*(INDEX(avoidedcosttbl2,$H253,BT$2)+(($H253-ROUNDDOWN($H253,0))*(INDEX(avoidedcosttbl2,ROUNDUP($H253,0),BT$2)-(INDEX(avoidedcosttbl2,ROUNDDOWN($H253,0),BT$2)))))*'Inputs Yr 2'!P253*'Inputs Yr 2'!Q253*'Inputs Yr 2'!U253,"")</f>
        <v>0</v>
      </c>
      <c r="BU253" s="197">
        <f>IFERROR(($G253*IF('Inputs Yr 2'!$AJ253=BL$4,'Inputs Yr 2'!$AK253,IF('Inputs Yr 2'!$AL253=BL$4,'Inputs Yr 2'!$AM253,IF('Inputs Yr 2'!$AN253=BL$4,'Inputs Yr 2'!$AO253,0))))*(INDEX(avoidedcosttbl2,$H253,BU$2)+(($H253-ROUNDDOWN($H253,0))*(INDEX(avoidedcosttbl2,ROUNDUP($H253,0),BU$2)-(INDEX(avoidedcosttbl2,ROUNDDOWN($H253,0),BU$2)))))*'Inputs Yr 2'!P253*'Inputs Yr 2'!Q253*'Inputs Yr 2'!U253,"")</f>
        <v>0</v>
      </c>
      <c r="BV253" s="775">
        <f>IFERROR(($G253*IF('Inputs Yr 2'!$AJ253=BJ$4,'Inputs Yr 2'!$AK253,IF('Inputs Yr 2'!$AL253=BJ$4,'Inputs Yr 2'!$AM253,IF('Inputs Yr 2'!$AN253=BJ$4,'Inputs Yr 2'!$AO253,0))))*(INDEX(avoidedcosttbl2,$H253,BV$2)+(($H253-ROUNDDOWN($H253,0))*(INDEX(avoidedcosttbl2,ROUNDUP($H253,0),BV$2)-(INDEX(avoidedcosttbl2,ROUNDDOWN($H253,0),BV$2)))))*'Inputs Yr 2'!P253*'Inputs Yr 2'!Q253*'Inputs Yr 2'!U253,"")</f>
        <v>0</v>
      </c>
      <c r="BW253" s="197">
        <f>IFERROR(($G253*IF('Inputs Yr 2'!$AJ253=BN$4,'Inputs Yr 2'!$AK253,IF('Inputs Yr 2'!$AL253=BN$4,'Inputs Yr 2'!$AM253,IF('Inputs Yr 2'!$AN253=BN$4,'Inputs Yr 2'!$AO253,0))))*(INDEX(avoidedcosttbl2,$H253,BW$2)+(($H253-ROUNDDOWN($H253,0))*(INDEX(avoidedcosttbl2,ROUNDUP($H253,0),BW$2)-(INDEX(avoidedcosttbl2,ROUNDDOWN($H253,0),BW$2)))))*'Inputs Yr 2'!P253*'Inputs Yr 2'!Q253*'Inputs Yr 2'!U253,"")</f>
        <v>0</v>
      </c>
      <c r="BX253" s="197">
        <f>IFERROR(($G253*IF('Inputs Yr 2'!$AJ253=BO$4,'Inputs Yr 2'!$AK253,IF('Inputs Yr 2'!$AL253=BO$4,'Inputs Yr 2'!$AM253,IF('Inputs Yr 2'!$AN253=BO$4,'Inputs Yr 2'!$AO253,0))))*(INDEX(avoidedcosttbl2,$H253,BX$2)+(($H253-ROUNDDOWN($H253,0))*(INDEX(avoidedcosttbl2,ROUNDUP($H253,0),BX$2)-(INDEX(avoidedcosttbl2,ROUNDDOWN($H253,0),BX$2)))))*'Inputs Yr 2'!P253*'Inputs Yr 2'!Q253*'Inputs Yr 2'!U253,"")</f>
        <v>26603.746349938254</v>
      </c>
      <c r="BY253" s="197">
        <f>IFERROR(($G253*IF('Inputs Yr 2'!$AJ253=BP$4,'Inputs Yr 2'!$AK253,IF('Inputs Yr 2'!$AL253=BP$4,'Inputs Yr 2'!$AM253,IF('Inputs Yr 2'!$AN253=BP$4,'Inputs Yr 2'!$AO253,0))))*(INDEX(avoidedcosttbl2,$H253,BY$2)+(($H253-ROUNDDOWN($H253,0))*(INDEX(avoidedcosttbl2,ROUNDUP($H253,0),BY$2)-(INDEX(avoidedcosttbl2,ROUNDDOWN($H253,0),BY$2)))))*'Inputs Yr 2'!P253*'Inputs Yr 2'!Q253*'Inputs Yr 2'!U253,"")</f>
        <v>0</v>
      </c>
      <c r="BZ253" s="193">
        <f t="shared" si="129"/>
        <v>32470.19925002522</v>
      </c>
      <c r="CA253" s="193">
        <f t="shared" si="130"/>
        <v>364299.98459571565</v>
      </c>
      <c r="CB253" s="195">
        <f>IFERROR(G253*(IF('Inputs Yr 2'!$AJ253=CB$4,'Inputs Yr 2'!$AK253,IF('Inputs Yr 2'!$AL253=CB$4,'Inputs Yr 2'!$AM253,IF('Inputs Yr 2'!$AN253=CB$4,'Inputs Yr 2'!$AO253,0))))*(INDEX(avoidedcosttbl2,$H253,CB$2)+(($H253-ROUNDDOWN($H253,0))*(INDEX(avoidedcosttbl2,ROUNDUP($H253,0),CB$2)-(INDEX(avoidedcosttbl2,ROUNDDOWN($H253,0),CB$2)))))*'Inputs Yr 2'!P253*'Inputs Yr 2'!Q253*'Inputs Yr 2'!U253,"")</f>
        <v>0</v>
      </c>
      <c r="CC253" s="195">
        <f>IFERROR(H253*(IF('Inputs Yr 2'!$AJ253=CC$4,'Inputs Yr 2'!$AK253,IF('Inputs Yr 2'!$AL253=CC$4,'Inputs Yr 2'!$AM253,IF('Inputs Yr 2'!$AN253=CC$4,'Inputs Yr 2'!$AO253,0))))*(INDEX(avoidedcosttbl2,$H253,CC$2)+(($H253-ROUNDDOWN($H253,0))*(INDEX(avoidedcosttbl2,ROUNDUP($H253,0),CC$2)-(INDEX(avoidedcosttbl2,ROUNDDOWN($H253,0),CC$2)))))*'Inputs Yr 2'!Q253*'Inputs Yr 2'!R253*'Inputs Yr 2'!V253,"")</f>
        <v>0</v>
      </c>
      <c r="CD253" s="195">
        <f>IFERROR(I253*(IF('Inputs Yr 2'!$AJ253=CD$4,'Inputs Yr 2'!$AK253,IF('Inputs Yr 2'!$AL253=CD$4,'Inputs Yr 2'!$AM253,IF('Inputs Yr 2'!$AN253=CD$4,'Inputs Yr 2'!$AO253,0))))*(INDEX(avoidedcosttbl2,$H253,CD$2)+(($H253-ROUNDDOWN($H253,0))*(INDEX(avoidedcosttbl2,ROUNDUP($H253,0),CD$2)-(INDEX(avoidedcosttbl2,ROUNDDOWN($H253,0),CD$2)))))*'Inputs Yr 2'!R253*'Inputs Yr 2'!S253*'Inputs Yr 2'!W253,"")</f>
        <v>0</v>
      </c>
      <c r="CE253" s="213">
        <f t="shared" si="131"/>
        <v>0</v>
      </c>
      <c r="CF253" s="213">
        <f t="shared" si="132"/>
        <v>0</v>
      </c>
      <c r="CG253" s="213">
        <f t="shared" si="133"/>
        <v>0</v>
      </c>
      <c r="CH253" s="698">
        <f t="shared" si="134"/>
        <v>364299.98459571565</v>
      </c>
      <c r="CI253" s="79">
        <f>IFERROR(($G253*'Inputs Yr 2'!$P253*'Inputs Yr 2'!$Q253*(((INDEX(avoidedcosttbl2,$H253,CI$2)+(($H253-ROUNDDOWN($H253,0))*(INDEX(avoidedcosttbl2,ROUNDUP($H253,0),CI$2)-INDEX(avoidedcosttbl2,ROUNDDOWN($H253,0),CI$2))))*'Inputs Yr 2'!AS253))),"")</f>
        <v>0</v>
      </c>
      <c r="CJ253" s="504">
        <f>IFERROR($G253*'Inputs Yr 2'!AT253*'Inputs Yr 2'!$P253*'Inputs Yr 2'!$Q253/((1+realdiscrt1)^-0.5),"")</f>
        <v>0</v>
      </c>
      <c r="CK253" s="79">
        <f>IFERROR((O253*1000*(((INDEX(avoidedcosttbl2,$H253,CK$2)+(($H253-ROUNDDOWN($H253,0))*(INDEX(avoidedcosttbl2,ROUNDUP($H253,0),CK$2)-INDEX(avoidedcosttbl2,ROUNDDOWN($H253,0),CK$2))))*'Inputs Yr 2'!AU253))),"")</f>
        <v>0</v>
      </c>
      <c r="CL253" s="504">
        <f>IFERROR(O253*1000*'Inputs Yr 2'!AV253/((1+realdiscrt1)^-0.5),"")</f>
        <v>0</v>
      </c>
      <c r="CM253" s="79">
        <f>IFERROR((AB253*'Inputs Yr 2'!AW253*(((INDEX(avoidedcosttbl2,$H253,CM$2)+(($H253-ROUNDDOWN($H253,0))*(INDEX(avoidedcosttbl2,ROUNDUP($H253,0),CM$2)-INDEX(avoidedcosttbl2,ROUNDDOWN($H253,0),CM$2)))))))*10,"")</f>
        <v>104717.64318941682</v>
      </c>
      <c r="CN253" s="504">
        <f>IFERROR(10*AB253*'Inputs Yr 2'!AX253/((1+realdiscrt1)^-0.5),"")</f>
        <v>0</v>
      </c>
      <c r="CO253" s="505">
        <f t="shared" si="135"/>
        <v>104717.64318941682</v>
      </c>
      <c r="CP253" s="230">
        <f t="shared" si="136"/>
        <v>469017.6277851325</v>
      </c>
      <c r="CQ253" s="199">
        <f>ROUND(IFERROR(IF(LEFT($A253,1)="C",'Avoided Costs'!$K$13,'Avoided Costs'!$K$12)+1,""),4)</f>
        <v>1.0720000000000001</v>
      </c>
      <c r="CR253" s="199">
        <f>ROUND(IFERROR(IF(LEFT($A253,1)="C",'Avoided Costs'!$L$13,'Avoided Costs'!$L$12)+1,""),4)</f>
        <v>1.04</v>
      </c>
      <c r="CS253" s="199">
        <f>ROUND(IFERROR(IF(LEFT($A253,1)="C",'Avoided Costs'!$M$13,'Avoided Costs'!$M$12)+1,""),4)</f>
        <v>1.0720000000000001</v>
      </c>
      <c r="CT253" s="199">
        <f>ROUND(IFERROR(IF(LEFT($A253,1)="C",'Avoided Costs'!$N$13,'Avoided Costs'!$N$12)+1,""),4)</f>
        <v>1.04</v>
      </c>
      <c r="CU253" s="199">
        <f>ROUND(IFERROR(IF(LEFT($A253,1)="C",'Avoided Costs'!$O$13,'Avoided Costs'!$O$12)+1,""),4)</f>
        <v>1.1120000000000001</v>
      </c>
      <c r="CV253" s="199">
        <f>ROUND(IFERROR(IF(LEFT($A253,1)="C",'Avoided Costs'!$P$13,'Avoided Costs'!$P$12)+1,""),4)</f>
        <v>1.095</v>
      </c>
      <c r="CW253" s="199">
        <f>ROUND(IFERROR(IF(LEFT($A253,1)="C",'Avoided Costs'!$Q$13,'Avoided Costs'!$Q$12)+1,""),4)</f>
        <v>1.1120000000000001</v>
      </c>
      <c r="CX253" s="200">
        <f>ROUND(IFERROR(IF(LEFT($A253,1)="C",'Avoided Costs'!$R$13,'Avoided Costs'!$R$12)+1,""),4)</f>
        <v>1.1120000000000001</v>
      </c>
    </row>
    <row r="254" spans="1:102" ht="12.75" customHeight="1">
      <c r="A254" s="91" t="str">
        <f>IF('Inputs Yr 2'!$B254=0,"",'Inputs Yr 2'!A254)</f>
        <v>C - Commercial &amp; Industrial</v>
      </c>
      <c r="B254" s="91" t="str">
        <f>IF('Inputs Yr 2'!$B254=0,"",'Inputs Yr 2'!B254)</f>
        <v>C2 - C&amp;I Retrofit</v>
      </c>
      <c r="C254" s="91" t="str">
        <f>IF('Inputs Yr 2'!$B254=0,"",'Inputs Yr 2'!C254)</f>
        <v>C2a - C&amp;I Existing Building Retrofit</v>
      </c>
      <c r="D254" s="91" t="str">
        <f>IF('Inputs Yr 2'!$B254=0,"",'Inputs Yr 2'!E254)</f>
        <v>Heating - Custom 15</v>
      </c>
      <c r="E254" s="93" t="str">
        <f>IF('Inputs Yr 2'!$B254=0,"",'Inputs Yr 2'!F254)</f>
        <v>G16C2a05</v>
      </c>
      <c r="F254" s="93" t="str">
        <f>IF('Inputs Yr 2'!$B254=0,"",'Inputs Yr 2'!G254)</f>
        <v>HVAC</v>
      </c>
      <c r="G254" s="95">
        <f>IF('Inputs Yr 2'!$H254&lt;&gt;0,('Inputs Yr 2'!H254),"")</f>
        <v>1</v>
      </c>
      <c r="H254" s="94">
        <f>IFERROR('Inputs Yr 2'!I254,"")</f>
        <v>15</v>
      </c>
      <c r="I254" s="298">
        <f>IFERROR('Inputs Yr 2'!J254*'Inputs Yr 2'!P254*G254,"")</f>
        <v>275113.20011999999</v>
      </c>
      <c r="J254" s="298">
        <f>IFERROR('Inputs Yr 2'!K254*G254,"")</f>
        <v>149680.74</v>
      </c>
      <c r="K254" s="298">
        <f t="shared" si="113"/>
        <v>125432.46012</v>
      </c>
      <c r="L254" s="194">
        <f>IFERROR(('Inputs Yr 2'!W254*G254)/1000,"")</f>
        <v>0</v>
      </c>
      <c r="M254" s="194">
        <f>IFERROR(L254*('Inputs Yr 2'!$Q254*'Inputs Yr 2'!$V254*'Inputs Yr 2'!$R254),"")</f>
        <v>0</v>
      </c>
      <c r="N254" s="194">
        <f t="shared" si="114"/>
        <v>0</v>
      </c>
      <c r="O254" s="194">
        <f>IFERROR(M254*'Inputs Yr 2'!P254,"")</f>
        <v>0</v>
      </c>
      <c r="P254" s="194">
        <f t="shared" si="115"/>
        <v>0</v>
      </c>
      <c r="Q254" s="194">
        <f>IFERROR($P254*'Inputs Yr 2'!AA254,"")</f>
        <v>0</v>
      </c>
      <c r="R254" s="194">
        <f>IFERROR($P254*'Inputs Yr 2'!AB254,"")</f>
        <v>0</v>
      </c>
      <c r="S254" s="194">
        <f>IFERROR($P254*'Inputs Yr 2'!AC254,"")</f>
        <v>0</v>
      </c>
      <c r="T254" s="194">
        <f>IFERROR($P254*'Inputs Yr 2'!AD254,"")</f>
        <v>0</v>
      </c>
      <c r="U254" s="194">
        <f>IFERROR(G254*'Inputs Yr 2'!$AE254*'Inputs Yr 2'!$P254*'Inputs Yr 2'!$Q254,"")</f>
        <v>0</v>
      </c>
      <c r="V254" s="194">
        <f>IFERROR($G254*'Inputs Yr 2'!$AE254*'Inputs Yr 2'!$AG254*'Inputs Yr 2'!Q254*'Inputs Yr 2'!$S254,"")</f>
        <v>0</v>
      </c>
      <c r="W254" s="194">
        <f>IFERROR($G254*'Inputs Yr 2'!$AE254*'Inputs Yr 2'!$AG254*'Inputs Yr 2'!P254*'Inputs Yr 2'!Q254*'Inputs Yr 2'!$S254,"")</f>
        <v>0</v>
      </c>
      <c r="X254" s="194">
        <f>IFERROR($G254*'Inputs Yr 2'!$AE254*'Inputs Yr 2'!$AF254*'Inputs Yr 2'!Q254*'Inputs Yr 2'!$T254,"")</f>
        <v>0</v>
      </c>
      <c r="Y254" s="194">
        <f>IFERROR($G254*'Inputs Yr 2'!$AE254*'Inputs Yr 2'!$AF254*'Inputs Yr 2'!P254*'Inputs Yr 2'!Q254*'Inputs Yr 2'!$T254,"")</f>
        <v>0</v>
      </c>
      <c r="Z254" s="257">
        <f>IFERROR($G254*'Inputs Yr 2'!$Q254*'Inputs Yr 2'!$U254*(IF(IFERROR(SEARCH("NG", 'Inputs Yr 2'!$AJ254),0),'Inputs Yr 2'!$AK254,0)+IF(IFERROR(SEARCH("NG", 'Inputs Yr 2'!$AL254),0),'Inputs Yr 2'!$AM254,0)+IF(IFERROR(SEARCH("NG", 'Inputs Yr 2'!$AN254),0),'Inputs Yr 2'!$AO254,0)),0)</f>
        <v>15535.986500000001</v>
      </c>
      <c r="AA254" s="257">
        <f t="shared" si="116"/>
        <v>233039.79750000002</v>
      </c>
      <c r="AB254" s="257">
        <f>IFERROR(Z254*'Inputs Yr 2'!$P254,0)</f>
        <v>14277.571593500001</v>
      </c>
      <c r="AC254" s="257">
        <f t="shared" si="117"/>
        <v>214163.57390250001</v>
      </c>
      <c r="AD254" s="257">
        <f>IFERROR($G254*'Inputs Yr 2'!$Q254*'Inputs Yr 2'!$U254*(IF(IFERROR(SEARCH("Oil", 'Inputs Yr 2'!$AJ254), 0),'Inputs Yr 2'!$AK254,0)+IF(IFERROR(SEARCH("Oil", 'Inputs Yr 2'!$AL254), 0),'Inputs Yr 2'!$AM254,0)+IF(IFERROR(SEARCH("Oil", 'Inputs Yr 2'!$AN254), 0),'Inputs Yr 2'!$AO254,0)),0)</f>
        <v>0</v>
      </c>
      <c r="AE254" s="257">
        <f t="shared" si="118"/>
        <v>0</v>
      </c>
      <c r="AF254" s="257">
        <f>IFERROR(AD254*'Inputs Yr 2'!$P254,0)</f>
        <v>0</v>
      </c>
      <c r="AG254" s="257">
        <f t="shared" si="119"/>
        <v>0</v>
      </c>
      <c r="AH254" s="257">
        <f>IFERROR($G254*'Inputs Yr 2'!$Q254*'Inputs Yr 2'!$U254*(IF('Inputs Yr 2'!$AJ254=CD$4,'Inputs Yr 2'!$AK254,IF('Inputs Yr 2'!$AL254=CD$4,'Inputs Yr 2'!$AM254,IF('Inputs Yr 2'!$AN254=CD$4,'Inputs Yr 2'!$AO254,0)))),0)</f>
        <v>0</v>
      </c>
      <c r="AI254" s="257">
        <f t="shared" si="120"/>
        <v>0</v>
      </c>
      <c r="AJ254" s="257">
        <f>IFERROR(AH254*'Inputs Yr 2'!$P254,0)</f>
        <v>0</v>
      </c>
      <c r="AK254" s="257">
        <f t="shared" si="121"/>
        <v>0</v>
      </c>
      <c r="AL254" s="258">
        <f>IFERROR($G254*'Inputs Yr 2'!$P254*'Inputs Yr 2'!$Q254*'Inputs Yr 2'!AP254,0)</f>
        <v>0</v>
      </c>
      <c r="AM254" s="260">
        <f>IFERROR($G254*'Inputs Yr 2'!$P254*'Inputs Yr 2'!$Q254*'Inputs Yr 2'!AQ254,0)</f>
        <v>0</v>
      </c>
      <c r="AN254" s="258">
        <f>IFERROR($G254*'Inputs Yr 2'!$P254*'Inputs Yr 2'!$Q254*'Inputs Yr 2'!AR254,0)</f>
        <v>0</v>
      </c>
      <c r="AO254" s="257">
        <f t="shared" si="122"/>
        <v>0</v>
      </c>
      <c r="AP254" s="195">
        <f>IFERROR($CQ254*(INDEX(avoidedcosttbl2,$H254,AP$2)+(($H254-ROUNDDOWN($H254,0))*(INDEX(avoidedcosttbl2,ROUNDUP($H254,0),AP$2)-(INDEX(avoidedcosttbl2,ROUNDDOWN($H254,0),AP$2)))))*$O254*1000*'Inputs Yr 2'!AA254,"")</f>
        <v>0</v>
      </c>
      <c r="AQ254" s="195">
        <f>IFERROR($CR254*(INDEX(avoidedcosttbl2,$H254,AQ$2)+(($H254-ROUNDDOWN($H254,0))*(INDEX(avoidedcosttbl2,ROUNDUP($H254,0),AQ$2)-(INDEX(avoidedcosttbl2,ROUNDDOWN($H254,0),AQ$2)))))*$O254*1000*'Inputs Yr 2'!AB254,"")</f>
        <v>0</v>
      </c>
      <c r="AR254" s="195">
        <f>IFERROR($CS254*(INDEX(avoidedcosttbl2,$H254,AR$2)+(($H254-ROUNDDOWN($H254,0))*(INDEX(avoidedcosttbl2,ROUNDUP($H254,0),AR$2)-(INDEX(avoidedcosttbl2,ROUNDDOWN($H254,0),AR$2)))))*$O254*1000*'Inputs Yr 2'!AC254,"")</f>
        <v>0</v>
      </c>
      <c r="AS254" s="195">
        <f>IFERROR($CT254*(INDEX(avoidedcosttbl2,$H254,AS$2)+(($H254-ROUNDDOWN($H254,0))*(INDEX(avoidedcosttbl2,ROUNDUP($H254,0),AS$2)-(INDEX(avoidedcosttbl2,ROUNDDOWN($H254,0),AS$2)))))*$O254*1000*'Inputs Yr 2'!AD254,"")</f>
        <v>0</v>
      </c>
      <c r="AT254" s="196">
        <f t="shared" si="123"/>
        <v>0</v>
      </c>
      <c r="AU254" s="197">
        <f>IFERROR($CQ254*((INDEX(avoidedcosttbl2,$H254,AU$2))+(($H254-ROUNDDOWN($H254,0))*((INDEX(avoidedcosttbl2,ROUNDUP($H254,0),AU$2))-(INDEX(avoidedcosttbl2,ROUNDDOWN($H254,0),AU$2)))))*$O254*1000*'Inputs Yr 2'!AA254,"")</f>
        <v>0</v>
      </c>
      <c r="AV254" s="197">
        <f>IFERROR($CR254*((INDEX(avoidedcosttbl2,$H254,AV$2))+(($H254-ROUNDDOWN($H254,0))*((INDEX(avoidedcosttbl2,ROUNDUP($H254,0),AV$2))-(INDEX(avoidedcosttbl2,ROUNDDOWN($H254,0),AV$2)))))*$O254*1000*'Inputs Yr 2'!AB254,"")</f>
        <v>0</v>
      </c>
      <c r="AW254" s="197">
        <f>IFERROR($CS254*((INDEX(avoidedcosttbl2,$H254,AW$2))+(($H254-ROUNDDOWN($H254,0))*((INDEX(avoidedcosttbl2,ROUNDUP($H254,0),AW$2))-(INDEX(avoidedcosttbl2,ROUNDDOWN($H254,0),AW$2)))))*$O254*1000*'Inputs Yr 2'!AC254,"")</f>
        <v>0</v>
      </c>
      <c r="AX254" s="197">
        <f>IFERROR($CT254*((INDEX(avoidedcosttbl2,$H254,AX$2))+(($H254-ROUNDDOWN($H254,0))*((INDEX(avoidedcosttbl2,ROUNDUP($H254,0),AX$2))-(INDEX(avoidedcosttbl2,ROUNDDOWN($H254,0),AX$2)))))*$O254*1000*'Inputs Yr 2'!AD254,"")</f>
        <v>0</v>
      </c>
      <c r="AY254" s="197">
        <f>IFERROR(((INDEX(avoidedcosttbl2,$H254,AY$2))+(($H254-ROUNDDOWN($H254,0))*((INDEX(avoidedcosttbl2,ROUNDUP($H254,0),AY$2))-(INDEX(avoidedcosttbl2,ROUNDDOWN($H254,0),AY$2)))))*$O254*1000*('Inputs Yr 2'!AC254+'Inputs Yr 2'!AD254),"")</f>
        <v>0</v>
      </c>
      <c r="AZ254" s="197">
        <f>IFERROR(((INDEX(avoidedcosttbl2,$H254,AZ$2))+(($H254-ROUNDDOWN($H254,0))*((INDEX(avoidedcosttbl2,ROUNDUP($H254,0),AZ$2))-(INDEX(avoidedcosttbl2,ROUNDDOWN($H254,0),AZ$2)))))*$O254*1000*('Inputs Yr 2'!AA254+'Inputs Yr 2'!AB254),"")</f>
        <v>0</v>
      </c>
      <c r="BA254" s="198">
        <f t="shared" si="124"/>
        <v>0</v>
      </c>
      <c r="BB254" s="198">
        <f t="shared" si="125"/>
        <v>0</v>
      </c>
      <c r="BC254" s="195">
        <f t="shared" si="107"/>
        <v>0</v>
      </c>
      <c r="BD254" s="195">
        <f t="shared" si="108"/>
        <v>0</v>
      </c>
      <c r="BE254" s="195">
        <f t="shared" si="109"/>
        <v>0</v>
      </c>
      <c r="BF254" s="195">
        <f t="shared" si="110"/>
        <v>0</v>
      </c>
      <c r="BG254" s="195">
        <f t="shared" si="111"/>
        <v>0</v>
      </c>
      <c r="BH254" s="196">
        <f t="shared" si="126"/>
        <v>0</v>
      </c>
      <c r="BI254" s="196">
        <f t="shared" si="127"/>
        <v>0</v>
      </c>
      <c r="BJ254" s="195">
        <f>IFERROR($G254*(IF('Inputs Yr 2'!$AJ254=BJ$4,'Inputs Yr 2'!$AK254,IF('Inputs Yr 2'!$AL254=BJ$4,'Inputs Yr 2'!$AM254,IF('Inputs Yr 2'!$AN254=BJ$4,'Inputs Yr 2'!$AO254,0))))*(INDEX(avoidedcosttbl2,$H254,BJ$2)+(($H254-ROUNDDOWN($H254,0))*(INDEX(avoidedcosttbl2,ROUNDUP($H254,0),BJ$2)-(INDEX(avoidedcosttbl2,ROUNDDOWN($H254,0),BJ$2)))))*'Inputs Yr 2'!P254*'Inputs Yr 2'!Q254*'Inputs Yr 2'!U254,"")</f>
        <v>0</v>
      </c>
      <c r="BK254" s="195">
        <f>IFERROR($G254*(IF('Inputs Yr 2'!$AJ254=BK$4,'Inputs Yr 2'!$AK254,IF('Inputs Yr 2'!$AL254=BK$4,'Inputs Yr 2'!$AM254,IF('Inputs Yr 2'!$AN254=BK$4,'Inputs Yr 2'!$AO254,0))))*(INDEX(avoidedcosttbl2,$H254,BK$2)+(($H254-ROUNDDOWN($H254,0))*(INDEX(avoidedcosttbl2,ROUNDUP($H254,0),BK$2)-(INDEX(avoidedcosttbl2,ROUNDDOWN($H254,0),BK$2)))))*'Inputs Yr 2'!P254*'Inputs Yr 2'!Q254*'Inputs Yr 2'!U254,"")</f>
        <v>0</v>
      </c>
      <c r="BL254" s="195">
        <f>IFERROR($G254*(IF('Inputs Yr 2'!$AJ254=BL$4,'Inputs Yr 2'!$AK254,IF('Inputs Yr 2'!$AL254=BL$4,'Inputs Yr 2'!$AM254,IF('Inputs Yr 2'!$AN254=BL$4,'Inputs Yr 2'!$AO254,0))))*(INDEX(avoidedcosttbl2,$H254,BL$2)+(($H254-ROUNDDOWN($H254,0))*(INDEX(avoidedcosttbl2,ROUNDUP($H254,0),BL$2)-(INDEX(avoidedcosttbl2,ROUNDDOWN($H254,0),BL$2)))))*'Inputs Yr 2'!P254*'Inputs Yr 2'!Q254*'Inputs Yr 2'!U254,"")</f>
        <v>0</v>
      </c>
      <c r="BM254" s="195">
        <f>IFERROR($G254*(IF('Inputs Yr 2'!$AJ254=BM$4,'Inputs Yr 2'!$AK254,IF('Inputs Yr 2'!$AL254=BM$4,'Inputs Yr 2'!$AM254,IF('Inputs Yr 2'!$AN254=BM$4,'Inputs Yr 2'!$AO254,0))))*(INDEX(avoidedcosttbl2,$H254,BM$2)+(($H254-ROUNDDOWN($H254,0))*(INDEX(avoidedcosttbl2,ROUNDUP($H254,0),BM$2)-(INDEX(avoidedcosttbl2,ROUNDDOWN($H254,0),BM$2)))))*'Inputs Yr 2'!P254*'Inputs Yr 2'!Q254*'Inputs Yr 2'!U254,"")</f>
        <v>0</v>
      </c>
      <c r="BN254" s="195">
        <f>IFERROR($G254*(IF('Inputs Yr 2'!$AJ254=BN$4,'Inputs Yr 2'!$AK254,IF('Inputs Yr 2'!$AL254=BN$4,'Inputs Yr 2'!$AM254,IF('Inputs Yr 2'!$AN254=BN$4,'Inputs Yr 2'!$AO254,0))))*(INDEX(avoidedcosttbl2,$H254,BN$2)+(($H254-ROUNDDOWN($H254,0))*(INDEX(avoidedcosttbl2,ROUNDUP($H254,0),BN$2)-(INDEX(avoidedcosttbl2,ROUNDDOWN($H254,0),BN$2)))))*'Inputs Yr 2'!P254*'Inputs Yr 2'!Q254*'Inputs Yr 2'!U254,"")</f>
        <v>0</v>
      </c>
      <c r="BO254" s="195">
        <f>IFERROR($G254*(IF('Inputs Yr 2'!$AJ254=BO$4,'Inputs Yr 2'!$AK254,IF('Inputs Yr 2'!$AL254=BO$4,'Inputs Yr 2'!$AM254,IF('Inputs Yr 2'!$AN254=BO$4,'Inputs Yr 2'!$AO254,0))))*(INDEX(avoidedcosttbl2,$H254,BO$2)+(($H254-ROUNDDOWN($H254,0))*(INDEX(avoidedcosttbl2,ROUNDUP($H254,0),BO$2)-(INDEX(avoidedcosttbl2,ROUNDDOWN($H254,0),BO$2)))))*'Inputs Yr 2'!P254*'Inputs Yr 2'!Q254*'Inputs Yr 2'!U254,"")</f>
        <v>1670275.3516744082</v>
      </c>
      <c r="BP254" s="195">
        <f>IFERROR($G254*(IF('Inputs Yr 2'!$AJ254=BP$4,'Inputs Yr 2'!$AK254,IF('Inputs Yr 2'!$AL254=BP$4,'Inputs Yr 2'!$AM254,IF('Inputs Yr 2'!$AN254=BP$4,'Inputs Yr 2'!$AO254,0))))*(INDEX(avoidedcosttbl2,$H254,BP$2)+(($H254-ROUNDDOWN($H254,0))*(INDEX(avoidedcosttbl2,ROUNDUP($H254,0),BP$2)-(INDEX(avoidedcosttbl2,ROUNDDOWN($H254,0),BP$2)))))*'Inputs Yr 2'!P254*'Inputs Yr 2'!Q254*'Inputs Yr 2'!U254,"")</f>
        <v>0</v>
      </c>
      <c r="BQ254" s="230">
        <f t="shared" si="128"/>
        <v>1670275.3516744082</v>
      </c>
      <c r="BR254" s="197">
        <f t="shared" si="112"/>
        <v>29028.138752108513</v>
      </c>
      <c r="BS254" s="197">
        <f>IFERROR(($G254*IF('Inputs Yr 2'!$AJ254=BM$4,'Inputs Yr 2'!$AK254,IF('Inputs Yr 2'!$AL254=BM$4,'Inputs Yr 2'!$AM254,IF('Inputs Yr 2'!$AN254=BM$4,'Inputs Yr 2'!$AO254,0))))*(INDEX(avoidedcosttbl2,$H254,BS$2)+(($H254-ROUNDDOWN($H254,0))*(INDEX(avoidedcosttbl2,ROUNDUP($H254,0),BS$2)-(INDEX(avoidedcosttbl2,ROUNDDOWN($H254,0),BS$2)))))*'Inputs Yr 2'!P254*'Inputs Yr 2'!Q254*'Inputs Yr 2'!U254,"")</f>
        <v>0</v>
      </c>
      <c r="BT254" s="197">
        <f>IFERROR(($G254*IF('Inputs Yr 2'!$AJ254=BK$4,'Inputs Yr 2'!$AK254,IF('Inputs Yr 2'!$AL254=BK$4,'Inputs Yr 2'!$AM254,IF('Inputs Yr 2'!$AN254=BK$4,'Inputs Yr 2'!$AO254,0))))*(INDEX(avoidedcosttbl2,$H254,BT$2)+(($H254-ROUNDDOWN($H254,0))*(INDEX(avoidedcosttbl2,ROUNDUP($H254,0),BT$2)-(INDEX(avoidedcosttbl2,ROUNDDOWN($H254,0),BT$2)))))*'Inputs Yr 2'!P254*'Inputs Yr 2'!Q254*'Inputs Yr 2'!U254,"")</f>
        <v>0</v>
      </c>
      <c r="BU254" s="197">
        <f>IFERROR(($G254*IF('Inputs Yr 2'!$AJ254=BL$4,'Inputs Yr 2'!$AK254,IF('Inputs Yr 2'!$AL254=BL$4,'Inputs Yr 2'!$AM254,IF('Inputs Yr 2'!$AN254=BL$4,'Inputs Yr 2'!$AO254,0))))*(INDEX(avoidedcosttbl2,$H254,BU$2)+(($H254-ROUNDDOWN($H254,0))*(INDEX(avoidedcosttbl2,ROUNDUP($H254,0),BU$2)-(INDEX(avoidedcosttbl2,ROUNDDOWN($H254,0),BU$2)))))*'Inputs Yr 2'!P254*'Inputs Yr 2'!Q254*'Inputs Yr 2'!U254,"")</f>
        <v>0</v>
      </c>
      <c r="BV254" s="775">
        <f>IFERROR(($G254*IF('Inputs Yr 2'!$AJ254=BJ$4,'Inputs Yr 2'!$AK254,IF('Inputs Yr 2'!$AL254=BJ$4,'Inputs Yr 2'!$AM254,IF('Inputs Yr 2'!$AN254=BJ$4,'Inputs Yr 2'!$AO254,0))))*(INDEX(avoidedcosttbl2,$H254,BV$2)+(($H254-ROUNDDOWN($H254,0))*(INDEX(avoidedcosttbl2,ROUNDUP($H254,0),BV$2)-(INDEX(avoidedcosttbl2,ROUNDDOWN($H254,0),BV$2)))))*'Inputs Yr 2'!P254*'Inputs Yr 2'!Q254*'Inputs Yr 2'!U254,"")</f>
        <v>0</v>
      </c>
      <c r="BW254" s="197">
        <f>IFERROR(($G254*IF('Inputs Yr 2'!$AJ254=BN$4,'Inputs Yr 2'!$AK254,IF('Inputs Yr 2'!$AL254=BN$4,'Inputs Yr 2'!$AM254,IF('Inputs Yr 2'!$AN254=BN$4,'Inputs Yr 2'!$AO254,0))))*(INDEX(avoidedcosttbl2,$H254,BW$2)+(($H254-ROUNDDOWN($H254,0))*(INDEX(avoidedcosttbl2,ROUNDUP($H254,0),BW$2)-(INDEX(avoidedcosttbl2,ROUNDDOWN($H254,0),BW$2)))))*'Inputs Yr 2'!P254*'Inputs Yr 2'!Q254*'Inputs Yr 2'!U254,"")</f>
        <v>0</v>
      </c>
      <c r="BX254" s="197">
        <f>IFERROR(($G254*IF('Inputs Yr 2'!$AJ254=BO$4,'Inputs Yr 2'!$AK254,IF('Inputs Yr 2'!$AL254=BO$4,'Inputs Yr 2'!$AM254,IF('Inputs Yr 2'!$AN254=BO$4,'Inputs Yr 2'!$AO254,0))))*(INDEX(avoidedcosttbl2,$H254,BX$2)+(($H254-ROUNDDOWN($H254,0))*(INDEX(avoidedcosttbl2,ROUNDUP($H254,0),BX$2)-(INDEX(avoidedcosttbl2,ROUNDDOWN($H254,0),BX$2)))))*'Inputs Yr 2'!P254*'Inputs Yr 2'!Q254*'Inputs Yr 2'!U254,"")</f>
        <v>117715.53898680491</v>
      </c>
      <c r="BY254" s="197">
        <f>IFERROR(($G254*IF('Inputs Yr 2'!$AJ254=BP$4,'Inputs Yr 2'!$AK254,IF('Inputs Yr 2'!$AL254=BP$4,'Inputs Yr 2'!$AM254,IF('Inputs Yr 2'!$AN254=BP$4,'Inputs Yr 2'!$AO254,0))))*(INDEX(avoidedcosttbl2,$H254,BY$2)+(($H254-ROUNDDOWN($H254,0))*(INDEX(avoidedcosttbl2,ROUNDUP($H254,0),BY$2)-(INDEX(avoidedcosttbl2,ROUNDDOWN($H254,0),BY$2)))))*'Inputs Yr 2'!P254*'Inputs Yr 2'!Q254*'Inputs Yr 2'!U254,"")</f>
        <v>0</v>
      </c>
      <c r="BZ254" s="193">
        <f t="shared" si="129"/>
        <v>146743.67773891342</v>
      </c>
      <c r="CA254" s="193">
        <f t="shared" si="130"/>
        <v>1817019.0294133215</v>
      </c>
      <c r="CB254" s="195">
        <f>IFERROR(G254*(IF('Inputs Yr 2'!$AJ254=CB$4,'Inputs Yr 2'!$AK254,IF('Inputs Yr 2'!$AL254=CB$4,'Inputs Yr 2'!$AM254,IF('Inputs Yr 2'!$AN254=CB$4,'Inputs Yr 2'!$AO254,0))))*(INDEX(avoidedcosttbl2,$H254,CB$2)+(($H254-ROUNDDOWN($H254,0))*(INDEX(avoidedcosttbl2,ROUNDUP($H254,0),CB$2)-(INDEX(avoidedcosttbl2,ROUNDDOWN($H254,0),CB$2)))))*'Inputs Yr 2'!P254*'Inputs Yr 2'!Q254*'Inputs Yr 2'!U254,"")</f>
        <v>0</v>
      </c>
      <c r="CC254" s="195">
        <f>IFERROR(H254*(IF('Inputs Yr 2'!$AJ254=CC$4,'Inputs Yr 2'!$AK254,IF('Inputs Yr 2'!$AL254=CC$4,'Inputs Yr 2'!$AM254,IF('Inputs Yr 2'!$AN254=CC$4,'Inputs Yr 2'!$AO254,0))))*(INDEX(avoidedcosttbl2,$H254,CC$2)+(($H254-ROUNDDOWN($H254,0))*(INDEX(avoidedcosttbl2,ROUNDUP($H254,0),CC$2)-(INDEX(avoidedcosttbl2,ROUNDDOWN($H254,0),CC$2)))))*'Inputs Yr 2'!Q254*'Inputs Yr 2'!R254*'Inputs Yr 2'!V254,"")</f>
        <v>0</v>
      </c>
      <c r="CD254" s="195">
        <f>IFERROR(I254*(IF('Inputs Yr 2'!$AJ254=CD$4,'Inputs Yr 2'!$AK254,IF('Inputs Yr 2'!$AL254=CD$4,'Inputs Yr 2'!$AM254,IF('Inputs Yr 2'!$AN254=CD$4,'Inputs Yr 2'!$AO254,0))))*(INDEX(avoidedcosttbl2,$H254,CD$2)+(($H254-ROUNDDOWN($H254,0))*(INDEX(avoidedcosttbl2,ROUNDUP($H254,0),CD$2)-(INDEX(avoidedcosttbl2,ROUNDDOWN($H254,0),CD$2)))))*'Inputs Yr 2'!R254*'Inputs Yr 2'!S254*'Inputs Yr 2'!W254,"")</f>
        <v>0</v>
      </c>
      <c r="CE254" s="213">
        <f t="shared" si="131"/>
        <v>0</v>
      </c>
      <c r="CF254" s="213">
        <f t="shared" si="132"/>
        <v>0</v>
      </c>
      <c r="CG254" s="213">
        <f t="shared" si="133"/>
        <v>0</v>
      </c>
      <c r="CH254" s="698">
        <f t="shared" si="134"/>
        <v>1817019.0294133215</v>
      </c>
      <c r="CI254" s="79">
        <f>IFERROR(($G254*'Inputs Yr 2'!$P254*'Inputs Yr 2'!$Q254*(((INDEX(avoidedcosttbl2,$H254,CI$2)+(($H254-ROUNDDOWN($H254,0))*(INDEX(avoidedcosttbl2,ROUNDUP($H254,0),CI$2)-INDEX(avoidedcosttbl2,ROUNDDOWN($H254,0),CI$2))))*'Inputs Yr 2'!AS254))),"")</f>
        <v>0</v>
      </c>
      <c r="CJ254" s="504">
        <f>IFERROR($G254*'Inputs Yr 2'!AT254*'Inputs Yr 2'!$P254*'Inputs Yr 2'!$Q254/((1+realdiscrt1)^-0.5),"")</f>
        <v>0</v>
      </c>
      <c r="CK254" s="79">
        <f>IFERROR((O254*1000*(((INDEX(avoidedcosttbl2,$H254,CK$2)+(($H254-ROUNDDOWN($H254,0))*(INDEX(avoidedcosttbl2,ROUNDUP($H254,0),CK$2)-INDEX(avoidedcosttbl2,ROUNDDOWN($H254,0),CK$2))))*'Inputs Yr 2'!AU254))),"")</f>
        <v>0</v>
      </c>
      <c r="CL254" s="504">
        <f>IFERROR(O254*1000*'Inputs Yr 2'!AV254/((1+realdiscrt1)^-0.5),"")</f>
        <v>0</v>
      </c>
      <c r="CM254" s="79">
        <f>IFERROR((AB254*'Inputs Yr 2'!AW254*(((INDEX(avoidedcosttbl2,$H254,CM$2)+(($H254-ROUNDDOWN($H254,0))*(INDEX(avoidedcosttbl2,ROUNDUP($H254,0),CM$2)-INDEX(avoidedcosttbl2,ROUNDDOWN($H254,0),CM$2)))))))*10,"")</f>
        <v>518159.495706702</v>
      </c>
      <c r="CN254" s="504">
        <f>IFERROR(10*AB254*'Inputs Yr 2'!AX254/((1+realdiscrt1)^-0.5),"")</f>
        <v>0</v>
      </c>
      <c r="CO254" s="505">
        <f t="shared" si="135"/>
        <v>518159.495706702</v>
      </c>
      <c r="CP254" s="230">
        <f t="shared" si="136"/>
        <v>2335178.5251200236</v>
      </c>
      <c r="CQ254" s="199">
        <f>ROUND(IFERROR(IF(LEFT($A254,1)="C",'Avoided Costs'!$K$13,'Avoided Costs'!$K$12)+1,""),4)</f>
        <v>1.0720000000000001</v>
      </c>
      <c r="CR254" s="199">
        <f>ROUND(IFERROR(IF(LEFT($A254,1)="C",'Avoided Costs'!$L$13,'Avoided Costs'!$L$12)+1,""),4)</f>
        <v>1.04</v>
      </c>
      <c r="CS254" s="199">
        <f>ROUND(IFERROR(IF(LEFT($A254,1)="C",'Avoided Costs'!$M$13,'Avoided Costs'!$M$12)+1,""),4)</f>
        <v>1.0720000000000001</v>
      </c>
      <c r="CT254" s="199">
        <f>ROUND(IFERROR(IF(LEFT($A254,1)="C",'Avoided Costs'!$N$13,'Avoided Costs'!$N$12)+1,""),4)</f>
        <v>1.04</v>
      </c>
      <c r="CU254" s="199">
        <f>ROUND(IFERROR(IF(LEFT($A254,1)="C",'Avoided Costs'!$O$13,'Avoided Costs'!$O$12)+1,""),4)</f>
        <v>1.1120000000000001</v>
      </c>
      <c r="CV254" s="199">
        <f>ROUND(IFERROR(IF(LEFT($A254,1)="C",'Avoided Costs'!$P$13,'Avoided Costs'!$P$12)+1,""),4)</f>
        <v>1.095</v>
      </c>
      <c r="CW254" s="199">
        <f>ROUND(IFERROR(IF(LEFT($A254,1)="C",'Avoided Costs'!$Q$13,'Avoided Costs'!$Q$12)+1,""),4)</f>
        <v>1.1120000000000001</v>
      </c>
      <c r="CX254" s="200">
        <f>ROUND(IFERROR(IF(LEFT($A254,1)="C",'Avoided Costs'!$R$13,'Avoided Costs'!$R$12)+1,""),4)</f>
        <v>1.1120000000000001</v>
      </c>
    </row>
    <row r="255" spans="1:102" ht="12.75" customHeight="1">
      <c r="A255" s="91" t="str">
        <f>IF('Inputs Yr 2'!$B255=0,"",'Inputs Yr 2'!A255)</f>
        <v>C - Commercial &amp; Industrial</v>
      </c>
      <c r="B255" s="91" t="str">
        <f>IF('Inputs Yr 2'!$B255=0,"",'Inputs Yr 2'!B255)</f>
        <v>C2 - C&amp;I Retrofit</v>
      </c>
      <c r="C255" s="91" t="str">
        <f>IF('Inputs Yr 2'!$B255=0,"",'Inputs Yr 2'!C255)</f>
        <v>C2a - C&amp;I Existing Building Retrofit</v>
      </c>
      <c r="D255" s="91" t="str">
        <f>IF('Inputs Yr 2'!$B255=0,"",'Inputs Yr 2'!E255)</f>
        <v>Heating - Custom 18</v>
      </c>
      <c r="E255" s="93" t="str">
        <f>IF('Inputs Yr 2'!$B255=0,"",'Inputs Yr 2'!F255)</f>
        <v>G16C2a05</v>
      </c>
      <c r="F255" s="93" t="str">
        <f>IF('Inputs Yr 2'!$B255=0,"",'Inputs Yr 2'!G255)</f>
        <v>HVAC</v>
      </c>
      <c r="G255" s="95">
        <f>IF('Inputs Yr 2'!$H255&lt;&gt;0,('Inputs Yr 2'!H255),"")</f>
        <v>1</v>
      </c>
      <c r="H255" s="94">
        <f>IFERROR('Inputs Yr 2'!I255,"")</f>
        <v>18</v>
      </c>
      <c r="I255" s="298">
        <f>IFERROR('Inputs Yr 2'!J255*'Inputs Yr 2'!P255*G255,"")</f>
        <v>188974.889</v>
      </c>
      <c r="J255" s="298">
        <f>IFERROR('Inputs Yr 2'!K255*G255,"")</f>
        <v>102815.5</v>
      </c>
      <c r="K255" s="298">
        <f t="shared" si="113"/>
        <v>86159.388999999996</v>
      </c>
      <c r="L255" s="194">
        <f>IFERROR(('Inputs Yr 2'!W255*G255)/1000,"")</f>
        <v>0</v>
      </c>
      <c r="M255" s="194">
        <f>IFERROR(L255*('Inputs Yr 2'!$Q255*'Inputs Yr 2'!$V255*'Inputs Yr 2'!$R255),"")</f>
        <v>0</v>
      </c>
      <c r="N255" s="194">
        <f t="shared" si="114"/>
        <v>0</v>
      </c>
      <c r="O255" s="194">
        <f>IFERROR(M255*'Inputs Yr 2'!P255,"")</f>
        <v>0</v>
      </c>
      <c r="P255" s="194">
        <f t="shared" si="115"/>
        <v>0</v>
      </c>
      <c r="Q255" s="194">
        <f>IFERROR($P255*'Inputs Yr 2'!AA255,"")</f>
        <v>0</v>
      </c>
      <c r="R255" s="194">
        <f>IFERROR($P255*'Inputs Yr 2'!AB255,"")</f>
        <v>0</v>
      </c>
      <c r="S255" s="194">
        <f>IFERROR($P255*'Inputs Yr 2'!AC255,"")</f>
        <v>0</v>
      </c>
      <c r="T255" s="194">
        <f>IFERROR($P255*'Inputs Yr 2'!AD255,"")</f>
        <v>0</v>
      </c>
      <c r="U255" s="194">
        <f>IFERROR(G255*'Inputs Yr 2'!$AE255*'Inputs Yr 2'!$P255*'Inputs Yr 2'!$Q255,"")</f>
        <v>0</v>
      </c>
      <c r="V255" s="194">
        <f>IFERROR($G255*'Inputs Yr 2'!$AE255*'Inputs Yr 2'!$AG255*'Inputs Yr 2'!Q255*'Inputs Yr 2'!$S255,"")</f>
        <v>0</v>
      </c>
      <c r="W255" s="194">
        <f>IFERROR($G255*'Inputs Yr 2'!$AE255*'Inputs Yr 2'!$AG255*'Inputs Yr 2'!P255*'Inputs Yr 2'!Q255*'Inputs Yr 2'!$S255,"")</f>
        <v>0</v>
      </c>
      <c r="X255" s="194">
        <f>IFERROR($G255*'Inputs Yr 2'!$AE255*'Inputs Yr 2'!$AF255*'Inputs Yr 2'!Q255*'Inputs Yr 2'!$T255,"")</f>
        <v>0</v>
      </c>
      <c r="Y255" s="194">
        <f>IFERROR($G255*'Inputs Yr 2'!$AE255*'Inputs Yr 2'!$AF255*'Inputs Yr 2'!P255*'Inputs Yr 2'!Q255*'Inputs Yr 2'!$T255,"")</f>
        <v>0</v>
      </c>
      <c r="Z255" s="257">
        <f>IFERROR($G255*'Inputs Yr 2'!$Q255*'Inputs Yr 2'!$U255*(IF(IFERROR(SEARCH("NG", 'Inputs Yr 2'!$AJ255),0),'Inputs Yr 2'!$AK255,0)+IF(IFERROR(SEARCH("NG", 'Inputs Yr 2'!$AL255),0),'Inputs Yr 2'!$AM255,0)+IF(IFERROR(SEARCH("NG", 'Inputs Yr 2'!$AN255),0),'Inputs Yr 2'!$AO255,0)),0)</f>
        <v>8564.8713000000007</v>
      </c>
      <c r="AA255" s="257">
        <f t="shared" si="116"/>
        <v>154167.68340000001</v>
      </c>
      <c r="AB255" s="257">
        <f>IFERROR(Z255*'Inputs Yr 2'!$P255,0)</f>
        <v>7871.1167247000012</v>
      </c>
      <c r="AC255" s="257">
        <f t="shared" si="117"/>
        <v>141680.10104460001</v>
      </c>
      <c r="AD255" s="257">
        <f>IFERROR($G255*'Inputs Yr 2'!$Q255*'Inputs Yr 2'!$U255*(IF(IFERROR(SEARCH("Oil", 'Inputs Yr 2'!$AJ255), 0),'Inputs Yr 2'!$AK255,0)+IF(IFERROR(SEARCH("Oil", 'Inputs Yr 2'!$AL255), 0),'Inputs Yr 2'!$AM255,0)+IF(IFERROR(SEARCH("Oil", 'Inputs Yr 2'!$AN255), 0),'Inputs Yr 2'!$AO255,0)),0)</f>
        <v>0</v>
      </c>
      <c r="AE255" s="257">
        <f t="shared" si="118"/>
        <v>0</v>
      </c>
      <c r="AF255" s="257">
        <f>IFERROR(AD255*'Inputs Yr 2'!$P255,0)</f>
        <v>0</v>
      </c>
      <c r="AG255" s="257">
        <f t="shared" si="119"/>
        <v>0</v>
      </c>
      <c r="AH255" s="257">
        <f>IFERROR($G255*'Inputs Yr 2'!$Q255*'Inputs Yr 2'!$U255*(IF('Inputs Yr 2'!$AJ255=CD$4,'Inputs Yr 2'!$AK255,IF('Inputs Yr 2'!$AL255=CD$4,'Inputs Yr 2'!$AM255,IF('Inputs Yr 2'!$AN255=CD$4,'Inputs Yr 2'!$AO255,0)))),0)</f>
        <v>0</v>
      </c>
      <c r="AI255" s="257">
        <f t="shared" si="120"/>
        <v>0</v>
      </c>
      <c r="AJ255" s="257">
        <f>IFERROR(AH255*'Inputs Yr 2'!$P255,0)</f>
        <v>0</v>
      </c>
      <c r="AK255" s="257">
        <f t="shared" si="121"/>
        <v>0</v>
      </c>
      <c r="AL255" s="258">
        <f>IFERROR($G255*'Inputs Yr 2'!$P255*'Inputs Yr 2'!$Q255*'Inputs Yr 2'!AP255,0)</f>
        <v>0</v>
      </c>
      <c r="AM255" s="260">
        <f>IFERROR($G255*'Inputs Yr 2'!$P255*'Inputs Yr 2'!$Q255*'Inputs Yr 2'!AQ255,0)</f>
        <v>0</v>
      </c>
      <c r="AN255" s="258">
        <f>IFERROR($G255*'Inputs Yr 2'!$P255*'Inputs Yr 2'!$Q255*'Inputs Yr 2'!AR255,0)</f>
        <v>0</v>
      </c>
      <c r="AO255" s="257">
        <f t="shared" si="122"/>
        <v>0</v>
      </c>
      <c r="AP255" s="195">
        <f>IFERROR($CQ255*(INDEX(avoidedcosttbl2,$H255,AP$2)+(($H255-ROUNDDOWN($H255,0))*(INDEX(avoidedcosttbl2,ROUNDUP($H255,0),AP$2)-(INDEX(avoidedcosttbl2,ROUNDDOWN($H255,0),AP$2)))))*$O255*1000*'Inputs Yr 2'!AA255,"")</f>
        <v>0</v>
      </c>
      <c r="AQ255" s="195">
        <f>IFERROR($CR255*(INDEX(avoidedcosttbl2,$H255,AQ$2)+(($H255-ROUNDDOWN($H255,0))*(INDEX(avoidedcosttbl2,ROUNDUP($H255,0),AQ$2)-(INDEX(avoidedcosttbl2,ROUNDDOWN($H255,0),AQ$2)))))*$O255*1000*'Inputs Yr 2'!AB255,"")</f>
        <v>0</v>
      </c>
      <c r="AR255" s="195">
        <f>IFERROR($CS255*(INDEX(avoidedcosttbl2,$H255,AR$2)+(($H255-ROUNDDOWN($H255,0))*(INDEX(avoidedcosttbl2,ROUNDUP($H255,0),AR$2)-(INDEX(avoidedcosttbl2,ROUNDDOWN($H255,0),AR$2)))))*$O255*1000*'Inputs Yr 2'!AC255,"")</f>
        <v>0</v>
      </c>
      <c r="AS255" s="195">
        <f>IFERROR($CT255*(INDEX(avoidedcosttbl2,$H255,AS$2)+(($H255-ROUNDDOWN($H255,0))*(INDEX(avoidedcosttbl2,ROUNDUP($H255,0),AS$2)-(INDEX(avoidedcosttbl2,ROUNDDOWN($H255,0),AS$2)))))*$O255*1000*'Inputs Yr 2'!AD255,"")</f>
        <v>0</v>
      </c>
      <c r="AT255" s="196">
        <f t="shared" si="123"/>
        <v>0</v>
      </c>
      <c r="AU255" s="197">
        <f>IFERROR($CQ255*((INDEX(avoidedcosttbl2,$H255,AU$2))+(($H255-ROUNDDOWN($H255,0))*((INDEX(avoidedcosttbl2,ROUNDUP($H255,0),AU$2))-(INDEX(avoidedcosttbl2,ROUNDDOWN($H255,0),AU$2)))))*$O255*1000*'Inputs Yr 2'!AA255,"")</f>
        <v>0</v>
      </c>
      <c r="AV255" s="197">
        <f>IFERROR($CR255*((INDEX(avoidedcosttbl2,$H255,AV$2))+(($H255-ROUNDDOWN($H255,0))*((INDEX(avoidedcosttbl2,ROUNDUP($H255,0),AV$2))-(INDEX(avoidedcosttbl2,ROUNDDOWN($H255,0),AV$2)))))*$O255*1000*'Inputs Yr 2'!AB255,"")</f>
        <v>0</v>
      </c>
      <c r="AW255" s="197">
        <f>IFERROR($CS255*((INDEX(avoidedcosttbl2,$H255,AW$2))+(($H255-ROUNDDOWN($H255,0))*((INDEX(avoidedcosttbl2,ROUNDUP($H255,0),AW$2))-(INDEX(avoidedcosttbl2,ROUNDDOWN($H255,0),AW$2)))))*$O255*1000*'Inputs Yr 2'!AC255,"")</f>
        <v>0</v>
      </c>
      <c r="AX255" s="197">
        <f>IFERROR($CT255*((INDEX(avoidedcosttbl2,$H255,AX$2))+(($H255-ROUNDDOWN($H255,0))*((INDEX(avoidedcosttbl2,ROUNDUP($H255,0),AX$2))-(INDEX(avoidedcosttbl2,ROUNDDOWN($H255,0),AX$2)))))*$O255*1000*'Inputs Yr 2'!AD255,"")</f>
        <v>0</v>
      </c>
      <c r="AY255" s="197">
        <f>IFERROR(((INDEX(avoidedcosttbl2,$H255,AY$2))+(($H255-ROUNDDOWN($H255,0))*((INDEX(avoidedcosttbl2,ROUNDUP($H255,0),AY$2))-(INDEX(avoidedcosttbl2,ROUNDDOWN($H255,0),AY$2)))))*$O255*1000*('Inputs Yr 2'!AC255+'Inputs Yr 2'!AD255),"")</f>
        <v>0</v>
      </c>
      <c r="AZ255" s="197">
        <f>IFERROR(((INDEX(avoidedcosttbl2,$H255,AZ$2))+(($H255-ROUNDDOWN($H255,0))*((INDEX(avoidedcosttbl2,ROUNDUP($H255,0),AZ$2))-(INDEX(avoidedcosttbl2,ROUNDDOWN($H255,0),AZ$2)))))*$O255*1000*('Inputs Yr 2'!AA255+'Inputs Yr 2'!AB255),"")</f>
        <v>0</v>
      </c>
      <c r="BA255" s="198">
        <f t="shared" si="124"/>
        <v>0</v>
      </c>
      <c r="BB255" s="198">
        <f t="shared" si="125"/>
        <v>0</v>
      </c>
      <c r="BC255" s="195">
        <f t="shared" si="107"/>
        <v>0</v>
      </c>
      <c r="BD255" s="195">
        <f t="shared" si="108"/>
        <v>0</v>
      </c>
      <c r="BE255" s="195">
        <f t="shared" si="109"/>
        <v>0</v>
      </c>
      <c r="BF255" s="195">
        <f t="shared" si="110"/>
        <v>0</v>
      </c>
      <c r="BG255" s="195">
        <f t="shared" si="111"/>
        <v>0</v>
      </c>
      <c r="BH255" s="196">
        <f t="shared" si="126"/>
        <v>0</v>
      </c>
      <c r="BI255" s="196">
        <f t="shared" si="127"/>
        <v>0</v>
      </c>
      <c r="BJ255" s="195">
        <f>IFERROR($G255*(IF('Inputs Yr 2'!$AJ255=BJ$4,'Inputs Yr 2'!$AK255,IF('Inputs Yr 2'!$AL255=BJ$4,'Inputs Yr 2'!$AM255,IF('Inputs Yr 2'!$AN255=BJ$4,'Inputs Yr 2'!$AO255,0))))*(INDEX(avoidedcosttbl2,$H255,BJ$2)+(($H255-ROUNDDOWN($H255,0))*(INDEX(avoidedcosttbl2,ROUNDUP($H255,0),BJ$2)-(INDEX(avoidedcosttbl2,ROUNDDOWN($H255,0),BJ$2)))))*'Inputs Yr 2'!P255*'Inputs Yr 2'!Q255*'Inputs Yr 2'!U255,"")</f>
        <v>0</v>
      </c>
      <c r="BK255" s="195">
        <f>IFERROR($G255*(IF('Inputs Yr 2'!$AJ255=BK$4,'Inputs Yr 2'!$AK255,IF('Inputs Yr 2'!$AL255=BK$4,'Inputs Yr 2'!$AM255,IF('Inputs Yr 2'!$AN255=BK$4,'Inputs Yr 2'!$AO255,0))))*(INDEX(avoidedcosttbl2,$H255,BK$2)+(($H255-ROUNDDOWN($H255,0))*(INDEX(avoidedcosttbl2,ROUNDUP($H255,0),BK$2)-(INDEX(avoidedcosttbl2,ROUNDDOWN($H255,0),BK$2)))))*'Inputs Yr 2'!P255*'Inputs Yr 2'!Q255*'Inputs Yr 2'!U255,"")</f>
        <v>0</v>
      </c>
      <c r="BL255" s="195">
        <f>IFERROR($G255*(IF('Inputs Yr 2'!$AJ255=BL$4,'Inputs Yr 2'!$AK255,IF('Inputs Yr 2'!$AL255=BL$4,'Inputs Yr 2'!$AM255,IF('Inputs Yr 2'!$AN255=BL$4,'Inputs Yr 2'!$AO255,0))))*(INDEX(avoidedcosttbl2,$H255,BL$2)+(($H255-ROUNDDOWN($H255,0))*(INDEX(avoidedcosttbl2,ROUNDUP($H255,0),BL$2)-(INDEX(avoidedcosttbl2,ROUNDDOWN($H255,0),BL$2)))))*'Inputs Yr 2'!P255*'Inputs Yr 2'!Q255*'Inputs Yr 2'!U255,"")</f>
        <v>0</v>
      </c>
      <c r="BM255" s="195">
        <f>IFERROR($G255*(IF('Inputs Yr 2'!$AJ255=BM$4,'Inputs Yr 2'!$AK255,IF('Inputs Yr 2'!$AL255=BM$4,'Inputs Yr 2'!$AM255,IF('Inputs Yr 2'!$AN255=BM$4,'Inputs Yr 2'!$AO255,0))))*(INDEX(avoidedcosttbl2,$H255,BM$2)+(($H255-ROUNDDOWN($H255,0))*(INDEX(avoidedcosttbl2,ROUNDUP($H255,0),BM$2)-(INDEX(avoidedcosttbl2,ROUNDDOWN($H255,0),BM$2)))))*'Inputs Yr 2'!P255*'Inputs Yr 2'!Q255*'Inputs Yr 2'!U255,"")</f>
        <v>0</v>
      </c>
      <c r="BN255" s="195">
        <f>IFERROR($G255*(IF('Inputs Yr 2'!$AJ255=BN$4,'Inputs Yr 2'!$AK255,IF('Inputs Yr 2'!$AL255=BN$4,'Inputs Yr 2'!$AM255,IF('Inputs Yr 2'!$AN255=BN$4,'Inputs Yr 2'!$AO255,0))))*(INDEX(avoidedcosttbl2,$H255,BN$2)+(($H255-ROUNDDOWN($H255,0))*(INDEX(avoidedcosttbl2,ROUNDUP($H255,0),BN$2)-(INDEX(avoidedcosttbl2,ROUNDDOWN($H255,0),BN$2)))))*'Inputs Yr 2'!P255*'Inputs Yr 2'!Q255*'Inputs Yr 2'!U255,"")</f>
        <v>0</v>
      </c>
      <c r="BO255" s="195">
        <f>IFERROR($G255*(IF('Inputs Yr 2'!$AJ255=BO$4,'Inputs Yr 2'!$AK255,IF('Inputs Yr 2'!$AL255=BO$4,'Inputs Yr 2'!$AM255,IF('Inputs Yr 2'!$AN255=BO$4,'Inputs Yr 2'!$AO255,0))))*(INDEX(avoidedcosttbl2,$H255,BO$2)+(($H255-ROUNDDOWN($H255,0))*(INDEX(avoidedcosttbl2,ROUNDUP($H255,0),BO$2)-(INDEX(avoidedcosttbl2,ROUNDDOWN($H255,0),BO$2)))))*'Inputs Yr 2'!P255*'Inputs Yr 2'!Q255*'Inputs Yr 2'!U255,"")</f>
        <v>1125645.8017402352</v>
      </c>
      <c r="BP255" s="195">
        <f>IFERROR($G255*(IF('Inputs Yr 2'!$AJ255=BP$4,'Inputs Yr 2'!$AK255,IF('Inputs Yr 2'!$AL255=BP$4,'Inputs Yr 2'!$AM255,IF('Inputs Yr 2'!$AN255=BP$4,'Inputs Yr 2'!$AO255,0))))*(INDEX(avoidedcosttbl2,$H255,BP$2)+(($H255-ROUNDDOWN($H255,0))*(INDEX(avoidedcosttbl2,ROUNDUP($H255,0),BP$2)-(INDEX(avoidedcosttbl2,ROUNDDOWN($H255,0),BP$2)))))*'Inputs Yr 2'!P255*'Inputs Yr 2'!Q255*'Inputs Yr 2'!U255,"")</f>
        <v>0</v>
      </c>
      <c r="BQ255" s="230">
        <f t="shared" si="128"/>
        <v>1125645.8017402352</v>
      </c>
      <c r="BR255" s="197">
        <f t="shared" si="112"/>
        <v>19079.057385007403</v>
      </c>
      <c r="BS255" s="197">
        <f>IFERROR(($G255*IF('Inputs Yr 2'!$AJ255=BM$4,'Inputs Yr 2'!$AK255,IF('Inputs Yr 2'!$AL255=BM$4,'Inputs Yr 2'!$AM255,IF('Inputs Yr 2'!$AN255=BM$4,'Inputs Yr 2'!$AO255,0))))*(INDEX(avoidedcosttbl2,$H255,BS$2)+(($H255-ROUNDDOWN($H255,0))*(INDEX(avoidedcosttbl2,ROUNDUP($H255,0),BS$2)-(INDEX(avoidedcosttbl2,ROUNDDOWN($H255,0),BS$2)))))*'Inputs Yr 2'!P255*'Inputs Yr 2'!Q255*'Inputs Yr 2'!U255,"")</f>
        <v>0</v>
      </c>
      <c r="BT255" s="197">
        <f>IFERROR(($G255*IF('Inputs Yr 2'!$AJ255=BK$4,'Inputs Yr 2'!$AK255,IF('Inputs Yr 2'!$AL255=BK$4,'Inputs Yr 2'!$AM255,IF('Inputs Yr 2'!$AN255=BK$4,'Inputs Yr 2'!$AO255,0))))*(INDEX(avoidedcosttbl2,$H255,BT$2)+(($H255-ROUNDDOWN($H255,0))*(INDEX(avoidedcosttbl2,ROUNDUP($H255,0),BT$2)-(INDEX(avoidedcosttbl2,ROUNDDOWN($H255,0),BT$2)))))*'Inputs Yr 2'!P255*'Inputs Yr 2'!Q255*'Inputs Yr 2'!U255,"")</f>
        <v>0</v>
      </c>
      <c r="BU255" s="197">
        <f>IFERROR(($G255*IF('Inputs Yr 2'!$AJ255=BL$4,'Inputs Yr 2'!$AK255,IF('Inputs Yr 2'!$AL255=BL$4,'Inputs Yr 2'!$AM255,IF('Inputs Yr 2'!$AN255=BL$4,'Inputs Yr 2'!$AO255,0))))*(INDEX(avoidedcosttbl2,$H255,BU$2)+(($H255-ROUNDDOWN($H255,0))*(INDEX(avoidedcosttbl2,ROUNDUP($H255,0),BU$2)-(INDEX(avoidedcosttbl2,ROUNDDOWN($H255,0),BU$2)))))*'Inputs Yr 2'!P255*'Inputs Yr 2'!Q255*'Inputs Yr 2'!U255,"")</f>
        <v>0</v>
      </c>
      <c r="BV255" s="775">
        <f>IFERROR(($G255*IF('Inputs Yr 2'!$AJ255=BJ$4,'Inputs Yr 2'!$AK255,IF('Inputs Yr 2'!$AL255=BJ$4,'Inputs Yr 2'!$AM255,IF('Inputs Yr 2'!$AN255=BJ$4,'Inputs Yr 2'!$AO255,0))))*(INDEX(avoidedcosttbl2,$H255,BV$2)+(($H255-ROUNDDOWN($H255,0))*(INDEX(avoidedcosttbl2,ROUNDUP($H255,0),BV$2)-(INDEX(avoidedcosttbl2,ROUNDDOWN($H255,0),BV$2)))))*'Inputs Yr 2'!P255*'Inputs Yr 2'!Q255*'Inputs Yr 2'!U255,"")</f>
        <v>0</v>
      </c>
      <c r="BW255" s="197">
        <f>IFERROR(($G255*IF('Inputs Yr 2'!$AJ255=BN$4,'Inputs Yr 2'!$AK255,IF('Inputs Yr 2'!$AL255=BN$4,'Inputs Yr 2'!$AM255,IF('Inputs Yr 2'!$AN255=BN$4,'Inputs Yr 2'!$AO255,0))))*(INDEX(avoidedcosttbl2,$H255,BW$2)+(($H255-ROUNDDOWN($H255,0))*(INDEX(avoidedcosttbl2,ROUNDUP($H255,0),BW$2)-(INDEX(avoidedcosttbl2,ROUNDDOWN($H255,0),BW$2)))))*'Inputs Yr 2'!P255*'Inputs Yr 2'!Q255*'Inputs Yr 2'!U255,"")</f>
        <v>0</v>
      </c>
      <c r="BX255" s="197">
        <f>IFERROR(($G255*IF('Inputs Yr 2'!$AJ255=BO$4,'Inputs Yr 2'!$AK255,IF('Inputs Yr 2'!$AL255=BO$4,'Inputs Yr 2'!$AM255,IF('Inputs Yr 2'!$AN255=BO$4,'Inputs Yr 2'!$AO255,0))))*(INDEX(avoidedcosttbl2,$H255,BX$2)+(($H255-ROUNDDOWN($H255,0))*(INDEX(avoidedcosttbl2,ROUNDUP($H255,0),BX$2)-(INDEX(avoidedcosttbl2,ROUNDDOWN($H255,0),BX$2)))))*'Inputs Yr 2'!P255*'Inputs Yr 2'!Q255*'Inputs Yr 2'!U255,"")</f>
        <v>67456.651102415417</v>
      </c>
      <c r="BY255" s="197">
        <f>IFERROR(($G255*IF('Inputs Yr 2'!$AJ255=BP$4,'Inputs Yr 2'!$AK255,IF('Inputs Yr 2'!$AL255=BP$4,'Inputs Yr 2'!$AM255,IF('Inputs Yr 2'!$AN255=BP$4,'Inputs Yr 2'!$AO255,0))))*(INDEX(avoidedcosttbl2,$H255,BY$2)+(($H255-ROUNDDOWN($H255,0))*(INDEX(avoidedcosttbl2,ROUNDUP($H255,0),BY$2)-(INDEX(avoidedcosttbl2,ROUNDDOWN($H255,0),BY$2)))))*'Inputs Yr 2'!P255*'Inputs Yr 2'!Q255*'Inputs Yr 2'!U255,"")</f>
        <v>0</v>
      </c>
      <c r="BZ255" s="193">
        <f t="shared" si="129"/>
        <v>86535.708487422817</v>
      </c>
      <c r="CA255" s="193">
        <f t="shared" si="130"/>
        <v>1212181.5102276581</v>
      </c>
      <c r="CB255" s="195">
        <f>IFERROR(G255*(IF('Inputs Yr 2'!$AJ255=CB$4,'Inputs Yr 2'!$AK255,IF('Inputs Yr 2'!$AL255=CB$4,'Inputs Yr 2'!$AM255,IF('Inputs Yr 2'!$AN255=CB$4,'Inputs Yr 2'!$AO255,0))))*(INDEX(avoidedcosttbl2,$H255,CB$2)+(($H255-ROUNDDOWN($H255,0))*(INDEX(avoidedcosttbl2,ROUNDUP($H255,0),CB$2)-(INDEX(avoidedcosttbl2,ROUNDDOWN($H255,0),CB$2)))))*'Inputs Yr 2'!P255*'Inputs Yr 2'!Q255*'Inputs Yr 2'!U255,"")</f>
        <v>0</v>
      </c>
      <c r="CC255" s="195">
        <f>IFERROR(H255*(IF('Inputs Yr 2'!$AJ255=CC$4,'Inputs Yr 2'!$AK255,IF('Inputs Yr 2'!$AL255=CC$4,'Inputs Yr 2'!$AM255,IF('Inputs Yr 2'!$AN255=CC$4,'Inputs Yr 2'!$AO255,0))))*(INDEX(avoidedcosttbl2,$H255,CC$2)+(($H255-ROUNDDOWN($H255,0))*(INDEX(avoidedcosttbl2,ROUNDUP($H255,0),CC$2)-(INDEX(avoidedcosttbl2,ROUNDDOWN($H255,0),CC$2)))))*'Inputs Yr 2'!Q255*'Inputs Yr 2'!R255*'Inputs Yr 2'!V255,"")</f>
        <v>0</v>
      </c>
      <c r="CD255" s="195">
        <f>IFERROR(I255*(IF('Inputs Yr 2'!$AJ255=CD$4,'Inputs Yr 2'!$AK255,IF('Inputs Yr 2'!$AL255=CD$4,'Inputs Yr 2'!$AM255,IF('Inputs Yr 2'!$AN255=CD$4,'Inputs Yr 2'!$AO255,0))))*(INDEX(avoidedcosttbl2,$H255,CD$2)+(($H255-ROUNDDOWN($H255,0))*(INDEX(avoidedcosttbl2,ROUNDUP($H255,0),CD$2)-(INDEX(avoidedcosttbl2,ROUNDDOWN($H255,0),CD$2)))))*'Inputs Yr 2'!R255*'Inputs Yr 2'!S255*'Inputs Yr 2'!W255,"")</f>
        <v>0</v>
      </c>
      <c r="CE255" s="213">
        <f t="shared" si="131"/>
        <v>0</v>
      </c>
      <c r="CF255" s="213">
        <f t="shared" si="132"/>
        <v>0</v>
      </c>
      <c r="CG255" s="213">
        <f t="shared" si="133"/>
        <v>0</v>
      </c>
      <c r="CH255" s="698">
        <f t="shared" si="134"/>
        <v>1212181.5102276581</v>
      </c>
      <c r="CI255" s="79">
        <f>IFERROR(($G255*'Inputs Yr 2'!$P255*'Inputs Yr 2'!$Q255*(((INDEX(avoidedcosttbl2,$H255,CI$2)+(($H255-ROUNDDOWN($H255,0))*(INDEX(avoidedcosttbl2,ROUNDUP($H255,0),CI$2)-INDEX(avoidedcosttbl2,ROUNDDOWN($H255,0),CI$2))))*'Inputs Yr 2'!AS255))),"")</f>
        <v>0</v>
      </c>
      <c r="CJ255" s="504">
        <f>IFERROR($G255*'Inputs Yr 2'!AT255*'Inputs Yr 2'!$P255*'Inputs Yr 2'!$Q255/((1+realdiscrt1)^-0.5),"")</f>
        <v>0</v>
      </c>
      <c r="CK255" s="79">
        <f>IFERROR((O255*1000*(((INDEX(avoidedcosttbl2,$H255,CK$2)+(($H255-ROUNDDOWN($H255,0))*(INDEX(avoidedcosttbl2,ROUNDUP($H255,0),CK$2)-INDEX(avoidedcosttbl2,ROUNDDOWN($H255,0),CK$2))))*'Inputs Yr 2'!AU255))),"")</f>
        <v>0</v>
      </c>
      <c r="CL255" s="504">
        <f>IFERROR(O255*1000*'Inputs Yr 2'!AV255/((1+realdiscrt1)^-0.5),"")</f>
        <v>0</v>
      </c>
      <c r="CM255" s="79">
        <f>IFERROR((AB255*'Inputs Yr 2'!AW255*(((INDEX(avoidedcosttbl2,$H255,CM$2)+(($H255-ROUNDDOWN($H255,0))*(INDEX(avoidedcosttbl2,ROUNDUP($H255,0),CM$2)-INDEX(avoidedcosttbl2,ROUNDDOWN($H255,0),CM$2)))))))*10,"")</f>
        <v>340565.91907590278</v>
      </c>
      <c r="CN255" s="504">
        <f>IFERROR(10*AB255*'Inputs Yr 2'!AX255/((1+realdiscrt1)^-0.5),"")</f>
        <v>0</v>
      </c>
      <c r="CO255" s="505">
        <f t="shared" si="135"/>
        <v>340565.91907590278</v>
      </c>
      <c r="CP255" s="230">
        <f t="shared" si="136"/>
        <v>1552747.4293035609</v>
      </c>
      <c r="CQ255" s="199">
        <f>ROUND(IFERROR(IF(LEFT($A255,1)="C",'Avoided Costs'!$K$13,'Avoided Costs'!$K$12)+1,""),4)</f>
        <v>1.0720000000000001</v>
      </c>
      <c r="CR255" s="199">
        <f>ROUND(IFERROR(IF(LEFT($A255,1)="C",'Avoided Costs'!$L$13,'Avoided Costs'!$L$12)+1,""),4)</f>
        <v>1.04</v>
      </c>
      <c r="CS255" s="199">
        <f>ROUND(IFERROR(IF(LEFT($A255,1)="C",'Avoided Costs'!$M$13,'Avoided Costs'!$M$12)+1,""),4)</f>
        <v>1.0720000000000001</v>
      </c>
      <c r="CT255" s="199">
        <f>ROUND(IFERROR(IF(LEFT($A255,1)="C",'Avoided Costs'!$N$13,'Avoided Costs'!$N$12)+1,""),4)</f>
        <v>1.04</v>
      </c>
      <c r="CU255" s="199">
        <f>ROUND(IFERROR(IF(LEFT($A255,1)="C",'Avoided Costs'!$O$13,'Avoided Costs'!$O$12)+1,""),4)</f>
        <v>1.1120000000000001</v>
      </c>
      <c r="CV255" s="199">
        <f>ROUND(IFERROR(IF(LEFT($A255,1)="C",'Avoided Costs'!$P$13,'Avoided Costs'!$P$12)+1,""),4)</f>
        <v>1.095</v>
      </c>
      <c r="CW255" s="199">
        <f>ROUND(IFERROR(IF(LEFT($A255,1)="C",'Avoided Costs'!$Q$13,'Avoided Costs'!$Q$12)+1,""),4)</f>
        <v>1.1120000000000001</v>
      </c>
      <c r="CX255" s="200">
        <f>ROUND(IFERROR(IF(LEFT($A255,1)="C",'Avoided Costs'!$R$13,'Avoided Costs'!$R$12)+1,""),4)</f>
        <v>1.1120000000000001</v>
      </c>
    </row>
    <row r="256" spans="1:102" ht="12.75" customHeight="1">
      <c r="A256" s="91" t="str">
        <f>IF('Inputs Yr 2'!$B256=0,"",'Inputs Yr 2'!A256)</f>
        <v>C - Commercial &amp; Industrial</v>
      </c>
      <c r="B256" s="91" t="str">
        <f>IF('Inputs Yr 2'!$B256=0,"",'Inputs Yr 2'!B256)</f>
        <v>C2 - C&amp;I Retrofit</v>
      </c>
      <c r="C256" s="91" t="str">
        <f>IF('Inputs Yr 2'!$B256=0,"",'Inputs Yr 2'!C256)</f>
        <v>C2a - C&amp;I Existing Building Retrofit</v>
      </c>
      <c r="D256" s="91" t="str">
        <f>IF('Inputs Yr 2'!$B256=0,"",'Inputs Yr 2'!E256)</f>
        <v>Heating - Prescriptive</v>
      </c>
      <c r="E256" s="93" t="str">
        <f>IF('Inputs Yr 2'!$B256=0,"",'Inputs Yr 2'!F256)</f>
        <v>G16C2a06</v>
      </c>
      <c r="F256" s="93" t="str">
        <f>IF('Inputs Yr 2'!$B256=0,"",'Inputs Yr 2'!G256)</f>
        <v>HVAC</v>
      </c>
      <c r="G256" s="95" t="str">
        <f>IF('Inputs Yr 2'!$H256&lt;&gt;0,('Inputs Yr 2'!H256),"")</f>
        <v/>
      </c>
      <c r="H256" s="94">
        <f>IFERROR('Inputs Yr 2'!I256,"")</f>
        <v>15</v>
      </c>
      <c r="I256" s="298" t="str">
        <f>IFERROR('Inputs Yr 2'!J256*'Inputs Yr 2'!P256*G256,"")</f>
        <v/>
      </c>
      <c r="J256" s="298" t="str">
        <f>IFERROR('Inputs Yr 2'!K256*G256,"")</f>
        <v/>
      </c>
      <c r="K256" s="298" t="str">
        <f t="shared" si="113"/>
        <v/>
      </c>
      <c r="L256" s="194" t="str">
        <f>IFERROR(('Inputs Yr 2'!W256*G256)/1000,"")</f>
        <v/>
      </c>
      <c r="M256" s="194" t="str">
        <f>IFERROR(L256*('Inputs Yr 2'!$Q256*'Inputs Yr 2'!$V256*'Inputs Yr 2'!$R256),"")</f>
        <v/>
      </c>
      <c r="N256" s="194" t="str">
        <f t="shared" si="114"/>
        <v/>
      </c>
      <c r="O256" s="194" t="str">
        <f>IFERROR(M256*'Inputs Yr 2'!P256,"")</f>
        <v/>
      </c>
      <c r="P256" s="194" t="str">
        <f t="shared" si="115"/>
        <v/>
      </c>
      <c r="Q256" s="194" t="str">
        <f>IFERROR($P256*'Inputs Yr 2'!AA256,"")</f>
        <v/>
      </c>
      <c r="R256" s="194" t="str">
        <f>IFERROR($P256*'Inputs Yr 2'!AB256,"")</f>
        <v/>
      </c>
      <c r="S256" s="194" t="str">
        <f>IFERROR($P256*'Inputs Yr 2'!AC256,"")</f>
        <v/>
      </c>
      <c r="T256" s="194" t="str">
        <f>IFERROR($P256*'Inputs Yr 2'!AD256,"")</f>
        <v/>
      </c>
      <c r="U256" s="194" t="str">
        <f>IFERROR(G256*'Inputs Yr 2'!$AE256*'Inputs Yr 2'!$P256*'Inputs Yr 2'!$Q256,"")</f>
        <v/>
      </c>
      <c r="V256" s="194" t="str">
        <f>IFERROR($G256*'Inputs Yr 2'!$AE256*'Inputs Yr 2'!$AG256*'Inputs Yr 2'!Q256*'Inputs Yr 2'!$S256,"")</f>
        <v/>
      </c>
      <c r="W256" s="194" t="str">
        <f>IFERROR($G256*'Inputs Yr 2'!$AE256*'Inputs Yr 2'!$AG256*'Inputs Yr 2'!P256*'Inputs Yr 2'!Q256*'Inputs Yr 2'!$S256,"")</f>
        <v/>
      </c>
      <c r="X256" s="194" t="str">
        <f>IFERROR($G256*'Inputs Yr 2'!$AE256*'Inputs Yr 2'!$AF256*'Inputs Yr 2'!Q256*'Inputs Yr 2'!$T256,"")</f>
        <v/>
      </c>
      <c r="Y256" s="194" t="str">
        <f>IFERROR($G256*'Inputs Yr 2'!$AE256*'Inputs Yr 2'!$AF256*'Inputs Yr 2'!P256*'Inputs Yr 2'!Q256*'Inputs Yr 2'!$T256,"")</f>
        <v/>
      </c>
      <c r="Z256" s="257">
        <f>IFERROR($G256*'Inputs Yr 2'!$Q256*'Inputs Yr 2'!$U256*(IF(IFERROR(SEARCH("NG", 'Inputs Yr 2'!$AJ256),0),'Inputs Yr 2'!$AK256,0)+IF(IFERROR(SEARCH("NG", 'Inputs Yr 2'!$AL256),0),'Inputs Yr 2'!$AM256,0)+IF(IFERROR(SEARCH("NG", 'Inputs Yr 2'!$AN256),0),'Inputs Yr 2'!$AO256,0)),0)</f>
        <v>0</v>
      </c>
      <c r="AA256" s="257">
        <f t="shared" si="116"/>
        <v>0</v>
      </c>
      <c r="AB256" s="257">
        <f>IFERROR(Z256*'Inputs Yr 2'!$P256,0)</f>
        <v>0</v>
      </c>
      <c r="AC256" s="257">
        <f t="shared" si="117"/>
        <v>0</v>
      </c>
      <c r="AD256" s="257">
        <f>IFERROR($G256*'Inputs Yr 2'!$Q256*'Inputs Yr 2'!$U256*(IF(IFERROR(SEARCH("Oil", 'Inputs Yr 2'!$AJ256), 0),'Inputs Yr 2'!$AK256,0)+IF(IFERROR(SEARCH("Oil", 'Inputs Yr 2'!$AL256), 0),'Inputs Yr 2'!$AM256,0)+IF(IFERROR(SEARCH("Oil", 'Inputs Yr 2'!$AN256), 0),'Inputs Yr 2'!$AO256,0)),0)</f>
        <v>0</v>
      </c>
      <c r="AE256" s="257">
        <f t="shared" si="118"/>
        <v>0</v>
      </c>
      <c r="AF256" s="257">
        <f>IFERROR(AD256*'Inputs Yr 2'!$P256,0)</f>
        <v>0</v>
      </c>
      <c r="AG256" s="257">
        <f t="shared" si="119"/>
        <v>0</v>
      </c>
      <c r="AH256" s="257">
        <f>IFERROR($G256*'Inputs Yr 2'!$Q256*'Inputs Yr 2'!$U256*(IF('Inputs Yr 2'!$AJ256=CD$4,'Inputs Yr 2'!$AK256,IF('Inputs Yr 2'!$AL256=CD$4,'Inputs Yr 2'!$AM256,IF('Inputs Yr 2'!$AN256=CD$4,'Inputs Yr 2'!$AO256,0)))),0)</f>
        <v>0</v>
      </c>
      <c r="AI256" s="257">
        <f t="shared" si="120"/>
        <v>0</v>
      </c>
      <c r="AJ256" s="257">
        <f>IFERROR(AH256*'Inputs Yr 2'!$P256,0)</f>
        <v>0</v>
      </c>
      <c r="AK256" s="257">
        <f t="shared" si="121"/>
        <v>0</v>
      </c>
      <c r="AL256" s="258">
        <f>IFERROR($G256*'Inputs Yr 2'!$P256*'Inputs Yr 2'!$Q256*'Inputs Yr 2'!AP256,0)</f>
        <v>0</v>
      </c>
      <c r="AM256" s="260">
        <f>IFERROR($G256*'Inputs Yr 2'!$P256*'Inputs Yr 2'!$Q256*'Inputs Yr 2'!AQ256,0)</f>
        <v>0</v>
      </c>
      <c r="AN256" s="258">
        <f>IFERROR($G256*'Inputs Yr 2'!$P256*'Inputs Yr 2'!$Q256*'Inputs Yr 2'!AR256,0)</f>
        <v>0</v>
      </c>
      <c r="AO256" s="257">
        <f t="shared" si="122"/>
        <v>0</v>
      </c>
      <c r="AP256" s="195" t="str">
        <f>IFERROR($CQ256*(INDEX(avoidedcosttbl2,$H256,AP$2)+(($H256-ROUNDDOWN($H256,0))*(INDEX(avoidedcosttbl2,ROUNDUP($H256,0),AP$2)-(INDEX(avoidedcosttbl2,ROUNDDOWN($H256,0),AP$2)))))*$O256*1000*'Inputs Yr 2'!AA256,"")</f>
        <v/>
      </c>
      <c r="AQ256" s="195" t="str">
        <f>IFERROR($CR256*(INDEX(avoidedcosttbl2,$H256,AQ$2)+(($H256-ROUNDDOWN($H256,0))*(INDEX(avoidedcosttbl2,ROUNDUP($H256,0),AQ$2)-(INDEX(avoidedcosttbl2,ROUNDDOWN($H256,0),AQ$2)))))*$O256*1000*'Inputs Yr 2'!AB256,"")</f>
        <v/>
      </c>
      <c r="AR256" s="195" t="str">
        <f>IFERROR($CS256*(INDEX(avoidedcosttbl2,$H256,AR$2)+(($H256-ROUNDDOWN($H256,0))*(INDEX(avoidedcosttbl2,ROUNDUP($H256,0),AR$2)-(INDEX(avoidedcosttbl2,ROUNDDOWN($H256,0),AR$2)))))*$O256*1000*'Inputs Yr 2'!AC256,"")</f>
        <v/>
      </c>
      <c r="AS256" s="195" t="str">
        <f>IFERROR($CT256*(INDEX(avoidedcosttbl2,$H256,AS$2)+(($H256-ROUNDDOWN($H256,0))*(INDEX(avoidedcosttbl2,ROUNDUP($H256,0),AS$2)-(INDEX(avoidedcosttbl2,ROUNDDOWN($H256,0),AS$2)))))*$O256*1000*'Inputs Yr 2'!AD256,"")</f>
        <v/>
      </c>
      <c r="AT256" s="196">
        <f t="shared" si="123"/>
        <v>0</v>
      </c>
      <c r="AU256" s="197" t="str">
        <f>IFERROR($CQ256*((INDEX(avoidedcosttbl2,$H256,AU$2))+(($H256-ROUNDDOWN($H256,0))*((INDEX(avoidedcosttbl2,ROUNDUP($H256,0),AU$2))-(INDEX(avoidedcosttbl2,ROUNDDOWN($H256,0),AU$2)))))*$O256*1000*'Inputs Yr 2'!AA256,"")</f>
        <v/>
      </c>
      <c r="AV256" s="197" t="str">
        <f>IFERROR($CR256*((INDEX(avoidedcosttbl2,$H256,AV$2))+(($H256-ROUNDDOWN($H256,0))*((INDEX(avoidedcosttbl2,ROUNDUP($H256,0),AV$2))-(INDEX(avoidedcosttbl2,ROUNDDOWN($H256,0),AV$2)))))*$O256*1000*'Inputs Yr 2'!AB256,"")</f>
        <v/>
      </c>
      <c r="AW256" s="197" t="str">
        <f>IFERROR($CS256*((INDEX(avoidedcosttbl2,$H256,AW$2))+(($H256-ROUNDDOWN($H256,0))*((INDEX(avoidedcosttbl2,ROUNDUP($H256,0),AW$2))-(INDEX(avoidedcosttbl2,ROUNDDOWN($H256,0),AW$2)))))*$O256*1000*'Inputs Yr 2'!AC256,"")</f>
        <v/>
      </c>
      <c r="AX256" s="197" t="str">
        <f>IFERROR($CT256*((INDEX(avoidedcosttbl2,$H256,AX$2))+(($H256-ROUNDDOWN($H256,0))*((INDEX(avoidedcosttbl2,ROUNDUP($H256,0),AX$2))-(INDEX(avoidedcosttbl2,ROUNDDOWN($H256,0),AX$2)))))*$O256*1000*'Inputs Yr 2'!AD256,"")</f>
        <v/>
      </c>
      <c r="AY256" s="197" t="str">
        <f>IFERROR(((INDEX(avoidedcosttbl2,$H256,AY$2))+(($H256-ROUNDDOWN($H256,0))*((INDEX(avoidedcosttbl2,ROUNDUP($H256,0),AY$2))-(INDEX(avoidedcosttbl2,ROUNDDOWN($H256,0),AY$2)))))*$O256*1000*('Inputs Yr 2'!AC256+'Inputs Yr 2'!AD256),"")</f>
        <v/>
      </c>
      <c r="AZ256" s="197" t="str">
        <f>IFERROR(((INDEX(avoidedcosttbl2,$H256,AZ$2))+(($H256-ROUNDDOWN($H256,0))*((INDEX(avoidedcosttbl2,ROUNDUP($H256,0),AZ$2))-(INDEX(avoidedcosttbl2,ROUNDDOWN($H256,0),AZ$2)))))*$O256*1000*('Inputs Yr 2'!AA256+'Inputs Yr 2'!AB256),"")</f>
        <v/>
      </c>
      <c r="BA256" s="198">
        <f t="shared" si="124"/>
        <v>0</v>
      </c>
      <c r="BB256" s="198">
        <f t="shared" si="125"/>
        <v>0</v>
      </c>
      <c r="BC256" s="195" t="str">
        <f t="shared" si="107"/>
        <v/>
      </c>
      <c r="BD256" s="195" t="str">
        <f t="shared" si="108"/>
        <v/>
      </c>
      <c r="BE256" s="195" t="str">
        <f t="shared" si="109"/>
        <v/>
      </c>
      <c r="BF256" s="195" t="str">
        <f t="shared" si="110"/>
        <v/>
      </c>
      <c r="BG256" s="195" t="str">
        <f t="shared" si="111"/>
        <v/>
      </c>
      <c r="BH256" s="196">
        <f t="shared" si="126"/>
        <v>0</v>
      </c>
      <c r="BI256" s="196">
        <f t="shared" si="127"/>
        <v>0</v>
      </c>
      <c r="BJ256" s="195" t="str">
        <f>IFERROR($G256*(IF('Inputs Yr 2'!$AJ256=BJ$4,'Inputs Yr 2'!$AK256,IF('Inputs Yr 2'!$AL256=BJ$4,'Inputs Yr 2'!$AM256,IF('Inputs Yr 2'!$AN256=BJ$4,'Inputs Yr 2'!$AO256,0))))*(INDEX(avoidedcosttbl2,$H256,BJ$2)+(($H256-ROUNDDOWN($H256,0))*(INDEX(avoidedcosttbl2,ROUNDUP($H256,0),BJ$2)-(INDEX(avoidedcosttbl2,ROUNDDOWN($H256,0),BJ$2)))))*'Inputs Yr 2'!P256*'Inputs Yr 2'!Q256*'Inputs Yr 2'!U256,"")</f>
        <v/>
      </c>
      <c r="BK256" s="195" t="str">
        <f>IFERROR($G256*(IF('Inputs Yr 2'!$AJ256=BK$4,'Inputs Yr 2'!$AK256,IF('Inputs Yr 2'!$AL256=BK$4,'Inputs Yr 2'!$AM256,IF('Inputs Yr 2'!$AN256=BK$4,'Inputs Yr 2'!$AO256,0))))*(INDEX(avoidedcosttbl2,$H256,BK$2)+(($H256-ROUNDDOWN($H256,0))*(INDEX(avoidedcosttbl2,ROUNDUP($H256,0),BK$2)-(INDEX(avoidedcosttbl2,ROUNDDOWN($H256,0),BK$2)))))*'Inputs Yr 2'!P256*'Inputs Yr 2'!Q256*'Inputs Yr 2'!U256,"")</f>
        <v/>
      </c>
      <c r="BL256" s="195" t="str">
        <f>IFERROR($G256*(IF('Inputs Yr 2'!$AJ256=BL$4,'Inputs Yr 2'!$AK256,IF('Inputs Yr 2'!$AL256=BL$4,'Inputs Yr 2'!$AM256,IF('Inputs Yr 2'!$AN256=BL$4,'Inputs Yr 2'!$AO256,0))))*(INDEX(avoidedcosttbl2,$H256,BL$2)+(($H256-ROUNDDOWN($H256,0))*(INDEX(avoidedcosttbl2,ROUNDUP($H256,0),BL$2)-(INDEX(avoidedcosttbl2,ROUNDDOWN($H256,0),BL$2)))))*'Inputs Yr 2'!P256*'Inputs Yr 2'!Q256*'Inputs Yr 2'!U256,"")</f>
        <v/>
      </c>
      <c r="BM256" s="195" t="str">
        <f>IFERROR($G256*(IF('Inputs Yr 2'!$AJ256=BM$4,'Inputs Yr 2'!$AK256,IF('Inputs Yr 2'!$AL256=BM$4,'Inputs Yr 2'!$AM256,IF('Inputs Yr 2'!$AN256=BM$4,'Inputs Yr 2'!$AO256,0))))*(INDEX(avoidedcosttbl2,$H256,BM$2)+(($H256-ROUNDDOWN($H256,0))*(INDEX(avoidedcosttbl2,ROUNDUP($H256,0),BM$2)-(INDEX(avoidedcosttbl2,ROUNDDOWN($H256,0),BM$2)))))*'Inputs Yr 2'!P256*'Inputs Yr 2'!Q256*'Inputs Yr 2'!U256,"")</f>
        <v/>
      </c>
      <c r="BN256" s="195" t="str">
        <f>IFERROR($G256*(IF('Inputs Yr 2'!$AJ256=BN$4,'Inputs Yr 2'!$AK256,IF('Inputs Yr 2'!$AL256=BN$4,'Inputs Yr 2'!$AM256,IF('Inputs Yr 2'!$AN256=BN$4,'Inputs Yr 2'!$AO256,0))))*(INDEX(avoidedcosttbl2,$H256,BN$2)+(($H256-ROUNDDOWN($H256,0))*(INDEX(avoidedcosttbl2,ROUNDUP($H256,0),BN$2)-(INDEX(avoidedcosttbl2,ROUNDDOWN($H256,0),BN$2)))))*'Inputs Yr 2'!P256*'Inputs Yr 2'!Q256*'Inputs Yr 2'!U256,"")</f>
        <v/>
      </c>
      <c r="BO256" s="195" t="str">
        <f>IFERROR($G256*(IF('Inputs Yr 2'!$AJ256=BO$4,'Inputs Yr 2'!$AK256,IF('Inputs Yr 2'!$AL256=BO$4,'Inputs Yr 2'!$AM256,IF('Inputs Yr 2'!$AN256=BO$4,'Inputs Yr 2'!$AO256,0))))*(INDEX(avoidedcosttbl2,$H256,BO$2)+(($H256-ROUNDDOWN($H256,0))*(INDEX(avoidedcosttbl2,ROUNDUP($H256,0),BO$2)-(INDEX(avoidedcosttbl2,ROUNDDOWN($H256,0),BO$2)))))*'Inputs Yr 2'!P256*'Inputs Yr 2'!Q256*'Inputs Yr 2'!U256,"")</f>
        <v/>
      </c>
      <c r="BP256" s="195" t="str">
        <f>IFERROR($G256*(IF('Inputs Yr 2'!$AJ256=BP$4,'Inputs Yr 2'!$AK256,IF('Inputs Yr 2'!$AL256=BP$4,'Inputs Yr 2'!$AM256,IF('Inputs Yr 2'!$AN256=BP$4,'Inputs Yr 2'!$AO256,0))))*(INDEX(avoidedcosttbl2,$H256,BP$2)+(($H256-ROUNDDOWN($H256,0))*(INDEX(avoidedcosttbl2,ROUNDUP($H256,0),BP$2)-(INDEX(avoidedcosttbl2,ROUNDDOWN($H256,0),BP$2)))))*'Inputs Yr 2'!P256*'Inputs Yr 2'!Q256*'Inputs Yr 2'!U256,"")</f>
        <v/>
      </c>
      <c r="BQ256" s="230">
        <f t="shared" si="128"/>
        <v>0</v>
      </c>
      <c r="BR256" s="197">
        <f t="shared" si="112"/>
        <v>0</v>
      </c>
      <c r="BS256" s="197" t="str">
        <f>IFERROR(($G256*IF('Inputs Yr 2'!$AJ256=BM$4,'Inputs Yr 2'!$AK256,IF('Inputs Yr 2'!$AL256=BM$4,'Inputs Yr 2'!$AM256,IF('Inputs Yr 2'!$AN256=BM$4,'Inputs Yr 2'!$AO256,0))))*(INDEX(avoidedcosttbl2,$H256,BS$2)+(($H256-ROUNDDOWN($H256,0))*(INDEX(avoidedcosttbl2,ROUNDUP($H256,0),BS$2)-(INDEX(avoidedcosttbl2,ROUNDDOWN($H256,0),BS$2)))))*'Inputs Yr 2'!P256*'Inputs Yr 2'!Q256*'Inputs Yr 2'!U256,"")</f>
        <v/>
      </c>
      <c r="BT256" s="197" t="str">
        <f>IFERROR(($G256*IF('Inputs Yr 2'!$AJ256=BK$4,'Inputs Yr 2'!$AK256,IF('Inputs Yr 2'!$AL256=BK$4,'Inputs Yr 2'!$AM256,IF('Inputs Yr 2'!$AN256=BK$4,'Inputs Yr 2'!$AO256,0))))*(INDEX(avoidedcosttbl2,$H256,BT$2)+(($H256-ROUNDDOWN($H256,0))*(INDEX(avoidedcosttbl2,ROUNDUP($H256,0),BT$2)-(INDEX(avoidedcosttbl2,ROUNDDOWN($H256,0),BT$2)))))*'Inputs Yr 2'!P256*'Inputs Yr 2'!Q256*'Inputs Yr 2'!U256,"")</f>
        <v/>
      </c>
      <c r="BU256" s="197" t="str">
        <f>IFERROR(($G256*IF('Inputs Yr 2'!$AJ256=BL$4,'Inputs Yr 2'!$AK256,IF('Inputs Yr 2'!$AL256=BL$4,'Inputs Yr 2'!$AM256,IF('Inputs Yr 2'!$AN256=BL$4,'Inputs Yr 2'!$AO256,0))))*(INDEX(avoidedcosttbl2,$H256,BU$2)+(($H256-ROUNDDOWN($H256,0))*(INDEX(avoidedcosttbl2,ROUNDUP($H256,0),BU$2)-(INDEX(avoidedcosttbl2,ROUNDDOWN($H256,0),BU$2)))))*'Inputs Yr 2'!P256*'Inputs Yr 2'!Q256*'Inputs Yr 2'!U256,"")</f>
        <v/>
      </c>
      <c r="BV256" s="775" t="str">
        <f>IFERROR(($G256*IF('Inputs Yr 2'!$AJ256=BJ$4,'Inputs Yr 2'!$AK256,IF('Inputs Yr 2'!$AL256=BJ$4,'Inputs Yr 2'!$AM256,IF('Inputs Yr 2'!$AN256=BJ$4,'Inputs Yr 2'!$AO256,0))))*(INDEX(avoidedcosttbl2,$H256,BV$2)+(($H256-ROUNDDOWN($H256,0))*(INDEX(avoidedcosttbl2,ROUNDUP($H256,0),BV$2)-(INDEX(avoidedcosttbl2,ROUNDDOWN($H256,0),BV$2)))))*'Inputs Yr 2'!P256*'Inputs Yr 2'!Q256*'Inputs Yr 2'!U256,"")</f>
        <v/>
      </c>
      <c r="BW256" s="197" t="str">
        <f>IFERROR(($G256*IF('Inputs Yr 2'!$AJ256=BN$4,'Inputs Yr 2'!$AK256,IF('Inputs Yr 2'!$AL256=BN$4,'Inputs Yr 2'!$AM256,IF('Inputs Yr 2'!$AN256=BN$4,'Inputs Yr 2'!$AO256,0))))*(INDEX(avoidedcosttbl2,$H256,BW$2)+(($H256-ROUNDDOWN($H256,0))*(INDEX(avoidedcosttbl2,ROUNDUP($H256,0),BW$2)-(INDEX(avoidedcosttbl2,ROUNDDOWN($H256,0),BW$2)))))*'Inputs Yr 2'!P256*'Inputs Yr 2'!Q256*'Inputs Yr 2'!U256,"")</f>
        <v/>
      </c>
      <c r="BX256" s="197" t="str">
        <f>IFERROR(($G256*IF('Inputs Yr 2'!$AJ256=BO$4,'Inputs Yr 2'!$AK256,IF('Inputs Yr 2'!$AL256=BO$4,'Inputs Yr 2'!$AM256,IF('Inputs Yr 2'!$AN256=BO$4,'Inputs Yr 2'!$AO256,0))))*(INDEX(avoidedcosttbl2,$H256,BX$2)+(($H256-ROUNDDOWN($H256,0))*(INDEX(avoidedcosttbl2,ROUNDUP($H256,0),BX$2)-(INDEX(avoidedcosttbl2,ROUNDDOWN($H256,0),BX$2)))))*'Inputs Yr 2'!P256*'Inputs Yr 2'!Q256*'Inputs Yr 2'!U256,"")</f>
        <v/>
      </c>
      <c r="BY256" s="197" t="str">
        <f>IFERROR(($G256*IF('Inputs Yr 2'!$AJ256=BP$4,'Inputs Yr 2'!$AK256,IF('Inputs Yr 2'!$AL256=BP$4,'Inputs Yr 2'!$AM256,IF('Inputs Yr 2'!$AN256=BP$4,'Inputs Yr 2'!$AO256,0))))*(INDEX(avoidedcosttbl2,$H256,BY$2)+(($H256-ROUNDDOWN($H256,0))*(INDEX(avoidedcosttbl2,ROUNDUP($H256,0),BY$2)-(INDEX(avoidedcosttbl2,ROUNDDOWN($H256,0),BY$2)))))*'Inputs Yr 2'!P256*'Inputs Yr 2'!Q256*'Inputs Yr 2'!U256,"")</f>
        <v/>
      </c>
      <c r="BZ256" s="193">
        <f t="shared" si="129"/>
        <v>0</v>
      </c>
      <c r="CA256" s="193">
        <f t="shared" si="130"/>
        <v>0</v>
      </c>
      <c r="CB256" s="195" t="str">
        <f>IFERROR(G256*(IF('Inputs Yr 2'!$AJ256=CB$4,'Inputs Yr 2'!$AK256,IF('Inputs Yr 2'!$AL256=CB$4,'Inputs Yr 2'!$AM256,IF('Inputs Yr 2'!$AN256=CB$4,'Inputs Yr 2'!$AO256,0))))*(INDEX(avoidedcosttbl2,$H256,CB$2)+(($H256-ROUNDDOWN($H256,0))*(INDEX(avoidedcosttbl2,ROUNDUP($H256,0),CB$2)-(INDEX(avoidedcosttbl2,ROUNDDOWN($H256,0),CB$2)))))*'Inputs Yr 2'!P256*'Inputs Yr 2'!Q256*'Inputs Yr 2'!U256,"")</f>
        <v/>
      </c>
      <c r="CC256" s="195">
        <f>IFERROR(H256*(IF('Inputs Yr 2'!$AJ256=CC$4,'Inputs Yr 2'!$AK256,IF('Inputs Yr 2'!$AL256=CC$4,'Inputs Yr 2'!$AM256,IF('Inputs Yr 2'!$AN256=CC$4,'Inputs Yr 2'!$AO256,0))))*(INDEX(avoidedcosttbl2,$H256,CC$2)+(($H256-ROUNDDOWN($H256,0))*(INDEX(avoidedcosttbl2,ROUNDUP($H256,0),CC$2)-(INDEX(avoidedcosttbl2,ROUNDDOWN($H256,0),CC$2)))))*'Inputs Yr 2'!Q256*'Inputs Yr 2'!R256*'Inputs Yr 2'!V256,"")</f>
        <v>0</v>
      </c>
      <c r="CD256" s="195" t="str">
        <f>IFERROR(I256*(IF('Inputs Yr 2'!$AJ256=CD$4,'Inputs Yr 2'!$AK256,IF('Inputs Yr 2'!$AL256=CD$4,'Inputs Yr 2'!$AM256,IF('Inputs Yr 2'!$AN256=CD$4,'Inputs Yr 2'!$AO256,0))))*(INDEX(avoidedcosttbl2,$H256,CD$2)+(($H256-ROUNDDOWN($H256,0))*(INDEX(avoidedcosttbl2,ROUNDUP($H256,0),CD$2)-(INDEX(avoidedcosttbl2,ROUNDDOWN($H256,0),CD$2)))))*'Inputs Yr 2'!R256*'Inputs Yr 2'!S256*'Inputs Yr 2'!W256,"")</f>
        <v/>
      </c>
      <c r="CE256" s="213">
        <f t="shared" si="131"/>
        <v>0</v>
      </c>
      <c r="CF256" s="213">
        <f t="shared" si="132"/>
        <v>0</v>
      </c>
      <c r="CG256" s="213">
        <f t="shared" si="133"/>
        <v>0</v>
      </c>
      <c r="CH256" s="698">
        <f t="shared" si="134"/>
        <v>0</v>
      </c>
      <c r="CI256" s="79" t="str">
        <f>IFERROR(($G256*'Inputs Yr 2'!$P256*'Inputs Yr 2'!$Q256*(((INDEX(avoidedcosttbl2,$H256,CI$2)+(($H256-ROUNDDOWN($H256,0))*(INDEX(avoidedcosttbl2,ROUNDUP($H256,0),CI$2)-INDEX(avoidedcosttbl2,ROUNDDOWN($H256,0),CI$2))))*'Inputs Yr 2'!AS256))),"")</f>
        <v/>
      </c>
      <c r="CJ256" s="504" t="str">
        <f>IFERROR($G256*'Inputs Yr 2'!AT256*'Inputs Yr 2'!$P256*'Inputs Yr 2'!$Q256/((1+realdiscrt1)^-0.5),"")</f>
        <v/>
      </c>
      <c r="CK256" s="79" t="str">
        <f>IFERROR((O256*1000*(((INDEX(avoidedcosttbl2,$H256,CK$2)+(($H256-ROUNDDOWN($H256,0))*(INDEX(avoidedcosttbl2,ROUNDUP($H256,0),CK$2)-INDEX(avoidedcosttbl2,ROUNDDOWN($H256,0),CK$2))))*'Inputs Yr 2'!AU256))),"")</f>
        <v/>
      </c>
      <c r="CL256" s="504" t="str">
        <f>IFERROR(O256*1000*'Inputs Yr 2'!AV256/((1+realdiscrt1)^-0.5),"")</f>
        <v/>
      </c>
      <c r="CM256" s="79">
        <f>IFERROR((AB256*'Inputs Yr 2'!AW256*(((INDEX(avoidedcosttbl2,$H256,CM$2)+(($H256-ROUNDDOWN($H256,0))*(INDEX(avoidedcosttbl2,ROUNDUP($H256,0),CM$2)-INDEX(avoidedcosttbl2,ROUNDDOWN($H256,0),CM$2)))))))*10,"")</f>
        <v>0</v>
      </c>
      <c r="CN256" s="504">
        <f>IFERROR(10*AB256*'Inputs Yr 2'!AX256/((1+realdiscrt1)^-0.5),"")</f>
        <v>0</v>
      </c>
      <c r="CO256" s="505">
        <f t="shared" si="135"/>
        <v>0</v>
      </c>
      <c r="CP256" s="230">
        <f t="shared" si="136"/>
        <v>0</v>
      </c>
      <c r="CQ256" s="199">
        <f>ROUND(IFERROR(IF(LEFT($A256,1)="C",'Avoided Costs'!$K$13,'Avoided Costs'!$K$12)+1,""),4)</f>
        <v>1.0720000000000001</v>
      </c>
      <c r="CR256" s="199">
        <f>ROUND(IFERROR(IF(LEFT($A256,1)="C",'Avoided Costs'!$L$13,'Avoided Costs'!$L$12)+1,""),4)</f>
        <v>1.04</v>
      </c>
      <c r="CS256" s="199">
        <f>ROUND(IFERROR(IF(LEFT($A256,1)="C",'Avoided Costs'!$M$13,'Avoided Costs'!$M$12)+1,""),4)</f>
        <v>1.0720000000000001</v>
      </c>
      <c r="CT256" s="199">
        <f>ROUND(IFERROR(IF(LEFT($A256,1)="C",'Avoided Costs'!$N$13,'Avoided Costs'!$N$12)+1,""),4)</f>
        <v>1.04</v>
      </c>
      <c r="CU256" s="199">
        <f>ROUND(IFERROR(IF(LEFT($A256,1)="C",'Avoided Costs'!$O$13,'Avoided Costs'!$O$12)+1,""),4)</f>
        <v>1.1120000000000001</v>
      </c>
      <c r="CV256" s="199">
        <f>ROUND(IFERROR(IF(LEFT($A256,1)="C",'Avoided Costs'!$P$13,'Avoided Costs'!$P$12)+1,""),4)</f>
        <v>1.095</v>
      </c>
      <c r="CW256" s="199">
        <f>ROUND(IFERROR(IF(LEFT($A256,1)="C",'Avoided Costs'!$Q$13,'Avoided Costs'!$Q$12)+1,""),4)</f>
        <v>1.1120000000000001</v>
      </c>
      <c r="CX256" s="200">
        <f>ROUND(IFERROR(IF(LEFT($A256,1)="C",'Avoided Costs'!$R$13,'Avoided Costs'!$R$12)+1,""),4)</f>
        <v>1.1120000000000001</v>
      </c>
    </row>
    <row r="257" spans="1:102" ht="12.75" customHeight="1">
      <c r="A257" s="91" t="str">
        <f>IF('Inputs Yr 2'!$B257=0,"",'Inputs Yr 2'!A257)</f>
        <v>C - Commercial &amp; Industrial</v>
      </c>
      <c r="B257" s="91" t="str">
        <f>IF('Inputs Yr 2'!$B257=0,"",'Inputs Yr 2'!B257)</f>
        <v>C2 - C&amp;I Retrofit</v>
      </c>
      <c r="C257" s="91" t="str">
        <f>IF('Inputs Yr 2'!$B257=0,"",'Inputs Yr 2'!C257)</f>
        <v>C2a - C&amp;I Existing Building Retrofit</v>
      </c>
      <c r="D257" s="91" t="str">
        <f>IF('Inputs Yr 2'!$B257=0,"",'Inputs Yr 2'!E257)</f>
        <v>Hot Water - Custom 20</v>
      </c>
      <c r="E257" s="93" t="str">
        <f>IF('Inputs Yr 2'!$B257=0,"",'Inputs Yr 2'!F257)</f>
        <v>G16C2a07</v>
      </c>
      <c r="F257" s="93" t="str">
        <f>IF('Inputs Yr 2'!$B257=0,"",'Inputs Yr 2'!G257)</f>
        <v>Hot Water</v>
      </c>
      <c r="G257" s="95">
        <f>IF('Inputs Yr 2'!$H257&lt;&gt;0,('Inputs Yr 2'!H257),"")</f>
        <v>1</v>
      </c>
      <c r="H257" s="94">
        <f>IFERROR('Inputs Yr 2'!I257,"")</f>
        <v>20</v>
      </c>
      <c r="I257" s="298">
        <f>IFERROR('Inputs Yr 2'!J257*'Inputs Yr 2'!P257*G257,"")</f>
        <v>24937.065000000002</v>
      </c>
      <c r="J257" s="298">
        <f>IFERROR('Inputs Yr 2'!K257*G257,"")</f>
        <v>13567.5</v>
      </c>
      <c r="K257" s="298">
        <f t="shared" si="113"/>
        <v>11369.565000000002</v>
      </c>
      <c r="L257" s="194">
        <f>IFERROR(('Inputs Yr 2'!W257*G257)/1000,"")</f>
        <v>0</v>
      </c>
      <c r="M257" s="194">
        <f>IFERROR(L257*('Inputs Yr 2'!$Q257*'Inputs Yr 2'!$V257*'Inputs Yr 2'!$R257),"")</f>
        <v>0</v>
      </c>
      <c r="N257" s="194">
        <f t="shared" si="114"/>
        <v>0</v>
      </c>
      <c r="O257" s="194">
        <f>IFERROR(M257*'Inputs Yr 2'!P257,"")</f>
        <v>0</v>
      </c>
      <c r="P257" s="194">
        <f t="shared" si="115"/>
        <v>0</v>
      </c>
      <c r="Q257" s="194">
        <f>IFERROR($P257*'Inputs Yr 2'!AA257,"")</f>
        <v>0</v>
      </c>
      <c r="R257" s="194">
        <f>IFERROR($P257*'Inputs Yr 2'!AB257,"")</f>
        <v>0</v>
      </c>
      <c r="S257" s="194">
        <f>IFERROR($P257*'Inputs Yr 2'!AC257,"")</f>
        <v>0</v>
      </c>
      <c r="T257" s="194">
        <f>IFERROR($P257*'Inputs Yr 2'!AD257,"")</f>
        <v>0</v>
      </c>
      <c r="U257" s="194">
        <f>IFERROR(G257*'Inputs Yr 2'!$AE257*'Inputs Yr 2'!$P257*'Inputs Yr 2'!$Q257,"")</f>
        <v>0</v>
      </c>
      <c r="V257" s="194">
        <f>IFERROR($G257*'Inputs Yr 2'!$AE257*'Inputs Yr 2'!$AG257*'Inputs Yr 2'!Q257*'Inputs Yr 2'!$S257,"")</f>
        <v>0</v>
      </c>
      <c r="W257" s="194">
        <f>IFERROR($G257*'Inputs Yr 2'!$AE257*'Inputs Yr 2'!$AG257*'Inputs Yr 2'!P257*'Inputs Yr 2'!Q257*'Inputs Yr 2'!$S257,"")</f>
        <v>0</v>
      </c>
      <c r="X257" s="194">
        <f>IFERROR($G257*'Inputs Yr 2'!$AE257*'Inputs Yr 2'!$AF257*'Inputs Yr 2'!Q257*'Inputs Yr 2'!$T257,"")</f>
        <v>0</v>
      </c>
      <c r="Y257" s="194">
        <f>IFERROR($G257*'Inputs Yr 2'!$AE257*'Inputs Yr 2'!$AF257*'Inputs Yr 2'!P257*'Inputs Yr 2'!Q257*'Inputs Yr 2'!$T257,"")</f>
        <v>0</v>
      </c>
      <c r="Z257" s="257">
        <f>IFERROR($G257*'Inputs Yr 2'!$Q257*'Inputs Yr 2'!$U257*(IF(IFERROR(SEARCH("NG", 'Inputs Yr 2'!$AJ257),0),'Inputs Yr 2'!$AK257,0)+IF(IFERROR(SEARCH("NG", 'Inputs Yr 2'!$AL257),0),'Inputs Yr 2'!$AM257,0)+IF(IFERROR(SEARCH("NG", 'Inputs Yr 2'!$AN257),0),'Inputs Yr 2'!$AO257,0)),0)</f>
        <v>704.60550000000001</v>
      </c>
      <c r="AA257" s="257">
        <f t="shared" si="116"/>
        <v>14092.11</v>
      </c>
      <c r="AB257" s="257">
        <f>IFERROR(Z257*'Inputs Yr 2'!$P257,0)</f>
        <v>647.53245450000009</v>
      </c>
      <c r="AC257" s="257">
        <f t="shared" si="117"/>
        <v>12950.649090000003</v>
      </c>
      <c r="AD257" s="257">
        <f>IFERROR($G257*'Inputs Yr 2'!$Q257*'Inputs Yr 2'!$U257*(IF(IFERROR(SEARCH("Oil", 'Inputs Yr 2'!$AJ257), 0),'Inputs Yr 2'!$AK257,0)+IF(IFERROR(SEARCH("Oil", 'Inputs Yr 2'!$AL257), 0),'Inputs Yr 2'!$AM257,0)+IF(IFERROR(SEARCH("Oil", 'Inputs Yr 2'!$AN257), 0),'Inputs Yr 2'!$AO257,0)),0)</f>
        <v>0</v>
      </c>
      <c r="AE257" s="257">
        <f t="shared" si="118"/>
        <v>0</v>
      </c>
      <c r="AF257" s="257">
        <f>IFERROR(AD257*'Inputs Yr 2'!$P257,0)</f>
        <v>0</v>
      </c>
      <c r="AG257" s="257">
        <f t="shared" si="119"/>
        <v>0</v>
      </c>
      <c r="AH257" s="257">
        <f>IFERROR($G257*'Inputs Yr 2'!$Q257*'Inputs Yr 2'!$U257*(IF('Inputs Yr 2'!$AJ257=CD$4,'Inputs Yr 2'!$AK257,IF('Inputs Yr 2'!$AL257=CD$4,'Inputs Yr 2'!$AM257,IF('Inputs Yr 2'!$AN257=CD$4,'Inputs Yr 2'!$AO257,0)))),0)</f>
        <v>0</v>
      </c>
      <c r="AI257" s="257">
        <f t="shared" si="120"/>
        <v>0</v>
      </c>
      <c r="AJ257" s="257">
        <f>IFERROR(AH257*'Inputs Yr 2'!$P257,0)</f>
        <v>0</v>
      </c>
      <c r="AK257" s="257">
        <f t="shared" si="121"/>
        <v>0</v>
      </c>
      <c r="AL257" s="258">
        <f>IFERROR($G257*'Inputs Yr 2'!$P257*'Inputs Yr 2'!$Q257*'Inputs Yr 2'!AP257,0)</f>
        <v>0</v>
      </c>
      <c r="AM257" s="260">
        <f>IFERROR($G257*'Inputs Yr 2'!$P257*'Inputs Yr 2'!$Q257*'Inputs Yr 2'!AQ257,0)</f>
        <v>0</v>
      </c>
      <c r="AN257" s="258">
        <f>IFERROR($G257*'Inputs Yr 2'!$P257*'Inputs Yr 2'!$Q257*'Inputs Yr 2'!AR257,0)</f>
        <v>0</v>
      </c>
      <c r="AO257" s="257">
        <f t="shared" si="122"/>
        <v>0</v>
      </c>
      <c r="AP257" s="195">
        <f>IFERROR($CQ257*(INDEX(avoidedcosttbl2,$H257,AP$2)+(($H257-ROUNDDOWN($H257,0))*(INDEX(avoidedcosttbl2,ROUNDUP($H257,0),AP$2)-(INDEX(avoidedcosttbl2,ROUNDDOWN($H257,0),AP$2)))))*$O257*1000*'Inputs Yr 2'!AA257,"")</f>
        <v>0</v>
      </c>
      <c r="AQ257" s="195">
        <f>IFERROR($CR257*(INDEX(avoidedcosttbl2,$H257,AQ$2)+(($H257-ROUNDDOWN($H257,0))*(INDEX(avoidedcosttbl2,ROUNDUP($H257,0),AQ$2)-(INDEX(avoidedcosttbl2,ROUNDDOWN($H257,0),AQ$2)))))*$O257*1000*'Inputs Yr 2'!AB257,"")</f>
        <v>0</v>
      </c>
      <c r="AR257" s="195">
        <f>IFERROR($CS257*(INDEX(avoidedcosttbl2,$H257,AR$2)+(($H257-ROUNDDOWN($H257,0))*(INDEX(avoidedcosttbl2,ROUNDUP($H257,0),AR$2)-(INDEX(avoidedcosttbl2,ROUNDDOWN($H257,0),AR$2)))))*$O257*1000*'Inputs Yr 2'!AC257,"")</f>
        <v>0</v>
      </c>
      <c r="AS257" s="195">
        <f>IFERROR($CT257*(INDEX(avoidedcosttbl2,$H257,AS$2)+(($H257-ROUNDDOWN($H257,0))*(INDEX(avoidedcosttbl2,ROUNDUP($H257,0),AS$2)-(INDEX(avoidedcosttbl2,ROUNDDOWN($H257,0),AS$2)))))*$O257*1000*'Inputs Yr 2'!AD257,"")</f>
        <v>0</v>
      </c>
      <c r="AT257" s="196">
        <f t="shared" si="123"/>
        <v>0</v>
      </c>
      <c r="AU257" s="197">
        <f>IFERROR($CQ257*((INDEX(avoidedcosttbl2,$H257,AU$2))+(($H257-ROUNDDOWN($H257,0))*((INDEX(avoidedcosttbl2,ROUNDUP($H257,0),AU$2))-(INDEX(avoidedcosttbl2,ROUNDDOWN($H257,0),AU$2)))))*$O257*1000*'Inputs Yr 2'!AA257,"")</f>
        <v>0</v>
      </c>
      <c r="AV257" s="197">
        <f>IFERROR($CR257*((INDEX(avoidedcosttbl2,$H257,AV$2))+(($H257-ROUNDDOWN($H257,0))*((INDEX(avoidedcosttbl2,ROUNDUP($H257,0),AV$2))-(INDEX(avoidedcosttbl2,ROUNDDOWN($H257,0),AV$2)))))*$O257*1000*'Inputs Yr 2'!AB257,"")</f>
        <v>0</v>
      </c>
      <c r="AW257" s="197">
        <f>IFERROR($CS257*((INDEX(avoidedcosttbl2,$H257,AW$2))+(($H257-ROUNDDOWN($H257,0))*((INDEX(avoidedcosttbl2,ROUNDUP($H257,0),AW$2))-(INDEX(avoidedcosttbl2,ROUNDDOWN($H257,0),AW$2)))))*$O257*1000*'Inputs Yr 2'!AC257,"")</f>
        <v>0</v>
      </c>
      <c r="AX257" s="197">
        <f>IFERROR($CT257*((INDEX(avoidedcosttbl2,$H257,AX$2))+(($H257-ROUNDDOWN($H257,0))*((INDEX(avoidedcosttbl2,ROUNDUP($H257,0),AX$2))-(INDEX(avoidedcosttbl2,ROUNDDOWN($H257,0),AX$2)))))*$O257*1000*'Inputs Yr 2'!AD257,"")</f>
        <v>0</v>
      </c>
      <c r="AY257" s="197">
        <f>IFERROR(((INDEX(avoidedcosttbl2,$H257,AY$2))+(($H257-ROUNDDOWN($H257,0))*((INDEX(avoidedcosttbl2,ROUNDUP($H257,0),AY$2))-(INDEX(avoidedcosttbl2,ROUNDDOWN($H257,0),AY$2)))))*$O257*1000*('Inputs Yr 2'!AC257+'Inputs Yr 2'!AD257),"")</f>
        <v>0</v>
      </c>
      <c r="AZ257" s="197">
        <f>IFERROR(((INDEX(avoidedcosttbl2,$H257,AZ$2))+(($H257-ROUNDDOWN($H257,0))*((INDEX(avoidedcosttbl2,ROUNDUP($H257,0),AZ$2))-(INDEX(avoidedcosttbl2,ROUNDDOWN($H257,0),AZ$2)))))*$O257*1000*('Inputs Yr 2'!AA257+'Inputs Yr 2'!AB257),"")</f>
        <v>0</v>
      </c>
      <c r="BA257" s="198">
        <f t="shared" si="124"/>
        <v>0</v>
      </c>
      <c r="BB257" s="198">
        <f t="shared" si="125"/>
        <v>0</v>
      </c>
      <c r="BC257" s="195">
        <f t="shared" si="107"/>
        <v>0</v>
      </c>
      <c r="BD257" s="195">
        <f t="shared" si="108"/>
        <v>0</v>
      </c>
      <c r="BE257" s="195">
        <f t="shared" si="109"/>
        <v>0</v>
      </c>
      <c r="BF257" s="195">
        <f t="shared" si="110"/>
        <v>0</v>
      </c>
      <c r="BG257" s="195">
        <f t="shared" si="111"/>
        <v>0</v>
      </c>
      <c r="BH257" s="196">
        <f t="shared" si="126"/>
        <v>0</v>
      </c>
      <c r="BI257" s="196">
        <f t="shared" si="127"/>
        <v>0</v>
      </c>
      <c r="BJ257" s="195">
        <f>IFERROR($G257*(IF('Inputs Yr 2'!$AJ257=BJ$4,'Inputs Yr 2'!$AK257,IF('Inputs Yr 2'!$AL257=BJ$4,'Inputs Yr 2'!$AM257,IF('Inputs Yr 2'!$AN257=BJ$4,'Inputs Yr 2'!$AO257,0))))*(INDEX(avoidedcosttbl2,$H257,BJ$2)+(($H257-ROUNDDOWN($H257,0))*(INDEX(avoidedcosttbl2,ROUNDUP($H257,0),BJ$2)-(INDEX(avoidedcosttbl2,ROUNDDOWN($H257,0),BJ$2)))))*'Inputs Yr 2'!P257*'Inputs Yr 2'!Q257*'Inputs Yr 2'!U257,"")</f>
        <v>0</v>
      </c>
      <c r="BK257" s="195">
        <f>IFERROR($G257*(IF('Inputs Yr 2'!$AJ257=BK$4,'Inputs Yr 2'!$AK257,IF('Inputs Yr 2'!$AL257=BK$4,'Inputs Yr 2'!$AM257,IF('Inputs Yr 2'!$AN257=BK$4,'Inputs Yr 2'!$AO257,0))))*(INDEX(avoidedcosttbl2,$H257,BK$2)+(($H257-ROUNDDOWN($H257,0))*(INDEX(avoidedcosttbl2,ROUNDUP($H257,0),BK$2)-(INDEX(avoidedcosttbl2,ROUNDDOWN($H257,0),BK$2)))))*'Inputs Yr 2'!P257*'Inputs Yr 2'!Q257*'Inputs Yr 2'!U257,"")</f>
        <v>0</v>
      </c>
      <c r="BL257" s="195">
        <f>IFERROR($G257*(IF('Inputs Yr 2'!$AJ257=BL$4,'Inputs Yr 2'!$AK257,IF('Inputs Yr 2'!$AL257=BL$4,'Inputs Yr 2'!$AM257,IF('Inputs Yr 2'!$AN257=BL$4,'Inputs Yr 2'!$AO257,0))))*(INDEX(avoidedcosttbl2,$H257,BL$2)+(($H257-ROUNDDOWN($H257,0))*(INDEX(avoidedcosttbl2,ROUNDUP($H257,0),BL$2)-(INDEX(avoidedcosttbl2,ROUNDDOWN($H257,0),BL$2)))))*'Inputs Yr 2'!P257*'Inputs Yr 2'!Q257*'Inputs Yr 2'!U257,"")</f>
        <v>0</v>
      </c>
      <c r="BM257" s="195">
        <f>IFERROR($G257*(IF('Inputs Yr 2'!$AJ257=BM$4,'Inputs Yr 2'!$AK257,IF('Inputs Yr 2'!$AL257=BM$4,'Inputs Yr 2'!$AM257,IF('Inputs Yr 2'!$AN257=BM$4,'Inputs Yr 2'!$AO257,0))))*(INDEX(avoidedcosttbl2,$H257,BM$2)+(($H257-ROUNDDOWN($H257,0))*(INDEX(avoidedcosttbl2,ROUNDUP($H257,0),BM$2)-(INDEX(avoidedcosttbl2,ROUNDDOWN($H257,0),BM$2)))))*'Inputs Yr 2'!P257*'Inputs Yr 2'!Q257*'Inputs Yr 2'!U257,"")</f>
        <v>0</v>
      </c>
      <c r="BN257" s="195">
        <f>IFERROR($G257*(IF('Inputs Yr 2'!$AJ257=BN$4,'Inputs Yr 2'!$AK257,IF('Inputs Yr 2'!$AL257=BN$4,'Inputs Yr 2'!$AM257,IF('Inputs Yr 2'!$AN257=BN$4,'Inputs Yr 2'!$AO257,0))))*(INDEX(avoidedcosttbl2,$H257,BN$2)+(($H257-ROUNDDOWN($H257,0))*(INDEX(avoidedcosttbl2,ROUNDUP($H257,0),BN$2)-(INDEX(avoidedcosttbl2,ROUNDDOWN($H257,0),BN$2)))))*'Inputs Yr 2'!P257*'Inputs Yr 2'!Q257*'Inputs Yr 2'!U257,"")</f>
        <v>93287.865820115883</v>
      </c>
      <c r="BO257" s="195">
        <f>IFERROR($G257*(IF('Inputs Yr 2'!$AJ257=BO$4,'Inputs Yr 2'!$AK257,IF('Inputs Yr 2'!$AL257=BO$4,'Inputs Yr 2'!$AM257,IF('Inputs Yr 2'!$AN257=BO$4,'Inputs Yr 2'!$AO257,0))))*(INDEX(avoidedcosttbl2,$H257,BO$2)+(($H257-ROUNDDOWN($H257,0))*(INDEX(avoidedcosttbl2,ROUNDUP($H257,0),BO$2)-(INDEX(avoidedcosttbl2,ROUNDDOWN($H257,0),BO$2)))))*'Inputs Yr 2'!P257*'Inputs Yr 2'!Q257*'Inputs Yr 2'!U257,"")</f>
        <v>0</v>
      </c>
      <c r="BP257" s="195">
        <f>IFERROR($G257*(IF('Inputs Yr 2'!$AJ257=BP$4,'Inputs Yr 2'!$AK257,IF('Inputs Yr 2'!$AL257=BP$4,'Inputs Yr 2'!$AM257,IF('Inputs Yr 2'!$AN257=BP$4,'Inputs Yr 2'!$AO257,0))))*(INDEX(avoidedcosttbl2,$H257,BP$2)+(($H257-ROUNDDOWN($H257,0))*(INDEX(avoidedcosttbl2,ROUNDUP($H257,0),BP$2)-(INDEX(avoidedcosttbl2,ROUNDDOWN($H257,0),BP$2)))))*'Inputs Yr 2'!P257*'Inputs Yr 2'!Q257*'Inputs Yr 2'!U257,"")</f>
        <v>0</v>
      </c>
      <c r="BQ257" s="230">
        <f t="shared" si="128"/>
        <v>93287.865820115883</v>
      </c>
      <c r="BR257" s="197">
        <f t="shared" si="112"/>
        <v>1736.4384489468939</v>
      </c>
      <c r="BS257" s="197">
        <f>IFERROR(($G257*IF('Inputs Yr 2'!$AJ257=BM$4,'Inputs Yr 2'!$AK257,IF('Inputs Yr 2'!$AL257=BM$4,'Inputs Yr 2'!$AM257,IF('Inputs Yr 2'!$AN257=BM$4,'Inputs Yr 2'!$AO257,0))))*(INDEX(avoidedcosttbl2,$H257,BS$2)+(($H257-ROUNDDOWN($H257,0))*(INDEX(avoidedcosttbl2,ROUNDUP($H257,0),BS$2)-(INDEX(avoidedcosttbl2,ROUNDDOWN($H257,0),BS$2)))))*'Inputs Yr 2'!P257*'Inputs Yr 2'!Q257*'Inputs Yr 2'!U257,"")</f>
        <v>0</v>
      </c>
      <c r="BT257" s="197">
        <f>IFERROR(($G257*IF('Inputs Yr 2'!$AJ257=BK$4,'Inputs Yr 2'!$AK257,IF('Inputs Yr 2'!$AL257=BK$4,'Inputs Yr 2'!$AM257,IF('Inputs Yr 2'!$AN257=BK$4,'Inputs Yr 2'!$AO257,0))))*(INDEX(avoidedcosttbl2,$H257,BT$2)+(($H257-ROUNDDOWN($H257,0))*(INDEX(avoidedcosttbl2,ROUNDUP($H257,0),BT$2)-(INDEX(avoidedcosttbl2,ROUNDDOWN($H257,0),BT$2)))))*'Inputs Yr 2'!P257*'Inputs Yr 2'!Q257*'Inputs Yr 2'!U257,"")</f>
        <v>0</v>
      </c>
      <c r="BU257" s="197">
        <f>IFERROR(($G257*IF('Inputs Yr 2'!$AJ257=BL$4,'Inputs Yr 2'!$AK257,IF('Inputs Yr 2'!$AL257=BL$4,'Inputs Yr 2'!$AM257,IF('Inputs Yr 2'!$AN257=BL$4,'Inputs Yr 2'!$AO257,0))))*(INDEX(avoidedcosttbl2,$H257,BU$2)+(($H257-ROUNDDOWN($H257,0))*(INDEX(avoidedcosttbl2,ROUNDUP($H257,0),BU$2)-(INDEX(avoidedcosttbl2,ROUNDDOWN($H257,0),BU$2)))))*'Inputs Yr 2'!P257*'Inputs Yr 2'!Q257*'Inputs Yr 2'!U257,"")</f>
        <v>0</v>
      </c>
      <c r="BV257" s="775">
        <f>IFERROR(($G257*IF('Inputs Yr 2'!$AJ257=BJ$4,'Inputs Yr 2'!$AK257,IF('Inputs Yr 2'!$AL257=BJ$4,'Inputs Yr 2'!$AM257,IF('Inputs Yr 2'!$AN257=BJ$4,'Inputs Yr 2'!$AO257,0))))*(INDEX(avoidedcosttbl2,$H257,BV$2)+(($H257-ROUNDDOWN($H257,0))*(INDEX(avoidedcosttbl2,ROUNDUP($H257,0),BV$2)-(INDEX(avoidedcosttbl2,ROUNDDOWN($H257,0),BV$2)))))*'Inputs Yr 2'!P257*'Inputs Yr 2'!Q257*'Inputs Yr 2'!U257,"")</f>
        <v>0</v>
      </c>
      <c r="BW257" s="197">
        <f>IFERROR(($G257*IF('Inputs Yr 2'!$AJ257=BN$4,'Inputs Yr 2'!$AK257,IF('Inputs Yr 2'!$AL257=BN$4,'Inputs Yr 2'!$AM257,IF('Inputs Yr 2'!$AN257=BN$4,'Inputs Yr 2'!$AO257,0))))*(INDEX(avoidedcosttbl2,$H257,BW$2)+(($H257-ROUNDDOWN($H257,0))*(INDEX(avoidedcosttbl2,ROUNDUP($H257,0),BW$2)-(INDEX(avoidedcosttbl2,ROUNDDOWN($H257,0),BW$2)))))*'Inputs Yr 2'!P257*'Inputs Yr 2'!Q257*'Inputs Yr 2'!U257,"")</f>
        <v>6532.8574310024987</v>
      </c>
      <c r="BX257" s="197">
        <f>IFERROR(($G257*IF('Inputs Yr 2'!$AJ257=BO$4,'Inputs Yr 2'!$AK257,IF('Inputs Yr 2'!$AL257=BO$4,'Inputs Yr 2'!$AM257,IF('Inputs Yr 2'!$AN257=BO$4,'Inputs Yr 2'!$AO257,0))))*(INDEX(avoidedcosttbl2,$H257,BX$2)+(($H257-ROUNDDOWN($H257,0))*(INDEX(avoidedcosttbl2,ROUNDUP($H257,0),BX$2)-(INDEX(avoidedcosttbl2,ROUNDDOWN($H257,0),BX$2)))))*'Inputs Yr 2'!P257*'Inputs Yr 2'!Q257*'Inputs Yr 2'!U257,"")</f>
        <v>0</v>
      </c>
      <c r="BY257" s="197">
        <f>IFERROR(($G257*IF('Inputs Yr 2'!$AJ257=BP$4,'Inputs Yr 2'!$AK257,IF('Inputs Yr 2'!$AL257=BP$4,'Inputs Yr 2'!$AM257,IF('Inputs Yr 2'!$AN257=BP$4,'Inputs Yr 2'!$AO257,0))))*(INDEX(avoidedcosttbl2,$H257,BY$2)+(($H257-ROUNDDOWN($H257,0))*(INDEX(avoidedcosttbl2,ROUNDUP($H257,0),BY$2)-(INDEX(avoidedcosttbl2,ROUNDDOWN($H257,0),BY$2)))))*'Inputs Yr 2'!P257*'Inputs Yr 2'!Q257*'Inputs Yr 2'!U257,"")</f>
        <v>0</v>
      </c>
      <c r="BZ257" s="193">
        <f t="shared" si="129"/>
        <v>8269.2958799493936</v>
      </c>
      <c r="CA257" s="193">
        <f t="shared" si="130"/>
        <v>101557.16170006528</v>
      </c>
      <c r="CB257" s="195">
        <f>IFERROR(G257*(IF('Inputs Yr 2'!$AJ257=CB$4,'Inputs Yr 2'!$AK257,IF('Inputs Yr 2'!$AL257=CB$4,'Inputs Yr 2'!$AM257,IF('Inputs Yr 2'!$AN257=CB$4,'Inputs Yr 2'!$AO257,0))))*(INDEX(avoidedcosttbl2,$H257,CB$2)+(($H257-ROUNDDOWN($H257,0))*(INDEX(avoidedcosttbl2,ROUNDUP($H257,0),CB$2)-(INDEX(avoidedcosttbl2,ROUNDDOWN($H257,0),CB$2)))))*'Inputs Yr 2'!P257*'Inputs Yr 2'!Q257*'Inputs Yr 2'!U257,"")</f>
        <v>0</v>
      </c>
      <c r="CC257" s="195">
        <f>IFERROR(H257*(IF('Inputs Yr 2'!$AJ257=CC$4,'Inputs Yr 2'!$AK257,IF('Inputs Yr 2'!$AL257=CC$4,'Inputs Yr 2'!$AM257,IF('Inputs Yr 2'!$AN257=CC$4,'Inputs Yr 2'!$AO257,0))))*(INDEX(avoidedcosttbl2,$H257,CC$2)+(($H257-ROUNDDOWN($H257,0))*(INDEX(avoidedcosttbl2,ROUNDUP($H257,0),CC$2)-(INDEX(avoidedcosttbl2,ROUNDDOWN($H257,0),CC$2)))))*'Inputs Yr 2'!Q257*'Inputs Yr 2'!R257*'Inputs Yr 2'!V257,"")</f>
        <v>0</v>
      </c>
      <c r="CD257" s="195">
        <f>IFERROR(I257*(IF('Inputs Yr 2'!$AJ257=CD$4,'Inputs Yr 2'!$AK257,IF('Inputs Yr 2'!$AL257=CD$4,'Inputs Yr 2'!$AM257,IF('Inputs Yr 2'!$AN257=CD$4,'Inputs Yr 2'!$AO257,0))))*(INDEX(avoidedcosttbl2,$H257,CD$2)+(($H257-ROUNDDOWN($H257,0))*(INDEX(avoidedcosttbl2,ROUNDUP($H257,0),CD$2)-(INDEX(avoidedcosttbl2,ROUNDDOWN($H257,0),CD$2)))))*'Inputs Yr 2'!R257*'Inputs Yr 2'!S257*'Inputs Yr 2'!W257,"")</f>
        <v>0</v>
      </c>
      <c r="CE257" s="213">
        <f t="shared" si="131"/>
        <v>0</v>
      </c>
      <c r="CF257" s="213">
        <f t="shared" si="132"/>
        <v>0</v>
      </c>
      <c r="CG257" s="213">
        <f t="shared" si="133"/>
        <v>0</v>
      </c>
      <c r="CH257" s="698">
        <f t="shared" si="134"/>
        <v>101557.16170006528</v>
      </c>
      <c r="CI257" s="79">
        <f>IFERROR(($G257*'Inputs Yr 2'!$P257*'Inputs Yr 2'!$Q257*(((INDEX(avoidedcosttbl2,$H257,CI$2)+(($H257-ROUNDDOWN($H257,0))*(INDEX(avoidedcosttbl2,ROUNDUP($H257,0),CI$2)-INDEX(avoidedcosttbl2,ROUNDDOWN($H257,0),CI$2))))*'Inputs Yr 2'!AS257))),"")</f>
        <v>0</v>
      </c>
      <c r="CJ257" s="504">
        <f>IFERROR($G257*'Inputs Yr 2'!AT257*'Inputs Yr 2'!$P257*'Inputs Yr 2'!$Q257/((1+realdiscrt1)^-0.5),"")</f>
        <v>0</v>
      </c>
      <c r="CK257" s="79">
        <f>IFERROR((O257*1000*(((INDEX(avoidedcosttbl2,$H257,CK$2)+(($H257-ROUNDDOWN($H257,0))*(INDEX(avoidedcosttbl2,ROUNDUP($H257,0),CK$2)-INDEX(avoidedcosttbl2,ROUNDDOWN($H257,0),CK$2))))*'Inputs Yr 2'!AU257))),"")</f>
        <v>0</v>
      </c>
      <c r="CL257" s="504">
        <f>IFERROR(O257*1000*'Inputs Yr 2'!AV257/((1+realdiscrt1)^-0.5),"")</f>
        <v>0</v>
      </c>
      <c r="CM257" s="79">
        <f>IFERROR((AB257*'Inputs Yr 2'!AW257*(((INDEX(avoidedcosttbl2,$H257,CM$2)+(($H257-ROUNDDOWN($H257,0))*(INDEX(avoidedcosttbl2,ROUNDUP($H257,0),CM$2)-INDEX(avoidedcosttbl2,ROUNDDOWN($H257,0),CM$2)))))))*10,"")</f>
        <v>30995.858147008992</v>
      </c>
      <c r="CN257" s="504">
        <f>IFERROR(10*AB257*'Inputs Yr 2'!AX257/((1+realdiscrt1)^-0.5),"")</f>
        <v>0</v>
      </c>
      <c r="CO257" s="505">
        <f t="shared" si="135"/>
        <v>30995.858147008992</v>
      </c>
      <c r="CP257" s="230">
        <f t="shared" si="136"/>
        <v>132553.01984707426</v>
      </c>
      <c r="CQ257" s="199">
        <f>ROUND(IFERROR(IF(LEFT($A257,1)="C",'Avoided Costs'!$K$13,'Avoided Costs'!$K$12)+1,""),4)</f>
        <v>1.0720000000000001</v>
      </c>
      <c r="CR257" s="199">
        <f>ROUND(IFERROR(IF(LEFT($A257,1)="C",'Avoided Costs'!$L$13,'Avoided Costs'!$L$12)+1,""),4)</f>
        <v>1.04</v>
      </c>
      <c r="CS257" s="199">
        <f>ROUND(IFERROR(IF(LEFT($A257,1)="C",'Avoided Costs'!$M$13,'Avoided Costs'!$M$12)+1,""),4)</f>
        <v>1.0720000000000001</v>
      </c>
      <c r="CT257" s="199">
        <f>ROUND(IFERROR(IF(LEFT($A257,1)="C",'Avoided Costs'!$N$13,'Avoided Costs'!$N$12)+1,""),4)</f>
        <v>1.04</v>
      </c>
      <c r="CU257" s="199">
        <f>ROUND(IFERROR(IF(LEFT($A257,1)="C",'Avoided Costs'!$O$13,'Avoided Costs'!$O$12)+1,""),4)</f>
        <v>1.1120000000000001</v>
      </c>
      <c r="CV257" s="199">
        <f>ROUND(IFERROR(IF(LEFT($A257,1)="C",'Avoided Costs'!$P$13,'Avoided Costs'!$P$12)+1,""),4)</f>
        <v>1.095</v>
      </c>
      <c r="CW257" s="199">
        <f>ROUND(IFERROR(IF(LEFT($A257,1)="C",'Avoided Costs'!$Q$13,'Avoided Costs'!$Q$12)+1,""),4)</f>
        <v>1.1120000000000001</v>
      </c>
      <c r="CX257" s="200">
        <f>ROUND(IFERROR(IF(LEFT($A257,1)="C",'Avoided Costs'!$R$13,'Avoided Costs'!$R$12)+1,""),4)</f>
        <v>1.1120000000000001</v>
      </c>
    </row>
    <row r="258" spans="1:102" ht="12.75" customHeight="1">
      <c r="A258" s="91" t="str">
        <f>IF('Inputs Yr 2'!$B258=0,"",'Inputs Yr 2'!A258)</f>
        <v>C - Commercial &amp; Industrial</v>
      </c>
      <c r="B258" s="91" t="str">
        <f>IF('Inputs Yr 2'!$B258=0,"",'Inputs Yr 2'!B258)</f>
        <v>C2 - C&amp;I Retrofit</v>
      </c>
      <c r="C258" s="91" t="str">
        <f>IF('Inputs Yr 2'!$B258=0,"",'Inputs Yr 2'!C258)</f>
        <v>C2a - C&amp;I Existing Building Retrofit</v>
      </c>
      <c r="D258" s="91" t="str">
        <f>IF('Inputs Yr 2'!$B258=0,"",'Inputs Yr 2'!E258)</f>
        <v>Hot Water - Prescriptive</v>
      </c>
      <c r="E258" s="93" t="str">
        <f>IF('Inputs Yr 2'!$B258=0,"",'Inputs Yr 2'!F258)</f>
        <v>G16C2a08</v>
      </c>
      <c r="F258" s="93" t="str">
        <f>IF('Inputs Yr 2'!$B258=0,"",'Inputs Yr 2'!G258)</f>
        <v>Hot Water</v>
      </c>
      <c r="G258" s="95" t="str">
        <f>IF('Inputs Yr 2'!$H258&lt;&gt;0,('Inputs Yr 2'!H258),"")</f>
        <v/>
      </c>
      <c r="H258" s="94">
        <f>IFERROR('Inputs Yr 2'!I258,"")</f>
        <v>10</v>
      </c>
      <c r="I258" s="298" t="str">
        <f>IFERROR('Inputs Yr 2'!J258*'Inputs Yr 2'!P258*G258,"")</f>
        <v/>
      </c>
      <c r="J258" s="298" t="str">
        <f>IFERROR('Inputs Yr 2'!K258*G258,"")</f>
        <v/>
      </c>
      <c r="K258" s="298" t="str">
        <f t="shared" si="113"/>
        <v/>
      </c>
      <c r="L258" s="194" t="str">
        <f>IFERROR(('Inputs Yr 2'!W258*G258)/1000,"")</f>
        <v/>
      </c>
      <c r="M258" s="194" t="str">
        <f>IFERROR(L258*('Inputs Yr 2'!$Q258*'Inputs Yr 2'!$V258*'Inputs Yr 2'!$R258),"")</f>
        <v/>
      </c>
      <c r="N258" s="194" t="str">
        <f t="shared" si="114"/>
        <v/>
      </c>
      <c r="O258" s="194" t="str">
        <f>IFERROR(M258*'Inputs Yr 2'!P258,"")</f>
        <v/>
      </c>
      <c r="P258" s="194" t="str">
        <f t="shared" si="115"/>
        <v/>
      </c>
      <c r="Q258" s="194" t="str">
        <f>IFERROR($P258*'Inputs Yr 2'!AA258,"")</f>
        <v/>
      </c>
      <c r="R258" s="194" t="str">
        <f>IFERROR($P258*'Inputs Yr 2'!AB258,"")</f>
        <v/>
      </c>
      <c r="S258" s="194" t="str">
        <f>IFERROR($P258*'Inputs Yr 2'!AC258,"")</f>
        <v/>
      </c>
      <c r="T258" s="194" t="str">
        <f>IFERROR($P258*'Inputs Yr 2'!AD258,"")</f>
        <v/>
      </c>
      <c r="U258" s="194" t="str">
        <f>IFERROR(G258*'Inputs Yr 2'!$AE258*'Inputs Yr 2'!$P258*'Inputs Yr 2'!$Q258,"")</f>
        <v/>
      </c>
      <c r="V258" s="194" t="str">
        <f>IFERROR($G258*'Inputs Yr 2'!$AE258*'Inputs Yr 2'!$AG258*'Inputs Yr 2'!Q258*'Inputs Yr 2'!$S258,"")</f>
        <v/>
      </c>
      <c r="W258" s="194" t="str">
        <f>IFERROR($G258*'Inputs Yr 2'!$AE258*'Inputs Yr 2'!$AG258*'Inputs Yr 2'!P258*'Inputs Yr 2'!Q258*'Inputs Yr 2'!$S258,"")</f>
        <v/>
      </c>
      <c r="X258" s="194" t="str">
        <f>IFERROR($G258*'Inputs Yr 2'!$AE258*'Inputs Yr 2'!$AF258*'Inputs Yr 2'!Q258*'Inputs Yr 2'!$T258,"")</f>
        <v/>
      </c>
      <c r="Y258" s="194" t="str">
        <f>IFERROR($G258*'Inputs Yr 2'!$AE258*'Inputs Yr 2'!$AF258*'Inputs Yr 2'!P258*'Inputs Yr 2'!Q258*'Inputs Yr 2'!$T258,"")</f>
        <v/>
      </c>
      <c r="Z258" s="257">
        <f>IFERROR($G258*'Inputs Yr 2'!$Q258*'Inputs Yr 2'!$U258*(IF(IFERROR(SEARCH("NG", 'Inputs Yr 2'!$AJ258),0),'Inputs Yr 2'!$AK258,0)+IF(IFERROR(SEARCH("NG", 'Inputs Yr 2'!$AL258),0),'Inputs Yr 2'!$AM258,0)+IF(IFERROR(SEARCH("NG", 'Inputs Yr 2'!$AN258),0),'Inputs Yr 2'!$AO258,0)),0)</f>
        <v>0</v>
      </c>
      <c r="AA258" s="257">
        <f t="shared" si="116"/>
        <v>0</v>
      </c>
      <c r="AB258" s="257">
        <f>IFERROR(Z258*'Inputs Yr 2'!$P258,0)</f>
        <v>0</v>
      </c>
      <c r="AC258" s="257">
        <f t="shared" si="117"/>
        <v>0</v>
      </c>
      <c r="AD258" s="257">
        <f>IFERROR($G258*'Inputs Yr 2'!$Q258*'Inputs Yr 2'!$U258*(IF(IFERROR(SEARCH("Oil", 'Inputs Yr 2'!$AJ258), 0),'Inputs Yr 2'!$AK258,0)+IF(IFERROR(SEARCH("Oil", 'Inputs Yr 2'!$AL258), 0),'Inputs Yr 2'!$AM258,0)+IF(IFERROR(SEARCH("Oil", 'Inputs Yr 2'!$AN258), 0),'Inputs Yr 2'!$AO258,0)),0)</f>
        <v>0</v>
      </c>
      <c r="AE258" s="257">
        <f t="shared" si="118"/>
        <v>0</v>
      </c>
      <c r="AF258" s="257">
        <f>IFERROR(AD258*'Inputs Yr 2'!$P258,0)</f>
        <v>0</v>
      </c>
      <c r="AG258" s="257">
        <f t="shared" si="119"/>
        <v>0</v>
      </c>
      <c r="AH258" s="257">
        <f>IFERROR($G258*'Inputs Yr 2'!$Q258*'Inputs Yr 2'!$U258*(IF('Inputs Yr 2'!$AJ258=CD$4,'Inputs Yr 2'!$AK258,IF('Inputs Yr 2'!$AL258=CD$4,'Inputs Yr 2'!$AM258,IF('Inputs Yr 2'!$AN258=CD$4,'Inputs Yr 2'!$AO258,0)))),0)</f>
        <v>0</v>
      </c>
      <c r="AI258" s="257">
        <f t="shared" si="120"/>
        <v>0</v>
      </c>
      <c r="AJ258" s="257">
        <f>IFERROR(AH258*'Inputs Yr 2'!$P258,0)</f>
        <v>0</v>
      </c>
      <c r="AK258" s="257">
        <f t="shared" si="121"/>
        <v>0</v>
      </c>
      <c r="AL258" s="258">
        <f>IFERROR($G258*'Inputs Yr 2'!$P258*'Inputs Yr 2'!$Q258*'Inputs Yr 2'!AP258,0)</f>
        <v>0</v>
      </c>
      <c r="AM258" s="260">
        <f>IFERROR($G258*'Inputs Yr 2'!$P258*'Inputs Yr 2'!$Q258*'Inputs Yr 2'!AQ258,0)</f>
        <v>0</v>
      </c>
      <c r="AN258" s="258">
        <f>IFERROR($G258*'Inputs Yr 2'!$P258*'Inputs Yr 2'!$Q258*'Inputs Yr 2'!AR258,0)</f>
        <v>0</v>
      </c>
      <c r="AO258" s="257">
        <f t="shared" si="122"/>
        <v>0</v>
      </c>
      <c r="AP258" s="195" t="str">
        <f>IFERROR($CQ258*(INDEX(avoidedcosttbl2,$H258,AP$2)+(($H258-ROUNDDOWN($H258,0))*(INDEX(avoidedcosttbl2,ROUNDUP($H258,0),AP$2)-(INDEX(avoidedcosttbl2,ROUNDDOWN($H258,0),AP$2)))))*$O258*1000*'Inputs Yr 2'!AA258,"")</f>
        <v/>
      </c>
      <c r="AQ258" s="195" t="str">
        <f>IFERROR($CR258*(INDEX(avoidedcosttbl2,$H258,AQ$2)+(($H258-ROUNDDOWN($H258,0))*(INDEX(avoidedcosttbl2,ROUNDUP($H258,0),AQ$2)-(INDEX(avoidedcosttbl2,ROUNDDOWN($H258,0),AQ$2)))))*$O258*1000*'Inputs Yr 2'!AB258,"")</f>
        <v/>
      </c>
      <c r="AR258" s="195" t="str">
        <f>IFERROR($CS258*(INDEX(avoidedcosttbl2,$H258,AR$2)+(($H258-ROUNDDOWN($H258,0))*(INDEX(avoidedcosttbl2,ROUNDUP($H258,0),AR$2)-(INDEX(avoidedcosttbl2,ROUNDDOWN($H258,0),AR$2)))))*$O258*1000*'Inputs Yr 2'!AC258,"")</f>
        <v/>
      </c>
      <c r="AS258" s="195" t="str">
        <f>IFERROR($CT258*(INDEX(avoidedcosttbl2,$H258,AS$2)+(($H258-ROUNDDOWN($H258,0))*(INDEX(avoidedcosttbl2,ROUNDUP($H258,0),AS$2)-(INDEX(avoidedcosttbl2,ROUNDDOWN($H258,0),AS$2)))))*$O258*1000*'Inputs Yr 2'!AD258,"")</f>
        <v/>
      </c>
      <c r="AT258" s="196">
        <f t="shared" si="123"/>
        <v>0</v>
      </c>
      <c r="AU258" s="197" t="str">
        <f>IFERROR($CQ258*((INDEX(avoidedcosttbl2,$H258,AU$2))+(($H258-ROUNDDOWN($H258,0))*((INDEX(avoidedcosttbl2,ROUNDUP($H258,0),AU$2))-(INDEX(avoidedcosttbl2,ROUNDDOWN($H258,0),AU$2)))))*$O258*1000*'Inputs Yr 2'!AA258,"")</f>
        <v/>
      </c>
      <c r="AV258" s="197" t="str">
        <f>IFERROR($CR258*((INDEX(avoidedcosttbl2,$H258,AV$2))+(($H258-ROUNDDOWN($H258,0))*((INDEX(avoidedcosttbl2,ROUNDUP($H258,0),AV$2))-(INDEX(avoidedcosttbl2,ROUNDDOWN($H258,0),AV$2)))))*$O258*1000*'Inputs Yr 2'!AB258,"")</f>
        <v/>
      </c>
      <c r="AW258" s="197" t="str">
        <f>IFERROR($CS258*((INDEX(avoidedcosttbl2,$H258,AW$2))+(($H258-ROUNDDOWN($H258,0))*((INDEX(avoidedcosttbl2,ROUNDUP($H258,0),AW$2))-(INDEX(avoidedcosttbl2,ROUNDDOWN($H258,0),AW$2)))))*$O258*1000*'Inputs Yr 2'!AC258,"")</f>
        <v/>
      </c>
      <c r="AX258" s="197" t="str">
        <f>IFERROR($CT258*((INDEX(avoidedcosttbl2,$H258,AX$2))+(($H258-ROUNDDOWN($H258,0))*((INDEX(avoidedcosttbl2,ROUNDUP($H258,0),AX$2))-(INDEX(avoidedcosttbl2,ROUNDDOWN($H258,0),AX$2)))))*$O258*1000*'Inputs Yr 2'!AD258,"")</f>
        <v/>
      </c>
      <c r="AY258" s="197" t="str">
        <f>IFERROR(((INDEX(avoidedcosttbl2,$H258,AY$2))+(($H258-ROUNDDOWN($H258,0))*((INDEX(avoidedcosttbl2,ROUNDUP($H258,0),AY$2))-(INDEX(avoidedcosttbl2,ROUNDDOWN($H258,0),AY$2)))))*$O258*1000*('Inputs Yr 2'!AC258+'Inputs Yr 2'!AD258),"")</f>
        <v/>
      </c>
      <c r="AZ258" s="197" t="str">
        <f>IFERROR(((INDEX(avoidedcosttbl2,$H258,AZ$2))+(($H258-ROUNDDOWN($H258,0))*((INDEX(avoidedcosttbl2,ROUNDUP($H258,0),AZ$2))-(INDEX(avoidedcosttbl2,ROUNDDOWN($H258,0),AZ$2)))))*$O258*1000*('Inputs Yr 2'!AA258+'Inputs Yr 2'!AB258),"")</f>
        <v/>
      </c>
      <c r="BA258" s="198">
        <f t="shared" si="124"/>
        <v>0</v>
      </c>
      <c r="BB258" s="198">
        <f t="shared" si="125"/>
        <v>0</v>
      </c>
      <c r="BC258" s="195" t="str">
        <f t="shared" si="107"/>
        <v/>
      </c>
      <c r="BD258" s="195" t="str">
        <f t="shared" si="108"/>
        <v/>
      </c>
      <c r="BE258" s="195" t="str">
        <f t="shared" si="109"/>
        <v/>
      </c>
      <c r="BF258" s="195" t="str">
        <f t="shared" si="110"/>
        <v/>
      </c>
      <c r="BG258" s="195" t="str">
        <f t="shared" si="111"/>
        <v/>
      </c>
      <c r="BH258" s="196">
        <f t="shared" si="126"/>
        <v>0</v>
      </c>
      <c r="BI258" s="196">
        <f t="shared" si="127"/>
        <v>0</v>
      </c>
      <c r="BJ258" s="195" t="str">
        <f>IFERROR($G258*(IF('Inputs Yr 2'!$AJ258=BJ$4,'Inputs Yr 2'!$AK258,IF('Inputs Yr 2'!$AL258=BJ$4,'Inputs Yr 2'!$AM258,IF('Inputs Yr 2'!$AN258=BJ$4,'Inputs Yr 2'!$AO258,0))))*(INDEX(avoidedcosttbl2,$H258,BJ$2)+(($H258-ROUNDDOWN($H258,0))*(INDEX(avoidedcosttbl2,ROUNDUP($H258,0),BJ$2)-(INDEX(avoidedcosttbl2,ROUNDDOWN($H258,0),BJ$2)))))*'Inputs Yr 2'!P258*'Inputs Yr 2'!Q258*'Inputs Yr 2'!U258,"")</f>
        <v/>
      </c>
      <c r="BK258" s="195" t="str">
        <f>IFERROR($G258*(IF('Inputs Yr 2'!$AJ258=BK$4,'Inputs Yr 2'!$AK258,IF('Inputs Yr 2'!$AL258=BK$4,'Inputs Yr 2'!$AM258,IF('Inputs Yr 2'!$AN258=BK$4,'Inputs Yr 2'!$AO258,0))))*(INDEX(avoidedcosttbl2,$H258,BK$2)+(($H258-ROUNDDOWN($H258,0))*(INDEX(avoidedcosttbl2,ROUNDUP($H258,0),BK$2)-(INDEX(avoidedcosttbl2,ROUNDDOWN($H258,0),BK$2)))))*'Inputs Yr 2'!P258*'Inputs Yr 2'!Q258*'Inputs Yr 2'!U258,"")</f>
        <v/>
      </c>
      <c r="BL258" s="195" t="str">
        <f>IFERROR($G258*(IF('Inputs Yr 2'!$AJ258=BL$4,'Inputs Yr 2'!$AK258,IF('Inputs Yr 2'!$AL258=BL$4,'Inputs Yr 2'!$AM258,IF('Inputs Yr 2'!$AN258=BL$4,'Inputs Yr 2'!$AO258,0))))*(INDEX(avoidedcosttbl2,$H258,BL$2)+(($H258-ROUNDDOWN($H258,0))*(INDEX(avoidedcosttbl2,ROUNDUP($H258,0),BL$2)-(INDEX(avoidedcosttbl2,ROUNDDOWN($H258,0),BL$2)))))*'Inputs Yr 2'!P258*'Inputs Yr 2'!Q258*'Inputs Yr 2'!U258,"")</f>
        <v/>
      </c>
      <c r="BM258" s="195" t="str">
        <f>IFERROR($G258*(IF('Inputs Yr 2'!$AJ258=BM$4,'Inputs Yr 2'!$AK258,IF('Inputs Yr 2'!$AL258=BM$4,'Inputs Yr 2'!$AM258,IF('Inputs Yr 2'!$AN258=BM$4,'Inputs Yr 2'!$AO258,0))))*(INDEX(avoidedcosttbl2,$H258,BM$2)+(($H258-ROUNDDOWN($H258,0))*(INDEX(avoidedcosttbl2,ROUNDUP($H258,0),BM$2)-(INDEX(avoidedcosttbl2,ROUNDDOWN($H258,0),BM$2)))))*'Inputs Yr 2'!P258*'Inputs Yr 2'!Q258*'Inputs Yr 2'!U258,"")</f>
        <v/>
      </c>
      <c r="BN258" s="195" t="str">
        <f>IFERROR($G258*(IF('Inputs Yr 2'!$AJ258=BN$4,'Inputs Yr 2'!$AK258,IF('Inputs Yr 2'!$AL258=BN$4,'Inputs Yr 2'!$AM258,IF('Inputs Yr 2'!$AN258=BN$4,'Inputs Yr 2'!$AO258,0))))*(INDEX(avoidedcosttbl2,$H258,BN$2)+(($H258-ROUNDDOWN($H258,0))*(INDEX(avoidedcosttbl2,ROUNDUP($H258,0),BN$2)-(INDEX(avoidedcosttbl2,ROUNDDOWN($H258,0),BN$2)))))*'Inputs Yr 2'!P258*'Inputs Yr 2'!Q258*'Inputs Yr 2'!U258,"")</f>
        <v/>
      </c>
      <c r="BO258" s="195" t="str">
        <f>IFERROR($G258*(IF('Inputs Yr 2'!$AJ258=BO$4,'Inputs Yr 2'!$AK258,IF('Inputs Yr 2'!$AL258=BO$4,'Inputs Yr 2'!$AM258,IF('Inputs Yr 2'!$AN258=BO$4,'Inputs Yr 2'!$AO258,0))))*(INDEX(avoidedcosttbl2,$H258,BO$2)+(($H258-ROUNDDOWN($H258,0))*(INDEX(avoidedcosttbl2,ROUNDUP($H258,0),BO$2)-(INDEX(avoidedcosttbl2,ROUNDDOWN($H258,0),BO$2)))))*'Inputs Yr 2'!P258*'Inputs Yr 2'!Q258*'Inputs Yr 2'!U258,"")</f>
        <v/>
      </c>
      <c r="BP258" s="195" t="str">
        <f>IFERROR($G258*(IF('Inputs Yr 2'!$AJ258=BP$4,'Inputs Yr 2'!$AK258,IF('Inputs Yr 2'!$AL258=BP$4,'Inputs Yr 2'!$AM258,IF('Inputs Yr 2'!$AN258=BP$4,'Inputs Yr 2'!$AO258,0))))*(INDEX(avoidedcosttbl2,$H258,BP$2)+(($H258-ROUNDDOWN($H258,0))*(INDEX(avoidedcosttbl2,ROUNDUP($H258,0),BP$2)-(INDEX(avoidedcosttbl2,ROUNDDOWN($H258,0),BP$2)))))*'Inputs Yr 2'!P258*'Inputs Yr 2'!Q258*'Inputs Yr 2'!U258,"")</f>
        <v/>
      </c>
      <c r="BQ258" s="230">
        <f t="shared" si="128"/>
        <v>0</v>
      </c>
      <c r="BR258" s="197">
        <f t="shared" si="112"/>
        <v>0</v>
      </c>
      <c r="BS258" s="197" t="str">
        <f>IFERROR(($G258*IF('Inputs Yr 2'!$AJ258=BM$4,'Inputs Yr 2'!$AK258,IF('Inputs Yr 2'!$AL258=BM$4,'Inputs Yr 2'!$AM258,IF('Inputs Yr 2'!$AN258=BM$4,'Inputs Yr 2'!$AO258,0))))*(INDEX(avoidedcosttbl2,$H258,BS$2)+(($H258-ROUNDDOWN($H258,0))*(INDEX(avoidedcosttbl2,ROUNDUP($H258,0),BS$2)-(INDEX(avoidedcosttbl2,ROUNDDOWN($H258,0),BS$2)))))*'Inputs Yr 2'!P258*'Inputs Yr 2'!Q258*'Inputs Yr 2'!U258,"")</f>
        <v/>
      </c>
      <c r="BT258" s="197" t="str">
        <f>IFERROR(($G258*IF('Inputs Yr 2'!$AJ258=BK$4,'Inputs Yr 2'!$AK258,IF('Inputs Yr 2'!$AL258=BK$4,'Inputs Yr 2'!$AM258,IF('Inputs Yr 2'!$AN258=BK$4,'Inputs Yr 2'!$AO258,0))))*(INDEX(avoidedcosttbl2,$H258,BT$2)+(($H258-ROUNDDOWN($H258,0))*(INDEX(avoidedcosttbl2,ROUNDUP($H258,0),BT$2)-(INDEX(avoidedcosttbl2,ROUNDDOWN($H258,0),BT$2)))))*'Inputs Yr 2'!P258*'Inputs Yr 2'!Q258*'Inputs Yr 2'!U258,"")</f>
        <v/>
      </c>
      <c r="BU258" s="197" t="str">
        <f>IFERROR(($G258*IF('Inputs Yr 2'!$AJ258=BL$4,'Inputs Yr 2'!$AK258,IF('Inputs Yr 2'!$AL258=BL$4,'Inputs Yr 2'!$AM258,IF('Inputs Yr 2'!$AN258=BL$4,'Inputs Yr 2'!$AO258,0))))*(INDEX(avoidedcosttbl2,$H258,BU$2)+(($H258-ROUNDDOWN($H258,0))*(INDEX(avoidedcosttbl2,ROUNDUP($H258,0),BU$2)-(INDEX(avoidedcosttbl2,ROUNDDOWN($H258,0),BU$2)))))*'Inputs Yr 2'!P258*'Inputs Yr 2'!Q258*'Inputs Yr 2'!U258,"")</f>
        <v/>
      </c>
      <c r="BV258" s="775" t="str">
        <f>IFERROR(($G258*IF('Inputs Yr 2'!$AJ258=BJ$4,'Inputs Yr 2'!$AK258,IF('Inputs Yr 2'!$AL258=BJ$4,'Inputs Yr 2'!$AM258,IF('Inputs Yr 2'!$AN258=BJ$4,'Inputs Yr 2'!$AO258,0))))*(INDEX(avoidedcosttbl2,$H258,BV$2)+(($H258-ROUNDDOWN($H258,0))*(INDEX(avoidedcosttbl2,ROUNDUP($H258,0),BV$2)-(INDEX(avoidedcosttbl2,ROUNDDOWN($H258,0),BV$2)))))*'Inputs Yr 2'!P258*'Inputs Yr 2'!Q258*'Inputs Yr 2'!U258,"")</f>
        <v/>
      </c>
      <c r="BW258" s="197" t="str">
        <f>IFERROR(($G258*IF('Inputs Yr 2'!$AJ258=BN$4,'Inputs Yr 2'!$AK258,IF('Inputs Yr 2'!$AL258=BN$4,'Inputs Yr 2'!$AM258,IF('Inputs Yr 2'!$AN258=BN$4,'Inputs Yr 2'!$AO258,0))))*(INDEX(avoidedcosttbl2,$H258,BW$2)+(($H258-ROUNDDOWN($H258,0))*(INDEX(avoidedcosttbl2,ROUNDUP($H258,0),BW$2)-(INDEX(avoidedcosttbl2,ROUNDDOWN($H258,0),BW$2)))))*'Inputs Yr 2'!P258*'Inputs Yr 2'!Q258*'Inputs Yr 2'!U258,"")</f>
        <v/>
      </c>
      <c r="BX258" s="197" t="str">
        <f>IFERROR(($G258*IF('Inputs Yr 2'!$AJ258=BO$4,'Inputs Yr 2'!$AK258,IF('Inputs Yr 2'!$AL258=BO$4,'Inputs Yr 2'!$AM258,IF('Inputs Yr 2'!$AN258=BO$4,'Inputs Yr 2'!$AO258,0))))*(INDEX(avoidedcosttbl2,$H258,BX$2)+(($H258-ROUNDDOWN($H258,0))*(INDEX(avoidedcosttbl2,ROUNDUP($H258,0),BX$2)-(INDEX(avoidedcosttbl2,ROUNDDOWN($H258,0),BX$2)))))*'Inputs Yr 2'!P258*'Inputs Yr 2'!Q258*'Inputs Yr 2'!U258,"")</f>
        <v/>
      </c>
      <c r="BY258" s="197" t="str">
        <f>IFERROR(($G258*IF('Inputs Yr 2'!$AJ258=BP$4,'Inputs Yr 2'!$AK258,IF('Inputs Yr 2'!$AL258=BP$4,'Inputs Yr 2'!$AM258,IF('Inputs Yr 2'!$AN258=BP$4,'Inputs Yr 2'!$AO258,0))))*(INDEX(avoidedcosttbl2,$H258,BY$2)+(($H258-ROUNDDOWN($H258,0))*(INDEX(avoidedcosttbl2,ROUNDUP($H258,0),BY$2)-(INDEX(avoidedcosttbl2,ROUNDDOWN($H258,0),BY$2)))))*'Inputs Yr 2'!P258*'Inputs Yr 2'!Q258*'Inputs Yr 2'!U258,"")</f>
        <v/>
      </c>
      <c r="BZ258" s="193">
        <f t="shared" si="129"/>
        <v>0</v>
      </c>
      <c r="CA258" s="193">
        <f t="shared" si="130"/>
        <v>0</v>
      </c>
      <c r="CB258" s="195" t="str">
        <f>IFERROR(G258*(IF('Inputs Yr 2'!$AJ258=CB$4,'Inputs Yr 2'!$AK258,IF('Inputs Yr 2'!$AL258=CB$4,'Inputs Yr 2'!$AM258,IF('Inputs Yr 2'!$AN258=CB$4,'Inputs Yr 2'!$AO258,0))))*(INDEX(avoidedcosttbl2,$H258,CB$2)+(($H258-ROUNDDOWN($H258,0))*(INDEX(avoidedcosttbl2,ROUNDUP($H258,0),CB$2)-(INDEX(avoidedcosttbl2,ROUNDDOWN($H258,0),CB$2)))))*'Inputs Yr 2'!P258*'Inputs Yr 2'!Q258*'Inputs Yr 2'!U258,"")</f>
        <v/>
      </c>
      <c r="CC258" s="195">
        <f>IFERROR(H258*(IF('Inputs Yr 2'!$AJ258=CC$4,'Inputs Yr 2'!$AK258,IF('Inputs Yr 2'!$AL258=CC$4,'Inputs Yr 2'!$AM258,IF('Inputs Yr 2'!$AN258=CC$4,'Inputs Yr 2'!$AO258,0))))*(INDEX(avoidedcosttbl2,$H258,CC$2)+(($H258-ROUNDDOWN($H258,0))*(INDEX(avoidedcosttbl2,ROUNDUP($H258,0),CC$2)-(INDEX(avoidedcosttbl2,ROUNDDOWN($H258,0),CC$2)))))*'Inputs Yr 2'!Q258*'Inputs Yr 2'!R258*'Inputs Yr 2'!V258,"")</f>
        <v>0</v>
      </c>
      <c r="CD258" s="195" t="str">
        <f>IFERROR(I258*(IF('Inputs Yr 2'!$AJ258=CD$4,'Inputs Yr 2'!$AK258,IF('Inputs Yr 2'!$AL258=CD$4,'Inputs Yr 2'!$AM258,IF('Inputs Yr 2'!$AN258=CD$4,'Inputs Yr 2'!$AO258,0))))*(INDEX(avoidedcosttbl2,$H258,CD$2)+(($H258-ROUNDDOWN($H258,0))*(INDEX(avoidedcosttbl2,ROUNDUP($H258,0),CD$2)-(INDEX(avoidedcosttbl2,ROUNDDOWN($H258,0),CD$2)))))*'Inputs Yr 2'!R258*'Inputs Yr 2'!S258*'Inputs Yr 2'!W258,"")</f>
        <v/>
      </c>
      <c r="CE258" s="213">
        <f t="shared" si="131"/>
        <v>0</v>
      </c>
      <c r="CF258" s="213">
        <f t="shared" si="132"/>
        <v>0</v>
      </c>
      <c r="CG258" s="213">
        <f t="shared" si="133"/>
        <v>0</v>
      </c>
      <c r="CH258" s="698">
        <f t="shared" si="134"/>
        <v>0</v>
      </c>
      <c r="CI258" s="79" t="str">
        <f>IFERROR(($G258*'Inputs Yr 2'!$P258*'Inputs Yr 2'!$Q258*(((INDEX(avoidedcosttbl2,$H258,CI$2)+(($H258-ROUNDDOWN($H258,0))*(INDEX(avoidedcosttbl2,ROUNDUP($H258,0),CI$2)-INDEX(avoidedcosttbl2,ROUNDDOWN($H258,0),CI$2))))*'Inputs Yr 2'!AS258))),"")</f>
        <v/>
      </c>
      <c r="CJ258" s="504" t="str">
        <f>IFERROR($G258*'Inputs Yr 2'!AT258*'Inputs Yr 2'!$P258*'Inputs Yr 2'!$Q258/((1+realdiscrt1)^-0.5),"")</f>
        <v/>
      </c>
      <c r="CK258" s="79" t="str">
        <f>IFERROR((O258*1000*(((INDEX(avoidedcosttbl2,$H258,CK$2)+(($H258-ROUNDDOWN($H258,0))*(INDEX(avoidedcosttbl2,ROUNDUP($H258,0),CK$2)-INDEX(avoidedcosttbl2,ROUNDDOWN($H258,0),CK$2))))*'Inputs Yr 2'!AU258))),"")</f>
        <v/>
      </c>
      <c r="CL258" s="504" t="str">
        <f>IFERROR(O258*1000*'Inputs Yr 2'!AV258/((1+realdiscrt1)^-0.5),"")</f>
        <v/>
      </c>
      <c r="CM258" s="79">
        <f>IFERROR((AB258*'Inputs Yr 2'!AW258*(((INDEX(avoidedcosttbl2,$H258,CM$2)+(($H258-ROUNDDOWN($H258,0))*(INDEX(avoidedcosttbl2,ROUNDUP($H258,0),CM$2)-INDEX(avoidedcosttbl2,ROUNDDOWN($H258,0),CM$2)))))))*10,"")</f>
        <v>0</v>
      </c>
      <c r="CN258" s="504">
        <f>IFERROR(10*AB258*'Inputs Yr 2'!AX258/((1+realdiscrt1)^-0.5),"")</f>
        <v>0</v>
      </c>
      <c r="CO258" s="505">
        <f t="shared" si="135"/>
        <v>0</v>
      </c>
      <c r="CP258" s="230">
        <f t="shared" si="136"/>
        <v>0</v>
      </c>
      <c r="CQ258" s="199">
        <f>ROUND(IFERROR(IF(LEFT($A258,1)="C",'Avoided Costs'!$K$13,'Avoided Costs'!$K$12)+1,""),4)</f>
        <v>1.0720000000000001</v>
      </c>
      <c r="CR258" s="199">
        <f>ROUND(IFERROR(IF(LEFT($A258,1)="C",'Avoided Costs'!$L$13,'Avoided Costs'!$L$12)+1,""),4)</f>
        <v>1.04</v>
      </c>
      <c r="CS258" s="199">
        <f>ROUND(IFERROR(IF(LEFT($A258,1)="C",'Avoided Costs'!$M$13,'Avoided Costs'!$M$12)+1,""),4)</f>
        <v>1.0720000000000001</v>
      </c>
      <c r="CT258" s="199">
        <f>ROUND(IFERROR(IF(LEFT($A258,1)="C",'Avoided Costs'!$N$13,'Avoided Costs'!$N$12)+1,""),4)</f>
        <v>1.04</v>
      </c>
      <c r="CU258" s="199">
        <f>ROUND(IFERROR(IF(LEFT($A258,1)="C",'Avoided Costs'!$O$13,'Avoided Costs'!$O$12)+1,""),4)</f>
        <v>1.1120000000000001</v>
      </c>
      <c r="CV258" s="199">
        <f>ROUND(IFERROR(IF(LEFT($A258,1)="C",'Avoided Costs'!$P$13,'Avoided Costs'!$P$12)+1,""),4)</f>
        <v>1.095</v>
      </c>
      <c r="CW258" s="199">
        <f>ROUND(IFERROR(IF(LEFT($A258,1)="C",'Avoided Costs'!$Q$13,'Avoided Costs'!$Q$12)+1,""),4)</f>
        <v>1.1120000000000001</v>
      </c>
      <c r="CX258" s="200">
        <f>ROUND(IFERROR(IF(LEFT($A258,1)="C",'Avoided Costs'!$R$13,'Avoided Costs'!$R$12)+1,""),4)</f>
        <v>1.1120000000000001</v>
      </c>
    </row>
    <row r="259" spans="1:102" ht="12.75" customHeight="1">
      <c r="A259" s="91" t="str">
        <f>IF('Inputs Yr 2'!$B259=0,"",'Inputs Yr 2'!A259)</f>
        <v>C - Commercial &amp; Industrial</v>
      </c>
      <c r="B259" s="91" t="str">
        <f>IF('Inputs Yr 2'!$B259=0,"",'Inputs Yr 2'!B259)</f>
        <v>C2 - C&amp;I Retrofit</v>
      </c>
      <c r="C259" s="91" t="str">
        <f>IF('Inputs Yr 2'!$B259=0,"",'Inputs Yr 2'!C259)</f>
        <v>C2a - C&amp;I Existing Building Retrofit</v>
      </c>
      <c r="D259" s="91" t="str">
        <f>IF('Inputs Yr 2'!$B259=0,"",'Inputs Yr 2'!E259)</f>
        <v>HVAC - Custom</v>
      </c>
      <c r="E259" s="93" t="str">
        <f>IF('Inputs Yr 2'!$B259=0,"",'Inputs Yr 2'!F259)</f>
        <v>G16C2a09</v>
      </c>
      <c r="F259" s="93" t="str">
        <f>IF('Inputs Yr 2'!$B259=0,"",'Inputs Yr 2'!G259)</f>
        <v>HVAC</v>
      </c>
      <c r="G259" s="95" t="str">
        <f>IF('Inputs Yr 2'!$H259&lt;&gt;0,('Inputs Yr 2'!H259),"")</f>
        <v/>
      </c>
      <c r="H259" s="94">
        <f>IFERROR('Inputs Yr 2'!I259,"")</f>
        <v>0</v>
      </c>
      <c r="I259" s="298" t="str">
        <f>IFERROR('Inputs Yr 2'!J259*'Inputs Yr 2'!P259*G259,"")</f>
        <v/>
      </c>
      <c r="J259" s="298" t="str">
        <f>IFERROR('Inputs Yr 2'!K259*G259,"")</f>
        <v/>
      </c>
      <c r="K259" s="298" t="str">
        <f t="shared" si="113"/>
        <v/>
      </c>
      <c r="L259" s="194" t="str">
        <f>IFERROR(('Inputs Yr 2'!W259*G259)/1000,"")</f>
        <v/>
      </c>
      <c r="M259" s="194" t="str">
        <f>IFERROR(L259*('Inputs Yr 2'!$Q259*'Inputs Yr 2'!$V259*'Inputs Yr 2'!$R259),"")</f>
        <v/>
      </c>
      <c r="N259" s="194" t="str">
        <f t="shared" si="114"/>
        <v/>
      </c>
      <c r="O259" s="194" t="str">
        <f>IFERROR(M259*'Inputs Yr 2'!P259,"")</f>
        <v/>
      </c>
      <c r="P259" s="194" t="str">
        <f t="shared" si="115"/>
        <v/>
      </c>
      <c r="Q259" s="194" t="str">
        <f>IFERROR($P259*'Inputs Yr 2'!AA259,"")</f>
        <v/>
      </c>
      <c r="R259" s="194" t="str">
        <f>IFERROR($P259*'Inputs Yr 2'!AB259,"")</f>
        <v/>
      </c>
      <c r="S259" s="194" t="str">
        <f>IFERROR($P259*'Inputs Yr 2'!AC259,"")</f>
        <v/>
      </c>
      <c r="T259" s="194" t="str">
        <f>IFERROR($P259*'Inputs Yr 2'!AD259,"")</f>
        <v/>
      </c>
      <c r="U259" s="194" t="str">
        <f>IFERROR(G259*'Inputs Yr 2'!$AE259*'Inputs Yr 2'!$P259*'Inputs Yr 2'!$Q259,"")</f>
        <v/>
      </c>
      <c r="V259" s="194" t="str">
        <f>IFERROR($G259*'Inputs Yr 2'!$AE259*'Inputs Yr 2'!$AG259*'Inputs Yr 2'!Q259*'Inputs Yr 2'!$S259,"")</f>
        <v/>
      </c>
      <c r="W259" s="194" t="str">
        <f>IFERROR($G259*'Inputs Yr 2'!$AE259*'Inputs Yr 2'!$AG259*'Inputs Yr 2'!P259*'Inputs Yr 2'!Q259*'Inputs Yr 2'!$S259,"")</f>
        <v/>
      </c>
      <c r="X259" s="194" t="str">
        <f>IFERROR($G259*'Inputs Yr 2'!$AE259*'Inputs Yr 2'!$AF259*'Inputs Yr 2'!Q259*'Inputs Yr 2'!$T259,"")</f>
        <v/>
      </c>
      <c r="Y259" s="194" t="str">
        <f>IFERROR($G259*'Inputs Yr 2'!$AE259*'Inputs Yr 2'!$AF259*'Inputs Yr 2'!P259*'Inputs Yr 2'!Q259*'Inputs Yr 2'!$T259,"")</f>
        <v/>
      </c>
      <c r="Z259" s="257">
        <f>IFERROR($G259*'Inputs Yr 2'!$Q259*'Inputs Yr 2'!$U259*(IF(IFERROR(SEARCH("NG", 'Inputs Yr 2'!$AJ259),0),'Inputs Yr 2'!$AK259,0)+IF(IFERROR(SEARCH("NG", 'Inputs Yr 2'!$AL259),0),'Inputs Yr 2'!$AM259,0)+IF(IFERROR(SEARCH("NG", 'Inputs Yr 2'!$AN259),0),'Inputs Yr 2'!$AO259,0)),0)</f>
        <v>0</v>
      </c>
      <c r="AA259" s="257">
        <f t="shared" si="116"/>
        <v>0</v>
      </c>
      <c r="AB259" s="257">
        <f>IFERROR(Z259*'Inputs Yr 2'!$P259,0)</f>
        <v>0</v>
      </c>
      <c r="AC259" s="257">
        <f t="shared" si="117"/>
        <v>0</v>
      </c>
      <c r="AD259" s="257">
        <f>IFERROR($G259*'Inputs Yr 2'!$Q259*'Inputs Yr 2'!$U259*(IF(IFERROR(SEARCH("Oil", 'Inputs Yr 2'!$AJ259), 0),'Inputs Yr 2'!$AK259,0)+IF(IFERROR(SEARCH("Oil", 'Inputs Yr 2'!$AL259), 0),'Inputs Yr 2'!$AM259,0)+IF(IFERROR(SEARCH("Oil", 'Inputs Yr 2'!$AN259), 0),'Inputs Yr 2'!$AO259,0)),0)</f>
        <v>0</v>
      </c>
      <c r="AE259" s="257">
        <f t="shared" si="118"/>
        <v>0</v>
      </c>
      <c r="AF259" s="257">
        <f>IFERROR(AD259*'Inputs Yr 2'!$P259,0)</f>
        <v>0</v>
      </c>
      <c r="AG259" s="257">
        <f t="shared" si="119"/>
        <v>0</v>
      </c>
      <c r="AH259" s="257">
        <f>IFERROR($G259*'Inputs Yr 2'!$Q259*'Inputs Yr 2'!$U259*(IF('Inputs Yr 2'!$AJ259=CD$4,'Inputs Yr 2'!$AK259,IF('Inputs Yr 2'!$AL259=CD$4,'Inputs Yr 2'!$AM259,IF('Inputs Yr 2'!$AN259=CD$4,'Inputs Yr 2'!$AO259,0)))),0)</f>
        <v>0</v>
      </c>
      <c r="AI259" s="257">
        <f t="shared" si="120"/>
        <v>0</v>
      </c>
      <c r="AJ259" s="257">
        <f>IFERROR(AH259*'Inputs Yr 2'!$P259,0)</f>
        <v>0</v>
      </c>
      <c r="AK259" s="257">
        <f t="shared" si="121"/>
        <v>0</v>
      </c>
      <c r="AL259" s="258">
        <f>IFERROR($G259*'Inputs Yr 2'!$P259*'Inputs Yr 2'!$Q259*'Inputs Yr 2'!AP259,0)</f>
        <v>0</v>
      </c>
      <c r="AM259" s="260">
        <f>IFERROR($G259*'Inputs Yr 2'!$P259*'Inputs Yr 2'!$Q259*'Inputs Yr 2'!AQ259,0)</f>
        <v>0</v>
      </c>
      <c r="AN259" s="258">
        <f>IFERROR($G259*'Inputs Yr 2'!$P259*'Inputs Yr 2'!$Q259*'Inputs Yr 2'!AR259,0)</f>
        <v>0</v>
      </c>
      <c r="AO259" s="257">
        <f t="shared" si="122"/>
        <v>0</v>
      </c>
      <c r="AP259" s="195" t="str">
        <f>IFERROR($CQ259*(INDEX(avoidedcosttbl2,$H259,AP$2)+(($H259-ROUNDDOWN($H259,0))*(INDEX(avoidedcosttbl2,ROUNDUP($H259,0),AP$2)-(INDEX(avoidedcosttbl2,ROUNDDOWN($H259,0),AP$2)))))*$O259*1000*'Inputs Yr 2'!AA259,"")</f>
        <v/>
      </c>
      <c r="AQ259" s="195" t="str">
        <f>IFERROR($CR259*(INDEX(avoidedcosttbl2,$H259,AQ$2)+(($H259-ROUNDDOWN($H259,0))*(INDEX(avoidedcosttbl2,ROUNDUP($H259,0),AQ$2)-(INDEX(avoidedcosttbl2,ROUNDDOWN($H259,0),AQ$2)))))*$O259*1000*'Inputs Yr 2'!AB259,"")</f>
        <v/>
      </c>
      <c r="AR259" s="195" t="str">
        <f>IFERROR($CS259*(INDEX(avoidedcosttbl2,$H259,AR$2)+(($H259-ROUNDDOWN($H259,0))*(INDEX(avoidedcosttbl2,ROUNDUP($H259,0),AR$2)-(INDEX(avoidedcosttbl2,ROUNDDOWN($H259,0),AR$2)))))*$O259*1000*'Inputs Yr 2'!AC259,"")</f>
        <v/>
      </c>
      <c r="AS259" s="195" t="str">
        <f>IFERROR($CT259*(INDEX(avoidedcosttbl2,$H259,AS$2)+(($H259-ROUNDDOWN($H259,0))*(INDEX(avoidedcosttbl2,ROUNDUP($H259,0),AS$2)-(INDEX(avoidedcosttbl2,ROUNDDOWN($H259,0),AS$2)))))*$O259*1000*'Inputs Yr 2'!AD259,"")</f>
        <v/>
      </c>
      <c r="AT259" s="196">
        <f t="shared" si="123"/>
        <v>0</v>
      </c>
      <c r="AU259" s="197" t="str">
        <f>IFERROR($CQ259*((INDEX(avoidedcosttbl2,$H259,AU$2))+(($H259-ROUNDDOWN($H259,0))*((INDEX(avoidedcosttbl2,ROUNDUP($H259,0),AU$2))-(INDEX(avoidedcosttbl2,ROUNDDOWN($H259,0),AU$2)))))*$O259*1000*'Inputs Yr 2'!AA259,"")</f>
        <v/>
      </c>
      <c r="AV259" s="197" t="str">
        <f>IFERROR($CR259*((INDEX(avoidedcosttbl2,$H259,AV$2))+(($H259-ROUNDDOWN($H259,0))*((INDEX(avoidedcosttbl2,ROUNDUP($H259,0),AV$2))-(INDEX(avoidedcosttbl2,ROUNDDOWN($H259,0),AV$2)))))*$O259*1000*'Inputs Yr 2'!AB259,"")</f>
        <v/>
      </c>
      <c r="AW259" s="197" t="str">
        <f>IFERROR($CS259*((INDEX(avoidedcosttbl2,$H259,AW$2))+(($H259-ROUNDDOWN($H259,0))*((INDEX(avoidedcosttbl2,ROUNDUP($H259,0),AW$2))-(INDEX(avoidedcosttbl2,ROUNDDOWN($H259,0),AW$2)))))*$O259*1000*'Inputs Yr 2'!AC259,"")</f>
        <v/>
      </c>
      <c r="AX259" s="197" t="str">
        <f>IFERROR($CT259*((INDEX(avoidedcosttbl2,$H259,AX$2))+(($H259-ROUNDDOWN($H259,0))*((INDEX(avoidedcosttbl2,ROUNDUP($H259,0),AX$2))-(INDEX(avoidedcosttbl2,ROUNDDOWN($H259,0),AX$2)))))*$O259*1000*'Inputs Yr 2'!AD259,"")</f>
        <v/>
      </c>
      <c r="AY259" s="197" t="str">
        <f>IFERROR(((INDEX(avoidedcosttbl2,$H259,AY$2))+(($H259-ROUNDDOWN($H259,0))*((INDEX(avoidedcosttbl2,ROUNDUP($H259,0),AY$2))-(INDEX(avoidedcosttbl2,ROUNDDOWN($H259,0),AY$2)))))*$O259*1000*('Inputs Yr 2'!AC259+'Inputs Yr 2'!AD259),"")</f>
        <v/>
      </c>
      <c r="AZ259" s="197" t="str">
        <f>IFERROR(((INDEX(avoidedcosttbl2,$H259,AZ$2))+(($H259-ROUNDDOWN($H259,0))*((INDEX(avoidedcosttbl2,ROUNDUP($H259,0),AZ$2))-(INDEX(avoidedcosttbl2,ROUNDDOWN($H259,0),AZ$2)))))*$O259*1000*('Inputs Yr 2'!AA259+'Inputs Yr 2'!AB259),"")</f>
        <v/>
      </c>
      <c r="BA259" s="198">
        <f t="shared" si="124"/>
        <v>0</v>
      </c>
      <c r="BB259" s="198">
        <f t="shared" si="125"/>
        <v>0</v>
      </c>
      <c r="BC259" s="195" t="str">
        <f t="shared" si="107"/>
        <v/>
      </c>
      <c r="BD259" s="195" t="str">
        <f t="shared" si="108"/>
        <v/>
      </c>
      <c r="BE259" s="195" t="str">
        <f t="shared" si="109"/>
        <v/>
      </c>
      <c r="BF259" s="195" t="str">
        <f t="shared" si="110"/>
        <v/>
      </c>
      <c r="BG259" s="195" t="str">
        <f t="shared" si="111"/>
        <v/>
      </c>
      <c r="BH259" s="196">
        <f t="shared" si="126"/>
        <v>0</v>
      </c>
      <c r="BI259" s="196">
        <f t="shared" si="127"/>
        <v>0</v>
      </c>
      <c r="BJ259" s="195" t="str">
        <f>IFERROR($G259*(IF('Inputs Yr 2'!$AJ259=BJ$4,'Inputs Yr 2'!$AK259,IF('Inputs Yr 2'!$AL259=BJ$4,'Inputs Yr 2'!$AM259,IF('Inputs Yr 2'!$AN259=BJ$4,'Inputs Yr 2'!$AO259,0))))*(INDEX(avoidedcosttbl2,$H259,BJ$2)+(($H259-ROUNDDOWN($H259,0))*(INDEX(avoidedcosttbl2,ROUNDUP($H259,0),BJ$2)-(INDEX(avoidedcosttbl2,ROUNDDOWN($H259,0),BJ$2)))))*'Inputs Yr 2'!P259*'Inputs Yr 2'!Q259*'Inputs Yr 2'!U259,"")</f>
        <v/>
      </c>
      <c r="BK259" s="195" t="str">
        <f>IFERROR($G259*(IF('Inputs Yr 2'!$AJ259=BK$4,'Inputs Yr 2'!$AK259,IF('Inputs Yr 2'!$AL259=BK$4,'Inputs Yr 2'!$AM259,IF('Inputs Yr 2'!$AN259=BK$4,'Inputs Yr 2'!$AO259,0))))*(INDEX(avoidedcosttbl2,$H259,BK$2)+(($H259-ROUNDDOWN($H259,0))*(INDEX(avoidedcosttbl2,ROUNDUP($H259,0),BK$2)-(INDEX(avoidedcosttbl2,ROUNDDOWN($H259,0),BK$2)))))*'Inputs Yr 2'!P259*'Inputs Yr 2'!Q259*'Inputs Yr 2'!U259,"")</f>
        <v/>
      </c>
      <c r="BL259" s="195" t="str">
        <f>IFERROR($G259*(IF('Inputs Yr 2'!$AJ259=BL$4,'Inputs Yr 2'!$AK259,IF('Inputs Yr 2'!$AL259=BL$4,'Inputs Yr 2'!$AM259,IF('Inputs Yr 2'!$AN259=BL$4,'Inputs Yr 2'!$AO259,0))))*(INDEX(avoidedcosttbl2,$H259,BL$2)+(($H259-ROUNDDOWN($H259,0))*(INDEX(avoidedcosttbl2,ROUNDUP($H259,0),BL$2)-(INDEX(avoidedcosttbl2,ROUNDDOWN($H259,0),BL$2)))))*'Inputs Yr 2'!P259*'Inputs Yr 2'!Q259*'Inputs Yr 2'!U259,"")</f>
        <v/>
      </c>
      <c r="BM259" s="195" t="str">
        <f>IFERROR($G259*(IF('Inputs Yr 2'!$AJ259=BM$4,'Inputs Yr 2'!$AK259,IF('Inputs Yr 2'!$AL259=BM$4,'Inputs Yr 2'!$AM259,IF('Inputs Yr 2'!$AN259=BM$4,'Inputs Yr 2'!$AO259,0))))*(INDEX(avoidedcosttbl2,$H259,BM$2)+(($H259-ROUNDDOWN($H259,0))*(INDEX(avoidedcosttbl2,ROUNDUP($H259,0),BM$2)-(INDEX(avoidedcosttbl2,ROUNDDOWN($H259,0),BM$2)))))*'Inputs Yr 2'!P259*'Inputs Yr 2'!Q259*'Inputs Yr 2'!U259,"")</f>
        <v/>
      </c>
      <c r="BN259" s="195" t="str">
        <f>IFERROR($G259*(IF('Inputs Yr 2'!$AJ259=BN$4,'Inputs Yr 2'!$AK259,IF('Inputs Yr 2'!$AL259=BN$4,'Inputs Yr 2'!$AM259,IF('Inputs Yr 2'!$AN259=BN$4,'Inputs Yr 2'!$AO259,0))))*(INDEX(avoidedcosttbl2,$H259,BN$2)+(($H259-ROUNDDOWN($H259,0))*(INDEX(avoidedcosttbl2,ROUNDUP($H259,0),BN$2)-(INDEX(avoidedcosttbl2,ROUNDDOWN($H259,0),BN$2)))))*'Inputs Yr 2'!P259*'Inputs Yr 2'!Q259*'Inputs Yr 2'!U259,"")</f>
        <v/>
      </c>
      <c r="BO259" s="195" t="str">
        <f>IFERROR($G259*(IF('Inputs Yr 2'!$AJ259=BO$4,'Inputs Yr 2'!$AK259,IF('Inputs Yr 2'!$AL259=BO$4,'Inputs Yr 2'!$AM259,IF('Inputs Yr 2'!$AN259=BO$4,'Inputs Yr 2'!$AO259,0))))*(INDEX(avoidedcosttbl2,$H259,BO$2)+(($H259-ROUNDDOWN($H259,0))*(INDEX(avoidedcosttbl2,ROUNDUP($H259,0),BO$2)-(INDEX(avoidedcosttbl2,ROUNDDOWN($H259,0),BO$2)))))*'Inputs Yr 2'!P259*'Inputs Yr 2'!Q259*'Inputs Yr 2'!U259,"")</f>
        <v/>
      </c>
      <c r="BP259" s="195" t="str">
        <f>IFERROR($G259*(IF('Inputs Yr 2'!$AJ259=BP$4,'Inputs Yr 2'!$AK259,IF('Inputs Yr 2'!$AL259=BP$4,'Inputs Yr 2'!$AM259,IF('Inputs Yr 2'!$AN259=BP$4,'Inputs Yr 2'!$AO259,0))))*(INDEX(avoidedcosttbl2,$H259,BP$2)+(($H259-ROUNDDOWN($H259,0))*(INDEX(avoidedcosttbl2,ROUNDUP($H259,0),BP$2)-(INDEX(avoidedcosttbl2,ROUNDDOWN($H259,0),BP$2)))))*'Inputs Yr 2'!P259*'Inputs Yr 2'!Q259*'Inputs Yr 2'!U259,"")</f>
        <v/>
      </c>
      <c r="BQ259" s="230">
        <f t="shared" si="128"/>
        <v>0</v>
      </c>
      <c r="BR259" s="197" t="str">
        <f t="shared" si="112"/>
        <v/>
      </c>
      <c r="BS259" s="197" t="str">
        <f>IFERROR(($G259*IF('Inputs Yr 2'!$AJ259=BM$4,'Inputs Yr 2'!$AK259,IF('Inputs Yr 2'!$AL259=BM$4,'Inputs Yr 2'!$AM259,IF('Inputs Yr 2'!$AN259=BM$4,'Inputs Yr 2'!$AO259,0))))*(INDEX(avoidedcosttbl2,$H259,BS$2)+(($H259-ROUNDDOWN($H259,0))*(INDEX(avoidedcosttbl2,ROUNDUP($H259,0),BS$2)-(INDEX(avoidedcosttbl2,ROUNDDOWN($H259,0),BS$2)))))*'Inputs Yr 2'!P259*'Inputs Yr 2'!Q259*'Inputs Yr 2'!U259,"")</f>
        <v/>
      </c>
      <c r="BT259" s="197" t="str">
        <f>IFERROR(($G259*IF('Inputs Yr 2'!$AJ259=BK$4,'Inputs Yr 2'!$AK259,IF('Inputs Yr 2'!$AL259=BK$4,'Inputs Yr 2'!$AM259,IF('Inputs Yr 2'!$AN259=BK$4,'Inputs Yr 2'!$AO259,0))))*(INDEX(avoidedcosttbl2,$H259,BT$2)+(($H259-ROUNDDOWN($H259,0))*(INDEX(avoidedcosttbl2,ROUNDUP($H259,0),BT$2)-(INDEX(avoidedcosttbl2,ROUNDDOWN($H259,0),BT$2)))))*'Inputs Yr 2'!P259*'Inputs Yr 2'!Q259*'Inputs Yr 2'!U259,"")</f>
        <v/>
      </c>
      <c r="BU259" s="197" t="str">
        <f>IFERROR(($G259*IF('Inputs Yr 2'!$AJ259=BL$4,'Inputs Yr 2'!$AK259,IF('Inputs Yr 2'!$AL259=BL$4,'Inputs Yr 2'!$AM259,IF('Inputs Yr 2'!$AN259=BL$4,'Inputs Yr 2'!$AO259,0))))*(INDEX(avoidedcosttbl2,$H259,BU$2)+(($H259-ROUNDDOWN($H259,0))*(INDEX(avoidedcosttbl2,ROUNDUP($H259,0),BU$2)-(INDEX(avoidedcosttbl2,ROUNDDOWN($H259,0),BU$2)))))*'Inputs Yr 2'!P259*'Inputs Yr 2'!Q259*'Inputs Yr 2'!U259,"")</f>
        <v/>
      </c>
      <c r="BV259" s="775" t="str">
        <f>IFERROR(($G259*IF('Inputs Yr 2'!$AJ259=BJ$4,'Inputs Yr 2'!$AK259,IF('Inputs Yr 2'!$AL259=BJ$4,'Inputs Yr 2'!$AM259,IF('Inputs Yr 2'!$AN259=BJ$4,'Inputs Yr 2'!$AO259,0))))*(INDEX(avoidedcosttbl2,$H259,BV$2)+(($H259-ROUNDDOWN($H259,0))*(INDEX(avoidedcosttbl2,ROUNDUP($H259,0),BV$2)-(INDEX(avoidedcosttbl2,ROUNDDOWN($H259,0),BV$2)))))*'Inputs Yr 2'!P259*'Inputs Yr 2'!Q259*'Inputs Yr 2'!U259,"")</f>
        <v/>
      </c>
      <c r="BW259" s="197" t="str">
        <f>IFERROR(($G259*IF('Inputs Yr 2'!$AJ259=BN$4,'Inputs Yr 2'!$AK259,IF('Inputs Yr 2'!$AL259=BN$4,'Inputs Yr 2'!$AM259,IF('Inputs Yr 2'!$AN259=BN$4,'Inputs Yr 2'!$AO259,0))))*(INDEX(avoidedcosttbl2,$H259,BW$2)+(($H259-ROUNDDOWN($H259,0))*(INDEX(avoidedcosttbl2,ROUNDUP($H259,0),BW$2)-(INDEX(avoidedcosttbl2,ROUNDDOWN($H259,0),BW$2)))))*'Inputs Yr 2'!P259*'Inputs Yr 2'!Q259*'Inputs Yr 2'!U259,"")</f>
        <v/>
      </c>
      <c r="BX259" s="197" t="str">
        <f>IFERROR(($G259*IF('Inputs Yr 2'!$AJ259=BO$4,'Inputs Yr 2'!$AK259,IF('Inputs Yr 2'!$AL259=BO$4,'Inputs Yr 2'!$AM259,IF('Inputs Yr 2'!$AN259=BO$4,'Inputs Yr 2'!$AO259,0))))*(INDEX(avoidedcosttbl2,$H259,BX$2)+(($H259-ROUNDDOWN($H259,0))*(INDEX(avoidedcosttbl2,ROUNDUP($H259,0),BX$2)-(INDEX(avoidedcosttbl2,ROUNDDOWN($H259,0),BX$2)))))*'Inputs Yr 2'!P259*'Inputs Yr 2'!Q259*'Inputs Yr 2'!U259,"")</f>
        <v/>
      </c>
      <c r="BY259" s="197" t="str">
        <f>IFERROR(($G259*IF('Inputs Yr 2'!$AJ259=BP$4,'Inputs Yr 2'!$AK259,IF('Inputs Yr 2'!$AL259=BP$4,'Inputs Yr 2'!$AM259,IF('Inputs Yr 2'!$AN259=BP$4,'Inputs Yr 2'!$AO259,0))))*(INDEX(avoidedcosttbl2,$H259,BY$2)+(($H259-ROUNDDOWN($H259,0))*(INDEX(avoidedcosttbl2,ROUNDUP($H259,0),BY$2)-(INDEX(avoidedcosttbl2,ROUNDDOWN($H259,0),BY$2)))))*'Inputs Yr 2'!P259*'Inputs Yr 2'!Q259*'Inputs Yr 2'!U259,"")</f>
        <v/>
      </c>
      <c r="BZ259" s="193">
        <f t="shared" si="129"/>
        <v>0</v>
      </c>
      <c r="CA259" s="193">
        <f t="shared" si="130"/>
        <v>0</v>
      </c>
      <c r="CB259" s="195" t="str">
        <f>IFERROR(G259*(IF('Inputs Yr 2'!$AJ259=CB$4,'Inputs Yr 2'!$AK259,IF('Inputs Yr 2'!$AL259=CB$4,'Inputs Yr 2'!$AM259,IF('Inputs Yr 2'!$AN259=CB$4,'Inputs Yr 2'!$AO259,0))))*(INDEX(avoidedcosttbl2,$H259,CB$2)+(($H259-ROUNDDOWN($H259,0))*(INDEX(avoidedcosttbl2,ROUNDUP($H259,0),CB$2)-(INDEX(avoidedcosttbl2,ROUNDDOWN($H259,0),CB$2)))))*'Inputs Yr 2'!P259*'Inputs Yr 2'!Q259*'Inputs Yr 2'!U259,"")</f>
        <v/>
      </c>
      <c r="CC259" s="195" t="str">
        <f>IFERROR(H259*(IF('Inputs Yr 2'!$AJ259=CC$4,'Inputs Yr 2'!$AK259,IF('Inputs Yr 2'!$AL259=CC$4,'Inputs Yr 2'!$AM259,IF('Inputs Yr 2'!$AN259=CC$4,'Inputs Yr 2'!$AO259,0))))*(INDEX(avoidedcosttbl2,$H259,CC$2)+(($H259-ROUNDDOWN($H259,0))*(INDEX(avoidedcosttbl2,ROUNDUP($H259,0),CC$2)-(INDEX(avoidedcosttbl2,ROUNDDOWN($H259,0),CC$2)))))*'Inputs Yr 2'!Q259*'Inputs Yr 2'!R259*'Inputs Yr 2'!V259,"")</f>
        <v/>
      </c>
      <c r="CD259" s="195" t="str">
        <f>IFERROR(I259*(IF('Inputs Yr 2'!$AJ259=CD$4,'Inputs Yr 2'!$AK259,IF('Inputs Yr 2'!$AL259=CD$4,'Inputs Yr 2'!$AM259,IF('Inputs Yr 2'!$AN259=CD$4,'Inputs Yr 2'!$AO259,0))))*(INDEX(avoidedcosttbl2,$H259,CD$2)+(($H259-ROUNDDOWN($H259,0))*(INDEX(avoidedcosttbl2,ROUNDUP($H259,0),CD$2)-(INDEX(avoidedcosttbl2,ROUNDDOWN($H259,0),CD$2)))))*'Inputs Yr 2'!R259*'Inputs Yr 2'!S259*'Inputs Yr 2'!W259,"")</f>
        <v/>
      </c>
      <c r="CE259" s="213" t="str">
        <f t="shared" si="131"/>
        <v/>
      </c>
      <c r="CF259" s="213" t="str">
        <f t="shared" si="132"/>
        <v/>
      </c>
      <c r="CG259" s="213" t="str">
        <f t="shared" si="133"/>
        <v/>
      </c>
      <c r="CH259" s="698">
        <f t="shared" si="134"/>
        <v>0</v>
      </c>
      <c r="CI259" s="79" t="str">
        <f>IFERROR(($G259*'Inputs Yr 2'!$P259*'Inputs Yr 2'!$Q259*(((INDEX(avoidedcosttbl2,$H259,CI$2)+(($H259-ROUNDDOWN($H259,0))*(INDEX(avoidedcosttbl2,ROUNDUP($H259,0),CI$2)-INDEX(avoidedcosttbl2,ROUNDDOWN($H259,0),CI$2))))*'Inputs Yr 2'!AS259))),"")</f>
        <v/>
      </c>
      <c r="CJ259" s="504" t="str">
        <f>IFERROR($G259*'Inputs Yr 2'!AT259*'Inputs Yr 2'!$P259*'Inputs Yr 2'!$Q259/((1+realdiscrt1)^-0.5),"")</f>
        <v/>
      </c>
      <c r="CK259" s="79" t="str">
        <f>IFERROR((O259*1000*(((INDEX(avoidedcosttbl2,$H259,CK$2)+(($H259-ROUNDDOWN($H259,0))*(INDEX(avoidedcosttbl2,ROUNDUP($H259,0),CK$2)-INDEX(avoidedcosttbl2,ROUNDDOWN($H259,0),CK$2))))*'Inputs Yr 2'!AU259))),"")</f>
        <v/>
      </c>
      <c r="CL259" s="504" t="str">
        <f>IFERROR(O259*1000*'Inputs Yr 2'!AV259/((1+realdiscrt1)^-0.5),"")</f>
        <v/>
      </c>
      <c r="CM259" s="79" t="str">
        <f>IFERROR((AB259*'Inputs Yr 2'!AW259*(((INDEX(avoidedcosttbl2,$H259,CM$2)+(($H259-ROUNDDOWN($H259,0))*(INDEX(avoidedcosttbl2,ROUNDUP($H259,0),CM$2)-INDEX(avoidedcosttbl2,ROUNDDOWN($H259,0),CM$2)))))))*10,"")</f>
        <v/>
      </c>
      <c r="CN259" s="504">
        <f>IFERROR(10*AB259*'Inputs Yr 2'!AX259/((1+realdiscrt1)^-0.5),"")</f>
        <v>0</v>
      </c>
      <c r="CO259" s="505">
        <f t="shared" si="135"/>
        <v>0</v>
      </c>
      <c r="CP259" s="230">
        <f t="shared" si="136"/>
        <v>0</v>
      </c>
      <c r="CQ259" s="199">
        <f>ROUND(IFERROR(IF(LEFT($A259,1)="C",'Avoided Costs'!$K$13,'Avoided Costs'!$K$12)+1,""),4)</f>
        <v>1.0720000000000001</v>
      </c>
      <c r="CR259" s="199">
        <f>ROUND(IFERROR(IF(LEFT($A259,1)="C",'Avoided Costs'!$L$13,'Avoided Costs'!$L$12)+1,""),4)</f>
        <v>1.04</v>
      </c>
      <c r="CS259" s="199">
        <f>ROUND(IFERROR(IF(LEFT($A259,1)="C",'Avoided Costs'!$M$13,'Avoided Costs'!$M$12)+1,""),4)</f>
        <v>1.0720000000000001</v>
      </c>
      <c r="CT259" s="199">
        <f>ROUND(IFERROR(IF(LEFT($A259,1)="C",'Avoided Costs'!$N$13,'Avoided Costs'!$N$12)+1,""),4)</f>
        <v>1.04</v>
      </c>
      <c r="CU259" s="199">
        <f>ROUND(IFERROR(IF(LEFT($A259,1)="C",'Avoided Costs'!$O$13,'Avoided Costs'!$O$12)+1,""),4)</f>
        <v>1.1120000000000001</v>
      </c>
      <c r="CV259" s="199">
        <f>ROUND(IFERROR(IF(LEFT($A259,1)="C",'Avoided Costs'!$P$13,'Avoided Costs'!$P$12)+1,""),4)</f>
        <v>1.095</v>
      </c>
      <c r="CW259" s="199">
        <f>ROUND(IFERROR(IF(LEFT($A259,1)="C",'Avoided Costs'!$Q$13,'Avoided Costs'!$Q$12)+1,""),4)</f>
        <v>1.1120000000000001</v>
      </c>
      <c r="CX259" s="200">
        <f>ROUND(IFERROR(IF(LEFT($A259,1)="C",'Avoided Costs'!$R$13,'Avoided Costs'!$R$12)+1,""),4)</f>
        <v>1.1120000000000001</v>
      </c>
    </row>
    <row r="260" spans="1:102" ht="12.75" customHeight="1">
      <c r="A260" s="91" t="str">
        <f>IF('Inputs Yr 2'!$B260=0,"",'Inputs Yr 2'!A260)</f>
        <v>C - Commercial &amp; Industrial</v>
      </c>
      <c r="B260" s="91" t="str">
        <f>IF('Inputs Yr 2'!$B260=0,"",'Inputs Yr 2'!B260)</f>
        <v>C2 - C&amp;I Retrofit</v>
      </c>
      <c r="C260" s="91" t="str">
        <f>IF('Inputs Yr 2'!$B260=0,"",'Inputs Yr 2'!C260)</f>
        <v>C2a - C&amp;I Existing Building Retrofit</v>
      </c>
      <c r="D260" s="91" t="str">
        <f>IF('Inputs Yr 2'!$B260=0,"",'Inputs Yr 2'!E260)</f>
        <v>HVAC - Prescriptive</v>
      </c>
      <c r="E260" s="93" t="str">
        <f>IF('Inputs Yr 2'!$B260=0,"",'Inputs Yr 2'!F260)</f>
        <v>G16C2a10</v>
      </c>
      <c r="F260" s="93" t="str">
        <f>IF('Inputs Yr 2'!$B260=0,"",'Inputs Yr 2'!G260)</f>
        <v>HVAC</v>
      </c>
      <c r="G260" s="95" t="str">
        <f>IF('Inputs Yr 2'!$H260&lt;&gt;0,('Inputs Yr 2'!H260),"")</f>
        <v/>
      </c>
      <c r="H260" s="94">
        <f>IFERROR('Inputs Yr 2'!I260,"")</f>
        <v>15</v>
      </c>
      <c r="I260" s="298" t="str">
        <f>IFERROR('Inputs Yr 2'!J260*'Inputs Yr 2'!P260*G260,"")</f>
        <v/>
      </c>
      <c r="J260" s="298" t="str">
        <f>IFERROR('Inputs Yr 2'!K260*G260,"")</f>
        <v/>
      </c>
      <c r="K260" s="298" t="str">
        <f t="shared" si="113"/>
        <v/>
      </c>
      <c r="L260" s="194" t="str">
        <f>IFERROR(('Inputs Yr 2'!W260*G260)/1000,"")</f>
        <v/>
      </c>
      <c r="M260" s="194" t="str">
        <f>IFERROR(L260*('Inputs Yr 2'!$Q260*'Inputs Yr 2'!$V260*'Inputs Yr 2'!$R260),"")</f>
        <v/>
      </c>
      <c r="N260" s="194" t="str">
        <f t="shared" si="114"/>
        <v/>
      </c>
      <c r="O260" s="194" t="str">
        <f>IFERROR(M260*'Inputs Yr 2'!P260,"")</f>
        <v/>
      </c>
      <c r="P260" s="194" t="str">
        <f t="shared" si="115"/>
        <v/>
      </c>
      <c r="Q260" s="194" t="str">
        <f>IFERROR($P260*'Inputs Yr 2'!AA260,"")</f>
        <v/>
      </c>
      <c r="R260" s="194" t="str">
        <f>IFERROR($P260*'Inputs Yr 2'!AB260,"")</f>
        <v/>
      </c>
      <c r="S260" s="194" t="str">
        <f>IFERROR($P260*'Inputs Yr 2'!AC260,"")</f>
        <v/>
      </c>
      <c r="T260" s="194" t="str">
        <f>IFERROR($P260*'Inputs Yr 2'!AD260,"")</f>
        <v/>
      </c>
      <c r="U260" s="194" t="str">
        <f>IFERROR(G260*'Inputs Yr 2'!$AE260*'Inputs Yr 2'!$P260*'Inputs Yr 2'!$Q260,"")</f>
        <v/>
      </c>
      <c r="V260" s="194" t="str">
        <f>IFERROR($G260*'Inputs Yr 2'!$AE260*'Inputs Yr 2'!$AG260*'Inputs Yr 2'!Q260*'Inputs Yr 2'!$S260,"")</f>
        <v/>
      </c>
      <c r="W260" s="194" t="str">
        <f>IFERROR($G260*'Inputs Yr 2'!$AE260*'Inputs Yr 2'!$AG260*'Inputs Yr 2'!P260*'Inputs Yr 2'!Q260*'Inputs Yr 2'!$S260,"")</f>
        <v/>
      </c>
      <c r="X260" s="194" t="str">
        <f>IFERROR($G260*'Inputs Yr 2'!$AE260*'Inputs Yr 2'!$AF260*'Inputs Yr 2'!Q260*'Inputs Yr 2'!$T260,"")</f>
        <v/>
      </c>
      <c r="Y260" s="194" t="str">
        <f>IFERROR($G260*'Inputs Yr 2'!$AE260*'Inputs Yr 2'!$AF260*'Inputs Yr 2'!P260*'Inputs Yr 2'!Q260*'Inputs Yr 2'!$T260,"")</f>
        <v/>
      </c>
      <c r="Z260" s="257">
        <f>IFERROR($G260*'Inputs Yr 2'!$Q260*'Inputs Yr 2'!$U260*(IF(IFERROR(SEARCH("NG", 'Inputs Yr 2'!$AJ260),0),'Inputs Yr 2'!$AK260,0)+IF(IFERROR(SEARCH("NG", 'Inputs Yr 2'!$AL260),0),'Inputs Yr 2'!$AM260,0)+IF(IFERROR(SEARCH("NG", 'Inputs Yr 2'!$AN260),0),'Inputs Yr 2'!$AO260,0)),0)</f>
        <v>0</v>
      </c>
      <c r="AA260" s="257">
        <f t="shared" si="116"/>
        <v>0</v>
      </c>
      <c r="AB260" s="257">
        <f>IFERROR(Z260*'Inputs Yr 2'!$P260,0)</f>
        <v>0</v>
      </c>
      <c r="AC260" s="257">
        <f t="shared" si="117"/>
        <v>0</v>
      </c>
      <c r="AD260" s="257">
        <f>IFERROR($G260*'Inputs Yr 2'!$Q260*'Inputs Yr 2'!$U260*(IF(IFERROR(SEARCH("Oil", 'Inputs Yr 2'!$AJ260), 0),'Inputs Yr 2'!$AK260,0)+IF(IFERROR(SEARCH("Oil", 'Inputs Yr 2'!$AL260), 0),'Inputs Yr 2'!$AM260,0)+IF(IFERROR(SEARCH("Oil", 'Inputs Yr 2'!$AN260), 0),'Inputs Yr 2'!$AO260,0)),0)</f>
        <v>0</v>
      </c>
      <c r="AE260" s="257">
        <f t="shared" si="118"/>
        <v>0</v>
      </c>
      <c r="AF260" s="257">
        <f>IFERROR(AD260*'Inputs Yr 2'!$P260,0)</f>
        <v>0</v>
      </c>
      <c r="AG260" s="257">
        <f t="shared" si="119"/>
        <v>0</v>
      </c>
      <c r="AH260" s="257">
        <f>IFERROR($G260*'Inputs Yr 2'!$Q260*'Inputs Yr 2'!$U260*(IF('Inputs Yr 2'!$AJ260=CD$4,'Inputs Yr 2'!$AK260,IF('Inputs Yr 2'!$AL260=CD$4,'Inputs Yr 2'!$AM260,IF('Inputs Yr 2'!$AN260=CD$4,'Inputs Yr 2'!$AO260,0)))),0)</f>
        <v>0</v>
      </c>
      <c r="AI260" s="257">
        <f t="shared" si="120"/>
        <v>0</v>
      </c>
      <c r="AJ260" s="257">
        <f>IFERROR(AH260*'Inputs Yr 2'!$P260,0)</f>
        <v>0</v>
      </c>
      <c r="AK260" s="257">
        <f t="shared" si="121"/>
        <v>0</v>
      </c>
      <c r="AL260" s="258">
        <f>IFERROR($G260*'Inputs Yr 2'!$P260*'Inputs Yr 2'!$Q260*'Inputs Yr 2'!AP260,0)</f>
        <v>0</v>
      </c>
      <c r="AM260" s="260">
        <f>IFERROR($G260*'Inputs Yr 2'!$P260*'Inputs Yr 2'!$Q260*'Inputs Yr 2'!AQ260,0)</f>
        <v>0</v>
      </c>
      <c r="AN260" s="258">
        <f>IFERROR($G260*'Inputs Yr 2'!$P260*'Inputs Yr 2'!$Q260*'Inputs Yr 2'!AR260,0)</f>
        <v>0</v>
      </c>
      <c r="AO260" s="257">
        <f t="shared" si="122"/>
        <v>0</v>
      </c>
      <c r="AP260" s="195" t="str">
        <f>IFERROR($CQ260*(INDEX(avoidedcosttbl2,$H260,AP$2)+(($H260-ROUNDDOWN($H260,0))*(INDEX(avoidedcosttbl2,ROUNDUP($H260,0),AP$2)-(INDEX(avoidedcosttbl2,ROUNDDOWN($H260,0),AP$2)))))*$O260*1000*'Inputs Yr 2'!AA260,"")</f>
        <v/>
      </c>
      <c r="AQ260" s="195" t="str">
        <f>IFERROR($CR260*(INDEX(avoidedcosttbl2,$H260,AQ$2)+(($H260-ROUNDDOWN($H260,0))*(INDEX(avoidedcosttbl2,ROUNDUP($H260,0),AQ$2)-(INDEX(avoidedcosttbl2,ROUNDDOWN($H260,0),AQ$2)))))*$O260*1000*'Inputs Yr 2'!AB260,"")</f>
        <v/>
      </c>
      <c r="AR260" s="195" t="str">
        <f>IFERROR($CS260*(INDEX(avoidedcosttbl2,$H260,AR$2)+(($H260-ROUNDDOWN($H260,0))*(INDEX(avoidedcosttbl2,ROUNDUP($H260,0),AR$2)-(INDEX(avoidedcosttbl2,ROUNDDOWN($H260,0),AR$2)))))*$O260*1000*'Inputs Yr 2'!AC260,"")</f>
        <v/>
      </c>
      <c r="AS260" s="195" t="str">
        <f>IFERROR($CT260*(INDEX(avoidedcosttbl2,$H260,AS$2)+(($H260-ROUNDDOWN($H260,0))*(INDEX(avoidedcosttbl2,ROUNDUP($H260,0),AS$2)-(INDEX(avoidedcosttbl2,ROUNDDOWN($H260,0),AS$2)))))*$O260*1000*'Inputs Yr 2'!AD260,"")</f>
        <v/>
      </c>
      <c r="AT260" s="196">
        <f t="shared" si="123"/>
        <v>0</v>
      </c>
      <c r="AU260" s="197" t="str">
        <f>IFERROR($CQ260*((INDEX(avoidedcosttbl2,$H260,AU$2))+(($H260-ROUNDDOWN($H260,0))*((INDEX(avoidedcosttbl2,ROUNDUP($H260,0),AU$2))-(INDEX(avoidedcosttbl2,ROUNDDOWN($H260,0),AU$2)))))*$O260*1000*'Inputs Yr 2'!AA260,"")</f>
        <v/>
      </c>
      <c r="AV260" s="197" t="str">
        <f>IFERROR($CR260*((INDEX(avoidedcosttbl2,$H260,AV$2))+(($H260-ROUNDDOWN($H260,0))*((INDEX(avoidedcosttbl2,ROUNDUP($H260,0),AV$2))-(INDEX(avoidedcosttbl2,ROUNDDOWN($H260,0),AV$2)))))*$O260*1000*'Inputs Yr 2'!AB260,"")</f>
        <v/>
      </c>
      <c r="AW260" s="197" t="str">
        <f>IFERROR($CS260*((INDEX(avoidedcosttbl2,$H260,AW$2))+(($H260-ROUNDDOWN($H260,0))*((INDEX(avoidedcosttbl2,ROUNDUP($H260,0),AW$2))-(INDEX(avoidedcosttbl2,ROUNDDOWN($H260,0),AW$2)))))*$O260*1000*'Inputs Yr 2'!AC260,"")</f>
        <v/>
      </c>
      <c r="AX260" s="197" t="str">
        <f>IFERROR($CT260*((INDEX(avoidedcosttbl2,$H260,AX$2))+(($H260-ROUNDDOWN($H260,0))*((INDEX(avoidedcosttbl2,ROUNDUP($H260,0),AX$2))-(INDEX(avoidedcosttbl2,ROUNDDOWN($H260,0),AX$2)))))*$O260*1000*'Inputs Yr 2'!AD260,"")</f>
        <v/>
      </c>
      <c r="AY260" s="197" t="str">
        <f>IFERROR(((INDEX(avoidedcosttbl2,$H260,AY$2))+(($H260-ROUNDDOWN($H260,0))*((INDEX(avoidedcosttbl2,ROUNDUP($H260,0),AY$2))-(INDEX(avoidedcosttbl2,ROUNDDOWN($H260,0),AY$2)))))*$O260*1000*('Inputs Yr 2'!AC260+'Inputs Yr 2'!AD260),"")</f>
        <v/>
      </c>
      <c r="AZ260" s="197" t="str">
        <f>IFERROR(((INDEX(avoidedcosttbl2,$H260,AZ$2))+(($H260-ROUNDDOWN($H260,0))*((INDEX(avoidedcosttbl2,ROUNDUP($H260,0),AZ$2))-(INDEX(avoidedcosttbl2,ROUNDDOWN($H260,0),AZ$2)))))*$O260*1000*('Inputs Yr 2'!AA260+'Inputs Yr 2'!AB260),"")</f>
        <v/>
      </c>
      <c r="BA260" s="198">
        <f t="shared" si="124"/>
        <v>0</v>
      </c>
      <c r="BB260" s="198">
        <f t="shared" si="125"/>
        <v>0</v>
      </c>
      <c r="BC260" s="195" t="str">
        <f t="shared" si="107"/>
        <v/>
      </c>
      <c r="BD260" s="195" t="str">
        <f t="shared" si="108"/>
        <v/>
      </c>
      <c r="BE260" s="195" t="str">
        <f t="shared" si="109"/>
        <v/>
      </c>
      <c r="BF260" s="195" t="str">
        <f t="shared" si="110"/>
        <v/>
      </c>
      <c r="BG260" s="195" t="str">
        <f t="shared" si="111"/>
        <v/>
      </c>
      <c r="BH260" s="196">
        <f t="shared" si="126"/>
        <v>0</v>
      </c>
      <c r="BI260" s="196">
        <f t="shared" si="127"/>
        <v>0</v>
      </c>
      <c r="BJ260" s="195" t="str">
        <f>IFERROR($G260*(IF('Inputs Yr 2'!$AJ260=BJ$4,'Inputs Yr 2'!$AK260,IF('Inputs Yr 2'!$AL260=BJ$4,'Inputs Yr 2'!$AM260,IF('Inputs Yr 2'!$AN260=BJ$4,'Inputs Yr 2'!$AO260,0))))*(INDEX(avoidedcosttbl2,$H260,BJ$2)+(($H260-ROUNDDOWN($H260,0))*(INDEX(avoidedcosttbl2,ROUNDUP($H260,0),BJ$2)-(INDEX(avoidedcosttbl2,ROUNDDOWN($H260,0),BJ$2)))))*'Inputs Yr 2'!P260*'Inputs Yr 2'!Q260*'Inputs Yr 2'!U260,"")</f>
        <v/>
      </c>
      <c r="BK260" s="195" t="str">
        <f>IFERROR($G260*(IF('Inputs Yr 2'!$AJ260=BK$4,'Inputs Yr 2'!$AK260,IF('Inputs Yr 2'!$AL260=BK$4,'Inputs Yr 2'!$AM260,IF('Inputs Yr 2'!$AN260=BK$4,'Inputs Yr 2'!$AO260,0))))*(INDEX(avoidedcosttbl2,$H260,BK$2)+(($H260-ROUNDDOWN($H260,0))*(INDEX(avoidedcosttbl2,ROUNDUP($H260,0),BK$2)-(INDEX(avoidedcosttbl2,ROUNDDOWN($H260,0),BK$2)))))*'Inputs Yr 2'!P260*'Inputs Yr 2'!Q260*'Inputs Yr 2'!U260,"")</f>
        <v/>
      </c>
      <c r="BL260" s="195" t="str">
        <f>IFERROR($G260*(IF('Inputs Yr 2'!$AJ260=BL$4,'Inputs Yr 2'!$AK260,IF('Inputs Yr 2'!$AL260=BL$4,'Inputs Yr 2'!$AM260,IF('Inputs Yr 2'!$AN260=BL$4,'Inputs Yr 2'!$AO260,0))))*(INDEX(avoidedcosttbl2,$H260,BL$2)+(($H260-ROUNDDOWN($H260,0))*(INDEX(avoidedcosttbl2,ROUNDUP($H260,0),BL$2)-(INDEX(avoidedcosttbl2,ROUNDDOWN($H260,0),BL$2)))))*'Inputs Yr 2'!P260*'Inputs Yr 2'!Q260*'Inputs Yr 2'!U260,"")</f>
        <v/>
      </c>
      <c r="BM260" s="195" t="str">
        <f>IFERROR($G260*(IF('Inputs Yr 2'!$AJ260=BM$4,'Inputs Yr 2'!$AK260,IF('Inputs Yr 2'!$AL260=BM$4,'Inputs Yr 2'!$AM260,IF('Inputs Yr 2'!$AN260=BM$4,'Inputs Yr 2'!$AO260,0))))*(INDEX(avoidedcosttbl2,$H260,BM$2)+(($H260-ROUNDDOWN($H260,0))*(INDEX(avoidedcosttbl2,ROUNDUP($H260,0),BM$2)-(INDEX(avoidedcosttbl2,ROUNDDOWN($H260,0),BM$2)))))*'Inputs Yr 2'!P260*'Inputs Yr 2'!Q260*'Inputs Yr 2'!U260,"")</f>
        <v/>
      </c>
      <c r="BN260" s="195" t="str">
        <f>IFERROR($G260*(IF('Inputs Yr 2'!$AJ260=BN$4,'Inputs Yr 2'!$AK260,IF('Inputs Yr 2'!$AL260=BN$4,'Inputs Yr 2'!$AM260,IF('Inputs Yr 2'!$AN260=BN$4,'Inputs Yr 2'!$AO260,0))))*(INDEX(avoidedcosttbl2,$H260,BN$2)+(($H260-ROUNDDOWN($H260,0))*(INDEX(avoidedcosttbl2,ROUNDUP($H260,0),BN$2)-(INDEX(avoidedcosttbl2,ROUNDDOWN($H260,0),BN$2)))))*'Inputs Yr 2'!P260*'Inputs Yr 2'!Q260*'Inputs Yr 2'!U260,"")</f>
        <v/>
      </c>
      <c r="BO260" s="195" t="str">
        <f>IFERROR($G260*(IF('Inputs Yr 2'!$AJ260=BO$4,'Inputs Yr 2'!$AK260,IF('Inputs Yr 2'!$AL260=BO$4,'Inputs Yr 2'!$AM260,IF('Inputs Yr 2'!$AN260=BO$4,'Inputs Yr 2'!$AO260,0))))*(INDEX(avoidedcosttbl2,$H260,BO$2)+(($H260-ROUNDDOWN($H260,0))*(INDEX(avoidedcosttbl2,ROUNDUP($H260,0),BO$2)-(INDEX(avoidedcosttbl2,ROUNDDOWN($H260,0),BO$2)))))*'Inputs Yr 2'!P260*'Inputs Yr 2'!Q260*'Inputs Yr 2'!U260,"")</f>
        <v/>
      </c>
      <c r="BP260" s="195" t="str">
        <f>IFERROR($G260*(IF('Inputs Yr 2'!$AJ260=BP$4,'Inputs Yr 2'!$AK260,IF('Inputs Yr 2'!$AL260=BP$4,'Inputs Yr 2'!$AM260,IF('Inputs Yr 2'!$AN260=BP$4,'Inputs Yr 2'!$AO260,0))))*(INDEX(avoidedcosttbl2,$H260,BP$2)+(($H260-ROUNDDOWN($H260,0))*(INDEX(avoidedcosttbl2,ROUNDUP($H260,0),BP$2)-(INDEX(avoidedcosttbl2,ROUNDDOWN($H260,0),BP$2)))))*'Inputs Yr 2'!P260*'Inputs Yr 2'!Q260*'Inputs Yr 2'!U260,"")</f>
        <v/>
      </c>
      <c r="BQ260" s="230">
        <f t="shared" si="128"/>
        <v>0</v>
      </c>
      <c r="BR260" s="197">
        <f t="shared" si="112"/>
        <v>0</v>
      </c>
      <c r="BS260" s="197" t="str">
        <f>IFERROR(($G260*IF('Inputs Yr 2'!$AJ260=BM$4,'Inputs Yr 2'!$AK260,IF('Inputs Yr 2'!$AL260=BM$4,'Inputs Yr 2'!$AM260,IF('Inputs Yr 2'!$AN260=BM$4,'Inputs Yr 2'!$AO260,0))))*(INDEX(avoidedcosttbl2,$H260,BS$2)+(($H260-ROUNDDOWN($H260,0))*(INDEX(avoidedcosttbl2,ROUNDUP($H260,0),BS$2)-(INDEX(avoidedcosttbl2,ROUNDDOWN($H260,0),BS$2)))))*'Inputs Yr 2'!P260*'Inputs Yr 2'!Q260*'Inputs Yr 2'!U260,"")</f>
        <v/>
      </c>
      <c r="BT260" s="197" t="str">
        <f>IFERROR(($G260*IF('Inputs Yr 2'!$AJ260=BK$4,'Inputs Yr 2'!$AK260,IF('Inputs Yr 2'!$AL260=BK$4,'Inputs Yr 2'!$AM260,IF('Inputs Yr 2'!$AN260=BK$4,'Inputs Yr 2'!$AO260,0))))*(INDEX(avoidedcosttbl2,$H260,BT$2)+(($H260-ROUNDDOWN($H260,0))*(INDEX(avoidedcosttbl2,ROUNDUP($H260,0),BT$2)-(INDEX(avoidedcosttbl2,ROUNDDOWN($H260,0),BT$2)))))*'Inputs Yr 2'!P260*'Inputs Yr 2'!Q260*'Inputs Yr 2'!U260,"")</f>
        <v/>
      </c>
      <c r="BU260" s="197" t="str">
        <f>IFERROR(($G260*IF('Inputs Yr 2'!$AJ260=BL$4,'Inputs Yr 2'!$AK260,IF('Inputs Yr 2'!$AL260=BL$4,'Inputs Yr 2'!$AM260,IF('Inputs Yr 2'!$AN260=BL$4,'Inputs Yr 2'!$AO260,0))))*(INDEX(avoidedcosttbl2,$H260,BU$2)+(($H260-ROUNDDOWN($H260,0))*(INDEX(avoidedcosttbl2,ROUNDUP($H260,0),BU$2)-(INDEX(avoidedcosttbl2,ROUNDDOWN($H260,0),BU$2)))))*'Inputs Yr 2'!P260*'Inputs Yr 2'!Q260*'Inputs Yr 2'!U260,"")</f>
        <v/>
      </c>
      <c r="BV260" s="775" t="str">
        <f>IFERROR(($G260*IF('Inputs Yr 2'!$AJ260=BJ$4,'Inputs Yr 2'!$AK260,IF('Inputs Yr 2'!$AL260=BJ$4,'Inputs Yr 2'!$AM260,IF('Inputs Yr 2'!$AN260=BJ$4,'Inputs Yr 2'!$AO260,0))))*(INDEX(avoidedcosttbl2,$H260,BV$2)+(($H260-ROUNDDOWN($H260,0))*(INDEX(avoidedcosttbl2,ROUNDUP($H260,0),BV$2)-(INDEX(avoidedcosttbl2,ROUNDDOWN($H260,0),BV$2)))))*'Inputs Yr 2'!P260*'Inputs Yr 2'!Q260*'Inputs Yr 2'!U260,"")</f>
        <v/>
      </c>
      <c r="BW260" s="197" t="str">
        <f>IFERROR(($G260*IF('Inputs Yr 2'!$AJ260=BN$4,'Inputs Yr 2'!$AK260,IF('Inputs Yr 2'!$AL260=BN$4,'Inputs Yr 2'!$AM260,IF('Inputs Yr 2'!$AN260=BN$4,'Inputs Yr 2'!$AO260,0))))*(INDEX(avoidedcosttbl2,$H260,BW$2)+(($H260-ROUNDDOWN($H260,0))*(INDEX(avoidedcosttbl2,ROUNDUP($H260,0),BW$2)-(INDEX(avoidedcosttbl2,ROUNDDOWN($H260,0),BW$2)))))*'Inputs Yr 2'!P260*'Inputs Yr 2'!Q260*'Inputs Yr 2'!U260,"")</f>
        <v/>
      </c>
      <c r="BX260" s="197" t="str">
        <f>IFERROR(($G260*IF('Inputs Yr 2'!$AJ260=BO$4,'Inputs Yr 2'!$AK260,IF('Inputs Yr 2'!$AL260=BO$4,'Inputs Yr 2'!$AM260,IF('Inputs Yr 2'!$AN260=BO$4,'Inputs Yr 2'!$AO260,0))))*(INDEX(avoidedcosttbl2,$H260,BX$2)+(($H260-ROUNDDOWN($H260,0))*(INDEX(avoidedcosttbl2,ROUNDUP($H260,0),BX$2)-(INDEX(avoidedcosttbl2,ROUNDDOWN($H260,0),BX$2)))))*'Inputs Yr 2'!P260*'Inputs Yr 2'!Q260*'Inputs Yr 2'!U260,"")</f>
        <v/>
      </c>
      <c r="BY260" s="197" t="str">
        <f>IFERROR(($G260*IF('Inputs Yr 2'!$AJ260=BP$4,'Inputs Yr 2'!$AK260,IF('Inputs Yr 2'!$AL260=BP$4,'Inputs Yr 2'!$AM260,IF('Inputs Yr 2'!$AN260=BP$4,'Inputs Yr 2'!$AO260,0))))*(INDEX(avoidedcosttbl2,$H260,BY$2)+(($H260-ROUNDDOWN($H260,0))*(INDEX(avoidedcosttbl2,ROUNDUP($H260,0),BY$2)-(INDEX(avoidedcosttbl2,ROUNDDOWN($H260,0),BY$2)))))*'Inputs Yr 2'!P260*'Inputs Yr 2'!Q260*'Inputs Yr 2'!U260,"")</f>
        <v/>
      </c>
      <c r="BZ260" s="193">
        <f t="shared" si="129"/>
        <v>0</v>
      </c>
      <c r="CA260" s="193">
        <f t="shared" si="130"/>
        <v>0</v>
      </c>
      <c r="CB260" s="195" t="str">
        <f>IFERROR(G260*(IF('Inputs Yr 2'!$AJ260=CB$4,'Inputs Yr 2'!$AK260,IF('Inputs Yr 2'!$AL260=CB$4,'Inputs Yr 2'!$AM260,IF('Inputs Yr 2'!$AN260=CB$4,'Inputs Yr 2'!$AO260,0))))*(INDEX(avoidedcosttbl2,$H260,CB$2)+(($H260-ROUNDDOWN($H260,0))*(INDEX(avoidedcosttbl2,ROUNDUP($H260,0),CB$2)-(INDEX(avoidedcosttbl2,ROUNDDOWN($H260,0),CB$2)))))*'Inputs Yr 2'!P260*'Inputs Yr 2'!Q260*'Inputs Yr 2'!U260,"")</f>
        <v/>
      </c>
      <c r="CC260" s="195">
        <f>IFERROR(H260*(IF('Inputs Yr 2'!$AJ260=CC$4,'Inputs Yr 2'!$AK260,IF('Inputs Yr 2'!$AL260=CC$4,'Inputs Yr 2'!$AM260,IF('Inputs Yr 2'!$AN260=CC$4,'Inputs Yr 2'!$AO260,0))))*(INDEX(avoidedcosttbl2,$H260,CC$2)+(($H260-ROUNDDOWN($H260,0))*(INDEX(avoidedcosttbl2,ROUNDUP($H260,0),CC$2)-(INDEX(avoidedcosttbl2,ROUNDDOWN($H260,0),CC$2)))))*'Inputs Yr 2'!Q260*'Inputs Yr 2'!R260*'Inputs Yr 2'!V260,"")</f>
        <v>0</v>
      </c>
      <c r="CD260" s="195" t="str">
        <f>IFERROR(I260*(IF('Inputs Yr 2'!$AJ260=CD$4,'Inputs Yr 2'!$AK260,IF('Inputs Yr 2'!$AL260=CD$4,'Inputs Yr 2'!$AM260,IF('Inputs Yr 2'!$AN260=CD$4,'Inputs Yr 2'!$AO260,0))))*(INDEX(avoidedcosttbl2,$H260,CD$2)+(($H260-ROUNDDOWN($H260,0))*(INDEX(avoidedcosttbl2,ROUNDUP($H260,0),CD$2)-(INDEX(avoidedcosttbl2,ROUNDDOWN($H260,0),CD$2)))))*'Inputs Yr 2'!R260*'Inputs Yr 2'!S260*'Inputs Yr 2'!W260,"")</f>
        <v/>
      </c>
      <c r="CE260" s="213">
        <f t="shared" si="131"/>
        <v>0</v>
      </c>
      <c r="CF260" s="213">
        <f t="shared" si="132"/>
        <v>0</v>
      </c>
      <c r="CG260" s="213">
        <f t="shared" si="133"/>
        <v>0</v>
      </c>
      <c r="CH260" s="698">
        <f t="shared" si="134"/>
        <v>0</v>
      </c>
      <c r="CI260" s="79" t="str">
        <f>IFERROR(($G260*'Inputs Yr 2'!$P260*'Inputs Yr 2'!$Q260*(((INDEX(avoidedcosttbl2,$H260,CI$2)+(($H260-ROUNDDOWN($H260,0))*(INDEX(avoidedcosttbl2,ROUNDUP($H260,0),CI$2)-INDEX(avoidedcosttbl2,ROUNDDOWN($H260,0),CI$2))))*'Inputs Yr 2'!AS260))),"")</f>
        <v/>
      </c>
      <c r="CJ260" s="504" t="str">
        <f>IFERROR($G260*'Inputs Yr 2'!AT260*'Inputs Yr 2'!$P260*'Inputs Yr 2'!$Q260/((1+realdiscrt1)^-0.5),"")</f>
        <v/>
      </c>
      <c r="CK260" s="79" t="str">
        <f>IFERROR((O260*1000*(((INDEX(avoidedcosttbl2,$H260,CK$2)+(($H260-ROUNDDOWN($H260,0))*(INDEX(avoidedcosttbl2,ROUNDUP($H260,0),CK$2)-INDEX(avoidedcosttbl2,ROUNDDOWN($H260,0),CK$2))))*'Inputs Yr 2'!AU260))),"")</f>
        <v/>
      </c>
      <c r="CL260" s="504" t="str">
        <f>IFERROR(O260*1000*'Inputs Yr 2'!AV260/((1+realdiscrt1)^-0.5),"")</f>
        <v/>
      </c>
      <c r="CM260" s="79">
        <f>IFERROR((AB260*'Inputs Yr 2'!AW260*(((INDEX(avoidedcosttbl2,$H260,CM$2)+(($H260-ROUNDDOWN($H260,0))*(INDEX(avoidedcosttbl2,ROUNDUP($H260,0),CM$2)-INDEX(avoidedcosttbl2,ROUNDDOWN($H260,0),CM$2)))))))*10,"")</f>
        <v>0</v>
      </c>
      <c r="CN260" s="504">
        <f>IFERROR(10*AB260*'Inputs Yr 2'!AX260/((1+realdiscrt1)^-0.5),"")</f>
        <v>0</v>
      </c>
      <c r="CO260" s="505">
        <f t="shared" si="135"/>
        <v>0</v>
      </c>
      <c r="CP260" s="230">
        <f t="shared" si="136"/>
        <v>0</v>
      </c>
      <c r="CQ260" s="199">
        <f>ROUND(IFERROR(IF(LEFT($A260,1)="C",'Avoided Costs'!$K$13,'Avoided Costs'!$K$12)+1,""),4)</f>
        <v>1.0720000000000001</v>
      </c>
      <c r="CR260" s="199">
        <f>ROUND(IFERROR(IF(LEFT($A260,1)="C",'Avoided Costs'!$L$13,'Avoided Costs'!$L$12)+1,""),4)</f>
        <v>1.04</v>
      </c>
      <c r="CS260" s="199">
        <f>ROUND(IFERROR(IF(LEFT($A260,1)="C",'Avoided Costs'!$M$13,'Avoided Costs'!$M$12)+1,""),4)</f>
        <v>1.0720000000000001</v>
      </c>
      <c r="CT260" s="199">
        <f>ROUND(IFERROR(IF(LEFT($A260,1)="C",'Avoided Costs'!$N$13,'Avoided Costs'!$N$12)+1,""),4)</f>
        <v>1.04</v>
      </c>
      <c r="CU260" s="199">
        <f>ROUND(IFERROR(IF(LEFT($A260,1)="C",'Avoided Costs'!$O$13,'Avoided Costs'!$O$12)+1,""),4)</f>
        <v>1.1120000000000001</v>
      </c>
      <c r="CV260" s="199">
        <f>ROUND(IFERROR(IF(LEFT($A260,1)="C",'Avoided Costs'!$P$13,'Avoided Costs'!$P$12)+1,""),4)</f>
        <v>1.095</v>
      </c>
      <c r="CW260" s="199">
        <f>ROUND(IFERROR(IF(LEFT($A260,1)="C",'Avoided Costs'!$Q$13,'Avoided Costs'!$Q$12)+1,""),4)</f>
        <v>1.1120000000000001</v>
      </c>
      <c r="CX260" s="200">
        <f>ROUND(IFERROR(IF(LEFT($A260,1)="C",'Avoided Costs'!$R$13,'Avoided Costs'!$R$12)+1,""),4)</f>
        <v>1.1120000000000001</v>
      </c>
    </row>
    <row r="261" spans="1:102" ht="12.75" customHeight="1">
      <c r="A261" s="91" t="str">
        <f>IF('Inputs Yr 2'!$B261=0,"",'Inputs Yr 2'!A261)</f>
        <v>C - Commercial &amp; Industrial</v>
      </c>
      <c r="B261" s="91" t="str">
        <f>IF('Inputs Yr 2'!$B261=0,"",'Inputs Yr 2'!B261)</f>
        <v>C2 - C&amp;I Retrofit</v>
      </c>
      <c r="C261" s="91" t="str">
        <f>IF('Inputs Yr 2'!$B261=0,"",'Inputs Yr 2'!C261)</f>
        <v>C2a - C&amp;I Existing Building Retrofit</v>
      </c>
      <c r="D261" s="91" t="str">
        <f>IF('Inputs Yr 2'!$B261=0,"",'Inputs Yr 2'!E261)</f>
        <v>Other - Custom 6</v>
      </c>
      <c r="E261" s="93" t="str">
        <f>IF('Inputs Yr 2'!$B261=0,"",'Inputs Yr 2'!F261)</f>
        <v>G16C2a11</v>
      </c>
      <c r="F261" s="93" t="str">
        <f>IF('Inputs Yr 2'!$B261=0,"",'Inputs Yr 2'!G261)</f>
        <v>Custom Measures</v>
      </c>
      <c r="G261" s="95">
        <f>IF('Inputs Yr 2'!$H261&lt;&gt;0,('Inputs Yr 2'!H261),"")</f>
        <v>1</v>
      </c>
      <c r="H261" s="94">
        <f>IFERROR('Inputs Yr 2'!I261,"")</f>
        <v>6</v>
      </c>
      <c r="I261" s="298">
        <f>IFERROR('Inputs Yr 2'!J261*'Inputs Yr 2'!P261*G261,"")</f>
        <v>44986.887999999999</v>
      </c>
      <c r="J261" s="298">
        <f>IFERROR('Inputs Yr 2'!K261*G261,"")</f>
        <v>24476</v>
      </c>
      <c r="K261" s="298">
        <f t="shared" si="113"/>
        <v>20510.887999999999</v>
      </c>
      <c r="L261" s="194">
        <f>IFERROR(('Inputs Yr 2'!W261*G261)/1000,"")</f>
        <v>0</v>
      </c>
      <c r="M261" s="194">
        <f>IFERROR(L261*('Inputs Yr 2'!$Q261*'Inputs Yr 2'!$V261*'Inputs Yr 2'!$R261),"")</f>
        <v>0</v>
      </c>
      <c r="N261" s="194">
        <f t="shared" si="114"/>
        <v>0</v>
      </c>
      <c r="O261" s="194">
        <f>IFERROR(M261*'Inputs Yr 2'!P261,"")</f>
        <v>0</v>
      </c>
      <c r="P261" s="194">
        <f t="shared" si="115"/>
        <v>0</v>
      </c>
      <c r="Q261" s="194">
        <f>IFERROR($P261*'Inputs Yr 2'!AA261,"")</f>
        <v>0</v>
      </c>
      <c r="R261" s="194">
        <f>IFERROR($P261*'Inputs Yr 2'!AB261,"")</f>
        <v>0</v>
      </c>
      <c r="S261" s="194">
        <f>IFERROR($P261*'Inputs Yr 2'!AC261,"")</f>
        <v>0</v>
      </c>
      <c r="T261" s="194">
        <f>IFERROR($P261*'Inputs Yr 2'!AD261,"")</f>
        <v>0</v>
      </c>
      <c r="U261" s="194">
        <f>IFERROR(G261*'Inputs Yr 2'!$AE261*'Inputs Yr 2'!$P261*'Inputs Yr 2'!$Q261,"")</f>
        <v>0</v>
      </c>
      <c r="V261" s="194">
        <f>IFERROR($G261*'Inputs Yr 2'!$AE261*'Inputs Yr 2'!$AG261*'Inputs Yr 2'!Q261*'Inputs Yr 2'!$S261,"")</f>
        <v>0</v>
      </c>
      <c r="W261" s="194">
        <f>IFERROR($G261*'Inputs Yr 2'!$AE261*'Inputs Yr 2'!$AG261*'Inputs Yr 2'!P261*'Inputs Yr 2'!Q261*'Inputs Yr 2'!$S261,"")</f>
        <v>0</v>
      </c>
      <c r="X261" s="194">
        <f>IFERROR($G261*'Inputs Yr 2'!$AE261*'Inputs Yr 2'!$AF261*'Inputs Yr 2'!Q261*'Inputs Yr 2'!$T261,"")</f>
        <v>0</v>
      </c>
      <c r="Y261" s="194">
        <f>IFERROR($G261*'Inputs Yr 2'!$AE261*'Inputs Yr 2'!$AF261*'Inputs Yr 2'!P261*'Inputs Yr 2'!Q261*'Inputs Yr 2'!$T261,"")</f>
        <v>0</v>
      </c>
      <c r="Z261" s="257">
        <f>IFERROR($G261*'Inputs Yr 2'!$Q261*'Inputs Yr 2'!$U261*(IF(IFERROR(SEARCH("NG", 'Inputs Yr 2'!$AJ261),0),'Inputs Yr 2'!$AK261,0)+IF(IFERROR(SEARCH("NG", 'Inputs Yr 2'!$AL261),0),'Inputs Yr 2'!$AM261,0)+IF(IFERROR(SEARCH("NG", 'Inputs Yr 2'!$AN261),0),'Inputs Yr 2'!$AO261,0)),0)</f>
        <v>780.94749999999999</v>
      </c>
      <c r="AA261" s="257">
        <f t="shared" si="116"/>
        <v>4685.6849999999995</v>
      </c>
      <c r="AB261" s="257">
        <f>IFERROR(Z261*'Inputs Yr 2'!$P261,0)</f>
        <v>717.69075250000003</v>
      </c>
      <c r="AC261" s="257">
        <f t="shared" si="117"/>
        <v>4306.144515</v>
      </c>
      <c r="AD261" s="257">
        <f>IFERROR($G261*'Inputs Yr 2'!$Q261*'Inputs Yr 2'!$U261*(IF(IFERROR(SEARCH("Oil", 'Inputs Yr 2'!$AJ261), 0),'Inputs Yr 2'!$AK261,0)+IF(IFERROR(SEARCH("Oil", 'Inputs Yr 2'!$AL261), 0),'Inputs Yr 2'!$AM261,0)+IF(IFERROR(SEARCH("Oil", 'Inputs Yr 2'!$AN261), 0),'Inputs Yr 2'!$AO261,0)),0)</f>
        <v>0</v>
      </c>
      <c r="AE261" s="257">
        <f t="shared" si="118"/>
        <v>0</v>
      </c>
      <c r="AF261" s="257">
        <f>IFERROR(AD261*'Inputs Yr 2'!$P261,0)</f>
        <v>0</v>
      </c>
      <c r="AG261" s="257">
        <f t="shared" si="119"/>
        <v>0</v>
      </c>
      <c r="AH261" s="257">
        <f>IFERROR($G261*'Inputs Yr 2'!$Q261*'Inputs Yr 2'!$U261*(IF('Inputs Yr 2'!$AJ261=CD$4,'Inputs Yr 2'!$AK261,IF('Inputs Yr 2'!$AL261=CD$4,'Inputs Yr 2'!$AM261,IF('Inputs Yr 2'!$AN261=CD$4,'Inputs Yr 2'!$AO261,0)))),0)</f>
        <v>0</v>
      </c>
      <c r="AI261" s="257">
        <f t="shared" si="120"/>
        <v>0</v>
      </c>
      <c r="AJ261" s="257">
        <f>IFERROR(AH261*'Inputs Yr 2'!$P261,0)</f>
        <v>0</v>
      </c>
      <c r="AK261" s="257">
        <f t="shared" si="121"/>
        <v>0</v>
      </c>
      <c r="AL261" s="258">
        <f>IFERROR($G261*'Inputs Yr 2'!$P261*'Inputs Yr 2'!$Q261*'Inputs Yr 2'!AP261,0)</f>
        <v>0</v>
      </c>
      <c r="AM261" s="260">
        <f>IFERROR($G261*'Inputs Yr 2'!$P261*'Inputs Yr 2'!$Q261*'Inputs Yr 2'!AQ261,0)</f>
        <v>0</v>
      </c>
      <c r="AN261" s="258">
        <f>IFERROR($G261*'Inputs Yr 2'!$P261*'Inputs Yr 2'!$Q261*'Inputs Yr 2'!AR261,0)</f>
        <v>0</v>
      </c>
      <c r="AO261" s="257">
        <f t="shared" si="122"/>
        <v>0</v>
      </c>
      <c r="AP261" s="195">
        <f>IFERROR($CQ261*(INDEX(avoidedcosttbl2,$H261,AP$2)+(($H261-ROUNDDOWN($H261,0))*(INDEX(avoidedcosttbl2,ROUNDUP($H261,0),AP$2)-(INDEX(avoidedcosttbl2,ROUNDDOWN($H261,0),AP$2)))))*$O261*1000*'Inputs Yr 2'!AA261,"")</f>
        <v>0</v>
      </c>
      <c r="AQ261" s="195">
        <f>IFERROR($CR261*(INDEX(avoidedcosttbl2,$H261,AQ$2)+(($H261-ROUNDDOWN($H261,0))*(INDEX(avoidedcosttbl2,ROUNDUP($H261,0),AQ$2)-(INDEX(avoidedcosttbl2,ROUNDDOWN($H261,0),AQ$2)))))*$O261*1000*'Inputs Yr 2'!AB261,"")</f>
        <v>0</v>
      </c>
      <c r="AR261" s="195">
        <f>IFERROR($CS261*(INDEX(avoidedcosttbl2,$H261,AR$2)+(($H261-ROUNDDOWN($H261,0))*(INDEX(avoidedcosttbl2,ROUNDUP($H261,0),AR$2)-(INDEX(avoidedcosttbl2,ROUNDDOWN($H261,0),AR$2)))))*$O261*1000*'Inputs Yr 2'!AC261,"")</f>
        <v>0</v>
      </c>
      <c r="AS261" s="195">
        <f>IFERROR($CT261*(INDEX(avoidedcosttbl2,$H261,AS$2)+(($H261-ROUNDDOWN($H261,0))*(INDEX(avoidedcosttbl2,ROUNDUP($H261,0),AS$2)-(INDEX(avoidedcosttbl2,ROUNDDOWN($H261,0),AS$2)))))*$O261*1000*'Inputs Yr 2'!AD261,"")</f>
        <v>0</v>
      </c>
      <c r="AT261" s="196">
        <f t="shared" si="123"/>
        <v>0</v>
      </c>
      <c r="AU261" s="197">
        <f>IFERROR($CQ261*((INDEX(avoidedcosttbl2,$H261,AU$2))+(($H261-ROUNDDOWN($H261,0))*((INDEX(avoidedcosttbl2,ROUNDUP($H261,0),AU$2))-(INDEX(avoidedcosttbl2,ROUNDDOWN($H261,0),AU$2)))))*$O261*1000*'Inputs Yr 2'!AA261,"")</f>
        <v>0</v>
      </c>
      <c r="AV261" s="197">
        <f>IFERROR($CR261*((INDEX(avoidedcosttbl2,$H261,AV$2))+(($H261-ROUNDDOWN($H261,0))*((INDEX(avoidedcosttbl2,ROUNDUP($H261,0),AV$2))-(INDEX(avoidedcosttbl2,ROUNDDOWN($H261,0),AV$2)))))*$O261*1000*'Inputs Yr 2'!AB261,"")</f>
        <v>0</v>
      </c>
      <c r="AW261" s="197">
        <f>IFERROR($CS261*((INDEX(avoidedcosttbl2,$H261,AW$2))+(($H261-ROUNDDOWN($H261,0))*((INDEX(avoidedcosttbl2,ROUNDUP($H261,0),AW$2))-(INDEX(avoidedcosttbl2,ROUNDDOWN($H261,0),AW$2)))))*$O261*1000*'Inputs Yr 2'!AC261,"")</f>
        <v>0</v>
      </c>
      <c r="AX261" s="197">
        <f>IFERROR($CT261*((INDEX(avoidedcosttbl2,$H261,AX$2))+(($H261-ROUNDDOWN($H261,0))*((INDEX(avoidedcosttbl2,ROUNDUP($H261,0),AX$2))-(INDEX(avoidedcosttbl2,ROUNDDOWN($H261,0),AX$2)))))*$O261*1000*'Inputs Yr 2'!AD261,"")</f>
        <v>0</v>
      </c>
      <c r="AY261" s="197">
        <f>IFERROR(((INDEX(avoidedcosttbl2,$H261,AY$2))+(($H261-ROUNDDOWN($H261,0))*((INDEX(avoidedcosttbl2,ROUNDUP($H261,0),AY$2))-(INDEX(avoidedcosttbl2,ROUNDDOWN($H261,0),AY$2)))))*$O261*1000*('Inputs Yr 2'!AC261+'Inputs Yr 2'!AD261),"")</f>
        <v>0</v>
      </c>
      <c r="AZ261" s="197">
        <f>IFERROR(((INDEX(avoidedcosttbl2,$H261,AZ$2))+(($H261-ROUNDDOWN($H261,0))*((INDEX(avoidedcosttbl2,ROUNDUP($H261,0),AZ$2))-(INDEX(avoidedcosttbl2,ROUNDDOWN($H261,0),AZ$2)))))*$O261*1000*('Inputs Yr 2'!AA261+'Inputs Yr 2'!AB261),"")</f>
        <v>0</v>
      </c>
      <c r="BA261" s="198">
        <f t="shared" si="124"/>
        <v>0</v>
      </c>
      <c r="BB261" s="198">
        <f t="shared" si="125"/>
        <v>0</v>
      </c>
      <c r="BC261" s="195">
        <f t="shared" ref="BC261:BC324" si="137">IFERROR($CU261*(INDEX(avoidedcosttbl2,$H261,BC$2)+(($H261-ROUNDDOWN($H261,0))*(INDEX(avoidedcosttbl2,ROUNDUP($H261,0),BC$2)-(INDEX(avoidedcosttbl2,ROUNDDOWN($H261,0),BC$2)))))*$Y261,"")</f>
        <v>0</v>
      </c>
      <c r="BD261" s="195">
        <f t="shared" ref="BD261:BD324" si="138">IFERROR($CV261*(INDEX(avoidedcosttbl2,$H261,BD$2)+(($H261-ROUNDDOWN($H261,0))*(INDEX(avoidedcosttbl2,ROUNDUP($H261,0),BD$2)-(INDEX(avoidedcosttbl2,ROUNDDOWN($H261,0),BD$2)))))*$W261,"")</f>
        <v>0</v>
      </c>
      <c r="BE261" s="195">
        <f t="shared" ref="BE261:BE324" si="139">IFERROR($CU261*(INDEX(avoidedcosttbl2,$H261,BE$2)+(($H261-ROUNDDOWN($H261,0))*(INDEX(avoidedcosttbl2,ROUNDUP($H261,0),BE$2)-(INDEX(avoidedcosttbl2,ROUNDDOWN($H261,0),BE$2)))))*$Y261,"")</f>
        <v>0</v>
      </c>
      <c r="BF261" s="195">
        <f t="shared" ref="BF261:BF324" si="140">IFERROR($CW261*(INDEX(avoidedcosttbl2,$H261,BF$2)+(($H261-ROUNDDOWN($H261,0))*(INDEX(avoidedcosttbl2,ROUNDUP($H261,0),BF$2)-(INDEX(avoidedcosttbl2,ROUNDDOWN($H261,0),BF$2)))))*$Y261,"")</f>
        <v>0</v>
      </c>
      <c r="BG261" s="195">
        <f t="shared" ref="BG261:BG324" si="141">IFERROR($CX261*(INDEX(avoidedcosttbl2,$H261,BG$2)+(($H261-ROUNDDOWN($H261,0))*(INDEX(avoidedcosttbl2,ROUNDUP($H261,0),BG$2)-(INDEX(avoidedcosttbl2,ROUNDDOWN($H261,0),BG$2)))))*$Y261,"")</f>
        <v>0</v>
      </c>
      <c r="BH261" s="196">
        <f t="shared" si="126"/>
        <v>0</v>
      </c>
      <c r="BI261" s="196">
        <f t="shared" si="127"/>
        <v>0</v>
      </c>
      <c r="BJ261" s="195">
        <f>IFERROR($G261*(IF('Inputs Yr 2'!$AJ261=BJ$4,'Inputs Yr 2'!$AK261,IF('Inputs Yr 2'!$AL261=BJ$4,'Inputs Yr 2'!$AM261,IF('Inputs Yr 2'!$AN261=BJ$4,'Inputs Yr 2'!$AO261,0))))*(INDEX(avoidedcosttbl2,$H261,BJ$2)+(($H261-ROUNDDOWN($H261,0))*(INDEX(avoidedcosttbl2,ROUNDUP($H261,0),BJ$2)-(INDEX(avoidedcosttbl2,ROUNDDOWN($H261,0),BJ$2)))))*'Inputs Yr 2'!P261*'Inputs Yr 2'!Q261*'Inputs Yr 2'!U261,"")</f>
        <v>0</v>
      </c>
      <c r="BK261" s="195">
        <f>IFERROR($G261*(IF('Inputs Yr 2'!$AJ261=BK$4,'Inputs Yr 2'!$AK261,IF('Inputs Yr 2'!$AL261=BK$4,'Inputs Yr 2'!$AM261,IF('Inputs Yr 2'!$AN261=BK$4,'Inputs Yr 2'!$AO261,0))))*(INDEX(avoidedcosttbl2,$H261,BK$2)+(($H261-ROUNDDOWN($H261,0))*(INDEX(avoidedcosttbl2,ROUNDUP($H261,0),BK$2)-(INDEX(avoidedcosttbl2,ROUNDDOWN($H261,0),BK$2)))))*'Inputs Yr 2'!P261*'Inputs Yr 2'!Q261*'Inputs Yr 2'!U261,"")</f>
        <v>0</v>
      </c>
      <c r="BL261" s="195">
        <f>IFERROR($G261*(IF('Inputs Yr 2'!$AJ261=BL$4,'Inputs Yr 2'!$AK261,IF('Inputs Yr 2'!$AL261=BL$4,'Inputs Yr 2'!$AM261,IF('Inputs Yr 2'!$AN261=BL$4,'Inputs Yr 2'!$AO261,0))))*(INDEX(avoidedcosttbl2,$H261,BL$2)+(($H261-ROUNDDOWN($H261,0))*(INDEX(avoidedcosttbl2,ROUNDUP($H261,0),BL$2)-(INDEX(avoidedcosttbl2,ROUNDDOWN($H261,0),BL$2)))))*'Inputs Yr 2'!P261*'Inputs Yr 2'!Q261*'Inputs Yr 2'!U261,"")</f>
        <v>0</v>
      </c>
      <c r="BM261" s="195">
        <f>IFERROR($G261*(IF('Inputs Yr 2'!$AJ261=BM$4,'Inputs Yr 2'!$AK261,IF('Inputs Yr 2'!$AL261=BM$4,'Inputs Yr 2'!$AM261,IF('Inputs Yr 2'!$AN261=BM$4,'Inputs Yr 2'!$AO261,0))))*(INDEX(avoidedcosttbl2,$H261,BM$2)+(($H261-ROUNDDOWN($H261,0))*(INDEX(avoidedcosttbl2,ROUNDUP($H261,0),BM$2)-(INDEX(avoidedcosttbl2,ROUNDDOWN($H261,0),BM$2)))))*'Inputs Yr 2'!P261*'Inputs Yr 2'!Q261*'Inputs Yr 2'!U261,"")</f>
        <v>0</v>
      </c>
      <c r="BN261" s="195">
        <f>IFERROR($G261*(IF('Inputs Yr 2'!$AJ261=BN$4,'Inputs Yr 2'!$AK261,IF('Inputs Yr 2'!$AL261=BN$4,'Inputs Yr 2'!$AM261,IF('Inputs Yr 2'!$AN261=BN$4,'Inputs Yr 2'!$AO261,0))))*(INDEX(avoidedcosttbl2,$H261,BN$2)+(($H261-ROUNDDOWN($H261,0))*(INDEX(avoidedcosttbl2,ROUNDUP($H261,0),BN$2)-(INDEX(avoidedcosttbl2,ROUNDDOWN($H261,0),BN$2)))))*'Inputs Yr 2'!P261*'Inputs Yr 2'!Q261*'Inputs Yr 2'!U261,"")</f>
        <v>0</v>
      </c>
      <c r="BO261" s="195">
        <f>IFERROR($G261*(IF('Inputs Yr 2'!$AJ261=BO$4,'Inputs Yr 2'!$AK261,IF('Inputs Yr 2'!$AL261=BO$4,'Inputs Yr 2'!$AM261,IF('Inputs Yr 2'!$AN261=BO$4,'Inputs Yr 2'!$AO261,0))))*(INDEX(avoidedcosttbl2,$H261,BO$2)+(($H261-ROUNDDOWN($H261,0))*(INDEX(avoidedcosttbl2,ROUNDUP($H261,0),BO$2)-(INDEX(avoidedcosttbl2,ROUNDDOWN($H261,0),BO$2)))))*'Inputs Yr 2'!P261*'Inputs Yr 2'!Q261*'Inputs Yr 2'!U261,"")</f>
        <v>0</v>
      </c>
      <c r="BP261" s="195">
        <f>IFERROR($G261*(IF('Inputs Yr 2'!$AJ261=BP$4,'Inputs Yr 2'!$AK261,IF('Inputs Yr 2'!$AL261=BP$4,'Inputs Yr 2'!$AM261,IF('Inputs Yr 2'!$AN261=BP$4,'Inputs Yr 2'!$AO261,0))))*(INDEX(avoidedcosttbl2,$H261,BP$2)+(($H261-ROUNDDOWN($H261,0))*(INDEX(avoidedcosttbl2,ROUNDUP($H261,0),BP$2)-(INDEX(avoidedcosttbl2,ROUNDDOWN($H261,0),BP$2)))))*'Inputs Yr 2'!P261*'Inputs Yr 2'!Q261*'Inputs Yr 2'!U261,"")</f>
        <v>30851.370272953071</v>
      </c>
      <c r="BQ261" s="230">
        <f t="shared" si="128"/>
        <v>30851.370272953071</v>
      </c>
      <c r="BR261" s="197">
        <f t="shared" ref="BR261:BR324" si="142">IFERROR($AB261*((INDEX(avoidedcosttbl2,$H261,BR$2))+(($H261-ROUNDDOWN($H261,0))*((INDEX(avoidedcosttbl2,ROUNDUP($H261,0),BR$2))-(INDEX(avoidedcosttbl2,ROUNDDOWN($H261,0),BR$2))))),"")</f>
        <v>595.21851771607351</v>
      </c>
      <c r="BS261" s="197">
        <f>IFERROR(($G261*IF('Inputs Yr 2'!$AJ261=BM$4,'Inputs Yr 2'!$AK261,IF('Inputs Yr 2'!$AL261=BM$4,'Inputs Yr 2'!$AM261,IF('Inputs Yr 2'!$AN261=BM$4,'Inputs Yr 2'!$AO261,0))))*(INDEX(avoidedcosttbl2,$H261,BS$2)+(($H261-ROUNDDOWN($H261,0))*(INDEX(avoidedcosttbl2,ROUNDUP($H261,0),BS$2)-(INDEX(avoidedcosttbl2,ROUNDDOWN($H261,0),BS$2)))))*'Inputs Yr 2'!P261*'Inputs Yr 2'!Q261*'Inputs Yr 2'!U261,"")</f>
        <v>0</v>
      </c>
      <c r="BT261" s="197">
        <f>IFERROR(($G261*IF('Inputs Yr 2'!$AJ261=BK$4,'Inputs Yr 2'!$AK261,IF('Inputs Yr 2'!$AL261=BK$4,'Inputs Yr 2'!$AM261,IF('Inputs Yr 2'!$AN261=BK$4,'Inputs Yr 2'!$AO261,0))))*(INDEX(avoidedcosttbl2,$H261,BT$2)+(($H261-ROUNDDOWN($H261,0))*(INDEX(avoidedcosttbl2,ROUNDUP($H261,0),BT$2)-(INDEX(avoidedcosttbl2,ROUNDDOWN($H261,0),BT$2)))))*'Inputs Yr 2'!P261*'Inputs Yr 2'!Q261*'Inputs Yr 2'!U261,"")</f>
        <v>0</v>
      </c>
      <c r="BU261" s="197">
        <f>IFERROR(($G261*IF('Inputs Yr 2'!$AJ261=BL$4,'Inputs Yr 2'!$AK261,IF('Inputs Yr 2'!$AL261=BL$4,'Inputs Yr 2'!$AM261,IF('Inputs Yr 2'!$AN261=BL$4,'Inputs Yr 2'!$AO261,0))))*(INDEX(avoidedcosttbl2,$H261,BU$2)+(($H261-ROUNDDOWN($H261,0))*(INDEX(avoidedcosttbl2,ROUNDUP($H261,0),BU$2)-(INDEX(avoidedcosttbl2,ROUNDDOWN($H261,0),BU$2)))))*'Inputs Yr 2'!P261*'Inputs Yr 2'!Q261*'Inputs Yr 2'!U261,"")</f>
        <v>0</v>
      </c>
      <c r="BV261" s="775">
        <f>IFERROR(($G261*IF('Inputs Yr 2'!$AJ261=BJ$4,'Inputs Yr 2'!$AK261,IF('Inputs Yr 2'!$AL261=BJ$4,'Inputs Yr 2'!$AM261,IF('Inputs Yr 2'!$AN261=BJ$4,'Inputs Yr 2'!$AO261,0))))*(INDEX(avoidedcosttbl2,$H261,BV$2)+(($H261-ROUNDDOWN($H261,0))*(INDEX(avoidedcosttbl2,ROUNDUP($H261,0),BV$2)-(INDEX(avoidedcosttbl2,ROUNDDOWN($H261,0),BV$2)))))*'Inputs Yr 2'!P261*'Inputs Yr 2'!Q261*'Inputs Yr 2'!U261,"")</f>
        <v>0</v>
      </c>
      <c r="BW261" s="197">
        <f>IFERROR(($G261*IF('Inputs Yr 2'!$AJ261=BN$4,'Inputs Yr 2'!$AK261,IF('Inputs Yr 2'!$AL261=BN$4,'Inputs Yr 2'!$AM261,IF('Inputs Yr 2'!$AN261=BN$4,'Inputs Yr 2'!$AO261,0))))*(INDEX(avoidedcosttbl2,$H261,BW$2)+(($H261-ROUNDDOWN($H261,0))*(INDEX(avoidedcosttbl2,ROUNDUP($H261,0),BW$2)-(INDEX(avoidedcosttbl2,ROUNDDOWN($H261,0),BW$2)))))*'Inputs Yr 2'!P261*'Inputs Yr 2'!Q261*'Inputs Yr 2'!U261,"")</f>
        <v>0</v>
      </c>
      <c r="BX261" s="197">
        <f>IFERROR(($G261*IF('Inputs Yr 2'!$AJ261=BO$4,'Inputs Yr 2'!$AK261,IF('Inputs Yr 2'!$AL261=BO$4,'Inputs Yr 2'!$AM261,IF('Inputs Yr 2'!$AN261=BO$4,'Inputs Yr 2'!$AO261,0))))*(INDEX(avoidedcosttbl2,$H261,BX$2)+(($H261-ROUNDDOWN($H261,0))*(INDEX(avoidedcosttbl2,ROUNDUP($H261,0),BX$2)-(INDEX(avoidedcosttbl2,ROUNDDOWN($H261,0),BX$2)))))*'Inputs Yr 2'!P261*'Inputs Yr 2'!Q261*'Inputs Yr 2'!U261,"")</f>
        <v>0</v>
      </c>
      <c r="BY261" s="197">
        <f>IFERROR(($G261*IF('Inputs Yr 2'!$AJ261=BP$4,'Inputs Yr 2'!$AK261,IF('Inputs Yr 2'!$AL261=BP$4,'Inputs Yr 2'!$AM261,IF('Inputs Yr 2'!$AN261=BP$4,'Inputs Yr 2'!$AO261,0))))*(INDEX(avoidedcosttbl2,$H261,BY$2)+(($H261-ROUNDDOWN($H261,0))*(INDEX(avoidedcosttbl2,ROUNDUP($H261,0),BY$2)-(INDEX(avoidedcosttbl2,ROUNDDOWN($H261,0),BY$2)))))*'Inputs Yr 2'!P261*'Inputs Yr 2'!Q261*'Inputs Yr 2'!U261,"")</f>
        <v>5344.8435743064692</v>
      </c>
      <c r="BZ261" s="193">
        <f t="shared" si="129"/>
        <v>5940.0620920225429</v>
      </c>
      <c r="CA261" s="193">
        <f t="shared" si="130"/>
        <v>36791.432364975612</v>
      </c>
      <c r="CB261" s="195">
        <f>IFERROR(G261*(IF('Inputs Yr 2'!$AJ261=CB$4,'Inputs Yr 2'!$AK261,IF('Inputs Yr 2'!$AL261=CB$4,'Inputs Yr 2'!$AM261,IF('Inputs Yr 2'!$AN261=CB$4,'Inputs Yr 2'!$AO261,0))))*(INDEX(avoidedcosttbl2,$H261,CB$2)+(($H261-ROUNDDOWN($H261,0))*(INDEX(avoidedcosttbl2,ROUNDUP($H261,0),CB$2)-(INDEX(avoidedcosttbl2,ROUNDDOWN($H261,0),CB$2)))))*'Inputs Yr 2'!P261*'Inputs Yr 2'!Q261*'Inputs Yr 2'!U261,"")</f>
        <v>0</v>
      </c>
      <c r="CC261" s="195">
        <f>IFERROR(H261*(IF('Inputs Yr 2'!$AJ261=CC$4,'Inputs Yr 2'!$AK261,IF('Inputs Yr 2'!$AL261=CC$4,'Inputs Yr 2'!$AM261,IF('Inputs Yr 2'!$AN261=CC$4,'Inputs Yr 2'!$AO261,0))))*(INDEX(avoidedcosttbl2,$H261,CC$2)+(($H261-ROUNDDOWN($H261,0))*(INDEX(avoidedcosttbl2,ROUNDUP($H261,0),CC$2)-(INDEX(avoidedcosttbl2,ROUNDDOWN($H261,0),CC$2)))))*'Inputs Yr 2'!Q261*'Inputs Yr 2'!R261*'Inputs Yr 2'!V261,"")</f>
        <v>0</v>
      </c>
      <c r="CD261" s="195">
        <f>IFERROR(I261*(IF('Inputs Yr 2'!$AJ261=CD$4,'Inputs Yr 2'!$AK261,IF('Inputs Yr 2'!$AL261=CD$4,'Inputs Yr 2'!$AM261,IF('Inputs Yr 2'!$AN261=CD$4,'Inputs Yr 2'!$AO261,0))))*(INDEX(avoidedcosttbl2,$H261,CD$2)+(($H261-ROUNDDOWN($H261,0))*(INDEX(avoidedcosttbl2,ROUNDUP($H261,0),CD$2)-(INDEX(avoidedcosttbl2,ROUNDDOWN($H261,0),CD$2)))))*'Inputs Yr 2'!R261*'Inputs Yr 2'!S261*'Inputs Yr 2'!W261,"")</f>
        <v>0</v>
      </c>
      <c r="CE261" s="213">
        <f t="shared" si="131"/>
        <v>0</v>
      </c>
      <c r="CF261" s="213">
        <f t="shared" si="132"/>
        <v>0</v>
      </c>
      <c r="CG261" s="213">
        <f t="shared" si="133"/>
        <v>0</v>
      </c>
      <c r="CH261" s="698">
        <f t="shared" si="134"/>
        <v>36791.432364975612</v>
      </c>
      <c r="CI261" s="79">
        <f>IFERROR(($G261*'Inputs Yr 2'!$P261*'Inputs Yr 2'!$Q261*(((INDEX(avoidedcosttbl2,$H261,CI$2)+(($H261-ROUNDDOWN($H261,0))*(INDEX(avoidedcosttbl2,ROUNDUP($H261,0),CI$2)-INDEX(avoidedcosttbl2,ROUNDDOWN($H261,0),CI$2))))*'Inputs Yr 2'!AS261))),"")</f>
        <v>0</v>
      </c>
      <c r="CJ261" s="504">
        <f>IFERROR($G261*'Inputs Yr 2'!AT261*'Inputs Yr 2'!$P261*'Inputs Yr 2'!$Q261/((1+realdiscrt1)^-0.5),"")</f>
        <v>0</v>
      </c>
      <c r="CK261" s="79">
        <f>IFERROR((O261*1000*(((INDEX(avoidedcosttbl2,$H261,CK$2)+(($H261-ROUNDDOWN($H261,0))*(INDEX(avoidedcosttbl2,ROUNDUP($H261,0),CK$2)-INDEX(avoidedcosttbl2,ROUNDDOWN($H261,0),CK$2))))*'Inputs Yr 2'!AU261))),"")</f>
        <v>0</v>
      </c>
      <c r="CL261" s="504">
        <f>IFERROR(O261*1000*'Inputs Yr 2'!AV261/((1+realdiscrt1)^-0.5),"")</f>
        <v>0</v>
      </c>
      <c r="CM261" s="79">
        <f>IFERROR((AB261*'Inputs Yr 2'!AW261*(((INDEX(avoidedcosttbl2,$H261,CM$2)+(($H261-ROUNDDOWN($H261,0))*(INDEX(avoidedcosttbl2,ROUNDUP($H261,0),CM$2)-INDEX(avoidedcosttbl2,ROUNDDOWN($H261,0),CM$2)))))))*10,"")</f>
        <v>10624.798565586603</v>
      </c>
      <c r="CN261" s="504">
        <f>IFERROR(10*AB261*'Inputs Yr 2'!AX261/((1+realdiscrt1)^-0.5),"")</f>
        <v>0</v>
      </c>
      <c r="CO261" s="505">
        <f t="shared" si="135"/>
        <v>10624.798565586603</v>
      </c>
      <c r="CP261" s="230">
        <f t="shared" si="136"/>
        <v>47416.230930562218</v>
      </c>
      <c r="CQ261" s="199">
        <f>ROUND(IFERROR(IF(LEFT($A261,1)="C",'Avoided Costs'!$K$13,'Avoided Costs'!$K$12)+1,""),4)</f>
        <v>1.0720000000000001</v>
      </c>
      <c r="CR261" s="199">
        <f>ROUND(IFERROR(IF(LEFT($A261,1)="C",'Avoided Costs'!$L$13,'Avoided Costs'!$L$12)+1,""),4)</f>
        <v>1.04</v>
      </c>
      <c r="CS261" s="199">
        <f>ROUND(IFERROR(IF(LEFT($A261,1)="C",'Avoided Costs'!$M$13,'Avoided Costs'!$M$12)+1,""),4)</f>
        <v>1.0720000000000001</v>
      </c>
      <c r="CT261" s="199">
        <f>ROUND(IFERROR(IF(LEFT($A261,1)="C",'Avoided Costs'!$N$13,'Avoided Costs'!$N$12)+1,""),4)</f>
        <v>1.04</v>
      </c>
      <c r="CU261" s="199">
        <f>ROUND(IFERROR(IF(LEFT($A261,1)="C",'Avoided Costs'!$O$13,'Avoided Costs'!$O$12)+1,""),4)</f>
        <v>1.1120000000000001</v>
      </c>
      <c r="CV261" s="199">
        <f>ROUND(IFERROR(IF(LEFT($A261,1)="C",'Avoided Costs'!$P$13,'Avoided Costs'!$P$12)+1,""),4)</f>
        <v>1.095</v>
      </c>
      <c r="CW261" s="199">
        <f>ROUND(IFERROR(IF(LEFT($A261,1)="C",'Avoided Costs'!$Q$13,'Avoided Costs'!$Q$12)+1,""),4)</f>
        <v>1.1120000000000001</v>
      </c>
      <c r="CX261" s="200">
        <f>ROUND(IFERROR(IF(LEFT($A261,1)="C",'Avoided Costs'!$R$13,'Avoided Costs'!$R$12)+1,""),4)</f>
        <v>1.1120000000000001</v>
      </c>
    </row>
    <row r="262" spans="1:102" ht="12.75" customHeight="1">
      <c r="A262" s="91" t="str">
        <f>IF('Inputs Yr 2'!$B262=0,"",'Inputs Yr 2'!A262)</f>
        <v>C - Commercial &amp; Industrial</v>
      </c>
      <c r="B262" s="91" t="str">
        <f>IF('Inputs Yr 2'!$B262=0,"",'Inputs Yr 2'!B262)</f>
        <v>C2 - C&amp;I Retrofit</v>
      </c>
      <c r="C262" s="91" t="str">
        <f>IF('Inputs Yr 2'!$B262=0,"",'Inputs Yr 2'!C262)</f>
        <v>C2a - C&amp;I Existing Building Retrofit</v>
      </c>
      <c r="D262" s="91" t="str">
        <f>IF('Inputs Yr 2'!$B262=0,"",'Inputs Yr 2'!E262)</f>
        <v>Other - Custom 10</v>
      </c>
      <c r="E262" s="93" t="str">
        <f>IF('Inputs Yr 2'!$B262=0,"",'Inputs Yr 2'!F262)</f>
        <v>G16C2a11</v>
      </c>
      <c r="F262" s="93" t="str">
        <f>IF('Inputs Yr 2'!$B262=0,"",'Inputs Yr 2'!G262)</f>
        <v>Custom Measures</v>
      </c>
      <c r="G262" s="95">
        <f>IF('Inputs Yr 2'!$H262&lt;&gt;0,('Inputs Yr 2'!H262),"")</f>
        <v>1</v>
      </c>
      <c r="H262" s="94">
        <f>IFERROR('Inputs Yr 2'!I262,"")</f>
        <v>10</v>
      </c>
      <c r="I262" s="298">
        <f>IFERROR('Inputs Yr 2'!J262*'Inputs Yr 2'!P262*G262,"")</f>
        <v>369096.86719999998</v>
      </c>
      <c r="J262" s="298">
        <f>IFERROR('Inputs Yr 2'!K262*G262,"")</f>
        <v>200814.4</v>
      </c>
      <c r="K262" s="298">
        <f t="shared" ref="K262:K325" si="143">IFERROR(I262-J262,"")</f>
        <v>168282.46719999998</v>
      </c>
      <c r="L262" s="194">
        <f>IFERROR(('Inputs Yr 2'!W262*G262)/1000,"")</f>
        <v>0</v>
      </c>
      <c r="M262" s="194">
        <f>IFERROR(L262*('Inputs Yr 2'!$Q262*'Inputs Yr 2'!$V262*'Inputs Yr 2'!$R262),"")</f>
        <v>0</v>
      </c>
      <c r="N262" s="194">
        <f t="shared" ref="N262:N325" si="144">IFERROR(M262*$H262,"")</f>
        <v>0</v>
      </c>
      <c r="O262" s="194">
        <f>IFERROR(M262*'Inputs Yr 2'!P262,"")</f>
        <v>0</v>
      </c>
      <c r="P262" s="194">
        <f t="shared" ref="P262:P325" si="145">IFERROR(O262*$H262,"")</f>
        <v>0</v>
      </c>
      <c r="Q262" s="194">
        <f>IFERROR($P262*'Inputs Yr 2'!AA262,"")</f>
        <v>0</v>
      </c>
      <c r="R262" s="194">
        <f>IFERROR($P262*'Inputs Yr 2'!AB262,"")</f>
        <v>0</v>
      </c>
      <c r="S262" s="194">
        <f>IFERROR($P262*'Inputs Yr 2'!AC262,"")</f>
        <v>0</v>
      </c>
      <c r="T262" s="194">
        <f>IFERROR($P262*'Inputs Yr 2'!AD262,"")</f>
        <v>0</v>
      </c>
      <c r="U262" s="194">
        <f>IFERROR(G262*'Inputs Yr 2'!$AE262*'Inputs Yr 2'!$P262*'Inputs Yr 2'!$Q262,"")</f>
        <v>0</v>
      </c>
      <c r="V262" s="194">
        <f>IFERROR($G262*'Inputs Yr 2'!$AE262*'Inputs Yr 2'!$AG262*'Inputs Yr 2'!Q262*'Inputs Yr 2'!$S262,"")</f>
        <v>0</v>
      </c>
      <c r="W262" s="194">
        <f>IFERROR($G262*'Inputs Yr 2'!$AE262*'Inputs Yr 2'!$AG262*'Inputs Yr 2'!P262*'Inputs Yr 2'!Q262*'Inputs Yr 2'!$S262,"")</f>
        <v>0</v>
      </c>
      <c r="X262" s="194">
        <f>IFERROR($G262*'Inputs Yr 2'!$AE262*'Inputs Yr 2'!$AF262*'Inputs Yr 2'!Q262*'Inputs Yr 2'!$T262,"")</f>
        <v>0</v>
      </c>
      <c r="Y262" s="194">
        <f>IFERROR($G262*'Inputs Yr 2'!$AE262*'Inputs Yr 2'!$AF262*'Inputs Yr 2'!P262*'Inputs Yr 2'!Q262*'Inputs Yr 2'!$T262,"")</f>
        <v>0</v>
      </c>
      <c r="Z262" s="257">
        <f>IFERROR($G262*'Inputs Yr 2'!$Q262*'Inputs Yr 2'!$U262*(IF(IFERROR(SEARCH("NG", 'Inputs Yr 2'!$AJ262),0),'Inputs Yr 2'!$AK262,0)+IF(IFERROR(SEARCH("NG", 'Inputs Yr 2'!$AL262),0),'Inputs Yr 2'!$AM262,0)+IF(IFERROR(SEARCH("NG", 'Inputs Yr 2'!$AN262),0),'Inputs Yr 2'!$AO262,0)),0)</f>
        <v>35220.50634</v>
      </c>
      <c r="AA262" s="257">
        <f t="shared" ref="AA262:AA325" si="146">IFERROR(Z262*$H262,0)</f>
        <v>352205.06339999998</v>
      </c>
      <c r="AB262" s="257">
        <f>IFERROR(Z262*'Inputs Yr 2'!$P262,0)</f>
        <v>32367.645326460002</v>
      </c>
      <c r="AC262" s="257">
        <f t="shared" ref="AC262:AC325" si="147">IFERROR(AB262*$H262,0)</f>
        <v>323676.45326460002</v>
      </c>
      <c r="AD262" s="257">
        <f>IFERROR($G262*'Inputs Yr 2'!$Q262*'Inputs Yr 2'!$U262*(IF(IFERROR(SEARCH("Oil", 'Inputs Yr 2'!$AJ262), 0),'Inputs Yr 2'!$AK262,0)+IF(IFERROR(SEARCH("Oil", 'Inputs Yr 2'!$AL262), 0),'Inputs Yr 2'!$AM262,0)+IF(IFERROR(SEARCH("Oil", 'Inputs Yr 2'!$AN262), 0),'Inputs Yr 2'!$AO262,0)),0)</f>
        <v>0</v>
      </c>
      <c r="AE262" s="257">
        <f t="shared" ref="AE262:AE325" si="148">IFERROR(AD262*$H262,0)</f>
        <v>0</v>
      </c>
      <c r="AF262" s="257">
        <f>IFERROR(AD262*'Inputs Yr 2'!$P262,0)</f>
        <v>0</v>
      </c>
      <c r="AG262" s="257">
        <f t="shared" ref="AG262:AG325" si="149">IFERROR(AF262*$H262,0)</f>
        <v>0</v>
      </c>
      <c r="AH262" s="257">
        <f>IFERROR($G262*'Inputs Yr 2'!$Q262*'Inputs Yr 2'!$U262*(IF('Inputs Yr 2'!$AJ262=CD$4,'Inputs Yr 2'!$AK262,IF('Inputs Yr 2'!$AL262=CD$4,'Inputs Yr 2'!$AM262,IF('Inputs Yr 2'!$AN262=CD$4,'Inputs Yr 2'!$AO262,0)))),0)</f>
        <v>0</v>
      </c>
      <c r="AI262" s="257">
        <f t="shared" ref="AI262:AI325" si="150">IFERROR(AH262*$H262,0)</f>
        <v>0</v>
      </c>
      <c r="AJ262" s="257">
        <f>IFERROR(AH262*'Inputs Yr 2'!$P262,0)</f>
        <v>0</v>
      </c>
      <c r="AK262" s="257">
        <f t="shared" ref="AK262:AK325" si="151">IFERROR(AJ262*$H262,0)</f>
        <v>0</v>
      </c>
      <c r="AL262" s="258">
        <f>IFERROR($G262*'Inputs Yr 2'!$P262*'Inputs Yr 2'!$Q262*'Inputs Yr 2'!AP262,0)</f>
        <v>0</v>
      </c>
      <c r="AM262" s="260">
        <f>IFERROR($G262*'Inputs Yr 2'!$P262*'Inputs Yr 2'!$Q262*'Inputs Yr 2'!AQ262,0)</f>
        <v>0</v>
      </c>
      <c r="AN262" s="258">
        <f>IFERROR($G262*'Inputs Yr 2'!$P262*'Inputs Yr 2'!$Q262*'Inputs Yr 2'!AR262,0)</f>
        <v>0</v>
      </c>
      <c r="AO262" s="257">
        <f t="shared" ref="AO262:AO325" si="152">IFERROR(SUM(AL262:AM262)*$H262,0)</f>
        <v>0</v>
      </c>
      <c r="AP262" s="195">
        <f>IFERROR($CQ262*(INDEX(avoidedcosttbl2,$H262,AP$2)+(($H262-ROUNDDOWN($H262,0))*(INDEX(avoidedcosttbl2,ROUNDUP($H262,0),AP$2)-(INDEX(avoidedcosttbl2,ROUNDDOWN($H262,0),AP$2)))))*$O262*1000*'Inputs Yr 2'!AA262,"")</f>
        <v>0</v>
      </c>
      <c r="AQ262" s="195">
        <f>IFERROR($CR262*(INDEX(avoidedcosttbl2,$H262,AQ$2)+(($H262-ROUNDDOWN($H262,0))*(INDEX(avoidedcosttbl2,ROUNDUP($H262,0),AQ$2)-(INDEX(avoidedcosttbl2,ROUNDDOWN($H262,0),AQ$2)))))*$O262*1000*'Inputs Yr 2'!AB262,"")</f>
        <v>0</v>
      </c>
      <c r="AR262" s="195">
        <f>IFERROR($CS262*(INDEX(avoidedcosttbl2,$H262,AR$2)+(($H262-ROUNDDOWN($H262,0))*(INDEX(avoidedcosttbl2,ROUNDUP($H262,0),AR$2)-(INDEX(avoidedcosttbl2,ROUNDDOWN($H262,0),AR$2)))))*$O262*1000*'Inputs Yr 2'!AC262,"")</f>
        <v>0</v>
      </c>
      <c r="AS262" s="195">
        <f>IFERROR($CT262*(INDEX(avoidedcosttbl2,$H262,AS$2)+(($H262-ROUNDDOWN($H262,0))*(INDEX(avoidedcosttbl2,ROUNDUP($H262,0),AS$2)-(INDEX(avoidedcosttbl2,ROUNDDOWN($H262,0),AS$2)))))*$O262*1000*'Inputs Yr 2'!AD262,"")</f>
        <v>0</v>
      </c>
      <c r="AT262" s="196">
        <f t="shared" ref="AT262:AT325" si="153">IFERROR(SUM(AP262:AS262),"")</f>
        <v>0</v>
      </c>
      <c r="AU262" s="197">
        <f>IFERROR($CQ262*((INDEX(avoidedcosttbl2,$H262,AU$2))+(($H262-ROUNDDOWN($H262,0))*((INDEX(avoidedcosttbl2,ROUNDUP($H262,0),AU$2))-(INDEX(avoidedcosttbl2,ROUNDDOWN($H262,0),AU$2)))))*$O262*1000*'Inputs Yr 2'!AA262,"")</f>
        <v>0</v>
      </c>
      <c r="AV262" s="197">
        <f>IFERROR($CR262*((INDEX(avoidedcosttbl2,$H262,AV$2))+(($H262-ROUNDDOWN($H262,0))*((INDEX(avoidedcosttbl2,ROUNDUP($H262,0),AV$2))-(INDEX(avoidedcosttbl2,ROUNDDOWN($H262,0),AV$2)))))*$O262*1000*'Inputs Yr 2'!AB262,"")</f>
        <v>0</v>
      </c>
      <c r="AW262" s="197">
        <f>IFERROR($CS262*((INDEX(avoidedcosttbl2,$H262,AW$2))+(($H262-ROUNDDOWN($H262,0))*((INDEX(avoidedcosttbl2,ROUNDUP($H262,0),AW$2))-(INDEX(avoidedcosttbl2,ROUNDDOWN($H262,0),AW$2)))))*$O262*1000*'Inputs Yr 2'!AC262,"")</f>
        <v>0</v>
      </c>
      <c r="AX262" s="197">
        <f>IFERROR($CT262*((INDEX(avoidedcosttbl2,$H262,AX$2))+(($H262-ROUNDDOWN($H262,0))*((INDEX(avoidedcosttbl2,ROUNDUP($H262,0),AX$2))-(INDEX(avoidedcosttbl2,ROUNDDOWN($H262,0),AX$2)))))*$O262*1000*'Inputs Yr 2'!AD262,"")</f>
        <v>0</v>
      </c>
      <c r="AY262" s="197">
        <f>IFERROR(((INDEX(avoidedcosttbl2,$H262,AY$2))+(($H262-ROUNDDOWN($H262,0))*((INDEX(avoidedcosttbl2,ROUNDUP($H262,0),AY$2))-(INDEX(avoidedcosttbl2,ROUNDDOWN($H262,0),AY$2)))))*$O262*1000*('Inputs Yr 2'!AC262+'Inputs Yr 2'!AD262),"")</f>
        <v>0</v>
      </c>
      <c r="AZ262" s="197">
        <f>IFERROR(((INDEX(avoidedcosttbl2,$H262,AZ$2))+(($H262-ROUNDDOWN($H262,0))*((INDEX(avoidedcosttbl2,ROUNDUP($H262,0),AZ$2))-(INDEX(avoidedcosttbl2,ROUNDDOWN($H262,0),AZ$2)))))*$O262*1000*('Inputs Yr 2'!AA262+'Inputs Yr 2'!AB262),"")</f>
        <v>0</v>
      </c>
      <c r="BA262" s="198">
        <f t="shared" ref="BA262:BA325" si="154">IFERROR(SUM(AU262:AZ262),"")</f>
        <v>0</v>
      </c>
      <c r="BB262" s="198">
        <f t="shared" ref="BB262:BB325" si="155">IFERROR(SUM(AT262,BA262),"")</f>
        <v>0</v>
      </c>
      <c r="BC262" s="195">
        <f t="shared" si="137"/>
        <v>0</v>
      </c>
      <c r="BD262" s="195">
        <f t="shared" si="138"/>
        <v>0</v>
      </c>
      <c r="BE262" s="195">
        <f t="shared" si="139"/>
        <v>0</v>
      </c>
      <c r="BF262" s="195">
        <f t="shared" si="140"/>
        <v>0</v>
      </c>
      <c r="BG262" s="195">
        <f t="shared" si="141"/>
        <v>0</v>
      </c>
      <c r="BH262" s="196">
        <f t="shared" ref="BH262:BH325" si="156">IFERROR(SUM(BC262:BG262),"")</f>
        <v>0</v>
      </c>
      <c r="BI262" s="196">
        <f t="shared" ref="BI262:BI325" si="157">IFERROR(BB262+BH262,"")</f>
        <v>0</v>
      </c>
      <c r="BJ262" s="195">
        <f>IFERROR($G262*(IF('Inputs Yr 2'!$AJ262=BJ$4,'Inputs Yr 2'!$AK262,IF('Inputs Yr 2'!$AL262=BJ$4,'Inputs Yr 2'!$AM262,IF('Inputs Yr 2'!$AN262=BJ$4,'Inputs Yr 2'!$AO262,0))))*(INDEX(avoidedcosttbl2,$H262,BJ$2)+(($H262-ROUNDDOWN($H262,0))*(INDEX(avoidedcosttbl2,ROUNDUP($H262,0),BJ$2)-(INDEX(avoidedcosttbl2,ROUNDDOWN($H262,0),BJ$2)))))*'Inputs Yr 2'!P262*'Inputs Yr 2'!Q262*'Inputs Yr 2'!U262,"")</f>
        <v>0</v>
      </c>
      <c r="BK262" s="195">
        <f>IFERROR($G262*(IF('Inputs Yr 2'!$AJ262=BK$4,'Inputs Yr 2'!$AK262,IF('Inputs Yr 2'!$AL262=BK$4,'Inputs Yr 2'!$AM262,IF('Inputs Yr 2'!$AN262=BK$4,'Inputs Yr 2'!$AO262,0))))*(INDEX(avoidedcosttbl2,$H262,BK$2)+(($H262-ROUNDDOWN($H262,0))*(INDEX(avoidedcosttbl2,ROUNDUP($H262,0),BK$2)-(INDEX(avoidedcosttbl2,ROUNDDOWN($H262,0),BK$2)))))*'Inputs Yr 2'!P262*'Inputs Yr 2'!Q262*'Inputs Yr 2'!U262,"")</f>
        <v>0</v>
      </c>
      <c r="BL262" s="195">
        <f>IFERROR($G262*(IF('Inputs Yr 2'!$AJ262=BL$4,'Inputs Yr 2'!$AK262,IF('Inputs Yr 2'!$AL262=BL$4,'Inputs Yr 2'!$AM262,IF('Inputs Yr 2'!$AN262=BL$4,'Inputs Yr 2'!$AO262,0))))*(INDEX(avoidedcosttbl2,$H262,BL$2)+(($H262-ROUNDDOWN($H262,0))*(INDEX(avoidedcosttbl2,ROUNDUP($H262,0),BL$2)-(INDEX(avoidedcosttbl2,ROUNDDOWN($H262,0),BL$2)))))*'Inputs Yr 2'!P262*'Inputs Yr 2'!Q262*'Inputs Yr 2'!U262,"")</f>
        <v>0</v>
      </c>
      <c r="BM262" s="195">
        <f>IFERROR($G262*(IF('Inputs Yr 2'!$AJ262=BM$4,'Inputs Yr 2'!$AK262,IF('Inputs Yr 2'!$AL262=BM$4,'Inputs Yr 2'!$AM262,IF('Inputs Yr 2'!$AN262=BM$4,'Inputs Yr 2'!$AO262,0))))*(INDEX(avoidedcosttbl2,$H262,BM$2)+(($H262-ROUNDDOWN($H262,0))*(INDEX(avoidedcosttbl2,ROUNDUP($H262,0),BM$2)-(INDEX(avoidedcosttbl2,ROUNDDOWN($H262,0),BM$2)))))*'Inputs Yr 2'!P262*'Inputs Yr 2'!Q262*'Inputs Yr 2'!U262,"")</f>
        <v>0</v>
      </c>
      <c r="BN262" s="195">
        <f>IFERROR($G262*(IF('Inputs Yr 2'!$AJ262=BN$4,'Inputs Yr 2'!$AK262,IF('Inputs Yr 2'!$AL262=BN$4,'Inputs Yr 2'!$AM262,IF('Inputs Yr 2'!$AN262=BN$4,'Inputs Yr 2'!$AO262,0))))*(INDEX(avoidedcosttbl2,$H262,BN$2)+(($H262-ROUNDDOWN($H262,0))*(INDEX(avoidedcosttbl2,ROUNDUP($H262,0),BN$2)-(INDEX(avoidedcosttbl2,ROUNDDOWN($H262,0),BN$2)))))*'Inputs Yr 2'!P262*'Inputs Yr 2'!Q262*'Inputs Yr 2'!U262,"")</f>
        <v>0</v>
      </c>
      <c r="BO262" s="195">
        <f>IFERROR($G262*(IF('Inputs Yr 2'!$AJ262=BO$4,'Inputs Yr 2'!$AK262,IF('Inputs Yr 2'!$AL262=BO$4,'Inputs Yr 2'!$AM262,IF('Inputs Yr 2'!$AN262=BO$4,'Inputs Yr 2'!$AO262,0))))*(INDEX(avoidedcosttbl2,$H262,BO$2)+(($H262-ROUNDDOWN($H262,0))*(INDEX(avoidedcosttbl2,ROUNDUP($H262,0),BO$2)-(INDEX(avoidedcosttbl2,ROUNDDOWN($H262,0),BO$2)))))*'Inputs Yr 2'!P262*'Inputs Yr 2'!Q262*'Inputs Yr 2'!U262,"")</f>
        <v>0</v>
      </c>
      <c r="BP262" s="195">
        <f>IFERROR($G262*(IF('Inputs Yr 2'!$AJ262=BP$4,'Inputs Yr 2'!$AK262,IF('Inputs Yr 2'!$AL262=BP$4,'Inputs Yr 2'!$AM262,IF('Inputs Yr 2'!$AN262=BP$4,'Inputs Yr 2'!$AO262,0))))*(INDEX(avoidedcosttbl2,$H262,BP$2)+(($H262-ROUNDDOWN($H262,0))*(INDEX(avoidedcosttbl2,ROUNDUP($H262,0),BP$2)-(INDEX(avoidedcosttbl2,ROUNDDOWN($H262,0),BP$2)))))*'Inputs Yr 2'!P262*'Inputs Yr 2'!Q262*'Inputs Yr 2'!U262,"")</f>
        <v>2358041.2997003887</v>
      </c>
      <c r="BQ262" s="230">
        <f t="shared" ref="BQ262:BQ325" si="158">IFERROR(SUM(BJ262:BP262),"")</f>
        <v>2358041.2997003887</v>
      </c>
      <c r="BR262" s="197">
        <f t="shared" si="142"/>
        <v>44351.453190673172</v>
      </c>
      <c r="BS262" s="197">
        <f>IFERROR(($G262*IF('Inputs Yr 2'!$AJ262=BM$4,'Inputs Yr 2'!$AK262,IF('Inputs Yr 2'!$AL262=BM$4,'Inputs Yr 2'!$AM262,IF('Inputs Yr 2'!$AN262=BM$4,'Inputs Yr 2'!$AO262,0))))*(INDEX(avoidedcosttbl2,$H262,BS$2)+(($H262-ROUNDDOWN($H262,0))*(INDEX(avoidedcosttbl2,ROUNDUP($H262,0),BS$2)-(INDEX(avoidedcosttbl2,ROUNDDOWN($H262,0),BS$2)))))*'Inputs Yr 2'!P262*'Inputs Yr 2'!Q262*'Inputs Yr 2'!U262,"")</f>
        <v>0</v>
      </c>
      <c r="BT262" s="197">
        <f>IFERROR(($G262*IF('Inputs Yr 2'!$AJ262=BK$4,'Inputs Yr 2'!$AK262,IF('Inputs Yr 2'!$AL262=BK$4,'Inputs Yr 2'!$AM262,IF('Inputs Yr 2'!$AN262=BK$4,'Inputs Yr 2'!$AO262,0))))*(INDEX(avoidedcosttbl2,$H262,BT$2)+(($H262-ROUNDDOWN($H262,0))*(INDEX(avoidedcosttbl2,ROUNDUP($H262,0),BT$2)-(INDEX(avoidedcosttbl2,ROUNDDOWN($H262,0),BT$2)))))*'Inputs Yr 2'!P262*'Inputs Yr 2'!Q262*'Inputs Yr 2'!U262,"")</f>
        <v>0</v>
      </c>
      <c r="BU262" s="197">
        <f>IFERROR(($G262*IF('Inputs Yr 2'!$AJ262=BL$4,'Inputs Yr 2'!$AK262,IF('Inputs Yr 2'!$AL262=BL$4,'Inputs Yr 2'!$AM262,IF('Inputs Yr 2'!$AN262=BL$4,'Inputs Yr 2'!$AO262,0))))*(INDEX(avoidedcosttbl2,$H262,BU$2)+(($H262-ROUNDDOWN($H262,0))*(INDEX(avoidedcosttbl2,ROUNDUP($H262,0),BU$2)-(INDEX(avoidedcosttbl2,ROUNDDOWN($H262,0),BU$2)))))*'Inputs Yr 2'!P262*'Inputs Yr 2'!Q262*'Inputs Yr 2'!U262,"")</f>
        <v>0</v>
      </c>
      <c r="BV262" s="775">
        <f>IFERROR(($G262*IF('Inputs Yr 2'!$AJ262=BJ$4,'Inputs Yr 2'!$AK262,IF('Inputs Yr 2'!$AL262=BJ$4,'Inputs Yr 2'!$AM262,IF('Inputs Yr 2'!$AN262=BJ$4,'Inputs Yr 2'!$AO262,0))))*(INDEX(avoidedcosttbl2,$H262,BV$2)+(($H262-ROUNDDOWN($H262,0))*(INDEX(avoidedcosttbl2,ROUNDUP($H262,0),BV$2)-(INDEX(avoidedcosttbl2,ROUNDDOWN($H262,0),BV$2)))))*'Inputs Yr 2'!P262*'Inputs Yr 2'!Q262*'Inputs Yr 2'!U262,"")</f>
        <v>0</v>
      </c>
      <c r="BW262" s="197">
        <f>IFERROR(($G262*IF('Inputs Yr 2'!$AJ262=BN$4,'Inputs Yr 2'!$AK262,IF('Inputs Yr 2'!$AL262=BN$4,'Inputs Yr 2'!$AM262,IF('Inputs Yr 2'!$AN262=BN$4,'Inputs Yr 2'!$AO262,0))))*(INDEX(avoidedcosttbl2,$H262,BW$2)+(($H262-ROUNDDOWN($H262,0))*(INDEX(avoidedcosttbl2,ROUNDUP($H262,0),BW$2)-(INDEX(avoidedcosttbl2,ROUNDDOWN($H262,0),BW$2)))))*'Inputs Yr 2'!P262*'Inputs Yr 2'!Q262*'Inputs Yr 2'!U262,"")</f>
        <v>0</v>
      </c>
      <c r="BX262" s="197">
        <f>IFERROR(($G262*IF('Inputs Yr 2'!$AJ262=BO$4,'Inputs Yr 2'!$AK262,IF('Inputs Yr 2'!$AL262=BO$4,'Inputs Yr 2'!$AM262,IF('Inputs Yr 2'!$AN262=BO$4,'Inputs Yr 2'!$AO262,0))))*(INDEX(avoidedcosttbl2,$H262,BX$2)+(($H262-ROUNDDOWN($H262,0))*(INDEX(avoidedcosttbl2,ROUNDUP($H262,0),BX$2)-(INDEX(avoidedcosttbl2,ROUNDDOWN($H262,0),BX$2)))))*'Inputs Yr 2'!P262*'Inputs Yr 2'!Q262*'Inputs Yr 2'!U262,"")</f>
        <v>0</v>
      </c>
      <c r="BY262" s="197">
        <f>IFERROR(($G262*IF('Inputs Yr 2'!$AJ262=BP$4,'Inputs Yr 2'!$AK262,IF('Inputs Yr 2'!$AL262=BP$4,'Inputs Yr 2'!$AM262,IF('Inputs Yr 2'!$AN262=BP$4,'Inputs Yr 2'!$AO262,0))))*(INDEX(avoidedcosttbl2,$H262,BY$2)+(($H262-ROUNDDOWN($H262,0))*(INDEX(avoidedcosttbl2,ROUNDUP($H262,0),BY$2)-(INDEX(avoidedcosttbl2,ROUNDDOWN($H262,0),BY$2)))))*'Inputs Yr 2'!P262*'Inputs Yr 2'!Q262*'Inputs Yr 2'!U262,"")</f>
        <v>259183.98799316038</v>
      </c>
      <c r="BZ262" s="193">
        <f t="shared" ref="BZ262:BZ325" si="159">IFERROR(SUM(BR262:BY262),"")</f>
        <v>303535.44118383352</v>
      </c>
      <c r="CA262" s="193">
        <f t="shared" ref="CA262:CA325" si="160">IFERROR(BQ262+BZ262,"")</f>
        <v>2661576.7408842221</v>
      </c>
      <c r="CB262" s="195">
        <f>IFERROR(G262*(IF('Inputs Yr 2'!$AJ262=CB$4,'Inputs Yr 2'!$AK262,IF('Inputs Yr 2'!$AL262=CB$4,'Inputs Yr 2'!$AM262,IF('Inputs Yr 2'!$AN262=CB$4,'Inputs Yr 2'!$AO262,0))))*(INDEX(avoidedcosttbl2,$H262,CB$2)+(($H262-ROUNDDOWN($H262,0))*(INDEX(avoidedcosttbl2,ROUNDUP($H262,0),CB$2)-(INDEX(avoidedcosttbl2,ROUNDDOWN($H262,0),CB$2)))))*'Inputs Yr 2'!P262*'Inputs Yr 2'!Q262*'Inputs Yr 2'!U262,"")</f>
        <v>0</v>
      </c>
      <c r="CC262" s="195">
        <f>IFERROR(H262*(IF('Inputs Yr 2'!$AJ262=CC$4,'Inputs Yr 2'!$AK262,IF('Inputs Yr 2'!$AL262=CC$4,'Inputs Yr 2'!$AM262,IF('Inputs Yr 2'!$AN262=CC$4,'Inputs Yr 2'!$AO262,0))))*(INDEX(avoidedcosttbl2,$H262,CC$2)+(($H262-ROUNDDOWN($H262,0))*(INDEX(avoidedcosttbl2,ROUNDUP($H262,0),CC$2)-(INDEX(avoidedcosttbl2,ROUNDDOWN($H262,0),CC$2)))))*'Inputs Yr 2'!Q262*'Inputs Yr 2'!R262*'Inputs Yr 2'!V262,"")</f>
        <v>0</v>
      </c>
      <c r="CD262" s="195">
        <f>IFERROR(I262*(IF('Inputs Yr 2'!$AJ262=CD$4,'Inputs Yr 2'!$AK262,IF('Inputs Yr 2'!$AL262=CD$4,'Inputs Yr 2'!$AM262,IF('Inputs Yr 2'!$AN262=CD$4,'Inputs Yr 2'!$AO262,0))))*(INDEX(avoidedcosttbl2,$H262,CD$2)+(($H262-ROUNDDOWN($H262,0))*(INDEX(avoidedcosttbl2,ROUNDUP($H262,0),CD$2)-(INDEX(avoidedcosttbl2,ROUNDDOWN($H262,0),CD$2)))))*'Inputs Yr 2'!R262*'Inputs Yr 2'!S262*'Inputs Yr 2'!W262,"")</f>
        <v>0</v>
      </c>
      <c r="CE262" s="213">
        <f t="shared" ref="CE262:CE325" si="161">IFERROR(AL262*(INDEX(avoidedcosttbl2,$H262,CE$2)+(($H262-ROUNDDOWN($H262,0))*(INDEX(avoidedcosttbl2,ROUNDUP($H262,0),CE$2)-(INDEX(avoidedcosttbl2,ROUNDDOWN($H262,0),CE$2))))),"")</f>
        <v>0</v>
      </c>
      <c r="CF262" s="213">
        <f t="shared" ref="CF262:CF325" si="162">IFERROR(AM262*(INDEX(avoidedcosttbl2,$H262,CF$2)+(($H262-ROUNDDOWN($H262,0))*(INDEX(avoidedcosttbl2,ROUNDUP($H262,0),CF$2)-(INDEX(avoidedcosttbl2,ROUNDDOWN($H262,0),CF$2))))),"")</f>
        <v>0</v>
      </c>
      <c r="CG262" s="213">
        <f t="shared" ref="CG262:CG325" si="163">IFERROR(AN262*(INDEX(avoidedcosttbl2,$H262,CG$2)+(($H262-ROUNDDOWN($H262,0))*(INDEX(avoidedcosttbl2,ROUNDUP($H262,0),CG$2)-(INDEX(avoidedcosttbl2,ROUNDDOWN($H262,0),CG$2))))),"")</f>
        <v>0</v>
      </c>
      <c r="CH262" s="698">
        <f t="shared" ref="CH262:CH325" si="164">IFERROR(SUM(CA262:CG262),"")</f>
        <v>2661576.7408842221</v>
      </c>
      <c r="CI262" s="79">
        <f>IFERROR(($G262*'Inputs Yr 2'!$P262*'Inputs Yr 2'!$Q262*(((INDEX(avoidedcosttbl2,$H262,CI$2)+(($H262-ROUNDDOWN($H262,0))*(INDEX(avoidedcosttbl2,ROUNDUP($H262,0),CI$2)-INDEX(avoidedcosttbl2,ROUNDDOWN($H262,0),CI$2))))*'Inputs Yr 2'!AS262))),"")</f>
        <v>0</v>
      </c>
      <c r="CJ262" s="504">
        <f>IFERROR($G262*'Inputs Yr 2'!AT262*'Inputs Yr 2'!$P262*'Inputs Yr 2'!$Q262/((1+realdiscrt1)^-0.5),"")</f>
        <v>0</v>
      </c>
      <c r="CK262" s="79">
        <f>IFERROR((O262*1000*(((INDEX(avoidedcosttbl2,$H262,CK$2)+(($H262-ROUNDDOWN($H262,0))*(INDEX(avoidedcosttbl2,ROUNDUP($H262,0),CK$2)-INDEX(avoidedcosttbl2,ROUNDDOWN($H262,0),CK$2))))*'Inputs Yr 2'!AU262))),"")</f>
        <v>0</v>
      </c>
      <c r="CL262" s="504">
        <f>IFERROR(O262*1000*'Inputs Yr 2'!AV262/((1+realdiscrt1)^-0.5),"")</f>
        <v>0</v>
      </c>
      <c r="CM262" s="79">
        <f>IFERROR((AB262*'Inputs Yr 2'!AW262*(((INDEX(avoidedcosttbl2,$H262,CM$2)+(($H262-ROUNDDOWN($H262,0))*(INDEX(avoidedcosttbl2,ROUNDUP($H262,0),CM$2)-INDEX(avoidedcosttbl2,ROUNDDOWN($H262,0),CM$2)))))))*10,"")</f>
        <v>791684.46917628625</v>
      </c>
      <c r="CN262" s="504">
        <f>IFERROR(10*AB262*'Inputs Yr 2'!AX262/((1+realdiscrt1)^-0.5),"")</f>
        <v>0</v>
      </c>
      <c r="CO262" s="505">
        <f t="shared" ref="CO262:CO325" si="165">SUM(CI262:CN262)</f>
        <v>791684.46917628625</v>
      </c>
      <c r="CP262" s="230">
        <f t="shared" ref="CP262:CP325" si="166">IFERROR(CO262+CH262+BI262,"")</f>
        <v>3453261.2100605085</v>
      </c>
      <c r="CQ262" s="199">
        <f>ROUND(IFERROR(IF(LEFT($A262,1)="C",'Avoided Costs'!$K$13,'Avoided Costs'!$K$12)+1,""),4)</f>
        <v>1.0720000000000001</v>
      </c>
      <c r="CR262" s="199">
        <f>ROUND(IFERROR(IF(LEFT($A262,1)="C",'Avoided Costs'!$L$13,'Avoided Costs'!$L$12)+1,""),4)</f>
        <v>1.04</v>
      </c>
      <c r="CS262" s="199">
        <f>ROUND(IFERROR(IF(LEFT($A262,1)="C",'Avoided Costs'!$M$13,'Avoided Costs'!$M$12)+1,""),4)</f>
        <v>1.0720000000000001</v>
      </c>
      <c r="CT262" s="199">
        <f>ROUND(IFERROR(IF(LEFT($A262,1)="C",'Avoided Costs'!$N$13,'Avoided Costs'!$N$12)+1,""),4)</f>
        <v>1.04</v>
      </c>
      <c r="CU262" s="199">
        <f>ROUND(IFERROR(IF(LEFT($A262,1)="C",'Avoided Costs'!$O$13,'Avoided Costs'!$O$12)+1,""),4)</f>
        <v>1.1120000000000001</v>
      </c>
      <c r="CV262" s="199">
        <f>ROUND(IFERROR(IF(LEFT($A262,1)="C",'Avoided Costs'!$P$13,'Avoided Costs'!$P$12)+1,""),4)</f>
        <v>1.095</v>
      </c>
      <c r="CW262" s="199">
        <f>ROUND(IFERROR(IF(LEFT($A262,1)="C",'Avoided Costs'!$Q$13,'Avoided Costs'!$Q$12)+1,""),4)</f>
        <v>1.1120000000000001</v>
      </c>
      <c r="CX262" s="200">
        <f>ROUND(IFERROR(IF(LEFT($A262,1)="C",'Avoided Costs'!$R$13,'Avoided Costs'!$R$12)+1,""),4)</f>
        <v>1.1120000000000001</v>
      </c>
    </row>
    <row r="263" spans="1:102" ht="12.75" customHeight="1">
      <c r="A263" s="91" t="str">
        <f>IF('Inputs Yr 2'!$B263=0,"",'Inputs Yr 2'!A263)</f>
        <v>C - Commercial &amp; Industrial</v>
      </c>
      <c r="B263" s="91" t="str">
        <f>IF('Inputs Yr 2'!$B263=0,"",'Inputs Yr 2'!B263)</f>
        <v>C2 - C&amp;I Retrofit</v>
      </c>
      <c r="C263" s="91" t="str">
        <f>IF('Inputs Yr 2'!$B263=0,"",'Inputs Yr 2'!C263)</f>
        <v>C2a - C&amp;I Existing Building Retrofit</v>
      </c>
      <c r="D263" s="91" t="str">
        <f>IF('Inputs Yr 2'!$B263=0,"",'Inputs Yr 2'!E263)</f>
        <v>Other - Custom 12</v>
      </c>
      <c r="E263" s="93" t="str">
        <f>IF('Inputs Yr 2'!$B263=0,"",'Inputs Yr 2'!F263)</f>
        <v>G16C2a11</v>
      </c>
      <c r="F263" s="93" t="str">
        <f>IF('Inputs Yr 2'!$B263=0,"",'Inputs Yr 2'!G263)</f>
        <v>Custom Measures</v>
      </c>
      <c r="G263" s="95">
        <f>IF('Inputs Yr 2'!$H263&lt;&gt;0,('Inputs Yr 2'!H263),"")</f>
        <v>1</v>
      </c>
      <c r="H263" s="94">
        <f>IFERROR('Inputs Yr 2'!I263,"")</f>
        <v>12</v>
      </c>
      <c r="I263" s="298">
        <f>IFERROR('Inputs Yr 2'!J263*'Inputs Yr 2'!P263*G263,"")</f>
        <v>9449.801300000001</v>
      </c>
      <c r="J263" s="298">
        <f>IFERROR('Inputs Yr 2'!K263*G263,"")</f>
        <v>5141.3500000000004</v>
      </c>
      <c r="K263" s="298">
        <f t="shared" si="143"/>
        <v>4308.4513000000006</v>
      </c>
      <c r="L263" s="194">
        <f>IFERROR(('Inputs Yr 2'!W263*G263)/1000,"")</f>
        <v>0</v>
      </c>
      <c r="M263" s="194">
        <f>IFERROR(L263*('Inputs Yr 2'!$Q263*'Inputs Yr 2'!$V263*'Inputs Yr 2'!$R263),"")</f>
        <v>0</v>
      </c>
      <c r="N263" s="194">
        <f t="shared" si="144"/>
        <v>0</v>
      </c>
      <c r="O263" s="194">
        <f>IFERROR(M263*'Inputs Yr 2'!P263,"")</f>
        <v>0</v>
      </c>
      <c r="P263" s="194">
        <f t="shared" si="145"/>
        <v>0</v>
      </c>
      <c r="Q263" s="194">
        <f>IFERROR($P263*'Inputs Yr 2'!AA263,"")</f>
        <v>0</v>
      </c>
      <c r="R263" s="194">
        <f>IFERROR($P263*'Inputs Yr 2'!AB263,"")</f>
        <v>0</v>
      </c>
      <c r="S263" s="194">
        <f>IFERROR($P263*'Inputs Yr 2'!AC263,"")</f>
        <v>0</v>
      </c>
      <c r="T263" s="194">
        <f>IFERROR($P263*'Inputs Yr 2'!AD263,"")</f>
        <v>0</v>
      </c>
      <c r="U263" s="194">
        <f>IFERROR(G263*'Inputs Yr 2'!$AE263*'Inputs Yr 2'!$P263*'Inputs Yr 2'!$Q263,"")</f>
        <v>0</v>
      </c>
      <c r="V263" s="194">
        <f>IFERROR($G263*'Inputs Yr 2'!$AE263*'Inputs Yr 2'!$AG263*'Inputs Yr 2'!Q263*'Inputs Yr 2'!$S263,"")</f>
        <v>0</v>
      </c>
      <c r="W263" s="194">
        <f>IFERROR($G263*'Inputs Yr 2'!$AE263*'Inputs Yr 2'!$AG263*'Inputs Yr 2'!P263*'Inputs Yr 2'!Q263*'Inputs Yr 2'!$S263,"")</f>
        <v>0</v>
      </c>
      <c r="X263" s="194">
        <f>IFERROR($G263*'Inputs Yr 2'!$AE263*'Inputs Yr 2'!$AF263*'Inputs Yr 2'!Q263*'Inputs Yr 2'!$T263,"")</f>
        <v>0</v>
      </c>
      <c r="Y263" s="194">
        <f>IFERROR($G263*'Inputs Yr 2'!$AE263*'Inputs Yr 2'!$AF263*'Inputs Yr 2'!P263*'Inputs Yr 2'!Q263*'Inputs Yr 2'!$T263,"")</f>
        <v>0</v>
      </c>
      <c r="Z263" s="257">
        <f>IFERROR($G263*'Inputs Yr 2'!$Q263*'Inputs Yr 2'!$U263*(IF(IFERROR(SEARCH("NG", 'Inputs Yr 2'!$AJ263),0),'Inputs Yr 2'!$AK263,0)+IF(IFERROR(SEARCH("NG", 'Inputs Yr 2'!$AL263),0),'Inputs Yr 2'!$AM263,0)+IF(IFERROR(SEARCH("NG", 'Inputs Yr 2'!$AN263),0),'Inputs Yr 2'!$AO263,0)),0)</f>
        <v>258.39429999999999</v>
      </c>
      <c r="AA263" s="257">
        <f t="shared" si="146"/>
        <v>3100.7316000000001</v>
      </c>
      <c r="AB263" s="257">
        <f>IFERROR(Z263*'Inputs Yr 2'!$P263,0)</f>
        <v>237.46436170000001</v>
      </c>
      <c r="AC263" s="257">
        <f t="shared" si="147"/>
        <v>2849.5723404</v>
      </c>
      <c r="AD263" s="257">
        <f>IFERROR($G263*'Inputs Yr 2'!$Q263*'Inputs Yr 2'!$U263*(IF(IFERROR(SEARCH("Oil", 'Inputs Yr 2'!$AJ263), 0),'Inputs Yr 2'!$AK263,0)+IF(IFERROR(SEARCH("Oil", 'Inputs Yr 2'!$AL263), 0),'Inputs Yr 2'!$AM263,0)+IF(IFERROR(SEARCH("Oil", 'Inputs Yr 2'!$AN263), 0),'Inputs Yr 2'!$AO263,0)),0)</f>
        <v>0</v>
      </c>
      <c r="AE263" s="257">
        <f t="shared" si="148"/>
        <v>0</v>
      </c>
      <c r="AF263" s="257">
        <f>IFERROR(AD263*'Inputs Yr 2'!$P263,0)</f>
        <v>0</v>
      </c>
      <c r="AG263" s="257">
        <f t="shared" si="149"/>
        <v>0</v>
      </c>
      <c r="AH263" s="257">
        <f>IFERROR($G263*'Inputs Yr 2'!$Q263*'Inputs Yr 2'!$U263*(IF('Inputs Yr 2'!$AJ263=CD$4,'Inputs Yr 2'!$AK263,IF('Inputs Yr 2'!$AL263=CD$4,'Inputs Yr 2'!$AM263,IF('Inputs Yr 2'!$AN263=CD$4,'Inputs Yr 2'!$AO263,0)))),0)</f>
        <v>0</v>
      </c>
      <c r="AI263" s="257">
        <f t="shared" si="150"/>
        <v>0</v>
      </c>
      <c r="AJ263" s="257">
        <f>IFERROR(AH263*'Inputs Yr 2'!$P263,0)</f>
        <v>0</v>
      </c>
      <c r="AK263" s="257">
        <f t="shared" si="151"/>
        <v>0</v>
      </c>
      <c r="AL263" s="258">
        <f>IFERROR($G263*'Inputs Yr 2'!$P263*'Inputs Yr 2'!$Q263*'Inputs Yr 2'!AP263,0)</f>
        <v>0</v>
      </c>
      <c r="AM263" s="260">
        <f>IFERROR($G263*'Inputs Yr 2'!$P263*'Inputs Yr 2'!$Q263*'Inputs Yr 2'!AQ263,0)</f>
        <v>0</v>
      </c>
      <c r="AN263" s="258">
        <f>IFERROR($G263*'Inputs Yr 2'!$P263*'Inputs Yr 2'!$Q263*'Inputs Yr 2'!AR263,0)</f>
        <v>0</v>
      </c>
      <c r="AO263" s="257">
        <f t="shared" si="152"/>
        <v>0</v>
      </c>
      <c r="AP263" s="195">
        <f>IFERROR($CQ263*(INDEX(avoidedcosttbl2,$H263,AP$2)+(($H263-ROUNDDOWN($H263,0))*(INDEX(avoidedcosttbl2,ROUNDUP($H263,0),AP$2)-(INDEX(avoidedcosttbl2,ROUNDDOWN($H263,0),AP$2)))))*$O263*1000*'Inputs Yr 2'!AA263,"")</f>
        <v>0</v>
      </c>
      <c r="AQ263" s="195">
        <f>IFERROR($CR263*(INDEX(avoidedcosttbl2,$H263,AQ$2)+(($H263-ROUNDDOWN($H263,0))*(INDEX(avoidedcosttbl2,ROUNDUP($H263,0),AQ$2)-(INDEX(avoidedcosttbl2,ROUNDDOWN($H263,0),AQ$2)))))*$O263*1000*'Inputs Yr 2'!AB263,"")</f>
        <v>0</v>
      </c>
      <c r="AR263" s="195">
        <f>IFERROR($CS263*(INDEX(avoidedcosttbl2,$H263,AR$2)+(($H263-ROUNDDOWN($H263,0))*(INDEX(avoidedcosttbl2,ROUNDUP($H263,0),AR$2)-(INDEX(avoidedcosttbl2,ROUNDDOWN($H263,0),AR$2)))))*$O263*1000*'Inputs Yr 2'!AC263,"")</f>
        <v>0</v>
      </c>
      <c r="AS263" s="195">
        <f>IFERROR($CT263*(INDEX(avoidedcosttbl2,$H263,AS$2)+(($H263-ROUNDDOWN($H263,0))*(INDEX(avoidedcosttbl2,ROUNDUP($H263,0),AS$2)-(INDEX(avoidedcosttbl2,ROUNDDOWN($H263,0),AS$2)))))*$O263*1000*'Inputs Yr 2'!AD263,"")</f>
        <v>0</v>
      </c>
      <c r="AT263" s="196">
        <f t="shared" si="153"/>
        <v>0</v>
      </c>
      <c r="AU263" s="197">
        <f>IFERROR($CQ263*((INDEX(avoidedcosttbl2,$H263,AU$2))+(($H263-ROUNDDOWN($H263,0))*((INDEX(avoidedcosttbl2,ROUNDUP($H263,0),AU$2))-(INDEX(avoidedcosttbl2,ROUNDDOWN($H263,0),AU$2)))))*$O263*1000*'Inputs Yr 2'!AA263,"")</f>
        <v>0</v>
      </c>
      <c r="AV263" s="197">
        <f>IFERROR($CR263*((INDEX(avoidedcosttbl2,$H263,AV$2))+(($H263-ROUNDDOWN($H263,0))*((INDEX(avoidedcosttbl2,ROUNDUP($H263,0),AV$2))-(INDEX(avoidedcosttbl2,ROUNDDOWN($H263,0),AV$2)))))*$O263*1000*'Inputs Yr 2'!AB263,"")</f>
        <v>0</v>
      </c>
      <c r="AW263" s="197">
        <f>IFERROR($CS263*((INDEX(avoidedcosttbl2,$H263,AW$2))+(($H263-ROUNDDOWN($H263,0))*((INDEX(avoidedcosttbl2,ROUNDUP($H263,0),AW$2))-(INDEX(avoidedcosttbl2,ROUNDDOWN($H263,0),AW$2)))))*$O263*1000*'Inputs Yr 2'!AC263,"")</f>
        <v>0</v>
      </c>
      <c r="AX263" s="197">
        <f>IFERROR($CT263*((INDEX(avoidedcosttbl2,$H263,AX$2))+(($H263-ROUNDDOWN($H263,0))*((INDEX(avoidedcosttbl2,ROUNDUP($H263,0),AX$2))-(INDEX(avoidedcosttbl2,ROUNDDOWN($H263,0),AX$2)))))*$O263*1000*'Inputs Yr 2'!AD263,"")</f>
        <v>0</v>
      </c>
      <c r="AY263" s="197">
        <f>IFERROR(((INDEX(avoidedcosttbl2,$H263,AY$2))+(($H263-ROUNDDOWN($H263,0))*((INDEX(avoidedcosttbl2,ROUNDUP($H263,0),AY$2))-(INDEX(avoidedcosttbl2,ROUNDDOWN($H263,0),AY$2)))))*$O263*1000*('Inputs Yr 2'!AC263+'Inputs Yr 2'!AD263),"")</f>
        <v>0</v>
      </c>
      <c r="AZ263" s="197">
        <f>IFERROR(((INDEX(avoidedcosttbl2,$H263,AZ$2))+(($H263-ROUNDDOWN($H263,0))*((INDEX(avoidedcosttbl2,ROUNDUP($H263,0),AZ$2))-(INDEX(avoidedcosttbl2,ROUNDDOWN($H263,0),AZ$2)))))*$O263*1000*('Inputs Yr 2'!AA263+'Inputs Yr 2'!AB263),"")</f>
        <v>0</v>
      </c>
      <c r="BA263" s="198">
        <f t="shared" si="154"/>
        <v>0</v>
      </c>
      <c r="BB263" s="198">
        <f t="shared" si="155"/>
        <v>0</v>
      </c>
      <c r="BC263" s="195">
        <f t="shared" si="137"/>
        <v>0</v>
      </c>
      <c r="BD263" s="195">
        <f t="shared" si="138"/>
        <v>0</v>
      </c>
      <c r="BE263" s="195">
        <f t="shared" si="139"/>
        <v>0</v>
      </c>
      <c r="BF263" s="195">
        <f t="shared" si="140"/>
        <v>0</v>
      </c>
      <c r="BG263" s="195">
        <f t="shared" si="141"/>
        <v>0</v>
      </c>
      <c r="BH263" s="196">
        <f t="shared" si="156"/>
        <v>0</v>
      </c>
      <c r="BI263" s="196">
        <f t="shared" si="157"/>
        <v>0</v>
      </c>
      <c r="BJ263" s="195">
        <f>IFERROR($G263*(IF('Inputs Yr 2'!$AJ263=BJ$4,'Inputs Yr 2'!$AK263,IF('Inputs Yr 2'!$AL263=BJ$4,'Inputs Yr 2'!$AM263,IF('Inputs Yr 2'!$AN263=BJ$4,'Inputs Yr 2'!$AO263,0))))*(INDEX(avoidedcosttbl2,$H263,BJ$2)+(($H263-ROUNDDOWN($H263,0))*(INDEX(avoidedcosttbl2,ROUNDUP($H263,0),BJ$2)-(INDEX(avoidedcosttbl2,ROUNDDOWN($H263,0),BJ$2)))))*'Inputs Yr 2'!P263*'Inputs Yr 2'!Q263*'Inputs Yr 2'!U263,"")</f>
        <v>0</v>
      </c>
      <c r="BK263" s="195">
        <f>IFERROR($G263*(IF('Inputs Yr 2'!$AJ263=BK$4,'Inputs Yr 2'!$AK263,IF('Inputs Yr 2'!$AL263=BK$4,'Inputs Yr 2'!$AM263,IF('Inputs Yr 2'!$AN263=BK$4,'Inputs Yr 2'!$AO263,0))))*(INDEX(avoidedcosttbl2,$H263,BK$2)+(($H263-ROUNDDOWN($H263,0))*(INDEX(avoidedcosttbl2,ROUNDUP($H263,0),BK$2)-(INDEX(avoidedcosttbl2,ROUNDDOWN($H263,0),BK$2)))))*'Inputs Yr 2'!P263*'Inputs Yr 2'!Q263*'Inputs Yr 2'!U263,"")</f>
        <v>0</v>
      </c>
      <c r="BL263" s="195">
        <f>IFERROR($G263*(IF('Inputs Yr 2'!$AJ263=BL$4,'Inputs Yr 2'!$AK263,IF('Inputs Yr 2'!$AL263=BL$4,'Inputs Yr 2'!$AM263,IF('Inputs Yr 2'!$AN263=BL$4,'Inputs Yr 2'!$AO263,0))))*(INDEX(avoidedcosttbl2,$H263,BL$2)+(($H263-ROUNDDOWN($H263,0))*(INDEX(avoidedcosttbl2,ROUNDUP($H263,0),BL$2)-(INDEX(avoidedcosttbl2,ROUNDDOWN($H263,0),BL$2)))))*'Inputs Yr 2'!P263*'Inputs Yr 2'!Q263*'Inputs Yr 2'!U263,"")</f>
        <v>0</v>
      </c>
      <c r="BM263" s="195">
        <f>IFERROR($G263*(IF('Inputs Yr 2'!$AJ263=BM$4,'Inputs Yr 2'!$AK263,IF('Inputs Yr 2'!$AL263=BM$4,'Inputs Yr 2'!$AM263,IF('Inputs Yr 2'!$AN263=BM$4,'Inputs Yr 2'!$AO263,0))))*(INDEX(avoidedcosttbl2,$H263,BM$2)+(($H263-ROUNDDOWN($H263,0))*(INDEX(avoidedcosttbl2,ROUNDUP($H263,0),BM$2)-(INDEX(avoidedcosttbl2,ROUNDDOWN($H263,0),BM$2)))))*'Inputs Yr 2'!P263*'Inputs Yr 2'!Q263*'Inputs Yr 2'!U263,"")</f>
        <v>0</v>
      </c>
      <c r="BN263" s="195">
        <f>IFERROR($G263*(IF('Inputs Yr 2'!$AJ263=BN$4,'Inputs Yr 2'!$AK263,IF('Inputs Yr 2'!$AL263=BN$4,'Inputs Yr 2'!$AM263,IF('Inputs Yr 2'!$AN263=BN$4,'Inputs Yr 2'!$AO263,0))))*(INDEX(avoidedcosttbl2,$H263,BN$2)+(($H263-ROUNDDOWN($H263,0))*(INDEX(avoidedcosttbl2,ROUNDUP($H263,0),BN$2)-(INDEX(avoidedcosttbl2,ROUNDDOWN($H263,0),BN$2)))))*'Inputs Yr 2'!P263*'Inputs Yr 2'!Q263*'Inputs Yr 2'!U263,"")</f>
        <v>0</v>
      </c>
      <c r="BO263" s="195">
        <f>IFERROR($G263*(IF('Inputs Yr 2'!$AJ263=BO$4,'Inputs Yr 2'!$AK263,IF('Inputs Yr 2'!$AL263=BO$4,'Inputs Yr 2'!$AM263,IF('Inputs Yr 2'!$AN263=BO$4,'Inputs Yr 2'!$AO263,0))))*(INDEX(avoidedcosttbl2,$H263,BO$2)+(($H263-ROUNDDOWN($H263,0))*(INDEX(avoidedcosttbl2,ROUNDUP($H263,0),BO$2)-(INDEX(avoidedcosttbl2,ROUNDDOWN($H263,0),BO$2)))))*'Inputs Yr 2'!P263*'Inputs Yr 2'!Q263*'Inputs Yr 2'!U263,"")</f>
        <v>0</v>
      </c>
      <c r="BP263" s="195">
        <f>IFERROR($G263*(IF('Inputs Yr 2'!$AJ263=BP$4,'Inputs Yr 2'!$AK263,IF('Inputs Yr 2'!$AL263=BP$4,'Inputs Yr 2'!$AM263,IF('Inputs Yr 2'!$AN263=BP$4,'Inputs Yr 2'!$AO263,0))))*(INDEX(avoidedcosttbl2,$H263,BP$2)+(($H263-ROUNDDOWN($H263,0))*(INDEX(avoidedcosttbl2,ROUNDUP($H263,0),BP$2)-(INDEX(avoidedcosttbl2,ROUNDDOWN($H263,0),BP$2)))))*'Inputs Yr 2'!P263*'Inputs Yr 2'!Q263*'Inputs Yr 2'!U263,"")</f>
        <v>20947.662510941773</v>
      </c>
      <c r="BQ263" s="230">
        <f t="shared" si="158"/>
        <v>20947.662510941773</v>
      </c>
      <c r="BR263" s="197">
        <f t="shared" si="142"/>
        <v>388.76313586213416</v>
      </c>
      <c r="BS263" s="197">
        <f>IFERROR(($G263*IF('Inputs Yr 2'!$AJ263=BM$4,'Inputs Yr 2'!$AK263,IF('Inputs Yr 2'!$AL263=BM$4,'Inputs Yr 2'!$AM263,IF('Inputs Yr 2'!$AN263=BM$4,'Inputs Yr 2'!$AO263,0))))*(INDEX(avoidedcosttbl2,$H263,BS$2)+(($H263-ROUNDDOWN($H263,0))*(INDEX(avoidedcosttbl2,ROUNDUP($H263,0),BS$2)-(INDEX(avoidedcosttbl2,ROUNDDOWN($H263,0),BS$2)))))*'Inputs Yr 2'!P263*'Inputs Yr 2'!Q263*'Inputs Yr 2'!U263,"")</f>
        <v>0</v>
      </c>
      <c r="BT263" s="197">
        <f>IFERROR(($G263*IF('Inputs Yr 2'!$AJ263=BK$4,'Inputs Yr 2'!$AK263,IF('Inputs Yr 2'!$AL263=BK$4,'Inputs Yr 2'!$AM263,IF('Inputs Yr 2'!$AN263=BK$4,'Inputs Yr 2'!$AO263,0))))*(INDEX(avoidedcosttbl2,$H263,BT$2)+(($H263-ROUNDDOWN($H263,0))*(INDEX(avoidedcosttbl2,ROUNDUP($H263,0),BT$2)-(INDEX(avoidedcosttbl2,ROUNDDOWN($H263,0),BT$2)))))*'Inputs Yr 2'!P263*'Inputs Yr 2'!Q263*'Inputs Yr 2'!U263,"")</f>
        <v>0</v>
      </c>
      <c r="BU263" s="197">
        <f>IFERROR(($G263*IF('Inputs Yr 2'!$AJ263=BL$4,'Inputs Yr 2'!$AK263,IF('Inputs Yr 2'!$AL263=BL$4,'Inputs Yr 2'!$AM263,IF('Inputs Yr 2'!$AN263=BL$4,'Inputs Yr 2'!$AO263,0))))*(INDEX(avoidedcosttbl2,$H263,BU$2)+(($H263-ROUNDDOWN($H263,0))*(INDEX(avoidedcosttbl2,ROUNDUP($H263,0),BU$2)-(INDEX(avoidedcosttbl2,ROUNDDOWN($H263,0),BU$2)))))*'Inputs Yr 2'!P263*'Inputs Yr 2'!Q263*'Inputs Yr 2'!U263,"")</f>
        <v>0</v>
      </c>
      <c r="BV263" s="775">
        <f>IFERROR(($G263*IF('Inputs Yr 2'!$AJ263=BJ$4,'Inputs Yr 2'!$AK263,IF('Inputs Yr 2'!$AL263=BJ$4,'Inputs Yr 2'!$AM263,IF('Inputs Yr 2'!$AN263=BJ$4,'Inputs Yr 2'!$AO263,0))))*(INDEX(avoidedcosttbl2,$H263,BV$2)+(($H263-ROUNDDOWN($H263,0))*(INDEX(avoidedcosttbl2,ROUNDUP($H263,0),BV$2)-(INDEX(avoidedcosttbl2,ROUNDDOWN($H263,0),BV$2)))))*'Inputs Yr 2'!P263*'Inputs Yr 2'!Q263*'Inputs Yr 2'!U263,"")</f>
        <v>0</v>
      </c>
      <c r="BW263" s="197">
        <f>IFERROR(($G263*IF('Inputs Yr 2'!$AJ263=BN$4,'Inputs Yr 2'!$AK263,IF('Inputs Yr 2'!$AL263=BN$4,'Inputs Yr 2'!$AM263,IF('Inputs Yr 2'!$AN263=BN$4,'Inputs Yr 2'!$AO263,0))))*(INDEX(avoidedcosttbl2,$H263,BW$2)+(($H263-ROUNDDOWN($H263,0))*(INDEX(avoidedcosttbl2,ROUNDUP($H263,0),BW$2)-(INDEX(avoidedcosttbl2,ROUNDDOWN($H263,0),BW$2)))))*'Inputs Yr 2'!P263*'Inputs Yr 2'!Q263*'Inputs Yr 2'!U263,"")</f>
        <v>0</v>
      </c>
      <c r="BX263" s="197">
        <f>IFERROR(($G263*IF('Inputs Yr 2'!$AJ263=BO$4,'Inputs Yr 2'!$AK263,IF('Inputs Yr 2'!$AL263=BO$4,'Inputs Yr 2'!$AM263,IF('Inputs Yr 2'!$AN263=BO$4,'Inputs Yr 2'!$AO263,0))))*(INDEX(avoidedcosttbl2,$H263,BX$2)+(($H263-ROUNDDOWN($H263,0))*(INDEX(avoidedcosttbl2,ROUNDUP($H263,0),BX$2)-(INDEX(avoidedcosttbl2,ROUNDDOWN($H263,0),BX$2)))))*'Inputs Yr 2'!P263*'Inputs Yr 2'!Q263*'Inputs Yr 2'!U263,"")</f>
        <v>0</v>
      </c>
      <c r="BY263" s="197">
        <f>IFERROR(($G263*IF('Inputs Yr 2'!$AJ263=BP$4,'Inputs Yr 2'!$AK263,IF('Inputs Yr 2'!$AL263=BP$4,'Inputs Yr 2'!$AM263,IF('Inputs Yr 2'!$AN263=BP$4,'Inputs Yr 2'!$AO263,0))))*(INDEX(avoidedcosttbl2,$H263,BY$2)+(($H263-ROUNDDOWN($H263,0))*(INDEX(avoidedcosttbl2,ROUNDUP($H263,0),BY$2)-(INDEX(avoidedcosttbl2,ROUNDDOWN($H263,0),BY$2)))))*'Inputs Yr 2'!P263*'Inputs Yr 2'!Q263*'Inputs Yr 2'!U263,"")</f>
        <v>1966.8094588323395</v>
      </c>
      <c r="BZ263" s="193">
        <f t="shared" si="159"/>
        <v>2355.5725946944735</v>
      </c>
      <c r="CA263" s="193">
        <f t="shared" si="160"/>
        <v>23303.235105636246</v>
      </c>
      <c r="CB263" s="195">
        <f>IFERROR(G263*(IF('Inputs Yr 2'!$AJ263=CB$4,'Inputs Yr 2'!$AK263,IF('Inputs Yr 2'!$AL263=CB$4,'Inputs Yr 2'!$AM263,IF('Inputs Yr 2'!$AN263=CB$4,'Inputs Yr 2'!$AO263,0))))*(INDEX(avoidedcosttbl2,$H263,CB$2)+(($H263-ROUNDDOWN($H263,0))*(INDEX(avoidedcosttbl2,ROUNDUP($H263,0),CB$2)-(INDEX(avoidedcosttbl2,ROUNDDOWN($H263,0),CB$2)))))*'Inputs Yr 2'!P263*'Inputs Yr 2'!Q263*'Inputs Yr 2'!U263,"")</f>
        <v>0</v>
      </c>
      <c r="CC263" s="195">
        <f>IFERROR(H263*(IF('Inputs Yr 2'!$AJ263=CC$4,'Inputs Yr 2'!$AK263,IF('Inputs Yr 2'!$AL263=CC$4,'Inputs Yr 2'!$AM263,IF('Inputs Yr 2'!$AN263=CC$4,'Inputs Yr 2'!$AO263,0))))*(INDEX(avoidedcosttbl2,$H263,CC$2)+(($H263-ROUNDDOWN($H263,0))*(INDEX(avoidedcosttbl2,ROUNDUP($H263,0),CC$2)-(INDEX(avoidedcosttbl2,ROUNDDOWN($H263,0),CC$2)))))*'Inputs Yr 2'!Q263*'Inputs Yr 2'!R263*'Inputs Yr 2'!V263,"")</f>
        <v>0</v>
      </c>
      <c r="CD263" s="195">
        <f>IFERROR(I263*(IF('Inputs Yr 2'!$AJ263=CD$4,'Inputs Yr 2'!$AK263,IF('Inputs Yr 2'!$AL263=CD$4,'Inputs Yr 2'!$AM263,IF('Inputs Yr 2'!$AN263=CD$4,'Inputs Yr 2'!$AO263,0))))*(INDEX(avoidedcosttbl2,$H263,CD$2)+(($H263-ROUNDDOWN($H263,0))*(INDEX(avoidedcosttbl2,ROUNDUP($H263,0),CD$2)-(INDEX(avoidedcosttbl2,ROUNDDOWN($H263,0),CD$2)))))*'Inputs Yr 2'!R263*'Inputs Yr 2'!S263*'Inputs Yr 2'!W263,"")</f>
        <v>0</v>
      </c>
      <c r="CE263" s="213">
        <f t="shared" si="161"/>
        <v>0</v>
      </c>
      <c r="CF263" s="213">
        <f t="shared" si="162"/>
        <v>0</v>
      </c>
      <c r="CG263" s="213">
        <f t="shared" si="163"/>
        <v>0</v>
      </c>
      <c r="CH263" s="698">
        <f t="shared" si="164"/>
        <v>23303.235105636246</v>
      </c>
      <c r="CI263" s="79">
        <f>IFERROR(($G263*'Inputs Yr 2'!$P263*'Inputs Yr 2'!$Q263*(((INDEX(avoidedcosttbl2,$H263,CI$2)+(($H263-ROUNDDOWN($H263,0))*(INDEX(avoidedcosttbl2,ROUNDUP($H263,0),CI$2)-INDEX(avoidedcosttbl2,ROUNDDOWN($H263,0),CI$2))))*'Inputs Yr 2'!AS263))),"")</f>
        <v>0</v>
      </c>
      <c r="CJ263" s="504">
        <f>IFERROR($G263*'Inputs Yr 2'!AT263*'Inputs Yr 2'!$P263*'Inputs Yr 2'!$Q263/((1+realdiscrt1)^-0.5),"")</f>
        <v>0</v>
      </c>
      <c r="CK263" s="79">
        <f>IFERROR((O263*1000*(((INDEX(avoidedcosttbl2,$H263,CK$2)+(($H263-ROUNDDOWN($H263,0))*(INDEX(avoidedcosttbl2,ROUNDUP($H263,0),CK$2)-INDEX(avoidedcosttbl2,ROUNDDOWN($H263,0),CK$2))))*'Inputs Yr 2'!AU263))),"")</f>
        <v>0</v>
      </c>
      <c r="CL263" s="504">
        <f>IFERROR(O263*1000*'Inputs Yr 2'!AV263/((1+realdiscrt1)^-0.5),"")</f>
        <v>0</v>
      </c>
      <c r="CM263" s="79">
        <f>IFERROR((AB263*'Inputs Yr 2'!AW263*(((INDEX(avoidedcosttbl2,$H263,CM$2)+(($H263-ROUNDDOWN($H263,0))*(INDEX(avoidedcosttbl2,ROUNDUP($H263,0),CM$2)-INDEX(avoidedcosttbl2,ROUNDDOWN($H263,0),CM$2)))))))*10,"")</f>
        <v>6939.518656291646</v>
      </c>
      <c r="CN263" s="504">
        <f>IFERROR(10*AB263*'Inputs Yr 2'!AX263/((1+realdiscrt1)^-0.5),"")</f>
        <v>0</v>
      </c>
      <c r="CO263" s="505">
        <f t="shared" si="165"/>
        <v>6939.518656291646</v>
      </c>
      <c r="CP263" s="230">
        <f t="shared" si="166"/>
        <v>30242.753761927892</v>
      </c>
      <c r="CQ263" s="199">
        <f>ROUND(IFERROR(IF(LEFT($A263,1)="C",'Avoided Costs'!$K$13,'Avoided Costs'!$K$12)+1,""),4)</f>
        <v>1.0720000000000001</v>
      </c>
      <c r="CR263" s="199">
        <f>ROUND(IFERROR(IF(LEFT($A263,1)="C",'Avoided Costs'!$L$13,'Avoided Costs'!$L$12)+1,""),4)</f>
        <v>1.04</v>
      </c>
      <c r="CS263" s="199">
        <f>ROUND(IFERROR(IF(LEFT($A263,1)="C",'Avoided Costs'!$M$13,'Avoided Costs'!$M$12)+1,""),4)</f>
        <v>1.0720000000000001</v>
      </c>
      <c r="CT263" s="199">
        <f>ROUND(IFERROR(IF(LEFT($A263,1)="C",'Avoided Costs'!$N$13,'Avoided Costs'!$N$12)+1,""),4)</f>
        <v>1.04</v>
      </c>
      <c r="CU263" s="199">
        <f>ROUND(IFERROR(IF(LEFT($A263,1)="C",'Avoided Costs'!$O$13,'Avoided Costs'!$O$12)+1,""),4)</f>
        <v>1.1120000000000001</v>
      </c>
      <c r="CV263" s="199">
        <f>ROUND(IFERROR(IF(LEFT($A263,1)="C",'Avoided Costs'!$P$13,'Avoided Costs'!$P$12)+1,""),4)</f>
        <v>1.095</v>
      </c>
      <c r="CW263" s="199">
        <f>ROUND(IFERROR(IF(LEFT($A263,1)="C",'Avoided Costs'!$Q$13,'Avoided Costs'!$Q$12)+1,""),4)</f>
        <v>1.1120000000000001</v>
      </c>
      <c r="CX263" s="200">
        <f>ROUND(IFERROR(IF(LEFT($A263,1)="C",'Avoided Costs'!$R$13,'Avoided Costs'!$R$12)+1,""),4)</f>
        <v>1.1120000000000001</v>
      </c>
    </row>
    <row r="264" spans="1:102" ht="12.75" customHeight="1">
      <c r="A264" s="91" t="str">
        <f>IF('Inputs Yr 2'!$B264=0,"",'Inputs Yr 2'!A264)</f>
        <v>C - Commercial &amp; Industrial</v>
      </c>
      <c r="B264" s="91" t="str">
        <f>IF('Inputs Yr 2'!$B264=0,"",'Inputs Yr 2'!B264)</f>
        <v>C2 - C&amp;I Retrofit</v>
      </c>
      <c r="C264" s="91" t="str">
        <f>IF('Inputs Yr 2'!$B264=0,"",'Inputs Yr 2'!C264)</f>
        <v>C2a - C&amp;I Existing Building Retrofit</v>
      </c>
      <c r="D264" s="91" t="str">
        <f>IF('Inputs Yr 2'!$B264=0,"",'Inputs Yr 2'!E264)</f>
        <v>Other - Custom 13</v>
      </c>
      <c r="E264" s="93" t="str">
        <f>IF('Inputs Yr 2'!$B264=0,"",'Inputs Yr 2'!F264)</f>
        <v>G16C2a11</v>
      </c>
      <c r="F264" s="93" t="str">
        <f>IF('Inputs Yr 2'!$B264=0,"",'Inputs Yr 2'!G264)</f>
        <v>Custom Measures</v>
      </c>
      <c r="G264" s="95">
        <f>IF('Inputs Yr 2'!$H264&lt;&gt;0,('Inputs Yr 2'!H264),"")</f>
        <v>1</v>
      </c>
      <c r="H264" s="94">
        <f>IFERROR('Inputs Yr 2'!I264,"")</f>
        <v>13</v>
      </c>
      <c r="I264" s="298">
        <f>IFERROR('Inputs Yr 2'!J264*'Inputs Yr 2'!P264*G264,"")</f>
        <v>4509.0735000000004</v>
      </c>
      <c r="J264" s="298">
        <f>IFERROR('Inputs Yr 2'!K264*G264,"")</f>
        <v>2453.25</v>
      </c>
      <c r="K264" s="298">
        <f t="shared" si="143"/>
        <v>2055.8235000000004</v>
      </c>
      <c r="L264" s="194">
        <f>IFERROR(('Inputs Yr 2'!W264*G264)/1000,"")</f>
        <v>0</v>
      </c>
      <c r="M264" s="194">
        <f>IFERROR(L264*('Inputs Yr 2'!$Q264*'Inputs Yr 2'!$V264*'Inputs Yr 2'!$R264),"")</f>
        <v>0</v>
      </c>
      <c r="N264" s="194">
        <f t="shared" si="144"/>
        <v>0</v>
      </c>
      <c r="O264" s="194">
        <f>IFERROR(M264*'Inputs Yr 2'!P264,"")</f>
        <v>0</v>
      </c>
      <c r="P264" s="194">
        <f t="shared" si="145"/>
        <v>0</v>
      </c>
      <c r="Q264" s="194">
        <f>IFERROR($P264*'Inputs Yr 2'!AA264,"")</f>
        <v>0</v>
      </c>
      <c r="R264" s="194">
        <f>IFERROR($P264*'Inputs Yr 2'!AB264,"")</f>
        <v>0</v>
      </c>
      <c r="S264" s="194">
        <f>IFERROR($P264*'Inputs Yr 2'!AC264,"")</f>
        <v>0</v>
      </c>
      <c r="T264" s="194">
        <f>IFERROR($P264*'Inputs Yr 2'!AD264,"")</f>
        <v>0</v>
      </c>
      <c r="U264" s="194">
        <f>IFERROR(G264*'Inputs Yr 2'!$AE264*'Inputs Yr 2'!$P264*'Inputs Yr 2'!$Q264,"")</f>
        <v>0</v>
      </c>
      <c r="V264" s="194">
        <f>IFERROR($G264*'Inputs Yr 2'!$AE264*'Inputs Yr 2'!$AG264*'Inputs Yr 2'!Q264*'Inputs Yr 2'!$S264,"")</f>
        <v>0</v>
      </c>
      <c r="W264" s="194">
        <f>IFERROR($G264*'Inputs Yr 2'!$AE264*'Inputs Yr 2'!$AG264*'Inputs Yr 2'!P264*'Inputs Yr 2'!Q264*'Inputs Yr 2'!$S264,"")</f>
        <v>0</v>
      </c>
      <c r="X264" s="194">
        <f>IFERROR($G264*'Inputs Yr 2'!$AE264*'Inputs Yr 2'!$AF264*'Inputs Yr 2'!Q264*'Inputs Yr 2'!$T264,"")</f>
        <v>0</v>
      </c>
      <c r="Y264" s="194">
        <f>IFERROR($G264*'Inputs Yr 2'!$AE264*'Inputs Yr 2'!$AF264*'Inputs Yr 2'!P264*'Inputs Yr 2'!Q264*'Inputs Yr 2'!$T264,"")</f>
        <v>0</v>
      </c>
      <c r="Z264" s="257">
        <f>IFERROR($G264*'Inputs Yr 2'!$Q264*'Inputs Yr 2'!$U264*(IF(IFERROR(SEARCH("NG", 'Inputs Yr 2'!$AJ264),0),'Inputs Yr 2'!$AK264,0)+IF(IFERROR(SEARCH("NG", 'Inputs Yr 2'!$AL264),0),'Inputs Yr 2'!$AM264,0)+IF(IFERROR(SEARCH("NG", 'Inputs Yr 2'!$AN264),0),'Inputs Yr 2'!$AO264,0)),0)</f>
        <v>125.41900000000001</v>
      </c>
      <c r="AA264" s="257">
        <f t="shared" si="146"/>
        <v>1630.4470000000001</v>
      </c>
      <c r="AB264" s="257">
        <f>IFERROR(Z264*'Inputs Yr 2'!$P264,0)</f>
        <v>115.26006100000002</v>
      </c>
      <c r="AC264" s="257">
        <f t="shared" si="147"/>
        <v>1498.3807930000003</v>
      </c>
      <c r="AD264" s="257">
        <f>IFERROR($G264*'Inputs Yr 2'!$Q264*'Inputs Yr 2'!$U264*(IF(IFERROR(SEARCH("Oil", 'Inputs Yr 2'!$AJ264), 0),'Inputs Yr 2'!$AK264,0)+IF(IFERROR(SEARCH("Oil", 'Inputs Yr 2'!$AL264), 0),'Inputs Yr 2'!$AM264,0)+IF(IFERROR(SEARCH("Oil", 'Inputs Yr 2'!$AN264), 0),'Inputs Yr 2'!$AO264,0)),0)</f>
        <v>0</v>
      </c>
      <c r="AE264" s="257">
        <f t="shared" si="148"/>
        <v>0</v>
      </c>
      <c r="AF264" s="257">
        <f>IFERROR(AD264*'Inputs Yr 2'!$P264,0)</f>
        <v>0</v>
      </c>
      <c r="AG264" s="257">
        <f t="shared" si="149"/>
        <v>0</v>
      </c>
      <c r="AH264" s="257">
        <f>IFERROR($G264*'Inputs Yr 2'!$Q264*'Inputs Yr 2'!$U264*(IF('Inputs Yr 2'!$AJ264=CD$4,'Inputs Yr 2'!$AK264,IF('Inputs Yr 2'!$AL264=CD$4,'Inputs Yr 2'!$AM264,IF('Inputs Yr 2'!$AN264=CD$4,'Inputs Yr 2'!$AO264,0)))),0)</f>
        <v>0</v>
      </c>
      <c r="AI264" s="257">
        <f t="shared" si="150"/>
        <v>0</v>
      </c>
      <c r="AJ264" s="257">
        <f>IFERROR(AH264*'Inputs Yr 2'!$P264,0)</f>
        <v>0</v>
      </c>
      <c r="AK264" s="257">
        <f t="shared" si="151"/>
        <v>0</v>
      </c>
      <c r="AL264" s="258">
        <f>IFERROR($G264*'Inputs Yr 2'!$P264*'Inputs Yr 2'!$Q264*'Inputs Yr 2'!AP264,0)</f>
        <v>0</v>
      </c>
      <c r="AM264" s="260">
        <f>IFERROR($G264*'Inputs Yr 2'!$P264*'Inputs Yr 2'!$Q264*'Inputs Yr 2'!AQ264,0)</f>
        <v>0</v>
      </c>
      <c r="AN264" s="258">
        <f>IFERROR($G264*'Inputs Yr 2'!$P264*'Inputs Yr 2'!$Q264*'Inputs Yr 2'!AR264,0)</f>
        <v>0</v>
      </c>
      <c r="AO264" s="257">
        <f t="shared" si="152"/>
        <v>0</v>
      </c>
      <c r="AP264" s="195">
        <f>IFERROR($CQ264*(INDEX(avoidedcosttbl2,$H264,AP$2)+(($H264-ROUNDDOWN($H264,0))*(INDEX(avoidedcosttbl2,ROUNDUP($H264,0),AP$2)-(INDEX(avoidedcosttbl2,ROUNDDOWN($H264,0),AP$2)))))*$O264*1000*'Inputs Yr 2'!AA264,"")</f>
        <v>0</v>
      </c>
      <c r="AQ264" s="195">
        <f>IFERROR($CR264*(INDEX(avoidedcosttbl2,$H264,AQ$2)+(($H264-ROUNDDOWN($H264,0))*(INDEX(avoidedcosttbl2,ROUNDUP($H264,0),AQ$2)-(INDEX(avoidedcosttbl2,ROUNDDOWN($H264,0),AQ$2)))))*$O264*1000*'Inputs Yr 2'!AB264,"")</f>
        <v>0</v>
      </c>
      <c r="AR264" s="195">
        <f>IFERROR($CS264*(INDEX(avoidedcosttbl2,$H264,AR$2)+(($H264-ROUNDDOWN($H264,0))*(INDEX(avoidedcosttbl2,ROUNDUP($H264,0),AR$2)-(INDEX(avoidedcosttbl2,ROUNDDOWN($H264,0),AR$2)))))*$O264*1000*'Inputs Yr 2'!AC264,"")</f>
        <v>0</v>
      </c>
      <c r="AS264" s="195">
        <f>IFERROR($CT264*(INDEX(avoidedcosttbl2,$H264,AS$2)+(($H264-ROUNDDOWN($H264,0))*(INDEX(avoidedcosttbl2,ROUNDUP($H264,0),AS$2)-(INDEX(avoidedcosttbl2,ROUNDDOWN($H264,0),AS$2)))))*$O264*1000*'Inputs Yr 2'!AD264,"")</f>
        <v>0</v>
      </c>
      <c r="AT264" s="196">
        <f t="shared" si="153"/>
        <v>0</v>
      </c>
      <c r="AU264" s="197">
        <f>IFERROR($CQ264*((INDEX(avoidedcosttbl2,$H264,AU$2))+(($H264-ROUNDDOWN($H264,0))*((INDEX(avoidedcosttbl2,ROUNDUP($H264,0),AU$2))-(INDEX(avoidedcosttbl2,ROUNDDOWN($H264,0),AU$2)))))*$O264*1000*'Inputs Yr 2'!AA264,"")</f>
        <v>0</v>
      </c>
      <c r="AV264" s="197">
        <f>IFERROR($CR264*((INDEX(avoidedcosttbl2,$H264,AV$2))+(($H264-ROUNDDOWN($H264,0))*((INDEX(avoidedcosttbl2,ROUNDUP($H264,0),AV$2))-(INDEX(avoidedcosttbl2,ROUNDDOWN($H264,0),AV$2)))))*$O264*1000*'Inputs Yr 2'!AB264,"")</f>
        <v>0</v>
      </c>
      <c r="AW264" s="197">
        <f>IFERROR($CS264*((INDEX(avoidedcosttbl2,$H264,AW$2))+(($H264-ROUNDDOWN($H264,0))*((INDEX(avoidedcosttbl2,ROUNDUP($H264,0),AW$2))-(INDEX(avoidedcosttbl2,ROUNDDOWN($H264,0),AW$2)))))*$O264*1000*'Inputs Yr 2'!AC264,"")</f>
        <v>0</v>
      </c>
      <c r="AX264" s="197">
        <f>IFERROR($CT264*((INDEX(avoidedcosttbl2,$H264,AX$2))+(($H264-ROUNDDOWN($H264,0))*((INDEX(avoidedcosttbl2,ROUNDUP($H264,0),AX$2))-(INDEX(avoidedcosttbl2,ROUNDDOWN($H264,0),AX$2)))))*$O264*1000*'Inputs Yr 2'!AD264,"")</f>
        <v>0</v>
      </c>
      <c r="AY264" s="197">
        <f>IFERROR(((INDEX(avoidedcosttbl2,$H264,AY$2))+(($H264-ROUNDDOWN($H264,0))*((INDEX(avoidedcosttbl2,ROUNDUP($H264,0),AY$2))-(INDEX(avoidedcosttbl2,ROUNDDOWN($H264,0),AY$2)))))*$O264*1000*('Inputs Yr 2'!AC264+'Inputs Yr 2'!AD264),"")</f>
        <v>0</v>
      </c>
      <c r="AZ264" s="197">
        <f>IFERROR(((INDEX(avoidedcosttbl2,$H264,AZ$2))+(($H264-ROUNDDOWN($H264,0))*((INDEX(avoidedcosttbl2,ROUNDUP($H264,0),AZ$2))-(INDEX(avoidedcosttbl2,ROUNDDOWN($H264,0),AZ$2)))))*$O264*1000*('Inputs Yr 2'!AA264+'Inputs Yr 2'!AB264),"")</f>
        <v>0</v>
      </c>
      <c r="BA264" s="198">
        <f t="shared" si="154"/>
        <v>0</v>
      </c>
      <c r="BB264" s="198">
        <f t="shared" si="155"/>
        <v>0</v>
      </c>
      <c r="BC264" s="195">
        <f t="shared" si="137"/>
        <v>0</v>
      </c>
      <c r="BD264" s="195">
        <f t="shared" si="138"/>
        <v>0</v>
      </c>
      <c r="BE264" s="195">
        <f t="shared" si="139"/>
        <v>0</v>
      </c>
      <c r="BF264" s="195">
        <f t="shared" si="140"/>
        <v>0</v>
      </c>
      <c r="BG264" s="195">
        <f t="shared" si="141"/>
        <v>0</v>
      </c>
      <c r="BH264" s="196">
        <f t="shared" si="156"/>
        <v>0</v>
      </c>
      <c r="BI264" s="196">
        <f t="shared" si="157"/>
        <v>0</v>
      </c>
      <c r="BJ264" s="195">
        <f>IFERROR($G264*(IF('Inputs Yr 2'!$AJ264=BJ$4,'Inputs Yr 2'!$AK264,IF('Inputs Yr 2'!$AL264=BJ$4,'Inputs Yr 2'!$AM264,IF('Inputs Yr 2'!$AN264=BJ$4,'Inputs Yr 2'!$AO264,0))))*(INDEX(avoidedcosttbl2,$H264,BJ$2)+(($H264-ROUNDDOWN($H264,0))*(INDEX(avoidedcosttbl2,ROUNDUP($H264,0),BJ$2)-(INDEX(avoidedcosttbl2,ROUNDDOWN($H264,0),BJ$2)))))*'Inputs Yr 2'!P264*'Inputs Yr 2'!Q264*'Inputs Yr 2'!U264,"")</f>
        <v>0</v>
      </c>
      <c r="BK264" s="195">
        <f>IFERROR($G264*(IF('Inputs Yr 2'!$AJ264=BK$4,'Inputs Yr 2'!$AK264,IF('Inputs Yr 2'!$AL264=BK$4,'Inputs Yr 2'!$AM264,IF('Inputs Yr 2'!$AN264=BK$4,'Inputs Yr 2'!$AO264,0))))*(INDEX(avoidedcosttbl2,$H264,BK$2)+(($H264-ROUNDDOWN($H264,0))*(INDEX(avoidedcosttbl2,ROUNDUP($H264,0),BK$2)-(INDEX(avoidedcosttbl2,ROUNDDOWN($H264,0),BK$2)))))*'Inputs Yr 2'!P264*'Inputs Yr 2'!Q264*'Inputs Yr 2'!U264,"")</f>
        <v>0</v>
      </c>
      <c r="BL264" s="195">
        <f>IFERROR($G264*(IF('Inputs Yr 2'!$AJ264=BL$4,'Inputs Yr 2'!$AK264,IF('Inputs Yr 2'!$AL264=BL$4,'Inputs Yr 2'!$AM264,IF('Inputs Yr 2'!$AN264=BL$4,'Inputs Yr 2'!$AO264,0))))*(INDEX(avoidedcosttbl2,$H264,BL$2)+(($H264-ROUNDDOWN($H264,0))*(INDEX(avoidedcosttbl2,ROUNDUP($H264,0),BL$2)-(INDEX(avoidedcosttbl2,ROUNDDOWN($H264,0),BL$2)))))*'Inputs Yr 2'!P264*'Inputs Yr 2'!Q264*'Inputs Yr 2'!U264,"")</f>
        <v>0</v>
      </c>
      <c r="BM264" s="195">
        <f>IFERROR($G264*(IF('Inputs Yr 2'!$AJ264=BM$4,'Inputs Yr 2'!$AK264,IF('Inputs Yr 2'!$AL264=BM$4,'Inputs Yr 2'!$AM264,IF('Inputs Yr 2'!$AN264=BM$4,'Inputs Yr 2'!$AO264,0))))*(INDEX(avoidedcosttbl2,$H264,BM$2)+(($H264-ROUNDDOWN($H264,0))*(INDEX(avoidedcosttbl2,ROUNDUP($H264,0),BM$2)-(INDEX(avoidedcosttbl2,ROUNDDOWN($H264,0),BM$2)))))*'Inputs Yr 2'!P264*'Inputs Yr 2'!Q264*'Inputs Yr 2'!U264,"")</f>
        <v>0</v>
      </c>
      <c r="BN264" s="195">
        <f>IFERROR($G264*(IF('Inputs Yr 2'!$AJ264=BN$4,'Inputs Yr 2'!$AK264,IF('Inputs Yr 2'!$AL264=BN$4,'Inputs Yr 2'!$AM264,IF('Inputs Yr 2'!$AN264=BN$4,'Inputs Yr 2'!$AO264,0))))*(INDEX(avoidedcosttbl2,$H264,BN$2)+(($H264-ROUNDDOWN($H264,0))*(INDEX(avoidedcosttbl2,ROUNDUP($H264,0),BN$2)-(INDEX(avoidedcosttbl2,ROUNDDOWN($H264,0),BN$2)))))*'Inputs Yr 2'!P264*'Inputs Yr 2'!Q264*'Inputs Yr 2'!U264,"")</f>
        <v>0</v>
      </c>
      <c r="BO264" s="195">
        <f>IFERROR($G264*(IF('Inputs Yr 2'!$AJ264=BO$4,'Inputs Yr 2'!$AK264,IF('Inputs Yr 2'!$AL264=BO$4,'Inputs Yr 2'!$AM264,IF('Inputs Yr 2'!$AN264=BO$4,'Inputs Yr 2'!$AO264,0))))*(INDEX(avoidedcosttbl2,$H264,BO$2)+(($H264-ROUNDDOWN($H264,0))*(INDEX(avoidedcosttbl2,ROUNDUP($H264,0),BO$2)-(INDEX(avoidedcosttbl2,ROUNDDOWN($H264,0),BO$2)))))*'Inputs Yr 2'!P264*'Inputs Yr 2'!Q264*'Inputs Yr 2'!U264,"")</f>
        <v>0</v>
      </c>
      <c r="BP264" s="195">
        <f>IFERROR($G264*(IF('Inputs Yr 2'!$AJ264=BP$4,'Inputs Yr 2'!$AK264,IF('Inputs Yr 2'!$AL264=BP$4,'Inputs Yr 2'!$AM264,IF('Inputs Yr 2'!$AN264=BP$4,'Inputs Yr 2'!$AO264,0))))*(INDEX(avoidedcosttbl2,$H264,BP$2)+(($H264-ROUNDDOWN($H264,0))*(INDEX(avoidedcosttbl2,ROUNDUP($H264,0),BP$2)-(INDEX(avoidedcosttbl2,ROUNDDOWN($H264,0),BP$2)))))*'Inputs Yr 2'!P264*'Inputs Yr 2'!Q264*'Inputs Yr 2'!U264,"")</f>
        <v>11075.029437053363</v>
      </c>
      <c r="BQ264" s="230">
        <f t="shared" si="158"/>
        <v>11075.029437053363</v>
      </c>
      <c r="BR264" s="197">
        <f t="shared" si="142"/>
        <v>203.97782414348691</v>
      </c>
      <c r="BS264" s="197">
        <f>IFERROR(($G264*IF('Inputs Yr 2'!$AJ264=BM$4,'Inputs Yr 2'!$AK264,IF('Inputs Yr 2'!$AL264=BM$4,'Inputs Yr 2'!$AM264,IF('Inputs Yr 2'!$AN264=BM$4,'Inputs Yr 2'!$AO264,0))))*(INDEX(avoidedcosttbl2,$H264,BS$2)+(($H264-ROUNDDOWN($H264,0))*(INDEX(avoidedcosttbl2,ROUNDUP($H264,0),BS$2)-(INDEX(avoidedcosttbl2,ROUNDDOWN($H264,0),BS$2)))))*'Inputs Yr 2'!P264*'Inputs Yr 2'!Q264*'Inputs Yr 2'!U264,"")</f>
        <v>0</v>
      </c>
      <c r="BT264" s="197">
        <f>IFERROR(($G264*IF('Inputs Yr 2'!$AJ264=BK$4,'Inputs Yr 2'!$AK264,IF('Inputs Yr 2'!$AL264=BK$4,'Inputs Yr 2'!$AM264,IF('Inputs Yr 2'!$AN264=BK$4,'Inputs Yr 2'!$AO264,0))))*(INDEX(avoidedcosttbl2,$H264,BT$2)+(($H264-ROUNDDOWN($H264,0))*(INDEX(avoidedcosttbl2,ROUNDUP($H264,0),BT$2)-(INDEX(avoidedcosttbl2,ROUNDDOWN($H264,0),BT$2)))))*'Inputs Yr 2'!P264*'Inputs Yr 2'!Q264*'Inputs Yr 2'!U264,"")</f>
        <v>0</v>
      </c>
      <c r="BU264" s="197">
        <f>IFERROR(($G264*IF('Inputs Yr 2'!$AJ264=BL$4,'Inputs Yr 2'!$AK264,IF('Inputs Yr 2'!$AL264=BL$4,'Inputs Yr 2'!$AM264,IF('Inputs Yr 2'!$AN264=BL$4,'Inputs Yr 2'!$AO264,0))))*(INDEX(avoidedcosttbl2,$H264,BU$2)+(($H264-ROUNDDOWN($H264,0))*(INDEX(avoidedcosttbl2,ROUNDUP($H264,0),BU$2)-(INDEX(avoidedcosttbl2,ROUNDDOWN($H264,0),BU$2)))))*'Inputs Yr 2'!P264*'Inputs Yr 2'!Q264*'Inputs Yr 2'!U264,"")</f>
        <v>0</v>
      </c>
      <c r="BV264" s="775">
        <f>IFERROR(($G264*IF('Inputs Yr 2'!$AJ264=BJ$4,'Inputs Yr 2'!$AK264,IF('Inputs Yr 2'!$AL264=BJ$4,'Inputs Yr 2'!$AM264,IF('Inputs Yr 2'!$AN264=BJ$4,'Inputs Yr 2'!$AO264,0))))*(INDEX(avoidedcosttbl2,$H264,BV$2)+(($H264-ROUNDDOWN($H264,0))*(INDEX(avoidedcosttbl2,ROUNDUP($H264,0),BV$2)-(INDEX(avoidedcosttbl2,ROUNDDOWN($H264,0),BV$2)))))*'Inputs Yr 2'!P264*'Inputs Yr 2'!Q264*'Inputs Yr 2'!U264,"")</f>
        <v>0</v>
      </c>
      <c r="BW264" s="197">
        <f>IFERROR(($G264*IF('Inputs Yr 2'!$AJ264=BN$4,'Inputs Yr 2'!$AK264,IF('Inputs Yr 2'!$AL264=BN$4,'Inputs Yr 2'!$AM264,IF('Inputs Yr 2'!$AN264=BN$4,'Inputs Yr 2'!$AO264,0))))*(INDEX(avoidedcosttbl2,$H264,BW$2)+(($H264-ROUNDDOWN($H264,0))*(INDEX(avoidedcosttbl2,ROUNDUP($H264,0),BW$2)-(INDEX(avoidedcosttbl2,ROUNDDOWN($H264,0),BW$2)))))*'Inputs Yr 2'!P264*'Inputs Yr 2'!Q264*'Inputs Yr 2'!U264,"")</f>
        <v>0</v>
      </c>
      <c r="BX264" s="197">
        <f>IFERROR(($G264*IF('Inputs Yr 2'!$AJ264=BO$4,'Inputs Yr 2'!$AK264,IF('Inputs Yr 2'!$AL264=BO$4,'Inputs Yr 2'!$AM264,IF('Inputs Yr 2'!$AN264=BO$4,'Inputs Yr 2'!$AO264,0))))*(INDEX(avoidedcosttbl2,$H264,BX$2)+(($H264-ROUNDDOWN($H264,0))*(INDEX(avoidedcosttbl2,ROUNDUP($H264,0),BX$2)-(INDEX(avoidedcosttbl2,ROUNDDOWN($H264,0),BX$2)))))*'Inputs Yr 2'!P264*'Inputs Yr 2'!Q264*'Inputs Yr 2'!U264,"")</f>
        <v>0</v>
      </c>
      <c r="BY264" s="197">
        <f>IFERROR(($G264*IF('Inputs Yr 2'!$AJ264=BP$4,'Inputs Yr 2'!$AK264,IF('Inputs Yr 2'!$AL264=BP$4,'Inputs Yr 2'!$AM264,IF('Inputs Yr 2'!$AN264=BP$4,'Inputs Yr 2'!$AO264,0))))*(INDEX(avoidedcosttbl2,$H264,BY$2)+(($H264-ROUNDDOWN($H264,0))*(INDEX(avoidedcosttbl2,ROUNDUP($H264,0),BY$2)-(INDEX(avoidedcosttbl2,ROUNDDOWN($H264,0),BY$2)))))*'Inputs Yr 2'!P264*'Inputs Yr 2'!Q264*'Inputs Yr 2'!U264,"")</f>
        <v>970.353788352126</v>
      </c>
      <c r="BZ264" s="193">
        <f t="shared" si="159"/>
        <v>1174.3316124956129</v>
      </c>
      <c r="CA264" s="193">
        <f t="shared" si="160"/>
        <v>12249.361049548976</v>
      </c>
      <c r="CB264" s="195">
        <f>IFERROR(G264*(IF('Inputs Yr 2'!$AJ264=CB$4,'Inputs Yr 2'!$AK264,IF('Inputs Yr 2'!$AL264=CB$4,'Inputs Yr 2'!$AM264,IF('Inputs Yr 2'!$AN264=CB$4,'Inputs Yr 2'!$AO264,0))))*(INDEX(avoidedcosttbl2,$H264,CB$2)+(($H264-ROUNDDOWN($H264,0))*(INDEX(avoidedcosttbl2,ROUNDUP($H264,0),CB$2)-(INDEX(avoidedcosttbl2,ROUNDDOWN($H264,0),CB$2)))))*'Inputs Yr 2'!P264*'Inputs Yr 2'!Q264*'Inputs Yr 2'!U264,"")</f>
        <v>0</v>
      </c>
      <c r="CC264" s="195">
        <f>IFERROR(H264*(IF('Inputs Yr 2'!$AJ264=CC$4,'Inputs Yr 2'!$AK264,IF('Inputs Yr 2'!$AL264=CC$4,'Inputs Yr 2'!$AM264,IF('Inputs Yr 2'!$AN264=CC$4,'Inputs Yr 2'!$AO264,0))))*(INDEX(avoidedcosttbl2,$H264,CC$2)+(($H264-ROUNDDOWN($H264,0))*(INDEX(avoidedcosttbl2,ROUNDUP($H264,0),CC$2)-(INDEX(avoidedcosttbl2,ROUNDDOWN($H264,0),CC$2)))))*'Inputs Yr 2'!Q264*'Inputs Yr 2'!R264*'Inputs Yr 2'!V264,"")</f>
        <v>0</v>
      </c>
      <c r="CD264" s="195">
        <f>IFERROR(I264*(IF('Inputs Yr 2'!$AJ264=CD$4,'Inputs Yr 2'!$AK264,IF('Inputs Yr 2'!$AL264=CD$4,'Inputs Yr 2'!$AM264,IF('Inputs Yr 2'!$AN264=CD$4,'Inputs Yr 2'!$AO264,0))))*(INDEX(avoidedcosttbl2,$H264,CD$2)+(($H264-ROUNDDOWN($H264,0))*(INDEX(avoidedcosttbl2,ROUNDUP($H264,0),CD$2)-(INDEX(avoidedcosttbl2,ROUNDDOWN($H264,0),CD$2)))))*'Inputs Yr 2'!R264*'Inputs Yr 2'!S264*'Inputs Yr 2'!W264,"")</f>
        <v>0</v>
      </c>
      <c r="CE264" s="213">
        <f t="shared" si="161"/>
        <v>0</v>
      </c>
      <c r="CF264" s="213">
        <f t="shared" si="162"/>
        <v>0</v>
      </c>
      <c r="CG264" s="213">
        <f t="shared" si="163"/>
        <v>0</v>
      </c>
      <c r="CH264" s="698">
        <f t="shared" si="164"/>
        <v>12249.361049548976</v>
      </c>
      <c r="CI264" s="79">
        <f>IFERROR(($G264*'Inputs Yr 2'!$P264*'Inputs Yr 2'!$Q264*(((INDEX(avoidedcosttbl2,$H264,CI$2)+(($H264-ROUNDDOWN($H264,0))*(INDEX(avoidedcosttbl2,ROUNDUP($H264,0),CI$2)-INDEX(avoidedcosttbl2,ROUNDDOWN($H264,0),CI$2))))*'Inputs Yr 2'!AS264))),"")</f>
        <v>0</v>
      </c>
      <c r="CJ264" s="504">
        <f>IFERROR($G264*'Inputs Yr 2'!AT264*'Inputs Yr 2'!$P264*'Inputs Yr 2'!$Q264/((1+realdiscrt1)^-0.5),"")</f>
        <v>0</v>
      </c>
      <c r="CK264" s="79">
        <f>IFERROR((O264*1000*(((INDEX(avoidedcosttbl2,$H264,CK$2)+(($H264-ROUNDDOWN($H264,0))*(INDEX(avoidedcosttbl2,ROUNDUP($H264,0),CK$2)-INDEX(avoidedcosttbl2,ROUNDDOWN($H264,0),CK$2))))*'Inputs Yr 2'!AU264))),"")</f>
        <v>0</v>
      </c>
      <c r="CL264" s="504">
        <f>IFERROR(O264*1000*'Inputs Yr 2'!AV264/((1+realdiscrt1)^-0.5),"")</f>
        <v>0</v>
      </c>
      <c r="CM264" s="79">
        <f>IFERROR((AB264*'Inputs Yr 2'!AW264*(((INDEX(avoidedcosttbl2,$H264,CM$2)+(($H264-ROUNDDOWN($H264,0))*(INDEX(avoidedcosttbl2,ROUNDUP($H264,0),CM$2)-INDEX(avoidedcosttbl2,ROUNDDOWN($H264,0),CM$2)))))))*10,"")</f>
        <v>3641.0548880217925</v>
      </c>
      <c r="CN264" s="504">
        <f>IFERROR(10*AB264*'Inputs Yr 2'!AX264/((1+realdiscrt1)^-0.5),"")</f>
        <v>0</v>
      </c>
      <c r="CO264" s="505">
        <f t="shared" si="165"/>
        <v>3641.0548880217925</v>
      </c>
      <c r="CP264" s="230">
        <f t="shared" si="166"/>
        <v>15890.415937570768</v>
      </c>
      <c r="CQ264" s="199">
        <f>ROUND(IFERROR(IF(LEFT($A264,1)="C",'Avoided Costs'!$K$13,'Avoided Costs'!$K$12)+1,""),4)</f>
        <v>1.0720000000000001</v>
      </c>
      <c r="CR264" s="199">
        <f>ROUND(IFERROR(IF(LEFT($A264,1)="C",'Avoided Costs'!$L$13,'Avoided Costs'!$L$12)+1,""),4)</f>
        <v>1.04</v>
      </c>
      <c r="CS264" s="199">
        <f>ROUND(IFERROR(IF(LEFT($A264,1)="C",'Avoided Costs'!$M$13,'Avoided Costs'!$M$12)+1,""),4)</f>
        <v>1.0720000000000001</v>
      </c>
      <c r="CT264" s="199">
        <f>ROUND(IFERROR(IF(LEFT($A264,1)="C",'Avoided Costs'!$N$13,'Avoided Costs'!$N$12)+1,""),4)</f>
        <v>1.04</v>
      </c>
      <c r="CU264" s="199">
        <f>ROUND(IFERROR(IF(LEFT($A264,1)="C",'Avoided Costs'!$O$13,'Avoided Costs'!$O$12)+1,""),4)</f>
        <v>1.1120000000000001</v>
      </c>
      <c r="CV264" s="199">
        <f>ROUND(IFERROR(IF(LEFT($A264,1)="C",'Avoided Costs'!$P$13,'Avoided Costs'!$P$12)+1,""),4)</f>
        <v>1.095</v>
      </c>
      <c r="CW264" s="199">
        <f>ROUND(IFERROR(IF(LEFT($A264,1)="C",'Avoided Costs'!$Q$13,'Avoided Costs'!$Q$12)+1,""),4)</f>
        <v>1.1120000000000001</v>
      </c>
      <c r="CX264" s="200">
        <f>ROUND(IFERROR(IF(LEFT($A264,1)="C",'Avoided Costs'!$R$13,'Avoided Costs'!$R$12)+1,""),4)</f>
        <v>1.1120000000000001</v>
      </c>
    </row>
    <row r="265" spans="1:102" ht="12.75" customHeight="1">
      <c r="A265" s="91" t="str">
        <f>IF('Inputs Yr 2'!$B265=0,"",'Inputs Yr 2'!A265)</f>
        <v>C - Commercial &amp; Industrial</v>
      </c>
      <c r="B265" s="91" t="str">
        <f>IF('Inputs Yr 2'!$B265=0,"",'Inputs Yr 2'!B265)</f>
        <v>C2 - C&amp;I Retrofit</v>
      </c>
      <c r="C265" s="91" t="str">
        <f>IF('Inputs Yr 2'!$B265=0,"",'Inputs Yr 2'!C265)</f>
        <v>C2a - C&amp;I Existing Building Retrofit</v>
      </c>
      <c r="D265" s="91" t="str">
        <f>IF('Inputs Yr 2'!$B265=0,"",'Inputs Yr 2'!E265)</f>
        <v>Other - Custom 15</v>
      </c>
      <c r="E265" s="93" t="str">
        <f>IF('Inputs Yr 2'!$B265=0,"",'Inputs Yr 2'!F265)</f>
        <v>G16C2a11</v>
      </c>
      <c r="F265" s="93" t="str">
        <f>IF('Inputs Yr 2'!$B265=0,"",'Inputs Yr 2'!G265)</f>
        <v>Custom Measures</v>
      </c>
      <c r="G265" s="95">
        <f>IF('Inputs Yr 2'!$H265&lt;&gt;0,('Inputs Yr 2'!H265),"")</f>
        <v>1</v>
      </c>
      <c r="H265" s="94">
        <f>IFERROR('Inputs Yr 2'!I265,"")</f>
        <v>15</v>
      </c>
      <c r="I265" s="298">
        <f>IFERROR('Inputs Yr 2'!J265*'Inputs Yr 2'!P265*G265,"")</f>
        <v>260920.23764000001</v>
      </c>
      <c r="J265" s="298">
        <f>IFERROR('Inputs Yr 2'!K265*G265,"")</f>
        <v>141958.78</v>
      </c>
      <c r="K265" s="298">
        <f t="shared" si="143"/>
        <v>118961.45764000001</v>
      </c>
      <c r="L265" s="194">
        <f>IFERROR(('Inputs Yr 2'!W265*G265)/1000,"")</f>
        <v>0</v>
      </c>
      <c r="M265" s="194">
        <f>IFERROR(L265*('Inputs Yr 2'!$Q265*'Inputs Yr 2'!$V265*'Inputs Yr 2'!$R265),"")</f>
        <v>0</v>
      </c>
      <c r="N265" s="194">
        <f t="shared" si="144"/>
        <v>0</v>
      </c>
      <c r="O265" s="194">
        <f>IFERROR(M265*'Inputs Yr 2'!P265,"")</f>
        <v>0</v>
      </c>
      <c r="P265" s="194">
        <f t="shared" si="145"/>
        <v>0</v>
      </c>
      <c r="Q265" s="194">
        <f>IFERROR($P265*'Inputs Yr 2'!AA265,"")</f>
        <v>0</v>
      </c>
      <c r="R265" s="194">
        <f>IFERROR($P265*'Inputs Yr 2'!AB265,"")</f>
        <v>0</v>
      </c>
      <c r="S265" s="194">
        <f>IFERROR($P265*'Inputs Yr 2'!AC265,"")</f>
        <v>0</v>
      </c>
      <c r="T265" s="194">
        <f>IFERROR($P265*'Inputs Yr 2'!AD265,"")</f>
        <v>0</v>
      </c>
      <c r="U265" s="194">
        <f>IFERROR(G265*'Inputs Yr 2'!$AE265*'Inputs Yr 2'!$P265*'Inputs Yr 2'!$Q265,"")</f>
        <v>0</v>
      </c>
      <c r="V265" s="194">
        <f>IFERROR($G265*'Inputs Yr 2'!$AE265*'Inputs Yr 2'!$AG265*'Inputs Yr 2'!Q265*'Inputs Yr 2'!$S265,"")</f>
        <v>0</v>
      </c>
      <c r="W265" s="194">
        <f>IFERROR($G265*'Inputs Yr 2'!$AE265*'Inputs Yr 2'!$AG265*'Inputs Yr 2'!P265*'Inputs Yr 2'!Q265*'Inputs Yr 2'!$S265,"")</f>
        <v>0</v>
      </c>
      <c r="X265" s="194">
        <f>IFERROR($G265*'Inputs Yr 2'!$AE265*'Inputs Yr 2'!$AF265*'Inputs Yr 2'!Q265*'Inputs Yr 2'!$T265,"")</f>
        <v>0</v>
      </c>
      <c r="Y265" s="194">
        <f>IFERROR($G265*'Inputs Yr 2'!$AE265*'Inputs Yr 2'!$AF265*'Inputs Yr 2'!P265*'Inputs Yr 2'!Q265*'Inputs Yr 2'!$T265,"")</f>
        <v>0</v>
      </c>
      <c r="Z265" s="257">
        <f>IFERROR($G265*'Inputs Yr 2'!$Q265*'Inputs Yr 2'!$U265*(IF(IFERROR(SEARCH("NG", 'Inputs Yr 2'!$AJ265),0),'Inputs Yr 2'!$AK265,0)+IF(IFERROR(SEARCH("NG", 'Inputs Yr 2'!$AL265),0),'Inputs Yr 2'!$AM265,0)+IF(IFERROR(SEARCH("NG", 'Inputs Yr 2'!$AN265),0),'Inputs Yr 2'!$AO265,0)),0)</f>
        <v>15367.644600000001</v>
      </c>
      <c r="AA265" s="257">
        <f t="shared" si="146"/>
        <v>230514.66900000002</v>
      </c>
      <c r="AB265" s="257">
        <f>IFERROR(Z265*'Inputs Yr 2'!$P265,0)</f>
        <v>14122.865387400001</v>
      </c>
      <c r="AC265" s="257">
        <f t="shared" si="147"/>
        <v>211842.98081100002</v>
      </c>
      <c r="AD265" s="257">
        <f>IFERROR($G265*'Inputs Yr 2'!$Q265*'Inputs Yr 2'!$U265*(IF(IFERROR(SEARCH("Oil", 'Inputs Yr 2'!$AJ265), 0),'Inputs Yr 2'!$AK265,0)+IF(IFERROR(SEARCH("Oil", 'Inputs Yr 2'!$AL265), 0),'Inputs Yr 2'!$AM265,0)+IF(IFERROR(SEARCH("Oil", 'Inputs Yr 2'!$AN265), 0),'Inputs Yr 2'!$AO265,0)),0)</f>
        <v>0</v>
      </c>
      <c r="AE265" s="257">
        <f t="shared" si="148"/>
        <v>0</v>
      </c>
      <c r="AF265" s="257">
        <f>IFERROR(AD265*'Inputs Yr 2'!$P265,0)</f>
        <v>0</v>
      </c>
      <c r="AG265" s="257">
        <f t="shared" si="149"/>
        <v>0</v>
      </c>
      <c r="AH265" s="257">
        <f>IFERROR($G265*'Inputs Yr 2'!$Q265*'Inputs Yr 2'!$U265*(IF('Inputs Yr 2'!$AJ265=CD$4,'Inputs Yr 2'!$AK265,IF('Inputs Yr 2'!$AL265=CD$4,'Inputs Yr 2'!$AM265,IF('Inputs Yr 2'!$AN265=CD$4,'Inputs Yr 2'!$AO265,0)))),0)</f>
        <v>0</v>
      </c>
      <c r="AI265" s="257">
        <f t="shared" si="150"/>
        <v>0</v>
      </c>
      <c r="AJ265" s="257">
        <f>IFERROR(AH265*'Inputs Yr 2'!$P265,0)</f>
        <v>0</v>
      </c>
      <c r="AK265" s="257">
        <f t="shared" si="151"/>
        <v>0</v>
      </c>
      <c r="AL265" s="258">
        <f>IFERROR($G265*'Inputs Yr 2'!$P265*'Inputs Yr 2'!$Q265*'Inputs Yr 2'!AP265,0)</f>
        <v>0</v>
      </c>
      <c r="AM265" s="260">
        <f>IFERROR($G265*'Inputs Yr 2'!$P265*'Inputs Yr 2'!$Q265*'Inputs Yr 2'!AQ265,0)</f>
        <v>0</v>
      </c>
      <c r="AN265" s="258">
        <f>IFERROR($G265*'Inputs Yr 2'!$P265*'Inputs Yr 2'!$Q265*'Inputs Yr 2'!AR265,0)</f>
        <v>0</v>
      </c>
      <c r="AO265" s="257">
        <f t="shared" si="152"/>
        <v>0</v>
      </c>
      <c r="AP265" s="195">
        <f>IFERROR($CQ265*(INDEX(avoidedcosttbl2,$H265,AP$2)+(($H265-ROUNDDOWN($H265,0))*(INDEX(avoidedcosttbl2,ROUNDUP($H265,0),AP$2)-(INDEX(avoidedcosttbl2,ROUNDDOWN($H265,0),AP$2)))))*$O265*1000*'Inputs Yr 2'!AA265,"")</f>
        <v>0</v>
      </c>
      <c r="AQ265" s="195">
        <f>IFERROR($CR265*(INDEX(avoidedcosttbl2,$H265,AQ$2)+(($H265-ROUNDDOWN($H265,0))*(INDEX(avoidedcosttbl2,ROUNDUP($H265,0),AQ$2)-(INDEX(avoidedcosttbl2,ROUNDDOWN($H265,0),AQ$2)))))*$O265*1000*'Inputs Yr 2'!AB265,"")</f>
        <v>0</v>
      </c>
      <c r="AR265" s="195">
        <f>IFERROR($CS265*(INDEX(avoidedcosttbl2,$H265,AR$2)+(($H265-ROUNDDOWN($H265,0))*(INDEX(avoidedcosttbl2,ROUNDUP($H265,0),AR$2)-(INDEX(avoidedcosttbl2,ROUNDDOWN($H265,0),AR$2)))))*$O265*1000*'Inputs Yr 2'!AC265,"")</f>
        <v>0</v>
      </c>
      <c r="AS265" s="195">
        <f>IFERROR($CT265*(INDEX(avoidedcosttbl2,$H265,AS$2)+(($H265-ROUNDDOWN($H265,0))*(INDEX(avoidedcosttbl2,ROUNDUP($H265,0),AS$2)-(INDEX(avoidedcosttbl2,ROUNDDOWN($H265,0),AS$2)))))*$O265*1000*'Inputs Yr 2'!AD265,"")</f>
        <v>0</v>
      </c>
      <c r="AT265" s="196">
        <f t="shared" si="153"/>
        <v>0</v>
      </c>
      <c r="AU265" s="197">
        <f>IFERROR($CQ265*((INDEX(avoidedcosttbl2,$H265,AU$2))+(($H265-ROUNDDOWN($H265,0))*((INDEX(avoidedcosttbl2,ROUNDUP($H265,0),AU$2))-(INDEX(avoidedcosttbl2,ROUNDDOWN($H265,0),AU$2)))))*$O265*1000*'Inputs Yr 2'!AA265,"")</f>
        <v>0</v>
      </c>
      <c r="AV265" s="197">
        <f>IFERROR($CR265*((INDEX(avoidedcosttbl2,$H265,AV$2))+(($H265-ROUNDDOWN($H265,0))*((INDEX(avoidedcosttbl2,ROUNDUP($H265,0),AV$2))-(INDEX(avoidedcosttbl2,ROUNDDOWN($H265,0),AV$2)))))*$O265*1000*'Inputs Yr 2'!AB265,"")</f>
        <v>0</v>
      </c>
      <c r="AW265" s="197">
        <f>IFERROR($CS265*((INDEX(avoidedcosttbl2,$H265,AW$2))+(($H265-ROUNDDOWN($H265,0))*((INDEX(avoidedcosttbl2,ROUNDUP($H265,0),AW$2))-(INDEX(avoidedcosttbl2,ROUNDDOWN($H265,0),AW$2)))))*$O265*1000*'Inputs Yr 2'!AC265,"")</f>
        <v>0</v>
      </c>
      <c r="AX265" s="197">
        <f>IFERROR($CT265*((INDEX(avoidedcosttbl2,$H265,AX$2))+(($H265-ROUNDDOWN($H265,0))*((INDEX(avoidedcosttbl2,ROUNDUP($H265,0),AX$2))-(INDEX(avoidedcosttbl2,ROUNDDOWN($H265,0),AX$2)))))*$O265*1000*'Inputs Yr 2'!AD265,"")</f>
        <v>0</v>
      </c>
      <c r="AY265" s="197">
        <f>IFERROR(((INDEX(avoidedcosttbl2,$H265,AY$2))+(($H265-ROUNDDOWN($H265,0))*((INDEX(avoidedcosttbl2,ROUNDUP($H265,0),AY$2))-(INDEX(avoidedcosttbl2,ROUNDDOWN($H265,0),AY$2)))))*$O265*1000*('Inputs Yr 2'!AC265+'Inputs Yr 2'!AD265),"")</f>
        <v>0</v>
      </c>
      <c r="AZ265" s="197">
        <f>IFERROR(((INDEX(avoidedcosttbl2,$H265,AZ$2))+(($H265-ROUNDDOWN($H265,0))*((INDEX(avoidedcosttbl2,ROUNDUP($H265,0),AZ$2))-(INDEX(avoidedcosttbl2,ROUNDDOWN($H265,0),AZ$2)))))*$O265*1000*('Inputs Yr 2'!AA265+'Inputs Yr 2'!AB265),"")</f>
        <v>0</v>
      </c>
      <c r="BA265" s="198">
        <f t="shared" si="154"/>
        <v>0</v>
      </c>
      <c r="BB265" s="198">
        <f t="shared" si="155"/>
        <v>0</v>
      </c>
      <c r="BC265" s="195">
        <f t="shared" si="137"/>
        <v>0</v>
      </c>
      <c r="BD265" s="195">
        <f t="shared" si="138"/>
        <v>0</v>
      </c>
      <c r="BE265" s="195">
        <f t="shared" si="139"/>
        <v>0</v>
      </c>
      <c r="BF265" s="195">
        <f t="shared" si="140"/>
        <v>0</v>
      </c>
      <c r="BG265" s="195">
        <f t="shared" si="141"/>
        <v>0</v>
      </c>
      <c r="BH265" s="196">
        <f t="shared" si="156"/>
        <v>0</v>
      </c>
      <c r="BI265" s="196">
        <f t="shared" si="157"/>
        <v>0</v>
      </c>
      <c r="BJ265" s="195">
        <f>IFERROR($G265*(IF('Inputs Yr 2'!$AJ265=BJ$4,'Inputs Yr 2'!$AK265,IF('Inputs Yr 2'!$AL265=BJ$4,'Inputs Yr 2'!$AM265,IF('Inputs Yr 2'!$AN265=BJ$4,'Inputs Yr 2'!$AO265,0))))*(INDEX(avoidedcosttbl2,$H265,BJ$2)+(($H265-ROUNDDOWN($H265,0))*(INDEX(avoidedcosttbl2,ROUNDUP($H265,0),BJ$2)-(INDEX(avoidedcosttbl2,ROUNDDOWN($H265,0),BJ$2)))))*'Inputs Yr 2'!P265*'Inputs Yr 2'!Q265*'Inputs Yr 2'!U265,"")</f>
        <v>0</v>
      </c>
      <c r="BK265" s="195">
        <f>IFERROR($G265*(IF('Inputs Yr 2'!$AJ265=BK$4,'Inputs Yr 2'!$AK265,IF('Inputs Yr 2'!$AL265=BK$4,'Inputs Yr 2'!$AM265,IF('Inputs Yr 2'!$AN265=BK$4,'Inputs Yr 2'!$AO265,0))))*(INDEX(avoidedcosttbl2,$H265,BK$2)+(($H265-ROUNDDOWN($H265,0))*(INDEX(avoidedcosttbl2,ROUNDUP($H265,0),BK$2)-(INDEX(avoidedcosttbl2,ROUNDDOWN($H265,0),BK$2)))))*'Inputs Yr 2'!P265*'Inputs Yr 2'!Q265*'Inputs Yr 2'!U265,"")</f>
        <v>0</v>
      </c>
      <c r="BL265" s="195">
        <f>IFERROR($G265*(IF('Inputs Yr 2'!$AJ265=BL$4,'Inputs Yr 2'!$AK265,IF('Inputs Yr 2'!$AL265=BL$4,'Inputs Yr 2'!$AM265,IF('Inputs Yr 2'!$AN265=BL$4,'Inputs Yr 2'!$AO265,0))))*(INDEX(avoidedcosttbl2,$H265,BL$2)+(($H265-ROUNDDOWN($H265,0))*(INDEX(avoidedcosttbl2,ROUNDUP($H265,0),BL$2)-(INDEX(avoidedcosttbl2,ROUNDDOWN($H265,0),BL$2)))))*'Inputs Yr 2'!P265*'Inputs Yr 2'!Q265*'Inputs Yr 2'!U265,"")</f>
        <v>0</v>
      </c>
      <c r="BM265" s="195">
        <f>IFERROR($G265*(IF('Inputs Yr 2'!$AJ265=BM$4,'Inputs Yr 2'!$AK265,IF('Inputs Yr 2'!$AL265=BM$4,'Inputs Yr 2'!$AM265,IF('Inputs Yr 2'!$AN265=BM$4,'Inputs Yr 2'!$AO265,0))))*(INDEX(avoidedcosttbl2,$H265,BM$2)+(($H265-ROUNDDOWN($H265,0))*(INDEX(avoidedcosttbl2,ROUNDUP($H265,0),BM$2)-(INDEX(avoidedcosttbl2,ROUNDDOWN($H265,0),BM$2)))))*'Inputs Yr 2'!P265*'Inputs Yr 2'!Q265*'Inputs Yr 2'!U265,"")</f>
        <v>0</v>
      </c>
      <c r="BN265" s="195">
        <f>IFERROR($G265*(IF('Inputs Yr 2'!$AJ265=BN$4,'Inputs Yr 2'!$AK265,IF('Inputs Yr 2'!$AL265=BN$4,'Inputs Yr 2'!$AM265,IF('Inputs Yr 2'!$AN265=BN$4,'Inputs Yr 2'!$AO265,0))))*(INDEX(avoidedcosttbl2,$H265,BN$2)+(($H265-ROUNDDOWN($H265,0))*(INDEX(avoidedcosttbl2,ROUNDUP($H265,0),BN$2)-(INDEX(avoidedcosttbl2,ROUNDDOWN($H265,0),BN$2)))))*'Inputs Yr 2'!P265*'Inputs Yr 2'!Q265*'Inputs Yr 2'!U265,"")</f>
        <v>0</v>
      </c>
      <c r="BO265" s="195">
        <f>IFERROR($G265*(IF('Inputs Yr 2'!$AJ265=BO$4,'Inputs Yr 2'!$AK265,IF('Inputs Yr 2'!$AL265=BO$4,'Inputs Yr 2'!$AM265,IF('Inputs Yr 2'!$AN265=BO$4,'Inputs Yr 2'!$AO265,0))))*(INDEX(avoidedcosttbl2,$H265,BO$2)+(($H265-ROUNDDOWN($H265,0))*(INDEX(avoidedcosttbl2,ROUNDUP($H265,0),BO$2)-(INDEX(avoidedcosttbl2,ROUNDDOWN($H265,0),BO$2)))))*'Inputs Yr 2'!P265*'Inputs Yr 2'!Q265*'Inputs Yr 2'!U265,"")</f>
        <v>0</v>
      </c>
      <c r="BP265" s="195">
        <f>IFERROR($G265*(IF('Inputs Yr 2'!$AJ265=BP$4,'Inputs Yr 2'!$AK265,IF('Inputs Yr 2'!$AL265=BP$4,'Inputs Yr 2'!$AM265,IF('Inputs Yr 2'!$AN265=BP$4,'Inputs Yr 2'!$AO265,0))))*(INDEX(avoidedcosttbl2,$H265,BP$2)+(($H265-ROUNDDOWN($H265,0))*(INDEX(avoidedcosttbl2,ROUNDUP($H265,0),BP$2)-(INDEX(avoidedcosttbl2,ROUNDDOWN($H265,0),BP$2)))))*'Inputs Yr 2'!P265*'Inputs Yr 2'!Q265*'Inputs Yr 2'!U265,"")</f>
        <v>1587347.6563775253</v>
      </c>
      <c r="BQ265" s="230">
        <f t="shared" si="158"/>
        <v>1587347.6563775253</v>
      </c>
      <c r="BR265" s="197">
        <f t="shared" si="142"/>
        <v>28713.601144149496</v>
      </c>
      <c r="BS265" s="197">
        <f>IFERROR(($G265*IF('Inputs Yr 2'!$AJ265=BM$4,'Inputs Yr 2'!$AK265,IF('Inputs Yr 2'!$AL265=BM$4,'Inputs Yr 2'!$AM265,IF('Inputs Yr 2'!$AN265=BM$4,'Inputs Yr 2'!$AO265,0))))*(INDEX(avoidedcosttbl2,$H265,BS$2)+(($H265-ROUNDDOWN($H265,0))*(INDEX(avoidedcosttbl2,ROUNDUP($H265,0),BS$2)-(INDEX(avoidedcosttbl2,ROUNDDOWN($H265,0),BS$2)))))*'Inputs Yr 2'!P265*'Inputs Yr 2'!Q265*'Inputs Yr 2'!U265,"")</f>
        <v>0</v>
      </c>
      <c r="BT265" s="197">
        <f>IFERROR(($G265*IF('Inputs Yr 2'!$AJ265=BK$4,'Inputs Yr 2'!$AK265,IF('Inputs Yr 2'!$AL265=BK$4,'Inputs Yr 2'!$AM265,IF('Inputs Yr 2'!$AN265=BK$4,'Inputs Yr 2'!$AO265,0))))*(INDEX(avoidedcosttbl2,$H265,BT$2)+(($H265-ROUNDDOWN($H265,0))*(INDEX(avoidedcosttbl2,ROUNDUP($H265,0),BT$2)-(INDEX(avoidedcosttbl2,ROUNDDOWN($H265,0),BT$2)))))*'Inputs Yr 2'!P265*'Inputs Yr 2'!Q265*'Inputs Yr 2'!U265,"")</f>
        <v>0</v>
      </c>
      <c r="BU265" s="197">
        <f>IFERROR(($G265*IF('Inputs Yr 2'!$AJ265=BL$4,'Inputs Yr 2'!$AK265,IF('Inputs Yr 2'!$AL265=BL$4,'Inputs Yr 2'!$AM265,IF('Inputs Yr 2'!$AN265=BL$4,'Inputs Yr 2'!$AO265,0))))*(INDEX(avoidedcosttbl2,$H265,BU$2)+(($H265-ROUNDDOWN($H265,0))*(INDEX(avoidedcosttbl2,ROUNDUP($H265,0),BU$2)-(INDEX(avoidedcosttbl2,ROUNDDOWN($H265,0),BU$2)))))*'Inputs Yr 2'!P265*'Inputs Yr 2'!Q265*'Inputs Yr 2'!U265,"")</f>
        <v>0</v>
      </c>
      <c r="BV265" s="775">
        <f>IFERROR(($G265*IF('Inputs Yr 2'!$AJ265=BJ$4,'Inputs Yr 2'!$AK265,IF('Inputs Yr 2'!$AL265=BJ$4,'Inputs Yr 2'!$AM265,IF('Inputs Yr 2'!$AN265=BJ$4,'Inputs Yr 2'!$AO265,0))))*(INDEX(avoidedcosttbl2,$H265,BV$2)+(($H265-ROUNDDOWN($H265,0))*(INDEX(avoidedcosttbl2,ROUNDUP($H265,0),BV$2)-(INDEX(avoidedcosttbl2,ROUNDDOWN($H265,0),BV$2)))))*'Inputs Yr 2'!P265*'Inputs Yr 2'!Q265*'Inputs Yr 2'!U265,"")</f>
        <v>0</v>
      </c>
      <c r="BW265" s="197">
        <f>IFERROR(($G265*IF('Inputs Yr 2'!$AJ265=BN$4,'Inputs Yr 2'!$AK265,IF('Inputs Yr 2'!$AL265=BN$4,'Inputs Yr 2'!$AM265,IF('Inputs Yr 2'!$AN265=BN$4,'Inputs Yr 2'!$AO265,0))))*(INDEX(avoidedcosttbl2,$H265,BW$2)+(($H265-ROUNDDOWN($H265,0))*(INDEX(avoidedcosttbl2,ROUNDUP($H265,0),BW$2)-(INDEX(avoidedcosttbl2,ROUNDDOWN($H265,0),BW$2)))))*'Inputs Yr 2'!P265*'Inputs Yr 2'!Q265*'Inputs Yr 2'!U265,"")</f>
        <v>0</v>
      </c>
      <c r="BX265" s="197">
        <f>IFERROR(($G265*IF('Inputs Yr 2'!$AJ265=BO$4,'Inputs Yr 2'!$AK265,IF('Inputs Yr 2'!$AL265=BO$4,'Inputs Yr 2'!$AM265,IF('Inputs Yr 2'!$AN265=BO$4,'Inputs Yr 2'!$AO265,0))))*(INDEX(avoidedcosttbl2,$H265,BX$2)+(($H265-ROUNDDOWN($H265,0))*(INDEX(avoidedcosttbl2,ROUNDUP($H265,0),BX$2)-(INDEX(avoidedcosttbl2,ROUNDDOWN($H265,0),BX$2)))))*'Inputs Yr 2'!P265*'Inputs Yr 2'!Q265*'Inputs Yr 2'!U265,"")</f>
        <v>0</v>
      </c>
      <c r="BY265" s="197">
        <f>IFERROR(($G265*IF('Inputs Yr 2'!$AJ265=BP$4,'Inputs Yr 2'!$AK265,IF('Inputs Yr 2'!$AL265=BP$4,'Inputs Yr 2'!$AM265,IF('Inputs Yr 2'!$AN265=BP$4,'Inputs Yr 2'!$AO265,0))))*(INDEX(avoidedcosttbl2,$H265,BY$2)+(($H265-ROUNDDOWN($H265,0))*(INDEX(avoidedcosttbl2,ROUNDUP($H265,0),BY$2)-(INDEX(avoidedcosttbl2,ROUNDDOWN($H265,0),BY$2)))))*'Inputs Yr 2'!P265*'Inputs Yr 2'!Q265*'Inputs Yr 2'!U265,"")</f>
        <v>122715.40478134119</v>
      </c>
      <c r="BZ265" s="193">
        <f t="shared" si="159"/>
        <v>151429.0059254907</v>
      </c>
      <c r="CA265" s="193">
        <f t="shared" si="160"/>
        <v>1738776.6623030161</v>
      </c>
      <c r="CB265" s="195">
        <f>IFERROR(G265*(IF('Inputs Yr 2'!$AJ265=CB$4,'Inputs Yr 2'!$AK265,IF('Inputs Yr 2'!$AL265=CB$4,'Inputs Yr 2'!$AM265,IF('Inputs Yr 2'!$AN265=CB$4,'Inputs Yr 2'!$AO265,0))))*(INDEX(avoidedcosttbl2,$H265,CB$2)+(($H265-ROUNDDOWN($H265,0))*(INDEX(avoidedcosttbl2,ROUNDUP($H265,0),CB$2)-(INDEX(avoidedcosttbl2,ROUNDDOWN($H265,0),CB$2)))))*'Inputs Yr 2'!P265*'Inputs Yr 2'!Q265*'Inputs Yr 2'!U265,"")</f>
        <v>0</v>
      </c>
      <c r="CC265" s="195">
        <f>IFERROR(H265*(IF('Inputs Yr 2'!$AJ265=CC$4,'Inputs Yr 2'!$AK265,IF('Inputs Yr 2'!$AL265=CC$4,'Inputs Yr 2'!$AM265,IF('Inputs Yr 2'!$AN265=CC$4,'Inputs Yr 2'!$AO265,0))))*(INDEX(avoidedcosttbl2,$H265,CC$2)+(($H265-ROUNDDOWN($H265,0))*(INDEX(avoidedcosttbl2,ROUNDUP($H265,0),CC$2)-(INDEX(avoidedcosttbl2,ROUNDDOWN($H265,0),CC$2)))))*'Inputs Yr 2'!Q265*'Inputs Yr 2'!R265*'Inputs Yr 2'!V265,"")</f>
        <v>0</v>
      </c>
      <c r="CD265" s="195">
        <f>IFERROR(I265*(IF('Inputs Yr 2'!$AJ265=CD$4,'Inputs Yr 2'!$AK265,IF('Inputs Yr 2'!$AL265=CD$4,'Inputs Yr 2'!$AM265,IF('Inputs Yr 2'!$AN265=CD$4,'Inputs Yr 2'!$AO265,0))))*(INDEX(avoidedcosttbl2,$H265,CD$2)+(($H265-ROUNDDOWN($H265,0))*(INDEX(avoidedcosttbl2,ROUNDUP($H265,0),CD$2)-(INDEX(avoidedcosttbl2,ROUNDDOWN($H265,0),CD$2)))))*'Inputs Yr 2'!R265*'Inputs Yr 2'!S265*'Inputs Yr 2'!W265,"")</f>
        <v>0</v>
      </c>
      <c r="CE265" s="213">
        <f t="shared" si="161"/>
        <v>0</v>
      </c>
      <c r="CF265" s="213">
        <f t="shared" si="162"/>
        <v>0</v>
      </c>
      <c r="CG265" s="213">
        <f t="shared" si="163"/>
        <v>0</v>
      </c>
      <c r="CH265" s="698">
        <f t="shared" si="164"/>
        <v>1738776.6623030161</v>
      </c>
      <c r="CI265" s="79">
        <f>IFERROR(($G265*'Inputs Yr 2'!$P265*'Inputs Yr 2'!$Q265*(((INDEX(avoidedcosttbl2,$H265,CI$2)+(($H265-ROUNDDOWN($H265,0))*(INDEX(avoidedcosttbl2,ROUNDUP($H265,0),CI$2)-INDEX(avoidedcosttbl2,ROUNDDOWN($H265,0),CI$2))))*'Inputs Yr 2'!AS265))),"")</f>
        <v>0</v>
      </c>
      <c r="CJ265" s="504">
        <f>IFERROR($G265*'Inputs Yr 2'!AT265*'Inputs Yr 2'!$P265*'Inputs Yr 2'!$Q265/((1+realdiscrt1)^-0.5),"")</f>
        <v>0</v>
      </c>
      <c r="CK265" s="79">
        <f>IFERROR((O265*1000*(((INDEX(avoidedcosttbl2,$H265,CK$2)+(($H265-ROUNDDOWN($H265,0))*(INDEX(avoidedcosttbl2,ROUNDUP($H265,0),CK$2)-INDEX(avoidedcosttbl2,ROUNDDOWN($H265,0),CK$2))))*'Inputs Yr 2'!AU265))),"")</f>
        <v>0</v>
      </c>
      <c r="CL265" s="504">
        <f>IFERROR(O265*1000*'Inputs Yr 2'!AV265/((1+realdiscrt1)^-0.5),"")</f>
        <v>0</v>
      </c>
      <c r="CM265" s="79">
        <f>IFERROR((AB265*'Inputs Yr 2'!AW265*(((INDEX(avoidedcosttbl2,$H265,CM$2)+(($H265-ROUNDDOWN($H265,0))*(INDEX(avoidedcosttbl2,ROUNDUP($H265,0),CM$2)-INDEX(avoidedcosttbl2,ROUNDDOWN($H265,0),CM$2)))))))*10,"")</f>
        <v>512544.92118256044</v>
      </c>
      <c r="CN265" s="504">
        <f>IFERROR(10*AB265*'Inputs Yr 2'!AX265/((1+realdiscrt1)^-0.5),"")</f>
        <v>0</v>
      </c>
      <c r="CO265" s="505">
        <f t="shared" si="165"/>
        <v>512544.92118256044</v>
      </c>
      <c r="CP265" s="230">
        <f t="shared" si="166"/>
        <v>2251321.5834855763</v>
      </c>
      <c r="CQ265" s="199">
        <f>ROUND(IFERROR(IF(LEFT($A265,1)="C",'Avoided Costs'!$K$13,'Avoided Costs'!$K$12)+1,""),4)</f>
        <v>1.0720000000000001</v>
      </c>
      <c r="CR265" s="199">
        <f>ROUND(IFERROR(IF(LEFT($A265,1)="C",'Avoided Costs'!$L$13,'Avoided Costs'!$L$12)+1,""),4)</f>
        <v>1.04</v>
      </c>
      <c r="CS265" s="199">
        <f>ROUND(IFERROR(IF(LEFT($A265,1)="C",'Avoided Costs'!$M$13,'Avoided Costs'!$M$12)+1,""),4)</f>
        <v>1.0720000000000001</v>
      </c>
      <c r="CT265" s="199">
        <f>ROUND(IFERROR(IF(LEFT($A265,1)="C",'Avoided Costs'!$N$13,'Avoided Costs'!$N$12)+1,""),4)</f>
        <v>1.04</v>
      </c>
      <c r="CU265" s="199">
        <f>ROUND(IFERROR(IF(LEFT($A265,1)="C",'Avoided Costs'!$O$13,'Avoided Costs'!$O$12)+1,""),4)</f>
        <v>1.1120000000000001</v>
      </c>
      <c r="CV265" s="199">
        <f>ROUND(IFERROR(IF(LEFT($A265,1)="C",'Avoided Costs'!$P$13,'Avoided Costs'!$P$12)+1,""),4)</f>
        <v>1.095</v>
      </c>
      <c r="CW265" s="199">
        <f>ROUND(IFERROR(IF(LEFT($A265,1)="C",'Avoided Costs'!$Q$13,'Avoided Costs'!$Q$12)+1,""),4)</f>
        <v>1.1120000000000001</v>
      </c>
      <c r="CX265" s="200">
        <f>ROUND(IFERROR(IF(LEFT($A265,1)="C",'Avoided Costs'!$R$13,'Avoided Costs'!$R$12)+1,""),4)</f>
        <v>1.1120000000000001</v>
      </c>
    </row>
    <row r="266" spans="1:102" ht="12.75" customHeight="1">
      <c r="A266" s="91" t="str">
        <f>IF('Inputs Yr 2'!$B266=0,"",'Inputs Yr 2'!A266)</f>
        <v>C - Commercial &amp; Industrial</v>
      </c>
      <c r="B266" s="91" t="str">
        <f>IF('Inputs Yr 2'!$B266=0,"",'Inputs Yr 2'!B266)</f>
        <v>C2 - C&amp;I Retrofit</v>
      </c>
      <c r="C266" s="91" t="str">
        <f>IF('Inputs Yr 2'!$B266=0,"",'Inputs Yr 2'!C266)</f>
        <v>C2a - C&amp;I Existing Building Retrofit</v>
      </c>
      <c r="D266" s="91" t="str">
        <f>IF('Inputs Yr 2'!$B266=0,"",'Inputs Yr 2'!E266)</f>
        <v>Other - Custom 16</v>
      </c>
      <c r="E266" s="93" t="str">
        <f>IF('Inputs Yr 2'!$B266=0,"",'Inputs Yr 2'!F266)</f>
        <v>G16C2a11</v>
      </c>
      <c r="F266" s="93" t="str">
        <f>IF('Inputs Yr 2'!$B266=0,"",'Inputs Yr 2'!G266)</f>
        <v>Custom Measures</v>
      </c>
      <c r="G266" s="95">
        <f>IF('Inputs Yr 2'!$H266&lt;&gt;0,('Inputs Yr 2'!H266),"")</f>
        <v>1</v>
      </c>
      <c r="H266" s="94">
        <f>IFERROR('Inputs Yr 2'!I266,"")</f>
        <v>16</v>
      </c>
      <c r="I266" s="298">
        <f>IFERROR('Inputs Yr 2'!J266*'Inputs Yr 2'!P266*G266,"")</f>
        <v>7672.7310000000007</v>
      </c>
      <c r="J266" s="298">
        <f>IFERROR('Inputs Yr 2'!K266*G266,"")</f>
        <v>4174.5</v>
      </c>
      <c r="K266" s="298">
        <f t="shared" si="143"/>
        <v>3498.2310000000007</v>
      </c>
      <c r="L266" s="194">
        <f>IFERROR(('Inputs Yr 2'!W266*G266)/1000,"")</f>
        <v>0</v>
      </c>
      <c r="M266" s="194">
        <f>IFERROR(L266*('Inputs Yr 2'!$Q266*'Inputs Yr 2'!$V266*'Inputs Yr 2'!$R266),"")</f>
        <v>0</v>
      </c>
      <c r="N266" s="194">
        <f t="shared" si="144"/>
        <v>0</v>
      </c>
      <c r="O266" s="194">
        <f>IFERROR(M266*'Inputs Yr 2'!P266,"")</f>
        <v>0</v>
      </c>
      <c r="P266" s="194">
        <f t="shared" si="145"/>
        <v>0</v>
      </c>
      <c r="Q266" s="194">
        <f>IFERROR($P266*'Inputs Yr 2'!AA266,"")</f>
        <v>0</v>
      </c>
      <c r="R266" s="194">
        <f>IFERROR($P266*'Inputs Yr 2'!AB266,"")</f>
        <v>0</v>
      </c>
      <c r="S266" s="194">
        <f>IFERROR($P266*'Inputs Yr 2'!AC266,"")</f>
        <v>0</v>
      </c>
      <c r="T266" s="194">
        <f>IFERROR($P266*'Inputs Yr 2'!AD266,"")</f>
        <v>0</v>
      </c>
      <c r="U266" s="194">
        <f>IFERROR(G266*'Inputs Yr 2'!$AE266*'Inputs Yr 2'!$P266*'Inputs Yr 2'!$Q266,"")</f>
        <v>0</v>
      </c>
      <c r="V266" s="194">
        <f>IFERROR($G266*'Inputs Yr 2'!$AE266*'Inputs Yr 2'!$AG266*'Inputs Yr 2'!Q266*'Inputs Yr 2'!$S266,"")</f>
        <v>0</v>
      </c>
      <c r="W266" s="194">
        <f>IFERROR($G266*'Inputs Yr 2'!$AE266*'Inputs Yr 2'!$AG266*'Inputs Yr 2'!P266*'Inputs Yr 2'!Q266*'Inputs Yr 2'!$S266,"")</f>
        <v>0</v>
      </c>
      <c r="X266" s="194">
        <f>IFERROR($G266*'Inputs Yr 2'!$AE266*'Inputs Yr 2'!$AF266*'Inputs Yr 2'!Q266*'Inputs Yr 2'!$T266,"")</f>
        <v>0</v>
      </c>
      <c r="Y266" s="194">
        <f>IFERROR($G266*'Inputs Yr 2'!$AE266*'Inputs Yr 2'!$AF266*'Inputs Yr 2'!P266*'Inputs Yr 2'!Q266*'Inputs Yr 2'!$T266,"")</f>
        <v>0</v>
      </c>
      <c r="Z266" s="257">
        <f>IFERROR($G266*'Inputs Yr 2'!$Q266*'Inputs Yr 2'!$U266*(IF(IFERROR(SEARCH("NG", 'Inputs Yr 2'!$AJ266),0),'Inputs Yr 2'!$AK266,0)+IF(IFERROR(SEARCH("NG", 'Inputs Yr 2'!$AL266),0),'Inputs Yr 2'!$AM266,0)+IF(IFERROR(SEARCH("NG", 'Inputs Yr 2'!$AN266),0),'Inputs Yr 2'!$AO266,0)),0)</f>
        <v>216.79570000000001</v>
      </c>
      <c r="AA266" s="257">
        <f t="shared" si="146"/>
        <v>3468.7312000000002</v>
      </c>
      <c r="AB266" s="257">
        <f>IFERROR(Z266*'Inputs Yr 2'!$P266,0)</f>
        <v>199.23524830000002</v>
      </c>
      <c r="AC266" s="257">
        <f t="shared" si="147"/>
        <v>3187.7639728000004</v>
      </c>
      <c r="AD266" s="257">
        <f>IFERROR($G266*'Inputs Yr 2'!$Q266*'Inputs Yr 2'!$U266*(IF(IFERROR(SEARCH("Oil", 'Inputs Yr 2'!$AJ266), 0),'Inputs Yr 2'!$AK266,0)+IF(IFERROR(SEARCH("Oil", 'Inputs Yr 2'!$AL266), 0),'Inputs Yr 2'!$AM266,0)+IF(IFERROR(SEARCH("Oil", 'Inputs Yr 2'!$AN266), 0),'Inputs Yr 2'!$AO266,0)),0)</f>
        <v>0</v>
      </c>
      <c r="AE266" s="257">
        <f t="shared" si="148"/>
        <v>0</v>
      </c>
      <c r="AF266" s="257">
        <f>IFERROR(AD266*'Inputs Yr 2'!$P266,0)</f>
        <v>0</v>
      </c>
      <c r="AG266" s="257">
        <f t="shared" si="149"/>
        <v>0</v>
      </c>
      <c r="AH266" s="257">
        <f>IFERROR($G266*'Inputs Yr 2'!$Q266*'Inputs Yr 2'!$U266*(IF('Inputs Yr 2'!$AJ266=CD$4,'Inputs Yr 2'!$AK266,IF('Inputs Yr 2'!$AL266=CD$4,'Inputs Yr 2'!$AM266,IF('Inputs Yr 2'!$AN266=CD$4,'Inputs Yr 2'!$AO266,0)))),0)</f>
        <v>0</v>
      </c>
      <c r="AI266" s="257">
        <f t="shared" si="150"/>
        <v>0</v>
      </c>
      <c r="AJ266" s="257">
        <f>IFERROR(AH266*'Inputs Yr 2'!$P266,0)</f>
        <v>0</v>
      </c>
      <c r="AK266" s="257">
        <f t="shared" si="151"/>
        <v>0</v>
      </c>
      <c r="AL266" s="258">
        <f>IFERROR($G266*'Inputs Yr 2'!$P266*'Inputs Yr 2'!$Q266*'Inputs Yr 2'!AP266,0)</f>
        <v>0</v>
      </c>
      <c r="AM266" s="260">
        <f>IFERROR($G266*'Inputs Yr 2'!$P266*'Inputs Yr 2'!$Q266*'Inputs Yr 2'!AQ266,0)</f>
        <v>0</v>
      </c>
      <c r="AN266" s="258">
        <f>IFERROR($G266*'Inputs Yr 2'!$P266*'Inputs Yr 2'!$Q266*'Inputs Yr 2'!AR266,0)</f>
        <v>0</v>
      </c>
      <c r="AO266" s="257">
        <f t="shared" si="152"/>
        <v>0</v>
      </c>
      <c r="AP266" s="195">
        <f>IFERROR($CQ266*(INDEX(avoidedcosttbl2,$H266,AP$2)+(($H266-ROUNDDOWN($H266,0))*(INDEX(avoidedcosttbl2,ROUNDUP($H266,0),AP$2)-(INDEX(avoidedcosttbl2,ROUNDDOWN($H266,0),AP$2)))))*$O266*1000*'Inputs Yr 2'!AA266,"")</f>
        <v>0</v>
      </c>
      <c r="AQ266" s="195">
        <f>IFERROR($CR266*(INDEX(avoidedcosttbl2,$H266,AQ$2)+(($H266-ROUNDDOWN($H266,0))*(INDEX(avoidedcosttbl2,ROUNDUP($H266,0),AQ$2)-(INDEX(avoidedcosttbl2,ROUNDDOWN($H266,0),AQ$2)))))*$O266*1000*'Inputs Yr 2'!AB266,"")</f>
        <v>0</v>
      </c>
      <c r="AR266" s="195">
        <f>IFERROR($CS266*(INDEX(avoidedcosttbl2,$H266,AR$2)+(($H266-ROUNDDOWN($H266,0))*(INDEX(avoidedcosttbl2,ROUNDUP($H266,0),AR$2)-(INDEX(avoidedcosttbl2,ROUNDDOWN($H266,0),AR$2)))))*$O266*1000*'Inputs Yr 2'!AC266,"")</f>
        <v>0</v>
      </c>
      <c r="AS266" s="195">
        <f>IFERROR($CT266*(INDEX(avoidedcosttbl2,$H266,AS$2)+(($H266-ROUNDDOWN($H266,0))*(INDEX(avoidedcosttbl2,ROUNDUP($H266,0),AS$2)-(INDEX(avoidedcosttbl2,ROUNDDOWN($H266,0),AS$2)))))*$O266*1000*'Inputs Yr 2'!AD266,"")</f>
        <v>0</v>
      </c>
      <c r="AT266" s="196">
        <f t="shared" si="153"/>
        <v>0</v>
      </c>
      <c r="AU266" s="197">
        <f>IFERROR($CQ266*((INDEX(avoidedcosttbl2,$H266,AU$2))+(($H266-ROUNDDOWN($H266,0))*((INDEX(avoidedcosttbl2,ROUNDUP($H266,0),AU$2))-(INDEX(avoidedcosttbl2,ROUNDDOWN($H266,0),AU$2)))))*$O266*1000*'Inputs Yr 2'!AA266,"")</f>
        <v>0</v>
      </c>
      <c r="AV266" s="197">
        <f>IFERROR($CR266*((INDEX(avoidedcosttbl2,$H266,AV$2))+(($H266-ROUNDDOWN($H266,0))*((INDEX(avoidedcosttbl2,ROUNDUP($H266,0),AV$2))-(INDEX(avoidedcosttbl2,ROUNDDOWN($H266,0),AV$2)))))*$O266*1000*'Inputs Yr 2'!AB266,"")</f>
        <v>0</v>
      </c>
      <c r="AW266" s="197">
        <f>IFERROR($CS266*((INDEX(avoidedcosttbl2,$H266,AW$2))+(($H266-ROUNDDOWN($H266,0))*((INDEX(avoidedcosttbl2,ROUNDUP($H266,0),AW$2))-(INDEX(avoidedcosttbl2,ROUNDDOWN($H266,0),AW$2)))))*$O266*1000*'Inputs Yr 2'!AC266,"")</f>
        <v>0</v>
      </c>
      <c r="AX266" s="197">
        <f>IFERROR($CT266*((INDEX(avoidedcosttbl2,$H266,AX$2))+(($H266-ROUNDDOWN($H266,0))*((INDEX(avoidedcosttbl2,ROUNDUP($H266,0),AX$2))-(INDEX(avoidedcosttbl2,ROUNDDOWN($H266,0),AX$2)))))*$O266*1000*'Inputs Yr 2'!AD266,"")</f>
        <v>0</v>
      </c>
      <c r="AY266" s="197">
        <f>IFERROR(((INDEX(avoidedcosttbl2,$H266,AY$2))+(($H266-ROUNDDOWN($H266,0))*((INDEX(avoidedcosttbl2,ROUNDUP($H266,0),AY$2))-(INDEX(avoidedcosttbl2,ROUNDDOWN($H266,0),AY$2)))))*$O266*1000*('Inputs Yr 2'!AC266+'Inputs Yr 2'!AD266),"")</f>
        <v>0</v>
      </c>
      <c r="AZ266" s="197">
        <f>IFERROR(((INDEX(avoidedcosttbl2,$H266,AZ$2))+(($H266-ROUNDDOWN($H266,0))*((INDEX(avoidedcosttbl2,ROUNDUP($H266,0),AZ$2))-(INDEX(avoidedcosttbl2,ROUNDDOWN($H266,0),AZ$2)))))*$O266*1000*('Inputs Yr 2'!AA266+'Inputs Yr 2'!AB266),"")</f>
        <v>0</v>
      </c>
      <c r="BA266" s="198">
        <f t="shared" si="154"/>
        <v>0</v>
      </c>
      <c r="BB266" s="198">
        <f t="shared" si="155"/>
        <v>0</v>
      </c>
      <c r="BC266" s="195">
        <f t="shared" si="137"/>
        <v>0</v>
      </c>
      <c r="BD266" s="195">
        <f t="shared" si="138"/>
        <v>0</v>
      </c>
      <c r="BE266" s="195">
        <f t="shared" si="139"/>
        <v>0</v>
      </c>
      <c r="BF266" s="195">
        <f t="shared" si="140"/>
        <v>0</v>
      </c>
      <c r="BG266" s="195">
        <f t="shared" si="141"/>
        <v>0</v>
      </c>
      <c r="BH266" s="196">
        <f t="shared" si="156"/>
        <v>0</v>
      </c>
      <c r="BI266" s="196">
        <f t="shared" si="157"/>
        <v>0</v>
      </c>
      <c r="BJ266" s="195">
        <f>IFERROR($G266*(IF('Inputs Yr 2'!$AJ266=BJ$4,'Inputs Yr 2'!$AK266,IF('Inputs Yr 2'!$AL266=BJ$4,'Inputs Yr 2'!$AM266,IF('Inputs Yr 2'!$AN266=BJ$4,'Inputs Yr 2'!$AO266,0))))*(INDEX(avoidedcosttbl2,$H266,BJ$2)+(($H266-ROUNDDOWN($H266,0))*(INDEX(avoidedcosttbl2,ROUNDUP($H266,0),BJ$2)-(INDEX(avoidedcosttbl2,ROUNDDOWN($H266,0),BJ$2)))))*'Inputs Yr 2'!P266*'Inputs Yr 2'!Q266*'Inputs Yr 2'!U266,"")</f>
        <v>0</v>
      </c>
      <c r="BK266" s="195">
        <f>IFERROR($G266*(IF('Inputs Yr 2'!$AJ266=BK$4,'Inputs Yr 2'!$AK266,IF('Inputs Yr 2'!$AL266=BK$4,'Inputs Yr 2'!$AM266,IF('Inputs Yr 2'!$AN266=BK$4,'Inputs Yr 2'!$AO266,0))))*(INDEX(avoidedcosttbl2,$H266,BK$2)+(($H266-ROUNDDOWN($H266,0))*(INDEX(avoidedcosttbl2,ROUNDUP($H266,0),BK$2)-(INDEX(avoidedcosttbl2,ROUNDDOWN($H266,0),BK$2)))))*'Inputs Yr 2'!P266*'Inputs Yr 2'!Q266*'Inputs Yr 2'!U266,"")</f>
        <v>0</v>
      </c>
      <c r="BL266" s="195">
        <f>IFERROR($G266*(IF('Inputs Yr 2'!$AJ266=BL$4,'Inputs Yr 2'!$AK266,IF('Inputs Yr 2'!$AL266=BL$4,'Inputs Yr 2'!$AM266,IF('Inputs Yr 2'!$AN266=BL$4,'Inputs Yr 2'!$AO266,0))))*(INDEX(avoidedcosttbl2,$H266,BL$2)+(($H266-ROUNDDOWN($H266,0))*(INDEX(avoidedcosttbl2,ROUNDUP($H266,0),BL$2)-(INDEX(avoidedcosttbl2,ROUNDDOWN($H266,0),BL$2)))))*'Inputs Yr 2'!P266*'Inputs Yr 2'!Q266*'Inputs Yr 2'!U266,"")</f>
        <v>0</v>
      </c>
      <c r="BM266" s="195">
        <f>IFERROR($G266*(IF('Inputs Yr 2'!$AJ266=BM$4,'Inputs Yr 2'!$AK266,IF('Inputs Yr 2'!$AL266=BM$4,'Inputs Yr 2'!$AM266,IF('Inputs Yr 2'!$AN266=BM$4,'Inputs Yr 2'!$AO266,0))))*(INDEX(avoidedcosttbl2,$H266,BM$2)+(($H266-ROUNDDOWN($H266,0))*(INDEX(avoidedcosttbl2,ROUNDUP($H266,0),BM$2)-(INDEX(avoidedcosttbl2,ROUNDDOWN($H266,0),BM$2)))))*'Inputs Yr 2'!P266*'Inputs Yr 2'!Q266*'Inputs Yr 2'!U266,"")</f>
        <v>0</v>
      </c>
      <c r="BN266" s="195">
        <f>IFERROR($G266*(IF('Inputs Yr 2'!$AJ266=BN$4,'Inputs Yr 2'!$AK266,IF('Inputs Yr 2'!$AL266=BN$4,'Inputs Yr 2'!$AM266,IF('Inputs Yr 2'!$AN266=BN$4,'Inputs Yr 2'!$AO266,0))))*(INDEX(avoidedcosttbl2,$H266,BN$2)+(($H266-ROUNDDOWN($H266,0))*(INDEX(avoidedcosttbl2,ROUNDUP($H266,0),BN$2)-(INDEX(avoidedcosttbl2,ROUNDDOWN($H266,0),BN$2)))))*'Inputs Yr 2'!P266*'Inputs Yr 2'!Q266*'Inputs Yr 2'!U266,"")</f>
        <v>0</v>
      </c>
      <c r="BO266" s="195">
        <f>IFERROR($G266*(IF('Inputs Yr 2'!$AJ266=BO$4,'Inputs Yr 2'!$AK266,IF('Inputs Yr 2'!$AL266=BO$4,'Inputs Yr 2'!$AM266,IF('Inputs Yr 2'!$AN266=BO$4,'Inputs Yr 2'!$AO266,0))))*(INDEX(avoidedcosttbl2,$H266,BO$2)+(($H266-ROUNDDOWN($H266,0))*(INDEX(avoidedcosttbl2,ROUNDUP($H266,0),BO$2)-(INDEX(avoidedcosttbl2,ROUNDDOWN($H266,0),BO$2)))))*'Inputs Yr 2'!P266*'Inputs Yr 2'!Q266*'Inputs Yr 2'!U266,"")</f>
        <v>0</v>
      </c>
      <c r="BP266" s="195">
        <f>IFERROR($G266*(IF('Inputs Yr 2'!$AJ266=BP$4,'Inputs Yr 2'!$AK266,IF('Inputs Yr 2'!$AL266=BP$4,'Inputs Yr 2'!$AM266,IF('Inputs Yr 2'!$AN266=BP$4,'Inputs Yr 2'!$AO266,0))))*(INDEX(avoidedcosttbl2,$H266,BP$2)+(($H266-ROUNDDOWN($H266,0))*(INDEX(avoidedcosttbl2,ROUNDUP($H266,0),BP$2)-(INDEX(avoidedcosttbl2,ROUNDDOWN($H266,0),BP$2)))))*'Inputs Yr 2'!P266*'Inputs Yr 2'!Q266*'Inputs Yr 2'!U266,"")</f>
        <v>24046.251437211675</v>
      </c>
      <c r="BQ266" s="230">
        <f t="shared" si="158"/>
        <v>24046.251437211675</v>
      </c>
      <c r="BR266" s="197">
        <f t="shared" si="142"/>
        <v>431.13889324945035</v>
      </c>
      <c r="BS266" s="197">
        <f>IFERROR(($G266*IF('Inputs Yr 2'!$AJ266=BM$4,'Inputs Yr 2'!$AK266,IF('Inputs Yr 2'!$AL266=BM$4,'Inputs Yr 2'!$AM266,IF('Inputs Yr 2'!$AN266=BM$4,'Inputs Yr 2'!$AO266,0))))*(INDEX(avoidedcosttbl2,$H266,BS$2)+(($H266-ROUNDDOWN($H266,0))*(INDEX(avoidedcosttbl2,ROUNDUP($H266,0),BS$2)-(INDEX(avoidedcosttbl2,ROUNDDOWN($H266,0),BS$2)))))*'Inputs Yr 2'!P266*'Inputs Yr 2'!Q266*'Inputs Yr 2'!U266,"")</f>
        <v>0</v>
      </c>
      <c r="BT266" s="197">
        <f>IFERROR(($G266*IF('Inputs Yr 2'!$AJ266=BK$4,'Inputs Yr 2'!$AK266,IF('Inputs Yr 2'!$AL266=BK$4,'Inputs Yr 2'!$AM266,IF('Inputs Yr 2'!$AN266=BK$4,'Inputs Yr 2'!$AO266,0))))*(INDEX(avoidedcosttbl2,$H266,BT$2)+(($H266-ROUNDDOWN($H266,0))*(INDEX(avoidedcosttbl2,ROUNDUP($H266,0),BT$2)-(INDEX(avoidedcosttbl2,ROUNDDOWN($H266,0),BT$2)))))*'Inputs Yr 2'!P266*'Inputs Yr 2'!Q266*'Inputs Yr 2'!U266,"")</f>
        <v>0</v>
      </c>
      <c r="BU266" s="197">
        <f>IFERROR(($G266*IF('Inputs Yr 2'!$AJ266=BL$4,'Inputs Yr 2'!$AK266,IF('Inputs Yr 2'!$AL266=BL$4,'Inputs Yr 2'!$AM266,IF('Inputs Yr 2'!$AN266=BL$4,'Inputs Yr 2'!$AO266,0))))*(INDEX(avoidedcosttbl2,$H266,BU$2)+(($H266-ROUNDDOWN($H266,0))*(INDEX(avoidedcosttbl2,ROUNDUP($H266,0),BU$2)-(INDEX(avoidedcosttbl2,ROUNDDOWN($H266,0),BU$2)))))*'Inputs Yr 2'!P266*'Inputs Yr 2'!Q266*'Inputs Yr 2'!U266,"")</f>
        <v>0</v>
      </c>
      <c r="BV266" s="775">
        <f>IFERROR(($G266*IF('Inputs Yr 2'!$AJ266=BJ$4,'Inputs Yr 2'!$AK266,IF('Inputs Yr 2'!$AL266=BJ$4,'Inputs Yr 2'!$AM266,IF('Inputs Yr 2'!$AN266=BJ$4,'Inputs Yr 2'!$AO266,0))))*(INDEX(avoidedcosttbl2,$H266,BV$2)+(($H266-ROUNDDOWN($H266,0))*(INDEX(avoidedcosttbl2,ROUNDUP($H266,0),BV$2)-(INDEX(avoidedcosttbl2,ROUNDDOWN($H266,0),BV$2)))))*'Inputs Yr 2'!P266*'Inputs Yr 2'!Q266*'Inputs Yr 2'!U266,"")</f>
        <v>0</v>
      </c>
      <c r="BW266" s="197">
        <f>IFERROR(($G266*IF('Inputs Yr 2'!$AJ266=BN$4,'Inputs Yr 2'!$AK266,IF('Inputs Yr 2'!$AL266=BN$4,'Inputs Yr 2'!$AM266,IF('Inputs Yr 2'!$AN266=BN$4,'Inputs Yr 2'!$AO266,0))))*(INDEX(avoidedcosttbl2,$H266,BW$2)+(($H266-ROUNDDOWN($H266,0))*(INDEX(avoidedcosttbl2,ROUNDUP($H266,0),BW$2)-(INDEX(avoidedcosttbl2,ROUNDDOWN($H266,0),BW$2)))))*'Inputs Yr 2'!P266*'Inputs Yr 2'!Q266*'Inputs Yr 2'!U266,"")</f>
        <v>0</v>
      </c>
      <c r="BX266" s="197">
        <f>IFERROR(($G266*IF('Inputs Yr 2'!$AJ266=BO$4,'Inputs Yr 2'!$AK266,IF('Inputs Yr 2'!$AL266=BO$4,'Inputs Yr 2'!$AM266,IF('Inputs Yr 2'!$AN266=BO$4,'Inputs Yr 2'!$AO266,0))))*(INDEX(avoidedcosttbl2,$H266,BX$2)+(($H266-ROUNDDOWN($H266,0))*(INDEX(avoidedcosttbl2,ROUNDUP($H266,0),BX$2)-(INDEX(avoidedcosttbl2,ROUNDDOWN($H266,0),BX$2)))))*'Inputs Yr 2'!P266*'Inputs Yr 2'!Q266*'Inputs Yr 2'!U266,"")</f>
        <v>0</v>
      </c>
      <c r="BY266" s="197">
        <f>IFERROR(($G266*IF('Inputs Yr 2'!$AJ266=BP$4,'Inputs Yr 2'!$AK266,IF('Inputs Yr 2'!$AL266=BP$4,'Inputs Yr 2'!$AM266,IF('Inputs Yr 2'!$AN266=BP$4,'Inputs Yr 2'!$AO266,0))))*(INDEX(avoidedcosttbl2,$H266,BY$2)+(($H266-ROUNDDOWN($H266,0))*(INDEX(avoidedcosttbl2,ROUNDUP($H266,0),BY$2)-(INDEX(avoidedcosttbl2,ROUNDDOWN($H266,0),BY$2)))))*'Inputs Yr 2'!P266*'Inputs Yr 2'!Q266*'Inputs Yr 2'!U266,"")</f>
        <v>1757.9315482151112</v>
      </c>
      <c r="BZ266" s="193">
        <f t="shared" si="159"/>
        <v>2189.0704414645616</v>
      </c>
      <c r="CA266" s="193">
        <f t="shared" si="160"/>
        <v>26235.321878676237</v>
      </c>
      <c r="CB266" s="195">
        <f>IFERROR(G266*(IF('Inputs Yr 2'!$AJ266=CB$4,'Inputs Yr 2'!$AK266,IF('Inputs Yr 2'!$AL266=CB$4,'Inputs Yr 2'!$AM266,IF('Inputs Yr 2'!$AN266=CB$4,'Inputs Yr 2'!$AO266,0))))*(INDEX(avoidedcosttbl2,$H266,CB$2)+(($H266-ROUNDDOWN($H266,0))*(INDEX(avoidedcosttbl2,ROUNDUP($H266,0),CB$2)-(INDEX(avoidedcosttbl2,ROUNDDOWN($H266,0),CB$2)))))*'Inputs Yr 2'!P266*'Inputs Yr 2'!Q266*'Inputs Yr 2'!U266,"")</f>
        <v>0</v>
      </c>
      <c r="CC266" s="195">
        <f>IFERROR(H266*(IF('Inputs Yr 2'!$AJ266=CC$4,'Inputs Yr 2'!$AK266,IF('Inputs Yr 2'!$AL266=CC$4,'Inputs Yr 2'!$AM266,IF('Inputs Yr 2'!$AN266=CC$4,'Inputs Yr 2'!$AO266,0))))*(INDEX(avoidedcosttbl2,$H266,CC$2)+(($H266-ROUNDDOWN($H266,0))*(INDEX(avoidedcosttbl2,ROUNDUP($H266,0),CC$2)-(INDEX(avoidedcosttbl2,ROUNDDOWN($H266,0),CC$2)))))*'Inputs Yr 2'!Q266*'Inputs Yr 2'!R266*'Inputs Yr 2'!V266,"")</f>
        <v>0</v>
      </c>
      <c r="CD266" s="195">
        <f>IFERROR(I266*(IF('Inputs Yr 2'!$AJ266=CD$4,'Inputs Yr 2'!$AK266,IF('Inputs Yr 2'!$AL266=CD$4,'Inputs Yr 2'!$AM266,IF('Inputs Yr 2'!$AN266=CD$4,'Inputs Yr 2'!$AO266,0))))*(INDEX(avoidedcosttbl2,$H266,CD$2)+(($H266-ROUNDDOWN($H266,0))*(INDEX(avoidedcosttbl2,ROUNDUP($H266,0),CD$2)-(INDEX(avoidedcosttbl2,ROUNDDOWN($H266,0),CD$2)))))*'Inputs Yr 2'!R266*'Inputs Yr 2'!S266*'Inputs Yr 2'!W266,"")</f>
        <v>0</v>
      </c>
      <c r="CE266" s="213">
        <f t="shared" si="161"/>
        <v>0</v>
      </c>
      <c r="CF266" s="213">
        <f t="shared" si="162"/>
        <v>0</v>
      </c>
      <c r="CG266" s="213">
        <f t="shared" si="163"/>
        <v>0</v>
      </c>
      <c r="CH266" s="698">
        <f t="shared" si="164"/>
        <v>26235.321878676237</v>
      </c>
      <c r="CI266" s="79">
        <f>IFERROR(($G266*'Inputs Yr 2'!$P266*'Inputs Yr 2'!$Q266*(((INDEX(avoidedcosttbl2,$H266,CI$2)+(($H266-ROUNDDOWN($H266,0))*(INDEX(avoidedcosttbl2,ROUNDUP($H266,0),CI$2)-INDEX(avoidedcosttbl2,ROUNDDOWN($H266,0),CI$2))))*'Inputs Yr 2'!AS266))),"")</f>
        <v>0</v>
      </c>
      <c r="CJ266" s="504">
        <f>IFERROR($G266*'Inputs Yr 2'!AT266*'Inputs Yr 2'!$P266*'Inputs Yr 2'!$Q266/((1+realdiscrt1)^-0.5),"")</f>
        <v>0</v>
      </c>
      <c r="CK266" s="79">
        <f>IFERROR((O266*1000*(((INDEX(avoidedcosttbl2,$H266,CK$2)+(($H266-ROUNDDOWN($H266,0))*(INDEX(avoidedcosttbl2,ROUNDUP($H266,0),CK$2)-INDEX(avoidedcosttbl2,ROUNDDOWN($H266,0),CK$2))))*'Inputs Yr 2'!AU266))),"")</f>
        <v>0</v>
      </c>
      <c r="CL266" s="504">
        <f>IFERROR(O266*1000*'Inputs Yr 2'!AV266/((1+realdiscrt1)^-0.5),"")</f>
        <v>0</v>
      </c>
      <c r="CM266" s="79">
        <f>IFERROR((AB266*'Inputs Yr 2'!AW266*(((INDEX(avoidedcosttbl2,$H266,CM$2)+(($H266-ROUNDDOWN($H266,0))*(INDEX(avoidedcosttbl2,ROUNDUP($H266,0),CM$2)-INDEX(avoidedcosttbl2,ROUNDDOWN($H266,0),CM$2)))))))*10,"")</f>
        <v>7695.9364640440062</v>
      </c>
      <c r="CN266" s="504">
        <f>IFERROR(10*AB266*'Inputs Yr 2'!AX266/((1+realdiscrt1)^-0.5),"")</f>
        <v>0</v>
      </c>
      <c r="CO266" s="505">
        <f t="shared" si="165"/>
        <v>7695.9364640440062</v>
      </c>
      <c r="CP266" s="230">
        <f t="shared" si="166"/>
        <v>33931.258342720241</v>
      </c>
      <c r="CQ266" s="199">
        <f>ROUND(IFERROR(IF(LEFT($A266,1)="C",'Avoided Costs'!$K$13,'Avoided Costs'!$K$12)+1,""),4)</f>
        <v>1.0720000000000001</v>
      </c>
      <c r="CR266" s="199">
        <f>ROUND(IFERROR(IF(LEFT($A266,1)="C",'Avoided Costs'!$L$13,'Avoided Costs'!$L$12)+1,""),4)</f>
        <v>1.04</v>
      </c>
      <c r="CS266" s="199">
        <f>ROUND(IFERROR(IF(LEFT($A266,1)="C",'Avoided Costs'!$M$13,'Avoided Costs'!$M$12)+1,""),4)</f>
        <v>1.0720000000000001</v>
      </c>
      <c r="CT266" s="199">
        <f>ROUND(IFERROR(IF(LEFT($A266,1)="C",'Avoided Costs'!$N$13,'Avoided Costs'!$N$12)+1,""),4)</f>
        <v>1.04</v>
      </c>
      <c r="CU266" s="199">
        <f>ROUND(IFERROR(IF(LEFT($A266,1)="C",'Avoided Costs'!$O$13,'Avoided Costs'!$O$12)+1,""),4)</f>
        <v>1.1120000000000001</v>
      </c>
      <c r="CV266" s="199">
        <f>ROUND(IFERROR(IF(LEFT($A266,1)="C",'Avoided Costs'!$P$13,'Avoided Costs'!$P$12)+1,""),4)</f>
        <v>1.095</v>
      </c>
      <c r="CW266" s="199">
        <f>ROUND(IFERROR(IF(LEFT($A266,1)="C",'Avoided Costs'!$Q$13,'Avoided Costs'!$Q$12)+1,""),4)</f>
        <v>1.1120000000000001</v>
      </c>
      <c r="CX266" s="200">
        <f>ROUND(IFERROR(IF(LEFT($A266,1)="C",'Avoided Costs'!$R$13,'Avoided Costs'!$R$12)+1,""),4)</f>
        <v>1.1120000000000001</v>
      </c>
    </row>
    <row r="267" spans="1:102" ht="12.75" customHeight="1">
      <c r="A267" s="91" t="str">
        <f>IF('Inputs Yr 2'!$B267=0,"",'Inputs Yr 2'!A267)</f>
        <v>C - Commercial &amp; Industrial</v>
      </c>
      <c r="B267" s="91" t="str">
        <f>IF('Inputs Yr 2'!$B267=0,"",'Inputs Yr 2'!B267)</f>
        <v>C2 - C&amp;I Retrofit</v>
      </c>
      <c r="C267" s="91" t="str">
        <f>IF('Inputs Yr 2'!$B267=0,"",'Inputs Yr 2'!C267)</f>
        <v>C2a - C&amp;I Existing Building Retrofit</v>
      </c>
      <c r="D267" s="91" t="str">
        <f>IF('Inputs Yr 2'!$B267=0,"",'Inputs Yr 2'!E267)</f>
        <v>Other - Custom 18</v>
      </c>
      <c r="E267" s="93" t="str">
        <f>IF('Inputs Yr 2'!$B267=0,"",'Inputs Yr 2'!F267)</f>
        <v>G16C2a11</v>
      </c>
      <c r="F267" s="93" t="str">
        <f>IF('Inputs Yr 2'!$B267=0,"",'Inputs Yr 2'!G267)</f>
        <v>Custom Measures</v>
      </c>
      <c r="G267" s="95">
        <f>IF('Inputs Yr 2'!$H267&lt;&gt;0,('Inputs Yr 2'!H267),"")</f>
        <v>1</v>
      </c>
      <c r="H267" s="94">
        <f>IFERROR('Inputs Yr 2'!I267,"")</f>
        <v>18</v>
      </c>
      <c r="I267" s="298">
        <f>IFERROR('Inputs Yr 2'!J267*'Inputs Yr 2'!P267*G267,"")</f>
        <v>33587.612000000001</v>
      </c>
      <c r="J267" s="298">
        <f>IFERROR('Inputs Yr 2'!K267*G267,"")</f>
        <v>18274</v>
      </c>
      <c r="K267" s="298">
        <f t="shared" si="143"/>
        <v>15313.612000000001</v>
      </c>
      <c r="L267" s="194">
        <f>IFERROR(('Inputs Yr 2'!W267*G267)/1000,"")</f>
        <v>0</v>
      </c>
      <c r="M267" s="194">
        <f>IFERROR(L267*('Inputs Yr 2'!$Q267*'Inputs Yr 2'!$V267*'Inputs Yr 2'!$R267),"")</f>
        <v>0</v>
      </c>
      <c r="N267" s="194">
        <f t="shared" si="144"/>
        <v>0</v>
      </c>
      <c r="O267" s="194">
        <f>IFERROR(M267*'Inputs Yr 2'!P267,"")</f>
        <v>0</v>
      </c>
      <c r="P267" s="194">
        <f t="shared" si="145"/>
        <v>0</v>
      </c>
      <c r="Q267" s="194">
        <f>IFERROR($P267*'Inputs Yr 2'!AA267,"")</f>
        <v>0</v>
      </c>
      <c r="R267" s="194">
        <f>IFERROR($P267*'Inputs Yr 2'!AB267,"")</f>
        <v>0</v>
      </c>
      <c r="S267" s="194">
        <f>IFERROR($P267*'Inputs Yr 2'!AC267,"")</f>
        <v>0</v>
      </c>
      <c r="T267" s="194">
        <f>IFERROR($P267*'Inputs Yr 2'!AD267,"")</f>
        <v>0</v>
      </c>
      <c r="U267" s="194">
        <f>IFERROR(G267*'Inputs Yr 2'!$AE267*'Inputs Yr 2'!$P267*'Inputs Yr 2'!$Q267,"")</f>
        <v>0</v>
      </c>
      <c r="V267" s="194">
        <f>IFERROR($G267*'Inputs Yr 2'!$AE267*'Inputs Yr 2'!$AG267*'Inputs Yr 2'!Q267*'Inputs Yr 2'!$S267,"")</f>
        <v>0</v>
      </c>
      <c r="W267" s="194">
        <f>IFERROR($G267*'Inputs Yr 2'!$AE267*'Inputs Yr 2'!$AG267*'Inputs Yr 2'!P267*'Inputs Yr 2'!Q267*'Inputs Yr 2'!$S267,"")</f>
        <v>0</v>
      </c>
      <c r="X267" s="194">
        <f>IFERROR($G267*'Inputs Yr 2'!$AE267*'Inputs Yr 2'!$AF267*'Inputs Yr 2'!Q267*'Inputs Yr 2'!$T267,"")</f>
        <v>0</v>
      </c>
      <c r="Y267" s="194">
        <f>IFERROR($G267*'Inputs Yr 2'!$AE267*'Inputs Yr 2'!$AF267*'Inputs Yr 2'!P267*'Inputs Yr 2'!Q267*'Inputs Yr 2'!$T267,"")</f>
        <v>0</v>
      </c>
      <c r="Z267" s="257">
        <f>IFERROR($G267*'Inputs Yr 2'!$Q267*'Inputs Yr 2'!$U267*(IF(IFERROR(SEARCH("NG", 'Inputs Yr 2'!$AJ267),0),'Inputs Yr 2'!$AK267,0)+IF(IFERROR(SEARCH("NG", 'Inputs Yr 2'!$AL267),0),'Inputs Yr 2'!$AM267,0)+IF(IFERROR(SEARCH("NG", 'Inputs Yr 2'!$AN267),0),'Inputs Yr 2'!$AO267,0)),0)</f>
        <v>569.37109999999996</v>
      </c>
      <c r="AA267" s="257">
        <f t="shared" si="146"/>
        <v>10248.6798</v>
      </c>
      <c r="AB267" s="257">
        <f>IFERROR(Z267*'Inputs Yr 2'!$P267,0)</f>
        <v>523.2520409</v>
      </c>
      <c r="AC267" s="257">
        <f t="shared" si="147"/>
        <v>9418.5367361999997</v>
      </c>
      <c r="AD267" s="257">
        <f>IFERROR($G267*'Inputs Yr 2'!$Q267*'Inputs Yr 2'!$U267*(IF(IFERROR(SEARCH("Oil", 'Inputs Yr 2'!$AJ267), 0),'Inputs Yr 2'!$AK267,0)+IF(IFERROR(SEARCH("Oil", 'Inputs Yr 2'!$AL267), 0),'Inputs Yr 2'!$AM267,0)+IF(IFERROR(SEARCH("Oil", 'Inputs Yr 2'!$AN267), 0),'Inputs Yr 2'!$AO267,0)),0)</f>
        <v>0</v>
      </c>
      <c r="AE267" s="257">
        <f t="shared" si="148"/>
        <v>0</v>
      </c>
      <c r="AF267" s="257">
        <f>IFERROR(AD267*'Inputs Yr 2'!$P267,0)</f>
        <v>0</v>
      </c>
      <c r="AG267" s="257">
        <f t="shared" si="149"/>
        <v>0</v>
      </c>
      <c r="AH267" s="257">
        <f>IFERROR($G267*'Inputs Yr 2'!$Q267*'Inputs Yr 2'!$U267*(IF('Inputs Yr 2'!$AJ267=CD$4,'Inputs Yr 2'!$AK267,IF('Inputs Yr 2'!$AL267=CD$4,'Inputs Yr 2'!$AM267,IF('Inputs Yr 2'!$AN267=CD$4,'Inputs Yr 2'!$AO267,0)))),0)</f>
        <v>0</v>
      </c>
      <c r="AI267" s="257">
        <f t="shared" si="150"/>
        <v>0</v>
      </c>
      <c r="AJ267" s="257">
        <f>IFERROR(AH267*'Inputs Yr 2'!$P267,0)</f>
        <v>0</v>
      </c>
      <c r="AK267" s="257">
        <f t="shared" si="151"/>
        <v>0</v>
      </c>
      <c r="AL267" s="258">
        <f>IFERROR($G267*'Inputs Yr 2'!$P267*'Inputs Yr 2'!$Q267*'Inputs Yr 2'!AP267,0)</f>
        <v>0</v>
      </c>
      <c r="AM267" s="260">
        <f>IFERROR($G267*'Inputs Yr 2'!$P267*'Inputs Yr 2'!$Q267*'Inputs Yr 2'!AQ267,0)</f>
        <v>0</v>
      </c>
      <c r="AN267" s="258">
        <f>IFERROR($G267*'Inputs Yr 2'!$P267*'Inputs Yr 2'!$Q267*'Inputs Yr 2'!AR267,0)</f>
        <v>0</v>
      </c>
      <c r="AO267" s="257">
        <f t="shared" si="152"/>
        <v>0</v>
      </c>
      <c r="AP267" s="195">
        <f>IFERROR($CQ267*(INDEX(avoidedcosttbl2,$H267,AP$2)+(($H267-ROUNDDOWN($H267,0))*(INDEX(avoidedcosttbl2,ROUNDUP($H267,0),AP$2)-(INDEX(avoidedcosttbl2,ROUNDDOWN($H267,0),AP$2)))))*$O267*1000*'Inputs Yr 2'!AA267,"")</f>
        <v>0</v>
      </c>
      <c r="AQ267" s="195">
        <f>IFERROR($CR267*(INDEX(avoidedcosttbl2,$H267,AQ$2)+(($H267-ROUNDDOWN($H267,0))*(INDEX(avoidedcosttbl2,ROUNDUP($H267,0),AQ$2)-(INDEX(avoidedcosttbl2,ROUNDDOWN($H267,0),AQ$2)))))*$O267*1000*'Inputs Yr 2'!AB267,"")</f>
        <v>0</v>
      </c>
      <c r="AR267" s="195">
        <f>IFERROR($CS267*(INDEX(avoidedcosttbl2,$H267,AR$2)+(($H267-ROUNDDOWN($H267,0))*(INDEX(avoidedcosttbl2,ROUNDUP($H267,0),AR$2)-(INDEX(avoidedcosttbl2,ROUNDDOWN($H267,0),AR$2)))))*$O267*1000*'Inputs Yr 2'!AC267,"")</f>
        <v>0</v>
      </c>
      <c r="AS267" s="195">
        <f>IFERROR($CT267*(INDEX(avoidedcosttbl2,$H267,AS$2)+(($H267-ROUNDDOWN($H267,0))*(INDEX(avoidedcosttbl2,ROUNDUP($H267,0),AS$2)-(INDEX(avoidedcosttbl2,ROUNDDOWN($H267,0),AS$2)))))*$O267*1000*'Inputs Yr 2'!AD267,"")</f>
        <v>0</v>
      </c>
      <c r="AT267" s="196">
        <f t="shared" si="153"/>
        <v>0</v>
      </c>
      <c r="AU267" s="197">
        <f>IFERROR($CQ267*((INDEX(avoidedcosttbl2,$H267,AU$2))+(($H267-ROUNDDOWN($H267,0))*((INDEX(avoidedcosttbl2,ROUNDUP($H267,0),AU$2))-(INDEX(avoidedcosttbl2,ROUNDDOWN($H267,0),AU$2)))))*$O267*1000*'Inputs Yr 2'!AA267,"")</f>
        <v>0</v>
      </c>
      <c r="AV267" s="197">
        <f>IFERROR($CR267*((INDEX(avoidedcosttbl2,$H267,AV$2))+(($H267-ROUNDDOWN($H267,0))*((INDEX(avoidedcosttbl2,ROUNDUP($H267,0),AV$2))-(INDEX(avoidedcosttbl2,ROUNDDOWN($H267,0),AV$2)))))*$O267*1000*'Inputs Yr 2'!AB267,"")</f>
        <v>0</v>
      </c>
      <c r="AW267" s="197">
        <f>IFERROR($CS267*((INDEX(avoidedcosttbl2,$H267,AW$2))+(($H267-ROUNDDOWN($H267,0))*((INDEX(avoidedcosttbl2,ROUNDUP($H267,0),AW$2))-(INDEX(avoidedcosttbl2,ROUNDDOWN($H267,0),AW$2)))))*$O267*1000*'Inputs Yr 2'!AC267,"")</f>
        <v>0</v>
      </c>
      <c r="AX267" s="197">
        <f>IFERROR($CT267*((INDEX(avoidedcosttbl2,$H267,AX$2))+(($H267-ROUNDDOWN($H267,0))*((INDEX(avoidedcosttbl2,ROUNDUP($H267,0),AX$2))-(INDEX(avoidedcosttbl2,ROUNDDOWN($H267,0),AX$2)))))*$O267*1000*'Inputs Yr 2'!AD267,"")</f>
        <v>0</v>
      </c>
      <c r="AY267" s="197">
        <f>IFERROR(((INDEX(avoidedcosttbl2,$H267,AY$2))+(($H267-ROUNDDOWN($H267,0))*((INDEX(avoidedcosttbl2,ROUNDUP($H267,0),AY$2))-(INDEX(avoidedcosttbl2,ROUNDDOWN($H267,0),AY$2)))))*$O267*1000*('Inputs Yr 2'!AC267+'Inputs Yr 2'!AD267),"")</f>
        <v>0</v>
      </c>
      <c r="AZ267" s="197">
        <f>IFERROR(((INDEX(avoidedcosttbl2,$H267,AZ$2))+(($H267-ROUNDDOWN($H267,0))*((INDEX(avoidedcosttbl2,ROUNDUP($H267,0),AZ$2))-(INDEX(avoidedcosttbl2,ROUNDDOWN($H267,0),AZ$2)))))*$O267*1000*('Inputs Yr 2'!AA267+'Inputs Yr 2'!AB267),"")</f>
        <v>0</v>
      </c>
      <c r="BA267" s="198">
        <f t="shared" si="154"/>
        <v>0</v>
      </c>
      <c r="BB267" s="198">
        <f t="shared" si="155"/>
        <v>0</v>
      </c>
      <c r="BC267" s="195">
        <f t="shared" si="137"/>
        <v>0</v>
      </c>
      <c r="BD267" s="195">
        <f t="shared" si="138"/>
        <v>0</v>
      </c>
      <c r="BE267" s="195">
        <f t="shared" si="139"/>
        <v>0</v>
      </c>
      <c r="BF267" s="195">
        <f t="shared" si="140"/>
        <v>0</v>
      </c>
      <c r="BG267" s="195">
        <f t="shared" si="141"/>
        <v>0</v>
      </c>
      <c r="BH267" s="196">
        <f t="shared" si="156"/>
        <v>0</v>
      </c>
      <c r="BI267" s="196">
        <f t="shared" si="157"/>
        <v>0</v>
      </c>
      <c r="BJ267" s="195">
        <f>IFERROR($G267*(IF('Inputs Yr 2'!$AJ267=BJ$4,'Inputs Yr 2'!$AK267,IF('Inputs Yr 2'!$AL267=BJ$4,'Inputs Yr 2'!$AM267,IF('Inputs Yr 2'!$AN267=BJ$4,'Inputs Yr 2'!$AO267,0))))*(INDEX(avoidedcosttbl2,$H267,BJ$2)+(($H267-ROUNDDOWN($H267,0))*(INDEX(avoidedcosttbl2,ROUNDUP($H267,0),BJ$2)-(INDEX(avoidedcosttbl2,ROUNDDOWN($H267,0),BJ$2)))))*'Inputs Yr 2'!P267*'Inputs Yr 2'!Q267*'Inputs Yr 2'!U267,"")</f>
        <v>0</v>
      </c>
      <c r="BK267" s="195">
        <f>IFERROR($G267*(IF('Inputs Yr 2'!$AJ267=BK$4,'Inputs Yr 2'!$AK267,IF('Inputs Yr 2'!$AL267=BK$4,'Inputs Yr 2'!$AM267,IF('Inputs Yr 2'!$AN267=BK$4,'Inputs Yr 2'!$AO267,0))))*(INDEX(avoidedcosttbl2,$H267,BK$2)+(($H267-ROUNDDOWN($H267,0))*(INDEX(avoidedcosttbl2,ROUNDUP($H267,0),BK$2)-(INDEX(avoidedcosttbl2,ROUNDDOWN($H267,0),BK$2)))))*'Inputs Yr 2'!P267*'Inputs Yr 2'!Q267*'Inputs Yr 2'!U267,"")</f>
        <v>0</v>
      </c>
      <c r="BL267" s="195">
        <f>IFERROR($G267*(IF('Inputs Yr 2'!$AJ267=BL$4,'Inputs Yr 2'!$AK267,IF('Inputs Yr 2'!$AL267=BL$4,'Inputs Yr 2'!$AM267,IF('Inputs Yr 2'!$AN267=BL$4,'Inputs Yr 2'!$AO267,0))))*(INDEX(avoidedcosttbl2,$H267,BL$2)+(($H267-ROUNDDOWN($H267,0))*(INDEX(avoidedcosttbl2,ROUNDUP($H267,0),BL$2)-(INDEX(avoidedcosttbl2,ROUNDDOWN($H267,0),BL$2)))))*'Inputs Yr 2'!P267*'Inputs Yr 2'!Q267*'Inputs Yr 2'!U267,"")</f>
        <v>0</v>
      </c>
      <c r="BM267" s="195">
        <f>IFERROR($G267*(IF('Inputs Yr 2'!$AJ267=BM$4,'Inputs Yr 2'!$AK267,IF('Inputs Yr 2'!$AL267=BM$4,'Inputs Yr 2'!$AM267,IF('Inputs Yr 2'!$AN267=BM$4,'Inputs Yr 2'!$AO267,0))))*(INDEX(avoidedcosttbl2,$H267,BM$2)+(($H267-ROUNDDOWN($H267,0))*(INDEX(avoidedcosttbl2,ROUNDUP($H267,0),BM$2)-(INDEX(avoidedcosttbl2,ROUNDDOWN($H267,0),BM$2)))))*'Inputs Yr 2'!P267*'Inputs Yr 2'!Q267*'Inputs Yr 2'!U267,"")</f>
        <v>0</v>
      </c>
      <c r="BN267" s="195">
        <f>IFERROR($G267*(IF('Inputs Yr 2'!$AJ267=BN$4,'Inputs Yr 2'!$AK267,IF('Inputs Yr 2'!$AL267=BN$4,'Inputs Yr 2'!$AM267,IF('Inputs Yr 2'!$AN267=BN$4,'Inputs Yr 2'!$AO267,0))))*(INDEX(avoidedcosttbl2,$H267,BN$2)+(($H267-ROUNDDOWN($H267,0))*(INDEX(avoidedcosttbl2,ROUNDUP($H267,0),BN$2)-(INDEX(avoidedcosttbl2,ROUNDDOWN($H267,0),BN$2)))))*'Inputs Yr 2'!P267*'Inputs Yr 2'!Q267*'Inputs Yr 2'!U267,"")</f>
        <v>0</v>
      </c>
      <c r="BO267" s="195">
        <f>IFERROR($G267*(IF('Inputs Yr 2'!$AJ267=BO$4,'Inputs Yr 2'!$AK267,IF('Inputs Yr 2'!$AL267=BO$4,'Inputs Yr 2'!$AM267,IF('Inputs Yr 2'!$AN267=BO$4,'Inputs Yr 2'!$AO267,0))))*(INDEX(avoidedcosttbl2,$H267,BO$2)+(($H267-ROUNDDOWN($H267,0))*(INDEX(avoidedcosttbl2,ROUNDUP($H267,0),BO$2)-(INDEX(avoidedcosttbl2,ROUNDDOWN($H267,0),BO$2)))))*'Inputs Yr 2'!P267*'Inputs Yr 2'!Q267*'Inputs Yr 2'!U267,"")</f>
        <v>0</v>
      </c>
      <c r="BP267" s="195">
        <f>IFERROR($G267*(IF('Inputs Yr 2'!$AJ267=BP$4,'Inputs Yr 2'!$AK267,IF('Inputs Yr 2'!$AL267=BP$4,'Inputs Yr 2'!$AM267,IF('Inputs Yr 2'!$AN267=BP$4,'Inputs Yr 2'!$AO267,0))))*(INDEX(avoidedcosttbl2,$H267,BP$2)+(($H267-ROUNDDOWN($H267,0))*(INDEX(avoidedcosttbl2,ROUNDUP($H267,0),BP$2)-(INDEX(avoidedcosttbl2,ROUNDDOWN($H267,0),BP$2)))))*'Inputs Yr 2'!P267*'Inputs Yr 2'!Q267*'Inputs Yr 2'!U267,"")</f>
        <v>71988.378056355912</v>
      </c>
      <c r="BQ267" s="230">
        <f t="shared" si="158"/>
        <v>71988.378056355912</v>
      </c>
      <c r="BR267" s="197">
        <f t="shared" si="142"/>
        <v>1268.3277436130054</v>
      </c>
      <c r="BS267" s="197">
        <f>IFERROR(($G267*IF('Inputs Yr 2'!$AJ267=BM$4,'Inputs Yr 2'!$AK267,IF('Inputs Yr 2'!$AL267=BM$4,'Inputs Yr 2'!$AM267,IF('Inputs Yr 2'!$AN267=BM$4,'Inputs Yr 2'!$AO267,0))))*(INDEX(avoidedcosttbl2,$H267,BS$2)+(($H267-ROUNDDOWN($H267,0))*(INDEX(avoidedcosttbl2,ROUNDUP($H267,0),BS$2)-(INDEX(avoidedcosttbl2,ROUNDDOWN($H267,0),BS$2)))))*'Inputs Yr 2'!P267*'Inputs Yr 2'!Q267*'Inputs Yr 2'!U267,"")</f>
        <v>0</v>
      </c>
      <c r="BT267" s="197">
        <f>IFERROR(($G267*IF('Inputs Yr 2'!$AJ267=BK$4,'Inputs Yr 2'!$AK267,IF('Inputs Yr 2'!$AL267=BK$4,'Inputs Yr 2'!$AM267,IF('Inputs Yr 2'!$AN267=BK$4,'Inputs Yr 2'!$AO267,0))))*(INDEX(avoidedcosttbl2,$H267,BT$2)+(($H267-ROUNDDOWN($H267,0))*(INDEX(avoidedcosttbl2,ROUNDUP($H267,0),BT$2)-(INDEX(avoidedcosttbl2,ROUNDDOWN($H267,0),BT$2)))))*'Inputs Yr 2'!P267*'Inputs Yr 2'!Q267*'Inputs Yr 2'!U267,"")</f>
        <v>0</v>
      </c>
      <c r="BU267" s="197">
        <f>IFERROR(($G267*IF('Inputs Yr 2'!$AJ267=BL$4,'Inputs Yr 2'!$AK267,IF('Inputs Yr 2'!$AL267=BL$4,'Inputs Yr 2'!$AM267,IF('Inputs Yr 2'!$AN267=BL$4,'Inputs Yr 2'!$AO267,0))))*(INDEX(avoidedcosttbl2,$H267,BU$2)+(($H267-ROUNDDOWN($H267,0))*(INDEX(avoidedcosttbl2,ROUNDUP($H267,0),BU$2)-(INDEX(avoidedcosttbl2,ROUNDDOWN($H267,0),BU$2)))))*'Inputs Yr 2'!P267*'Inputs Yr 2'!Q267*'Inputs Yr 2'!U267,"")</f>
        <v>0</v>
      </c>
      <c r="BV267" s="775">
        <f>IFERROR(($G267*IF('Inputs Yr 2'!$AJ267=BJ$4,'Inputs Yr 2'!$AK267,IF('Inputs Yr 2'!$AL267=BJ$4,'Inputs Yr 2'!$AM267,IF('Inputs Yr 2'!$AN267=BJ$4,'Inputs Yr 2'!$AO267,0))))*(INDEX(avoidedcosttbl2,$H267,BV$2)+(($H267-ROUNDDOWN($H267,0))*(INDEX(avoidedcosttbl2,ROUNDUP($H267,0),BV$2)-(INDEX(avoidedcosttbl2,ROUNDDOWN($H267,0),BV$2)))))*'Inputs Yr 2'!P267*'Inputs Yr 2'!Q267*'Inputs Yr 2'!U267,"")</f>
        <v>0</v>
      </c>
      <c r="BW267" s="197">
        <f>IFERROR(($G267*IF('Inputs Yr 2'!$AJ267=BN$4,'Inputs Yr 2'!$AK267,IF('Inputs Yr 2'!$AL267=BN$4,'Inputs Yr 2'!$AM267,IF('Inputs Yr 2'!$AN267=BN$4,'Inputs Yr 2'!$AO267,0))))*(INDEX(avoidedcosttbl2,$H267,BW$2)+(($H267-ROUNDDOWN($H267,0))*(INDEX(avoidedcosttbl2,ROUNDUP($H267,0),BW$2)-(INDEX(avoidedcosttbl2,ROUNDDOWN($H267,0),BW$2)))))*'Inputs Yr 2'!P267*'Inputs Yr 2'!Q267*'Inputs Yr 2'!U267,"")</f>
        <v>0</v>
      </c>
      <c r="BX267" s="197">
        <f>IFERROR(($G267*IF('Inputs Yr 2'!$AJ267=BO$4,'Inputs Yr 2'!$AK267,IF('Inputs Yr 2'!$AL267=BO$4,'Inputs Yr 2'!$AM267,IF('Inputs Yr 2'!$AN267=BO$4,'Inputs Yr 2'!$AO267,0))))*(INDEX(avoidedcosttbl2,$H267,BX$2)+(($H267-ROUNDDOWN($H267,0))*(INDEX(avoidedcosttbl2,ROUNDUP($H267,0),BX$2)-(INDEX(avoidedcosttbl2,ROUNDDOWN($H267,0),BX$2)))))*'Inputs Yr 2'!P267*'Inputs Yr 2'!Q267*'Inputs Yr 2'!U267,"")</f>
        <v>0</v>
      </c>
      <c r="BY267" s="197">
        <f>IFERROR(($G267*IF('Inputs Yr 2'!$AJ267=BP$4,'Inputs Yr 2'!$AK267,IF('Inputs Yr 2'!$AL267=BP$4,'Inputs Yr 2'!$AM267,IF('Inputs Yr 2'!$AN267=BP$4,'Inputs Yr 2'!$AO267,0))))*(INDEX(avoidedcosttbl2,$H267,BY$2)+(($H267-ROUNDDOWN($H267,0))*(INDEX(avoidedcosttbl2,ROUNDUP($H267,0),BY$2)-(INDEX(avoidedcosttbl2,ROUNDDOWN($H267,0),BY$2)))))*'Inputs Yr 2'!P267*'Inputs Yr 2'!Q267*'Inputs Yr 2'!U267,"")</f>
        <v>4756.4489897146923</v>
      </c>
      <c r="BZ267" s="193">
        <f t="shared" si="159"/>
        <v>6024.7767333276979</v>
      </c>
      <c r="CA267" s="193">
        <f t="shared" si="160"/>
        <v>78013.154789683613</v>
      </c>
      <c r="CB267" s="195">
        <f>IFERROR(G267*(IF('Inputs Yr 2'!$AJ267=CB$4,'Inputs Yr 2'!$AK267,IF('Inputs Yr 2'!$AL267=CB$4,'Inputs Yr 2'!$AM267,IF('Inputs Yr 2'!$AN267=CB$4,'Inputs Yr 2'!$AO267,0))))*(INDEX(avoidedcosttbl2,$H267,CB$2)+(($H267-ROUNDDOWN($H267,0))*(INDEX(avoidedcosttbl2,ROUNDUP($H267,0),CB$2)-(INDEX(avoidedcosttbl2,ROUNDDOWN($H267,0),CB$2)))))*'Inputs Yr 2'!P267*'Inputs Yr 2'!Q267*'Inputs Yr 2'!U267,"")</f>
        <v>0</v>
      </c>
      <c r="CC267" s="195">
        <f>IFERROR(H267*(IF('Inputs Yr 2'!$AJ267=CC$4,'Inputs Yr 2'!$AK267,IF('Inputs Yr 2'!$AL267=CC$4,'Inputs Yr 2'!$AM267,IF('Inputs Yr 2'!$AN267=CC$4,'Inputs Yr 2'!$AO267,0))))*(INDEX(avoidedcosttbl2,$H267,CC$2)+(($H267-ROUNDDOWN($H267,0))*(INDEX(avoidedcosttbl2,ROUNDUP($H267,0),CC$2)-(INDEX(avoidedcosttbl2,ROUNDDOWN($H267,0),CC$2)))))*'Inputs Yr 2'!Q267*'Inputs Yr 2'!R267*'Inputs Yr 2'!V267,"")</f>
        <v>0</v>
      </c>
      <c r="CD267" s="195">
        <f>IFERROR(I267*(IF('Inputs Yr 2'!$AJ267=CD$4,'Inputs Yr 2'!$AK267,IF('Inputs Yr 2'!$AL267=CD$4,'Inputs Yr 2'!$AM267,IF('Inputs Yr 2'!$AN267=CD$4,'Inputs Yr 2'!$AO267,0))))*(INDEX(avoidedcosttbl2,$H267,CD$2)+(($H267-ROUNDDOWN($H267,0))*(INDEX(avoidedcosttbl2,ROUNDUP($H267,0),CD$2)-(INDEX(avoidedcosttbl2,ROUNDDOWN($H267,0),CD$2)))))*'Inputs Yr 2'!R267*'Inputs Yr 2'!S267*'Inputs Yr 2'!W267,"")</f>
        <v>0</v>
      </c>
      <c r="CE267" s="213">
        <f t="shared" si="161"/>
        <v>0</v>
      </c>
      <c r="CF267" s="213">
        <f t="shared" si="162"/>
        <v>0</v>
      </c>
      <c r="CG267" s="213">
        <f t="shared" si="163"/>
        <v>0</v>
      </c>
      <c r="CH267" s="698">
        <f t="shared" si="164"/>
        <v>78013.154789683613</v>
      </c>
      <c r="CI267" s="79">
        <f>IFERROR(($G267*'Inputs Yr 2'!$P267*'Inputs Yr 2'!$Q267*(((INDEX(avoidedcosttbl2,$H267,CI$2)+(($H267-ROUNDDOWN($H267,0))*(INDEX(avoidedcosttbl2,ROUNDUP($H267,0),CI$2)-INDEX(avoidedcosttbl2,ROUNDDOWN($H267,0),CI$2))))*'Inputs Yr 2'!AS267))),"")</f>
        <v>0</v>
      </c>
      <c r="CJ267" s="504">
        <f>IFERROR($G267*'Inputs Yr 2'!AT267*'Inputs Yr 2'!$P267*'Inputs Yr 2'!$Q267/((1+realdiscrt1)^-0.5),"")</f>
        <v>0</v>
      </c>
      <c r="CK267" s="79">
        <f>IFERROR((O267*1000*(((INDEX(avoidedcosttbl2,$H267,CK$2)+(($H267-ROUNDDOWN($H267,0))*(INDEX(avoidedcosttbl2,ROUNDUP($H267,0),CK$2)-INDEX(avoidedcosttbl2,ROUNDDOWN($H267,0),CK$2))))*'Inputs Yr 2'!AU267))),"")</f>
        <v>0</v>
      </c>
      <c r="CL267" s="504">
        <f>IFERROR(O267*1000*'Inputs Yr 2'!AV267/((1+realdiscrt1)^-0.5),"")</f>
        <v>0</v>
      </c>
      <c r="CM267" s="79">
        <f>IFERROR((AB267*'Inputs Yr 2'!AW267*(((INDEX(avoidedcosttbl2,$H267,CM$2)+(($H267-ROUNDDOWN($H267,0))*(INDEX(avoidedcosttbl2,ROUNDUP($H267,0),CM$2)-INDEX(avoidedcosttbl2,ROUNDDOWN($H267,0),CM$2)))))))*10,"")</f>
        <v>22639.965642771273</v>
      </c>
      <c r="CN267" s="504">
        <f>IFERROR(10*AB267*'Inputs Yr 2'!AX267/((1+realdiscrt1)^-0.5),"")</f>
        <v>0</v>
      </c>
      <c r="CO267" s="505">
        <f t="shared" si="165"/>
        <v>22639.965642771273</v>
      </c>
      <c r="CP267" s="230">
        <f t="shared" si="166"/>
        <v>100653.12043245489</v>
      </c>
      <c r="CQ267" s="199">
        <f>ROUND(IFERROR(IF(LEFT($A267,1)="C",'Avoided Costs'!$K$13,'Avoided Costs'!$K$12)+1,""),4)</f>
        <v>1.0720000000000001</v>
      </c>
      <c r="CR267" s="199">
        <f>ROUND(IFERROR(IF(LEFT($A267,1)="C",'Avoided Costs'!$L$13,'Avoided Costs'!$L$12)+1,""),4)</f>
        <v>1.04</v>
      </c>
      <c r="CS267" s="199">
        <f>ROUND(IFERROR(IF(LEFT($A267,1)="C",'Avoided Costs'!$M$13,'Avoided Costs'!$M$12)+1,""),4)</f>
        <v>1.0720000000000001</v>
      </c>
      <c r="CT267" s="199">
        <f>ROUND(IFERROR(IF(LEFT($A267,1)="C",'Avoided Costs'!$N$13,'Avoided Costs'!$N$12)+1,""),4)</f>
        <v>1.04</v>
      </c>
      <c r="CU267" s="199">
        <f>ROUND(IFERROR(IF(LEFT($A267,1)="C",'Avoided Costs'!$O$13,'Avoided Costs'!$O$12)+1,""),4)</f>
        <v>1.1120000000000001</v>
      </c>
      <c r="CV267" s="199">
        <f>ROUND(IFERROR(IF(LEFT($A267,1)="C",'Avoided Costs'!$P$13,'Avoided Costs'!$P$12)+1,""),4)</f>
        <v>1.095</v>
      </c>
      <c r="CW267" s="199">
        <f>ROUND(IFERROR(IF(LEFT($A267,1)="C",'Avoided Costs'!$Q$13,'Avoided Costs'!$Q$12)+1,""),4)</f>
        <v>1.1120000000000001</v>
      </c>
      <c r="CX267" s="200">
        <f>ROUND(IFERROR(IF(LEFT($A267,1)="C",'Avoided Costs'!$R$13,'Avoided Costs'!$R$12)+1,""),4)</f>
        <v>1.1120000000000001</v>
      </c>
    </row>
    <row r="268" spans="1:102" ht="12.75" customHeight="1">
      <c r="A268" s="91" t="str">
        <f>IF('Inputs Yr 2'!$B268=0,"",'Inputs Yr 2'!A268)</f>
        <v>C - Commercial &amp; Industrial</v>
      </c>
      <c r="B268" s="91" t="str">
        <f>IF('Inputs Yr 2'!$B268=0,"",'Inputs Yr 2'!B268)</f>
        <v>C2 - C&amp;I Retrofit</v>
      </c>
      <c r="C268" s="91" t="str">
        <f>IF('Inputs Yr 2'!$B268=0,"",'Inputs Yr 2'!C268)</f>
        <v>C2a - C&amp;I Existing Building Retrofit</v>
      </c>
      <c r="D268" s="91" t="str">
        <f>IF('Inputs Yr 2'!$B268=0,"",'Inputs Yr 2'!E268)</f>
        <v>Other - Custom 25</v>
      </c>
      <c r="E268" s="93" t="str">
        <f>IF('Inputs Yr 2'!$B268=0,"",'Inputs Yr 2'!F268)</f>
        <v>G16C2a11</v>
      </c>
      <c r="F268" s="93" t="str">
        <f>IF('Inputs Yr 2'!$B268=0,"",'Inputs Yr 2'!G268)</f>
        <v>Custom Measures</v>
      </c>
      <c r="G268" s="95">
        <f>IF('Inputs Yr 2'!$H268&lt;&gt;0,('Inputs Yr 2'!H268),"")</f>
        <v>1</v>
      </c>
      <c r="H268" s="94">
        <f>IFERROR('Inputs Yr 2'!I268,"")</f>
        <v>25</v>
      </c>
      <c r="I268" s="298">
        <f>IFERROR('Inputs Yr 2'!J268*'Inputs Yr 2'!P268*G268,"")</f>
        <v>41924.78</v>
      </c>
      <c r="J268" s="298">
        <f>IFERROR('Inputs Yr 2'!K268*G268,"")</f>
        <v>22810</v>
      </c>
      <c r="K268" s="298">
        <f t="shared" si="143"/>
        <v>19114.78</v>
      </c>
      <c r="L268" s="194">
        <f>IFERROR(('Inputs Yr 2'!W268*G268)/1000,"")</f>
        <v>0</v>
      </c>
      <c r="M268" s="194">
        <f>IFERROR(L268*('Inputs Yr 2'!$Q268*'Inputs Yr 2'!$V268*'Inputs Yr 2'!$R268),"")</f>
        <v>0</v>
      </c>
      <c r="N268" s="194">
        <f t="shared" si="144"/>
        <v>0</v>
      </c>
      <c r="O268" s="194">
        <f>IFERROR(M268*'Inputs Yr 2'!P268,"")</f>
        <v>0</v>
      </c>
      <c r="P268" s="194">
        <f t="shared" si="145"/>
        <v>0</v>
      </c>
      <c r="Q268" s="194">
        <f>IFERROR($P268*'Inputs Yr 2'!AA268,"")</f>
        <v>0</v>
      </c>
      <c r="R268" s="194">
        <f>IFERROR($P268*'Inputs Yr 2'!AB268,"")</f>
        <v>0</v>
      </c>
      <c r="S268" s="194">
        <f>IFERROR($P268*'Inputs Yr 2'!AC268,"")</f>
        <v>0</v>
      </c>
      <c r="T268" s="194">
        <f>IFERROR($P268*'Inputs Yr 2'!AD268,"")</f>
        <v>0</v>
      </c>
      <c r="U268" s="194">
        <f>IFERROR(G268*'Inputs Yr 2'!$AE268*'Inputs Yr 2'!$P268*'Inputs Yr 2'!$Q268,"")</f>
        <v>0</v>
      </c>
      <c r="V268" s="194">
        <f>IFERROR($G268*'Inputs Yr 2'!$AE268*'Inputs Yr 2'!$AG268*'Inputs Yr 2'!Q268*'Inputs Yr 2'!$S268,"")</f>
        <v>0</v>
      </c>
      <c r="W268" s="194">
        <f>IFERROR($G268*'Inputs Yr 2'!$AE268*'Inputs Yr 2'!$AG268*'Inputs Yr 2'!P268*'Inputs Yr 2'!Q268*'Inputs Yr 2'!$S268,"")</f>
        <v>0</v>
      </c>
      <c r="X268" s="194">
        <f>IFERROR($G268*'Inputs Yr 2'!$AE268*'Inputs Yr 2'!$AF268*'Inputs Yr 2'!Q268*'Inputs Yr 2'!$T268,"")</f>
        <v>0</v>
      </c>
      <c r="Y268" s="194">
        <f>IFERROR($G268*'Inputs Yr 2'!$AE268*'Inputs Yr 2'!$AF268*'Inputs Yr 2'!P268*'Inputs Yr 2'!Q268*'Inputs Yr 2'!$T268,"")</f>
        <v>0</v>
      </c>
      <c r="Z268" s="257">
        <f>IFERROR($G268*'Inputs Yr 2'!$Q268*'Inputs Yr 2'!$U268*(IF(IFERROR(SEARCH("NG", 'Inputs Yr 2'!$AJ268),0),'Inputs Yr 2'!$AK268,0)+IF(IFERROR(SEARCH("NG", 'Inputs Yr 2'!$AL268),0),'Inputs Yr 2'!$AM268,0)+IF(IFERROR(SEARCH("NG", 'Inputs Yr 2'!$AN268),0),'Inputs Yr 2'!$AO268,0)),0)</f>
        <v>4337.7057000000004</v>
      </c>
      <c r="AA268" s="257">
        <f t="shared" si="146"/>
        <v>108442.64250000002</v>
      </c>
      <c r="AB268" s="257">
        <f>IFERROR(Z268*'Inputs Yr 2'!$P268,0)</f>
        <v>3986.3515383000004</v>
      </c>
      <c r="AC268" s="257">
        <f t="shared" si="147"/>
        <v>99658.788457500006</v>
      </c>
      <c r="AD268" s="257">
        <f>IFERROR($G268*'Inputs Yr 2'!$Q268*'Inputs Yr 2'!$U268*(IF(IFERROR(SEARCH("Oil", 'Inputs Yr 2'!$AJ268), 0),'Inputs Yr 2'!$AK268,0)+IF(IFERROR(SEARCH("Oil", 'Inputs Yr 2'!$AL268), 0),'Inputs Yr 2'!$AM268,0)+IF(IFERROR(SEARCH("Oil", 'Inputs Yr 2'!$AN268), 0),'Inputs Yr 2'!$AO268,0)),0)</f>
        <v>0</v>
      </c>
      <c r="AE268" s="257">
        <f t="shared" si="148"/>
        <v>0</v>
      </c>
      <c r="AF268" s="257">
        <f>IFERROR(AD268*'Inputs Yr 2'!$P268,0)</f>
        <v>0</v>
      </c>
      <c r="AG268" s="257">
        <f t="shared" si="149"/>
        <v>0</v>
      </c>
      <c r="AH268" s="257">
        <f>IFERROR($G268*'Inputs Yr 2'!$Q268*'Inputs Yr 2'!$U268*(IF('Inputs Yr 2'!$AJ268=CD$4,'Inputs Yr 2'!$AK268,IF('Inputs Yr 2'!$AL268=CD$4,'Inputs Yr 2'!$AM268,IF('Inputs Yr 2'!$AN268=CD$4,'Inputs Yr 2'!$AO268,0)))),0)</f>
        <v>0</v>
      </c>
      <c r="AI268" s="257">
        <f t="shared" si="150"/>
        <v>0</v>
      </c>
      <c r="AJ268" s="257">
        <f>IFERROR(AH268*'Inputs Yr 2'!$P268,0)</f>
        <v>0</v>
      </c>
      <c r="AK268" s="257">
        <f t="shared" si="151"/>
        <v>0</v>
      </c>
      <c r="AL268" s="258">
        <f>IFERROR($G268*'Inputs Yr 2'!$P268*'Inputs Yr 2'!$Q268*'Inputs Yr 2'!AP268,0)</f>
        <v>0</v>
      </c>
      <c r="AM268" s="260">
        <f>IFERROR($G268*'Inputs Yr 2'!$P268*'Inputs Yr 2'!$Q268*'Inputs Yr 2'!AQ268,0)</f>
        <v>0</v>
      </c>
      <c r="AN268" s="258">
        <f>IFERROR($G268*'Inputs Yr 2'!$P268*'Inputs Yr 2'!$Q268*'Inputs Yr 2'!AR268,0)</f>
        <v>0</v>
      </c>
      <c r="AO268" s="257">
        <f t="shared" si="152"/>
        <v>0</v>
      </c>
      <c r="AP268" s="195">
        <f>IFERROR($CQ268*(INDEX(avoidedcosttbl2,$H268,AP$2)+(($H268-ROUNDDOWN($H268,0))*(INDEX(avoidedcosttbl2,ROUNDUP($H268,0),AP$2)-(INDEX(avoidedcosttbl2,ROUNDDOWN($H268,0),AP$2)))))*$O268*1000*'Inputs Yr 2'!AA268,"")</f>
        <v>0</v>
      </c>
      <c r="AQ268" s="195">
        <f>IFERROR($CR268*(INDEX(avoidedcosttbl2,$H268,AQ$2)+(($H268-ROUNDDOWN($H268,0))*(INDEX(avoidedcosttbl2,ROUNDUP($H268,0),AQ$2)-(INDEX(avoidedcosttbl2,ROUNDDOWN($H268,0),AQ$2)))))*$O268*1000*'Inputs Yr 2'!AB268,"")</f>
        <v>0</v>
      </c>
      <c r="AR268" s="195">
        <f>IFERROR($CS268*(INDEX(avoidedcosttbl2,$H268,AR$2)+(($H268-ROUNDDOWN($H268,0))*(INDEX(avoidedcosttbl2,ROUNDUP($H268,0),AR$2)-(INDEX(avoidedcosttbl2,ROUNDDOWN($H268,0),AR$2)))))*$O268*1000*'Inputs Yr 2'!AC268,"")</f>
        <v>0</v>
      </c>
      <c r="AS268" s="195">
        <f>IFERROR($CT268*(INDEX(avoidedcosttbl2,$H268,AS$2)+(($H268-ROUNDDOWN($H268,0))*(INDEX(avoidedcosttbl2,ROUNDUP($H268,0),AS$2)-(INDEX(avoidedcosttbl2,ROUNDDOWN($H268,0),AS$2)))))*$O268*1000*'Inputs Yr 2'!AD268,"")</f>
        <v>0</v>
      </c>
      <c r="AT268" s="196">
        <f t="shared" si="153"/>
        <v>0</v>
      </c>
      <c r="AU268" s="197">
        <f>IFERROR($CQ268*((INDEX(avoidedcosttbl2,$H268,AU$2))+(($H268-ROUNDDOWN($H268,0))*((INDEX(avoidedcosttbl2,ROUNDUP($H268,0),AU$2))-(INDEX(avoidedcosttbl2,ROUNDDOWN($H268,0),AU$2)))))*$O268*1000*'Inputs Yr 2'!AA268,"")</f>
        <v>0</v>
      </c>
      <c r="AV268" s="197">
        <f>IFERROR($CR268*((INDEX(avoidedcosttbl2,$H268,AV$2))+(($H268-ROUNDDOWN($H268,0))*((INDEX(avoidedcosttbl2,ROUNDUP($H268,0),AV$2))-(INDEX(avoidedcosttbl2,ROUNDDOWN($H268,0),AV$2)))))*$O268*1000*'Inputs Yr 2'!AB268,"")</f>
        <v>0</v>
      </c>
      <c r="AW268" s="197">
        <f>IFERROR($CS268*((INDEX(avoidedcosttbl2,$H268,AW$2))+(($H268-ROUNDDOWN($H268,0))*((INDEX(avoidedcosttbl2,ROUNDUP($H268,0),AW$2))-(INDEX(avoidedcosttbl2,ROUNDDOWN($H268,0),AW$2)))))*$O268*1000*'Inputs Yr 2'!AC268,"")</f>
        <v>0</v>
      </c>
      <c r="AX268" s="197">
        <f>IFERROR($CT268*((INDEX(avoidedcosttbl2,$H268,AX$2))+(($H268-ROUNDDOWN($H268,0))*((INDEX(avoidedcosttbl2,ROUNDUP($H268,0),AX$2))-(INDEX(avoidedcosttbl2,ROUNDDOWN($H268,0),AX$2)))))*$O268*1000*'Inputs Yr 2'!AD268,"")</f>
        <v>0</v>
      </c>
      <c r="AY268" s="197">
        <f>IFERROR(((INDEX(avoidedcosttbl2,$H268,AY$2))+(($H268-ROUNDDOWN($H268,0))*((INDEX(avoidedcosttbl2,ROUNDUP($H268,0),AY$2))-(INDEX(avoidedcosttbl2,ROUNDDOWN($H268,0),AY$2)))))*$O268*1000*('Inputs Yr 2'!AC268+'Inputs Yr 2'!AD268),"")</f>
        <v>0</v>
      </c>
      <c r="AZ268" s="197">
        <f>IFERROR(((INDEX(avoidedcosttbl2,$H268,AZ$2))+(($H268-ROUNDDOWN($H268,0))*((INDEX(avoidedcosttbl2,ROUNDUP($H268,0),AZ$2))-(INDEX(avoidedcosttbl2,ROUNDDOWN($H268,0),AZ$2)))))*$O268*1000*('Inputs Yr 2'!AA268+'Inputs Yr 2'!AB268),"")</f>
        <v>0</v>
      </c>
      <c r="BA268" s="198">
        <f t="shared" si="154"/>
        <v>0</v>
      </c>
      <c r="BB268" s="198">
        <f t="shared" si="155"/>
        <v>0</v>
      </c>
      <c r="BC268" s="195">
        <f t="shared" si="137"/>
        <v>0</v>
      </c>
      <c r="BD268" s="195">
        <f t="shared" si="138"/>
        <v>0</v>
      </c>
      <c r="BE268" s="195">
        <f t="shared" si="139"/>
        <v>0</v>
      </c>
      <c r="BF268" s="195">
        <f t="shared" si="140"/>
        <v>0</v>
      </c>
      <c r="BG268" s="195">
        <f t="shared" si="141"/>
        <v>0</v>
      </c>
      <c r="BH268" s="196">
        <f t="shared" si="156"/>
        <v>0</v>
      </c>
      <c r="BI268" s="196">
        <f t="shared" si="157"/>
        <v>0</v>
      </c>
      <c r="BJ268" s="195">
        <f>IFERROR($G268*(IF('Inputs Yr 2'!$AJ268=BJ$4,'Inputs Yr 2'!$AK268,IF('Inputs Yr 2'!$AL268=BJ$4,'Inputs Yr 2'!$AM268,IF('Inputs Yr 2'!$AN268=BJ$4,'Inputs Yr 2'!$AO268,0))))*(INDEX(avoidedcosttbl2,$H268,BJ$2)+(($H268-ROUNDDOWN($H268,0))*(INDEX(avoidedcosttbl2,ROUNDUP($H268,0),BJ$2)-(INDEX(avoidedcosttbl2,ROUNDDOWN($H268,0),BJ$2)))))*'Inputs Yr 2'!P268*'Inputs Yr 2'!Q268*'Inputs Yr 2'!U268,"")</f>
        <v>0</v>
      </c>
      <c r="BK268" s="195">
        <f>IFERROR($G268*(IF('Inputs Yr 2'!$AJ268=BK$4,'Inputs Yr 2'!$AK268,IF('Inputs Yr 2'!$AL268=BK$4,'Inputs Yr 2'!$AM268,IF('Inputs Yr 2'!$AN268=BK$4,'Inputs Yr 2'!$AO268,0))))*(INDEX(avoidedcosttbl2,$H268,BK$2)+(($H268-ROUNDDOWN($H268,0))*(INDEX(avoidedcosttbl2,ROUNDUP($H268,0),BK$2)-(INDEX(avoidedcosttbl2,ROUNDDOWN($H268,0),BK$2)))))*'Inputs Yr 2'!P268*'Inputs Yr 2'!Q268*'Inputs Yr 2'!U268,"")</f>
        <v>0</v>
      </c>
      <c r="BL268" s="195">
        <f>IFERROR($G268*(IF('Inputs Yr 2'!$AJ268=BL$4,'Inputs Yr 2'!$AK268,IF('Inputs Yr 2'!$AL268=BL$4,'Inputs Yr 2'!$AM268,IF('Inputs Yr 2'!$AN268=BL$4,'Inputs Yr 2'!$AO268,0))))*(INDEX(avoidedcosttbl2,$H268,BL$2)+(($H268-ROUNDDOWN($H268,0))*(INDEX(avoidedcosttbl2,ROUNDUP($H268,0),BL$2)-(INDEX(avoidedcosttbl2,ROUNDDOWN($H268,0),BL$2)))))*'Inputs Yr 2'!P268*'Inputs Yr 2'!Q268*'Inputs Yr 2'!U268,"")</f>
        <v>0</v>
      </c>
      <c r="BM268" s="195">
        <f>IFERROR($G268*(IF('Inputs Yr 2'!$AJ268=BM$4,'Inputs Yr 2'!$AK268,IF('Inputs Yr 2'!$AL268=BM$4,'Inputs Yr 2'!$AM268,IF('Inputs Yr 2'!$AN268=BM$4,'Inputs Yr 2'!$AO268,0))))*(INDEX(avoidedcosttbl2,$H268,BM$2)+(($H268-ROUNDDOWN($H268,0))*(INDEX(avoidedcosttbl2,ROUNDUP($H268,0),BM$2)-(INDEX(avoidedcosttbl2,ROUNDDOWN($H268,0),BM$2)))))*'Inputs Yr 2'!P268*'Inputs Yr 2'!Q268*'Inputs Yr 2'!U268,"")</f>
        <v>0</v>
      </c>
      <c r="BN268" s="195">
        <f>IFERROR($G268*(IF('Inputs Yr 2'!$AJ268=BN$4,'Inputs Yr 2'!$AK268,IF('Inputs Yr 2'!$AL268=BN$4,'Inputs Yr 2'!$AM268,IF('Inputs Yr 2'!$AN268=BN$4,'Inputs Yr 2'!$AO268,0))))*(INDEX(avoidedcosttbl2,$H268,BN$2)+(($H268-ROUNDDOWN($H268,0))*(INDEX(avoidedcosttbl2,ROUNDUP($H268,0),BN$2)-(INDEX(avoidedcosttbl2,ROUNDDOWN($H268,0),BN$2)))))*'Inputs Yr 2'!P268*'Inputs Yr 2'!Q268*'Inputs Yr 2'!U268,"")</f>
        <v>0</v>
      </c>
      <c r="BO268" s="195">
        <f>IFERROR($G268*(IF('Inputs Yr 2'!$AJ268=BO$4,'Inputs Yr 2'!$AK268,IF('Inputs Yr 2'!$AL268=BO$4,'Inputs Yr 2'!$AM268,IF('Inputs Yr 2'!$AN268=BO$4,'Inputs Yr 2'!$AO268,0))))*(INDEX(avoidedcosttbl2,$H268,BO$2)+(($H268-ROUNDDOWN($H268,0))*(INDEX(avoidedcosttbl2,ROUNDUP($H268,0),BO$2)-(INDEX(avoidedcosttbl2,ROUNDDOWN($H268,0),BO$2)))))*'Inputs Yr 2'!P268*'Inputs Yr 2'!Q268*'Inputs Yr 2'!U268,"")</f>
        <v>0</v>
      </c>
      <c r="BP268" s="195">
        <f>IFERROR($G268*(IF('Inputs Yr 2'!$AJ268=BP$4,'Inputs Yr 2'!$AK268,IF('Inputs Yr 2'!$AL268=BP$4,'Inputs Yr 2'!$AM268,IF('Inputs Yr 2'!$AN268=BP$4,'Inputs Yr 2'!$AO268,0))))*(INDEX(avoidedcosttbl2,$H268,BP$2)+(($H268-ROUNDDOWN($H268,0))*(INDEX(avoidedcosttbl2,ROUNDUP($H268,0),BP$2)-(INDEX(avoidedcosttbl2,ROUNDDOWN($H268,0),BP$2)))))*'Inputs Yr 2'!P268*'Inputs Yr 2'!Q268*'Inputs Yr 2'!U268,"")</f>
        <v>796727.83526222233</v>
      </c>
      <c r="BQ268" s="230">
        <f t="shared" si="158"/>
        <v>796727.83526222233</v>
      </c>
      <c r="BR268" s="197">
        <f t="shared" si="142"/>
        <v>13218.895424537708</v>
      </c>
      <c r="BS268" s="197">
        <f>IFERROR(($G268*IF('Inputs Yr 2'!$AJ268=BM$4,'Inputs Yr 2'!$AK268,IF('Inputs Yr 2'!$AL268=BM$4,'Inputs Yr 2'!$AM268,IF('Inputs Yr 2'!$AN268=BM$4,'Inputs Yr 2'!$AO268,0))))*(INDEX(avoidedcosttbl2,$H268,BS$2)+(($H268-ROUNDDOWN($H268,0))*(INDEX(avoidedcosttbl2,ROUNDUP($H268,0),BS$2)-(INDEX(avoidedcosttbl2,ROUNDDOWN($H268,0),BS$2)))))*'Inputs Yr 2'!P268*'Inputs Yr 2'!Q268*'Inputs Yr 2'!U268,"")</f>
        <v>0</v>
      </c>
      <c r="BT268" s="197">
        <f>IFERROR(($G268*IF('Inputs Yr 2'!$AJ268=BK$4,'Inputs Yr 2'!$AK268,IF('Inputs Yr 2'!$AL268=BK$4,'Inputs Yr 2'!$AM268,IF('Inputs Yr 2'!$AN268=BK$4,'Inputs Yr 2'!$AO268,0))))*(INDEX(avoidedcosttbl2,$H268,BT$2)+(($H268-ROUNDDOWN($H268,0))*(INDEX(avoidedcosttbl2,ROUNDUP($H268,0),BT$2)-(INDEX(avoidedcosttbl2,ROUNDDOWN($H268,0),BT$2)))))*'Inputs Yr 2'!P268*'Inputs Yr 2'!Q268*'Inputs Yr 2'!U268,"")</f>
        <v>0</v>
      </c>
      <c r="BU268" s="197">
        <f>IFERROR(($G268*IF('Inputs Yr 2'!$AJ268=BL$4,'Inputs Yr 2'!$AK268,IF('Inputs Yr 2'!$AL268=BL$4,'Inputs Yr 2'!$AM268,IF('Inputs Yr 2'!$AN268=BL$4,'Inputs Yr 2'!$AO268,0))))*(INDEX(avoidedcosttbl2,$H268,BU$2)+(($H268-ROUNDDOWN($H268,0))*(INDEX(avoidedcosttbl2,ROUNDUP($H268,0),BU$2)-(INDEX(avoidedcosttbl2,ROUNDDOWN($H268,0),BU$2)))))*'Inputs Yr 2'!P268*'Inputs Yr 2'!Q268*'Inputs Yr 2'!U268,"")</f>
        <v>0</v>
      </c>
      <c r="BV268" s="775">
        <f>IFERROR(($G268*IF('Inputs Yr 2'!$AJ268=BJ$4,'Inputs Yr 2'!$AK268,IF('Inputs Yr 2'!$AL268=BJ$4,'Inputs Yr 2'!$AM268,IF('Inputs Yr 2'!$AN268=BJ$4,'Inputs Yr 2'!$AO268,0))))*(INDEX(avoidedcosttbl2,$H268,BV$2)+(($H268-ROUNDDOWN($H268,0))*(INDEX(avoidedcosttbl2,ROUNDUP($H268,0),BV$2)-(INDEX(avoidedcosttbl2,ROUNDDOWN($H268,0),BV$2)))))*'Inputs Yr 2'!P268*'Inputs Yr 2'!Q268*'Inputs Yr 2'!U268,"")</f>
        <v>0</v>
      </c>
      <c r="BW268" s="197">
        <f>IFERROR(($G268*IF('Inputs Yr 2'!$AJ268=BN$4,'Inputs Yr 2'!$AK268,IF('Inputs Yr 2'!$AL268=BN$4,'Inputs Yr 2'!$AM268,IF('Inputs Yr 2'!$AN268=BN$4,'Inputs Yr 2'!$AO268,0))))*(INDEX(avoidedcosttbl2,$H268,BW$2)+(($H268-ROUNDDOWN($H268,0))*(INDEX(avoidedcosttbl2,ROUNDUP($H268,0),BW$2)-(INDEX(avoidedcosttbl2,ROUNDDOWN($H268,0),BW$2)))))*'Inputs Yr 2'!P268*'Inputs Yr 2'!Q268*'Inputs Yr 2'!U268,"")</f>
        <v>0</v>
      </c>
      <c r="BX268" s="197">
        <f>IFERROR(($G268*IF('Inputs Yr 2'!$AJ268=BO$4,'Inputs Yr 2'!$AK268,IF('Inputs Yr 2'!$AL268=BO$4,'Inputs Yr 2'!$AM268,IF('Inputs Yr 2'!$AN268=BO$4,'Inputs Yr 2'!$AO268,0))))*(INDEX(avoidedcosttbl2,$H268,BX$2)+(($H268-ROUNDDOWN($H268,0))*(INDEX(avoidedcosttbl2,ROUNDUP($H268,0),BX$2)-(INDEX(avoidedcosttbl2,ROUNDDOWN($H268,0),BX$2)))))*'Inputs Yr 2'!P268*'Inputs Yr 2'!Q268*'Inputs Yr 2'!U268,"")</f>
        <v>0</v>
      </c>
      <c r="BY268" s="197">
        <f>IFERROR(($G268*IF('Inputs Yr 2'!$AJ268=BP$4,'Inputs Yr 2'!$AK268,IF('Inputs Yr 2'!$AL268=BP$4,'Inputs Yr 2'!$AM268,IF('Inputs Yr 2'!$AN268=BP$4,'Inputs Yr 2'!$AO268,0))))*(INDEX(avoidedcosttbl2,$H268,BY$2)+(($H268-ROUNDDOWN($H268,0))*(INDEX(avoidedcosttbl2,ROUNDUP($H268,0),BY$2)-(INDEX(avoidedcosttbl2,ROUNDDOWN($H268,0),BY$2)))))*'Inputs Yr 2'!P268*'Inputs Yr 2'!Q268*'Inputs Yr 2'!U268,"")</f>
        <v>39885.985177384806</v>
      </c>
      <c r="BZ268" s="193">
        <f t="shared" si="159"/>
        <v>53104.880601922516</v>
      </c>
      <c r="CA268" s="193">
        <f t="shared" si="160"/>
        <v>849832.71586414485</v>
      </c>
      <c r="CB268" s="195">
        <f>IFERROR(G268*(IF('Inputs Yr 2'!$AJ268=CB$4,'Inputs Yr 2'!$AK268,IF('Inputs Yr 2'!$AL268=CB$4,'Inputs Yr 2'!$AM268,IF('Inputs Yr 2'!$AN268=CB$4,'Inputs Yr 2'!$AO268,0))))*(INDEX(avoidedcosttbl2,$H268,CB$2)+(($H268-ROUNDDOWN($H268,0))*(INDEX(avoidedcosttbl2,ROUNDUP($H268,0),CB$2)-(INDEX(avoidedcosttbl2,ROUNDDOWN($H268,0),CB$2)))))*'Inputs Yr 2'!P268*'Inputs Yr 2'!Q268*'Inputs Yr 2'!U268,"")</f>
        <v>0</v>
      </c>
      <c r="CC268" s="195">
        <f>IFERROR(H268*(IF('Inputs Yr 2'!$AJ268=CC$4,'Inputs Yr 2'!$AK268,IF('Inputs Yr 2'!$AL268=CC$4,'Inputs Yr 2'!$AM268,IF('Inputs Yr 2'!$AN268=CC$4,'Inputs Yr 2'!$AO268,0))))*(INDEX(avoidedcosttbl2,$H268,CC$2)+(($H268-ROUNDDOWN($H268,0))*(INDEX(avoidedcosttbl2,ROUNDUP($H268,0),CC$2)-(INDEX(avoidedcosttbl2,ROUNDDOWN($H268,0),CC$2)))))*'Inputs Yr 2'!Q268*'Inputs Yr 2'!R268*'Inputs Yr 2'!V268,"")</f>
        <v>0</v>
      </c>
      <c r="CD268" s="195">
        <f>IFERROR(I268*(IF('Inputs Yr 2'!$AJ268=CD$4,'Inputs Yr 2'!$AK268,IF('Inputs Yr 2'!$AL268=CD$4,'Inputs Yr 2'!$AM268,IF('Inputs Yr 2'!$AN268=CD$4,'Inputs Yr 2'!$AO268,0))))*(INDEX(avoidedcosttbl2,$H268,CD$2)+(($H268-ROUNDDOWN($H268,0))*(INDEX(avoidedcosttbl2,ROUNDUP($H268,0),CD$2)-(INDEX(avoidedcosttbl2,ROUNDDOWN($H268,0),CD$2)))))*'Inputs Yr 2'!R268*'Inputs Yr 2'!S268*'Inputs Yr 2'!W268,"")</f>
        <v>0</v>
      </c>
      <c r="CE268" s="213">
        <f t="shared" si="161"/>
        <v>0</v>
      </c>
      <c r="CF268" s="213">
        <f t="shared" si="162"/>
        <v>0</v>
      </c>
      <c r="CG268" s="213">
        <f t="shared" si="163"/>
        <v>0</v>
      </c>
      <c r="CH268" s="698">
        <f t="shared" si="164"/>
        <v>849832.71586414485</v>
      </c>
      <c r="CI268" s="79">
        <f>IFERROR(($G268*'Inputs Yr 2'!$P268*'Inputs Yr 2'!$Q268*(((INDEX(avoidedcosttbl2,$H268,CI$2)+(($H268-ROUNDDOWN($H268,0))*(INDEX(avoidedcosttbl2,ROUNDUP($H268,0),CI$2)-INDEX(avoidedcosttbl2,ROUNDDOWN($H268,0),CI$2))))*'Inputs Yr 2'!AS268))),"")</f>
        <v>0</v>
      </c>
      <c r="CJ268" s="504">
        <f>IFERROR($G268*'Inputs Yr 2'!AT268*'Inputs Yr 2'!$P268*'Inputs Yr 2'!$Q268/((1+realdiscrt1)^-0.5),"")</f>
        <v>0</v>
      </c>
      <c r="CK268" s="79">
        <f>IFERROR((O268*1000*(((INDEX(avoidedcosttbl2,$H268,CK$2)+(($H268-ROUNDDOWN($H268,0))*(INDEX(avoidedcosttbl2,ROUNDUP($H268,0),CK$2)-INDEX(avoidedcosttbl2,ROUNDDOWN($H268,0),CK$2))))*'Inputs Yr 2'!AU268))),"")</f>
        <v>0</v>
      </c>
      <c r="CL268" s="504">
        <f>IFERROR(O268*1000*'Inputs Yr 2'!AV268/((1+realdiscrt1)^-0.5),"")</f>
        <v>0</v>
      </c>
      <c r="CM268" s="79">
        <f>IFERROR((AB268*'Inputs Yr 2'!AW268*(((INDEX(avoidedcosttbl2,$H268,CM$2)+(($H268-ROUNDDOWN($H268,0))*(INDEX(avoidedcosttbl2,ROUNDUP($H268,0),CM$2)-INDEX(avoidedcosttbl2,ROUNDDOWN($H268,0),CM$2)))))))*10,"")</f>
        <v>235960.57072314227</v>
      </c>
      <c r="CN268" s="504">
        <f>IFERROR(10*AB268*'Inputs Yr 2'!AX268/((1+realdiscrt1)^-0.5),"")</f>
        <v>0</v>
      </c>
      <c r="CO268" s="505">
        <f t="shared" si="165"/>
        <v>235960.57072314227</v>
      </c>
      <c r="CP268" s="230">
        <f t="shared" si="166"/>
        <v>1085793.2865872872</v>
      </c>
      <c r="CQ268" s="199">
        <f>ROUND(IFERROR(IF(LEFT($A268,1)="C",'Avoided Costs'!$K$13,'Avoided Costs'!$K$12)+1,""),4)</f>
        <v>1.0720000000000001</v>
      </c>
      <c r="CR268" s="199">
        <f>ROUND(IFERROR(IF(LEFT($A268,1)="C",'Avoided Costs'!$L$13,'Avoided Costs'!$L$12)+1,""),4)</f>
        <v>1.04</v>
      </c>
      <c r="CS268" s="199">
        <f>ROUND(IFERROR(IF(LEFT($A268,1)="C",'Avoided Costs'!$M$13,'Avoided Costs'!$M$12)+1,""),4)</f>
        <v>1.0720000000000001</v>
      </c>
      <c r="CT268" s="199">
        <f>ROUND(IFERROR(IF(LEFT($A268,1)="C",'Avoided Costs'!$N$13,'Avoided Costs'!$N$12)+1,""),4)</f>
        <v>1.04</v>
      </c>
      <c r="CU268" s="199">
        <f>ROUND(IFERROR(IF(LEFT($A268,1)="C",'Avoided Costs'!$O$13,'Avoided Costs'!$O$12)+1,""),4)</f>
        <v>1.1120000000000001</v>
      </c>
      <c r="CV268" s="199">
        <f>ROUND(IFERROR(IF(LEFT($A268,1)="C",'Avoided Costs'!$P$13,'Avoided Costs'!$P$12)+1,""),4)</f>
        <v>1.095</v>
      </c>
      <c r="CW268" s="199">
        <f>ROUND(IFERROR(IF(LEFT($A268,1)="C",'Avoided Costs'!$Q$13,'Avoided Costs'!$Q$12)+1,""),4)</f>
        <v>1.1120000000000001</v>
      </c>
      <c r="CX268" s="200">
        <f>ROUND(IFERROR(IF(LEFT($A268,1)="C",'Avoided Costs'!$R$13,'Avoided Costs'!$R$12)+1,""),4)</f>
        <v>1.1120000000000001</v>
      </c>
    </row>
    <row r="269" spans="1:102" ht="12.75" customHeight="1">
      <c r="A269" s="91" t="str">
        <f>IF('Inputs Yr 2'!$B269=0,"",'Inputs Yr 2'!A269)</f>
        <v>C - Commercial &amp; Industrial</v>
      </c>
      <c r="B269" s="91" t="str">
        <f>IF('Inputs Yr 2'!$B269=0,"",'Inputs Yr 2'!B269)</f>
        <v>C2 - C&amp;I Retrofit</v>
      </c>
      <c r="C269" s="91" t="str">
        <f>IF('Inputs Yr 2'!$B269=0,"",'Inputs Yr 2'!C269)</f>
        <v>C2a - C&amp;I Existing Building Retrofit</v>
      </c>
      <c r="D269" s="91" t="str">
        <f>IF('Inputs Yr 2'!$B269=0,"",'Inputs Yr 2'!E269)</f>
        <v>Process - Custom 10</v>
      </c>
      <c r="E269" s="93" t="str">
        <f>IF('Inputs Yr 2'!$B269=0,"",'Inputs Yr 2'!F269)</f>
        <v>G16C2a13</v>
      </c>
      <c r="F269" s="93" t="str">
        <f>IF('Inputs Yr 2'!$B269=0,"",'Inputs Yr 2'!G269)</f>
        <v>Process</v>
      </c>
      <c r="G269" s="95">
        <f>IF('Inputs Yr 2'!$H269&lt;&gt;0,('Inputs Yr 2'!H269),"")</f>
        <v>1</v>
      </c>
      <c r="H269" s="94">
        <f>IFERROR('Inputs Yr 2'!I269,"")</f>
        <v>10</v>
      </c>
      <c r="I269" s="298">
        <f>IFERROR('Inputs Yr 2'!J269*'Inputs Yr 2'!P269*G269,"")</f>
        <v>22132.277000000002</v>
      </c>
      <c r="J269" s="298">
        <f>IFERROR('Inputs Yr 2'!K269*G269,"")</f>
        <v>12041.5</v>
      </c>
      <c r="K269" s="298">
        <f t="shared" si="143"/>
        <v>10090.777000000002</v>
      </c>
      <c r="L269" s="194">
        <f>IFERROR(('Inputs Yr 2'!W269*G269)/1000,"")</f>
        <v>0</v>
      </c>
      <c r="M269" s="194">
        <f>IFERROR(L269*('Inputs Yr 2'!$Q269*'Inputs Yr 2'!$V269*'Inputs Yr 2'!$R269),"")</f>
        <v>0</v>
      </c>
      <c r="N269" s="194">
        <f t="shared" si="144"/>
        <v>0</v>
      </c>
      <c r="O269" s="194">
        <f>IFERROR(M269*'Inputs Yr 2'!P269,"")</f>
        <v>0</v>
      </c>
      <c r="P269" s="194">
        <f t="shared" si="145"/>
        <v>0</v>
      </c>
      <c r="Q269" s="194">
        <f>IFERROR($P269*'Inputs Yr 2'!AA269,"")</f>
        <v>0</v>
      </c>
      <c r="R269" s="194">
        <f>IFERROR($P269*'Inputs Yr 2'!AB269,"")</f>
        <v>0</v>
      </c>
      <c r="S269" s="194">
        <f>IFERROR($P269*'Inputs Yr 2'!AC269,"")</f>
        <v>0</v>
      </c>
      <c r="T269" s="194">
        <f>IFERROR($P269*'Inputs Yr 2'!AD269,"")</f>
        <v>0</v>
      </c>
      <c r="U269" s="194">
        <f>IFERROR(G269*'Inputs Yr 2'!$AE269*'Inputs Yr 2'!$P269*'Inputs Yr 2'!$Q269,"")</f>
        <v>0</v>
      </c>
      <c r="V269" s="194">
        <f>IFERROR($G269*'Inputs Yr 2'!$AE269*'Inputs Yr 2'!$AG269*'Inputs Yr 2'!Q269*'Inputs Yr 2'!$S269,"")</f>
        <v>0</v>
      </c>
      <c r="W269" s="194">
        <f>IFERROR($G269*'Inputs Yr 2'!$AE269*'Inputs Yr 2'!$AG269*'Inputs Yr 2'!P269*'Inputs Yr 2'!Q269*'Inputs Yr 2'!$S269,"")</f>
        <v>0</v>
      </c>
      <c r="X269" s="194">
        <f>IFERROR($G269*'Inputs Yr 2'!$AE269*'Inputs Yr 2'!$AF269*'Inputs Yr 2'!Q269*'Inputs Yr 2'!$T269,"")</f>
        <v>0</v>
      </c>
      <c r="Y269" s="194">
        <f>IFERROR($G269*'Inputs Yr 2'!$AE269*'Inputs Yr 2'!$AF269*'Inputs Yr 2'!P269*'Inputs Yr 2'!Q269*'Inputs Yr 2'!$T269,"")</f>
        <v>0</v>
      </c>
      <c r="Z269" s="257">
        <f>IFERROR($G269*'Inputs Yr 2'!$Q269*'Inputs Yr 2'!$U269*(IF(IFERROR(SEARCH("NG", 'Inputs Yr 2'!$AJ269),0),'Inputs Yr 2'!$AK269,0)+IF(IFERROR(SEARCH("NG", 'Inputs Yr 2'!$AL269),0),'Inputs Yr 2'!$AM269,0)+IF(IFERROR(SEARCH("NG", 'Inputs Yr 2'!$AN269),0),'Inputs Yr 2'!$AO269,0)),0)</f>
        <v>505.80469999999997</v>
      </c>
      <c r="AA269" s="257">
        <f t="shared" si="146"/>
        <v>5058.0469999999996</v>
      </c>
      <c r="AB269" s="257">
        <f>IFERROR(Z269*'Inputs Yr 2'!$P269,0)</f>
        <v>464.83451930000001</v>
      </c>
      <c r="AC269" s="257">
        <f t="shared" si="147"/>
        <v>4648.3451930000001</v>
      </c>
      <c r="AD269" s="257">
        <f>IFERROR($G269*'Inputs Yr 2'!$Q269*'Inputs Yr 2'!$U269*(IF(IFERROR(SEARCH("Oil", 'Inputs Yr 2'!$AJ269), 0),'Inputs Yr 2'!$AK269,0)+IF(IFERROR(SEARCH("Oil", 'Inputs Yr 2'!$AL269), 0),'Inputs Yr 2'!$AM269,0)+IF(IFERROR(SEARCH("Oil", 'Inputs Yr 2'!$AN269), 0),'Inputs Yr 2'!$AO269,0)),0)</f>
        <v>0</v>
      </c>
      <c r="AE269" s="257">
        <f t="shared" si="148"/>
        <v>0</v>
      </c>
      <c r="AF269" s="257">
        <f>IFERROR(AD269*'Inputs Yr 2'!$P269,0)</f>
        <v>0</v>
      </c>
      <c r="AG269" s="257">
        <f t="shared" si="149"/>
        <v>0</v>
      </c>
      <c r="AH269" s="257">
        <f>IFERROR($G269*'Inputs Yr 2'!$Q269*'Inputs Yr 2'!$U269*(IF('Inputs Yr 2'!$AJ269=CD$4,'Inputs Yr 2'!$AK269,IF('Inputs Yr 2'!$AL269=CD$4,'Inputs Yr 2'!$AM269,IF('Inputs Yr 2'!$AN269=CD$4,'Inputs Yr 2'!$AO269,0)))),0)</f>
        <v>0</v>
      </c>
      <c r="AI269" s="257">
        <f t="shared" si="150"/>
        <v>0</v>
      </c>
      <c r="AJ269" s="257">
        <f>IFERROR(AH269*'Inputs Yr 2'!$P269,0)</f>
        <v>0</v>
      </c>
      <c r="AK269" s="257">
        <f t="shared" si="151"/>
        <v>0</v>
      </c>
      <c r="AL269" s="258">
        <f>IFERROR($G269*'Inputs Yr 2'!$P269*'Inputs Yr 2'!$Q269*'Inputs Yr 2'!AP269,0)</f>
        <v>0</v>
      </c>
      <c r="AM269" s="260">
        <f>IFERROR($G269*'Inputs Yr 2'!$P269*'Inputs Yr 2'!$Q269*'Inputs Yr 2'!AQ269,0)</f>
        <v>0</v>
      </c>
      <c r="AN269" s="258">
        <f>IFERROR($G269*'Inputs Yr 2'!$P269*'Inputs Yr 2'!$Q269*'Inputs Yr 2'!AR269,0)</f>
        <v>0</v>
      </c>
      <c r="AO269" s="257">
        <f t="shared" si="152"/>
        <v>0</v>
      </c>
      <c r="AP269" s="195">
        <f>IFERROR($CQ269*(INDEX(avoidedcosttbl2,$H269,AP$2)+(($H269-ROUNDDOWN($H269,0))*(INDEX(avoidedcosttbl2,ROUNDUP($H269,0),AP$2)-(INDEX(avoidedcosttbl2,ROUNDDOWN($H269,0),AP$2)))))*$O269*1000*'Inputs Yr 2'!AA269,"")</f>
        <v>0</v>
      </c>
      <c r="AQ269" s="195">
        <f>IFERROR($CR269*(INDEX(avoidedcosttbl2,$H269,AQ$2)+(($H269-ROUNDDOWN($H269,0))*(INDEX(avoidedcosttbl2,ROUNDUP($H269,0),AQ$2)-(INDEX(avoidedcosttbl2,ROUNDDOWN($H269,0),AQ$2)))))*$O269*1000*'Inputs Yr 2'!AB269,"")</f>
        <v>0</v>
      </c>
      <c r="AR269" s="195">
        <f>IFERROR($CS269*(INDEX(avoidedcosttbl2,$H269,AR$2)+(($H269-ROUNDDOWN($H269,0))*(INDEX(avoidedcosttbl2,ROUNDUP($H269,0),AR$2)-(INDEX(avoidedcosttbl2,ROUNDDOWN($H269,0),AR$2)))))*$O269*1000*'Inputs Yr 2'!AC269,"")</f>
        <v>0</v>
      </c>
      <c r="AS269" s="195">
        <f>IFERROR($CT269*(INDEX(avoidedcosttbl2,$H269,AS$2)+(($H269-ROUNDDOWN($H269,0))*(INDEX(avoidedcosttbl2,ROUNDUP($H269,0),AS$2)-(INDEX(avoidedcosttbl2,ROUNDDOWN($H269,0),AS$2)))))*$O269*1000*'Inputs Yr 2'!AD269,"")</f>
        <v>0</v>
      </c>
      <c r="AT269" s="196">
        <f t="shared" si="153"/>
        <v>0</v>
      </c>
      <c r="AU269" s="197">
        <f>IFERROR($CQ269*((INDEX(avoidedcosttbl2,$H269,AU$2))+(($H269-ROUNDDOWN($H269,0))*((INDEX(avoidedcosttbl2,ROUNDUP($H269,0),AU$2))-(INDEX(avoidedcosttbl2,ROUNDDOWN($H269,0),AU$2)))))*$O269*1000*'Inputs Yr 2'!AA269,"")</f>
        <v>0</v>
      </c>
      <c r="AV269" s="197">
        <f>IFERROR($CR269*((INDEX(avoidedcosttbl2,$H269,AV$2))+(($H269-ROUNDDOWN($H269,0))*((INDEX(avoidedcosttbl2,ROUNDUP($H269,0),AV$2))-(INDEX(avoidedcosttbl2,ROUNDDOWN($H269,0),AV$2)))))*$O269*1000*'Inputs Yr 2'!AB269,"")</f>
        <v>0</v>
      </c>
      <c r="AW269" s="197">
        <f>IFERROR($CS269*((INDEX(avoidedcosttbl2,$H269,AW$2))+(($H269-ROUNDDOWN($H269,0))*((INDEX(avoidedcosttbl2,ROUNDUP($H269,0),AW$2))-(INDEX(avoidedcosttbl2,ROUNDDOWN($H269,0),AW$2)))))*$O269*1000*'Inputs Yr 2'!AC269,"")</f>
        <v>0</v>
      </c>
      <c r="AX269" s="197">
        <f>IFERROR($CT269*((INDEX(avoidedcosttbl2,$H269,AX$2))+(($H269-ROUNDDOWN($H269,0))*((INDEX(avoidedcosttbl2,ROUNDUP($H269,0),AX$2))-(INDEX(avoidedcosttbl2,ROUNDDOWN($H269,0),AX$2)))))*$O269*1000*'Inputs Yr 2'!AD269,"")</f>
        <v>0</v>
      </c>
      <c r="AY269" s="197">
        <f>IFERROR(((INDEX(avoidedcosttbl2,$H269,AY$2))+(($H269-ROUNDDOWN($H269,0))*((INDEX(avoidedcosttbl2,ROUNDUP($H269,0),AY$2))-(INDEX(avoidedcosttbl2,ROUNDDOWN($H269,0),AY$2)))))*$O269*1000*('Inputs Yr 2'!AC269+'Inputs Yr 2'!AD269),"")</f>
        <v>0</v>
      </c>
      <c r="AZ269" s="197">
        <f>IFERROR(((INDEX(avoidedcosttbl2,$H269,AZ$2))+(($H269-ROUNDDOWN($H269,0))*((INDEX(avoidedcosttbl2,ROUNDUP($H269,0),AZ$2))-(INDEX(avoidedcosttbl2,ROUNDDOWN($H269,0),AZ$2)))))*$O269*1000*('Inputs Yr 2'!AA269+'Inputs Yr 2'!AB269),"")</f>
        <v>0</v>
      </c>
      <c r="BA269" s="198">
        <f t="shared" si="154"/>
        <v>0</v>
      </c>
      <c r="BB269" s="198">
        <f t="shared" si="155"/>
        <v>0</v>
      </c>
      <c r="BC269" s="195">
        <f t="shared" si="137"/>
        <v>0</v>
      </c>
      <c r="BD269" s="195">
        <f t="shared" si="138"/>
        <v>0</v>
      </c>
      <c r="BE269" s="195">
        <f t="shared" si="139"/>
        <v>0</v>
      </c>
      <c r="BF269" s="195">
        <f t="shared" si="140"/>
        <v>0</v>
      </c>
      <c r="BG269" s="195">
        <f t="shared" si="141"/>
        <v>0</v>
      </c>
      <c r="BH269" s="196">
        <f t="shared" si="156"/>
        <v>0</v>
      </c>
      <c r="BI269" s="196">
        <f t="shared" si="157"/>
        <v>0</v>
      </c>
      <c r="BJ269" s="195">
        <f>IFERROR($G269*(IF('Inputs Yr 2'!$AJ269=BJ$4,'Inputs Yr 2'!$AK269,IF('Inputs Yr 2'!$AL269=BJ$4,'Inputs Yr 2'!$AM269,IF('Inputs Yr 2'!$AN269=BJ$4,'Inputs Yr 2'!$AO269,0))))*(INDEX(avoidedcosttbl2,$H269,BJ$2)+(($H269-ROUNDDOWN($H269,0))*(INDEX(avoidedcosttbl2,ROUNDUP($H269,0),BJ$2)-(INDEX(avoidedcosttbl2,ROUNDDOWN($H269,0),BJ$2)))))*'Inputs Yr 2'!P269*'Inputs Yr 2'!Q269*'Inputs Yr 2'!U269,"")</f>
        <v>0</v>
      </c>
      <c r="BK269" s="195">
        <f>IFERROR($G269*(IF('Inputs Yr 2'!$AJ269=BK$4,'Inputs Yr 2'!$AK269,IF('Inputs Yr 2'!$AL269=BK$4,'Inputs Yr 2'!$AM269,IF('Inputs Yr 2'!$AN269=BK$4,'Inputs Yr 2'!$AO269,0))))*(INDEX(avoidedcosttbl2,$H269,BK$2)+(($H269-ROUNDDOWN($H269,0))*(INDEX(avoidedcosttbl2,ROUNDUP($H269,0),BK$2)-(INDEX(avoidedcosttbl2,ROUNDDOWN($H269,0),BK$2)))))*'Inputs Yr 2'!P269*'Inputs Yr 2'!Q269*'Inputs Yr 2'!U269,"")</f>
        <v>0</v>
      </c>
      <c r="BL269" s="195">
        <f>IFERROR($G269*(IF('Inputs Yr 2'!$AJ269=BL$4,'Inputs Yr 2'!$AK269,IF('Inputs Yr 2'!$AL269=BL$4,'Inputs Yr 2'!$AM269,IF('Inputs Yr 2'!$AN269=BL$4,'Inputs Yr 2'!$AO269,0))))*(INDEX(avoidedcosttbl2,$H269,BL$2)+(($H269-ROUNDDOWN($H269,0))*(INDEX(avoidedcosttbl2,ROUNDUP($H269,0),BL$2)-(INDEX(avoidedcosttbl2,ROUNDDOWN($H269,0),BL$2)))))*'Inputs Yr 2'!P269*'Inputs Yr 2'!Q269*'Inputs Yr 2'!U269,"")</f>
        <v>0</v>
      </c>
      <c r="BM269" s="195">
        <f>IFERROR($G269*(IF('Inputs Yr 2'!$AJ269=BM$4,'Inputs Yr 2'!$AK269,IF('Inputs Yr 2'!$AL269=BM$4,'Inputs Yr 2'!$AM269,IF('Inputs Yr 2'!$AN269=BM$4,'Inputs Yr 2'!$AO269,0))))*(INDEX(avoidedcosttbl2,$H269,BM$2)+(($H269-ROUNDDOWN($H269,0))*(INDEX(avoidedcosttbl2,ROUNDUP($H269,0),BM$2)-(INDEX(avoidedcosttbl2,ROUNDDOWN($H269,0),BM$2)))))*'Inputs Yr 2'!P269*'Inputs Yr 2'!Q269*'Inputs Yr 2'!U269,"")</f>
        <v>0</v>
      </c>
      <c r="BN269" s="195">
        <f>IFERROR($G269*(IF('Inputs Yr 2'!$AJ269=BN$4,'Inputs Yr 2'!$AK269,IF('Inputs Yr 2'!$AL269=BN$4,'Inputs Yr 2'!$AM269,IF('Inputs Yr 2'!$AN269=BN$4,'Inputs Yr 2'!$AO269,0))))*(INDEX(avoidedcosttbl2,$H269,BN$2)+(($H269-ROUNDDOWN($H269,0))*(INDEX(avoidedcosttbl2,ROUNDUP($H269,0),BN$2)-(INDEX(avoidedcosttbl2,ROUNDDOWN($H269,0),BN$2)))))*'Inputs Yr 2'!P269*'Inputs Yr 2'!Q269*'Inputs Yr 2'!U269,"")</f>
        <v>0</v>
      </c>
      <c r="BO269" s="195">
        <f>IFERROR($G269*(IF('Inputs Yr 2'!$AJ269=BO$4,'Inputs Yr 2'!$AK269,IF('Inputs Yr 2'!$AL269=BO$4,'Inputs Yr 2'!$AM269,IF('Inputs Yr 2'!$AN269=BO$4,'Inputs Yr 2'!$AO269,0))))*(INDEX(avoidedcosttbl2,$H269,BO$2)+(($H269-ROUNDDOWN($H269,0))*(INDEX(avoidedcosttbl2,ROUNDUP($H269,0),BO$2)-(INDEX(avoidedcosttbl2,ROUNDDOWN($H269,0),BO$2)))))*'Inputs Yr 2'!P269*'Inputs Yr 2'!Q269*'Inputs Yr 2'!U269,"")</f>
        <v>0</v>
      </c>
      <c r="BP269" s="195">
        <f>IFERROR($G269*(IF('Inputs Yr 2'!$AJ269=BP$4,'Inputs Yr 2'!$AK269,IF('Inputs Yr 2'!$AL269=BP$4,'Inputs Yr 2'!$AM269,IF('Inputs Yr 2'!$AN269=BP$4,'Inputs Yr 2'!$AO269,0))))*(INDEX(avoidedcosttbl2,$H269,BP$2)+(($H269-ROUNDDOWN($H269,0))*(INDEX(avoidedcosttbl2,ROUNDUP($H269,0),BP$2)-(INDEX(avoidedcosttbl2,ROUNDDOWN($H269,0),BP$2)))))*'Inputs Yr 2'!P269*'Inputs Yr 2'!Q269*'Inputs Yr 2'!U269,"")</f>
        <v>33864.032523235015</v>
      </c>
      <c r="BQ269" s="230">
        <f t="shared" si="158"/>
        <v>33864.032523235015</v>
      </c>
      <c r="BR269" s="197">
        <f t="shared" si="142"/>
        <v>636.93500766611874</v>
      </c>
      <c r="BS269" s="197">
        <f>IFERROR(($G269*IF('Inputs Yr 2'!$AJ269=BM$4,'Inputs Yr 2'!$AK269,IF('Inputs Yr 2'!$AL269=BM$4,'Inputs Yr 2'!$AM269,IF('Inputs Yr 2'!$AN269=BM$4,'Inputs Yr 2'!$AO269,0))))*(INDEX(avoidedcosttbl2,$H269,BS$2)+(($H269-ROUNDDOWN($H269,0))*(INDEX(avoidedcosttbl2,ROUNDUP($H269,0),BS$2)-(INDEX(avoidedcosttbl2,ROUNDDOWN($H269,0),BS$2)))))*'Inputs Yr 2'!P269*'Inputs Yr 2'!Q269*'Inputs Yr 2'!U269,"")</f>
        <v>0</v>
      </c>
      <c r="BT269" s="197">
        <f>IFERROR(($G269*IF('Inputs Yr 2'!$AJ269=BK$4,'Inputs Yr 2'!$AK269,IF('Inputs Yr 2'!$AL269=BK$4,'Inputs Yr 2'!$AM269,IF('Inputs Yr 2'!$AN269=BK$4,'Inputs Yr 2'!$AO269,0))))*(INDEX(avoidedcosttbl2,$H269,BT$2)+(($H269-ROUNDDOWN($H269,0))*(INDEX(avoidedcosttbl2,ROUNDUP($H269,0),BT$2)-(INDEX(avoidedcosttbl2,ROUNDDOWN($H269,0),BT$2)))))*'Inputs Yr 2'!P269*'Inputs Yr 2'!Q269*'Inputs Yr 2'!U269,"")</f>
        <v>0</v>
      </c>
      <c r="BU269" s="197">
        <f>IFERROR(($G269*IF('Inputs Yr 2'!$AJ269=BL$4,'Inputs Yr 2'!$AK269,IF('Inputs Yr 2'!$AL269=BL$4,'Inputs Yr 2'!$AM269,IF('Inputs Yr 2'!$AN269=BL$4,'Inputs Yr 2'!$AO269,0))))*(INDEX(avoidedcosttbl2,$H269,BU$2)+(($H269-ROUNDDOWN($H269,0))*(INDEX(avoidedcosttbl2,ROUNDUP($H269,0),BU$2)-(INDEX(avoidedcosttbl2,ROUNDDOWN($H269,0),BU$2)))))*'Inputs Yr 2'!P269*'Inputs Yr 2'!Q269*'Inputs Yr 2'!U269,"")</f>
        <v>0</v>
      </c>
      <c r="BV269" s="775">
        <f>IFERROR(($G269*IF('Inputs Yr 2'!$AJ269=BJ$4,'Inputs Yr 2'!$AK269,IF('Inputs Yr 2'!$AL269=BJ$4,'Inputs Yr 2'!$AM269,IF('Inputs Yr 2'!$AN269=BJ$4,'Inputs Yr 2'!$AO269,0))))*(INDEX(avoidedcosttbl2,$H269,BV$2)+(($H269-ROUNDDOWN($H269,0))*(INDEX(avoidedcosttbl2,ROUNDUP($H269,0),BV$2)-(INDEX(avoidedcosttbl2,ROUNDDOWN($H269,0),BV$2)))))*'Inputs Yr 2'!P269*'Inputs Yr 2'!Q269*'Inputs Yr 2'!U269,"")</f>
        <v>0</v>
      </c>
      <c r="BW269" s="197">
        <f>IFERROR(($G269*IF('Inputs Yr 2'!$AJ269=BN$4,'Inputs Yr 2'!$AK269,IF('Inputs Yr 2'!$AL269=BN$4,'Inputs Yr 2'!$AM269,IF('Inputs Yr 2'!$AN269=BN$4,'Inputs Yr 2'!$AO269,0))))*(INDEX(avoidedcosttbl2,$H269,BW$2)+(($H269-ROUNDDOWN($H269,0))*(INDEX(avoidedcosttbl2,ROUNDUP($H269,0),BW$2)-(INDEX(avoidedcosttbl2,ROUNDDOWN($H269,0),BW$2)))))*'Inputs Yr 2'!P269*'Inputs Yr 2'!Q269*'Inputs Yr 2'!U269,"")</f>
        <v>0</v>
      </c>
      <c r="BX269" s="197">
        <f>IFERROR(($G269*IF('Inputs Yr 2'!$AJ269=BO$4,'Inputs Yr 2'!$AK269,IF('Inputs Yr 2'!$AL269=BO$4,'Inputs Yr 2'!$AM269,IF('Inputs Yr 2'!$AN269=BO$4,'Inputs Yr 2'!$AO269,0))))*(INDEX(avoidedcosttbl2,$H269,BX$2)+(($H269-ROUNDDOWN($H269,0))*(INDEX(avoidedcosttbl2,ROUNDUP($H269,0),BX$2)-(INDEX(avoidedcosttbl2,ROUNDDOWN($H269,0),BX$2)))))*'Inputs Yr 2'!P269*'Inputs Yr 2'!Q269*'Inputs Yr 2'!U269,"")</f>
        <v>0</v>
      </c>
      <c r="BY269" s="197">
        <f>IFERROR(($G269*IF('Inputs Yr 2'!$AJ269=BP$4,'Inputs Yr 2'!$AK269,IF('Inputs Yr 2'!$AL269=BP$4,'Inputs Yr 2'!$AM269,IF('Inputs Yr 2'!$AN269=BP$4,'Inputs Yr 2'!$AO269,0))))*(INDEX(avoidedcosttbl2,$H269,BY$2)+(($H269-ROUNDDOWN($H269,0))*(INDEX(avoidedcosttbl2,ROUNDUP($H269,0),BY$2)-(INDEX(avoidedcosttbl2,ROUNDDOWN($H269,0),BY$2)))))*'Inputs Yr 2'!P269*'Inputs Yr 2'!Q269*'Inputs Yr 2'!U269,"")</f>
        <v>3722.1633904450023</v>
      </c>
      <c r="BZ269" s="193">
        <f t="shared" si="159"/>
        <v>4359.0983981111212</v>
      </c>
      <c r="CA269" s="193">
        <f t="shared" si="160"/>
        <v>38223.130921346135</v>
      </c>
      <c r="CB269" s="195">
        <f>IFERROR(G269*(IF('Inputs Yr 2'!$AJ269=CB$4,'Inputs Yr 2'!$AK269,IF('Inputs Yr 2'!$AL269=CB$4,'Inputs Yr 2'!$AM269,IF('Inputs Yr 2'!$AN269=CB$4,'Inputs Yr 2'!$AO269,0))))*(INDEX(avoidedcosttbl2,$H269,CB$2)+(($H269-ROUNDDOWN($H269,0))*(INDEX(avoidedcosttbl2,ROUNDUP($H269,0),CB$2)-(INDEX(avoidedcosttbl2,ROUNDDOWN($H269,0),CB$2)))))*'Inputs Yr 2'!P269*'Inputs Yr 2'!Q269*'Inputs Yr 2'!U269,"")</f>
        <v>0</v>
      </c>
      <c r="CC269" s="195">
        <f>IFERROR(H269*(IF('Inputs Yr 2'!$AJ269=CC$4,'Inputs Yr 2'!$AK269,IF('Inputs Yr 2'!$AL269=CC$4,'Inputs Yr 2'!$AM269,IF('Inputs Yr 2'!$AN269=CC$4,'Inputs Yr 2'!$AO269,0))))*(INDEX(avoidedcosttbl2,$H269,CC$2)+(($H269-ROUNDDOWN($H269,0))*(INDEX(avoidedcosttbl2,ROUNDUP($H269,0),CC$2)-(INDEX(avoidedcosttbl2,ROUNDDOWN($H269,0),CC$2)))))*'Inputs Yr 2'!Q269*'Inputs Yr 2'!R269*'Inputs Yr 2'!V269,"")</f>
        <v>0</v>
      </c>
      <c r="CD269" s="195">
        <f>IFERROR(I269*(IF('Inputs Yr 2'!$AJ269=CD$4,'Inputs Yr 2'!$AK269,IF('Inputs Yr 2'!$AL269=CD$4,'Inputs Yr 2'!$AM269,IF('Inputs Yr 2'!$AN269=CD$4,'Inputs Yr 2'!$AO269,0))))*(INDEX(avoidedcosttbl2,$H269,CD$2)+(($H269-ROUNDDOWN($H269,0))*(INDEX(avoidedcosttbl2,ROUNDUP($H269,0),CD$2)-(INDEX(avoidedcosttbl2,ROUNDDOWN($H269,0),CD$2)))))*'Inputs Yr 2'!R269*'Inputs Yr 2'!S269*'Inputs Yr 2'!W269,"")</f>
        <v>0</v>
      </c>
      <c r="CE269" s="213">
        <f t="shared" si="161"/>
        <v>0</v>
      </c>
      <c r="CF269" s="213">
        <f t="shared" si="162"/>
        <v>0</v>
      </c>
      <c r="CG269" s="213">
        <f t="shared" si="163"/>
        <v>0</v>
      </c>
      <c r="CH269" s="698">
        <f t="shared" si="164"/>
        <v>38223.130921346135</v>
      </c>
      <c r="CI269" s="79">
        <f>IFERROR(($G269*'Inputs Yr 2'!$P269*'Inputs Yr 2'!$Q269*(((INDEX(avoidedcosttbl2,$H269,CI$2)+(($H269-ROUNDDOWN($H269,0))*(INDEX(avoidedcosttbl2,ROUNDUP($H269,0),CI$2)-INDEX(avoidedcosttbl2,ROUNDDOWN($H269,0),CI$2))))*'Inputs Yr 2'!AS269))),"")</f>
        <v>0</v>
      </c>
      <c r="CJ269" s="504">
        <f>IFERROR($G269*'Inputs Yr 2'!AT269*'Inputs Yr 2'!$P269*'Inputs Yr 2'!$Q269/((1+realdiscrt1)^-0.5),"")</f>
        <v>0</v>
      </c>
      <c r="CK269" s="79">
        <f>IFERROR((O269*1000*(((INDEX(avoidedcosttbl2,$H269,CK$2)+(($H269-ROUNDDOWN($H269,0))*(INDEX(avoidedcosttbl2,ROUNDUP($H269,0),CK$2)-INDEX(avoidedcosttbl2,ROUNDDOWN($H269,0),CK$2))))*'Inputs Yr 2'!AU269))),"")</f>
        <v>0</v>
      </c>
      <c r="CL269" s="504">
        <f>IFERROR(O269*1000*'Inputs Yr 2'!AV269/((1+realdiscrt1)^-0.5),"")</f>
        <v>0</v>
      </c>
      <c r="CM269" s="79">
        <f>IFERROR((AB269*'Inputs Yr 2'!AW269*(((INDEX(avoidedcosttbl2,$H269,CM$2)+(($H269-ROUNDDOWN($H269,0))*(INDEX(avoidedcosttbl2,ROUNDUP($H269,0),CM$2)-INDEX(avoidedcosttbl2,ROUNDDOWN($H269,0),CM$2)))))))*10,"")</f>
        <v>0</v>
      </c>
      <c r="CN269" s="504">
        <f>IFERROR(10*AB269*'Inputs Yr 2'!AX269/((1+realdiscrt1)^-0.5),"")</f>
        <v>0</v>
      </c>
      <c r="CO269" s="505">
        <f t="shared" si="165"/>
        <v>0</v>
      </c>
      <c r="CP269" s="230">
        <f t="shared" si="166"/>
        <v>38223.130921346135</v>
      </c>
      <c r="CQ269" s="199">
        <f>ROUND(IFERROR(IF(LEFT($A269,1)="C",'Avoided Costs'!$K$13,'Avoided Costs'!$K$12)+1,""),4)</f>
        <v>1.0720000000000001</v>
      </c>
      <c r="CR269" s="199">
        <f>ROUND(IFERROR(IF(LEFT($A269,1)="C",'Avoided Costs'!$L$13,'Avoided Costs'!$L$12)+1,""),4)</f>
        <v>1.04</v>
      </c>
      <c r="CS269" s="199">
        <f>ROUND(IFERROR(IF(LEFT($A269,1)="C",'Avoided Costs'!$M$13,'Avoided Costs'!$M$12)+1,""),4)</f>
        <v>1.0720000000000001</v>
      </c>
      <c r="CT269" s="199">
        <f>ROUND(IFERROR(IF(LEFT($A269,1)="C",'Avoided Costs'!$N$13,'Avoided Costs'!$N$12)+1,""),4)</f>
        <v>1.04</v>
      </c>
      <c r="CU269" s="199">
        <f>ROUND(IFERROR(IF(LEFT($A269,1)="C",'Avoided Costs'!$O$13,'Avoided Costs'!$O$12)+1,""),4)</f>
        <v>1.1120000000000001</v>
      </c>
      <c r="CV269" s="199">
        <f>ROUND(IFERROR(IF(LEFT($A269,1)="C",'Avoided Costs'!$P$13,'Avoided Costs'!$P$12)+1,""),4)</f>
        <v>1.095</v>
      </c>
      <c r="CW269" s="199">
        <f>ROUND(IFERROR(IF(LEFT($A269,1)="C",'Avoided Costs'!$Q$13,'Avoided Costs'!$Q$12)+1,""),4)</f>
        <v>1.1120000000000001</v>
      </c>
      <c r="CX269" s="200">
        <f>ROUND(IFERROR(IF(LEFT($A269,1)="C",'Avoided Costs'!$R$13,'Avoided Costs'!$R$12)+1,""),4)</f>
        <v>1.1120000000000001</v>
      </c>
    </row>
    <row r="270" spans="1:102" ht="12.75" customHeight="1">
      <c r="A270" s="91" t="str">
        <f>IF('Inputs Yr 2'!$B270=0,"",'Inputs Yr 2'!A270)</f>
        <v>C - Commercial &amp; Industrial</v>
      </c>
      <c r="B270" s="91" t="str">
        <f>IF('Inputs Yr 2'!$B270=0,"",'Inputs Yr 2'!B270)</f>
        <v>C2 - C&amp;I Retrofit</v>
      </c>
      <c r="C270" s="91" t="str">
        <f>IF('Inputs Yr 2'!$B270=0,"",'Inputs Yr 2'!C270)</f>
        <v>C2a - C&amp;I Existing Building Retrofit</v>
      </c>
      <c r="D270" s="91" t="str">
        <f>IF('Inputs Yr 2'!$B270=0,"",'Inputs Yr 2'!E270)</f>
        <v>Process - Custom 15</v>
      </c>
      <c r="E270" s="93" t="str">
        <f>IF('Inputs Yr 2'!$B270=0,"",'Inputs Yr 2'!F270)</f>
        <v>G16C2a13</v>
      </c>
      <c r="F270" s="93" t="str">
        <f>IF('Inputs Yr 2'!$B270=0,"",'Inputs Yr 2'!G270)</f>
        <v>Process</v>
      </c>
      <c r="G270" s="95">
        <f>IF('Inputs Yr 2'!$H270&lt;&gt;0,('Inputs Yr 2'!H270),"")</f>
        <v>1</v>
      </c>
      <c r="H270" s="94">
        <f>IFERROR('Inputs Yr 2'!I270,"")</f>
        <v>15</v>
      </c>
      <c r="I270" s="298">
        <f>IFERROR('Inputs Yr 2'!J270*'Inputs Yr 2'!P270*G270,"")</f>
        <v>14645.184000000001</v>
      </c>
      <c r="J270" s="298">
        <f>IFERROR('Inputs Yr 2'!K270*G270,"")</f>
        <v>7968</v>
      </c>
      <c r="K270" s="298">
        <f t="shared" si="143"/>
        <v>6677.1840000000011</v>
      </c>
      <c r="L270" s="194">
        <f>IFERROR(('Inputs Yr 2'!W270*G270)/1000,"")</f>
        <v>0</v>
      </c>
      <c r="M270" s="194">
        <f>IFERROR(L270*('Inputs Yr 2'!$Q270*'Inputs Yr 2'!$V270*'Inputs Yr 2'!$R270),"")</f>
        <v>0</v>
      </c>
      <c r="N270" s="194">
        <f t="shared" si="144"/>
        <v>0</v>
      </c>
      <c r="O270" s="194">
        <f>IFERROR(M270*'Inputs Yr 2'!P270,"")</f>
        <v>0</v>
      </c>
      <c r="P270" s="194">
        <f t="shared" si="145"/>
        <v>0</v>
      </c>
      <c r="Q270" s="194">
        <f>IFERROR($P270*'Inputs Yr 2'!AA270,"")</f>
        <v>0</v>
      </c>
      <c r="R270" s="194">
        <f>IFERROR($P270*'Inputs Yr 2'!AB270,"")</f>
        <v>0</v>
      </c>
      <c r="S270" s="194">
        <f>IFERROR($P270*'Inputs Yr 2'!AC270,"")</f>
        <v>0</v>
      </c>
      <c r="T270" s="194">
        <f>IFERROR($P270*'Inputs Yr 2'!AD270,"")</f>
        <v>0</v>
      </c>
      <c r="U270" s="194">
        <f>IFERROR(G270*'Inputs Yr 2'!$AE270*'Inputs Yr 2'!$P270*'Inputs Yr 2'!$Q270,"")</f>
        <v>0</v>
      </c>
      <c r="V270" s="194">
        <f>IFERROR($G270*'Inputs Yr 2'!$AE270*'Inputs Yr 2'!$AG270*'Inputs Yr 2'!Q270*'Inputs Yr 2'!$S270,"")</f>
        <v>0</v>
      </c>
      <c r="W270" s="194">
        <f>IFERROR($G270*'Inputs Yr 2'!$AE270*'Inputs Yr 2'!$AG270*'Inputs Yr 2'!P270*'Inputs Yr 2'!Q270*'Inputs Yr 2'!$S270,"")</f>
        <v>0</v>
      </c>
      <c r="X270" s="194">
        <f>IFERROR($G270*'Inputs Yr 2'!$AE270*'Inputs Yr 2'!$AF270*'Inputs Yr 2'!Q270*'Inputs Yr 2'!$T270,"")</f>
        <v>0</v>
      </c>
      <c r="Y270" s="194">
        <f>IFERROR($G270*'Inputs Yr 2'!$AE270*'Inputs Yr 2'!$AF270*'Inputs Yr 2'!P270*'Inputs Yr 2'!Q270*'Inputs Yr 2'!$T270,"")</f>
        <v>0</v>
      </c>
      <c r="Z270" s="257">
        <f>IFERROR($G270*'Inputs Yr 2'!$Q270*'Inputs Yr 2'!$U270*(IF(IFERROR(SEARCH("NG", 'Inputs Yr 2'!$AJ270),0),'Inputs Yr 2'!$AK270,0)+IF(IFERROR(SEARCH("NG", 'Inputs Yr 2'!$AL270),0),'Inputs Yr 2'!$AM270,0)+IF(IFERROR(SEARCH("NG", 'Inputs Yr 2'!$AN270),0),'Inputs Yr 2'!$AO270,0)),0)</f>
        <v>413.80480000000006</v>
      </c>
      <c r="AA270" s="257">
        <f t="shared" si="146"/>
        <v>6207.072000000001</v>
      </c>
      <c r="AB270" s="257">
        <f>IFERROR(Z270*'Inputs Yr 2'!$P270,0)</f>
        <v>380.2866112000001</v>
      </c>
      <c r="AC270" s="257">
        <f t="shared" si="147"/>
        <v>5704.2991680000014</v>
      </c>
      <c r="AD270" s="257">
        <f>IFERROR($G270*'Inputs Yr 2'!$Q270*'Inputs Yr 2'!$U270*(IF(IFERROR(SEARCH("Oil", 'Inputs Yr 2'!$AJ270), 0),'Inputs Yr 2'!$AK270,0)+IF(IFERROR(SEARCH("Oil", 'Inputs Yr 2'!$AL270), 0),'Inputs Yr 2'!$AM270,0)+IF(IFERROR(SEARCH("Oil", 'Inputs Yr 2'!$AN270), 0),'Inputs Yr 2'!$AO270,0)),0)</f>
        <v>0</v>
      </c>
      <c r="AE270" s="257">
        <f t="shared" si="148"/>
        <v>0</v>
      </c>
      <c r="AF270" s="257">
        <f>IFERROR(AD270*'Inputs Yr 2'!$P270,0)</f>
        <v>0</v>
      </c>
      <c r="AG270" s="257">
        <f t="shared" si="149"/>
        <v>0</v>
      </c>
      <c r="AH270" s="257">
        <f>IFERROR($G270*'Inputs Yr 2'!$Q270*'Inputs Yr 2'!$U270*(IF('Inputs Yr 2'!$AJ270=CD$4,'Inputs Yr 2'!$AK270,IF('Inputs Yr 2'!$AL270=CD$4,'Inputs Yr 2'!$AM270,IF('Inputs Yr 2'!$AN270=CD$4,'Inputs Yr 2'!$AO270,0)))),0)</f>
        <v>0</v>
      </c>
      <c r="AI270" s="257">
        <f t="shared" si="150"/>
        <v>0</v>
      </c>
      <c r="AJ270" s="257">
        <f>IFERROR(AH270*'Inputs Yr 2'!$P270,0)</f>
        <v>0</v>
      </c>
      <c r="AK270" s="257">
        <f t="shared" si="151"/>
        <v>0</v>
      </c>
      <c r="AL270" s="258">
        <f>IFERROR($G270*'Inputs Yr 2'!$P270*'Inputs Yr 2'!$Q270*'Inputs Yr 2'!AP270,0)</f>
        <v>0</v>
      </c>
      <c r="AM270" s="260">
        <f>IFERROR($G270*'Inputs Yr 2'!$P270*'Inputs Yr 2'!$Q270*'Inputs Yr 2'!AQ270,0)</f>
        <v>0</v>
      </c>
      <c r="AN270" s="258">
        <f>IFERROR($G270*'Inputs Yr 2'!$P270*'Inputs Yr 2'!$Q270*'Inputs Yr 2'!AR270,0)</f>
        <v>0</v>
      </c>
      <c r="AO270" s="257">
        <f t="shared" si="152"/>
        <v>0</v>
      </c>
      <c r="AP270" s="195">
        <f>IFERROR($CQ270*(INDEX(avoidedcosttbl2,$H270,AP$2)+(($H270-ROUNDDOWN($H270,0))*(INDEX(avoidedcosttbl2,ROUNDUP($H270,0),AP$2)-(INDEX(avoidedcosttbl2,ROUNDDOWN($H270,0),AP$2)))))*$O270*1000*'Inputs Yr 2'!AA270,"")</f>
        <v>0</v>
      </c>
      <c r="AQ270" s="195">
        <f>IFERROR($CR270*(INDEX(avoidedcosttbl2,$H270,AQ$2)+(($H270-ROUNDDOWN($H270,0))*(INDEX(avoidedcosttbl2,ROUNDUP($H270,0),AQ$2)-(INDEX(avoidedcosttbl2,ROUNDDOWN($H270,0),AQ$2)))))*$O270*1000*'Inputs Yr 2'!AB270,"")</f>
        <v>0</v>
      </c>
      <c r="AR270" s="195">
        <f>IFERROR($CS270*(INDEX(avoidedcosttbl2,$H270,AR$2)+(($H270-ROUNDDOWN($H270,0))*(INDEX(avoidedcosttbl2,ROUNDUP($H270,0),AR$2)-(INDEX(avoidedcosttbl2,ROUNDDOWN($H270,0),AR$2)))))*$O270*1000*'Inputs Yr 2'!AC270,"")</f>
        <v>0</v>
      </c>
      <c r="AS270" s="195">
        <f>IFERROR($CT270*(INDEX(avoidedcosttbl2,$H270,AS$2)+(($H270-ROUNDDOWN($H270,0))*(INDEX(avoidedcosttbl2,ROUNDUP($H270,0),AS$2)-(INDEX(avoidedcosttbl2,ROUNDDOWN($H270,0),AS$2)))))*$O270*1000*'Inputs Yr 2'!AD270,"")</f>
        <v>0</v>
      </c>
      <c r="AT270" s="196">
        <f t="shared" si="153"/>
        <v>0</v>
      </c>
      <c r="AU270" s="197">
        <f>IFERROR($CQ270*((INDEX(avoidedcosttbl2,$H270,AU$2))+(($H270-ROUNDDOWN($H270,0))*((INDEX(avoidedcosttbl2,ROUNDUP($H270,0),AU$2))-(INDEX(avoidedcosttbl2,ROUNDDOWN($H270,0),AU$2)))))*$O270*1000*'Inputs Yr 2'!AA270,"")</f>
        <v>0</v>
      </c>
      <c r="AV270" s="197">
        <f>IFERROR($CR270*((INDEX(avoidedcosttbl2,$H270,AV$2))+(($H270-ROUNDDOWN($H270,0))*((INDEX(avoidedcosttbl2,ROUNDUP($H270,0),AV$2))-(INDEX(avoidedcosttbl2,ROUNDDOWN($H270,0),AV$2)))))*$O270*1000*'Inputs Yr 2'!AB270,"")</f>
        <v>0</v>
      </c>
      <c r="AW270" s="197">
        <f>IFERROR($CS270*((INDEX(avoidedcosttbl2,$H270,AW$2))+(($H270-ROUNDDOWN($H270,0))*((INDEX(avoidedcosttbl2,ROUNDUP($H270,0),AW$2))-(INDEX(avoidedcosttbl2,ROUNDDOWN($H270,0),AW$2)))))*$O270*1000*'Inputs Yr 2'!AC270,"")</f>
        <v>0</v>
      </c>
      <c r="AX270" s="197">
        <f>IFERROR($CT270*((INDEX(avoidedcosttbl2,$H270,AX$2))+(($H270-ROUNDDOWN($H270,0))*((INDEX(avoidedcosttbl2,ROUNDUP($H270,0),AX$2))-(INDEX(avoidedcosttbl2,ROUNDDOWN($H270,0),AX$2)))))*$O270*1000*'Inputs Yr 2'!AD270,"")</f>
        <v>0</v>
      </c>
      <c r="AY270" s="197">
        <f>IFERROR(((INDEX(avoidedcosttbl2,$H270,AY$2))+(($H270-ROUNDDOWN($H270,0))*((INDEX(avoidedcosttbl2,ROUNDUP($H270,0),AY$2))-(INDEX(avoidedcosttbl2,ROUNDDOWN($H270,0),AY$2)))))*$O270*1000*('Inputs Yr 2'!AC270+'Inputs Yr 2'!AD270),"")</f>
        <v>0</v>
      </c>
      <c r="AZ270" s="197">
        <f>IFERROR(((INDEX(avoidedcosttbl2,$H270,AZ$2))+(($H270-ROUNDDOWN($H270,0))*((INDEX(avoidedcosttbl2,ROUNDUP($H270,0),AZ$2))-(INDEX(avoidedcosttbl2,ROUNDDOWN($H270,0),AZ$2)))))*$O270*1000*('Inputs Yr 2'!AA270+'Inputs Yr 2'!AB270),"")</f>
        <v>0</v>
      </c>
      <c r="BA270" s="198">
        <f t="shared" si="154"/>
        <v>0</v>
      </c>
      <c r="BB270" s="198">
        <f t="shared" si="155"/>
        <v>0</v>
      </c>
      <c r="BC270" s="195">
        <f t="shared" si="137"/>
        <v>0</v>
      </c>
      <c r="BD270" s="195">
        <f t="shared" si="138"/>
        <v>0</v>
      </c>
      <c r="BE270" s="195">
        <f t="shared" si="139"/>
        <v>0</v>
      </c>
      <c r="BF270" s="195">
        <f t="shared" si="140"/>
        <v>0</v>
      </c>
      <c r="BG270" s="195">
        <f t="shared" si="141"/>
        <v>0</v>
      </c>
      <c r="BH270" s="196">
        <f t="shared" si="156"/>
        <v>0</v>
      </c>
      <c r="BI270" s="196">
        <f t="shared" si="157"/>
        <v>0</v>
      </c>
      <c r="BJ270" s="195">
        <f>IFERROR($G270*(IF('Inputs Yr 2'!$AJ270=BJ$4,'Inputs Yr 2'!$AK270,IF('Inputs Yr 2'!$AL270=BJ$4,'Inputs Yr 2'!$AM270,IF('Inputs Yr 2'!$AN270=BJ$4,'Inputs Yr 2'!$AO270,0))))*(INDEX(avoidedcosttbl2,$H270,BJ$2)+(($H270-ROUNDDOWN($H270,0))*(INDEX(avoidedcosttbl2,ROUNDUP($H270,0),BJ$2)-(INDEX(avoidedcosttbl2,ROUNDDOWN($H270,0),BJ$2)))))*'Inputs Yr 2'!P270*'Inputs Yr 2'!Q270*'Inputs Yr 2'!U270,"")</f>
        <v>0</v>
      </c>
      <c r="BK270" s="195">
        <f>IFERROR($G270*(IF('Inputs Yr 2'!$AJ270=BK$4,'Inputs Yr 2'!$AK270,IF('Inputs Yr 2'!$AL270=BK$4,'Inputs Yr 2'!$AM270,IF('Inputs Yr 2'!$AN270=BK$4,'Inputs Yr 2'!$AO270,0))))*(INDEX(avoidedcosttbl2,$H270,BK$2)+(($H270-ROUNDDOWN($H270,0))*(INDEX(avoidedcosttbl2,ROUNDUP($H270,0),BK$2)-(INDEX(avoidedcosttbl2,ROUNDDOWN($H270,0),BK$2)))))*'Inputs Yr 2'!P270*'Inputs Yr 2'!Q270*'Inputs Yr 2'!U270,"")</f>
        <v>0</v>
      </c>
      <c r="BL270" s="195">
        <f>IFERROR($G270*(IF('Inputs Yr 2'!$AJ270=BL$4,'Inputs Yr 2'!$AK270,IF('Inputs Yr 2'!$AL270=BL$4,'Inputs Yr 2'!$AM270,IF('Inputs Yr 2'!$AN270=BL$4,'Inputs Yr 2'!$AO270,0))))*(INDEX(avoidedcosttbl2,$H270,BL$2)+(($H270-ROUNDDOWN($H270,0))*(INDEX(avoidedcosttbl2,ROUNDUP($H270,0),BL$2)-(INDEX(avoidedcosttbl2,ROUNDDOWN($H270,0),BL$2)))))*'Inputs Yr 2'!P270*'Inputs Yr 2'!Q270*'Inputs Yr 2'!U270,"")</f>
        <v>0</v>
      </c>
      <c r="BM270" s="195">
        <f>IFERROR($G270*(IF('Inputs Yr 2'!$AJ270=BM$4,'Inputs Yr 2'!$AK270,IF('Inputs Yr 2'!$AL270=BM$4,'Inputs Yr 2'!$AM270,IF('Inputs Yr 2'!$AN270=BM$4,'Inputs Yr 2'!$AO270,0))))*(INDEX(avoidedcosttbl2,$H270,BM$2)+(($H270-ROUNDDOWN($H270,0))*(INDEX(avoidedcosttbl2,ROUNDUP($H270,0),BM$2)-(INDEX(avoidedcosttbl2,ROUNDDOWN($H270,0),BM$2)))))*'Inputs Yr 2'!P270*'Inputs Yr 2'!Q270*'Inputs Yr 2'!U270,"")</f>
        <v>0</v>
      </c>
      <c r="BN270" s="195">
        <f>IFERROR($G270*(IF('Inputs Yr 2'!$AJ270=BN$4,'Inputs Yr 2'!$AK270,IF('Inputs Yr 2'!$AL270=BN$4,'Inputs Yr 2'!$AM270,IF('Inputs Yr 2'!$AN270=BN$4,'Inputs Yr 2'!$AO270,0))))*(INDEX(avoidedcosttbl2,$H270,BN$2)+(($H270-ROUNDDOWN($H270,0))*(INDEX(avoidedcosttbl2,ROUNDUP($H270,0),BN$2)-(INDEX(avoidedcosttbl2,ROUNDDOWN($H270,0),BN$2)))))*'Inputs Yr 2'!P270*'Inputs Yr 2'!Q270*'Inputs Yr 2'!U270,"")</f>
        <v>0</v>
      </c>
      <c r="BO270" s="195">
        <f>IFERROR($G270*(IF('Inputs Yr 2'!$AJ270=BO$4,'Inputs Yr 2'!$AK270,IF('Inputs Yr 2'!$AL270=BO$4,'Inputs Yr 2'!$AM270,IF('Inputs Yr 2'!$AN270=BO$4,'Inputs Yr 2'!$AO270,0))))*(INDEX(avoidedcosttbl2,$H270,BO$2)+(($H270-ROUNDDOWN($H270,0))*(INDEX(avoidedcosttbl2,ROUNDUP($H270,0),BO$2)-(INDEX(avoidedcosttbl2,ROUNDDOWN($H270,0),BO$2)))))*'Inputs Yr 2'!P270*'Inputs Yr 2'!Q270*'Inputs Yr 2'!U270,"")</f>
        <v>0</v>
      </c>
      <c r="BP270" s="195">
        <f>IFERROR($G270*(IF('Inputs Yr 2'!$AJ270=BP$4,'Inputs Yr 2'!$AK270,IF('Inputs Yr 2'!$AL270=BP$4,'Inputs Yr 2'!$AM270,IF('Inputs Yr 2'!$AN270=BP$4,'Inputs Yr 2'!$AO270,0))))*(INDEX(avoidedcosttbl2,$H270,BP$2)+(($H270-ROUNDDOWN($H270,0))*(INDEX(avoidedcosttbl2,ROUNDUP($H270,0),BP$2)-(INDEX(avoidedcosttbl2,ROUNDDOWN($H270,0),BP$2)))))*'Inputs Yr 2'!P270*'Inputs Yr 2'!Q270*'Inputs Yr 2'!U270,"")</f>
        <v>42742.534498603032</v>
      </c>
      <c r="BQ270" s="230">
        <f t="shared" si="158"/>
        <v>42742.534498603032</v>
      </c>
      <c r="BR270" s="197">
        <f t="shared" si="142"/>
        <v>773.17157495525078</v>
      </c>
      <c r="BS270" s="197">
        <f>IFERROR(($G270*IF('Inputs Yr 2'!$AJ270=BM$4,'Inputs Yr 2'!$AK270,IF('Inputs Yr 2'!$AL270=BM$4,'Inputs Yr 2'!$AM270,IF('Inputs Yr 2'!$AN270=BM$4,'Inputs Yr 2'!$AO270,0))))*(INDEX(avoidedcosttbl2,$H270,BS$2)+(($H270-ROUNDDOWN($H270,0))*(INDEX(avoidedcosttbl2,ROUNDUP($H270,0),BS$2)-(INDEX(avoidedcosttbl2,ROUNDDOWN($H270,0),BS$2)))))*'Inputs Yr 2'!P270*'Inputs Yr 2'!Q270*'Inputs Yr 2'!U270,"")</f>
        <v>0</v>
      </c>
      <c r="BT270" s="197">
        <f>IFERROR(($G270*IF('Inputs Yr 2'!$AJ270=BK$4,'Inputs Yr 2'!$AK270,IF('Inputs Yr 2'!$AL270=BK$4,'Inputs Yr 2'!$AM270,IF('Inputs Yr 2'!$AN270=BK$4,'Inputs Yr 2'!$AO270,0))))*(INDEX(avoidedcosttbl2,$H270,BT$2)+(($H270-ROUNDDOWN($H270,0))*(INDEX(avoidedcosttbl2,ROUNDUP($H270,0),BT$2)-(INDEX(avoidedcosttbl2,ROUNDDOWN($H270,0),BT$2)))))*'Inputs Yr 2'!P270*'Inputs Yr 2'!Q270*'Inputs Yr 2'!U270,"")</f>
        <v>0</v>
      </c>
      <c r="BU270" s="197">
        <f>IFERROR(($G270*IF('Inputs Yr 2'!$AJ270=BL$4,'Inputs Yr 2'!$AK270,IF('Inputs Yr 2'!$AL270=BL$4,'Inputs Yr 2'!$AM270,IF('Inputs Yr 2'!$AN270=BL$4,'Inputs Yr 2'!$AO270,0))))*(INDEX(avoidedcosttbl2,$H270,BU$2)+(($H270-ROUNDDOWN($H270,0))*(INDEX(avoidedcosttbl2,ROUNDUP($H270,0),BU$2)-(INDEX(avoidedcosttbl2,ROUNDDOWN($H270,0),BU$2)))))*'Inputs Yr 2'!P270*'Inputs Yr 2'!Q270*'Inputs Yr 2'!U270,"")</f>
        <v>0</v>
      </c>
      <c r="BV270" s="775">
        <f>IFERROR(($G270*IF('Inputs Yr 2'!$AJ270=BJ$4,'Inputs Yr 2'!$AK270,IF('Inputs Yr 2'!$AL270=BJ$4,'Inputs Yr 2'!$AM270,IF('Inputs Yr 2'!$AN270=BJ$4,'Inputs Yr 2'!$AO270,0))))*(INDEX(avoidedcosttbl2,$H270,BV$2)+(($H270-ROUNDDOWN($H270,0))*(INDEX(avoidedcosttbl2,ROUNDUP($H270,0),BV$2)-(INDEX(avoidedcosttbl2,ROUNDDOWN($H270,0),BV$2)))))*'Inputs Yr 2'!P270*'Inputs Yr 2'!Q270*'Inputs Yr 2'!U270,"")</f>
        <v>0</v>
      </c>
      <c r="BW270" s="197">
        <f>IFERROR(($G270*IF('Inputs Yr 2'!$AJ270=BN$4,'Inputs Yr 2'!$AK270,IF('Inputs Yr 2'!$AL270=BN$4,'Inputs Yr 2'!$AM270,IF('Inputs Yr 2'!$AN270=BN$4,'Inputs Yr 2'!$AO270,0))))*(INDEX(avoidedcosttbl2,$H270,BW$2)+(($H270-ROUNDDOWN($H270,0))*(INDEX(avoidedcosttbl2,ROUNDUP($H270,0),BW$2)-(INDEX(avoidedcosttbl2,ROUNDDOWN($H270,0),BW$2)))))*'Inputs Yr 2'!P270*'Inputs Yr 2'!Q270*'Inputs Yr 2'!U270,"")</f>
        <v>0</v>
      </c>
      <c r="BX270" s="197">
        <f>IFERROR(($G270*IF('Inputs Yr 2'!$AJ270=BO$4,'Inputs Yr 2'!$AK270,IF('Inputs Yr 2'!$AL270=BO$4,'Inputs Yr 2'!$AM270,IF('Inputs Yr 2'!$AN270=BO$4,'Inputs Yr 2'!$AO270,0))))*(INDEX(avoidedcosttbl2,$H270,BX$2)+(($H270-ROUNDDOWN($H270,0))*(INDEX(avoidedcosttbl2,ROUNDUP($H270,0),BX$2)-(INDEX(avoidedcosttbl2,ROUNDDOWN($H270,0),BX$2)))))*'Inputs Yr 2'!P270*'Inputs Yr 2'!Q270*'Inputs Yr 2'!U270,"")</f>
        <v>0</v>
      </c>
      <c r="BY270" s="197">
        <f>IFERROR(($G270*IF('Inputs Yr 2'!$AJ270=BP$4,'Inputs Yr 2'!$AK270,IF('Inputs Yr 2'!$AL270=BP$4,'Inputs Yr 2'!$AM270,IF('Inputs Yr 2'!$AN270=BP$4,'Inputs Yr 2'!$AO270,0))))*(INDEX(avoidedcosttbl2,$H270,BY$2)+(($H270-ROUNDDOWN($H270,0))*(INDEX(avoidedcosttbl2,ROUNDUP($H270,0),BY$2)-(INDEX(avoidedcosttbl2,ROUNDDOWN($H270,0),BY$2)))))*'Inputs Yr 2'!P270*'Inputs Yr 2'!Q270*'Inputs Yr 2'!U270,"")</f>
        <v>3304.3595719582122</v>
      </c>
      <c r="BZ270" s="193">
        <f t="shared" si="159"/>
        <v>4077.5311469134631</v>
      </c>
      <c r="CA270" s="193">
        <f t="shared" si="160"/>
        <v>46820.065645516494</v>
      </c>
      <c r="CB270" s="195">
        <f>IFERROR(G270*(IF('Inputs Yr 2'!$AJ270=CB$4,'Inputs Yr 2'!$AK270,IF('Inputs Yr 2'!$AL270=CB$4,'Inputs Yr 2'!$AM270,IF('Inputs Yr 2'!$AN270=CB$4,'Inputs Yr 2'!$AO270,0))))*(INDEX(avoidedcosttbl2,$H270,CB$2)+(($H270-ROUNDDOWN($H270,0))*(INDEX(avoidedcosttbl2,ROUNDUP($H270,0),CB$2)-(INDEX(avoidedcosttbl2,ROUNDDOWN($H270,0),CB$2)))))*'Inputs Yr 2'!P270*'Inputs Yr 2'!Q270*'Inputs Yr 2'!U270,"")</f>
        <v>0</v>
      </c>
      <c r="CC270" s="195">
        <f>IFERROR(H270*(IF('Inputs Yr 2'!$AJ270=CC$4,'Inputs Yr 2'!$AK270,IF('Inputs Yr 2'!$AL270=CC$4,'Inputs Yr 2'!$AM270,IF('Inputs Yr 2'!$AN270=CC$4,'Inputs Yr 2'!$AO270,0))))*(INDEX(avoidedcosttbl2,$H270,CC$2)+(($H270-ROUNDDOWN($H270,0))*(INDEX(avoidedcosttbl2,ROUNDUP($H270,0),CC$2)-(INDEX(avoidedcosttbl2,ROUNDDOWN($H270,0),CC$2)))))*'Inputs Yr 2'!Q270*'Inputs Yr 2'!R270*'Inputs Yr 2'!V270,"")</f>
        <v>0</v>
      </c>
      <c r="CD270" s="195">
        <f>IFERROR(I270*(IF('Inputs Yr 2'!$AJ270=CD$4,'Inputs Yr 2'!$AK270,IF('Inputs Yr 2'!$AL270=CD$4,'Inputs Yr 2'!$AM270,IF('Inputs Yr 2'!$AN270=CD$4,'Inputs Yr 2'!$AO270,0))))*(INDEX(avoidedcosttbl2,$H270,CD$2)+(($H270-ROUNDDOWN($H270,0))*(INDEX(avoidedcosttbl2,ROUNDUP($H270,0),CD$2)-(INDEX(avoidedcosttbl2,ROUNDDOWN($H270,0),CD$2)))))*'Inputs Yr 2'!R270*'Inputs Yr 2'!S270*'Inputs Yr 2'!W270,"")</f>
        <v>0</v>
      </c>
      <c r="CE270" s="213">
        <f t="shared" si="161"/>
        <v>0</v>
      </c>
      <c r="CF270" s="213">
        <f t="shared" si="162"/>
        <v>0</v>
      </c>
      <c r="CG270" s="213">
        <f t="shared" si="163"/>
        <v>0</v>
      </c>
      <c r="CH270" s="698">
        <f t="shared" si="164"/>
        <v>46820.065645516494</v>
      </c>
      <c r="CI270" s="79">
        <f>IFERROR(($G270*'Inputs Yr 2'!$P270*'Inputs Yr 2'!$Q270*(((INDEX(avoidedcosttbl2,$H270,CI$2)+(($H270-ROUNDDOWN($H270,0))*(INDEX(avoidedcosttbl2,ROUNDUP($H270,0),CI$2)-INDEX(avoidedcosttbl2,ROUNDDOWN($H270,0),CI$2))))*'Inputs Yr 2'!AS270))),"")</f>
        <v>0</v>
      </c>
      <c r="CJ270" s="504">
        <f>IFERROR($G270*'Inputs Yr 2'!AT270*'Inputs Yr 2'!$P270*'Inputs Yr 2'!$Q270/((1+realdiscrt1)^-0.5),"")</f>
        <v>0</v>
      </c>
      <c r="CK270" s="79">
        <f>IFERROR((O270*1000*(((INDEX(avoidedcosttbl2,$H270,CK$2)+(($H270-ROUNDDOWN($H270,0))*(INDEX(avoidedcosttbl2,ROUNDUP($H270,0),CK$2)-INDEX(avoidedcosttbl2,ROUNDDOWN($H270,0),CK$2))))*'Inputs Yr 2'!AU270))),"")</f>
        <v>0</v>
      </c>
      <c r="CL270" s="504">
        <f>IFERROR(O270*1000*'Inputs Yr 2'!AV270/((1+realdiscrt1)^-0.5),"")</f>
        <v>0</v>
      </c>
      <c r="CM270" s="79">
        <f>IFERROR((AB270*'Inputs Yr 2'!AW270*(((INDEX(avoidedcosttbl2,$H270,CM$2)+(($H270-ROUNDDOWN($H270,0))*(INDEX(avoidedcosttbl2,ROUNDUP($H270,0),CM$2)-INDEX(avoidedcosttbl2,ROUNDDOWN($H270,0),CM$2)))))))*10,"")</f>
        <v>0</v>
      </c>
      <c r="CN270" s="504">
        <f>IFERROR(10*AB270*'Inputs Yr 2'!AX270/((1+realdiscrt1)^-0.5),"")</f>
        <v>0</v>
      </c>
      <c r="CO270" s="505">
        <f t="shared" si="165"/>
        <v>0</v>
      </c>
      <c r="CP270" s="230">
        <f t="shared" si="166"/>
        <v>46820.065645516494</v>
      </c>
      <c r="CQ270" s="199">
        <f>ROUND(IFERROR(IF(LEFT($A270,1)="C",'Avoided Costs'!$K$13,'Avoided Costs'!$K$12)+1,""),4)</f>
        <v>1.0720000000000001</v>
      </c>
      <c r="CR270" s="199">
        <f>ROUND(IFERROR(IF(LEFT($A270,1)="C",'Avoided Costs'!$L$13,'Avoided Costs'!$L$12)+1,""),4)</f>
        <v>1.04</v>
      </c>
      <c r="CS270" s="199">
        <f>ROUND(IFERROR(IF(LEFT($A270,1)="C",'Avoided Costs'!$M$13,'Avoided Costs'!$M$12)+1,""),4)</f>
        <v>1.0720000000000001</v>
      </c>
      <c r="CT270" s="199">
        <f>ROUND(IFERROR(IF(LEFT($A270,1)="C",'Avoided Costs'!$N$13,'Avoided Costs'!$N$12)+1,""),4)</f>
        <v>1.04</v>
      </c>
      <c r="CU270" s="199">
        <f>ROUND(IFERROR(IF(LEFT($A270,1)="C",'Avoided Costs'!$O$13,'Avoided Costs'!$O$12)+1,""),4)</f>
        <v>1.1120000000000001</v>
      </c>
      <c r="CV270" s="199">
        <f>ROUND(IFERROR(IF(LEFT($A270,1)="C",'Avoided Costs'!$P$13,'Avoided Costs'!$P$12)+1,""),4)</f>
        <v>1.095</v>
      </c>
      <c r="CW270" s="199">
        <f>ROUND(IFERROR(IF(LEFT($A270,1)="C",'Avoided Costs'!$Q$13,'Avoided Costs'!$Q$12)+1,""),4)</f>
        <v>1.1120000000000001</v>
      </c>
      <c r="CX270" s="200">
        <f>ROUND(IFERROR(IF(LEFT($A270,1)="C",'Avoided Costs'!$R$13,'Avoided Costs'!$R$12)+1,""),4)</f>
        <v>1.1120000000000001</v>
      </c>
    </row>
    <row r="271" spans="1:102" ht="12.75" customHeight="1">
      <c r="A271" s="91" t="str">
        <f>IF('Inputs Yr 2'!$B271=0,"",'Inputs Yr 2'!A271)</f>
        <v>C - Commercial &amp; Industrial</v>
      </c>
      <c r="B271" s="91" t="str">
        <f>IF('Inputs Yr 2'!$B271=0,"",'Inputs Yr 2'!B271)</f>
        <v>C2 - C&amp;I Retrofit</v>
      </c>
      <c r="C271" s="91" t="str">
        <f>IF('Inputs Yr 2'!$B271=0,"",'Inputs Yr 2'!C271)</f>
        <v>C2a - C&amp;I Existing Building Retrofit</v>
      </c>
      <c r="D271" s="91" t="str">
        <f>IF('Inputs Yr 2'!$B271=0,"",'Inputs Yr 2'!E271)</f>
        <v>Process - Custom 18</v>
      </c>
      <c r="E271" s="93" t="str">
        <f>IF('Inputs Yr 2'!$B271=0,"",'Inputs Yr 2'!F271)</f>
        <v>G16C2a13</v>
      </c>
      <c r="F271" s="93" t="str">
        <f>IF('Inputs Yr 2'!$B271=0,"",'Inputs Yr 2'!G271)</f>
        <v>Process</v>
      </c>
      <c r="G271" s="95">
        <f>IF('Inputs Yr 2'!$H271&lt;&gt;0,('Inputs Yr 2'!H271),"")</f>
        <v>1</v>
      </c>
      <c r="H271" s="94">
        <f>IFERROR('Inputs Yr 2'!I271,"")</f>
        <v>18</v>
      </c>
      <c r="I271" s="298">
        <f>IFERROR('Inputs Yr 2'!J271*'Inputs Yr 2'!P271*G271,"")</f>
        <v>428172.76039999997</v>
      </c>
      <c r="J271" s="298">
        <f>IFERROR('Inputs Yr 2'!K271*G271,"")</f>
        <v>232955.8</v>
      </c>
      <c r="K271" s="298">
        <f t="shared" si="143"/>
        <v>195216.96039999998</v>
      </c>
      <c r="L271" s="194">
        <f>IFERROR(('Inputs Yr 2'!W271*G271)/1000,"")</f>
        <v>0</v>
      </c>
      <c r="M271" s="194">
        <f>IFERROR(L271*('Inputs Yr 2'!$Q271*'Inputs Yr 2'!$V271*'Inputs Yr 2'!$R271),"")</f>
        <v>0</v>
      </c>
      <c r="N271" s="194">
        <f t="shared" si="144"/>
        <v>0</v>
      </c>
      <c r="O271" s="194">
        <f>IFERROR(M271*'Inputs Yr 2'!P271,"")</f>
        <v>0</v>
      </c>
      <c r="P271" s="194">
        <f t="shared" si="145"/>
        <v>0</v>
      </c>
      <c r="Q271" s="194">
        <f>IFERROR($P271*'Inputs Yr 2'!AA271,"")</f>
        <v>0</v>
      </c>
      <c r="R271" s="194">
        <f>IFERROR($P271*'Inputs Yr 2'!AB271,"")</f>
        <v>0</v>
      </c>
      <c r="S271" s="194">
        <f>IFERROR($P271*'Inputs Yr 2'!AC271,"")</f>
        <v>0</v>
      </c>
      <c r="T271" s="194">
        <f>IFERROR($P271*'Inputs Yr 2'!AD271,"")</f>
        <v>0</v>
      </c>
      <c r="U271" s="194">
        <f>IFERROR(G271*'Inputs Yr 2'!$AE271*'Inputs Yr 2'!$P271*'Inputs Yr 2'!$Q271,"")</f>
        <v>0</v>
      </c>
      <c r="V271" s="194">
        <f>IFERROR($G271*'Inputs Yr 2'!$AE271*'Inputs Yr 2'!$AG271*'Inputs Yr 2'!Q271*'Inputs Yr 2'!$S271,"")</f>
        <v>0</v>
      </c>
      <c r="W271" s="194">
        <f>IFERROR($G271*'Inputs Yr 2'!$AE271*'Inputs Yr 2'!$AG271*'Inputs Yr 2'!P271*'Inputs Yr 2'!Q271*'Inputs Yr 2'!$S271,"")</f>
        <v>0</v>
      </c>
      <c r="X271" s="194">
        <f>IFERROR($G271*'Inputs Yr 2'!$AE271*'Inputs Yr 2'!$AF271*'Inputs Yr 2'!Q271*'Inputs Yr 2'!$T271,"")</f>
        <v>0</v>
      </c>
      <c r="Y271" s="194">
        <f>IFERROR($G271*'Inputs Yr 2'!$AE271*'Inputs Yr 2'!$AF271*'Inputs Yr 2'!P271*'Inputs Yr 2'!Q271*'Inputs Yr 2'!$T271,"")</f>
        <v>0</v>
      </c>
      <c r="Z271" s="257">
        <f>IFERROR($G271*'Inputs Yr 2'!$Q271*'Inputs Yr 2'!$U271*(IF(IFERROR(SEARCH("NG", 'Inputs Yr 2'!$AJ271),0),'Inputs Yr 2'!$AK271,0)+IF(IFERROR(SEARCH("NG", 'Inputs Yr 2'!$AL271),0),'Inputs Yr 2'!$AM271,0)+IF(IFERROR(SEARCH("NG", 'Inputs Yr 2'!$AN271),0),'Inputs Yr 2'!$AO271,0)),0)</f>
        <v>13512.051019999999</v>
      </c>
      <c r="AA271" s="257">
        <f t="shared" si="146"/>
        <v>243216.91835999998</v>
      </c>
      <c r="AB271" s="257">
        <f>IFERROR(Z271*'Inputs Yr 2'!$P271,0)</f>
        <v>12417.57488738</v>
      </c>
      <c r="AC271" s="257">
        <f t="shared" si="147"/>
        <v>223516.34797284001</v>
      </c>
      <c r="AD271" s="257">
        <f>IFERROR($G271*'Inputs Yr 2'!$Q271*'Inputs Yr 2'!$U271*(IF(IFERROR(SEARCH("Oil", 'Inputs Yr 2'!$AJ271), 0),'Inputs Yr 2'!$AK271,0)+IF(IFERROR(SEARCH("Oil", 'Inputs Yr 2'!$AL271), 0),'Inputs Yr 2'!$AM271,0)+IF(IFERROR(SEARCH("Oil", 'Inputs Yr 2'!$AN271), 0),'Inputs Yr 2'!$AO271,0)),0)</f>
        <v>0</v>
      </c>
      <c r="AE271" s="257">
        <f t="shared" si="148"/>
        <v>0</v>
      </c>
      <c r="AF271" s="257">
        <f>IFERROR(AD271*'Inputs Yr 2'!$P271,0)</f>
        <v>0</v>
      </c>
      <c r="AG271" s="257">
        <f t="shared" si="149"/>
        <v>0</v>
      </c>
      <c r="AH271" s="257">
        <f>IFERROR($G271*'Inputs Yr 2'!$Q271*'Inputs Yr 2'!$U271*(IF('Inputs Yr 2'!$AJ271=CD$4,'Inputs Yr 2'!$AK271,IF('Inputs Yr 2'!$AL271=CD$4,'Inputs Yr 2'!$AM271,IF('Inputs Yr 2'!$AN271=CD$4,'Inputs Yr 2'!$AO271,0)))),0)</f>
        <v>0</v>
      </c>
      <c r="AI271" s="257">
        <f t="shared" si="150"/>
        <v>0</v>
      </c>
      <c r="AJ271" s="257">
        <f>IFERROR(AH271*'Inputs Yr 2'!$P271,0)</f>
        <v>0</v>
      </c>
      <c r="AK271" s="257">
        <f t="shared" si="151"/>
        <v>0</v>
      </c>
      <c r="AL271" s="258">
        <f>IFERROR($G271*'Inputs Yr 2'!$P271*'Inputs Yr 2'!$Q271*'Inputs Yr 2'!AP271,0)</f>
        <v>0</v>
      </c>
      <c r="AM271" s="260">
        <f>IFERROR($G271*'Inputs Yr 2'!$P271*'Inputs Yr 2'!$Q271*'Inputs Yr 2'!AQ271,0)</f>
        <v>0</v>
      </c>
      <c r="AN271" s="258">
        <f>IFERROR($G271*'Inputs Yr 2'!$P271*'Inputs Yr 2'!$Q271*'Inputs Yr 2'!AR271,0)</f>
        <v>0</v>
      </c>
      <c r="AO271" s="257">
        <f t="shared" si="152"/>
        <v>0</v>
      </c>
      <c r="AP271" s="195">
        <f>IFERROR($CQ271*(INDEX(avoidedcosttbl2,$H271,AP$2)+(($H271-ROUNDDOWN($H271,0))*(INDEX(avoidedcosttbl2,ROUNDUP($H271,0),AP$2)-(INDEX(avoidedcosttbl2,ROUNDDOWN($H271,0),AP$2)))))*$O271*1000*'Inputs Yr 2'!AA271,"")</f>
        <v>0</v>
      </c>
      <c r="AQ271" s="195">
        <f>IFERROR($CR271*(INDEX(avoidedcosttbl2,$H271,AQ$2)+(($H271-ROUNDDOWN($H271,0))*(INDEX(avoidedcosttbl2,ROUNDUP($H271,0),AQ$2)-(INDEX(avoidedcosttbl2,ROUNDDOWN($H271,0),AQ$2)))))*$O271*1000*'Inputs Yr 2'!AB271,"")</f>
        <v>0</v>
      </c>
      <c r="AR271" s="195">
        <f>IFERROR($CS271*(INDEX(avoidedcosttbl2,$H271,AR$2)+(($H271-ROUNDDOWN($H271,0))*(INDEX(avoidedcosttbl2,ROUNDUP($H271,0),AR$2)-(INDEX(avoidedcosttbl2,ROUNDDOWN($H271,0),AR$2)))))*$O271*1000*'Inputs Yr 2'!AC271,"")</f>
        <v>0</v>
      </c>
      <c r="AS271" s="195">
        <f>IFERROR($CT271*(INDEX(avoidedcosttbl2,$H271,AS$2)+(($H271-ROUNDDOWN($H271,0))*(INDEX(avoidedcosttbl2,ROUNDUP($H271,0),AS$2)-(INDEX(avoidedcosttbl2,ROUNDDOWN($H271,0),AS$2)))))*$O271*1000*'Inputs Yr 2'!AD271,"")</f>
        <v>0</v>
      </c>
      <c r="AT271" s="196">
        <f t="shared" si="153"/>
        <v>0</v>
      </c>
      <c r="AU271" s="197">
        <f>IFERROR($CQ271*((INDEX(avoidedcosttbl2,$H271,AU$2))+(($H271-ROUNDDOWN($H271,0))*((INDEX(avoidedcosttbl2,ROUNDUP($H271,0),AU$2))-(INDEX(avoidedcosttbl2,ROUNDDOWN($H271,0),AU$2)))))*$O271*1000*'Inputs Yr 2'!AA271,"")</f>
        <v>0</v>
      </c>
      <c r="AV271" s="197">
        <f>IFERROR($CR271*((INDEX(avoidedcosttbl2,$H271,AV$2))+(($H271-ROUNDDOWN($H271,0))*((INDEX(avoidedcosttbl2,ROUNDUP($H271,0),AV$2))-(INDEX(avoidedcosttbl2,ROUNDDOWN($H271,0),AV$2)))))*$O271*1000*'Inputs Yr 2'!AB271,"")</f>
        <v>0</v>
      </c>
      <c r="AW271" s="197">
        <f>IFERROR($CS271*((INDEX(avoidedcosttbl2,$H271,AW$2))+(($H271-ROUNDDOWN($H271,0))*((INDEX(avoidedcosttbl2,ROUNDUP($H271,0),AW$2))-(INDEX(avoidedcosttbl2,ROUNDDOWN($H271,0),AW$2)))))*$O271*1000*'Inputs Yr 2'!AC271,"")</f>
        <v>0</v>
      </c>
      <c r="AX271" s="197">
        <f>IFERROR($CT271*((INDEX(avoidedcosttbl2,$H271,AX$2))+(($H271-ROUNDDOWN($H271,0))*((INDEX(avoidedcosttbl2,ROUNDUP($H271,0),AX$2))-(INDEX(avoidedcosttbl2,ROUNDDOWN($H271,0),AX$2)))))*$O271*1000*'Inputs Yr 2'!AD271,"")</f>
        <v>0</v>
      </c>
      <c r="AY271" s="197">
        <f>IFERROR(((INDEX(avoidedcosttbl2,$H271,AY$2))+(($H271-ROUNDDOWN($H271,0))*((INDEX(avoidedcosttbl2,ROUNDUP($H271,0),AY$2))-(INDEX(avoidedcosttbl2,ROUNDDOWN($H271,0),AY$2)))))*$O271*1000*('Inputs Yr 2'!AC271+'Inputs Yr 2'!AD271),"")</f>
        <v>0</v>
      </c>
      <c r="AZ271" s="197">
        <f>IFERROR(((INDEX(avoidedcosttbl2,$H271,AZ$2))+(($H271-ROUNDDOWN($H271,0))*((INDEX(avoidedcosttbl2,ROUNDUP($H271,0),AZ$2))-(INDEX(avoidedcosttbl2,ROUNDDOWN($H271,0),AZ$2)))))*$O271*1000*('Inputs Yr 2'!AA271+'Inputs Yr 2'!AB271),"")</f>
        <v>0</v>
      </c>
      <c r="BA271" s="198">
        <f t="shared" si="154"/>
        <v>0</v>
      </c>
      <c r="BB271" s="198">
        <f t="shared" si="155"/>
        <v>0</v>
      </c>
      <c r="BC271" s="195">
        <f t="shared" si="137"/>
        <v>0</v>
      </c>
      <c r="BD271" s="195">
        <f t="shared" si="138"/>
        <v>0</v>
      </c>
      <c r="BE271" s="195">
        <f t="shared" si="139"/>
        <v>0</v>
      </c>
      <c r="BF271" s="195">
        <f t="shared" si="140"/>
        <v>0</v>
      </c>
      <c r="BG271" s="195">
        <f t="shared" si="141"/>
        <v>0</v>
      </c>
      <c r="BH271" s="196">
        <f t="shared" si="156"/>
        <v>0</v>
      </c>
      <c r="BI271" s="196">
        <f t="shared" si="157"/>
        <v>0</v>
      </c>
      <c r="BJ271" s="195">
        <f>IFERROR($G271*(IF('Inputs Yr 2'!$AJ271=BJ$4,'Inputs Yr 2'!$AK271,IF('Inputs Yr 2'!$AL271=BJ$4,'Inputs Yr 2'!$AM271,IF('Inputs Yr 2'!$AN271=BJ$4,'Inputs Yr 2'!$AO271,0))))*(INDEX(avoidedcosttbl2,$H271,BJ$2)+(($H271-ROUNDDOWN($H271,0))*(INDEX(avoidedcosttbl2,ROUNDUP($H271,0),BJ$2)-(INDEX(avoidedcosttbl2,ROUNDDOWN($H271,0),BJ$2)))))*'Inputs Yr 2'!P271*'Inputs Yr 2'!Q271*'Inputs Yr 2'!U271,"")</f>
        <v>0</v>
      </c>
      <c r="BK271" s="195">
        <f>IFERROR($G271*(IF('Inputs Yr 2'!$AJ271=BK$4,'Inputs Yr 2'!$AK271,IF('Inputs Yr 2'!$AL271=BK$4,'Inputs Yr 2'!$AM271,IF('Inputs Yr 2'!$AN271=BK$4,'Inputs Yr 2'!$AO271,0))))*(INDEX(avoidedcosttbl2,$H271,BK$2)+(($H271-ROUNDDOWN($H271,0))*(INDEX(avoidedcosttbl2,ROUNDUP($H271,0),BK$2)-(INDEX(avoidedcosttbl2,ROUNDDOWN($H271,0),BK$2)))))*'Inputs Yr 2'!P271*'Inputs Yr 2'!Q271*'Inputs Yr 2'!U271,"")</f>
        <v>0</v>
      </c>
      <c r="BL271" s="195">
        <f>IFERROR($G271*(IF('Inputs Yr 2'!$AJ271=BL$4,'Inputs Yr 2'!$AK271,IF('Inputs Yr 2'!$AL271=BL$4,'Inputs Yr 2'!$AM271,IF('Inputs Yr 2'!$AN271=BL$4,'Inputs Yr 2'!$AO271,0))))*(INDEX(avoidedcosttbl2,$H271,BL$2)+(($H271-ROUNDDOWN($H271,0))*(INDEX(avoidedcosttbl2,ROUNDUP($H271,0),BL$2)-(INDEX(avoidedcosttbl2,ROUNDDOWN($H271,0),BL$2)))))*'Inputs Yr 2'!P271*'Inputs Yr 2'!Q271*'Inputs Yr 2'!U271,"")</f>
        <v>0</v>
      </c>
      <c r="BM271" s="195">
        <f>IFERROR($G271*(IF('Inputs Yr 2'!$AJ271=BM$4,'Inputs Yr 2'!$AK271,IF('Inputs Yr 2'!$AL271=BM$4,'Inputs Yr 2'!$AM271,IF('Inputs Yr 2'!$AN271=BM$4,'Inputs Yr 2'!$AO271,0))))*(INDEX(avoidedcosttbl2,$H271,BM$2)+(($H271-ROUNDDOWN($H271,0))*(INDEX(avoidedcosttbl2,ROUNDUP($H271,0),BM$2)-(INDEX(avoidedcosttbl2,ROUNDDOWN($H271,0),BM$2)))))*'Inputs Yr 2'!P271*'Inputs Yr 2'!Q271*'Inputs Yr 2'!U271,"")</f>
        <v>0</v>
      </c>
      <c r="BN271" s="195">
        <f>IFERROR($G271*(IF('Inputs Yr 2'!$AJ271=BN$4,'Inputs Yr 2'!$AK271,IF('Inputs Yr 2'!$AL271=BN$4,'Inputs Yr 2'!$AM271,IF('Inputs Yr 2'!$AN271=BN$4,'Inputs Yr 2'!$AO271,0))))*(INDEX(avoidedcosttbl2,$H271,BN$2)+(($H271-ROUNDDOWN($H271,0))*(INDEX(avoidedcosttbl2,ROUNDUP($H271,0),BN$2)-(INDEX(avoidedcosttbl2,ROUNDDOWN($H271,0),BN$2)))))*'Inputs Yr 2'!P271*'Inputs Yr 2'!Q271*'Inputs Yr 2'!U271,"")</f>
        <v>0</v>
      </c>
      <c r="BO271" s="195">
        <f>IFERROR($G271*(IF('Inputs Yr 2'!$AJ271=BO$4,'Inputs Yr 2'!$AK271,IF('Inputs Yr 2'!$AL271=BO$4,'Inputs Yr 2'!$AM271,IF('Inputs Yr 2'!$AN271=BO$4,'Inputs Yr 2'!$AO271,0))))*(INDEX(avoidedcosttbl2,$H271,BO$2)+(($H271-ROUNDDOWN($H271,0))*(INDEX(avoidedcosttbl2,ROUNDUP($H271,0),BO$2)-(INDEX(avoidedcosttbl2,ROUNDDOWN($H271,0),BO$2)))))*'Inputs Yr 2'!P271*'Inputs Yr 2'!Q271*'Inputs Yr 2'!U271,"")</f>
        <v>0</v>
      </c>
      <c r="BP271" s="195">
        <f>IFERROR($G271*(IF('Inputs Yr 2'!$AJ271=BP$4,'Inputs Yr 2'!$AK271,IF('Inputs Yr 2'!$AL271=BP$4,'Inputs Yr 2'!$AM271,IF('Inputs Yr 2'!$AN271=BP$4,'Inputs Yr 2'!$AO271,0))))*(INDEX(avoidedcosttbl2,$H271,BP$2)+(($H271-ROUNDDOWN($H271,0))*(INDEX(avoidedcosttbl2,ROUNDUP($H271,0),BP$2)-(INDEX(avoidedcosttbl2,ROUNDDOWN($H271,0),BP$2)))))*'Inputs Yr 2'!P271*'Inputs Yr 2'!Q271*'Inputs Yr 2'!U271,"")</f>
        <v>1708394.8186771849</v>
      </c>
      <c r="BQ271" s="230">
        <f t="shared" si="158"/>
        <v>1708394.8186771849</v>
      </c>
      <c r="BR271" s="197">
        <f t="shared" si="142"/>
        <v>30099.366093186691</v>
      </c>
      <c r="BS271" s="197">
        <f>IFERROR(($G271*IF('Inputs Yr 2'!$AJ271=BM$4,'Inputs Yr 2'!$AK271,IF('Inputs Yr 2'!$AL271=BM$4,'Inputs Yr 2'!$AM271,IF('Inputs Yr 2'!$AN271=BM$4,'Inputs Yr 2'!$AO271,0))))*(INDEX(avoidedcosttbl2,$H271,BS$2)+(($H271-ROUNDDOWN($H271,0))*(INDEX(avoidedcosttbl2,ROUNDUP($H271,0),BS$2)-(INDEX(avoidedcosttbl2,ROUNDDOWN($H271,0),BS$2)))))*'Inputs Yr 2'!P271*'Inputs Yr 2'!Q271*'Inputs Yr 2'!U271,"")</f>
        <v>0</v>
      </c>
      <c r="BT271" s="197">
        <f>IFERROR(($G271*IF('Inputs Yr 2'!$AJ271=BK$4,'Inputs Yr 2'!$AK271,IF('Inputs Yr 2'!$AL271=BK$4,'Inputs Yr 2'!$AM271,IF('Inputs Yr 2'!$AN271=BK$4,'Inputs Yr 2'!$AO271,0))))*(INDEX(avoidedcosttbl2,$H271,BT$2)+(($H271-ROUNDDOWN($H271,0))*(INDEX(avoidedcosttbl2,ROUNDUP($H271,0),BT$2)-(INDEX(avoidedcosttbl2,ROUNDDOWN($H271,0),BT$2)))))*'Inputs Yr 2'!P271*'Inputs Yr 2'!Q271*'Inputs Yr 2'!U271,"")</f>
        <v>0</v>
      </c>
      <c r="BU271" s="197">
        <f>IFERROR(($G271*IF('Inputs Yr 2'!$AJ271=BL$4,'Inputs Yr 2'!$AK271,IF('Inputs Yr 2'!$AL271=BL$4,'Inputs Yr 2'!$AM271,IF('Inputs Yr 2'!$AN271=BL$4,'Inputs Yr 2'!$AO271,0))))*(INDEX(avoidedcosttbl2,$H271,BU$2)+(($H271-ROUNDDOWN($H271,0))*(INDEX(avoidedcosttbl2,ROUNDUP($H271,0),BU$2)-(INDEX(avoidedcosttbl2,ROUNDDOWN($H271,0),BU$2)))))*'Inputs Yr 2'!P271*'Inputs Yr 2'!Q271*'Inputs Yr 2'!U271,"")</f>
        <v>0</v>
      </c>
      <c r="BV271" s="775">
        <f>IFERROR(($G271*IF('Inputs Yr 2'!$AJ271=BJ$4,'Inputs Yr 2'!$AK271,IF('Inputs Yr 2'!$AL271=BJ$4,'Inputs Yr 2'!$AM271,IF('Inputs Yr 2'!$AN271=BJ$4,'Inputs Yr 2'!$AO271,0))))*(INDEX(avoidedcosttbl2,$H271,BV$2)+(($H271-ROUNDDOWN($H271,0))*(INDEX(avoidedcosttbl2,ROUNDUP($H271,0),BV$2)-(INDEX(avoidedcosttbl2,ROUNDDOWN($H271,0),BV$2)))))*'Inputs Yr 2'!P271*'Inputs Yr 2'!Q271*'Inputs Yr 2'!U271,"")</f>
        <v>0</v>
      </c>
      <c r="BW271" s="197">
        <f>IFERROR(($G271*IF('Inputs Yr 2'!$AJ271=BN$4,'Inputs Yr 2'!$AK271,IF('Inputs Yr 2'!$AL271=BN$4,'Inputs Yr 2'!$AM271,IF('Inputs Yr 2'!$AN271=BN$4,'Inputs Yr 2'!$AO271,0))))*(INDEX(avoidedcosttbl2,$H271,BW$2)+(($H271-ROUNDDOWN($H271,0))*(INDEX(avoidedcosttbl2,ROUNDUP($H271,0),BW$2)-(INDEX(avoidedcosttbl2,ROUNDDOWN($H271,0),BW$2)))))*'Inputs Yr 2'!P271*'Inputs Yr 2'!Q271*'Inputs Yr 2'!U271,"")</f>
        <v>0</v>
      </c>
      <c r="BX271" s="197">
        <f>IFERROR(($G271*IF('Inputs Yr 2'!$AJ271=BO$4,'Inputs Yr 2'!$AK271,IF('Inputs Yr 2'!$AL271=BO$4,'Inputs Yr 2'!$AM271,IF('Inputs Yr 2'!$AN271=BO$4,'Inputs Yr 2'!$AO271,0))))*(INDEX(avoidedcosttbl2,$H271,BX$2)+(($H271-ROUNDDOWN($H271,0))*(INDEX(avoidedcosttbl2,ROUNDUP($H271,0),BX$2)-(INDEX(avoidedcosttbl2,ROUNDDOWN($H271,0),BX$2)))))*'Inputs Yr 2'!P271*'Inputs Yr 2'!Q271*'Inputs Yr 2'!U271,"")</f>
        <v>0</v>
      </c>
      <c r="BY271" s="197">
        <f>IFERROR(($G271*IF('Inputs Yr 2'!$AJ271=BP$4,'Inputs Yr 2'!$AK271,IF('Inputs Yr 2'!$AL271=BP$4,'Inputs Yr 2'!$AM271,IF('Inputs Yr 2'!$AN271=BP$4,'Inputs Yr 2'!$AO271,0))))*(INDEX(avoidedcosttbl2,$H271,BY$2)+(($H271-ROUNDDOWN($H271,0))*(INDEX(avoidedcosttbl2,ROUNDUP($H271,0),BY$2)-(INDEX(avoidedcosttbl2,ROUNDDOWN($H271,0),BY$2)))))*'Inputs Yr 2'!P271*'Inputs Yr 2'!Q271*'Inputs Yr 2'!U271,"")</f>
        <v>112877.84262856399</v>
      </c>
      <c r="BZ271" s="193">
        <f t="shared" si="159"/>
        <v>142977.20872175068</v>
      </c>
      <c r="CA271" s="193">
        <f t="shared" si="160"/>
        <v>1851372.0273989355</v>
      </c>
      <c r="CB271" s="195">
        <f>IFERROR(G271*(IF('Inputs Yr 2'!$AJ271=CB$4,'Inputs Yr 2'!$AK271,IF('Inputs Yr 2'!$AL271=CB$4,'Inputs Yr 2'!$AM271,IF('Inputs Yr 2'!$AN271=CB$4,'Inputs Yr 2'!$AO271,0))))*(INDEX(avoidedcosttbl2,$H271,CB$2)+(($H271-ROUNDDOWN($H271,0))*(INDEX(avoidedcosttbl2,ROUNDUP($H271,0),CB$2)-(INDEX(avoidedcosttbl2,ROUNDDOWN($H271,0),CB$2)))))*'Inputs Yr 2'!P271*'Inputs Yr 2'!Q271*'Inputs Yr 2'!U271,"")</f>
        <v>0</v>
      </c>
      <c r="CC271" s="195">
        <f>IFERROR(H271*(IF('Inputs Yr 2'!$AJ271=CC$4,'Inputs Yr 2'!$AK271,IF('Inputs Yr 2'!$AL271=CC$4,'Inputs Yr 2'!$AM271,IF('Inputs Yr 2'!$AN271=CC$4,'Inputs Yr 2'!$AO271,0))))*(INDEX(avoidedcosttbl2,$H271,CC$2)+(($H271-ROUNDDOWN($H271,0))*(INDEX(avoidedcosttbl2,ROUNDUP($H271,0),CC$2)-(INDEX(avoidedcosttbl2,ROUNDDOWN($H271,0),CC$2)))))*'Inputs Yr 2'!Q271*'Inputs Yr 2'!R271*'Inputs Yr 2'!V271,"")</f>
        <v>0</v>
      </c>
      <c r="CD271" s="195">
        <f>IFERROR(I271*(IF('Inputs Yr 2'!$AJ271=CD$4,'Inputs Yr 2'!$AK271,IF('Inputs Yr 2'!$AL271=CD$4,'Inputs Yr 2'!$AM271,IF('Inputs Yr 2'!$AN271=CD$4,'Inputs Yr 2'!$AO271,0))))*(INDEX(avoidedcosttbl2,$H271,CD$2)+(($H271-ROUNDDOWN($H271,0))*(INDEX(avoidedcosttbl2,ROUNDUP($H271,0),CD$2)-(INDEX(avoidedcosttbl2,ROUNDDOWN($H271,0),CD$2)))))*'Inputs Yr 2'!R271*'Inputs Yr 2'!S271*'Inputs Yr 2'!W271,"")</f>
        <v>0</v>
      </c>
      <c r="CE271" s="213">
        <f t="shared" si="161"/>
        <v>0</v>
      </c>
      <c r="CF271" s="213">
        <f t="shared" si="162"/>
        <v>0</v>
      </c>
      <c r="CG271" s="213">
        <f t="shared" si="163"/>
        <v>0</v>
      </c>
      <c r="CH271" s="698">
        <f t="shared" si="164"/>
        <v>1851372.0273989355</v>
      </c>
      <c r="CI271" s="79">
        <f>IFERROR(($G271*'Inputs Yr 2'!$P271*'Inputs Yr 2'!$Q271*(((INDEX(avoidedcosttbl2,$H271,CI$2)+(($H271-ROUNDDOWN($H271,0))*(INDEX(avoidedcosttbl2,ROUNDUP($H271,0),CI$2)-INDEX(avoidedcosttbl2,ROUNDDOWN($H271,0),CI$2))))*'Inputs Yr 2'!AS271))),"")</f>
        <v>0</v>
      </c>
      <c r="CJ271" s="504">
        <f>IFERROR($G271*'Inputs Yr 2'!AT271*'Inputs Yr 2'!$P271*'Inputs Yr 2'!$Q271/((1+realdiscrt1)^-0.5),"")</f>
        <v>0</v>
      </c>
      <c r="CK271" s="79">
        <f>IFERROR((O271*1000*(((INDEX(avoidedcosttbl2,$H271,CK$2)+(($H271-ROUNDDOWN($H271,0))*(INDEX(avoidedcosttbl2,ROUNDUP($H271,0),CK$2)-INDEX(avoidedcosttbl2,ROUNDDOWN($H271,0),CK$2))))*'Inputs Yr 2'!AU271))),"")</f>
        <v>0</v>
      </c>
      <c r="CL271" s="504">
        <f>IFERROR(O271*1000*'Inputs Yr 2'!AV271/((1+realdiscrt1)^-0.5),"")</f>
        <v>0</v>
      </c>
      <c r="CM271" s="79">
        <f>IFERROR((AB271*'Inputs Yr 2'!AW271*(((INDEX(avoidedcosttbl2,$H271,CM$2)+(($H271-ROUNDDOWN($H271,0))*(INDEX(avoidedcosttbl2,ROUNDUP($H271,0),CM$2)-INDEX(avoidedcosttbl2,ROUNDDOWN($H271,0),CM$2)))))))*10,"")</f>
        <v>0</v>
      </c>
      <c r="CN271" s="504">
        <f>IFERROR(10*AB271*'Inputs Yr 2'!AX271/((1+realdiscrt1)^-0.5),"")</f>
        <v>0</v>
      </c>
      <c r="CO271" s="505">
        <f t="shared" si="165"/>
        <v>0</v>
      </c>
      <c r="CP271" s="230">
        <f t="shared" si="166"/>
        <v>1851372.0273989355</v>
      </c>
      <c r="CQ271" s="199">
        <f>ROUND(IFERROR(IF(LEFT($A271,1)="C",'Avoided Costs'!$K$13,'Avoided Costs'!$K$12)+1,""),4)</f>
        <v>1.0720000000000001</v>
      </c>
      <c r="CR271" s="199">
        <f>ROUND(IFERROR(IF(LEFT($A271,1)="C",'Avoided Costs'!$L$13,'Avoided Costs'!$L$12)+1,""),4)</f>
        <v>1.04</v>
      </c>
      <c r="CS271" s="199">
        <f>ROUND(IFERROR(IF(LEFT($A271,1)="C",'Avoided Costs'!$M$13,'Avoided Costs'!$M$12)+1,""),4)</f>
        <v>1.0720000000000001</v>
      </c>
      <c r="CT271" s="199">
        <f>ROUND(IFERROR(IF(LEFT($A271,1)="C",'Avoided Costs'!$N$13,'Avoided Costs'!$N$12)+1,""),4)</f>
        <v>1.04</v>
      </c>
      <c r="CU271" s="199">
        <f>ROUND(IFERROR(IF(LEFT($A271,1)="C",'Avoided Costs'!$O$13,'Avoided Costs'!$O$12)+1,""),4)</f>
        <v>1.1120000000000001</v>
      </c>
      <c r="CV271" s="199">
        <f>ROUND(IFERROR(IF(LEFT($A271,1)="C",'Avoided Costs'!$P$13,'Avoided Costs'!$P$12)+1,""),4)</f>
        <v>1.095</v>
      </c>
      <c r="CW271" s="199">
        <f>ROUND(IFERROR(IF(LEFT($A271,1)="C",'Avoided Costs'!$Q$13,'Avoided Costs'!$Q$12)+1,""),4)</f>
        <v>1.1120000000000001</v>
      </c>
      <c r="CX271" s="200">
        <f>ROUND(IFERROR(IF(LEFT($A271,1)="C",'Avoided Costs'!$R$13,'Avoided Costs'!$R$12)+1,""),4)</f>
        <v>1.1120000000000001</v>
      </c>
    </row>
    <row r="272" spans="1:102" ht="12.75" customHeight="1">
      <c r="A272" s="91" t="str">
        <f>IF('Inputs Yr 2'!$B272=0,"",'Inputs Yr 2'!A272)</f>
        <v>C - Commercial &amp; Industrial</v>
      </c>
      <c r="B272" s="91" t="str">
        <f>IF('Inputs Yr 2'!$B272=0,"",'Inputs Yr 2'!B272)</f>
        <v>C2 - C&amp;I Retrofit</v>
      </c>
      <c r="C272" s="91" t="str">
        <f>IF('Inputs Yr 2'!$B272=0,"",'Inputs Yr 2'!C272)</f>
        <v>C2a - C&amp;I Existing Building Retrofit</v>
      </c>
      <c r="D272" s="91" t="str">
        <f>IF('Inputs Yr 2'!$B272=0,"",'Inputs Yr 2'!E272)</f>
        <v xml:space="preserve">Steam Trap - Custom </v>
      </c>
      <c r="E272" s="93" t="str">
        <f>IF('Inputs Yr 2'!$B272=0,"",'Inputs Yr 2'!F272)</f>
        <v>G16C2a14</v>
      </c>
      <c r="F272" s="93" t="str">
        <f>IF('Inputs Yr 2'!$B272=0,"",'Inputs Yr 2'!G272)</f>
        <v>Hot Water</v>
      </c>
      <c r="G272" s="95">
        <f>IF('Inputs Yr 2'!$H272&lt;&gt;0,('Inputs Yr 2'!H272),"")</f>
        <v>1</v>
      </c>
      <c r="H272" s="94">
        <f>IFERROR('Inputs Yr 2'!I272,"")</f>
        <v>6</v>
      </c>
      <c r="I272" s="298">
        <f>IFERROR('Inputs Yr 2'!J272*'Inputs Yr 2'!P272*G272,"")</f>
        <v>670735.3665</v>
      </c>
      <c r="J272" s="298">
        <f>IFERROR('Inputs Yr 2'!K272*G272,"")</f>
        <v>364926.75</v>
      </c>
      <c r="K272" s="298">
        <f t="shared" si="143"/>
        <v>305808.6165</v>
      </c>
      <c r="L272" s="194">
        <f>IFERROR(('Inputs Yr 2'!W272*G272)/1000,"")</f>
        <v>0</v>
      </c>
      <c r="M272" s="194">
        <f>IFERROR(L272*('Inputs Yr 2'!$Q272*'Inputs Yr 2'!$V272*'Inputs Yr 2'!$R272),"")</f>
        <v>0</v>
      </c>
      <c r="N272" s="194">
        <f t="shared" si="144"/>
        <v>0</v>
      </c>
      <c r="O272" s="194">
        <f>IFERROR(M272*'Inputs Yr 2'!P272,"")</f>
        <v>0</v>
      </c>
      <c r="P272" s="194">
        <f t="shared" si="145"/>
        <v>0</v>
      </c>
      <c r="Q272" s="194">
        <f>IFERROR($P272*'Inputs Yr 2'!AA272,"")</f>
        <v>0</v>
      </c>
      <c r="R272" s="194">
        <f>IFERROR($P272*'Inputs Yr 2'!AB272,"")</f>
        <v>0</v>
      </c>
      <c r="S272" s="194">
        <f>IFERROR($P272*'Inputs Yr 2'!AC272,"")</f>
        <v>0</v>
      </c>
      <c r="T272" s="194">
        <f>IFERROR($P272*'Inputs Yr 2'!AD272,"")</f>
        <v>0</v>
      </c>
      <c r="U272" s="194">
        <f>IFERROR(G272*'Inputs Yr 2'!$AE272*'Inputs Yr 2'!$P272*'Inputs Yr 2'!$Q272,"")</f>
        <v>0</v>
      </c>
      <c r="V272" s="194">
        <f>IFERROR($G272*'Inputs Yr 2'!$AE272*'Inputs Yr 2'!$AG272*'Inputs Yr 2'!Q272*'Inputs Yr 2'!$S272,"")</f>
        <v>0</v>
      </c>
      <c r="W272" s="194">
        <f>IFERROR($G272*'Inputs Yr 2'!$AE272*'Inputs Yr 2'!$AG272*'Inputs Yr 2'!P272*'Inputs Yr 2'!Q272*'Inputs Yr 2'!$S272,"")</f>
        <v>0</v>
      </c>
      <c r="X272" s="194">
        <f>IFERROR($G272*'Inputs Yr 2'!$AE272*'Inputs Yr 2'!$AF272*'Inputs Yr 2'!Q272*'Inputs Yr 2'!$T272,"")</f>
        <v>0</v>
      </c>
      <c r="Y272" s="194">
        <f>IFERROR($G272*'Inputs Yr 2'!$AE272*'Inputs Yr 2'!$AF272*'Inputs Yr 2'!P272*'Inputs Yr 2'!Q272*'Inputs Yr 2'!$T272,"")</f>
        <v>0</v>
      </c>
      <c r="Z272" s="257">
        <f>IFERROR($G272*'Inputs Yr 2'!$Q272*'Inputs Yr 2'!$U272*(IF(IFERROR(SEARCH("NG", 'Inputs Yr 2'!$AJ272),0),'Inputs Yr 2'!$AK272,0)+IF(IFERROR(SEARCH("NG", 'Inputs Yr 2'!$AL272),0),'Inputs Yr 2'!$AM272,0)+IF(IFERROR(SEARCH("NG", 'Inputs Yr 2'!$AN272),0),'Inputs Yr 2'!$AO272,0)),0)</f>
        <v>34743.618119999999</v>
      </c>
      <c r="AA272" s="257">
        <f t="shared" si="146"/>
        <v>208461.70872</v>
      </c>
      <c r="AB272" s="257">
        <f>IFERROR(Z272*'Inputs Yr 2'!$P272,0)</f>
        <v>31929.385052280002</v>
      </c>
      <c r="AC272" s="257">
        <f t="shared" si="147"/>
        <v>191576.31031368001</v>
      </c>
      <c r="AD272" s="257">
        <f>IFERROR($G272*'Inputs Yr 2'!$Q272*'Inputs Yr 2'!$U272*(IF(IFERROR(SEARCH("Oil", 'Inputs Yr 2'!$AJ272), 0),'Inputs Yr 2'!$AK272,0)+IF(IFERROR(SEARCH("Oil", 'Inputs Yr 2'!$AL272), 0),'Inputs Yr 2'!$AM272,0)+IF(IFERROR(SEARCH("Oil", 'Inputs Yr 2'!$AN272), 0),'Inputs Yr 2'!$AO272,0)),0)</f>
        <v>0</v>
      </c>
      <c r="AE272" s="257">
        <f t="shared" si="148"/>
        <v>0</v>
      </c>
      <c r="AF272" s="257">
        <f>IFERROR(AD272*'Inputs Yr 2'!$P272,0)</f>
        <v>0</v>
      </c>
      <c r="AG272" s="257">
        <f t="shared" si="149"/>
        <v>0</v>
      </c>
      <c r="AH272" s="257">
        <f>IFERROR($G272*'Inputs Yr 2'!$Q272*'Inputs Yr 2'!$U272*(IF('Inputs Yr 2'!$AJ272=CD$4,'Inputs Yr 2'!$AK272,IF('Inputs Yr 2'!$AL272=CD$4,'Inputs Yr 2'!$AM272,IF('Inputs Yr 2'!$AN272=CD$4,'Inputs Yr 2'!$AO272,0)))),0)</f>
        <v>0</v>
      </c>
      <c r="AI272" s="257">
        <f t="shared" si="150"/>
        <v>0</v>
      </c>
      <c r="AJ272" s="257">
        <f>IFERROR(AH272*'Inputs Yr 2'!$P272,0)</f>
        <v>0</v>
      </c>
      <c r="AK272" s="257">
        <f t="shared" si="151"/>
        <v>0</v>
      </c>
      <c r="AL272" s="258">
        <f>IFERROR($G272*'Inputs Yr 2'!$P272*'Inputs Yr 2'!$Q272*'Inputs Yr 2'!AP272,0)</f>
        <v>0</v>
      </c>
      <c r="AM272" s="260">
        <f>IFERROR($G272*'Inputs Yr 2'!$P272*'Inputs Yr 2'!$Q272*'Inputs Yr 2'!AQ272,0)</f>
        <v>0</v>
      </c>
      <c r="AN272" s="258">
        <f>IFERROR($G272*'Inputs Yr 2'!$P272*'Inputs Yr 2'!$Q272*'Inputs Yr 2'!AR272,0)</f>
        <v>0</v>
      </c>
      <c r="AO272" s="257">
        <f t="shared" si="152"/>
        <v>0</v>
      </c>
      <c r="AP272" s="195">
        <f>IFERROR($CQ272*(INDEX(avoidedcosttbl2,$H272,AP$2)+(($H272-ROUNDDOWN($H272,0))*(INDEX(avoidedcosttbl2,ROUNDUP($H272,0),AP$2)-(INDEX(avoidedcosttbl2,ROUNDDOWN($H272,0),AP$2)))))*$O272*1000*'Inputs Yr 2'!AA272,"")</f>
        <v>0</v>
      </c>
      <c r="AQ272" s="195">
        <f>IFERROR($CR272*(INDEX(avoidedcosttbl2,$H272,AQ$2)+(($H272-ROUNDDOWN($H272,0))*(INDEX(avoidedcosttbl2,ROUNDUP($H272,0),AQ$2)-(INDEX(avoidedcosttbl2,ROUNDDOWN($H272,0),AQ$2)))))*$O272*1000*'Inputs Yr 2'!AB272,"")</f>
        <v>0</v>
      </c>
      <c r="AR272" s="195">
        <f>IFERROR($CS272*(INDEX(avoidedcosttbl2,$H272,AR$2)+(($H272-ROUNDDOWN($H272,0))*(INDEX(avoidedcosttbl2,ROUNDUP($H272,0),AR$2)-(INDEX(avoidedcosttbl2,ROUNDDOWN($H272,0),AR$2)))))*$O272*1000*'Inputs Yr 2'!AC272,"")</f>
        <v>0</v>
      </c>
      <c r="AS272" s="195">
        <f>IFERROR($CT272*(INDEX(avoidedcosttbl2,$H272,AS$2)+(($H272-ROUNDDOWN($H272,0))*(INDEX(avoidedcosttbl2,ROUNDUP($H272,0),AS$2)-(INDEX(avoidedcosttbl2,ROUNDDOWN($H272,0),AS$2)))))*$O272*1000*'Inputs Yr 2'!AD272,"")</f>
        <v>0</v>
      </c>
      <c r="AT272" s="196">
        <f t="shared" si="153"/>
        <v>0</v>
      </c>
      <c r="AU272" s="197">
        <f>IFERROR($CQ272*((INDEX(avoidedcosttbl2,$H272,AU$2))+(($H272-ROUNDDOWN($H272,0))*((INDEX(avoidedcosttbl2,ROUNDUP($H272,0),AU$2))-(INDEX(avoidedcosttbl2,ROUNDDOWN($H272,0),AU$2)))))*$O272*1000*'Inputs Yr 2'!AA272,"")</f>
        <v>0</v>
      </c>
      <c r="AV272" s="197">
        <f>IFERROR($CR272*((INDEX(avoidedcosttbl2,$H272,AV$2))+(($H272-ROUNDDOWN($H272,0))*((INDEX(avoidedcosttbl2,ROUNDUP($H272,0),AV$2))-(INDEX(avoidedcosttbl2,ROUNDDOWN($H272,0),AV$2)))))*$O272*1000*'Inputs Yr 2'!AB272,"")</f>
        <v>0</v>
      </c>
      <c r="AW272" s="197">
        <f>IFERROR($CS272*((INDEX(avoidedcosttbl2,$H272,AW$2))+(($H272-ROUNDDOWN($H272,0))*((INDEX(avoidedcosttbl2,ROUNDUP($H272,0),AW$2))-(INDEX(avoidedcosttbl2,ROUNDDOWN($H272,0),AW$2)))))*$O272*1000*'Inputs Yr 2'!AC272,"")</f>
        <v>0</v>
      </c>
      <c r="AX272" s="197">
        <f>IFERROR($CT272*((INDEX(avoidedcosttbl2,$H272,AX$2))+(($H272-ROUNDDOWN($H272,0))*((INDEX(avoidedcosttbl2,ROUNDUP($H272,0),AX$2))-(INDEX(avoidedcosttbl2,ROUNDDOWN($H272,0),AX$2)))))*$O272*1000*'Inputs Yr 2'!AD272,"")</f>
        <v>0</v>
      </c>
      <c r="AY272" s="197">
        <f>IFERROR(((INDEX(avoidedcosttbl2,$H272,AY$2))+(($H272-ROUNDDOWN($H272,0))*((INDEX(avoidedcosttbl2,ROUNDUP($H272,0),AY$2))-(INDEX(avoidedcosttbl2,ROUNDDOWN($H272,0),AY$2)))))*$O272*1000*('Inputs Yr 2'!AC272+'Inputs Yr 2'!AD272),"")</f>
        <v>0</v>
      </c>
      <c r="AZ272" s="197">
        <f>IFERROR(((INDEX(avoidedcosttbl2,$H272,AZ$2))+(($H272-ROUNDDOWN($H272,0))*((INDEX(avoidedcosttbl2,ROUNDUP($H272,0),AZ$2))-(INDEX(avoidedcosttbl2,ROUNDDOWN($H272,0),AZ$2)))))*$O272*1000*('Inputs Yr 2'!AA272+'Inputs Yr 2'!AB272),"")</f>
        <v>0</v>
      </c>
      <c r="BA272" s="198">
        <f t="shared" si="154"/>
        <v>0</v>
      </c>
      <c r="BB272" s="198">
        <f t="shared" si="155"/>
        <v>0</v>
      </c>
      <c r="BC272" s="195">
        <f t="shared" si="137"/>
        <v>0</v>
      </c>
      <c r="BD272" s="195">
        <f t="shared" si="138"/>
        <v>0</v>
      </c>
      <c r="BE272" s="195">
        <f t="shared" si="139"/>
        <v>0</v>
      </c>
      <c r="BF272" s="195">
        <f t="shared" si="140"/>
        <v>0</v>
      </c>
      <c r="BG272" s="195">
        <f t="shared" si="141"/>
        <v>0</v>
      </c>
      <c r="BH272" s="196">
        <f t="shared" si="156"/>
        <v>0</v>
      </c>
      <c r="BI272" s="196">
        <f t="shared" si="157"/>
        <v>0</v>
      </c>
      <c r="BJ272" s="195">
        <f>IFERROR($G272*(IF('Inputs Yr 2'!$AJ272=BJ$4,'Inputs Yr 2'!$AK272,IF('Inputs Yr 2'!$AL272=BJ$4,'Inputs Yr 2'!$AM272,IF('Inputs Yr 2'!$AN272=BJ$4,'Inputs Yr 2'!$AO272,0))))*(INDEX(avoidedcosttbl2,$H272,BJ$2)+(($H272-ROUNDDOWN($H272,0))*(INDEX(avoidedcosttbl2,ROUNDUP($H272,0),BJ$2)-(INDEX(avoidedcosttbl2,ROUNDDOWN($H272,0),BJ$2)))))*'Inputs Yr 2'!P272*'Inputs Yr 2'!Q272*'Inputs Yr 2'!U272,"")</f>
        <v>0</v>
      </c>
      <c r="BK272" s="195">
        <f>IFERROR($G272*(IF('Inputs Yr 2'!$AJ272=BK$4,'Inputs Yr 2'!$AK272,IF('Inputs Yr 2'!$AL272=BK$4,'Inputs Yr 2'!$AM272,IF('Inputs Yr 2'!$AN272=BK$4,'Inputs Yr 2'!$AO272,0))))*(INDEX(avoidedcosttbl2,$H272,BK$2)+(($H272-ROUNDDOWN($H272,0))*(INDEX(avoidedcosttbl2,ROUNDUP($H272,0),BK$2)-(INDEX(avoidedcosttbl2,ROUNDDOWN($H272,0),BK$2)))))*'Inputs Yr 2'!P272*'Inputs Yr 2'!Q272*'Inputs Yr 2'!U272,"")</f>
        <v>0</v>
      </c>
      <c r="BL272" s="195">
        <f>IFERROR($G272*(IF('Inputs Yr 2'!$AJ272=BL$4,'Inputs Yr 2'!$AK272,IF('Inputs Yr 2'!$AL272=BL$4,'Inputs Yr 2'!$AM272,IF('Inputs Yr 2'!$AN272=BL$4,'Inputs Yr 2'!$AO272,0))))*(INDEX(avoidedcosttbl2,$H272,BL$2)+(($H272-ROUNDDOWN($H272,0))*(INDEX(avoidedcosttbl2,ROUNDUP($H272,0),BL$2)-(INDEX(avoidedcosttbl2,ROUNDDOWN($H272,0),BL$2)))))*'Inputs Yr 2'!P272*'Inputs Yr 2'!Q272*'Inputs Yr 2'!U272,"")</f>
        <v>0</v>
      </c>
      <c r="BM272" s="195">
        <f>IFERROR($G272*(IF('Inputs Yr 2'!$AJ272=BM$4,'Inputs Yr 2'!$AK272,IF('Inputs Yr 2'!$AL272=BM$4,'Inputs Yr 2'!$AM272,IF('Inputs Yr 2'!$AN272=BM$4,'Inputs Yr 2'!$AO272,0))))*(INDEX(avoidedcosttbl2,$H272,BM$2)+(($H272-ROUNDDOWN($H272,0))*(INDEX(avoidedcosttbl2,ROUNDUP($H272,0),BM$2)-(INDEX(avoidedcosttbl2,ROUNDDOWN($H272,0),BM$2)))))*'Inputs Yr 2'!P272*'Inputs Yr 2'!Q272*'Inputs Yr 2'!U272,"")</f>
        <v>0</v>
      </c>
      <c r="BN272" s="195">
        <f>IFERROR($G272*(IF('Inputs Yr 2'!$AJ272=BN$4,'Inputs Yr 2'!$AK272,IF('Inputs Yr 2'!$AL272=BN$4,'Inputs Yr 2'!$AM272,IF('Inputs Yr 2'!$AN272=BN$4,'Inputs Yr 2'!$AO272,0))))*(INDEX(avoidedcosttbl2,$H272,BN$2)+(($H272-ROUNDDOWN($H272,0))*(INDEX(avoidedcosttbl2,ROUNDUP($H272,0),BN$2)-(INDEX(avoidedcosttbl2,ROUNDDOWN($H272,0),BN$2)))))*'Inputs Yr 2'!P272*'Inputs Yr 2'!Q272*'Inputs Yr 2'!U272,"")</f>
        <v>0</v>
      </c>
      <c r="BO272" s="195">
        <f>IFERROR($G272*(IF('Inputs Yr 2'!$AJ272=BO$4,'Inputs Yr 2'!$AK272,IF('Inputs Yr 2'!$AL272=BO$4,'Inputs Yr 2'!$AM272,IF('Inputs Yr 2'!$AN272=BO$4,'Inputs Yr 2'!$AO272,0))))*(INDEX(avoidedcosttbl2,$H272,BO$2)+(($H272-ROUNDDOWN($H272,0))*(INDEX(avoidedcosttbl2,ROUNDUP($H272,0),BO$2)-(INDEX(avoidedcosttbl2,ROUNDDOWN($H272,0),BO$2)))))*'Inputs Yr 2'!P272*'Inputs Yr 2'!Q272*'Inputs Yr 2'!U272,"")</f>
        <v>1433976.8695844754</v>
      </c>
      <c r="BP272" s="195">
        <f>IFERROR($G272*(IF('Inputs Yr 2'!$AJ272=BP$4,'Inputs Yr 2'!$AK272,IF('Inputs Yr 2'!$AL272=BP$4,'Inputs Yr 2'!$AM272,IF('Inputs Yr 2'!$AN272=BP$4,'Inputs Yr 2'!$AO272,0))))*(INDEX(avoidedcosttbl2,$H272,BP$2)+(($H272-ROUNDDOWN($H272,0))*(INDEX(avoidedcosttbl2,ROUNDUP($H272,0),BP$2)-(INDEX(avoidedcosttbl2,ROUNDDOWN($H272,0),BP$2)))))*'Inputs Yr 2'!P272*'Inputs Yr 2'!Q272*'Inputs Yr 2'!U272,"")</f>
        <v>0</v>
      </c>
      <c r="BQ272" s="230">
        <f t="shared" si="158"/>
        <v>1433976.8695844754</v>
      </c>
      <c r="BR272" s="197">
        <f t="shared" si="142"/>
        <v>26480.710774385876</v>
      </c>
      <c r="BS272" s="197">
        <f>IFERROR(($G272*IF('Inputs Yr 2'!$AJ272=BM$4,'Inputs Yr 2'!$AK272,IF('Inputs Yr 2'!$AL272=BM$4,'Inputs Yr 2'!$AM272,IF('Inputs Yr 2'!$AN272=BM$4,'Inputs Yr 2'!$AO272,0))))*(INDEX(avoidedcosttbl2,$H272,BS$2)+(($H272-ROUNDDOWN($H272,0))*(INDEX(avoidedcosttbl2,ROUNDUP($H272,0),BS$2)-(INDEX(avoidedcosttbl2,ROUNDDOWN($H272,0),BS$2)))))*'Inputs Yr 2'!P272*'Inputs Yr 2'!Q272*'Inputs Yr 2'!U272,"")</f>
        <v>0</v>
      </c>
      <c r="BT272" s="197">
        <f>IFERROR(($G272*IF('Inputs Yr 2'!$AJ272=BK$4,'Inputs Yr 2'!$AK272,IF('Inputs Yr 2'!$AL272=BK$4,'Inputs Yr 2'!$AM272,IF('Inputs Yr 2'!$AN272=BK$4,'Inputs Yr 2'!$AO272,0))))*(INDEX(avoidedcosttbl2,$H272,BT$2)+(($H272-ROUNDDOWN($H272,0))*(INDEX(avoidedcosttbl2,ROUNDUP($H272,0),BT$2)-(INDEX(avoidedcosttbl2,ROUNDDOWN($H272,0),BT$2)))))*'Inputs Yr 2'!P272*'Inputs Yr 2'!Q272*'Inputs Yr 2'!U272,"")</f>
        <v>0</v>
      </c>
      <c r="BU272" s="197">
        <f>IFERROR(($G272*IF('Inputs Yr 2'!$AJ272=BL$4,'Inputs Yr 2'!$AK272,IF('Inputs Yr 2'!$AL272=BL$4,'Inputs Yr 2'!$AM272,IF('Inputs Yr 2'!$AN272=BL$4,'Inputs Yr 2'!$AO272,0))))*(INDEX(avoidedcosttbl2,$H272,BU$2)+(($H272-ROUNDDOWN($H272,0))*(INDEX(avoidedcosttbl2,ROUNDUP($H272,0),BU$2)-(INDEX(avoidedcosttbl2,ROUNDDOWN($H272,0),BU$2)))))*'Inputs Yr 2'!P272*'Inputs Yr 2'!Q272*'Inputs Yr 2'!U272,"")</f>
        <v>0</v>
      </c>
      <c r="BV272" s="775">
        <f>IFERROR(($G272*IF('Inputs Yr 2'!$AJ272=BJ$4,'Inputs Yr 2'!$AK272,IF('Inputs Yr 2'!$AL272=BJ$4,'Inputs Yr 2'!$AM272,IF('Inputs Yr 2'!$AN272=BJ$4,'Inputs Yr 2'!$AO272,0))))*(INDEX(avoidedcosttbl2,$H272,BV$2)+(($H272-ROUNDDOWN($H272,0))*(INDEX(avoidedcosttbl2,ROUNDUP($H272,0),BV$2)-(INDEX(avoidedcosttbl2,ROUNDDOWN($H272,0),BV$2)))))*'Inputs Yr 2'!P272*'Inputs Yr 2'!Q272*'Inputs Yr 2'!U272,"")</f>
        <v>0</v>
      </c>
      <c r="BW272" s="197">
        <f>IFERROR(($G272*IF('Inputs Yr 2'!$AJ272=BN$4,'Inputs Yr 2'!$AK272,IF('Inputs Yr 2'!$AL272=BN$4,'Inputs Yr 2'!$AM272,IF('Inputs Yr 2'!$AN272=BN$4,'Inputs Yr 2'!$AO272,0))))*(INDEX(avoidedcosttbl2,$H272,BW$2)+(($H272-ROUNDDOWN($H272,0))*(INDEX(avoidedcosttbl2,ROUNDUP($H272,0),BW$2)-(INDEX(avoidedcosttbl2,ROUNDDOWN($H272,0),BW$2)))))*'Inputs Yr 2'!P272*'Inputs Yr 2'!Q272*'Inputs Yr 2'!U272,"")</f>
        <v>0</v>
      </c>
      <c r="BX272" s="197">
        <f>IFERROR(($G272*IF('Inputs Yr 2'!$AJ272=BO$4,'Inputs Yr 2'!$AK272,IF('Inputs Yr 2'!$AL272=BO$4,'Inputs Yr 2'!$AM272,IF('Inputs Yr 2'!$AN272=BO$4,'Inputs Yr 2'!$AO272,0))))*(INDEX(avoidedcosttbl2,$H272,BX$2)+(($H272-ROUNDDOWN($H272,0))*(INDEX(avoidedcosttbl2,ROUNDUP($H272,0),BX$2)-(INDEX(avoidedcosttbl2,ROUNDDOWN($H272,0),BX$2)))))*'Inputs Yr 2'!P272*'Inputs Yr 2'!Q272*'Inputs Yr 2'!U272,"")</f>
        <v>231081.69930945034</v>
      </c>
      <c r="BY272" s="197">
        <f>IFERROR(($G272*IF('Inputs Yr 2'!$AJ272=BP$4,'Inputs Yr 2'!$AK272,IF('Inputs Yr 2'!$AL272=BP$4,'Inputs Yr 2'!$AM272,IF('Inputs Yr 2'!$AN272=BP$4,'Inputs Yr 2'!$AO272,0))))*(INDEX(avoidedcosttbl2,$H272,BY$2)+(($H272-ROUNDDOWN($H272,0))*(INDEX(avoidedcosttbl2,ROUNDUP($H272,0),BY$2)-(INDEX(avoidedcosttbl2,ROUNDDOWN($H272,0),BY$2)))))*'Inputs Yr 2'!P272*'Inputs Yr 2'!Q272*'Inputs Yr 2'!U272,"")</f>
        <v>0</v>
      </c>
      <c r="BZ272" s="193">
        <f t="shared" si="159"/>
        <v>257562.41008383621</v>
      </c>
      <c r="CA272" s="193">
        <f t="shared" si="160"/>
        <v>1691539.2796683116</v>
      </c>
      <c r="CB272" s="195">
        <f>IFERROR(G272*(IF('Inputs Yr 2'!$AJ272=CB$4,'Inputs Yr 2'!$AK272,IF('Inputs Yr 2'!$AL272=CB$4,'Inputs Yr 2'!$AM272,IF('Inputs Yr 2'!$AN272=CB$4,'Inputs Yr 2'!$AO272,0))))*(INDEX(avoidedcosttbl2,$H272,CB$2)+(($H272-ROUNDDOWN($H272,0))*(INDEX(avoidedcosttbl2,ROUNDUP($H272,0),CB$2)-(INDEX(avoidedcosttbl2,ROUNDDOWN($H272,0),CB$2)))))*'Inputs Yr 2'!P272*'Inputs Yr 2'!Q272*'Inputs Yr 2'!U272,"")</f>
        <v>0</v>
      </c>
      <c r="CC272" s="195">
        <f>IFERROR(H272*(IF('Inputs Yr 2'!$AJ272=CC$4,'Inputs Yr 2'!$AK272,IF('Inputs Yr 2'!$AL272=CC$4,'Inputs Yr 2'!$AM272,IF('Inputs Yr 2'!$AN272=CC$4,'Inputs Yr 2'!$AO272,0))))*(INDEX(avoidedcosttbl2,$H272,CC$2)+(($H272-ROUNDDOWN($H272,0))*(INDEX(avoidedcosttbl2,ROUNDUP($H272,0),CC$2)-(INDEX(avoidedcosttbl2,ROUNDDOWN($H272,0),CC$2)))))*'Inputs Yr 2'!Q272*'Inputs Yr 2'!R272*'Inputs Yr 2'!V272,"")</f>
        <v>0</v>
      </c>
      <c r="CD272" s="195">
        <f>IFERROR(I272*(IF('Inputs Yr 2'!$AJ272=CD$4,'Inputs Yr 2'!$AK272,IF('Inputs Yr 2'!$AL272=CD$4,'Inputs Yr 2'!$AM272,IF('Inputs Yr 2'!$AN272=CD$4,'Inputs Yr 2'!$AO272,0))))*(INDEX(avoidedcosttbl2,$H272,CD$2)+(($H272-ROUNDDOWN($H272,0))*(INDEX(avoidedcosttbl2,ROUNDUP($H272,0),CD$2)-(INDEX(avoidedcosttbl2,ROUNDDOWN($H272,0),CD$2)))))*'Inputs Yr 2'!R272*'Inputs Yr 2'!S272*'Inputs Yr 2'!W272,"")</f>
        <v>0</v>
      </c>
      <c r="CE272" s="213">
        <f t="shared" si="161"/>
        <v>0</v>
      </c>
      <c r="CF272" s="213">
        <f t="shared" si="162"/>
        <v>0</v>
      </c>
      <c r="CG272" s="213">
        <f t="shared" si="163"/>
        <v>0</v>
      </c>
      <c r="CH272" s="698">
        <f t="shared" si="164"/>
        <v>1691539.2796683116</v>
      </c>
      <c r="CI272" s="79">
        <f>IFERROR(($G272*'Inputs Yr 2'!$P272*'Inputs Yr 2'!$Q272*(((INDEX(avoidedcosttbl2,$H272,CI$2)+(($H272-ROUNDDOWN($H272,0))*(INDEX(avoidedcosttbl2,ROUNDUP($H272,0),CI$2)-INDEX(avoidedcosttbl2,ROUNDDOWN($H272,0),CI$2))))*'Inputs Yr 2'!AS272))),"")</f>
        <v>0</v>
      </c>
      <c r="CJ272" s="504">
        <f>IFERROR($G272*'Inputs Yr 2'!AT272*'Inputs Yr 2'!$P272*'Inputs Yr 2'!$Q272/((1+realdiscrt1)^-0.5),"")</f>
        <v>0</v>
      </c>
      <c r="CK272" s="79">
        <f>IFERROR((O272*1000*(((INDEX(avoidedcosttbl2,$H272,CK$2)+(($H272-ROUNDDOWN($H272,0))*(INDEX(avoidedcosttbl2,ROUNDUP($H272,0),CK$2)-INDEX(avoidedcosttbl2,ROUNDDOWN($H272,0),CK$2))))*'Inputs Yr 2'!AU272))),"")</f>
        <v>0</v>
      </c>
      <c r="CL272" s="504">
        <f>IFERROR(O272*1000*'Inputs Yr 2'!AV272/((1+realdiscrt1)^-0.5),"")</f>
        <v>0</v>
      </c>
      <c r="CM272" s="79">
        <f>IFERROR((AB272*'Inputs Yr 2'!AW272*(((INDEX(avoidedcosttbl2,$H272,CM$2)+(($H272-ROUNDDOWN($H272,0))*(INDEX(avoidedcosttbl2,ROUNDUP($H272,0),CM$2)-INDEX(avoidedcosttbl2,ROUNDDOWN($H272,0),CM$2)))))))*10,"")</f>
        <v>2552511.2730486868</v>
      </c>
      <c r="CN272" s="504">
        <f>IFERROR(10*AB272*'Inputs Yr 2'!AX272/((1+realdiscrt1)^-0.5),"")</f>
        <v>0</v>
      </c>
      <c r="CO272" s="505">
        <f t="shared" si="165"/>
        <v>2552511.2730486868</v>
      </c>
      <c r="CP272" s="230">
        <f t="shared" si="166"/>
        <v>4244050.5527169984</v>
      </c>
      <c r="CQ272" s="199">
        <f>ROUND(IFERROR(IF(LEFT($A272,1)="C",'Avoided Costs'!$K$13,'Avoided Costs'!$K$12)+1,""),4)</f>
        <v>1.0720000000000001</v>
      </c>
      <c r="CR272" s="199">
        <f>ROUND(IFERROR(IF(LEFT($A272,1)="C",'Avoided Costs'!$L$13,'Avoided Costs'!$L$12)+1,""),4)</f>
        <v>1.04</v>
      </c>
      <c r="CS272" s="199">
        <f>ROUND(IFERROR(IF(LEFT($A272,1)="C",'Avoided Costs'!$M$13,'Avoided Costs'!$M$12)+1,""),4)</f>
        <v>1.0720000000000001</v>
      </c>
      <c r="CT272" s="199">
        <f>ROUND(IFERROR(IF(LEFT($A272,1)="C",'Avoided Costs'!$N$13,'Avoided Costs'!$N$12)+1,""),4)</f>
        <v>1.04</v>
      </c>
      <c r="CU272" s="199">
        <f>ROUND(IFERROR(IF(LEFT($A272,1)="C",'Avoided Costs'!$O$13,'Avoided Costs'!$O$12)+1,""),4)</f>
        <v>1.1120000000000001</v>
      </c>
      <c r="CV272" s="199">
        <f>ROUND(IFERROR(IF(LEFT($A272,1)="C",'Avoided Costs'!$P$13,'Avoided Costs'!$P$12)+1,""),4)</f>
        <v>1.095</v>
      </c>
      <c r="CW272" s="199">
        <f>ROUND(IFERROR(IF(LEFT($A272,1)="C",'Avoided Costs'!$Q$13,'Avoided Costs'!$Q$12)+1,""),4)</f>
        <v>1.1120000000000001</v>
      </c>
      <c r="CX272" s="200">
        <f>ROUND(IFERROR(IF(LEFT($A272,1)="C",'Avoided Costs'!$R$13,'Avoided Costs'!$R$12)+1,""),4)</f>
        <v>1.1120000000000001</v>
      </c>
    </row>
    <row r="273" spans="1:102" ht="12.75" customHeight="1">
      <c r="A273" s="91" t="str">
        <f>IF('Inputs Yr 2'!$B273=0,"",'Inputs Yr 2'!A273)</f>
        <v>C - Commercial &amp; Industrial</v>
      </c>
      <c r="B273" s="91" t="str">
        <f>IF('Inputs Yr 2'!$B273=0,"",'Inputs Yr 2'!B273)</f>
        <v>C2 - C&amp;I Retrofit</v>
      </c>
      <c r="C273" s="91" t="str">
        <f>IF('Inputs Yr 2'!$B273=0,"",'Inputs Yr 2'!C273)</f>
        <v>C2a - C&amp;I Existing Building Retrofit</v>
      </c>
      <c r="D273" s="91" t="str">
        <f>IF('Inputs Yr 2'!$B273=0,"",'Inputs Yr 2'!E273)</f>
        <v>Steam Trap - Prescriptive</v>
      </c>
      <c r="E273" s="93" t="str">
        <f>IF('Inputs Yr 2'!$B273=0,"",'Inputs Yr 2'!F273)</f>
        <v>G16C2a15</v>
      </c>
      <c r="F273" s="93" t="str">
        <f>IF('Inputs Yr 2'!$B273=0,"",'Inputs Yr 2'!G273)</f>
        <v>Hot Water</v>
      </c>
      <c r="G273" s="95">
        <f>IF('Inputs Yr 2'!$H273&lt;&gt;0,('Inputs Yr 2'!H273),"")</f>
        <v>1226</v>
      </c>
      <c r="H273" s="94">
        <f>IFERROR('Inputs Yr 2'!I273,"")</f>
        <v>6</v>
      </c>
      <c r="I273" s="298">
        <f>IFERROR('Inputs Yr 2'!J273*'Inputs Yr 2'!P273*G273,"")</f>
        <v>742632.33600000013</v>
      </c>
      <c r="J273" s="298">
        <f>IFERROR('Inputs Yr 2'!K273*G273,"")</f>
        <v>168832.46000000002</v>
      </c>
      <c r="K273" s="298">
        <f t="shared" si="143"/>
        <v>573799.87600000016</v>
      </c>
      <c r="L273" s="194">
        <f>IFERROR(('Inputs Yr 2'!W273*G273)/1000,"")</f>
        <v>0</v>
      </c>
      <c r="M273" s="194">
        <f>IFERROR(L273*('Inputs Yr 2'!$Q273*'Inputs Yr 2'!$V273*'Inputs Yr 2'!$R273),"")</f>
        <v>0</v>
      </c>
      <c r="N273" s="194">
        <f t="shared" si="144"/>
        <v>0</v>
      </c>
      <c r="O273" s="194">
        <f>IFERROR(M273*'Inputs Yr 2'!P273,"")</f>
        <v>0</v>
      </c>
      <c r="P273" s="194">
        <f t="shared" si="145"/>
        <v>0</v>
      </c>
      <c r="Q273" s="194">
        <f>IFERROR($P273*'Inputs Yr 2'!AA273,"")</f>
        <v>0</v>
      </c>
      <c r="R273" s="194">
        <f>IFERROR($P273*'Inputs Yr 2'!AB273,"")</f>
        <v>0</v>
      </c>
      <c r="S273" s="194">
        <f>IFERROR($P273*'Inputs Yr 2'!AC273,"")</f>
        <v>0</v>
      </c>
      <c r="T273" s="194">
        <f>IFERROR($P273*'Inputs Yr 2'!AD273,"")</f>
        <v>0</v>
      </c>
      <c r="U273" s="194">
        <f>IFERROR(G273*'Inputs Yr 2'!$AE273*'Inputs Yr 2'!$P273*'Inputs Yr 2'!$Q273,"")</f>
        <v>0</v>
      </c>
      <c r="V273" s="194">
        <f>IFERROR($G273*'Inputs Yr 2'!$AE273*'Inputs Yr 2'!$AG273*'Inputs Yr 2'!Q273*'Inputs Yr 2'!$S273,"")</f>
        <v>0</v>
      </c>
      <c r="W273" s="194">
        <f>IFERROR($G273*'Inputs Yr 2'!$AE273*'Inputs Yr 2'!$AG273*'Inputs Yr 2'!P273*'Inputs Yr 2'!Q273*'Inputs Yr 2'!$S273,"")</f>
        <v>0</v>
      </c>
      <c r="X273" s="194">
        <f>IFERROR($G273*'Inputs Yr 2'!$AE273*'Inputs Yr 2'!$AF273*'Inputs Yr 2'!Q273*'Inputs Yr 2'!$T273,"")</f>
        <v>0</v>
      </c>
      <c r="Y273" s="194">
        <f>IFERROR($G273*'Inputs Yr 2'!$AE273*'Inputs Yr 2'!$AF273*'Inputs Yr 2'!P273*'Inputs Yr 2'!Q273*'Inputs Yr 2'!$T273,"")</f>
        <v>0</v>
      </c>
      <c r="Z273" s="257">
        <f>IFERROR($G273*'Inputs Yr 2'!$Q273*'Inputs Yr 2'!$U273*(IF(IFERROR(SEARCH("NG", 'Inputs Yr 2'!$AJ273),0),'Inputs Yr 2'!$AK273,0)+IF(IFERROR(SEARCH("NG", 'Inputs Yr 2'!$AL273),0),'Inputs Yr 2'!$AM273,0)+IF(IFERROR(SEARCH("NG", 'Inputs Yr 2'!$AN273),0),'Inputs Yr 2'!$AO273,0)),0)</f>
        <v>14957.2</v>
      </c>
      <c r="AA273" s="257">
        <f t="shared" si="146"/>
        <v>89743.200000000012</v>
      </c>
      <c r="AB273" s="257">
        <f>IFERROR(Z273*'Inputs Yr 2'!$P273,0)</f>
        <v>12653.791200000001</v>
      </c>
      <c r="AC273" s="257">
        <f t="shared" si="147"/>
        <v>75922.747200000013</v>
      </c>
      <c r="AD273" s="257">
        <f>IFERROR($G273*'Inputs Yr 2'!$Q273*'Inputs Yr 2'!$U273*(IF(IFERROR(SEARCH("Oil", 'Inputs Yr 2'!$AJ273), 0),'Inputs Yr 2'!$AK273,0)+IF(IFERROR(SEARCH("Oil", 'Inputs Yr 2'!$AL273), 0),'Inputs Yr 2'!$AM273,0)+IF(IFERROR(SEARCH("Oil", 'Inputs Yr 2'!$AN273), 0),'Inputs Yr 2'!$AO273,0)),0)</f>
        <v>0</v>
      </c>
      <c r="AE273" s="257">
        <f t="shared" si="148"/>
        <v>0</v>
      </c>
      <c r="AF273" s="257">
        <f>IFERROR(AD273*'Inputs Yr 2'!$P273,0)</f>
        <v>0</v>
      </c>
      <c r="AG273" s="257">
        <f t="shared" si="149"/>
        <v>0</v>
      </c>
      <c r="AH273" s="257">
        <f>IFERROR($G273*'Inputs Yr 2'!$Q273*'Inputs Yr 2'!$U273*(IF('Inputs Yr 2'!$AJ273=CD$4,'Inputs Yr 2'!$AK273,IF('Inputs Yr 2'!$AL273=CD$4,'Inputs Yr 2'!$AM273,IF('Inputs Yr 2'!$AN273=CD$4,'Inputs Yr 2'!$AO273,0)))),0)</f>
        <v>0</v>
      </c>
      <c r="AI273" s="257">
        <f t="shared" si="150"/>
        <v>0</v>
      </c>
      <c r="AJ273" s="257">
        <f>IFERROR(AH273*'Inputs Yr 2'!$P273,0)</f>
        <v>0</v>
      </c>
      <c r="AK273" s="257">
        <f t="shared" si="151"/>
        <v>0</v>
      </c>
      <c r="AL273" s="258">
        <f>IFERROR($G273*'Inputs Yr 2'!$P273*'Inputs Yr 2'!$Q273*'Inputs Yr 2'!AP273,0)</f>
        <v>0</v>
      </c>
      <c r="AM273" s="260">
        <f>IFERROR($G273*'Inputs Yr 2'!$P273*'Inputs Yr 2'!$Q273*'Inputs Yr 2'!AQ273,0)</f>
        <v>0</v>
      </c>
      <c r="AN273" s="258">
        <f>IFERROR($G273*'Inputs Yr 2'!$P273*'Inputs Yr 2'!$Q273*'Inputs Yr 2'!AR273,0)</f>
        <v>0</v>
      </c>
      <c r="AO273" s="257">
        <f t="shared" si="152"/>
        <v>0</v>
      </c>
      <c r="AP273" s="195">
        <f>IFERROR($CQ273*(INDEX(avoidedcosttbl2,$H273,AP$2)+(($H273-ROUNDDOWN($H273,0))*(INDEX(avoidedcosttbl2,ROUNDUP($H273,0),AP$2)-(INDEX(avoidedcosttbl2,ROUNDDOWN($H273,0),AP$2)))))*$O273*1000*'Inputs Yr 2'!AA273,"")</f>
        <v>0</v>
      </c>
      <c r="AQ273" s="195">
        <f>IFERROR($CR273*(INDEX(avoidedcosttbl2,$H273,AQ$2)+(($H273-ROUNDDOWN($H273,0))*(INDEX(avoidedcosttbl2,ROUNDUP($H273,0),AQ$2)-(INDEX(avoidedcosttbl2,ROUNDDOWN($H273,0),AQ$2)))))*$O273*1000*'Inputs Yr 2'!AB273,"")</f>
        <v>0</v>
      </c>
      <c r="AR273" s="195">
        <f>IFERROR($CS273*(INDEX(avoidedcosttbl2,$H273,AR$2)+(($H273-ROUNDDOWN($H273,0))*(INDEX(avoidedcosttbl2,ROUNDUP($H273,0),AR$2)-(INDEX(avoidedcosttbl2,ROUNDDOWN($H273,0),AR$2)))))*$O273*1000*'Inputs Yr 2'!AC273,"")</f>
        <v>0</v>
      </c>
      <c r="AS273" s="195">
        <f>IFERROR($CT273*(INDEX(avoidedcosttbl2,$H273,AS$2)+(($H273-ROUNDDOWN($H273,0))*(INDEX(avoidedcosttbl2,ROUNDUP($H273,0),AS$2)-(INDEX(avoidedcosttbl2,ROUNDDOWN($H273,0),AS$2)))))*$O273*1000*'Inputs Yr 2'!AD273,"")</f>
        <v>0</v>
      </c>
      <c r="AT273" s="196">
        <f t="shared" si="153"/>
        <v>0</v>
      </c>
      <c r="AU273" s="197">
        <f>IFERROR($CQ273*((INDEX(avoidedcosttbl2,$H273,AU$2))+(($H273-ROUNDDOWN($H273,0))*((INDEX(avoidedcosttbl2,ROUNDUP($H273,0),AU$2))-(INDEX(avoidedcosttbl2,ROUNDDOWN($H273,0),AU$2)))))*$O273*1000*'Inputs Yr 2'!AA273,"")</f>
        <v>0</v>
      </c>
      <c r="AV273" s="197">
        <f>IFERROR($CR273*((INDEX(avoidedcosttbl2,$H273,AV$2))+(($H273-ROUNDDOWN($H273,0))*((INDEX(avoidedcosttbl2,ROUNDUP($H273,0),AV$2))-(INDEX(avoidedcosttbl2,ROUNDDOWN($H273,0),AV$2)))))*$O273*1000*'Inputs Yr 2'!AB273,"")</f>
        <v>0</v>
      </c>
      <c r="AW273" s="197">
        <f>IFERROR($CS273*((INDEX(avoidedcosttbl2,$H273,AW$2))+(($H273-ROUNDDOWN($H273,0))*((INDEX(avoidedcosttbl2,ROUNDUP($H273,0),AW$2))-(INDEX(avoidedcosttbl2,ROUNDDOWN($H273,0),AW$2)))))*$O273*1000*'Inputs Yr 2'!AC273,"")</f>
        <v>0</v>
      </c>
      <c r="AX273" s="197">
        <f>IFERROR($CT273*((INDEX(avoidedcosttbl2,$H273,AX$2))+(($H273-ROUNDDOWN($H273,0))*((INDEX(avoidedcosttbl2,ROUNDUP($H273,0),AX$2))-(INDEX(avoidedcosttbl2,ROUNDDOWN($H273,0),AX$2)))))*$O273*1000*'Inputs Yr 2'!AD273,"")</f>
        <v>0</v>
      </c>
      <c r="AY273" s="197">
        <f>IFERROR(((INDEX(avoidedcosttbl2,$H273,AY$2))+(($H273-ROUNDDOWN($H273,0))*((INDEX(avoidedcosttbl2,ROUNDUP($H273,0),AY$2))-(INDEX(avoidedcosttbl2,ROUNDDOWN($H273,0),AY$2)))))*$O273*1000*('Inputs Yr 2'!AC273+'Inputs Yr 2'!AD273),"")</f>
        <v>0</v>
      </c>
      <c r="AZ273" s="197">
        <f>IFERROR(((INDEX(avoidedcosttbl2,$H273,AZ$2))+(($H273-ROUNDDOWN($H273,0))*((INDEX(avoidedcosttbl2,ROUNDUP($H273,0),AZ$2))-(INDEX(avoidedcosttbl2,ROUNDDOWN($H273,0),AZ$2)))))*$O273*1000*('Inputs Yr 2'!AA273+'Inputs Yr 2'!AB273),"")</f>
        <v>0</v>
      </c>
      <c r="BA273" s="198">
        <f t="shared" si="154"/>
        <v>0</v>
      </c>
      <c r="BB273" s="198">
        <f t="shared" si="155"/>
        <v>0</v>
      </c>
      <c r="BC273" s="195">
        <f t="shared" si="137"/>
        <v>0</v>
      </c>
      <c r="BD273" s="195">
        <f t="shared" si="138"/>
        <v>0</v>
      </c>
      <c r="BE273" s="195">
        <f t="shared" si="139"/>
        <v>0</v>
      </c>
      <c r="BF273" s="195">
        <f t="shared" si="140"/>
        <v>0</v>
      </c>
      <c r="BG273" s="195">
        <f t="shared" si="141"/>
        <v>0</v>
      </c>
      <c r="BH273" s="196">
        <f t="shared" si="156"/>
        <v>0</v>
      </c>
      <c r="BI273" s="196">
        <f t="shared" si="157"/>
        <v>0</v>
      </c>
      <c r="BJ273" s="195">
        <f>IFERROR($G273*(IF('Inputs Yr 2'!$AJ273=BJ$4,'Inputs Yr 2'!$AK273,IF('Inputs Yr 2'!$AL273=BJ$4,'Inputs Yr 2'!$AM273,IF('Inputs Yr 2'!$AN273=BJ$4,'Inputs Yr 2'!$AO273,0))))*(INDEX(avoidedcosttbl2,$H273,BJ$2)+(($H273-ROUNDDOWN($H273,0))*(INDEX(avoidedcosttbl2,ROUNDUP($H273,0),BJ$2)-(INDEX(avoidedcosttbl2,ROUNDDOWN($H273,0),BJ$2)))))*'Inputs Yr 2'!P273*'Inputs Yr 2'!Q273*'Inputs Yr 2'!U273,"")</f>
        <v>0</v>
      </c>
      <c r="BK273" s="195">
        <f>IFERROR($G273*(IF('Inputs Yr 2'!$AJ273=BK$4,'Inputs Yr 2'!$AK273,IF('Inputs Yr 2'!$AL273=BK$4,'Inputs Yr 2'!$AM273,IF('Inputs Yr 2'!$AN273=BK$4,'Inputs Yr 2'!$AO273,0))))*(INDEX(avoidedcosttbl2,$H273,BK$2)+(($H273-ROUNDDOWN($H273,0))*(INDEX(avoidedcosttbl2,ROUNDUP($H273,0),BK$2)-(INDEX(avoidedcosttbl2,ROUNDDOWN($H273,0),BK$2)))))*'Inputs Yr 2'!P273*'Inputs Yr 2'!Q273*'Inputs Yr 2'!U273,"")</f>
        <v>0</v>
      </c>
      <c r="BL273" s="195">
        <f>IFERROR($G273*(IF('Inputs Yr 2'!$AJ273=BL$4,'Inputs Yr 2'!$AK273,IF('Inputs Yr 2'!$AL273=BL$4,'Inputs Yr 2'!$AM273,IF('Inputs Yr 2'!$AN273=BL$4,'Inputs Yr 2'!$AO273,0))))*(INDEX(avoidedcosttbl2,$H273,BL$2)+(($H273-ROUNDDOWN($H273,0))*(INDEX(avoidedcosttbl2,ROUNDUP($H273,0),BL$2)-(INDEX(avoidedcosttbl2,ROUNDDOWN($H273,0),BL$2)))))*'Inputs Yr 2'!P273*'Inputs Yr 2'!Q273*'Inputs Yr 2'!U273,"")</f>
        <v>0</v>
      </c>
      <c r="BM273" s="195">
        <f>IFERROR($G273*(IF('Inputs Yr 2'!$AJ273=BM$4,'Inputs Yr 2'!$AK273,IF('Inputs Yr 2'!$AL273=BM$4,'Inputs Yr 2'!$AM273,IF('Inputs Yr 2'!$AN273=BM$4,'Inputs Yr 2'!$AO273,0))))*(INDEX(avoidedcosttbl2,$H273,BM$2)+(($H273-ROUNDDOWN($H273,0))*(INDEX(avoidedcosttbl2,ROUNDUP($H273,0),BM$2)-(INDEX(avoidedcosttbl2,ROUNDDOWN($H273,0),BM$2)))))*'Inputs Yr 2'!P273*'Inputs Yr 2'!Q273*'Inputs Yr 2'!U273,"")</f>
        <v>0</v>
      </c>
      <c r="BN273" s="195">
        <f>IFERROR($G273*(IF('Inputs Yr 2'!$AJ273=BN$4,'Inputs Yr 2'!$AK273,IF('Inputs Yr 2'!$AL273=BN$4,'Inputs Yr 2'!$AM273,IF('Inputs Yr 2'!$AN273=BN$4,'Inputs Yr 2'!$AO273,0))))*(INDEX(avoidedcosttbl2,$H273,BN$2)+(($H273-ROUNDDOWN($H273,0))*(INDEX(avoidedcosttbl2,ROUNDUP($H273,0),BN$2)-(INDEX(avoidedcosttbl2,ROUNDDOWN($H273,0),BN$2)))))*'Inputs Yr 2'!P273*'Inputs Yr 2'!Q273*'Inputs Yr 2'!U273,"")</f>
        <v>0</v>
      </c>
      <c r="BO273" s="195">
        <f>IFERROR($G273*(IF('Inputs Yr 2'!$AJ273=BO$4,'Inputs Yr 2'!$AK273,IF('Inputs Yr 2'!$AL273=BO$4,'Inputs Yr 2'!$AM273,IF('Inputs Yr 2'!$AN273=BO$4,'Inputs Yr 2'!$AO273,0))))*(INDEX(avoidedcosttbl2,$H273,BO$2)+(($H273-ROUNDDOWN($H273,0))*(INDEX(avoidedcosttbl2,ROUNDUP($H273,0),BO$2)-(INDEX(avoidedcosttbl2,ROUNDDOWN($H273,0),BO$2)))))*'Inputs Yr 2'!P273*'Inputs Yr 2'!Q273*'Inputs Yr 2'!U273,"")</f>
        <v>568292.93341043778</v>
      </c>
      <c r="BP273" s="195">
        <f>IFERROR($G273*(IF('Inputs Yr 2'!$AJ273=BP$4,'Inputs Yr 2'!$AK273,IF('Inputs Yr 2'!$AL273=BP$4,'Inputs Yr 2'!$AM273,IF('Inputs Yr 2'!$AN273=BP$4,'Inputs Yr 2'!$AO273,0))))*(INDEX(avoidedcosttbl2,$H273,BP$2)+(($H273-ROUNDDOWN($H273,0))*(INDEX(avoidedcosttbl2,ROUNDUP($H273,0),BP$2)-(INDEX(avoidedcosttbl2,ROUNDDOWN($H273,0),BP$2)))))*'Inputs Yr 2'!P273*'Inputs Yr 2'!Q273*'Inputs Yr 2'!U273,"")</f>
        <v>0</v>
      </c>
      <c r="BQ273" s="230">
        <f t="shared" si="158"/>
        <v>568292.93341043778</v>
      </c>
      <c r="BR273" s="197">
        <f t="shared" si="142"/>
        <v>10494.451566104994</v>
      </c>
      <c r="BS273" s="197">
        <f>IFERROR(($G273*IF('Inputs Yr 2'!$AJ273=BM$4,'Inputs Yr 2'!$AK273,IF('Inputs Yr 2'!$AL273=BM$4,'Inputs Yr 2'!$AM273,IF('Inputs Yr 2'!$AN273=BM$4,'Inputs Yr 2'!$AO273,0))))*(INDEX(avoidedcosttbl2,$H273,BS$2)+(($H273-ROUNDDOWN($H273,0))*(INDEX(avoidedcosttbl2,ROUNDUP($H273,0),BS$2)-(INDEX(avoidedcosttbl2,ROUNDDOWN($H273,0),BS$2)))))*'Inputs Yr 2'!P273*'Inputs Yr 2'!Q273*'Inputs Yr 2'!U273,"")</f>
        <v>0</v>
      </c>
      <c r="BT273" s="197">
        <f>IFERROR(($G273*IF('Inputs Yr 2'!$AJ273=BK$4,'Inputs Yr 2'!$AK273,IF('Inputs Yr 2'!$AL273=BK$4,'Inputs Yr 2'!$AM273,IF('Inputs Yr 2'!$AN273=BK$4,'Inputs Yr 2'!$AO273,0))))*(INDEX(avoidedcosttbl2,$H273,BT$2)+(($H273-ROUNDDOWN($H273,0))*(INDEX(avoidedcosttbl2,ROUNDUP($H273,0),BT$2)-(INDEX(avoidedcosttbl2,ROUNDDOWN($H273,0),BT$2)))))*'Inputs Yr 2'!P273*'Inputs Yr 2'!Q273*'Inputs Yr 2'!U273,"")</f>
        <v>0</v>
      </c>
      <c r="BU273" s="197">
        <f>IFERROR(($G273*IF('Inputs Yr 2'!$AJ273=BL$4,'Inputs Yr 2'!$AK273,IF('Inputs Yr 2'!$AL273=BL$4,'Inputs Yr 2'!$AM273,IF('Inputs Yr 2'!$AN273=BL$4,'Inputs Yr 2'!$AO273,0))))*(INDEX(avoidedcosttbl2,$H273,BU$2)+(($H273-ROUNDDOWN($H273,0))*(INDEX(avoidedcosttbl2,ROUNDUP($H273,0),BU$2)-(INDEX(avoidedcosttbl2,ROUNDDOWN($H273,0),BU$2)))))*'Inputs Yr 2'!P273*'Inputs Yr 2'!Q273*'Inputs Yr 2'!U273,"")</f>
        <v>0</v>
      </c>
      <c r="BV273" s="775">
        <f>IFERROR(($G273*IF('Inputs Yr 2'!$AJ273=BJ$4,'Inputs Yr 2'!$AK273,IF('Inputs Yr 2'!$AL273=BJ$4,'Inputs Yr 2'!$AM273,IF('Inputs Yr 2'!$AN273=BJ$4,'Inputs Yr 2'!$AO273,0))))*(INDEX(avoidedcosttbl2,$H273,BV$2)+(($H273-ROUNDDOWN($H273,0))*(INDEX(avoidedcosttbl2,ROUNDUP($H273,0),BV$2)-(INDEX(avoidedcosttbl2,ROUNDDOWN($H273,0),BV$2)))))*'Inputs Yr 2'!P273*'Inputs Yr 2'!Q273*'Inputs Yr 2'!U273,"")</f>
        <v>0</v>
      </c>
      <c r="BW273" s="197">
        <f>IFERROR(($G273*IF('Inputs Yr 2'!$AJ273=BN$4,'Inputs Yr 2'!$AK273,IF('Inputs Yr 2'!$AL273=BN$4,'Inputs Yr 2'!$AM273,IF('Inputs Yr 2'!$AN273=BN$4,'Inputs Yr 2'!$AO273,0))))*(INDEX(avoidedcosttbl2,$H273,BW$2)+(($H273-ROUNDDOWN($H273,0))*(INDEX(avoidedcosttbl2,ROUNDUP($H273,0),BW$2)-(INDEX(avoidedcosttbl2,ROUNDDOWN($H273,0),BW$2)))))*'Inputs Yr 2'!P273*'Inputs Yr 2'!Q273*'Inputs Yr 2'!U273,"")</f>
        <v>0</v>
      </c>
      <c r="BX273" s="197">
        <f>IFERROR(($G273*IF('Inputs Yr 2'!$AJ273=BO$4,'Inputs Yr 2'!$AK273,IF('Inputs Yr 2'!$AL273=BO$4,'Inputs Yr 2'!$AM273,IF('Inputs Yr 2'!$AN273=BO$4,'Inputs Yr 2'!$AO273,0))))*(INDEX(avoidedcosttbl2,$H273,BX$2)+(($H273-ROUNDDOWN($H273,0))*(INDEX(avoidedcosttbl2,ROUNDUP($H273,0),BX$2)-(INDEX(avoidedcosttbl2,ROUNDDOWN($H273,0),BX$2)))))*'Inputs Yr 2'!P273*'Inputs Yr 2'!Q273*'Inputs Yr 2'!U273,"")</f>
        <v>91578.950500149687</v>
      </c>
      <c r="BY273" s="197">
        <f>IFERROR(($G273*IF('Inputs Yr 2'!$AJ273=BP$4,'Inputs Yr 2'!$AK273,IF('Inputs Yr 2'!$AL273=BP$4,'Inputs Yr 2'!$AM273,IF('Inputs Yr 2'!$AN273=BP$4,'Inputs Yr 2'!$AO273,0))))*(INDEX(avoidedcosttbl2,$H273,BY$2)+(($H273-ROUNDDOWN($H273,0))*(INDEX(avoidedcosttbl2,ROUNDUP($H273,0),BY$2)-(INDEX(avoidedcosttbl2,ROUNDDOWN($H273,0),BY$2)))))*'Inputs Yr 2'!P273*'Inputs Yr 2'!Q273*'Inputs Yr 2'!U273,"")</f>
        <v>0</v>
      </c>
      <c r="BZ273" s="193">
        <f t="shared" si="159"/>
        <v>102073.40206625468</v>
      </c>
      <c r="CA273" s="193">
        <f t="shared" si="160"/>
        <v>670366.33547669242</v>
      </c>
      <c r="CB273" s="195">
        <f>IFERROR(G273*(IF('Inputs Yr 2'!$AJ273=CB$4,'Inputs Yr 2'!$AK273,IF('Inputs Yr 2'!$AL273=CB$4,'Inputs Yr 2'!$AM273,IF('Inputs Yr 2'!$AN273=CB$4,'Inputs Yr 2'!$AO273,0))))*(INDEX(avoidedcosttbl2,$H273,CB$2)+(($H273-ROUNDDOWN($H273,0))*(INDEX(avoidedcosttbl2,ROUNDUP($H273,0),CB$2)-(INDEX(avoidedcosttbl2,ROUNDDOWN($H273,0),CB$2)))))*'Inputs Yr 2'!P273*'Inputs Yr 2'!Q273*'Inputs Yr 2'!U273,"")</f>
        <v>0</v>
      </c>
      <c r="CC273" s="195">
        <f>IFERROR(H273*(IF('Inputs Yr 2'!$AJ273=CC$4,'Inputs Yr 2'!$AK273,IF('Inputs Yr 2'!$AL273=CC$4,'Inputs Yr 2'!$AM273,IF('Inputs Yr 2'!$AN273=CC$4,'Inputs Yr 2'!$AO273,0))))*(INDEX(avoidedcosttbl2,$H273,CC$2)+(($H273-ROUNDDOWN($H273,0))*(INDEX(avoidedcosttbl2,ROUNDUP($H273,0),CC$2)-(INDEX(avoidedcosttbl2,ROUNDDOWN($H273,0),CC$2)))))*'Inputs Yr 2'!Q273*'Inputs Yr 2'!R273*'Inputs Yr 2'!V273,"")</f>
        <v>0</v>
      </c>
      <c r="CD273" s="195">
        <f>IFERROR(I273*(IF('Inputs Yr 2'!$AJ273=CD$4,'Inputs Yr 2'!$AK273,IF('Inputs Yr 2'!$AL273=CD$4,'Inputs Yr 2'!$AM273,IF('Inputs Yr 2'!$AN273=CD$4,'Inputs Yr 2'!$AO273,0))))*(INDEX(avoidedcosttbl2,$H273,CD$2)+(($H273-ROUNDDOWN($H273,0))*(INDEX(avoidedcosttbl2,ROUNDUP($H273,0),CD$2)-(INDEX(avoidedcosttbl2,ROUNDDOWN($H273,0),CD$2)))))*'Inputs Yr 2'!R273*'Inputs Yr 2'!S273*'Inputs Yr 2'!W273,"")</f>
        <v>0</v>
      </c>
      <c r="CE273" s="213">
        <f t="shared" si="161"/>
        <v>0</v>
      </c>
      <c r="CF273" s="213">
        <f t="shared" si="162"/>
        <v>0</v>
      </c>
      <c r="CG273" s="213">
        <f t="shared" si="163"/>
        <v>0</v>
      </c>
      <c r="CH273" s="698">
        <f t="shared" si="164"/>
        <v>670366.33547669242</v>
      </c>
      <c r="CI273" s="79">
        <f>IFERROR(($G273*'Inputs Yr 2'!$P273*'Inputs Yr 2'!$Q273*(((INDEX(avoidedcosttbl2,$H273,CI$2)+(($H273-ROUNDDOWN($H273,0))*(INDEX(avoidedcosttbl2,ROUNDUP($H273,0),CI$2)-INDEX(avoidedcosttbl2,ROUNDDOWN($H273,0),CI$2))))*'Inputs Yr 2'!AS273))),"")</f>
        <v>0</v>
      </c>
      <c r="CJ273" s="504">
        <f>IFERROR($G273*'Inputs Yr 2'!AT273*'Inputs Yr 2'!$P273*'Inputs Yr 2'!$Q273/((1+realdiscrt1)^-0.5),"")</f>
        <v>0</v>
      </c>
      <c r="CK273" s="79">
        <f>IFERROR((O273*1000*(((INDEX(avoidedcosttbl2,$H273,CK$2)+(($H273-ROUNDDOWN($H273,0))*(INDEX(avoidedcosttbl2,ROUNDUP($H273,0),CK$2)-INDEX(avoidedcosttbl2,ROUNDDOWN($H273,0),CK$2))))*'Inputs Yr 2'!AU273))),"")</f>
        <v>0</v>
      </c>
      <c r="CL273" s="504">
        <f>IFERROR(O273*1000*'Inputs Yr 2'!AV273/((1+realdiscrt1)^-0.5),"")</f>
        <v>0</v>
      </c>
      <c r="CM273" s="79">
        <f>IFERROR((AB273*'Inputs Yr 2'!AW273*(((INDEX(avoidedcosttbl2,$H273,CM$2)+(($H273-ROUNDDOWN($H273,0))*(INDEX(avoidedcosttbl2,ROUNDUP($H273,0),CM$2)-INDEX(avoidedcosttbl2,ROUNDDOWN($H273,0),CM$2)))))))*10,"")</f>
        <v>1011574.279677456</v>
      </c>
      <c r="CN273" s="504">
        <f>IFERROR(10*AB273*'Inputs Yr 2'!AX273/((1+realdiscrt1)^-0.5),"")</f>
        <v>0</v>
      </c>
      <c r="CO273" s="505">
        <f t="shared" si="165"/>
        <v>1011574.279677456</v>
      </c>
      <c r="CP273" s="230">
        <f t="shared" si="166"/>
        <v>1681940.6151541485</v>
      </c>
      <c r="CQ273" s="199">
        <f>ROUND(IFERROR(IF(LEFT($A273,1)="C",'Avoided Costs'!$K$13,'Avoided Costs'!$K$12)+1,""),4)</f>
        <v>1.0720000000000001</v>
      </c>
      <c r="CR273" s="199">
        <f>ROUND(IFERROR(IF(LEFT($A273,1)="C",'Avoided Costs'!$L$13,'Avoided Costs'!$L$12)+1,""),4)</f>
        <v>1.04</v>
      </c>
      <c r="CS273" s="199">
        <f>ROUND(IFERROR(IF(LEFT($A273,1)="C",'Avoided Costs'!$M$13,'Avoided Costs'!$M$12)+1,""),4)</f>
        <v>1.0720000000000001</v>
      </c>
      <c r="CT273" s="199">
        <f>ROUND(IFERROR(IF(LEFT($A273,1)="C",'Avoided Costs'!$N$13,'Avoided Costs'!$N$12)+1,""),4)</f>
        <v>1.04</v>
      </c>
      <c r="CU273" s="199">
        <f>ROUND(IFERROR(IF(LEFT($A273,1)="C",'Avoided Costs'!$O$13,'Avoided Costs'!$O$12)+1,""),4)</f>
        <v>1.1120000000000001</v>
      </c>
      <c r="CV273" s="199">
        <f>ROUND(IFERROR(IF(LEFT($A273,1)="C",'Avoided Costs'!$P$13,'Avoided Costs'!$P$12)+1,""),4)</f>
        <v>1.095</v>
      </c>
      <c r="CW273" s="199">
        <f>ROUND(IFERROR(IF(LEFT($A273,1)="C",'Avoided Costs'!$Q$13,'Avoided Costs'!$Q$12)+1,""),4)</f>
        <v>1.1120000000000001</v>
      </c>
      <c r="CX273" s="200">
        <f>ROUND(IFERROR(IF(LEFT($A273,1)="C",'Avoided Costs'!$R$13,'Avoided Costs'!$R$12)+1,""),4)</f>
        <v>1.1120000000000001</v>
      </c>
    </row>
    <row r="274" spans="1:102" ht="12.75" customHeight="1">
      <c r="A274" s="91" t="str">
        <f>IF('Inputs Yr 2'!$B274=0,"",'Inputs Yr 2'!A274)</f>
        <v>C - Commercial &amp; Industrial</v>
      </c>
      <c r="B274" s="91" t="str">
        <f>IF('Inputs Yr 2'!$B274=0,"",'Inputs Yr 2'!B274)</f>
        <v>C2 - C&amp;I Retrofit</v>
      </c>
      <c r="C274" s="91" t="str">
        <f>IF('Inputs Yr 2'!$B274=0,"",'Inputs Yr 2'!C274)</f>
        <v>C2a - C&amp;I Existing Building Retrofit</v>
      </c>
      <c r="D274" s="91" t="str">
        <f>IF('Inputs Yr 2'!$B274=0,"",'Inputs Yr 2'!E274)</f>
        <v>Ventilation - Custom</v>
      </c>
      <c r="E274" s="93" t="str">
        <f>IF('Inputs Yr 2'!$B274=0,"",'Inputs Yr 2'!F274)</f>
        <v>G16C2a16</v>
      </c>
      <c r="F274" s="93" t="str">
        <f>IF('Inputs Yr 2'!$B274=0,"",'Inputs Yr 2'!G274)</f>
        <v>HVAC</v>
      </c>
      <c r="G274" s="95" t="str">
        <f>IF('Inputs Yr 2'!$H274&lt;&gt;0,('Inputs Yr 2'!H274),"")</f>
        <v/>
      </c>
      <c r="H274" s="94">
        <f>IFERROR('Inputs Yr 2'!I274,"")</f>
        <v>0</v>
      </c>
      <c r="I274" s="298" t="str">
        <f>IFERROR('Inputs Yr 2'!J274*'Inputs Yr 2'!P274*G274,"")</f>
        <v/>
      </c>
      <c r="J274" s="298" t="str">
        <f>IFERROR('Inputs Yr 2'!K274*G274,"")</f>
        <v/>
      </c>
      <c r="K274" s="298" t="str">
        <f t="shared" si="143"/>
        <v/>
      </c>
      <c r="L274" s="194" t="str">
        <f>IFERROR(('Inputs Yr 2'!W274*G274)/1000,"")</f>
        <v/>
      </c>
      <c r="M274" s="194" t="str">
        <f>IFERROR(L274*('Inputs Yr 2'!$Q274*'Inputs Yr 2'!$V274*'Inputs Yr 2'!$R274),"")</f>
        <v/>
      </c>
      <c r="N274" s="194" t="str">
        <f t="shared" si="144"/>
        <v/>
      </c>
      <c r="O274" s="194" t="str">
        <f>IFERROR(M274*'Inputs Yr 2'!P274,"")</f>
        <v/>
      </c>
      <c r="P274" s="194" t="str">
        <f t="shared" si="145"/>
        <v/>
      </c>
      <c r="Q274" s="194" t="str">
        <f>IFERROR($P274*'Inputs Yr 2'!AA274,"")</f>
        <v/>
      </c>
      <c r="R274" s="194" t="str">
        <f>IFERROR($P274*'Inputs Yr 2'!AB274,"")</f>
        <v/>
      </c>
      <c r="S274" s="194" t="str">
        <f>IFERROR($P274*'Inputs Yr 2'!AC274,"")</f>
        <v/>
      </c>
      <c r="T274" s="194" t="str">
        <f>IFERROR($P274*'Inputs Yr 2'!AD274,"")</f>
        <v/>
      </c>
      <c r="U274" s="194" t="str">
        <f>IFERROR(G274*'Inputs Yr 2'!$AE274*'Inputs Yr 2'!$P274*'Inputs Yr 2'!$Q274,"")</f>
        <v/>
      </c>
      <c r="V274" s="194" t="str">
        <f>IFERROR($G274*'Inputs Yr 2'!$AE274*'Inputs Yr 2'!$AG274*'Inputs Yr 2'!Q274*'Inputs Yr 2'!$S274,"")</f>
        <v/>
      </c>
      <c r="W274" s="194" t="str">
        <f>IFERROR($G274*'Inputs Yr 2'!$AE274*'Inputs Yr 2'!$AG274*'Inputs Yr 2'!P274*'Inputs Yr 2'!Q274*'Inputs Yr 2'!$S274,"")</f>
        <v/>
      </c>
      <c r="X274" s="194" t="str">
        <f>IFERROR($G274*'Inputs Yr 2'!$AE274*'Inputs Yr 2'!$AF274*'Inputs Yr 2'!Q274*'Inputs Yr 2'!$T274,"")</f>
        <v/>
      </c>
      <c r="Y274" s="194" t="str">
        <f>IFERROR($G274*'Inputs Yr 2'!$AE274*'Inputs Yr 2'!$AF274*'Inputs Yr 2'!P274*'Inputs Yr 2'!Q274*'Inputs Yr 2'!$T274,"")</f>
        <v/>
      </c>
      <c r="Z274" s="257">
        <f>IFERROR($G274*'Inputs Yr 2'!$Q274*'Inputs Yr 2'!$U274*(IF(IFERROR(SEARCH("NG", 'Inputs Yr 2'!$AJ274),0),'Inputs Yr 2'!$AK274,0)+IF(IFERROR(SEARCH("NG", 'Inputs Yr 2'!$AL274),0),'Inputs Yr 2'!$AM274,0)+IF(IFERROR(SEARCH("NG", 'Inputs Yr 2'!$AN274),0),'Inputs Yr 2'!$AO274,0)),0)</f>
        <v>0</v>
      </c>
      <c r="AA274" s="257">
        <f t="shared" si="146"/>
        <v>0</v>
      </c>
      <c r="AB274" s="257">
        <f>IFERROR(Z274*'Inputs Yr 2'!$P274,0)</f>
        <v>0</v>
      </c>
      <c r="AC274" s="257">
        <f t="shared" si="147"/>
        <v>0</v>
      </c>
      <c r="AD274" s="257">
        <f>IFERROR($G274*'Inputs Yr 2'!$Q274*'Inputs Yr 2'!$U274*(IF(IFERROR(SEARCH("Oil", 'Inputs Yr 2'!$AJ274), 0),'Inputs Yr 2'!$AK274,0)+IF(IFERROR(SEARCH("Oil", 'Inputs Yr 2'!$AL274), 0),'Inputs Yr 2'!$AM274,0)+IF(IFERROR(SEARCH("Oil", 'Inputs Yr 2'!$AN274), 0),'Inputs Yr 2'!$AO274,0)),0)</f>
        <v>0</v>
      </c>
      <c r="AE274" s="257">
        <f t="shared" si="148"/>
        <v>0</v>
      </c>
      <c r="AF274" s="257">
        <f>IFERROR(AD274*'Inputs Yr 2'!$P274,0)</f>
        <v>0</v>
      </c>
      <c r="AG274" s="257">
        <f t="shared" si="149"/>
        <v>0</v>
      </c>
      <c r="AH274" s="257">
        <f>IFERROR($G274*'Inputs Yr 2'!$Q274*'Inputs Yr 2'!$U274*(IF('Inputs Yr 2'!$AJ274=CD$4,'Inputs Yr 2'!$AK274,IF('Inputs Yr 2'!$AL274=CD$4,'Inputs Yr 2'!$AM274,IF('Inputs Yr 2'!$AN274=CD$4,'Inputs Yr 2'!$AO274,0)))),0)</f>
        <v>0</v>
      </c>
      <c r="AI274" s="257">
        <f t="shared" si="150"/>
        <v>0</v>
      </c>
      <c r="AJ274" s="257">
        <f>IFERROR(AH274*'Inputs Yr 2'!$P274,0)</f>
        <v>0</v>
      </c>
      <c r="AK274" s="257">
        <f t="shared" si="151"/>
        <v>0</v>
      </c>
      <c r="AL274" s="258">
        <f>IFERROR($G274*'Inputs Yr 2'!$P274*'Inputs Yr 2'!$Q274*'Inputs Yr 2'!AP274,0)</f>
        <v>0</v>
      </c>
      <c r="AM274" s="260">
        <f>IFERROR($G274*'Inputs Yr 2'!$P274*'Inputs Yr 2'!$Q274*'Inputs Yr 2'!AQ274,0)</f>
        <v>0</v>
      </c>
      <c r="AN274" s="258">
        <f>IFERROR($G274*'Inputs Yr 2'!$P274*'Inputs Yr 2'!$Q274*'Inputs Yr 2'!AR274,0)</f>
        <v>0</v>
      </c>
      <c r="AO274" s="257">
        <f t="shared" si="152"/>
        <v>0</v>
      </c>
      <c r="AP274" s="195" t="str">
        <f>IFERROR($CQ274*(INDEX(avoidedcosttbl2,$H274,AP$2)+(($H274-ROUNDDOWN($H274,0))*(INDEX(avoidedcosttbl2,ROUNDUP($H274,0),AP$2)-(INDEX(avoidedcosttbl2,ROUNDDOWN($H274,0),AP$2)))))*$O274*1000*'Inputs Yr 2'!AA274,"")</f>
        <v/>
      </c>
      <c r="AQ274" s="195" t="str">
        <f>IFERROR($CR274*(INDEX(avoidedcosttbl2,$H274,AQ$2)+(($H274-ROUNDDOWN($H274,0))*(INDEX(avoidedcosttbl2,ROUNDUP($H274,0),AQ$2)-(INDEX(avoidedcosttbl2,ROUNDDOWN($H274,0),AQ$2)))))*$O274*1000*'Inputs Yr 2'!AB274,"")</f>
        <v/>
      </c>
      <c r="AR274" s="195" t="str">
        <f>IFERROR($CS274*(INDEX(avoidedcosttbl2,$H274,AR$2)+(($H274-ROUNDDOWN($H274,0))*(INDEX(avoidedcosttbl2,ROUNDUP($H274,0),AR$2)-(INDEX(avoidedcosttbl2,ROUNDDOWN($H274,0),AR$2)))))*$O274*1000*'Inputs Yr 2'!AC274,"")</f>
        <v/>
      </c>
      <c r="AS274" s="195" t="str">
        <f>IFERROR($CT274*(INDEX(avoidedcosttbl2,$H274,AS$2)+(($H274-ROUNDDOWN($H274,0))*(INDEX(avoidedcosttbl2,ROUNDUP($H274,0),AS$2)-(INDEX(avoidedcosttbl2,ROUNDDOWN($H274,0),AS$2)))))*$O274*1000*'Inputs Yr 2'!AD274,"")</f>
        <v/>
      </c>
      <c r="AT274" s="196">
        <f t="shared" si="153"/>
        <v>0</v>
      </c>
      <c r="AU274" s="197" t="str">
        <f>IFERROR($CQ274*((INDEX(avoidedcosttbl2,$H274,AU$2))+(($H274-ROUNDDOWN($H274,0))*((INDEX(avoidedcosttbl2,ROUNDUP($H274,0),AU$2))-(INDEX(avoidedcosttbl2,ROUNDDOWN($H274,0),AU$2)))))*$O274*1000*'Inputs Yr 2'!AA274,"")</f>
        <v/>
      </c>
      <c r="AV274" s="197" t="str">
        <f>IFERROR($CR274*((INDEX(avoidedcosttbl2,$H274,AV$2))+(($H274-ROUNDDOWN($H274,0))*((INDEX(avoidedcosttbl2,ROUNDUP($H274,0),AV$2))-(INDEX(avoidedcosttbl2,ROUNDDOWN($H274,0),AV$2)))))*$O274*1000*'Inputs Yr 2'!AB274,"")</f>
        <v/>
      </c>
      <c r="AW274" s="197" t="str">
        <f>IFERROR($CS274*((INDEX(avoidedcosttbl2,$H274,AW$2))+(($H274-ROUNDDOWN($H274,0))*((INDEX(avoidedcosttbl2,ROUNDUP($H274,0),AW$2))-(INDEX(avoidedcosttbl2,ROUNDDOWN($H274,0),AW$2)))))*$O274*1000*'Inputs Yr 2'!AC274,"")</f>
        <v/>
      </c>
      <c r="AX274" s="197" t="str">
        <f>IFERROR($CT274*((INDEX(avoidedcosttbl2,$H274,AX$2))+(($H274-ROUNDDOWN($H274,0))*((INDEX(avoidedcosttbl2,ROUNDUP($H274,0),AX$2))-(INDEX(avoidedcosttbl2,ROUNDDOWN($H274,0),AX$2)))))*$O274*1000*'Inputs Yr 2'!AD274,"")</f>
        <v/>
      </c>
      <c r="AY274" s="197" t="str">
        <f>IFERROR(((INDEX(avoidedcosttbl2,$H274,AY$2))+(($H274-ROUNDDOWN($H274,0))*((INDEX(avoidedcosttbl2,ROUNDUP($H274,0),AY$2))-(INDEX(avoidedcosttbl2,ROUNDDOWN($H274,0),AY$2)))))*$O274*1000*('Inputs Yr 2'!AC274+'Inputs Yr 2'!AD274),"")</f>
        <v/>
      </c>
      <c r="AZ274" s="197" t="str">
        <f>IFERROR(((INDEX(avoidedcosttbl2,$H274,AZ$2))+(($H274-ROUNDDOWN($H274,0))*((INDEX(avoidedcosttbl2,ROUNDUP($H274,0),AZ$2))-(INDEX(avoidedcosttbl2,ROUNDDOWN($H274,0),AZ$2)))))*$O274*1000*('Inputs Yr 2'!AA274+'Inputs Yr 2'!AB274),"")</f>
        <v/>
      </c>
      <c r="BA274" s="198">
        <f t="shared" si="154"/>
        <v>0</v>
      </c>
      <c r="BB274" s="198">
        <f t="shared" si="155"/>
        <v>0</v>
      </c>
      <c r="BC274" s="195" t="str">
        <f t="shared" si="137"/>
        <v/>
      </c>
      <c r="BD274" s="195" t="str">
        <f t="shared" si="138"/>
        <v/>
      </c>
      <c r="BE274" s="195" t="str">
        <f t="shared" si="139"/>
        <v/>
      </c>
      <c r="BF274" s="195" t="str">
        <f t="shared" si="140"/>
        <v/>
      </c>
      <c r="BG274" s="195" t="str">
        <f t="shared" si="141"/>
        <v/>
      </c>
      <c r="BH274" s="196">
        <f t="shared" si="156"/>
        <v>0</v>
      </c>
      <c r="BI274" s="196">
        <f t="shared" si="157"/>
        <v>0</v>
      </c>
      <c r="BJ274" s="195" t="str">
        <f>IFERROR($G274*(IF('Inputs Yr 2'!$AJ274=BJ$4,'Inputs Yr 2'!$AK274,IF('Inputs Yr 2'!$AL274=BJ$4,'Inputs Yr 2'!$AM274,IF('Inputs Yr 2'!$AN274=BJ$4,'Inputs Yr 2'!$AO274,0))))*(INDEX(avoidedcosttbl2,$H274,BJ$2)+(($H274-ROUNDDOWN($H274,0))*(INDEX(avoidedcosttbl2,ROUNDUP($H274,0),BJ$2)-(INDEX(avoidedcosttbl2,ROUNDDOWN($H274,0),BJ$2)))))*'Inputs Yr 2'!P274*'Inputs Yr 2'!Q274*'Inputs Yr 2'!U274,"")</f>
        <v/>
      </c>
      <c r="BK274" s="195" t="str">
        <f>IFERROR($G274*(IF('Inputs Yr 2'!$AJ274=BK$4,'Inputs Yr 2'!$AK274,IF('Inputs Yr 2'!$AL274=BK$4,'Inputs Yr 2'!$AM274,IF('Inputs Yr 2'!$AN274=BK$4,'Inputs Yr 2'!$AO274,0))))*(INDEX(avoidedcosttbl2,$H274,BK$2)+(($H274-ROUNDDOWN($H274,0))*(INDEX(avoidedcosttbl2,ROUNDUP($H274,0),BK$2)-(INDEX(avoidedcosttbl2,ROUNDDOWN($H274,0),BK$2)))))*'Inputs Yr 2'!P274*'Inputs Yr 2'!Q274*'Inputs Yr 2'!U274,"")</f>
        <v/>
      </c>
      <c r="BL274" s="195" t="str">
        <f>IFERROR($G274*(IF('Inputs Yr 2'!$AJ274=BL$4,'Inputs Yr 2'!$AK274,IF('Inputs Yr 2'!$AL274=BL$4,'Inputs Yr 2'!$AM274,IF('Inputs Yr 2'!$AN274=BL$4,'Inputs Yr 2'!$AO274,0))))*(INDEX(avoidedcosttbl2,$H274,BL$2)+(($H274-ROUNDDOWN($H274,0))*(INDEX(avoidedcosttbl2,ROUNDUP($H274,0),BL$2)-(INDEX(avoidedcosttbl2,ROUNDDOWN($H274,0),BL$2)))))*'Inputs Yr 2'!P274*'Inputs Yr 2'!Q274*'Inputs Yr 2'!U274,"")</f>
        <v/>
      </c>
      <c r="BM274" s="195" t="str">
        <f>IFERROR($G274*(IF('Inputs Yr 2'!$AJ274=BM$4,'Inputs Yr 2'!$AK274,IF('Inputs Yr 2'!$AL274=BM$4,'Inputs Yr 2'!$AM274,IF('Inputs Yr 2'!$AN274=BM$4,'Inputs Yr 2'!$AO274,0))))*(INDEX(avoidedcosttbl2,$H274,BM$2)+(($H274-ROUNDDOWN($H274,0))*(INDEX(avoidedcosttbl2,ROUNDUP($H274,0),BM$2)-(INDEX(avoidedcosttbl2,ROUNDDOWN($H274,0),BM$2)))))*'Inputs Yr 2'!P274*'Inputs Yr 2'!Q274*'Inputs Yr 2'!U274,"")</f>
        <v/>
      </c>
      <c r="BN274" s="195" t="str">
        <f>IFERROR($G274*(IF('Inputs Yr 2'!$AJ274=BN$4,'Inputs Yr 2'!$AK274,IF('Inputs Yr 2'!$AL274=BN$4,'Inputs Yr 2'!$AM274,IF('Inputs Yr 2'!$AN274=BN$4,'Inputs Yr 2'!$AO274,0))))*(INDEX(avoidedcosttbl2,$H274,BN$2)+(($H274-ROUNDDOWN($H274,0))*(INDEX(avoidedcosttbl2,ROUNDUP($H274,0),BN$2)-(INDEX(avoidedcosttbl2,ROUNDDOWN($H274,0),BN$2)))))*'Inputs Yr 2'!P274*'Inputs Yr 2'!Q274*'Inputs Yr 2'!U274,"")</f>
        <v/>
      </c>
      <c r="BO274" s="195" t="str">
        <f>IFERROR($G274*(IF('Inputs Yr 2'!$AJ274=BO$4,'Inputs Yr 2'!$AK274,IF('Inputs Yr 2'!$AL274=BO$4,'Inputs Yr 2'!$AM274,IF('Inputs Yr 2'!$AN274=BO$4,'Inputs Yr 2'!$AO274,0))))*(INDEX(avoidedcosttbl2,$H274,BO$2)+(($H274-ROUNDDOWN($H274,0))*(INDEX(avoidedcosttbl2,ROUNDUP($H274,0),BO$2)-(INDEX(avoidedcosttbl2,ROUNDDOWN($H274,0),BO$2)))))*'Inputs Yr 2'!P274*'Inputs Yr 2'!Q274*'Inputs Yr 2'!U274,"")</f>
        <v/>
      </c>
      <c r="BP274" s="195" t="str">
        <f>IFERROR($G274*(IF('Inputs Yr 2'!$AJ274=BP$4,'Inputs Yr 2'!$AK274,IF('Inputs Yr 2'!$AL274=BP$4,'Inputs Yr 2'!$AM274,IF('Inputs Yr 2'!$AN274=BP$4,'Inputs Yr 2'!$AO274,0))))*(INDEX(avoidedcosttbl2,$H274,BP$2)+(($H274-ROUNDDOWN($H274,0))*(INDEX(avoidedcosttbl2,ROUNDUP($H274,0),BP$2)-(INDEX(avoidedcosttbl2,ROUNDDOWN($H274,0),BP$2)))))*'Inputs Yr 2'!P274*'Inputs Yr 2'!Q274*'Inputs Yr 2'!U274,"")</f>
        <v/>
      </c>
      <c r="BQ274" s="230">
        <f t="shared" si="158"/>
        <v>0</v>
      </c>
      <c r="BR274" s="197" t="str">
        <f t="shared" si="142"/>
        <v/>
      </c>
      <c r="BS274" s="197" t="str">
        <f>IFERROR(($G274*IF('Inputs Yr 2'!$AJ274=BM$4,'Inputs Yr 2'!$AK274,IF('Inputs Yr 2'!$AL274=BM$4,'Inputs Yr 2'!$AM274,IF('Inputs Yr 2'!$AN274=BM$4,'Inputs Yr 2'!$AO274,0))))*(INDEX(avoidedcosttbl2,$H274,BS$2)+(($H274-ROUNDDOWN($H274,0))*(INDEX(avoidedcosttbl2,ROUNDUP($H274,0),BS$2)-(INDEX(avoidedcosttbl2,ROUNDDOWN($H274,0),BS$2)))))*'Inputs Yr 2'!P274*'Inputs Yr 2'!Q274*'Inputs Yr 2'!U274,"")</f>
        <v/>
      </c>
      <c r="BT274" s="197" t="str">
        <f>IFERROR(($G274*IF('Inputs Yr 2'!$AJ274=BK$4,'Inputs Yr 2'!$AK274,IF('Inputs Yr 2'!$AL274=BK$4,'Inputs Yr 2'!$AM274,IF('Inputs Yr 2'!$AN274=BK$4,'Inputs Yr 2'!$AO274,0))))*(INDEX(avoidedcosttbl2,$H274,BT$2)+(($H274-ROUNDDOWN($H274,0))*(INDEX(avoidedcosttbl2,ROUNDUP($H274,0),BT$2)-(INDEX(avoidedcosttbl2,ROUNDDOWN($H274,0),BT$2)))))*'Inputs Yr 2'!P274*'Inputs Yr 2'!Q274*'Inputs Yr 2'!U274,"")</f>
        <v/>
      </c>
      <c r="BU274" s="197" t="str">
        <f>IFERROR(($G274*IF('Inputs Yr 2'!$AJ274=BL$4,'Inputs Yr 2'!$AK274,IF('Inputs Yr 2'!$AL274=BL$4,'Inputs Yr 2'!$AM274,IF('Inputs Yr 2'!$AN274=BL$4,'Inputs Yr 2'!$AO274,0))))*(INDEX(avoidedcosttbl2,$H274,BU$2)+(($H274-ROUNDDOWN($H274,0))*(INDEX(avoidedcosttbl2,ROUNDUP($H274,0),BU$2)-(INDEX(avoidedcosttbl2,ROUNDDOWN($H274,0),BU$2)))))*'Inputs Yr 2'!P274*'Inputs Yr 2'!Q274*'Inputs Yr 2'!U274,"")</f>
        <v/>
      </c>
      <c r="BV274" s="775" t="str">
        <f>IFERROR(($G274*IF('Inputs Yr 2'!$AJ274=BJ$4,'Inputs Yr 2'!$AK274,IF('Inputs Yr 2'!$AL274=BJ$4,'Inputs Yr 2'!$AM274,IF('Inputs Yr 2'!$AN274=BJ$4,'Inputs Yr 2'!$AO274,0))))*(INDEX(avoidedcosttbl2,$H274,BV$2)+(($H274-ROUNDDOWN($H274,0))*(INDEX(avoidedcosttbl2,ROUNDUP($H274,0),BV$2)-(INDEX(avoidedcosttbl2,ROUNDDOWN($H274,0),BV$2)))))*'Inputs Yr 2'!P274*'Inputs Yr 2'!Q274*'Inputs Yr 2'!U274,"")</f>
        <v/>
      </c>
      <c r="BW274" s="197" t="str">
        <f>IFERROR(($G274*IF('Inputs Yr 2'!$AJ274=BN$4,'Inputs Yr 2'!$AK274,IF('Inputs Yr 2'!$AL274=BN$4,'Inputs Yr 2'!$AM274,IF('Inputs Yr 2'!$AN274=BN$4,'Inputs Yr 2'!$AO274,0))))*(INDEX(avoidedcosttbl2,$H274,BW$2)+(($H274-ROUNDDOWN($H274,0))*(INDEX(avoidedcosttbl2,ROUNDUP($H274,0),BW$2)-(INDEX(avoidedcosttbl2,ROUNDDOWN($H274,0),BW$2)))))*'Inputs Yr 2'!P274*'Inputs Yr 2'!Q274*'Inputs Yr 2'!U274,"")</f>
        <v/>
      </c>
      <c r="BX274" s="197" t="str">
        <f>IFERROR(($G274*IF('Inputs Yr 2'!$AJ274=BO$4,'Inputs Yr 2'!$AK274,IF('Inputs Yr 2'!$AL274=BO$4,'Inputs Yr 2'!$AM274,IF('Inputs Yr 2'!$AN274=BO$4,'Inputs Yr 2'!$AO274,0))))*(INDEX(avoidedcosttbl2,$H274,BX$2)+(($H274-ROUNDDOWN($H274,0))*(INDEX(avoidedcosttbl2,ROUNDUP($H274,0),BX$2)-(INDEX(avoidedcosttbl2,ROUNDDOWN($H274,0),BX$2)))))*'Inputs Yr 2'!P274*'Inputs Yr 2'!Q274*'Inputs Yr 2'!U274,"")</f>
        <v/>
      </c>
      <c r="BY274" s="197" t="str">
        <f>IFERROR(($G274*IF('Inputs Yr 2'!$AJ274=BP$4,'Inputs Yr 2'!$AK274,IF('Inputs Yr 2'!$AL274=BP$4,'Inputs Yr 2'!$AM274,IF('Inputs Yr 2'!$AN274=BP$4,'Inputs Yr 2'!$AO274,0))))*(INDEX(avoidedcosttbl2,$H274,BY$2)+(($H274-ROUNDDOWN($H274,0))*(INDEX(avoidedcosttbl2,ROUNDUP($H274,0),BY$2)-(INDEX(avoidedcosttbl2,ROUNDDOWN($H274,0),BY$2)))))*'Inputs Yr 2'!P274*'Inputs Yr 2'!Q274*'Inputs Yr 2'!U274,"")</f>
        <v/>
      </c>
      <c r="BZ274" s="193">
        <f t="shared" si="159"/>
        <v>0</v>
      </c>
      <c r="CA274" s="193">
        <f t="shared" si="160"/>
        <v>0</v>
      </c>
      <c r="CB274" s="195" t="str">
        <f>IFERROR(G274*(IF('Inputs Yr 2'!$AJ274=CB$4,'Inputs Yr 2'!$AK274,IF('Inputs Yr 2'!$AL274=CB$4,'Inputs Yr 2'!$AM274,IF('Inputs Yr 2'!$AN274=CB$4,'Inputs Yr 2'!$AO274,0))))*(INDEX(avoidedcosttbl2,$H274,CB$2)+(($H274-ROUNDDOWN($H274,0))*(INDEX(avoidedcosttbl2,ROUNDUP($H274,0),CB$2)-(INDEX(avoidedcosttbl2,ROUNDDOWN($H274,0),CB$2)))))*'Inputs Yr 2'!P274*'Inputs Yr 2'!Q274*'Inputs Yr 2'!U274,"")</f>
        <v/>
      </c>
      <c r="CC274" s="195" t="str">
        <f>IFERROR(H274*(IF('Inputs Yr 2'!$AJ274=CC$4,'Inputs Yr 2'!$AK274,IF('Inputs Yr 2'!$AL274=CC$4,'Inputs Yr 2'!$AM274,IF('Inputs Yr 2'!$AN274=CC$4,'Inputs Yr 2'!$AO274,0))))*(INDEX(avoidedcosttbl2,$H274,CC$2)+(($H274-ROUNDDOWN($H274,0))*(INDEX(avoidedcosttbl2,ROUNDUP($H274,0),CC$2)-(INDEX(avoidedcosttbl2,ROUNDDOWN($H274,0),CC$2)))))*'Inputs Yr 2'!Q274*'Inputs Yr 2'!R274*'Inputs Yr 2'!V274,"")</f>
        <v/>
      </c>
      <c r="CD274" s="195" t="str">
        <f>IFERROR(I274*(IF('Inputs Yr 2'!$AJ274=CD$4,'Inputs Yr 2'!$AK274,IF('Inputs Yr 2'!$AL274=CD$4,'Inputs Yr 2'!$AM274,IF('Inputs Yr 2'!$AN274=CD$4,'Inputs Yr 2'!$AO274,0))))*(INDEX(avoidedcosttbl2,$H274,CD$2)+(($H274-ROUNDDOWN($H274,0))*(INDEX(avoidedcosttbl2,ROUNDUP($H274,0),CD$2)-(INDEX(avoidedcosttbl2,ROUNDDOWN($H274,0),CD$2)))))*'Inputs Yr 2'!R274*'Inputs Yr 2'!S274*'Inputs Yr 2'!W274,"")</f>
        <v/>
      </c>
      <c r="CE274" s="213" t="str">
        <f t="shared" si="161"/>
        <v/>
      </c>
      <c r="CF274" s="213" t="str">
        <f t="shared" si="162"/>
        <v/>
      </c>
      <c r="CG274" s="213" t="str">
        <f t="shared" si="163"/>
        <v/>
      </c>
      <c r="CH274" s="698">
        <f t="shared" si="164"/>
        <v>0</v>
      </c>
      <c r="CI274" s="79" t="str">
        <f>IFERROR(($G274*'Inputs Yr 2'!$P274*'Inputs Yr 2'!$Q274*(((INDEX(avoidedcosttbl2,$H274,CI$2)+(($H274-ROUNDDOWN($H274,0))*(INDEX(avoidedcosttbl2,ROUNDUP($H274,0),CI$2)-INDEX(avoidedcosttbl2,ROUNDDOWN($H274,0),CI$2))))*'Inputs Yr 2'!AS274))),"")</f>
        <v/>
      </c>
      <c r="CJ274" s="504" t="str">
        <f>IFERROR($G274*'Inputs Yr 2'!AT274*'Inputs Yr 2'!$P274*'Inputs Yr 2'!$Q274/((1+realdiscrt1)^-0.5),"")</f>
        <v/>
      </c>
      <c r="CK274" s="79" t="str">
        <f>IFERROR((O274*1000*(((INDEX(avoidedcosttbl2,$H274,CK$2)+(($H274-ROUNDDOWN($H274,0))*(INDEX(avoidedcosttbl2,ROUNDUP($H274,0),CK$2)-INDEX(avoidedcosttbl2,ROUNDDOWN($H274,0),CK$2))))*'Inputs Yr 2'!AU274))),"")</f>
        <v/>
      </c>
      <c r="CL274" s="504" t="str">
        <f>IFERROR(O274*1000*'Inputs Yr 2'!AV274/((1+realdiscrt1)^-0.5),"")</f>
        <v/>
      </c>
      <c r="CM274" s="79" t="str">
        <f>IFERROR((AB274*'Inputs Yr 2'!AW274*(((INDEX(avoidedcosttbl2,$H274,CM$2)+(($H274-ROUNDDOWN($H274,0))*(INDEX(avoidedcosttbl2,ROUNDUP($H274,0),CM$2)-INDEX(avoidedcosttbl2,ROUNDDOWN($H274,0),CM$2)))))))*10,"")</f>
        <v/>
      </c>
      <c r="CN274" s="504">
        <f>IFERROR(10*AB274*'Inputs Yr 2'!AX274/((1+realdiscrt1)^-0.5),"")</f>
        <v>0</v>
      </c>
      <c r="CO274" s="505">
        <f t="shared" si="165"/>
        <v>0</v>
      </c>
      <c r="CP274" s="230">
        <f t="shared" si="166"/>
        <v>0</v>
      </c>
      <c r="CQ274" s="199">
        <f>ROUND(IFERROR(IF(LEFT($A274,1)="C",'Avoided Costs'!$K$13,'Avoided Costs'!$K$12)+1,""),4)</f>
        <v>1.0720000000000001</v>
      </c>
      <c r="CR274" s="199">
        <f>ROUND(IFERROR(IF(LEFT($A274,1)="C",'Avoided Costs'!$L$13,'Avoided Costs'!$L$12)+1,""),4)</f>
        <v>1.04</v>
      </c>
      <c r="CS274" s="199">
        <f>ROUND(IFERROR(IF(LEFT($A274,1)="C",'Avoided Costs'!$M$13,'Avoided Costs'!$M$12)+1,""),4)</f>
        <v>1.0720000000000001</v>
      </c>
      <c r="CT274" s="199">
        <f>ROUND(IFERROR(IF(LEFT($A274,1)="C",'Avoided Costs'!$N$13,'Avoided Costs'!$N$12)+1,""),4)</f>
        <v>1.04</v>
      </c>
      <c r="CU274" s="199">
        <f>ROUND(IFERROR(IF(LEFT($A274,1)="C",'Avoided Costs'!$O$13,'Avoided Costs'!$O$12)+1,""),4)</f>
        <v>1.1120000000000001</v>
      </c>
      <c r="CV274" s="199">
        <f>ROUND(IFERROR(IF(LEFT($A274,1)="C",'Avoided Costs'!$P$13,'Avoided Costs'!$P$12)+1,""),4)</f>
        <v>1.095</v>
      </c>
      <c r="CW274" s="199">
        <f>ROUND(IFERROR(IF(LEFT($A274,1)="C",'Avoided Costs'!$Q$13,'Avoided Costs'!$Q$12)+1,""),4)</f>
        <v>1.1120000000000001</v>
      </c>
      <c r="CX274" s="200">
        <f>ROUND(IFERROR(IF(LEFT($A274,1)="C",'Avoided Costs'!$R$13,'Avoided Costs'!$R$12)+1,""),4)</f>
        <v>1.1120000000000001</v>
      </c>
    </row>
    <row r="275" spans="1:102" ht="12.75" customHeight="1">
      <c r="A275" s="91" t="str">
        <f>IF('Inputs Yr 2'!$B275=0,"",'Inputs Yr 2'!A275)</f>
        <v>C - Commercial &amp; Industrial</v>
      </c>
      <c r="B275" s="91" t="str">
        <f>IF('Inputs Yr 2'!$B275=0,"",'Inputs Yr 2'!B275)</f>
        <v>C2 - C&amp;I Retrofit</v>
      </c>
      <c r="C275" s="91" t="str">
        <f>IF('Inputs Yr 2'!$B275=0,"",'Inputs Yr 2'!C275)</f>
        <v>C2a - C&amp;I Existing Building Retrofit</v>
      </c>
      <c r="D275" s="91" t="str">
        <f>IF('Inputs Yr 2'!$B275=0,"",'Inputs Yr 2'!E275)</f>
        <v>Boiler Reset Control, Gas</v>
      </c>
      <c r="E275" s="93" t="str">
        <f>IF('Inputs Yr 2'!$B275=0,"",'Inputs Yr 2'!F275)</f>
        <v>G16C2a17</v>
      </c>
      <c r="F275" s="93" t="str">
        <f>IF('Inputs Yr 2'!$B275=0,"",'Inputs Yr 2'!G275)</f>
        <v>HVAC</v>
      </c>
      <c r="G275" s="95" t="str">
        <f>IF('Inputs Yr 2'!$H275&lt;&gt;0,('Inputs Yr 2'!H275),"")</f>
        <v/>
      </c>
      <c r="H275" s="94">
        <f>IFERROR('Inputs Yr 2'!I275,"")</f>
        <v>15</v>
      </c>
      <c r="I275" s="298" t="str">
        <f>IFERROR('Inputs Yr 2'!J275*'Inputs Yr 2'!P275*G275,"")</f>
        <v/>
      </c>
      <c r="J275" s="298" t="str">
        <f>IFERROR('Inputs Yr 2'!K275*G275,"")</f>
        <v/>
      </c>
      <c r="K275" s="298" t="str">
        <f t="shared" si="143"/>
        <v/>
      </c>
      <c r="L275" s="194" t="str">
        <f>IFERROR(('Inputs Yr 2'!W275*G275)/1000,"")</f>
        <v/>
      </c>
      <c r="M275" s="194" t="str">
        <f>IFERROR(L275*('Inputs Yr 2'!$Q275*'Inputs Yr 2'!$V275*'Inputs Yr 2'!$R275),"")</f>
        <v/>
      </c>
      <c r="N275" s="194" t="str">
        <f t="shared" si="144"/>
        <v/>
      </c>
      <c r="O275" s="194" t="str">
        <f>IFERROR(M275*'Inputs Yr 2'!P275,"")</f>
        <v/>
      </c>
      <c r="P275" s="194" t="str">
        <f t="shared" si="145"/>
        <v/>
      </c>
      <c r="Q275" s="194" t="str">
        <f>IFERROR($P275*'Inputs Yr 2'!AA275,"")</f>
        <v/>
      </c>
      <c r="R275" s="194" t="str">
        <f>IFERROR($P275*'Inputs Yr 2'!AB275,"")</f>
        <v/>
      </c>
      <c r="S275" s="194" t="str">
        <f>IFERROR($P275*'Inputs Yr 2'!AC275,"")</f>
        <v/>
      </c>
      <c r="T275" s="194" t="str">
        <f>IFERROR($P275*'Inputs Yr 2'!AD275,"")</f>
        <v/>
      </c>
      <c r="U275" s="194" t="str">
        <f>IFERROR(G275*'Inputs Yr 2'!$AE275*'Inputs Yr 2'!$P275*'Inputs Yr 2'!$Q275,"")</f>
        <v/>
      </c>
      <c r="V275" s="194" t="str">
        <f>IFERROR($G275*'Inputs Yr 2'!$AE275*'Inputs Yr 2'!$AG275*'Inputs Yr 2'!Q275*'Inputs Yr 2'!$S275,"")</f>
        <v/>
      </c>
      <c r="W275" s="194" t="str">
        <f>IFERROR($G275*'Inputs Yr 2'!$AE275*'Inputs Yr 2'!$AG275*'Inputs Yr 2'!P275*'Inputs Yr 2'!Q275*'Inputs Yr 2'!$S275,"")</f>
        <v/>
      </c>
      <c r="X275" s="194" t="str">
        <f>IFERROR($G275*'Inputs Yr 2'!$AE275*'Inputs Yr 2'!$AF275*'Inputs Yr 2'!Q275*'Inputs Yr 2'!$T275,"")</f>
        <v/>
      </c>
      <c r="Y275" s="194" t="str">
        <f>IFERROR($G275*'Inputs Yr 2'!$AE275*'Inputs Yr 2'!$AF275*'Inputs Yr 2'!P275*'Inputs Yr 2'!Q275*'Inputs Yr 2'!$T275,"")</f>
        <v/>
      </c>
      <c r="Z275" s="257">
        <f>IFERROR($G275*'Inputs Yr 2'!$Q275*'Inputs Yr 2'!$U275*(IF(IFERROR(SEARCH("NG", 'Inputs Yr 2'!$AJ275),0),'Inputs Yr 2'!$AK275,0)+IF(IFERROR(SEARCH("NG", 'Inputs Yr 2'!$AL275),0),'Inputs Yr 2'!$AM275,0)+IF(IFERROR(SEARCH("NG", 'Inputs Yr 2'!$AN275),0),'Inputs Yr 2'!$AO275,0)),0)</f>
        <v>0</v>
      </c>
      <c r="AA275" s="257">
        <f t="shared" si="146"/>
        <v>0</v>
      </c>
      <c r="AB275" s="257">
        <f>IFERROR(Z275*'Inputs Yr 2'!$P275,0)</f>
        <v>0</v>
      </c>
      <c r="AC275" s="257">
        <f t="shared" si="147"/>
        <v>0</v>
      </c>
      <c r="AD275" s="257">
        <f>IFERROR($G275*'Inputs Yr 2'!$Q275*'Inputs Yr 2'!$U275*(IF(IFERROR(SEARCH("Oil", 'Inputs Yr 2'!$AJ275), 0),'Inputs Yr 2'!$AK275,0)+IF(IFERROR(SEARCH("Oil", 'Inputs Yr 2'!$AL275), 0),'Inputs Yr 2'!$AM275,0)+IF(IFERROR(SEARCH("Oil", 'Inputs Yr 2'!$AN275), 0),'Inputs Yr 2'!$AO275,0)),0)</f>
        <v>0</v>
      </c>
      <c r="AE275" s="257">
        <f t="shared" si="148"/>
        <v>0</v>
      </c>
      <c r="AF275" s="257">
        <f>IFERROR(AD275*'Inputs Yr 2'!$P275,0)</f>
        <v>0</v>
      </c>
      <c r="AG275" s="257">
        <f t="shared" si="149"/>
        <v>0</v>
      </c>
      <c r="AH275" s="257">
        <f>IFERROR($G275*'Inputs Yr 2'!$Q275*'Inputs Yr 2'!$U275*(IF('Inputs Yr 2'!$AJ275=CD$4,'Inputs Yr 2'!$AK275,IF('Inputs Yr 2'!$AL275=CD$4,'Inputs Yr 2'!$AM275,IF('Inputs Yr 2'!$AN275=CD$4,'Inputs Yr 2'!$AO275,0)))),0)</f>
        <v>0</v>
      </c>
      <c r="AI275" s="257">
        <f t="shared" si="150"/>
        <v>0</v>
      </c>
      <c r="AJ275" s="257">
        <f>IFERROR(AH275*'Inputs Yr 2'!$P275,0)</f>
        <v>0</v>
      </c>
      <c r="AK275" s="257">
        <f t="shared" si="151"/>
        <v>0</v>
      </c>
      <c r="AL275" s="258">
        <f>IFERROR($G275*'Inputs Yr 2'!$P275*'Inputs Yr 2'!$Q275*'Inputs Yr 2'!AP275,0)</f>
        <v>0</v>
      </c>
      <c r="AM275" s="260">
        <f>IFERROR($G275*'Inputs Yr 2'!$P275*'Inputs Yr 2'!$Q275*'Inputs Yr 2'!AQ275,0)</f>
        <v>0</v>
      </c>
      <c r="AN275" s="258">
        <f>IFERROR($G275*'Inputs Yr 2'!$P275*'Inputs Yr 2'!$Q275*'Inputs Yr 2'!AR275,0)</f>
        <v>0</v>
      </c>
      <c r="AO275" s="257">
        <f t="shared" si="152"/>
        <v>0</v>
      </c>
      <c r="AP275" s="195" t="str">
        <f>IFERROR($CQ275*(INDEX(avoidedcosttbl2,$H275,AP$2)+(($H275-ROUNDDOWN($H275,0))*(INDEX(avoidedcosttbl2,ROUNDUP($H275,0),AP$2)-(INDEX(avoidedcosttbl2,ROUNDDOWN($H275,0),AP$2)))))*$O275*1000*'Inputs Yr 2'!AA275,"")</f>
        <v/>
      </c>
      <c r="AQ275" s="195" t="str">
        <f>IFERROR($CR275*(INDEX(avoidedcosttbl2,$H275,AQ$2)+(($H275-ROUNDDOWN($H275,0))*(INDEX(avoidedcosttbl2,ROUNDUP($H275,0),AQ$2)-(INDEX(avoidedcosttbl2,ROUNDDOWN($H275,0),AQ$2)))))*$O275*1000*'Inputs Yr 2'!AB275,"")</f>
        <v/>
      </c>
      <c r="AR275" s="195" t="str">
        <f>IFERROR($CS275*(INDEX(avoidedcosttbl2,$H275,AR$2)+(($H275-ROUNDDOWN($H275,0))*(INDEX(avoidedcosttbl2,ROUNDUP($H275,0),AR$2)-(INDEX(avoidedcosttbl2,ROUNDDOWN($H275,0),AR$2)))))*$O275*1000*'Inputs Yr 2'!AC275,"")</f>
        <v/>
      </c>
      <c r="AS275" s="195" t="str">
        <f>IFERROR($CT275*(INDEX(avoidedcosttbl2,$H275,AS$2)+(($H275-ROUNDDOWN($H275,0))*(INDEX(avoidedcosttbl2,ROUNDUP($H275,0),AS$2)-(INDEX(avoidedcosttbl2,ROUNDDOWN($H275,0),AS$2)))))*$O275*1000*'Inputs Yr 2'!AD275,"")</f>
        <v/>
      </c>
      <c r="AT275" s="196">
        <f t="shared" si="153"/>
        <v>0</v>
      </c>
      <c r="AU275" s="197" t="str">
        <f>IFERROR($CQ275*((INDEX(avoidedcosttbl2,$H275,AU$2))+(($H275-ROUNDDOWN($H275,0))*((INDEX(avoidedcosttbl2,ROUNDUP($H275,0),AU$2))-(INDEX(avoidedcosttbl2,ROUNDDOWN($H275,0),AU$2)))))*$O275*1000*'Inputs Yr 2'!AA275,"")</f>
        <v/>
      </c>
      <c r="AV275" s="197" t="str">
        <f>IFERROR($CR275*((INDEX(avoidedcosttbl2,$H275,AV$2))+(($H275-ROUNDDOWN($H275,0))*((INDEX(avoidedcosttbl2,ROUNDUP($H275,0),AV$2))-(INDEX(avoidedcosttbl2,ROUNDDOWN($H275,0),AV$2)))))*$O275*1000*'Inputs Yr 2'!AB275,"")</f>
        <v/>
      </c>
      <c r="AW275" s="197" t="str">
        <f>IFERROR($CS275*((INDEX(avoidedcosttbl2,$H275,AW$2))+(($H275-ROUNDDOWN($H275,0))*((INDEX(avoidedcosttbl2,ROUNDUP($H275,0),AW$2))-(INDEX(avoidedcosttbl2,ROUNDDOWN($H275,0),AW$2)))))*$O275*1000*'Inputs Yr 2'!AC275,"")</f>
        <v/>
      </c>
      <c r="AX275" s="197" t="str">
        <f>IFERROR($CT275*((INDEX(avoidedcosttbl2,$H275,AX$2))+(($H275-ROUNDDOWN($H275,0))*((INDEX(avoidedcosttbl2,ROUNDUP($H275,0),AX$2))-(INDEX(avoidedcosttbl2,ROUNDDOWN($H275,0),AX$2)))))*$O275*1000*'Inputs Yr 2'!AD275,"")</f>
        <v/>
      </c>
      <c r="AY275" s="197" t="str">
        <f>IFERROR(((INDEX(avoidedcosttbl2,$H275,AY$2))+(($H275-ROUNDDOWN($H275,0))*((INDEX(avoidedcosttbl2,ROUNDUP($H275,0),AY$2))-(INDEX(avoidedcosttbl2,ROUNDDOWN($H275,0),AY$2)))))*$O275*1000*('Inputs Yr 2'!AC275+'Inputs Yr 2'!AD275),"")</f>
        <v/>
      </c>
      <c r="AZ275" s="197" t="str">
        <f>IFERROR(((INDEX(avoidedcosttbl2,$H275,AZ$2))+(($H275-ROUNDDOWN($H275,0))*((INDEX(avoidedcosttbl2,ROUNDUP($H275,0),AZ$2))-(INDEX(avoidedcosttbl2,ROUNDDOWN($H275,0),AZ$2)))))*$O275*1000*('Inputs Yr 2'!AA275+'Inputs Yr 2'!AB275),"")</f>
        <v/>
      </c>
      <c r="BA275" s="198">
        <f t="shared" si="154"/>
        <v>0</v>
      </c>
      <c r="BB275" s="198">
        <f t="shared" si="155"/>
        <v>0</v>
      </c>
      <c r="BC275" s="195" t="str">
        <f t="shared" si="137"/>
        <v/>
      </c>
      <c r="BD275" s="195" t="str">
        <f t="shared" si="138"/>
        <v/>
      </c>
      <c r="BE275" s="195" t="str">
        <f t="shared" si="139"/>
        <v/>
      </c>
      <c r="BF275" s="195" t="str">
        <f t="shared" si="140"/>
        <v/>
      </c>
      <c r="BG275" s="195" t="str">
        <f t="shared" si="141"/>
        <v/>
      </c>
      <c r="BH275" s="196">
        <f t="shared" si="156"/>
        <v>0</v>
      </c>
      <c r="BI275" s="196">
        <f t="shared" si="157"/>
        <v>0</v>
      </c>
      <c r="BJ275" s="195" t="str">
        <f>IFERROR($G275*(IF('Inputs Yr 2'!$AJ275=BJ$4,'Inputs Yr 2'!$AK275,IF('Inputs Yr 2'!$AL275=BJ$4,'Inputs Yr 2'!$AM275,IF('Inputs Yr 2'!$AN275=BJ$4,'Inputs Yr 2'!$AO275,0))))*(INDEX(avoidedcosttbl2,$H275,BJ$2)+(($H275-ROUNDDOWN($H275,0))*(INDEX(avoidedcosttbl2,ROUNDUP($H275,0),BJ$2)-(INDEX(avoidedcosttbl2,ROUNDDOWN($H275,0),BJ$2)))))*'Inputs Yr 2'!P275*'Inputs Yr 2'!Q275*'Inputs Yr 2'!U275,"")</f>
        <v/>
      </c>
      <c r="BK275" s="195" t="str">
        <f>IFERROR($G275*(IF('Inputs Yr 2'!$AJ275=BK$4,'Inputs Yr 2'!$AK275,IF('Inputs Yr 2'!$AL275=BK$4,'Inputs Yr 2'!$AM275,IF('Inputs Yr 2'!$AN275=BK$4,'Inputs Yr 2'!$AO275,0))))*(INDEX(avoidedcosttbl2,$H275,BK$2)+(($H275-ROUNDDOWN($H275,0))*(INDEX(avoidedcosttbl2,ROUNDUP($H275,0),BK$2)-(INDEX(avoidedcosttbl2,ROUNDDOWN($H275,0),BK$2)))))*'Inputs Yr 2'!P275*'Inputs Yr 2'!Q275*'Inputs Yr 2'!U275,"")</f>
        <v/>
      </c>
      <c r="BL275" s="195" t="str">
        <f>IFERROR($G275*(IF('Inputs Yr 2'!$AJ275=BL$4,'Inputs Yr 2'!$AK275,IF('Inputs Yr 2'!$AL275=BL$4,'Inputs Yr 2'!$AM275,IF('Inputs Yr 2'!$AN275=BL$4,'Inputs Yr 2'!$AO275,0))))*(INDEX(avoidedcosttbl2,$H275,BL$2)+(($H275-ROUNDDOWN($H275,0))*(INDEX(avoidedcosttbl2,ROUNDUP($H275,0),BL$2)-(INDEX(avoidedcosttbl2,ROUNDDOWN($H275,0),BL$2)))))*'Inputs Yr 2'!P275*'Inputs Yr 2'!Q275*'Inputs Yr 2'!U275,"")</f>
        <v/>
      </c>
      <c r="BM275" s="195" t="str">
        <f>IFERROR($G275*(IF('Inputs Yr 2'!$AJ275=BM$4,'Inputs Yr 2'!$AK275,IF('Inputs Yr 2'!$AL275=BM$4,'Inputs Yr 2'!$AM275,IF('Inputs Yr 2'!$AN275=BM$4,'Inputs Yr 2'!$AO275,0))))*(INDEX(avoidedcosttbl2,$H275,BM$2)+(($H275-ROUNDDOWN($H275,0))*(INDEX(avoidedcosttbl2,ROUNDUP($H275,0),BM$2)-(INDEX(avoidedcosttbl2,ROUNDDOWN($H275,0),BM$2)))))*'Inputs Yr 2'!P275*'Inputs Yr 2'!Q275*'Inputs Yr 2'!U275,"")</f>
        <v/>
      </c>
      <c r="BN275" s="195" t="str">
        <f>IFERROR($G275*(IF('Inputs Yr 2'!$AJ275=BN$4,'Inputs Yr 2'!$AK275,IF('Inputs Yr 2'!$AL275=BN$4,'Inputs Yr 2'!$AM275,IF('Inputs Yr 2'!$AN275=BN$4,'Inputs Yr 2'!$AO275,0))))*(INDEX(avoidedcosttbl2,$H275,BN$2)+(($H275-ROUNDDOWN($H275,0))*(INDEX(avoidedcosttbl2,ROUNDUP($H275,0),BN$2)-(INDEX(avoidedcosttbl2,ROUNDDOWN($H275,0),BN$2)))))*'Inputs Yr 2'!P275*'Inputs Yr 2'!Q275*'Inputs Yr 2'!U275,"")</f>
        <v/>
      </c>
      <c r="BO275" s="195" t="str">
        <f>IFERROR($G275*(IF('Inputs Yr 2'!$AJ275=BO$4,'Inputs Yr 2'!$AK275,IF('Inputs Yr 2'!$AL275=BO$4,'Inputs Yr 2'!$AM275,IF('Inputs Yr 2'!$AN275=BO$4,'Inputs Yr 2'!$AO275,0))))*(INDEX(avoidedcosttbl2,$H275,BO$2)+(($H275-ROUNDDOWN($H275,0))*(INDEX(avoidedcosttbl2,ROUNDUP($H275,0),BO$2)-(INDEX(avoidedcosttbl2,ROUNDDOWN($H275,0),BO$2)))))*'Inputs Yr 2'!P275*'Inputs Yr 2'!Q275*'Inputs Yr 2'!U275,"")</f>
        <v/>
      </c>
      <c r="BP275" s="195" t="str">
        <f>IFERROR($G275*(IF('Inputs Yr 2'!$AJ275=BP$4,'Inputs Yr 2'!$AK275,IF('Inputs Yr 2'!$AL275=BP$4,'Inputs Yr 2'!$AM275,IF('Inputs Yr 2'!$AN275=BP$4,'Inputs Yr 2'!$AO275,0))))*(INDEX(avoidedcosttbl2,$H275,BP$2)+(($H275-ROUNDDOWN($H275,0))*(INDEX(avoidedcosttbl2,ROUNDUP($H275,0),BP$2)-(INDEX(avoidedcosttbl2,ROUNDDOWN($H275,0),BP$2)))))*'Inputs Yr 2'!P275*'Inputs Yr 2'!Q275*'Inputs Yr 2'!U275,"")</f>
        <v/>
      </c>
      <c r="BQ275" s="230">
        <f t="shared" si="158"/>
        <v>0</v>
      </c>
      <c r="BR275" s="197">
        <f t="shared" si="142"/>
        <v>0</v>
      </c>
      <c r="BS275" s="197" t="str">
        <f>IFERROR(($G275*IF('Inputs Yr 2'!$AJ275=BM$4,'Inputs Yr 2'!$AK275,IF('Inputs Yr 2'!$AL275=BM$4,'Inputs Yr 2'!$AM275,IF('Inputs Yr 2'!$AN275=BM$4,'Inputs Yr 2'!$AO275,0))))*(INDEX(avoidedcosttbl2,$H275,BS$2)+(($H275-ROUNDDOWN($H275,0))*(INDEX(avoidedcosttbl2,ROUNDUP($H275,0),BS$2)-(INDEX(avoidedcosttbl2,ROUNDDOWN($H275,0),BS$2)))))*'Inputs Yr 2'!P275*'Inputs Yr 2'!Q275*'Inputs Yr 2'!U275,"")</f>
        <v/>
      </c>
      <c r="BT275" s="197" t="str">
        <f>IFERROR(($G275*IF('Inputs Yr 2'!$AJ275=BK$4,'Inputs Yr 2'!$AK275,IF('Inputs Yr 2'!$AL275=BK$4,'Inputs Yr 2'!$AM275,IF('Inputs Yr 2'!$AN275=BK$4,'Inputs Yr 2'!$AO275,0))))*(INDEX(avoidedcosttbl2,$H275,BT$2)+(($H275-ROUNDDOWN($H275,0))*(INDEX(avoidedcosttbl2,ROUNDUP($H275,0),BT$2)-(INDEX(avoidedcosttbl2,ROUNDDOWN($H275,0),BT$2)))))*'Inputs Yr 2'!P275*'Inputs Yr 2'!Q275*'Inputs Yr 2'!U275,"")</f>
        <v/>
      </c>
      <c r="BU275" s="197" t="str">
        <f>IFERROR(($G275*IF('Inputs Yr 2'!$AJ275=BL$4,'Inputs Yr 2'!$AK275,IF('Inputs Yr 2'!$AL275=BL$4,'Inputs Yr 2'!$AM275,IF('Inputs Yr 2'!$AN275=BL$4,'Inputs Yr 2'!$AO275,0))))*(INDEX(avoidedcosttbl2,$H275,BU$2)+(($H275-ROUNDDOWN($H275,0))*(INDEX(avoidedcosttbl2,ROUNDUP($H275,0),BU$2)-(INDEX(avoidedcosttbl2,ROUNDDOWN($H275,0),BU$2)))))*'Inputs Yr 2'!P275*'Inputs Yr 2'!Q275*'Inputs Yr 2'!U275,"")</f>
        <v/>
      </c>
      <c r="BV275" s="775" t="str">
        <f>IFERROR(($G275*IF('Inputs Yr 2'!$AJ275=BJ$4,'Inputs Yr 2'!$AK275,IF('Inputs Yr 2'!$AL275=BJ$4,'Inputs Yr 2'!$AM275,IF('Inputs Yr 2'!$AN275=BJ$4,'Inputs Yr 2'!$AO275,0))))*(INDEX(avoidedcosttbl2,$H275,BV$2)+(($H275-ROUNDDOWN($H275,0))*(INDEX(avoidedcosttbl2,ROUNDUP($H275,0),BV$2)-(INDEX(avoidedcosttbl2,ROUNDDOWN($H275,0),BV$2)))))*'Inputs Yr 2'!P275*'Inputs Yr 2'!Q275*'Inputs Yr 2'!U275,"")</f>
        <v/>
      </c>
      <c r="BW275" s="197" t="str">
        <f>IFERROR(($G275*IF('Inputs Yr 2'!$AJ275=BN$4,'Inputs Yr 2'!$AK275,IF('Inputs Yr 2'!$AL275=BN$4,'Inputs Yr 2'!$AM275,IF('Inputs Yr 2'!$AN275=BN$4,'Inputs Yr 2'!$AO275,0))))*(INDEX(avoidedcosttbl2,$H275,BW$2)+(($H275-ROUNDDOWN($H275,0))*(INDEX(avoidedcosttbl2,ROUNDUP($H275,0),BW$2)-(INDEX(avoidedcosttbl2,ROUNDDOWN($H275,0),BW$2)))))*'Inputs Yr 2'!P275*'Inputs Yr 2'!Q275*'Inputs Yr 2'!U275,"")</f>
        <v/>
      </c>
      <c r="BX275" s="197" t="str">
        <f>IFERROR(($G275*IF('Inputs Yr 2'!$AJ275=BO$4,'Inputs Yr 2'!$AK275,IF('Inputs Yr 2'!$AL275=BO$4,'Inputs Yr 2'!$AM275,IF('Inputs Yr 2'!$AN275=BO$4,'Inputs Yr 2'!$AO275,0))))*(INDEX(avoidedcosttbl2,$H275,BX$2)+(($H275-ROUNDDOWN($H275,0))*(INDEX(avoidedcosttbl2,ROUNDUP($H275,0),BX$2)-(INDEX(avoidedcosttbl2,ROUNDDOWN($H275,0),BX$2)))))*'Inputs Yr 2'!P275*'Inputs Yr 2'!Q275*'Inputs Yr 2'!U275,"")</f>
        <v/>
      </c>
      <c r="BY275" s="197" t="str">
        <f>IFERROR(($G275*IF('Inputs Yr 2'!$AJ275=BP$4,'Inputs Yr 2'!$AK275,IF('Inputs Yr 2'!$AL275=BP$4,'Inputs Yr 2'!$AM275,IF('Inputs Yr 2'!$AN275=BP$4,'Inputs Yr 2'!$AO275,0))))*(INDEX(avoidedcosttbl2,$H275,BY$2)+(($H275-ROUNDDOWN($H275,0))*(INDEX(avoidedcosttbl2,ROUNDUP($H275,0),BY$2)-(INDEX(avoidedcosttbl2,ROUNDDOWN($H275,0),BY$2)))))*'Inputs Yr 2'!P275*'Inputs Yr 2'!Q275*'Inputs Yr 2'!U275,"")</f>
        <v/>
      </c>
      <c r="BZ275" s="193">
        <f t="shared" si="159"/>
        <v>0</v>
      </c>
      <c r="CA275" s="193">
        <f t="shared" si="160"/>
        <v>0</v>
      </c>
      <c r="CB275" s="195" t="str">
        <f>IFERROR(G275*(IF('Inputs Yr 2'!$AJ275=CB$4,'Inputs Yr 2'!$AK275,IF('Inputs Yr 2'!$AL275=CB$4,'Inputs Yr 2'!$AM275,IF('Inputs Yr 2'!$AN275=CB$4,'Inputs Yr 2'!$AO275,0))))*(INDEX(avoidedcosttbl2,$H275,CB$2)+(($H275-ROUNDDOWN($H275,0))*(INDEX(avoidedcosttbl2,ROUNDUP($H275,0),CB$2)-(INDEX(avoidedcosttbl2,ROUNDDOWN($H275,0),CB$2)))))*'Inputs Yr 2'!P275*'Inputs Yr 2'!Q275*'Inputs Yr 2'!U275,"")</f>
        <v/>
      </c>
      <c r="CC275" s="195">
        <f>IFERROR(H275*(IF('Inputs Yr 2'!$AJ275=CC$4,'Inputs Yr 2'!$AK275,IF('Inputs Yr 2'!$AL275=CC$4,'Inputs Yr 2'!$AM275,IF('Inputs Yr 2'!$AN275=CC$4,'Inputs Yr 2'!$AO275,0))))*(INDEX(avoidedcosttbl2,$H275,CC$2)+(($H275-ROUNDDOWN($H275,0))*(INDEX(avoidedcosttbl2,ROUNDUP($H275,0),CC$2)-(INDEX(avoidedcosttbl2,ROUNDDOWN($H275,0),CC$2)))))*'Inputs Yr 2'!Q275*'Inputs Yr 2'!R275*'Inputs Yr 2'!V275,"")</f>
        <v>0</v>
      </c>
      <c r="CD275" s="195" t="str">
        <f>IFERROR(I275*(IF('Inputs Yr 2'!$AJ275=CD$4,'Inputs Yr 2'!$AK275,IF('Inputs Yr 2'!$AL275=CD$4,'Inputs Yr 2'!$AM275,IF('Inputs Yr 2'!$AN275=CD$4,'Inputs Yr 2'!$AO275,0))))*(INDEX(avoidedcosttbl2,$H275,CD$2)+(($H275-ROUNDDOWN($H275,0))*(INDEX(avoidedcosttbl2,ROUNDUP($H275,0),CD$2)-(INDEX(avoidedcosttbl2,ROUNDDOWN($H275,0),CD$2)))))*'Inputs Yr 2'!R275*'Inputs Yr 2'!S275*'Inputs Yr 2'!W275,"")</f>
        <v/>
      </c>
      <c r="CE275" s="213">
        <f t="shared" si="161"/>
        <v>0</v>
      </c>
      <c r="CF275" s="213">
        <f t="shared" si="162"/>
        <v>0</v>
      </c>
      <c r="CG275" s="213">
        <f t="shared" si="163"/>
        <v>0</v>
      </c>
      <c r="CH275" s="698">
        <f t="shared" si="164"/>
        <v>0</v>
      </c>
      <c r="CI275" s="79" t="str">
        <f>IFERROR(($G275*'Inputs Yr 2'!$P275*'Inputs Yr 2'!$Q275*(((INDEX(avoidedcosttbl2,$H275,CI$2)+(($H275-ROUNDDOWN($H275,0))*(INDEX(avoidedcosttbl2,ROUNDUP($H275,0),CI$2)-INDEX(avoidedcosttbl2,ROUNDDOWN($H275,0),CI$2))))*'Inputs Yr 2'!AS275))),"")</f>
        <v/>
      </c>
      <c r="CJ275" s="504" t="str">
        <f>IFERROR($G275*'Inputs Yr 2'!AT275*'Inputs Yr 2'!$P275*'Inputs Yr 2'!$Q275/((1+realdiscrt1)^-0.5),"")</f>
        <v/>
      </c>
      <c r="CK275" s="79" t="str">
        <f>IFERROR((O275*1000*(((INDEX(avoidedcosttbl2,$H275,CK$2)+(($H275-ROUNDDOWN($H275,0))*(INDEX(avoidedcosttbl2,ROUNDUP($H275,0),CK$2)-INDEX(avoidedcosttbl2,ROUNDDOWN($H275,0),CK$2))))*'Inputs Yr 2'!AU275))),"")</f>
        <v/>
      </c>
      <c r="CL275" s="504" t="str">
        <f>IFERROR(O275*1000*'Inputs Yr 2'!AV275/((1+realdiscrt1)^-0.5),"")</f>
        <v/>
      </c>
      <c r="CM275" s="79">
        <f>IFERROR((AB275*'Inputs Yr 2'!AW275*(((INDEX(avoidedcosttbl2,$H275,CM$2)+(($H275-ROUNDDOWN($H275,0))*(INDEX(avoidedcosttbl2,ROUNDUP($H275,0),CM$2)-INDEX(avoidedcosttbl2,ROUNDDOWN($H275,0),CM$2)))))))*10,"")</f>
        <v>0</v>
      </c>
      <c r="CN275" s="504">
        <f>IFERROR(10*AB275*'Inputs Yr 2'!AX275/((1+realdiscrt1)^-0.5),"")</f>
        <v>0</v>
      </c>
      <c r="CO275" s="505">
        <f t="shared" si="165"/>
        <v>0</v>
      </c>
      <c r="CP275" s="230">
        <f t="shared" si="166"/>
        <v>0</v>
      </c>
      <c r="CQ275" s="199">
        <f>ROUND(IFERROR(IF(LEFT($A275,1)="C",'Avoided Costs'!$K$13,'Avoided Costs'!$K$12)+1,""),4)</f>
        <v>1.0720000000000001</v>
      </c>
      <c r="CR275" s="199">
        <f>ROUND(IFERROR(IF(LEFT($A275,1)="C",'Avoided Costs'!$L$13,'Avoided Costs'!$L$12)+1,""),4)</f>
        <v>1.04</v>
      </c>
      <c r="CS275" s="199">
        <f>ROUND(IFERROR(IF(LEFT($A275,1)="C",'Avoided Costs'!$M$13,'Avoided Costs'!$M$12)+1,""),4)</f>
        <v>1.0720000000000001</v>
      </c>
      <c r="CT275" s="199">
        <f>ROUND(IFERROR(IF(LEFT($A275,1)="C",'Avoided Costs'!$N$13,'Avoided Costs'!$N$12)+1,""),4)</f>
        <v>1.04</v>
      </c>
      <c r="CU275" s="199">
        <f>ROUND(IFERROR(IF(LEFT($A275,1)="C",'Avoided Costs'!$O$13,'Avoided Costs'!$O$12)+1,""),4)</f>
        <v>1.1120000000000001</v>
      </c>
      <c r="CV275" s="199">
        <f>ROUND(IFERROR(IF(LEFT($A275,1)="C",'Avoided Costs'!$P$13,'Avoided Costs'!$P$12)+1,""),4)</f>
        <v>1.095</v>
      </c>
      <c r="CW275" s="199">
        <f>ROUND(IFERROR(IF(LEFT($A275,1)="C",'Avoided Costs'!$Q$13,'Avoided Costs'!$Q$12)+1,""),4)</f>
        <v>1.1120000000000001</v>
      </c>
      <c r="CX275" s="200">
        <f>ROUND(IFERROR(IF(LEFT($A275,1)="C",'Avoided Costs'!$R$13,'Avoided Costs'!$R$12)+1,""),4)</f>
        <v>1.1120000000000001</v>
      </c>
    </row>
    <row r="276" spans="1:102" ht="12.75" customHeight="1">
      <c r="A276" s="91" t="str">
        <f>IF('Inputs Yr 2'!$B276=0,"",'Inputs Yr 2'!A276)</f>
        <v>C - Commercial &amp; Industrial</v>
      </c>
      <c r="B276" s="91" t="str">
        <f>IF('Inputs Yr 2'!$B276=0,"",'Inputs Yr 2'!B276)</f>
        <v>C2 - C&amp;I Retrofit</v>
      </c>
      <c r="C276" s="91" t="str">
        <f>IF('Inputs Yr 2'!$B276=0,"",'Inputs Yr 2'!C276)</f>
        <v>C2a - C&amp;I Existing Building Retrofit</v>
      </c>
      <c r="D276" s="91" t="str">
        <f>IF('Inputs Yr 2'!$B276=0,"",'Inputs Yr 2'!E276)</f>
        <v>Programmable Thermostat, Gas</v>
      </c>
      <c r="E276" s="93" t="str">
        <f>IF('Inputs Yr 2'!$B276=0,"",'Inputs Yr 2'!F276)</f>
        <v>G16C2a18</v>
      </c>
      <c r="F276" s="93" t="str">
        <f>IF('Inputs Yr 2'!$B276=0,"",'Inputs Yr 2'!G276)</f>
        <v>HVAC</v>
      </c>
      <c r="G276" s="95">
        <f>IF('Inputs Yr 2'!$H276&lt;&gt;0,('Inputs Yr 2'!H276),"")</f>
        <v>39</v>
      </c>
      <c r="H276" s="94">
        <f>IFERROR('Inputs Yr 2'!I276,"")</f>
        <v>15</v>
      </c>
      <c r="I276" s="298">
        <f>IFERROR('Inputs Yr 2'!J276*'Inputs Yr 2'!P276*G276,"")</f>
        <v>3035.4480000000003</v>
      </c>
      <c r="J276" s="298">
        <f>IFERROR('Inputs Yr 2'!K276*G276,"")</f>
        <v>973.60714285714289</v>
      </c>
      <c r="K276" s="298">
        <f t="shared" si="143"/>
        <v>2061.8408571428572</v>
      </c>
      <c r="L276" s="194">
        <f>IFERROR(('Inputs Yr 2'!W276*G276)/1000,"")</f>
        <v>0</v>
      </c>
      <c r="M276" s="194">
        <f>IFERROR(L276*('Inputs Yr 2'!$Q276*'Inputs Yr 2'!$V276*'Inputs Yr 2'!$R276),"")</f>
        <v>0</v>
      </c>
      <c r="N276" s="194">
        <f t="shared" si="144"/>
        <v>0</v>
      </c>
      <c r="O276" s="194">
        <f>IFERROR(M276*'Inputs Yr 2'!P276,"")</f>
        <v>0</v>
      </c>
      <c r="P276" s="194">
        <f t="shared" si="145"/>
        <v>0</v>
      </c>
      <c r="Q276" s="194">
        <f>IFERROR($P276*'Inputs Yr 2'!AA276,"")</f>
        <v>0</v>
      </c>
      <c r="R276" s="194">
        <f>IFERROR($P276*'Inputs Yr 2'!AB276,"")</f>
        <v>0</v>
      </c>
      <c r="S276" s="194">
        <f>IFERROR($P276*'Inputs Yr 2'!AC276,"")</f>
        <v>0</v>
      </c>
      <c r="T276" s="194">
        <f>IFERROR($P276*'Inputs Yr 2'!AD276,"")</f>
        <v>0</v>
      </c>
      <c r="U276" s="194">
        <f>IFERROR(G276*'Inputs Yr 2'!$AE276*'Inputs Yr 2'!$P276*'Inputs Yr 2'!$Q276,"")</f>
        <v>0</v>
      </c>
      <c r="V276" s="194">
        <f>IFERROR($G276*'Inputs Yr 2'!$AE276*'Inputs Yr 2'!$AG276*'Inputs Yr 2'!Q276*'Inputs Yr 2'!$S276,"")</f>
        <v>0</v>
      </c>
      <c r="W276" s="194">
        <f>IFERROR($G276*'Inputs Yr 2'!$AE276*'Inputs Yr 2'!$AG276*'Inputs Yr 2'!P276*'Inputs Yr 2'!Q276*'Inputs Yr 2'!$S276,"")</f>
        <v>0</v>
      </c>
      <c r="X276" s="194">
        <f>IFERROR($G276*'Inputs Yr 2'!$AE276*'Inputs Yr 2'!$AF276*'Inputs Yr 2'!Q276*'Inputs Yr 2'!$T276,"")</f>
        <v>0</v>
      </c>
      <c r="Y276" s="194">
        <f>IFERROR($G276*'Inputs Yr 2'!$AE276*'Inputs Yr 2'!$AF276*'Inputs Yr 2'!P276*'Inputs Yr 2'!Q276*'Inputs Yr 2'!$T276,"")</f>
        <v>0</v>
      </c>
      <c r="Z276" s="257">
        <f>IFERROR($G276*'Inputs Yr 2'!$Q276*'Inputs Yr 2'!$U276*(IF(IFERROR(SEARCH("NG", 'Inputs Yr 2'!$AJ276),0),'Inputs Yr 2'!$AK276,0)+IF(IFERROR(SEARCH("NG", 'Inputs Yr 2'!$AL276),0),'Inputs Yr 2'!$AM276,0)+IF(IFERROR(SEARCH("NG", 'Inputs Yr 2'!$AN276),0),'Inputs Yr 2'!$AO276,0)),0)</f>
        <v>124.80000000000001</v>
      </c>
      <c r="AA276" s="257">
        <f t="shared" si="146"/>
        <v>1872.0000000000002</v>
      </c>
      <c r="AB276" s="257">
        <f>IFERROR(Z276*'Inputs Yr 2'!$P276,0)</f>
        <v>105.58080000000002</v>
      </c>
      <c r="AC276" s="257">
        <f t="shared" si="147"/>
        <v>1583.7120000000004</v>
      </c>
      <c r="AD276" s="257">
        <f>IFERROR($G276*'Inputs Yr 2'!$Q276*'Inputs Yr 2'!$U276*(IF(IFERROR(SEARCH("Oil", 'Inputs Yr 2'!$AJ276), 0),'Inputs Yr 2'!$AK276,0)+IF(IFERROR(SEARCH("Oil", 'Inputs Yr 2'!$AL276), 0),'Inputs Yr 2'!$AM276,0)+IF(IFERROR(SEARCH("Oil", 'Inputs Yr 2'!$AN276), 0),'Inputs Yr 2'!$AO276,0)),0)</f>
        <v>0</v>
      </c>
      <c r="AE276" s="257">
        <f t="shared" si="148"/>
        <v>0</v>
      </c>
      <c r="AF276" s="257">
        <f>IFERROR(AD276*'Inputs Yr 2'!$P276,0)</f>
        <v>0</v>
      </c>
      <c r="AG276" s="257">
        <f t="shared" si="149"/>
        <v>0</v>
      </c>
      <c r="AH276" s="257">
        <f>IFERROR($G276*'Inputs Yr 2'!$Q276*'Inputs Yr 2'!$U276*(IF('Inputs Yr 2'!$AJ276=CD$4,'Inputs Yr 2'!$AK276,IF('Inputs Yr 2'!$AL276=CD$4,'Inputs Yr 2'!$AM276,IF('Inputs Yr 2'!$AN276=CD$4,'Inputs Yr 2'!$AO276,0)))),0)</f>
        <v>0</v>
      </c>
      <c r="AI276" s="257">
        <f t="shared" si="150"/>
        <v>0</v>
      </c>
      <c r="AJ276" s="257">
        <f>IFERROR(AH276*'Inputs Yr 2'!$P276,0)</f>
        <v>0</v>
      </c>
      <c r="AK276" s="257">
        <f t="shared" si="151"/>
        <v>0</v>
      </c>
      <c r="AL276" s="258">
        <f>IFERROR($G276*'Inputs Yr 2'!$P276*'Inputs Yr 2'!$Q276*'Inputs Yr 2'!AP276,0)</f>
        <v>0</v>
      </c>
      <c r="AM276" s="260">
        <f>IFERROR($G276*'Inputs Yr 2'!$P276*'Inputs Yr 2'!$Q276*'Inputs Yr 2'!AQ276,0)</f>
        <v>0</v>
      </c>
      <c r="AN276" s="258">
        <f>IFERROR($G276*'Inputs Yr 2'!$P276*'Inputs Yr 2'!$Q276*'Inputs Yr 2'!AR276,0)</f>
        <v>0</v>
      </c>
      <c r="AO276" s="257">
        <f t="shared" si="152"/>
        <v>0</v>
      </c>
      <c r="AP276" s="195">
        <f>IFERROR($CQ276*(INDEX(avoidedcosttbl2,$H276,AP$2)+(($H276-ROUNDDOWN($H276,0))*(INDEX(avoidedcosttbl2,ROUNDUP($H276,0),AP$2)-(INDEX(avoidedcosttbl2,ROUNDDOWN($H276,0),AP$2)))))*$O276*1000*'Inputs Yr 2'!AA276,"")</f>
        <v>0</v>
      </c>
      <c r="AQ276" s="195">
        <f>IFERROR($CR276*(INDEX(avoidedcosttbl2,$H276,AQ$2)+(($H276-ROUNDDOWN($H276,0))*(INDEX(avoidedcosttbl2,ROUNDUP($H276,0),AQ$2)-(INDEX(avoidedcosttbl2,ROUNDDOWN($H276,0),AQ$2)))))*$O276*1000*'Inputs Yr 2'!AB276,"")</f>
        <v>0</v>
      </c>
      <c r="AR276" s="195">
        <f>IFERROR($CS276*(INDEX(avoidedcosttbl2,$H276,AR$2)+(($H276-ROUNDDOWN($H276,0))*(INDEX(avoidedcosttbl2,ROUNDUP($H276,0),AR$2)-(INDEX(avoidedcosttbl2,ROUNDDOWN($H276,0),AR$2)))))*$O276*1000*'Inputs Yr 2'!AC276,"")</f>
        <v>0</v>
      </c>
      <c r="AS276" s="195">
        <f>IFERROR($CT276*(INDEX(avoidedcosttbl2,$H276,AS$2)+(($H276-ROUNDDOWN($H276,0))*(INDEX(avoidedcosttbl2,ROUNDUP($H276,0),AS$2)-(INDEX(avoidedcosttbl2,ROUNDDOWN($H276,0),AS$2)))))*$O276*1000*'Inputs Yr 2'!AD276,"")</f>
        <v>0</v>
      </c>
      <c r="AT276" s="196">
        <f t="shared" si="153"/>
        <v>0</v>
      </c>
      <c r="AU276" s="197">
        <f>IFERROR($CQ276*((INDEX(avoidedcosttbl2,$H276,AU$2))+(($H276-ROUNDDOWN($H276,0))*((INDEX(avoidedcosttbl2,ROUNDUP($H276,0),AU$2))-(INDEX(avoidedcosttbl2,ROUNDDOWN($H276,0),AU$2)))))*$O276*1000*'Inputs Yr 2'!AA276,"")</f>
        <v>0</v>
      </c>
      <c r="AV276" s="197">
        <f>IFERROR($CR276*((INDEX(avoidedcosttbl2,$H276,AV$2))+(($H276-ROUNDDOWN($H276,0))*((INDEX(avoidedcosttbl2,ROUNDUP($H276,0),AV$2))-(INDEX(avoidedcosttbl2,ROUNDDOWN($H276,0),AV$2)))))*$O276*1000*'Inputs Yr 2'!AB276,"")</f>
        <v>0</v>
      </c>
      <c r="AW276" s="197">
        <f>IFERROR($CS276*((INDEX(avoidedcosttbl2,$H276,AW$2))+(($H276-ROUNDDOWN($H276,0))*((INDEX(avoidedcosttbl2,ROUNDUP($H276,0),AW$2))-(INDEX(avoidedcosttbl2,ROUNDDOWN($H276,0),AW$2)))))*$O276*1000*'Inputs Yr 2'!AC276,"")</f>
        <v>0</v>
      </c>
      <c r="AX276" s="197">
        <f>IFERROR($CT276*((INDEX(avoidedcosttbl2,$H276,AX$2))+(($H276-ROUNDDOWN($H276,0))*((INDEX(avoidedcosttbl2,ROUNDUP($H276,0),AX$2))-(INDEX(avoidedcosttbl2,ROUNDDOWN($H276,0),AX$2)))))*$O276*1000*'Inputs Yr 2'!AD276,"")</f>
        <v>0</v>
      </c>
      <c r="AY276" s="197">
        <f>IFERROR(((INDEX(avoidedcosttbl2,$H276,AY$2))+(($H276-ROUNDDOWN($H276,0))*((INDEX(avoidedcosttbl2,ROUNDUP($H276,0),AY$2))-(INDEX(avoidedcosttbl2,ROUNDDOWN($H276,0),AY$2)))))*$O276*1000*('Inputs Yr 2'!AC276+'Inputs Yr 2'!AD276),"")</f>
        <v>0</v>
      </c>
      <c r="AZ276" s="197">
        <f>IFERROR(((INDEX(avoidedcosttbl2,$H276,AZ$2))+(($H276-ROUNDDOWN($H276,0))*((INDEX(avoidedcosttbl2,ROUNDUP($H276,0),AZ$2))-(INDEX(avoidedcosttbl2,ROUNDDOWN($H276,0),AZ$2)))))*$O276*1000*('Inputs Yr 2'!AA276+'Inputs Yr 2'!AB276),"")</f>
        <v>0</v>
      </c>
      <c r="BA276" s="198">
        <f t="shared" si="154"/>
        <v>0</v>
      </c>
      <c r="BB276" s="198">
        <f t="shared" si="155"/>
        <v>0</v>
      </c>
      <c r="BC276" s="195">
        <f t="shared" si="137"/>
        <v>0</v>
      </c>
      <c r="BD276" s="195">
        <f t="shared" si="138"/>
        <v>0</v>
      </c>
      <c r="BE276" s="195">
        <f t="shared" si="139"/>
        <v>0</v>
      </c>
      <c r="BF276" s="195">
        <f t="shared" si="140"/>
        <v>0</v>
      </c>
      <c r="BG276" s="195">
        <f t="shared" si="141"/>
        <v>0</v>
      </c>
      <c r="BH276" s="196">
        <f t="shared" si="156"/>
        <v>0</v>
      </c>
      <c r="BI276" s="196">
        <f t="shared" si="157"/>
        <v>0</v>
      </c>
      <c r="BJ276" s="195">
        <f>IFERROR($G276*(IF('Inputs Yr 2'!$AJ276=BJ$4,'Inputs Yr 2'!$AK276,IF('Inputs Yr 2'!$AL276=BJ$4,'Inputs Yr 2'!$AM276,IF('Inputs Yr 2'!$AN276=BJ$4,'Inputs Yr 2'!$AO276,0))))*(INDEX(avoidedcosttbl2,$H276,BJ$2)+(($H276-ROUNDDOWN($H276,0))*(INDEX(avoidedcosttbl2,ROUNDUP($H276,0),BJ$2)-(INDEX(avoidedcosttbl2,ROUNDDOWN($H276,0),BJ$2)))))*'Inputs Yr 2'!P276*'Inputs Yr 2'!Q276*'Inputs Yr 2'!U276,"")</f>
        <v>0</v>
      </c>
      <c r="BK276" s="195">
        <f>IFERROR($G276*(IF('Inputs Yr 2'!$AJ276=BK$4,'Inputs Yr 2'!$AK276,IF('Inputs Yr 2'!$AL276=BK$4,'Inputs Yr 2'!$AM276,IF('Inputs Yr 2'!$AN276=BK$4,'Inputs Yr 2'!$AO276,0))))*(INDEX(avoidedcosttbl2,$H276,BK$2)+(($H276-ROUNDDOWN($H276,0))*(INDEX(avoidedcosttbl2,ROUNDUP($H276,0),BK$2)-(INDEX(avoidedcosttbl2,ROUNDDOWN($H276,0),BK$2)))))*'Inputs Yr 2'!P276*'Inputs Yr 2'!Q276*'Inputs Yr 2'!U276,"")</f>
        <v>0</v>
      </c>
      <c r="BL276" s="195">
        <f>IFERROR($G276*(IF('Inputs Yr 2'!$AJ276=BL$4,'Inputs Yr 2'!$AK276,IF('Inputs Yr 2'!$AL276=BL$4,'Inputs Yr 2'!$AM276,IF('Inputs Yr 2'!$AN276=BL$4,'Inputs Yr 2'!$AO276,0))))*(INDEX(avoidedcosttbl2,$H276,BL$2)+(($H276-ROUNDDOWN($H276,0))*(INDEX(avoidedcosttbl2,ROUNDUP($H276,0),BL$2)-(INDEX(avoidedcosttbl2,ROUNDDOWN($H276,0),BL$2)))))*'Inputs Yr 2'!P276*'Inputs Yr 2'!Q276*'Inputs Yr 2'!U276,"")</f>
        <v>0</v>
      </c>
      <c r="BM276" s="195">
        <f>IFERROR($G276*(IF('Inputs Yr 2'!$AJ276=BM$4,'Inputs Yr 2'!$AK276,IF('Inputs Yr 2'!$AL276=BM$4,'Inputs Yr 2'!$AM276,IF('Inputs Yr 2'!$AN276=BM$4,'Inputs Yr 2'!$AO276,0))))*(INDEX(avoidedcosttbl2,$H276,BM$2)+(($H276-ROUNDDOWN($H276,0))*(INDEX(avoidedcosttbl2,ROUNDUP($H276,0),BM$2)-(INDEX(avoidedcosttbl2,ROUNDDOWN($H276,0),BM$2)))))*'Inputs Yr 2'!P276*'Inputs Yr 2'!Q276*'Inputs Yr 2'!U276,"")</f>
        <v>0</v>
      </c>
      <c r="BN276" s="195">
        <f>IFERROR($G276*(IF('Inputs Yr 2'!$AJ276=BN$4,'Inputs Yr 2'!$AK276,IF('Inputs Yr 2'!$AL276=BN$4,'Inputs Yr 2'!$AM276,IF('Inputs Yr 2'!$AN276=BN$4,'Inputs Yr 2'!$AO276,0))))*(INDEX(avoidedcosttbl2,$H276,BN$2)+(($H276-ROUNDDOWN($H276,0))*(INDEX(avoidedcosttbl2,ROUNDUP($H276,0),BN$2)-(INDEX(avoidedcosttbl2,ROUNDDOWN($H276,0),BN$2)))))*'Inputs Yr 2'!P276*'Inputs Yr 2'!Q276*'Inputs Yr 2'!U276,"")</f>
        <v>0</v>
      </c>
      <c r="BO276" s="195">
        <f>IFERROR($G276*(IF('Inputs Yr 2'!$AJ276=BO$4,'Inputs Yr 2'!$AK276,IF('Inputs Yr 2'!$AL276=BO$4,'Inputs Yr 2'!$AM276,IF('Inputs Yr 2'!$AN276=BO$4,'Inputs Yr 2'!$AO276,0))))*(INDEX(avoidedcosttbl2,$H276,BO$2)+(($H276-ROUNDDOWN($H276,0))*(INDEX(avoidedcosttbl2,ROUNDUP($H276,0),BO$2)-(INDEX(avoidedcosttbl2,ROUNDDOWN($H276,0),BO$2)))))*'Inputs Yr 2'!P276*'Inputs Yr 2'!Q276*'Inputs Yr 2'!U276,"")</f>
        <v>12351.470745231627</v>
      </c>
      <c r="BP276" s="195">
        <f>IFERROR($G276*(IF('Inputs Yr 2'!$AJ276=BP$4,'Inputs Yr 2'!$AK276,IF('Inputs Yr 2'!$AL276=BP$4,'Inputs Yr 2'!$AM276,IF('Inputs Yr 2'!$AN276=BP$4,'Inputs Yr 2'!$AO276,0))))*(INDEX(avoidedcosttbl2,$H276,BP$2)+(($H276-ROUNDDOWN($H276,0))*(INDEX(avoidedcosttbl2,ROUNDUP($H276,0),BP$2)-(INDEX(avoidedcosttbl2,ROUNDDOWN($H276,0),BP$2)))))*'Inputs Yr 2'!P276*'Inputs Yr 2'!Q276*'Inputs Yr 2'!U276,"")</f>
        <v>0</v>
      </c>
      <c r="BQ276" s="230">
        <f t="shared" si="158"/>
        <v>12351.470745231627</v>
      </c>
      <c r="BR276" s="197">
        <f t="shared" si="142"/>
        <v>214.65934118333573</v>
      </c>
      <c r="BS276" s="197">
        <f>IFERROR(($G276*IF('Inputs Yr 2'!$AJ276=BM$4,'Inputs Yr 2'!$AK276,IF('Inputs Yr 2'!$AL276=BM$4,'Inputs Yr 2'!$AM276,IF('Inputs Yr 2'!$AN276=BM$4,'Inputs Yr 2'!$AO276,0))))*(INDEX(avoidedcosttbl2,$H276,BS$2)+(($H276-ROUNDDOWN($H276,0))*(INDEX(avoidedcosttbl2,ROUNDUP($H276,0),BS$2)-(INDEX(avoidedcosttbl2,ROUNDDOWN($H276,0),BS$2)))))*'Inputs Yr 2'!P276*'Inputs Yr 2'!Q276*'Inputs Yr 2'!U276,"")</f>
        <v>0</v>
      </c>
      <c r="BT276" s="197">
        <f>IFERROR(($G276*IF('Inputs Yr 2'!$AJ276=BK$4,'Inputs Yr 2'!$AK276,IF('Inputs Yr 2'!$AL276=BK$4,'Inputs Yr 2'!$AM276,IF('Inputs Yr 2'!$AN276=BK$4,'Inputs Yr 2'!$AO276,0))))*(INDEX(avoidedcosttbl2,$H276,BT$2)+(($H276-ROUNDDOWN($H276,0))*(INDEX(avoidedcosttbl2,ROUNDUP($H276,0),BT$2)-(INDEX(avoidedcosttbl2,ROUNDDOWN($H276,0),BT$2)))))*'Inputs Yr 2'!P276*'Inputs Yr 2'!Q276*'Inputs Yr 2'!U276,"")</f>
        <v>0</v>
      </c>
      <c r="BU276" s="197">
        <f>IFERROR(($G276*IF('Inputs Yr 2'!$AJ276=BL$4,'Inputs Yr 2'!$AK276,IF('Inputs Yr 2'!$AL276=BL$4,'Inputs Yr 2'!$AM276,IF('Inputs Yr 2'!$AN276=BL$4,'Inputs Yr 2'!$AO276,0))))*(INDEX(avoidedcosttbl2,$H276,BU$2)+(($H276-ROUNDDOWN($H276,0))*(INDEX(avoidedcosttbl2,ROUNDUP($H276,0),BU$2)-(INDEX(avoidedcosttbl2,ROUNDDOWN($H276,0),BU$2)))))*'Inputs Yr 2'!P276*'Inputs Yr 2'!Q276*'Inputs Yr 2'!U276,"")</f>
        <v>0</v>
      </c>
      <c r="BV276" s="775">
        <f>IFERROR(($G276*IF('Inputs Yr 2'!$AJ276=BJ$4,'Inputs Yr 2'!$AK276,IF('Inputs Yr 2'!$AL276=BJ$4,'Inputs Yr 2'!$AM276,IF('Inputs Yr 2'!$AN276=BJ$4,'Inputs Yr 2'!$AO276,0))))*(INDEX(avoidedcosttbl2,$H276,BV$2)+(($H276-ROUNDDOWN($H276,0))*(INDEX(avoidedcosttbl2,ROUNDUP($H276,0),BV$2)-(INDEX(avoidedcosttbl2,ROUNDDOWN($H276,0),BV$2)))))*'Inputs Yr 2'!P276*'Inputs Yr 2'!Q276*'Inputs Yr 2'!U276,"")</f>
        <v>0</v>
      </c>
      <c r="BW276" s="197">
        <f>IFERROR(($G276*IF('Inputs Yr 2'!$AJ276=BN$4,'Inputs Yr 2'!$AK276,IF('Inputs Yr 2'!$AL276=BN$4,'Inputs Yr 2'!$AM276,IF('Inputs Yr 2'!$AN276=BN$4,'Inputs Yr 2'!$AO276,0))))*(INDEX(avoidedcosttbl2,$H276,BW$2)+(($H276-ROUNDDOWN($H276,0))*(INDEX(avoidedcosttbl2,ROUNDUP($H276,0),BW$2)-(INDEX(avoidedcosttbl2,ROUNDDOWN($H276,0),BW$2)))))*'Inputs Yr 2'!P276*'Inputs Yr 2'!Q276*'Inputs Yr 2'!U276,"")</f>
        <v>0</v>
      </c>
      <c r="BX276" s="197">
        <f>IFERROR(($G276*IF('Inputs Yr 2'!$AJ276=BO$4,'Inputs Yr 2'!$AK276,IF('Inputs Yr 2'!$AL276=BO$4,'Inputs Yr 2'!$AM276,IF('Inputs Yr 2'!$AN276=BO$4,'Inputs Yr 2'!$AO276,0))))*(INDEX(avoidedcosttbl2,$H276,BX$2)+(($H276-ROUNDDOWN($H276,0))*(INDEX(avoidedcosttbl2,ROUNDUP($H276,0),BX$2)-(INDEX(avoidedcosttbl2,ROUNDDOWN($H276,0),BX$2)))))*'Inputs Yr 2'!P276*'Inputs Yr 2'!Q276*'Inputs Yr 2'!U276,"")</f>
        <v>870.49122445418152</v>
      </c>
      <c r="BY276" s="197">
        <f>IFERROR(($G276*IF('Inputs Yr 2'!$AJ276=BP$4,'Inputs Yr 2'!$AK276,IF('Inputs Yr 2'!$AL276=BP$4,'Inputs Yr 2'!$AM276,IF('Inputs Yr 2'!$AN276=BP$4,'Inputs Yr 2'!$AO276,0))))*(INDEX(avoidedcosttbl2,$H276,BY$2)+(($H276-ROUNDDOWN($H276,0))*(INDEX(avoidedcosttbl2,ROUNDUP($H276,0),BY$2)-(INDEX(avoidedcosttbl2,ROUNDDOWN($H276,0),BY$2)))))*'Inputs Yr 2'!P276*'Inputs Yr 2'!Q276*'Inputs Yr 2'!U276,"")</f>
        <v>0</v>
      </c>
      <c r="BZ276" s="193">
        <f t="shared" si="159"/>
        <v>1085.1505656375173</v>
      </c>
      <c r="CA276" s="193">
        <f t="shared" si="160"/>
        <v>13436.621310869145</v>
      </c>
      <c r="CB276" s="195">
        <f>IFERROR(G276*(IF('Inputs Yr 2'!$AJ276=CB$4,'Inputs Yr 2'!$AK276,IF('Inputs Yr 2'!$AL276=CB$4,'Inputs Yr 2'!$AM276,IF('Inputs Yr 2'!$AN276=CB$4,'Inputs Yr 2'!$AO276,0))))*(INDEX(avoidedcosttbl2,$H276,CB$2)+(($H276-ROUNDDOWN($H276,0))*(INDEX(avoidedcosttbl2,ROUNDUP($H276,0),CB$2)-(INDEX(avoidedcosttbl2,ROUNDDOWN($H276,0),CB$2)))))*'Inputs Yr 2'!P276*'Inputs Yr 2'!Q276*'Inputs Yr 2'!U276,"")</f>
        <v>0</v>
      </c>
      <c r="CC276" s="195">
        <f>IFERROR(H276*(IF('Inputs Yr 2'!$AJ276=CC$4,'Inputs Yr 2'!$AK276,IF('Inputs Yr 2'!$AL276=CC$4,'Inputs Yr 2'!$AM276,IF('Inputs Yr 2'!$AN276=CC$4,'Inputs Yr 2'!$AO276,0))))*(INDEX(avoidedcosttbl2,$H276,CC$2)+(($H276-ROUNDDOWN($H276,0))*(INDEX(avoidedcosttbl2,ROUNDUP($H276,0),CC$2)-(INDEX(avoidedcosttbl2,ROUNDDOWN($H276,0),CC$2)))))*'Inputs Yr 2'!Q276*'Inputs Yr 2'!R276*'Inputs Yr 2'!V276,"")</f>
        <v>0</v>
      </c>
      <c r="CD276" s="195">
        <f>IFERROR(I276*(IF('Inputs Yr 2'!$AJ276=CD$4,'Inputs Yr 2'!$AK276,IF('Inputs Yr 2'!$AL276=CD$4,'Inputs Yr 2'!$AM276,IF('Inputs Yr 2'!$AN276=CD$4,'Inputs Yr 2'!$AO276,0))))*(INDEX(avoidedcosttbl2,$H276,CD$2)+(($H276-ROUNDDOWN($H276,0))*(INDEX(avoidedcosttbl2,ROUNDUP($H276,0),CD$2)-(INDEX(avoidedcosttbl2,ROUNDDOWN($H276,0),CD$2)))))*'Inputs Yr 2'!R276*'Inputs Yr 2'!S276*'Inputs Yr 2'!W276,"")</f>
        <v>0</v>
      </c>
      <c r="CE276" s="213">
        <f t="shared" si="161"/>
        <v>0</v>
      </c>
      <c r="CF276" s="213">
        <f t="shared" si="162"/>
        <v>0</v>
      </c>
      <c r="CG276" s="213">
        <f t="shared" si="163"/>
        <v>0</v>
      </c>
      <c r="CH276" s="698">
        <f t="shared" si="164"/>
        <v>13436.621310869145</v>
      </c>
      <c r="CI276" s="79">
        <f>IFERROR(($G276*'Inputs Yr 2'!$P276*'Inputs Yr 2'!$Q276*(((INDEX(avoidedcosttbl2,$H276,CI$2)+(($H276-ROUNDDOWN($H276,0))*(INDEX(avoidedcosttbl2,ROUNDUP($H276,0),CI$2)-INDEX(avoidedcosttbl2,ROUNDDOWN($H276,0),CI$2))))*'Inputs Yr 2'!AS276))),"")</f>
        <v>0</v>
      </c>
      <c r="CJ276" s="504">
        <f>IFERROR($G276*'Inputs Yr 2'!AT276*'Inputs Yr 2'!$P276*'Inputs Yr 2'!$Q276/((1+realdiscrt1)^-0.5),"")</f>
        <v>0</v>
      </c>
      <c r="CK276" s="79">
        <f>IFERROR((O276*1000*(((INDEX(avoidedcosttbl2,$H276,CK$2)+(($H276-ROUNDDOWN($H276,0))*(INDEX(avoidedcosttbl2,ROUNDUP($H276,0),CK$2)-INDEX(avoidedcosttbl2,ROUNDDOWN($H276,0),CK$2))))*'Inputs Yr 2'!AU276))),"")</f>
        <v>0</v>
      </c>
      <c r="CL276" s="504">
        <f>IFERROR(O276*1000*'Inputs Yr 2'!AV276/((1+realdiscrt1)^-0.5),"")</f>
        <v>0</v>
      </c>
      <c r="CM276" s="79">
        <f>IFERROR((AB276*'Inputs Yr 2'!AW276*(((INDEX(avoidedcosttbl2,$H276,CM$2)+(($H276-ROUNDDOWN($H276,0))*(INDEX(avoidedcosttbl2,ROUNDUP($H276,0),CM$2)-INDEX(avoidedcosttbl2,ROUNDDOWN($H276,0),CM$2)))))))*10,"")</f>
        <v>20691.302167223479</v>
      </c>
      <c r="CN276" s="504">
        <f>IFERROR(10*AB276*'Inputs Yr 2'!AX276/((1+realdiscrt1)^-0.5),"")</f>
        <v>0</v>
      </c>
      <c r="CO276" s="505">
        <f t="shared" si="165"/>
        <v>20691.302167223479</v>
      </c>
      <c r="CP276" s="230">
        <f t="shared" si="166"/>
        <v>34127.92347809262</v>
      </c>
      <c r="CQ276" s="199">
        <f>ROUND(IFERROR(IF(LEFT($A276,1)="C",'Avoided Costs'!$K$13,'Avoided Costs'!$K$12)+1,""),4)</f>
        <v>1.0720000000000001</v>
      </c>
      <c r="CR276" s="199">
        <f>ROUND(IFERROR(IF(LEFT($A276,1)="C",'Avoided Costs'!$L$13,'Avoided Costs'!$L$12)+1,""),4)</f>
        <v>1.04</v>
      </c>
      <c r="CS276" s="199">
        <f>ROUND(IFERROR(IF(LEFT($A276,1)="C",'Avoided Costs'!$M$13,'Avoided Costs'!$M$12)+1,""),4)</f>
        <v>1.0720000000000001</v>
      </c>
      <c r="CT276" s="199">
        <f>ROUND(IFERROR(IF(LEFT($A276,1)="C",'Avoided Costs'!$N$13,'Avoided Costs'!$N$12)+1,""),4)</f>
        <v>1.04</v>
      </c>
      <c r="CU276" s="199">
        <f>ROUND(IFERROR(IF(LEFT($A276,1)="C",'Avoided Costs'!$O$13,'Avoided Costs'!$O$12)+1,""),4)</f>
        <v>1.1120000000000001</v>
      </c>
      <c r="CV276" s="199">
        <f>ROUND(IFERROR(IF(LEFT($A276,1)="C",'Avoided Costs'!$P$13,'Avoided Costs'!$P$12)+1,""),4)</f>
        <v>1.095</v>
      </c>
      <c r="CW276" s="199">
        <f>ROUND(IFERROR(IF(LEFT($A276,1)="C",'Avoided Costs'!$Q$13,'Avoided Costs'!$Q$12)+1,""),4)</f>
        <v>1.1120000000000001</v>
      </c>
      <c r="CX276" s="200">
        <f>ROUND(IFERROR(IF(LEFT($A276,1)="C",'Avoided Costs'!$R$13,'Avoided Costs'!$R$12)+1,""),4)</f>
        <v>1.1120000000000001</v>
      </c>
    </row>
    <row r="277" spans="1:102" ht="12.75" customHeight="1">
      <c r="A277" s="91" t="str">
        <f>IF('Inputs Yr 2'!$B277=0,"",'Inputs Yr 2'!A277)</f>
        <v>C - Commercial &amp; Industrial</v>
      </c>
      <c r="B277" s="91" t="str">
        <f>IF('Inputs Yr 2'!$B277=0,"",'Inputs Yr 2'!B277)</f>
        <v>C2 - C&amp;I Retrofit</v>
      </c>
      <c r="C277" s="91" t="str">
        <f>IF('Inputs Yr 2'!$B277=0,"",'Inputs Yr 2'!C277)</f>
        <v>C2a - C&amp;I Existing Building Retrofit</v>
      </c>
      <c r="D277" s="91" t="str">
        <f>IF('Inputs Yr 2'!$B277=0,"",'Inputs Yr 2'!E277)</f>
        <v>Programmable Thermostat (also controls elec cooling)</v>
      </c>
      <c r="E277" s="93" t="str">
        <f>IF('Inputs Yr 2'!$B277=0,"",'Inputs Yr 2'!F277)</f>
        <v>G16C2a36</v>
      </c>
      <c r="F277" s="93" t="str">
        <f>IF('Inputs Yr 2'!$B277=0,"",'Inputs Yr 2'!G277)</f>
        <v>HVAC</v>
      </c>
      <c r="G277" s="95" t="str">
        <f>IF('Inputs Yr 2'!$H277&lt;&gt;0,('Inputs Yr 2'!H277),"")</f>
        <v/>
      </c>
      <c r="H277" s="94">
        <f>IFERROR('Inputs Yr 2'!I277,"")</f>
        <v>15</v>
      </c>
      <c r="I277" s="298" t="str">
        <f>IFERROR('Inputs Yr 2'!J277*'Inputs Yr 2'!P277*G277,"")</f>
        <v/>
      </c>
      <c r="J277" s="298" t="str">
        <f>IFERROR('Inputs Yr 2'!K277*G277,"")</f>
        <v/>
      </c>
      <c r="K277" s="298" t="str">
        <f t="shared" si="143"/>
        <v/>
      </c>
      <c r="L277" s="194" t="str">
        <f>IFERROR(('Inputs Yr 2'!W277*G277)/1000,"")</f>
        <v/>
      </c>
      <c r="M277" s="194" t="str">
        <f>IFERROR(L277*('Inputs Yr 2'!$Q277*'Inputs Yr 2'!$V277*'Inputs Yr 2'!$R277),"")</f>
        <v/>
      </c>
      <c r="N277" s="194" t="str">
        <f t="shared" si="144"/>
        <v/>
      </c>
      <c r="O277" s="194" t="str">
        <f>IFERROR(M277*'Inputs Yr 2'!P277,"")</f>
        <v/>
      </c>
      <c r="P277" s="194" t="str">
        <f t="shared" si="145"/>
        <v/>
      </c>
      <c r="Q277" s="194" t="str">
        <f>IFERROR($P277*'Inputs Yr 2'!AA277,"")</f>
        <v/>
      </c>
      <c r="R277" s="194" t="str">
        <f>IFERROR($P277*'Inputs Yr 2'!AB277,"")</f>
        <v/>
      </c>
      <c r="S277" s="194" t="str">
        <f>IFERROR($P277*'Inputs Yr 2'!AC277,"")</f>
        <v/>
      </c>
      <c r="T277" s="194" t="str">
        <f>IFERROR($P277*'Inputs Yr 2'!AD277,"")</f>
        <v/>
      </c>
      <c r="U277" s="194" t="str">
        <f>IFERROR(G277*'Inputs Yr 2'!$AE277*'Inputs Yr 2'!$P277*'Inputs Yr 2'!$Q277,"")</f>
        <v/>
      </c>
      <c r="V277" s="194" t="str">
        <f>IFERROR($G277*'Inputs Yr 2'!$AE277*'Inputs Yr 2'!$AG277*'Inputs Yr 2'!Q277*'Inputs Yr 2'!$S277,"")</f>
        <v/>
      </c>
      <c r="W277" s="194" t="str">
        <f>IFERROR($G277*'Inputs Yr 2'!$AE277*'Inputs Yr 2'!$AG277*'Inputs Yr 2'!P277*'Inputs Yr 2'!Q277*'Inputs Yr 2'!$S277,"")</f>
        <v/>
      </c>
      <c r="X277" s="194" t="str">
        <f>IFERROR($G277*'Inputs Yr 2'!$AE277*'Inputs Yr 2'!$AF277*'Inputs Yr 2'!Q277*'Inputs Yr 2'!$T277,"")</f>
        <v/>
      </c>
      <c r="Y277" s="194" t="str">
        <f>IFERROR($G277*'Inputs Yr 2'!$AE277*'Inputs Yr 2'!$AF277*'Inputs Yr 2'!P277*'Inputs Yr 2'!Q277*'Inputs Yr 2'!$T277,"")</f>
        <v/>
      </c>
      <c r="Z277" s="257">
        <f>IFERROR($G277*'Inputs Yr 2'!$Q277*'Inputs Yr 2'!$U277*(IF(IFERROR(SEARCH("NG", 'Inputs Yr 2'!$AJ277),0),'Inputs Yr 2'!$AK277,0)+IF(IFERROR(SEARCH("NG", 'Inputs Yr 2'!$AL277),0),'Inputs Yr 2'!$AM277,0)+IF(IFERROR(SEARCH("NG", 'Inputs Yr 2'!$AN277),0),'Inputs Yr 2'!$AO277,0)),0)</f>
        <v>0</v>
      </c>
      <c r="AA277" s="257">
        <f t="shared" si="146"/>
        <v>0</v>
      </c>
      <c r="AB277" s="257">
        <f>IFERROR(Z277*'Inputs Yr 2'!$P277,0)</f>
        <v>0</v>
      </c>
      <c r="AC277" s="257">
        <f t="shared" si="147"/>
        <v>0</v>
      </c>
      <c r="AD277" s="257">
        <f>IFERROR($G277*'Inputs Yr 2'!$Q277*'Inputs Yr 2'!$U277*(IF(IFERROR(SEARCH("Oil", 'Inputs Yr 2'!$AJ277), 0),'Inputs Yr 2'!$AK277,0)+IF(IFERROR(SEARCH("Oil", 'Inputs Yr 2'!$AL277), 0),'Inputs Yr 2'!$AM277,0)+IF(IFERROR(SEARCH("Oil", 'Inputs Yr 2'!$AN277), 0),'Inputs Yr 2'!$AO277,0)),0)</f>
        <v>0</v>
      </c>
      <c r="AE277" s="257">
        <f t="shared" si="148"/>
        <v>0</v>
      </c>
      <c r="AF277" s="257">
        <f>IFERROR(AD277*'Inputs Yr 2'!$P277,0)</f>
        <v>0</v>
      </c>
      <c r="AG277" s="257">
        <f t="shared" si="149"/>
        <v>0</v>
      </c>
      <c r="AH277" s="257">
        <f>IFERROR($G277*'Inputs Yr 2'!$Q277*'Inputs Yr 2'!$U277*(IF('Inputs Yr 2'!$AJ277=CD$4,'Inputs Yr 2'!$AK277,IF('Inputs Yr 2'!$AL277=CD$4,'Inputs Yr 2'!$AM277,IF('Inputs Yr 2'!$AN277=CD$4,'Inputs Yr 2'!$AO277,0)))),0)</f>
        <v>0</v>
      </c>
      <c r="AI277" s="257">
        <f t="shared" si="150"/>
        <v>0</v>
      </c>
      <c r="AJ277" s="257">
        <f>IFERROR(AH277*'Inputs Yr 2'!$P277,0)</f>
        <v>0</v>
      </c>
      <c r="AK277" s="257">
        <f t="shared" si="151"/>
        <v>0</v>
      </c>
      <c r="AL277" s="258">
        <f>IFERROR($G277*'Inputs Yr 2'!$P277*'Inputs Yr 2'!$Q277*'Inputs Yr 2'!AP277,0)</f>
        <v>0</v>
      </c>
      <c r="AM277" s="260">
        <f>IFERROR($G277*'Inputs Yr 2'!$P277*'Inputs Yr 2'!$Q277*'Inputs Yr 2'!AQ277,0)</f>
        <v>0</v>
      </c>
      <c r="AN277" s="258">
        <f>IFERROR($G277*'Inputs Yr 2'!$P277*'Inputs Yr 2'!$Q277*'Inputs Yr 2'!AR277,0)</f>
        <v>0</v>
      </c>
      <c r="AO277" s="257">
        <f t="shared" si="152"/>
        <v>0</v>
      </c>
      <c r="AP277" s="195" t="str">
        <f>IFERROR($CQ277*(INDEX(avoidedcosttbl2,$H277,AP$2)+(($H277-ROUNDDOWN($H277,0))*(INDEX(avoidedcosttbl2,ROUNDUP($H277,0),AP$2)-(INDEX(avoidedcosttbl2,ROUNDDOWN($H277,0),AP$2)))))*$O277*1000*'Inputs Yr 2'!AA277,"")</f>
        <v/>
      </c>
      <c r="AQ277" s="195" t="str">
        <f>IFERROR($CR277*(INDEX(avoidedcosttbl2,$H277,AQ$2)+(($H277-ROUNDDOWN($H277,0))*(INDEX(avoidedcosttbl2,ROUNDUP($H277,0),AQ$2)-(INDEX(avoidedcosttbl2,ROUNDDOWN($H277,0),AQ$2)))))*$O277*1000*'Inputs Yr 2'!AB277,"")</f>
        <v/>
      </c>
      <c r="AR277" s="195" t="str">
        <f>IFERROR($CS277*(INDEX(avoidedcosttbl2,$H277,AR$2)+(($H277-ROUNDDOWN($H277,0))*(INDEX(avoidedcosttbl2,ROUNDUP($H277,0),AR$2)-(INDEX(avoidedcosttbl2,ROUNDDOWN($H277,0),AR$2)))))*$O277*1000*'Inputs Yr 2'!AC277,"")</f>
        <v/>
      </c>
      <c r="AS277" s="195" t="str">
        <f>IFERROR($CT277*(INDEX(avoidedcosttbl2,$H277,AS$2)+(($H277-ROUNDDOWN($H277,0))*(INDEX(avoidedcosttbl2,ROUNDUP($H277,0),AS$2)-(INDEX(avoidedcosttbl2,ROUNDDOWN($H277,0),AS$2)))))*$O277*1000*'Inputs Yr 2'!AD277,"")</f>
        <v/>
      </c>
      <c r="AT277" s="196">
        <f t="shared" si="153"/>
        <v>0</v>
      </c>
      <c r="AU277" s="197" t="str">
        <f>IFERROR($CQ277*((INDEX(avoidedcosttbl2,$H277,AU$2))+(($H277-ROUNDDOWN($H277,0))*((INDEX(avoidedcosttbl2,ROUNDUP($H277,0),AU$2))-(INDEX(avoidedcosttbl2,ROUNDDOWN($H277,0),AU$2)))))*$O277*1000*'Inputs Yr 2'!AA277,"")</f>
        <v/>
      </c>
      <c r="AV277" s="197" t="str">
        <f>IFERROR($CR277*((INDEX(avoidedcosttbl2,$H277,AV$2))+(($H277-ROUNDDOWN($H277,0))*((INDEX(avoidedcosttbl2,ROUNDUP($H277,0),AV$2))-(INDEX(avoidedcosttbl2,ROUNDDOWN($H277,0),AV$2)))))*$O277*1000*'Inputs Yr 2'!AB277,"")</f>
        <v/>
      </c>
      <c r="AW277" s="197" t="str">
        <f>IFERROR($CS277*((INDEX(avoidedcosttbl2,$H277,AW$2))+(($H277-ROUNDDOWN($H277,0))*((INDEX(avoidedcosttbl2,ROUNDUP($H277,0),AW$2))-(INDEX(avoidedcosttbl2,ROUNDDOWN($H277,0),AW$2)))))*$O277*1000*'Inputs Yr 2'!AC277,"")</f>
        <v/>
      </c>
      <c r="AX277" s="197" t="str">
        <f>IFERROR($CT277*((INDEX(avoidedcosttbl2,$H277,AX$2))+(($H277-ROUNDDOWN($H277,0))*((INDEX(avoidedcosttbl2,ROUNDUP($H277,0),AX$2))-(INDEX(avoidedcosttbl2,ROUNDDOWN($H277,0),AX$2)))))*$O277*1000*'Inputs Yr 2'!AD277,"")</f>
        <v/>
      </c>
      <c r="AY277" s="197" t="str">
        <f>IFERROR(((INDEX(avoidedcosttbl2,$H277,AY$2))+(($H277-ROUNDDOWN($H277,0))*((INDEX(avoidedcosttbl2,ROUNDUP($H277,0),AY$2))-(INDEX(avoidedcosttbl2,ROUNDDOWN($H277,0),AY$2)))))*$O277*1000*('Inputs Yr 2'!AC277+'Inputs Yr 2'!AD277),"")</f>
        <v/>
      </c>
      <c r="AZ277" s="197" t="str">
        <f>IFERROR(((INDEX(avoidedcosttbl2,$H277,AZ$2))+(($H277-ROUNDDOWN($H277,0))*((INDEX(avoidedcosttbl2,ROUNDUP($H277,0),AZ$2))-(INDEX(avoidedcosttbl2,ROUNDDOWN($H277,0),AZ$2)))))*$O277*1000*('Inputs Yr 2'!AA277+'Inputs Yr 2'!AB277),"")</f>
        <v/>
      </c>
      <c r="BA277" s="198">
        <f t="shared" si="154"/>
        <v>0</v>
      </c>
      <c r="BB277" s="198">
        <f t="shared" si="155"/>
        <v>0</v>
      </c>
      <c r="BC277" s="195" t="str">
        <f t="shared" si="137"/>
        <v/>
      </c>
      <c r="BD277" s="195" t="str">
        <f t="shared" si="138"/>
        <v/>
      </c>
      <c r="BE277" s="195" t="str">
        <f t="shared" si="139"/>
        <v/>
      </c>
      <c r="BF277" s="195" t="str">
        <f t="shared" si="140"/>
        <v/>
      </c>
      <c r="BG277" s="195" t="str">
        <f t="shared" si="141"/>
        <v/>
      </c>
      <c r="BH277" s="196">
        <f t="shared" si="156"/>
        <v>0</v>
      </c>
      <c r="BI277" s="196">
        <f t="shared" si="157"/>
        <v>0</v>
      </c>
      <c r="BJ277" s="195" t="str">
        <f>IFERROR($G277*(IF('Inputs Yr 2'!$AJ277=BJ$4,'Inputs Yr 2'!$AK277,IF('Inputs Yr 2'!$AL277=BJ$4,'Inputs Yr 2'!$AM277,IF('Inputs Yr 2'!$AN277=BJ$4,'Inputs Yr 2'!$AO277,0))))*(INDEX(avoidedcosttbl2,$H277,BJ$2)+(($H277-ROUNDDOWN($H277,0))*(INDEX(avoidedcosttbl2,ROUNDUP($H277,0),BJ$2)-(INDEX(avoidedcosttbl2,ROUNDDOWN($H277,0),BJ$2)))))*'Inputs Yr 2'!P277*'Inputs Yr 2'!Q277*'Inputs Yr 2'!U277,"")</f>
        <v/>
      </c>
      <c r="BK277" s="195" t="str">
        <f>IFERROR($G277*(IF('Inputs Yr 2'!$AJ277=BK$4,'Inputs Yr 2'!$AK277,IF('Inputs Yr 2'!$AL277=BK$4,'Inputs Yr 2'!$AM277,IF('Inputs Yr 2'!$AN277=BK$4,'Inputs Yr 2'!$AO277,0))))*(INDEX(avoidedcosttbl2,$H277,BK$2)+(($H277-ROUNDDOWN($H277,0))*(INDEX(avoidedcosttbl2,ROUNDUP($H277,0),BK$2)-(INDEX(avoidedcosttbl2,ROUNDDOWN($H277,0),BK$2)))))*'Inputs Yr 2'!P277*'Inputs Yr 2'!Q277*'Inputs Yr 2'!U277,"")</f>
        <v/>
      </c>
      <c r="BL277" s="195" t="str">
        <f>IFERROR($G277*(IF('Inputs Yr 2'!$AJ277=BL$4,'Inputs Yr 2'!$AK277,IF('Inputs Yr 2'!$AL277=BL$4,'Inputs Yr 2'!$AM277,IF('Inputs Yr 2'!$AN277=BL$4,'Inputs Yr 2'!$AO277,0))))*(INDEX(avoidedcosttbl2,$H277,BL$2)+(($H277-ROUNDDOWN($H277,0))*(INDEX(avoidedcosttbl2,ROUNDUP($H277,0),BL$2)-(INDEX(avoidedcosttbl2,ROUNDDOWN($H277,0),BL$2)))))*'Inputs Yr 2'!P277*'Inputs Yr 2'!Q277*'Inputs Yr 2'!U277,"")</f>
        <v/>
      </c>
      <c r="BM277" s="195" t="str">
        <f>IFERROR($G277*(IF('Inputs Yr 2'!$AJ277=BM$4,'Inputs Yr 2'!$AK277,IF('Inputs Yr 2'!$AL277=BM$4,'Inputs Yr 2'!$AM277,IF('Inputs Yr 2'!$AN277=BM$4,'Inputs Yr 2'!$AO277,0))))*(INDEX(avoidedcosttbl2,$H277,BM$2)+(($H277-ROUNDDOWN($H277,0))*(INDEX(avoidedcosttbl2,ROUNDUP($H277,0),BM$2)-(INDEX(avoidedcosttbl2,ROUNDDOWN($H277,0),BM$2)))))*'Inputs Yr 2'!P277*'Inputs Yr 2'!Q277*'Inputs Yr 2'!U277,"")</f>
        <v/>
      </c>
      <c r="BN277" s="195" t="str">
        <f>IFERROR($G277*(IF('Inputs Yr 2'!$AJ277=BN$4,'Inputs Yr 2'!$AK277,IF('Inputs Yr 2'!$AL277=BN$4,'Inputs Yr 2'!$AM277,IF('Inputs Yr 2'!$AN277=BN$4,'Inputs Yr 2'!$AO277,0))))*(INDEX(avoidedcosttbl2,$H277,BN$2)+(($H277-ROUNDDOWN($H277,0))*(INDEX(avoidedcosttbl2,ROUNDUP($H277,0),BN$2)-(INDEX(avoidedcosttbl2,ROUNDDOWN($H277,0),BN$2)))))*'Inputs Yr 2'!P277*'Inputs Yr 2'!Q277*'Inputs Yr 2'!U277,"")</f>
        <v/>
      </c>
      <c r="BO277" s="195" t="str">
        <f>IFERROR($G277*(IF('Inputs Yr 2'!$AJ277=BO$4,'Inputs Yr 2'!$AK277,IF('Inputs Yr 2'!$AL277=BO$4,'Inputs Yr 2'!$AM277,IF('Inputs Yr 2'!$AN277=BO$4,'Inputs Yr 2'!$AO277,0))))*(INDEX(avoidedcosttbl2,$H277,BO$2)+(($H277-ROUNDDOWN($H277,0))*(INDEX(avoidedcosttbl2,ROUNDUP($H277,0),BO$2)-(INDEX(avoidedcosttbl2,ROUNDDOWN($H277,0),BO$2)))))*'Inputs Yr 2'!P277*'Inputs Yr 2'!Q277*'Inputs Yr 2'!U277,"")</f>
        <v/>
      </c>
      <c r="BP277" s="195" t="str">
        <f>IFERROR($G277*(IF('Inputs Yr 2'!$AJ277=BP$4,'Inputs Yr 2'!$AK277,IF('Inputs Yr 2'!$AL277=BP$4,'Inputs Yr 2'!$AM277,IF('Inputs Yr 2'!$AN277=BP$4,'Inputs Yr 2'!$AO277,0))))*(INDEX(avoidedcosttbl2,$H277,BP$2)+(($H277-ROUNDDOWN($H277,0))*(INDEX(avoidedcosttbl2,ROUNDUP($H277,0),BP$2)-(INDEX(avoidedcosttbl2,ROUNDDOWN($H277,0),BP$2)))))*'Inputs Yr 2'!P277*'Inputs Yr 2'!Q277*'Inputs Yr 2'!U277,"")</f>
        <v/>
      </c>
      <c r="BQ277" s="230">
        <f t="shared" si="158"/>
        <v>0</v>
      </c>
      <c r="BR277" s="197">
        <f t="shared" si="142"/>
        <v>0</v>
      </c>
      <c r="BS277" s="197" t="str">
        <f>IFERROR(($G277*IF('Inputs Yr 2'!$AJ277=BM$4,'Inputs Yr 2'!$AK277,IF('Inputs Yr 2'!$AL277=BM$4,'Inputs Yr 2'!$AM277,IF('Inputs Yr 2'!$AN277=BM$4,'Inputs Yr 2'!$AO277,0))))*(INDEX(avoidedcosttbl2,$H277,BS$2)+(($H277-ROUNDDOWN($H277,0))*(INDEX(avoidedcosttbl2,ROUNDUP($H277,0),BS$2)-(INDEX(avoidedcosttbl2,ROUNDDOWN($H277,0),BS$2)))))*'Inputs Yr 2'!P277*'Inputs Yr 2'!Q277*'Inputs Yr 2'!U277,"")</f>
        <v/>
      </c>
      <c r="BT277" s="197" t="str">
        <f>IFERROR(($G277*IF('Inputs Yr 2'!$AJ277=BK$4,'Inputs Yr 2'!$AK277,IF('Inputs Yr 2'!$AL277=BK$4,'Inputs Yr 2'!$AM277,IF('Inputs Yr 2'!$AN277=BK$4,'Inputs Yr 2'!$AO277,0))))*(INDEX(avoidedcosttbl2,$H277,BT$2)+(($H277-ROUNDDOWN($H277,0))*(INDEX(avoidedcosttbl2,ROUNDUP($H277,0),BT$2)-(INDEX(avoidedcosttbl2,ROUNDDOWN($H277,0),BT$2)))))*'Inputs Yr 2'!P277*'Inputs Yr 2'!Q277*'Inputs Yr 2'!U277,"")</f>
        <v/>
      </c>
      <c r="BU277" s="197" t="str">
        <f>IFERROR(($G277*IF('Inputs Yr 2'!$AJ277=BL$4,'Inputs Yr 2'!$AK277,IF('Inputs Yr 2'!$AL277=BL$4,'Inputs Yr 2'!$AM277,IF('Inputs Yr 2'!$AN277=BL$4,'Inputs Yr 2'!$AO277,0))))*(INDEX(avoidedcosttbl2,$H277,BU$2)+(($H277-ROUNDDOWN($H277,0))*(INDEX(avoidedcosttbl2,ROUNDUP($H277,0),BU$2)-(INDEX(avoidedcosttbl2,ROUNDDOWN($H277,0),BU$2)))))*'Inputs Yr 2'!P277*'Inputs Yr 2'!Q277*'Inputs Yr 2'!U277,"")</f>
        <v/>
      </c>
      <c r="BV277" s="775" t="str">
        <f>IFERROR(($G277*IF('Inputs Yr 2'!$AJ277=BJ$4,'Inputs Yr 2'!$AK277,IF('Inputs Yr 2'!$AL277=BJ$4,'Inputs Yr 2'!$AM277,IF('Inputs Yr 2'!$AN277=BJ$4,'Inputs Yr 2'!$AO277,0))))*(INDEX(avoidedcosttbl2,$H277,BV$2)+(($H277-ROUNDDOWN($H277,0))*(INDEX(avoidedcosttbl2,ROUNDUP($H277,0),BV$2)-(INDEX(avoidedcosttbl2,ROUNDDOWN($H277,0),BV$2)))))*'Inputs Yr 2'!P277*'Inputs Yr 2'!Q277*'Inputs Yr 2'!U277,"")</f>
        <v/>
      </c>
      <c r="BW277" s="197" t="str">
        <f>IFERROR(($G277*IF('Inputs Yr 2'!$AJ277=BN$4,'Inputs Yr 2'!$AK277,IF('Inputs Yr 2'!$AL277=BN$4,'Inputs Yr 2'!$AM277,IF('Inputs Yr 2'!$AN277=BN$4,'Inputs Yr 2'!$AO277,0))))*(INDEX(avoidedcosttbl2,$H277,BW$2)+(($H277-ROUNDDOWN($H277,0))*(INDEX(avoidedcosttbl2,ROUNDUP($H277,0),BW$2)-(INDEX(avoidedcosttbl2,ROUNDDOWN($H277,0),BW$2)))))*'Inputs Yr 2'!P277*'Inputs Yr 2'!Q277*'Inputs Yr 2'!U277,"")</f>
        <v/>
      </c>
      <c r="BX277" s="197" t="str">
        <f>IFERROR(($G277*IF('Inputs Yr 2'!$AJ277=BO$4,'Inputs Yr 2'!$AK277,IF('Inputs Yr 2'!$AL277=BO$4,'Inputs Yr 2'!$AM277,IF('Inputs Yr 2'!$AN277=BO$4,'Inputs Yr 2'!$AO277,0))))*(INDEX(avoidedcosttbl2,$H277,BX$2)+(($H277-ROUNDDOWN($H277,0))*(INDEX(avoidedcosttbl2,ROUNDUP($H277,0),BX$2)-(INDEX(avoidedcosttbl2,ROUNDDOWN($H277,0),BX$2)))))*'Inputs Yr 2'!P277*'Inputs Yr 2'!Q277*'Inputs Yr 2'!U277,"")</f>
        <v/>
      </c>
      <c r="BY277" s="197" t="str">
        <f>IFERROR(($G277*IF('Inputs Yr 2'!$AJ277=BP$4,'Inputs Yr 2'!$AK277,IF('Inputs Yr 2'!$AL277=BP$4,'Inputs Yr 2'!$AM277,IF('Inputs Yr 2'!$AN277=BP$4,'Inputs Yr 2'!$AO277,0))))*(INDEX(avoidedcosttbl2,$H277,BY$2)+(($H277-ROUNDDOWN($H277,0))*(INDEX(avoidedcosttbl2,ROUNDUP($H277,0),BY$2)-(INDEX(avoidedcosttbl2,ROUNDDOWN($H277,0),BY$2)))))*'Inputs Yr 2'!P277*'Inputs Yr 2'!Q277*'Inputs Yr 2'!U277,"")</f>
        <v/>
      </c>
      <c r="BZ277" s="193">
        <f t="shared" si="159"/>
        <v>0</v>
      </c>
      <c r="CA277" s="193">
        <f t="shared" si="160"/>
        <v>0</v>
      </c>
      <c r="CB277" s="195" t="str">
        <f>IFERROR(G277*(IF('Inputs Yr 2'!$AJ277=CB$4,'Inputs Yr 2'!$AK277,IF('Inputs Yr 2'!$AL277=CB$4,'Inputs Yr 2'!$AM277,IF('Inputs Yr 2'!$AN277=CB$4,'Inputs Yr 2'!$AO277,0))))*(INDEX(avoidedcosttbl2,$H277,CB$2)+(($H277-ROUNDDOWN($H277,0))*(INDEX(avoidedcosttbl2,ROUNDUP($H277,0),CB$2)-(INDEX(avoidedcosttbl2,ROUNDDOWN($H277,0),CB$2)))))*'Inputs Yr 2'!P277*'Inputs Yr 2'!Q277*'Inputs Yr 2'!U277,"")</f>
        <v/>
      </c>
      <c r="CC277" s="195">
        <f>IFERROR(H277*(IF('Inputs Yr 2'!$AJ277=CC$4,'Inputs Yr 2'!$AK277,IF('Inputs Yr 2'!$AL277=CC$4,'Inputs Yr 2'!$AM277,IF('Inputs Yr 2'!$AN277=CC$4,'Inputs Yr 2'!$AO277,0))))*(INDEX(avoidedcosttbl2,$H277,CC$2)+(($H277-ROUNDDOWN($H277,0))*(INDEX(avoidedcosttbl2,ROUNDUP($H277,0),CC$2)-(INDEX(avoidedcosttbl2,ROUNDDOWN($H277,0),CC$2)))))*'Inputs Yr 2'!Q277*'Inputs Yr 2'!R277*'Inputs Yr 2'!V277,"")</f>
        <v>0</v>
      </c>
      <c r="CD277" s="195" t="str">
        <f>IFERROR(I277*(IF('Inputs Yr 2'!$AJ277=CD$4,'Inputs Yr 2'!$AK277,IF('Inputs Yr 2'!$AL277=CD$4,'Inputs Yr 2'!$AM277,IF('Inputs Yr 2'!$AN277=CD$4,'Inputs Yr 2'!$AO277,0))))*(INDEX(avoidedcosttbl2,$H277,CD$2)+(($H277-ROUNDDOWN($H277,0))*(INDEX(avoidedcosttbl2,ROUNDUP($H277,0),CD$2)-(INDEX(avoidedcosttbl2,ROUNDDOWN($H277,0),CD$2)))))*'Inputs Yr 2'!R277*'Inputs Yr 2'!S277*'Inputs Yr 2'!W277,"")</f>
        <v/>
      </c>
      <c r="CE277" s="213">
        <f t="shared" si="161"/>
        <v>0</v>
      </c>
      <c r="CF277" s="213">
        <f t="shared" si="162"/>
        <v>0</v>
      </c>
      <c r="CG277" s="213">
        <f t="shared" si="163"/>
        <v>0</v>
      </c>
      <c r="CH277" s="698">
        <f t="shared" si="164"/>
        <v>0</v>
      </c>
      <c r="CI277" s="79" t="str">
        <f>IFERROR(($G277*'Inputs Yr 2'!$P277*'Inputs Yr 2'!$Q277*(((INDEX(avoidedcosttbl2,$H277,CI$2)+(($H277-ROUNDDOWN($H277,0))*(INDEX(avoidedcosttbl2,ROUNDUP($H277,0),CI$2)-INDEX(avoidedcosttbl2,ROUNDDOWN($H277,0),CI$2))))*'Inputs Yr 2'!AS277))),"")</f>
        <v/>
      </c>
      <c r="CJ277" s="504" t="str">
        <f>IFERROR($G277*'Inputs Yr 2'!AT277*'Inputs Yr 2'!$P277*'Inputs Yr 2'!$Q277/((1+realdiscrt1)^-0.5),"")</f>
        <v/>
      </c>
      <c r="CK277" s="79" t="str">
        <f>IFERROR((O277*1000*(((INDEX(avoidedcosttbl2,$H277,CK$2)+(($H277-ROUNDDOWN($H277,0))*(INDEX(avoidedcosttbl2,ROUNDUP($H277,0),CK$2)-INDEX(avoidedcosttbl2,ROUNDDOWN($H277,0),CK$2))))*'Inputs Yr 2'!AU277))),"")</f>
        <v/>
      </c>
      <c r="CL277" s="504" t="str">
        <f>IFERROR(O277*1000*'Inputs Yr 2'!AV277/((1+realdiscrt1)^-0.5),"")</f>
        <v/>
      </c>
      <c r="CM277" s="79">
        <f>IFERROR((AB277*'Inputs Yr 2'!AW277*(((INDEX(avoidedcosttbl2,$H277,CM$2)+(($H277-ROUNDDOWN($H277,0))*(INDEX(avoidedcosttbl2,ROUNDUP($H277,0),CM$2)-INDEX(avoidedcosttbl2,ROUNDDOWN($H277,0),CM$2)))))))*10,"")</f>
        <v>0</v>
      </c>
      <c r="CN277" s="504">
        <f>IFERROR(10*AB277*'Inputs Yr 2'!AX277/((1+realdiscrt1)^-0.5),"")</f>
        <v>0</v>
      </c>
      <c r="CO277" s="505">
        <f t="shared" si="165"/>
        <v>0</v>
      </c>
      <c r="CP277" s="230">
        <f t="shared" si="166"/>
        <v>0</v>
      </c>
      <c r="CQ277" s="199">
        <f>ROUND(IFERROR(IF(LEFT($A277,1)="C",'Avoided Costs'!$K$13,'Avoided Costs'!$K$12)+1,""),4)</f>
        <v>1.0720000000000001</v>
      </c>
      <c r="CR277" s="199">
        <f>ROUND(IFERROR(IF(LEFT($A277,1)="C",'Avoided Costs'!$L$13,'Avoided Costs'!$L$12)+1,""),4)</f>
        <v>1.04</v>
      </c>
      <c r="CS277" s="199">
        <f>ROUND(IFERROR(IF(LEFT($A277,1)="C",'Avoided Costs'!$M$13,'Avoided Costs'!$M$12)+1,""),4)</f>
        <v>1.0720000000000001</v>
      </c>
      <c r="CT277" s="199">
        <f>ROUND(IFERROR(IF(LEFT($A277,1)="C",'Avoided Costs'!$N$13,'Avoided Costs'!$N$12)+1,""),4)</f>
        <v>1.04</v>
      </c>
      <c r="CU277" s="199">
        <f>ROUND(IFERROR(IF(LEFT($A277,1)="C",'Avoided Costs'!$O$13,'Avoided Costs'!$O$12)+1,""),4)</f>
        <v>1.1120000000000001</v>
      </c>
      <c r="CV277" s="199">
        <f>ROUND(IFERROR(IF(LEFT($A277,1)="C",'Avoided Costs'!$P$13,'Avoided Costs'!$P$12)+1,""),4)</f>
        <v>1.095</v>
      </c>
      <c r="CW277" s="199">
        <f>ROUND(IFERROR(IF(LEFT($A277,1)="C",'Avoided Costs'!$Q$13,'Avoided Costs'!$Q$12)+1,""),4)</f>
        <v>1.1120000000000001</v>
      </c>
      <c r="CX277" s="200">
        <f>ROUND(IFERROR(IF(LEFT($A277,1)="C",'Avoided Costs'!$R$13,'Avoided Costs'!$R$12)+1,""),4)</f>
        <v>1.1120000000000001</v>
      </c>
    </row>
    <row r="278" spans="1:102" ht="12.75" customHeight="1">
      <c r="A278" s="91" t="str">
        <f>IF('Inputs Yr 2'!$B278=0,"",'Inputs Yr 2'!A278)</f>
        <v>C - Commercial &amp; Industrial</v>
      </c>
      <c r="B278" s="91" t="str">
        <f>IF('Inputs Yr 2'!$B278=0,"",'Inputs Yr 2'!B278)</f>
        <v>C2 - C&amp;I Retrofit</v>
      </c>
      <c r="C278" s="91" t="str">
        <f>IF('Inputs Yr 2'!$B278=0,"",'Inputs Yr 2'!C278)</f>
        <v>C2a - C&amp;I Existing Building Retrofit</v>
      </c>
      <c r="D278" s="91" t="str">
        <f>IF('Inputs Yr 2'!$B278=0,"",'Inputs Yr 2'!E278)</f>
        <v>Wi-Fi Thermostat (Control gas heat only)</v>
      </c>
      <c r="E278" s="93" t="str">
        <f>IF('Inputs Yr 2'!$B278=0,"",'Inputs Yr 2'!F278)</f>
        <v>G16C2a19</v>
      </c>
      <c r="F278" s="93" t="str">
        <f>IF('Inputs Yr 2'!$B278=0,"",'Inputs Yr 2'!G278)</f>
        <v>HVAC</v>
      </c>
      <c r="G278" s="95">
        <f>IF('Inputs Yr 2'!$H278&lt;&gt;0,('Inputs Yr 2'!H278),"")</f>
        <v>115</v>
      </c>
      <c r="H278" s="94">
        <f>IFERROR('Inputs Yr 2'!I278,"")</f>
        <v>15</v>
      </c>
      <c r="I278" s="298">
        <f>IFERROR('Inputs Yr 2'!J278*'Inputs Yr 2'!P278*G278,"")</f>
        <v>26073.72</v>
      </c>
      <c r="J278" s="298">
        <f>IFERROR('Inputs Yr 2'!K278*G278,"")</f>
        <v>11496.55</v>
      </c>
      <c r="K278" s="298">
        <f t="shared" si="143"/>
        <v>14577.170000000002</v>
      </c>
      <c r="L278" s="194">
        <f>IFERROR(('Inputs Yr 2'!W278*G278)/1000,"")</f>
        <v>0</v>
      </c>
      <c r="M278" s="194">
        <f>IFERROR(L278*('Inputs Yr 2'!$Q278*'Inputs Yr 2'!$V278*'Inputs Yr 2'!$R278),"")</f>
        <v>0</v>
      </c>
      <c r="N278" s="194">
        <f t="shared" si="144"/>
        <v>0</v>
      </c>
      <c r="O278" s="194">
        <f>IFERROR(M278*'Inputs Yr 2'!P278,"")</f>
        <v>0</v>
      </c>
      <c r="P278" s="194">
        <f t="shared" si="145"/>
        <v>0</v>
      </c>
      <c r="Q278" s="194">
        <f>IFERROR($P278*'Inputs Yr 2'!AA278,"")</f>
        <v>0</v>
      </c>
      <c r="R278" s="194">
        <f>IFERROR($P278*'Inputs Yr 2'!AB278,"")</f>
        <v>0</v>
      </c>
      <c r="S278" s="194">
        <f>IFERROR($P278*'Inputs Yr 2'!AC278,"")</f>
        <v>0</v>
      </c>
      <c r="T278" s="194">
        <f>IFERROR($P278*'Inputs Yr 2'!AD278,"")</f>
        <v>0</v>
      </c>
      <c r="U278" s="194">
        <f>IFERROR(G278*'Inputs Yr 2'!$AE278*'Inputs Yr 2'!$P278*'Inputs Yr 2'!$Q278,"")</f>
        <v>0</v>
      </c>
      <c r="V278" s="194">
        <f>IFERROR($G278*'Inputs Yr 2'!$AE278*'Inputs Yr 2'!$AG278*'Inputs Yr 2'!Q278*'Inputs Yr 2'!$S278,"")</f>
        <v>0</v>
      </c>
      <c r="W278" s="194">
        <f>IFERROR($G278*'Inputs Yr 2'!$AE278*'Inputs Yr 2'!$AG278*'Inputs Yr 2'!P278*'Inputs Yr 2'!Q278*'Inputs Yr 2'!$S278,"")</f>
        <v>0</v>
      </c>
      <c r="X278" s="194">
        <f>IFERROR($G278*'Inputs Yr 2'!$AE278*'Inputs Yr 2'!$AF278*'Inputs Yr 2'!Q278*'Inputs Yr 2'!$T278,"")</f>
        <v>0</v>
      </c>
      <c r="Y278" s="194">
        <f>IFERROR($G278*'Inputs Yr 2'!$AE278*'Inputs Yr 2'!$AF278*'Inputs Yr 2'!P278*'Inputs Yr 2'!Q278*'Inputs Yr 2'!$T278,"")</f>
        <v>0</v>
      </c>
      <c r="Z278" s="257">
        <f>IFERROR($G278*'Inputs Yr 2'!$Q278*'Inputs Yr 2'!$U278*(IF(IFERROR(SEARCH("NG", 'Inputs Yr 2'!$AJ278),0),'Inputs Yr 2'!$AK278,0)+IF(IFERROR(SEARCH("NG", 'Inputs Yr 2'!$AL278),0),'Inputs Yr 2'!$AM278,0)+IF(IFERROR(SEARCH("NG", 'Inputs Yr 2'!$AN278),0),'Inputs Yr 2'!$AO278,0)),0)</f>
        <v>759.00000000000011</v>
      </c>
      <c r="AA278" s="257">
        <f t="shared" si="146"/>
        <v>11385.000000000002</v>
      </c>
      <c r="AB278" s="257">
        <f>IFERROR(Z278*'Inputs Yr 2'!$P278,0)</f>
        <v>642.11400000000015</v>
      </c>
      <c r="AC278" s="257">
        <f t="shared" si="147"/>
        <v>9631.7100000000028</v>
      </c>
      <c r="AD278" s="257">
        <f>IFERROR($G278*'Inputs Yr 2'!$Q278*'Inputs Yr 2'!$U278*(IF(IFERROR(SEARCH("Oil", 'Inputs Yr 2'!$AJ278), 0),'Inputs Yr 2'!$AK278,0)+IF(IFERROR(SEARCH("Oil", 'Inputs Yr 2'!$AL278), 0),'Inputs Yr 2'!$AM278,0)+IF(IFERROR(SEARCH("Oil", 'Inputs Yr 2'!$AN278), 0),'Inputs Yr 2'!$AO278,0)),0)</f>
        <v>0</v>
      </c>
      <c r="AE278" s="257">
        <f t="shared" si="148"/>
        <v>0</v>
      </c>
      <c r="AF278" s="257">
        <f>IFERROR(AD278*'Inputs Yr 2'!$P278,0)</f>
        <v>0</v>
      </c>
      <c r="AG278" s="257">
        <f t="shared" si="149"/>
        <v>0</v>
      </c>
      <c r="AH278" s="257">
        <f>IFERROR($G278*'Inputs Yr 2'!$Q278*'Inputs Yr 2'!$U278*(IF('Inputs Yr 2'!$AJ278=CD$4,'Inputs Yr 2'!$AK278,IF('Inputs Yr 2'!$AL278=CD$4,'Inputs Yr 2'!$AM278,IF('Inputs Yr 2'!$AN278=CD$4,'Inputs Yr 2'!$AO278,0)))),0)</f>
        <v>0</v>
      </c>
      <c r="AI278" s="257">
        <f t="shared" si="150"/>
        <v>0</v>
      </c>
      <c r="AJ278" s="257">
        <f>IFERROR(AH278*'Inputs Yr 2'!$P278,0)</f>
        <v>0</v>
      </c>
      <c r="AK278" s="257">
        <f t="shared" si="151"/>
        <v>0</v>
      </c>
      <c r="AL278" s="258">
        <f>IFERROR($G278*'Inputs Yr 2'!$P278*'Inputs Yr 2'!$Q278*'Inputs Yr 2'!AP278,0)</f>
        <v>0</v>
      </c>
      <c r="AM278" s="260">
        <f>IFERROR($G278*'Inputs Yr 2'!$P278*'Inputs Yr 2'!$Q278*'Inputs Yr 2'!AQ278,0)</f>
        <v>0</v>
      </c>
      <c r="AN278" s="258">
        <f>IFERROR($G278*'Inputs Yr 2'!$P278*'Inputs Yr 2'!$Q278*'Inputs Yr 2'!AR278,0)</f>
        <v>0</v>
      </c>
      <c r="AO278" s="257">
        <f t="shared" si="152"/>
        <v>0</v>
      </c>
      <c r="AP278" s="195">
        <f>IFERROR($CQ278*(INDEX(avoidedcosttbl2,$H278,AP$2)+(($H278-ROUNDDOWN($H278,0))*(INDEX(avoidedcosttbl2,ROUNDUP($H278,0),AP$2)-(INDEX(avoidedcosttbl2,ROUNDDOWN($H278,0),AP$2)))))*$O278*1000*'Inputs Yr 2'!AA278,"")</f>
        <v>0</v>
      </c>
      <c r="AQ278" s="195">
        <f>IFERROR($CR278*(INDEX(avoidedcosttbl2,$H278,AQ$2)+(($H278-ROUNDDOWN($H278,0))*(INDEX(avoidedcosttbl2,ROUNDUP($H278,0),AQ$2)-(INDEX(avoidedcosttbl2,ROUNDDOWN($H278,0),AQ$2)))))*$O278*1000*'Inputs Yr 2'!AB278,"")</f>
        <v>0</v>
      </c>
      <c r="AR278" s="195">
        <f>IFERROR($CS278*(INDEX(avoidedcosttbl2,$H278,AR$2)+(($H278-ROUNDDOWN($H278,0))*(INDEX(avoidedcosttbl2,ROUNDUP($H278,0),AR$2)-(INDEX(avoidedcosttbl2,ROUNDDOWN($H278,0),AR$2)))))*$O278*1000*'Inputs Yr 2'!AC278,"")</f>
        <v>0</v>
      </c>
      <c r="AS278" s="195">
        <f>IFERROR($CT278*(INDEX(avoidedcosttbl2,$H278,AS$2)+(($H278-ROUNDDOWN($H278,0))*(INDEX(avoidedcosttbl2,ROUNDUP($H278,0),AS$2)-(INDEX(avoidedcosttbl2,ROUNDDOWN($H278,0),AS$2)))))*$O278*1000*'Inputs Yr 2'!AD278,"")</f>
        <v>0</v>
      </c>
      <c r="AT278" s="196">
        <f t="shared" si="153"/>
        <v>0</v>
      </c>
      <c r="AU278" s="197">
        <f>IFERROR($CQ278*((INDEX(avoidedcosttbl2,$H278,AU$2))+(($H278-ROUNDDOWN($H278,0))*((INDEX(avoidedcosttbl2,ROUNDUP($H278,0),AU$2))-(INDEX(avoidedcosttbl2,ROUNDDOWN($H278,0),AU$2)))))*$O278*1000*'Inputs Yr 2'!AA278,"")</f>
        <v>0</v>
      </c>
      <c r="AV278" s="197">
        <f>IFERROR($CR278*((INDEX(avoidedcosttbl2,$H278,AV$2))+(($H278-ROUNDDOWN($H278,0))*((INDEX(avoidedcosttbl2,ROUNDUP($H278,0),AV$2))-(INDEX(avoidedcosttbl2,ROUNDDOWN($H278,0),AV$2)))))*$O278*1000*'Inputs Yr 2'!AB278,"")</f>
        <v>0</v>
      </c>
      <c r="AW278" s="197">
        <f>IFERROR($CS278*((INDEX(avoidedcosttbl2,$H278,AW$2))+(($H278-ROUNDDOWN($H278,0))*((INDEX(avoidedcosttbl2,ROUNDUP($H278,0),AW$2))-(INDEX(avoidedcosttbl2,ROUNDDOWN($H278,0),AW$2)))))*$O278*1000*'Inputs Yr 2'!AC278,"")</f>
        <v>0</v>
      </c>
      <c r="AX278" s="197">
        <f>IFERROR($CT278*((INDEX(avoidedcosttbl2,$H278,AX$2))+(($H278-ROUNDDOWN($H278,0))*((INDEX(avoidedcosttbl2,ROUNDUP($H278,0),AX$2))-(INDEX(avoidedcosttbl2,ROUNDDOWN($H278,0),AX$2)))))*$O278*1000*'Inputs Yr 2'!AD278,"")</f>
        <v>0</v>
      </c>
      <c r="AY278" s="197">
        <f>IFERROR(((INDEX(avoidedcosttbl2,$H278,AY$2))+(($H278-ROUNDDOWN($H278,0))*((INDEX(avoidedcosttbl2,ROUNDUP($H278,0),AY$2))-(INDEX(avoidedcosttbl2,ROUNDDOWN($H278,0),AY$2)))))*$O278*1000*('Inputs Yr 2'!AC278+'Inputs Yr 2'!AD278),"")</f>
        <v>0</v>
      </c>
      <c r="AZ278" s="197">
        <f>IFERROR(((INDEX(avoidedcosttbl2,$H278,AZ$2))+(($H278-ROUNDDOWN($H278,0))*((INDEX(avoidedcosttbl2,ROUNDUP($H278,0),AZ$2))-(INDEX(avoidedcosttbl2,ROUNDDOWN($H278,0),AZ$2)))))*$O278*1000*('Inputs Yr 2'!AA278+'Inputs Yr 2'!AB278),"")</f>
        <v>0</v>
      </c>
      <c r="BA278" s="198">
        <f t="shared" si="154"/>
        <v>0</v>
      </c>
      <c r="BB278" s="198">
        <f t="shared" si="155"/>
        <v>0</v>
      </c>
      <c r="BC278" s="195">
        <f t="shared" si="137"/>
        <v>0</v>
      </c>
      <c r="BD278" s="195">
        <f t="shared" si="138"/>
        <v>0</v>
      </c>
      <c r="BE278" s="195">
        <f t="shared" si="139"/>
        <v>0</v>
      </c>
      <c r="BF278" s="195">
        <f t="shared" si="140"/>
        <v>0</v>
      </c>
      <c r="BG278" s="195">
        <f t="shared" si="141"/>
        <v>0</v>
      </c>
      <c r="BH278" s="196">
        <f t="shared" si="156"/>
        <v>0</v>
      </c>
      <c r="BI278" s="196">
        <f t="shared" si="157"/>
        <v>0</v>
      </c>
      <c r="BJ278" s="195">
        <f>IFERROR($G278*(IF('Inputs Yr 2'!$AJ278=BJ$4,'Inputs Yr 2'!$AK278,IF('Inputs Yr 2'!$AL278=BJ$4,'Inputs Yr 2'!$AM278,IF('Inputs Yr 2'!$AN278=BJ$4,'Inputs Yr 2'!$AO278,0))))*(INDEX(avoidedcosttbl2,$H278,BJ$2)+(($H278-ROUNDDOWN($H278,0))*(INDEX(avoidedcosttbl2,ROUNDUP($H278,0),BJ$2)-(INDEX(avoidedcosttbl2,ROUNDDOWN($H278,0),BJ$2)))))*'Inputs Yr 2'!P278*'Inputs Yr 2'!Q278*'Inputs Yr 2'!U278,"")</f>
        <v>0</v>
      </c>
      <c r="BK278" s="195">
        <f>IFERROR($G278*(IF('Inputs Yr 2'!$AJ278=BK$4,'Inputs Yr 2'!$AK278,IF('Inputs Yr 2'!$AL278=BK$4,'Inputs Yr 2'!$AM278,IF('Inputs Yr 2'!$AN278=BK$4,'Inputs Yr 2'!$AO278,0))))*(INDEX(avoidedcosttbl2,$H278,BK$2)+(($H278-ROUNDDOWN($H278,0))*(INDEX(avoidedcosttbl2,ROUNDUP($H278,0),BK$2)-(INDEX(avoidedcosttbl2,ROUNDDOWN($H278,0),BK$2)))))*'Inputs Yr 2'!P278*'Inputs Yr 2'!Q278*'Inputs Yr 2'!U278,"")</f>
        <v>0</v>
      </c>
      <c r="BL278" s="195">
        <f>IFERROR($G278*(IF('Inputs Yr 2'!$AJ278=BL$4,'Inputs Yr 2'!$AK278,IF('Inputs Yr 2'!$AL278=BL$4,'Inputs Yr 2'!$AM278,IF('Inputs Yr 2'!$AN278=BL$4,'Inputs Yr 2'!$AO278,0))))*(INDEX(avoidedcosttbl2,$H278,BL$2)+(($H278-ROUNDDOWN($H278,0))*(INDEX(avoidedcosttbl2,ROUNDUP($H278,0),BL$2)-(INDEX(avoidedcosttbl2,ROUNDDOWN($H278,0),BL$2)))))*'Inputs Yr 2'!P278*'Inputs Yr 2'!Q278*'Inputs Yr 2'!U278,"")</f>
        <v>0</v>
      </c>
      <c r="BM278" s="195">
        <f>IFERROR($G278*(IF('Inputs Yr 2'!$AJ278=BM$4,'Inputs Yr 2'!$AK278,IF('Inputs Yr 2'!$AL278=BM$4,'Inputs Yr 2'!$AM278,IF('Inputs Yr 2'!$AN278=BM$4,'Inputs Yr 2'!$AO278,0))))*(INDEX(avoidedcosttbl2,$H278,BM$2)+(($H278-ROUNDDOWN($H278,0))*(INDEX(avoidedcosttbl2,ROUNDUP($H278,0),BM$2)-(INDEX(avoidedcosttbl2,ROUNDDOWN($H278,0),BM$2)))))*'Inputs Yr 2'!P278*'Inputs Yr 2'!Q278*'Inputs Yr 2'!U278,"")</f>
        <v>0</v>
      </c>
      <c r="BN278" s="195">
        <f>IFERROR($G278*(IF('Inputs Yr 2'!$AJ278=BN$4,'Inputs Yr 2'!$AK278,IF('Inputs Yr 2'!$AL278=BN$4,'Inputs Yr 2'!$AM278,IF('Inputs Yr 2'!$AN278=BN$4,'Inputs Yr 2'!$AO278,0))))*(INDEX(avoidedcosttbl2,$H278,BN$2)+(($H278-ROUNDDOWN($H278,0))*(INDEX(avoidedcosttbl2,ROUNDUP($H278,0),BN$2)-(INDEX(avoidedcosttbl2,ROUNDDOWN($H278,0),BN$2)))))*'Inputs Yr 2'!P278*'Inputs Yr 2'!Q278*'Inputs Yr 2'!U278,"")</f>
        <v>0</v>
      </c>
      <c r="BO278" s="195">
        <f>IFERROR($G278*(IF('Inputs Yr 2'!$AJ278=BO$4,'Inputs Yr 2'!$AK278,IF('Inputs Yr 2'!$AL278=BO$4,'Inputs Yr 2'!$AM278,IF('Inputs Yr 2'!$AN278=BO$4,'Inputs Yr 2'!$AO278,0))))*(INDEX(avoidedcosttbl2,$H278,BO$2)+(($H278-ROUNDDOWN($H278,0))*(INDEX(avoidedcosttbl2,ROUNDUP($H278,0),BO$2)-(INDEX(avoidedcosttbl2,ROUNDDOWN($H278,0),BO$2)))))*'Inputs Yr 2'!P278*'Inputs Yr 2'!Q278*'Inputs Yr 2'!U278,"")</f>
        <v>75118.319676528889</v>
      </c>
      <c r="BP278" s="195">
        <f>IFERROR($G278*(IF('Inputs Yr 2'!$AJ278=BP$4,'Inputs Yr 2'!$AK278,IF('Inputs Yr 2'!$AL278=BP$4,'Inputs Yr 2'!$AM278,IF('Inputs Yr 2'!$AN278=BP$4,'Inputs Yr 2'!$AO278,0))))*(INDEX(avoidedcosttbl2,$H278,BP$2)+(($H278-ROUNDDOWN($H278,0))*(INDEX(avoidedcosttbl2,ROUNDUP($H278,0),BP$2)-(INDEX(avoidedcosttbl2,ROUNDDOWN($H278,0),BP$2)))))*'Inputs Yr 2'!P278*'Inputs Yr 2'!Q278*'Inputs Yr 2'!U278,"")</f>
        <v>0</v>
      </c>
      <c r="BQ278" s="230">
        <f t="shared" si="158"/>
        <v>75118.319676528889</v>
      </c>
      <c r="BR278" s="197">
        <f t="shared" si="142"/>
        <v>1305.5003201774987</v>
      </c>
      <c r="BS278" s="197">
        <f>IFERROR(($G278*IF('Inputs Yr 2'!$AJ278=BM$4,'Inputs Yr 2'!$AK278,IF('Inputs Yr 2'!$AL278=BM$4,'Inputs Yr 2'!$AM278,IF('Inputs Yr 2'!$AN278=BM$4,'Inputs Yr 2'!$AO278,0))))*(INDEX(avoidedcosttbl2,$H278,BS$2)+(($H278-ROUNDDOWN($H278,0))*(INDEX(avoidedcosttbl2,ROUNDUP($H278,0),BS$2)-(INDEX(avoidedcosttbl2,ROUNDDOWN($H278,0),BS$2)))))*'Inputs Yr 2'!P278*'Inputs Yr 2'!Q278*'Inputs Yr 2'!U278,"")</f>
        <v>0</v>
      </c>
      <c r="BT278" s="197">
        <f>IFERROR(($G278*IF('Inputs Yr 2'!$AJ278=BK$4,'Inputs Yr 2'!$AK278,IF('Inputs Yr 2'!$AL278=BK$4,'Inputs Yr 2'!$AM278,IF('Inputs Yr 2'!$AN278=BK$4,'Inputs Yr 2'!$AO278,0))))*(INDEX(avoidedcosttbl2,$H278,BT$2)+(($H278-ROUNDDOWN($H278,0))*(INDEX(avoidedcosttbl2,ROUNDUP($H278,0),BT$2)-(INDEX(avoidedcosttbl2,ROUNDDOWN($H278,0),BT$2)))))*'Inputs Yr 2'!P278*'Inputs Yr 2'!Q278*'Inputs Yr 2'!U278,"")</f>
        <v>0</v>
      </c>
      <c r="BU278" s="197">
        <f>IFERROR(($G278*IF('Inputs Yr 2'!$AJ278=BL$4,'Inputs Yr 2'!$AK278,IF('Inputs Yr 2'!$AL278=BL$4,'Inputs Yr 2'!$AM278,IF('Inputs Yr 2'!$AN278=BL$4,'Inputs Yr 2'!$AO278,0))))*(INDEX(avoidedcosttbl2,$H278,BU$2)+(($H278-ROUNDDOWN($H278,0))*(INDEX(avoidedcosttbl2,ROUNDUP($H278,0),BU$2)-(INDEX(avoidedcosttbl2,ROUNDDOWN($H278,0),BU$2)))))*'Inputs Yr 2'!P278*'Inputs Yr 2'!Q278*'Inputs Yr 2'!U278,"")</f>
        <v>0</v>
      </c>
      <c r="BV278" s="775">
        <f>IFERROR(($G278*IF('Inputs Yr 2'!$AJ278=BJ$4,'Inputs Yr 2'!$AK278,IF('Inputs Yr 2'!$AL278=BJ$4,'Inputs Yr 2'!$AM278,IF('Inputs Yr 2'!$AN278=BJ$4,'Inputs Yr 2'!$AO278,0))))*(INDEX(avoidedcosttbl2,$H278,BV$2)+(($H278-ROUNDDOWN($H278,0))*(INDEX(avoidedcosttbl2,ROUNDUP($H278,0),BV$2)-(INDEX(avoidedcosttbl2,ROUNDDOWN($H278,0),BV$2)))))*'Inputs Yr 2'!P278*'Inputs Yr 2'!Q278*'Inputs Yr 2'!U278,"")</f>
        <v>0</v>
      </c>
      <c r="BW278" s="197">
        <f>IFERROR(($G278*IF('Inputs Yr 2'!$AJ278=BN$4,'Inputs Yr 2'!$AK278,IF('Inputs Yr 2'!$AL278=BN$4,'Inputs Yr 2'!$AM278,IF('Inputs Yr 2'!$AN278=BN$4,'Inputs Yr 2'!$AO278,0))))*(INDEX(avoidedcosttbl2,$H278,BW$2)+(($H278-ROUNDDOWN($H278,0))*(INDEX(avoidedcosttbl2,ROUNDUP($H278,0),BW$2)-(INDEX(avoidedcosttbl2,ROUNDDOWN($H278,0),BW$2)))))*'Inputs Yr 2'!P278*'Inputs Yr 2'!Q278*'Inputs Yr 2'!U278,"")</f>
        <v>0</v>
      </c>
      <c r="BX278" s="197">
        <f>IFERROR(($G278*IF('Inputs Yr 2'!$AJ278=BO$4,'Inputs Yr 2'!$AK278,IF('Inputs Yr 2'!$AL278=BO$4,'Inputs Yr 2'!$AM278,IF('Inputs Yr 2'!$AN278=BO$4,'Inputs Yr 2'!$AO278,0))))*(INDEX(avoidedcosttbl2,$H278,BX$2)+(($H278-ROUNDDOWN($H278,0))*(INDEX(avoidedcosttbl2,ROUNDUP($H278,0),BX$2)-(INDEX(avoidedcosttbl2,ROUNDDOWN($H278,0),BX$2)))))*'Inputs Yr 2'!P278*'Inputs Yr 2'!Q278*'Inputs Yr 2'!U278,"")</f>
        <v>5294.0932641083637</v>
      </c>
      <c r="BY278" s="197">
        <f>IFERROR(($G278*IF('Inputs Yr 2'!$AJ278=BP$4,'Inputs Yr 2'!$AK278,IF('Inputs Yr 2'!$AL278=BP$4,'Inputs Yr 2'!$AM278,IF('Inputs Yr 2'!$AN278=BP$4,'Inputs Yr 2'!$AO278,0))))*(INDEX(avoidedcosttbl2,$H278,BY$2)+(($H278-ROUNDDOWN($H278,0))*(INDEX(avoidedcosttbl2,ROUNDUP($H278,0),BY$2)-(INDEX(avoidedcosttbl2,ROUNDDOWN($H278,0),BY$2)))))*'Inputs Yr 2'!P278*'Inputs Yr 2'!Q278*'Inputs Yr 2'!U278,"")</f>
        <v>0</v>
      </c>
      <c r="BZ278" s="193">
        <f t="shared" si="159"/>
        <v>6599.5935842858626</v>
      </c>
      <c r="CA278" s="193">
        <f t="shared" si="160"/>
        <v>81717.913260814748</v>
      </c>
      <c r="CB278" s="195">
        <f>IFERROR(G278*(IF('Inputs Yr 2'!$AJ278=CB$4,'Inputs Yr 2'!$AK278,IF('Inputs Yr 2'!$AL278=CB$4,'Inputs Yr 2'!$AM278,IF('Inputs Yr 2'!$AN278=CB$4,'Inputs Yr 2'!$AO278,0))))*(INDEX(avoidedcosttbl2,$H278,CB$2)+(($H278-ROUNDDOWN($H278,0))*(INDEX(avoidedcosttbl2,ROUNDUP($H278,0),CB$2)-(INDEX(avoidedcosttbl2,ROUNDDOWN($H278,0),CB$2)))))*'Inputs Yr 2'!P278*'Inputs Yr 2'!Q278*'Inputs Yr 2'!U278,"")</f>
        <v>0</v>
      </c>
      <c r="CC278" s="195">
        <f>IFERROR(H278*(IF('Inputs Yr 2'!$AJ278=CC$4,'Inputs Yr 2'!$AK278,IF('Inputs Yr 2'!$AL278=CC$4,'Inputs Yr 2'!$AM278,IF('Inputs Yr 2'!$AN278=CC$4,'Inputs Yr 2'!$AO278,0))))*(INDEX(avoidedcosttbl2,$H278,CC$2)+(($H278-ROUNDDOWN($H278,0))*(INDEX(avoidedcosttbl2,ROUNDUP($H278,0),CC$2)-(INDEX(avoidedcosttbl2,ROUNDDOWN($H278,0),CC$2)))))*'Inputs Yr 2'!Q278*'Inputs Yr 2'!R278*'Inputs Yr 2'!V278,"")</f>
        <v>0</v>
      </c>
      <c r="CD278" s="195">
        <f>IFERROR(I278*(IF('Inputs Yr 2'!$AJ278=CD$4,'Inputs Yr 2'!$AK278,IF('Inputs Yr 2'!$AL278=CD$4,'Inputs Yr 2'!$AM278,IF('Inputs Yr 2'!$AN278=CD$4,'Inputs Yr 2'!$AO278,0))))*(INDEX(avoidedcosttbl2,$H278,CD$2)+(($H278-ROUNDDOWN($H278,0))*(INDEX(avoidedcosttbl2,ROUNDUP($H278,0),CD$2)-(INDEX(avoidedcosttbl2,ROUNDDOWN($H278,0),CD$2)))))*'Inputs Yr 2'!R278*'Inputs Yr 2'!S278*'Inputs Yr 2'!W278,"")</f>
        <v>0</v>
      </c>
      <c r="CE278" s="213">
        <f t="shared" si="161"/>
        <v>0</v>
      </c>
      <c r="CF278" s="213">
        <f t="shared" si="162"/>
        <v>0</v>
      </c>
      <c r="CG278" s="213">
        <f t="shared" si="163"/>
        <v>0</v>
      </c>
      <c r="CH278" s="698">
        <f t="shared" si="164"/>
        <v>81717.913260814748</v>
      </c>
      <c r="CI278" s="79">
        <f>IFERROR(($G278*'Inputs Yr 2'!$P278*'Inputs Yr 2'!$Q278*(((INDEX(avoidedcosttbl2,$H278,CI$2)+(($H278-ROUNDDOWN($H278,0))*(INDEX(avoidedcosttbl2,ROUNDUP($H278,0),CI$2)-INDEX(avoidedcosttbl2,ROUNDDOWN($H278,0),CI$2))))*'Inputs Yr 2'!AS278))),"")</f>
        <v>0</v>
      </c>
      <c r="CJ278" s="504">
        <f>IFERROR($G278*'Inputs Yr 2'!AT278*'Inputs Yr 2'!$P278*'Inputs Yr 2'!$Q278/((1+realdiscrt1)^-0.5),"")</f>
        <v>0</v>
      </c>
      <c r="CK278" s="79">
        <f>IFERROR((O278*1000*(((INDEX(avoidedcosttbl2,$H278,CK$2)+(($H278-ROUNDDOWN($H278,0))*(INDEX(avoidedcosttbl2,ROUNDUP($H278,0),CK$2)-INDEX(avoidedcosttbl2,ROUNDDOWN($H278,0),CK$2))))*'Inputs Yr 2'!AU278))),"")</f>
        <v>0</v>
      </c>
      <c r="CL278" s="504">
        <f>IFERROR(O278*1000*'Inputs Yr 2'!AV278/((1+realdiscrt1)^-0.5),"")</f>
        <v>0</v>
      </c>
      <c r="CM278" s="79">
        <f>IFERROR((AB278*'Inputs Yr 2'!AW278*(((INDEX(avoidedcosttbl2,$H278,CM$2)+(($H278-ROUNDDOWN($H278,0))*(INDEX(avoidedcosttbl2,ROUNDUP($H278,0),CM$2)-INDEX(avoidedcosttbl2,ROUNDDOWN($H278,0),CM$2)))))))*10,"")</f>
        <v>125838.92904585434</v>
      </c>
      <c r="CN278" s="504">
        <f>IFERROR(10*AB278*'Inputs Yr 2'!AX278/((1+realdiscrt1)^-0.5),"")</f>
        <v>0</v>
      </c>
      <c r="CO278" s="505">
        <f t="shared" si="165"/>
        <v>125838.92904585434</v>
      </c>
      <c r="CP278" s="230">
        <f t="shared" si="166"/>
        <v>207556.8423066691</v>
      </c>
      <c r="CQ278" s="199">
        <f>ROUND(IFERROR(IF(LEFT($A278,1)="C",'Avoided Costs'!$K$13,'Avoided Costs'!$K$12)+1,""),4)</f>
        <v>1.0720000000000001</v>
      </c>
      <c r="CR278" s="199">
        <f>ROUND(IFERROR(IF(LEFT($A278,1)="C",'Avoided Costs'!$L$13,'Avoided Costs'!$L$12)+1,""),4)</f>
        <v>1.04</v>
      </c>
      <c r="CS278" s="199">
        <f>ROUND(IFERROR(IF(LEFT($A278,1)="C",'Avoided Costs'!$M$13,'Avoided Costs'!$M$12)+1,""),4)</f>
        <v>1.0720000000000001</v>
      </c>
      <c r="CT278" s="199">
        <f>ROUND(IFERROR(IF(LEFT($A278,1)="C",'Avoided Costs'!$N$13,'Avoided Costs'!$N$12)+1,""),4)</f>
        <v>1.04</v>
      </c>
      <c r="CU278" s="199">
        <f>ROUND(IFERROR(IF(LEFT($A278,1)="C",'Avoided Costs'!$O$13,'Avoided Costs'!$O$12)+1,""),4)</f>
        <v>1.1120000000000001</v>
      </c>
      <c r="CV278" s="199">
        <f>ROUND(IFERROR(IF(LEFT($A278,1)="C",'Avoided Costs'!$P$13,'Avoided Costs'!$P$12)+1,""),4)</f>
        <v>1.095</v>
      </c>
      <c r="CW278" s="199">
        <f>ROUND(IFERROR(IF(LEFT($A278,1)="C",'Avoided Costs'!$Q$13,'Avoided Costs'!$Q$12)+1,""),4)</f>
        <v>1.1120000000000001</v>
      </c>
      <c r="CX278" s="200">
        <f>ROUND(IFERROR(IF(LEFT($A278,1)="C",'Avoided Costs'!$R$13,'Avoided Costs'!$R$12)+1,""),4)</f>
        <v>1.1120000000000001</v>
      </c>
    </row>
    <row r="279" spans="1:102" ht="12.75" customHeight="1">
      <c r="A279" s="91" t="str">
        <f>IF('Inputs Yr 2'!$B279=0,"",'Inputs Yr 2'!A279)</f>
        <v>C - Commercial &amp; Industrial</v>
      </c>
      <c r="B279" s="91" t="str">
        <f>IF('Inputs Yr 2'!$B279=0,"",'Inputs Yr 2'!B279)</f>
        <v>C2 - C&amp;I Retrofit</v>
      </c>
      <c r="C279" s="91" t="str">
        <f>IF('Inputs Yr 2'!$B279=0,"",'Inputs Yr 2'!C279)</f>
        <v>C2a - C&amp;I Existing Building Retrofit</v>
      </c>
      <c r="D279" s="91" t="str">
        <f>IF('Inputs Yr 2'!$B279=0,"",'Inputs Yr 2'!E279)</f>
        <v>Wi-Fi Thermostat (Control elec cooling &amp; gas heat )</v>
      </c>
      <c r="E279" s="93" t="str">
        <f>IF('Inputs Yr 2'!$B279=0,"",'Inputs Yr 2'!F279)</f>
        <v>G16C2a20</v>
      </c>
      <c r="F279" s="93" t="str">
        <f>IF('Inputs Yr 2'!$B279=0,"",'Inputs Yr 2'!G279)</f>
        <v>HVAC</v>
      </c>
      <c r="G279" s="95">
        <f>IF('Inputs Yr 2'!$H279&lt;&gt;0,('Inputs Yr 2'!H279),"")</f>
        <v>35</v>
      </c>
      <c r="H279" s="94">
        <f>IFERROR('Inputs Yr 2'!I279,"")</f>
        <v>15</v>
      </c>
      <c r="I279" s="298">
        <f>IFERROR('Inputs Yr 2'!J279*'Inputs Yr 2'!P279*G279,"")</f>
        <v>7935.4800000000005</v>
      </c>
      <c r="J279" s="298">
        <f>IFERROR('Inputs Yr 2'!K279*G279,"")</f>
        <v>3458.1999999999994</v>
      </c>
      <c r="K279" s="298">
        <f t="shared" si="143"/>
        <v>4477.2800000000007</v>
      </c>
      <c r="L279" s="194">
        <f>IFERROR(('Inputs Yr 2'!W279*G279)/1000,"")</f>
        <v>0</v>
      </c>
      <c r="M279" s="194">
        <f>IFERROR(L279*('Inputs Yr 2'!$Q279*'Inputs Yr 2'!$V279*'Inputs Yr 2'!$R279),"")</f>
        <v>0</v>
      </c>
      <c r="N279" s="194">
        <f t="shared" si="144"/>
        <v>0</v>
      </c>
      <c r="O279" s="194">
        <f>IFERROR(M279*'Inputs Yr 2'!P279,"")</f>
        <v>0</v>
      </c>
      <c r="P279" s="194">
        <f t="shared" si="145"/>
        <v>0</v>
      </c>
      <c r="Q279" s="194">
        <f>IFERROR($P279*'Inputs Yr 2'!AA279,"")</f>
        <v>0</v>
      </c>
      <c r="R279" s="194">
        <f>IFERROR($P279*'Inputs Yr 2'!AB279,"")</f>
        <v>0</v>
      </c>
      <c r="S279" s="194">
        <f>IFERROR($P279*'Inputs Yr 2'!AC279,"")</f>
        <v>0</v>
      </c>
      <c r="T279" s="194">
        <f>IFERROR($P279*'Inputs Yr 2'!AD279,"")</f>
        <v>0</v>
      </c>
      <c r="U279" s="194">
        <f>IFERROR(G279*'Inputs Yr 2'!$AE279*'Inputs Yr 2'!$P279*'Inputs Yr 2'!$Q279,"")</f>
        <v>0</v>
      </c>
      <c r="V279" s="194">
        <f>IFERROR($G279*'Inputs Yr 2'!$AE279*'Inputs Yr 2'!$AG279*'Inputs Yr 2'!Q279*'Inputs Yr 2'!$S279,"")</f>
        <v>0</v>
      </c>
      <c r="W279" s="194">
        <f>IFERROR($G279*'Inputs Yr 2'!$AE279*'Inputs Yr 2'!$AG279*'Inputs Yr 2'!P279*'Inputs Yr 2'!Q279*'Inputs Yr 2'!$S279,"")</f>
        <v>0</v>
      </c>
      <c r="X279" s="194">
        <f>IFERROR($G279*'Inputs Yr 2'!$AE279*'Inputs Yr 2'!$AF279*'Inputs Yr 2'!Q279*'Inputs Yr 2'!$T279,"")</f>
        <v>0</v>
      </c>
      <c r="Y279" s="194">
        <f>IFERROR($G279*'Inputs Yr 2'!$AE279*'Inputs Yr 2'!$AF279*'Inputs Yr 2'!P279*'Inputs Yr 2'!Q279*'Inputs Yr 2'!$T279,"")</f>
        <v>0</v>
      </c>
      <c r="Z279" s="257">
        <f>IFERROR($G279*'Inputs Yr 2'!$Q279*'Inputs Yr 2'!$U279*(IF(IFERROR(SEARCH("NG", 'Inputs Yr 2'!$AJ279),0),'Inputs Yr 2'!$AK279,0)+IF(IFERROR(SEARCH("NG", 'Inputs Yr 2'!$AL279),0),'Inputs Yr 2'!$AM279,0)+IF(IFERROR(SEARCH("NG", 'Inputs Yr 2'!$AN279),0),'Inputs Yr 2'!$AO279,0)),0)</f>
        <v>231.00000000000003</v>
      </c>
      <c r="AA279" s="257">
        <f t="shared" si="146"/>
        <v>3465.0000000000005</v>
      </c>
      <c r="AB279" s="257">
        <f>IFERROR(Z279*'Inputs Yr 2'!$P279,0)</f>
        <v>195.42600000000004</v>
      </c>
      <c r="AC279" s="257">
        <f t="shared" si="147"/>
        <v>2931.3900000000008</v>
      </c>
      <c r="AD279" s="257">
        <f>IFERROR($G279*'Inputs Yr 2'!$Q279*'Inputs Yr 2'!$U279*(IF(IFERROR(SEARCH("Oil", 'Inputs Yr 2'!$AJ279), 0),'Inputs Yr 2'!$AK279,0)+IF(IFERROR(SEARCH("Oil", 'Inputs Yr 2'!$AL279), 0),'Inputs Yr 2'!$AM279,0)+IF(IFERROR(SEARCH("Oil", 'Inputs Yr 2'!$AN279), 0),'Inputs Yr 2'!$AO279,0)),0)</f>
        <v>0</v>
      </c>
      <c r="AE279" s="257">
        <f t="shared" si="148"/>
        <v>0</v>
      </c>
      <c r="AF279" s="257">
        <f>IFERROR(AD279*'Inputs Yr 2'!$P279,0)</f>
        <v>0</v>
      </c>
      <c r="AG279" s="257">
        <f t="shared" si="149"/>
        <v>0</v>
      </c>
      <c r="AH279" s="257">
        <f>IFERROR($G279*'Inputs Yr 2'!$Q279*'Inputs Yr 2'!$U279*(IF('Inputs Yr 2'!$AJ279=CD$4,'Inputs Yr 2'!$AK279,IF('Inputs Yr 2'!$AL279=CD$4,'Inputs Yr 2'!$AM279,IF('Inputs Yr 2'!$AN279=CD$4,'Inputs Yr 2'!$AO279,0)))),0)</f>
        <v>0</v>
      </c>
      <c r="AI279" s="257">
        <f t="shared" si="150"/>
        <v>0</v>
      </c>
      <c r="AJ279" s="257">
        <f>IFERROR(AH279*'Inputs Yr 2'!$P279,0)</f>
        <v>0</v>
      </c>
      <c r="AK279" s="257">
        <f t="shared" si="151"/>
        <v>0</v>
      </c>
      <c r="AL279" s="258">
        <f>IFERROR($G279*'Inputs Yr 2'!$P279*'Inputs Yr 2'!$Q279*'Inputs Yr 2'!AP279,0)</f>
        <v>0</v>
      </c>
      <c r="AM279" s="260">
        <f>IFERROR($G279*'Inputs Yr 2'!$P279*'Inputs Yr 2'!$Q279*'Inputs Yr 2'!AQ279,0)</f>
        <v>0</v>
      </c>
      <c r="AN279" s="258">
        <f>IFERROR($G279*'Inputs Yr 2'!$P279*'Inputs Yr 2'!$Q279*'Inputs Yr 2'!AR279,0)</f>
        <v>0</v>
      </c>
      <c r="AO279" s="257">
        <f t="shared" si="152"/>
        <v>0</v>
      </c>
      <c r="AP279" s="195">
        <f>IFERROR($CQ279*(INDEX(avoidedcosttbl2,$H279,AP$2)+(($H279-ROUNDDOWN($H279,0))*(INDEX(avoidedcosttbl2,ROUNDUP($H279,0),AP$2)-(INDEX(avoidedcosttbl2,ROUNDDOWN($H279,0),AP$2)))))*$O279*1000*'Inputs Yr 2'!AA279,"")</f>
        <v>0</v>
      </c>
      <c r="AQ279" s="195">
        <f>IFERROR($CR279*(INDEX(avoidedcosttbl2,$H279,AQ$2)+(($H279-ROUNDDOWN($H279,0))*(INDEX(avoidedcosttbl2,ROUNDUP($H279,0),AQ$2)-(INDEX(avoidedcosttbl2,ROUNDDOWN($H279,0),AQ$2)))))*$O279*1000*'Inputs Yr 2'!AB279,"")</f>
        <v>0</v>
      </c>
      <c r="AR279" s="195">
        <f>IFERROR($CS279*(INDEX(avoidedcosttbl2,$H279,AR$2)+(($H279-ROUNDDOWN($H279,0))*(INDEX(avoidedcosttbl2,ROUNDUP($H279,0),AR$2)-(INDEX(avoidedcosttbl2,ROUNDDOWN($H279,0),AR$2)))))*$O279*1000*'Inputs Yr 2'!AC279,"")</f>
        <v>0</v>
      </c>
      <c r="AS279" s="195">
        <f>IFERROR($CT279*(INDEX(avoidedcosttbl2,$H279,AS$2)+(($H279-ROUNDDOWN($H279,0))*(INDEX(avoidedcosttbl2,ROUNDUP($H279,0),AS$2)-(INDEX(avoidedcosttbl2,ROUNDDOWN($H279,0),AS$2)))))*$O279*1000*'Inputs Yr 2'!AD279,"")</f>
        <v>0</v>
      </c>
      <c r="AT279" s="196">
        <f t="shared" si="153"/>
        <v>0</v>
      </c>
      <c r="AU279" s="197">
        <f>IFERROR($CQ279*((INDEX(avoidedcosttbl2,$H279,AU$2))+(($H279-ROUNDDOWN($H279,0))*((INDEX(avoidedcosttbl2,ROUNDUP($H279,0),AU$2))-(INDEX(avoidedcosttbl2,ROUNDDOWN($H279,0),AU$2)))))*$O279*1000*'Inputs Yr 2'!AA279,"")</f>
        <v>0</v>
      </c>
      <c r="AV279" s="197">
        <f>IFERROR($CR279*((INDEX(avoidedcosttbl2,$H279,AV$2))+(($H279-ROUNDDOWN($H279,0))*((INDEX(avoidedcosttbl2,ROUNDUP($H279,0),AV$2))-(INDEX(avoidedcosttbl2,ROUNDDOWN($H279,0),AV$2)))))*$O279*1000*'Inputs Yr 2'!AB279,"")</f>
        <v>0</v>
      </c>
      <c r="AW279" s="197">
        <f>IFERROR($CS279*((INDEX(avoidedcosttbl2,$H279,AW$2))+(($H279-ROUNDDOWN($H279,0))*((INDEX(avoidedcosttbl2,ROUNDUP($H279,0),AW$2))-(INDEX(avoidedcosttbl2,ROUNDDOWN($H279,0),AW$2)))))*$O279*1000*'Inputs Yr 2'!AC279,"")</f>
        <v>0</v>
      </c>
      <c r="AX279" s="197">
        <f>IFERROR($CT279*((INDEX(avoidedcosttbl2,$H279,AX$2))+(($H279-ROUNDDOWN($H279,0))*((INDEX(avoidedcosttbl2,ROUNDUP($H279,0),AX$2))-(INDEX(avoidedcosttbl2,ROUNDDOWN($H279,0),AX$2)))))*$O279*1000*'Inputs Yr 2'!AD279,"")</f>
        <v>0</v>
      </c>
      <c r="AY279" s="197">
        <f>IFERROR(((INDEX(avoidedcosttbl2,$H279,AY$2))+(($H279-ROUNDDOWN($H279,0))*((INDEX(avoidedcosttbl2,ROUNDUP($H279,0),AY$2))-(INDEX(avoidedcosttbl2,ROUNDDOWN($H279,0),AY$2)))))*$O279*1000*('Inputs Yr 2'!AC279+'Inputs Yr 2'!AD279),"")</f>
        <v>0</v>
      </c>
      <c r="AZ279" s="197">
        <f>IFERROR(((INDEX(avoidedcosttbl2,$H279,AZ$2))+(($H279-ROUNDDOWN($H279,0))*((INDEX(avoidedcosttbl2,ROUNDUP($H279,0),AZ$2))-(INDEX(avoidedcosttbl2,ROUNDDOWN($H279,0),AZ$2)))))*$O279*1000*('Inputs Yr 2'!AA279+'Inputs Yr 2'!AB279),"")</f>
        <v>0</v>
      </c>
      <c r="BA279" s="198">
        <f t="shared" si="154"/>
        <v>0</v>
      </c>
      <c r="BB279" s="198">
        <f t="shared" si="155"/>
        <v>0</v>
      </c>
      <c r="BC279" s="195">
        <f t="shared" si="137"/>
        <v>0</v>
      </c>
      <c r="BD279" s="195">
        <f t="shared" si="138"/>
        <v>0</v>
      </c>
      <c r="BE279" s="195">
        <f t="shared" si="139"/>
        <v>0</v>
      </c>
      <c r="BF279" s="195">
        <f t="shared" si="140"/>
        <v>0</v>
      </c>
      <c r="BG279" s="195">
        <f t="shared" si="141"/>
        <v>0</v>
      </c>
      <c r="BH279" s="196">
        <f t="shared" si="156"/>
        <v>0</v>
      </c>
      <c r="BI279" s="196">
        <f t="shared" si="157"/>
        <v>0</v>
      </c>
      <c r="BJ279" s="195">
        <f>IFERROR($G279*(IF('Inputs Yr 2'!$AJ279=BJ$4,'Inputs Yr 2'!$AK279,IF('Inputs Yr 2'!$AL279=BJ$4,'Inputs Yr 2'!$AM279,IF('Inputs Yr 2'!$AN279=BJ$4,'Inputs Yr 2'!$AO279,0))))*(INDEX(avoidedcosttbl2,$H279,BJ$2)+(($H279-ROUNDDOWN($H279,0))*(INDEX(avoidedcosttbl2,ROUNDUP($H279,0),BJ$2)-(INDEX(avoidedcosttbl2,ROUNDDOWN($H279,0),BJ$2)))))*'Inputs Yr 2'!P279*'Inputs Yr 2'!Q279*'Inputs Yr 2'!U279,"")</f>
        <v>0</v>
      </c>
      <c r="BK279" s="195">
        <f>IFERROR($G279*(IF('Inputs Yr 2'!$AJ279=BK$4,'Inputs Yr 2'!$AK279,IF('Inputs Yr 2'!$AL279=BK$4,'Inputs Yr 2'!$AM279,IF('Inputs Yr 2'!$AN279=BK$4,'Inputs Yr 2'!$AO279,0))))*(INDEX(avoidedcosttbl2,$H279,BK$2)+(($H279-ROUNDDOWN($H279,0))*(INDEX(avoidedcosttbl2,ROUNDUP($H279,0),BK$2)-(INDEX(avoidedcosttbl2,ROUNDDOWN($H279,0),BK$2)))))*'Inputs Yr 2'!P279*'Inputs Yr 2'!Q279*'Inputs Yr 2'!U279,"")</f>
        <v>0</v>
      </c>
      <c r="BL279" s="195">
        <f>IFERROR($G279*(IF('Inputs Yr 2'!$AJ279=BL$4,'Inputs Yr 2'!$AK279,IF('Inputs Yr 2'!$AL279=BL$4,'Inputs Yr 2'!$AM279,IF('Inputs Yr 2'!$AN279=BL$4,'Inputs Yr 2'!$AO279,0))))*(INDEX(avoidedcosttbl2,$H279,BL$2)+(($H279-ROUNDDOWN($H279,0))*(INDEX(avoidedcosttbl2,ROUNDUP($H279,0),BL$2)-(INDEX(avoidedcosttbl2,ROUNDDOWN($H279,0),BL$2)))))*'Inputs Yr 2'!P279*'Inputs Yr 2'!Q279*'Inputs Yr 2'!U279,"")</f>
        <v>0</v>
      </c>
      <c r="BM279" s="195">
        <f>IFERROR($G279*(IF('Inputs Yr 2'!$AJ279=BM$4,'Inputs Yr 2'!$AK279,IF('Inputs Yr 2'!$AL279=BM$4,'Inputs Yr 2'!$AM279,IF('Inputs Yr 2'!$AN279=BM$4,'Inputs Yr 2'!$AO279,0))))*(INDEX(avoidedcosttbl2,$H279,BM$2)+(($H279-ROUNDDOWN($H279,0))*(INDEX(avoidedcosttbl2,ROUNDUP($H279,0),BM$2)-(INDEX(avoidedcosttbl2,ROUNDDOWN($H279,0),BM$2)))))*'Inputs Yr 2'!P279*'Inputs Yr 2'!Q279*'Inputs Yr 2'!U279,"")</f>
        <v>0</v>
      </c>
      <c r="BN279" s="195">
        <f>IFERROR($G279*(IF('Inputs Yr 2'!$AJ279=BN$4,'Inputs Yr 2'!$AK279,IF('Inputs Yr 2'!$AL279=BN$4,'Inputs Yr 2'!$AM279,IF('Inputs Yr 2'!$AN279=BN$4,'Inputs Yr 2'!$AO279,0))))*(INDEX(avoidedcosttbl2,$H279,BN$2)+(($H279-ROUNDDOWN($H279,0))*(INDEX(avoidedcosttbl2,ROUNDUP($H279,0),BN$2)-(INDEX(avoidedcosttbl2,ROUNDDOWN($H279,0),BN$2)))))*'Inputs Yr 2'!P279*'Inputs Yr 2'!Q279*'Inputs Yr 2'!U279,"")</f>
        <v>0</v>
      </c>
      <c r="BO279" s="195">
        <f>IFERROR($G279*(IF('Inputs Yr 2'!$AJ279=BO$4,'Inputs Yr 2'!$AK279,IF('Inputs Yr 2'!$AL279=BO$4,'Inputs Yr 2'!$AM279,IF('Inputs Yr 2'!$AN279=BO$4,'Inputs Yr 2'!$AO279,0))))*(INDEX(avoidedcosttbl2,$H279,BO$2)+(($H279-ROUNDDOWN($H279,0))*(INDEX(avoidedcosttbl2,ROUNDUP($H279,0),BO$2)-(INDEX(avoidedcosttbl2,ROUNDDOWN($H279,0),BO$2)))))*'Inputs Yr 2'!P279*'Inputs Yr 2'!Q279*'Inputs Yr 2'!U279,"")</f>
        <v>22862.097292856619</v>
      </c>
      <c r="BP279" s="195">
        <f>IFERROR($G279*(IF('Inputs Yr 2'!$AJ279=BP$4,'Inputs Yr 2'!$AK279,IF('Inputs Yr 2'!$AL279=BP$4,'Inputs Yr 2'!$AM279,IF('Inputs Yr 2'!$AN279=BP$4,'Inputs Yr 2'!$AO279,0))))*(INDEX(avoidedcosttbl2,$H279,BP$2)+(($H279-ROUNDDOWN($H279,0))*(INDEX(avoidedcosttbl2,ROUNDUP($H279,0),BP$2)-(INDEX(avoidedcosttbl2,ROUNDDOWN($H279,0),BP$2)))))*'Inputs Yr 2'!P279*'Inputs Yr 2'!Q279*'Inputs Yr 2'!U279,"")</f>
        <v>0</v>
      </c>
      <c r="BQ279" s="230">
        <f t="shared" si="158"/>
        <v>22862.097292856619</v>
      </c>
      <c r="BR279" s="197">
        <f t="shared" si="142"/>
        <v>397.3261844018474</v>
      </c>
      <c r="BS279" s="197">
        <f>IFERROR(($G279*IF('Inputs Yr 2'!$AJ279=BM$4,'Inputs Yr 2'!$AK279,IF('Inputs Yr 2'!$AL279=BM$4,'Inputs Yr 2'!$AM279,IF('Inputs Yr 2'!$AN279=BM$4,'Inputs Yr 2'!$AO279,0))))*(INDEX(avoidedcosttbl2,$H279,BS$2)+(($H279-ROUNDDOWN($H279,0))*(INDEX(avoidedcosttbl2,ROUNDUP($H279,0),BS$2)-(INDEX(avoidedcosttbl2,ROUNDDOWN($H279,0),BS$2)))))*'Inputs Yr 2'!P279*'Inputs Yr 2'!Q279*'Inputs Yr 2'!U279,"")</f>
        <v>0</v>
      </c>
      <c r="BT279" s="197">
        <f>IFERROR(($G279*IF('Inputs Yr 2'!$AJ279=BK$4,'Inputs Yr 2'!$AK279,IF('Inputs Yr 2'!$AL279=BK$4,'Inputs Yr 2'!$AM279,IF('Inputs Yr 2'!$AN279=BK$4,'Inputs Yr 2'!$AO279,0))))*(INDEX(avoidedcosttbl2,$H279,BT$2)+(($H279-ROUNDDOWN($H279,0))*(INDEX(avoidedcosttbl2,ROUNDUP($H279,0),BT$2)-(INDEX(avoidedcosttbl2,ROUNDDOWN($H279,0),BT$2)))))*'Inputs Yr 2'!P279*'Inputs Yr 2'!Q279*'Inputs Yr 2'!U279,"")</f>
        <v>0</v>
      </c>
      <c r="BU279" s="197">
        <f>IFERROR(($G279*IF('Inputs Yr 2'!$AJ279=BL$4,'Inputs Yr 2'!$AK279,IF('Inputs Yr 2'!$AL279=BL$4,'Inputs Yr 2'!$AM279,IF('Inputs Yr 2'!$AN279=BL$4,'Inputs Yr 2'!$AO279,0))))*(INDEX(avoidedcosttbl2,$H279,BU$2)+(($H279-ROUNDDOWN($H279,0))*(INDEX(avoidedcosttbl2,ROUNDUP($H279,0),BU$2)-(INDEX(avoidedcosttbl2,ROUNDDOWN($H279,0),BU$2)))))*'Inputs Yr 2'!P279*'Inputs Yr 2'!Q279*'Inputs Yr 2'!U279,"")</f>
        <v>0</v>
      </c>
      <c r="BV279" s="775">
        <f>IFERROR(($G279*IF('Inputs Yr 2'!$AJ279=BJ$4,'Inputs Yr 2'!$AK279,IF('Inputs Yr 2'!$AL279=BJ$4,'Inputs Yr 2'!$AM279,IF('Inputs Yr 2'!$AN279=BJ$4,'Inputs Yr 2'!$AO279,0))))*(INDEX(avoidedcosttbl2,$H279,BV$2)+(($H279-ROUNDDOWN($H279,0))*(INDEX(avoidedcosttbl2,ROUNDUP($H279,0),BV$2)-(INDEX(avoidedcosttbl2,ROUNDDOWN($H279,0),BV$2)))))*'Inputs Yr 2'!P279*'Inputs Yr 2'!Q279*'Inputs Yr 2'!U279,"")</f>
        <v>0</v>
      </c>
      <c r="BW279" s="197">
        <f>IFERROR(($G279*IF('Inputs Yr 2'!$AJ279=BN$4,'Inputs Yr 2'!$AK279,IF('Inputs Yr 2'!$AL279=BN$4,'Inputs Yr 2'!$AM279,IF('Inputs Yr 2'!$AN279=BN$4,'Inputs Yr 2'!$AO279,0))))*(INDEX(avoidedcosttbl2,$H279,BW$2)+(($H279-ROUNDDOWN($H279,0))*(INDEX(avoidedcosttbl2,ROUNDUP($H279,0),BW$2)-(INDEX(avoidedcosttbl2,ROUNDDOWN($H279,0),BW$2)))))*'Inputs Yr 2'!P279*'Inputs Yr 2'!Q279*'Inputs Yr 2'!U279,"")</f>
        <v>0</v>
      </c>
      <c r="BX279" s="197">
        <f>IFERROR(($G279*IF('Inputs Yr 2'!$AJ279=BO$4,'Inputs Yr 2'!$AK279,IF('Inputs Yr 2'!$AL279=BO$4,'Inputs Yr 2'!$AM279,IF('Inputs Yr 2'!$AN279=BO$4,'Inputs Yr 2'!$AO279,0))))*(INDEX(avoidedcosttbl2,$H279,BX$2)+(($H279-ROUNDDOWN($H279,0))*(INDEX(avoidedcosttbl2,ROUNDUP($H279,0),BX$2)-(INDEX(avoidedcosttbl2,ROUNDDOWN($H279,0),BX$2)))))*'Inputs Yr 2'!P279*'Inputs Yr 2'!Q279*'Inputs Yr 2'!U279,"")</f>
        <v>1611.2457760329803</v>
      </c>
      <c r="BY279" s="197">
        <f>IFERROR(($G279*IF('Inputs Yr 2'!$AJ279=BP$4,'Inputs Yr 2'!$AK279,IF('Inputs Yr 2'!$AL279=BP$4,'Inputs Yr 2'!$AM279,IF('Inputs Yr 2'!$AN279=BP$4,'Inputs Yr 2'!$AO279,0))))*(INDEX(avoidedcosttbl2,$H279,BY$2)+(($H279-ROUNDDOWN($H279,0))*(INDEX(avoidedcosttbl2,ROUNDUP($H279,0),BY$2)-(INDEX(avoidedcosttbl2,ROUNDDOWN($H279,0),BY$2)))))*'Inputs Yr 2'!P279*'Inputs Yr 2'!Q279*'Inputs Yr 2'!U279,"")</f>
        <v>0</v>
      </c>
      <c r="BZ279" s="193">
        <f t="shared" si="159"/>
        <v>2008.5719604348278</v>
      </c>
      <c r="CA279" s="193">
        <f t="shared" si="160"/>
        <v>24870.669253291446</v>
      </c>
      <c r="CB279" s="195">
        <f>IFERROR(G279*(IF('Inputs Yr 2'!$AJ279=CB$4,'Inputs Yr 2'!$AK279,IF('Inputs Yr 2'!$AL279=CB$4,'Inputs Yr 2'!$AM279,IF('Inputs Yr 2'!$AN279=CB$4,'Inputs Yr 2'!$AO279,0))))*(INDEX(avoidedcosttbl2,$H279,CB$2)+(($H279-ROUNDDOWN($H279,0))*(INDEX(avoidedcosttbl2,ROUNDUP($H279,0),CB$2)-(INDEX(avoidedcosttbl2,ROUNDDOWN($H279,0),CB$2)))))*'Inputs Yr 2'!P279*'Inputs Yr 2'!Q279*'Inputs Yr 2'!U279,"")</f>
        <v>0</v>
      </c>
      <c r="CC279" s="195">
        <f>IFERROR(H279*(IF('Inputs Yr 2'!$AJ279=CC$4,'Inputs Yr 2'!$AK279,IF('Inputs Yr 2'!$AL279=CC$4,'Inputs Yr 2'!$AM279,IF('Inputs Yr 2'!$AN279=CC$4,'Inputs Yr 2'!$AO279,0))))*(INDEX(avoidedcosttbl2,$H279,CC$2)+(($H279-ROUNDDOWN($H279,0))*(INDEX(avoidedcosttbl2,ROUNDUP($H279,0),CC$2)-(INDEX(avoidedcosttbl2,ROUNDDOWN($H279,0),CC$2)))))*'Inputs Yr 2'!Q279*'Inputs Yr 2'!R279*'Inputs Yr 2'!V279,"")</f>
        <v>0</v>
      </c>
      <c r="CD279" s="195">
        <f>IFERROR(I279*(IF('Inputs Yr 2'!$AJ279=CD$4,'Inputs Yr 2'!$AK279,IF('Inputs Yr 2'!$AL279=CD$4,'Inputs Yr 2'!$AM279,IF('Inputs Yr 2'!$AN279=CD$4,'Inputs Yr 2'!$AO279,0))))*(INDEX(avoidedcosttbl2,$H279,CD$2)+(($H279-ROUNDDOWN($H279,0))*(INDEX(avoidedcosttbl2,ROUNDUP($H279,0),CD$2)-(INDEX(avoidedcosttbl2,ROUNDDOWN($H279,0),CD$2)))))*'Inputs Yr 2'!R279*'Inputs Yr 2'!S279*'Inputs Yr 2'!W279,"")</f>
        <v>0</v>
      </c>
      <c r="CE279" s="213">
        <f t="shared" si="161"/>
        <v>0</v>
      </c>
      <c r="CF279" s="213">
        <f t="shared" si="162"/>
        <v>0</v>
      </c>
      <c r="CG279" s="213">
        <f t="shared" si="163"/>
        <v>0</v>
      </c>
      <c r="CH279" s="698">
        <f t="shared" si="164"/>
        <v>24870.669253291446</v>
      </c>
      <c r="CI279" s="79">
        <f>IFERROR(($G279*'Inputs Yr 2'!$P279*'Inputs Yr 2'!$Q279*(((INDEX(avoidedcosttbl2,$H279,CI$2)+(($H279-ROUNDDOWN($H279,0))*(INDEX(avoidedcosttbl2,ROUNDUP($H279,0),CI$2)-INDEX(avoidedcosttbl2,ROUNDDOWN($H279,0),CI$2))))*'Inputs Yr 2'!AS279))),"")</f>
        <v>0</v>
      </c>
      <c r="CJ279" s="504">
        <f>IFERROR($G279*'Inputs Yr 2'!AT279*'Inputs Yr 2'!$P279*'Inputs Yr 2'!$Q279/((1+realdiscrt1)^-0.5),"")</f>
        <v>0</v>
      </c>
      <c r="CK279" s="79">
        <f>IFERROR((O279*1000*(((INDEX(avoidedcosttbl2,$H279,CK$2)+(($H279-ROUNDDOWN($H279,0))*(INDEX(avoidedcosttbl2,ROUNDUP($H279,0),CK$2)-INDEX(avoidedcosttbl2,ROUNDDOWN($H279,0),CK$2))))*'Inputs Yr 2'!AU279))),"")</f>
        <v>0</v>
      </c>
      <c r="CL279" s="504">
        <f>IFERROR(O279*1000*'Inputs Yr 2'!AV279/((1+realdiscrt1)^-0.5),"")</f>
        <v>0</v>
      </c>
      <c r="CM279" s="79">
        <f>IFERROR((AB279*'Inputs Yr 2'!AW279*(((INDEX(avoidedcosttbl2,$H279,CM$2)+(($H279-ROUNDDOWN($H279,0))*(INDEX(avoidedcosttbl2,ROUNDUP($H279,0),CM$2)-INDEX(avoidedcosttbl2,ROUNDDOWN($H279,0),CM$2)))))))*10,"")</f>
        <v>38298.804492216543</v>
      </c>
      <c r="CN279" s="504">
        <f>IFERROR(10*AB279*'Inputs Yr 2'!AX279/((1+realdiscrt1)^-0.5),"")</f>
        <v>0</v>
      </c>
      <c r="CO279" s="505">
        <f t="shared" si="165"/>
        <v>38298.804492216543</v>
      </c>
      <c r="CP279" s="230">
        <f t="shared" si="166"/>
        <v>63169.473745507988</v>
      </c>
      <c r="CQ279" s="199">
        <f>ROUND(IFERROR(IF(LEFT($A279,1)="C",'Avoided Costs'!$K$13,'Avoided Costs'!$K$12)+1,""),4)</f>
        <v>1.0720000000000001</v>
      </c>
      <c r="CR279" s="199">
        <f>ROUND(IFERROR(IF(LEFT($A279,1)="C",'Avoided Costs'!$L$13,'Avoided Costs'!$L$12)+1,""),4)</f>
        <v>1.04</v>
      </c>
      <c r="CS279" s="199">
        <f>ROUND(IFERROR(IF(LEFT($A279,1)="C",'Avoided Costs'!$M$13,'Avoided Costs'!$M$12)+1,""),4)</f>
        <v>1.0720000000000001</v>
      </c>
      <c r="CT279" s="199">
        <f>ROUND(IFERROR(IF(LEFT($A279,1)="C",'Avoided Costs'!$N$13,'Avoided Costs'!$N$12)+1,""),4)</f>
        <v>1.04</v>
      </c>
      <c r="CU279" s="199">
        <f>ROUND(IFERROR(IF(LEFT($A279,1)="C",'Avoided Costs'!$O$13,'Avoided Costs'!$O$12)+1,""),4)</f>
        <v>1.1120000000000001</v>
      </c>
      <c r="CV279" s="199">
        <f>ROUND(IFERROR(IF(LEFT($A279,1)="C",'Avoided Costs'!$P$13,'Avoided Costs'!$P$12)+1,""),4)</f>
        <v>1.095</v>
      </c>
      <c r="CW279" s="199">
        <f>ROUND(IFERROR(IF(LEFT($A279,1)="C",'Avoided Costs'!$Q$13,'Avoided Costs'!$Q$12)+1,""),4)</f>
        <v>1.1120000000000001</v>
      </c>
      <c r="CX279" s="200">
        <f>ROUND(IFERROR(IF(LEFT($A279,1)="C",'Avoided Costs'!$R$13,'Avoided Costs'!$R$12)+1,""),4)</f>
        <v>1.1120000000000001</v>
      </c>
    </row>
    <row r="280" spans="1:102" ht="12.75" customHeight="1">
      <c r="A280" s="91" t="str">
        <f>IF('Inputs Yr 2'!$B280=0,"",'Inputs Yr 2'!A280)</f>
        <v>C - Commercial &amp; Industrial</v>
      </c>
      <c r="B280" s="91" t="str">
        <f>IF('Inputs Yr 2'!$B280=0,"",'Inputs Yr 2'!B280)</f>
        <v>C2 - C&amp;I Retrofit</v>
      </c>
      <c r="C280" s="91" t="str">
        <f>IF('Inputs Yr 2'!$B280=0,"",'Inputs Yr 2'!C280)</f>
        <v>C2a - C&amp;I Existing Building Retrofit</v>
      </c>
      <c r="D280" s="91" t="str">
        <f>IF('Inputs Yr 2'!$B280=0,"",'Inputs Yr 2'!E280)</f>
        <v>Duct Insulation, Gas</v>
      </c>
      <c r="E280" s="93" t="str">
        <f>IF('Inputs Yr 2'!$B280=0,"",'Inputs Yr 2'!F280)</f>
        <v>G16C2a21</v>
      </c>
      <c r="F280" s="93" t="str">
        <f>IF('Inputs Yr 2'!$B280=0,"",'Inputs Yr 2'!G280)</f>
        <v>HVAC</v>
      </c>
      <c r="G280" s="95" t="str">
        <f>IF('Inputs Yr 2'!$H280&lt;&gt;0,('Inputs Yr 2'!H280),"")</f>
        <v/>
      </c>
      <c r="H280" s="94">
        <f>IFERROR('Inputs Yr 2'!I280,"")</f>
        <v>20</v>
      </c>
      <c r="I280" s="298" t="str">
        <f>IFERROR('Inputs Yr 2'!J280*'Inputs Yr 2'!P280*G280,"")</f>
        <v/>
      </c>
      <c r="J280" s="298" t="str">
        <f>IFERROR('Inputs Yr 2'!K280*G280,"")</f>
        <v/>
      </c>
      <c r="K280" s="298" t="str">
        <f t="shared" si="143"/>
        <v/>
      </c>
      <c r="L280" s="194" t="str">
        <f>IFERROR(('Inputs Yr 2'!W280*G280)/1000,"")</f>
        <v/>
      </c>
      <c r="M280" s="194" t="str">
        <f>IFERROR(L280*('Inputs Yr 2'!$Q280*'Inputs Yr 2'!$V280*'Inputs Yr 2'!$R280),"")</f>
        <v/>
      </c>
      <c r="N280" s="194" t="str">
        <f t="shared" si="144"/>
        <v/>
      </c>
      <c r="O280" s="194" t="str">
        <f>IFERROR(M280*'Inputs Yr 2'!P280,"")</f>
        <v/>
      </c>
      <c r="P280" s="194" t="str">
        <f t="shared" si="145"/>
        <v/>
      </c>
      <c r="Q280" s="194" t="str">
        <f>IFERROR($P280*'Inputs Yr 2'!AA280,"")</f>
        <v/>
      </c>
      <c r="R280" s="194" t="str">
        <f>IFERROR($P280*'Inputs Yr 2'!AB280,"")</f>
        <v/>
      </c>
      <c r="S280" s="194" t="str">
        <f>IFERROR($P280*'Inputs Yr 2'!AC280,"")</f>
        <v/>
      </c>
      <c r="T280" s="194" t="str">
        <f>IFERROR($P280*'Inputs Yr 2'!AD280,"")</f>
        <v/>
      </c>
      <c r="U280" s="194" t="str">
        <f>IFERROR(G280*'Inputs Yr 2'!$AE280*'Inputs Yr 2'!$P280*'Inputs Yr 2'!$Q280,"")</f>
        <v/>
      </c>
      <c r="V280" s="194" t="str">
        <f>IFERROR($G280*'Inputs Yr 2'!$AE280*'Inputs Yr 2'!$AG280*'Inputs Yr 2'!Q280*'Inputs Yr 2'!$S280,"")</f>
        <v/>
      </c>
      <c r="W280" s="194" t="str">
        <f>IFERROR($G280*'Inputs Yr 2'!$AE280*'Inputs Yr 2'!$AG280*'Inputs Yr 2'!P280*'Inputs Yr 2'!Q280*'Inputs Yr 2'!$S280,"")</f>
        <v/>
      </c>
      <c r="X280" s="194" t="str">
        <f>IFERROR($G280*'Inputs Yr 2'!$AE280*'Inputs Yr 2'!$AF280*'Inputs Yr 2'!Q280*'Inputs Yr 2'!$T280,"")</f>
        <v/>
      </c>
      <c r="Y280" s="194" t="str">
        <f>IFERROR($G280*'Inputs Yr 2'!$AE280*'Inputs Yr 2'!$AF280*'Inputs Yr 2'!P280*'Inputs Yr 2'!Q280*'Inputs Yr 2'!$T280,"")</f>
        <v/>
      </c>
      <c r="Z280" s="257">
        <f>IFERROR($G280*'Inputs Yr 2'!$Q280*'Inputs Yr 2'!$U280*(IF(IFERROR(SEARCH("NG", 'Inputs Yr 2'!$AJ280),0),'Inputs Yr 2'!$AK280,0)+IF(IFERROR(SEARCH("NG", 'Inputs Yr 2'!$AL280),0),'Inputs Yr 2'!$AM280,0)+IF(IFERROR(SEARCH("NG", 'Inputs Yr 2'!$AN280),0),'Inputs Yr 2'!$AO280,0)),0)</f>
        <v>0</v>
      </c>
      <c r="AA280" s="257">
        <f t="shared" si="146"/>
        <v>0</v>
      </c>
      <c r="AB280" s="257">
        <f>IFERROR(Z280*'Inputs Yr 2'!$P280,0)</f>
        <v>0</v>
      </c>
      <c r="AC280" s="257">
        <f t="shared" si="147"/>
        <v>0</v>
      </c>
      <c r="AD280" s="257">
        <f>IFERROR($G280*'Inputs Yr 2'!$Q280*'Inputs Yr 2'!$U280*(IF(IFERROR(SEARCH("Oil", 'Inputs Yr 2'!$AJ280), 0),'Inputs Yr 2'!$AK280,0)+IF(IFERROR(SEARCH("Oil", 'Inputs Yr 2'!$AL280), 0),'Inputs Yr 2'!$AM280,0)+IF(IFERROR(SEARCH("Oil", 'Inputs Yr 2'!$AN280), 0),'Inputs Yr 2'!$AO280,0)),0)</f>
        <v>0</v>
      </c>
      <c r="AE280" s="257">
        <f t="shared" si="148"/>
        <v>0</v>
      </c>
      <c r="AF280" s="257">
        <f>IFERROR(AD280*'Inputs Yr 2'!$P280,0)</f>
        <v>0</v>
      </c>
      <c r="AG280" s="257">
        <f t="shared" si="149"/>
        <v>0</v>
      </c>
      <c r="AH280" s="257">
        <f>IFERROR($G280*'Inputs Yr 2'!$Q280*'Inputs Yr 2'!$U280*(IF('Inputs Yr 2'!$AJ280=CD$4,'Inputs Yr 2'!$AK280,IF('Inputs Yr 2'!$AL280=CD$4,'Inputs Yr 2'!$AM280,IF('Inputs Yr 2'!$AN280=CD$4,'Inputs Yr 2'!$AO280,0)))),0)</f>
        <v>0</v>
      </c>
      <c r="AI280" s="257">
        <f t="shared" si="150"/>
        <v>0</v>
      </c>
      <c r="AJ280" s="257">
        <f>IFERROR(AH280*'Inputs Yr 2'!$P280,0)</f>
        <v>0</v>
      </c>
      <c r="AK280" s="257">
        <f t="shared" si="151"/>
        <v>0</v>
      </c>
      <c r="AL280" s="258">
        <f>IFERROR($G280*'Inputs Yr 2'!$P280*'Inputs Yr 2'!$Q280*'Inputs Yr 2'!AP280,0)</f>
        <v>0</v>
      </c>
      <c r="AM280" s="260">
        <f>IFERROR($G280*'Inputs Yr 2'!$P280*'Inputs Yr 2'!$Q280*'Inputs Yr 2'!AQ280,0)</f>
        <v>0</v>
      </c>
      <c r="AN280" s="258">
        <f>IFERROR($G280*'Inputs Yr 2'!$P280*'Inputs Yr 2'!$Q280*'Inputs Yr 2'!AR280,0)</f>
        <v>0</v>
      </c>
      <c r="AO280" s="257">
        <f t="shared" si="152"/>
        <v>0</v>
      </c>
      <c r="AP280" s="195" t="str">
        <f>IFERROR($CQ280*(INDEX(avoidedcosttbl2,$H280,AP$2)+(($H280-ROUNDDOWN($H280,0))*(INDEX(avoidedcosttbl2,ROUNDUP($H280,0),AP$2)-(INDEX(avoidedcosttbl2,ROUNDDOWN($H280,0),AP$2)))))*$O280*1000*'Inputs Yr 2'!AA280,"")</f>
        <v/>
      </c>
      <c r="AQ280" s="195" t="str">
        <f>IFERROR($CR280*(INDEX(avoidedcosttbl2,$H280,AQ$2)+(($H280-ROUNDDOWN($H280,0))*(INDEX(avoidedcosttbl2,ROUNDUP($H280,0),AQ$2)-(INDEX(avoidedcosttbl2,ROUNDDOWN($H280,0),AQ$2)))))*$O280*1000*'Inputs Yr 2'!AB280,"")</f>
        <v/>
      </c>
      <c r="AR280" s="195" t="str">
        <f>IFERROR($CS280*(INDEX(avoidedcosttbl2,$H280,AR$2)+(($H280-ROUNDDOWN($H280,0))*(INDEX(avoidedcosttbl2,ROUNDUP($H280,0),AR$2)-(INDEX(avoidedcosttbl2,ROUNDDOWN($H280,0),AR$2)))))*$O280*1000*'Inputs Yr 2'!AC280,"")</f>
        <v/>
      </c>
      <c r="AS280" s="195" t="str">
        <f>IFERROR($CT280*(INDEX(avoidedcosttbl2,$H280,AS$2)+(($H280-ROUNDDOWN($H280,0))*(INDEX(avoidedcosttbl2,ROUNDUP($H280,0),AS$2)-(INDEX(avoidedcosttbl2,ROUNDDOWN($H280,0),AS$2)))))*$O280*1000*'Inputs Yr 2'!AD280,"")</f>
        <v/>
      </c>
      <c r="AT280" s="196">
        <f t="shared" si="153"/>
        <v>0</v>
      </c>
      <c r="AU280" s="197" t="str">
        <f>IFERROR($CQ280*((INDEX(avoidedcosttbl2,$H280,AU$2))+(($H280-ROUNDDOWN($H280,0))*((INDEX(avoidedcosttbl2,ROUNDUP($H280,0),AU$2))-(INDEX(avoidedcosttbl2,ROUNDDOWN($H280,0),AU$2)))))*$O280*1000*'Inputs Yr 2'!AA280,"")</f>
        <v/>
      </c>
      <c r="AV280" s="197" t="str">
        <f>IFERROR($CR280*((INDEX(avoidedcosttbl2,$H280,AV$2))+(($H280-ROUNDDOWN($H280,0))*((INDEX(avoidedcosttbl2,ROUNDUP($H280,0),AV$2))-(INDEX(avoidedcosttbl2,ROUNDDOWN($H280,0),AV$2)))))*$O280*1000*'Inputs Yr 2'!AB280,"")</f>
        <v/>
      </c>
      <c r="AW280" s="197" t="str">
        <f>IFERROR($CS280*((INDEX(avoidedcosttbl2,$H280,AW$2))+(($H280-ROUNDDOWN($H280,0))*((INDEX(avoidedcosttbl2,ROUNDUP($H280,0),AW$2))-(INDEX(avoidedcosttbl2,ROUNDDOWN($H280,0),AW$2)))))*$O280*1000*'Inputs Yr 2'!AC280,"")</f>
        <v/>
      </c>
      <c r="AX280" s="197" t="str">
        <f>IFERROR($CT280*((INDEX(avoidedcosttbl2,$H280,AX$2))+(($H280-ROUNDDOWN($H280,0))*((INDEX(avoidedcosttbl2,ROUNDUP($H280,0),AX$2))-(INDEX(avoidedcosttbl2,ROUNDDOWN($H280,0),AX$2)))))*$O280*1000*'Inputs Yr 2'!AD280,"")</f>
        <v/>
      </c>
      <c r="AY280" s="197" t="str">
        <f>IFERROR(((INDEX(avoidedcosttbl2,$H280,AY$2))+(($H280-ROUNDDOWN($H280,0))*((INDEX(avoidedcosttbl2,ROUNDUP($H280,0),AY$2))-(INDEX(avoidedcosttbl2,ROUNDDOWN($H280,0),AY$2)))))*$O280*1000*('Inputs Yr 2'!AC280+'Inputs Yr 2'!AD280),"")</f>
        <v/>
      </c>
      <c r="AZ280" s="197" t="str">
        <f>IFERROR(((INDEX(avoidedcosttbl2,$H280,AZ$2))+(($H280-ROUNDDOWN($H280,0))*((INDEX(avoidedcosttbl2,ROUNDUP($H280,0),AZ$2))-(INDEX(avoidedcosttbl2,ROUNDDOWN($H280,0),AZ$2)))))*$O280*1000*('Inputs Yr 2'!AA280+'Inputs Yr 2'!AB280),"")</f>
        <v/>
      </c>
      <c r="BA280" s="198">
        <f t="shared" si="154"/>
        <v>0</v>
      </c>
      <c r="BB280" s="198">
        <f t="shared" si="155"/>
        <v>0</v>
      </c>
      <c r="BC280" s="195" t="str">
        <f t="shared" si="137"/>
        <v/>
      </c>
      <c r="BD280" s="195" t="str">
        <f t="shared" si="138"/>
        <v/>
      </c>
      <c r="BE280" s="195" t="str">
        <f t="shared" si="139"/>
        <v/>
      </c>
      <c r="BF280" s="195" t="str">
        <f t="shared" si="140"/>
        <v/>
      </c>
      <c r="BG280" s="195" t="str">
        <f t="shared" si="141"/>
        <v/>
      </c>
      <c r="BH280" s="196">
        <f t="shared" si="156"/>
        <v>0</v>
      </c>
      <c r="BI280" s="196">
        <f t="shared" si="157"/>
        <v>0</v>
      </c>
      <c r="BJ280" s="195" t="str">
        <f>IFERROR($G280*(IF('Inputs Yr 2'!$AJ280=BJ$4,'Inputs Yr 2'!$AK280,IF('Inputs Yr 2'!$AL280=BJ$4,'Inputs Yr 2'!$AM280,IF('Inputs Yr 2'!$AN280=BJ$4,'Inputs Yr 2'!$AO280,0))))*(INDEX(avoidedcosttbl2,$H280,BJ$2)+(($H280-ROUNDDOWN($H280,0))*(INDEX(avoidedcosttbl2,ROUNDUP($H280,0),BJ$2)-(INDEX(avoidedcosttbl2,ROUNDDOWN($H280,0),BJ$2)))))*'Inputs Yr 2'!P280*'Inputs Yr 2'!Q280*'Inputs Yr 2'!U280,"")</f>
        <v/>
      </c>
      <c r="BK280" s="195" t="str">
        <f>IFERROR($G280*(IF('Inputs Yr 2'!$AJ280=BK$4,'Inputs Yr 2'!$AK280,IF('Inputs Yr 2'!$AL280=BK$4,'Inputs Yr 2'!$AM280,IF('Inputs Yr 2'!$AN280=BK$4,'Inputs Yr 2'!$AO280,0))))*(INDEX(avoidedcosttbl2,$H280,BK$2)+(($H280-ROUNDDOWN($H280,0))*(INDEX(avoidedcosttbl2,ROUNDUP($H280,0),BK$2)-(INDEX(avoidedcosttbl2,ROUNDDOWN($H280,0),BK$2)))))*'Inputs Yr 2'!P280*'Inputs Yr 2'!Q280*'Inputs Yr 2'!U280,"")</f>
        <v/>
      </c>
      <c r="BL280" s="195" t="str">
        <f>IFERROR($G280*(IF('Inputs Yr 2'!$AJ280=BL$4,'Inputs Yr 2'!$AK280,IF('Inputs Yr 2'!$AL280=BL$4,'Inputs Yr 2'!$AM280,IF('Inputs Yr 2'!$AN280=BL$4,'Inputs Yr 2'!$AO280,0))))*(INDEX(avoidedcosttbl2,$H280,BL$2)+(($H280-ROUNDDOWN($H280,0))*(INDEX(avoidedcosttbl2,ROUNDUP($H280,0),BL$2)-(INDEX(avoidedcosttbl2,ROUNDDOWN($H280,0),BL$2)))))*'Inputs Yr 2'!P280*'Inputs Yr 2'!Q280*'Inputs Yr 2'!U280,"")</f>
        <v/>
      </c>
      <c r="BM280" s="195" t="str">
        <f>IFERROR($G280*(IF('Inputs Yr 2'!$AJ280=BM$4,'Inputs Yr 2'!$AK280,IF('Inputs Yr 2'!$AL280=BM$4,'Inputs Yr 2'!$AM280,IF('Inputs Yr 2'!$AN280=BM$4,'Inputs Yr 2'!$AO280,0))))*(INDEX(avoidedcosttbl2,$H280,BM$2)+(($H280-ROUNDDOWN($H280,0))*(INDEX(avoidedcosttbl2,ROUNDUP($H280,0),BM$2)-(INDEX(avoidedcosttbl2,ROUNDDOWN($H280,0),BM$2)))))*'Inputs Yr 2'!P280*'Inputs Yr 2'!Q280*'Inputs Yr 2'!U280,"")</f>
        <v/>
      </c>
      <c r="BN280" s="195" t="str">
        <f>IFERROR($G280*(IF('Inputs Yr 2'!$AJ280=BN$4,'Inputs Yr 2'!$AK280,IF('Inputs Yr 2'!$AL280=BN$4,'Inputs Yr 2'!$AM280,IF('Inputs Yr 2'!$AN280=BN$4,'Inputs Yr 2'!$AO280,0))))*(INDEX(avoidedcosttbl2,$H280,BN$2)+(($H280-ROUNDDOWN($H280,0))*(INDEX(avoidedcosttbl2,ROUNDUP($H280,0),BN$2)-(INDEX(avoidedcosttbl2,ROUNDDOWN($H280,0),BN$2)))))*'Inputs Yr 2'!P280*'Inputs Yr 2'!Q280*'Inputs Yr 2'!U280,"")</f>
        <v/>
      </c>
      <c r="BO280" s="195" t="str">
        <f>IFERROR($G280*(IF('Inputs Yr 2'!$AJ280=BO$4,'Inputs Yr 2'!$AK280,IF('Inputs Yr 2'!$AL280=BO$4,'Inputs Yr 2'!$AM280,IF('Inputs Yr 2'!$AN280=BO$4,'Inputs Yr 2'!$AO280,0))))*(INDEX(avoidedcosttbl2,$H280,BO$2)+(($H280-ROUNDDOWN($H280,0))*(INDEX(avoidedcosttbl2,ROUNDUP($H280,0),BO$2)-(INDEX(avoidedcosttbl2,ROUNDDOWN($H280,0),BO$2)))))*'Inputs Yr 2'!P280*'Inputs Yr 2'!Q280*'Inputs Yr 2'!U280,"")</f>
        <v/>
      </c>
      <c r="BP280" s="195" t="str">
        <f>IFERROR($G280*(IF('Inputs Yr 2'!$AJ280=BP$4,'Inputs Yr 2'!$AK280,IF('Inputs Yr 2'!$AL280=BP$4,'Inputs Yr 2'!$AM280,IF('Inputs Yr 2'!$AN280=BP$4,'Inputs Yr 2'!$AO280,0))))*(INDEX(avoidedcosttbl2,$H280,BP$2)+(($H280-ROUNDDOWN($H280,0))*(INDEX(avoidedcosttbl2,ROUNDUP($H280,0),BP$2)-(INDEX(avoidedcosttbl2,ROUNDDOWN($H280,0),BP$2)))))*'Inputs Yr 2'!P280*'Inputs Yr 2'!Q280*'Inputs Yr 2'!U280,"")</f>
        <v/>
      </c>
      <c r="BQ280" s="230">
        <f t="shared" si="158"/>
        <v>0</v>
      </c>
      <c r="BR280" s="197">
        <f t="shared" si="142"/>
        <v>0</v>
      </c>
      <c r="BS280" s="197" t="str">
        <f>IFERROR(($G280*IF('Inputs Yr 2'!$AJ280=BM$4,'Inputs Yr 2'!$AK280,IF('Inputs Yr 2'!$AL280=BM$4,'Inputs Yr 2'!$AM280,IF('Inputs Yr 2'!$AN280=BM$4,'Inputs Yr 2'!$AO280,0))))*(INDEX(avoidedcosttbl2,$H280,BS$2)+(($H280-ROUNDDOWN($H280,0))*(INDEX(avoidedcosttbl2,ROUNDUP($H280,0),BS$2)-(INDEX(avoidedcosttbl2,ROUNDDOWN($H280,0),BS$2)))))*'Inputs Yr 2'!P280*'Inputs Yr 2'!Q280*'Inputs Yr 2'!U280,"")</f>
        <v/>
      </c>
      <c r="BT280" s="197" t="str">
        <f>IFERROR(($G280*IF('Inputs Yr 2'!$AJ280=BK$4,'Inputs Yr 2'!$AK280,IF('Inputs Yr 2'!$AL280=BK$4,'Inputs Yr 2'!$AM280,IF('Inputs Yr 2'!$AN280=BK$4,'Inputs Yr 2'!$AO280,0))))*(INDEX(avoidedcosttbl2,$H280,BT$2)+(($H280-ROUNDDOWN($H280,0))*(INDEX(avoidedcosttbl2,ROUNDUP($H280,0),BT$2)-(INDEX(avoidedcosttbl2,ROUNDDOWN($H280,0),BT$2)))))*'Inputs Yr 2'!P280*'Inputs Yr 2'!Q280*'Inputs Yr 2'!U280,"")</f>
        <v/>
      </c>
      <c r="BU280" s="197" t="str">
        <f>IFERROR(($G280*IF('Inputs Yr 2'!$AJ280=BL$4,'Inputs Yr 2'!$AK280,IF('Inputs Yr 2'!$AL280=BL$4,'Inputs Yr 2'!$AM280,IF('Inputs Yr 2'!$AN280=BL$4,'Inputs Yr 2'!$AO280,0))))*(INDEX(avoidedcosttbl2,$H280,BU$2)+(($H280-ROUNDDOWN($H280,0))*(INDEX(avoidedcosttbl2,ROUNDUP($H280,0),BU$2)-(INDEX(avoidedcosttbl2,ROUNDDOWN($H280,0),BU$2)))))*'Inputs Yr 2'!P280*'Inputs Yr 2'!Q280*'Inputs Yr 2'!U280,"")</f>
        <v/>
      </c>
      <c r="BV280" s="775" t="str">
        <f>IFERROR(($G280*IF('Inputs Yr 2'!$AJ280=BJ$4,'Inputs Yr 2'!$AK280,IF('Inputs Yr 2'!$AL280=BJ$4,'Inputs Yr 2'!$AM280,IF('Inputs Yr 2'!$AN280=BJ$4,'Inputs Yr 2'!$AO280,0))))*(INDEX(avoidedcosttbl2,$H280,BV$2)+(($H280-ROUNDDOWN($H280,0))*(INDEX(avoidedcosttbl2,ROUNDUP($H280,0),BV$2)-(INDEX(avoidedcosttbl2,ROUNDDOWN($H280,0),BV$2)))))*'Inputs Yr 2'!P280*'Inputs Yr 2'!Q280*'Inputs Yr 2'!U280,"")</f>
        <v/>
      </c>
      <c r="BW280" s="197" t="str">
        <f>IFERROR(($G280*IF('Inputs Yr 2'!$AJ280=BN$4,'Inputs Yr 2'!$AK280,IF('Inputs Yr 2'!$AL280=BN$4,'Inputs Yr 2'!$AM280,IF('Inputs Yr 2'!$AN280=BN$4,'Inputs Yr 2'!$AO280,0))))*(INDEX(avoidedcosttbl2,$H280,BW$2)+(($H280-ROUNDDOWN($H280,0))*(INDEX(avoidedcosttbl2,ROUNDUP($H280,0),BW$2)-(INDEX(avoidedcosttbl2,ROUNDDOWN($H280,0),BW$2)))))*'Inputs Yr 2'!P280*'Inputs Yr 2'!Q280*'Inputs Yr 2'!U280,"")</f>
        <v/>
      </c>
      <c r="BX280" s="197" t="str">
        <f>IFERROR(($G280*IF('Inputs Yr 2'!$AJ280=BO$4,'Inputs Yr 2'!$AK280,IF('Inputs Yr 2'!$AL280=BO$4,'Inputs Yr 2'!$AM280,IF('Inputs Yr 2'!$AN280=BO$4,'Inputs Yr 2'!$AO280,0))))*(INDEX(avoidedcosttbl2,$H280,BX$2)+(($H280-ROUNDDOWN($H280,0))*(INDEX(avoidedcosttbl2,ROUNDUP($H280,0),BX$2)-(INDEX(avoidedcosttbl2,ROUNDDOWN($H280,0),BX$2)))))*'Inputs Yr 2'!P280*'Inputs Yr 2'!Q280*'Inputs Yr 2'!U280,"")</f>
        <v/>
      </c>
      <c r="BY280" s="197" t="str">
        <f>IFERROR(($G280*IF('Inputs Yr 2'!$AJ280=BP$4,'Inputs Yr 2'!$AK280,IF('Inputs Yr 2'!$AL280=BP$4,'Inputs Yr 2'!$AM280,IF('Inputs Yr 2'!$AN280=BP$4,'Inputs Yr 2'!$AO280,0))))*(INDEX(avoidedcosttbl2,$H280,BY$2)+(($H280-ROUNDDOWN($H280,0))*(INDEX(avoidedcosttbl2,ROUNDUP($H280,0),BY$2)-(INDEX(avoidedcosttbl2,ROUNDDOWN($H280,0),BY$2)))))*'Inputs Yr 2'!P280*'Inputs Yr 2'!Q280*'Inputs Yr 2'!U280,"")</f>
        <v/>
      </c>
      <c r="BZ280" s="193">
        <f t="shared" si="159"/>
        <v>0</v>
      </c>
      <c r="CA280" s="193">
        <f t="shared" si="160"/>
        <v>0</v>
      </c>
      <c r="CB280" s="195" t="str">
        <f>IFERROR(G280*(IF('Inputs Yr 2'!$AJ280=CB$4,'Inputs Yr 2'!$AK280,IF('Inputs Yr 2'!$AL280=CB$4,'Inputs Yr 2'!$AM280,IF('Inputs Yr 2'!$AN280=CB$4,'Inputs Yr 2'!$AO280,0))))*(INDEX(avoidedcosttbl2,$H280,CB$2)+(($H280-ROUNDDOWN($H280,0))*(INDEX(avoidedcosttbl2,ROUNDUP($H280,0),CB$2)-(INDEX(avoidedcosttbl2,ROUNDDOWN($H280,0),CB$2)))))*'Inputs Yr 2'!P280*'Inputs Yr 2'!Q280*'Inputs Yr 2'!U280,"")</f>
        <v/>
      </c>
      <c r="CC280" s="195">
        <f>IFERROR(H280*(IF('Inputs Yr 2'!$AJ280=CC$4,'Inputs Yr 2'!$AK280,IF('Inputs Yr 2'!$AL280=CC$4,'Inputs Yr 2'!$AM280,IF('Inputs Yr 2'!$AN280=CC$4,'Inputs Yr 2'!$AO280,0))))*(INDEX(avoidedcosttbl2,$H280,CC$2)+(($H280-ROUNDDOWN($H280,0))*(INDEX(avoidedcosttbl2,ROUNDUP($H280,0),CC$2)-(INDEX(avoidedcosttbl2,ROUNDDOWN($H280,0),CC$2)))))*'Inputs Yr 2'!Q280*'Inputs Yr 2'!R280*'Inputs Yr 2'!V280,"")</f>
        <v>0</v>
      </c>
      <c r="CD280" s="195" t="str">
        <f>IFERROR(I280*(IF('Inputs Yr 2'!$AJ280=CD$4,'Inputs Yr 2'!$AK280,IF('Inputs Yr 2'!$AL280=CD$4,'Inputs Yr 2'!$AM280,IF('Inputs Yr 2'!$AN280=CD$4,'Inputs Yr 2'!$AO280,0))))*(INDEX(avoidedcosttbl2,$H280,CD$2)+(($H280-ROUNDDOWN($H280,0))*(INDEX(avoidedcosttbl2,ROUNDUP($H280,0),CD$2)-(INDEX(avoidedcosttbl2,ROUNDDOWN($H280,0),CD$2)))))*'Inputs Yr 2'!R280*'Inputs Yr 2'!S280*'Inputs Yr 2'!W280,"")</f>
        <v/>
      </c>
      <c r="CE280" s="213">
        <f t="shared" si="161"/>
        <v>0</v>
      </c>
      <c r="CF280" s="213">
        <f t="shared" si="162"/>
        <v>0</v>
      </c>
      <c r="CG280" s="213">
        <f t="shared" si="163"/>
        <v>0</v>
      </c>
      <c r="CH280" s="698">
        <f t="shared" si="164"/>
        <v>0</v>
      </c>
      <c r="CI280" s="79" t="str">
        <f>IFERROR(($G280*'Inputs Yr 2'!$P280*'Inputs Yr 2'!$Q280*(((INDEX(avoidedcosttbl2,$H280,CI$2)+(($H280-ROUNDDOWN($H280,0))*(INDEX(avoidedcosttbl2,ROUNDUP($H280,0),CI$2)-INDEX(avoidedcosttbl2,ROUNDDOWN($H280,0),CI$2))))*'Inputs Yr 2'!AS280))),"")</f>
        <v/>
      </c>
      <c r="CJ280" s="504" t="str">
        <f>IFERROR($G280*'Inputs Yr 2'!AT280*'Inputs Yr 2'!$P280*'Inputs Yr 2'!$Q280/((1+realdiscrt1)^-0.5),"")</f>
        <v/>
      </c>
      <c r="CK280" s="79" t="str">
        <f>IFERROR((O280*1000*(((INDEX(avoidedcosttbl2,$H280,CK$2)+(($H280-ROUNDDOWN($H280,0))*(INDEX(avoidedcosttbl2,ROUNDUP($H280,0),CK$2)-INDEX(avoidedcosttbl2,ROUNDDOWN($H280,0),CK$2))))*'Inputs Yr 2'!AU280))),"")</f>
        <v/>
      </c>
      <c r="CL280" s="504" t="str">
        <f>IFERROR(O280*1000*'Inputs Yr 2'!AV280/((1+realdiscrt1)^-0.5),"")</f>
        <v/>
      </c>
      <c r="CM280" s="79">
        <f>IFERROR((AB280*'Inputs Yr 2'!AW280*(((INDEX(avoidedcosttbl2,$H280,CM$2)+(($H280-ROUNDDOWN($H280,0))*(INDEX(avoidedcosttbl2,ROUNDUP($H280,0),CM$2)-INDEX(avoidedcosttbl2,ROUNDDOWN($H280,0),CM$2)))))))*10,"")</f>
        <v>0</v>
      </c>
      <c r="CN280" s="504">
        <f>IFERROR(10*AB280*'Inputs Yr 2'!AX280/((1+realdiscrt1)^-0.5),"")</f>
        <v>0</v>
      </c>
      <c r="CO280" s="505">
        <f t="shared" si="165"/>
        <v>0</v>
      </c>
      <c r="CP280" s="230">
        <f t="shared" si="166"/>
        <v>0</v>
      </c>
      <c r="CQ280" s="199">
        <f>ROUND(IFERROR(IF(LEFT($A280,1)="C",'Avoided Costs'!$K$13,'Avoided Costs'!$K$12)+1,""),4)</f>
        <v>1.0720000000000001</v>
      </c>
      <c r="CR280" s="199">
        <f>ROUND(IFERROR(IF(LEFT($A280,1)="C",'Avoided Costs'!$L$13,'Avoided Costs'!$L$12)+1,""),4)</f>
        <v>1.04</v>
      </c>
      <c r="CS280" s="199">
        <f>ROUND(IFERROR(IF(LEFT($A280,1)="C",'Avoided Costs'!$M$13,'Avoided Costs'!$M$12)+1,""),4)</f>
        <v>1.0720000000000001</v>
      </c>
      <c r="CT280" s="199">
        <f>ROUND(IFERROR(IF(LEFT($A280,1)="C",'Avoided Costs'!$N$13,'Avoided Costs'!$N$12)+1,""),4)</f>
        <v>1.04</v>
      </c>
      <c r="CU280" s="199">
        <f>ROUND(IFERROR(IF(LEFT($A280,1)="C",'Avoided Costs'!$O$13,'Avoided Costs'!$O$12)+1,""),4)</f>
        <v>1.1120000000000001</v>
      </c>
      <c r="CV280" s="199">
        <f>ROUND(IFERROR(IF(LEFT($A280,1)="C",'Avoided Costs'!$P$13,'Avoided Costs'!$P$12)+1,""),4)</f>
        <v>1.095</v>
      </c>
      <c r="CW280" s="199">
        <f>ROUND(IFERROR(IF(LEFT($A280,1)="C",'Avoided Costs'!$Q$13,'Avoided Costs'!$Q$12)+1,""),4)</f>
        <v>1.1120000000000001</v>
      </c>
      <c r="CX280" s="200">
        <f>ROUND(IFERROR(IF(LEFT($A280,1)="C",'Avoided Costs'!$R$13,'Avoided Costs'!$R$12)+1,""),4)</f>
        <v>1.1120000000000001</v>
      </c>
    </row>
    <row r="281" spans="1:102" ht="12.75" customHeight="1">
      <c r="A281" s="91" t="str">
        <f>IF('Inputs Yr 2'!$B281=0,"",'Inputs Yr 2'!A281)</f>
        <v>C - Commercial &amp; Industrial</v>
      </c>
      <c r="B281" s="91" t="str">
        <f>IF('Inputs Yr 2'!$B281=0,"",'Inputs Yr 2'!B281)</f>
        <v>C2 - C&amp;I Retrofit</v>
      </c>
      <c r="C281" s="91" t="str">
        <f>IF('Inputs Yr 2'!$B281=0,"",'Inputs Yr 2'!C281)</f>
        <v>C2a - C&amp;I Existing Building Retrofit</v>
      </c>
      <c r="D281" s="91" t="str">
        <f>IF('Inputs Yr 2'!$B281=0,"",'Inputs Yr 2'!E281)</f>
        <v>Duct Seal, Gas</v>
      </c>
      <c r="E281" s="93" t="str">
        <f>IF('Inputs Yr 2'!$B281=0,"",'Inputs Yr 2'!F281)</f>
        <v>G16C2a22</v>
      </c>
      <c r="F281" s="93" t="str">
        <f>IF('Inputs Yr 2'!$B281=0,"",'Inputs Yr 2'!G281)</f>
        <v>HVAC</v>
      </c>
      <c r="G281" s="95" t="str">
        <f>IF('Inputs Yr 2'!$H281&lt;&gt;0,('Inputs Yr 2'!H281),"")</f>
        <v/>
      </c>
      <c r="H281" s="94">
        <f>IFERROR('Inputs Yr 2'!I281,"")</f>
        <v>20</v>
      </c>
      <c r="I281" s="298" t="str">
        <f>IFERROR('Inputs Yr 2'!J281*'Inputs Yr 2'!P281*G281,"")</f>
        <v/>
      </c>
      <c r="J281" s="298" t="str">
        <f>IFERROR('Inputs Yr 2'!K281*G281,"")</f>
        <v/>
      </c>
      <c r="K281" s="298" t="str">
        <f t="shared" si="143"/>
        <v/>
      </c>
      <c r="L281" s="194" t="str">
        <f>IFERROR(('Inputs Yr 2'!W281*G281)/1000,"")</f>
        <v/>
      </c>
      <c r="M281" s="194" t="str">
        <f>IFERROR(L281*('Inputs Yr 2'!$Q281*'Inputs Yr 2'!$V281*'Inputs Yr 2'!$R281),"")</f>
        <v/>
      </c>
      <c r="N281" s="194" t="str">
        <f t="shared" si="144"/>
        <v/>
      </c>
      <c r="O281" s="194" t="str">
        <f>IFERROR(M281*'Inputs Yr 2'!P281,"")</f>
        <v/>
      </c>
      <c r="P281" s="194" t="str">
        <f t="shared" si="145"/>
        <v/>
      </c>
      <c r="Q281" s="194" t="str">
        <f>IFERROR($P281*'Inputs Yr 2'!AA281,"")</f>
        <v/>
      </c>
      <c r="R281" s="194" t="str">
        <f>IFERROR($P281*'Inputs Yr 2'!AB281,"")</f>
        <v/>
      </c>
      <c r="S281" s="194" t="str">
        <f>IFERROR($P281*'Inputs Yr 2'!AC281,"")</f>
        <v/>
      </c>
      <c r="T281" s="194" t="str">
        <f>IFERROR($P281*'Inputs Yr 2'!AD281,"")</f>
        <v/>
      </c>
      <c r="U281" s="194" t="str">
        <f>IFERROR(G281*'Inputs Yr 2'!$AE281*'Inputs Yr 2'!$P281*'Inputs Yr 2'!$Q281,"")</f>
        <v/>
      </c>
      <c r="V281" s="194" t="str">
        <f>IFERROR($G281*'Inputs Yr 2'!$AE281*'Inputs Yr 2'!$AG281*'Inputs Yr 2'!Q281*'Inputs Yr 2'!$S281,"")</f>
        <v/>
      </c>
      <c r="W281" s="194" t="str">
        <f>IFERROR($G281*'Inputs Yr 2'!$AE281*'Inputs Yr 2'!$AG281*'Inputs Yr 2'!P281*'Inputs Yr 2'!Q281*'Inputs Yr 2'!$S281,"")</f>
        <v/>
      </c>
      <c r="X281" s="194" t="str">
        <f>IFERROR($G281*'Inputs Yr 2'!$AE281*'Inputs Yr 2'!$AF281*'Inputs Yr 2'!Q281*'Inputs Yr 2'!$T281,"")</f>
        <v/>
      </c>
      <c r="Y281" s="194" t="str">
        <f>IFERROR($G281*'Inputs Yr 2'!$AE281*'Inputs Yr 2'!$AF281*'Inputs Yr 2'!P281*'Inputs Yr 2'!Q281*'Inputs Yr 2'!$T281,"")</f>
        <v/>
      </c>
      <c r="Z281" s="257">
        <f>IFERROR($G281*'Inputs Yr 2'!$Q281*'Inputs Yr 2'!$U281*(IF(IFERROR(SEARCH("NG", 'Inputs Yr 2'!$AJ281),0),'Inputs Yr 2'!$AK281,0)+IF(IFERROR(SEARCH("NG", 'Inputs Yr 2'!$AL281),0),'Inputs Yr 2'!$AM281,0)+IF(IFERROR(SEARCH("NG", 'Inputs Yr 2'!$AN281),0),'Inputs Yr 2'!$AO281,0)),0)</f>
        <v>0</v>
      </c>
      <c r="AA281" s="257">
        <f t="shared" si="146"/>
        <v>0</v>
      </c>
      <c r="AB281" s="257">
        <f>IFERROR(Z281*'Inputs Yr 2'!$P281,0)</f>
        <v>0</v>
      </c>
      <c r="AC281" s="257">
        <f t="shared" si="147"/>
        <v>0</v>
      </c>
      <c r="AD281" s="257">
        <f>IFERROR($G281*'Inputs Yr 2'!$Q281*'Inputs Yr 2'!$U281*(IF(IFERROR(SEARCH("Oil", 'Inputs Yr 2'!$AJ281), 0),'Inputs Yr 2'!$AK281,0)+IF(IFERROR(SEARCH("Oil", 'Inputs Yr 2'!$AL281), 0),'Inputs Yr 2'!$AM281,0)+IF(IFERROR(SEARCH("Oil", 'Inputs Yr 2'!$AN281), 0),'Inputs Yr 2'!$AO281,0)),0)</f>
        <v>0</v>
      </c>
      <c r="AE281" s="257">
        <f t="shared" si="148"/>
        <v>0</v>
      </c>
      <c r="AF281" s="257">
        <f>IFERROR(AD281*'Inputs Yr 2'!$P281,0)</f>
        <v>0</v>
      </c>
      <c r="AG281" s="257">
        <f t="shared" si="149"/>
        <v>0</v>
      </c>
      <c r="AH281" s="257">
        <f>IFERROR($G281*'Inputs Yr 2'!$Q281*'Inputs Yr 2'!$U281*(IF('Inputs Yr 2'!$AJ281=CD$4,'Inputs Yr 2'!$AK281,IF('Inputs Yr 2'!$AL281=CD$4,'Inputs Yr 2'!$AM281,IF('Inputs Yr 2'!$AN281=CD$4,'Inputs Yr 2'!$AO281,0)))),0)</f>
        <v>0</v>
      </c>
      <c r="AI281" s="257">
        <f t="shared" si="150"/>
        <v>0</v>
      </c>
      <c r="AJ281" s="257">
        <f>IFERROR(AH281*'Inputs Yr 2'!$P281,0)</f>
        <v>0</v>
      </c>
      <c r="AK281" s="257">
        <f t="shared" si="151"/>
        <v>0</v>
      </c>
      <c r="AL281" s="258">
        <f>IFERROR($G281*'Inputs Yr 2'!$P281*'Inputs Yr 2'!$Q281*'Inputs Yr 2'!AP281,0)</f>
        <v>0</v>
      </c>
      <c r="AM281" s="260">
        <f>IFERROR($G281*'Inputs Yr 2'!$P281*'Inputs Yr 2'!$Q281*'Inputs Yr 2'!AQ281,0)</f>
        <v>0</v>
      </c>
      <c r="AN281" s="258">
        <f>IFERROR($G281*'Inputs Yr 2'!$P281*'Inputs Yr 2'!$Q281*'Inputs Yr 2'!AR281,0)</f>
        <v>0</v>
      </c>
      <c r="AO281" s="257">
        <f t="shared" si="152"/>
        <v>0</v>
      </c>
      <c r="AP281" s="195" t="str">
        <f>IFERROR($CQ281*(INDEX(avoidedcosttbl2,$H281,AP$2)+(($H281-ROUNDDOWN($H281,0))*(INDEX(avoidedcosttbl2,ROUNDUP($H281,0),AP$2)-(INDEX(avoidedcosttbl2,ROUNDDOWN($H281,0),AP$2)))))*$O281*1000*'Inputs Yr 2'!AA281,"")</f>
        <v/>
      </c>
      <c r="AQ281" s="195" t="str">
        <f>IFERROR($CR281*(INDEX(avoidedcosttbl2,$H281,AQ$2)+(($H281-ROUNDDOWN($H281,0))*(INDEX(avoidedcosttbl2,ROUNDUP($H281,0),AQ$2)-(INDEX(avoidedcosttbl2,ROUNDDOWN($H281,0),AQ$2)))))*$O281*1000*'Inputs Yr 2'!AB281,"")</f>
        <v/>
      </c>
      <c r="AR281" s="195" t="str">
        <f>IFERROR($CS281*(INDEX(avoidedcosttbl2,$H281,AR$2)+(($H281-ROUNDDOWN($H281,0))*(INDEX(avoidedcosttbl2,ROUNDUP($H281,0),AR$2)-(INDEX(avoidedcosttbl2,ROUNDDOWN($H281,0),AR$2)))))*$O281*1000*'Inputs Yr 2'!AC281,"")</f>
        <v/>
      </c>
      <c r="AS281" s="195" t="str">
        <f>IFERROR($CT281*(INDEX(avoidedcosttbl2,$H281,AS$2)+(($H281-ROUNDDOWN($H281,0))*(INDEX(avoidedcosttbl2,ROUNDUP($H281,0),AS$2)-(INDEX(avoidedcosttbl2,ROUNDDOWN($H281,0),AS$2)))))*$O281*1000*'Inputs Yr 2'!AD281,"")</f>
        <v/>
      </c>
      <c r="AT281" s="196">
        <f t="shared" si="153"/>
        <v>0</v>
      </c>
      <c r="AU281" s="197" t="str">
        <f>IFERROR($CQ281*((INDEX(avoidedcosttbl2,$H281,AU$2))+(($H281-ROUNDDOWN($H281,0))*((INDEX(avoidedcosttbl2,ROUNDUP($H281,0),AU$2))-(INDEX(avoidedcosttbl2,ROUNDDOWN($H281,0),AU$2)))))*$O281*1000*'Inputs Yr 2'!AA281,"")</f>
        <v/>
      </c>
      <c r="AV281" s="197" t="str">
        <f>IFERROR($CR281*((INDEX(avoidedcosttbl2,$H281,AV$2))+(($H281-ROUNDDOWN($H281,0))*((INDEX(avoidedcosttbl2,ROUNDUP($H281,0),AV$2))-(INDEX(avoidedcosttbl2,ROUNDDOWN($H281,0),AV$2)))))*$O281*1000*'Inputs Yr 2'!AB281,"")</f>
        <v/>
      </c>
      <c r="AW281" s="197" t="str">
        <f>IFERROR($CS281*((INDEX(avoidedcosttbl2,$H281,AW$2))+(($H281-ROUNDDOWN($H281,0))*((INDEX(avoidedcosttbl2,ROUNDUP($H281,0),AW$2))-(INDEX(avoidedcosttbl2,ROUNDDOWN($H281,0),AW$2)))))*$O281*1000*'Inputs Yr 2'!AC281,"")</f>
        <v/>
      </c>
      <c r="AX281" s="197" t="str">
        <f>IFERROR($CT281*((INDEX(avoidedcosttbl2,$H281,AX$2))+(($H281-ROUNDDOWN($H281,0))*((INDEX(avoidedcosttbl2,ROUNDUP($H281,0),AX$2))-(INDEX(avoidedcosttbl2,ROUNDDOWN($H281,0),AX$2)))))*$O281*1000*'Inputs Yr 2'!AD281,"")</f>
        <v/>
      </c>
      <c r="AY281" s="197" t="str">
        <f>IFERROR(((INDEX(avoidedcosttbl2,$H281,AY$2))+(($H281-ROUNDDOWN($H281,0))*((INDEX(avoidedcosttbl2,ROUNDUP($H281,0),AY$2))-(INDEX(avoidedcosttbl2,ROUNDDOWN($H281,0),AY$2)))))*$O281*1000*('Inputs Yr 2'!AC281+'Inputs Yr 2'!AD281),"")</f>
        <v/>
      </c>
      <c r="AZ281" s="197" t="str">
        <f>IFERROR(((INDEX(avoidedcosttbl2,$H281,AZ$2))+(($H281-ROUNDDOWN($H281,0))*((INDEX(avoidedcosttbl2,ROUNDUP($H281,0),AZ$2))-(INDEX(avoidedcosttbl2,ROUNDDOWN($H281,0),AZ$2)))))*$O281*1000*('Inputs Yr 2'!AA281+'Inputs Yr 2'!AB281),"")</f>
        <v/>
      </c>
      <c r="BA281" s="198">
        <f t="shared" si="154"/>
        <v>0</v>
      </c>
      <c r="BB281" s="198">
        <f t="shared" si="155"/>
        <v>0</v>
      </c>
      <c r="BC281" s="195" t="str">
        <f t="shared" si="137"/>
        <v/>
      </c>
      <c r="BD281" s="195" t="str">
        <f t="shared" si="138"/>
        <v/>
      </c>
      <c r="BE281" s="195" t="str">
        <f t="shared" si="139"/>
        <v/>
      </c>
      <c r="BF281" s="195" t="str">
        <f t="shared" si="140"/>
        <v/>
      </c>
      <c r="BG281" s="195" t="str">
        <f t="shared" si="141"/>
        <v/>
      </c>
      <c r="BH281" s="196">
        <f t="shared" si="156"/>
        <v>0</v>
      </c>
      <c r="BI281" s="196">
        <f t="shared" si="157"/>
        <v>0</v>
      </c>
      <c r="BJ281" s="195" t="str">
        <f>IFERROR($G281*(IF('Inputs Yr 2'!$AJ281=BJ$4,'Inputs Yr 2'!$AK281,IF('Inputs Yr 2'!$AL281=BJ$4,'Inputs Yr 2'!$AM281,IF('Inputs Yr 2'!$AN281=BJ$4,'Inputs Yr 2'!$AO281,0))))*(INDEX(avoidedcosttbl2,$H281,BJ$2)+(($H281-ROUNDDOWN($H281,0))*(INDEX(avoidedcosttbl2,ROUNDUP($H281,0),BJ$2)-(INDEX(avoidedcosttbl2,ROUNDDOWN($H281,0),BJ$2)))))*'Inputs Yr 2'!P281*'Inputs Yr 2'!Q281*'Inputs Yr 2'!U281,"")</f>
        <v/>
      </c>
      <c r="BK281" s="195" t="str">
        <f>IFERROR($G281*(IF('Inputs Yr 2'!$AJ281=BK$4,'Inputs Yr 2'!$AK281,IF('Inputs Yr 2'!$AL281=BK$4,'Inputs Yr 2'!$AM281,IF('Inputs Yr 2'!$AN281=BK$4,'Inputs Yr 2'!$AO281,0))))*(INDEX(avoidedcosttbl2,$H281,BK$2)+(($H281-ROUNDDOWN($H281,0))*(INDEX(avoidedcosttbl2,ROUNDUP($H281,0),BK$2)-(INDEX(avoidedcosttbl2,ROUNDDOWN($H281,0),BK$2)))))*'Inputs Yr 2'!P281*'Inputs Yr 2'!Q281*'Inputs Yr 2'!U281,"")</f>
        <v/>
      </c>
      <c r="BL281" s="195" t="str">
        <f>IFERROR($G281*(IF('Inputs Yr 2'!$AJ281=BL$4,'Inputs Yr 2'!$AK281,IF('Inputs Yr 2'!$AL281=BL$4,'Inputs Yr 2'!$AM281,IF('Inputs Yr 2'!$AN281=BL$4,'Inputs Yr 2'!$AO281,0))))*(INDEX(avoidedcosttbl2,$H281,BL$2)+(($H281-ROUNDDOWN($H281,0))*(INDEX(avoidedcosttbl2,ROUNDUP($H281,0),BL$2)-(INDEX(avoidedcosttbl2,ROUNDDOWN($H281,0),BL$2)))))*'Inputs Yr 2'!P281*'Inputs Yr 2'!Q281*'Inputs Yr 2'!U281,"")</f>
        <v/>
      </c>
      <c r="BM281" s="195" t="str">
        <f>IFERROR($G281*(IF('Inputs Yr 2'!$AJ281=BM$4,'Inputs Yr 2'!$AK281,IF('Inputs Yr 2'!$AL281=BM$4,'Inputs Yr 2'!$AM281,IF('Inputs Yr 2'!$AN281=BM$4,'Inputs Yr 2'!$AO281,0))))*(INDEX(avoidedcosttbl2,$H281,BM$2)+(($H281-ROUNDDOWN($H281,0))*(INDEX(avoidedcosttbl2,ROUNDUP($H281,0),BM$2)-(INDEX(avoidedcosttbl2,ROUNDDOWN($H281,0),BM$2)))))*'Inputs Yr 2'!P281*'Inputs Yr 2'!Q281*'Inputs Yr 2'!U281,"")</f>
        <v/>
      </c>
      <c r="BN281" s="195" t="str">
        <f>IFERROR($G281*(IF('Inputs Yr 2'!$AJ281=BN$4,'Inputs Yr 2'!$AK281,IF('Inputs Yr 2'!$AL281=BN$4,'Inputs Yr 2'!$AM281,IF('Inputs Yr 2'!$AN281=BN$4,'Inputs Yr 2'!$AO281,0))))*(INDEX(avoidedcosttbl2,$H281,BN$2)+(($H281-ROUNDDOWN($H281,0))*(INDEX(avoidedcosttbl2,ROUNDUP($H281,0),BN$2)-(INDEX(avoidedcosttbl2,ROUNDDOWN($H281,0),BN$2)))))*'Inputs Yr 2'!P281*'Inputs Yr 2'!Q281*'Inputs Yr 2'!U281,"")</f>
        <v/>
      </c>
      <c r="BO281" s="195" t="str">
        <f>IFERROR($G281*(IF('Inputs Yr 2'!$AJ281=BO$4,'Inputs Yr 2'!$AK281,IF('Inputs Yr 2'!$AL281=BO$4,'Inputs Yr 2'!$AM281,IF('Inputs Yr 2'!$AN281=BO$4,'Inputs Yr 2'!$AO281,0))))*(INDEX(avoidedcosttbl2,$H281,BO$2)+(($H281-ROUNDDOWN($H281,0))*(INDEX(avoidedcosttbl2,ROUNDUP($H281,0),BO$2)-(INDEX(avoidedcosttbl2,ROUNDDOWN($H281,0),BO$2)))))*'Inputs Yr 2'!P281*'Inputs Yr 2'!Q281*'Inputs Yr 2'!U281,"")</f>
        <v/>
      </c>
      <c r="BP281" s="195" t="str">
        <f>IFERROR($G281*(IF('Inputs Yr 2'!$AJ281=BP$4,'Inputs Yr 2'!$AK281,IF('Inputs Yr 2'!$AL281=BP$4,'Inputs Yr 2'!$AM281,IF('Inputs Yr 2'!$AN281=BP$4,'Inputs Yr 2'!$AO281,0))))*(INDEX(avoidedcosttbl2,$H281,BP$2)+(($H281-ROUNDDOWN($H281,0))*(INDEX(avoidedcosttbl2,ROUNDUP($H281,0),BP$2)-(INDEX(avoidedcosttbl2,ROUNDDOWN($H281,0),BP$2)))))*'Inputs Yr 2'!P281*'Inputs Yr 2'!Q281*'Inputs Yr 2'!U281,"")</f>
        <v/>
      </c>
      <c r="BQ281" s="230">
        <f t="shared" si="158"/>
        <v>0</v>
      </c>
      <c r="BR281" s="197">
        <f t="shared" si="142"/>
        <v>0</v>
      </c>
      <c r="BS281" s="197" t="str">
        <f>IFERROR(($G281*IF('Inputs Yr 2'!$AJ281=BM$4,'Inputs Yr 2'!$AK281,IF('Inputs Yr 2'!$AL281=BM$4,'Inputs Yr 2'!$AM281,IF('Inputs Yr 2'!$AN281=BM$4,'Inputs Yr 2'!$AO281,0))))*(INDEX(avoidedcosttbl2,$H281,BS$2)+(($H281-ROUNDDOWN($H281,0))*(INDEX(avoidedcosttbl2,ROUNDUP($H281,0),BS$2)-(INDEX(avoidedcosttbl2,ROUNDDOWN($H281,0),BS$2)))))*'Inputs Yr 2'!P281*'Inputs Yr 2'!Q281*'Inputs Yr 2'!U281,"")</f>
        <v/>
      </c>
      <c r="BT281" s="197" t="str">
        <f>IFERROR(($G281*IF('Inputs Yr 2'!$AJ281=BK$4,'Inputs Yr 2'!$AK281,IF('Inputs Yr 2'!$AL281=BK$4,'Inputs Yr 2'!$AM281,IF('Inputs Yr 2'!$AN281=BK$4,'Inputs Yr 2'!$AO281,0))))*(INDEX(avoidedcosttbl2,$H281,BT$2)+(($H281-ROUNDDOWN($H281,0))*(INDEX(avoidedcosttbl2,ROUNDUP($H281,0),BT$2)-(INDEX(avoidedcosttbl2,ROUNDDOWN($H281,0),BT$2)))))*'Inputs Yr 2'!P281*'Inputs Yr 2'!Q281*'Inputs Yr 2'!U281,"")</f>
        <v/>
      </c>
      <c r="BU281" s="197" t="str">
        <f>IFERROR(($G281*IF('Inputs Yr 2'!$AJ281=BL$4,'Inputs Yr 2'!$AK281,IF('Inputs Yr 2'!$AL281=BL$4,'Inputs Yr 2'!$AM281,IF('Inputs Yr 2'!$AN281=BL$4,'Inputs Yr 2'!$AO281,0))))*(INDEX(avoidedcosttbl2,$H281,BU$2)+(($H281-ROUNDDOWN($H281,0))*(INDEX(avoidedcosttbl2,ROUNDUP($H281,0),BU$2)-(INDEX(avoidedcosttbl2,ROUNDDOWN($H281,0),BU$2)))))*'Inputs Yr 2'!P281*'Inputs Yr 2'!Q281*'Inputs Yr 2'!U281,"")</f>
        <v/>
      </c>
      <c r="BV281" s="775" t="str">
        <f>IFERROR(($G281*IF('Inputs Yr 2'!$AJ281=BJ$4,'Inputs Yr 2'!$AK281,IF('Inputs Yr 2'!$AL281=BJ$4,'Inputs Yr 2'!$AM281,IF('Inputs Yr 2'!$AN281=BJ$4,'Inputs Yr 2'!$AO281,0))))*(INDEX(avoidedcosttbl2,$H281,BV$2)+(($H281-ROUNDDOWN($H281,0))*(INDEX(avoidedcosttbl2,ROUNDUP($H281,0),BV$2)-(INDEX(avoidedcosttbl2,ROUNDDOWN($H281,0),BV$2)))))*'Inputs Yr 2'!P281*'Inputs Yr 2'!Q281*'Inputs Yr 2'!U281,"")</f>
        <v/>
      </c>
      <c r="BW281" s="197" t="str">
        <f>IFERROR(($G281*IF('Inputs Yr 2'!$AJ281=BN$4,'Inputs Yr 2'!$AK281,IF('Inputs Yr 2'!$AL281=BN$4,'Inputs Yr 2'!$AM281,IF('Inputs Yr 2'!$AN281=BN$4,'Inputs Yr 2'!$AO281,0))))*(INDEX(avoidedcosttbl2,$H281,BW$2)+(($H281-ROUNDDOWN($H281,0))*(INDEX(avoidedcosttbl2,ROUNDUP($H281,0),BW$2)-(INDEX(avoidedcosttbl2,ROUNDDOWN($H281,0),BW$2)))))*'Inputs Yr 2'!P281*'Inputs Yr 2'!Q281*'Inputs Yr 2'!U281,"")</f>
        <v/>
      </c>
      <c r="BX281" s="197" t="str">
        <f>IFERROR(($G281*IF('Inputs Yr 2'!$AJ281=BO$4,'Inputs Yr 2'!$AK281,IF('Inputs Yr 2'!$AL281=BO$4,'Inputs Yr 2'!$AM281,IF('Inputs Yr 2'!$AN281=BO$4,'Inputs Yr 2'!$AO281,0))))*(INDEX(avoidedcosttbl2,$H281,BX$2)+(($H281-ROUNDDOWN($H281,0))*(INDEX(avoidedcosttbl2,ROUNDUP($H281,0),BX$2)-(INDEX(avoidedcosttbl2,ROUNDDOWN($H281,0),BX$2)))))*'Inputs Yr 2'!P281*'Inputs Yr 2'!Q281*'Inputs Yr 2'!U281,"")</f>
        <v/>
      </c>
      <c r="BY281" s="197" t="str">
        <f>IFERROR(($G281*IF('Inputs Yr 2'!$AJ281=BP$4,'Inputs Yr 2'!$AK281,IF('Inputs Yr 2'!$AL281=BP$4,'Inputs Yr 2'!$AM281,IF('Inputs Yr 2'!$AN281=BP$4,'Inputs Yr 2'!$AO281,0))))*(INDEX(avoidedcosttbl2,$H281,BY$2)+(($H281-ROUNDDOWN($H281,0))*(INDEX(avoidedcosttbl2,ROUNDUP($H281,0),BY$2)-(INDEX(avoidedcosttbl2,ROUNDDOWN($H281,0),BY$2)))))*'Inputs Yr 2'!P281*'Inputs Yr 2'!Q281*'Inputs Yr 2'!U281,"")</f>
        <v/>
      </c>
      <c r="BZ281" s="193">
        <f t="shared" si="159"/>
        <v>0</v>
      </c>
      <c r="CA281" s="193">
        <f t="shared" si="160"/>
        <v>0</v>
      </c>
      <c r="CB281" s="195" t="str">
        <f>IFERROR(G281*(IF('Inputs Yr 2'!$AJ281=CB$4,'Inputs Yr 2'!$AK281,IF('Inputs Yr 2'!$AL281=CB$4,'Inputs Yr 2'!$AM281,IF('Inputs Yr 2'!$AN281=CB$4,'Inputs Yr 2'!$AO281,0))))*(INDEX(avoidedcosttbl2,$H281,CB$2)+(($H281-ROUNDDOWN($H281,0))*(INDEX(avoidedcosttbl2,ROUNDUP($H281,0),CB$2)-(INDEX(avoidedcosttbl2,ROUNDDOWN($H281,0),CB$2)))))*'Inputs Yr 2'!P281*'Inputs Yr 2'!Q281*'Inputs Yr 2'!U281,"")</f>
        <v/>
      </c>
      <c r="CC281" s="195">
        <f>IFERROR(H281*(IF('Inputs Yr 2'!$AJ281=CC$4,'Inputs Yr 2'!$AK281,IF('Inputs Yr 2'!$AL281=CC$4,'Inputs Yr 2'!$AM281,IF('Inputs Yr 2'!$AN281=CC$4,'Inputs Yr 2'!$AO281,0))))*(INDEX(avoidedcosttbl2,$H281,CC$2)+(($H281-ROUNDDOWN($H281,0))*(INDEX(avoidedcosttbl2,ROUNDUP($H281,0),CC$2)-(INDEX(avoidedcosttbl2,ROUNDDOWN($H281,0),CC$2)))))*'Inputs Yr 2'!Q281*'Inputs Yr 2'!R281*'Inputs Yr 2'!V281,"")</f>
        <v>0</v>
      </c>
      <c r="CD281" s="195" t="str">
        <f>IFERROR(I281*(IF('Inputs Yr 2'!$AJ281=CD$4,'Inputs Yr 2'!$AK281,IF('Inputs Yr 2'!$AL281=CD$4,'Inputs Yr 2'!$AM281,IF('Inputs Yr 2'!$AN281=CD$4,'Inputs Yr 2'!$AO281,0))))*(INDEX(avoidedcosttbl2,$H281,CD$2)+(($H281-ROUNDDOWN($H281,0))*(INDEX(avoidedcosttbl2,ROUNDUP($H281,0),CD$2)-(INDEX(avoidedcosttbl2,ROUNDDOWN($H281,0),CD$2)))))*'Inputs Yr 2'!R281*'Inputs Yr 2'!S281*'Inputs Yr 2'!W281,"")</f>
        <v/>
      </c>
      <c r="CE281" s="213">
        <f t="shared" si="161"/>
        <v>0</v>
      </c>
      <c r="CF281" s="213">
        <f t="shared" si="162"/>
        <v>0</v>
      </c>
      <c r="CG281" s="213">
        <f t="shared" si="163"/>
        <v>0</v>
      </c>
      <c r="CH281" s="698">
        <f t="shared" si="164"/>
        <v>0</v>
      </c>
      <c r="CI281" s="79" t="str">
        <f>IFERROR(($G281*'Inputs Yr 2'!$P281*'Inputs Yr 2'!$Q281*(((INDEX(avoidedcosttbl2,$H281,CI$2)+(($H281-ROUNDDOWN($H281,0))*(INDEX(avoidedcosttbl2,ROUNDUP($H281,0),CI$2)-INDEX(avoidedcosttbl2,ROUNDDOWN($H281,0),CI$2))))*'Inputs Yr 2'!AS281))),"")</f>
        <v/>
      </c>
      <c r="CJ281" s="504" t="str">
        <f>IFERROR($G281*'Inputs Yr 2'!AT281*'Inputs Yr 2'!$P281*'Inputs Yr 2'!$Q281/((1+realdiscrt1)^-0.5),"")</f>
        <v/>
      </c>
      <c r="CK281" s="79" t="str">
        <f>IFERROR((O281*1000*(((INDEX(avoidedcosttbl2,$H281,CK$2)+(($H281-ROUNDDOWN($H281,0))*(INDEX(avoidedcosttbl2,ROUNDUP($H281,0),CK$2)-INDEX(avoidedcosttbl2,ROUNDDOWN($H281,0),CK$2))))*'Inputs Yr 2'!AU281))),"")</f>
        <v/>
      </c>
      <c r="CL281" s="504" t="str">
        <f>IFERROR(O281*1000*'Inputs Yr 2'!AV281/((1+realdiscrt1)^-0.5),"")</f>
        <v/>
      </c>
      <c r="CM281" s="79">
        <f>IFERROR((AB281*'Inputs Yr 2'!AW281*(((INDEX(avoidedcosttbl2,$H281,CM$2)+(($H281-ROUNDDOWN($H281,0))*(INDEX(avoidedcosttbl2,ROUNDUP($H281,0),CM$2)-INDEX(avoidedcosttbl2,ROUNDDOWN($H281,0),CM$2)))))))*10,"")</f>
        <v>0</v>
      </c>
      <c r="CN281" s="504">
        <f>IFERROR(10*AB281*'Inputs Yr 2'!AX281/((1+realdiscrt1)^-0.5),"")</f>
        <v>0</v>
      </c>
      <c r="CO281" s="505">
        <f t="shared" si="165"/>
        <v>0</v>
      </c>
      <c r="CP281" s="230">
        <f t="shared" si="166"/>
        <v>0</v>
      </c>
      <c r="CQ281" s="199">
        <f>ROUND(IFERROR(IF(LEFT($A281,1)="C",'Avoided Costs'!$K$13,'Avoided Costs'!$K$12)+1,""),4)</f>
        <v>1.0720000000000001</v>
      </c>
      <c r="CR281" s="199">
        <f>ROUND(IFERROR(IF(LEFT($A281,1)="C",'Avoided Costs'!$L$13,'Avoided Costs'!$L$12)+1,""),4)</f>
        <v>1.04</v>
      </c>
      <c r="CS281" s="199">
        <f>ROUND(IFERROR(IF(LEFT($A281,1)="C",'Avoided Costs'!$M$13,'Avoided Costs'!$M$12)+1,""),4)</f>
        <v>1.0720000000000001</v>
      </c>
      <c r="CT281" s="199">
        <f>ROUND(IFERROR(IF(LEFT($A281,1)="C",'Avoided Costs'!$N$13,'Avoided Costs'!$N$12)+1,""),4)</f>
        <v>1.04</v>
      </c>
      <c r="CU281" s="199">
        <f>ROUND(IFERROR(IF(LEFT($A281,1)="C",'Avoided Costs'!$O$13,'Avoided Costs'!$O$12)+1,""),4)</f>
        <v>1.1120000000000001</v>
      </c>
      <c r="CV281" s="199">
        <f>ROUND(IFERROR(IF(LEFT($A281,1)="C",'Avoided Costs'!$P$13,'Avoided Costs'!$P$12)+1,""),4)</f>
        <v>1.095</v>
      </c>
      <c r="CW281" s="199">
        <f>ROUND(IFERROR(IF(LEFT($A281,1)="C",'Avoided Costs'!$Q$13,'Avoided Costs'!$Q$12)+1,""),4)</f>
        <v>1.1120000000000001</v>
      </c>
      <c r="CX281" s="200">
        <f>ROUND(IFERROR(IF(LEFT($A281,1)="C",'Avoided Costs'!$R$13,'Avoided Costs'!$R$12)+1,""),4)</f>
        <v>1.1120000000000001</v>
      </c>
    </row>
    <row r="282" spans="1:102" ht="12.75" customHeight="1">
      <c r="A282" s="91" t="str">
        <f>IF('Inputs Yr 2'!$B282=0,"",'Inputs Yr 2'!A282)</f>
        <v>C - Commercial &amp; Industrial</v>
      </c>
      <c r="B282" s="91" t="str">
        <f>IF('Inputs Yr 2'!$B282=0,"",'Inputs Yr 2'!B282)</f>
        <v>C2 - C&amp;I Retrofit</v>
      </c>
      <c r="C282" s="91" t="str">
        <f>IF('Inputs Yr 2'!$B282=0,"",'Inputs Yr 2'!C282)</f>
        <v>C2a - C&amp;I Existing Building Retrofit</v>
      </c>
      <c r="D282" s="91" t="str">
        <f>IF('Inputs Yr 2'!$B282=0,"",'Inputs Yr 2'!E282)</f>
        <v>Faucet Aerator, Gas</v>
      </c>
      <c r="E282" s="93" t="str">
        <f>IF('Inputs Yr 2'!$B282=0,"",'Inputs Yr 2'!F282)</f>
        <v>G16C2a23</v>
      </c>
      <c r="F282" s="93" t="str">
        <f>IF('Inputs Yr 2'!$B282=0,"",'Inputs Yr 2'!G282)</f>
        <v>Hot Water</v>
      </c>
      <c r="G282" s="95">
        <f>IF('Inputs Yr 2'!$H282&lt;&gt;0,('Inputs Yr 2'!H282),"")</f>
        <v>4619</v>
      </c>
      <c r="H282" s="94">
        <f>IFERROR('Inputs Yr 2'!I282,"")</f>
        <v>10</v>
      </c>
      <c r="I282" s="298">
        <f>IFERROR('Inputs Yr 2'!J282*'Inputs Yr 2'!P282*G282,"")</f>
        <v>39154.893479999999</v>
      </c>
      <c r="J282" s="298">
        <f>IFERROR('Inputs Yr 2'!K282*G282,"")</f>
        <v>58199.4</v>
      </c>
      <c r="K282" s="298">
        <f t="shared" si="143"/>
        <v>-19044.506520000003</v>
      </c>
      <c r="L282" s="194">
        <f>IFERROR(('Inputs Yr 2'!W282*G282)/1000,"")</f>
        <v>0</v>
      </c>
      <c r="M282" s="194">
        <f>IFERROR(L282*('Inputs Yr 2'!$Q282*'Inputs Yr 2'!$V282*'Inputs Yr 2'!$R282),"")</f>
        <v>0</v>
      </c>
      <c r="N282" s="194">
        <f t="shared" si="144"/>
        <v>0</v>
      </c>
      <c r="O282" s="194">
        <f>IFERROR(M282*'Inputs Yr 2'!P282,"")</f>
        <v>0</v>
      </c>
      <c r="P282" s="194">
        <f t="shared" si="145"/>
        <v>0</v>
      </c>
      <c r="Q282" s="194">
        <f>IFERROR($P282*'Inputs Yr 2'!AA282,"")</f>
        <v>0</v>
      </c>
      <c r="R282" s="194">
        <f>IFERROR($P282*'Inputs Yr 2'!AB282,"")</f>
        <v>0</v>
      </c>
      <c r="S282" s="194">
        <f>IFERROR($P282*'Inputs Yr 2'!AC282,"")</f>
        <v>0</v>
      </c>
      <c r="T282" s="194">
        <f>IFERROR($P282*'Inputs Yr 2'!AD282,"")</f>
        <v>0</v>
      </c>
      <c r="U282" s="194">
        <f>IFERROR(G282*'Inputs Yr 2'!$AE282*'Inputs Yr 2'!$P282*'Inputs Yr 2'!$Q282,"")</f>
        <v>0</v>
      </c>
      <c r="V282" s="194">
        <f>IFERROR($G282*'Inputs Yr 2'!$AE282*'Inputs Yr 2'!$AG282*'Inputs Yr 2'!Q282*'Inputs Yr 2'!$S282,"")</f>
        <v>0</v>
      </c>
      <c r="W282" s="194">
        <f>IFERROR($G282*'Inputs Yr 2'!$AE282*'Inputs Yr 2'!$AG282*'Inputs Yr 2'!P282*'Inputs Yr 2'!Q282*'Inputs Yr 2'!$S282,"")</f>
        <v>0</v>
      </c>
      <c r="X282" s="194">
        <f>IFERROR($G282*'Inputs Yr 2'!$AE282*'Inputs Yr 2'!$AF282*'Inputs Yr 2'!Q282*'Inputs Yr 2'!$T282,"")</f>
        <v>0</v>
      </c>
      <c r="Y282" s="194">
        <f>IFERROR($G282*'Inputs Yr 2'!$AE282*'Inputs Yr 2'!$AF282*'Inputs Yr 2'!P282*'Inputs Yr 2'!Q282*'Inputs Yr 2'!$T282,"")</f>
        <v>0</v>
      </c>
      <c r="Z282" s="257">
        <f>IFERROR($G282*'Inputs Yr 2'!$Q282*'Inputs Yr 2'!$U282*(IF(IFERROR(SEARCH("NG", 'Inputs Yr 2'!$AJ282),0),'Inputs Yr 2'!$AK282,0)+IF(IFERROR(SEARCH("NG", 'Inputs Yr 2'!$AL282),0),'Inputs Yr 2'!$AM282,0)+IF(IFERROR(SEARCH("NG", 'Inputs Yr 2'!$AN282),0),'Inputs Yr 2'!$AO282,0)),0)</f>
        <v>7852.2999999999984</v>
      </c>
      <c r="AA282" s="257">
        <f t="shared" si="146"/>
        <v>78522.999999999985</v>
      </c>
      <c r="AB282" s="257">
        <f>IFERROR(Z282*'Inputs Yr 2'!$P282,0)</f>
        <v>6643.045799999999</v>
      </c>
      <c r="AC282" s="257">
        <f t="shared" si="147"/>
        <v>66430.457999999984</v>
      </c>
      <c r="AD282" s="257">
        <f>IFERROR($G282*'Inputs Yr 2'!$Q282*'Inputs Yr 2'!$U282*(IF(IFERROR(SEARCH("Oil", 'Inputs Yr 2'!$AJ282), 0),'Inputs Yr 2'!$AK282,0)+IF(IFERROR(SEARCH("Oil", 'Inputs Yr 2'!$AL282), 0),'Inputs Yr 2'!$AM282,0)+IF(IFERROR(SEARCH("Oil", 'Inputs Yr 2'!$AN282), 0),'Inputs Yr 2'!$AO282,0)),0)</f>
        <v>0</v>
      </c>
      <c r="AE282" s="257">
        <f t="shared" si="148"/>
        <v>0</v>
      </c>
      <c r="AF282" s="257">
        <f>IFERROR(AD282*'Inputs Yr 2'!$P282,0)</f>
        <v>0</v>
      </c>
      <c r="AG282" s="257">
        <f t="shared" si="149"/>
        <v>0</v>
      </c>
      <c r="AH282" s="257">
        <f>IFERROR($G282*'Inputs Yr 2'!$Q282*'Inputs Yr 2'!$U282*(IF('Inputs Yr 2'!$AJ282=CD$4,'Inputs Yr 2'!$AK282,IF('Inputs Yr 2'!$AL282=CD$4,'Inputs Yr 2'!$AM282,IF('Inputs Yr 2'!$AN282=CD$4,'Inputs Yr 2'!$AO282,0)))),0)</f>
        <v>0</v>
      </c>
      <c r="AI282" s="257">
        <f t="shared" si="150"/>
        <v>0</v>
      </c>
      <c r="AJ282" s="257">
        <f>IFERROR(AH282*'Inputs Yr 2'!$P282,0)</f>
        <v>0</v>
      </c>
      <c r="AK282" s="257">
        <f t="shared" si="151"/>
        <v>0</v>
      </c>
      <c r="AL282" s="258">
        <f>IFERROR($G282*'Inputs Yr 2'!$P282*'Inputs Yr 2'!$Q282*'Inputs Yr 2'!AP282,0)</f>
        <v>0</v>
      </c>
      <c r="AM282" s="260">
        <f>IFERROR($G282*'Inputs Yr 2'!$P282*'Inputs Yr 2'!$Q282*'Inputs Yr 2'!AQ282,0)</f>
        <v>21335900.040000003</v>
      </c>
      <c r="AN282" s="258">
        <f>IFERROR($G282*'Inputs Yr 2'!$P282*'Inputs Yr 2'!$Q282*'Inputs Yr 2'!AR282,0)</f>
        <v>21335900.040000003</v>
      </c>
      <c r="AO282" s="257">
        <f t="shared" si="152"/>
        <v>213359000.40000004</v>
      </c>
      <c r="AP282" s="195">
        <f>IFERROR($CQ282*(INDEX(avoidedcosttbl2,$H282,AP$2)+(($H282-ROUNDDOWN($H282,0))*(INDEX(avoidedcosttbl2,ROUNDUP($H282,0),AP$2)-(INDEX(avoidedcosttbl2,ROUNDDOWN($H282,0),AP$2)))))*$O282*1000*'Inputs Yr 2'!AA282,"")</f>
        <v>0</v>
      </c>
      <c r="AQ282" s="195">
        <f>IFERROR($CR282*(INDEX(avoidedcosttbl2,$H282,AQ$2)+(($H282-ROUNDDOWN($H282,0))*(INDEX(avoidedcosttbl2,ROUNDUP($H282,0),AQ$2)-(INDEX(avoidedcosttbl2,ROUNDDOWN($H282,0),AQ$2)))))*$O282*1000*'Inputs Yr 2'!AB282,"")</f>
        <v>0</v>
      </c>
      <c r="AR282" s="195">
        <f>IFERROR($CS282*(INDEX(avoidedcosttbl2,$H282,AR$2)+(($H282-ROUNDDOWN($H282,0))*(INDEX(avoidedcosttbl2,ROUNDUP($H282,0),AR$2)-(INDEX(avoidedcosttbl2,ROUNDDOWN($H282,0),AR$2)))))*$O282*1000*'Inputs Yr 2'!AC282,"")</f>
        <v>0</v>
      </c>
      <c r="AS282" s="195">
        <f>IFERROR($CT282*(INDEX(avoidedcosttbl2,$H282,AS$2)+(($H282-ROUNDDOWN($H282,0))*(INDEX(avoidedcosttbl2,ROUNDUP($H282,0),AS$2)-(INDEX(avoidedcosttbl2,ROUNDDOWN($H282,0),AS$2)))))*$O282*1000*'Inputs Yr 2'!AD282,"")</f>
        <v>0</v>
      </c>
      <c r="AT282" s="196">
        <f t="shared" si="153"/>
        <v>0</v>
      </c>
      <c r="AU282" s="197">
        <f>IFERROR($CQ282*((INDEX(avoidedcosttbl2,$H282,AU$2))+(($H282-ROUNDDOWN($H282,0))*((INDEX(avoidedcosttbl2,ROUNDUP($H282,0),AU$2))-(INDEX(avoidedcosttbl2,ROUNDDOWN($H282,0),AU$2)))))*$O282*1000*'Inputs Yr 2'!AA282,"")</f>
        <v>0</v>
      </c>
      <c r="AV282" s="197">
        <f>IFERROR($CR282*((INDEX(avoidedcosttbl2,$H282,AV$2))+(($H282-ROUNDDOWN($H282,0))*((INDEX(avoidedcosttbl2,ROUNDUP($H282,0),AV$2))-(INDEX(avoidedcosttbl2,ROUNDDOWN($H282,0),AV$2)))))*$O282*1000*'Inputs Yr 2'!AB282,"")</f>
        <v>0</v>
      </c>
      <c r="AW282" s="197">
        <f>IFERROR($CS282*((INDEX(avoidedcosttbl2,$H282,AW$2))+(($H282-ROUNDDOWN($H282,0))*((INDEX(avoidedcosttbl2,ROUNDUP($H282,0),AW$2))-(INDEX(avoidedcosttbl2,ROUNDDOWN($H282,0),AW$2)))))*$O282*1000*'Inputs Yr 2'!AC282,"")</f>
        <v>0</v>
      </c>
      <c r="AX282" s="197">
        <f>IFERROR($CT282*((INDEX(avoidedcosttbl2,$H282,AX$2))+(($H282-ROUNDDOWN($H282,0))*((INDEX(avoidedcosttbl2,ROUNDUP($H282,0),AX$2))-(INDEX(avoidedcosttbl2,ROUNDDOWN($H282,0),AX$2)))))*$O282*1000*'Inputs Yr 2'!AD282,"")</f>
        <v>0</v>
      </c>
      <c r="AY282" s="197">
        <f>IFERROR(((INDEX(avoidedcosttbl2,$H282,AY$2))+(($H282-ROUNDDOWN($H282,0))*((INDEX(avoidedcosttbl2,ROUNDUP($H282,0),AY$2))-(INDEX(avoidedcosttbl2,ROUNDDOWN($H282,0),AY$2)))))*$O282*1000*('Inputs Yr 2'!AC282+'Inputs Yr 2'!AD282),"")</f>
        <v>0</v>
      </c>
      <c r="AZ282" s="197">
        <f>IFERROR(((INDEX(avoidedcosttbl2,$H282,AZ$2))+(($H282-ROUNDDOWN($H282,0))*((INDEX(avoidedcosttbl2,ROUNDUP($H282,0),AZ$2))-(INDEX(avoidedcosttbl2,ROUNDDOWN($H282,0),AZ$2)))))*$O282*1000*('Inputs Yr 2'!AA282+'Inputs Yr 2'!AB282),"")</f>
        <v>0</v>
      </c>
      <c r="BA282" s="198">
        <f t="shared" si="154"/>
        <v>0</v>
      </c>
      <c r="BB282" s="198">
        <f t="shared" si="155"/>
        <v>0</v>
      </c>
      <c r="BC282" s="195">
        <f t="shared" si="137"/>
        <v>0</v>
      </c>
      <c r="BD282" s="195">
        <f t="shared" si="138"/>
        <v>0</v>
      </c>
      <c r="BE282" s="195">
        <f t="shared" si="139"/>
        <v>0</v>
      </c>
      <c r="BF282" s="195">
        <f t="shared" si="140"/>
        <v>0</v>
      </c>
      <c r="BG282" s="195">
        <f t="shared" si="141"/>
        <v>0</v>
      </c>
      <c r="BH282" s="196">
        <f t="shared" si="156"/>
        <v>0</v>
      </c>
      <c r="BI282" s="196">
        <f t="shared" si="157"/>
        <v>0</v>
      </c>
      <c r="BJ282" s="195">
        <f>IFERROR($G282*(IF('Inputs Yr 2'!$AJ282=BJ$4,'Inputs Yr 2'!$AK282,IF('Inputs Yr 2'!$AL282=BJ$4,'Inputs Yr 2'!$AM282,IF('Inputs Yr 2'!$AN282=BJ$4,'Inputs Yr 2'!$AO282,0))))*(INDEX(avoidedcosttbl2,$H282,BJ$2)+(($H282-ROUNDDOWN($H282,0))*(INDEX(avoidedcosttbl2,ROUNDUP($H282,0),BJ$2)-(INDEX(avoidedcosttbl2,ROUNDDOWN($H282,0),BJ$2)))))*'Inputs Yr 2'!P282*'Inputs Yr 2'!Q282*'Inputs Yr 2'!U282,"")</f>
        <v>0</v>
      </c>
      <c r="BK282" s="195">
        <f>IFERROR($G282*(IF('Inputs Yr 2'!$AJ282=BK$4,'Inputs Yr 2'!$AK282,IF('Inputs Yr 2'!$AL282=BK$4,'Inputs Yr 2'!$AM282,IF('Inputs Yr 2'!$AN282=BK$4,'Inputs Yr 2'!$AO282,0))))*(INDEX(avoidedcosttbl2,$H282,BK$2)+(($H282-ROUNDDOWN($H282,0))*(INDEX(avoidedcosttbl2,ROUNDUP($H282,0),BK$2)-(INDEX(avoidedcosttbl2,ROUNDDOWN($H282,0),BK$2)))))*'Inputs Yr 2'!P282*'Inputs Yr 2'!Q282*'Inputs Yr 2'!U282,"")</f>
        <v>0</v>
      </c>
      <c r="BL282" s="195">
        <f>IFERROR($G282*(IF('Inputs Yr 2'!$AJ282=BL$4,'Inputs Yr 2'!$AK282,IF('Inputs Yr 2'!$AL282=BL$4,'Inputs Yr 2'!$AM282,IF('Inputs Yr 2'!$AN282=BL$4,'Inputs Yr 2'!$AO282,0))))*(INDEX(avoidedcosttbl2,$H282,BL$2)+(($H282-ROUNDDOWN($H282,0))*(INDEX(avoidedcosttbl2,ROUNDUP($H282,0),BL$2)-(INDEX(avoidedcosttbl2,ROUNDDOWN($H282,0),BL$2)))))*'Inputs Yr 2'!P282*'Inputs Yr 2'!Q282*'Inputs Yr 2'!U282,"")</f>
        <v>0</v>
      </c>
      <c r="BM282" s="195">
        <f>IFERROR($G282*(IF('Inputs Yr 2'!$AJ282=BM$4,'Inputs Yr 2'!$AK282,IF('Inputs Yr 2'!$AL282=BM$4,'Inputs Yr 2'!$AM282,IF('Inputs Yr 2'!$AN282=BM$4,'Inputs Yr 2'!$AO282,0))))*(INDEX(avoidedcosttbl2,$H282,BM$2)+(($H282-ROUNDDOWN($H282,0))*(INDEX(avoidedcosttbl2,ROUNDUP($H282,0),BM$2)-(INDEX(avoidedcosttbl2,ROUNDDOWN($H282,0),BM$2)))))*'Inputs Yr 2'!P282*'Inputs Yr 2'!Q282*'Inputs Yr 2'!U282,"")</f>
        <v>0</v>
      </c>
      <c r="BN282" s="195">
        <f>IFERROR($G282*(IF('Inputs Yr 2'!$AJ282=BN$4,'Inputs Yr 2'!$AK282,IF('Inputs Yr 2'!$AL282=BN$4,'Inputs Yr 2'!$AM282,IF('Inputs Yr 2'!$AN282=BN$4,'Inputs Yr 2'!$AO282,0))))*(INDEX(avoidedcosttbl2,$H282,BN$2)+(($H282-ROUNDDOWN($H282,0))*(INDEX(avoidedcosttbl2,ROUNDUP($H282,0),BN$2)-(INDEX(avoidedcosttbl2,ROUNDDOWN($H282,0),BN$2)))))*'Inputs Yr 2'!P282*'Inputs Yr 2'!Q282*'Inputs Yr 2'!U282,"")</f>
        <v>446817.57519328903</v>
      </c>
      <c r="BO282" s="195">
        <f>IFERROR($G282*(IF('Inputs Yr 2'!$AJ282=BO$4,'Inputs Yr 2'!$AK282,IF('Inputs Yr 2'!$AL282=BO$4,'Inputs Yr 2'!$AM282,IF('Inputs Yr 2'!$AN282=BO$4,'Inputs Yr 2'!$AO282,0))))*(INDEX(avoidedcosttbl2,$H282,BO$2)+(($H282-ROUNDDOWN($H282,0))*(INDEX(avoidedcosttbl2,ROUNDUP($H282,0),BO$2)-(INDEX(avoidedcosttbl2,ROUNDDOWN($H282,0),BO$2)))))*'Inputs Yr 2'!P282*'Inputs Yr 2'!Q282*'Inputs Yr 2'!U282,"")</f>
        <v>0</v>
      </c>
      <c r="BP282" s="195">
        <f>IFERROR($G282*(IF('Inputs Yr 2'!$AJ282=BP$4,'Inputs Yr 2'!$AK282,IF('Inputs Yr 2'!$AL282=BP$4,'Inputs Yr 2'!$AM282,IF('Inputs Yr 2'!$AN282=BP$4,'Inputs Yr 2'!$AO282,0))))*(INDEX(avoidedcosttbl2,$H282,BP$2)+(($H282-ROUNDDOWN($H282,0))*(INDEX(avoidedcosttbl2,ROUNDUP($H282,0),BP$2)-(INDEX(avoidedcosttbl2,ROUNDDOWN($H282,0),BP$2)))))*'Inputs Yr 2'!P282*'Inputs Yr 2'!Q282*'Inputs Yr 2'!U282,"")</f>
        <v>0</v>
      </c>
      <c r="BQ282" s="230">
        <f t="shared" si="158"/>
        <v>446817.57519328903</v>
      </c>
      <c r="BR282" s="197">
        <f t="shared" si="142"/>
        <v>9102.5693055695938</v>
      </c>
      <c r="BS282" s="197">
        <f>IFERROR(($G282*IF('Inputs Yr 2'!$AJ282=BM$4,'Inputs Yr 2'!$AK282,IF('Inputs Yr 2'!$AL282=BM$4,'Inputs Yr 2'!$AM282,IF('Inputs Yr 2'!$AN282=BM$4,'Inputs Yr 2'!$AO282,0))))*(INDEX(avoidedcosttbl2,$H282,BS$2)+(($H282-ROUNDDOWN($H282,0))*(INDEX(avoidedcosttbl2,ROUNDUP($H282,0),BS$2)-(INDEX(avoidedcosttbl2,ROUNDDOWN($H282,0),BS$2)))))*'Inputs Yr 2'!P282*'Inputs Yr 2'!Q282*'Inputs Yr 2'!U282,"")</f>
        <v>0</v>
      </c>
      <c r="BT282" s="197">
        <f>IFERROR(($G282*IF('Inputs Yr 2'!$AJ282=BK$4,'Inputs Yr 2'!$AK282,IF('Inputs Yr 2'!$AL282=BK$4,'Inputs Yr 2'!$AM282,IF('Inputs Yr 2'!$AN282=BK$4,'Inputs Yr 2'!$AO282,0))))*(INDEX(avoidedcosttbl2,$H282,BT$2)+(($H282-ROUNDDOWN($H282,0))*(INDEX(avoidedcosttbl2,ROUNDUP($H282,0),BT$2)-(INDEX(avoidedcosttbl2,ROUNDDOWN($H282,0),BT$2)))))*'Inputs Yr 2'!P282*'Inputs Yr 2'!Q282*'Inputs Yr 2'!U282,"")</f>
        <v>0</v>
      </c>
      <c r="BU282" s="197">
        <f>IFERROR(($G282*IF('Inputs Yr 2'!$AJ282=BL$4,'Inputs Yr 2'!$AK282,IF('Inputs Yr 2'!$AL282=BL$4,'Inputs Yr 2'!$AM282,IF('Inputs Yr 2'!$AN282=BL$4,'Inputs Yr 2'!$AO282,0))))*(INDEX(avoidedcosttbl2,$H282,BU$2)+(($H282-ROUNDDOWN($H282,0))*(INDEX(avoidedcosttbl2,ROUNDUP($H282,0),BU$2)-(INDEX(avoidedcosttbl2,ROUNDDOWN($H282,0),BU$2)))))*'Inputs Yr 2'!P282*'Inputs Yr 2'!Q282*'Inputs Yr 2'!U282,"")</f>
        <v>0</v>
      </c>
      <c r="BV282" s="775">
        <f>IFERROR(($G282*IF('Inputs Yr 2'!$AJ282=BJ$4,'Inputs Yr 2'!$AK282,IF('Inputs Yr 2'!$AL282=BJ$4,'Inputs Yr 2'!$AM282,IF('Inputs Yr 2'!$AN282=BJ$4,'Inputs Yr 2'!$AO282,0))))*(INDEX(avoidedcosttbl2,$H282,BV$2)+(($H282-ROUNDDOWN($H282,0))*(INDEX(avoidedcosttbl2,ROUNDUP($H282,0),BV$2)-(INDEX(avoidedcosttbl2,ROUNDDOWN($H282,0),BV$2)))))*'Inputs Yr 2'!P282*'Inputs Yr 2'!Q282*'Inputs Yr 2'!U282,"")</f>
        <v>0</v>
      </c>
      <c r="BW282" s="197">
        <f>IFERROR(($G282*IF('Inputs Yr 2'!$AJ282=BN$4,'Inputs Yr 2'!$AK282,IF('Inputs Yr 2'!$AL282=BN$4,'Inputs Yr 2'!$AM282,IF('Inputs Yr 2'!$AN282=BN$4,'Inputs Yr 2'!$AO282,0))))*(INDEX(avoidedcosttbl2,$H282,BW$2)+(($H282-ROUNDDOWN($H282,0))*(INDEX(avoidedcosttbl2,ROUNDUP($H282,0),BW$2)-(INDEX(avoidedcosttbl2,ROUNDDOWN($H282,0),BW$2)))))*'Inputs Yr 2'!P282*'Inputs Yr 2'!Q282*'Inputs Yr 2'!U282,"")</f>
        <v>55896.26683269658</v>
      </c>
      <c r="BX282" s="197">
        <f>IFERROR(($G282*IF('Inputs Yr 2'!$AJ282=BO$4,'Inputs Yr 2'!$AK282,IF('Inputs Yr 2'!$AL282=BO$4,'Inputs Yr 2'!$AM282,IF('Inputs Yr 2'!$AN282=BO$4,'Inputs Yr 2'!$AO282,0))))*(INDEX(avoidedcosttbl2,$H282,BX$2)+(($H282-ROUNDDOWN($H282,0))*(INDEX(avoidedcosttbl2,ROUNDUP($H282,0),BX$2)-(INDEX(avoidedcosttbl2,ROUNDDOWN($H282,0),BX$2)))))*'Inputs Yr 2'!P282*'Inputs Yr 2'!Q282*'Inputs Yr 2'!U282,"")</f>
        <v>0</v>
      </c>
      <c r="BY282" s="197">
        <f>IFERROR(($G282*IF('Inputs Yr 2'!$AJ282=BP$4,'Inputs Yr 2'!$AK282,IF('Inputs Yr 2'!$AL282=BP$4,'Inputs Yr 2'!$AM282,IF('Inputs Yr 2'!$AN282=BP$4,'Inputs Yr 2'!$AO282,0))))*(INDEX(avoidedcosttbl2,$H282,BY$2)+(($H282-ROUNDDOWN($H282,0))*(INDEX(avoidedcosttbl2,ROUNDUP($H282,0),BY$2)-(INDEX(avoidedcosttbl2,ROUNDDOWN($H282,0),BY$2)))))*'Inputs Yr 2'!P282*'Inputs Yr 2'!Q282*'Inputs Yr 2'!U282,"")</f>
        <v>0</v>
      </c>
      <c r="BZ282" s="193">
        <f t="shared" si="159"/>
        <v>64998.836138266175</v>
      </c>
      <c r="CA282" s="193">
        <f t="shared" si="160"/>
        <v>511816.41133155522</v>
      </c>
      <c r="CB282" s="195">
        <f>IFERROR(G282*(IF('Inputs Yr 2'!$AJ282=CB$4,'Inputs Yr 2'!$AK282,IF('Inputs Yr 2'!$AL282=CB$4,'Inputs Yr 2'!$AM282,IF('Inputs Yr 2'!$AN282=CB$4,'Inputs Yr 2'!$AO282,0))))*(INDEX(avoidedcosttbl2,$H282,CB$2)+(($H282-ROUNDDOWN($H282,0))*(INDEX(avoidedcosttbl2,ROUNDUP($H282,0),CB$2)-(INDEX(avoidedcosttbl2,ROUNDDOWN($H282,0),CB$2)))))*'Inputs Yr 2'!P282*'Inputs Yr 2'!Q282*'Inputs Yr 2'!U282,"")</f>
        <v>0</v>
      </c>
      <c r="CC282" s="195">
        <f>IFERROR(H282*(IF('Inputs Yr 2'!$AJ282=CC$4,'Inputs Yr 2'!$AK282,IF('Inputs Yr 2'!$AL282=CC$4,'Inputs Yr 2'!$AM282,IF('Inputs Yr 2'!$AN282=CC$4,'Inputs Yr 2'!$AO282,0))))*(INDEX(avoidedcosttbl2,$H282,CC$2)+(($H282-ROUNDDOWN($H282,0))*(INDEX(avoidedcosttbl2,ROUNDUP($H282,0),CC$2)-(INDEX(avoidedcosttbl2,ROUNDDOWN($H282,0),CC$2)))))*'Inputs Yr 2'!Q282*'Inputs Yr 2'!R282*'Inputs Yr 2'!V282,"")</f>
        <v>0</v>
      </c>
      <c r="CD282" s="195">
        <f>IFERROR(I282*(IF('Inputs Yr 2'!$AJ282=CD$4,'Inputs Yr 2'!$AK282,IF('Inputs Yr 2'!$AL282=CD$4,'Inputs Yr 2'!$AM282,IF('Inputs Yr 2'!$AN282=CD$4,'Inputs Yr 2'!$AO282,0))))*(INDEX(avoidedcosttbl2,$H282,CD$2)+(($H282-ROUNDDOWN($H282,0))*(INDEX(avoidedcosttbl2,ROUNDUP($H282,0),CD$2)-(INDEX(avoidedcosttbl2,ROUNDDOWN($H282,0),CD$2)))))*'Inputs Yr 2'!R282*'Inputs Yr 2'!S282*'Inputs Yr 2'!W282,"")</f>
        <v>0</v>
      </c>
      <c r="CE282" s="213">
        <f t="shared" si="161"/>
        <v>0</v>
      </c>
      <c r="CF282" s="213">
        <f t="shared" si="162"/>
        <v>947269.6453168185</v>
      </c>
      <c r="CG282" s="213">
        <f t="shared" si="163"/>
        <v>1314080.9962594362</v>
      </c>
      <c r="CH282" s="698">
        <f t="shared" si="164"/>
        <v>2773167.0529078096</v>
      </c>
      <c r="CI282" s="79">
        <f>IFERROR(($G282*'Inputs Yr 2'!$P282*'Inputs Yr 2'!$Q282*(((INDEX(avoidedcosttbl2,$H282,CI$2)+(($H282-ROUNDDOWN($H282,0))*(INDEX(avoidedcosttbl2,ROUNDUP($H282,0),CI$2)-INDEX(avoidedcosttbl2,ROUNDDOWN($H282,0),CI$2))))*'Inputs Yr 2'!AS282))),"")</f>
        <v>0</v>
      </c>
      <c r="CJ282" s="504">
        <f>IFERROR($G282*'Inputs Yr 2'!AT282*'Inputs Yr 2'!$P282*'Inputs Yr 2'!$Q282/((1+realdiscrt1)^-0.5),"")</f>
        <v>0</v>
      </c>
      <c r="CK282" s="79">
        <f>IFERROR((O282*1000*(((INDEX(avoidedcosttbl2,$H282,CK$2)+(($H282-ROUNDDOWN($H282,0))*(INDEX(avoidedcosttbl2,ROUNDUP($H282,0),CK$2)-INDEX(avoidedcosttbl2,ROUNDDOWN($H282,0),CK$2))))*'Inputs Yr 2'!AU282))),"")</f>
        <v>0</v>
      </c>
      <c r="CL282" s="504">
        <f>IFERROR(O282*1000*'Inputs Yr 2'!AV282/((1+realdiscrt1)^-0.5),"")</f>
        <v>0</v>
      </c>
      <c r="CM282" s="79">
        <f>IFERROR((AB282*'Inputs Yr 2'!AW282*(((INDEX(avoidedcosttbl2,$H282,CM$2)+(($H282-ROUNDDOWN($H282,0))*(INDEX(avoidedcosttbl2,ROUNDUP($H282,0),CM$2)-INDEX(avoidedcosttbl2,ROUNDDOWN($H282,0),CM$2)))))))*10,"")</f>
        <v>0</v>
      </c>
      <c r="CN282" s="504">
        <f>IFERROR(10*AB282*'Inputs Yr 2'!AX282/((1+realdiscrt1)^-0.5),"")</f>
        <v>0</v>
      </c>
      <c r="CO282" s="505">
        <f t="shared" si="165"/>
        <v>0</v>
      </c>
      <c r="CP282" s="230">
        <f t="shared" si="166"/>
        <v>2773167.0529078096</v>
      </c>
      <c r="CQ282" s="199">
        <f>ROUND(IFERROR(IF(LEFT($A282,1)="C",'Avoided Costs'!$K$13,'Avoided Costs'!$K$12)+1,""),4)</f>
        <v>1.0720000000000001</v>
      </c>
      <c r="CR282" s="199">
        <f>ROUND(IFERROR(IF(LEFT($A282,1)="C",'Avoided Costs'!$L$13,'Avoided Costs'!$L$12)+1,""),4)</f>
        <v>1.04</v>
      </c>
      <c r="CS282" s="199">
        <f>ROUND(IFERROR(IF(LEFT($A282,1)="C",'Avoided Costs'!$M$13,'Avoided Costs'!$M$12)+1,""),4)</f>
        <v>1.0720000000000001</v>
      </c>
      <c r="CT282" s="199">
        <f>ROUND(IFERROR(IF(LEFT($A282,1)="C",'Avoided Costs'!$N$13,'Avoided Costs'!$N$12)+1,""),4)</f>
        <v>1.04</v>
      </c>
      <c r="CU282" s="199">
        <f>ROUND(IFERROR(IF(LEFT($A282,1)="C",'Avoided Costs'!$O$13,'Avoided Costs'!$O$12)+1,""),4)</f>
        <v>1.1120000000000001</v>
      </c>
      <c r="CV282" s="199">
        <f>ROUND(IFERROR(IF(LEFT($A282,1)="C",'Avoided Costs'!$P$13,'Avoided Costs'!$P$12)+1,""),4)</f>
        <v>1.095</v>
      </c>
      <c r="CW282" s="199">
        <f>ROUND(IFERROR(IF(LEFT($A282,1)="C",'Avoided Costs'!$Q$13,'Avoided Costs'!$Q$12)+1,""),4)</f>
        <v>1.1120000000000001</v>
      </c>
      <c r="CX282" s="200">
        <f>ROUND(IFERROR(IF(LEFT($A282,1)="C",'Avoided Costs'!$R$13,'Avoided Costs'!$R$12)+1,""),4)</f>
        <v>1.1120000000000001</v>
      </c>
    </row>
    <row r="283" spans="1:102" ht="12.75" customHeight="1">
      <c r="A283" s="91" t="str">
        <f>IF('Inputs Yr 2'!$B283=0,"",'Inputs Yr 2'!A283)</f>
        <v>C - Commercial &amp; Industrial</v>
      </c>
      <c r="B283" s="91" t="str">
        <f>IF('Inputs Yr 2'!$B283=0,"",'Inputs Yr 2'!B283)</f>
        <v>C2 - C&amp;I Retrofit</v>
      </c>
      <c r="C283" s="91" t="str">
        <f>IF('Inputs Yr 2'!$B283=0,"",'Inputs Yr 2'!C283)</f>
        <v>C2a - C&amp;I Existing Building Retrofit</v>
      </c>
      <c r="D283" s="91" t="str">
        <f>IF('Inputs Yr 2'!$B283=0,"",'Inputs Yr 2'!E283)</f>
        <v>Low Flow Showerhead, Gas</v>
      </c>
      <c r="E283" s="93" t="str">
        <f>IF('Inputs Yr 2'!$B283=0,"",'Inputs Yr 2'!F283)</f>
        <v>G16C2a24</v>
      </c>
      <c r="F283" s="93" t="str">
        <f>IF('Inputs Yr 2'!$B283=0,"",'Inputs Yr 2'!G283)</f>
        <v>Hot Water</v>
      </c>
      <c r="G283" s="95">
        <f>IF('Inputs Yr 2'!$H283&lt;&gt;0,('Inputs Yr 2'!H283),"")</f>
        <v>2088</v>
      </c>
      <c r="H283" s="94">
        <f>IFERROR('Inputs Yr 2'!I283,"")</f>
        <v>10</v>
      </c>
      <c r="I283" s="298">
        <f>IFERROR('Inputs Yr 2'!J283*'Inputs Yr 2'!P283*G283,"")</f>
        <v>64934.628480000007</v>
      </c>
      <c r="J283" s="298">
        <f>IFERROR('Inputs Yr 2'!K283*G283,"")</f>
        <v>81202.320000000007</v>
      </c>
      <c r="K283" s="298">
        <f t="shared" si="143"/>
        <v>-16267.69152</v>
      </c>
      <c r="L283" s="194">
        <f>IFERROR(('Inputs Yr 2'!W283*G283)/1000,"")</f>
        <v>0</v>
      </c>
      <c r="M283" s="194">
        <f>IFERROR(L283*('Inputs Yr 2'!$Q283*'Inputs Yr 2'!$V283*'Inputs Yr 2'!$R283),"")</f>
        <v>0</v>
      </c>
      <c r="N283" s="194">
        <f t="shared" si="144"/>
        <v>0</v>
      </c>
      <c r="O283" s="194">
        <f>IFERROR(M283*'Inputs Yr 2'!P283,"")</f>
        <v>0</v>
      </c>
      <c r="P283" s="194">
        <f t="shared" si="145"/>
        <v>0</v>
      </c>
      <c r="Q283" s="194">
        <f>IFERROR($P283*'Inputs Yr 2'!AA283,"")</f>
        <v>0</v>
      </c>
      <c r="R283" s="194">
        <f>IFERROR($P283*'Inputs Yr 2'!AB283,"")</f>
        <v>0</v>
      </c>
      <c r="S283" s="194">
        <f>IFERROR($P283*'Inputs Yr 2'!AC283,"")</f>
        <v>0</v>
      </c>
      <c r="T283" s="194">
        <f>IFERROR($P283*'Inputs Yr 2'!AD283,"")</f>
        <v>0</v>
      </c>
      <c r="U283" s="194">
        <f>IFERROR(G283*'Inputs Yr 2'!$AE283*'Inputs Yr 2'!$P283*'Inputs Yr 2'!$Q283,"")</f>
        <v>0</v>
      </c>
      <c r="V283" s="194">
        <f>IFERROR($G283*'Inputs Yr 2'!$AE283*'Inputs Yr 2'!$AG283*'Inputs Yr 2'!Q283*'Inputs Yr 2'!$S283,"")</f>
        <v>0</v>
      </c>
      <c r="W283" s="194">
        <f>IFERROR($G283*'Inputs Yr 2'!$AE283*'Inputs Yr 2'!$AG283*'Inputs Yr 2'!P283*'Inputs Yr 2'!Q283*'Inputs Yr 2'!$S283,"")</f>
        <v>0</v>
      </c>
      <c r="X283" s="194">
        <f>IFERROR($G283*'Inputs Yr 2'!$AE283*'Inputs Yr 2'!$AF283*'Inputs Yr 2'!Q283*'Inputs Yr 2'!$T283,"")</f>
        <v>0</v>
      </c>
      <c r="Y283" s="194">
        <f>IFERROR($G283*'Inputs Yr 2'!$AE283*'Inputs Yr 2'!$AF283*'Inputs Yr 2'!P283*'Inputs Yr 2'!Q283*'Inputs Yr 2'!$T283,"")</f>
        <v>0</v>
      </c>
      <c r="Z283" s="257">
        <f>IFERROR($G283*'Inputs Yr 2'!$Q283*'Inputs Yr 2'!$U283*(IF(IFERROR(SEARCH("NG", 'Inputs Yr 2'!$AJ283),0),'Inputs Yr 2'!$AK283,0)+IF(IFERROR(SEARCH("NG", 'Inputs Yr 2'!$AL283),0),'Inputs Yr 2'!$AM283,0)+IF(IFERROR(SEARCH("NG", 'Inputs Yr 2'!$AN283),0),'Inputs Yr 2'!$AO283,0)),0)</f>
        <v>4071.6</v>
      </c>
      <c r="AA283" s="257">
        <f t="shared" si="146"/>
        <v>40716</v>
      </c>
      <c r="AB283" s="257">
        <f>IFERROR(Z283*'Inputs Yr 2'!$P283,0)</f>
        <v>3444.5736000000002</v>
      </c>
      <c r="AC283" s="257">
        <f t="shared" si="147"/>
        <v>34445.736000000004</v>
      </c>
      <c r="AD283" s="257">
        <f>IFERROR($G283*'Inputs Yr 2'!$Q283*'Inputs Yr 2'!$U283*(IF(IFERROR(SEARCH("Oil", 'Inputs Yr 2'!$AJ283), 0),'Inputs Yr 2'!$AK283,0)+IF(IFERROR(SEARCH("Oil", 'Inputs Yr 2'!$AL283), 0),'Inputs Yr 2'!$AM283,0)+IF(IFERROR(SEARCH("Oil", 'Inputs Yr 2'!$AN283), 0),'Inputs Yr 2'!$AO283,0)),0)</f>
        <v>0</v>
      </c>
      <c r="AE283" s="257">
        <f t="shared" si="148"/>
        <v>0</v>
      </c>
      <c r="AF283" s="257">
        <f>IFERROR(AD283*'Inputs Yr 2'!$P283,0)</f>
        <v>0</v>
      </c>
      <c r="AG283" s="257">
        <f t="shared" si="149"/>
        <v>0</v>
      </c>
      <c r="AH283" s="257">
        <f>IFERROR($G283*'Inputs Yr 2'!$Q283*'Inputs Yr 2'!$U283*(IF('Inputs Yr 2'!$AJ283=CD$4,'Inputs Yr 2'!$AK283,IF('Inputs Yr 2'!$AL283=CD$4,'Inputs Yr 2'!$AM283,IF('Inputs Yr 2'!$AN283=CD$4,'Inputs Yr 2'!$AO283,0)))),0)</f>
        <v>0</v>
      </c>
      <c r="AI283" s="257">
        <f t="shared" si="150"/>
        <v>0</v>
      </c>
      <c r="AJ283" s="257">
        <f>IFERROR(AH283*'Inputs Yr 2'!$P283,0)</f>
        <v>0</v>
      </c>
      <c r="AK283" s="257">
        <f t="shared" si="151"/>
        <v>0</v>
      </c>
      <c r="AL283" s="258">
        <f>IFERROR($G283*'Inputs Yr 2'!$P283*'Inputs Yr 2'!$Q283*'Inputs Yr 2'!AP283,0)</f>
        <v>0</v>
      </c>
      <c r="AM283" s="260">
        <f>IFERROR($G283*'Inputs Yr 2'!$P283*'Inputs Yr 2'!$Q283*'Inputs Yr 2'!AQ283,0)</f>
        <v>12895070.4</v>
      </c>
      <c r="AN283" s="258">
        <f>IFERROR($G283*'Inputs Yr 2'!$P283*'Inputs Yr 2'!$Q283*'Inputs Yr 2'!AR283,0)</f>
        <v>12895070.4</v>
      </c>
      <c r="AO283" s="257">
        <f t="shared" si="152"/>
        <v>128950704</v>
      </c>
      <c r="AP283" s="195">
        <f>IFERROR($CQ283*(INDEX(avoidedcosttbl2,$H283,AP$2)+(($H283-ROUNDDOWN($H283,0))*(INDEX(avoidedcosttbl2,ROUNDUP($H283,0),AP$2)-(INDEX(avoidedcosttbl2,ROUNDDOWN($H283,0),AP$2)))))*$O283*1000*'Inputs Yr 2'!AA283,"")</f>
        <v>0</v>
      </c>
      <c r="AQ283" s="195">
        <f>IFERROR($CR283*(INDEX(avoidedcosttbl2,$H283,AQ$2)+(($H283-ROUNDDOWN($H283,0))*(INDEX(avoidedcosttbl2,ROUNDUP($H283,0),AQ$2)-(INDEX(avoidedcosttbl2,ROUNDDOWN($H283,0),AQ$2)))))*$O283*1000*'Inputs Yr 2'!AB283,"")</f>
        <v>0</v>
      </c>
      <c r="AR283" s="195">
        <f>IFERROR($CS283*(INDEX(avoidedcosttbl2,$H283,AR$2)+(($H283-ROUNDDOWN($H283,0))*(INDEX(avoidedcosttbl2,ROUNDUP($H283,0),AR$2)-(INDEX(avoidedcosttbl2,ROUNDDOWN($H283,0),AR$2)))))*$O283*1000*'Inputs Yr 2'!AC283,"")</f>
        <v>0</v>
      </c>
      <c r="AS283" s="195">
        <f>IFERROR($CT283*(INDEX(avoidedcosttbl2,$H283,AS$2)+(($H283-ROUNDDOWN($H283,0))*(INDEX(avoidedcosttbl2,ROUNDUP($H283,0),AS$2)-(INDEX(avoidedcosttbl2,ROUNDDOWN($H283,0),AS$2)))))*$O283*1000*'Inputs Yr 2'!AD283,"")</f>
        <v>0</v>
      </c>
      <c r="AT283" s="196">
        <f t="shared" si="153"/>
        <v>0</v>
      </c>
      <c r="AU283" s="197">
        <f>IFERROR($CQ283*((INDEX(avoidedcosttbl2,$H283,AU$2))+(($H283-ROUNDDOWN($H283,0))*((INDEX(avoidedcosttbl2,ROUNDUP($H283,0),AU$2))-(INDEX(avoidedcosttbl2,ROUNDDOWN($H283,0),AU$2)))))*$O283*1000*'Inputs Yr 2'!AA283,"")</f>
        <v>0</v>
      </c>
      <c r="AV283" s="197">
        <f>IFERROR($CR283*((INDEX(avoidedcosttbl2,$H283,AV$2))+(($H283-ROUNDDOWN($H283,0))*((INDEX(avoidedcosttbl2,ROUNDUP($H283,0),AV$2))-(INDEX(avoidedcosttbl2,ROUNDDOWN($H283,0),AV$2)))))*$O283*1000*'Inputs Yr 2'!AB283,"")</f>
        <v>0</v>
      </c>
      <c r="AW283" s="197">
        <f>IFERROR($CS283*((INDEX(avoidedcosttbl2,$H283,AW$2))+(($H283-ROUNDDOWN($H283,0))*((INDEX(avoidedcosttbl2,ROUNDUP($H283,0),AW$2))-(INDEX(avoidedcosttbl2,ROUNDDOWN($H283,0),AW$2)))))*$O283*1000*'Inputs Yr 2'!AC283,"")</f>
        <v>0</v>
      </c>
      <c r="AX283" s="197">
        <f>IFERROR($CT283*((INDEX(avoidedcosttbl2,$H283,AX$2))+(($H283-ROUNDDOWN($H283,0))*((INDEX(avoidedcosttbl2,ROUNDUP($H283,0),AX$2))-(INDEX(avoidedcosttbl2,ROUNDDOWN($H283,0),AX$2)))))*$O283*1000*'Inputs Yr 2'!AD283,"")</f>
        <v>0</v>
      </c>
      <c r="AY283" s="197">
        <f>IFERROR(((INDEX(avoidedcosttbl2,$H283,AY$2))+(($H283-ROUNDDOWN($H283,0))*((INDEX(avoidedcosttbl2,ROUNDUP($H283,0),AY$2))-(INDEX(avoidedcosttbl2,ROUNDDOWN($H283,0),AY$2)))))*$O283*1000*('Inputs Yr 2'!AC283+'Inputs Yr 2'!AD283),"")</f>
        <v>0</v>
      </c>
      <c r="AZ283" s="197">
        <f>IFERROR(((INDEX(avoidedcosttbl2,$H283,AZ$2))+(($H283-ROUNDDOWN($H283,0))*((INDEX(avoidedcosttbl2,ROUNDUP($H283,0),AZ$2))-(INDEX(avoidedcosttbl2,ROUNDDOWN($H283,0),AZ$2)))))*$O283*1000*('Inputs Yr 2'!AA283+'Inputs Yr 2'!AB283),"")</f>
        <v>0</v>
      </c>
      <c r="BA283" s="198">
        <f t="shared" si="154"/>
        <v>0</v>
      </c>
      <c r="BB283" s="198">
        <f t="shared" si="155"/>
        <v>0</v>
      </c>
      <c r="BC283" s="195">
        <f t="shared" si="137"/>
        <v>0</v>
      </c>
      <c r="BD283" s="195">
        <f t="shared" si="138"/>
        <v>0</v>
      </c>
      <c r="BE283" s="195">
        <f t="shared" si="139"/>
        <v>0</v>
      </c>
      <c r="BF283" s="195">
        <f t="shared" si="140"/>
        <v>0</v>
      </c>
      <c r="BG283" s="195">
        <f t="shared" si="141"/>
        <v>0</v>
      </c>
      <c r="BH283" s="196">
        <f t="shared" si="156"/>
        <v>0</v>
      </c>
      <c r="BI283" s="196">
        <f t="shared" si="157"/>
        <v>0</v>
      </c>
      <c r="BJ283" s="195">
        <f>IFERROR($G283*(IF('Inputs Yr 2'!$AJ283=BJ$4,'Inputs Yr 2'!$AK283,IF('Inputs Yr 2'!$AL283=BJ$4,'Inputs Yr 2'!$AM283,IF('Inputs Yr 2'!$AN283=BJ$4,'Inputs Yr 2'!$AO283,0))))*(INDEX(avoidedcosttbl2,$H283,BJ$2)+(($H283-ROUNDDOWN($H283,0))*(INDEX(avoidedcosttbl2,ROUNDUP($H283,0),BJ$2)-(INDEX(avoidedcosttbl2,ROUNDDOWN($H283,0),BJ$2)))))*'Inputs Yr 2'!P283*'Inputs Yr 2'!Q283*'Inputs Yr 2'!U283,"")</f>
        <v>0</v>
      </c>
      <c r="BK283" s="195">
        <f>IFERROR($G283*(IF('Inputs Yr 2'!$AJ283=BK$4,'Inputs Yr 2'!$AK283,IF('Inputs Yr 2'!$AL283=BK$4,'Inputs Yr 2'!$AM283,IF('Inputs Yr 2'!$AN283=BK$4,'Inputs Yr 2'!$AO283,0))))*(INDEX(avoidedcosttbl2,$H283,BK$2)+(($H283-ROUNDDOWN($H283,0))*(INDEX(avoidedcosttbl2,ROUNDUP($H283,0),BK$2)-(INDEX(avoidedcosttbl2,ROUNDDOWN($H283,0),BK$2)))))*'Inputs Yr 2'!P283*'Inputs Yr 2'!Q283*'Inputs Yr 2'!U283,"")</f>
        <v>0</v>
      </c>
      <c r="BL283" s="195">
        <f>IFERROR($G283*(IF('Inputs Yr 2'!$AJ283=BL$4,'Inputs Yr 2'!$AK283,IF('Inputs Yr 2'!$AL283=BL$4,'Inputs Yr 2'!$AM283,IF('Inputs Yr 2'!$AN283=BL$4,'Inputs Yr 2'!$AO283,0))))*(INDEX(avoidedcosttbl2,$H283,BL$2)+(($H283-ROUNDDOWN($H283,0))*(INDEX(avoidedcosttbl2,ROUNDUP($H283,0),BL$2)-(INDEX(avoidedcosttbl2,ROUNDDOWN($H283,0),BL$2)))))*'Inputs Yr 2'!P283*'Inputs Yr 2'!Q283*'Inputs Yr 2'!U283,"")</f>
        <v>0</v>
      </c>
      <c r="BM283" s="195">
        <f>IFERROR($G283*(IF('Inputs Yr 2'!$AJ283=BM$4,'Inputs Yr 2'!$AK283,IF('Inputs Yr 2'!$AL283=BM$4,'Inputs Yr 2'!$AM283,IF('Inputs Yr 2'!$AN283=BM$4,'Inputs Yr 2'!$AO283,0))))*(INDEX(avoidedcosttbl2,$H283,BM$2)+(($H283-ROUNDDOWN($H283,0))*(INDEX(avoidedcosttbl2,ROUNDUP($H283,0),BM$2)-(INDEX(avoidedcosttbl2,ROUNDDOWN($H283,0),BM$2)))))*'Inputs Yr 2'!P283*'Inputs Yr 2'!Q283*'Inputs Yr 2'!U283,"")</f>
        <v>0</v>
      </c>
      <c r="BN283" s="195">
        <f>IFERROR($G283*(IF('Inputs Yr 2'!$AJ283=BN$4,'Inputs Yr 2'!$AK283,IF('Inputs Yr 2'!$AL283=BN$4,'Inputs Yr 2'!$AM283,IF('Inputs Yr 2'!$AN283=BN$4,'Inputs Yr 2'!$AO283,0))))*(INDEX(avoidedcosttbl2,$H283,BN$2)+(($H283-ROUNDDOWN($H283,0))*(INDEX(avoidedcosttbl2,ROUNDUP($H283,0),BN$2)-(INDEX(avoidedcosttbl2,ROUNDDOWN($H283,0),BN$2)))))*'Inputs Yr 2'!P283*'Inputs Yr 2'!Q283*'Inputs Yr 2'!U283,"")</f>
        <v>231685.29464704558</v>
      </c>
      <c r="BO283" s="195">
        <f>IFERROR($G283*(IF('Inputs Yr 2'!$AJ283=BO$4,'Inputs Yr 2'!$AK283,IF('Inputs Yr 2'!$AL283=BO$4,'Inputs Yr 2'!$AM283,IF('Inputs Yr 2'!$AN283=BO$4,'Inputs Yr 2'!$AO283,0))))*(INDEX(avoidedcosttbl2,$H283,BO$2)+(($H283-ROUNDDOWN($H283,0))*(INDEX(avoidedcosttbl2,ROUNDUP($H283,0),BO$2)-(INDEX(avoidedcosttbl2,ROUNDDOWN($H283,0),BO$2)))))*'Inputs Yr 2'!P283*'Inputs Yr 2'!Q283*'Inputs Yr 2'!U283,"")</f>
        <v>0</v>
      </c>
      <c r="BP283" s="195">
        <f>IFERROR($G283*(IF('Inputs Yr 2'!$AJ283=BP$4,'Inputs Yr 2'!$AK283,IF('Inputs Yr 2'!$AL283=BP$4,'Inputs Yr 2'!$AM283,IF('Inputs Yr 2'!$AN283=BP$4,'Inputs Yr 2'!$AO283,0))))*(INDEX(avoidedcosttbl2,$H283,BP$2)+(($H283-ROUNDDOWN($H283,0))*(INDEX(avoidedcosttbl2,ROUNDUP($H283,0),BP$2)-(INDEX(avoidedcosttbl2,ROUNDDOWN($H283,0),BP$2)))))*'Inputs Yr 2'!P283*'Inputs Yr 2'!Q283*'Inputs Yr 2'!U283,"")</f>
        <v>0</v>
      </c>
      <c r="BQ283" s="230">
        <f t="shared" si="158"/>
        <v>231685.29464704558</v>
      </c>
      <c r="BR283" s="197">
        <f t="shared" si="142"/>
        <v>4719.8936852332654</v>
      </c>
      <c r="BS283" s="197">
        <f>IFERROR(($G283*IF('Inputs Yr 2'!$AJ283=BM$4,'Inputs Yr 2'!$AK283,IF('Inputs Yr 2'!$AL283=BM$4,'Inputs Yr 2'!$AM283,IF('Inputs Yr 2'!$AN283=BM$4,'Inputs Yr 2'!$AO283,0))))*(INDEX(avoidedcosttbl2,$H283,BS$2)+(($H283-ROUNDDOWN($H283,0))*(INDEX(avoidedcosttbl2,ROUNDUP($H283,0),BS$2)-(INDEX(avoidedcosttbl2,ROUNDDOWN($H283,0),BS$2)))))*'Inputs Yr 2'!P283*'Inputs Yr 2'!Q283*'Inputs Yr 2'!U283,"")</f>
        <v>0</v>
      </c>
      <c r="BT283" s="197">
        <f>IFERROR(($G283*IF('Inputs Yr 2'!$AJ283=BK$4,'Inputs Yr 2'!$AK283,IF('Inputs Yr 2'!$AL283=BK$4,'Inputs Yr 2'!$AM283,IF('Inputs Yr 2'!$AN283=BK$4,'Inputs Yr 2'!$AO283,0))))*(INDEX(avoidedcosttbl2,$H283,BT$2)+(($H283-ROUNDDOWN($H283,0))*(INDEX(avoidedcosttbl2,ROUNDUP($H283,0),BT$2)-(INDEX(avoidedcosttbl2,ROUNDDOWN($H283,0),BT$2)))))*'Inputs Yr 2'!P283*'Inputs Yr 2'!Q283*'Inputs Yr 2'!U283,"")</f>
        <v>0</v>
      </c>
      <c r="BU283" s="197">
        <f>IFERROR(($G283*IF('Inputs Yr 2'!$AJ283=BL$4,'Inputs Yr 2'!$AK283,IF('Inputs Yr 2'!$AL283=BL$4,'Inputs Yr 2'!$AM283,IF('Inputs Yr 2'!$AN283=BL$4,'Inputs Yr 2'!$AO283,0))))*(INDEX(avoidedcosttbl2,$H283,BU$2)+(($H283-ROUNDDOWN($H283,0))*(INDEX(avoidedcosttbl2,ROUNDUP($H283,0),BU$2)-(INDEX(avoidedcosttbl2,ROUNDDOWN($H283,0),BU$2)))))*'Inputs Yr 2'!P283*'Inputs Yr 2'!Q283*'Inputs Yr 2'!U283,"")</f>
        <v>0</v>
      </c>
      <c r="BV283" s="775">
        <f>IFERROR(($G283*IF('Inputs Yr 2'!$AJ283=BJ$4,'Inputs Yr 2'!$AK283,IF('Inputs Yr 2'!$AL283=BJ$4,'Inputs Yr 2'!$AM283,IF('Inputs Yr 2'!$AN283=BJ$4,'Inputs Yr 2'!$AO283,0))))*(INDEX(avoidedcosttbl2,$H283,BV$2)+(($H283-ROUNDDOWN($H283,0))*(INDEX(avoidedcosttbl2,ROUNDUP($H283,0),BV$2)-(INDEX(avoidedcosttbl2,ROUNDDOWN($H283,0),BV$2)))))*'Inputs Yr 2'!P283*'Inputs Yr 2'!Q283*'Inputs Yr 2'!U283,"")</f>
        <v>0</v>
      </c>
      <c r="BW283" s="197">
        <f>IFERROR(($G283*IF('Inputs Yr 2'!$AJ283=BN$4,'Inputs Yr 2'!$AK283,IF('Inputs Yr 2'!$AL283=BN$4,'Inputs Yr 2'!$AM283,IF('Inputs Yr 2'!$AN283=BN$4,'Inputs Yr 2'!$AO283,0))))*(INDEX(avoidedcosttbl2,$H283,BW$2)+(($H283-ROUNDDOWN($H283,0))*(INDEX(avoidedcosttbl2,ROUNDUP($H283,0),BW$2)-(INDEX(avoidedcosttbl2,ROUNDDOWN($H283,0),BW$2)))))*'Inputs Yr 2'!P283*'Inputs Yr 2'!Q283*'Inputs Yr 2'!U283,"")</f>
        <v>28983.513115393893</v>
      </c>
      <c r="BX283" s="197">
        <f>IFERROR(($G283*IF('Inputs Yr 2'!$AJ283=BO$4,'Inputs Yr 2'!$AK283,IF('Inputs Yr 2'!$AL283=BO$4,'Inputs Yr 2'!$AM283,IF('Inputs Yr 2'!$AN283=BO$4,'Inputs Yr 2'!$AO283,0))))*(INDEX(avoidedcosttbl2,$H283,BX$2)+(($H283-ROUNDDOWN($H283,0))*(INDEX(avoidedcosttbl2,ROUNDUP($H283,0),BX$2)-(INDEX(avoidedcosttbl2,ROUNDDOWN($H283,0),BX$2)))))*'Inputs Yr 2'!P283*'Inputs Yr 2'!Q283*'Inputs Yr 2'!U283,"")</f>
        <v>0</v>
      </c>
      <c r="BY283" s="197">
        <f>IFERROR(($G283*IF('Inputs Yr 2'!$AJ283=BP$4,'Inputs Yr 2'!$AK283,IF('Inputs Yr 2'!$AL283=BP$4,'Inputs Yr 2'!$AM283,IF('Inputs Yr 2'!$AN283=BP$4,'Inputs Yr 2'!$AO283,0))))*(INDEX(avoidedcosttbl2,$H283,BY$2)+(($H283-ROUNDDOWN($H283,0))*(INDEX(avoidedcosttbl2,ROUNDUP($H283,0),BY$2)-(INDEX(avoidedcosttbl2,ROUNDDOWN($H283,0),BY$2)))))*'Inputs Yr 2'!P283*'Inputs Yr 2'!Q283*'Inputs Yr 2'!U283,"")</f>
        <v>0</v>
      </c>
      <c r="BZ283" s="193">
        <f t="shared" si="159"/>
        <v>33703.406800627155</v>
      </c>
      <c r="CA283" s="193">
        <f t="shared" si="160"/>
        <v>265388.70144767273</v>
      </c>
      <c r="CB283" s="195">
        <f>IFERROR(G283*(IF('Inputs Yr 2'!$AJ283=CB$4,'Inputs Yr 2'!$AK283,IF('Inputs Yr 2'!$AL283=CB$4,'Inputs Yr 2'!$AM283,IF('Inputs Yr 2'!$AN283=CB$4,'Inputs Yr 2'!$AO283,0))))*(INDEX(avoidedcosttbl2,$H283,CB$2)+(($H283-ROUNDDOWN($H283,0))*(INDEX(avoidedcosttbl2,ROUNDUP($H283,0),CB$2)-(INDEX(avoidedcosttbl2,ROUNDDOWN($H283,0),CB$2)))))*'Inputs Yr 2'!P283*'Inputs Yr 2'!Q283*'Inputs Yr 2'!U283,"")</f>
        <v>0</v>
      </c>
      <c r="CC283" s="195">
        <f>IFERROR(H283*(IF('Inputs Yr 2'!$AJ283=CC$4,'Inputs Yr 2'!$AK283,IF('Inputs Yr 2'!$AL283=CC$4,'Inputs Yr 2'!$AM283,IF('Inputs Yr 2'!$AN283=CC$4,'Inputs Yr 2'!$AO283,0))))*(INDEX(avoidedcosttbl2,$H283,CC$2)+(($H283-ROUNDDOWN($H283,0))*(INDEX(avoidedcosttbl2,ROUNDUP($H283,0),CC$2)-(INDEX(avoidedcosttbl2,ROUNDDOWN($H283,0),CC$2)))))*'Inputs Yr 2'!Q283*'Inputs Yr 2'!R283*'Inputs Yr 2'!V283,"")</f>
        <v>0</v>
      </c>
      <c r="CD283" s="195">
        <f>IFERROR(I283*(IF('Inputs Yr 2'!$AJ283=CD$4,'Inputs Yr 2'!$AK283,IF('Inputs Yr 2'!$AL283=CD$4,'Inputs Yr 2'!$AM283,IF('Inputs Yr 2'!$AN283=CD$4,'Inputs Yr 2'!$AO283,0))))*(INDEX(avoidedcosttbl2,$H283,CD$2)+(($H283-ROUNDDOWN($H283,0))*(INDEX(avoidedcosttbl2,ROUNDUP($H283,0),CD$2)-(INDEX(avoidedcosttbl2,ROUNDDOWN($H283,0),CD$2)))))*'Inputs Yr 2'!R283*'Inputs Yr 2'!S283*'Inputs Yr 2'!W283,"")</f>
        <v>0</v>
      </c>
      <c r="CE283" s="213">
        <f t="shared" si="161"/>
        <v>0</v>
      </c>
      <c r="CF283" s="213">
        <f t="shared" si="162"/>
        <v>572514.34161403228</v>
      </c>
      <c r="CG283" s="213">
        <f t="shared" si="163"/>
        <v>794209.14638235082</v>
      </c>
      <c r="CH283" s="698">
        <f t="shared" si="164"/>
        <v>1632112.1894440558</v>
      </c>
      <c r="CI283" s="79">
        <f>IFERROR(($G283*'Inputs Yr 2'!$P283*'Inputs Yr 2'!$Q283*(((INDEX(avoidedcosttbl2,$H283,CI$2)+(($H283-ROUNDDOWN($H283,0))*(INDEX(avoidedcosttbl2,ROUNDUP($H283,0),CI$2)-INDEX(avoidedcosttbl2,ROUNDDOWN($H283,0),CI$2))))*'Inputs Yr 2'!AS283))),"")</f>
        <v>0</v>
      </c>
      <c r="CJ283" s="504">
        <f>IFERROR($G283*'Inputs Yr 2'!AT283*'Inputs Yr 2'!$P283*'Inputs Yr 2'!$Q283/((1+realdiscrt1)^-0.5),"")</f>
        <v>0</v>
      </c>
      <c r="CK283" s="79">
        <f>IFERROR((O283*1000*(((INDEX(avoidedcosttbl2,$H283,CK$2)+(($H283-ROUNDDOWN($H283,0))*(INDEX(avoidedcosttbl2,ROUNDUP($H283,0),CK$2)-INDEX(avoidedcosttbl2,ROUNDDOWN($H283,0),CK$2))))*'Inputs Yr 2'!AU283))),"")</f>
        <v>0</v>
      </c>
      <c r="CL283" s="504">
        <f>IFERROR(O283*1000*'Inputs Yr 2'!AV283/((1+realdiscrt1)^-0.5),"")</f>
        <v>0</v>
      </c>
      <c r="CM283" s="79">
        <f>IFERROR((AB283*'Inputs Yr 2'!AW283*(((INDEX(avoidedcosttbl2,$H283,CM$2)+(($H283-ROUNDDOWN($H283,0))*(INDEX(avoidedcosttbl2,ROUNDUP($H283,0),CM$2)-INDEX(avoidedcosttbl2,ROUNDDOWN($H283,0),CM$2)))))))*10,"")</f>
        <v>0</v>
      </c>
      <c r="CN283" s="504">
        <f>IFERROR(10*AB283*'Inputs Yr 2'!AX283/((1+realdiscrt1)^-0.5),"")</f>
        <v>0</v>
      </c>
      <c r="CO283" s="505">
        <f t="shared" si="165"/>
        <v>0</v>
      </c>
      <c r="CP283" s="230">
        <f t="shared" si="166"/>
        <v>1632112.1894440558</v>
      </c>
      <c r="CQ283" s="199">
        <f>ROUND(IFERROR(IF(LEFT($A283,1)="C",'Avoided Costs'!$K$13,'Avoided Costs'!$K$12)+1,""),4)</f>
        <v>1.0720000000000001</v>
      </c>
      <c r="CR283" s="199">
        <f>ROUND(IFERROR(IF(LEFT($A283,1)="C",'Avoided Costs'!$L$13,'Avoided Costs'!$L$12)+1,""),4)</f>
        <v>1.04</v>
      </c>
      <c r="CS283" s="199">
        <f>ROUND(IFERROR(IF(LEFT($A283,1)="C",'Avoided Costs'!$M$13,'Avoided Costs'!$M$12)+1,""),4)</f>
        <v>1.0720000000000001</v>
      </c>
      <c r="CT283" s="199">
        <f>ROUND(IFERROR(IF(LEFT($A283,1)="C",'Avoided Costs'!$N$13,'Avoided Costs'!$N$12)+1,""),4)</f>
        <v>1.04</v>
      </c>
      <c r="CU283" s="199">
        <f>ROUND(IFERROR(IF(LEFT($A283,1)="C",'Avoided Costs'!$O$13,'Avoided Costs'!$O$12)+1,""),4)</f>
        <v>1.1120000000000001</v>
      </c>
      <c r="CV283" s="199">
        <f>ROUND(IFERROR(IF(LEFT($A283,1)="C",'Avoided Costs'!$P$13,'Avoided Costs'!$P$12)+1,""),4)</f>
        <v>1.095</v>
      </c>
      <c r="CW283" s="199">
        <f>ROUND(IFERROR(IF(LEFT($A283,1)="C",'Avoided Costs'!$Q$13,'Avoided Costs'!$Q$12)+1,""),4)</f>
        <v>1.1120000000000001</v>
      </c>
      <c r="CX283" s="200">
        <f>ROUND(IFERROR(IF(LEFT($A283,1)="C",'Avoided Costs'!$R$13,'Avoided Costs'!$R$12)+1,""),4)</f>
        <v>1.1120000000000001</v>
      </c>
    </row>
    <row r="284" spans="1:102" ht="12.75" customHeight="1">
      <c r="A284" s="91" t="str">
        <f>IF('Inputs Yr 2'!$B284=0,"",'Inputs Yr 2'!A284)</f>
        <v>C - Commercial &amp; Industrial</v>
      </c>
      <c r="B284" s="91" t="str">
        <f>IF('Inputs Yr 2'!$B284=0,"",'Inputs Yr 2'!B284)</f>
        <v>C2 - C&amp;I Retrofit</v>
      </c>
      <c r="C284" s="91" t="str">
        <f>IF('Inputs Yr 2'!$B284=0,"",'Inputs Yr 2'!C284)</f>
        <v>C2a - C&amp;I Existing Building Retrofit</v>
      </c>
      <c r="D284" s="91" t="str">
        <f>IF('Inputs Yr 2'!$B284=0,"",'Inputs Yr 2'!E284)</f>
        <v>Pre-Rinse Spray Valve</v>
      </c>
      <c r="E284" s="93" t="str">
        <f>IF('Inputs Yr 2'!$B284=0,"",'Inputs Yr 2'!F284)</f>
        <v>G16C2a25</v>
      </c>
      <c r="F284" s="93" t="str">
        <f>IF('Inputs Yr 2'!$B284=0,"",'Inputs Yr 2'!G284)</f>
        <v>Hot Water</v>
      </c>
      <c r="G284" s="95">
        <f>IF('Inputs Yr 2'!$H284&lt;&gt;0,('Inputs Yr 2'!H284),"")</f>
        <v>273</v>
      </c>
      <c r="H284" s="94">
        <f>IFERROR('Inputs Yr 2'!I284,"")</f>
        <v>8</v>
      </c>
      <c r="I284" s="298">
        <f>IFERROR('Inputs Yr 2'!J284*'Inputs Yr 2'!P284*G284,"")</f>
        <v>32777.559359999999</v>
      </c>
      <c r="J284" s="298">
        <f>IFERROR('Inputs Yr 2'!K284*G284,"")</f>
        <v>17540.25</v>
      </c>
      <c r="K284" s="298">
        <f t="shared" si="143"/>
        <v>15237.309359999999</v>
      </c>
      <c r="L284" s="194">
        <f>IFERROR(('Inputs Yr 2'!W284*G284)/1000,"")</f>
        <v>0</v>
      </c>
      <c r="M284" s="194">
        <f>IFERROR(L284*('Inputs Yr 2'!$Q284*'Inputs Yr 2'!$V284*'Inputs Yr 2'!$R284),"")</f>
        <v>0</v>
      </c>
      <c r="N284" s="194">
        <f t="shared" si="144"/>
        <v>0</v>
      </c>
      <c r="O284" s="194">
        <f>IFERROR(M284*'Inputs Yr 2'!P284,"")</f>
        <v>0</v>
      </c>
      <c r="P284" s="194">
        <f t="shared" si="145"/>
        <v>0</v>
      </c>
      <c r="Q284" s="194">
        <f>IFERROR($P284*'Inputs Yr 2'!AA284,"")</f>
        <v>0</v>
      </c>
      <c r="R284" s="194">
        <f>IFERROR($P284*'Inputs Yr 2'!AB284,"")</f>
        <v>0</v>
      </c>
      <c r="S284" s="194">
        <f>IFERROR($P284*'Inputs Yr 2'!AC284,"")</f>
        <v>0</v>
      </c>
      <c r="T284" s="194">
        <f>IFERROR($P284*'Inputs Yr 2'!AD284,"")</f>
        <v>0</v>
      </c>
      <c r="U284" s="194">
        <f>IFERROR(G284*'Inputs Yr 2'!$AE284*'Inputs Yr 2'!$P284*'Inputs Yr 2'!$Q284,"")</f>
        <v>0</v>
      </c>
      <c r="V284" s="194">
        <f>IFERROR($G284*'Inputs Yr 2'!$AE284*'Inputs Yr 2'!$AG284*'Inputs Yr 2'!Q284*'Inputs Yr 2'!$S284,"")</f>
        <v>0</v>
      </c>
      <c r="W284" s="194">
        <f>IFERROR($G284*'Inputs Yr 2'!$AE284*'Inputs Yr 2'!$AG284*'Inputs Yr 2'!P284*'Inputs Yr 2'!Q284*'Inputs Yr 2'!$S284,"")</f>
        <v>0</v>
      </c>
      <c r="X284" s="194">
        <f>IFERROR($G284*'Inputs Yr 2'!$AE284*'Inputs Yr 2'!$AF284*'Inputs Yr 2'!Q284*'Inputs Yr 2'!$T284,"")</f>
        <v>0</v>
      </c>
      <c r="Y284" s="194">
        <f>IFERROR($G284*'Inputs Yr 2'!$AE284*'Inputs Yr 2'!$AF284*'Inputs Yr 2'!P284*'Inputs Yr 2'!Q284*'Inputs Yr 2'!$T284,"")</f>
        <v>0</v>
      </c>
      <c r="Z284" s="257">
        <f>IFERROR($G284*'Inputs Yr 2'!$Q284*'Inputs Yr 2'!$U284*(IF(IFERROR(SEARCH("NG", 'Inputs Yr 2'!$AJ284),0),'Inputs Yr 2'!$AK284,0)+IF(IFERROR(SEARCH("NG", 'Inputs Yr 2'!$AL284),0),'Inputs Yr 2'!$AM284,0)+IF(IFERROR(SEARCH("NG", 'Inputs Yr 2'!$AN284),0),'Inputs Yr 2'!$AO284,0)),0)</f>
        <v>3112.2000000000007</v>
      </c>
      <c r="AA284" s="257">
        <f t="shared" si="146"/>
        <v>24897.600000000006</v>
      </c>
      <c r="AB284" s="257">
        <f>IFERROR(Z284*'Inputs Yr 2'!$P284,0)</f>
        <v>2632.9212000000007</v>
      </c>
      <c r="AC284" s="257">
        <f t="shared" si="147"/>
        <v>21063.369600000005</v>
      </c>
      <c r="AD284" s="257">
        <f>IFERROR($G284*'Inputs Yr 2'!$Q284*'Inputs Yr 2'!$U284*(IF(IFERROR(SEARCH("Oil", 'Inputs Yr 2'!$AJ284), 0),'Inputs Yr 2'!$AK284,0)+IF(IFERROR(SEARCH("Oil", 'Inputs Yr 2'!$AL284), 0),'Inputs Yr 2'!$AM284,0)+IF(IFERROR(SEARCH("Oil", 'Inputs Yr 2'!$AN284), 0),'Inputs Yr 2'!$AO284,0)),0)</f>
        <v>0</v>
      </c>
      <c r="AE284" s="257">
        <f t="shared" si="148"/>
        <v>0</v>
      </c>
      <c r="AF284" s="257">
        <f>IFERROR(AD284*'Inputs Yr 2'!$P284,0)</f>
        <v>0</v>
      </c>
      <c r="AG284" s="257">
        <f t="shared" si="149"/>
        <v>0</v>
      </c>
      <c r="AH284" s="257">
        <f>IFERROR($G284*'Inputs Yr 2'!$Q284*'Inputs Yr 2'!$U284*(IF('Inputs Yr 2'!$AJ284=CD$4,'Inputs Yr 2'!$AK284,IF('Inputs Yr 2'!$AL284=CD$4,'Inputs Yr 2'!$AM284,IF('Inputs Yr 2'!$AN284=CD$4,'Inputs Yr 2'!$AO284,0)))),0)</f>
        <v>0</v>
      </c>
      <c r="AI284" s="257">
        <f t="shared" si="150"/>
        <v>0</v>
      </c>
      <c r="AJ284" s="257">
        <f>IFERROR(AH284*'Inputs Yr 2'!$P284,0)</f>
        <v>0</v>
      </c>
      <c r="AK284" s="257">
        <f t="shared" si="151"/>
        <v>0</v>
      </c>
      <c r="AL284" s="258">
        <f>IFERROR($G284*'Inputs Yr 2'!$P284*'Inputs Yr 2'!$Q284*'Inputs Yr 2'!AP284,0)</f>
        <v>0</v>
      </c>
      <c r="AM284" s="260">
        <f>IFERROR($G284*'Inputs Yr 2'!$P284*'Inputs Yr 2'!$Q284*'Inputs Yr 2'!AQ284,0)</f>
        <v>1480440.7800000003</v>
      </c>
      <c r="AN284" s="258">
        <f>IFERROR($G284*'Inputs Yr 2'!$P284*'Inputs Yr 2'!$Q284*'Inputs Yr 2'!AR284,0)</f>
        <v>1480440.7800000003</v>
      </c>
      <c r="AO284" s="257">
        <f t="shared" si="152"/>
        <v>11843526.240000002</v>
      </c>
      <c r="AP284" s="195">
        <f>IFERROR($CQ284*(INDEX(avoidedcosttbl2,$H284,AP$2)+(($H284-ROUNDDOWN($H284,0))*(INDEX(avoidedcosttbl2,ROUNDUP($H284,0),AP$2)-(INDEX(avoidedcosttbl2,ROUNDDOWN($H284,0),AP$2)))))*$O284*1000*'Inputs Yr 2'!AA284,"")</f>
        <v>0</v>
      </c>
      <c r="AQ284" s="195">
        <f>IFERROR($CR284*(INDEX(avoidedcosttbl2,$H284,AQ$2)+(($H284-ROUNDDOWN($H284,0))*(INDEX(avoidedcosttbl2,ROUNDUP($H284,0),AQ$2)-(INDEX(avoidedcosttbl2,ROUNDDOWN($H284,0),AQ$2)))))*$O284*1000*'Inputs Yr 2'!AB284,"")</f>
        <v>0</v>
      </c>
      <c r="AR284" s="195">
        <f>IFERROR($CS284*(INDEX(avoidedcosttbl2,$H284,AR$2)+(($H284-ROUNDDOWN($H284,0))*(INDEX(avoidedcosttbl2,ROUNDUP($H284,0),AR$2)-(INDEX(avoidedcosttbl2,ROUNDDOWN($H284,0),AR$2)))))*$O284*1000*'Inputs Yr 2'!AC284,"")</f>
        <v>0</v>
      </c>
      <c r="AS284" s="195">
        <f>IFERROR($CT284*(INDEX(avoidedcosttbl2,$H284,AS$2)+(($H284-ROUNDDOWN($H284,0))*(INDEX(avoidedcosttbl2,ROUNDUP($H284,0),AS$2)-(INDEX(avoidedcosttbl2,ROUNDDOWN($H284,0),AS$2)))))*$O284*1000*'Inputs Yr 2'!AD284,"")</f>
        <v>0</v>
      </c>
      <c r="AT284" s="196">
        <f t="shared" si="153"/>
        <v>0</v>
      </c>
      <c r="AU284" s="197">
        <f>IFERROR($CQ284*((INDEX(avoidedcosttbl2,$H284,AU$2))+(($H284-ROUNDDOWN($H284,0))*((INDEX(avoidedcosttbl2,ROUNDUP($H284,0),AU$2))-(INDEX(avoidedcosttbl2,ROUNDDOWN($H284,0),AU$2)))))*$O284*1000*'Inputs Yr 2'!AA284,"")</f>
        <v>0</v>
      </c>
      <c r="AV284" s="197">
        <f>IFERROR($CR284*((INDEX(avoidedcosttbl2,$H284,AV$2))+(($H284-ROUNDDOWN($H284,0))*((INDEX(avoidedcosttbl2,ROUNDUP($H284,0),AV$2))-(INDEX(avoidedcosttbl2,ROUNDDOWN($H284,0),AV$2)))))*$O284*1000*'Inputs Yr 2'!AB284,"")</f>
        <v>0</v>
      </c>
      <c r="AW284" s="197">
        <f>IFERROR($CS284*((INDEX(avoidedcosttbl2,$H284,AW$2))+(($H284-ROUNDDOWN($H284,0))*((INDEX(avoidedcosttbl2,ROUNDUP($H284,0),AW$2))-(INDEX(avoidedcosttbl2,ROUNDDOWN($H284,0),AW$2)))))*$O284*1000*'Inputs Yr 2'!AC284,"")</f>
        <v>0</v>
      </c>
      <c r="AX284" s="197">
        <f>IFERROR($CT284*((INDEX(avoidedcosttbl2,$H284,AX$2))+(($H284-ROUNDDOWN($H284,0))*((INDEX(avoidedcosttbl2,ROUNDUP($H284,0),AX$2))-(INDEX(avoidedcosttbl2,ROUNDDOWN($H284,0),AX$2)))))*$O284*1000*'Inputs Yr 2'!AD284,"")</f>
        <v>0</v>
      </c>
      <c r="AY284" s="197">
        <f>IFERROR(((INDEX(avoidedcosttbl2,$H284,AY$2))+(($H284-ROUNDDOWN($H284,0))*((INDEX(avoidedcosttbl2,ROUNDUP($H284,0),AY$2))-(INDEX(avoidedcosttbl2,ROUNDDOWN($H284,0),AY$2)))))*$O284*1000*('Inputs Yr 2'!AC284+'Inputs Yr 2'!AD284),"")</f>
        <v>0</v>
      </c>
      <c r="AZ284" s="197">
        <f>IFERROR(((INDEX(avoidedcosttbl2,$H284,AZ$2))+(($H284-ROUNDDOWN($H284,0))*((INDEX(avoidedcosttbl2,ROUNDUP($H284,0),AZ$2))-(INDEX(avoidedcosttbl2,ROUNDDOWN($H284,0),AZ$2)))))*$O284*1000*('Inputs Yr 2'!AA284+'Inputs Yr 2'!AB284),"")</f>
        <v>0</v>
      </c>
      <c r="BA284" s="198">
        <f t="shared" si="154"/>
        <v>0</v>
      </c>
      <c r="BB284" s="198">
        <f t="shared" si="155"/>
        <v>0</v>
      </c>
      <c r="BC284" s="195">
        <f t="shared" si="137"/>
        <v>0</v>
      </c>
      <c r="BD284" s="195">
        <f t="shared" si="138"/>
        <v>0</v>
      </c>
      <c r="BE284" s="195">
        <f t="shared" si="139"/>
        <v>0</v>
      </c>
      <c r="BF284" s="195">
        <f t="shared" si="140"/>
        <v>0</v>
      </c>
      <c r="BG284" s="195">
        <f t="shared" si="141"/>
        <v>0</v>
      </c>
      <c r="BH284" s="196">
        <f t="shared" si="156"/>
        <v>0</v>
      </c>
      <c r="BI284" s="196">
        <f t="shared" si="157"/>
        <v>0</v>
      </c>
      <c r="BJ284" s="195">
        <f>IFERROR($G284*(IF('Inputs Yr 2'!$AJ284=BJ$4,'Inputs Yr 2'!$AK284,IF('Inputs Yr 2'!$AL284=BJ$4,'Inputs Yr 2'!$AM284,IF('Inputs Yr 2'!$AN284=BJ$4,'Inputs Yr 2'!$AO284,0))))*(INDEX(avoidedcosttbl2,$H284,BJ$2)+(($H284-ROUNDDOWN($H284,0))*(INDEX(avoidedcosttbl2,ROUNDUP($H284,0),BJ$2)-(INDEX(avoidedcosttbl2,ROUNDDOWN($H284,0),BJ$2)))))*'Inputs Yr 2'!P284*'Inputs Yr 2'!Q284*'Inputs Yr 2'!U284,"")</f>
        <v>0</v>
      </c>
      <c r="BK284" s="195">
        <f>IFERROR($G284*(IF('Inputs Yr 2'!$AJ284=BK$4,'Inputs Yr 2'!$AK284,IF('Inputs Yr 2'!$AL284=BK$4,'Inputs Yr 2'!$AM284,IF('Inputs Yr 2'!$AN284=BK$4,'Inputs Yr 2'!$AO284,0))))*(INDEX(avoidedcosttbl2,$H284,BK$2)+(($H284-ROUNDDOWN($H284,0))*(INDEX(avoidedcosttbl2,ROUNDUP($H284,0),BK$2)-(INDEX(avoidedcosttbl2,ROUNDDOWN($H284,0),BK$2)))))*'Inputs Yr 2'!P284*'Inputs Yr 2'!Q284*'Inputs Yr 2'!U284,"")</f>
        <v>0</v>
      </c>
      <c r="BL284" s="195">
        <f>IFERROR($G284*(IF('Inputs Yr 2'!$AJ284=BL$4,'Inputs Yr 2'!$AK284,IF('Inputs Yr 2'!$AL284=BL$4,'Inputs Yr 2'!$AM284,IF('Inputs Yr 2'!$AN284=BL$4,'Inputs Yr 2'!$AO284,0))))*(INDEX(avoidedcosttbl2,$H284,BL$2)+(($H284-ROUNDDOWN($H284,0))*(INDEX(avoidedcosttbl2,ROUNDUP($H284,0),BL$2)-(INDEX(avoidedcosttbl2,ROUNDDOWN($H284,0),BL$2)))))*'Inputs Yr 2'!P284*'Inputs Yr 2'!Q284*'Inputs Yr 2'!U284,"")</f>
        <v>0</v>
      </c>
      <c r="BM284" s="195">
        <f>IFERROR($G284*(IF('Inputs Yr 2'!$AJ284=BM$4,'Inputs Yr 2'!$AK284,IF('Inputs Yr 2'!$AL284=BM$4,'Inputs Yr 2'!$AM284,IF('Inputs Yr 2'!$AN284=BM$4,'Inputs Yr 2'!$AO284,0))))*(INDEX(avoidedcosttbl2,$H284,BM$2)+(($H284-ROUNDDOWN($H284,0))*(INDEX(avoidedcosttbl2,ROUNDUP($H284,0),BM$2)-(INDEX(avoidedcosttbl2,ROUNDDOWN($H284,0),BM$2)))))*'Inputs Yr 2'!P284*'Inputs Yr 2'!Q284*'Inputs Yr 2'!U284,"")</f>
        <v>0</v>
      </c>
      <c r="BN284" s="195">
        <f>IFERROR($G284*(IF('Inputs Yr 2'!$AJ284=BN$4,'Inputs Yr 2'!$AK284,IF('Inputs Yr 2'!$AL284=BN$4,'Inputs Yr 2'!$AM284,IF('Inputs Yr 2'!$AN284=BN$4,'Inputs Yr 2'!$AO284,0))))*(INDEX(avoidedcosttbl2,$H284,BN$2)+(($H284-ROUNDDOWN($H284,0))*(INDEX(avoidedcosttbl2,ROUNDUP($H284,0),BN$2)-(INDEX(avoidedcosttbl2,ROUNDDOWN($H284,0),BN$2)))))*'Inputs Yr 2'!P284*'Inputs Yr 2'!Q284*'Inputs Yr 2'!U284,"")</f>
        <v>140091.71097055645</v>
      </c>
      <c r="BO284" s="195">
        <f>IFERROR($G284*(IF('Inputs Yr 2'!$AJ284=BO$4,'Inputs Yr 2'!$AK284,IF('Inputs Yr 2'!$AL284=BO$4,'Inputs Yr 2'!$AM284,IF('Inputs Yr 2'!$AN284=BO$4,'Inputs Yr 2'!$AO284,0))))*(INDEX(avoidedcosttbl2,$H284,BO$2)+(($H284-ROUNDDOWN($H284,0))*(INDEX(avoidedcosttbl2,ROUNDUP($H284,0),BO$2)-(INDEX(avoidedcosttbl2,ROUNDDOWN($H284,0),BO$2)))))*'Inputs Yr 2'!P284*'Inputs Yr 2'!Q284*'Inputs Yr 2'!U284,"")</f>
        <v>0</v>
      </c>
      <c r="BP284" s="195">
        <f>IFERROR($G284*(IF('Inputs Yr 2'!$AJ284=BP$4,'Inputs Yr 2'!$AK284,IF('Inputs Yr 2'!$AL284=BP$4,'Inputs Yr 2'!$AM284,IF('Inputs Yr 2'!$AN284=BP$4,'Inputs Yr 2'!$AO284,0))))*(INDEX(avoidedcosttbl2,$H284,BP$2)+(($H284-ROUNDDOWN($H284,0))*(INDEX(avoidedcosttbl2,ROUNDUP($H284,0),BP$2)-(INDEX(avoidedcosttbl2,ROUNDDOWN($H284,0),BP$2)))))*'Inputs Yr 2'!P284*'Inputs Yr 2'!Q284*'Inputs Yr 2'!U284,"")</f>
        <v>0</v>
      </c>
      <c r="BQ284" s="230">
        <f t="shared" si="158"/>
        <v>140091.71097055645</v>
      </c>
      <c r="BR284" s="197">
        <f t="shared" si="142"/>
        <v>2898.8032779487226</v>
      </c>
      <c r="BS284" s="197">
        <f>IFERROR(($G284*IF('Inputs Yr 2'!$AJ284=BM$4,'Inputs Yr 2'!$AK284,IF('Inputs Yr 2'!$AL284=BM$4,'Inputs Yr 2'!$AM284,IF('Inputs Yr 2'!$AN284=BM$4,'Inputs Yr 2'!$AO284,0))))*(INDEX(avoidedcosttbl2,$H284,BS$2)+(($H284-ROUNDDOWN($H284,0))*(INDEX(avoidedcosttbl2,ROUNDUP($H284,0),BS$2)-(INDEX(avoidedcosttbl2,ROUNDDOWN($H284,0),BS$2)))))*'Inputs Yr 2'!P284*'Inputs Yr 2'!Q284*'Inputs Yr 2'!U284,"")</f>
        <v>0</v>
      </c>
      <c r="BT284" s="197">
        <f>IFERROR(($G284*IF('Inputs Yr 2'!$AJ284=BK$4,'Inputs Yr 2'!$AK284,IF('Inputs Yr 2'!$AL284=BK$4,'Inputs Yr 2'!$AM284,IF('Inputs Yr 2'!$AN284=BK$4,'Inputs Yr 2'!$AO284,0))))*(INDEX(avoidedcosttbl2,$H284,BT$2)+(($H284-ROUNDDOWN($H284,0))*(INDEX(avoidedcosttbl2,ROUNDUP($H284,0),BT$2)-(INDEX(avoidedcosttbl2,ROUNDDOWN($H284,0),BT$2)))))*'Inputs Yr 2'!P284*'Inputs Yr 2'!Q284*'Inputs Yr 2'!U284,"")</f>
        <v>0</v>
      </c>
      <c r="BU284" s="197">
        <f>IFERROR(($G284*IF('Inputs Yr 2'!$AJ284=BL$4,'Inputs Yr 2'!$AK284,IF('Inputs Yr 2'!$AL284=BL$4,'Inputs Yr 2'!$AM284,IF('Inputs Yr 2'!$AN284=BL$4,'Inputs Yr 2'!$AO284,0))))*(INDEX(avoidedcosttbl2,$H284,BU$2)+(($H284-ROUNDDOWN($H284,0))*(INDEX(avoidedcosttbl2,ROUNDUP($H284,0),BU$2)-(INDEX(avoidedcosttbl2,ROUNDDOWN($H284,0),BU$2)))))*'Inputs Yr 2'!P284*'Inputs Yr 2'!Q284*'Inputs Yr 2'!U284,"")</f>
        <v>0</v>
      </c>
      <c r="BV284" s="775">
        <f>IFERROR(($G284*IF('Inputs Yr 2'!$AJ284=BJ$4,'Inputs Yr 2'!$AK284,IF('Inputs Yr 2'!$AL284=BJ$4,'Inputs Yr 2'!$AM284,IF('Inputs Yr 2'!$AN284=BJ$4,'Inputs Yr 2'!$AO284,0))))*(INDEX(avoidedcosttbl2,$H284,BV$2)+(($H284-ROUNDDOWN($H284,0))*(INDEX(avoidedcosttbl2,ROUNDUP($H284,0),BV$2)-(INDEX(avoidedcosttbl2,ROUNDDOWN($H284,0),BV$2)))))*'Inputs Yr 2'!P284*'Inputs Yr 2'!Q284*'Inputs Yr 2'!U284,"")</f>
        <v>0</v>
      </c>
      <c r="BW284" s="197">
        <f>IFERROR(($G284*IF('Inputs Yr 2'!$AJ284=BN$4,'Inputs Yr 2'!$AK284,IF('Inputs Yr 2'!$AL284=BN$4,'Inputs Yr 2'!$AM284,IF('Inputs Yr 2'!$AN284=BN$4,'Inputs Yr 2'!$AO284,0))))*(INDEX(avoidedcosttbl2,$H284,BW$2)+(($H284-ROUNDDOWN($H284,0))*(INDEX(avoidedcosttbl2,ROUNDUP($H284,0),BW$2)-(INDEX(avoidedcosttbl2,ROUNDDOWN($H284,0),BW$2)))))*'Inputs Yr 2'!P284*'Inputs Yr 2'!Q284*'Inputs Yr 2'!U284,"")</f>
        <v>21242.838178507969</v>
      </c>
      <c r="BX284" s="197">
        <f>IFERROR(($G284*IF('Inputs Yr 2'!$AJ284=BO$4,'Inputs Yr 2'!$AK284,IF('Inputs Yr 2'!$AL284=BO$4,'Inputs Yr 2'!$AM284,IF('Inputs Yr 2'!$AN284=BO$4,'Inputs Yr 2'!$AO284,0))))*(INDEX(avoidedcosttbl2,$H284,BX$2)+(($H284-ROUNDDOWN($H284,0))*(INDEX(avoidedcosttbl2,ROUNDUP($H284,0),BX$2)-(INDEX(avoidedcosttbl2,ROUNDDOWN($H284,0),BX$2)))))*'Inputs Yr 2'!P284*'Inputs Yr 2'!Q284*'Inputs Yr 2'!U284,"")</f>
        <v>0</v>
      </c>
      <c r="BY284" s="197">
        <f>IFERROR(($G284*IF('Inputs Yr 2'!$AJ284=BP$4,'Inputs Yr 2'!$AK284,IF('Inputs Yr 2'!$AL284=BP$4,'Inputs Yr 2'!$AM284,IF('Inputs Yr 2'!$AN284=BP$4,'Inputs Yr 2'!$AO284,0))))*(INDEX(avoidedcosttbl2,$H284,BY$2)+(($H284-ROUNDDOWN($H284,0))*(INDEX(avoidedcosttbl2,ROUNDUP($H284,0),BY$2)-(INDEX(avoidedcosttbl2,ROUNDDOWN($H284,0),BY$2)))))*'Inputs Yr 2'!P284*'Inputs Yr 2'!Q284*'Inputs Yr 2'!U284,"")</f>
        <v>0</v>
      </c>
      <c r="BZ284" s="193">
        <f t="shared" si="159"/>
        <v>24141.641456456691</v>
      </c>
      <c r="CA284" s="193">
        <f t="shared" si="160"/>
        <v>164233.35242701313</v>
      </c>
      <c r="CB284" s="195">
        <f>IFERROR(G284*(IF('Inputs Yr 2'!$AJ284=CB$4,'Inputs Yr 2'!$AK284,IF('Inputs Yr 2'!$AL284=CB$4,'Inputs Yr 2'!$AM284,IF('Inputs Yr 2'!$AN284=CB$4,'Inputs Yr 2'!$AO284,0))))*(INDEX(avoidedcosttbl2,$H284,CB$2)+(($H284-ROUNDDOWN($H284,0))*(INDEX(avoidedcosttbl2,ROUNDUP($H284,0),CB$2)-(INDEX(avoidedcosttbl2,ROUNDDOWN($H284,0),CB$2)))))*'Inputs Yr 2'!P284*'Inputs Yr 2'!Q284*'Inputs Yr 2'!U284,"")</f>
        <v>0</v>
      </c>
      <c r="CC284" s="195">
        <f>IFERROR(H284*(IF('Inputs Yr 2'!$AJ284=CC$4,'Inputs Yr 2'!$AK284,IF('Inputs Yr 2'!$AL284=CC$4,'Inputs Yr 2'!$AM284,IF('Inputs Yr 2'!$AN284=CC$4,'Inputs Yr 2'!$AO284,0))))*(INDEX(avoidedcosttbl2,$H284,CC$2)+(($H284-ROUNDDOWN($H284,0))*(INDEX(avoidedcosttbl2,ROUNDUP($H284,0),CC$2)-(INDEX(avoidedcosttbl2,ROUNDDOWN($H284,0),CC$2)))))*'Inputs Yr 2'!Q284*'Inputs Yr 2'!R284*'Inputs Yr 2'!V284,"")</f>
        <v>0</v>
      </c>
      <c r="CD284" s="195">
        <f>IFERROR(I284*(IF('Inputs Yr 2'!$AJ284=CD$4,'Inputs Yr 2'!$AK284,IF('Inputs Yr 2'!$AL284=CD$4,'Inputs Yr 2'!$AM284,IF('Inputs Yr 2'!$AN284=CD$4,'Inputs Yr 2'!$AO284,0))))*(INDEX(avoidedcosttbl2,$H284,CD$2)+(($H284-ROUNDDOWN($H284,0))*(INDEX(avoidedcosttbl2,ROUNDUP($H284,0),CD$2)-(INDEX(avoidedcosttbl2,ROUNDDOWN($H284,0),CD$2)))))*'Inputs Yr 2'!R284*'Inputs Yr 2'!S284*'Inputs Yr 2'!W284,"")</f>
        <v>0</v>
      </c>
      <c r="CE284" s="213">
        <f t="shared" si="161"/>
        <v>0</v>
      </c>
      <c r="CF284" s="213">
        <f t="shared" si="162"/>
        <v>52812.633870535094</v>
      </c>
      <c r="CG284" s="213">
        <f t="shared" si="163"/>
        <v>73263.277119437771</v>
      </c>
      <c r="CH284" s="698">
        <f t="shared" si="164"/>
        <v>290309.26341698598</v>
      </c>
      <c r="CI284" s="79">
        <f>IFERROR(($G284*'Inputs Yr 2'!$P284*'Inputs Yr 2'!$Q284*(((INDEX(avoidedcosttbl2,$H284,CI$2)+(($H284-ROUNDDOWN($H284,0))*(INDEX(avoidedcosttbl2,ROUNDUP($H284,0),CI$2)-INDEX(avoidedcosttbl2,ROUNDDOWN($H284,0),CI$2))))*'Inputs Yr 2'!AS284))),"")</f>
        <v>0</v>
      </c>
      <c r="CJ284" s="504">
        <f>IFERROR($G284*'Inputs Yr 2'!AT284*'Inputs Yr 2'!$P284*'Inputs Yr 2'!$Q284/((1+realdiscrt1)^-0.5),"")</f>
        <v>0</v>
      </c>
      <c r="CK284" s="79">
        <f>IFERROR((O284*1000*(((INDEX(avoidedcosttbl2,$H284,CK$2)+(($H284-ROUNDDOWN($H284,0))*(INDEX(avoidedcosttbl2,ROUNDUP($H284,0),CK$2)-INDEX(avoidedcosttbl2,ROUNDDOWN($H284,0),CK$2))))*'Inputs Yr 2'!AU284))),"")</f>
        <v>0</v>
      </c>
      <c r="CL284" s="504">
        <f>IFERROR(O284*1000*'Inputs Yr 2'!AV284/((1+realdiscrt1)^-0.5),"")</f>
        <v>0</v>
      </c>
      <c r="CM284" s="79">
        <f>IFERROR((AB284*'Inputs Yr 2'!AW284*(((INDEX(avoidedcosttbl2,$H284,CM$2)+(($H284-ROUNDDOWN($H284,0))*(INDEX(avoidedcosttbl2,ROUNDUP($H284,0),CM$2)-INDEX(avoidedcosttbl2,ROUNDDOWN($H284,0),CM$2)))))))*10,"")</f>
        <v>0</v>
      </c>
      <c r="CN284" s="504">
        <f>IFERROR(10*AB284*'Inputs Yr 2'!AX284/((1+realdiscrt1)^-0.5),"")</f>
        <v>0</v>
      </c>
      <c r="CO284" s="505">
        <f t="shared" si="165"/>
        <v>0</v>
      </c>
      <c r="CP284" s="230">
        <f t="shared" si="166"/>
        <v>290309.26341698598</v>
      </c>
      <c r="CQ284" s="199">
        <f>ROUND(IFERROR(IF(LEFT($A284,1)="C",'Avoided Costs'!$K$13,'Avoided Costs'!$K$12)+1,""),4)</f>
        <v>1.0720000000000001</v>
      </c>
      <c r="CR284" s="199">
        <f>ROUND(IFERROR(IF(LEFT($A284,1)="C",'Avoided Costs'!$L$13,'Avoided Costs'!$L$12)+1,""),4)</f>
        <v>1.04</v>
      </c>
      <c r="CS284" s="199">
        <f>ROUND(IFERROR(IF(LEFT($A284,1)="C",'Avoided Costs'!$M$13,'Avoided Costs'!$M$12)+1,""),4)</f>
        <v>1.0720000000000001</v>
      </c>
      <c r="CT284" s="199">
        <f>ROUND(IFERROR(IF(LEFT($A284,1)="C",'Avoided Costs'!$N$13,'Avoided Costs'!$N$12)+1,""),4)</f>
        <v>1.04</v>
      </c>
      <c r="CU284" s="199">
        <f>ROUND(IFERROR(IF(LEFT($A284,1)="C",'Avoided Costs'!$O$13,'Avoided Costs'!$O$12)+1,""),4)</f>
        <v>1.1120000000000001</v>
      </c>
      <c r="CV284" s="199">
        <f>ROUND(IFERROR(IF(LEFT($A284,1)="C",'Avoided Costs'!$P$13,'Avoided Costs'!$P$12)+1,""),4)</f>
        <v>1.095</v>
      </c>
      <c r="CW284" s="199">
        <f>ROUND(IFERROR(IF(LEFT($A284,1)="C",'Avoided Costs'!$Q$13,'Avoided Costs'!$Q$12)+1,""),4)</f>
        <v>1.1120000000000001</v>
      </c>
      <c r="CX284" s="200">
        <f>ROUND(IFERROR(IF(LEFT($A284,1)="C",'Avoided Costs'!$R$13,'Avoided Costs'!$R$12)+1,""),4)</f>
        <v>1.1120000000000001</v>
      </c>
    </row>
    <row r="285" spans="1:102" ht="12.75" customHeight="1">
      <c r="A285" s="91" t="str">
        <f>IF('Inputs Yr 2'!$B285=0,"",'Inputs Yr 2'!A285)</f>
        <v>C - Commercial &amp; Industrial</v>
      </c>
      <c r="B285" s="91" t="str">
        <f>IF('Inputs Yr 2'!$B285=0,"",'Inputs Yr 2'!B285)</f>
        <v>C2 - C&amp;I Retrofit</v>
      </c>
      <c r="C285" s="91" t="str">
        <f>IF('Inputs Yr 2'!$B285=0,"",'Inputs Yr 2'!C285)</f>
        <v>C2a - C&amp;I Existing Building Retrofit</v>
      </c>
      <c r="D285" s="91" t="str">
        <f>IF('Inputs Yr 2'!$B285=0,"",'Inputs Yr 2'!E285)</f>
        <v>Hot Water Pipe Insulation, &lt;=1.5"</v>
      </c>
      <c r="E285" s="93" t="str">
        <f>IF('Inputs Yr 2'!$B285=0,"",'Inputs Yr 2'!F285)</f>
        <v>G16C2a26</v>
      </c>
      <c r="F285" s="93" t="str">
        <f>IF('Inputs Yr 2'!$B285=0,"",'Inputs Yr 2'!G285)</f>
        <v>Hot Water</v>
      </c>
      <c r="G285" s="95" t="str">
        <f>IF('Inputs Yr 2'!$H285&lt;&gt;0,('Inputs Yr 2'!H285),"")</f>
        <v/>
      </c>
      <c r="H285" s="94">
        <f>IFERROR('Inputs Yr 2'!I285,"")</f>
        <v>15</v>
      </c>
      <c r="I285" s="298" t="str">
        <f>IFERROR('Inputs Yr 2'!J285*'Inputs Yr 2'!P285*G285,"")</f>
        <v/>
      </c>
      <c r="J285" s="298" t="str">
        <f>IFERROR('Inputs Yr 2'!K285*G285,"")</f>
        <v/>
      </c>
      <c r="K285" s="298" t="str">
        <f t="shared" si="143"/>
        <v/>
      </c>
      <c r="L285" s="194" t="str">
        <f>IFERROR(('Inputs Yr 2'!W285*G285)/1000,"")</f>
        <v/>
      </c>
      <c r="M285" s="194" t="str">
        <f>IFERROR(L285*('Inputs Yr 2'!$Q285*'Inputs Yr 2'!$V285*'Inputs Yr 2'!$R285),"")</f>
        <v/>
      </c>
      <c r="N285" s="194" t="str">
        <f t="shared" si="144"/>
        <v/>
      </c>
      <c r="O285" s="194" t="str">
        <f>IFERROR(M285*'Inputs Yr 2'!P285,"")</f>
        <v/>
      </c>
      <c r="P285" s="194" t="str">
        <f t="shared" si="145"/>
        <v/>
      </c>
      <c r="Q285" s="194" t="str">
        <f>IFERROR($P285*'Inputs Yr 2'!AA285,"")</f>
        <v/>
      </c>
      <c r="R285" s="194" t="str">
        <f>IFERROR($P285*'Inputs Yr 2'!AB285,"")</f>
        <v/>
      </c>
      <c r="S285" s="194" t="str">
        <f>IFERROR($P285*'Inputs Yr 2'!AC285,"")</f>
        <v/>
      </c>
      <c r="T285" s="194" t="str">
        <f>IFERROR($P285*'Inputs Yr 2'!AD285,"")</f>
        <v/>
      </c>
      <c r="U285" s="194" t="str">
        <f>IFERROR(G285*'Inputs Yr 2'!$AE285*'Inputs Yr 2'!$P285*'Inputs Yr 2'!$Q285,"")</f>
        <v/>
      </c>
      <c r="V285" s="194" t="str">
        <f>IFERROR($G285*'Inputs Yr 2'!$AE285*'Inputs Yr 2'!$AG285*'Inputs Yr 2'!Q285*'Inputs Yr 2'!$S285,"")</f>
        <v/>
      </c>
      <c r="W285" s="194" t="str">
        <f>IFERROR($G285*'Inputs Yr 2'!$AE285*'Inputs Yr 2'!$AG285*'Inputs Yr 2'!P285*'Inputs Yr 2'!Q285*'Inputs Yr 2'!$S285,"")</f>
        <v/>
      </c>
      <c r="X285" s="194" t="str">
        <f>IFERROR($G285*'Inputs Yr 2'!$AE285*'Inputs Yr 2'!$AF285*'Inputs Yr 2'!Q285*'Inputs Yr 2'!$T285,"")</f>
        <v/>
      </c>
      <c r="Y285" s="194" t="str">
        <f>IFERROR($G285*'Inputs Yr 2'!$AE285*'Inputs Yr 2'!$AF285*'Inputs Yr 2'!P285*'Inputs Yr 2'!Q285*'Inputs Yr 2'!$T285,"")</f>
        <v/>
      </c>
      <c r="Z285" s="257">
        <f>IFERROR($G285*'Inputs Yr 2'!$Q285*'Inputs Yr 2'!$U285*(IF(IFERROR(SEARCH("NG", 'Inputs Yr 2'!$AJ285),0),'Inputs Yr 2'!$AK285,0)+IF(IFERROR(SEARCH("NG", 'Inputs Yr 2'!$AL285),0),'Inputs Yr 2'!$AM285,0)+IF(IFERROR(SEARCH("NG", 'Inputs Yr 2'!$AN285),0),'Inputs Yr 2'!$AO285,0)),0)</f>
        <v>0</v>
      </c>
      <c r="AA285" s="257">
        <f t="shared" si="146"/>
        <v>0</v>
      </c>
      <c r="AB285" s="257">
        <f>IFERROR(Z285*'Inputs Yr 2'!$P285,0)</f>
        <v>0</v>
      </c>
      <c r="AC285" s="257">
        <f t="shared" si="147"/>
        <v>0</v>
      </c>
      <c r="AD285" s="257">
        <f>IFERROR($G285*'Inputs Yr 2'!$Q285*'Inputs Yr 2'!$U285*(IF(IFERROR(SEARCH("Oil", 'Inputs Yr 2'!$AJ285), 0),'Inputs Yr 2'!$AK285,0)+IF(IFERROR(SEARCH("Oil", 'Inputs Yr 2'!$AL285), 0),'Inputs Yr 2'!$AM285,0)+IF(IFERROR(SEARCH("Oil", 'Inputs Yr 2'!$AN285), 0),'Inputs Yr 2'!$AO285,0)),0)</f>
        <v>0</v>
      </c>
      <c r="AE285" s="257">
        <f t="shared" si="148"/>
        <v>0</v>
      </c>
      <c r="AF285" s="257">
        <f>IFERROR(AD285*'Inputs Yr 2'!$P285,0)</f>
        <v>0</v>
      </c>
      <c r="AG285" s="257">
        <f t="shared" si="149"/>
        <v>0</v>
      </c>
      <c r="AH285" s="257">
        <f>IFERROR($G285*'Inputs Yr 2'!$Q285*'Inputs Yr 2'!$U285*(IF('Inputs Yr 2'!$AJ285=CD$4,'Inputs Yr 2'!$AK285,IF('Inputs Yr 2'!$AL285=CD$4,'Inputs Yr 2'!$AM285,IF('Inputs Yr 2'!$AN285=CD$4,'Inputs Yr 2'!$AO285,0)))),0)</f>
        <v>0</v>
      </c>
      <c r="AI285" s="257">
        <f t="shared" si="150"/>
        <v>0</v>
      </c>
      <c r="AJ285" s="257">
        <f>IFERROR(AH285*'Inputs Yr 2'!$P285,0)</f>
        <v>0</v>
      </c>
      <c r="AK285" s="257">
        <f t="shared" si="151"/>
        <v>0</v>
      </c>
      <c r="AL285" s="258">
        <f>IFERROR($G285*'Inputs Yr 2'!$P285*'Inputs Yr 2'!$Q285*'Inputs Yr 2'!AP285,0)</f>
        <v>0</v>
      </c>
      <c r="AM285" s="260">
        <f>IFERROR($G285*'Inputs Yr 2'!$P285*'Inputs Yr 2'!$Q285*'Inputs Yr 2'!AQ285,0)</f>
        <v>0</v>
      </c>
      <c r="AN285" s="258">
        <f>IFERROR($G285*'Inputs Yr 2'!$P285*'Inputs Yr 2'!$Q285*'Inputs Yr 2'!AR285,0)</f>
        <v>0</v>
      </c>
      <c r="AO285" s="257">
        <f t="shared" si="152"/>
        <v>0</v>
      </c>
      <c r="AP285" s="195" t="str">
        <f>IFERROR($CQ285*(INDEX(avoidedcosttbl2,$H285,AP$2)+(($H285-ROUNDDOWN($H285,0))*(INDEX(avoidedcosttbl2,ROUNDUP($H285,0),AP$2)-(INDEX(avoidedcosttbl2,ROUNDDOWN($H285,0),AP$2)))))*$O285*1000*'Inputs Yr 2'!AA285,"")</f>
        <v/>
      </c>
      <c r="AQ285" s="195" t="str">
        <f>IFERROR($CR285*(INDEX(avoidedcosttbl2,$H285,AQ$2)+(($H285-ROUNDDOWN($H285,0))*(INDEX(avoidedcosttbl2,ROUNDUP($H285,0),AQ$2)-(INDEX(avoidedcosttbl2,ROUNDDOWN($H285,0),AQ$2)))))*$O285*1000*'Inputs Yr 2'!AB285,"")</f>
        <v/>
      </c>
      <c r="AR285" s="195" t="str">
        <f>IFERROR($CS285*(INDEX(avoidedcosttbl2,$H285,AR$2)+(($H285-ROUNDDOWN($H285,0))*(INDEX(avoidedcosttbl2,ROUNDUP($H285,0),AR$2)-(INDEX(avoidedcosttbl2,ROUNDDOWN($H285,0),AR$2)))))*$O285*1000*'Inputs Yr 2'!AC285,"")</f>
        <v/>
      </c>
      <c r="AS285" s="195" t="str">
        <f>IFERROR($CT285*(INDEX(avoidedcosttbl2,$H285,AS$2)+(($H285-ROUNDDOWN($H285,0))*(INDEX(avoidedcosttbl2,ROUNDUP($H285,0),AS$2)-(INDEX(avoidedcosttbl2,ROUNDDOWN($H285,0),AS$2)))))*$O285*1000*'Inputs Yr 2'!AD285,"")</f>
        <v/>
      </c>
      <c r="AT285" s="196">
        <f t="shared" si="153"/>
        <v>0</v>
      </c>
      <c r="AU285" s="197" t="str">
        <f>IFERROR($CQ285*((INDEX(avoidedcosttbl2,$H285,AU$2))+(($H285-ROUNDDOWN($H285,0))*((INDEX(avoidedcosttbl2,ROUNDUP($H285,0),AU$2))-(INDEX(avoidedcosttbl2,ROUNDDOWN($H285,0),AU$2)))))*$O285*1000*'Inputs Yr 2'!AA285,"")</f>
        <v/>
      </c>
      <c r="AV285" s="197" t="str">
        <f>IFERROR($CR285*((INDEX(avoidedcosttbl2,$H285,AV$2))+(($H285-ROUNDDOWN($H285,0))*((INDEX(avoidedcosttbl2,ROUNDUP($H285,0),AV$2))-(INDEX(avoidedcosttbl2,ROUNDDOWN($H285,0),AV$2)))))*$O285*1000*'Inputs Yr 2'!AB285,"")</f>
        <v/>
      </c>
      <c r="AW285" s="197" t="str">
        <f>IFERROR($CS285*((INDEX(avoidedcosttbl2,$H285,AW$2))+(($H285-ROUNDDOWN($H285,0))*((INDEX(avoidedcosttbl2,ROUNDUP($H285,0),AW$2))-(INDEX(avoidedcosttbl2,ROUNDDOWN($H285,0),AW$2)))))*$O285*1000*'Inputs Yr 2'!AC285,"")</f>
        <v/>
      </c>
      <c r="AX285" s="197" t="str">
        <f>IFERROR($CT285*((INDEX(avoidedcosttbl2,$H285,AX$2))+(($H285-ROUNDDOWN($H285,0))*((INDEX(avoidedcosttbl2,ROUNDUP($H285,0),AX$2))-(INDEX(avoidedcosttbl2,ROUNDDOWN($H285,0),AX$2)))))*$O285*1000*'Inputs Yr 2'!AD285,"")</f>
        <v/>
      </c>
      <c r="AY285" s="197" t="str">
        <f>IFERROR(((INDEX(avoidedcosttbl2,$H285,AY$2))+(($H285-ROUNDDOWN($H285,0))*((INDEX(avoidedcosttbl2,ROUNDUP($H285,0),AY$2))-(INDEX(avoidedcosttbl2,ROUNDDOWN($H285,0),AY$2)))))*$O285*1000*('Inputs Yr 2'!AC285+'Inputs Yr 2'!AD285),"")</f>
        <v/>
      </c>
      <c r="AZ285" s="197" t="str">
        <f>IFERROR(((INDEX(avoidedcosttbl2,$H285,AZ$2))+(($H285-ROUNDDOWN($H285,0))*((INDEX(avoidedcosttbl2,ROUNDUP($H285,0),AZ$2))-(INDEX(avoidedcosttbl2,ROUNDDOWN($H285,0),AZ$2)))))*$O285*1000*('Inputs Yr 2'!AA285+'Inputs Yr 2'!AB285),"")</f>
        <v/>
      </c>
      <c r="BA285" s="198">
        <f t="shared" si="154"/>
        <v>0</v>
      </c>
      <c r="BB285" s="198">
        <f t="shared" si="155"/>
        <v>0</v>
      </c>
      <c r="BC285" s="195" t="str">
        <f t="shared" si="137"/>
        <v/>
      </c>
      <c r="BD285" s="195" t="str">
        <f t="shared" si="138"/>
        <v/>
      </c>
      <c r="BE285" s="195" t="str">
        <f t="shared" si="139"/>
        <v/>
      </c>
      <c r="BF285" s="195" t="str">
        <f t="shared" si="140"/>
        <v/>
      </c>
      <c r="BG285" s="195" t="str">
        <f t="shared" si="141"/>
        <v/>
      </c>
      <c r="BH285" s="196">
        <f t="shared" si="156"/>
        <v>0</v>
      </c>
      <c r="BI285" s="196">
        <f t="shared" si="157"/>
        <v>0</v>
      </c>
      <c r="BJ285" s="195" t="str">
        <f>IFERROR($G285*(IF('Inputs Yr 2'!$AJ285=BJ$4,'Inputs Yr 2'!$AK285,IF('Inputs Yr 2'!$AL285=BJ$4,'Inputs Yr 2'!$AM285,IF('Inputs Yr 2'!$AN285=BJ$4,'Inputs Yr 2'!$AO285,0))))*(INDEX(avoidedcosttbl2,$H285,BJ$2)+(($H285-ROUNDDOWN($H285,0))*(INDEX(avoidedcosttbl2,ROUNDUP($H285,0),BJ$2)-(INDEX(avoidedcosttbl2,ROUNDDOWN($H285,0),BJ$2)))))*'Inputs Yr 2'!P285*'Inputs Yr 2'!Q285*'Inputs Yr 2'!U285,"")</f>
        <v/>
      </c>
      <c r="BK285" s="195" t="str">
        <f>IFERROR($G285*(IF('Inputs Yr 2'!$AJ285=BK$4,'Inputs Yr 2'!$AK285,IF('Inputs Yr 2'!$AL285=BK$4,'Inputs Yr 2'!$AM285,IF('Inputs Yr 2'!$AN285=BK$4,'Inputs Yr 2'!$AO285,0))))*(INDEX(avoidedcosttbl2,$H285,BK$2)+(($H285-ROUNDDOWN($H285,0))*(INDEX(avoidedcosttbl2,ROUNDUP($H285,0),BK$2)-(INDEX(avoidedcosttbl2,ROUNDDOWN($H285,0),BK$2)))))*'Inputs Yr 2'!P285*'Inputs Yr 2'!Q285*'Inputs Yr 2'!U285,"")</f>
        <v/>
      </c>
      <c r="BL285" s="195" t="str">
        <f>IFERROR($G285*(IF('Inputs Yr 2'!$AJ285=BL$4,'Inputs Yr 2'!$AK285,IF('Inputs Yr 2'!$AL285=BL$4,'Inputs Yr 2'!$AM285,IF('Inputs Yr 2'!$AN285=BL$4,'Inputs Yr 2'!$AO285,0))))*(INDEX(avoidedcosttbl2,$H285,BL$2)+(($H285-ROUNDDOWN($H285,0))*(INDEX(avoidedcosttbl2,ROUNDUP($H285,0),BL$2)-(INDEX(avoidedcosttbl2,ROUNDDOWN($H285,0),BL$2)))))*'Inputs Yr 2'!P285*'Inputs Yr 2'!Q285*'Inputs Yr 2'!U285,"")</f>
        <v/>
      </c>
      <c r="BM285" s="195" t="str">
        <f>IFERROR($G285*(IF('Inputs Yr 2'!$AJ285=BM$4,'Inputs Yr 2'!$AK285,IF('Inputs Yr 2'!$AL285=BM$4,'Inputs Yr 2'!$AM285,IF('Inputs Yr 2'!$AN285=BM$4,'Inputs Yr 2'!$AO285,0))))*(INDEX(avoidedcosttbl2,$H285,BM$2)+(($H285-ROUNDDOWN($H285,0))*(INDEX(avoidedcosttbl2,ROUNDUP($H285,0),BM$2)-(INDEX(avoidedcosttbl2,ROUNDDOWN($H285,0),BM$2)))))*'Inputs Yr 2'!P285*'Inputs Yr 2'!Q285*'Inputs Yr 2'!U285,"")</f>
        <v/>
      </c>
      <c r="BN285" s="195" t="str">
        <f>IFERROR($G285*(IF('Inputs Yr 2'!$AJ285=BN$4,'Inputs Yr 2'!$AK285,IF('Inputs Yr 2'!$AL285=BN$4,'Inputs Yr 2'!$AM285,IF('Inputs Yr 2'!$AN285=BN$4,'Inputs Yr 2'!$AO285,0))))*(INDEX(avoidedcosttbl2,$H285,BN$2)+(($H285-ROUNDDOWN($H285,0))*(INDEX(avoidedcosttbl2,ROUNDUP($H285,0),BN$2)-(INDEX(avoidedcosttbl2,ROUNDDOWN($H285,0),BN$2)))))*'Inputs Yr 2'!P285*'Inputs Yr 2'!Q285*'Inputs Yr 2'!U285,"")</f>
        <v/>
      </c>
      <c r="BO285" s="195" t="str">
        <f>IFERROR($G285*(IF('Inputs Yr 2'!$AJ285=BO$4,'Inputs Yr 2'!$AK285,IF('Inputs Yr 2'!$AL285=BO$4,'Inputs Yr 2'!$AM285,IF('Inputs Yr 2'!$AN285=BO$4,'Inputs Yr 2'!$AO285,0))))*(INDEX(avoidedcosttbl2,$H285,BO$2)+(($H285-ROUNDDOWN($H285,0))*(INDEX(avoidedcosttbl2,ROUNDUP($H285,0),BO$2)-(INDEX(avoidedcosttbl2,ROUNDDOWN($H285,0),BO$2)))))*'Inputs Yr 2'!P285*'Inputs Yr 2'!Q285*'Inputs Yr 2'!U285,"")</f>
        <v/>
      </c>
      <c r="BP285" s="195" t="str">
        <f>IFERROR($G285*(IF('Inputs Yr 2'!$AJ285=BP$4,'Inputs Yr 2'!$AK285,IF('Inputs Yr 2'!$AL285=BP$4,'Inputs Yr 2'!$AM285,IF('Inputs Yr 2'!$AN285=BP$4,'Inputs Yr 2'!$AO285,0))))*(INDEX(avoidedcosttbl2,$H285,BP$2)+(($H285-ROUNDDOWN($H285,0))*(INDEX(avoidedcosttbl2,ROUNDUP($H285,0),BP$2)-(INDEX(avoidedcosttbl2,ROUNDDOWN($H285,0),BP$2)))))*'Inputs Yr 2'!P285*'Inputs Yr 2'!Q285*'Inputs Yr 2'!U285,"")</f>
        <v/>
      </c>
      <c r="BQ285" s="230">
        <f t="shared" si="158"/>
        <v>0</v>
      </c>
      <c r="BR285" s="197">
        <f t="shared" si="142"/>
        <v>0</v>
      </c>
      <c r="BS285" s="197" t="str">
        <f>IFERROR(($G285*IF('Inputs Yr 2'!$AJ285=BM$4,'Inputs Yr 2'!$AK285,IF('Inputs Yr 2'!$AL285=BM$4,'Inputs Yr 2'!$AM285,IF('Inputs Yr 2'!$AN285=BM$4,'Inputs Yr 2'!$AO285,0))))*(INDEX(avoidedcosttbl2,$H285,BS$2)+(($H285-ROUNDDOWN($H285,0))*(INDEX(avoidedcosttbl2,ROUNDUP($H285,0),BS$2)-(INDEX(avoidedcosttbl2,ROUNDDOWN($H285,0),BS$2)))))*'Inputs Yr 2'!P285*'Inputs Yr 2'!Q285*'Inputs Yr 2'!U285,"")</f>
        <v/>
      </c>
      <c r="BT285" s="197" t="str">
        <f>IFERROR(($G285*IF('Inputs Yr 2'!$AJ285=BK$4,'Inputs Yr 2'!$AK285,IF('Inputs Yr 2'!$AL285=BK$4,'Inputs Yr 2'!$AM285,IF('Inputs Yr 2'!$AN285=BK$4,'Inputs Yr 2'!$AO285,0))))*(INDEX(avoidedcosttbl2,$H285,BT$2)+(($H285-ROUNDDOWN($H285,0))*(INDEX(avoidedcosttbl2,ROUNDUP($H285,0),BT$2)-(INDEX(avoidedcosttbl2,ROUNDDOWN($H285,0),BT$2)))))*'Inputs Yr 2'!P285*'Inputs Yr 2'!Q285*'Inputs Yr 2'!U285,"")</f>
        <v/>
      </c>
      <c r="BU285" s="197" t="str">
        <f>IFERROR(($G285*IF('Inputs Yr 2'!$AJ285=BL$4,'Inputs Yr 2'!$AK285,IF('Inputs Yr 2'!$AL285=BL$4,'Inputs Yr 2'!$AM285,IF('Inputs Yr 2'!$AN285=BL$4,'Inputs Yr 2'!$AO285,0))))*(INDEX(avoidedcosttbl2,$H285,BU$2)+(($H285-ROUNDDOWN($H285,0))*(INDEX(avoidedcosttbl2,ROUNDUP($H285,0),BU$2)-(INDEX(avoidedcosttbl2,ROUNDDOWN($H285,0),BU$2)))))*'Inputs Yr 2'!P285*'Inputs Yr 2'!Q285*'Inputs Yr 2'!U285,"")</f>
        <v/>
      </c>
      <c r="BV285" s="775" t="str">
        <f>IFERROR(($G285*IF('Inputs Yr 2'!$AJ285=BJ$4,'Inputs Yr 2'!$AK285,IF('Inputs Yr 2'!$AL285=BJ$4,'Inputs Yr 2'!$AM285,IF('Inputs Yr 2'!$AN285=BJ$4,'Inputs Yr 2'!$AO285,0))))*(INDEX(avoidedcosttbl2,$H285,BV$2)+(($H285-ROUNDDOWN($H285,0))*(INDEX(avoidedcosttbl2,ROUNDUP($H285,0),BV$2)-(INDEX(avoidedcosttbl2,ROUNDDOWN($H285,0),BV$2)))))*'Inputs Yr 2'!P285*'Inputs Yr 2'!Q285*'Inputs Yr 2'!U285,"")</f>
        <v/>
      </c>
      <c r="BW285" s="197" t="str">
        <f>IFERROR(($G285*IF('Inputs Yr 2'!$AJ285=BN$4,'Inputs Yr 2'!$AK285,IF('Inputs Yr 2'!$AL285=BN$4,'Inputs Yr 2'!$AM285,IF('Inputs Yr 2'!$AN285=BN$4,'Inputs Yr 2'!$AO285,0))))*(INDEX(avoidedcosttbl2,$H285,BW$2)+(($H285-ROUNDDOWN($H285,0))*(INDEX(avoidedcosttbl2,ROUNDUP($H285,0),BW$2)-(INDEX(avoidedcosttbl2,ROUNDDOWN($H285,0),BW$2)))))*'Inputs Yr 2'!P285*'Inputs Yr 2'!Q285*'Inputs Yr 2'!U285,"")</f>
        <v/>
      </c>
      <c r="BX285" s="197" t="str">
        <f>IFERROR(($G285*IF('Inputs Yr 2'!$AJ285=BO$4,'Inputs Yr 2'!$AK285,IF('Inputs Yr 2'!$AL285=BO$4,'Inputs Yr 2'!$AM285,IF('Inputs Yr 2'!$AN285=BO$4,'Inputs Yr 2'!$AO285,0))))*(INDEX(avoidedcosttbl2,$H285,BX$2)+(($H285-ROUNDDOWN($H285,0))*(INDEX(avoidedcosttbl2,ROUNDUP($H285,0),BX$2)-(INDEX(avoidedcosttbl2,ROUNDDOWN($H285,0),BX$2)))))*'Inputs Yr 2'!P285*'Inputs Yr 2'!Q285*'Inputs Yr 2'!U285,"")</f>
        <v/>
      </c>
      <c r="BY285" s="197" t="str">
        <f>IFERROR(($G285*IF('Inputs Yr 2'!$AJ285=BP$4,'Inputs Yr 2'!$AK285,IF('Inputs Yr 2'!$AL285=BP$4,'Inputs Yr 2'!$AM285,IF('Inputs Yr 2'!$AN285=BP$4,'Inputs Yr 2'!$AO285,0))))*(INDEX(avoidedcosttbl2,$H285,BY$2)+(($H285-ROUNDDOWN($H285,0))*(INDEX(avoidedcosttbl2,ROUNDUP($H285,0),BY$2)-(INDEX(avoidedcosttbl2,ROUNDDOWN($H285,0),BY$2)))))*'Inputs Yr 2'!P285*'Inputs Yr 2'!Q285*'Inputs Yr 2'!U285,"")</f>
        <v/>
      </c>
      <c r="BZ285" s="193">
        <f t="shared" si="159"/>
        <v>0</v>
      </c>
      <c r="CA285" s="193">
        <f t="shared" si="160"/>
        <v>0</v>
      </c>
      <c r="CB285" s="195" t="str">
        <f>IFERROR(G285*(IF('Inputs Yr 2'!$AJ285=CB$4,'Inputs Yr 2'!$AK285,IF('Inputs Yr 2'!$AL285=CB$4,'Inputs Yr 2'!$AM285,IF('Inputs Yr 2'!$AN285=CB$4,'Inputs Yr 2'!$AO285,0))))*(INDEX(avoidedcosttbl2,$H285,CB$2)+(($H285-ROUNDDOWN($H285,0))*(INDEX(avoidedcosttbl2,ROUNDUP($H285,0),CB$2)-(INDEX(avoidedcosttbl2,ROUNDDOWN($H285,0),CB$2)))))*'Inputs Yr 2'!P285*'Inputs Yr 2'!Q285*'Inputs Yr 2'!U285,"")</f>
        <v/>
      </c>
      <c r="CC285" s="195">
        <f>IFERROR(H285*(IF('Inputs Yr 2'!$AJ285=CC$4,'Inputs Yr 2'!$AK285,IF('Inputs Yr 2'!$AL285=CC$4,'Inputs Yr 2'!$AM285,IF('Inputs Yr 2'!$AN285=CC$4,'Inputs Yr 2'!$AO285,0))))*(INDEX(avoidedcosttbl2,$H285,CC$2)+(($H285-ROUNDDOWN($H285,0))*(INDEX(avoidedcosttbl2,ROUNDUP($H285,0),CC$2)-(INDEX(avoidedcosttbl2,ROUNDDOWN($H285,0),CC$2)))))*'Inputs Yr 2'!Q285*'Inputs Yr 2'!R285*'Inputs Yr 2'!V285,"")</f>
        <v>0</v>
      </c>
      <c r="CD285" s="195" t="str">
        <f>IFERROR(I285*(IF('Inputs Yr 2'!$AJ285=CD$4,'Inputs Yr 2'!$AK285,IF('Inputs Yr 2'!$AL285=CD$4,'Inputs Yr 2'!$AM285,IF('Inputs Yr 2'!$AN285=CD$4,'Inputs Yr 2'!$AO285,0))))*(INDEX(avoidedcosttbl2,$H285,CD$2)+(($H285-ROUNDDOWN($H285,0))*(INDEX(avoidedcosttbl2,ROUNDUP($H285,0),CD$2)-(INDEX(avoidedcosttbl2,ROUNDDOWN($H285,0),CD$2)))))*'Inputs Yr 2'!R285*'Inputs Yr 2'!S285*'Inputs Yr 2'!W285,"")</f>
        <v/>
      </c>
      <c r="CE285" s="213">
        <f t="shared" si="161"/>
        <v>0</v>
      </c>
      <c r="CF285" s="213">
        <f t="shared" si="162"/>
        <v>0</v>
      </c>
      <c r="CG285" s="213">
        <f t="shared" si="163"/>
        <v>0</v>
      </c>
      <c r="CH285" s="698">
        <f t="shared" si="164"/>
        <v>0</v>
      </c>
      <c r="CI285" s="79" t="str">
        <f>IFERROR(($G285*'Inputs Yr 2'!$P285*'Inputs Yr 2'!$Q285*(((INDEX(avoidedcosttbl2,$H285,CI$2)+(($H285-ROUNDDOWN($H285,0))*(INDEX(avoidedcosttbl2,ROUNDUP($H285,0),CI$2)-INDEX(avoidedcosttbl2,ROUNDDOWN($H285,0),CI$2))))*'Inputs Yr 2'!AS285))),"")</f>
        <v/>
      </c>
      <c r="CJ285" s="504" t="str">
        <f>IFERROR($G285*'Inputs Yr 2'!AT285*'Inputs Yr 2'!$P285*'Inputs Yr 2'!$Q285/((1+realdiscrt1)^-0.5),"")</f>
        <v/>
      </c>
      <c r="CK285" s="79" t="str">
        <f>IFERROR((O285*1000*(((INDEX(avoidedcosttbl2,$H285,CK$2)+(($H285-ROUNDDOWN($H285,0))*(INDEX(avoidedcosttbl2,ROUNDUP($H285,0),CK$2)-INDEX(avoidedcosttbl2,ROUNDDOWN($H285,0),CK$2))))*'Inputs Yr 2'!AU285))),"")</f>
        <v/>
      </c>
      <c r="CL285" s="504" t="str">
        <f>IFERROR(O285*1000*'Inputs Yr 2'!AV285/((1+realdiscrt1)^-0.5),"")</f>
        <v/>
      </c>
      <c r="CM285" s="79">
        <f>IFERROR((AB285*'Inputs Yr 2'!AW285*(((INDEX(avoidedcosttbl2,$H285,CM$2)+(($H285-ROUNDDOWN($H285,0))*(INDEX(avoidedcosttbl2,ROUNDUP($H285,0),CM$2)-INDEX(avoidedcosttbl2,ROUNDDOWN($H285,0),CM$2)))))))*10,"")</f>
        <v>0</v>
      </c>
      <c r="CN285" s="504">
        <f>IFERROR(10*AB285*'Inputs Yr 2'!AX285/((1+realdiscrt1)^-0.5),"")</f>
        <v>0</v>
      </c>
      <c r="CO285" s="505">
        <f t="shared" si="165"/>
        <v>0</v>
      </c>
      <c r="CP285" s="230">
        <f t="shared" si="166"/>
        <v>0</v>
      </c>
      <c r="CQ285" s="199">
        <f>ROUND(IFERROR(IF(LEFT($A285,1)="C",'Avoided Costs'!$K$13,'Avoided Costs'!$K$12)+1,""),4)</f>
        <v>1.0720000000000001</v>
      </c>
      <c r="CR285" s="199">
        <f>ROUND(IFERROR(IF(LEFT($A285,1)="C",'Avoided Costs'!$L$13,'Avoided Costs'!$L$12)+1,""),4)</f>
        <v>1.04</v>
      </c>
      <c r="CS285" s="199">
        <f>ROUND(IFERROR(IF(LEFT($A285,1)="C",'Avoided Costs'!$M$13,'Avoided Costs'!$M$12)+1,""),4)</f>
        <v>1.0720000000000001</v>
      </c>
      <c r="CT285" s="199">
        <f>ROUND(IFERROR(IF(LEFT($A285,1)="C",'Avoided Costs'!$N$13,'Avoided Costs'!$N$12)+1,""),4)</f>
        <v>1.04</v>
      </c>
      <c r="CU285" s="199">
        <f>ROUND(IFERROR(IF(LEFT($A285,1)="C",'Avoided Costs'!$O$13,'Avoided Costs'!$O$12)+1,""),4)</f>
        <v>1.1120000000000001</v>
      </c>
      <c r="CV285" s="199">
        <f>ROUND(IFERROR(IF(LEFT($A285,1)="C",'Avoided Costs'!$P$13,'Avoided Costs'!$P$12)+1,""),4)</f>
        <v>1.095</v>
      </c>
      <c r="CW285" s="199">
        <f>ROUND(IFERROR(IF(LEFT($A285,1)="C",'Avoided Costs'!$Q$13,'Avoided Costs'!$Q$12)+1,""),4)</f>
        <v>1.1120000000000001</v>
      </c>
      <c r="CX285" s="200">
        <f>ROUND(IFERROR(IF(LEFT($A285,1)="C",'Avoided Costs'!$R$13,'Avoided Costs'!$R$12)+1,""),4)</f>
        <v>1.1120000000000001</v>
      </c>
    </row>
    <row r="286" spans="1:102" ht="12.75" customHeight="1">
      <c r="A286" s="91" t="str">
        <f>IF('Inputs Yr 2'!$B286=0,"",'Inputs Yr 2'!A286)</f>
        <v>C - Commercial &amp; Industrial</v>
      </c>
      <c r="B286" s="91" t="str">
        <f>IF('Inputs Yr 2'!$B286=0,"",'Inputs Yr 2'!B286)</f>
        <v>C2 - C&amp;I Retrofit</v>
      </c>
      <c r="C286" s="91" t="str">
        <f>IF('Inputs Yr 2'!$B286=0,"",'Inputs Yr 2'!C286)</f>
        <v>C2a - C&amp;I Existing Building Retrofit</v>
      </c>
      <c r="D286" s="91" t="str">
        <f>IF('Inputs Yr 2'!$B286=0,"",'Inputs Yr 2'!E286)</f>
        <v>Hot Water Pipe Insulation, 2"</v>
      </c>
      <c r="E286" s="93" t="str">
        <f>IF('Inputs Yr 2'!$B286=0,"",'Inputs Yr 2'!F286)</f>
        <v>G16C2a27</v>
      </c>
      <c r="F286" s="93" t="str">
        <f>IF('Inputs Yr 2'!$B286=0,"",'Inputs Yr 2'!G286)</f>
        <v>Hot Water</v>
      </c>
      <c r="G286" s="95" t="str">
        <f>IF('Inputs Yr 2'!$H286&lt;&gt;0,('Inputs Yr 2'!H286),"")</f>
        <v/>
      </c>
      <c r="H286" s="94">
        <f>IFERROR('Inputs Yr 2'!I286,"")</f>
        <v>15</v>
      </c>
      <c r="I286" s="298" t="str">
        <f>IFERROR('Inputs Yr 2'!J286*'Inputs Yr 2'!P286*G286,"")</f>
        <v/>
      </c>
      <c r="J286" s="298" t="str">
        <f>IFERROR('Inputs Yr 2'!K286*G286,"")</f>
        <v/>
      </c>
      <c r="K286" s="298" t="str">
        <f t="shared" si="143"/>
        <v/>
      </c>
      <c r="L286" s="194" t="str">
        <f>IFERROR(('Inputs Yr 2'!W286*G286)/1000,"")</f>
        <v/>
      </c>
      <c r="M286" s="194" t="str">
        <f>IFERROR(L286*('Inputs Yr 2'!$Q286*'Inputs Yr 2'!$V286*'Inputs Yr 2'!$R286),"")</f>
        <v/>
      </c>
      <c r="N286" s="194" t="str">
        <f t="shared" si="144"/>
        <v/>
      </c>
      <c r="O286" s="194" t="str">
        <f>IFERROR(M286*'Inputs Yr 2'!P286,"")</f>
        <v/>
      </c>
      <c r="P286" s="194" t="str">
        <f t="shared" si="145"/>
        <v/>
      </c>
      <c r="Q286" s="194" t="str">
        <f>IFERROR($P286*'Inputs Yr 2'!AA286,"")</f>
        <v/>
      </c>
      <c r="R286" s="194" t="str">
        <f>IFERROR($P286*'Inputs Yr 2'!AB286,"")</f>
        <v/>
      </c>
      <c r="S286" s="194" t="str">
        <f>IFERROR($P286*'Inputs Yr 2'!AC286,"")</f>
        <v/>
      </c>
      <c r="T286" s="194" t="str">
        <f>IFERROR($P286*'Inputs Yr 2'!AD286,"")</f>
        <v/>
      </c>
      <c r="U286" s="194" t="str">
        <f>IFERROR(G286*'Inputs Yr 2'!$AE286*'Inputs Yr 2'!$P286*'Inputs Yr 2'!$Q286,"")</f>
        <v/>
      </c>
      <c r="V286" s="194" t="str">
        <f>IFERROR($G286*'Inputs Yr 2'!$AE286*'Inputs Yr 2'!$AG286*'Inputs Yr 2'!Q286*'Inputs Yr 2'!$S286,"")</f>
        <v/>
      </c>
      <c r="W286" s="194" t="str">
        <f>IFERROR($G286*'Inputs Yr 2'!$AE286*'Inputs Yr 2'!$AG286*'Inputs Yr 2'!P286*'Inputs Yr 2'!Q286*'Inputs Yr 2'!$S286,"")</f>
        <v/>
      </c>
      <c r="X286" s="194" t="str">
        <f>IFERROR($G286*'Inputs Yr 2'!$AE286*'Inputs Yr 2'!$AF286*'Inputs Yr 2'!Q286*'Inputs Yr 2'!$T286,"")</f>
        <v/>
      </c>
      <c r="Y286" s="194" t="str">
        <f>IFERROR($G286*'Inputs Yr 2'!$AE286*'Inputs Yr 2'!$AF286*'Inputs Yr 2'!P286*'Inputs Yr 2'!Q286*'Inputs Yr 2'!$T286,"")</f>
        <v/>
      </c>
      <c r="Z286" s="257">
        <f>IFERROR($G286*'Inputs Yr 2'!$Q286*'Inputs Yr 2'!$U286*(IF(IFERROR(SEARCH("NG", 'Inputs Yr 2'!$AJ286),0),'Inputs Yr 2'!$AK286,0)+IF(IFERROR(SEARCH("NG", 'Inputs Yr 2'!$AL286),0),'Inputs Yr 2'!$AM286,0)+IF(IFERROR(SEARCH("NG", 'Inputs Yr 2'!$AN286),0),'Inputs Yr 2'!$AO286,0)),0)</f>
        <v>0</v>
      </c>
      <c r="AA286" s="257">
        <f t="shared" si="146"/>
        <v>0</v>
      </c>
      <c r="AB286" s="257">
        <f>IFERROR(Z286*'Inputs Yr 2'!$P286,0)</f>
        <v>0</v>
      </c>
      <c r="AC286" s="257">
        <f t="shared" si="147"/>
        <v>0</v>
      </c>
      <c r="AD286" s="257">
        <f>IFERROR($G286*'Inputs Yr 2'!$Q286*'Inputs Yr 2'!$U286*(IF(IFERROR(SEARCH("Oil", 'Inputs Yr 2'!$AJ286), 0),'Inputs Yr 2'!$AK286,0)+IF(IFERROR(SEARCH("Oil", 'Inputs Yr 2'!$AL286), 0),'Inputs Yr 2'!$AM286,0)+IF(IFERROR(SEARCH("Oil", 'Inputs Yr 2'!$AN286), 0),'Inputs Yr 2'!$AO286,0)),0)</f>
        <v>0</v>
      </c>
      <c r="AE286" s="257">
        <f t="shared" si="148"/>
        <v>0</v>
      </c>
      <c r="AF286" s="257">
        <f>IFERROR(AD286*'Inputs Yr 2'!$P286,0)</f>
        <v>0</v>
      </c>
      <c r="AG286" s="257">
        <f t="shared" si="149"/>
        <v>0</v>
      </c>
      <c r="AH286" s="257">
        <f>IFERROR($G286*'Inputs Yr 2'!$Q286*'Inputs Yr 2'!$U286*(IF('Inputs Yr 2'!$AJ286=CD$4,'Inputs Yr 2'!$AK286,IF('Inputs Yr 2'!$AL286=CD$4,'Inputs Yr 2'!$AM286,IF('Inputs Yr 2'!$AN286=CD$4,'Inputs Yr 2'!$AO286,0)))),0)</f>
        <v>0</v>
      </c>
      <c r="AI286" s="257">
        <f t="shared" si="150"/>
        <v>0</v>
      </c>
      <c r="AJ286" s="257">
        <f>IFERROR(AH286*'Inputs Yr 2'!$P286,0)</f>
        <v>0</v>
      </c>
      <c r="AK286" s="257">
        <f t="shared" si="151"/>
        <v>0</v>
      </c>
      <c r="AL286" s="258">
        <f>IFERROR($G286*'Inputs Yr 2'!$P286*'Inputs Yr 2'!$Q286*'Inputs Yr 2'!AP286,0)</f>
        <v>0</v>
      </c>
      <c r="AM286" s="260">
        <f>IFERROR($G286*'Inputs Yr 2'!$P286*'Inputs Yr 2'!$Q286*'Inputs Yr 2'!AQ286,0)</f>
        <v>0</v>
      </c>
      <c r="AN286" s="258">
        <f>IFERROR($G286*'Inputs Yr 2'!$P286*'Inputs Yr 2'!$Q286*'Inputs Yr 2'!AR286,0)</f>
        <v>0</v>
      </c>
      <c r="AO286" s="257">
        <f t="shared" si="152"/>
        <v>0</v>
      </c>
      <c r="AP286" s="195" t="str">
        <f>IFERROR($CQ286*(INDEX(avoidedcosttbl2,$H286,AP$2)+(($H286-ROUNDDOWN($H286,0))*(INDEX(avoidedcosttbl2,ROUNDUP($H286,0),AP$2)-(INDEX(avoidedcosttbl2,ROUNDDOWN($H286,0),AP$2)))))*$O286*1000*'Inputs Yr 2'!AA286,"")</f>
        <v/>
      </c>
      <c r="AQ286" s="195" t="str">
        <f>IFERROR($CR286*(INDEX(avoidedcosttbl2,$H286,AQ$2)+(($H286-ROUNDDOWN($H286,0))*(INDEX(avoidedcosttbl2,ROUNDUP($H286,0),AQ$2)-(INDEX(avoidedcosttbl2,ROUNDDOWN($H286,0),AQ$2)))))*$O286*1000*'Inputs Yr 2'!AB286,"")</f>
        <v/>
      </c>
      <c r="AR286" s="195" t="str">
        <f>IFERROR($CS286*(INDEX(avoidedcosttbl2,$H286,AR$2)+(($H286-ROUNDDOWN($H286,0))*(INDEX(avoidedcosttbl2,ROUNDUP($H286,0),AR$2)-(INDEX(avoidedcosttbl2,ROUNDDOWN($H286,0),AR$2)))))*$O286*1000*'Inputs Yr 2'!AC286,"")</f>
        <v/>
      </c>
      <c r="AS286" s="195" t="str">
        <f>IFERROR($CT286*(INDEX(avoidedcosttbl2,$H286,AS$2)+(($H286-ROUNDDOWN($H286,0))*(INDEX(avoidedcosttbl2,ROUNDUP($H286,0),AS$2)-(INDEX(avoidedcosttbl2,ROUNDDOWN($H286,0),AS$2)))))*$O286*1000*'Inputs Yr 2'!AD286,"")</f>
        <v/>
      </c>
      <c r="AT286" s="196">
        <f t="shared" si="153"/>
        <v>0</v>
      </c>
      <c r="AU286" s="197" t="str">
        <f>IFERROR($CQ286*((INDEX(avoidedcosttbl2,$H286,AU$2))+(($H286-ROUNDDOWN($H286,0))*((INDEX(avoidedcosttbl2,ROUNDUP($H286,0),AU$2))-(INDEX(avoidedcosttbl2,ROUNDDOWN($H286,0),AU$2)))))*$O286*1000*'Inputs Yr 2'!AA286,"")</f>
        <v/>
      </c>
      <c r="AV286" s="197" t="str">
        <f>IFERROR($CR286*((INDEX(avoidedcosttbl2,$H286,AV$2))+(($H286-ROUNDDOWN($H286,0))*((INDEX(avoidedcosttbl2,ROUNDUP($H286,0),AV$2))-(INDEX(avoidedcosttbl2,ROUNDDOWN($H286,0),AV$2)))))*$O286*1000*'Inputs Yr 2'!AB286,"")</f>
        <v/>
      </c>
      <c r="AW286" s="197" t="str">
        <f>IFERROR($CS286*((INDEX(avoidedcosttbl2,$H286,AW$2))+(($H286-ROUNDDOWN($H286,0))*((INDEX(avoidedcosttbl2,ROUNDUP($H286,0),AW$2))-(INDEX(avoidedcosttbl2,ROUNDDOWN($H286,0),AW$2)))))*$O286*1000*'Inputs Yr 2'!AC286,"")</f>
        <v/>
      </c>
      <c r="AX286" s="197" t="str">
        <f>IFERROR($CT286*((INDEX(avoidedcosttbl2,$H286,AX$2))+(($H286-ROUNDDOWN($H286,0))*((INDEX(avoidedcosttbl2,ROUNDUP($H286,0),AX$2))-(INDEX(avoidedcosttbl2,ROUNDDOWN($H286,0),AX$2)))))*$O286*1000*'Inputs Yr 2'!AD286,"")</f>
        <v/>
      </c>
      <c r="AY286" s="197" t="str">
        <f>IFERROR(((INDEX(avoidedcosttbl2,$H286,AY$2))+(($H286-ROUNDDOWN($H286,0))*((INDEX(avoidedcosttbl2,ROUNDUP($H286,0),AY$2))-(INDEX(avoidedcosttbl2,ROUNDDOWN($H286,0),AY$2)))))*$O286*1000*('Inputs Yr 2'!AC286+'Inputs Yr 2'!AD286),"")</f>
        <v/>
      </c>
      <c r="AZ286" s="197" t="str">
        <f>IFERROR(((INDEX(avoidedcosttbl2,$H286,AZ$2))+(($H286-ROUNDDOWN($H286,0))*((INDEX(avoidedcosttbl2,ROUNDUP($H286,0),AZ$2))-(INDEX(avoidedcosttbl2,ROUNDDOWN($H286,0),AZ$2)))))*$O286*1000*('Inputs Yr 2'!AA286+'Inputs Yr 2'!AB286),"")</f>
        <v/>
      </c>
      <c r="BA286" s="198">
        <f t="shared" si="154"/>
        <v>0</v>
      </c>
      <c r="BB286" s="198">
        <f t="shared" si="155"/>
        <v>0</v>
      </c>
      <c r="BC286" s="195" t="str">
        <f t="shared" si="137"/>
        <v/>
      </c>
      <c r="BD286" s="195" t="str">
        <f t="shared" si="138"/>
        <v/>
      </c>
      <c r="BE286" s="195" t="str">
        <f t="shared" si="139"/>
        <v/>
      </c>
      <c r="BF286" s="195" t="str">
        <f t="shared" si="140"/>
        <v/>
      </c>
      <c r="BG286" s="195" t="str">
        <f t="shared" si="141"/>
        <v/>
      </c>
      <c r="BH286" s="196">
        <f t="shared" si="156"/>
        <v>0</v>
      </c>
      <c r="BI286" s="196">
        <f t="shared" si="157"/>
        <v>0</v>
      </c>
      <c r="BJ286" s="195" t="str">
        <f>IFERROR($G286*(IF('Inputs Yr 2'!$AJ286=BJ$4,'Inputs Yr 2'!$AK286,IF('Inputs Yr 2'!$AL286=BJ$4,'Inputs Yr 2'!$AM286,IF('Inputs Yr 2'!$AN286=BJ$4,'Inputs Yr 2'!$AO286,0))))*(INDEX(avoidedcosttbl2,$H286,BJ$2)+(($H286-ROUNDDOWN($H286,0))*(INDEX(avoidedcosttbl2,ROUNDUP($H286,0),BJ$2)-(INDEX(avoidedcosttbl2,ROUNDDOWN($H286,0),BJ$2)))))*'Inputs Yr 2'!P286*'Inputs Yr 2'!Q286*'Inputs Yr 2'!U286,"")</f>
        <v/>
      </c>
      <c r="BK286" s="195" t="str">
        <f>IFERROR($G286*(IF('Inputs Yr 2'!$AJ286=BK$4,'Inputs Yr 2'!$AK286,IF('Inputs Yr 2'!$AL286=BK$4,'Inputs Yr 2'!$AM286,IF('Inputs Yr 2'!$AN286=BK$4,'Inputs Yr 2'!$AO286,0))))*(INDEX(avoidedcosttbl2,$H286,BK$2)+(($H286-ROUNDDOWN($H286,0))*(INDEX(avoidedcosttbl2,ROUNDUP($H286,0),BK$2)-(INDEX(avoidedcosttbl2,ROUNDDOWN($H286,0),BK$2)))))*'Inputs Yr 2'!P286*'Inputs Yr 2'!Q286*'Inputs Yr 2'!U286,"")</f>
        <v/>
      </c>
      <c r="BL286" s="195" t="str">
        <f>IFERROR($G286*(IF('Inputs Yr 2'!$AJ286=BL$4,'Inputs Yr 2'!$AK286,IF('Inputs Yr 2'!$AL286=BL$4,'Inputs Yr 2'!$AM286,IF('Inputs Yr 2'!$AN286=BL$4,'Inputs Yr 2'!$AO286,0))))*(INDEX(avoidedcosttbl2,$H286,BL$2)+(($H286-ROUNDDOWN($H286,0))*(INDEX(avoidedcosttbl2,ROUNDUP($H286,0),BL$2)-(INDEX(avoidedcosttbl2,ROUNDDOWN($H286,0),BL$2)))))*'Inputs Yr 2'!P286*'Inputs Yr 2'!Q286*'Inputs Yr 2'!U286,"")</f>
        <v/>
      </c>
      <c r="BM286" s="195" t="str">
        <f>IFERROR($G286*(IF('Inputs Yr 2'!$AJ286=BM$4,'Inputs Yr 2'!$AK286,IF('Inputs Yr 2'!$AL286=BM$4,'Inputs Yr 2'!$AM286,IF('Inputs Yr 2'!$AN286=BM$4,'Inputs Yr 2'!$AO286,0))))*(INDEX(avoidedcosttbl2,$H286,BM$2)+(($H286-ROUNDDOWN($H286,0))*(INDEX(avoidedcosttbl2,ROUNDUP($H286,0),BM$2)-(INDEX(avoidedcosttbl2,ROUNDDOWN($H286,0),BM$2)))))*'Inputs Yr 2'!P286*'Inputs Yr 2'!Q286*'Inputs Yr 2'!U286,"")</f>
        <v/>
      </c>
      <c r="BN286" s="195" t="str">
        <f>IFERROR($G286*(IF('Inputs Yr 2'!$AJ286=BN$4,'Inputs Yr 2'!$AK286,IF('Inputs Yr 2'!$AL286=BN$4,'Inputs Yr 2'!$AM286,IF('Inputs Yr 2'!$AN286=BN$4,'Inputs Yr 2'!$AO286,0))))*(INDEX(avoidedcosttbl2,$H286,BN$2)+(($H286-ROUNDDOWN($H286,0))*(INDEX(avoidedcosttbl2,ROUNDUP($H286,0),BN$2)-(INDEX(avoidedcosttbl2,ROUNDDOWN($H286,0),BN$2)))))*'Inputs Yr 2'!P286*'Inputs Yr 2'!Q286*'Inputs Yr 2'!U286,"")</f>
        <v/>
      </c>
      <c r="BO286" s="195" t="str">
        <f>IFERROR($G286*(IF('Inputs Yr 2'!$AJ286=BO$4,'Inputs Yr 2'!$AK286,IF('Inputs Yr 2'!$AL286=BO$4,'Inputs Yr 2'!$AM286,IF('Inputs Yr 2'!$AN286=BO$4,'Inputs Yr 2'!$AO286,0))))*(INDEX(avoidedcosttbl2,$H286,BO$2)+(($H286-ROUNDDOWN($H286,0))*(INDEX(avoidedcosttbl2,ROUNDUP($H286,0),BO$2)-(INDEX(avoidedcosttbl2,ROUNDDOWN($H286,0),BO$2)))))*'Inputs Yr 2'!P286*'Inputs Yr 2'!Q286*'Inputs Yr 2'!U286,"")</f>
        <v/>
      </c>
      <c r="BP286" s="195" t="str">
        <f>IFERROR($G286*(IF('Inputs Yr 2'!$AJ286=BP$4,'Inputs Yr 2'!$AK286,IF('Inputs Yr 2'!$AL286=BP$4,'Inputs Yr 2'!$AM286,IF('Inputs Yr 2'!$AN286=BP$4,'Inputs Yr 2'!$AO286,0))))*(INDEX(avoidedcosttbl2,$H286,BP$2)+(($H286-ROUNDDOWN($H286,0))*(INDEX(avoidedcosttbl2,ROUNDUP($H286,0),BP$2)-(INDEX(avoidedcosttbl2,ROUNDDOWN($H286,0),BP$2)))))*'Inputs Yr 2'!P286*'Inputs Yr 2'!Q286*'Inputs Yr 2'!U286,"")</f>
        <v/>
      </c>
      <c r="BQ286" s="230">
        <f t="shared" si="158"/>
        <v>0</v>
      </c>
      <c r="BR286" s="197">
        <f t="shared" si="142"/>
        <v>0</v>
      </c>
      <c r="BS286" s="197" t="str">
        <f>IFERROR(($G286*IF('Inputs Yr 2'!$AJ286=BM$4,'Inputs Yr 2'!$AK286,IF('Inputs Yr 2'!$AL286=BM$4,'Inputs Yr 2'!$AM286,IF('Inputs Yr 2'!$AN286=BM$4,'Inputs Yr 2'!$AO286,0))))*(INDEX(avoidedcosttbl2,$H286,BS$2)+(($H286-ROUNDDOWN($H286,0))*(INDEX(avoidedcosttbl2,ROUNDUP($H286,0),BS$2)-(INDEX(avoidedcosttbl2,ROUNDDOWN($H286,0),BS$2)))))*'Inputs Yr 2'!P286*'Inputs Yr 2'!Q286*'Inputs Yr 2'!U286,"")</f>
        <v/>
      </c>
      <c r="BT286" s="197" t="str">
        <f>IFERROR(($G286*IF('Inputs Yr 2'!$AJ286=BK$4,'Inputs Yr 2'!$AK286,IF('Inputs Yr 2'!$AL286=BK$4,'Inputs Yr 2'!$AM286,IF('Inputs Yr 2'!$AN286=BK$4,'Inputs Yr 2'!$AO286,0))))*(INDEX(avoidedcosttbl2,$H286,BT$2)+(($H286-ROUNDDOWN($H286,0))*(INDEX(avoidedcosttbl2,ROUNDUP($H286,0),BT$2)-(INDEX(avoidedcosttbl2,ROUNDDOWN($H286,0),BT$2)))))*'Inputs Yr 2'!P286*'Inputs Yr 2'!Q286*'Inputs Yr 2'!U286,"")</f>
        <v/>
      </c>
      <c r="BU286" s="197" t="str">
        <f>IFERROR(($G286*IF('Inputs Yr 2'!$AJ286=BL$4,'Inputs Yr 2'!$AK286,IF('Inputs Yr 2'!$AL286=BL$4,'Inputs Yr 2'!$AM286,IF('Inputs Yr 2'!$AN286=BL$4,'Inputs Yr 2'!$AO286,0))))*(INDEX(avoidedcosttbl2,$H286,BU$2)+(($H286-ROUNDDOWN($H286,0))*(INDEX(avoidedcosttbl2,ROUNDUP($H286,0),BU$2)-(INDEX(avoidedcosttbl2,ROUNDDOWN($H286,0),BU$2)))))*'Inputs Yr 2'!P286*'Inputs Yr 2'!Q286*'Inputs Yr 2'!U286,"")</f>
        <v/>
      </c>
      <c r="BV286" s="775" t="str">
        <f>IFERROR(($G286*IF('Inputs Yr 2'!$AJ286=BJ$4,'Inputs Yr 2'!$AK286,IF('Inputs Yr 2'!$AL286=BJ$4,'Inputs Yr 2'!$AM286,IF('Inputs Yr 2'!$AN286=BJ$4,'Inputs Yr 2'!$AO286,0))))*(INDEX(avoidedcosttbl2,$H286,BV$2)+(($H286-ROUNDDOWN($H286,0))*(INDEX(avoidedcosttbl2,ROUNDUP($H286,0),BV$2)-(INDEX(avoidedcosttbl2,ROUNDDOWN($H286,0),BV$2)))))*'Inputs Yr 2'!P286*'Inputs Yr 2'!Q286*'Inputs Yr 2'!U286,"")</f>
        <v/>
      </c>
      <c r="BW286" s="197" t="str">
        <f>IFERROR(($G286*IF('Inputs Yr 2'!$AJ286=BN$4,'Inputs Yr 2'!$AK286,IF('Inputs Yr 2'!$AL286=BN$4,'Inputs Yr 2'!$AM286,IF('Inputs Yr 2'!$AN286=BN$4,'Inputs Yr 2'!$AO286,0))))*(INDEX(avoidedcosttbl2,$H286,BW$2)+(($H286-ROUNDDOWN($H286,0))*(INDEX(avoidedcosttbl2,ROUNDUP($H286,0),BW$2)-(INDEX(avoidedcosttbl2,ROUNDDOWN($H286,0),BW$2)))))*'Inputs Yr 2'!P286*'Inputs Yr 2'!Q286*'Inputs Yr 2'!U286,"")</f>
        <v/>
      </c>
      <c r="BX286" s="197" t="str">
        <f>IFERROR(($G286*IF('Inputs Yr 2'!$AJ286=BO$4,'Inputs Yr 2'!$AK286,IF('Inputs Yr 2'!$AL286=BO$4,'Inputs Yr 2'!$AM286,IF('Inputs Yr 2'!$AN286=BO$4,'Inputs Yr 2'!$AO286,0))))*(INDEX(avoidedcosttbl2,$H286,BX$2)+(($H286-ROUNDDOWN($H286,0))*(INDEX(avoidedcosttbl2,ROUNDUP($H286,0),BX$2)-(INDEX(avoidedcosttbl2,ROUNDDOWN($H286,0),BX$2)))))*'Inputs Yr 2'!P286*'Inputs Yr 2'!Q286*'Inputs Yr 2'!U286,"")</f>
        <v/>
      </c>
      <c r="BY286" s="197" t="str">
        <f>IFERROR(($G286*IF('Inputs Yr 2'!$AJ286=BP$4,'Inputs Yr 2'!$AK286,IF('Inputs Yr 2'!$AL286=BP$4,'Inputs Yr 2'!$AM286,IF('Inputs Yr 2'!$AN286=BP$4,'Inputs Yr 2'!$AO286,0))))*(INDEX(avoidedcosttbl2,$H286,BY$2)+(($H286-ROUNDDOWN($H286,0))*(INDEX(avoidedcosttbl2,ROUNDUP($H286,0),BY$2)-(INDEX(avoidedcosttbl2,ROUNDDOWN($H286,0),BY$2)))))*'Inputs Yr 2'!P286*'Inputs Yr 2'!Q286*'Inputs Yr 2'!U286,"")</f>
        <v/>
      </c>
      <c r="BZ286" s="193">
        <f t="shared" si="159"/>
        <v>0</v>
      </c>
      <c r="CA286" s="193">
        <f t="shared" si="160"/>
        <v>0</v>
      </c>
      <c r="CB286" s="195" t="str">
        <f>IFERROR(G286*(IF('Inputs Yr 2'!$AJ286=CB$4,'Inputs Yr 2'!$AK286,IF('Inputs Yr 2'!$AL286=CB$4,'Inputs Yr 2'!$AM286,IF('Inputs Yr 2'!$AN286=CB$4,'Inputs Yr 2'!$AO286,0))))*(INDEX(avoidedcosttbl2,$H286,CB$2)+(($H286-ROUNDDOWN($H286,0))*(INDEX(avoidedcosttbl2,ROUNDUP($H286,0),CB$2)-(INDEX(avoidedcosttbl2,ROUNDDOWN($H286,0),CB$2)))))*'Inputs Yr 2'!P286*'Inputs Yr 2'!Q286*'Inputs Yr 2'!U286,"")</f>
        <v/>
      </c>
      <c r="CC286" s="195">
        <f>IFERROR(H286*(IF('Inputs Yr 2'!$AJ286=CC$4,'Inputs Yr 2'!$AK286,IF('Inputs Yr 2'!$AL286=CC$4,'Inputs Yr 2'!$AM286,IF('Inputs Yr 2'!$AN286=CC$4,'Inputs Yr 2'!$AO286,0))))*(INDEX(avoidedcosttbl2,$H286,CC$2)+(($H286-ROUNDDOWN($H286,0))*(INDEX(avoidedcosttbl2,ROUNDUP($H286,0),CC$2)-(INDEX(avoidedcosttbl2,ROUNDDOWN($H286,0),CC$2)))))*'Inputs Yr 2'!Q286*'Inputs Yr 2'!R286*'Inputs Yr 2'!V286,"")</f>
        <v>0</v>
      </c>
      <c r="CD286" s="195" t="str">
        <f>IFERROR(I286*(IF('Inputs Yr 2'!$AJ286=CD$4,'Inputs Yr 2'!$AK286,IF('Inputs Yr 2'!$AL286=CD$4,'Inputs Yr 2'!$AM286,IF('Inputs Yr 2'!$AN286=CD$4,'Inputs Yr 2'!$AO286,0))))*(INDEX(avoidedcosttbl2,$H286,CD$2)+(($H286-ROUNDDOWN($H286,0))*(INDEX(avoidedcosttbl2,ROUNDUP($H286,0),CD$2)-(INDEX(avoidedcosttbl2,ROUNDDOWN($H286,0),CD$2)))))*'Inputs Yr 2'!R286*'Inputs Yr 2'!S286*'Inputs Yr 2'!W286,"")</f>
        <v/>
      </c>
      <c r="CE286" s="213">
        <f t="shared" si="161"/>
        <v>0</v>
      </c>
      <c r="CF286" s="213">
        <f t="shared" si="162"/>
        <v>0</v>
      </c>
      <c r="CG286" s="213">
        <f t="shared" si="163"/>
        <v>0</v>
      </c>
      <c r="CH286" s="698">
        <f t="shared" si="164"/>
        <v>0</v>
      </c>
      <c r="CI286" s="79" t="str">
        <f>IFERROR(($G286*'Inputs Yr 2'!$P286*'Inputs Yr 2'!$Q286*(((INDEX(avoidedcosttbl2,$H286,CI$2)+(($H286-ROUNDDOWN($H286,0))*(INDEX(avoidedcosttbl2,ROUNDUP($H286,0),CI$2)-INDEX(avoidedcosttbl2,ROUNDDOWN($H286,0),CI$2))))*'Inputs Yr 2'!AS286))),"")</f>
        <v/>
      </c>
      <c r="CJ286" s="504" t="str">
        <f>IFERROR($G286*'Inputs Yr 2'!AT286*'Inputs Yr 2'!$P286*'Inputs Yr 2'!$Q286/((1+realdiscrt1)^-0.5),"")</f>
        <v/>
      </c>
      <c r="CK286" s="79" t="str">
        <f>IFERROR((O286*1000*(((INDEX(avoidedcosttbl2,$H286,CK$2)+(($H286-ROUNDDOWN($H286,0))*(INDEX(avoidedcosttbl2,ROUNDUP($H286,0),CK$2)-INDEX(avoidedcosttbl2,ROUNDDOWN($H286,0),CK$2))))*'Inputs Yr 2'!AU286))),"")</f>
        <v/>
      </c>
      <c r="CL286" s="504" t="str">
        <f>IFERROR(O286*1000*'Inputs Yr 2'!AV286/((1+realdiscrt1)^-0.5),"")</f>
        <v/>
      </c>
      <c r="CM286" s="79">
        <f>IFERROR((AB286*'Inputs Yr 2'!AW286*(((INDEX(avoidedcosttbl2,$H286,CM$2)+(($H286-ROUNDDOWN($H286,0))*(INDEX(avoidedcosttbl2,ROUNDUP($H286,0),CM$2)-INDEX(avoidedcosttbl2,ROUNDDOWN($H286,0),CM$2)))))))*10,"")</f>
        <v>0</v>
      </c>
      <c r="CN286" s="504">
        <f>IFERROR(10*AB286*'Inputs Yr 2'!AX286/((1+realdiscrt1)^-0.5),"")</f>
        <v>0</v>
      </c>
      <c r="CO286" s="505">
        <f t="shared" si="165"/>
        <v>0</v>
      </c>
      <c r="CP286" s="230">
        <f t="shared" si="166"/>
        <v>0</v>
      </c>
      <c r="CQ286" s="199">
        <f>ROUND(IFERROR(IF(LEFT($A286,1)="C",'Avoided Costs'!$K$13,'Avoided Costs'!$K$12)+1,""),4)</f>
        <v>1.0720000000000001</v>
      </c>
      <c r="CR286" s="199">
        <f>ROUND(IFERROR(IF(LEFT($A286,1)="C",'Avoided Costs'!$L$13,'Avoided Costs'!$L$12)+1,""),4)</f>
        <v>1.04</v>
      </c>
      <c r="CS286" s="199">
        <f>ROUND(IFERROR(IF(LEFT($A286,1)="C",'Avoided Costs'!$M$13,'Avoided Costs'!$M$12)+1,""),4)</f>
        <v>1.0720000000000001</v>
      </c>
      <c r="CT286" s="199">
        <f>ROUND(IFERROR(IF(LEFT($A286,1)="C",'Avoided Costs'!$N$13,'Avoided Costs'!$N$12)+1,""),4)</f>
        <v>1.04</v>
      </c>
      <c r="CU286" s="199">
        <f>ROUND(IFERROR(IF(LEFT($A286,1)="C",'Avoided Costs'!$O$13,'Avoided Costs'!$O$12)+1,""),4)</f>
        <v>1.1120000000000001</v>
      </c>
      <c r="CV286" s="199">
        <f>ROUND(IFERROR(IF(LEFT($A286,1)="C",'Avoided Costs'!$P$13,'Avoided Costs'!$P$12)+1,""),4)</f>
        <v>1.095</v>
      </c>
      <c r="CW286" s="199">
        <f>ROUND(IFERROR(IF(LEFT($A286,1)="C",'Avoided Costs'!$Q$13,'Avoided Costs'!$Q$12)+1,""),4)</f>
        <v>1.1120000000000001</v>
      </c>
      <c r="CX286" s="200">
        <f>ROUND(IFERROR(IF(LEFT($A286,1)="C",'Avoided Costs'!$R$13,'Avoided Costs'!$R$12)+1,""),4)</f>
        <v>1.1120000000000001</v>
      </c>
    </row>
    <row r="287" spans="1:102" ht="12.75" customHeight="1">
      <c r="A287" s="91" t="str">
        <f>IF('Inputs Yr 2'!$B287=0,"",'Inputs Yr 2'!A287)</f>
        <v>C - Commercial &amp; Industrial</v>
      </c>
      <c r="B287" s="91" t="str">
        <f>IF('Inputs Yr 2'!$B287=0,"",'Inputs Yr 2'!B287)</f>
        <v>C2 - C&amp;I Retrofit</v>
      </c>
      <c r="C287" s="91" t="str">
        <f>IF('Inputs Yr 2'!$B287=0,"",'Inputs Yr 2'!C287)</f>
        <v>C2a - C&amp;I Existing Building Retrofit</v>
      </c>
      <c r="D287" s="91" t="str">
        <f>IF('Inputs Yr 2'!$B287=0,"",'Inputs Yr 2'!E287)</f>
        <v>Steam Pipe Insulation, &lt;=1.5"</v>
      </c>
      <c r="E287" s="93" t="str">
        <f>IF('Inputs Yr 2'!$B287=0,"",'Inputs Yr 2'!F287)</f>
        <v>G16C2a28</v>
      </c>
      <c r="F287" s="93" t="str">
        <f>IF('Inputs Yr 2'!$B287=0,"",'Inputs Yr 2'!G287)</f>
        <v>HVAC</v>
      </c>
      <c r="G287" s="95" t="str">
        <f>IF('Inputs Yr 2'!$H287&lt;&gt;0,('Inputs Yr 2'!H287),"")</f>
        <v/>
      </c>
      <c r="H287" s="94">
        <f>IFERROR('Inputs Yr 2'!I287,"")</f>
        <v>15</v>
      </c>
      <c r="I287" s="298" t="str">
        <f>IFERROR('Inputs Yr 2'!J287*'Inputs Yr 2'!P287*G287,"")</f>
        <v/>
      </c>
      <c r="J287" s="298" t="str">
        <f>IFERROR('Inputs Yr 2'!K287*G287,"")</f>
        <v/>
      </c>
      <c r="K287" s="298" t="str">
        <f t="shared" si="143"/>
        <v/>
      </c>
      <c r="L287" s="194" t="str">
        <f>IFERROR(('Inputs Yr 2'!W287*G287)/1000,"")</f>
        <v/>
      </c>
      <c r="M287" s="194" t="str">
        <f>IFERROR(L287*('Inputs Yr 2'!$Q287*'Inputs Yr 2'!$V287*'Inputs Yr 2'!$R287),"")</f>
        <v/>
      </c>
      <c r="N287" s="194" t="str">
        <f t="shared" si="144"/>
        <v/>
      </c>
      <c r="O287" s="194" t="str">
        <f>IFERROR(M287*'Inputs Yr 2'!P287,"")</f>
        <v/>
      </c>
      <c r="P287" s="194" t="str">
        <f t="shared" si="145"/>
        <v/>
      </c>
      <c r="Q287" s="194" t="str">
        <f>IFERROR($P287*'Inputs Yr 2'!AA287,"")</f>
        <v/>
      </c>
      <c r="R287" s="194" t="str">
        <f>IFERROR($P287*'Inputs Yr 2'!AB287,"")</f>
        <v/>
      </c>
      <c r="S287" s="194" t="str">
        <f>IFERROR($P287*'Inputs Yr 2'!AC287,"")</f>
        <v/>
      </c>
      <c r="T287" s="194" t="str">
        <f>IFERROR($P287*'Inputs Yr 2'!AD287,"")</f>
        <v/>
      </c>
      <c r="U287" s="194" t="str">
        <f>IFERROR(G287*'Inputs Yr 2'!$AE287*'Inputs Yr 2'!$P287*'Inputs Yr 2'!$Q287,"")</f>
        <v/>
      </c>
      <c r="V287" s="194" t="str">
        <f>IFERROR($G287*'Inputs Yr 2'!$AE287*'Inputs Yr 2'!$AG287*'Inputs Yr 2'!Q287*'Inputs Yr 2'!$S287,"")</f>
        <v/>
      </c>
      <c r="W287" s="194" t="str">
        <f>IFERROR($G287*'Inputs Yr 2'!$AE287*'Inputs Yr 2'!$AG287*'Inputs Yr 2'!P287*'Inputs Yr 2'!Q287*'Inputs Yr 2'!$S287,"")</f>
        <v/>
      </c>
      <c r="X287" s="194" t="str">
        <f>IFERROR($G287*'Inputs Yr 2'!$AE287*'Inputs Yr 2'!$AF287*'Inputs Yr 2'!Q287*'Inputs Yr 2'!$T287,"")</f>
        <v/>
      </c>
      <c r="Y287" s="194" t="str">
        <f>IFERROR($G287*'Inputs Yr 2'!$AE287*'Inputs Yr 2'!$AF287*'Inputs Yr 2'!P287*'Inputs Yr 2'!Q287*'Inputs Yr 2'!$T287,"")</f>
        <v/>
      </c>
      <c r="Z287" s="257">
        <f>IFERROR($G287*'Inputs Yr 2'!$Q287*'Inputs Yr 2'!$U287*(IF(IFERROR(SEARCH("NG", 'Inputs Yr 2'!$AJ287),0),'Inputs Yr 2'!$AK287,0)+IF(IFERROR(SEARCH("NG", 'Inputs Yr 2'!$AL287),0),'Inputs Yr 2'!$AM287,0)+IF(IFERROR(SEARCH("NG", 'Inputs Yr 2'!$AN287),0),'Inputs Yr 2'!$AO287,0)),0)</f>
        <v>0</v>
      </c>
      <c r="AA287" s="257">
        <f t="shared" si="146"/>
        <v>0</v>
      </c>
      <c r="AB287" s="257">
        <f>IFERROR(Z287*'Inputs Yr 2'!$P287,0)</f>
        <v>0</v>
      </c>
      <c r="AC287" s="257">
        <f t="shared" si="147"/>
        <v>0</v>
      </c>
      <c r="AD287" s="257">
        <f>IFERROR($G287*'Inputs Yr 2'!$Q287*'Inputs Yr 2'!$U287*(IF(IFERROR(SEARCH("Oil", 'Inputs Yr 2'!$AJ287), 0),'Inputs Yr 2'!$AK287,0)+IF(IFERROR(SEARCH("Oil", 'Inputs Yr 2'!$AL287), 0),'Inputs Yr 2'!$AM287,0)+IF(IFERROR(SEARCH("Oil", 'Inputs Yr 2'!$AN287), 0),'Inputs Yr 2'!$AO287,0)),0)</f>
        <v>0</v>
      </c>
      <c r="AE287" s="257">
        <f t="shared" si="148"/>
        <v>0</v>
      </c>
      <c r="AF287" s="257">
        <f>IFERROR(AD287*'Inputs Yr 2'!$P287,0)</f>
        <v>0</v>
      </c>
      <c r="AG287" s="257">
        <f t="shared" si="149"/>
        <v>0</v>
      </c>
      <c r="AH287" s="257">
        <f>IFERROR($G287*'Inputs Yr 2'!$Q287*'Inputs Yr 2'!$U287*(IF('Inputs Yr 2'!$AJ287=CD$4,'Inputs Yr 2'!$AK287,IF('Inputs Yr 2'!$AL287=CD$4,'Inputs Yr 2'!$AM287,IF('Inputs Yr 2'!$AN287=CD$4,'Inputs Yr 2'!$AO287,0)))),0)</f>
        <v>0</v>
      </c>
      <c r="AI287" s="257">
        <f t="shared" si="150"/>
        <v>0</v>
      </c>
      <c r="AJ287" s="257">
        <f>IFERROR(AH287*'Inputs Yr 2'!$P287,0)</f>
        <v>0</v>
      </c>
      <c r="AK287" s="257">
        <f t="shared" si="151"/>
        <v>0</v>
      </c>
      <c r="AL287" s="258">
        <f>IFERROR($G287*'Inputs Yr 2'!$P287*'Inputs Yr 2'!$Q287*'Inputs Yr 2'!AP287,0)</f>
        <v>0</v>
      </c>
      <c r="AM287" s="260">
        <f>IFERROR($G287*'Inputs Yr 2'!$P287*'Inputs Yr 2'!$Q287*'Inputs Yr 2'!AQ287,0)</f>
        <v>0</v>
      </c>
      <c r="AN287" s="258">
        <f>IFERROR($G287*'Inputs Yr 2'!$P287*'Inputs Yr 2'!$Q287*'Inputs Yr 2'!AR287,0)</f>
        <v>0</v>
      </c>
      <c r="AO287" s="257">
        <f t="shared" si="152"/>
        <v>0</v>
      </c>
      <c r="AP287" s="195" t="str">
        <f>IFERROR($CQ287*(INDEX(avoidedcosttbl2,$H287,AP$2)+(($H287-ROUNDDOWN($H287,0))*(INDEX(avoidedcosttbl2,ROUNDUP($H287,0),AP$2)-(INDEX(avoidedcosttbl2,ROUNDDOWN($H287,0),AP$2)))))*$O287*1000*'Inputs Yr 2'!AA287,"")</f>
        <v/>
      </c>
      <c r="AQ287" s="195" t="str">
        <f>IFERROR($CR287*(INDEX(avoidedcosttbl2,$H287,AQ$2)+(($H287-ROUNDDOWN($H287,0))*(INDEX(avoidedcosttbl2,ROUNDUP($H287,0),AQ$2)-(INDEX(avoidedcosttbl2,ROUNDDOWN($H287,0),AQ$2)))))*$O287*1000*'Inputs Yr 2'!AB287,"")</f>
        <v/>
      </c>
      <c r="AR287" s="195" t="str">
        <f>IFERROR($CS287*(INDEX(avoidedcosttbl2,$H287,AR$2)+(($H287-ROUNDDOWN($H287,0))*(INDEX(avoidedcosttbl2,ROUNDUP($H287,0),AR$2)-(INDEX(avoidedcosttbl2,ROUNDDOWN($H287,0),AR$2)))))*$O287*1000*'Inputs Yr 2'!AC287,"")</f>
        <v/>
      </c>
      <c r="AS287" s="195" t="str">
        <f>IFERROR($CT287*(INDEX(avoidedcosttbl2,$H287,AS$2)+(($H287-ROUNDDOWN($H287,0))*(INDEX(avoidedcosttbl2,ROUNDUP($H287,0),AS$2)-(INDEX(avoidedcosttbl2,ROUNDDOWN($H287,0),AS$2)))))*$O287*1000*'Inputs Yr 2'!AD287,"")</f>
        <v/>
      </c>
      <c r="AT287" s="196">
        <f t="shared" si="153"/>
        <v>0</v>
      </c>
      <c r="AU287" s="197" t="str">
        <f>IFERROR($CQ287*((INDEX(avoidedcosttbl2,$H287,AU$2))+(($H287-ROUNDDOWN($H287,0))*((INDEX(avoidedcosttbl2,ROUNDUP($H287,0),AU$2))-(INDEX(avoidedcosttbl2,ROUNDDOWN($H287,0),AU$2)))))*$O287*1000*'Inputs Yr 2'!AA287,"")</f>
        <v/>
      </c>
      <c r="AV287" s="197" t="str">
        <f>IFERROR($CR287*((INDEX(avoidedcosttbl2,$H287,AV$2))+(($H287-ROUNDDOWN($H287,0))*((INDEX(avoidedcosttbl2,ROUNDUP($H287,0),AV$2))-(INDEX(avoidedcosttbl2,ROUNDDOWN($H287,0),AV$2)))))*$O287*1000*'Inputs Yr 2'!AB287,"")</f>
        <v/>
      </c>
      <c r="AW287" s="197" t="str">
        <f>IFERROR($CS287*((INDEX(avoidedcosttbl2,$H287,AW$2))+(($H287-ROUNDDOWN($H287,0))*((INDEX(avoidedcosttbl2,ROUNDUP($H287,0),AW$2))-(INDEX(avoidedcosttbl2,ROUNDDOWN($H287,0),AW$2)))))*$O287*1000*'Inputs Yr 2'!AC287,"")</f>
        <v/>
      </c>
      <c r="AX287" s="197" t="str">
        <f>IFERROR($CT287*((INDEX(avoidedcosttbl2,$H287,AX$2))+(($H287-ROUNDDOWN($H287,0))*((INDEX(avoidedcosttbl2,ROUNDUP($H287,0),AX$2))-(INDEX(avoidedcosttbl2,ROUNDDOWN($H287,0),AX$2)))))*$O287*1000*'Inputs Yr 2'!AD287,"")</f>
        <v/>
      </c>
      <c r="AY287" s="197" t="str">
        <f>IFERROR(((INDEX(avoidedcosttbl2,$H287,AY$2))+(($H287-ROUNDDOWN($H287,0))*((INDEX(avoidedcosttbl2,ROUNDUP($H287,0),AY$2))-(INDEX(avoidedcosttbl2,ROUNDDOWN($H287,0),AY$2)))))*$O287*1000*('Inputs Yr 2'!AC287+'Inputs Yr 2'!AD287),"")</f>
        <v/>
      </c>
      <c r="AZ287" s="197" t="str">
        <f>IFERROR(((INDEX(avoidedcosttbl2,$H287,AZ$2))+(($H287-ROUNDDOWN($H287,0))*((INDEX(avoidedcosttbl2,ROUNDUP($H287,0),AZ$2))-(INDEX(avoidedcosttbl2,ROUNDDOWN($H287,0),AZ$2)))))*$O287*1000*('Inputs Yr 2'!AA287+'Inputs Yr 2'!AB287),"")</f>
        <v/>
      </c>
      <c r="BA287" s="198">
        <f t="shared" si="154"/>
        <v>0</v>
      </c>
      <c r="BB287" s="198">
        <f t="shared" si="155"/>
        <v>0</v>
      </c>
      <c r="BC287" s="195" t="str">
        <f t="shared" si="137"/>
        <v/>
      </c>
      <c r="BD287" s="195" t="str">
        <f t="shared" si="138"/>
        <v/>
      </c>
      <c r="BE287" s="195" t="str">
        <f t="shared" si="139"/>
        <v/>
      </c>
      <c r="BF287" s="195" t="str">
        <f t="shared" si="140"/>
        <v/>
      </c>
      <c r="BG287" s="195" t="str">
        <f t="shared" si="141"/>
        <v/>
      </c>
      <c r="BH287" s="196">
        <f t="shared" si="156"/>
        <v>0</v>
      </c>
      <c r="BI287" s="196">
        <f t="shared" si="157"/>
        <v>0</v>
      </c>
      <c r="BJ287" s="195" t="str">
        <f>IFERROR($G287*(IF('Inputs Yr 2'!$AJ287=BJ$4,'Inputs Yr 2'!$AK287,IF('Inputs Yr 2'!$AL287=BJ$4,'Inputs Yr 2'!$AM287,IF('Inputs Yr 2'!$AN287=BJ$4,'Inputs Yr 2'!$AO287,0))))*(INDEX(avoidedcosttbl2,$H287,BJ$2)+(($H287-ROUNDDOWN($H287,0))*(INDEX(avoidedcosttbl2,ROUNDUP($H287,0),BJ$2)-(INDEX(avoidedcosttbl2,ROUNDDOWN($H287,0),BJ$2)))))*'Inputs Yr 2'!P287*'Inputs Yr 2'!Q287*'Inputs Yr 2'!U287,"")</f>
        <v/>
      </c>
      <c r="BK287" s="195" t="str">
        <f>IFERROR($G287*(IF('Inputs Yr 2'!$AJ287=BK$4,'Inputs Yr 2'!$AK287,IF('Inputs Yr 2'!$AL287=BK$4,'Inputs Yr 2'!$AM287,IF('Inputs Yr 2'!$AN287=BK$4,'Inputs Yr 2'!$AO287,0))))*(INDEX(avoidedcosttbl2,$H287,BK$2)+(($H287-ROUNDDOWN($H287,0))*(INDEX(avoidedcosttbl2,ROUNDUP($H287,0),BK$2)-(INDEX(avoidedcosttbl2,ROUNDDOWN($H287,0),BK$2)))))*'Inputs Yr 2'!P287*'Inputs Yr 2'!Q287*'Inputs Yr 2'!U287,"")</f>
        <v/>
      </c>
      <c r="BL287" s="195" t="str">
        <f>IFERROR($G287*(IF('Inputs Yr 2'!$AJ287=BL$4,'Inputs Yr 2'!$AK287,IF('Inputs Yr 2'!$AL287=BL$4,'Inputs Yr 2'!$AM287,IF('Inputs Yr 2'!$AN287=BL$4,'Inputs Yr 2'!$AO287,0))))*(INDEX(avoidedcosttbl2,$H287,BL$2)+(($H287-ROUNDDOWN($H287,0))*(INDEX(avoidedcosttbl2,ROUNDUP($H287,0),BL$2)-(INDEX(avoidedcosttbl2,ROUNDDOWN($H287,0),BL$2)))))*'Inputs Yr 2'!P287*'Inputs Yr 2'!Q287*'Inputs Yr 2'!U287,"")</f>
        <v/>
      </c>
      <c r="BM287" s="195" t="str">
        <f>IFERROR($G287*(IF('Inputs Yr 2'!$AJ287=BM$4,'Inputs Yr 2'!$AK287,IF('Inputs Yr 2'!$AL287=BM$4,'Inputs Yr 2'!$AM287,IF('Inputs Yr 2'!$AN287=BM$4,'Inputs Yr 2'!$AO287,0))))*(INDEX(avoidedcosttbl2,$H287,BM$2)+(($H287-ROUNDDOWN($H287,0))*(INDEX(avoidedcosttbl2,ROUNDUP($H287,0),BM$2)-(INDEX(avoidedcosttbl2,ROUNDDOWN($H287,0),BM$2)))))*'Inputs Yr 2'!P287*'Inputs Yr 2'!Q287*'Inputs Yr 2'!U287,"")</f>
        <v/>
      </c>
      <c r="BN287" s="195" t="str">
        <f>IFERROR($G287*(IF('Inputs Yr 2'!$AJ287=BN$4,'Inputs Yr 2'!$AK287,IF('Inputs Yr 2'!$AL287=BN$4,'Inputs Yr 2'!$AM287,IF('Inputs Yr 2'!$AN287=BN$4,'Inputs Yr 2'!$AO287,0))))*(INDEX(avoidedcosttbl2,$H287,BN$2)+(($H287-ROUNDDOWN($H287,0))*(INDEX(avoidedcosttbl2,ROUNDUP($H287,0),BN$2)-(INDEX(avoidedcosttbl2,ROUNDDOWN($H287,0),BN$2)))))*'Inputs Yr 2'!P287*'Inputs Yr 2'!Q287*'Inputs Yr 2'!U287,"")</f>
        <v/>
      </c>
      <c r="BO287" s="195" t="str">
        <f>IFERROR($G287*(IF('Inputs Yr 2'!$AJ287=BO$4,'Inputs Yr 2'!$AK287,IF('Inputs Yr 2'!$AL287=BO$4,'Inputs Yr 2'!$AM287,IF('Inputs Yr 2'!$AN287=BO$4,'Inputs Yr 2'!$AO287,0))))*(INDEX(avoidedcosttbl2,$H287,BO$2)+(($H287-ROUNDDOWN($H287,0))*(INDEX(avoidedcosttbl2,ROUNDUP($H287,0),BO$2)-(INDEX(avoidedcosttbl2,ROUNDDOWN($H287,0),BO$2)))))*'Inputs Yr 2'!P287*'Inputs Yr 2'!Q287*'Inputs Yr 2'!U287,"")</f>
        <v/>
      </c>
      <c r="BP287" s="195" t="str">
        <f>IFERROR($G287*(IF('Inputs Yr 2'!$AJ287=BP$4,'Inputs Yr 2'!$AK287,IF('Inputs Yr 2'!$AL287=BP$4,'Inputs Yr 2'!$AM287,IF('Inputs Yr 2'!$AN287=BP$4,'Inputs Yr 2'!$AO287,0))))*(INDEX(avoidedcosttbl2,$H287,BP$2)+(($H287-ROUNDDOWN($H287,0))*(INDEX(avoidedcosttbl2,ROUNDUP($H287,0),BP$2)-(INDEX(avoidedcosttbl2,ROUNDDOWN($H287,0),BP$2)))))*'Inputs Yr 2'!P287*'Inputs Yr 2'!Q287*'Inputs Yr 2'!U287,"")</f>
        <v/>
      </c>
      <c r="BQ287" s="230">
        <f t="shared" si="158"/>
        <v>0</v>
      </c>
      <c r="BR287" s="197">
        <f t="shared" si="142"/>
        <v>0</v>
      </c>
      <c r="BS287" s="197" t="str">
        <f>IFERROR(($G287*IF('Inputs Yr 2'!$AJ287=BM$4,'Inputs Yr 2'!$AK287,IF('Inputs Yr 2'!$AL287=BM$4,'Inputs Yr 2'!$AM287,IF('Inputs Yr 2'!$AN287=BM$4,'Inputs Yr 2'!$AO287,0))))*(INDEX(avoidedcosttbl2,$H287,BS$2)+(($H287-ROUNDDOWN($H287,0))*(INDEX(avoidedcosttbl2,ROUNDUP($H287,0),BS$2)-(INDEX(avoidedcosttbl2,ROUNDDOWN($H287,0),BS$2)))))*'Inputs Yr 2'!P287*'Inputs Yr 2'!Q287*'Inputs Yr 2'!U287,"")</f>
        <v/>
      </c>
      <c r="BT287" s="197" t="str">
        <f>IFERROR(($G287*IF('Inputs Yr 2'!$AJ287=BK$4,'Inputs Yr 2'!$AK287,IF('Inputs Yr 2'!$AL287=BK$4,'Inputs Yr 2'!$AM287,IF('Inputs Yr 2'!$AN287=BK$4,'Inputs Yr 2'!$AO287,0))))*(INDEX(avoidedcosttbl2,$H287,BT$2)+(($H287-ROUNDDOWN($H287,0))*(INDEX(avoidedcosttbl2,ROUNDUP($H287,0),BT$2)-(INDEX(avoidedcosttbl2,ROUNDDOWN($H287,0),BT$2)))))*'Inputs Yr 2'!P287*'Inputs Yr 2'!Q287*'Inputs Yr 2'!U287,"")</f>
        <v/>
      </c>
      <c r="BU287" s="197" t="str">
        <f>IFERROR(($G287*IF('Inputs Yr 2'!$AJ287=BL$4,'Inputs Yr 2'!$AK287,IF('Inputs Yr 2'!$AL287=BL$4,'Inputs Yr 2'!$AM287,IF('Inputs Yr 2'!$AN287=BL$4,'Inputs Yr 2'!$AO287,0))))*(INDEX(avoidedcosttbl2,$H287,BU$2)+(($H287-ROUNDDOWN($H287,0))*(INDEX(avoidedcosttbl2,ROUNDUP($H287,0),BU$2)-(INDEX(avoidedcosttbl2,ROUNDDOWN($H287,0),BU$2)))))*'Inputs Yr 2'!P287*'Inputs Yr 2'!Q287*'Inputs Yr 2'!U287,"")</f>
        <v/>
      </c>
      <c r="BV287" s="775" t="str">
        <f>IFERROR(($G287*IF('Inputs Yr 2'!$AJ287=BJ$4,'Inputs Yr 2'!$AK287,IF('Inputs Yr 2'!$AL287=BJ$4,'Inputs Yr 2'!$AM287,IF('Inputs Yr 2'!$AN287=BJ$4,'Inputs Yr 2'!$AO287,0))))*(INDEX(avoidedcosttbl2,$H287,BV$2)+(($H287-ROUNDDOWN($H287,0))*(INDEX(avoidedcosttbl2,ROUNDUP($H287,0),BV$2)-(INDEX(avoidedcosttbl2,ROUNDDOWN($H287,0),BV$2)))))*'Inputs Yr 2'!P287*'Inputs Yr 2'!Q287*'Inputs Yr 2'!U287,"")</f>
        <v/>
      </c>
      <c r="BW287" s="197" t="str">
        <f>IFERROR(($G287*IF('Inputs Yr 2'!$AJ287=BN$4,'Inputs Yr 2'!$AK287,IF('Inputs Yr 2'!$AL287=BN$4,'Inputs Yr 2'!$AM287,IF('Inputs Yr 2'!$AN287=BN$4,'Inputs Yr 2'!$AO287,0))))*(INDEX(avoidedcosttbl2,$H287,BW$2)+(($H287-ROUNDDOWN($H287,0))*(INDEX(avoidedcosttbl2,ROUNDUP($H287,0),BW$2)-(INDEX(avoidedcosttbl2,ROUNDDOWN($H287,0),BW$2)))))*'Inputs Yr 2'!P287*'Inputs Yr 2'!Q287*'Inputs Yr 2'!U287,"")</f>
        <v/>
      </c>
      <c r="BX287" s="197" t="str">
        <f>IFERROR(($G287*IF('Inputs Yr 2'!$AJ287=BO$4,'Inputs Yr 2'!$AK287,IF('Inputs Yr 2'!$AL287=BO$4,'Inputs Yr 2'!$AM287,IF('Inputs Yr 2'!$AN287=BO$4,'Inputs Yr 2'!$AO287,0))))*(INDEX(avoidedcosttbl2,$H287,BX$2)+(($H287-ROUNDDOWN($H287,0))*(INDEX(avoidedcosttbl2,ROUNDUP($H287,0),BX$2)-(INDEX(avoidedcosttbl2,ROUNDDOWN($H287,0),BX$2)))))*'Inputs Yr 2'!P287*'Inputs Yr 2'!Q287*'Inputs Yr 2'!U287,"")</f>
        <v/>
      </c>
      <c r="BY287" s="197" t="str">
        <f>IFERROR(($G287*IF('Inputs Yr 2'!$AJ287=BP$4,'Inputs Yr 2'!$AK287,IF('Inputs Yr 2'!$AL287=BP$4,'Inputs Yr 2'!$AM287,IF('Inputs Yr 2'!$AN287=BP$4,'Inputs Yr 2'!$AO287,0))))*(INDEX(avoidedcosttbl2,$H287,BY$2)+(($H287-ROUNDDOWN($H287,0))*(INDEX(avoidedcosttbl2,ROUNDUP($H287,0),BY$2)-(INDEX(avoidedcosttbl2,ROUNDDOWN($H287,0),BY$2)))))*'Inputs Yr 2'!P287*'Inputs Yr 2'!Q287*'Inputs Yr 2'!U287,"")</f>
        <v/>
      </c>
      <c r="BZ287" s="193">
        <f t="shared" si="159"/>
        <v>0</v>
      </c>
      <c r="CA287" s="193">
        <f t="shared" si="160"/>
        <v>0</v>
      </c>
      <c r="CB287" s="195" t="str">
        <f>IFERROR(G287*(IF('Inputs Yr 2'!$AJ287=CB$4,'Inputs Yr 2'!$AK287,IF('Inputs Yr 2'!$AL287=CB$4,'Inputs Yr 2'!$AM287,IF('Inputs Yr 2'!$AN287=CB$4,'Inputs Yr 2'!$AO287,0))))*(INDEX(avoidedcosttbl2,$H287,CB$2)+(($H287-ROUNDDOWN($H287,0))*(INDEX(avoidedcosttbl2,ROUNDUP($H287,0),CB$2)-(INDEX(avoidedcosttbl2,ROUNDDOWN($H287,0),CB$2)))))*'Inputs Yr 2'!P287*'Inputs Yr 2'!Q287*'Inputs Yr 2'!U287,"")</f>
        <v/>
      </c>
      <c r="CC287" s="195">
        <f>IFERROR(H287*(IF('Inputs Yr 2'!$AJ287=CC$4,'Inputs Yr 2'!$AK287,IF('Inputs Yr 2'!$AL287=CC$4,'Inputs Yr 2'!$AM287,IF('Inputs Yr 2'!$AN287=CC$4,'Inputs Yr 2'!$AO287,0))))*(INDEX(avoidedcosttbl2,$H287,CC$2)+(($H287-ROUNDDOWN($H287,0))*(INDEX(avoidedcosttbl2,ROUNDUP($H287,0),CC$2)-(INDEX(avoidedcosttbl2,ROUNDDOWN($H287,0),CC$2)))))*'Inputs Yr 2'!Q287*'Inputs Yr 2'!R287*'Inputs Yr 2'!V287,"")</f>
        <v>0</v>
      </c>
      <c r="CD287" s="195" t="str">
        <f>IFERROR(I287*(IF('Inputs Yr 2'!$AJ287=CD$4,'Inputs Yr 2'!$AK287,IF('Inputs Yr 2'!$AL287=CD$4,'Inputs Yr 2'!$AM287,IF('Inputs Yr 2'!$AN287=CD$4,'Inputs Yr 2'!$AO287,0))))*(INDEX(avoidedcosttbl2,$H287,CD$2)+(($H287-ROUNDDOWN($H287,0))*(INDEX(avoidedcosttbl2,ROUNDUP($H287,0),CD$2)-(INDEX(avoidedcosttbl2,ROUNDDOWN($H287,0),CD$2)))))*'Inputs Yr 2'!R287*'Inputs Yr 2'!S287*'Inputs Yr 2'!W287,"")</f>
        <v/>
      </c>
      <c r="CE287" s="213">
        <f t="shared" si="161"/>
        <v>0</v>
      </c>
      <c r="CF287" s="213">
        <f t="shared" si="162"/>
        <v>0</v>
      </c>
      <c r="CG287" s="213">
        <f t="shared" si="163"/>
        <v>0</v>
      </c>
      <c r="CH287" s="698">
        <f t="shared" si="164"/>
        <v>0</v>
      </c>
      <c r="CI287" s="79" t="str">
        <f>IFERROR(($G287*'Inputs Yr 2'!$P287*'Inputs Yr 2'!$Q287*(((INDEX(avoidedcosttbl2,$H287,CI$2)+(($H287-ROUNDDOWN($H287,0))*(INDEX(avoidedcosttbl2,ROUNDUP($H287,0),CI$2)-INDEX(avoidedcosttbl2,ROUNDDOWN($H287,0),CI$2))))*'Inputs Yr 2'!AS287))),"")</f>
        <v/>
      </c>
      <c r="CJ287" s="504" t="str">
        <f>IFERROR($G287*'Inputs Yr 2'!AT287*'Inputs Yr 2'!$P287*'Inputs Yr 2'!$Q287/((1+realdiscrt1)^-0.5),"")</f>
        <v/>
      </c>
      <c r="CK287" s="79" t="str">
        <f>IFERROR((O287*1000*(((INDEX(avoidedcosttbl2,$H287,CK$2)+(($H287-ROUNDDOWN($H287,0))*(INDEX(avoidedcosttbl2,ROUNDUP($H287,0),CK$2)-INDEX(avoidedcosttbl2,ROUNDDOWN($H287,0),CK$2))))*'Inputs Yr 2'!AU287))),"")</f>
        <v/>
      </c>
      <c r="CL287" s="504" t="str">
        <f>IFERROR(O287*1000*'Inputs Yr 2'!AV287/((1+realdiscrt1)^-0.5),"")</f>
        <v/>
      </c>
      <c r="CM287" s="79">
        <f>IFERROR((AB287*'Inputs Yr 2'!AW287*(((INDEX(avoidedcosttbl2,$H287,CM$2)+(($H287-ROUNDDOWN($H287,0))*(INDEX(avoidedcosttbl2,ROUNDUP($H287,0),CM$2)-INDEX(avoidedcosttbl2,ROUNDDOWN($H287,0),CM$2)))))))*10,"")</f>
        <v>0</v>
      </c>
      <c r="CN287" s="504">
        <f>IFERROR(10*AB287*'Inputs Yr 2'!AX287/((1+realdiscrt1)^-0.5),"")</f>
        <v>0</v>
      </c>
      <c r="CO287" s="505">
        <f t="shared" si="165"/>
        <v>0</v>
      </c>
      <c r="CP287" s="230">
        <f t="shared" si="166"/>
        <v>0</v>
      </c>
      <c r="CQ287" s="199">
        <f>ROUND(IFERROR(IF(LEFT($A287,1)="C",'Avoided Costs'!$K$13,'Avoided Costs'!$K$12)+1,""),4)</f>
        <v>1.0720000000000001</v>
      </c>
      <c r="CR287" s="199">
        <f>ROUND(IFERROR(IF(LEFT($A287,1)="C",'Avoided Costs'!$L$13,'Avoided Costs'!$L$12)+1,""),4)</f>
        <v>1.04</v>
      </c>
      <c r="CS287" s="199">
        <f>ROUND(IFERROR(IF(LEFT($A287,1)="C",'Avoided Costs'!$M$13,'Avoided Costs'!$M$12)+1,""),4)</f>
        <v>1.0720000000000001</v>
      </c>
      <c r="CT287" s="199">
        <f>ROUND(IFERROR(IF(LEFT($A287,1)="C",'Avoided Costs'!$N$13,'Avoided Costs'!$N$12)+1,""),4)</f>
        <v>1.04</v>
      </c>
      <c r="CU287" s="199">
        <f>ROUND(IFERROR(IF(LEFT($A287,1)="C",'Avoided Costs'!$O$13,'Avoided Costs'!$O$12)+1,""),4)</f>
        <v>1.1120000000000001</v>
      </c>
      <c r="CV287" s="199">
        <f>ROUND(IFERROR(IF(LEFT($A287,1)="C",'Avoided Costs'!$P$13,'Avoided Costs'!$P$12)+1,""),4)</f>
        <v>1.095</v>
      </c>
      <c r="CW287" s="199">
        <f>ROUND(IFERROR(IF(LEFT($A287,1)="C",'Avoided Costs'!$Q$13,'Avoided Costs'!$Q$12)+1,""),4)</f>
        <v>1.1120000000000001</v>
      </c>
      <c r="CX287" s="200">
        <f>ROUND(IFERROR(IF(LEFT($A287,1)="C",'Avoided Costs'!$R$13,'Avoided Costs'!$R$12)+1,""),4)</f>
        <v>1.1120000000000001</v>
      </c>
    </row>
    <row r="288" spans="1:102" ht="12.75" customHeight="1">
      <c r="A288" s="91" t="str">
        <f>IF('Inputs Yr 2'!$B288=0,"",'Inputs Yr 2'!A288)</f>
        <v>C - Commercial &amp; Industrial</v>
      </c>
      <c r="B288" s="91" t="str">
        <f>IF('Inputs Yr 2'!$B288=0,"",'Inputs Yr 2'!B288)</f>
        <v>C2 - C&amp;I Retrofit</v>
      </c>
      <c r="C288" s="91" t="str">
        <f>IF('Inputs Yr 2'!$B288=0,"",'Inputs Yr 2'!C288)</f>
        <v>C2a - C&amp;I Existing Building Retrofit</v>
      </c>
      <c r="D288" s="91" t="str">
        <f>IF('Inputs Yr 2'!$B288=0,"",'Inputs Yr 2'!E288)</f>
        <v>Steam Pipe Insulation, 3"</v>
      </c>
      <c r="E288" s="93" t="str">
        <f>IF('Inputs Yr 2'!$B288=0,"",'Inputs Yr 2'!F288)</f>
        <v>G16C2a29</v>
      </c>
      <c r="F288" s="93" t="str">
        <f>IF('Inputs Yr 2'!$B288=0,"",'Inputs Yr 2'!G288)</f>
        <v>HVAC</v>
      </c>
      <c r="G288" s="95" t="str">
        <f>IF('Inputs Yr 2'!$H288&lt;&gt;0,('Inputs Yr 2'!H288),"")</f>
        <v/>
      </c>
      <c r="H288" s="94">
        <f>IFERROR('Inputs Yr 2'!I288,"")</f>
        <v>15</v>
      </c>
      <c r="I288" s="298" t="str">
        <f>IFERROR('Inputs Yr 2'!J288*'Inputs Yr 2'!P288*G288,"")</f>
        <v/>
      </c>
      <c r="J288" s="298" t="str">
        <f>IFERROR('Inputs Yr 2'!K288*G288,"")</f>
        <v/>
      </c>
      <c r="K288" s="298" t="str">
        <f t="shared" si="143"/>
        <v/>
      </c>
      <c r="L288" s="194" t="str">
        <f>IFERROR(('Inputs Yr 2'!W288*G288)/1000,"")</f>
        <v/>
      </c>
      <c r="M288" s="194" t="str">
        <f>IFERROR(L288*('Inputs Yr 2'!$Q288*'Inputs Yr 2'!$V288*'Inputs Yr 2'!$R288),"")</f>
        <v/>
      </c>
      <c r="N288" s="194" t="str">
        <f t="shared" si="144"/>
        <v/>
      </c>
      <c r="O288" s="194" t="str">
        <f>IFERROR(M288*'Inputs Yr 2'!P288,"")</f>
        <v/>
      </c>
      <c r="P288" s="194" t="str">
        <f t="shared" si="145"/>
        <v/>
      </c>
      <c r="Q288" s="194" t="str">
        <f>IFERROR($P288*'Inputs Yr 2'!AA288,"")</f>
        <v/>
      </c>
      <c r="R288" s="194" t="str">
        <f>IFERROR($P288*'Inputs Yr 2'!AB288,"")</f>
        <v/>
      </c>
      <c r="S288" s="194" t="str">
        <f>IFERROR($P288*'Inputs Yr 2'!AC288,"")</f>
        <v/>
      </c>
      <c r="T288" s="194" t="str">
        <f>IFERROR($P288*'Inputs Yr 2'!AD288,"")</f>
        <v/>
      </c>
      <c r="U288" s="194" t="str">
        <f>IFERROR(G288*'Inputs Yr 2'!$AE288*'Inputs Yr 2'!$P288*'Inputs Yr 2'!$Q288,"")</f>
        <v/>
      </c>
      <c r="V288" s="194" t="str">
        <f>IFERROR($G288*'Inputs Yr 2'!$AE288*'Inputs Yr 2'!$AG288*'Inputs Yr 2'!Q288*'Inputs Yr 2'!$S288,"")</f>
        <v/>
      </c>
      <c r="W288" s="194" t="str">
        <f>IFERROR($G288*'Inputs Yr 2'!$AE288*'Inputs Yr 2'!$AG288*'Inputs Yr 2'!P288*'Inputs Yr 2'!Q288*'Inputs Yr 2'!$S288,"")</f>
        <v/>
      </c>
      <c r="X288" s="194" t="str">
        <f>IFERROR($G288*'Inputs Yr 2'!$AE288*'Inputs Yr 2'!$AF288*'Inputs Yr 2'!Q288*'Inputs Yr 2'!$T288,"")</f>
        <v/>
      </c>
      <c r="Y288" s="194" t="str">
        <f>IFERROR($G288*'Inputs Yr 2'!$AE288*'Inputs Yr 2'!$AF288*'Inputs Yr 2'!P288*'Inputs Yr 2'!Q288*'Inputs Yr 2'!$T288,"")</f>
        <v/>
      </c>
      <c r="Z288" s="257">
        <f>IFERROR($G288*'Inputs Yr 2'!$Q288*'Inputs Yr 2'!$U288*(IF(IFERROR(SEARCH("NG", 'Inputs Yr 2'!$AJ288),0),'Inputs Yr 2'!$AK288,0)+IF(IFERROR(SEARCH("NG", 'Inputs Yr 2'!$AL288),0),'Inputs Yr 2'!$AM288,0)+IF(IFERROR(SEARCH("NG", 'Inputs Yr 2'!$AN288),0),'Inputs Yr 2'!$AO288,0)),0)</f>
        <v>0</v>
      </c>
      <c r="AA288" s="257">
        <f t="shared" si="146"/>
        <v>0</v>
      </c>
      <c r="AB288" s="257">
        <f>IFERROR(Z288*'Inputs Yr 2'!$P288,0)</f>
        <v>0</v>
      </c>
      <c r="AC288" s="257">
        <f t="shared" si="147"/>
        <v>0</v>
      </c>
      <c r="AD288" s="257">
        <f>IFERROR($G288*'Inputs Yr 2'!$Q288*'Inputs Yr 2'!$U288*(IF(IFERROR(SEARCH("Oil", 'Inputs Yr 2'!$AJ288), 0),'Inputs Yr 2'!$AK288,0)+IF(IFERROR(SEARCH("Oil", 'Inputs Yr 2'!$AL288), 0),'Inputs Yr 2'!$AM288,0)+IF(IFERROR(SEARCH("Oil", 'Inputs Yr 2'!$AN288), 0),'Inputs Yr 2'!$AO288,0)),0)</f>
        <v>0</v>
      </c>
      <c r="AE288" s="257">
        <f t="shared" si="148"/>
        <v>0</v>
      </c>
      <c r="AF288" s="257">
        <f>IFERROR(AD288*'Inputs Yr 2'!$P288,0)</f>
        <v>0</v>
      </c>
      <c r="AG288" s="257">
        <f t="shared" si="149"/>
        <v>0</v>
      </c>
      <c r="AH288" s="257">
        <f>IFERROR($G288*'Inputs Yr 2'!$Q288*'Inputs Yr 2'!$U288*(IF('Inputs Yr 2'!$AJ288=CD$4,'Inputs Yr 2'!$AK288,IF('Inputs Yr 2'!$AL288=CD$4,'Inputs Yr 2'!$AM288,IF('Inputs Yr 2'!$AN288=CD$4,'Inputs Yr 2'!$AO288,0)))),0)</f>
        <v>0</v>
      </c>
      <c r="AI288" s="257">
        <f t="shared" si="150"/>
        <v>0</v>
      </c>
      <c r="AJ288" s="257">
        <f>IFERROR(AH288*'Inputs Yr 2'!$P288,0)</f>
        <v>0</v>
      </c>
      <c r="AK288" s="257">
        <f t="shared" si="151"/>
        <v>0</v>
      </c>
      <c r="AL288" s="258">
        <f>IFERROR($G288*'Inputs Yr 2'!$P288*'Inputs Yr 2'!$Q288*'Inputs Yr 2'!AP288,0)</f>
        <v>0</v>
      </c>
      <c r="AM288" s="260">
        <f>IFERROR($G288*'Inputs Yr 2'!$P288*'Inputs Yr 2'!$Q288*'Inputs Yr 2'!AQ288,0)</f>
        <v>0</v>
      </c>
      <c r="AN288" s="258">
        <f>IFERROR($G288*'Inputs Yr 2'!$P288*'Inputs Yr 2'!$Q288*'Inputs Yr 2'!AR288,0)</f>
        <v>0</v>
      </c>
      <c r="AO288" s="257">
        <f t="shared" si="152"/>
        <v>0</v>
      </c>
      <c r="AP288" s="195" t="str">
        <f>IFERROR($CQ288*(INDEX(avoidedcosttbl2,$H288,AP$2)+(($H288-ROUNDDOWN($H288,0))*(INDEX(avoidedcosttbl2,ROUNDUP($H288,0),AP$2)-(INDEX(avoidedcosttbl2,ROUNDDOWN($H288,0),AP$2)))))*$O288*1000*'Inputs Yr 2'!AA288,"")</f>
        <v/>
      </c>
      <c r="AQ288" s="195" t="str">
        <f>IFERROR($CR288*(INDEX(avoidedcosttbl2,$H288,AQ$2)+(($H288-ROUNDDOWN($H288,0))*(INDEX(avoidedcosttbl2,ROUNDUP($H288,0),AQ$2)-(INDEX(avoidedcosttbl2,ROUNDDOWN($H288,0),AQ$2)))))*$O288*1000*'Inputs Yr 2'!AB288,"")</f>
        <v/>
      </c>
      <c r="AR288" s="195" t="str">
        <f>IFERROR($CS288*(INDEX(avoidedcosttbl2,$H288,AR$2)+(($H288-ROUNDDOWN($H288,0))*(INDEX(avoidedcosttbl2,ROUNDUP($H288,0),AR$2)-(INDEX(avoidedcosttbl2,ROUNDDOWN($H288,0),AR$2)))))*$O288*1000*'Inputs Yr 2'!AC288,"")</f>
        <v/>
      </c>
      <c r="AS288" s="195" t="str">
        <f>IFERROR($CT288*(INDEX(avoidedcosttbl2,$H288,AS$2)+(($H288-ROUNDDOWN($H288,0))*(INDEX(avoidedcosttbl2,ROUNDUP($H288,0),AS$2)-(INDEX(avoidedcosttbl2,ROUNDDOWN($H288,0),AS$2)))))*$O288*1000*'Inputs Yr 2'!AD288,"")</f>
        <v/>
      </c>
      <c r="AT288" s="196">
        <f t="shared" si="153"/>
        <v>0</v>
      </c>
      <c r="AU288" s="197" t="str">
        <f>IFERROR($CQ288*((INDEX(avoidedcosttbl2,$H288,AU$2))+(($H288-ROUNDDOWN($H288,0))*((INDEX(avoidedcosttbl2,ROUNDUP($H288,0),AU$2))-(INDEX(avoidedcosttbl2,ROUNDDOWN($H288,0),AU$2)))))*$O288*1000*'Inputs Yr 2'!AA288,"")</f>
        <v/>
      </c>
      <c r="AV288" s="197" t="str">
        <f>IFERROR($CR288*((INDEX(avoidedcosttbl2,$H288,AV$2))+(($H288-ROUNDDOWN($H288,0))*((INDEX(avoidedcosttbl2,ROUNDUP($H288,0),AV$2))-(INDEX(avoidedcosttbl2,ROUNDDOWN($H288,0),AV$2)))))*$O288*1000*'Inputs Yr 2'!AB288,"")</f>
        <v/>
      </c>
      <c r="AW288" s="197" t="str">
        <f>IFERROR($CS288*((INDEX(avoidedcosttbl2,$H288,AW$2))+(($H288-ROUNDDOWN($H288,0))*((INDEX(avoidedcosttbl2,ROUNDUP($H288,0),AW$2))-(INDEX(avoidedcosttbl2,ROUNDDOWN($H288,0),AW$2)))))*$O288*1000*'Inputs Yr 2'!AC288,"")</f>
        <v/>
      </c>
      <c r="AX288" s="197" t="str">
        <f>IFERROR($CT288*((INDEX(avoidedcosttbl2,$H288,AX$2))+(($H288-ROUNDDOWN($H288,0))*((INDEX(avoidedcosttbl2,ROUNDUP($H288,0),AX$2))-(INDEX(avoidedcosttbl2,ROUNDDOWN($H288,0),AX$2)))))*$O288*1000*'Inputs Yr 2'!AD288,"")</f>
        <v/>
      </c>
      <c r="AY288" s="197" t="str">
        <f>IFERROR(((INDEX(avoidedcosttbl2,$H288,AY$2))+(($H288-ROUNDDOWN($H288,0))*((INDEX(avoidedcosttbl2,ROUNDUP($H288,0),AY$2))-(INDEX(avoidedcosttbl2,ROUNDDOWN($H288,0),AY$2)))))*$O288*1000*('Inputs Yr 2'!AC288+'Inputs Yr 2'!AD288),"")</f>
        <v/>
      </c>
      <c r="AZ288" s="197" t="str">
        <f>IFERROR(((INDEX(avoidedcosttbl2,$H288,AZ$2))+(($H288-ROUNDDOWN($H288,0))*((INDEX(avoidedcosttbl2,ROUNDUP($H288,0),AZ$2))-(INDEX(avoidedcosttbl2,ROUNDDOWN($H288,0),AZ$2)))))*$O288*1000*('Inputs Yr 2'!AA288+'Inputs Yr 2'!AB288),"")</f>
        <v/>
      </c>
      <c r="BA288" s="198">
        <f t="shared" si="154"/>
        <v>0</v>
      </c>
      <c r="BB288" s="198">
        <f t="shared" si="155"/>
        <v>0</v>
      </c>
      <c r="BC288" s="195" t="str">
        <f t="shared" si="137"/>
        <v/>
      </c>
      <c r="BD288" s="195" t="str">
        <f t="shared" si="138"/>
        <v/>
      </c>
      <c r="BE288" s="195" t="str">
        <f t="shared" si="139"/>
        <v/>
      </c>
      <c r="BF288" s="195" t="str">
        <f t="shared" si="140"/>
        <v/>
      </c>
      <c r="BG288" s="195" t="str">
        <f t="shared" si="141"/>
        <v/>
      </c>
      <c r="BH288" s="196">
        <f t="shared" si="156"/>
        <v>0</v>
      </c>
      <c r="BI288" s="196">
        <f t="shared" si="157"/>
        <v>0</v>
      </c>
      <c r="BJ288" s="195" t="str">
        <f>IFERROR($G288*(IF('Inputs Yr 2'!$AJ288=BJ$4,'Inputs Yr 2'!$AK288,IF('Inputs Yr 2'!$AL288=BJ$4,'Inputs Yr 2'!$AM288,IF('Inputs Yr 2'!$AN288=BJ$4,'Inputs Yr 2'!$AO288,0))))*(INDEX(avoidedcosttbl2,$H288,BJ$2)+(($H288-ROUNDDOWN($H288,0))*(INDEX(avoidedcosttbl2,ROUNDUP($H288,0),BJ$2)-(INDEX(avoidedcosttbl2,ROUNDDOWN($H288,0),BJ$2)))))*'Inputs Yr 2'!P288*'Inputs Yr 2'!Q288*'Inputs Yr 2'!U288,"")</f>
        <v/>
      </c>
      <c r="BK288" s="195" t="str">
        <f>IFERROR($G288*(IF('Inputs Yr 2'!$AJ288=BK$4,'Inputs Yr 2'!$AK288,IF('Inputs Yr 2'!$AL288=BK$4,'Inputs Yr 2'!$AM288,IF('Inputs Yr 2'!$AN288=BK$4,'Inputs Yr 2'!$AO288,0))))*(INDEX(avoidedcosttbl2,$H288,BK$2)+(($H288-ROUNDDOWN($H288,0))*(INDEX(avoidedcosttbl2,ROUNDUP($H288,0),BK$2)-(INDEX(avoidedcosttbl2,ROUNDDOWN($H288,0),BK$2)))))*'Inputs Yr 2'!P288*'Inputs Yr 2'!Q288*'Inputs Yr 2'!U288,"")</f>
        <v/>
      </c>
      <c r="BL288" s="195" t="str">
        <f>IFERROR($G288*(IF('Inputs Yr 2'!$AJ288=BL$4,'Inputs Yr 2'!$AK288,IF('Inputs Yr 2'!$AL288=BL$4,'Inputs Yr 2'!$AM288,IF('Inputs Yr 2'!$AN288=BL$4,'Inputs Yr 2'!$AO288,0))))*(INDEX(avoidedcosttbl2,$H288,BL$2)+(($H288-ROUNDDOWN($H288,0))*(INDEX(avoidedcosttbl2,ROUNDUP($H288,0),BL$2)-(INDEX(avoidedcosttbl2,ROUNDDOWN($H288,0),BL$2)))))*'Inputs Yr 2'!P288*'Inputs Yr 2'!Q288*'Inputs Yr 2'!U288,"")</f>
        <v/>
      </c>
      <c r="BM288" s="195" t="str">
        <f>IFERROR($G288*(IF('Inputs Yr 2'!$AJ288=BM$4,'Inputs Yr 2'!$AK288,IF('Inputs Yr 2'!$AL288=BM$4,'Inputs Yr 2'!$AM288,IF('Inputs Yr 2'!$AN288=BM$4,'Inputs Yr 2'!$AO288,0))))*(INDEX(avoidedcosttbl2,$H288,BM$2)+(($H288-ROUNDDOWN($H288,0))*(INDEX(avoidedcosttbl2,ROUNDUP($H288,0),BM$2)-(INDEX(avoidedcosttbl2,ROUNDDOWN($H288,0),BM$2)))))*'Inputs Yr 2'!P288*'Inputs Yr 2'!Q288*'Inputs Yr 2'!U288,"")</f>
        <v/>
      </c>
      <c r="BN288" s="195" t="str">
        <f>IFERROR($G288*(IF('Inputs Yr 2'!$AJ288=BN$4,'Inputs Yr 2'!$AK288,IF('Inputs Yr 2'!$AL288=BN$4,'Inputs Yr 2'!$AM288,IF('Inputs Yr 2'!$AN288=BN$4,'Inputs Yr 2'!$AO288,0))))*(INDEX(avoidedcosttbl2,$H288,BN$2)+(($H288-ROUNDDOWN($H288,0))*(INDEX(avoidedcosttbl2,ROUNDUP($H288,0),BN$2)-(INDEX(avoidedcosttbl2,ROUNDDOWN($H288,0),BN$2)))))*'Inputs Yr 2'!P288*'Inputs Yr 2'!Q288*'Inputs Yr 2'!U288,"")</f>
        <v/>
      </c>
      <c r="BO288" s="195" t="str">
        <f>IFERROR($G288*(IF('Inputs Yr 2'!$AJ288=BO$4,'Inputs Yr 2'!$AK288,IF('Inputs Yr 2'!$AL288=BO$4,'Inputs Yr 2'!$AM288,IF('Inputs Yr 2'!$AN288=BO$4,'Inputs Yr 2'!$AO288,0))))*(INDEX(avoidedcosttbl2,$H288,BO$2)+(($H288-ROUNDDOWN($H288,0))*(INDEX(avoidedcosttbl2,ROUNDUP($H288,0),BO$2)-(INDEX(avoidedcosttbl2,ROUNDDOWN($H288,0),BO$2)))))*'Inputs Yr 2'!P288*'Inputs Yr 2'!Q288*'Inputs Yr 2'!U288,"")</f>
        <v/>
      </c>
      <c r="BP288" s="195" t="str">
        <f>IFERROR($G288*(IF('Inputs Yr 2'!$AJ288=BP$4,'Inputs Yr 2'!$AK288,IF('Inputs Yr 2'!$AL288=BP$4,'Inputs Yr 2'!$AM288,IF('Inputs Yr 2'!$AN288=BP$4,'Inputs Yr 2'!$AO288,0))))*(INDEX(avoidedcosttbl2,$H288,BP$2)+(($H288-ROUNDDOWN($H288,0))*(INDEX(avoidedcosttbl2,ROUNDUP($H288,0),BP$2)-(INDEX(avoidedcosttbl2,ROUNDDOWN($H288,0),BP$2)))))*'Inputs Yr 2'!P288*'Inputs Yr 2'!Q288*'Inputs Yr 2'!U288,"")</f>
        <v/>
      </c>
      <c r="BQ288" s="230">
        <f t="shared" si="158"/>
        <v>0</v>
      </c>
      <c r="BR288" s="197">
        <f t="shared" si="142"/>
        <v>0</v>
      </c>
      <c r="BS288" s="197" t="str">
        <f>IFERROR(($G288*IF('Inputs Yr 2'!$AJ288=BM$4,'Inputs Yr 2'!$AK288,IF('Inputs Yr 2'!$AL288=BM$4,'Inputs Yr 2'!$AM288,IF('Inputs Yr 2'!$AN288=BM$4,'Inputs Yr 2'!$AO288,0))))*(INDEX(avoidedcosttbl2,$H288,BS$2)+(($H288-ROUNDDOWN($H288,0))*(INDEX(avoidedcosttbl2,ROUNDUP($H288,0),BS$2)-(INDEX(avoidedcosttbl2,ROUNDDOWN($H288,0),BS$2)))))*'Inputs Yr 2'!P288*'Inputs Yr 2'!Q288*'Inputs Yr 2'!U288,"")</f>
        <v/>
      </c>
      <c r="BT288" s="197" t="str">
        <f>IFERROR(($G288*IF('Inputs Yr 2'!$AJ288=BK$4,'Inputs Yr 2'!$AK288,IF('Inputs Yr 2'!$AL288=BK$4,'Inputs Yr 2'!$AM288,IF('Inputs Yr 2'!$AN288=BK$4,'Inputs Yr 2'!$AO288,0))))*(INDEX(avoidedcosttbl2,$H288,BT$2)+(($H288-ROUNDDOWN($H288,0))*(INDEX(avoidedcosttbl2,ROUNDUP($H288,0),BT$2)-(INDEX(avoidedcosttbl2,ROUNDDOWN($H288,0),BT$2)))))*'Inputs Yr 2'!P288*'Inputs Yr 2'!Q288*'Inputs Yr 2'!U288,"")</f>
        <v/>
      </c>
      <c r="BU288" s="197" t="str">
        <f>IFERROR(($G288*IF('Inputs Yr 2'!$AJ288=BL$4,'Inputs Yr 2'!$AK288,IF('Inputs Yr 2'!$AL288=BL$4,'Inputs Yr 2'!$AM288,IF('Inputs Yr 2'!$AN288=BL$4,'Inputs Yr 2'!$AO288,0))))*(INDEX(avoidedcosttbl2,$H288,BU$2)+(($H288-ROUNDDOWN($H288,0))*(INDEX(avoidedcosttbl2,ROUNDUP($H288,0),BU$2)-(INDEX(avoidedcosttbl2,ROUNDDOWN($H288,0),BU$2)))))*'Inputs Yr 2'!P288*'Inputs Yr 2'!Q288*'Inputs Yr 2'!U288,"")</f>
        <v/>
      </c>
      <c r="BV288" s="775" t="str">
        <f>IFERROR(($G288*IF('Inputs Yr 2'!$AJ288=BJ$4,'Inputs Yr 2'!$AK288,IF('Inputs Yr 2'!$AL288=BJ$4,'Inputs Yr 2'!$AM288,IF('Inputs Yr 2'!$AN288=BJ$4,'Inputs Yr 2'!$AO288,0))))*(INDEX(avoidedcosttbl2,$H288,BV$2)+(($H288-ROUNDDOWN($H288,0))*(INDEX(avoidedcosttbl2,ROUNDUP($H288,0),BV$2)-(INDEX(avoidedcosttbl2,ROUNDDOWN($H288,0),BV$2)))))*'Inputs Yr 2'!P288*'Inputs Yr 2'!Q288*'Inputs Yr 2'!U288,"")</f>
        <v/>
      </c>
      <c r="BW288" s="197" t="str">
        <f>IFERROR(($G288*IF('Inputs Yr 2'!$AJ288=BN$4,'Inputs Yr 2'!$AK288,IF('Inputs Yr 2'!$AL288=BN$4,'Inputs Yr 2'!$AM288,IF('Inputs Yr 2'!$AN288=BN$4,'Inputs Yr 2'!$AO288,0))))*(INDEX(avoidedcosttbl2,$H288,BW$2)+(($H288-ROUNDDOWN($H288,0))*(INDEX(avoidedcosttbl2,ROUNDUP($H288,0),BW$2)-(INDEX(avoidedcosttbl2,ROUNDDOWN($H288,0),BW$2)))))*'Inputs Yr 2'!P288*'Inputs Yr 2'!Q288*'Inputs Yr 2'!U288,"")</f>
        <v/>
      </c>
      <c r="BX288" s="197" t="str">
        <f>IFERROR(($G288*IF('Inputs Yr 2'!$AJ288=BO$4,'Inputs Yr 2'!$AK288,IF('Inputs Yr 2'!$AL288=BO$4,'Inputs Yr 2'!$AM288,IF('Inputs Yr 2'!$AN288=BO$4,'Inputs Yr 2'!$AO288,0))))*(INDEX(avoidedcosttbl2,$H288,BX$2)+(($H288-ROUNDDOWN($H288,0))*(INDEX(avoidedcosttbl2,ROUNDUP($H288,0),BX$2)-(INDEX(avoidedcosttbl2,ROUNDDOWN($H288,0),BX$2)))))*'Inputs Yr 2'!P288*'Inputs Yr 2'!Q288*'Inputs Yr 2'!U288,"")</f>
        <v/>
      </c>
      <c r="BY288" s="197" t="str">
        <f>IFERROR(($G288*IF('Inputs Yr 2'!$AJ288=BP$4,'Inputs Yr 2'!$AK288,IF('Inputs Yr 2'!$AL288=BP$4,'Inputs Yr 2'!$AM288,IF('Inputs Yr 2'!$AN288=BP$4,'Inputs Yr 2'!$AO288,0))))*(INDEX(avoidedcosttbl2,$H288,BY$2)+(($H288-ROUNDDOWN($H288,0))*(INDEX(avoidedcosttbl2,ROUNDUP($H288,0),BY$2)-(INDEX(avoidedcosttbl2,ROUNDDOWN($H288,0),BY$2)))))*'Inputs Yr 2'!P288*'Inputs Yr 2'!Q288*'Inputs Yr 2'!U288,"")</f>
        <v/>
      </c>
      <c r="BZ288" s="193">
        <f t="shared" si="159"/>
        <v>0</v>
      </c>
      <c r="CA288" s="193">
        <f t="shared" si="160"/>
        <v>0</v>
      </c>
      <c r="CB288" s="195" t="str">
        <f>IFERROR(G288*(IF('Inputs Yr 2'!$AJ288=CB$4,'Inputs Yr 2'!$AK288,IF('Inputs Yr 2'!$AL288=CB$4,'Inputs Yr 2'!$AM288,IF('Inputs Yr 2'!$AN288=CB$4,'Inputs Yr 2'!$AO288,0))))*(INDEX(avoidedcosttbl2,$H288,CB$2)+(($H288-ROUNDDOWN($H288,0))*(INDEX(avoidedcosttbl2,ROUNDUP($H288,0),CB$2)-(INDEX(avoidedcosttbl2,ROUNDDOWN($H288,0),CB$2)))))*'Inputs Yr 2'!P288*'Inputs Yr 2'!Q288*'Inputs Yr 2'!U288,"")</f>
        <v/>
      </c>
      <c r="CC288" s="195">
        <f>IFERROR(H288*(IF('Inputs Yr 2'!$AJ288=CC$4,'Inputs Yr 2'!$AK288,IF('Inputs Yr 2'!$AL288=CC$4,'Inputs Yr 2'!$AM288,IF('Inputs Yr 2'!$AN288=CC$4,'Inputs Yr 2'!$AO288,0))))*(INDEX(avoidedcosttbl2,$H288,CC$2)+(($H288-ROUNDDOWN($H288,0))*(INDEX(avoidedcosttbl2,ROUNDUP($H288,0),CC$2)-(INDEX(avoidedcosttbl2,ROUNDDOWN($H288,0),CC$2)))))*'Inputs Yr 2'!Q288*'Inputs Yr 2'!R288*'Inputs Yr 2'!V288,"")</f>
        <v>0</v>
      </c>
      <c r="CD288" s="195" t="str">
        <f>IFERROR(I288*(IF('Inputs Yr 2'!$AJ288=CD$4,'Inputs Yr 2'!$AK288,IF('Inputs Yr 2'!$AL288=CD$4,'Inputs Yr 2'!$AM288,IF('Inputs Yr 2'!$AN288=CD$4,'Inputs Yr 2'!$AO288,0))))*(INDEX(avoidedcosttbl2,$H288,CD$2)+(($H288-ROUNDDOWN($H288,0))*(INDEX(avoidedcosttbl2,ROUNDUP($H288,0),CD$2)-(INDEX(avoidedcosttbl2,ROUNDDOWN($H288,0),CD$2)))))*'Inputs Yr 2'!R288*'Inputs Yr 2'!S288*'Inputs Yr 2'!W288,"")</f>
        <v/>
      </c>
      <c r="CE288" s="213">
        <f t="shared" si="161"/>
        <v>0</v>
      </c>
      <c r="CF288" s="213">
        <f t="shared" si="162"/>
        <v>0</v>
      </c>
      <c r="CG288" s="213">
        <f t="shared" si="163"/>
        <v>0</v>
      </c>
      <c r="CH288" s="698">
        <f t="shared" si="164"/>
        <v>0</v>
      </c>
      <c r="CI288" s="79" t="str">
        <f>IFERROR(($G288*'Inputs Yr 2'!$P288*'Inputs Yr 2'!$Q288*(((INDEX(avoidedcosttbl2,$H288,CI$2)+(($H288-ROUNDDOWN($H288,0))*(INDEX(avoidedcosttbl2,ROUNDUP($H288,0),CI$2)-INDEX(avoidedcosttbl2,ROUNDDOWN($H288,0),CI$2))))*'Inputs Yr 2'!AS288))),"")</f>
        <v/>
      </c>
      <c r="CJ288" s="504" t="str">
        <f>IFERROR($G288*'Inputs Yr 2'!AT288*'Inputs Yr 2'!$P288*'Inputs Yr 2'!$Q288/((1+realdiscrt1)^-0.5),"")</f>
        <v/>
      </c>
      <c r="CK288" s="79" t="str">
        <f>IFERROR((O288*1000*(((INDEX(avoidedcosttbl2,$H288,CK$2)+(($H288-ROUNDDOWN($H288,0))*(INDEX(avoidedcosttbl2,ROUNDUP($H288,0),CK$2)-INDEX(avoidedcosttbl2,ROUNDDOWN($H288,0),CK$2))))*'Inputs Yr 2'!AU288))),"")</f>
        <v/>
      </c>
      <c r="CL288" s="504" t="str">
        <f>IFERROR(O288*1000*'Inputs Yr 2'!AV288/((1+realdiscrt1)^-0.5),"")</f>
        <v/>
      </c>
      <c r="CM288" s="79">
        <f>IFERROR((AB288*'Inputs Yr 2'!AW288*(((INDEX(avoidedcosttbl2,$H288,CM$2)+(($H288-ROUNDDOWN($H288,0))*(INDEX(avoidedcosttbl2,ROUNDUP($H288,0),CM$2)-INDEX(avoidedcosttbl2,ROUNDDOWN($H288,0),CM$2)))))))*10,"")</f>
        <v>0</v>
      </c>
      <c r="CN288" s="504">
        <f>IFERROR(10*AB288*'Inputs Yr 2'!AX288/((1+realdiscrt1)^-0.5),"")</f>
        <v>0</v>
      </c>
      <c r="CO288" s="505">
        <f t="shared" si="165"/>
        <v>0</v>
      </c>
      <c r="CP288" s="230">
        <f t="shared" si="166"/>
        <v>0</v>
      </c>
      <c r="CQ288" s="199">
        <f>ROUND(IFERROR(IF(LEFT($A288,1)="C",'Avoided Costs'!$K$13,'Avoided Costs'!$K$12)+1,""),4)</f>
        <v>1.0720000000000001</v>
      </c>
      <c r="CR288" s="199">
        <f>ROUND(IFERROR(IF(LEFT($A288,1)="C",'Avoided Costs'!$L$13,'Avoided Costs'!$L$12)+1,""),4)</f>
        <v>1.04</v>
      </c>
      <c r="CS288" s="199">
        <f>ROUND(IFERROR(IF(LEFT($A288,1)="C",'Avoided Costs'!$M$13,'Avoided Costs'!$M$12)+1,""),4)</f>
        <v>1.0720000000000001</v>
      </c>
      <c r="CT288" s="199">
        <f>ROUND(IFERROR(IF(LEFT($A288,1)="C",'Avoided Costs'!$N$13,'Avoided Costs'!$N$12)+1,""),4)</f>
        <v>1.04</v>
      </c>
      <c r="CU288" s="199">
        <f>ROUND(IFERROR(IF(LEFT($A288,1)="C",'Avoided Costs'!$O$13,'Avoided Costs'!$O$12)+1,""),4)</f>
        <v>1.1120000000000001</v>
      </c>
      <c r="CV288" s="199">
        <f>ROUND(IFERROR(IF(LEFT($A288,1)="C",'Avoided Costs'!$P$13,'Avoided Costs'!$P$12)+1,""),4)</f>
        <v>1.095</v>
      </c>
      <c r="CW288" s="199">
        <f>ROUND(IFERROR(IF(LEFT($A288,1)="C",'Avoided Costs'!$Q$13,'Avoided Costs'!$Q$12)+1,""),4)</f>
        <v>1.1120000000000001</v>
      </c>
      <c r="CX288" s="200">
        <f>ROUND(IFERROR(IF(LEFT($A288,1)="C",'Avoided Costs'!$R$13,'Avoided Costs'!$R$12)+1,""),4)</f>
        <v>1.1120000000000001</v>
      </c>
    </row>
    <row r="289" spans="1:102" ht="12.75" customHeight="1">
      <c r="A289" s="91" t="str">
        <f>IF('Inputs Yr 2'!$B289=0,"",'Inputs Yr 2'!A289)</f>
        <v>C - Commercial &amp; Industrial</v>
      </c>
      <c r="B289" s="91" t="str">
        <f>IF('Inputs Yr 2'!$B289=0,"",'Inputs Yr 2'!B289)</f>
        <v>C2 - C&amp;I Retrofit</v>
      </c>
      <c r="C289" s="91" t="str">
        <f>IF('Inputs Yr 2'!$B289=0,"",'Inputs Yr 2'!C289)</f>
        <v>C2a - C&amp;I Existing Building Retrofit</v>
      </c>
      <c r="D289" s="91" t="str">
        <f>IF('Inputs Yr 2'!$B289=0,"",'Inputs Yr 2'!E289)</f>
        <v>Ozonated Laundry - Custom</v>
      </c>
      <c r="E289" s="93" t="str">
        <f>IF('Inputs Yr 2'!$B289=0,"",'Inputs Yr 2'!F289)</f>
        <v>G16C2a30</v>
      </c>
      <c r="F289" s="93" t="str">
        <f>IF('Inputs Yr 2'!$B289=0,"",'Inputs Yr 2'!G289)</f>
        <v>Hot Water</v>
      </c>
      <c r="G289" s="95" t="str">
        <f>IF('Inputs Yr 2'!$H289&lt;&gt;0,('Inputs Yr 2'!H289),"")</f>
        <v/>
      </c>
      <c r="H289" s="94">
        <f>IFERROR('Inputs Yr 2'!I289,"")</f>
        <v>10</v>
      </c>
      <c r="I289" s="298" t="str">
        <f>IFERROR('Inputs Yr 2'!J289*'Inputs Yr 2'!P289*G289,"")</f>
        <v/>
      </c>
      <c r="J289" s="298" t="str">
        <f>IFERROR('Inputs Yr 2'!K289*G289,"")</f>
        <v/>
      </c>
      <c r="K289" s="298" t="str">
        <f t="shared" si="143"/>
        <v/>
      </c>
      <c r="L289" s="194" t="str">
        <f>IFERROR(('Inputs Yr 2'!W289*G289)/1000,"")</f>
        <v/>
      </c>
      <c r="M289" s="194" t="str">
        <f>IFERROR(L289*('Inputs Yr 2'!$Q289*'Inputs Yr 2'!$V289*'Inputs Yr 2'!$R289),"")</f>
        <v/>
      </c>
      <c r="N289" s="194" t="str">
        <f t="shared" si="144"/>
        <v/>
      </c>
      <c r="O289" s="194" t="str">
        <f>IFERROR(M289*'Inputs Yr 2'!P289,"")</f>
        <v/>
      </c>
      <c r="P289" s="194" t="str">
        <f t="shared" si="145"/>
        <v/>
      </c>
      <c r="Q289" s="194" t="str">
        <f>IFERROR($P289*'Inputs Yr 2'!AA289,"")</f>
        <v/>
      </c>
      <c r="R289" s="194" t="str">
        <f>IFERROR($P289*'Inputs Yr 2'!AB289,"")</f>
        <v/>
      </c>
      <c r="S289" s="194" t="str">
        <f>IFERROR($P289*'Inputs Yr 2'!AC289,"")</f>
        <v/>
      </c>
      <c r="T289" s="194" t="str">
        <f>IFERROR($P289*'Inputs Yr 2'!AD289,"")</f>
        <v/>
      </c>
      <c r="U289" s="194" t="str">
        <f>IFERROR(G289*'Inputs Yr 2'!$AE289*'Inputs Yr 2'!$P289*'Inputs Yr 2'!$Q289,"")</f>
        <v/>
      </c>
      <c r="V289" s="194" t="str">
        <f>IFERROR($G289*'Inputs Yr 2'!$AE289*'Inputs Yr 2'!$AG289*'Inputs Yr 2'!Q289*'Inputs Yr 2'!$S289,"")</f>
        <v/>
      </c>
      <c r="W289" s="194" t="str">
        <f>IFERROR($G289*'Inputs Yr 2'!$AE289*'Inputs Yr 2'!$AG289*'Inputs Yr 2'!P289*'Inputs Yr 2'!Q289*'Inputs Yr 2'!$S289,"")</f>
        <v/>
      </c>
      <c r="X289" s="194" t="str">
        <f>IFERROR($G289*'Inputs Yr 2'!$AE289*'Inputs Yr 2'!$AF289*'Inputs Yr 2'!Q289*'Inputs Yr 2'!$T289,"")</f>
        <v/>
      </c>
      <c r="Y289" s="194" t="str">
        <f>IFERROR($G289*'Inputs Yr 2'!$AE289*'Inputs Yr 2'!$AF289*'Inputs Yr 2'!P289*'Inputs Yr 2'!Q289*'Inputs Yr 2'!$T289,"")</f>
        <v/>
      </c>
      <c r="Z289" s="257">
        <f>IFERROR($G289*'Inputs Yr 2'!$Q289*'Inputs Yr 2'!$U289*(IF(IFERROR(SEARCH("NG", 'Inputs Yr 2'!$AJ289),0),'Inputs Yr 2'!$AK289,0)+IF(IFERROR(SEARCH("NG", 'Inputs Yr 2'!$AL289),0),'Inputs Yr 2'!$AM289,0)+IF(IFERROR(SEARCH("NG", 'Inputs Yr 2'!$AN289),0),'Inputs Yr 2'!$AO289,0)),0)</f>
        <v>0</v>
      </c>
      <c r="AA289" s="257">
        <f t="shared" si="146"/>
        <v>0</v>
      </c>
      <c r="AB289" s="257">
        <f>IFERROR(Z289*'Inputs Yr 2'!$P289,0)</f>
        <v>0</v>
      </c>
      <c r="AC289" s="257">
        <f t="shared" si="147"/>
        <v>0</v>
      </c>
      <c r="AD289" s="257">
        <f>IFERROR($G289*'Inputs Yr 2'!$Q289*'Inputs Yr 2'!$U289*(IF(IFERROR(SEARCH("Oil", 'Inputs Yr 2'!$AJ289), 0),'Inputs Yr 2'!$AK289,0)+IF(IFERROR(SEARCH("Oil", 'Inputs Yr 2'!$AL289), 0),'Inputs Yr 2'!$AM289,0)+IF(IFERROR(SEARCH("Oil", 'Inputs Yr 2'!$AN289), 0),'Inputs Yr 2'!$AO289,0)),0)</f>
        <v>0</v>
      </c>
      <c r="AE289" s="257">
        <f t="shared" si="148"/>
        <v>0</v>
      </c>
      <c r="AF289" s="257">
        <f>IFERROR(AD289*'Inputs Yr 2'!$P289,0)</f>
        <v>0</v>
      </c>
      <c r="AG289" s="257">
        <f t="shared" si="149"/>
        <v>0</v>
      </c>
      <c r="AH289" s="257">
        <f>IFERROR($G289*'Inputs Yr 2'!$Q289*'Inputs Yr 2'!$U289*(IF('Inputs Yr 2'!$AJ289=CD$4,'Inputs Yr 2'!$AK289,IF('Inputs Yr 2'!$AL289=CD$4,'Inputs Yr 2'!$AM289,IF('Inputs Yr 2'!$AN289=CD$4,'Inputs Yr 2'!$AO289,0)))),0)</f>
        <v>0</v>
      </c>
      <c r="AI289" s="257">
        <f t="shared" si="150"/>
        <v>0</v>
      </c>
      <c r="AJ289" s="257">
        <f>IFERROR(AH289*'Inputs Yr 2'!$P289,0)</f>
        <v>0</v>
      </c>
      <c r="AK289" s="257">
        <f t="shared" si="151"/>
        <v>0</v>
      </c>
      <c r="AL289" s="258">
        <f>IFERROR($G289*'Inputs Yr 2'!$P289*'Inputs Yr 2'!$Q289*'Inputs Yr 2'!AP289,0)</f>
        <v>0</v>
      </c>
      <c r="AM289" s="260">
        <f>IFERROR($G289*'Inputs Yr 2'!$P289*'Inputs Yr 2'!$Q289*'Inputs Yr 2'!AQ289,0)</f>
        <v>0</v>
      </c>
      <c r="AN289" s="258">
        <f>IFERROR($G289*'Inputs Yr 2'!$P289*'Inputs Yr 2'!$Q289*'Inputs Yr 2'!AR289,0)</f>
        <v>0</v>
      </c>
      <c r="AO289" s="257">
        <f t="shared" si="152"/>
        <v>0</v>
      </c>
      <c r="AP289" s="195" t="str">
        <f>IFERROR($CQ289*(INDEX(avoidedcosttbl2,$H289,AP$2)+(($H289-ROUNDDOWN($H289,0))*(INDEX(avoidedcosttbl2,ROUNDUP($H289,0),AP$2)-(INDEX(avoidedcosttbl2,ROUNDDOWN($H289,0),AP$2)))))*$O289*1000*'Inputs Yr 2'!AA289,"")</f>
        <v/>
      </c>
      <c r="AQ289" s="195" t="str">
        <f>IFERROR($CR289*(INDEX(avoidedcosttbl2,$H289,AQ$2)+(($H289-ROUNDDOWN($H289,0))*(INDEX(avoidedcosttbl2,ROUNDUP($H289,0),AQ$2)-(INDEX(avoidedcosttbl2,ROUNDDOWN($H289,0),AQ$2)))))*$O289*1000*'Inputs Yr 2'!AB289,"")</f>
        <v/>
      </c>
      <c r="AR289" s="195" t="str">
        <f>IFERROR($CS289*(INDEX(avoidedcosttbl2,$H289,AR$2)+(($H289-ROUNDDOWN($H289,0))*(INDEX(avoidedcosttbl2,ROUNDUP($H289,0),AR$2)-(INDEX(avoidedcosttbl2,ROUNDDOWN($H289,0),AR$2)))))*$O289*1000*'Inputs Yr 2'!AC289,"")</f>
        <v/>
      </c>
      <c r="AS289" s="195" t="str">
        <f>IFERROR($CT289*(INDEX(avoidedcosttbl2,$H289,AS$2)+(($H289-ROUNDDOWN($H289,0))*(INDEX(avoidedcosttbl2,ROUNDUP($H289,0),AS$2)-(INDEX(avoidedcosttbl2,ROUNDDOWN($H289,0),AS$2)))))*$O289*1000*'Inputs Yr 2'!AD289,"")</f>
        <v/>
      </c>
      <c r="AT289" s="196">
        <f t="shared" si="153"/>
        <v>0</v>
      </c>
      <c r="AU289" s="197" t="str">
        <f>IFERROR($CQ289*((INDEX(avoidedcosttbl2,$H289,AU$2))+(($H289-ROUNDDOWN($H289,0))*((INDEX(avoidedcosttbl2,ROUNDUP($H289,0),AU$2))-(INDEX(avoidedcosttbl2,ROUNDDOWN($H289,0),AU$2)))))*$O289*1000*'Inputs Yr 2'!AA289,"")</f>
        <v/>
      </c>
      <c r="AV289" s="197" t="str">
        <f>IFERROR($CR289*((INDEX(avoidedcosttbl2,$H289,AV$2))+(($H289-ROUNDDOWN($H289,0))*((INDEX(avoidedcosttbl2,ROUNDUP($H289,0),AV$2))-(INDEX(avoidedcosttbl2,ROUNDDOWN($H289,0),AV$2)))))*$O289*1000*'Inputs Yr 2'!AB289,"")</f>
        <v/>
      </c>
      <c r="AW289" s="197" t="str">
        <f>IFERROR($CS289*((INDEX(avoidedcosttbl2,$H289,AW$2))+(($H289-ROUNDDOWN($H289,0))*((INDEX(avoidedcosttbl2,ROUNDUP($H289,0),AW$2))-(INDEX(avoidedcosttbl2,ROUNDDOWN($H289,0),AW$2)))))*$O289*1000*'Inputs Yr 2'!AC289,"")</f>
        <v/>
      </c>
      <c r="AX289" s="197" t="str">
        <f>IFERROR($CT289*((INDEX(avoidedcosttbl2,$H289,AX$2))+(($H289-ROUNDDOWN($H289,0))*((INDEX(avoidedcosttbl2,ROUNDUP($H289,0),AX$2))-(INDEX(avoidedcosttbl2,ROUNDDOWN($H289,0),AX$2)))))*$O289*1000*'Inputs Yr 2'!AD289,"")</f>
        <v/>
      </c>
      <c r="AY289" s="197" t="str">
        <f>IFERROR(((INDEX(avoidedcosttbl2,$H289,AY$2))+(($H289-ROUNDDOWN($H289,0))*((INDEX(avoidedcosttbl2,ROUNDUP($H289,0),AY$2))-(INDEX(avoidedcosttbl2,ROUNDDOWN($H289,0),AY$2)))))*$O289*1000*('Inputs Yr 2'!AC289+'Inputs Yr 2'!AD289),"")</f>
        <v/>
      </c>
      <c r="AZ289" s="197" t="str">
        <f>IFERROR(((INDEX(avoidedcosttbl2,$H289,AZ$2))+(($H289-ROUNDDOWN($H289,0))*((INDEX(avoidedcosttbl2,ROUNDUP($H289,0),AZ$2))-(INDEX(avoidedcosttbl2,ROUNDDOWN($H289,0),AZ$2)))))*$O289*1000*('Inputs Yr 2'!AA289+'Inputs Yr 2'!AB289),"")</f>
        <v/>
      </c>
      <c r="BA289" s="198">
        <f t="shared" si="154"/>
        <v>0</v>
      </c>
      <c r="BB289" s="198">
        <f t="shared" si="155"/>
        <v>0</v>
      </c>
      <c r="BC289" s="195" t="str">
        <f t="shared" si="137"/>
        <v/>
      </c>
      <c r="BD289" s="195" t="str">
        <f t="shared" si="138"/>
        <v/>
      </c>
      <c r="BE289" s="195" t="str">
        <f t="shared" si="139"/>
        <v/>
      </c>
      <c r="BF289" s="195" t="str">
        <f t="shared" si="140"/>
        <v/>
      </c>
      <c r="BG289" s="195" t="str">
        <f t="shared" si="141"/>
        <v/>
      </c>
      <c r="BH289" s="196">
        <f t="shared" si="156"/>
        <v>0</v>
      </c>
      <c r="BI289" s="196">
        <f t="shared" si="157"/>
        <v>0</v>
      </c>
      <c r="BJ289" s="195" t="str">
        <f>IFERROR($G289*(IF('Inputs Yr 2'!$AJ289=BJ$4,'Inputs Yr 2'!$AK289,IF('Inputs Yr 2'!$AL289=BJ$4,'Inputs Yr 2'!$AM289,IF('Inputs Yr 2'!$AN289=BJ$4,'Inputs Yr 2'!$AO289,0))))*(INDEX(avoidedcosttbl2,$H289,BJ$2)+(($H289-ROUNDDOWN($H289,0))*(INDEX(avoidedcosttbl2,ROUNDUP($H289,0),BJ$2)-(INDEX(avoidedcosttbl2,ROUNDDOWN($H289,0),BJ$2)))))*'Inputs Yr 2'!P289*'Inputs Yr 2'!Q289*'Inputs Yr 2'!U289,"")</f>
        <v/>
      </c>
      <c r="BK289" s="195" t="str">
        <f>IFERROR($G289*(IF('Inputs Yr 2'!$AJ289=BK$4,'Inputs Yr 2'!$AK289,IF('Inputs Yr 2'!$AL289=BK$4,'Inputs Yr 2'!$AM289,IF('Inputs Yr 2'!$AN289=BK$4,'Inputs Yr 2'!$AO289,0))))*(INDEX(avoidedcosttbl2,$H289,BK$2)+(($H289-ROUNDDOWN($H289,0))*(INDEX(avoidedcosttbl2,ROUNDUP($H289,0),BK$2)-(INDEX(avoidedcosttbl2,ROUNDDOWN($H289,0),BK$2)))))*'Inputs Yr 2'!P289*'Inputs Yr 2'!Q289*'Inputs Yr 2'!U289,"")</f>
        <v/>
      </c>
      <c r="BL289" s="195" t="str">
        <f>IFERROR($G289*(IF('Inputs Yr 2'!$AJ289=BL$4,'Inputs Yr 2'!$AK289,IF('Inputs Yr 2'!$AL289=BL$4,'Inputs Yr 2'!$AM289,IF('Inputs Yr 2'!$AN289=BL$4,'Inputs Yr 2'!$AO289,0))))*(INDEX(avoidedcosttbl2,$H289,BL$2)+(($H289-ROUNDDOWN($H289,0))*(INDEX(avoidedcosttbl2,ROUNDUP($H289,0),BL$2)-(INDEX(avoidedcosttbl2,ROUNDDOWN($H289,0),BL$2)))))*'Inputs Yr 2'!P289*'Inputs Yr 2'!Q289*'Inputs Yr 2'!U289,"")</f>
        <v/>
      </c>
      <c r="BM289" s="195" t="str">
        <f>IFERROR($G289*(IF('Inputs Yr 2'!$AJ289=BM$4,'Inputs Yr 2'!$AK289,IF('Inputs Yr 2'!$AL289=BM$4,'Inputs Yr 2'!$AM289,IF('Inputs Yr 2'!$AN289=BM$4,'Inputs Yr 2'!$AO289,0))))*(INDEX(avoidedcosttbl2,$H289,BM$2)+(($H289-ROUNDDOWN($H289,0))*(INDEX(avoidedcosttbl2,ROUNDUP($H289,0),BM$2)-(INDEX(avoidedcosttbl2,ROUNDDOWN($H289,0),BM$2)))))*'Inputs Yr 2'!P289*'Inputs Yr 2'!Q289*'Inputs Yr 2'!U289,"")</f>
        <v/>
      </c>
      <c r="BN289" s="195" t="str">
        <f>IFERROR($G289*(IF('Inputs Yr 2'!$AJ289=BN$4,'Inputs Yr 2'!$AK289,IF('Inputs Yr 2'!$AL289=BN$4,'Inputs Yr 2'!$AM289,IF('Inputs Yr 2'!$AN289=BN$4,'Inputs Yr 2'!$AO289,0))))*(INDEX(avoidedcosttbl2,$H289,BN$2)+(($H289-ROUNDDOWN($H289,0))*(INDEX(avoidedcosttbl2,ROUNDUP($H289,0),BN$2)-(INDEX(avoidedcosttbl2,ROUNDDOWN($H289,0),BN$2)))))*'Inputs Yr 2'!P289*'Inputs Yr 2'!Q289*'Inputs Yr 2'!U289,"")</f>
        <v/>
      </c>
      <c r="BO289" s="195" t="str">
        <f>IFERROR($G289*(IF('Inputs Yr 2'!$AJ289=BO$4,'Inputs Yr 2'!$AK289,IF('Inputs Yr 2'!$AL289=BO$4,'Inputs Yr 2'!$AM289,IF('Inputs Yr 2'!$AN289=BO$4,'Inputs Yr 2'!$AO289,0))))*(INDEX(avoidedcosttbl2,$H289,BO$2)+(($H289-ROUNDDOWN($H289,0))*(INDEX(avoidedcosttbl2,ROUNDUP($H289,0),BO$2)-(INDEX(avoidedcosttbl2,ROUNDDOWN($H289,0),BO$2)))))*'Inputs Yr 2'!P289*'Inputs Yr 2'!Q289*'Inputs Yr 2'!U289,"")</f>
        <v/>
      </c>
      <c r="BP289" s="195" t="str">
        <f>IFERROR($G289*(IF('Inputs Yr 2'!$AJ289=BP$4,'Inputs Yr 2'!$AK289,IF('Inputs Yr 2'!$AL289=BP$4,'Inputs Yr 2'!$AM289,IF('Inputs Yr 2'!$AN289=BP$4,'Inputs Yr 2'!$AO289,0))))*(INDEX(avoidedcosttbl2,$H289,BP$2)+(($H289-ROUNDDOWN($H289,0))*(INDEX(avoidedcosttbl2,ROUNDUP($H289,0),BP$2)-(INDEX(avoidedcosttbl2,ROUNDDOWN($H289,0),BP$2)))))*'Inputs Yr 2'!P289*'Inputs Yr 2'!Q289*'Inputs Yr 2'!U289,"")</f>
        <v/>
      </c>
      <c r="BQ289" s="230">
        <f t="shared" si="158"/>
        <v>0</v>
      </c>
      <c r="BR289" s="197">
        <f t="shared" si="142"/>
        <v>0</v>
      </c>
      <c r="BS289" s="197" t="str">
        <f>IFERROR(($G289*IF('Inputs Yr 2'!$AJ289=BM$4,'Inputs Yr 2'!$AK289,IF('Inputs Yr 2'!$AL289=BM$4,'Inputs Yr 2'!$AM289,IF('Inputs Yr 2'!$AN289=BM$4,'Inputs Yr 2'!$AO289,0))))*(INDEX(avoidedcosttbl2,$H289,BS$2)+(($H289-ROUNDDOWN($H289,0))*(INDEX(avoidedcosttbl2,ROUNDUP($H289,0),BS$2)-(INDEX(avoidedcosttbl2,ROUNDDOWN($H289,0),BS$2)))))*'Inputs Yr 2'!P289*'Inputs Yr 2'!Q289*'Inputs Yr 2'!U289,"")</f>
        <v/>
      </c>
      <c r="BT289" s="197" t="str">
        <f>IFERROR(($G289*IF('Inputs Yr 2'!$AJ289=BK$4,'Inputs Yr 2'!$AK289,IF('Inputs Yr 2'!$AL289=BK$4,'Inputs Yr 2'!$AM289,IF('Inputs Yr 2'!$AN289=BK$4,'Inputs Yr 2'!$AO289,0))))*(INDEX(avoidedcosttbl2,$H289,BT$2)+(($H289-ROUNDDOWN($H289,0))*(INDEX(avoidedcosttbl2,ROUNDUP($H289,0),BT$2)-(INDEX(avoidedcosttbl2,ROUNDDOWN($H289,0),BT$2)))))*'Inputs Yr 2'!P289*'Inputs Yr 2'!Q289*'Inputs Yr 2'!U289,"")</f>
        <v/>
      </c>
      <c r="BU289" s="197" t="str">
        <f>IFERROR(($G289*IF('Inputs Yr 2'!$AJ289=BL$4,'Inputs Yr 2'!$AK289,IF('Inputs Yr 2'!$AL289=BL$4,'Inputs Yr 2'!$AM289,IF('Inputs Yr 2'!$AN289=BL$4,'Inputs Yr 2'!$AO289,0))))*(INDEX(avoidedcosttbl2,$H289,BU$2)+(($H289-ROUNDDOWN($H289,0))*(INDEX(avoidedcosttbl2,ROUNDUP($H289,0),BU$2)-(INDEX(avoidedcosttbl2,ROUNDDOWN($H289,0),BU$2)))))*'Inputs Yr 2'!P289*'Inputs Yr 2'!Q289*'Inputs Yr 2'!U289,"")</f>
        <v/>
      </c>
      <c r="BV289" s="775" t="str">
        <f>IFERROR(($G289*IF('Inputs Yr 2'!$AJ289=BJ$4,'Inputs Yr 2'!$AK289,IF('Inputs Yr 2'!$AL289=BJ$4,'Inputs Yr 2'!$AM289,IF('Inputs Yr 2'!$AN289=BJ$4,'Inputs Yr 2'!$AO289,0))))*(INDEX(avoidedcosttbl2,$H289,BV$2)+(($H289-ROUNDDOWN($H289,0))*(INDEX(avoidedcosttbl2,ROUNDUP($H289,0),BV$2)-(INDEX(avoidedcosttbl2,ROUNDDOWN($H289,0),BV$2)))))*'Inputs Yr 2'!P289*'Inputs Yr 2'!Q289*'Inputs Yr 2'!U289,"")</f>
        <v/>
      </c>
      <c r="BW289" s="197" t="str">
        <f>IFERROR(($G289*IF('Inputs Yr 2'!$AJ289=BN$4,'Inputs Yr 2'!$AK289,IF('Inputs Yr 2'!$AL289=BN$4,'Inputs Yr 2'!$AM289,IF('Inputs Yr 2'!$AN289=BN$4,'Inputs Yr 2'!$AO289,0))))*(INDEX(avoidedcosttbl2,$H289,BW$2)+(($H289-ROUNDDOWN($H289,0))*(INDEX(avoidedcosttbl2,ROUNDUP($H289,0),BW$2)-(INDEX(avoidedcosttbl2,ROUNDDOWN($H289,0),BW$2)))))*'Inputs Yr 2'!P289*'Inputs Yr 2'!Q289*'Inputs Yr 2'!U289,"")</f>
        <v/>
      </c>
      <c r="BX289" s="197" t="str">
        <f>IFERROR(($G289*IF('Inputs Yr 2'!$AJ289=BO$4,'Inputs Yr 2'!$AK289,IF('Inputs Yr 2'!$AL289=BO$4,'Inputs Yr 2'!$AM289,IF('Inputs Yr 2'!$AN289=BO$4,'Inputs Yr 2'!$AO289,0))))*(INDEX(avoidedcosttbl2,$H289,BX$2)+(($H289-ROUNDDOWN($H289,0))*(INDEX(avoidedcosttbl2,ROUNDUP($H289,0),BX$2)-(INDEX(avoidedcosttbl2,ROUNDDOWN($H289,0),BX$2)))))*'Inputs Yr 2'!P289*'Inputs Yr 2'!Q289*'Inputs Yr 2'!U289,"")</f>
        <v/>
      </c>
      <c r="BY289" s="197" t="str">
        <f>IFERROR(($G289*IF('Inputs Yr 2'!$AJ289=BP$4,'Inputs Yr 2'!$AK289,IF('Inputs Yr 2'!$AL289=BP$4,'Inputs Yr 2'!$AM289,IF('Inputs Yr 2'!$AN289=BP$4,'Inputs Yr 2'!$AO289,0))))*(INDEX(avoidedcosttbl2,$H289,BY$2)+(($H289-ROUNDDOWN($H289,0))*(INDEX(avoidedcosttbl2,ROUNDUP($H289,0),BY$2)-(INDEX(avoidedcosttbl2,ROUNDDOWN($H289,0),BY$2)))))*'Inputs Yr 2'!P289*'Inputs Yr 2'!Q289*'Inputs Yr 2'!U289,"")</f>
        <v/>
      </c>
      <c r="BZ289" s="193">
        <f t="shared" si="159"/>
        <v>0</v>
      </c>
      <c r="CA289" s="193">
        <f t="shared" si="160"/>
        <v>0</v>
      </c>
      <c r="CB289" s="195" t="str">
        <f>IFERROR(G289*(IF('Inputs Yr 2'!$AJ289=CB$4,'Inputs Yr 2'!$AK289,IF('Inputs Yr 2'!$AL289=CB$4,'Inputs Yr 2'!$AM289,IF('Inputs Yr 2'!$AN289=CB$4,'Inputs Yr 2'!$AO289,0))))*(INDEX(avoidedcosttbl2,$H289,CB$2)+(($H289-ROUNDDOWN($H289,0))*(INDEX(avoidedcosttbl2,ROUNDUP($H289,0),CB$2)-(INDEX(avoidedcosttbl2,ROUNDDOWN($H289,0),CB$2)))))*'Inputs Yr 2'!P289*'Inputs Yr 2'!Q289*'Inputs Yr 2'!U289,"")</f>
        <v/>
      </c>
      <c r="CC289" s="195">
        <f>IFERROR(H289*(IF('Inputs Yr 2'!$AJ289=CC$4,'Inputs Yr 2'!$AK289,IF('Inputs Yr 2'!$AL289=CC$4,'Inputs Yr 2'!$AM289,IF('Inputs Yr 2'!$AN289=CC$4,'Inputs Yr 2'!$AO289,0))))*(INDEX(avoidedcosttbl2,$H289,CC$2)+(($H289-ROUNDDOWN($H289,0))*(INDEX(avoidedcosttbl2,ROUNDUP($H289,0),CC$2)-(INDEX(avoidedcosttbl2,ROUNDDOWN($H289,0),CC$2)))))*'Inputs Yr 2'!Q289*'Inputs Yr 2'!R289*'Inputs Yr 2'!V289,"")</f>
        <v>0</v>
      </c>
      <c r="CD289" s="195" t="str">
        <f>IFERROR(I289*(IF('Inputs Yr 2'!$AJ289=CD$4,'Inputs Yr 2'!$AK289,IF('Inputs Yr 2'!$AL289=CD$4,'Inputs Yr 2'!$AM289,IF('Inputs Yr 2'!$AN289=CD$4,'Inputs Yr 2'!$AO289,0))))*(INDEX(avoidedcosttbl2,$H289,CD$2)+(($H289-ROUNDDOWN($H289,0))*(INDEX(avoidedcosttbl2,ROUNDUP($H289,0),CD$2)-(INDEX(avoidedcosttbl2,ROUNDDOWN($H289,0),CD$2)))))*'Inputs Yr 2'!R289*'Inputs Yr 2'!S289*'Inputs Yr 2'!W289,"")</f>
        <v/>
      </c>
      <c r="CE289" s="213">
        <f t="shared" si="161"/>
        <v>0</v>
      </c>
      <c r="CF289" s="213">
        <f t="shared" si="162"/>
        <v>0</v>
      </c>
      <c r="CG289" s="213">
        <f t="shared" si="163"/>
        <v>0</v>
      </c>
      <c r="CH289" s="698">
        <f t="shared" si="164"/>
        <v>0</v>
      </c>
      <c r="CI289" s="79" t="str">
        <f>IFERROR(($G289*'Inputs Yr 2'!$P289*'Inputs Yr 2'!$Q289*(((INDEX(avoidedcosttbl2,$H289,CI$2)+(($H289-ROUNDDOWN($H289,0))*(INDEX(avoidedcosttbl2,ROUNDUP($H289,0),CI$2)-INDEX(avoidedcosttbl2,ROUNDDOWN($H289,0),CI$2))))*'Inputs Yr 2'!AS289))),"")</f>
        <v/>
      </c>
      <c r="CJ289" s="504" t="str">
        <f>IFERROR($G289*'Inputs Yr 2'!AT289*'Inputs Yr 2'!$P289*'Inputs Yr 2'!$Q289/((1+realdiscrt1)^-0.5),"")</f>
        <v/>
      </c>
      <c r="CK289" s="79" t="str">
        <f>IFERROR((O289*1000*(((INDEX(avoidedcosttbl2,$H289,CK$2)+(($H289-ROUNDDOWN($H289,0))*(INDEX(avoidedcosttbl2,ROUNDUP($H289,0),CK$2)-INDEX(avoidedcosttbl2,ROUNDDOWN($H289,0),CK$2))))*'Inputs Yr 2'!AU289))),"")</f>
        <v/>
      </c>
      <c r="CL289" s="504" t="str">
        <f>IFERROR(O289*1000*'Inputs Yr 2'!AV289/((1+realdiscrt1)^-0.5),"")</f>
        <v/>
      </c>
      <c r="CM289" s="79">
        <f>IFERROR((AB289*'Inputs Yr 2'!AW289*(((INDEX(avoidedcosttbl2,$H289,CM$2)+(($H289-ROUNDDOWN($H289,0))*(INDEX(avoidedcosttbl2,ROUNDUP($H289,0),CM$2)-INDEX(avoidedcosttbl2,ROUNDDOWN($H289,0),CM$2)))))))*10,"")</f>
        <v>0</v>
      </c>
      <c r="CN289" s="504">
        <f>IFERROR(10*AB289*'Inputs Yr 2'!AX289/((1+realdiscrt1)^-0.5),"")</f>
        <v>0</v>
      </c>
      <c r="CO289" s="505">
        <f t="shared" si="165"/>
        <v>0</v>
      </c>
      <c r="CP289" s="230">
        <f t="shared" si="166"/>
        <v>0</v>
      </c>
      <c r="CQ289" s="199">
        <f>ROUND(IFERROR(IF(LEFT($A289,1)="C",'Avoided Costs'!$K$13,'Avoided Costs'!$K$12)+1,""),4)</f>
        <v>1.0720000000000001</v>
      </c>
      <c r="CR289" s="199">
        <f>ROUND(IFERROR(IF(LEFT($A289,1)="C",'Avoided Costs'!$L$13,'Avoided Costs'!$L$12)+1,""),4)</f>
        <v>1.04</v>
      </c>
      <c r="CS289" s="199">
        <f>ROUND(IFERROR(IF(LEFT($A289,1)="C",'Avoided Costs'!$M$13,'Avoided Costs'!$M$12)+1,""),4)</f>
        <v>1.0720000000000001</v>
      </c>
      <c r="CT289" s="199">
        <f>ROUND(IFERROR(IF(LEFT($A289,1)="C",'Avoided Costs'!$N$13,'Avoided Costs'!$N$12)+1,""),4)</f>
        <v>1.04</v>
      </c>
      <c r="CU289" s="199">
        <f>ROUND(IFERROR(IF(LEFT($A289,1)="C",'Avoided Costs'!$O$13,'Avoided Costs'!$O$12)+1,""),4)</f>
        <v>1.1120000000000001</v>
      </c>
      <c r="CV289" s="199">
        <f>ROUND(IFERROR(IF(LEFT($A289,1)="C",'Avoided Costs'!$P$13,'Avoided Costs'!$P$12)+1,""),4)</f>
        <v>1.095</v>
      </c>
      <c r="CW289" s="199">
        <f>ROUND(IFERROR(IF(LEFT($A289,1)="C",'Avoided Costs'!$Q$13,'Avoided Costs'!$Q$12)+1,""),4)</f>
        <v>1.1120000000000001</v>
      </c>
      <c r="CX289" s="200">
        <f>ROUND(IFERROR(IF(LEFT($A289,1)="C",'Avoided Costs'!$R$13,'Avoided Costs'!$R$12)+1,""),4)</f>
        <v>1.1120000000000001</v>
      </c>
    </row>
    <row r="290" spans="1:102" ht="12.75" customHeight="1">
      <c r="A290" s="91" t="str">
        <f>IF('Inputs Yr 2'!$B290=0,"",'Inputs Yr 2'!A290)</f>
        <v>C - Commercial &amp; Industrial</v>
      </c>
      <c r="B290" s="91" t="str">
        <f>IF('Inputs Yr 2'!$B290=0,"",'Inputs Yr 2'!B290)</f>
        <v>C2 - C&amp;I Retrofit</v>
      </c>
      <c r="C290" s="91" t="str">
        <f>IF('Inputs Yr 2'!$B290=0,"",'Inputs Yr 2'!C290)</f>
        <v>C2a - C&amp;I Existing Building Retrofit</v>
      </c>
      <c r="D290" s="91" t="str">
        <f>IF('Inputs Yr 2'!$B290=0,"",'Inputs Yr 2'!E290)</f>
        <v>Control - Custom 10</v>
      </c>
      <c r="E290" s="93" t="str">
        <f>IF('Inputs Yr 2'!$B290=0,"",'Inputs Yr 2'!F290)</f>
        <v>G16C2a35</v>
      </c>
      <c r="F290" s="93" t="str">
        <f>IF('Inputs Yr 2'!$B290=0,"",'Inputs Yr 2'!G290)</f>
        <v xml:space="preserve">HVAC </v>
      </c>
      <c r="G290" s="95">
        <f>IF('Inputs Yr 2'!$H290&lt;&gt;0,('Inputs Yr 2'!H290),"")</f>
        <v>1</v>
      </c>
      <c r="H290" s="94">
        <f>IFERROR('Inputs Yr 2'!I290,"")</f>
        <v>10</v>
      </c>
      <c r="I290" s="298">
        <f>IFERROR('Inputs Yr 2'!J290*'Inputs Yr 2'!P290*G290,"")</f>
        <v>745455.30480000004</v>
      </c>
      <c r="J290" s="298">
        <f>IFERROR('Inputs Yr 2'!K290*G290,"")</f>
        <v>405579.6</v>
      </c>
      <c r="K290" s="298">
        <f t="shared" si="143"/>
        <v>339875.70480000007</v>
      </c>
      <c r="L290" s="194">
        <f>IFERROR(('Inputs Yr 2'!W290*G290)/1000,"")</f>
        <v>0</v>
      </c>
      <c r="M290" s="194">
        <f>IFERROR(L290*('Inputs Yr 2'!$Q290*'Inputs Yr 2'!$V290*'Inputs Yr 2'!$R290),"")</f>
        <v>0</v>
      </c>
      <c r="N290" s="194">
        <f t="shared" si="144"/>
        <v>0</v>
      </c>
      <c r="O290" s="194">
        <f>IFERROR(M290*'Inputs Yr 2'!P290,"")</f>
        <v>0</v>
      </c>
      <c r="P290" s="194">
        <f t="shared" si="145"/>
        <v>0</v>
      </c>
      <c r="Q290" s="194">
        <f>IFERROR($P290*'Inputs Yr 2'!AA290,"")</f>
        <v>0</v>
      </c>
      <c r="R290" s="194">
        <f>IFERROR($P290*'Inputs Yr 2'!AB290,"")</f>
        <v>0</v>
      </c>
      <c r="S290" s="194">
        <f>IFERROR($P290*'Inputs Yr 2'!AC290,"")</f>
        <v>0</v>
      </c>
      <c r="T290" s="194">
        <f>IFERROR($P290*'Inputs Yr 2'!AD290,"")</f>
        <v>0</v>
      </c>
      <c r="U290" s="194">
        <f>IFERROR(G290*'Inputs Yr 2'!$AE290*'Inputs Yr 2'!$P290*'Inputs Yr 2'!$Q290,"")</f>
        <v>0</v>
      </c>
      <c r="V290" s="194">
        <f>IFERROR($G290*'Inputs Yr 2'!$AE290*'Inputs Yr 2'!$AG290*'Inputs Yr 2'!Q290*'Inputs Yr 2'!$S290,"")</f>
        <v>0</v>
      </c>
      <c r="W290" s="194">
        <f>IFERROR($G290*'Inputs Yr 2'!$AE290*'Inputs Yr 2'!$AG290*'Inputs Yr 2'!P290*'Inputs Yr 2'!Q290*'Inputs Yr 2'!$S290,"")</f>
        <v>0</v>
      </c>
      <c r="X290" s="194">
        <f>IFERROR($G290*'Inputs Yr 2'!$AE290*'Inputs Yr 2'!$AF290*'Inputs Yr 2'!Q290*'Inputs Yr 2'!$T290,"")</f>
        <v>0</v>
      </c>
      <c r="Y290" s="194">
        <f>IFERROR($G290*'Inputs Yr 2'!$AE290*'Inputs Yr 2'!$AF290*'Inputs Yr 2'!P290*'Inputs Yr 2'!Q290*'Inputs Yr 2'!$T290,"")</f>
        <v>0</v>
      </c>
      <c r="Z290" s="257">
        <f>IFERROR($G290*'Inputs Yr 2'!$Q290*'Inputs Yr 2'!$U290*(IF(IFERROR(SEARCH("NG", 'Inputs Yr 2'!$AJ290),0),'Inputs Yr 2'!$AK290,0)+IF(IFERROR(SEARCH("NG", 'Inputs Yr 2'!$AL290),0),'Inputs Yr 2'!$AM290,0)+IF(IFERROR(SEARCH("NG", 'Inputs Yr 2'!$AN290),0),'Inputs Yr 2'!$AO290,0)),0)</f>
        <v>22130.2994</v>
      </c>
      <c r="AA290" s="257">
        <f t="shared" si="146"/>
        <v>221302.99400000001</v>
      </c>
      <c r="AB290" s="257">
        <f>IFERROR(Z290*'Inputs Yr 2'!$P290,0)</f>
        <v>20337.745148599999</v>
      </c>
      <c r="AC290" s="257">
        <f t="shared" si="147"/>
        <v>203377.45148599998</v>
      </c>
      <c r="AD290" s="257">
        <f>IFERROR($G290*'Inputs Yr 2'!$Q290*'Inputs Yr 2'!$U290*(IF(IFERROR(SEARCH("Oil", 'Inputs Yr 2'!$AJ290), 0),'Inputs Yr 2'!$AK290,0)+IF(IFERROR(SEARCH("Oil", 'Inputs Yr 2'!$AL290), 0),'Inputs Yr 2'!$AM290,0)+IF(IFERROR(SEARCH("Oil", 'Inputs Yr 2'!$AN290), 0),'Inputs Yr 2'!$AO290,0)),0)</f>
        <v>0</v>
      </c>
      <c r="AE290" s="257">
        <f t="shared" si="148"/>
        <v>0</v>
      </c>
      <c r="AF290" s="257">
        <f>IFERROR(AD290*'Inputs Yr 2'!$P290,0)</f>
        <v>0</v>
      </c>
      <c r="AG290" s="257">
        <f t="shared" si="149"/>
        <v>0</v>
      </c>
      <c r="AH290" s="257">
        <f>IFERROR($G290*'Inputs Yr 2'!$Q290*'Inputs Yr 2'!$U290*(IF('Inputs Yr 2'!$AJ290=CD$4,'Inputs Yr 2'!$AK290,IF('Inputs Yr 2'!$AL290=CD$4,'Inputs Yr 2'!$AM290,IF('Inputs Yr 2'!$AN290=CD$4,'Inputs Yr 2'!$AO290,0)))),0)</f>
        <v>0</v>
      </c>
      <c r="AI290" s="257">
        <f t="shared" si="150"/>
        <v>0</v>
      </c>
      <c r="AJ290" s="257">
        <f>IFERROR(AH290*'Inputs Yr 2'!$P290,0)</f>
        <v>0</v>
      </c>
      <c r="AK290" s="257">
        <f t="shared" si="151"/>
        <v>0</v>
      </c>
      <c r="AL290" s="258">
        <f>IFERROR($G290*'Inputs Yr 2'!$P290*'Inputs Yr 2'!$Q290*'Inputs Yr 2'!AP290,0)</f>
        <v>0</v>
      </c>
      <c r="AM290" s="260">
        <f>IFERROR($G290*'Inputs Yr 2'!$P290*'Inputs Yr 2'!$Q290*'Inputs Yr 2'!AQ290,0)</f>
        <v>0</v>
      </c>
      <c r="AN290" s="258">
        <f>IFERROR($G290*'Inputs Yr 2'!$P290*'Inputs Yr 2'!$Q290*'Inputs Yr 2'!AR290,0)</f>
        <v>0</v>
      </c>
      <c r="AO290" s="257">
        <f t="shared" si="152"/>
        <v>0</v>
      </c>
      <c r="AP290" s="195">
        <f>IFERROR($CQ290*(INDEX(avoidedcosttbl2,$H290,AP$2)+(($H290-ROUNDDOWN($H290,0))*(INDEX(avoidedcosttbl2,ROUNDUP($H290,0),AP$2)-(INDEX(avoidedcosttbl2,ROUNDDOWN($H290,0),AP$2)))))*$O290*1000*'Inputs Yr 2'!AA290,"")</f>
        <v>0</v>
      </c>
      <c r="AQ290" s="195">
        <f>IFERROR($CR290*(INDEX(avoidedcosttbl2,$H290,AQ$2)+(($H290-ROUNDDOWN($H290,0))*(INDEX(avoidedcosttbl2,ROUNDUP($H290,0),AQ$2)-(INDEX(avoidedcosttbl2,ROUNDDOWN($H290,0),AQ$2)))))*$O290*1000*'Inputs Yr 2'!AB290,"")</f>
        <v>0</v>
      </c>
      <c r="AR290" s="195">
        <f>IFERROR($CS290*(INDEX(avoidedcosttbl2,$H290,AR$2)+(($H290-ROUNDDOWN($H290,0))*(INDEX(avoidedcosttbl2,ROUNDUP($H290,0),AR$2)-(INDEX(avoidedcosttbl2,ROUNDDOWN($H290,0),AR$2)))))*$O290*1000*'Inputs Yr 2'!AC290,"")</f>
        <v>0</v>
      </c>
      <c r="AS290" s="195">
        <f>IFERROR($CT290*(INDEX(avoidedcosttbl2,$H290,AS$2)+(($H290-ROUNDDOWN($H290,0))*(INDEX(avoidedcosttbl2,ROUNDUP($H290,0),AS$2)-(INDEX(avoidedcosttbl2,ROUNDDOWN($H290,0),AS$2)))))*$O290*1000*'Inputs Yr 2'!AD290,"")</f>
        <v>0</v>
      </c>
      <c r="AT290" s="196">
        <f t="shared" si="153"/>
        <v>0</v>
      </c>
      <c r="AU290" s="197">
        <f>IFERROR($CQ290*((INDEX(avoidedcosttbl2,$H290,AU$2))+(($H290-ROUNDDOWN($H290,0))*((INDEX(avoidedcosttbl2,ROUNDUP($H290,0),AU$2))-(INDEX(avoidedcosttbl2,ROUNDDOWN($H290,0),AU$2)))))*$O290*1000*'Inputs Yr 2'!AA290,"")</f>
        <v>0</v>
      </c>
      <c r="AV290" s="197">
        <f>IFERROR($CR290*((INDEX(avoidedcosttbl2,$H290,AV$2))+(($H290-ROUNDDOWN($H290,0))*((INDEX(avoidedcosttbl2,ROUNDUP($H290,0),AV$2))-(INDEX(avoidedcosttbl2,ROUNDDOWN($H290,0),AV$2)))))*$O290*1000*'Inputs Yr 2'!AB290,"")</f>
        <v>0</v>
      </c>
      <c r="AW290" s="197">
        <f>IFERROR($CS290*((INDEX(avoidedcosttbl2,$H290,AW$2))+(($H290-ROUNDDOWN($H290,0))*((INDEX(avoidedcosttbl2,ROUNDUP($H290,0),AW$2))-(INDEX(avoidedcosttbl2,ROUNDDOWN($H290,0),AW$2)))))*$O290*1000*'Inputs Yr 2'!AC290,"")</f>
        <v>0</v>
      </c>
      <c r="AX290" s="197">
        <f>IFERROR($CT290*((INDEX(avoidedcosttbl2,$H290,AX$2))+(($H290-ROUNDDOWN($H290,0))*((INDEX(avoidedcosttbl2,ROUNDUP($H290,0),AX$2))-(INDEX(avoidedcosttbl2,ROUNDDOWN($H290,0),AX$2)))))*$O290*1000*'Inputs Yr 2'!AD290,"")</f>
        <v>0</v>
      </c>
      <c r="AY290" s="197">
        <f>IFERROR(((INDEX(avoidedcosttbl2,$H290,AY$2))+(($H290-ROUNDDOWN($H290,0))*((INDEX(avoidedcosttbl2,ROUNDUP($H290,0),AY$2))-(INDEX(avoidedcosttbl2,ROUNDDOWN($H290,0),AY$2)))))*$O290*1000*('Inputs Yr 2'!AC290+'Inputs Yr 2'!AD290),"")</f>
        <v>0</v>
      </c>
      <c r="AZ290" s="197">
        <f>IFERROR(((INDEX(avoidedcosttbl2,$H290,AZ$2))+(($H290-ROUNDDOWN($H290,0))*((INDEX(avoidedcosttbl2,ROUNDUP($H290,0),AZ$2))-(INDEX(avoidedcosttbl2,ROUNDDOWN($H290,0),AZ$2)))))*$O290*1000*('Inputs Yr 2'!AA290+'Inputs Yr 2'!AB290),"")</f>
        <v>0</v>
      </c>
      <c r="BA290" s="198">
        <f t="shared" si="154"/>
        <v>0</v>
      </c>
      <c r="BB290" s="198">
        <f t="shared" si="155"/>
        <v>0</v>
      </c>
      <c r="BC290" s="195">
        <f t="shared" si="137"/>
        <v>0</v>
      </c>
      <c r="BD290" s="195">
        <f t="shared" si="138"/>
        <v>0</v>
      </c>
      <c r="BE290" s="195">
        <f t="shared" si="139"/>
        <v>0</v>
      </c>
      <c r="BF290" s="195">
        <f t="shared" si="140"/>
        <v>0</v>
      </c>
      <c r="BG290" s="195">
        <f t="shared" si="141"/>
        <v>0</v>
      </c>
      <c r="BH290" s="196">
        <f t="shared" si="156"/>
        <v>0</v>
      </c>
      <c r="BI290" s="196">
        <f t="shared" si="157"/>
        <v>0</v>
      </c>
      <c r="BJ290" s="195">
        <f>IFERROR($G290*(IF('Inputs Yr 2'!$AJ290=BJ$4,'Inputs Yr 2'!$AK290,IF('Inputs Yr 2'!$AL290=BJ$4,'Inputs Yr 2'!$AM290,IF('Inputs Yr 2'!$AN290=BJ$4,'Inputs Yr 2'!$AO290,0))))*(INDEX(avoidedcosttbl2,$H290,BJ$2)+(($H290-ROUNDDOWN($H290,0))*(INDEX(avoidedcosttbl2,ROUNDUP($H290,0),BJ$2)-(INDEX(avoidedcosttbl2,ROUNDDOWN($H290,0),BJ$2)))))*'Inputs Yr 2'!P290*'Inputs Yr 2'!Q290*'Inputs Yr 2'!U290,"")</f>
        <v>0</v>
      </c>
      <c r="BK290" s="195">
        <f>IFERROR($G290*(IF('Inputs Yr 2'!$AJ290=BK$4,'Inputs Yr 2'!$AK290,IF('Inputs Yr 2'!$AL290=BK$4,'Inputs Yr 2'!$AM290,IF('Inputs Yr 2'!$AN290=BK$4,'Inputs Yr 2'!$AO290,0))))*(INDEX(avoidedcosttbl2,$H290,BK$2)+(($H290-ROUNDDOWN($H290,0))*(INDEX(avoidedcosttbl2,ROUNDUP($H290,0),BK$2)-(INDEX(avoidedcosttbl2,ROUNDDOWN($H290,0),BK$2)))))*'Inputs Yr 2'!P290*'Inputs Yr 2'!Q290*'Inputs Yr 2'!U290,"")</f>
        <v>0</v>
      </c>
      <c r="BL290" s="195">
        <f>IFERROR($G290*(IF('Inputs Yr 2'!$AJ290=BL$4,'Inputs Yr 2'!$AK290,IF('Inputs Yr 2'!$AL290=BL$4,'Inputs Yr 2'!$AM290,IF('Inputs Yr 2'!$AN290=BL$4,'Inputs Yr 2'!$AO290,0))))*(INDEX(avoidedcosttbl2,$H290,BL$2)+(($H290-ROUNDDOWN($H290,0))*(INDEX(avoidedcosttbl2,ROUNDUP($H290,0),BL$2)-(INDEX(avoidedcosttbl2,ROUNDDOWN($H290,0),BL$2)))))*'Inputs Yr 2'!P290*'Inputs Yr 2'!Q290*'Inputs Yr 2'!U290,"")</f>
        <v>0</v>
      </c>
      <c r="BM290" s="195">
        <f>IFERROR($G290*(IF('Inputs Yr 2'!$AJ290=BM$4,'Inputs Yr 2'!$AK290,IF('Inputs Yr 2'!$AL290=BM$4,'Inputs Yr 2'!$AM290,IF('Inputs Yr 2'!$AN290=BM$4,'Inputs Yr 2'!$AO290,0))))*(INDEX(avoidedcosttbl2,$H290,BM$2)+(($H290-ROUNDDOWN($H290,0))*(INDEX(avoidedcosttbl2,ROUNDUP($H290,0),BM$2)-(INDEX(avoidedcosttbl2,ROUNDDOWN($H290,0),BM$2)))))*'Inputs Yr 2'!P290*'Inputs Yr 2'!Q290*'Inputs Yr 2'!U290,"")</f>
        <v>0</v>
      </c>
      <c r="BN290" s="195">
        <f>IFERROR($G290*(IF('Inputs Yr 2'!$AJ290=BN$4,'Inputs Yr 2'!$AK290,IF('Inputs Yr 2'!$AL290=BN$4,'Inputs Yr 2'!$AM290,IF('Inputs Yr 2'!$AN290=BN$4,'Inputs Yr 2'!$AO290,0))))*(INDEX(avoidedcosttbl2,$H290,BN$2)+(($H290-ROUNDDOWN($H290,0))*(INDEX(avoidedcosttbl2,ROUNDUP($H290,0),BN$2)-(INDEX(avoidedcosttbl2,ROUNDDOWN($H290,0),BN$2)))))*'Inputs Yr 2'!P290*'Inputs Yr 2'!Q290*'Inputs Yr 2'!U290,"")</f>
        <v>0</v>
      </c>
      <c r="BO290" s="195">
        <f>IFERROR($G290*(IF('Inputs Yr 2'!$AJ290=BO$4,'Inputs Yr 2'!$AK290,IF('Inputs Yr 2'!$AL290=BO$4,'Inputs Yr 2'!$AM290,IF('Inputs Yr 2'!$AN290=BO$4,'Inputs Yr 2'!$AO290,0))))*(INDEX(avoidedcosttbl2,$H290,BO$2)+(($H290-ROUNDDOWN($H290,0))*(INDEX(avoidedcosttbl2,ROUNDUP($H290,0),BO$2)-(INDEX(avoidedcosttbl2,ROUNDDOWN($H290,0),BO$2)))))*'Inputs Yr 2'!P290*'Inputs Yr 2'!Q290*'Inputs Yr 2'!U290,"")</f>
        <v>1545289.2568421129</v>
      </c>
      <c r="BP290" s="195">
        <f>IFERROR($G290*(IF('Inputs Yr 2'!$AJ290=BP$4,'Inputs Yr 2'!$AK290,IF('Inputs Yr 2'!$AL290=BP$4,'Inputs Yr 2'!$AM290,IF('Inputs Yr 2'!$AN290=BP$4,'Inputs Yr 2'!$AO290,0))))*(INDEX(avoidedcosttbl2,$H290,BP$2)+(($H290-ROUNDDOWN($H290,0))*(INDEX(avoidedcosttbl2,ROUNDUP($H290,0),BP$2)-(INDEX(avoidedcosttbl2,ROUNDDOWN($H290,0),BP$2)))))*'Inputs Yr 2'!P290*'Inputs Yr 2'!Q290*'Inputs Yr 2'!U290,"")</f>
        <v>0</v>
      </c>
      <c r="BQ290" s="230">
        <f t="shared" si="158"/>
        <v>1545289.2568421129</v>
      </c>
      <c r="BR290" s="197">
        <f t="shared" si="142"/>
        <v>27867.598735228246</v>
      </c>
      <c r="BS290" s="197">
        <f>IFERROR(($G290*IF('Inputs Yr 2'!$AJ290=BM$4,'Inputs Yr 2'!$AK290,IF('Inputs Yr 2'!$AL290=BM$4,'Inputs Yr 2'!$AM290,IF('Inputs Yr 2'!$AN290=BM$4,'Inputs Yr 2'!$AO290,0))))*(INDEX(avoidedcosttbl2,$H290,BS$2)+(($H290-ROUNDDOWN($H290,0))*(INDEX(avoidedcosttbl2,ROUNDUP($H290,0),BS$2)-(INDEX(avoidedcosttbl2,ROUNDDOWN($H290,0),BS$2)))))*'Inputs Yr 2'!P290*'Inputs Yr 2'!Q290*'Inputs Yr 2'!U290,"")</f>
        <v>0</v>
      </c>
      <c r="BT290" s="197">
        <f>IFERROR(($G290*IF('Inputs Yr 2'!$AJ290=BK$4,'Inputs Yr 2'!$AK290,IF('Inputs Yr 2'!$AL290=BK$4,'Inputs Yr 2'!$AM290,IF('Inputs Yr 2'!$AN290=BK$4,'Inputs Yr 2'!$AO290,0))))*(INDEX(avoidedcosttbl2,$H290,BT$2)+(($H290-ROUNDDOWN($H290,0))*(INDEX(avoidedcosttbl2,ROUNDUP($H290,0),BT$2)-(INDEX(avoidedcosttbl2,ROUNDDOWN($H290,0),BT$2)))))*'Inputs Yr 2'!P290*'Inputs Yr 2'!Q290*'Inputs Yr 2'!U290,"")</f>
        <v>0</v>
      </c>
      <c r="BU290" s="197">
        <f>IFERROR(($G290*IF('Inputs Yr 2'!$AJ290=BL$4,'Inputs Yr 2'!$AK290,IF('Inputs Yr 2'!$AL290=BL$4,'Inputs Yr 2'!$AM290,IF('Inputs Yr 2'!$AN290=BL$4,'Inputs Yr 2'!$AO290,0))))*(INDEX(avoidedcosttbl2,$H290,BU$2)+(($H290-ROUNDDOWN($H290,0))*(INDEX(avoidedcosttbl2,ROUNDUP($H290,0),BU$2)-(INDEX(avoidedcosttbl2,ROUNDDOWN($H290,0),BU$2)))))*'Inputs Yr 2'!P290*'Inputs Yr 2'!Q290*'Inputs Yr 2'!U290,"")</f>
        <v>0</v>
      </c>
      <c r="BV290" s="775">
        <f>IFERROR(($G290*IF('Inputs Yr 2'!$AJ290=BJ$4,'Inputs Yr 2'!$AK290,IF('Inputs Yr 2'!$AL290=BJ$4,'Inputs Yr 2'!$AM290,IF('Inputs Yr 2'!$AN290=BJ$4,'Inputs Yr 2'!$AO290,0))))*(INDEX(avoidedcosttbl2,$H290,BV$2)+(($H290-ROUNDDOWN($H290,0))*(INDEX(avoidedcosttbl2,ROUNDUP($H290,0),BV$2)-(INDEX(avoidedcosttbl2,ROUNDDOWN($H290,0),BV$2)))))*'Inputs Yr 2'!P290*'Inputs Yr 2'!Q290*'Inputs Yr 2'!U290,"")</f>
        <v>0</v>
      </c>
      <c r="BW290" s="197">
        <f>IFERROR(($G290*IF('Inputs Yr 2'!$AJ290=BN$4,'Inputs Yr 2'!$AK290,IF('Inputs Yr 2'!$AL290=BN$4,'Inputs Yr 2'!$AM290,IF('Inputs Yr 2'!$AN290=BN$4,'Inputs Yr 2'!$AO290,0))))*(INDEX(avoidedcosttbl2,$H290,BW$2)+(($H290-ROUNDDOWN($H290,0))*(INDEX(avoidedcosttbl2,ROUNDUP($H290,0),BW$2)-(INDEX(avoidedcosttbl2,ROUNDDOWN($H290,0),BW$2)))))*'Inputs Yr 2'!P290*'Inputs Yr 2'!Q290*'Inputs Yr 2'!U290,"")</f>
        <v>0</v>
      </c>
      <c r="BX290" s="197">
        <f>IFERROR(($G290*IF('Inputs Yr 2'!$AJ290=BO$4,'Inputs Yr 2'!$AK290,IF('Inputs Yr 2'!$AL290=BO$4,'Inputs Yr 2'!$AM290,IF('Inputs Yr 2'!$AN290=BO$4,'Inputs Yr 2'!$AO290,0))))*(INDEX(avoidedcosttbl2,$H290,BX$2)+(($H290-ROUNDDOWN($H290,0))*(INDEX(avoidedcosttbl2,ROUNDUP($H290,0),BX$2)-(INDEX(avoidedcosttbl2,ROUNDDOWN($H290,0),BX$2)))))*'Inputs Yr 2'!P290*'Inputs Yr 2'!Q290*'Inputs Yr 2'!U290,"")</f>
        <v>156433.51489092226</v>
      </c>
      <c r="BY290" s="197">
        <f>IFERROR(($G290*IF('Inputs Yr 2'!$AJ290=BP$4,'Inputs Yr 2'!$AK290,IF('Inputs Yr 2'!$AL290=BP$4,'Inputs Yr 2'!$AM290,IF('Inputs Yr 2'!$AN290=BP$4,'Inputs Yr 2'!$AO290,0))))*(INDEX(avoidedcosttbl2,$H290,BY$2)+(($H290-ROUNDDOWN($H290,0))*(INDEX(avoidedcosttbl2,ROUNDUP($H290,0),BY$2)-(INDEX(avoidedcosttbl2,ROUNDDOWN($H290,0),BY$2)))))*'Inputs Yr 2'!P290*'Inputs Yr 2'!Q290*'Inputs Yr 2'!U290,"")</f>
        <v>0</v>
      </c>
      <c r="BZ290" s="193">
        <f t="shared" si="159"/>
        <v>184301.1136261505</v>
      </c>
      <c r="CA290" s="193">
        <f t="shared" si="160"/>
        <v>1729590.3704682633</v>
      </c>
      <c r="CB290" s="195">
        <f>IFERROR(G290*(IF('Inputs Yr 2'!$AJ290=CB$4,'Inputs Yr 2'!$AK290,IF('Inputs Yr 2'!$AL290=CB$4,'Inputs Yr 2'!$AM290,IF('Inputs Yr 2'!$AN290=CB$4,'Inputs Yr 2'!$AO290,0))))*(INDEX(avoidedcosttbl2,$H290,CB$2)+(($H290-ROUNDDOWN($H290,0))*(INDEX(avoidedcosttbl2,ROUNDUP($H290,0),CB$2)-(INDEX(avoidedcosttbl2,ROUNDDOWN($H290,0),CB$2)))))*'Inputs Yr 2'!P290*'Inputs Yr 2'!Q290*'Inputs Yr 2'!U290,"")</f>
        <v>0</v>
      </c>
      <c r="CC290" s="195">
        <f>IFERROR(H290*(IF('Inputs Yr 2'!$AJ290=CC$4,'Inputs Yr 2'!$AK290,IF('Inputs Yr 2'!$AL290=CC$4,'Inputs Yr 2'!$AM290,IF('Inputs Yr 2'!$AN290=CC$4,'Inputs Yr 2'!$AO290,0))))*(INDEX(avoidedcosttbl2,$H290,CC$2)+(($H290-ROUNDDOWN($H290,0))*(INDEX(avoidedcosttbl2,ROUNDUP($H290,0),CC$2)-(INDEX(avoidedcosttbl2,ROUNDDOWN($H290,0),CC$2)))))*'Inputs Yr 2'!Q290*'Inputs Yr 2'!R290*'Inputs Yr 2'!V290,"")</f>
        <v>0</v>
      </c>
      <c r="CD290" s="195">
        <f>IFERROR(I290*(IF('Inputs Yr 2'!$AJ290=CD$4,'Inputs Yr 2'!$AK290,IF('Inputs Yr 2'!$AL290=CD$4,'Inputs Yr 2'!$AM290,IF('Inputs Yr 2'!$AN290=CD$4,'Inputs Yr 2'!$AO290,0))))*(INDEX(avoidedcosttbl2,$H290,CD$2)+(($H290-ROUNDDOWN($H290,0))*(INDEX(avoidedcosttbl2,ROUNDUP($H290,0),CD$2)-(INDEX(avoidedcosttbl2,ROUNDDOWN($H290,0),CD$2)))))*'Inputs Yr 2'!R290*'Inputs Yr 2'!S290*'Inputs Yr 2'!W290,"")</f>
        <v>0</v>
      </c>
      <c r="CE290" s="213">
        <f t="shared" si="161"/>
        <v>0</v>
      </c>
      <c r="CF290" s="213">
        <f t="shared" si="162"/>
        <v>0</v>
      </c>
      <c r="CG290" s="213">
        <f t="shared" si="163"/>
        <v>0</v>
      </c>
      <c r="CH290" s="698">
        <f t="shared" si="164"/>
        <v>1729590.3704682633</v>
      </c>
      <c r="CI290" s="79">
        <f>IFERROR(($G290*'Inputs Yr 2'!$P290*'Inputs Yr 2'!$Q290*(((INDEX(avoidedcosttbl2,$H290,CI$2)+(($H290-ROUNDDOWN($H290,0))*(INDEX(avoidedcosttbl2,ROUNDUP($H290,0),CI$2)-INDEX(avoidedcosttbl2,ROUNDDOWN($H290,0),CI$2))))*'Inputs Yr 2'!AS290))),"")</f>
        <v>0</v>
      </c>
      <c r="CJ290" s="504">
        <f>IFERROR($G290*'Inputs Yr 2'!AT290*'Inputs Yr 2'!$P290*'Inputs Yr 2'!$Q290/((1+realdiscrt1)^-0.5),"")</f>
        <v>0</v>
      </c>
      <c r="CK290" s="79">
        <f>IFERROR((O290*1000*(((INDEX(avoidedcosttbl2,$H290,CK$2)+(($H290-ROUNDDOWN($H290,0))*(INDEX(avoidedcosttbl2,ROUNDUP($H290,0),CK$2)-INDEX(avoidedcosttbl2,ROUNDDOWN($H290,0),CK$2))))*'Inputs Yr 2'!AU290))),"")</f>
        <v>0</v>
      </c>
      <c r="CL290" s="504">
        <f>IFERROR(O290*1000*'Inputs Yr 2'!AV290/((1+realdiscrt1)^-0.5),"")</f>
        <v>0</v>
      </c>
      <c r="CM290" s="79">
        <f>IFERROR((AB290*'Inputs Yr 2'!AW290*(((INDEX(avoidedcosttbl2,$H290,CM$2)+(($H290-ROUNDDOWN($H290,0))*(INDEX(avoidedcosttbl2,ROUNDUP($H290,0),CM$2)-INDEX(avoidedcosttbl2,ROUNDDOWN($H290,0),CM$2)))))))*10,"")</f>
        <v>497443.56779174239</v>
      </c>
      <c r="CN290" s="504">
        <f>IFERROR(10*AB290*'Inputs Yr 2'!AX290/((1+realdiscrt1)^-0.5),"")</f>
        <v>0</v>
      </c>
      <c r="CO290" s="505">
        <f t="shared" si="165"/>
        <v>497443.56779174239</v>
      </c>
      <c r="CP290" s="230">
        <f t="shared" si="166"/>
        <v>2227033.9382600058</v>
      </c>
      <c r="CQ290" s="199">
        <f>ROUND(IFERROR(IF(LEFT($A290,1)="C",'Avoided Costs'!$K$13,'Avoided Costs'!$K$12)+1,""),4)</f>
        <v>1.0720000000000001</v>
      </c>
      <c r="CR290" s="199">
        <f>ROUND(IFERROR(IF(LEFT($A290,1)="C",'Avoided Costs'!$L$13,'Avoided Costs'!$L$12)+1,""),4)</f>
        <v>1.04</v>
      </c>
      <c r="CS290" s="199">
        <f>ROUND(IFERROR(IF(LEFT($A290,1)="C",'Avoided Costs'!$M$13,'Avoided Costs'!$M$12)+1,""),4)</f>
        <v>1.0720000000000001</v>
      </c>
      <c r="CT290" s="199">
        <f>ROUND(IFERROR(IF(LEFT($A290,1)="C",'Avoided Costs'!$N$13,'Avoided Costs'!$N$12)+1,""),4)</f>
        <v>1.04</v>
      </c>
      <c r="CU290" s="199">
        <f>ROUND(IFERROR(IF(LEFT($A290,1)="C",'Avoided Costs'!$O$13,'Avoided Costs'!$O$12)+1,""),4)</f>
        <v>1.1120000000000001</v>
      </c>
      <c r="CV290" s="199">
        <f>ROUND(IFERROR(IF(LEFT($A290,1)="C",'Avoided Costs'!$P$13,'Avoided Costs'!$P$12)+1,""),4)</f>
        <v>1.095</v>
      </c>
      <c r="CW290" s="199">
        <f>ROUND(IFERROR(IF(LEFT($A290,1)="C",'Avoided Costs'!$Q$13,'Avoided Costs'!$Q$12)+1,""),4)</f>
        <v>1.1120000000000001</v>
      </c>
      <c r="CX290" s="200">
        <f>ROUND(IFERROR(IF(LEFT($A290,1)="C",'Avoided Costs'!$R$13,'Avoided Costs'!$R$12)+1,""),4)</f>
        <v>1.1120000000000001</v>
      </c>
    </row>
    <row r="291" spans="1:102" ht="12.75" customHeight="1">
      <c r="A291" s="91" t="str">
        <f>IF('Inputs Yr 2'!$B291=0,"",'Inputs Yr 2'!A291)</f>
        <v>C - Commercial &amp; Industrial</v>
      </c>
      <c r="B291" s="91" t="str">
        <f>IF('Inputs Yr 2'!$B291=0,"",'Inputs Yr 2'!B291)</f>
        <v>C2 - C&amp;I Retrofit</v>
      </c>
      <c r="C291" s="91" t="str">
        <f>IF('Inputs Yr 2'!$B291=0,"",'Inputs Yr 2'!C291)</f>
        <v>C2a - C&amp;I Existing Building Retrofit</v>
      </c>
      <c r="D291" s="91" t="str">
        <f>IF('Inputs Yr 2'!$B291=0,"",'Inputs Yr 2'!E291)</f>
        <v>Control - Custom 15</v>
      </c>
      <c r="E291" s="93" t="str">
        <f>IF('Inputs Yr 2'!$B291=0,"",'Inputs Yr 2'!F291)</f>
        <v>G16C2a35</v>
      </c>
      <c r="F291" s="93" t="str">
        <f>IF('Inputs Yr 2'!$B291=0,"",'Inputs Yr 2'!G291)</f>
        <v xml:space="preserve">HVAC </v>
      </c>
      <c r="G291" s="95">
        <f>IF('Inputs Yr 2'!$H291&lt;&gt;0,('Inputs Yr 2'!H291),"")</f>
        <v>1</v>
      </c>
      <c r="H291" s="94">
        <f>IFERROR('Inputs Yr 2'!I291,"")</f>
        <v>15</v>
      </c>
      <c r="I291" s="298">
        <f>IFERROR('Inputs Yr 2'!J291*'Inputs Yr 2'!P291*G291,"")</f>
        <v>106055.357</v>
      </c>
      <c r="J291" s="298">
        <f>IFERROR('Inputs Yr 2'!K291*G291,"")</f>
        <v>57701.5</v>
      </c>
      <c r="K291" s="298">
        <f t="shared" si="143"/>
        <v>48353.857000000004</v>
      </c>
      <c r="L291" s="194">
        <f>IFERROR(('Inputs Yr 2'!W291*G291)/1000,"")</f>
        <v>0</v>
      </c>
      <c r="M291" s="194">
        <f>IFERROR(L291*('Inputs Yr 2'!$Q291*'Inputs Yr 2'!$V291*'Inputs Yr 2'!$R291),"")</f>
        <v>0</v>
      </c>
      <c r="N291" s="194">
        <f t="shared" si="144"/>
        <v>0</v>
      </c>
      <c r="O291" s="194">
        <f>IFERROR(M291*'Inputs Yr 2'!P291,"")</f>
        <v>0</v>
      </c>
      <c r="P291" s="194">
        <f t="shared" si="145"/>
        <v>0</v>
      </c>
      <c r="Q291" s="194">
        <f>IFERROR($P291*'Inputs Yr 2'!AA291,"")</f>
        <v>0</v>
      </c>
      <c r="R291" s="194">
        <f>IFERROR($P291*'Inputs Yr 2'!AB291,"")</f>
        <v>0</v>
      </c>
      <c r="S291" s="194">
        <f>IFERROR($P291*'Inputs Yr 2'!AC291,"")</f>
        <v>0</v>
      </c>
      <c r="T291" s="194">
        <f>IFERROR($P291*'Inputs Yr 2'!AD291,"")</f>
        <v>0</v>
      </c>
      <c r="U291" s="194">
        <f>IFERROR(G291*'Inputs Yr 2'!$AE291*'Inputs Yr 2'!$P291*'Inputs Yr 2'!$Q291,"")</f>
        <v>0</v>
      </c>
      <c r="V291" s="194">
        <f>IFERROR($G291*'Inputs Yr 2'!$AE291*'Inputs Yr 2'!$AG291*'Inputs Yr 2'!Q291*'Inputs Yr 2'!$S291,"")</f>
        <v>0</v>
      </c>
      <c r="W291" s="194">
        <f>IFERROR($G291*'Inputs Yr 2'!$AE291*'Inputs Yr 2'!$AG291*'Inputs Yr 2'!P291*'Inputs Yr 2'!Q291*'Inputs Yr 2'!$S291,"")</f>
        <v>0</v>
      </c>
      <c r="X291" s="194">
        <f>IFERROR($G291*'Inputs Yr 2'!$AE291*'Inputs Yr 2'!$AF291*'Inputs Yr 2'!Q291*'Inputs Yr 2'!$T291,"")</f>
        <v>0</v>
      </c>
      <c r="Y291" s="194">
        <f>IFERROR($G291*'Inputs Yr 2'!$AE291*'Inputs Yr 2'!$AF291*'Inputs Yr 2'!P291*'Inputs Yr 2'!Q291*'Inputs Yr 2'!$T291,"")</f>
        <v>0</v>
      </c>
      <c r="Z291" s="257">
        <f>IFERROR($G291*'Inputs Yr 2'!$Q291*'Inputs Yr 2'!$U291*(IF(IFERROR(SEARCH("NG", 'Inputs Yr 2'!$AJ291),0),'Inputs Yr 2'!$AK291,0)+IF(IFERROR(SEARCH("NG", 'Inputs Yr 2'!$AL291),0),'Inputs Yr 2'!$AM291,0)+IF(IFERROR(SEARCH("NG", 'Inputs Yr 2'!$AN291),0),'Inputs Yr 2'!$AO291,0)),0)</f>
        <v>2976.7147999999997</v>
      </c>
      <c r="AA291" s="257">
        <f t="shared" si="146"/>
        <v>44650.721999999994</v>
      </c>
      <c r="AB291" s="257">
        <f>IFERROR(Z291*'Inputs Yr 2'!$P291,0)</f>
        <v>2735.6009012</v>
      </c>
      <c r="AC291" s="257">
        <f t="shared" si="147"/>
        <v>41034.013518</v>
      </c>
      <c r="AD291" s="257">
        <f>IFERROR($G291*'Inputs Yr 2'!$Q291*'Inputs Yr 2'!$U291*(IF(IFERROR(SEARCH("Oil", 'Inputs Yr 2'!$AJ291), 0),'Inputs Yr 2'!$AK291,0)+IF(IFERROR(SEARCH("Oil", 'Inputs Yr 2'!$AL291), 0),'Inputs Yr 2'!$AM291,0)+IF(IFERROR(SEARCH("Oil", 'Inputs Yr 2'!$AN291), 0),'Inputs Yr 2'!$AO291,0)),0)</f>
        <v>0</v>
      </c>
      <c r="AE291" s="257">
        <f t="shared" si="148"/>
        <v>0</v>
      </c>
      <c r="AF291" s="257">
        <f>IFERROR(AD291*'Inputs Yr 2'!$P291,0)</f>
        <v>0</v>
      </c>
      <c r="AG291" s="257">
        <f t="shared" si="149"/>
        <v>0</v>
      </c>
      <c r="AH291" s="257">
        <f>IFERROR($G291*'Inputs Yr 2'!$Q291*'Inputs Yr 2'!$U291*(IF('Inputs Yr 2'!$AJ291=CD$4,'Inputs Yr 2'!$AK291,IF('Inputs Yr 2'!$AL291=CD$4,'Inputs Yr 2'!$AM291,IF('Inputs Yr 2'!$AN291=CD$4,'Inputs Yr 2'!$AO291,0)))),0)</f>
        <v>0</v>
      </c>
      <c r="AI291" s="257">
        <f t="shared" si="150"/>
        <v>0</v>
      </c>
      <c r="AJ291" s="257">
        <f>IFERROR(AH291*'Inputs Yr 2'!$P291,0)</f>
        <v>0</v>
      </c>
      <c r="AK291" s="257">
        <f t="shared" si="151"/>
        <v>0</v>
      </c>
      <c r="AL291" s="258">
        <f>IFERROR($G291*'Inputs Yr 2'!$P291*'Inputs Yr 2'!$Q291*'Inputs Yr 2'!AP291,0)</f>
        <v>0</v>
      </c>
      <c r="AM291" s="260">
        <f>IFERROR($G291*'Inputs Yr 2'!$P291*'Inputs Yr 2'!$Q291*'Inputs Yr 2'!AQ291,0)</f>
        <v>0</v>
      </c>
      <c r="AN291" s="258">
        <f>IFERROR($G291*'Inputs Yr 2'!$P291*'Inputs Yr 2'!$Q291*'Inputs Yr 2'!AR291,0)</f>
        <v>0</v>
      </c>
      <c r="AO291" s="257">
        <f t="shared" si="152"/>
        <v>0</v>
      </c>
      <c r="AP291" s="195">
        <f>IFERROR($CQ291*(INDEX(avoidedcosttbl2,$H291,AP$2)+(($H291-ROUNDDOWN($H291,0))*(INDEX(avoidedcosttbl2,ROUNDUP($H291,0),AP$2)-(INDEX(avoidedcosttbl2,ROUNDDOWN($H291,0),AP$2)))))*$O291*1000*'Inputs Yr 2'!AA291,"")</f>
        <v>0</v>
      </c>
      <c r="AQ291" s="195">
        <f>IFERROR($CR291*(INDEX(avoidedcosttbl2,$H291,AQ$2)+(($H291-ROUNDDOWN($H291,0))*(INDEX(avoidedcosttbl2,ROUNDUP($H291,0),AQ$2)-(INDEX(avoidedcosttbl2,ROUNDDOWN($H291,0),AQ$2)))))*$O291*1000*'Inputs Yr 2'!AB291,"")</f>
        <v>0</v>
      </c>
      <c r="AR291" s="195">
        <f>IFERROR($CS291*(INDEX(avoidedcosttbl2,$H291,AR$2)+(($H291-ROUNDDOWN($H291,0))*(INDEX(avoidedcosttbl2,ROUNDUP($H291,0),AR$2)-(INDEX(avoidedcosttbl2,ROUNDDOWN($H291,0),AR$2)))))*$O291*1000*'Inputs Yr 2'!AC291,"")</f>
        <v>0</v>
      </c>
      <c r="AS291" s="195">
        <f>IFERROR($CT291*(INDEX(avoidedcosttbl2,$H291,AS$2)+(($H291-ROUNDDOWN($H291,0))*(INDEX(avoidedcosttbl2,ROUNDUP($H291,0),AS$2)-(INDEX(avoidedcosttbl2,ROUNDDOWN($H291,0),AS$2)))))*$O291*1000*'Inputs Yr 2'!AD291,"")</f>
        <v>0</v>
      </c>
      <c r="AT291" s="196">
        <f t="shared" si="153"/>
        <v>0</v>
      </c>
      <c r="AU291" s="197">
        <f>IFERROR($CQ291*((INDEX(avoidedcosttbl2,$H291,AU$2))+(($H291-ROUNDDOWN($H291,0))*((INDEX(avoidedcosttbl2,ROUNDUP($H291,0),AU$2))-(INDEX(avoidedcosttbl2,ROUNDDOWN($H291,0),AU$2)))))*$O291*1000*'Inputs Yr 2'!AA291,"")</f>
        <v>0</v>
      </c>
      <c r="AV291" s="197">
        <f>IFERROR($CR291*((INDEX(avoidedcosttbl2,$H291,AV$2))+(($H291-ROUNDDOWN($H291,0))*((INDEX(avoidedcosttbl2,ROUNDUP($H291,0),AV$2))-(INDEX(avoidedcosttbl2,ROUNDDOWN($H291,0),AV$2)))))*$O291*1000*'Inputs Yr 2'!AB291,"")</f>
        <v>0</v>
      </c>
      <c r="AW291" s="197">
        <f>IFERROR($CS291*((INDEX(avoidedcosttbl2,$H291,AW$2))+(($H291-ROUNDDOWN($H291,0))*((INDEX(avoidedcosttbl2,ROUNDUP($H291,0),AW$2))-(INDEX(avoidedcosttbl2,ROUNDDOWN($H291,0),AW$2)))))*$O291*1000*'Inputs Yr 2'!AC291,"")</f>
        <v>0</v>
      </c>
      <c r="AX291" s="197">
        <f>IFERROR($CT291*((INDEX(avoidedcosttbl2,$H291,AX$2))+(($H291-ROUNDDOWN($H291,0))*((INDEX(avoidedcosttbl2,ROUNDUP($H291,0),AX$2))-(INDEX(avoidedcosttbl2,ROUNDDOWN($H291,0),AX$2)))))*$O291*1000*'Inputs Yr 2'!AD291,"")</f>
        <v>0</v>
      </c>
      <c r="AY291" s="197">
        <f>IFERROR(((INDEX(avoidedcosttbl2,$H291,AY$2))+(($H291-ROUNDDOWN($H291,0))*((INDEX(avoidedcosttbl2,ROUNDUP($H291,0),AY$2))-(INDEX(avoidedcosttbl2,ROUNDDOWN($H291,0),AY$2)))))*$O291*1000*('Inputs Yr 2'!AC291+'Inputs Yr 2'!AD291),"")</f>
        <v>0</v>
      </c>
      <c r="AZ291" s="197">
        <f>IFERROR(((INDEX(avoidedcosttbl2,$H291,AZ$2))+(($H291-ROUNDDOWN($H291,0))*((INDEX(avoidedcosttbl2,ROUNDUP($H291,0),AZ$2))-(INDEX(avoidedcosttbl2,ROUNDDOWN($H291,0),AZ$2)))))*$O291*1000*('Inputs Yr 2'!AA291+'Inputs Yr 2'!AB291),"")</f>
        <v>0</v>
      </c>
      <c r="BA291" s="198">
        <f t="shared" si="154"/>
        <v>0</v>
      </c>
      <c r="BB291" s="198">
        <f t="shared" si="155"/>
        <v>0</v>
      </c>
      <c r="BC291" s="195">
        <f t="shared" si="137"/>
        <v>0</v>
      </c>
      <c r="BD291" s="195">
        <f t="shared" si="138"/>
        <v>0</v>
      </c>
      <c r="BE291" s="195">
        <f t="shared" si="139"/>
        <v>0</v>
      </c>
      <c r="BF291" s="195">
        <f t="shared" si="140"/>
        <v>0</v>
      </c>
      <c r="BG291" s="195">
        <f t="shared" si="141"/>
        <v>0</v>
      </c>
      <c r="BH291" s="196">
        <f t="shared" si="156"/>
        <v>0</v>
      </c>
      <c r="BI291" s="196">
        <f t="shared" si="157"/>
        <v>0</v>
      </c>
      <c r="BJ291" s="195">
        <f>IFERROR($G291*(IF('Inputs Yr 2'!$AJ291=BJ$4,'Inputs Yr 2'!$AK291,IF('Inputs Yr 2'!$AL291=BJ$4,'Inputs Yr 2'!$AM291,IF('Inputs Yr 2'!$AN291=BJ$4,'Inputs Yr 2'!$AO291,0))))*(INDEX(avoidedcosttbl2,$H291,BJ$2)+(($H291-ROUNDDOWN($H291,0))*(INDEX(avoidedcosttbl2,ROUNDUP($H291,0),BJ$2)-(INDEX(avoidedcosttbl2,ROUNDDOWN($H291,0),BJ$2)))))*'Inputs Yr 2'!P291*'Inputs Yr 2'!Q291*'Inputs Yr 2'!U291,"")</f>
        <v>0</v>
      </c>
      <c r="BK291" s="195">
        <f>IFERROR($G291*(IF('Inputs Yr 2'!$AJ291=BK$4,'Inputs Yr 2'!$AK291,IF('Inputs Yr 2'!$AL291=BK$4,'Inputs Yr 2'!$AM291,IF('Inputs Yr 2'!$AN291=BK$4,'Inputs Yr 2'!$AO291,0))))*(INDEX(avoidedcosttbl2,$H291,BK$2)+(($H291-ROUNDDOWN($H291,0))*(INDEX(avoidedcosttbl2,ROUNDUP($H291,0),BK$2)-(INDEX(avoidedcosttbl2,ROUNDDOWN($H291,0),BK$2)))))*'Inputs Yr 2'!P291*'Inputs Yr 2'!Q291*'Inputs Yr 2'!U291,"")</f>
        <v>0</v>
      </c>
      <c r="BL291" s="195">
        <f>IFERROR($G291*(IF('Inputs Yr 2'!$AJ291=BL$4,'Inputs Yr 2'!$AK291,IF('Inputs Yr 2'!$AL291=BL$4,'Inputs Yr 2'!$AM291,IF('Inputs Yr 2'!$AN291=BL$4,'Inputs Yr 2'!$AO291,0))))*(INDEX(avoidedcosttbl2,$H291,BL$2)+(($H291-ROUNDDOWN($H291,0))*(INDEX(avoidedcosttbl2,ROUNDUP($H291,0),BL$2)-(INDEX(avoidedcosttbl2,ROUNDDOWN($H291,0),BL$2)))))*'Inputs Yr 2'!P291*'Inputs Yr 2'!Q291*'Inputs Yr 2'!U291,"")</f>
        <v>0</v>
      </c>
      <c r="BM291" s="195">
        <f>IFERROR($G291*(IF('Inputs Yr 2'!$AJ291=BM$4,'Inputs Yr 2'!$AK291,IF('Inputs Yr 2'!$AL291=BM$4,'Inputs Yr 2'!$AM291,IF('Inputs Yr 2'!$AN291=BM$4,'Inputs Yr 2'!$AO291,0))))*(INDEX(avoidedcosttbl2,$H291,BM$2)+(($H291-ROUNDDOWN($H291,0))*(INDEX(avoidedcosttbl2,ROUNDUP($H291,0),BM$2)-(INDEX(avoidedcosttbl2,ROUNDDOWN($H291,0),BM$2)))))*'Inputs Yr 2'!P291*'Inputs Yr 2'!Q291*'Inputs Yr 2'!U291,"")</f>
        <v>0</v>
      </c>
      <c r="BN291" s="195">
        <f>IFERROR($G291*(IF('Inputs Yr 2'!$AJ291=BN$4,'Inputs Yr 2'!$AK291,IF('Inputs Yr 2'!$AL291=BN$4,'Inputs Yr 2'!$AM291,IF('Inputs Yr 2'!$AN291=BN$4,'Inputs Yr 2'!$AO291,0))))*(INDEX(avoidedcosttbl2,$H291,BN$2)+(($H291-ROUNDDOWN($H291,0))*(INDEX(avoidedcosttbl2,ROUNDUP($H291,0),BN$2)-(INDEX(avoidedcosttbl2,ROUNDDOWN($H291,0),BN$2)))))*'Inputs Yr 2'!P291*'Inputs Yr 2'!Q291*'Inputs Yr 2'!U291,"")</f>
        <v>0</v>
      </c>
      <c r="BO291" s="195">
        <f>IFERROR($G291*(IF('Inputs Yr 2'!$AJ291=BO$4,'Inputs Yr 2'!$AK291,IF('Inputs Yr 2'!$AL291=BO$4,'Inputs Yr 2'!$AM291,IF('Inputs Yr 2'!$AN291=BO$4,'Inputs Yr 2'!$AO291,0))))*(INDEX(avoidedcosttbl2,$H291,BO$2)+(($H291-ROUNDDOWN($H291,0))*(INDEX(avoidedcosttbl2,ROUNDUP($H291,0),BO$2)-(INDEX(avoidedcosttbl2,ROUNDDOWN($H291,0),BO$2)))))*'Inputs Yr 2'!P291*'Inputs Yr 2'!Q291*'Inputs Yr 2'!U291,"")</f>
        <v>320026.88464002038</v>
      </c>
      <c r="BP291" s="195">
        <f>IFERROR($G291*(IF('Inputs Yr 2'!$AJ291=BP$4,'Inputs Yr 2'!$AK291,IF('Inputs Yr 2'!$AL291=BP$4,'Inputs Yr 2'!$AM291,IF('Inputs Yr 2'!$AN291=BP$4,'Inputs Yr 2'!$AO291,0))))*(INDEX(avoidedcosttbl2,$H291,BP$2)+(($H291-ROUNDDOWN($H291,0))*(INDEX(avoidedcosttbl2,ROUNDUP($H291,0),BP$2)-(INDEX(avoidedcosttbl2,ROUNDDOWN($H291,0),BP$2)))))*'Inputs Yr 2'!P291*'Inputs Yr 2'!Q291*'Inputs Yr 2'!U291,"")</f>
        <v>0</v>
      </c>
      <c r="BQ291" s="230">
        <f t="shared" si="158"/>
        <v>320026.88464002038</v>
      </c>
      <c r="BR291" s="197">
        <f t="shared" si="142"/>
        <v>5561.8283550809556</v>
      </c>
      <c r="BS291" s="197">
        <f>IFERROR(($G291*IF('Inputs Yr 2'!$AJ291=BM$4,'Inputs Yr 2'!$AK291,IF('Inputs Yr 2'!$AL291=BM$4,'Inputs Yr 2'!$AM291,IF('Inputs Yr 2'!$AN291=BM$4,'Inputs Yr 2'!$AO291,0))))*(INDEX(avoidedcosttbl2,$H291,BS$2)+(($H291-ROUNDDOWN($H291,0))*(INDEX(avoidedcosttbl2,ROUNDUP($H291,0),BS$2)-(INDEX(avoidedcosttbl2,ROUNDDOWN($H291,0),BS$2)))))*'Inputs Yr 2'!P291*'Inputs Yr 2'!Q291*'Inputs Yr 2'!U291,"")</f>
        <v>0</v>
      </c>
      <c r="BT291" s="197">
        <f>IFERROR(($G291*IF('Inputs Yr 2'!$AJ291=BK$4,'Inputs Yr 2'!$AK291,IF('Inputs Yr 2'!$AL291=BK$4,'Inputs Yr 2'!$AM291,IF('Inputs Yr 2'!$AN291=BK$4,'Inputs Yr 2'!$AO291,0))))*(INDEX(avoidedcosttbl2,$H291,BT$2)+(($H291-ROUNDDOWN($H291,0))*(INDEX(avoidedcosttbl2,ROUNDUP($H291,0),BT$2)-(INDEX(avoidedcosttbl2,ROUNDDOWN($H291,0),BT$2)))))*'Inputs Yr 2'!P291*'Inputs Yr 2'!Q291*'Inputs Yr 2'!U291,"")</f>
        <v>0</v>
      </c>
      <c r="BU291" s="197">
        <f>IFERROR(($G291*IF('Inputs Yr 2'!$AJ291=BL$4,'Inputs Yr 2'!$AK291,IF('Inputs Yr 2'!$AL291=BL$4,'Inputs Yr 2'!$AM291,IF('Inputs Yr 2'!$AN291=BL$4,'Inputs Yr 2'!$AO291,0))))*(INDEX(avoidedcosttbl2,$H291,BU$2)+(($H291-ROUNDDOWN($H291,0))*(INDEX(avoidedcosttbl2,ROUNDUP($H291,0),BU$2)-(INDEX(avoidedcosttbl2,ROUNDDOWN($H291,0),BU$2)))))*'Inputs Yr 2'!P291*'Inputs Yr 2'!Q291*'Inputs Yr 2'!U291,"")</f>
        <v>0</v>
      </c>
      <c r="BV291" s="775">
        <f>IFERROR(($G291*IF('Inputs Yr 2'!$AJ291=BJ$4,'Inputs Yr 2'!$AK291,IF('Inputs Yr 2'!$AL291=BJ$4,'Inputs Yr 2'!$AM291,IF('Inputs Yr 2'!$AN291=BJ$4,'Inputs Yr 2'!$AO291,0))))*(INDEX(avoidedcosttbl2,$H291,BV$2)+(($H291-ROUNDDOWN($H291,0))*(INDEX(avoidedcosttbl2,ROUNDUP($H291,0),BV$2)-(INDEX(avoidedcosttbl2,ROUNDDOWN($H291,0),BV$2)))))*'Inputs Yr 2'!P291*'Inputs Yr 2'!Q291*'Inputs Yr 2'!U291,"")</f>
        <v>0</v>
      </c>
      <c r="BW291" s="197">
        <f>IFERROR(($G291*IF('Inputs Yr 2'!$AJ291=BN$4,'Inputs Yr 2'!$AK291,IF('Inputs Yr 2'!$AL291=BN$4,'Inputs Yr 2'!$AM291,IF('Inputs Yr 2'!$AN291=BN$4,'Inputs Yr 2'!$AO291,0))))*(INDEX(avoidedcosttbl2,$H291,BW$2)+(($H291-ROUNDDOWN($H291,0))*(INDEX(avoidedcosttbl2,ROUNDUP($H291,0),BW$2)-(INDEX(avoidedcosttbl2,ROUNDDOWN($H291,0),BW$2)))))*'Inputs Yr 2'!P291*'Inputs Yr 2'!Q291*'Inputs Yr 2'!U291,"")</f>
        <v>0</v>
      </c>
      <c r="BX291" s="197">
        <f>IFERROR(($G291*IF('Inputs Yr 2'!$AJ291=BO$4,'Inputs Yr 2'!$AK291,IF('Inputs Yr 2'!$AL291=BO$4,'Inputs Yr 2'!$AM291,IF('Inputs Yr 2'!$AN291=BO$4,'Inputs Yr 2'!$AO291,0))))*(INDEX(avoidedcosttbl2,$H291,BX$2)+(($H291-ROUNDDOWN($H291,0))*(INDEX(avoidedcosttbl2,ROUNDUP($H291,0),BX$2)-(INDEX(avoidedcosttbl2,ROUNDDOWN($H291,0),BX$2)))))*'Inputs Yr 2'!P291*'Inputs Yr 2'!Q291*'Inputs Yr 2'!U291,"")</f>
        <v>22554.447192136733</v>
      </c>
      <c r="BY291" s="197">
        <f>IFERROR(($G291*IF('Inputs Yr 2'!$AJ291=BP$4,'Inputs Yr 2'!$AK291,IF('Inputs Yr 2'!$AL291=BP$4,'Inputs Yr 2'!$AM291,IF('Inputs Yr 2'!$AN291=BP$4,'Inputs Yr 2'!$AO291,0))))*(INDEX(avoidedcosttbl2,$H291,BY$2)+(($H291-ROUNDDOWN($H291,0))*(INDEX(avoidedcosttbl2,ROUNDUP($H291,0),BY$2)-(INDEX(avoidedcosttbl2,ROUNDDOWN($H291,0),BY$2)))))*'Inputs Yr 2'!P291*'Inputs Yr 2'!Q291*'Inputs Yr 2'!U291,"")</f>
        <v>0</v>
      </c>
      <c r="BZ291" s="193">
        <f t="shared" si="159"/>
        <v>28116.275547217687</v>
      </c>
      <c r="CA291" s="193">
        <f t="shared" si="160"/>
        <v>348143.16018723807</v>
      </c>
      <c r="CB291" s="195">
        <f>IFERROR(G291*(IF('Inputs Yr 2'!$AJ291=CB$4,'Inputs Yr 2'!$AK291,IF('Inputs Yr 2'!$AL291=CB$4,'Inputs Yr 2'!$AM291,IF('Inputs Yr 2'!$AN291=CB$4,'Inputs Yr 2'!$AO291,0))))*(INDEX(avoidedcosttbl2,$H291,CB$2)+(($H291-ROUNDDOWN($H291,0))*(INDEX(avoidedcosttbl2,ROUNDUP($H291,0),CB$2)-(INDEX(avoidedcosttbl2,ROUNDDOWN($H291,0),CB$2)))))*'Inputs Yr 2'!P291*'Inputs Yr 2'!Q291*'Inputs Yr 2'!U291,"")</f>
        <v>0</v>
      </c>
      <c r="CC291" s="195">
        <f>IFERROR(H291*(IF('Inputs Yr 2'!$AJ291=CC$4,'Inputs Yr 2'!$AK291,IF('Inputs Yr 2'!$AL291=CC$4,'Inputs Yr 2'!$AM291,IF('Inputs Yr 2'!$AN291=CC$4,'Inputs Yr 2'!$AO291,0))))*(INDEX(avoidedcosttbl2,$H291,CC$2)+(($H291-ROUNDDOWN($H291,0))*(INDEX(avoidedcosttbl2,ROUNDUP($H291,0),CC$2)-(INDEX(avoidedcosttbl2,ROUNDDOWN($H291,0),CC$2)))))*'Inputs Yr 2'!Q291*'Inputs Yr 2'!R291*'Inputs Yr 2'!V291,"")</f>
        <v>0</v>
      </c>
      <c r="CD291" s="195">
        <f>IFERROR(I291*(IF('Inputs Yr 2'!$AJ291=CD$4,'Inputs Yr 2'!$AK291,IF('Inputs Yr 2'!$AL291=CD$4,'Inputs Yr 2'!$AM291,IF('Inputs Yr 2'!$AN291=CD$4,'Inputs Yr 2'!$AO291,0))))*(INDEX(avoidedcosttbl2,$H291,CD$2)+(($H291-ROUNDDOWN($H291,0))*(INDEX(avoidedcosttbl2,ROUNDUP($H291,0),CD$2)-(INDEX(avoidedcosttbl2,ROUNDDOWN($H291,0),CD$2)))))*'Inputs Yr 2'!R291*'Inputs Yr 2'!S291*'Inputs Yr 2'!W291,"")</f>
        <v>0</v>
      </c>
      <c r="CE291" s="213">
        <f t="shared" si="161"/>
        <v>0</v>
      </c>
      <c r="CF291" s="213">
        <f t="shared" si="162"/>
        <v>0</v>
      </c>
      <c r="CG291" s="213">
        <f t="shared" si="163"/>
        <v>0</v>
      </c>
      <c r="CH291" s="698">
        <f t="shared" si="164"/>
        <v>348143.16018723807</v>
      </c>
      <c r="CI291" s="79">
        <f>IFERROR(($G291*'Inputs Yr 2'!$P291*'Inputs Yr 2'!$Q291*(((INDEX(avoidedcosttbl2,$H291,CI$2)+(($H291-ROUNDDOWN($H291,0))*(INDEX(avoidedcosttbl2,ROUNDUP($H291,0),CI$2)-INDEX(avoidedcosttbl2,ROUNDDOWN($H291,0),CI$2))))*'Inputs Yr 2'!AS291))),"")</f>
        <v>0</v>
      </c>
      <c r="CJ291" s="504">
        <f>IFERROR($G291*'Inputs Yr 2'!AT291*'Inputs Yr 2'!$P291*'Inputs Yr 2'!$Q291/((1+realdiscrt1)^-0.5),"")</f>
        <v>0</v>
      </c>
      <c r="CK291" s="79">
        <f>IFERROR((O291*1000*(((INDEX(avoidedcosttbl2,$H291,CK$2)+(($H291-ROUNDDOWN($H291,0))*(INDEX(avoidedcosttbl2,ROUNDUP($H291,0),CK$2)-INDEX(avoidedcosttbl2,ROUNDDOWN($H291,0),CK$2))))*'Inputs Yr 2'!AU291))),"")</f>
        <v>0</v>
      </c>
      <c r="CL291" s="504">
        <f>IFERROR(O291*1000*'Inputs Yr 2'!AV291/((1+realdiscrt1)^-0.5),"")</f>
        <v>0</v>
      </c>
      <c r="CM291" s="79">
        <f>IFERROR((AB291*'Inputs Yr 2'!AW291*(((INDEX(avoidedcosttbl2,$H291,CM$2)+(($H291-ROUNDDOWN($H291,0))*(INDEX(avoidedcosttbl2,ROUNDUP($H291,0),CM$2)-INDEX(avoidedcosttbl2,ROUNDDOWN($H291,0),CM$2)))))))*10,"")</f>
        <v>99280.019304257003</v>
      </c>
      <c r="CN291" s="504">
        <f>IFERROR(10*AB291*'Inputs Yr 2'!AX291/((1+realdiscrt1)^-0.5),"")</f>
        <v>0</v>
      </c>
      <c r="CO291" s="505">
        <f t="shared" si="165"/>
        <v>99280.019304257003</v>
      </c>
      <c r="CP291" s="230">
        <f t="shared" si="166"/>
        <v>447423.17949149507</v>
      </c>
      <c r="CQ291" s="199">
        <f>ROUND(IFERROR(IF(LEFT($A291,1)="C",'Avoided Costs'!$K$13,'Avoided Costs'!$K$12)+1,""),4)</f>
        <v>1.0720000000000001</v>
      </c>
      <c r="CR291" s="199">
        <f>ROUND(IFERROR(IF(LEFT($A291,1)="C",'Avoided Costs'!$L$13,'Avoided Costs'!$L$12)+1,""),4)</f>
        <v>1.04</v>
      </c>
      <c r="CS291" s="199">
        <f>ROUND(IFERROR(IF(LEFT($A291,1)="C",'Avoided Costs'!$M$13,'Avoided Costs'!$M$12)+1,""),4)</f>
        <v>1.0720000000000001</v>
      </c>
      <c r="CT291" s="199">
        <f>ROUND(IFERROR(IF(LEFT($A291,1)="C",'Avoided Costs'!$N$13,'Avoided Costs'!$N$12)+1,""),4)</f>
        <v>1.04</v>
      </c>
      <c r="CU291" s="199">
        <f>ROUND(IFERROR(IF(LEFT($A291,1)="C",'Avoided Costs'!$O$13,'Avoided Costs'!$O$12)+1,""),4)</f>
        <v>1.1120000000000001</v>
      </c>
      <c r="CV291" s="199">
        <f>ROUND(IFERROR(IF(LEFT($A291,1)="C",'Avoided Costs'!$P$13,'Avoided Costs'!$P$12)+1,""),4)</f>
        <v>1.095</v>
      </c>
      <c r="CW291" s="199">
        <f>ROUND(IFERROR(IF(LEFT($A291,1)="C",'Avoided Costs'!$Q$13,'Avoided Costs'!$Q$12)+1,""),4)</f>
        <v>1.1120000000000001</v>
      </c>
      <c r="CX291" s="200">
        <f>ROUND(IFERROR(IF(LEFT($A291,1)="C",'Avoided Costs'!$R$13,'Avoided Costs'!$R$12)+1,""),4)</f>
        <v>1.1120000000000001</v>
      </c>
    </row>
    <row r="292" spans="1:102" ht="12.75" customHeight="1">
      <c r="A292" s="91" t="str">
        <f>IF('Inputs Yr 2'!$B292=0,"",'Inputs Yr 2'!A292)</f>
        <v>C - Commercial &amp; Industrial</v>
      </c>
      <c r="B292" s="91" t="str">
        <f>IF('Inputs Yr 2'!$B292=0,"",'Inputs Yr 2'!B292)</f>
        <v>C2 - C&amp;I Retrofit</v>
      </c>
      <c r="C292" s="91" t="str">
        <f>IF('Inputs Yr 2'!$B292=0,"",'Inputs Yr 2'!C292)</f>
        <v>C2a - C&amp;I Existing Building Retrofit</v>
      </c>
      <c r="D292" s="91" t="str">
        <f>IF('Inputs Yr 2'!$B292=0,"",'Inputs Yr 2'!E292)</f>
        <v>Building Operator Certification</v>
      </c>
      <c r="E292" s="93" t="str">
        <f>IF('Inputs Yr 2'!$B292=0,"",'Inputs Yr 2'!F292)</f>
        <v>G16C2a31</v>
      </c>
      <c r="F292" s="93" t="str">
        <f>IF('Inputs Yr 2'!$B292=0,"",'Inputs Yr 2'!G292)</f>
        <v>Behavioral</v>
      </c>
      <c r="G292" s="95">
        <f>IF('Inputs Yr 2'!$H292&lt;&gt;0,('Inputs Yr 2'!H292),"")</f>
        <v>2</v>
      </c>
      <c r="H292" s="94">
        <f>IFERROR('Inputs Yr 2'!I292,"")</f>
        <v>5</v>
      </c>
      <c r="I292" s="298">
        <f>IFERROR('Inputs Yr 2'!J292*'Inputs Yr 2'!P292*G292,"")</f>
        <v>0</v>
      </c>
      <c r="J292" s="298">
        <f>IFERROR('Inputs Yr 2'!K292*G292,"")</f>
        <v>0</v>
      </c>
      <c r="K292" s="298">
        <f t="shared" si="143"/>
        <v>0</v>
      </c>
      <c r="L292" s="194">
        <f>IFERROR(('Inputs Yr 2'!W292*G292)/1000,"")</f>
        <v>0</v>
      </c>
      <c r="M292" s="194">
        <f>IFERROR(L292*('Inputs Yr 2'!$Q292*'Inputs Yr 2'!$V292*'Inputs Yr 2'!$R292),"")</f>
        <v>0</v>
      </c>
      <c r="N292" s="194">
        <f t="shared" si="144"/>
        <v>0</v>
      </c>
      <c r="O292" s="194">
        <f>IFERROR(M292*'Inputs Yr 2'!P292,"")</f>
        <v>0</v>
      </c>
      <c r="P292" s="194">
        <f t="shared" si="145"/>
        <v>0</v>
      </c>
      <c r="Q292" s="194">
        <f>IFERROR($P292*'Inputs Yr 2'!AA292,"")</f>
        <v>0</v>
      </c>
      <c r="R292" s="194">
        <f>IFERROR($P292*'Inputs Yr 2'!AB292,"")</f>
        <v>0</v>
      </c>
      <c r="S292" s="194">
        <f>IFERROR($P292*'Inputs Yr 2'!AC292,"")</f>
        <v>0</v>
      </c>
      <c r="T292" s="194">
        <f>IFERROR($P292*'Inputs Yr 2'!AD292,"")</f>
        <v>0</v>
      </c>
      <c r="U292" s="194">
        <f>IFERROR(G292*'Inputs Yr 2'!$AE292*'Inputs Yr 2'!$P292*'Inputs Yr 2'!$Q292,"")</f>
        <v>0</v>
      </c>
      <c r="V292" s="194">
        <f>IFERROR($G292*'Inputs Yr 2'!$AE292*'Inputs Yr 2'!$AG292*'Inputs Yr 2'!Q292*'Inputs Yr 2'!$S292,"")</f>
        <v>0</v>
      </c>
      <c r="W292" s="194">
        <f>IFERROR($G292*'Inputs Yr 2'!$AE292*'Inputs Yr 2'!$AG292*'Inputs Yr 2'!P292*'Inputs Yr 2'!Q292*'Inputs Yr 2'!$S292,"")</f>
        <v>0</v>
      </c>
      <c r="X292" s="194">
        <f>IFERROR($G292*'Inputs Yr 2'!$AE292*'Inputs Yr 2'!$AF292*'Inputs Yr 2'!Q292*'Inputs Yr 2'!$T292,"")</f>
        <v>0</v>
      </c>
      <c r="Y292" s="194">
        <f>IFERROR($G292*'Inputs Yr 2'!$AE292*'Inputs Yr 2'!$AF292*'Inputs Yr 2'!P292*'Inputs Yr 2'!Q292*'Inputs Yr 2'!$T292,"")</f>
        <v>0</v>
      </c>
      <c r="Z292" s="257">
        <f>IFERROR($G292*'Inputs Yr 2'!$Q292*'Inputs Yr 2'!$U292*(IF(IFERROR(SEARCH("NG", 'Inputs Yr 2'!$AJ292),0),'Inputs Yr 2'!$AK292,0)+IF(IFERROR(SEARCH("NG", 'Inputs Yr 2'!$AL292),0),'Inputs Yr 2'!$AM292,0)+IF(IFERROR(SEARCH("NG", 'Inputs Yr 2'!$AN292),0),'Inputs Yr 2'!$AO292,0)),0)</f>
        <v>668.2</v>
      </c>
      <c r="AA292" s="257">
        <f t="shared" si="146"/>
        <v>3341</v>
      </c>
      <c r="AB292" s="257">
        <f>IFERROR(Z292*'Inputs Yr 2'!$P292,0)</f>
        <v>668.2</v>
      </c>
      <c r="AC292" s="257">
        <f t="shared" si="147"/>
        <v>3341</v>
      </c>
      <c r="AD292" s="257">
        <f>IFERROR($G292*'Inputs Yr 2'!$Q292*'Inputs Yr 2'!$U292*(IF(IFERROR(SEARCH("Oil", 'Inputs Yr 2'!$AJ292), 0),'Inputs Yr 2'!$AK292,0)+IF(IFERROR(SEARCH("Oil", 'Inputs Yr 2'!$AL292), 0),'Inputs Yr 2'!$AM292,0)+IF(IFERROR(SEARCH("Oil", 'Inputs Yr 2'!$AN292), 0),'Inputs Yr 2'!$AO292,0)),0)</f>
        <v>0</v>
      </c>
      <c r="AE292" s="257">
        <f t="shared" si="148"/>
        <v>0</v>
      </c>
      <c r="AF292" s="257">
        <f>IFERROR(AD292*'Inputs Yr 2'!$P292,0)</f>
        <v>0</v>
      </c>
      <c r="AG292" s="257">
        <f t="shared" si="149"/>
        <v>0</v>
      </c>
      <c r="AH292" s="257">
        <f>IFERROR($G292*'Inputs Yr 2'!$Q292*'Inputs Yr 2'!$U292*(IF('Inputs Yr 2'!$AJ292=CD$4,'Inputs Yr 2'!$AK292,IF('Inputs Yr 2'!$AL292=CD$4,'Inputs Yr 2'!$AM292,IF('Inputs Yr 2'!$AN292=CD$4,'Inputs Yr 2'!$AO292,0)))),0)</f>
        <v>0</v>
      </c>
      <c r="AI292" s="257">
        <f t="shared" si="150"/>
        <v>0</v>
      </c>
      <c r="AJ292" s="257">
        <f>IFERROR(AH292*'Inputs Yr 2'!$P292,0)</f>
        <v>0</v>
      </c>
      <c r="AK292" s="257">
        <f t="shared" si="151"/>
        <v>0</v>
      </c>
      <c r="AL292" s="258">
        <f>IFERROR($G292*'Inputs Yr 2'!$P292*'Inputs Yr 2'!$Q292*'Inputs Yr 2'!AP292,0)</f>
        <v>0</v>
      </c>
      <c r="AM292" s="260">
        <f>IFERROR($G292*'Inputs Yr 2'!$P292*'Inputs Yr 2'!$Q292*'Inputs Yr 2'!AQ292,0)</f>
        <v>0</v>
      </c>
      <c r="AN292" s="258">
        <f>IFERROR($G292*'Inputs Yr 2'!$P292*'Inputs Yr 2'!$Q292*'Inputs Yr 2'!AR292,0)</f>
        <v>0</v>
      </c>
      <c r="AO292" s="257">
        <f t="shared" si="152"/>
        <v>0</v>
      </c>
      <c r="AP292" s="195">
        <f>IFERROR($CQ292*(INDEX(avoidedcosttbl2,$H292,AP$2)+(($H292-ROUNDDOWN($H292,0))*(INDEX(avoidedcosttbl2,ROUNDUP($H292,0),AP$2)-(INDEX(avoidedcosttbl2,ROUNDDOWN($H292,0),AP$2)))))*$O292*1000*'Inputs Yr 2'!AA292,"")</f>
        <v>0</v>
      </c>
      <c r="AQ292" s="195">
        <f>IFERROR($CR292*(INDEX(avoidedcosttbl2,$H292,AQ$2)+(($H292-ROUNDDOWN($H292,0))*(INDEX(avoidedcosttbl2,ROUNDUP($H292,0),AQ$2)-(INDEX(avoidedcosttbl2,ROUNDDOWN($H292,0),AQ$2)))))*$O292*1000*'Inputs Yr 2'!AB292,"")</f>
        <v>0</v>
      </c>
      <c r="AR292" s="195">
        <f>IFERROR($CS292*(INDEX(avoidedcosttbl2,$H292,AR$2)+(($H292-ROUNDDOWN($H292,0))*(INDEX(avoidedcosttbl2,ROUNDUP($H292,0),AR$2)-(INDEX(avoidedcosttbl2,ROUNDDOWN($H292,0),AR$2)))))*$O292*1000*'Inputs Yr 2'!AC292,"")</f>
        <v>0</v>
      </c>
      <c r="AS292" s="195">
        <f>IFERROR($CT292*(INDEX(avoidedcosttbl2,$H292,AS$2)+(($H292-ROUNDDOWN($H292,0))*(INDEX(avoidedcosttbl2,ROUNDUP($H292,0),AS$2)-(INDEX(avoidedcosttbl2,ROUNDDOWN($H292,0),AS$2)))))*$O292*1000*'Inputs Yr 2'!AD292,"")</f>
        <v>0</v>
      </c>
      <c r="AT292" s="196">
        <f t="shared" si="153"/>
        <v>0</v>
      </c>
      <c r="AU292" s="197">
        <f>IFERROR($CQ292*((INDEX(avoidedcosttbl2,$H292,AU$2))+(($H292-ROUNDDOWN($H292,0))*((INDEX(avoidedcosttbl2,ROUNDUP($H292,0),AU$2))-(INDEX(avoidedcosttbl2,ROUNDDOWN($H292,0),AU$2)))))*$O292*1000*'Inputs Yr 2'!AA292,"")</f>
        <v>0</v>
      </c>
      <c r="AV292" s="197">
        <f>IFERROR($CR292*((INDEX(avoidedcosttbl2,$H292,AV$2))+(($H292-ROUNDDOWN($H292,0))*((INDEX(avoidedcosttbl2,ROUNDUP($H292,0),AV$2))-(INDEX(avoidedcosttbl2,ROUNDDOWN($H292,0),AV$2)))))*$O292*1000*'Inputs Yr 2'!AB292,"")</f>
        <v>0</v>
      </c>
      <c r="AW292" s="197">
        <f>IFERROR($CS292*((INDEX(avoidedcosttbl2,$H292,AW$2))+(($H292-ROUNDDOWN($H292,0))*((INDEX(avoidedcosttbl2,ROUNDUP($H292,0),AW$2))-(INDEX(avoidedcosttbl2,ROUNDDOWN($H292,0),AW$2)))))*$O292*1000*'Inputs Yr 2'!AC292,"")</f>
        <v>0</v>
      </c>
      <c r="AX292" s="197">
        <f>IFERROR($CT292*((INDEX(avoidedcosttbl2,$H292,AX$2))+(($H292-ROUNDDOWN($H292,0))*((INDEX(avoidedcosttbl2,ROUNDUP($H292,0),AX$2))-(INDEX(avoidedcosttbl2,ROUNDDOWN($H292,0),AX$2)))))*$O292*1000*'Inputs Yr 2'!AD292,"")</f>
        <v>0</v>
      </c>
      <c r="AY292" s="197">
        <f>IFERROR(((INDEX(avoidedcosttbl2,$H292,AY$2))+(($H292-ROUNDDOWN($H292,0))*((INDEX(avoidedcosttbl2,ROUNDUP($H292,0),AY$2))-(INDEX(avoidedcosttbl2,ROUNDDOWN($H292,0),AY$2)))))*$O292*1000*('Inputs Yr 2'!AC292+'Inputs Yr 2'!AD292),"")</f>
        <v>0</v>
      </c>
      <c r="AZ292" s="197">
        <f>IFERROR(((INDEX(avoidedcosttbl2,$H292,AZ$2))+(($H292-ROUNDDOWN($H292,0))*((INDEX(avoidedcosttbl2,ROUNDUP($H292,0),AZ$2))-(INDEX(avoidedcosttbl2,ROUNDDOWN($H292,0),AZ$2)))))*$O292*1000*('Inputs Yr 2'!AA292+'Inputs Yr 2'!AB292),"")</f>
        <v>0</v>
      </c>
      <c r="BA292" s="198">
        <f t="shared" si="154"/>
        <v>0</v>
      </c>
      <c r="BB292" s="198">
        <f t="shared" si="155"/>
        <v>0</v>
      </c>
      <c r="BC292" s="195">
        <f t="shared" si="137"/>
        <v>0</v>
      </c>
      <c r="BD292" s="195">
        <f t="shared" si="138"/>
        <v>0</v>
      </c>
      <c r="BE292" s="195">
        <f t="shared" si="139"/>
        <v>0</v>
      </c>
      <c r="BF292" s="195">
        <f t="shared" si="140"/>
        <v>0</v>
      </c>
      <c r="BG292" s="195">
        <f t="shared" si="141"/>
        <v>0</v>
      </c>
      <c r="BH292" s="196">
        <f t="shared" si="156"/>
        <v>0</v>
      </c>
      <c r="BI292" s="196">
        <f t="shared" si="157"/>
        <v>0</v>
      </c>
      <c r="BJ292" s="195">
        <f>IFERROR($G292*(IF('Inputs Yr 2'!$AJ292=BJ$4,'Inputs Yr 2'!$AK292,IF('Inputs Yr 2'!$AL292=BJ$4,'Inputs Yr 2'!$AM292,IF('Inputs Yr 2'!$AN292=BJ$4,'Inputs Yr 2'!$AO292,0))))*(INDEX(avoidedcosttbl2,$H292,BJ$2)+(($H292-ROUNDDOWN($H292,0))*(INDEX(avoidedcosttbl2,ROUNDUP($H292,0),BJ$2)-(INDEX(avoidedcosttbl2,ROUNDDOWN($H292,0),BJ$2)))))*'Inputs Yr 2'!P292*'Inputs Yr 2'!Q292*'Inputs Yr 2'!U292,"")</f>
        <v>0</v>
      </c>
      <c r="BK292" s="195">
        <f>IFERROR($G292*(IF('Inputs Yr 2'!$AJ292=BK$4,'Inputs Yr 2'!$AK292,IF('Inputs Yr 2'!$AL292=BK$4,'Inputs Yr 2'!$AM292,IF('Inputs Yr 2'!$AN292=BK$4,'Inputs Yr 2'!$AO292,0))))*(INDEX(avoidedcosttbl2,$H292,BK$2)+(($H292-ROUNDDOWN($H292,0))*(INDEX(avoidedcosttbl2,ROUNDUP($H292,0),BK$2)-(INDEX(avoidedcosttbl2,ROUNDDOWN($H292,0),BK$2)))))*'Inputs Yr 2'!P292*'Inputs Yr 2'!Q292*'Inputs Yr 2'!U292,"")</f>
        <v>0</v>
      </c>
      <c r="BL292" s="195">
        <f>IFERROR($G292*(IF('Inputs Yr 2'!$AJ292=BL$4,'Inputs Yr 2'!$AK292,IF('Inputs Yr 2'!$AL292=BL$4,'Inputs Yr 2'!$AM292,IF('Inputs Yr 2'!$AN292=BL$4,'Inputs Yr 2'!$AO292,0))))*(INDEX(avoidedcosttbl2,$H292,BL$2)+(($H292-ROUNDDOWN($H292,0))*(INDEX(avoidedcosttbl2,ROUNDUP($H292,0),BL$2)-(INDEX(avoidedcosttbl2,ROUNDDOWN($H292,0),BL$2)))))*'Inputs Yr 2'!P292*'Inputs Yr 2'!Q292*'Inputs Yr 2'!U292,"")</f>
        <v>0</v>
      </c>
      <c r="BM292" s="195">
        <f>IFERROR($G292*(IF('Inputs Yr 2'!$AJ292=BM$4,'Inputs Yr 2'!$AK292,IF('Inputs Yr 2'!$AL292=BM$4,'Inputs Yr 2'!$AM292,IF('Inputs Yr 2'!$AN292=BM$4,'Inputs Yr 2'!$AO292,0))))*(INDEX(avoidedcosttbl2,$H292,BM$2)+(($H292-ROUNDDOWN($H292,0))*(INDEX(avoidedcosttbl2,ROUNDUP($H292,0),BM$2)-(INDEX(avoidedcosttbl2,ROUNDDOWN($H292,0),BM$2)))))*'Inputs Yr 2'!P292*'Inputs Yr 2'!Q292*'Inputs Yr 2'!U292,"")</f>
        <v>0</v>
      </c>
      <c r="BN292" s="195">
        <f>IFERROR($G292*(IF('Inputs Yr 2'!$AJ292=BN$4,'Inputs Yr 2'!$AK292,IF('Inputs Yr 2'!$AL292=BN$4,'Inputs Yr 2'!$AM292,IF('Inputs Yr 2'!$AN292=BN$4,'Inputs Yr 2'!$AO292,0))))*(INDEX(avoidedcosttbl2,$H292,BN$2)+(($H292-ROUNDDOWN($H292,0))*(INDEX(avoidedcosttbl2,ROUNDUP($H292,0),BN$2)-(INDEX(avoidedcosttbl2,ROUNDDOWN($H292,0),BN$2)))))*'Inputs Yr 2'!P292*'Inputs Yr 2'!Q292*'Inputs Yr 2'!U292,"")</f>
        <v>0</v>
      </c>
      <c r="BO292" s="195">
        <f>IFERROR($G292*(IF('Inputs Yr 2'!$AJ292=BO$4,'Inputs Yr 2'!$AK292,IF('Inputs Yr 2'!$AL292=BO$4,'Inputs Yr 2'!$AM292,IF('Inputs Yr 2'!$AN292=BO$4,'Inputs Yr 2'!$AO292,0))))*(INDEX(avoidedcosttbl2,$H292,BO$2)+(($H292-ROUNDDOWN($H292,0))*(INDEX(avoidedcosttbl2,ROUNDUP($H292,0),BO$2)-(INDEX(avoidedcosttbl2,ROUNDDOWN($H292,0),BO$2)))))*'Inputs Yr 2'!P292*'Inputs Yr 2'!Q292*'Inputs Yr 2'!U292,"")</f>
        <v>24974.453524529858</v>
      </c>
      <c r="BP292" s="195">
        <f>IFERROR($G292*(IF('Inputs Yr 2'!$AJ292=BP$4,'Inputs Yr 2'!$AK292,IF('Inputs Yr 2'!$AL292=BP$4,'Inputs Yr 2'!$AM292,IF('Inputs Yr 2'!$AN292=BP$4,'Inputs Yr 2'!$AO292,0))))*(INDEX(avoidedcosttbl2,$H292,BP$2)+(($H292-ROUNDDOWN($H292,0))*(INDEX(avoidedcosttbl2,ROUNDUP($H292,0),BP$2)-(INDEX(avoidedcosttbl2,ROUNDDOWN($H292,0),BP$2)))))*'Inputs Yr 2'!P292*'Inputs Yr 2'!Q292*'Inputs Yr 2'!U292,"")</f>
        <v>0</v>
      </c>
      <c r="BQ292" s="230">
        <f t="shared" si="158"/>
        <v>24974.453524529858</v>
      </c>
      <c r="BR292" s="197">
        <f t="shared" si="142"/>
        <v>462.821818269262</v>
      </c>
      <c r="BS292" s="197">
        <f>IFERROR(($G292*IF('Inputs Yr 2'!$AJ292=BM$4,'Inputs Yr 2'!$AK292,IF('Inputs Yr 2'!$AL292=BM$4,'Inputs Yr 2'!$AM292,IF('Inputs Yr 2'!$AN292=BM$4,'Inputs Yr 2'!$AO292,0))))*(INDEX(avoidedcosttbl2,$H292,BS$2)+(($H292-ROUNDDOWN($H292,0))*(INDEX(avoidedcosttbl2,ROUNDUP($H292,0),BS$2)-(INDEX(avoidedcosttbl2,ROUNDDOWN($H292,0),BS$2)))))*'Inputs Yr 2'!P292*'Inputs Yr 2'!Q292*'Inputs Yr 2'!U292,"")</f>
        <v>0</v>
      </c>
      <c r="BT292" s="197">
        <f>IFERROR(($G292*IF('Inputs Yr 2'!$AJ292=BK$4,'Inputs Yr 2'!$AK292,IF('Inputs Yr 2'!$AL292=BK$4,'Inputs Yr 2'!$AM292,IF('Inputs Yr 2'!$AN292=BK$4,'Inputs Yr 2'!$AO292,0))))*(INDEX(avoidedcosttbl2,$H292,BT$2)+(($H292-ROUNDDOWN($H292,0))*(INDEX(avoidedcosttbl2,ROUNDUP($H292,0),BT$2)-(INDEX(avoidedcosttbl2,ROUNDDOWN($H292,0),BT$2)))))*'Inputs Yr 2'!P292*'Inputs Yr 2'!Q292*'Inputs Yr 2'!U292,"")</f>
        <v>0</v>
      </c>
      <c r="BU292" s="197">
        <f>IFERROR(($G292*IF('Inputs Yr 2'!$AJ292=BL$4,'Inputs Yr 2'!$AK292,IF('Inputs Yr 2'!$AL292=BL$4,'Inputs Yr 2'!$AM292,IF('Inputs Yr 2'!$AN292=BL$4,'Inputs Yr 2'!$AO292,0))))*(INDEX(avoidedcosttbl2,$H292,BU$2)+(($H292-ROUNDDOWN($H292,0))*(INDEX(avoidedcosttbl2,ROUNDUP($H292,0),BU$2)-(INDEX(avoidedcosttbl2,ROUNDDOWN($H292,0),BU$2)))))*'Inputs Yr 2'!P292*'Inputs Yr 2'!Q292*'Inputs Yr 2'!U292,"")</f>
        <v>0</v>
      </c>
      <c r="BV292" s="775">
        <f>IFERROR(($G292*IF('Inputs Yr 2'!$AJ292=BJ$4,'Inputs Yr 2'!$AK292,IF('Inputs Yr 2'!$AL292=BJ$4,'Inputs Yr 2'!$AM292,IF('Inputs Yr 2'!$AN292=BJ$4,'Inputs Yr 2'!$AO292,0))))*(INDEX(avoidedcosttbl2,$H292,BV$2)+(($H292-ROUNDDOWN($H292,0))*(INDEX(avoidedcosttbl2,ROUNDUP($H292,0),BV$2)-(INDEX(avoidedcosttbl2,ROUNDDOWN($H292,0),BV$2)))))*'Inputs Yr 2'!P292*'Inputs Yr 2'!Q292*'Inputs Yr 2'!U292,"")</f>
        <v>0</v>
      </c>
      <c r="BW292" s="197">
        <f>IFERROR(($G292*IF('Inputs Yr 2'!$AJ292=BN$4,'Inputs Yr 2'!$AK292,IF('Inputs Yr 2'!$AL292=BN$4,'Inputs Yr 2'!$AM292,IF('Inputs Yr 2'!$AN292=BN$4,'Inputs Yr 2'!$AO292,0))))*(INDEX(avoidedcosttbl2,$H292,BW$2)+(($H292-ROUNDDOWN($H292,0))*(INDEX(avoidedcosttbl2,ROUNDUP($H292,0),BW$2)-(INDEX(avoidedcosttbl2,ROUNDDOWN($H292,0),BW$2)))))*'Inputs Yr 2'!P292*'Inputs Yr 2'!Q292*'Inputs Yr 2'!U292,"")</f>
        <v>0</v>
      </c>
      <c r="BX292" s="197">
        <f>IFERROR(($G292*IF('Inputs Yr 2'!$AJ292=BO$4,'Inputs Yr 2'!$AK292,IF('Inputs Yr 2'!$AL292=BO$4,'Inputs Yr 2'!$AM292,IF('Inputs Yr 2'!$AN292=BO$4,'Inputs Yr 2'!$AO292,0))))*(INDEX(avoidedcosttbl2,$H292,BX$2)+(($H292-ROUNDDOWN($H292,0))*(INDEX(avoidedcosttbl2,ROUNDUP($H292,0),BX$2)-(INDEX(avoidedcosttbl2,ROUNDDOWN($H292,0),BX$2)))))*'Inputs Yr 2'!P292*'Inputs Yr 2'!Q292*'Inputs Yr 2'!U292,"")</f>
        <v>4758.983738710901</v>
      </c>
      <c r="BY292" s="197">
        <f>IFERROR(($G292*IF('Inputs Yr 2'!$AJ292=BP$4,'Inputs Yr 2'!$AK292,IF('Inputs Yr 2'!$AL292=BP$4,'Inputs Yr 2'!$AM292,IF('Inputs Yr 2'!$AN292=BP$4,'Inputs Yr 2'!$AO292,0))))*(INDEX(avoidedcosttbl2,$H292,BY$2)+(($H292-ROUNDDOWN($H292,0))*(INDEX(avoidedcosttbl2,ROUNDUP($H292,0),BY$2)-(INDEX(avoidedcosttbl2,ROUNDDOWN($H292,0),BY$2)))))*'Inputs Yr 2'!P292*'Inputs Yr 2'!Q292*'Inputs Yr 2'!U292,"")</f>
        <v>0</v>
      </c>
      <c r="BZ292" s="193">
        <f t="shared" si="159"/>
        <v>5221.8055569801627</v>
      </c>
      <c r="CA292" s="193">
        <f t="shared" si="160"/>
        <v>30196.259081510019</v>
      </c>
      <c r="CB292" s="195">
        <f>IFERROR(G292*(IF('Inputs Yr 2'!$AJ292=CB$4,'Inputs Yr 2'!$AK292,IF('Inputs Yr 2'!$AL292=CB$4,'Inputs Yr 2'!$AM292,IF('Inputs Yr 2'!$AN292=CB$4,'Inputs Yr 2'!$AO292,0))))*(INDEX(avoidedcosttbl2,$H292,CB$2)+(($H292-ROUNDDOWN($H292,0))*(INDEX(avoidedcosttbl2,ROUNDUP($H292,0),CB$2)-(INDEX(avoidedcosttbl2,ROUNDDOWN($H292,0),CB$2)))))*'Inputs Yr 2'!P292*'Inputs Yr 2'!Q292*'Inputs Yr 2'!U292,"")</f>
        <v>0</v>
      </c>
      <c r="CC292" s="195">
        <f>IFERROR(H292*(IF('Inputs Yr 2'!$AJ292=CC$4,'Inputs Yr 2'!$AK292,IF('Inputs Yr 2'!$AL292=CC$4,'Inputs Yr 2'!$AM292,IF('Inputs Yr 2'!$AN292=CC$4,'Inputs Yr 2'!$AO292,0))))*(INDEX(avoidedcosttbl2,$H292,CC$2)+(($H292-ROUNDDOWN($H292,0))*(INDEX(avoidedcosttbl2,ROUNDUP($H292,0),CC$2)-(INDEX(avoidedcosttbl2,ROUNDDOWN($H292,0),CC$2)))))*'Inputs Yr 2'!Q292*'Inputs Yr 2'!R292*'Inputs Yr 2'!V292,"")</f>
        <v>0</v>
      </c>
      <c r="CD292" s="195">
        <f>IFERROR(I292*(IF('Inputs Yr 2'!$AJ292=CD$4,'Inputs Yr 2'!$AK292,IF('Inputs Yr 2'!$AL292=CD$4,'Inputs Yr 2'!$AM292,IF('Inputs Yr 2'!$AN292=CD$4,'Inputs Yr 2'!$AO292,0))))*(INDEX(avoidedcosttbl2,$H292,CD$2)+(($H292-ROUNDDOWN($H292,0))*(INDEX(avoidedcosttbl2,ROUNDUP($H292,0),CD$2)-(INDEX(avoidedcosttbl2,ROUNDDOWN($H292,0),CD$2)))))*'Inputs Yr 2'!R292*'Inputs Yr 2'!S292*'Inputs Yr 2'!W292,"")</f>
        <v>0</v>
      </c>
      <c r="CE292" s="213">
        <f t="shared" si="161"/>
        <v>0</v>
      </c>
      <c r="CF292" s="213">
        <f t="shared" si="162"/>
        <v>0</v>
      </c>
      <c r="CG292" s="213">
        <f t="shared" si="163"/>
        <v>0</v>
      </c>
      <c r="CH292" s="698">
        <f t="shared" si="164"/>
        <v>30196.259081510019</v>
      </c>
      <c r="CI292" s="79">
        <f>IFERROR(($G292*'Inputs Yr 2'!$P292*'Inputs Yr 2'!$Q292*(((INDEX(avoidedcosttbl2,$H292,CI$2)+(($H292-ROUNDDOWN($H292,0))*(INDEX(avoidedcosttbl2,ROUNDUP($H292,0),CI$2)-INDEX(avoidedcosttbl2,ROUNDDOWN($H292,0),CI$2))))*'Inputs Yr 2'!AS292))),"")</f>
        <v>0</v>
      </c>
      <c r="CJ292" s="504">
        <f>IFERROR($G292*'Inputs Yr 2'!AT292*'Inputs Yr 2'!$P292*'Inputs Yr 2'!$Q292/((1+realdiscrt1)^-0.5),"")</f>
        <v>0</v>
      </c>
      <c r="CK292" s="79">
        <f>IFERROR((O292*1000*(((INDEX(avoidedcosttbl2,$H292,CK$2)+(($H292-ROUNDDOWN($H292,0))*(INDEX(avoidedcosttbl2,ROUNDUP($H292,0),CK$2)-INDEX(avoidedcosttbl2,ROUNDDOWN($H292,0),CK$2))))*'Inputs Yr 2'!AU292))),"")</f>
        <v>0</v>
      </c>
      <c r="CL292" s="504">
        <f>IFERROR(O292*1000*'Inputs Yr 2'!AV292/((1+realdiscrt1)^-0.5),"")</f>
        <v>0</v>
      </c>
      <c r="CM292" s="79">
        <f>IFERROR((AB292*'Inputs Yr 2'!AW292*(((INDEX(avoidedcosttbl2,$H292,CM$2)+(($H292-ROUNDDOWN($H292,0))*(INDEX(avoidedcosttbl2,ROUNDUP($H292,0),CM$2)-INDEX(avoidedcosttbl2,ROUNDDOWN($H292,0),CM$2)))))))*10,"")</f>
        <v>0</v>
      </c>
      <c r="CN292" s="504">
        <f>IFERROR(10*AB292*'Inputs Yr 2'!AX292/((1+realdiscrt1)^-0.5),"")</f>
        <v>0</v>
      </c>
      <c r="CO292" s="505">
        <f t="shared" si="165"/>
        <v>0</v>
      </c>
      <c r="CP292" s="230">
        <f t="shared" si="166"/>
        <v>30196.259081510019</v>
      </c>
      <c r="CQ292" s="199">
        <f>ROUND(IFERROR(IF(LEFT($A292,1)="C",'Avoided Costs'!$K$13,'Avoided Costs'!$K$12)+1,""),4)</f>
        <v>1.0720000000000001</v>
      </c>
      <c r="CR292" s="199">
        <f>ROUND(IFERROR(IF(LEFT($A292,1)="C",'Avoided Costs'!$L$13,'Avoided Costs'!$L$12)+1,""),4)</f>
        <v>1.04</v>
      </c>
      <c r="CS292" s="199">
        <f>ROUND(IFERROR(IF(LEFT($A292,1)="C",'Avoided Costs'!$M$13,'Avoided Costs'!$M$12)+1,""),4)</f>
        <v>1.0720000000000001</v>
      </c>
      <c r="CT292" s="199">
        <f>ROUND(IFERROR(IF(LEFT($A292,1)="C",'Avoided Costs'!$N$13,'Avoided Costs'!$N$12)+1,""),4)</f>
        <v>1.04</v>
      </c>
      <c r="CU292" s="199">
        <f>ROUND(IFERROR(IF(LEFT($A292,1)="C",'Avoided Costs'!$O$13,'Avoided Costs'!$O$12)+1,""),4)</f>
        <v>1.1120000000000001</v>
      </c>
      <c r="CV292" s="199">
        <f>ROUND(IFERROR(IF(LEFT($A292,1)="C",'Avoided Costs'!$P$13,'Avoided Costs'!$P$12)+1,""),4)</f>
        <v>1.095</v>
      </c>
      <c r="CW292" s="199">
        <f>ROUND(IFERROR(IF(LEFT($A292,1)="C",'Avoided Costs'!$Q$13,'Avoided Costs'!$Q$12)+1,""),4)</f>
        <v>1.1120000000000001</v>
      </c>
      <c r="CX292" s="200">
        <f>ROUND(IFERROR(IF(LEFT($A292,1)="C",'Avoided Costs'!$R$13,'Avoided Costs'!$R$12)+1,""),4)</f>
        <v>1.1120000000000001</v>
      </c>
    </row>
    <row r="293" spans="1:102" ht="12.75" customHeight="1">
      <c r="A293" s="91" t="str">
        <f>IF('Inputs Yr 2'!$B293=0,"",'Inputs Yr 2'!A293)</f>
        <v>C - Commercial &amp; Industrial</v>
      </c>
      <c r="B293" s="91" t="str">
        <f>IF('Inputs Yr 2'!$B293=0,"",'Inputs Yr 2'!B293)</f>
        <v>C2 - C&amp;I Retrofit</v>
      </c>
      <c r="C293" s="91" t="str">
        <f>IF('Inputs Yr 2'!$B293=0,"",'Inputs Yr 2'!C293)</f>
        <v>C2a - C&amp;I Existing Building Retrofit</v>
      </c>
      <c r="D293" s="91" t="str">
        <f>IF('Inputs Yr 2'!$B293=0,"",'Inputs Yr 2'!E293)</f>
        <v>Building Operator Certification Plus</v>
      </c>
      <c r="E293" s="93" t="str">
        <f>IF('Inputs Yr 2'!$B293=0,"",'Inputs Yr 2'!F293)</f>
        <v>G16C2a32</v>
      </c>
      <c r="F293" s="93" t="str">
        <f>IF('Inputs Yr 2'!$B293=0,"",'Inputs Yr 2'!G293)</f>
        <v>Behavioral</v>
      </c>
      <c r="G293" s="95" t="str">
        <f>IF('Inputs Yr 2'!$H293&lt;&gt;0,('Inputs Yr 2'!H293),"")</f>
        <v/>
      </c>
      <c r="H293" s="94">
        <f>IFERROR('Inputs Yr 2'!I293,"")</f>
        <v>0</v>
      </c>
      <c r="I293" s="298" t="str">
        <f>IFERROR('Inputs Yr 2'!J293*'Inputs Yr 2'!P293*G293,"")</f>
        <v/>
      </c>
      <c r="J293" s="298" t="str">
        <f>IFERROR('Inputs Yr 2'!K293*G293,"")</f>
        <v/>
      </c>
      <c r="K293" s="298" t="str">
        <f t="shared" si="143"/>
        <v/>
      </c>
      <c r="L293" s="194" t="str">
        <f>IFERROR(('Inputs Yr 2'!W293*G293)/1000,"")</f>
        <v/>
      </c>
      <c r="M293" s="194" t="str">
        <f>IFERROR(L293*('Inputs Yr 2'!$Q293*'Inputs Yr 2'!$V293*'Inputs Yr 2'!$R293),"")</f>
        <v/>
      </c>
      <c r="N293" s="194" t="str">
        <f t="shared" si="144"/>
        <v/>
      </c>
      <c r="O293" s="194" t="str">
        <f>IFERROR(M293*'Inputs Yr 2'!P293,"")</f>
        <v/>
      </c>
      <c r="P293" s="194" t="str">
        <f t="shared" si="145"/>
        <v/>
      </c>
      <c r="Q293" s="194" t="str">
        <f>IFERROR($P293*'Inputs Yr 2'!AA293,"")</f>
        <v/>
      </c>
      <c r="R293" s="194" t="str">
        <f>IFERROR($P293*'Inputs Yr 2'!AB293,"")</f>
        <v/>
      </c>
      <c r="S293" s="194" t="str">
        <f>IFERROR($P293*'Inputs Yr 2'!AC293,"")</f>
        <v/>
      </c>
      <c r="T293" s="194" t="str">
        <f>IFERROR($P293*'Inputs Yr 2'!AD293,"")</f>
        <v/>
      </c>
      <c r="U293" s="194" t="str">
        <f>IFERROR(G293*'Inputs Yr 2'!$AE293*'Inputs Yr 2'!$P293*'Inputs Yr 2'!$Q293,"")</f>
        <v/>
      </c>
      <c r="V293" s="194" t="str">
        <f>IFERROR($G293*'Inputs Yr 2'!$AE293*'Inputs Yr 2'!$AG293*'Inputs Yr 2'!Q293*'Inputs Yr 2'!$S293,"")</f>
        <v/>
      </c>
      <c r="W293" s="194" t="str">
        <f>IFERROR($G293*'Inputs Yr 2'!$AE293*'Inputs Yr 2'!$AG293*'Inputs Yr 2'!P293*'Inputs Yr 2'!Q293*'Inputs Yr 2'!$S293,"")</f>
        <v/>
      </c>
      <c r="X293" s="194" t="str">
        <f>IFERROR($G293*'Inputs Yr 2'!$AE293*'Inputs Yr 2'!$AF293*'Inputs Yr 2'!Q293*'Inputs Yr 2'!$T293,"")</f>
        <v/>
      </c>
      <c r="Y293" s="194" t="str">
        <f>IFERROR($G293*'Inputs Yr 2'!$AE293*'Inputs Yr 2'!$AF293*'Inputs Yr 2'!P293*'Inputs Yr 2'!Q293*'Inputs Yr 2'!$T293,"")</f>
        <v/>
      </c>
      <c r="Z293" s="257">
        <f>IFERROR($G293*'Inputs Yr 2'!$Q293*'Inputs Yr 2'!$U293*(IF(IFERROR(SEARCH("NG", 'Inputs Yr 2'!$AJ293),0),'Inputs Yr 2'!$AK293,0)+IF(IFERROR(SEARCH("NG", 'Inputs Yr 2'!$AL293),0),'Inputs Yr 2'!$AM293,0)+IF(IFERROR(SEARCH("NG", 'Inputs Yr 2'!$AN293),0),'Inputs Yr 2'!$AO293,0)),0)</f>
        <v>0</v>
      </c>
      <c r="AA293" s="257">
        <f t="shared" si="146"/>
        <v>0</v>
      </c>
      <c r="AB293" s="257">
        <f>IFERROR(Z293*'Inputs Yr 2'!$P293,0)</f>
        <v>0</v>
      </c>
      <c r="AC293" s="257">
        <f t="shared" si="147"/>
        <v>0</v>
      </c>
      <c r="AD293" s="257">
        <f>IFERROR($G293*'Inputs Yr 2'!$Q293*'Inputs Yr 2'!$U293*(IF(IFERROR(SEARCH("Oil", 'Inputs Yr 2'!$AJ293), 0),'Inputs Yr 2'!$AK293,0)+IF(IFERROR(SEARCH("Oil", 'Inputs Yr 2'!$AL293), 0),'Inputs Yr 2'!$AM293,0)+IF(IFERROR(SEARCH("Oil", 'Inputs Yr 2'!$AN293), 0),'Inputs Yr 2'!$AO293,0)),0)</f>
        <v>0</v>
      </c>
      <c r="AE293" s="257">
        <f t="shared" si="148"/>
        <v>0</v>
      </c>
      <c r="AF293" s="257">
        <f>IFERROR(AD293*'Inputs Yr 2'!$P293,0)</f>
        <v>0</v>
      </c>
      <c r="AG293" s="257">
        <f t="shared" si="149"/>
        <v>0</v>
      </c>
      <c r="AH293" s="257">
        <f>IFERROR($G293*'Inputs Yr 2'!$Q293*'Inputs Yr 2'!$U293*(IF('Inputs Yr 2'!$AJ293=CD$4,'Inputs Yr 2'!$AK293,IF('Inputs Yr 2'!$AL293=CD$4,'Inputs Yr 2'!$AM293,IF('Inputs Yr 2'!$AN293=CD$4,'Inputs Yr 2'!$AO293,0)))),0)</f>
        <v>0</v>
      </c>
      <c r="AI293" s="257">
        <f t="shared" si="150"/>
        <v>0</v>
      </c>
      <c r="AJ293" s="257">
        <f>IFERROR(AH293*'Inputs Yr 2'!$P293,0)</f>
        <v>0</v>
      </c>
      <c r="AK293" s="257">
        <f t="shared" si="151"/>
        <v>0</v>
      </c>
      <c r="AL293" s="258">
        <f>IFERROR($G293*'Inputs Yr 2'!$P293*'Inputs Yr 2'!$Q293*'Inputs Yr 2'!AP293,0)</f>
        <v>0</v>
      </c>
      <c r="AM293" s="260">
        <f>IFERROR($G293*'Inputs Yr 2'!$P293*'Inputs Yr 2'!$Q293*'Inputs Yr 2'!AQ293,0)</f>
        <v>0</v>
      </c>
      <c r="AN293" s="258">
        <f>IFERROR($G293*'Inputs Yr 2'!$P293*'Inputs Yr 2'!$Q293*'Inputs Yr 2'!AR293,0)</f>
        <v>0</v>
      </c>
      <c r="AO293" s="257">
        <f t="shared" si="152"/>
        <v>0</v>
      </c>
      <c r="AP293" s="195" t="str">
        <f>IFERROR($CQ293*(INDEX(avoidedcosttbl2,$H293,AP$2)+(($H293-ROUNDDOWN($H293,0))*(INDEX(avoidedcosttbl2,ROUNDUP($H293,0),AP$2)-(INDEX(avoidedcosttbl2,ROUNDDOWN($H293,0),AP$2)))))*$O293*1000*'Inputs Yr 2'!AA293,"")</f>
        <v/>
      </c>
      <c r="AQ293" s="195" t="str">
        <f>IFERROR($CR293*(INDEX(avoidedcosttbl2,$H293,AQ$2)+(($H293-ROUNDDOWN($H293,0))*(INDEX(avoidedcosttbl2,ROUNDUP($H293,0),AQ$2)-(INDEX(avoidedcosttbl2,ROUNDDOWN($H293,0),AQ$2)))))*$O293*1000*'Inputs Yr 2'!AB293,"")</f>
        <v/>
      </c>
      <c r="AR293" s="195" t="str">
        <f>IFERROR($CS293*(INDEX(avoidedcosttbl2,$H293,AR$2)+(($H293-ROUNDDOWN($H293,0))*(INDEX(avoidedcosttbl2,ROUNDUP($H293,0),AR$2)-(INDEX(avoidedcosttbl2,ROUNDDOWN($H293,0),AR$2)))))*$O293*1000*'Inputs Yr 2'!AC293,"")</f>
        <v/>
      </c>
      <c r="AS293" s="195" t="str">
        <f>IFERROR($CT293*(INDEX(avoidedcosttbl2,$H293,AS$2)+(($H293-ROUNDDOWN($H293,0))*(INDEX(avoidedcosttbl2,ROUNDUP($H293,0),AS$2)-(INDEX(avoidedcosttbl2,ROUNDDOWN($H293,0),AS$2)))))*$O293*1000*'Inputs Yr 2'!AD293,"")</f>
        <v/>
      </c>
      <c r="AT293" s="196">
        <f t="shared" si="153"/>
        <v>0</v>
      </c>
      <c r="AU293" s="197" t="str">
        <f>IFERROR($CQ293*((INDEX(avoidedcosttbl2,$H293,AU$2))+(($H293-ROUNDDOWN($H293,0))*((INDEX(avoidedcosttbl2,ROUNDUP($H293,0),AU$2))-(INDEX(avoidedcosttbl2,ROUNDDOWN($H293,0),AU$2)))))*$O293*1000*'Inputs Yr 2'!AA293,"")</f>
        <v/>
      </c>
      <c r="AV293" s="197" t="str">
        <f>IFERROR($CR293*((INDEX(avoidedcosttbl2,$H293,AV$2))+(($H293-ROUNDDOWN($H293,0))*((INDEX(avoidedcosttbl2,ROUNDUP($H293,0),AV$2))-(INDEX(avoidedcosttbl2,ROUNDDOWN($H293,0),AV$2)))))*$O293*1000*'Inputs Yr 2'!AB293,"")</f>
        <v/>
      </c>
      <c r="AW293" s="197" t="str">
        <f>IFERROR($CS293*((INDEX(avoidedcosttbl2,$H293,AW$2))+(($H293-ROUNDDOWN($H293,0))*((INDEX(avoidedcosttbl2,ROUNDUP($H293,0),AW$2))-(INDEX(avoidedcosttbl2,ROUNDDOWN($H293,0),AW$2)))))*$O293*1000*'Inputs Yr 2'!AC293,"")</f>
        <v/>
      </c>
      <c r="AX293" s="197" t="str">
        <f>IFERROR($CT293*((INDEX(avoidedcosttbl2,$H293,AX$2))+(($H293-ROUNDDOWN($H293,0))*((INDEX(avoidedcosttbl2,ROUNDUP($H293,0),AX$2))-(INDEX(avoidedcosttbl2,ROUNDDOWN($H293,0),AX$2)))))*$O293*1000*'Inputs Yr 2'!AD293,"")</f>
        <v/>
      </c>
      <c r="AY293" s="197" t="str">
        <f>IFERROR(((INDEX(avoidedcosttbl2,$H293,AY$2))+(($H293-ROUNDDOWN($H293,0))*((INDEX(avoidedcosttbl2,ROUNDUP($H293,0),AY$2))-(INDEX(avoidedcosttbl2,ROUNDDOWN($H293,0),AY$2)))))*$O293*1000*('Inputs Yr 2'!AC293+'Inputs Yr 2'!AD293),"")</f>
        <v/>
      </c>
      <c r="AZ293" s="197" t="str">
        <f>IFERROR(((INDEX(avoidedcosttbl2,$H293,AZ$2))+(($H293-ROUNDDOWN($H293,0))*((INDEX(avoidedcosttbl2,ROUNDUP($H293,0),AZ$2))-(INDEX(avoidedcosttbl2,ROUNDDOWN($H293,0),AZ$2)))))*$O293*1000*('Inputs Yr 2'!AA293+'Inputs Yr 2'!AB293),"")</f>
        <v/>
      </c>
      <c r="BA293" s="198">
        <f t="shared" si="154"/>
        <v>0</v>
      </c>
      <c r="BB293" s="198">
        <f t="shared" si="155"/>
        <v>0</v>
      </c>
      <c r="BC293" s="195" t="str">
        <f t="shared" si="137"/>
        <v/>
      </c>
      <c r="BD293" s="195" t="str">
        <f t="shared" si="138"/>
        <v/>
      </c>
      <c r="BE293" s="195" t="str">
        <f t="shared" si="139"/>
        <v/>
      </c>
      <c r="BF293" s="195" t="str">
        <f t="shared" si="140"/>
        <v/>
      </c>
      <c r="BG293" s="195" t="str">
        <f t="shared" si="141"/>
        <v/>
      </c>
      <c r="BH293" s="196">
        <f t="shared" si="156"/>
        <v>0</v>
      </c>
      <c r="BI293" s="196">
        <f t="shared" si="157"/>
        <v>0</v>
      </c>
      <c r="BJ293" s="195" t="str">
        <f>IFERROR($G293*(IF('Inputs Yr 2'!$AJ293=BJ$4,'Inputs Yr 2'!$AK293,IF('Inputs Yr 2'!$AL293=BJ$4,'Inputs Yr 2'!$AM293,IF('Inputs Yr 2'!$AN293=BJ$4,'Inputs Yr 2'!$AO293,0))))*(INDEX(avoidedcosttbl2,$H293,BJ$2)+(($H293-ROUNDDOWN($H293,0))*(INDEX(avoidedcosttbl2,ROUNDUP($H293,0),BJ$2)-(INDEX(avoidedcosttbl2,ROUNDDOWN($H293,0),BJ$2)))))*'Inputs Yr 2'!P293*'Inputs Yr 2'!Q293*'Inputs Yr 2'!U293,"")</f>
        <v/>
      </c>
      <c r="BK293" s="195" t="str">
        <f>IFERROR($G293*(IF('Inputs Yr 2'!$AJ293=BK$4,'Inputs Yr 2'!$AK293,IF('Inputs Yr 2'!$AL293=BK$4,'Inputs Yr 2'!$AM293,IF('Inputs Yr 2'!$AN293=BK$4,'Inputs Yr 2'!$AO293,0))))*(INDEX(avoidedcosttbl2,$H293,BK$2)+(($H293-ROUNDDOWN($H293,0))*(INDEX(avoidedcosttbl2,ROUNDUP($H293,0),BK$2)-(INDEX(avoidedcosttbl2,ROUNDDOWN($H293,0),BK$2)))))*'Inputs Yr 2'!P293*'Inputs Yr 2'!Q293*'Inputs Yr 2'!U293,"")</f>
        <v/>
      </c>
      <c r="BL293" s="195" t="str">
        <f>IFERROR($G293*(IF('Inputs Yr 2'!$AJ293=BL$4,'Inputs Yr 2'!$AK293,IF('Inputs Yr 2'!$AL293=BL$4,'Inputs Yr 2'!$AM293,IF('Inputs Yr 2'!$AN293=BL$4,'Inputs Yr 2'!$AO293,0))))*(INDEX(avoidedcosttbl2,$H293,BL$2)+(($H293-ROUNDDOWN($H293,0))*(INDEX(avoidedcosttbl2,ROUNDUP($H293,0),BL$2)-(INDEX(avoidedcosttbl2,ROUNDDOWN($H293,0),BL$2)))))*'Inputs Yr 2'!P293*'Inputs Yr 2'!Q293*'Inputs Yr 2'!U293,"")</f>
        <v/>
      </c>
      <c r="BM293" s="195" t="str">
        <f>IFERROR($G293*(IF('Inputs Yr 2'!$AJ293=BM$4,'Inputs Yr 2'!$AK293,IF('Inputs Yr 2'!$AL293=BM$4,'Inputs Yr 2'!$AM293,IF('Inputs Yr 2'!$AN293=BM$4,'Inputs Yr 2'!$AO293,0))))*(INDEX(avoidedcosttbl2,$H293,BM$2)+(($H293-ROUNDDOWN($H293,0))*(INDEX(avoidedcosttbl2,ROUNDUP($H293,0),BM$2)-(INDEX(avoidedcosttbl2,ROUNDDOWN($H293,0),BM$2)))))*'Inputs Yr 2'!P293*'Inputs Yr 2'!Q293*'Inputs Yr 2'!U293,"")</f>
        <v/>
      </c>
      <c r="BN293" s="195" t="str">
        <f>IFERROR($G293*(IF('Inputs Yr 2'!$AJ293=BN$4,'Inputs Yr 2'!$AK293,IF('Inputs Yr 2'!$AL293=BN$4,'Inputs Yr 2'!$AM293,IF('Inputs Yr 2'!$AN293=BN$4,'Inputs Yr 2'!$AO293,0))))*(INDEX(avoidedcosttbl2,$H293,BN$2)+(($H293-ROUNDDOWN($H293,0))*(INDEX(avoidedcosttbl2,ROUNDUP($H293,0),BN$2)-(INDEX(avoidedcosttbl2,ROUNDDOWN($H293,0),BN$2)))))*'Inputs Yr 2'!P293*'Inputs Yr 2'!Q293*'Inputs Yr 2'!U293,"")</f>
        <v/>
      </c>
      <c r="BO293" s="195" t="str">
        <f>IFERROR($G293*(IF('Inputs Yr 2'!$AJ293=BO$4,'Inputs Yr 2'!$AK293,IF('Inputs Yr 2'!$AL293=BO$4,'Inputs Yr 2'!$AM293,IF('Inputs Yr 2'!$AN293=BO$4,'Inputs Yr 2'!$AO293,0))))*(INDEX(avoidedcosttbl2,$H293,BO$2)+(($H293-ROUNDDOWN($H293,0))*(INDEX(avoidedcosttbl2,ROUNDUP($H293,0),BO$2)-(INDEX(avoidedcosttbl2,ROUNDDOWN($H293,0),BO$2)))))*'Inputs Yr 2'!P293*'Inputs Yr 2'!Q293*'Inputs Yr 2'!U293,"")</f>
        <v/>
      </c>
      <c r="BP293" s="195" t="str">
        <f>IFERROR($G293*(IF('Inputs Yr 2'!$AJ293=BP$4,'Inputs Yr 2'!$AK293,IF('Inputs Yr 2'!$AL293=BP$4,'Inputs Yr 2'!$AM293,IF('Inputs Yr 2'!$AN293=BP$4,'Inputs Yr 2'!$AO293,0))))*(INDEX(avoidedcosttbl2,$H293,BP$2)+(($H293-ROUNDDOWN($H293,0))*(INDEX(avoidedcosttbl2,ROUNDUP($H293,0),BP$2)-(INDEX(avoidedcosttbl2,ROUNDDOWN($H293,0),BP$2)))))*'Inputs Yr 2'!P293*'Inputs Yr 2'!Q293*'Inputs Yr 2'!U293,"")</f>
        <v/>
      </c>
      <c r="BQ293" s="230">
        <f t="shared" si="158"/>
        <v>0</v>
      </c>
      <c r="BR293" s="197" t="str">
        <f t="shared" si="142"/>
        <v/>
      </c>
      <c r="BS293" s="197" t="str">
        <f>IFERROR(($G293*IF('Inputs Yr 2'!$AJ293=BM$4,'Inputs Yr 2'!$AK293,IF('Inputs Yr 2'!$AL293=BM$4,'Inputs Yr 2'!$AM293,IF('Inputs Yr 2'!$AN293=BM$4,'Inputs Yr 2'!$AO293,0))))*(INDEX(avoidedcosttbl2,$H293,BS$2)+(($H293-ROUNDDOWN($H293,0))*(INDEX(avoidedcosttbl2,ROUNDUP($H293,0),BS$2)-(INDEX(avoidedcosttbl2,ROUNDDOWN($H293,0),BS$2)))))*'Inputs Yr 2'!P293*'Inputs Yr 2'!Q293*'Inputs Yr 2'!U293,"")</f>
        <v/>
      </c>
      <c r="BT293" s="197" t="str">
        <f>IFERROR(($G293*IF('Inputs Yr 2'!$AJ293=BK$4,'Inputs Yr 2'!$AK293,IF('Inputs Yr 2'!$AL293=BK$4,'Inputs Yr 2'!$AM293,IF('Inputs Yr 2'!$AN293=BK$4,'Inputs Yr 2'!$AO293,0))))*(INDEX(avoidedcosttbl2,$H293,BT$2)+(($H293-ROUNDDOWN($H293,0))*(INDEX(avoidedcosttbl2,ROUNDUP($H293,0),BT$2)-(INDEX(avoidedcosttbl2,ROUNDDOWN($H293,0),BT$2)))))*'Inputs Yr 2'!P293*'Inputs Yr 2'!Q293*'Inputs Yr 2'!U293,"")</f>
        <v/>
      </c>
      <c r="BU293" s="197" t="str">
        <f>IFERROR(($G293*IF('Inputs Yr 2'!$AJ293=BL$4,'Inputs Yr 2'!$AK293,IF('Inputs Yr 2'!$AL293=BL$4,'Inputs Yr 2'!$AM293,IF('Inputs Yr 2'!$AN293=BL$4,'Inputs Yr 2'!$AO293,0))))*(INDEX(avoidedcosttbl2,$H293,BU$2)+(($H293-ROUNDDOWN($H293,0))*(INDEX(avoidedcosttbl2,ROUNDUP($H293,0),BU$2)-(INDEX(avoidedcosttbl2,ROUNDDOWN($H293,0),BU$2)))))*'Inputs Yr 2'!P293*'Inputs Yr 2'!Q293*'Inputs Yr 2'!U293,"")</f>
        <v/>
      </c>
      <c r="BV293" s="775" t="str">
        <f>IFERROR(($G293*IF('Inputs Yr 2'!$AJ293=BJ$4,'Inputs Yr 2'!$AK293,IF('Inputs Yr 2'!$AL293=BJ$4,'Inputs Yr 2'!$AM293,IF('Inputs Yr 2'!$AN293=BJ$4,'Inputs Yr 2'!$AO293,0))))*(INDEX(avoidedcosttbl2,$H293,BV$2)+(($H293-ROUNDDOWN($H293,0))*(INDEX(avoidedcosttbl2,ROUNDUP($H293,0),BV$2)-(INDEX(avoidedcosttbl2,ROUNDDOWN($H293,0),BV$2)))))*'Inputs Yr 2'!P293*'Inputs Yr 2'!Q293*'Inputs Yr 2'!U293,"")</f>
        <v/>
      </c>
      <c r="BW293" s="197" t="str">
        <f>IFERROR(($G293*IF('Inputs Yr 2'!$AJ293=BN$4,'Inputs Yr 2'!$AK293,IF('Inputs Yr 2'!$AL293=BN$4,'Inputs Yr 2'!$AM293,IF('Inputs Yr 2'!$AN293=BN$4,'Inputs Yr 2'!$AO293,0))))*(INDEX(avoidedcosttbl2,$H293,BW$2)+(($H293-ROUNDDOWN($H293,0))*(INDEX(avoidedcosttbl2,ROUNDUP($H293,0),BW$2)-(INDEX(avoidedcosttbl2,ROUNDDOWN($H293,0),BW$2)))))*'Inputs Yr 2'!P293*'Inputs Yr 2'!Q293*'Inputs Yr 2'!U293,"")</f>
        <v/>
      </c>
      <c r="BX293" s="197" t="str">
        <f>IFERROR(($G293*IF('Inputs Yr 2'!$AJ293=BO$4,'Inputs Yr 2'!$AK293,IF('Inputs Yr 2'!$AL293=BO$4,'Inputs Yr 2'!$AM293,IF('Inputs Yr 2'!$AN293=BO$4,'Inputs Yr 2'!$AO293,0))))*(INDEX(avoidedcosttbl2,$H293,BX$2)+(($H293-ROUNDDOWN($H293,0))*(INDEX(avoidedcosttbl2,ROUNDUP($H293,0),BX$2)-(INDEX(avoidedcosttbl2,ROUNDDOWN($H293,0),BX$2)))))*'Inputs Yr 2'!P293*'Inputs Yr 2'!Q293*'Inputs Yr 2'!U293,"")</f>
        <v/>
      </c>
      <c r="BY293" s="197" t="str">
        <f>IFERROR(($G293*IF('Inputs Yr 2'!$AJ293=BP$4,'Inputs Yr 2'!$AK293,IF('Inputs Yr 2'!$AL293=BP$4,'Inputs Yr 2'!$AM293,IF('Inputs Yr 2'!$AN293=BP$4,'Inputs Yr 2'!$AO293,0))))*(INDEX(avoidedcosttbl2,$H293,BY$2)+(($H293-ROUNDDOWN($H293,0))*(INDEX(avoidedcosttbl2,ROUNDUP($H293,0),BY$2)-(INDEX(avoidedcosttbl2,ROUNDDOWN($H293,0),BY$2)))))*'Inputs Yr 2'!P293*'Inputs Yr 2'!Q293*'Inputs Yr 2'!U293,"")</f>
        <v/>
      </c>
      <c r="BZ293" s="193">
        <f t="shared" si="159"/>
        <v>0</v>
      </c>
      <c r="CA293" s="193">
        <f t="shared" si="160"/>
        <v>0</v>
      </c>
      <c r="CB293" s="195" t="str">
        <f>IFERROR(G293*(IF('Inputs Yr 2'!$AJ293=CB$4,'Inputs Yr 2'!$AK293,IF('Inputs Yr 2'!$AL293=CB$4,'Inputs Yr 2'!$AM293,IF('Inputs Yr 2'!$AN293=CB$4,'Inputs Yr 2'!$AO293,0))))*(INDEX(avoidedcosttbl2,$H293,CB$2)+(($H293-ROUNDDOWN($H293,0))*(INDEX(avoidedcosttbl2,ROUNDUP($H293,0),CB$2)-(INDEX(avoidedcosttbl2,ROUNDDOWN($H293,0),CB$2)))))*'Inputs Yr 2'!P293*'Inputs Yr 2'!Q293*'Inputs Yr 2'!U293,"")</f>
        <v/>
      </c>
      <c r="CC293" s="195" t="str">
        <f>IFERROR(H293*(IF('Inputs Yr 2'!$AJ293=CC$4,'Inputs Yr 2'!$AK293,IF('Inputs Yr 2'!$AL293=CC$4,'Inputs Yr 2'!$AM293,IF('Inputs Yr 2'!$AN293=CC$4,'Inputs Yr 2'!$AO293,0))))*(INDEX(avoidedcosttbl2,$H293,CC$2)+(($H293-ROUNDDOWN($H293,0))*(INDEX(avoidedcosttbl2,ROUNDUP($H293,0),CC$2)-(INDEX(avoidedcosttbl2,ROUNDDOWN($H293,0),CC$2)))))*'Inputs Yr 2'!Q293*'Inputs Yr 2'!R293*'Inputs Yr 2'!V293,"")</f>
        <v/>
      </c>
      <c r="CD293" s="195" t="str">
        <f>IFERROR(I293*(IF('Inputs Yr 2'!$AJ293=CD$4,'Inputs Yr 2'!$AK293,IF('Inputs Yr 2'!$AL293=CD$4,'Inputs Yr 2'!$AM293,IF('Inputs Yr 2'!$AN293=CD$4,'Inputs Yr 2'!$AO293,0))))*(INDEX(avoidedcosttbl2,$H293,CD$2)+(($H293-ROUNDDOWN($H293,0))*(INDEX(avoidedcosttbl2,ROUNDUP($H293,0),CD$2)-(INDEX(avoidedcosttbl2,ROUNDDOWN($H293,0),CD$2)))))*'Inputs Yr 2'!R293*'Inputs Yr 2'!S293*'Inputs Yr 2'!W293,"")</f>
        <v/>
      </c>
      <c r="CE293" s="213" t="str">
        <f t="shared" si="161"/>
        <v/>
      </c>
      <c r="CF293" s="213" t="str">
        <f t="shared" si="162"/>
        <v/>
      </c>
      <c r="CG293" s="213" t="str">
        <f t="shared" si="163"/>
        <v/>
      </c>
      <c r="CH293" s="698">
        <f t="shared" si="164"/>
        <v>0</v>
      </c>
      <c r="CI293" s="79" t="str">
        <f>IFERROR(($G293*'Inputs Yr 2'!$P293*'Inputs Yr 2'!$Q293*(((INDEX(avoidedcosttbl2,$H293,CI$2)+(($H293-ROUNDDOWN($H293,0))*(INDEX(avoidedcosttbl2,ROUNDUP($H293,0),CI$2)-INDEX(avoidedcosttbl2,ROUNDDOWN($H293,0),CI$2))))*'Inputs Yr 2'!AS293))),"")</f>
        <v/>
      </c>
      <c r="CJ293" s="504" t="str">
        <f>IFERROR($G293*'Inputs Yr 2'!AT293*'Inputs Yr 2'!$P293*'Inputs Yr 2'!$Q293/((1+realdiscrt1)^-0.5),"")</f>
        <v/>
      </c>
      <c r="CK293" s="79" t="str">
        <f>IFERROR((O293*1000*(((INDEX(avoidedcosttbl2,$H293,CK$2)+(($H293-ROUNDDOWN($H293,0))*(INDEX(avoidedcosttbl2,ROUNDUP($H293,0),CK$2)-INDEX(avoidedcosttbl2,ROUNDDOWN($H293,0),CK$2))))*'Inputs Yr 2'!AU293))),"")</f>
        <v/>
      </c>
      <c r="CL293" s="504" t="str">
        <f>IFERROR(O293*1000*'Inputs Yr 2'!AV293/((1+realdiscrt1)^-0.5),"")</f>
        <v/>
      </c>
      <c r="CM293" s="79" t="str">
        <f>IFERROR((AB293*'Inputs Yr 2'!AW293*(((INDEX(avoidedcosttbl2,$H293,CM$2)+(($H293-ROUNDDOWN($H293,0))*(INDEX(avoidedcosttbl2,ROUNDUP($H293,0),CM$2)-INDEX(avoidedcosttbl2,ROUNDDOWN($H293,0),CM$2)))))))*10,"")</f>
        <v/>
      </c>
      <c r="CN293" s="504">
        <f>IFERROR(10*AB293*'Inputs Yr 2'!AX293/((1+realdiscrt1)^-0.5),"")</f>
        <v>0</v>
      </c>
      <c r="CO293" s="505">
        <f t="shared" si="165"/>
        <v>0</v>
      </c>
      <c r="CP293" s="230">
        <f t="shared" si="166"/>
        <v>0</v>
      </c>
      <c r="CQ293" s="199">
        <f>ROUND(IFERROR(IF(LEFT($A293,1)="C",'Avoided Costs'!$K$13,'Avoided Costs'!$K$12)+1,""),4)</f>
        <v>1.0720000000000001</v>
      </c>
      <c r="CR293" s="199">
        <f>ROUND(IFERROR(IF(LEFT($A293,1)="C",'Avoided Costs'!$L$13,'Avoided Costs'!$L$12)+1,""),4)</f>
        <v>1.04</v>
      </c>
      <c r="CS293" s="199">
        <f>ROUND(IFERROR(IF(LEFT($A293,1)="C",'Avoided Costs'!$M$13,'Avoided Costs'!$M$12)+1,""),4)</f>
        <v>1.0720000000000001</v>
      </c>
      <c r="CT293" s="199">
        <f>ROUND(IFERROR(IF(LEFT($A293,1)="C",'Avoided Costs'!$N$13,'Avoided Costs'!$N$12)+1,""),4)</f>
        <v>1.04</v>
      </c>
      <c r="CU293" s="199">
        <f>ROUND(IFERROR(IF(LEFT($A293,1)="C",'Avoided Costs'!$O$13,'Avoided Costs'!$O$12)+1,""),4)</f>
        <v>1.1120000000000001</v>
      </c>
      <c r="CV293" s="199">
        <f>ROUND(IFERROR(IF(LEFT($A293,1)="C",'Avoided Costs'!$P$13,'Avoided Costs'!$P$12)+1,""),4)</f>
        <v>1.095</v>
      </c>
      <c r="CW293" s="199">
        <f>ROUND(IFERROR(IF(LEFT($A293,1)="C",'Avoided Costs'!$Q$13,'Avoided Costs'!$Q$12)+1,""),4)</f>
        <v>1.1120000000000001</v>
      </c>
      <c r="CX293" s="200">
        <f>ROUND(IFERROR(IF(LEFT($A293,1)="C",'Avoided Costs'!$R$13,'Avoided Costs'!$R$12)+1,""),4)</f>
        <v>1.1120000000000001</v>
      </c>
    </row>
    <row r="294" spans="1:102" ht="12.75" customHeight="1">
      <c r="A294" s="91" t="str">
        <f>IF('Inputs Yr 2'!$B294=0,"",'Inputs Yr 2'!A294)</f>
        <v>C - Commercial &amp; Industrial</v>
      </c>
      <c r="B294" s="91" t="str">
        <f>IF('Inputs Yr 2'!$B294=0,"",'Inputs Yr 2'!B294)</f>
        <v>C2 - C&amp;I Retrofit</v>
      </c>
      <c r="C294" s="91" t="str">
        <f>IF('Inputs Yr 2'!$B294=0,"",'Inputs Yr 2'!C294)</f>
        <v>C2b - C&amp;I Small Business</v>
      </c>
      <c r="D294" s="91" t="str">
        <f>IF('Inputs Yr 2'!$B294=0,"",'Inputs Yr 2'!E294)</f>
        <v>Building Shell - Custom 15</v>
      </c>
      <c r="E294" s="93" t="str">
        <f>IF('Inputs Yr 2'!$B294=0,"",'Inputs Yr 2'!F294)</f>
        <v>G16C2b01</v>
      </c>
      <c r="F294" s="93" t="str">
        <f>IF('Inputs Yr 2'!$B294=0,"",'Inputs Yr 2'!G294)</f>
        <v>Envelope</v>
      </c>
      <c r="G294" s="95">
        <f>IF('Inputs Yr 2'!$H294&lt;&gt;0,('Inputs Yr 2'!H294),"")</f>
        <v>1</v>
      </c>
      <c r="H294" s="94">
        <f>IFERROR('Inputs Yr 2'!I294,"")</f>
        <v>15</v>
      </c>
      <c r="I294" s="298">
        <f>IFERROR('Inputs Yr 2'!J294*'Inputs Yr 2'!P294*G294,"")</f>
        <v>2603.2206666666666</v>
      </c>
      <c r="J294" s="298">
        <f>IFERROR('Inputs Yr 2'!K294*G294,"")</f>
        <v>2124.5</v>
      </c>
      <c r="K294" s="298">
        <f t="shared" si="143"/>
        <v>478.7206666666666</v>
      </c>
      <c r="L294" s="194">
        <f>IFERROR(('Inputs Yr 2'!W294*G294)/1000,"")</f>
        <v>0</v>
      </c>
      <c r="M294" s="194">
        <f>IFERROR(L294*('Inputs Yr 2'!$Q294*'Inputs Yr 2'!$V294*'Inputs Yr 2'!$R294),"")</f>
        <v>0</v>
      </c>
      <c r="N294" s="194">
        <f t="shared" si="144"/>
        <v>0</v>
      </c>
      <c r="O294" s="194">
        <f>IFERROR(M294*'Inputs Yr 2'!P294,"")</f>
        <v>0</v>
      </c>
      <c r="P294" s="194">
        <f t="shared" si="145"/>
        <v>0</v>
      </c>
      <c r="Q294" s="194">
        <f>IFERROR($P294*'Inputs Yr 2'!AA294,"")</f>
        <v>0</v>
      </c>
      <c r="R294" s="194">
        <f>IFERROR($P294*'Inputs Yr 2'!AB294,"")</f>
        <v>0</v>
      </c>
      <c r="S294" s="194">
        <f>IFERROR($P294*'Inputs Yr 2'!AC294,"")</f>
        <v>0</v>
      </c>
      <c r="T294" s="194">
        <f>IFERROR($P294*'Inputs Yr 2'!AD294,"")</f>
        <v>0</v>
      </c>
      <c r="U294" s="194">
        <f>IFERROR(G294*'Inputs Yr 2'!$AE294*'Inputs Yr 2'!$P294*'Inputs Yr 2'!$Q294,"")</f>
        <v>0</v>
      </c>
      <c r="V294" s="194">
        <f>IFERROR($G294*'Inputs Yr 2'!$AE294*'Inputs Yr 2'!$AG294*'Inputs Yr 2'!Q294*'Inputs Yr 2'!$S294,"")</f>
        <v>0</v>
      </c>
      <c r="W294" s="194">
        <f>IFERROR($G294*'Inputs Yr 2'!$AE294*'Inputs Yr 2'!$AG294*'Inputs Yr 2'!P294*'Inputs Yr 2'!Q294*'Inputs Yr 2'!$S294,"")</f>
        <v>0</v>
      </c>
      <c r="X294" s="194">
        <f>IFERROR($G294*'Inputs Yr 2'!$AE294*'Inputs Yr 2'!$AF294*'Inputs Yr 2'!Q294*'Inputs Yr 2'!$T294,"")</f>
        <v>0</v>
      </c>
      <c r="Y294" s="194">
        <f>IFERROR($G294*'Inputs Yr 2'!$AE294*'Inputs Yr 2'!$AF294*'Inputs Yr 2'!P294*'Inputs Yr 2'!Q294*'Inputs Yr 2'!$T294,"")</f>
        <v>0</v>
      </c>
      <c r="Z294" s="257">
        <f>IFERROR($G294*'Inputs Yr 2'!$Q294*'Inputs Yr 2'!$U294*(IF(IFERROR(SEARCH("NG", 'Inputs Yr 2'!$AJ294),0),'Inputs Yr 2'!$AK294,0)+IF(IFERROR(SEARCH("NG", 'Inputs Yr 2'!$AL294),0),'Inputs Yr 2'!$AM294,0)+IF(IFERROR(SEARCH("NG", 'Inputs Yr 2'!$AN294),0),'Inputs Yr 2'!$AO294,0)),0)</f>
        <v>121.75770000000001</v>
      </c>
      <c r="AA294" s="257">
        <f t="shared" si="146"/>
        <v>1826.3655000000001</v>
      </c>
      <c r="AB294" s="257">
        <f>IFERROR(Z294*'Inputs Yr 2'!$P294,0)</f>
        <v>111.89532630000002</v>
      </c>
      <c r="AC294" s="257">
        <f t="shared" si="147"/>
        <v>1678.4298945000003</v>
      </c>
      <c r="AD294" s="257">
        <f>IFERROR($G294*'Inputs Yr 2'!$Q294*'Inputs Yr 2'!$U294*(IF(IFERROR(SEARCH("Oil", 'Inputs Yr 2'!$AJ294), 0),'Inputs Yr 2'!$AK294,0)+IF(IFERROR(SEARCH("Oil", 'Inputs Yr 2'!$AL294), 0),'Inputs Yr 2'!$AM294,0)+IF(IFERROR(SEARCH("Oil", 'Inputs Yr 2'!$AN294), 0),'Inputs Yr 2'!$AO294,0)),0)</f>
        <v>0</v>
      </c>
      <c r="AE294" s="257">
        <f t="shared" si="148"/>
        <v>0</v>
      </c>
      <c r="AF294" s="257">
        <f>IFERROR(AD294*'Inputs Yr 2'!$P294,0)</f>
        <v>0</v>
      </c>
      <c r="AG294" s="257">
        <f t="shared" si="149"/>
        <v>0</v>
      </c>
      <c r="AH294" s="257">
        <f>IFERROR($G294*'Inputs Yr 2'!$Q294*'Inputs Yr 2'!$U294*(IF('Inputs Yr 2'!$AJ294=CD$4,'Inputs Yr 2'!$AK294,IF('Inputs Yr 2'!$AL294=CD$4,'Inputs Yr 2'!$AM294,IF('Inputs Yr 2'!$AN294=CD$4,'Inputs Yr 2'!$AO294,0)))),0)</f>
        <v>0</v>
      </c>
      <c r="AI294" s="257">
        <f t="shared" si="150"/>
        <v>0</v>
      </c>
      <c r="AJ294" s="257">
        <f>IFERROR(AH294*'Inputs Yr 2'!$P294,0)</f>
        <v>0</v>
      </c>
      <c r="AK294" s="257">
        <f t="shared" si="151"/>
        <v>0</v>
      </c>
      <c r="AL294" s="258">
        <f>IFERROR($G294*'Inputs Yr 2'!$P294*'Inputs Yr 2'!$Q294*'Inputs Yr 2'!AP294,0)</f>
        <v>0</v>
      </c>
      <c r="AM294" s="260">
        <f>IFERROR($G294*'Inputs Yr 2'!$P294*'Inputs Yr 2'!$Q294*'Inputs Yr 2'!AQ294,0)</f>
        <v>0</v>
      </c>
      <c r="AN294" s="258">
        <f>IFERROR($G294*'Inputs Yr 2'!$P294*'Inputs Yr 2'!$Q294*'Inputs Yr 2'!AR294,0)</f>
        <v>0</v>
      </c>
      <c r="AO294" s="257">
        <f t="shared" si="152"/>
        <v>0</v>
      </c>
      <c r="AP294" s="195">
        <f>IFERROR($CQ294*(INDEX(avoidedcosttbl2,$H294,AP$2)+(($H294-ROUNDDOWN($H294,0))*(INDEX(avoidedcosttbl2,ROUNDUP($H294,0),AP$2)-(INDEX(avoidedcosttbl2,ROUNDDOWN($H294,0),AP$2)))))*$O294*1000*'Inputs Yr 2'!AA294,"")</f>
        <v>0</v>
      </c>
      <c r="AQ294" s="195">
        <f>IFERROR($CR294*(INDEX(avoidedcosttbl2,$H294,AQ$2)+(($H294-ROUNDDOWN($H294,0))*(INDEX(avoidedcosttbl2,ROUNDUP($H294,0),AQ$2)-(INDEX(avoidedcosttbl2,ROUNDDOWN($H294,0),AQ$2)))))*$O294*1000*'Inputs Yr 2'!AB294,"")</f>
        <v>0</v>
      </c>
      <c r="AR294" s="195">
        <f>IFERROR($CS294*(INDEX(avoidedcosttbl2,$H294,AR$2)+(($H294-ROUNDDOWN($H294,0))*(INDEX(avoidedcosttbl2,ROUNDUP($H294,0),AR$2)-(INDEX(avoidedcosttbl2,ROUNDDOWN($H294,0),AR$2)))))*$O294*1000*'Inputs Yr 2'!AC294,"")</f>
        <v>0</v>
      </c>
      <c r="AS294" s="195">
        <f>IFERROR($CT294*(INDEX(avoidedcosttbl2,$H294,AS$2)+(($H294-ROUNDDOWN($H294,0))*(INDEX(avoidedcosttbl2,ROUNDUP($H294,0),AS$2)-(INDEX(avoidedcosttbl2,ROUNDDOWN($H294,0),AS$2)))))*$O294*1000*'Inputs Yr 2'!AD294,"")</f>
        <v>0</v>
      </c>
      <c r="AT294" s="196">
        <f t="shared" si="153"/>
        <v>0</v>
      </c>
      <c r="AU294" s="197">
        <f>IFERROR($CQ294*((INDEX(avoidedcosttbl2,$H294,AU$2))+(($H294-ROUNDDOWN($H294,0))*((INDEX(avoidedcosttbl2,ROUNDUP($H294,0),AU$2))-(INDEX(avoidedcosttbl2,ROUNDDOWN($H294,0),AU$2)))))*$O294*1000*'Inputs Yr 2'!AA294,"")</f>
        <v>0</v>
      </c>
      <c r="AV294" s="197">
        <f>IFERROR($CR294*((INDEX(avoidedcosttbl2,$H294,AV$2))+(($H294-ROUNDDOWN($H294,0))*((INDEX(avoidedcosttbl2,ROUNDUP($H294,0),AV$2))-(INDEX(avoidedcosttbl2,ROUNDDOWN($H294,0),AV$2)))))*$O294*1000*'Inputs Yr 2'!AB294,"")</f>
        <v>0</v>
      </c>
      <c r="AW294" s="197">
        <f>IFERROR($CS294*((INDEX(avoidedcosttbl2,$H294,AW$2))+(($H294-ROUNDDOWN($H294,0))*((INDEX(avoidedcosttbl2,ROUNDUP($H294,0),AW$2))-(INDEX(avoidedcosttbl2,ROUNDDOWN($H294,0),AW$2)))))*$O294*1000*'Inputs Yr 2'!AC294,"")</f>
        <v>0</v>
      </c>
      <c r="AX294" s="197">
        <f>IFERROR($CT294*((INDEX(avoidedcosttbl2,$H294,AX$2))+(($H294-ROUNDDOWN($H294,0))*((INDEX(avoidedcosttbl2,ROUNDUP($H294,0),AX$2))-(INDEX(avoidedcosttbl2,ROUNDDOWN($H294,0),AX$2)))))*$O294*1000*'Inputs Yr 2'!AD294,"")</f>
        <v>0</v>
      </c>
      <c r="AY294" s="197">
        <f>IFERROR(((INDEX(avoidedcosttbl2,$H294,AY$2))+(($H294-ROUNDDOWN($H294,0))*((INDEX(avoidedcosttbl2,ROUNDUP($H294,0),AY$2))-(INDEX(avoidedcosttbl2,ROUNDDOWN($H294,0),AY$2)))))*$O294*1000*('Inputs Yr 2'!AC294+'Inputs Yr 2'!AD294),"")</f>
        <v>0</v>
      </c>
      <c r="AZ294" s="197">
        <f>IFERROR(((INDEX(avoidedcosttbl2,$H294,AZ$2))+(($H294-ROUNDDOWN($H294,0))*((INDEX(avoidedcosttbl2,ROUNDUP($H294,0),AZ$2))-(INDEX(avoidedcosttbl2,ROUNDDOWN($H294,0),AZ$2)))))*$O294*1000*('Inputs Yr 2'!AA294+'Inputs Yr 2'!AB294),"")</f>
        <v>0</v>
      </c>
      <c r="BA294" s="198">
        <f t="shared" si="154"/>
        <v>0</v>
      </c>
      <c r="BB294" s="198">
        <f t="shared" si="155"/>
        <v>0</v>
      </c>
      <c r="BC294" s="195">
        <f t="shared" si="137"/>
        <v>0</v>
      </c>
      <c r="BD294" s="195">
        <f t="shared" si="138"/>
        <v>0</v>
      </c>
      <c r="BE294" s="195">
        <f t="shared" si="139"/>
        <v>0</v>
      </c>
      <c r="BF294" s="195">
        <f t="shared" si="140"/>
        <v>0</v>
      </c>
      <c r="BG294" s="195">
        <f t="shared" si="141"/>
        <v>0</v>
      </c>
      <c r="BH294" s="196">
        <f t="shared" si="156"/>
        <v>0</v>
      </c>
      <c r="BI294" s="196">
        <f t="shared" si="157"/>
        <v>0</v>
      </c>
      <c r="BJ294" s="195">
        <f>IFERROR($G294*(IF('Inputs Yr 2'!$AJ294=BJ$4,'Inputs Yr 2'!$AK294,IF('Inputs Yr 2'!$AL294=BJ$4,'Inputs Yr 2'!$AM294,IF('Inputs Yr 2'!$AN294=BJ$4,'Inputs Yr 2'!$AO294,0))))*(INDEX(avoidedcosttbl2,$H294,BJ$2)+(($H294-ROUNDDOWN($H294,0))*(INDEX(avoidedcosttbl2,ROUNDUP($H294,0),BJ$2)-(INDEX(avoidedcosttbl2,ROUNDDOWN($H294,0),BJ$2)))))*'Inputs Yr 2'!P294*'Inputs Yr 2'!Q294*'Inputs Yr 2'!U294,"")</f>
        <v>0</v>
      </c>
      <c r="BK294" s="195">
        <f>IFERROR($G294*(IF('Inputs Yr 2'!$AJ294=BK$4,'Inputs Yr 2'!$AK294,IF('Inputs Yr 2'!$AL294=BK$4,'Inputs Yr 2'!$AM294,IF('Inputs Yr 2'!$AN294=BK$4,'Inputs Yr 2'!$AO294,0))))*(INDEX(avoidedcosttbl2,$H294,BK$2)+(($H294-ROUNDDOWN($H294,0))*(INDEX(avoidedcosttbl2,ROUNDUP($H294,0),BK$2)-(INDEX(avoidedcosttbl2,ROUNDDOWN($H294,0),BK$2)))))*'Inputs Yr 2'!P294*'Inputs Yr 2'!Q294*'Inputs Yr 2'!U294,"")</f>
        <v>0</v>
      </c>
      <c r="BL294" s="195">
        <f>IFERROR($G294*(IF('Inputs Yr 2'!$AJ294=BL$4,'Inputs Yr 2'!$AK294,IF('Inputs Yr 2'!$AL294=BL$4,'Inputs Yr 2'!$AM294,IF('Inputs Yr 2'!$AN294=BL$4,'Inputs Yr 2'!$AO294,0))))*(INDEX(avoidedcosttbl2,$H294,BL$2)+(($H294-ROUNDDOWN($H294,0))*(INDEX(avoidedcosttbl2,ROUNDUP($H294,0),BL$2)-(INDEX(avoidedcosttbl2,ROUNDDOWN($H294,0),BL$2)))))*'Inputs Yr 2'!P294*'Inputs Yr 2'!Q294*'Inputs Yr 2'!U294,"")</f>
        <v>0</v>
      </c>
      <c r="BM294" s="195">
        <f>IFERROR($G294*(IF('Inputs Yr 2'!$AJ294=BM$4,'Inputs Yr 2'!$AK294,IF('Inputs Yr 2'!$AL294=BM$4,'Inputs Yr 2'!$AM294,IF('Inputs Yr 2'!$AN294=BM$4,'Inputs Yr 2'!$AO294,0))))*(INDEX(avoidedcosttbl2,$H294,BM$2)+(($H294-ROUNDDOWN($H294,0))*(INDEX(avoidedcosttbl2,ROUNDUP($H294,0),BM$2)-(INDEX(avoidedcosttbl2,ROUNDDOWN($H294,0),BM$2)))))*'Inputs Yr 2'!P294*'Inputs Yr 2'!Q294*'Inputs Yr 2'!U294,"")</f>
        <v>0</v>
      </c>
      <c r="BN294" s="195">
        <f>IFERROR($G294*(IF('Inputs Yr 2'!$AJ294=BN$4,'Inputs Yr 2'!$AK294,IF('Inputs Yr 2'!$AL294=BN$4,'Inputs Yr 2'!$AM294,IF('Inputs Yr 2'!$AN294=BN$4,'Inputs Yr 2'!$AO294,0))))*(INDEX(avoidedcosttbl2,$H294,BN$2)+(($H294-ROUNDDOWN($H294,0))*(INDEX(avoidedcosttbl2,ROUNDUP($H294,0),BN$2)-(INDEX(avoidedcosttbl2,ROUNDDOWN($H294,0),BN$2)))))*'Inputs Yr 2'!P294*'Inputs Yr 2'!Q294*'Inputs Yr 2'!U294,"")</f>
        <v>0</v>
      </c>
      <c r="BO294" s="195">
        <f>IFERROR($G294*(IF('Inputs Yr 2'!$AJ294=BO$4,'Inputs Yr 2'!$AK294,IF('Inputs Yr 2'!$AL294=BO$4,'Inputs Yr 2'!$AM294,IF('Inputs Yr 2'!$AN294=BO$4,'Inputs Yr 2'!$AO294,0))))*(INDEX(avoidedcosttbl2,$H294,BO$2)+(($H294-ROUNDDOWN($H294,0))*(INDEX(avoidedcosttbl2,ROUNDUP($H294,0),BO$2)-(INDEX(avoidedcosttbl2,ROUNDDOWN($H294,0),BO$2)))))*'Inputs Yr 2'!P294*'Inputs Yr 2'!Q294*'Inputs Yr 2'!U294,"")</f>
        <v>13090.181636458496</v>
      </c>
      <c r="BP294" s="195">
        <f>IFERROR($G294*(IF('Inputs Yr 2'!$AJ294=BP$4,'Inputs Yr 2'!$AK294,IF('Inputs Yr 2'!$AL294=BP$4,'Inputs Yr 2'!$AM294,IF('Inputs Yr 2'!$AN294=BP$4,'Inputs Yr 2'!$AO294,0))))*(INDEX(avoidedcosttbl2,$H294,BP$2)+(($H294-ROUNDDOWN($H294,0))*(INDEX(avoidedcosttbl2,ROUNDUP($H294,0),BP$2)-(INDEX(avoidedcosttbl2,ROUNDDOWN($H294,0),BP$2)))))*'Inputs Yr 2'!P294*'Inputs Yr 2'!Q294*'Inputs Yr 2'!U294,"")</f>
        <v>0</v>
      </c>
      <c r="BQ294" s="230">
        <f t="shared" si="158"/>
        <v>13090.181636458496</v>
      </c>
      <c r="BR294" s="197">
        <f t="shared" si="142"/>
        <v>227.49758502542488</v>
      </c>
      <c r="BS294" s="197">
        <f>IFERROR(($G294*IF('Inputs Yr 2'!$AJ294=BM$4,'Inputs Yr 2'!$AK294,IF('Inputs Yr 2'!$AL294=BM$4,'Inputs Yr 2'!$AM294,IF('Inputs Yr 2'!$AN294=BM$4,'Inputs Yr 2'!$AO294,0))))*(INDEX(avoidedcosttbl2,$H294,BS$2)+(($H294-ROUNDDOWN($H294,0))*(INDEX(avoidedcosttbl2,ROUNDUP($H294,0),BS$2)-(INDEX(avoidedcosttbl2,ROUNDDOWN($H294,0),BS$2)))))*'Inputs Yr 2'!P294*'Inputs Yr 2'!Q294*'Inputs Yr 2'!U294,"")</f>
        <v>0</v>
      </c>
      <c r="BT294" s="197">
        <f>IFERROR(($G294*IF('Inputs Yr 2'!$AJ294=BK$4,'Inputs Yr 2'!$AK294,IF('Inputs Yr 2'!$AL294=BK$4,'Inputs Yr 2'!$AM294,IF('Inputs Yr 2'!$AN294=BK$4,'Inputs Yr 2'!$AO294,0))))*(INDEX(avoidedcosttbl2,$H294,BT$2)+(($H294-ROUNDDOWN($H294,0))*(INDEX(avoidedcosttbl2,ROUNDUP($H294,0),BT$2)-(INDEX(avoidedcosttbl2,ROUNDDOWN($H294,0),BT$2)))))*'Inputs Yr 2'!P294*'Inputs Yr 2'!Q294*'Inputs Yr 2'!U294,"")</f>
        <v>0</v>
      </c>
      <c r="BU294" s="197">
        <f>IFERROR(($G294*IF('Inputs Yr 2'!$AJ294=BL$4,'Inputs Yr 2'!$AK294,IF('Inputs Yr 2'!$AL294=BL$4,'Inputs Yr 2'!$AM294,IF('Inputs Yr 2'!$AN294=BL$4,'Inputs Yr 2'!$AO294,0))))*(INDEX(avoidedcosttbl2,$H294,BU$2)+(($H294-ROUNDDOWN($H294,0))*(INDEX(avoidedcosttbl2,ROUNDUP($H294,0),BU$2)-(INDEX(avoidedcosttbl2,ROUNDDOWN($H294,0),BU$2)))))*'Inputs Yr 2'!P294*'Inputs Yr 2'!Q294*'Inputs Yr 2'!U294,"")</f>
        <v>0</v>
      </c>
      <c r="BV294" s="775">
        <f>IFERROR(($G294*IF('Inputs Yr 2'!$AJ294=BJ$4,'Inputs Yr 2'!$AK294,IF('Inputs Yr 2'!$AL294=BJ$4,'Inputs Yr 2'!$AM294,IF('Inputs Yr 2'!$AN294=BJ$4,'Inputs Yr 2'!$AO294,0))))*(INDEX(avoidedcosttbl2,$H294,BV$2)+(($H294-ROUNDDOWN($H294,0))*(INDEX(avoidedcosttbl2,ROUNDUP($H294,0),BV$2)-(INDEX(avoidedcosttbl2,ROUNDDOWN($H294,0),BV$2)))))*'Inputs Yr 2'!P294*'Inputs Yr 2'!Q294*'Inputs Yr 2'!U294,"")</f>
        <v>0</v>
      </c>
      <c r="BW294" s="197">
        <f>IFERROR(($G294*IF('Inputs Yr 2'!$AJ294=BN$4,'Inputs Yr 2'!$AK294,IF('Inputs Yr 2'!$AL294=BN$4,'Inputs Yr 2'!$AM294,IF('Inputs Yr 2'!$AN294=BN$4,'Inputs Yr 2'!$AO294,0))))*(INDEX(avoidedcosttbl2,$H294,BW$2)+(($H294-ROUNDDOWN($H294,0))*(INDEX(avoidedcosttbl2,ROUNDUP($H294,0),BW$2)-(INDEX(avoidedcosttbl2,ROUNDDOWN($H294,0),BW$2)))))*'Inputs Yr 2'!P294*'Inputs Yr 2'!Q294*'Inputs Yr 2'!U294,"")</f>
        <v>0</v>
      </c>
      <c r="BX294" s="197">
        <f>IFERROR(($G294*IF('Inputs Yr 2'!$AJ294=BO$4,'Inputs Yr 2'!$AK294,IF('Inputs Yr 2'!$AL294=BO$4,'Inputs Yr 2'!$AM294,IF('Inputs Yr 2'!$AN294=BO$4,'Inputs Yr 2'!$AO294,0))))*(INDEX(avoidedcosttbl2,$H294,BX$2)+(($H294-ROUNDDOWN($H294,0))*(INDEX(avoidedcosttbl2,ROUNDUP($H294,0),BX$2)-(INDEX(avoidedcosttbl2,ROUNDDOWN($H294,0),BX$2)))))*'Inputs Yr 2'!P294*'Inputs Yr 2'!Q294*'Inputs Yr 2'!U294,"")</f>
        <v>922.55314983015069</v>
      </c>
      <c r="BY294" s="197">
        <f>IFERROR(($G294*IF('Inputs Yr 2'!$AJ294=BP$4,'Inputs Yr 2'!$AK294,IF('Inputs Yr 2'!$AL294=BP$4,'Inputs Yr 2'!$AM294,IF('Inputs Yr 2'!$AN294=BP$4,'Inputs Yr 2'!$AO294,0))))*(INDEX(avoidedcosttbl2,$H294,BY$2)+(($H294-ROUNDDOWN($H294,0))*(INDEX(avoidedcosttbl2,ROUNDUP($H294,0),BY$2)-(INDEX(avoidedcosttbl2,ROUNDDOWN($H294,0),BY$2)))))*'Inputs Yr 2'!P294*'Inputs Yr 2'!Q294*'Inputs Yr 2'!U294,"")</f>
        <v>0</v>
      </c>
      <c r="BZ294" s="193">
        <f t="shared" si="159"/>
        <v>1150.0507348555757</v>
      </c>
      <c r="CA294" s="193">
        <f t="shared" si="160"/>
        <v>14240.232371314072</v>
      </c>
      <c r="CB294" s="195">
        <f>IFERROR(G294*(IF('Inputs Yr 2'!$AJ294=CB$4,'Inputs Yr 2'!$AK294,IF('Inputs Yr 2'!$AL294=CB$4,'Inputs Yr 2'!$AM294,IF('Inputs Yr 2'!$AN294=CB$4,'Inputs Yr 2'!$AO294,0))))*(INDEX(avoidedcosttbl2,$H294,CB$2)+(($H294-ROUNDDOWN($H294,0))*(INDEX(avoidedcosttbl2,ROUNDUP($H294,0),CB$2)-(INDEX(avoidedcosttbl2,ROUNDDOWN($H294,0),CB$2)))))*'Inputs Yr 2'!P294*'Inputs Yr 2'!Q294*'Inputs Yr 2'!U294,"")</f>
        <v>0</v>
      </c>
      <c r="CC294" s="195">
        <f>IFERROR(H294*(IF('Inputs Yr 2'!$AJ294=CC$4,'Inputs Yr 2'!$AK294,IF('Inputs Yr 2'!$AL294=CC$4,'Inputs Yr 2'!$AM294,IF('Inputs Yr 2'!$AN294=CC$4,'Inputs Yr 2'!$AO294,0))))*(INDEX(avoidedcosttbl2,$H294,CC$2)+(($H294-ROUNDDOWN($H294,0))*(INDEX(avoidedcosttbl2,ROUNDUP($H294,0),CC$2)-(INDEX(avoidedcosttbl2,ROUNDDOWN($H294,0),CC$2)))))*'Inputs Yr 2'!Q294*'Inputs Yr 2'!R294*'Inputs Yr 2'!V294,"")</f>
        <v>0</v>
      </c>
      <c r="CD294" s="195">
        <f>IFERROR(I294*(IF('Inputs Yr 2'!$AJ294=CD$4,'Inputs Yr 2'!$AK294,IF('Inputs Yr 2'!$AL294=CD$4,'Inputs Yr 2'!$AM294,IF('Inputs Yr 2'!$AN294=CD$4,'Inputs Yr 2'!$AO294,0))))*(INDEX(avoidedcosttbl2,$H294,CD$2)+(($H294-ROUNDDOWN($H294,0))*(INDEX(avoidedcosttbl2,ROUNDUP($H294,0),CD$2)-(INDEX(avoidedcosttbl2,ROUNDDOWN($H294,0),CD$2)))))*'Inputs Yr 2'!R294*'Inputs Yr 2'!S294*'Inputs Yr 2'!W294,"")</f>
        <v>0</v>
      </c>
      <c r="CE294" s="213">
        <f t="shared" si="161"/>
        <v>0</v>
      </c>
      <c r="CF294" s="213">
        <f t="shared" si="162"/>
        <v>0</v>
      </c>
      <c r="CG294" s="213">
        <f t="shared" si="163"/>
        <v>0</v>
      </c>
      <c r="CH294" s="698">
        <f t="shared" si="164"/>
        <v>14240.232371314072</v>
      </c>
      <c r="CI294" s="79">
        <f>IFERROR(($G294*'Inputs Yr 2'!$P294*'Inputs Yr 2'!$Q294*(((INDEX(avoidedcosttbl2,$H294,CI$2)+(($H294-ROUNDDOWN($H294,0))*(INDEX(avoidedcosttbl2,ROUNDUP($H294,0),CI$2)-INDEX(avoidedcosttbl2,ROUNDDOWN($H294,0),CI$2))))*'Inputs Yr 2'!AS294))),"")</f>
        <v>0</v>
      </c>
      <c r="CJ294" s="504">
        <f>IFERROR($G294*'Inputs Yr 2'!AT294*'Inputs Yr 2'!$P294*'Inputs Yr 2'!$Q294/((1+realdiscrt1)^-0.5),"")</f>
        <v>0</v>
      </c>
      <c r="CK294" s="79">
        <f>IFERROR((O294*1000*(((INDEX(avoidedcosttbl2,$H294,CK$2)+(($H294-ROUNDDOWN($H294,0))*(INDEX(avoidedcosttbl2,ROUNDUP($H294,0),CK$2)-INDEX(avoidedcosttbl2,ROUNDDOWN($H294,0),CK$2))))*'Inputs Yr 2'!AU294))),"")</f>
        <v>0</v>
      </c>
      <c r="CL294" s="504">
        <f>IFERROR(O294*1000*'Inputs Yr 2'!AV294/((1+realdiscrt1)^-0.5),"")</f>
        <v>0</v>
      </c>
      <c r="CM294" s="79">
        <f>IFERROR((AB294*'Inputs Yr 2'!AW294*(((INDEX(avoidedcosttbl2,$H294,CM$2)+(($H294-ROUNDDOWN($H294,0))*(INDEX(avoidedcosttbl2,ROUNDUP($H294,0),CM$2)-INDEX(avoidedcosttbl2,ROUNDDOWN($H294,0),CM$2)))))))*10,"")</f>
        <v>0</v>
      </c>
      <c r="CN294" s="504">
        <f>IFERROR(10*AB294*'Inputs Yr 2'!AX294/((1+realdiscrt1)^-0.5),"")</f>
        <v>0</v>
      </c>
      <c r="CO294" s="505">
        <f t="shared" si="165"/>
        <v>0</v>
      </c>
      <c r="CP294" s="230">
        <f t="shared" si="166"/>
        <v>14240.232371314072</v>
      </c>
      <c r="CQ294" s="199">
        <f>ROUND(IFERROR(IF(LEFT($A294,1)="C",'Avoided Costs'!$K$13,'Avoided Costs'!$K$12)+1,""),4)</f>
        <v>1.0720000000000001</v>
      </c>
      <c r="CR294" s="199">
        <f>ROUND(IFERROR(IF(LEFT($A294,1)="C",'Avoided Costs'!$L$13,'Avoided Costs'!$L$12)+1,""),4)</f>
        <v>1.04</v>
      </c>
      <c r="CS294" s="199">
        <f>ROUND(IFERROR(IF(LEFT($A294,1)="C",'Avoided Costs'!$M$13,'Avoided Costs'!$M$12)+1,""),4)</f>
        <v>1.0720000000000001</v>
      </c>
      <c r="CT294" s="199">
        <f>ROUND(IFERROR(IF(LEFT($A294,1)="C",'Avoided Costs'!$N$13,'Avoided Costs'!$N$12)+1,""),4)</f>
        <v>1.04</v>
      </c>
      <c r="CU294" s="199">
        <f>ROUND(IFERROR(IF(LEFT($A294,1)="C",'Avoided Costs'!$O$13,'Avoided Costs'!$O$12)+1,""),4)</f>
        <v>1.1120000000000001</v>
      </c>
      <c r="CV294" s="199">
        <f>ROUND(IFERROR(IF(LEFT($A294,1)="C",'Avoided Costs'!$P$13,'Avoided Costs'!$P$12)+1,""),4)</f>
        <v>1.095</v>
      </c>
      <c r="CW294" s="199">
        <f>ROUND(IFERROR(IF(LEFT($A294,1)="C",'Avoided Costs'!$Q$13,'Avoided Costs'!$Q$12)+1,""),4)</f>
        <v>1.1120000000000001</v>
      </c>
      <c r="CX294" s="200">
        <f>ROUND(IFERROR(IF(LEFT($A294,1)="C",'Avoided Costs'!$R$13,'Avoided Costs'!$R$12)+1,""),4)</f>
        <v>1.1120000000000001</v>
      </c>
    </row>
    <row r="295" spans="1:102" ht="12.75" customHeight="1">
      <c r="A295" s="91" t="str">
        <f>IF('Inputs Yr 2'!$B295=0,"",'Inputs Yr 2'!A295)</f>
        <v>C - Commercial &amp; Industrial</v>
      </c>
      <c r="B295" s="91" t="str">
        <f>IF('Inputs Yr 2'!$B295=0,"",'Inputs Yr 2'!B295)</f>
        <v>C2 - C&amp;I Retrofit</v>
      </c>
      <c r="C295" s="91" t="str">
        <f>IF('Inputs Yr 2'!$B295=0,"",'Inputs Yr 2'!C295)</f>
        <v>C2b - C&amp;I Small Business</v>
      </c>
      <c r="D295" s="91" t="str">
        <f>IF('Inputs Yr 2'!$B295=0,"",'Inputs Yr 2'!E295)</f>
        <v>Building Shell - Custom 18</v>
      </c>
      <c r="E295" s="93" t="str">
        <f>IF('Inputs Yr 2'!$B295=0,"",'Inputs Yr 2'!F295)</f>
        <v>G16C2b01</v>
      </c>
      <c r="F295" s="93" t="str">
        <f>IF('Inputs Yr 2'!$B295=0,"",'Inputs Yr 2'!G295)</f>
        <v>Envelope</v>
      </c>
      <c r="G295" s="95">
        <f>IF('Inputs Yr 2'!$H295&lt;&gt;0,('Inputs Yr 2'!H295),"")</f>
        <v>1</v>
      </c>
      <c r="H295" s="94">
        <f>IFERROR('Inputs Yr 2'!I295,"")</f>
        <v>18</v>
      </c>
      <c r="I295" s="298">
        <f>IFERROR('Inputs Yr 2'!J295*'Inputs Yr 2'!P295*G295,"")</f>
        <v>42015.013546666669</v>
      </c>
      <c r="J295" s="298">
        <f>IFERROR('Inputs Yr 2'!K295*G295,"")</f>
        <v>34288.639999999999</v>
      </c>
      <c r="K295" s="298">
        <f t="shared" si="143"/>
        <v>7726.3735466666694</v>
      </c>
      <c r="L295" s="194">
        <f>IFERROR(('Inputs Yr 2'!W295*G295)/1000,"")</f>
        <v>0</v>
      </c>
      <c r="M295" s="194">
        <f>IFERROR(L295*('Inputs Yr 2'!$Q295*'Inputs Yr 2'!$V295*'Inputs Yr 2'!$R295),"")</f>
        <v>0</v>
      </c>
      <c r="N295" s="194">
        <f t="shared" si="144"/>
        <v>0</v>
      </c>
      <c r="O295" s="194">
        <f>IFERROR(M295*'Inputs Yr 2'!P295,"")</f>
        <v>0</v>
      </c>
      <c r="P295" s="194">
        <f t="shared" si="145"/>
        <v>0</v>
      </c>
      <c r="Q295" s="194">
        <f>IFERROR($P295*'Inputs Yr 2'!AA295,"")</f>
        <v>0</v>
      </c>
      <c r="R295" s="194">
        <f>IFERROR($P295*'Inputs Yr 2'!AB295,"")</f>
        <v>0</v>
      </c>
      <c r="S295" s="194">
        <f>IFERROR($P295*'Inputs Yr 2'!AC295,"")</f>
        <v>0</v>
      </c>
      <c r="T295" s="194">
        <f>IFERROR($P295*'Inputs Yr 2'!AD295,"")</f>
        <v>0</v>
      </c>
      <c r="U295" s="194">
        <f>IFERROR(G295*'Inputs Yr 2'!$AE295*'Inputs Yr 2'!$P295*'Inputs Yr 2'!$Q295,"")</f>
        <v>0</v>
      </c>
      <c r="V295" s="194">
        <f>IFERROR($G295*'Inputs Yr 2'!$AE295*'Inputs Yr 2'!$AG295*'Inputs Yr 2'!Q295*'Inputs Yr 2'!$S295,"")</f>
        <v>0</v>
      </c>
      <c r="W295" s="194">
        <f>IFERROR($G295*'Inputs Yr 2'!$AE295*'Inputs Yr 2'!$AG295*'Inputs Yr 2'!P295*'Inputs Yr 2'!Q295*'Inputs Yr 2'!$S295,"")</f>
        <v>0</v>
      </c>
      <c r="X295" s="194">
        <f>IFERROR($G295*'Inputs Yr 2'!$AE295*'Inputs Yr 2'!$AF295*'Inputs Yr 2'!Q295*'Inputs Yr 2'!$T295,"")</f>
        <v>0</v>
      </c>
      <c r="Y295" s="194">
        <f>IFERROR($G295*'Inputs Yr 2'!$AE295*'Inputs Yr 2'!$AF295*'Inputs Yr 2'!P295*'Inputs Yr 2'!Q295*'Inputs Yr 2'!$T295,"")</f>
        <v>0</v>
      </c>
      <c r="Z295" s="257">
        <f>IFERROR($G295*'Inputs Yr 2'!$Q295*'Inputs Yr 2'!$U295*(IF(IFERROR(SEARCH("NG", 'Inputs Yr 2'!$AJ295),0),'Inputs Yr 2'!$AK295,0)+IF(IFERROR(SEARCH("NG", 'Inputs Yr 2'!$AL295),0),'Inputs Yr 2'!$AM295,0)+IF(IFERROR(SEARCH("NG", 'Inputs Yr 2'!$AN295),0),'Inputs Yr 2'!$AO295,0)),0)</f>
        <v>275.45440000000002</v>
      </c>
      <c r="AA295" s="257">
        <f t="shared" si="146"/>
        <v>4958.1792000000005</v>
      </c>
      <c r="AB295" s="257">
        <f>IFERROR(Z295*'Inputs Yr 2'!$P295,0)</f>
        <v>253.14259360000003</v>
      </c>
      <c r="AC295" s="257">
        <f t="shared" si="147"/>
        <v>4556.5666848000001</v>
      </c>
      <c r="AD295" s="257">
        <f>IFERROR($G295*'Inputs Yr 2'!$Q295*'Inputs Yr 2'!$U295*(IF(IFERROR(SEARCH("Oil", 'Inputs Yr 2'!$AJ295), 0),'Inputs Yr 2'!$AK295,0)+IF(IFERROR(SEARCH("Oil", 'Inputs Yr 2'!$AL295), 0),'Inputs Yr 2'!$AM295,0)+IF(IFERROR(SEARCH("Oil", 'Inputs Yr 2'!$AN295), 0),'Inputs Yr 2'!$AO295,0)),0)</f>
        <v>0</v>
      </c>
      <c r="AE295" s="257">
        <f t="shared" si="148"/>
        <v>0</v>
      </c>
      <c r="AF295" s="257">
        <f>IFERROR(AD295*'Inputs Yr 2'!$P295,0)</f>
        <v>0</v>
      </c>
      <c r="AG295" s="257">
        <f t="shared" si="149"/>
        <v>0</v>
      </c>
      <c r="AH295" s="257">
        <f>IFERROR($G295*'Inputs Yr 2'!$Q295*'Inputs Yr 2'!$U295*(IF('Inputs Yr 2'!$AJ295=CD$4,'Inputs Yr 2'!$AK295,IF('Inputs Yr 2'!$AL295=CD$4,'Inputs Yr 2'!$AM295,IF('Inputs Yr 2'!$AN295=CD$4,'Inputs Yr 2'!$AO295,0)))),0)</f>
        <v>0</v>
      </c>
      <c r="AI295" s="257">
        <f t="shared" si="150"/>
        <v>0</v>
      </c>
      <c r="AJ295" s="257">
        <f>IFERROR(AH295*'Inputs Yr 2'!$P295,0)</f>
        <v>0</v>
      </c>
      <c r="AK295" s="257">
        <f t="shared" si="151"/>
        <v>0</v>
      </c>
      <c r="AL295" s="258">
        <f>IFERROR($G295*'Inputs Yr 2'!$P295*'Inputs Yr 2'!$Q295*'Inputs Yr 2'!AP295,0)</f>
        <v>0</v>
      </c>
      <c r="AM295" s="260">
        <f>IFERROR($G295*'Inputs Yr 2'!$P295*'Inputs Yr 2'!$Q295*'Inputs Yr 2'!AQ295,0)</f>
        <v>0</v>
      </c>
      <c r="AN295" s="258">
        <f>IFERROR($G295*'Inputs Yr 2'!$P295*'Inputs Yr 2'!$Q295*'Inputs Yr 2'!AR295,0)</f>
        <v>0</v>
      </c>
      <c r="AO295" s="257">
        <f t="shared" si="152"/>
        <v>0</v>
      </c>
      <c r="AP295" s="195">
        <f>IFERROR($CQ295*(INDEX(avoidedcosttbl2,$H295,AP$2)+(($H295-ROUNDDOWN($H295,0))*(INDEX(avoidedcosttbl2,ROUNDUP($H295,0),AP$2)-(INDEX(avoidedcosttbl2,ROUNDDOWN($H295,0),AP$2)))))*$O295*1000*'Inputs Yr 2'!AA295,"")</f>
        <v>0</v>
      </c>
      <c r="AQ295" s="195">
        <f>IFERROR($CR295*(INDEX(avoidedcosttbl2,$H295,AQ$2)+(($H295-ROUNDDOWN($H295,0))*(INDEX(avoidedcosttbl2,ROUNDUP($H295,0),AQ$2)-(INDEX(avoidedcosttbl2,ROUNDDOWN($H295,0),AQ$2)))))*$O295*1000*'Inputs Yr 2'!AB295,"")</f>
        <v>0</v>
      </c>
      <c r="AR295" s="195">
        <f>IFERROR($CS295*(INDEX(avoidedcosttbl2,$H295,AR$2)+(($H295-ROUNDDOWN($H295,0))*(INDEX(avoidedcosttbl2,ROUNDUP($H295,0),AR$2)-(INDEX(avoidedcosttbl2,ROUNDDOWN($H295,0),AR$2)))))*$O295*1000*'Inputs Yr 2'!AC295,"")</f>
        <v>0</v>
      </c>
      <c r="AS295" s="195">
        <f>IFERROR($CT295*(INDEX(avoidedcosttbl2,$H295,AS$2)+(($H295-ROUNDDOWN($H295,0))*(INDEX(avoidedcosttbl2,ROUNDUP($H295,0),AS$2)-(INDEX(avoidedcosttbl2,ROUNDDOWN($H295,0),AS$2)))))*$O295*1000*'Inputs Yr 2'!AD295,"")</f>
        <v>0</v>
      </c>
      <c r="AT295" s="196">
        <f t="shared" si="153"/>
        <v>0</v>
      </c>
      <c r="AU295" s="197">
        <f>IFERROR($CQ295*((INDEX(avoidedcosttbl2,$H295,AU$2))+(($H295-ROUNDDOWN($H295,0))*((INDEX(avoidedcosttbl2,ROUNDUP($H295,0),AU$2))-(INDEX(avoidedcosttbl2,ROUNDDOWN($H295,0),AU$2)))))*$O295*1000*'Inputs Yr 2'!AA295,"")</f>
        <v>0</v>
      </c>
      <c r="AV295" s="197">
        <f>IFERROR($CR295*((INDEX(avoidedcosttbl2,$H295,AV$2))+(($H295-ROUNDDOWN($H295,0))*((INDEX(avoidedcosttbl2,ROUNDUP($H295,0),AV$2))-(INDEX(avoidedcosttbl2,ROUNDDOWN($H295,0),AV$2)))))*$O295*1000*'Inputs Yr 2'!AB295,"")</f>
        <v>0</v>
      </c>
      <c r="AW295" s="197">
        <f>IFERROR($CS295*((INDEX(avoidedcosttbl2,$H295,AW$2))+(($H295-ROUNDDOWN($H295,0))*((INDEX(avoidedcosttbl2,ROUNDUP($H295,0),AW$2))-(INDEX(avoidedcosttbl2,ROUNDDOWN($H295,0),AW$2)))))*$O295*1000*'Inputs Yr 2'!AC295,"")</f>
        <v>0</v>
      </c>
      <c r="AX295" s="197">
        <f>IFERROR($CT295*((INDEX(avoidedcosttbl2,$H295,AX$2))+(($H295-ROUNDDOWN($H295,0))*((INDEX(avoidedcosttbl2,ROUNDUP($H295,0),AX$2))-(INDEX(avoidedcosttbl2,ROUNDDOWN($H295,0),AX$2)))))*$O295*1000*'Inputs Yr 2'!AD295,"")</f>
        <v>0</v>
      </c>
      <c r="AY295" s="197">
        <f>IFERROR(((INDEX(avoidedcosttbl2,$H295,AY$2))+(($H295-ROUNDDOWN($H295,0))*((INDEX(avoidedcosttbl2,ROUNDUP($H295,0),AY$2))-(INDEX(avoidedcosttbl2,ROUNDDOWN($H295,0),AY$2)))))*$O295*1000*('Inputs Yr 2'!AC295+'Inputs Yr 2'!AD295),"")</f>
        <v>0</v>
      </c>
      <c r="AZ295" s="197">
        <f>IFERROR(((INDEX(avoidedcosttbl2,$H295,AZ$2))+(($H295-ROUNDDOWN($H295,0))*((INDEX(avoidedcosttbl2,ROUNDUP($H295,0),AZ$2))-(INDEX(avoidedcosttbl2,ROUNDDOWN($H295,0),AZ$2)))))*$O295*1000*('Inputs Yr 2'!AA295+'Inputs Yr 2'!AB295),"")</f>
        <v>0</v>
      </c>
      <c r="BA295" s="198">
        <f t="shared" si="154"/>
        <v>0</v>
      </c>
      <c r="BB295" s="198">
        <f t="shared" si="155"/>
        <v>0</v>
      </c>
      <c r="BC295" s="195">
        <f t="shared" si="137"/>
        <v>0</v>
      </c>
      <c r="BD295" s="195">
        <f t="shared" si="138"/>
        <v>0</v>
      </c>
      <c r="BE295" s="195">
        <f t="shared" si="139"/>
        <v>0</v>
      </c>
      <c r="BF295" s="195">
        <f t="shared" si="140"/>
        <v>0</v>
      </c>
      <c r="BG295" s="195">
        <f t="shared" si="141"/>
        <v>0</v>
      </c>
      <c r="BH295" s="196">
        <f t="shared" si="156"/>
        <v>0</v>
      </c>
      <c r="BI295" s="196">
        <f t="shared" si="157"/>
        <v>0</v>
      </c>
      <c r="BJ295" s="195">
        <f>IFERROR($G295*(IF('Inputs Yr 2'!$AJ295=BJ$4,'Inputs Yr 2'!$AK295,IF('Inputs Yr 2'!$AL295=BJ$4,'Inputs Yr 2'!$AM295,IF('Inputs Yr 2'!$AN295=BJ$4,'Inputs Yr 2'!$AO295,0))))*(INDEX(avoidedcosttbl2,$H295,BJ$2)+(($H295-ROUNDDOWN($H295,0))*(INDEX(avoidedcosttbl2,ROUNDUP($H295,0),BJ$2)-(INDEX(avoidedcosttbl2,ROUNDDOWN($H295,0),BJ$2)))))*'Inputs Yr 2'!P295*'Inputs Yr 2'!Q295*'Inputs Yr 2'!U295,"")</f>
        <v>0</v>
      </c>
      <c r="BK295" s="195">
        <f>IFERROR($G295*(IF('Inputs Yr 2'!$AJ295=BK$4,'Inputs Yr 2'!$AK295,IF('Inputs Yr 2'!$AL295=BK$4,'Inputs Yr 2'!$AM295,IF('Inputs Yr 2'!$AN295=BK$4,'Inputs Yr 2'!$AO295,0))))*(INDEX(avoidedcosttbl2,$H295,BK$2)+(($H295-ROUNDDOWN($H295,0))*(INDEX(avoidedcosttbl2,ROUNDUP($H295,0),BK$2)-(INDEX(avoidedcosttbl2,ROUNDDOWN($H295,0),BK$2)))))*'Inputs Yr 2'!P295*'Inputs Yr 2'!Q295*'Inputs Yr 2'!U295,"")</f>
        <v>0</v>
      </c>
      <c r="BL295" s="195">
        <f>IFERROR($G295*(IF('Inputs Yr 2'!$AJ295=BL$4,'Inputs Yr 2'!$AK295,IF('Inputs Yr 2'!$AL295=BL$4,'Inputs Yr 2'!$AM295,IF('Inputs Yr 2'!$AN295=BL$4,'Inputs Yr 2'!$AO295,0))))*(INDEX(avoidedcosttbl2,$H295,BL$2)+(($H295-ROUNDDOWN($H295,0))*(INDEX(avoidedcosttbl2,ROUNDUP($H295,0),BL$2)-(INDEX(avoidedcosttbl2,ROUNDDOWN($H295,0),BL$2)))))*'Inputs Yr 2'!P295*'Inputs Yr 2'!Q295*'Inputs Yr 2'!U295,"")</f>
        <v>0</v>
      </c>
      <c r="BM295" s="195">
        <f>IFERROR($G295*(IF('Inputs Yr 2'!$AJ295=BM$4,'Inputs Yr 2'!$AK295,IF('Inputs Yr 2'!$AL295=BM$4,'Inputs Yr 2'!$AM295,IF('Inputs Yr 2'!$AN295=BM$4,'Inputs Yr 2'!$AO295,0))))*(INDEX(avoidedcosttbl2,$H295,BM$2)+(($H295-ROUNDDOWN($H295,0))*(INDEX(avoidedcosttbl2,ROUNDUP($H295,0),BM$2)-(INDEX(avoidedcosttbl2,ROUNDDOWN($H295,0),BM$2)))))*'Inputs Yr 2'!P295*'Inputs Yr 2'!Q295*'Inputs Yr 2'!U295,"")</f>
        <v>0</v>
      </c>
      <c r="BN295" s="195">
        <f>IFERROR($G295*(IF('Inputs Yr 2'!$AJ295=BN$4,'Inputs Yr 2'!$AK295,IF('Inputs Yr 2'!$AL295=BN$4,'Inputs Yr 2'!$AM295,IF('Inputs Yr 2'!$AN295=BN$4,'Inputs Yr 2'!$AO295,0))))*(INDEX(avoidedcosttbl2,$H295,BN$2)+(($H295-ROUNDDOWN($H295,0))*(INDEX(avoidedcosttbl2,ROUNDUP($H295,0),BN$2)-(INDEX(avoidedcosttbl2,ROUNDDOWN($H295,0),BN$2)))))*'Inputs Yr 2'!P295*'Inputs Yr 2'!Q295*'Inputs Yr 2'!U295,"")</f>
        <v>0</v>
      </c>
      <c r="BO295" s="195">
        <f>IFERROR($G295*(IF('Inputs Yr 2'!$AJ295=BO$4,'Inputs Yr 2'!$AK295,IF('Inputs Yr 2'!$AL295=BO$4,'Inputs Yr 2'!$AM295,IF('Inputs Yr 2'!$AN295=BO$4,'Inputs Yr 2'!$AO295,0))))*(INDEX(avoidedcosttbl2,$H295,BO$2)+(($H295-ROUNDDOWN($H295,0))*(INDEX(avoidedcosttbl2,ROUNDUP($H295,0),BO$2)-(INDEX(avoidedcosttbl2,ROUNDDOWN($H295,0),BO$2)))))*'Inputs Yr 2'!P295*'Inputs Yr 2'!Q295*'Inputs Yr 2'!U295,"")</f>
        <v>36201.838658203247</v>
      </c>
      <c r="BP295" s="195">
        <f>IFERROR($G295*(IF('Inputs Yr 2'!$AJ295=BP$4,'Inputs Yr 2'!$AK295,IF('Inputs Yr 2'!$AL295=BP$4,'Inputs Yr 2'!$AM295,IF('Inputs Yr 2'!$AN295=BP$4,'Inputs Yr 2'!$AO295,0))))*(INDEX(avoidedcosttbl2,$H295,BP$2)+(($H295-ROUNDDOWN($H295,0))*(INDEX(avoidedcosttbl2,ROUNDUP($H295,0),BP$2)-(INDEX(avoidedcosttbl2,ROUNDDOWN($H295,0),BP$2)))))*'Inputs Yr 2'!P295*'Inputs Yr 2'!Q295*'Inputs Yr 2'!U295,"")</f>
        <v>0</v>
      </c>
      <c r="BQ295" s="230">
        <f t="shared" si="158"/>
        <v>36201.838658203247</v>
      </c>
      <c r="BR295" s="197">
        <f t="shared" si="142"/>
        <v>613.60061587297685</v>
      </c>
      <c r="BS295" s="197">
        <f>IFERROR(($G295*IF('Inputs Yr 2'!$AJ295=BM$4,'Inputs Yr 2'!$AK295,IF('Inputs Yr 2'!$AL295=BM$4,'Inputs Yr 2'!$AM295,IF('Inputs Yr 2'!$AN295=BM$4,'Inputs Yr 2'!$AO295,0))))*(INDEX(avoidedcosttbl2,$H295,BS$2)+(($H295-ROUNDDOWN($H295,0))*(INDEX(avoidedcosttbl2,ROUNDUP($H295,0),BS$2)-(INDEX(avoidedcosttbl2,ROUNDDOWN($H295,0),BS$2)))))*'Inputs Yr 2'!P295*'Inputs Yr 2'!Q295*'Inputs Yr 2'!U295,"")</f>
        <v>0</v>
      </c>
      <c r="BT295" s="197">
        <f>IFERROR(($G295*IF('Inputs Yr 2'!$AJ295=BK$4,'Inputs Yr 2'!$AK295,IF('Inputs Yr 2'!$AL295=BK$4,'Inputs Yr 2'!$AM295,IF('Inputs Yr 2'!$AN295=BK$4,'Inputs Yr 2'!$AO295,0))))*(INDEX(avoidedcosttbl2,$H295,BT$2)+(($H295-ROUNDDOWN($H295,0))*(INDEX(avoidedcosttbl2,ROUNDUP($H295,0),BT$2)-(INDEX(avoidedcosttbl2,ROUNDDOWN($H295,0),BT$2)))))*'Inputs Yr 2'!P295*'Inputs Yr 2'!Q295*'Inputs Yr 2'!U295,"")</f>
        <v>0</v>
      </c>
      <c r="BU295" s="197">
        <f>IFERROR(($G295*IF('Inputs Yr 2'!$AJ295=BL$4,'Inputs Yr 2'!$AK295,IF('Inputs Yr 2'!$AL295=BL$4,'Inputs Yr 2'!$AM295,IF('Inputs Yr 2'!$AN295=BL$4,'Inputs Yr 2'!$AO295,0))))*(INDEX(avoidedcosttbl2,$H295,BU$2)+(($H295-ROUNDDOWN($H295,0))*(INDEX(avoidedcosttbl2,ROUNDUP($H295,0),BU$2)-(INDEX(avoidedcosttbl2,ROUNDDOWN($H295,0),BU$2)))))*'Inputs Yr 2'!P295*'Inputs Yr 2'!Q295*'Inputs Yr 2'!U295,"")</f>
        <v>0</v>
      </c>
      <c r="BV295" s="775">
        <f>IFERROR(($G295*IF('Inputs Yr 2'!$AJ295=BJ$4,'Inputs Yr 2'!$AK295,IF('Inputs Yr 2'!$AL295=BJ$4,'Inputs Yr 2'!$AM295,IF('Inputs Yr 2'!$AN295=BJ$4,'Inputs Yr 2'!$AO295,0))))*(INDEX(avoidedcosttbl2,$H295,BV$2)+(($H295-ROUNDDOWN($H295,0))*(INDEX(avoidedcosttbl2,ROUNDUP($H295,0),BV$2)-(INDEX(avoidedcosttbl2,ROUNDDOWN($H295,0),BV$2)))))*'Inputs Yr 2'!P295*'Inputs Yr 2'!Q295*'Inputs Yr 2'!U295,"")</f>
        <v>0</v>
      </c>
      <c r="BW295" s="197">
        <f>IFERROR(($G295*IF('Inputs Yr 2'!$AJ295=BN$4,'Inputs Yr 2'!$AK295,IF('Inputs Yr 2'!$AL295=BN$4,'Inputs Yr 2'!$AM295,IF('Inputs Yr 2'!$AN295=BN$4,'Inputs Yr 2'!$AO295,0))))*(INDEX(avoidedcosttbl2,$H295,BW$2)+(($H295-ROUNDDOWN($H295,0))*(INDEX(avoidedcosttbl2,ROUNDUP($H295,0),BW$2)-(INDEX(avoidedcosttbl2,ROUNDDOWN($H295,0),BW$2)))))*'Inputs Yr 2'!P295*'Inputs Yr 2'!Q295*'Inputs Yr 2'!U295,"")</f>
        <v>0</v>
      </c>
      <c r="BX295" s="197">
        <f>IFERROR(($G295*IF('Inputs Yr 2'!$AJ295=BO$4,'Inputs Yr 2'!$AK295,IF('Inputs Yr 2'!$AL295=BO$4,'Inputs Yr 2'!$AM295,IF('Inputs Yr 2'!$AN295=BO$4,'Inputs Yr 2'!$AO295,0))))*(INDEX(avoidedcosttbl2,$H295,BX$2)+(($H295-ROUNDDOWN($H295,0))*(INDEX(avoidedcosttbl2,ROUNDUP($H295,0),BX$2)-(INDEX(avoidedcosttbl2,ROUNDDOWN($H295,0),BX$2)))))*'Inputs Yr 2'!P295*'Inputs Yr 2'!Q295*'Inputs Yr 2'!U295,"")</f>
        <v>2169.4700018931021</v>
      </c>
      <c r="BY295" s="197">
        <f>IFERROR(($G295*IF('Inputs Yr 2'!$AJ295=BP$4,'Inputs Yr 2'!$AK295,IF('Inputs Yr 2'!$AL295=BP$4,'Inputs Yr 2'!$AM295,IF('Inputs Yr 2'!$AN295=BP$4,'Inputs Yr 2'!$AO295,0))))*(INDEX(avoidedcosttbl2,$H295,BY$2)+(($H295-ROUNDDOWN($H295,0))*(INDEX(avoidedcosttbl2,ROUNDUP($H295,0),BY$2)-(INDEX(avoidedcosttbl2,ROUNDDOWN($H295,0),BY$2)))))*'Inputs Yr 2'!P295*'Inputs Yr 2'!Q295*'Inputs Yr 2'!U295,"")</f>
        <v>0</v>
      </c>
      <c r="BZ295" s="193">
        <f t="shared" si="159"/>
        <v>2783.0706177660791</v>
      </c>
      <c r="CA295" s="193">
        <f t="shared" si="160"/>
        <v>38984.909275969323</v>
      </c>
      <c r="CB295" s="195">
        <f>IFERROR(G295*(IF('Inputs Yr 2'!$AJ295=CB$4,'Inputs Yr 2'!$AK295,IF('Inputs Yr 2'!$AL295=CB$4,'Inputs Yr 2'!$AM295,IF('Inputs Yr 2'!$AN295=CB$4,'Inputs Yr 2'!$AO295,0))))*(INDEX(avoidedcosttbl2,$H295,CB$2)+(($H295-ROUNDDOWN($H295,0))*(INDEX(avoidedcosttbl2,ROUNDUP($H295,0),CB$2)-(INDEX(avoidedcosttbl2,ROUNDDOWN($H295,0),CB$2)))))*'Inputs Yr 2'!P295*'Inputs Yr 2'!Q295*'Inputs Yr 2'!U295,"")</f>
        <v>0</v>
      </c>
      <c r="CC295" s="195">
        <f>IFERROR(H295*(IF('Inputs Yr 2'!$AJ295=CC$4,'Inputs Yr 2'!$AK295,IF('Inputs Yr 2'!$AL295=CC$4,'Inputs Yr 2'!$AM295,IF('Inputs Yr 2'!$AN295=CC$4,'Inputs Yr 2'!$AO295,0))))*(INDEX(avoidedcosttbl2,$H295,CC$2)+(($H295-ROUNDDOWN($H295,0))*(INDEX(avoidedcosttbl2,ROUNDUP($H295,0),CC$2)-(INDEX(avoidedcosttbl2,ROUNDDOWN($H295,0),CC$2)))))*'Inputs Yr 2'!Q295*'Inputs Yr 2'!R295*'Inputs Yr 2'!V295,"")</f>
        <v>0</v>
      </c>
      <c r="CD295" s="195">
        <f>IFERROR(I295*(IF('Inputs Yr 2'!$AJ295=CD$4,'Inputs Yr 2'!$AK295,IF('Inputs Yr 2'!$AL295=CD$4,'Inputs Yr 2'!$AM295,IF('Inputs Yr 2'!$AN295=CD$4,'Inputs Yr 2'!$AO295,0))))*(INDEX(avoidedcosttbl2,$H295,CD$2)+(($H295-ROUNDDOWN($H295,0))*(INDEX(avoidedcosttbl2,ROUNDUP($H295,0),CD$2)-(INDEX(avoidedcosttbl2,ROUNDDOWN($H295,0),CD$2)))))*'Inputs Yr 2'!R295*'Inputs Yr 2'!S295*'Inputs Yr 2'!W295,"")</f>
        <v>0</v>
      </c>
      <c r="CE295" s="213">
        <f t="shared" si="161"/>
        <v>0</v>
      </c>
      <c r="CF295" s="213">
        <f t="shared" si="162"/>
        <v>0</v>
      </c>
      <c r="CG295" s="213">
        <f t="shared" si="163"/>
        <v>0</v>
      </c>
      <c r="CH295" s="698">
        <f t="shared" si="164"/>
        <v>38984.909275969323</v>
      </c>
      <c r="CI295" s="79">
        <f>IFERROR(($G295*'Inputs Yr 2'!$P295*'Inputs Yr 2'!$Q295*(((INDEX(avoidedcosttbl2,$H295,CI$2)+(($H295-ROUNDDOWN($H295,0))*(INDEX(avoidedcosttbl2,ROUNDUP($H295,0),CI$2)-INDEX(avoidedcosttbl2,ROUNDDOWN($H295,0),CI$2))))*'Inputs Yr 2'!AS295))),"")</f>
        <v>0</v>
      </c>
      <c r="CJ295" s="504">
        <f>IFERROR($G295*'Inputs Yr 2'!AT295*'Inputs Yr 2'!$P295*'Inputs Yr 2'!$Q295/((1+realdiscrt1)^-0.5),"")</f>
        <v>0</v>
      </c>
      <c r="CK295" s="79">
        <f>IFERROR((O295*1000*(((INDEX(avoidedcosttbl2,$H295,CK$2)+(($H295-ROUNDDOWN($H295,0))*(INDEX(avoidedcosttbl2,ROUNDUP($H295,0),CK$2)-INDEX(avoidedcosttbl2,ROUNDDOWN($H295,0),CK$2))))*'Inputs Yr 2'!AU295))),"")</f>
        <v>0</v>
      </c>
      <c r="CL295" s="504">
        <f>IFERROR(O295*1000*'Inputs Yr 2'!AV295/((1+realdiscrt1)^-0.5),"")</f>
        <v>0</v>
      </c>
      <c r="CM295" s="79">
        <f>IFERROR((AB295*'Inputs Yr 2'!AW295*(((INDEX(avoidedcosttbl2,$H295,CM$2)+(($H295-ROUNDDOWN($H295,0))*(INDEX(avoidedcosttbl2,ROUNDUP($H295,0),CM$2)-INDEX(avoidedcosttbl2,ROUNDDOWN($H295,0),CM$2)))))))*10,"")</f>
        <v>0</v>
      </c>
      <c r="CN295" s="504">
        <f>IFERROR(10*AB295*'Inputs Yr 2'!AX295/((1+realdiscrt1)^-0.5),"")</f>
        <v>0</v>
      </c>
      <c r="CO295" s="505">
        <f t="shared" si="165"/>
        <v>0</v>
      </c>
      <c r="CP295" s="230">
        <f t="shared" si="166"/>
        <v>38984.909275969323</v>
      </c>
      <c r="CQ295" s="199">
        <f>ROUND(IFERROR(IF(LEFT($A295,1)="C",'Avoided Costs'!$K$13,'Avoided Costs'!$K$12)+1,""),4)</f>
        <v>1.0720000000000001</v>
      </c>
      <c r="CR295" s="199">
        <f>ROUND(IFERROR(IF(LEFT($A295,1)="C",'Avoided Costs'!$L$13,'Avoided Costs'!$L$12)+1,""),4)</f>
        <v>1.04</v>
      </c>
      <c r="CS295" s="199">
        <f>ROUND(IFERROR(IF(LEFT($A295,1)="C",'Avoided Costs'!$M$13,'Avoided Costs'!$M$12)+1,""),4)</f>
        <v>1.0720000000000001</v>
      </c>
      <c r="CT295" s="199">
        <f>ROUND(IFERROR(IF(LEFT($A295,1)="C",'Avoided Costs'!$N$13,'Avoided Costs'!$N$12)+1,""),4)</f>
        <v>1.04</v>
      </c>
      <c r="CU295" s="199">
        <f>ROUND(IFERROR(IF(LEFT($A295,1)="C",'Avoided Costs'!$O$13,'Avoided Costs'!$O$12)+1,""),4)</f>
        <v>1.1120000000000001</v>
      </c>
      <c r="CV295" s="199">
        <f>ROUND(IFERROR(IF(LEFT($A295,1)="C",'Avoided Costs'!$P$13,'Avoided Costs'!$P$12)+1,""),4)</f>
        <v>1.095</v>
      </c>
      <c r="CW295" s="199">
        <f>ROUND(IFERROR(IF(LEFT($A295,1)="C",'Avoided Costs'!$Q$13,'Avoided Costs'!$Q$12)+1,""),4)</f>
        <v>1.1120000000000001</v>
      </c>
      <c r="CX295" s="200">
        <f>ROUND(IFERROR(IF(LEFT($A295,1)="C",'Avoided Costs'!$R$13,'Avoided Costs'!$R$12)+1,""),4)</f>
        <v>1.1120000000000001</v>
      </c>
    </row>
    <row r="296" spans="1:102" ht="12.75" customHeight="1">
      <c r="A296" s="91" t="str">
        <f>IF('Inputs Yr 2'!$B296=0,"",'Inputs Yr 2'!A296)</f>
        <v>C - Commercial &amp; Industrial</v>
      </c>
      <c r="B296" s="91" t="str">
        <f>IF('Inputs Yr 2'!$B296=0,"",'Inputs Yr 2'!B296)</f>
        <v>C2 - C&amp;I Retrofit</v>
      </c>
      <c r="C296" s="91" t="str">
        <f>IF('Inputs Yr 2'!$B296=0,"",'Inputs Yr 2'!C296)</f>
        <v>C2b - C&amp;I Small Business</v>
      </c>
      <c r="D296" s="91" t="str">
        <f>IF('Inputs Yr 2'!$B296=0,"",'Inputs Yr 2'!E296)</f>
        <v>Building Shell - Custom 20</v>
      </c>
      <c r="E296" s="93" t="str">
        <f>IF('Inputs Yr 2'!$B296=0,"",'Inputs Yr 2'!F296)</f>
        <v>G16C2b01</v>
      </c>
      <c r="F296" s="93" t="str">
        <f>IF('Inputs Yr 2'!$B296=0,"",'Inputs Yr 2'!G296)</f>
        <v>Envelope</v>
      </c>
      <c r="G296" s="95">
        <f>IF('Inputs Yr 2'!$H296&lt;&gt;0,('Inputs Yr 2'!H296),"")</f>
        <v>1</v>
      </c>
      <c r="H296" s="94">
        <f>IFERROR('Inputs Yr 2'!I296,"")</f>
        <v>20</v>
      </c>
      <c r="I296" s="298">
        <f>IFERROR('Inputs Yr 2'!J296*'Inputs Yr 2'!P296*G296,"")</f>
        <v>43090.758186666666</v>
      </c>
      <c r="J296" s="298">
        <f>IFERROR('Inputs Yr 2'!K296*G296,"")</f>
        <v>35166.559999999998</v>
      </c>
      <c r="K296" s="298">
        <f t="shared" si="143"/>
        <v>7924.1981866666683</v>
      </c>
      <c r="L296" s="194">
        <f>IFERROR(('Inputs Yr 2'!W296*G296)/1000,"")</f>
        <v>0</v>
      </c>
      <c r="M296" s="194">
        <f>IFERROR(L296*('Inputs Yr 2'!$Q296*'Inputs Yr 2'!$V296*'Inputs Yr 2'!$R296),"")</f>
        <v>0</v>
      </c>
      <c r="N296" s="194">
        <f t="shared" si="144"/>
        <v>0</v>
      </c>
      <c r="O296" s="194">
        <f>IFERROR(M296*'Inputs Yr 2'!P296,"")</f>
        <v>0</v>
      </c>
      <c r="P296" s="194">
        <f t="shared" si="145"/>
        <v>0</v>
      </c>
      <c r="Q296" s="194">
        <f>IFERROR($P296*'Inputs Yr 2'!AA296,"")</f>
        <v>0</v>
      </c>
      <c r="R296" s="194">
        <f>IFERROR($P296*'Inputs Yr 2'!AB296,"")</f>
        <v>0</v>
      </c>
      <c r="S296" s="194">
        <f>IFERROR($P296*'Inputs Yr 2'!AC296,"")</f>
        <v>0</v>
      </c>
      <c r="T296" s="194">
        <f>IFERROR($P296*'Inputs Yr 2'!AD296,"")</f>
        <v>0</v>
      </c>
      <c r="U296" s="194">
        <f>IFERROR(G296*'Inputs Yr 2'!$AE296*'Inputs Yr 2'!$P296*'Inputs Yr 2'!$Q296,"")</f>
        <v>0</v>
      </c>
      <c r="V296" s="194">
        <f>IFERROR($G296*'Inputs Yr 2'!$AE296*'Inputs Yr 2'!$AG296*'Inputs Yr 2'!Q296*'Inputs Yr 2'!$S296,"")</f>
        <v>0</v>
      </c>
      <c r="W296" s="194">
        <f>IFERROR($G296*'Inputs Yr 2'!$AE296*'Inputs Yr 2'!$AG296*'Inputs Yr 2'!P296*'Inputs Yr 2'!Q296*'Inputs Yr 2'!$S296,"")</f>
        <v>0</v>
      </c>
      <c r="X296" s="194">
        <f>IFERROR($G296*'Inputs Yr 2'!$AE296*'Inputs Yr 2'!$AF296*'Inputs Yr 2'!Q296*'Inputs Yr 2'!$T296,"")</f>
        <v>0</v>
      </c>
      <c r="Y296" s="194">
        <f>IFERROR($G296*'Inputs Yr 2'!$AE296*'Inputs Yr 2'!$AF296*'Inputs Yr 2'!P296*'Inputs Yr 2'!Q296*'Inputs Yr 2'!$T296,"")</f>
        <v>0</v>
      </c>
      <c r="Z296" s="257">
        <f>IFERROR($G296*'Inputs Yr 2'!$Q296*'Inputs Yr 2'!$U296*(IF(IFERROR(SEARCH("NG", 'Inputs Yr 2'!$AJ296),0),'Inputs Yr 2'!$AK296,0)+IF(IFERROR(SEARCH("NG", 'Inputs Yr 2'!$AL296),0),'Inputs Yr 2'!$AM296,0)+IF(IFERROR(SEARCH("NG", 'Inputs Yr 2'!$AN296),0),'Inputs Yr 2'!$AO296,0)),0)</f>
        <v>760.30399999999997</v>
      </c>
      <c r="AA296" s="257">
        <f t="shared" si="146"/>
        <v>15206.08</v>
      </c>
      <c r="AB296" s="257">
        <f>IFERROR(Z296*'Inputs Yr 2'!$P296,0)</f>
        <v>698.71937600000001</v>
      </c>
      <c r="AC296" s="257">
        <f t="shared" si="147"/>
        <v>13974.38752</v>
      </c>
      <c r="AD296" s="257">
        <f>IFERROR($G296*'Inputs Yr 2'!$Q296*'Inputs Yr 2'!$U296*(IF(IFERROR(SEARCH("Oil", 'Inputs Yr 2'!$AJ296), 0),'Inputs Yr 2'!$AK296,0)+IF(IFERROR(SEARCH("Oil", 'Inputs Yr 2'!$AL296), 0),'Inputs Yr 2'!$AM296,0)+IF(IFERROR(SEARCH("Oil", 'Inputs Yr 2'!$AN296), 0),'Inputs Yr 2'!$AO296,0)),0)</f>
        <v>0</v>
      </c>
      <c r="AE296" s="257">
        <f t="shared" si="148"/>
        <v>0</v>
      </c>
      <c r="AF296" s="257">
        <f>IFERROR(AD296*'Inputs Yr 2'!$P296,0)</f>
        <v>0</v>
      </c>
      <c r="AG296" s="257">
        <f t="shared" si="149"/>
        <v>0</v>
      </c>
      <c r="AH296" s="257">
        <f>IFERROR($G296*'Inputs Yr 2'!$Q296*'Inputs Yr 2'!$U296*(IF('Inputs Yr 2'!$AJ296=CD$4,'Inputs Yr 2'!$AK296,IF('Inputs Yr 2'!$AL296=CD$4,'Inputs Yr 2'!$AM296,IF('Inputs Yr 2'!$AN296=CD$4,'Inputs Yr 2'!$AO296,0)))),0)</f>
        <v>0</v>
      </c>
      <c r="AI296" s="257">
        <f t="shared" si="150"/>
        <v>0</v>
      </c>
      <c r="AJ296" s="257">
        <f>IFERROR(AH296*'Inputs Yr 2'!$P296,0)</f>
        <v>0</v>
      </c>
      <c r="AK296" s="257">
        <f t="shared" si="151"/>
        <v>0</v>
      </c>
      <c r="AL296" s="258">
        <f>IFERROR($G296*'Inputs Yr 2'!$P296*'Inputs Yr 2'!$Q296*'Inputs Yr 2'!AP296,0)</f>
        <v>0</v>
      </c>
      <c r="AM296" s="260">
        <f>IFERROR($G296*'Inputs Yr 2'!$P296*'Inputs Yr 2'!$Q296*'Inputs Yr 2'!AQ296,0)</f>
        <v>0</v>
      </c>
      <c r="AN296" s="258">
        <f>IFERROR($G296*'Inputs Yr 2'!$P296*'Inputs Yr 2'!$Q296*'Inputs Yr 2'!AR296,0)</f>
        <v>0</v>
      </c>
      <c r="AO296" s="257">
        <f t="shared" si="152"/>
        <v>0</v>
      </c>
      <c r="AP296" s="195">
        <f>IFERROR($CQ296*(INDEX(avoidedcosttbl2,$H296,AP$2)+(($H296-ROUNDDOWN($H296,0))*(INDEX(avoidedcosttbl2,ROUNDUP($H296,0),AP$2)-(INDEX(avoidedcosttbl2,ROUNDDOWN($H296,0),AP$2)))))*$O296*1000*'Inputs Yr 2'!AA296,"")</f>
        <v>0</v>
      </c>
      <c r="AQ296" s="195">
        <f>IFERROR($CR296*(INDEX(avoidedcosttbl2,$H296,AQ$2)+(($H296-ROUNDDOWN($H296,0))*(INDEX(avoidedcosttbl2,ROUNDUP($H296,0),AQ$2)-(INDEX(avoidedcosttbl2,ROUNDDOWN($H296,0),AQ$2)))))*$O296*1000*'Inputs Yr 2'!AB296,"")</f>
        <v>0</v>
      </c>
      <c r="AR296" s="195">
        <f>IFERROR($CS296*(INDEX(avoidedcosttbl2,$H296,AR$2)+(($H296-ROUNDDOWN($H296,0))*(INDEX(avoidedcosttbl2,ROUNDUP($H296,0),AR$2)-(INDEX(avoidedcosttbl2,ROUNDDOWN($H296,0),AR$2)))))*$O296*1000*'Inputs Yr 2'!AC296,"")</f>
        <v>0</v>
      </c>
      <c r="AS296" s="195">
        <f>IFERROR($CT296*(INDEX(avoidedcosttbl2,$H296,AS$2)+(($H296-ROUNDDOWN($H296,0))*(INDEX(avoidedcosttbl2,ROUNDUP($H296,0),AS$2)-(INDEX(avoidedcosttbl2,ROUNDDOWN($H296,0),AS$2)))))*$O296*1000*'Inputs Yr 2'!AD296,"")</f>
        <v>0</v>
      </c>
      <c r="AT296" s="196">
        <f t="shared" si="153"/>
        <v>0</v>
      </c>
      <c r="AU296" s="197">
        <f>IFERROR($CQ296*((INDEX(avoidedcosttbl2,$H296,AU$2))+(($H296-ROUNDDOWN($H296,0))*((INDEX(avoidedcosttbl2,ROUNDUP($H296,0),AU$2))-(INDEX(avoidedcosttbl2,ROUNDDOWN($H296,0),AU$2)))))*$O296*1000*'Inputs Yr 2'!AA296,"")</f>
        <v>0</v>
      </c>
      <c r="AV296" s="197">
        <f>IFERROR($CR296*((INDEX(avoidedcosttbl2,$H296,AV$2))+(($H296-ROUNDDOWN($H296,0))*((INDEX(avoidedcosttbl2,ROUNDUP($H296,0),AV$2))-(INDEX(avoidedcosttbl2,ROUNDDOWN($H296,0),AV$2)))))*$O296*1000*'Inputs Yr 2'!AB296,"")</f>
        <v>0</v>
      </c>
      <c r="AW296" s="197">
        <f>IFERROR($CS296*((INDEX(avoidedcosttbl2,$H296,AW$2))+(($H296-ROUNDDOWN($H296,0))*((INDEX(avoidedcosttbl2,ROUNDUP($H296,0),AW$2))-(INDEX(avoidedcosttbl2,ROUNDDOWN($H296,0),AW$2)))))*$O296*1000*'Inputs Yr 2'!AC296,"")</f>
        <v>0</v>
      </c>
      <c r="AX296" s="197">
        <f>IFERROR($CT296*((INDEX(avoidedcosttbl2,$H296,AX$2))+(($H296-ROUNDDOWN($H296,0))*((INDEX(avoidedcosttbl2,ROUNDUP($H296,0),AX$2))-(INDEX(avoidedcosttbl2,ROUNDDOWN($H296,0),AX$2)))))*$O296*1000*'Inputs Yr 2'!AD296,"")</f>
        <v>0</v>
      </c>
      <c r="AY296" s="197">
        <f>IFERROR(((INDEX(avoidedcosttbl2,$H296,AY$2))+(($H296-ROUNDDOWN($H296,0))*((INDEX(avoidedcosttbl2,ROUNDUP($H296,0),AY$2))-(INDEX(avoidedcosttbl2,ROUNDDOWN($H296,0),AY$2)))))*$O296*1000*('Inputs Yr 2'!AC296+'Inputs Yr 2'!AD296),"")</f>
        <v>0</v>
      </c>
      <c r="AZ296" s="197">
        <f>IFERROR(((INDEX(avoidedcosttbl2,$H296,AZ$2))+(($H296-ROUNDDOWN($H296,0))*((INDEX(avoidedcosttbl2,ROUNDUP($H296,0),AZ$2))-(INDEX(avoidedcosttbl2,ROUNDDOWN($H296,0),AZ$2)))))*$O296*1000*('Inputs Yr 2'!AA296+'Inputs Yr 2'!AB296),"")</f>
        <v>0</v>
      </c>
      <c r="BA296" s="198">
        <f t="shared" si="154"/>
        <v>0</v>
      </c>
      <c r="BB296" s="198">
        <f t="shared" si="155"/>
        <v>0</v>
      </c>
      <c r="BC296" s="195">
        <f t="shared" si="137"/>
        <v>0</v>
      </c>
      <c r="BD296" s="195">
        <f t="shared" si="138"/>
        <v>0</v>
      </c>
      <c r="BE296" s="195">
        <f t="shared" si="139"/>
        <v>0</v>
      </c>
      <c r="BF296" s="195">
        <f t="shared" si="140"/>
        <v>0</v>
      </c>
      <c r="BG296" s="195">
        <f t="shared" si="141"/>
        <v>0</v>
      </c>
      <c r="BH296" s="196">
        <f t="shared" si="156"/>
        <v>0</v>
      </c>
      <c r="BI296" s="196">
        <f t="shared" si="157"/>
        <v>0</v>
      </c>
      <c r="BJ296" s="195">
        <f>IFERROR($G296*(IF('Inputs Yr 2'!$AJ296=BJ$4,'Inputs Yr 2'!$AK296,IF('Inputs Yr 2'!$AL296=BJ$4,'Inputs Yr 2'!$AM296,IF('Inputs Yr 2'!$AN296=BJ$4,'Inputs Yr 2'!$AO296,0))))*(INDEX(avoidedcosttbl2,$H296,BJ$2)+(($H296-ROUNDDOWN($H296,0))*(INDEX(avoidedcosttbl2,ROUNDUP($H296,0),BJ$2)-(INDEX(avoidedcosttbl2,ROUNDDOWN($H296,0),BJ$2)))))*'Inputs Yr 2'!P296*'Inputs Yr 2'!Q296*'Inputs Yr 2'!U296,"")</f>
        <v>0</v>
      </c>
      <c r="BK296" s="195">
        <f>IFERROR($G296*(IF('Inputs Yr 2'!$AJ296=BK$4,'Inputs Yr 2'!$AK296,IF('Inputs Yr 2'!$AL296=BK$4,'Inputs Yr 2'!$AM296,IF('Inputs Yr 2'!$AN296=BK$4,'Inputs Yr 2'!$AO296,0))))*(INDEX(avoidedcosttbl2,$H296,BK$2)+(($H296-ROUNDDOWN($H296,0))*(INDEX(avoidedcosttbl2,ROUNDUP($H296,0),BK$2)-(INDEX(avoidedcosttbl2,ROUNDDOWN($H296,0),BK$2)))))*'Inputs Yr 2'!P296*'Inputs Yr 2'!Q296*'Inputs Yr 2'!U296,"")</f>
        <v>0</v>
      </c>
      <c r="BL296" s="195">
        <f>IFERROR($G296*(IF('Inputs Yr 2'!$AJ296=BL$4,'Inputs Yr 2'!$AK296,IF('Inputs Yr 2'!$AL296=BL$4,'Inputs Yr 2'!$AM296,IF('Inputs Yr 2'!$AN296=BL$4,'Inputs Yr 2'!$AO296,0))))*(INDEX(avoidedcosttbl2,$H296,BL$2)+(($H296-ROUNDDOWN($H296,0))*(INDEX(avoidedcosttbl2,ROUNDUP($H296,0),BL$2)-(INDEX(avoidedcosttbl2,ROUNDDOWN($H296,0),BL$2)))))*'Inputs Yr 2'!P296*'Inputs Yr 2'!Q296*'Inputs Yr 2'!U296,"")</f>
        <v>0</v>
      </c>
      <c r="BM296" s="195">
        <f>IFERROR($G296*(IF('Inputs Yr 2'!$AJ296=BM$4,'Inputs Yr 2'!$AK296,IF('Inputs Yr 2'!$AL296=BM$4,'Inputs Yr 2'!$AM296,IF('Inputs Yr 2'!$AN296=BM$4,'Inputs Yr 2'!$AO296,0))))*(INDEX(avoidedcosttbl2,$H296,BM$2)+(($H296-ROUNDDOWN($H296,0))*(INDEX(avoidedcosttbl2,ROUNDUP($H296,0),BM$2)-(INDEX(avoidedcosttbl2,ROUNDDOWN($H296,0),BM$2)))))*'Inputs Yr 2'!P296*'Inputs Yr 2'!Q296*'Inputs Yr 2'!U296,"")</f>
        <v>0</v>
      </c>
      <c r="BN296" s="195">
        <f>IFERROR($G296*(IF('Inputs Yr 2'!$AJ296=BN$4,'Inputs Yr 2'!$AK296,IF('Inputs Yr 2'!$AL296=BN$4,'Inputs Yr 2'!$AM296,IF('Inputs Yr 2'!$AN296=BN$4,'Inputs Yr 2'!$AO296,0))))*(INDEX(avoidedcosttbl2,$H296,BN$2)+(($H296-ROUNDDOWN($H296,0))*(INDEX(avoidedcosttbl2,ROUNDUP($H296,0),BN$2)-(INDEX(avoidedcosttbl2,ROUNDDOWN($H296,0),BN$2)))))*'Inputs Yr 2'!P296*'Inputs Yr 2'!Q296*'Inputs Yr 2'!U296,"")</f>
        <v>0</v>
      </c>
      <c r="BO296" s="195">
        <f>IFERROR($G296*(IF('Inputs Yr 2'!$AJ296=BO$4,'Inputs Yr 2'!$AK296,IF('Inputs Yr 2'!$AL296=BO$4,'Inputs Yr 2'!$AM296,IF('Inputs Yr 2'!$AN296=BO$4,'Inputs Yr 2'!$AO296,0))))*(INDEX(avoidedcosttbl2,$H296,BO$2)+(($H296-ROUNDDOWN($H296,0))*(INDEX(avoidedcosttbl2,ROUNDUP($H296,0),BO$2)-(INDEX(avoidedcosttbl2,ROUNDDOWN($H296,0),BO$2)))))*'Inputs Yr 2'!P296*'Inputs Yr 2'!Q296*'Inputs Yr 2'!U296,"")</f>
        <v>112379.3799733378</v>
      </c>
      <c r="BP296" s="195">
        <f>IFERROR($G296*(IF('Inputs Yr 2'!$AJ296=BP$4,'Inputs Yr 2'!$AK296,IF('Inputs Yr 2'!$AL296=BP$4,'Inputs Yr 2'!$AM296,IF('Inputs Yr 2'!$AN296=BP$4,'Inputs Yr 2'!$AO296,0))))*(INDEX(avoidedcosttbl2,$H296,BP$2)+(($H296-ROUNDDOWN($H296,0))*(INDEX(avoidedcosttbl2,ROUNDUP($H296,0),BP$2)-(INDEX(avoidedcosttbl2,ROUNDDOWN($H296,0),BP$2)))))*'Inputs Yr 2'!P296*'Inputs Yr 2'!Q296*'Inputs Yr 2'!U296,"")</f>
        <v>0</v>
      </c>
      <c r="BQ296" s="230">
        <f t="shared" si="158"/>
        <v>112379.3799733378</v>
      </c>
      <c r="BR296" s="197">
        <f t="shared" si="142"/>
        <v>1873.7025164976985</v>
      </c>
      <c r="BS296" s="197">
        <f>IFERROR(($G296*IF('Inputs Yr 2'!$AJ296=BM$4,'Inputs Yr 2'!$AK296,IF('Inputs Yr 2'!$AL296=BM$4,'Inputs Yr 2'!$AM296,IF('Inputs Yr 2'!$AN296=BM$4,'Inputs Yr 2'!$AO296,0))))*(INDEX(avoidedcosttbl2,$H296,BS$2)+(($H296-ROUNDDOWN($H296,0))*(INDEX(avoidedcosttbl2,ROUNDUP($H296,0),BS$2)-(INDEX(avoidedcosttbl2,ROUNDDOWN($H296,0),BS$2)))))*'Inputs Yr 2'!P296*'Inputs Yr 2'!Q296*'Inputs Yr 2'!U296,"")</f>
        <v>0</v>
      </c>
      <c r="BT296" s="197">
        <f>IFERROR(($G296*IF('Inputs Yr 2'!$AJ296=BK$4,'Inputs Yr 2'!$AK296,IF('Inputs Yr 2'!$AL296=BK$4,'Inputs Yr 2'!$AM296,IF('Inputs Yr 2'!$AN296=BK$4,'Inputs Yr 2'!$AO296,0))))*(INDEX(avoidedcosttbl2,$H296,BT$2)+(($H296-ROUNDDOWN($H296,0))*(INDEX(avoidedcosttbl2,ROUNDUP($H296,0),BT$2)-(INDEX(avoidedcosttbl2,ROUNDDOWN($H296,0),BT$2)))))*'Inputs Yr 2'!P296*'Inputs Yr 2'!Q296*'Inputs Yr 2'!U296,"")</f>
        <v>0</v>
      </c>
      <c r="BU296" s="197">
        <f>IFERROR(($G296*IF('Inputs Yr 2'!$AJ296=BL$4,'Inputs Yr 2'!$AK296,IF('Inputs Yr 2'!$AL296=BL$4,'Inputs Yr 2'!$AM296,IF('Inputs Yr 2'!$AN296=BL$4,'Inputs Yr 2'!$AO296,0))))*(INDEX(avoidedcosttbl2,$H296,BU$2)+(($H296-ROUNDDOWN($H296,0))*(INDEX(avoidedcosttbl2,ROUNDUP($H296,0),BU$2)-(INDEX(avoidedcosttbl2,ROUNDDOWN($H296,0),BU$2)))))*'Inputs Yr 2'!P296*'Inputs Yr 2'!Q296*'Inputs Yr 2'!U296,"")</f>
        <v>0</v>
      </c>
      <c r="BV296" s="775">
        <f>IFERROR(($G296*IF('Inputs Yr 2'!$AJ296=BJ$4,'Inputs Yr 2'!$AK296,IF('Inputs Yr 2'!$AL296=BJ$4,'Inputs Yr 2'!$AM296,IF('Inputs Yr 2'!$AN296=BJ$4,'Inputs Yr 2'!$AO296,0))))*(INDEX(avoidedcosttbl2,$H296,BV$2)+(($H296-ROUNDDOWN($H296,0))*(INDEX(avoidedcosttbl2,ROUNDUP($H296,0),BV$2)-(INDEX(avoidedcosttbl2,ROUNDDOWN($H296,0),BV$2)))))*'Inputs Yr 2'!P296*'Inputs Yr 2'!Q296*'Inputs Yr 2'!U296,"")</f>
        <v>0</v>
      </c>
      <c r="BW296" s="197">
        <f>IFERROR(($G296*IF('Inputs Yr 2'!$AJ296=BN$4,'Inputs Yr 2'!$AK296,IF('Inputs Yr 2'!$AL296=BN$4,'Inputs Yr 2'!$AM296,IF('Inputs Yr 2'!$AN296=BN$4,'Inputs Yr 2'!$AO296,0))))*(INDEX(avoidedcosttbl2,$H296,BW$2)+(($H296-ROUNDDOWN($H296,0))*(INDEX(avoidedcosttbl2,ROUNDUP($H296,0),BW$2)-(INDEX(avoidedcosttbl2,ROUNDDOWN($H296,0),BW$2)))))*'Inputs Yr 2'!P296*'Inputs Yr 2'!Q296*'Inputs Yr 2'!U296,"")</f>
        <v>0</v>
      </c>
      <c r="BX296" s="197">
        <f>IFERROR(($G296*IF('Inputs Yr 2'!$AJ296=BO$4,'Inputs Yr 2'!$AK296,IF('Inputs Yr 2'!$AL296=BO$4,'Inputs Yr 2'!$AM296,IF('Inputs Yr 2'!$AN296=BO$4,'Inputs Yr 2'!$AO296,0))))*(INDEX(avoidedcosttbl2,$H296,BX$2)+(($H296-ROUNDDOWN($H296,0))*(INDEX(avoidedcosttbl2,ROUNDUP($H296,0),BX$2)-(INDEX(avoidedcosttbl2,ROUNDDOWN($H296,0),BX$2)))))*'Inputs Yr 2'!P296*'Inputs Yr 2'!Q296*'Inputs Yr 2'!U296,"")</f>
        <v>6138.0330985420251</v>
      </c>
      <c r="BY296" s="197">
        <f>IFERROR(($G296*IF('Inputs Yr 2'!$AJ296=BP$4,'Inputs Yr 2'!$AK296,IF('Inputs Yr 2'!$AL296=BP$4,'Inputs Yr 2'!$AM296,IF('Inputs Yr 2'!$AN296=BP$4,'Inputs Yr 2'!$AO296,0))))*(INDEX(avoidedcosttbl2,$H296,BY$2)+(($H296-ROUNDDOWN($H296,0))*(INDEX(avoidedcosttbl2,ROUNDUP($H296,0),BY$2)-(INDEX(avoidedcosttbl2,ROUNDDOWN($H296,0),BY$2)))))*'Inputs Yr 2'!P296*'Inputs Yr 2'!Q296*'Inputs Yr 2'!U296,"")</f>
        <v>0</v>
      </c>
      <c r="BZ296" s="193">
        <f t="shared" si="159"/>
        <v>8011.7356150397236</v>
      </c>
      <c r="CA296" s="193">
        <f t="shared" si="160"/>
        <v>120391.11558837752</v>
      </c>
      <c r="CB296" s="195">
        <f>IFERROR(G296*(IF('Inputs Yr 2'!$AJ296=CB$4,'Inputs Yr 2'!$AK296,IF('Inputs Yr 2'!$AL296=CB$4,'Inputs Yr 2'!$AM296,IF('Inputs Yr 2'!$AN296=CB$4,'Inputs Yr 2'!$AO296,0))))*(INDEX(avoidedcosttbl2,$H296,CB$2)+(($H296-ROUNDDOWN($H296,0))*(INDEX(avoidedcosttbl2,ROUNDUP($H296,0),CB$2)-(INDEX(avoidedcosttbl2,ROUNDDOWN($H296,0),CB$2)))))*'Inputs Yr 2'!P296*'Inputs Yr 2'!Q296*'Inputs Yr 2'!U296,"")</f>
        <v>0</v>
      </c>
      <c r="CC296" s="195">
        <f>IFERROR(H296*(IF('Inputs Yr 2'!$AJ296=CC$4,'Inputs Yr 2'!$AK296,IF('Inputs Yr 2'!$AL296=CC$4,'Inputs Yr 2'!$AM296,IF('Inputs Yr 2'!$AN296=CC$4,'Inputs Yr 2'!$AO296,0))))*(INDEX(avoidedcosttbl2,$H296,CC$2)+(($H296-ROUNDDOWN($H296,0))*(INDEX(avoidedcosttbl2,ROUNDUP($H296,0),CC$2)-(INDEX(avoidedcosttbl2,ROUNDDOWN($H296,0),CC$2)))))*'Inputs Yr 2'!Q296*'Inputs Yr 2'!R296*'Inputs Yr 2'!V296,"")</f>
        <v>0</v>
      </c>
      <c r="CD296" s="195">
        <f>IFERROR(I296*(IF('Inputs Yr 2'!$AJ296=CD$4,'Inputs Yr 2'!$AK296,IF('Inputs Yr 2'!$AL296=CD$4,'Inputs Yr 2'!$AM296,IF('Inputs Yr 2'!$AN296=CD$4,'Inputs Yr 2'!$AO296,0))))*(INDEX(avoidedcosttbl2,$H296,CD$2)+(($H296-ROUNDDOWN($H296,0))*(INDEX(avoidedcosttbl2,ROUNDUP($H296,0),CD$2)-(INDEX(avoidedcosttbl2,ROUNDDOWN($H296,0),CD$2)))))*'Inputs Yr 2'!R296*'Inputs Yr 2'!S296*'Inputs Yr 2'!W296,"")</f>
        <v>0</v>
      </c>
      <c r="CE296" s="213">
        <f t="shared" si="161"/>
        <v>0</v>
      </c>
      <c r="CF296" s="213">
        <f t="shared" si="162"/>
        <v>0</v>
      </c>
      <c r="CG296" s="213">
        <f t="shared" si="163"/>
        <v>0</v>
      </c>
      <c r="CH296" s="698">
        <f t="shared" si="164"/>
        <v>120391.11558837752</v>
      </c>
      <c r="CI296" s="79">
        <f>IFERROR(($G296*'Inputs Yr 2'!$P296*'Inputs Yr 2'!$Q296*(((INDEX(avoidedcosttbl2,$H296,CI$2)+(($H296-ROUNDDOWN($H296,0))*(INDEX(avoidedcosttbl2,ROUNDUP($H296,0),CI$2)-INDEX(avoidedcosttbl2,ROUNDDOWN($H296,0),CI$2))))*'Inputs Yr 2'!AS296))),"")</f>
        <v>0</v>
      </c>
      <c r="CJ296" s="504">
        <f>IFERROR($G296*'Inputs Yr 2'!AT296*'Inputs Yr 2'!$P296*'Inputs Yr 2'!$Q296/((1+realdiscrt1)^-0.5),"")</f>
        <v>0</v>
      </c>
      <c r="CK296" s="79">
        <f>IFERROR((O296*1000*(((INDEX(avoidedcosttbl2,$H296,CK$2)+(($H296-ROUNDDOWN($H296,0))*(INDEX(avoidedcosttbl2,ROUNDUP($H296,0),CK$2)-INDEX(avoidedcosttbl2,ROUNDDOWN($H296,0),CK$2))))*'Inputs Yr 2'!AU296))),"")</f>
        <v>0</v>
      </c>
      <c r="CL296" s="504">
        <f>IFERROR(O296*1000*'Inputs Yr 2'!AV296/((1+realdiscrt1)^-0.5),"")</f>
        <v>0</v>
      </c>
      <c r="CM296" s="79">
        <f>IFERROR((AB296*'Inputs Yr 2'!AW296*(((INDEX(avoidedcosttbl2,$H296,CM$2)+(($H296-ROUNDDOWN($H296,0))*(INDEX(avoidedcosttbl2,ROUNDUP($H296,0),CM$2)-INDEX(avoidedcosttbl2,ROUNDDOWN($H296,0),CM$2)))))))*10,"")</f>
        <v>0</v>
      </c>
      <c r="CN296" s="504">
        <f>IFERROR(10*AB296*'Inputs Yr 2'!AX296/((1+realdiscrt1)^-0.5),"")</f>
        <v>0</v>
      </c>
      <c r="CO296" s="505">
        <f t="shared" si="165"/>
        <v>0</v>
      </c>
      <c r="CP296" s="230">
        <f t="shared" si="166"/>
        <v>120391.11558837752</v>
      </c>
      <c r="CQ296" s="199">
        <f>ROUND(IFERROR(IF(LEFT($A296,1)="C",'Avoided Costs'!$K$13,'Avoided Costs'!$K$12)+1,""),4)</f>
        <v>1.0720000000000001</v>
      </c>
      <c r="CR296" s="199">
        <f>ROUND(IFERROR(IF(LEFT($A296,1)="C",'Avoided Costs'!$L$13,'Avoided Costs'!$L$12)+1,""),4)</f>
        <v>1.04</v>
      </c>
      <c r="CS296" s="199">
        <f>ROUND(IFERROR(IF(LEFT($A296,1)="C",'Avoided Costs'!$M$13,'Avoided Costs'!$M$12)+1,""),4)</f>
        <v>1.0720000000000001</v>
      </c>
      <c r="CT296" s="199">
        <f>ROUND(IFERROR(IF(LEFT($A296,1)="C",'Avoided Costs'!$N$13,'Avoided Costs'!$N$12)+1,""),4)</f>
        <v>1.04</v>
      </c>
      <c r="CU296" s="199">
        <f>ROUND(IFERROR(IF(LEFT($A296,1)="C",'Avoided Costs'!$O$13,'Avoided Costs'!$O$12)+1,""),4)</f>
        <v>1.1120000000000001</v>
      </c>
      <c r="CV296" s="199">
        <f>ROUND(IFERROR(IF(LEFT($A296,1)="C",'Avoided Costs'!$P$13,'Avoided Costs'!$P$12)+1,""),4)</f>
        <v>1.095</v>
      </c>
      <c r="CW296" s="199">
        <f>ROUND(IFERROR(IF(LEFT($A296,1)="C",'Avoided Costs'!$Q$13,'Avoided Costs'!$Q$12)+1,""),4)</f>
        <v>1.1120000000000001</v>
      </c>
      <c r="CX296" s="200">
        <f>ROUND(IFERROR(IF(LEFT($A296,1)="C",'Avoided Costs'!$R$13,'Avoided Costs'!$R$12)+1,""),4)</f>
        <v>1.1120000000000001</v>
      </c>
    </row>
    <row r="297" spans="1:102" ht="12.75" customHeight="1">
      <c r="A297" s="91" t="str">
        <f>IF('Inputs Yr 2'!$B297=0,"",'Inputs Yr 2'!A297)</f>
        <v>C - Commercial &amp; Industrial</v>
      </c>
      <c r="B297" s="91" t="str">
        <f>IF('Inputs Yr 2'!$B297=0,"",'Inputs Yr 2'!B297)</f>
        <v>C2 - C&amp;I Retrofit</v>
      </c>
      <c r="C297" s="91" t="str">
        <f>IF('Inputs Yr 2'!$B297=0,"",'Inputs Yr 2'!C297)</f>
        <v>C2b - C&amp;I Small Business</v>
      </c>
      <c r="D297" s="91" t="str">
        <f>IF('Inputs Yr 2'!$B297=0,"",'Inputs Yr 2'!E297)</f>
        <v>Food Services - Custom</v>
      </c>
      <c r="E297" s="93" t="str">
        <f>IF('Inputs Yr 2'!$B297=0,"",'Inputs Yr 2'!F297)</f>
        <v>G16C2b02</v>
      </c>
      <c r="F297" s="93" t="str">
        <f>IF('Inputs Yr 2'!$B297=0,"",'Inputs Yr 2'!G297)</f>
        <v>Food Service</v>
      </c>
      <c r="G297" s="95" t="str">
        <f>IF('Inputs Yr 2'!$H297&lt;&gt;0,('Inputs Yr 2'!H297),"")</f>
        <v/>
      </c>
      <c r="H297" s="94">
        <f>IFERROR('Inputs Yr 2'!I297,"")</f>
        <v>0</v>
      </c>
      <c r="I297" s="298" t="str">
        <f>IFERROR('Inputs Yr 2'!J297*'Inputs Yr 2'!P297*G297,"")</f>
        <v/>
      </c>
      <c r="J297" s="298" t="str">
        <f>IFERROR('Inputs Yr 2'!K297*G297,"")</f>
        <v/>
      </c>
      <c r="K297" s="298" t="str">
        <f t="shared" si="143"/>
        <v/>
      </c>
      <c r="L297" s="194" t="str">
        <f>IFERROR(('Inputs Yr 2'!W297*G297)/1000,"")</f>
        <v/>
      </c>
      <c r="M297" s="194" t="str">
        <f>IFERROR(L297*('Inputs Yr 2'!$Q297*'Inputs Yr 2'!$V297*'Inputs Yr 2'!$R297),"")</f>
        <v/>
      </c>
      <c r="N297" s="194" t="str">
        <f t="shared" si="144"/>
        <v/>
      </c>
      <c r="O297" s="194" t="str">
        <f>IFERROR(M297*'Inputs Yr 2'!P297,"")</f>
        <v/>
      </c>
      <c r="P297" s="194" t="str">
        <f t="shared" si="145"/>
        <v/>
      </c>
      <c r="Q297" s="194" t="str">
        <f>IFERROR($P297*'Inputs Yr 2'!AA297,"")</f>
        <v/>
      </c>
      <c r="R297" s="194" t="str">
        <f>IFERROR($P297*'Inputs Yr 2'!AB297,"")</f>
        <v/>
      </c>
      <c r="S297" s="194" t="str">
        <f>IFERROR($P297*'Inputs Yr 2'!AC297,"")</f>
        <v/>
      </c>
      <c r="T297" s="194" t="str">
        <f>IFERROR($P297*'Inputs Yr 2'!AD297,"")</f>
        <v/>
      </c>
      <c r="U297" s="194" t="str">
        <f>IFERROR(G297*'Inputs Yr 2'!$AE297*'Inputs Yr 2'!$P297*'Inputs Yr 2'!$Q297,"")</f>
        <v/>
      </c>
      <c r="V297" s="194" t="str">
        <f>IFERROR($G297*'Inputs Yr 2'!$AE297*'Inputs Yr 2'!$AG297*'Inputs Yr 2'!Q297*'Inputs Yr 2'!$S297,"")</f>
        <v/>
      </c>
      <c r="W297" s="194" t="str">
        <f>IFERROR($G297*'Inputs Yr 2'!$AE297*'Inputs Yr 2'!$AG297*'Inputs Yr 2'!P297*'Inputs Yr 2'!Q297*'Inputs Yr 2'!$S297,"")</f>
        <v/>
      </c>
      <c r="X297" s="194" t="str">
        <f>IFERROR($G297*'Inputs Yr 2'!$AE297*'Inputs Yr 2'!$AF297*'Inputs Yr 2'!Q297*'Inputs Yr 2'!$T297,"")</f>
        <v/>
      </c>
      <c r="Y297" s="194" t="str">
        <f>IFERROR($G297*'Inputs Yr 2'!$AE297*'Inputs Yr 2'!$AF297*'Inputs Yr 2'!P297*'Inputs Yr 2'!Q297*'Inputs Yr 2'!$T297,"")</f>
        <v/>
      </c>
      <c r="Z297" s="257">
        <f>IFERROR($G297*'Inputs Yr 2'!$Q297*'Inputs Yr 2'!$U297*(IF(IFERROR(SEARCH("NG", 'Inputs Yr 2'!$AJ297),0),'Inputs Yr 2'!$AK297,0)+IF(IFERROR(SEARCH("NG", 'Inputs Yr 2'!$AL297),0),'Inputs Yr 2'!$AM297,0)+IF(IFERROR(SEARCH("NG", 'Inputs Yr 2'!$AN297),0),'Inputs Yr 2'!$AO297,0)),0)</f>
        <v>0</v>
      </c>
      <c r="AA297" s="257">
        <f t="shared" si="146"/>
        <v>0</v>
      </c>
      <c r="AB297" s="257">
        <f>IFERROR(Z297*'Inputs Yr 2'!$P297,0)</f>
        <v>0</v>
      </c>
      <c r="AC297" s="257">
        <f t="shared" si="147"/>
        <v>0</v>
      </c>
      <c r="AD297" s="257">
        <f>IFERROR($G297*'Inputs Yr 2'!$Q297*'Inputs Yr 2'!$U297*(IF(IFERROR(SEARCH("Oil", 'Inputs Yr 2'!$AJ297), 0),'Inputs Yr 2'!$AK297,0)+IF(IFERROR(SEARCH("Oil", 'Inputs Yr 2'!$AL297), 0),'Inputs Yr 2'!$AM297,0)+IF(IFERROR(SEARCH("Oil", 'Inputs Yr 2'!$AN297), 0),'Inputs Yr 2'!$AO297,0)),0)</f>
        <v>0</v>
      </c>
      <c r="AE297" s="257">
        <f t="shared" si="148"/>
        <v>0</v>
      </c>
      <c r="AF297" s="257">
        <f>IFERROR(AD297*'Inputs Yr 2'!$P297,0)</f>
        <v>0</v>
      </c>
      <c r="AG297" s="257">
        <f t="shared" si="149"/>
        <v>0</v>
      </c>
      <c r="AH297" s="257">
        <f>IFERROR($G297*'Inputs Yr 2'!$Q297*'Inputs Yr 2'!$U297*(IF('Inputs Yr 2'!$AJ297=CD$4,'Inputs Yr 2'!$AK297,IF('Inputs Yr 2'!$AL297=CD$4,'Inputs Yr 2'!$AM297,IF('Inputs Yr 2'!$AN297=CD$4,'Inputs Yr 2'!$AO297,0)))),0)</f>
        <v>0</v>
      </c>
      <c r="AI297" s="257">
        <f t="shared" si="150"/>
        <v>0</v>
      </c>
      <c r="AJ297" s="257">
        <f>IFERROR(AH297*'Inputs Yr 2'!$P297,0)</f>
        <v>0</v>
      </c>
      <c r="AK297" s="257">
        <f t="shared" si="151"/>
        <v>0</v>
      </c>
      <c r="AL297" s="258">
        <f>IFERROR($G297*'Inputs Yr 2'!$P297*'Inputs Yr 2'!$Q297*'Inputs Yr 2'!AP297,0)</f>
        <v>0</v>
      </c>
      <c r="AM297" s="260">
        <f>IFERROR($G297*'Inputs Yr 2'!$P297*'Inputs Yr 2'!$Q297*'Inputs Yr 2'!AQ297,0)</f>
        <v>0</v>
      </c>
      <c r="AN297" s="258">
        <f>IFERROR($G297*'Inputs Yr 2'!$P297*'Inputs Yr 2'!$Q297*'Inputs Yr 2'!AR297,0)</f>
        <v>0</v>
      </c>
      <c r="AO297" s="257">
        <f t="shared" si="152"/>
        <v>0</v>
      </c>
      <c r="AP297" s="195" t="str">
        <f>IFERROR($CQ297*(INDEX(avoidedcosttbl2,$H297,AP$2)+(($H297-ROUNDDOWN($H297,0))*(INDEX(avoidedcosttbl2,ROUNDUP($H297,0),AP$2)-(INDEX(avoidedcosttbl2,ROUNDDOWN($H297,0),AP$2)))))*$O297*1000*'Inputs Yr 2'!AA297,"")</f>
        <v/>
      </c>
      <c r="AQ297" s="195" t="str">
        <f>IFERROR($CR297*(INDEX(avoidedcosttbl2,$H297,AQ$2)+(($H297-ROUNDDOWN($H297,0))*(INDEX(avoidedcosttbl2,ROUNDUP($H297,0),AQ$2)-(INDEX(avoidedcosttbl2,ROUNDDOWN($H297,0),AQ$2)))))*$O297*1000*'Inputs Yr 2'!AB297,"")</f>
        <v/>
      </c>
      <c r="AR297" s="195" t="str">
        <f>IFERROR($CS297*(INDEX(avoidedcosttbl2,$H297,AR$2)+(($H297-ROUNDDOWN($H297,0))*(INDEX(avoidedcosttbl2,ROUNDUP($H297,0),AR$2)-(INDEX(avoidedcosttbl2,ROUNDDOWN($H297,0),AR$2)))))*$O297*1000*'Inputs Yr 2'!AC297,"")</f>
        <v/>
      </c>
      <c r="AS297" s="195" t="str">
        <f>IFERROR($CT297*(INDEX(avoidedcosttbl2,$H297,AS$2)+(($H297-ROUNDDOWN($H297,0))*(INDEX(avoidedcosttbl2,ROUNDUP($H297,0),AS$2)-(INDEX(avoidedcosttbl2,ROUNDDOWN($H297,0),AS$2)))))*$O297*1000*'Inputs Yr 2'!AD297,"")</f>
        <v/>
      </c>
      <c r="AT297" s="196">
        <f t="shared" si="153"/>
        <v>0</v>
      </c>
      <c r="AU297" s="197" t="str">
        <f>IFERROR($CQ297*((INDEX(avoidedcosttbl2,$H297,AU$2))+(($H297-ROUNDDOWN($H297,0))*((INDEX(avoidedcosttbl2,ROUNDUP($H297,0),AU$2))-(INDEX(avoidedcosttbl2,ROUNDDOWN($H297,0),AU$2)))))*$O297*1000*'Inputs Yr 2'!AA297,"")</f>
        <v/>
      </c>
      <c r="AV297" s="197" t="str">
        <f>IFERROR($CR297*((INDEX(avoidedcosttbl2,$H297,AV$2))+(($H297-ROUNDDOWN($H297,0))*((INDEX(avoidedcosttbl2,ROUNDUP($H297,0),AV$2))-(INDEX(avoidedcosttbl2,ROUNDDOWN($H297,0),AV$2)))))*$O297*1000*'Inputs Yr 2'!AB297,"")</f>
        <v/>
      </c>
      <c r="AW297" s="197" t="str">
        <f>IFERROR($CS297*((INDEX(avoidedcosttbl2,$H297,AW$2))+(($H297-ROUNDDOWN($H297,0))*((INDEX(avoidedcosttbl2,ROUNDUP($H297,0),AW$2))-(INDEX(avoidedcosttbl2,ROUNDDOWN($H297,0),AW$2)))))*$O297*1000*'Inputs Yr 2'!AC297,"")</f>
        <v/>
      </c>
      <c r="AX297" s="197" t="str">
        <f>IFERROR($CT297*((INDEX(avoidedcosttbl2,$H297,AX$2))+(($H297-ROUNDDOWN($H297,0))*((INDEX(avoidedcosttbl2,ROUNDUP($H297,0),AX$2))-(INDEX(avoidedcosttbl2,ROUNDDOWN($H297,0),AX$2)))))*$O297*1000*'Inputs Yr 2'!AD297,"")</f>
        <v/>
      </c>
      <c r="AY297" s="197" t="str">
        <f>IFERROR(((INDEX(avoidedcosttbl2,$H297,AY$2))+(($H297-ROUNDDOWN($H297,0))*((INDEX(avoidedcosttbl2,ROUNDUP($H297,0),AY$2))-(INDEX(avoidedcosttbl2,ROUNDDOWN($H297,0),AY$2)))))*$O297*1000*('Inputs Yr 2'!AC297+'Inputs Yr 2'!AD297),"")</f>
        <v/>
      </c>
      <c r="AZ297" s="197" t="str">
        <f>IFERROR(((INDEX(avoidedcosttbl2,$H297,AZ$2))+(($H297-ROUNDDOWN($H297,0))*((INDEX(avoidedcosttbl2,ROUNDUP($H297,0),AZ$2))-(INDEX(avoidedcosttbl2,ROUNDDOWN($H297,0),AZ$2)))))*$O297*1000*('Inputs Yr 2'!AA297+'Inputs Yr 2'!AB297),"")</f>
        <v/>
      </c>
      <c r="BA297" s="198">
        <f t="shared" si="154"/>
        <v>0</v>
      </c>
      <c r="BB297" s="198">
        <f t="shared" si="155"/>
        <v>0</v>
      </c>
      <c r="BC297" s="195" t="str">
        <f t="shared" si="137"/>
        <v/>
      </c>
      <c r="BD297" s="195" t="str">
        <f t="shared" si="138"/>
        <v/>
      </c>
      <c r="BE297" s="195" t="str">
        <f t="shared" si="139"/>
        <v/>
      </c>
      <c r="BF297" s="195" t="str">
        <f t="shared" si="140"/>
        <v/>
      </c>
      <c r="BG297" s="195" t="str">
        <f t="shared" si="141"/>
        <v/>
      </c>
      <c r="BH297" s="196">
        <f t="shared" si="156"/>
        <v>0</v>
      </c>
      <c r="BI297" s="196">
        <f t="shared" si="157"/>
        <v>0</v>
      </c>
      <c r="BJ297" s="195" t="str">
        <f>IFERROR($G297*(IF('Inputs Yr 2'!$AJ297=BJ$4,'Inputs Yr 2'!$AK297,IF('Inputs Yr 2'!$AL297=BJ$4,'Inputs Yr 2'!$AM297,IF('Inputs Yr 2'!$AN297=BJ$4,'Inputs Yr 2'!$AO297,0))))*(INDEX(avoidedcosttbl2,$H297,BJ$2)+(($H297-ROUNDDOWN($H297,0))*(INDEX(avoidedcosttbl2,ROUNDUP($H297,0),BJ$2)-(INDEX(avoidedcosttbl2,ROUNDDOWN($H297,0),BJ$2)))))*'Inputs Yr 2'!P297*'Inputs Yr 2'!Q297*'Inputs Yr 2'!U297,"")</f>
        <v/>
      </c>
      <c r="BK297" s="195" t="str">
        <f>IFERROR($G297*(IF('Inputs Yr 2'!$AJ297=BK$4,'Inputs Yr 2'!$AK297,IF('Inputs Yr 2'!$AL297=BK$4,'Inputs Yr 2'!$AM297,IF('Inputs Yr 2'!$AN297=BK$4,'Inputs Yr 2'!$AO297,0))))*(INDEX(avoidedcosttbl2,$H297,BK$2)+(($H297-ROUNDDOWN($H297,0))*(INDEX(avoidedcosttbl2,ROUNDUP($H297,0),BK$2)-(INDEX(avoidedcosttbl2,ROUNDDOWN($H297,0),BK$2)))))*'Inputs Yr 2'!P297*'Inputs Yr 2'!Q297*'Inputs Yr 2'!U297,"")</f>
        <v/>
      </c>
      <c r="BL297" s="195" t="str">
        <f>IFERROR($G297*(IF('Inputs Yr 2'!$AJ297=BL$4,'Inputs Yr 2'!$AK297,IF('Inputs Yr 2'!$AL297=BL$4,'Inputs Yr 2'!$AM297,IF('Inputs Yr 2'!$AN297=BL$4,'Inputs Yr 2'!$AO297,0))))*(INDEX(avoidedcosttbl2,$H297,BL$2)+(($H297-ROUNDDOWN($H297,0))*(INDEX(avoidedcosttbl2,ROUNDUP($H297,0),BL$2)-(INDEX(avoidedcosttbl2,ROUNDDOWN($H297,0),BL$2)))))*'Inputs Yr 2'!P297*'Inputs Yr 2'!Q297*'Inputs Yr 2'!U297,"")</f>
        <v/>
      </c>
      <c r="BM297" s="195" t="str">
        <f>IFERROR($G297*(IF('Inputs Yr 2'!$AJ297=BM$4,'Inputs Yr 2'!$AK297,IF('Inputs Yr 2'!$AL297=BM$4,'Inputs Yr 2'!$AM297,IF('Inputs Yr 2'!$AN297=BM$4,'Inputs Yr 2'!$AO297,0))))*(INDEX(avoidedcosttbl2,$H297,BM$2)+(($H297-ROUNDDOWN($H297,0))*(INDEX(avoidedcosttbl2,ROUNDUP($H297,0),BM$2)-(INDEX(avoidedcosttbl2,ROUNDDOWN($H297,0),BM$2)))))*'Inputs Yr 2'!P297*'Inputs Yr 2'!Q297*'Inputs Yr 2'!U297,"")</f>
        <v/>
      </c>
      <c r="BN297" s="195" t="str">
        <f>IFERROR($G297*(IF('Inputs Yr 2'!$AJ297=BN$4,'Inputs Yr 2'!$AK297,IF('Inputs Yr 2'!$AL297=BN$4,'Inputs Yr 2'!$AM297,IF('Inputs Yr 2'!$AN297=BN$4,'Inputs Yr 2'!$AO297,0))))*(INDEX(avoidedcosttbl2,$H297,BN$2)+(($H297-ROUNDDOWN($H297,0))*(INDEX(avoidedcosttbl2,ROUNDUP($H297,0),BN$2)-(INDEX(avoidedcosttbl2,ROUNDDOWN($H297,0),BN$2)))))*'Inputs Yr 2'!P297*'Inputs Yr 2'!Q297*'Inputs Yr 2'!U297,"")</f>
        <v/>
      </c>
      <c r="BO297" s="195" t="str">
        <f>IFERROR($G297*(IF('Inputs Yr 2'!$AJ297=BO$4,'Inputs Yr 2'!$AK297,IF('Inputs Yr 2'!$AL297=BO$4,'Inputs Yr 2'!$AM297,IF('Inputs Yr 2'!$AN297=BO$4,'Inputs Yr 2'!$AO297,0))))*(INDEX(avoidedcosttbl2,$H297,BO$2)+(($H297-ROUNDDOWN($H297,0))*(INDEX(avoidedcosttbl2,ROUNDUP($H297,0),BO$2)-(INDEX(avoidedcosttbl2,ROUNDDOWN($H297,0),BO$2)))))*'Inputs Yr 2'!P297*'Inputs Yr 2'!Q297*'Inputs Yr 2'!U297,"")</f>
        <v/>
      </c>
      <c r="BP297" s="195" t="str">
        <f>IFERROR($G297*(IF('Inputs Yr 2'!$AJ297=BP$4,'Inputs Yr 2'!$AK297,IF('Inputs Yr 2'!$AL297=BP$4,'Inputs Yr 2'!$AM297,IF('Inputs Yr 2'!$AN297=BP$4,'Inputs Yr 2'!$AO297,0))))*(INDEX(avoidedcosttbl2,$H297,BP$2)+(($H297-ROUNDDOWN($H297,0))*(INDEX(avoidedcosttbl2,ROUNDUP($H297,0),BP$2)-(INDEX(avoidedcosttbl2,ROUNDDOWN($H297,0),BP$2)))))*'Inputs Yr 2'!P297*'Inputs Yr 2'!Q297*'Inputs Yr 2'!U297,"")</f>
        <v/>
      </c>
      <c r="BQ297" s="230">
        <f t="shared" si="158"/>
        <v>0</v>
      </c>
      <c r="BR297" s="197" t="str">
        <f t="shared" si="142"/>
        <v/>
      </c>
      <c r="BS297" s="197" t="str">
        <f>IFERROR(($G297*IF('Inputs Yr 2'!$AJ297=BM$4,'Inputs Yr 2'!$AK297,IF('Inputs Yr 2'!$AL297=BM$4,'Inputs Yr 2'!$AM297,IF('Inputs Yr 2'!$AN297=BM$4,'Inputs Yr 2'!$AO297,0))))*(INDEX(avoidedcosttbl2,$H297,BS$2)+(($H297-ROUNDDOWN($H297,0))*(INDEX(avoidedcosttbl2,ROUNDUP($H297,0),BS$2)-(INDEX(avoidedcosttbl2,ROUNDDOWN($H297,0),BS$2)))))*'Inputs Yr 2'!P297*'Inputs Yr 2'!Q297*'Inputs Yr 2'!U297,"")</f>
        <v/>
      </c>
      <c r="BT297" s="197" t="str">
        <f>IFERROR(($G297*IF('Inputs Yr 2'!$AJ297=BK$4,'Inputs Yr 2'!$AK297,IF('Inputs Yr 2'!$AL297=BK$4,'Inputs Yr 2'!$AM297,IF('Inputs Yr 2'!$AN297=BK$4,'Inputs Yr 2'!$AO297,0))))*(INDEX(avoidedcosttbl2,$H297,BT$2)+(($H297-ROUNDDOWN($H297,0))*(INDEX(avoidedcosttbl2,ROUNDUP($H297,0),BT$2)-(INDEX(avoidedcosttbl2,ROUNDDOWN($H297,0),BT$2)))))*'Inputs Yr 2'!P297*'Inputs Yr 2'!Q297*'Inputs Yr 2'!U297,"")</f>
        <v/>
      </c>
      <c r="BU297" s="197" t="str">
        <f>IFERROR(($G297*IF('Inputs Yr 2'!$AJ297=BL$4,'Inputs Yr 2'!$AK297,IF('Inputs Yr 2'!$AL297=BL$4,'Inputs Yr 2'!$AM297,IF('Inputs Yr 2'!$AN297=BL$4,'Inputs Yr 2'!$AO297,0))))*(INDEX(avoidedcosttbl2,$H297,BU$2)+(($H297-ROUNDDOWN($H297,0))*(INDEX(avoidedcosttbl2,ROUNDUP($H297,0),BU$2)-(INDEX(avoidedcosttbl2,ROUNDDOWN($H297,0),BU$2)))))*'Inputs Yr 2'!P297*'Inputs Yr 2'!Q297*'Inputs Yr 2'!U297,"")</f>
        <v/>
      </c>
      <c r="BV297" s="775" t="str">
        <f>IFERROR(($G297*IF('Inputs Yr 2'!$AJ297=BJ$4,'Inputs Yr 2'!$AK297,IF('Inputs Yr 2'!$AL297=BJ$4,'Inputs Yr 2'!$AM297,IF('Inputs Yr 2'!$AN297=BJ$4,'Inputs Yr 2'!$AO297,0))))*(INDEX(avoidedcosttbl2,$H297,BV$2)+(($H297-ROUNDDOWN($H297,0))*(INDEX(avoidedcosttbl2,ROUNDUP($H297,0),BV$2)-(INDEX(avoidedcosttbl2,ROUNDDOWN($H297,0),BV$2)))))*'Inputs Yr 2'!P297*'Inputs Yr 2'!Q297*'Inputs Yr 2'!U297,"")</f>
        <v/>
      </c>
      <c r="BW297" s="197" t="str">
        <f>IFERROR(($G297*IF('Inputs Yr 2'!$AJ297=BN$4,'Inputs Yr 2'!$AK297,IF('Inputs Yr 2'!$AL297=BN$4,'Inputs Yr 2'!$AM297,IF('Inputs Yr 2'!$AN297=BN$4,'Inputs Yr 2'!$AO297,0))))*(INDEX(avoidedcosttbl2,$H297,BW$2)+(($H297-ROUNDDOWN($H297,0))*(INDEX(avoidedcosttbl2,ROUNDUP($H297,0),BW$2)-(INDEX(avoidedcosttbl2,ROUNDDOWN($H297,0),BW$2)))))*'Inputs Yr 2'!P297*'Inputs Yr 2'!Q297*'Inputs Yr 2'!U297,"")</f>
        <v/>
      </c>
      <c r="BX297" s="197" t="str">
        <f>IFERROR(($G297*IF('Inputs Yr 2'!$AJ297=BO$4,'Inputs Yr 2'!$AK297,IF('Inputs Yr 2'!$AL297=BO$4,'Inputs Yr 2'!$AM297,IF('Inputs Yr 2'!$AN297=BO$4,'Inputs Yr 2'!$AO297,0))))*(INDEX(avoidedcosttbl2,$H297,BX$2)+(($H297-ROUNDDOWN($H297,0))*(INDEX(avoidedcosttbl2,ROUNDUP($H297,0),BX$2)-(INDEX(avoidedcosttbl2,ROUNDDOWN($H297,0),BX$2)))))*'Inputs Yr 2'!P297*'Inputs Yr 2'!Q297*'Inputs Yr 2'!U297,"")</f>
        <v/>
      </c>
      <c r="BY297" s="197" t="str">
        <f>IFERROR(($G297*IF('Inputs Yr 2'!$AJ297=BP$4,'Inputs Yr 2'!$AK297,IF('Inputs Yr 2'!$AL297=BP$4,'Inputs Yr 2'!$AM297,IF('Inputs Yr 2'!$AN297=BP$4,'Inputs Yr 2'!$AO297,0))))*(INDEX(avoidedcosttbl2,$H297,BY$2)+(($H297-ROUNDDOWN($H297,0))*(INDEX(avoidedcosttbl2,ROUNDUP($H297,0),BY$2)-(INDEX(avoidedcosttbl2,ROUNDDOWN($H297,0),BY$2)))))*'Inputs Yr 2'!P297*'Inputs Yr 2'!Q297*'Inputs Yr 2'!U297,"")</f>
        <v/>
      </c>
      <c r="BZ297" s="193">
        <f t="shared" si="159"/>
        <v>0</v>
      </c>
      <c r="CA297" s="193">
        <f t="shared" si="160"/>
        <v>0</v>
      </c>
      <c r="CB297" s="195" t="str">
        <f>IFERROR(G297*(IF('Inputs Yr 2'!$AJ297=CB$4,'Inputs Yr 2'!$AK297,IF('Inputs Yr 2'!$AL297=CB$4,'Inputs Yr 2'!$AM297,IF('Inputs Yr 2'!$AN297=CB$4,'Inputs Yr 2'!$AO297,0))))*(INDEX(avoidedcosttbl2,$H297,CB$2)+(($H297-ROUNDDOWN($H297,0))*(INDEX(avoidedcosttbl2,ROUNDUP($H297,0),CB$2)-(INDEX(avoidedcosttbl2,ROUNDDOWN($H297,0),CB$2)))))*'Inputs Yr 2'!P297*'Inputs Yr 2'!Q297*'Inputs Yr 2'!U297,"")</f>
        <v/>
      </c>
      <c r="CC297" s="195" t="str">
        <f>IFERROR(H297*(IF('Inputs Yr 2'!$AJ297=CC$4,'Inputs Yr 2'!$AK297,IF('Inputs Yr 2'!$AL297=CC$4,'Inputs Yr 2'!$AM297,IF('Inputs Yr 2'!$AN297=CC$4,'Inputs Yr 2'!$AO297,0))))*(INDEX(avoidedcosttbl2,$H297,CC$2)+(($H297-ROUNDDOWN($H297,0))*(INDEX(avoidedcosttbl2,ROUNDUP($H297,0),CC$2)-(INDEX(avoidedcosttbl2,ROUNDDOWN($H297,0),CC$2)))))*'Inputs Yr 2'!Q297*'Inputs Yr 2'!R297*'Inputs Yr 2'!V297,"")</f>
        <v/>
      </c>
      <c r="CD297" s="195" t="str">
        <f>IFERROR(I297*(IF('Inputs Yr 2'!$AJ297=CD$4,'Inputs Yr 2'!$AK297,IF('Inputs Yr 2'!$AL297=CD$4,'Inputs Yr 2'!$AM297,IF('Inputs Yr 2'!$AN297=CD$4,'Inputs Yr 2'!$AO297,0))))*(INDEX(avoidedcosttbl2,$H297,CD$2)+(($H297-ROUNDDOWN($H297,0))*(INDEX(avoidedcosttbl2,ROUNDUP($H297,0),CD$2)-(INDEX(avoidedcosttbl2,ROUNDDOWN($H297,0),CD$2)))))*'Inputs Yr 2'!R297*'Inputs Yr 2'!S297*'Inputs Yr 2'!W297,"")</f>
        <v/>
      </c>
      <c r="CE297" s="213" t="str">
        <f t="shared" si="161"/>
        <v/>
      </c>
      <c r="CF297" s="213" t="str">
        <f t="shared" si="162"/>
        <v/>
      </c>
      <c r="CG297" s="213" t="str">
        <f t="shared" si="163"/>
        <v/>
      </c>
      <c r="CH297" s="698">
        <f t="shared" si="164"/>
        <v>0</v>
      </c>
      <c r="CI297" s="79" t="str">
        <f>IFERROR(($G297*'Inputs Yr 2'!$P297*'Inputs Yr 2'!$Q297*(((INDEX(avoidedcosttbl2,$H297,CI$2)+(($H297-ROUNDDOWN($H297,0))*(INDEX(avoidedcosttbl2,ROUNDUP($H297,0),CI$2)-INDEX(avoidedcosttbl2,ROUNDDOWN($H297,0),CI$2))))*'Inputs Yr 2'!AS297))),"")</f>
        <v/>
      </c>
      <c r="CJ297" s="504" t="str">
        <f>IFERROR($G297*'Inputs Yr 2'!AT297*'Inputs Yr 2'!$P297*'Inputs Yr 2'!$Q297/((1+realdiscrt1)^-0.5),"")</f>
        <v/>
      </c>
      <c r="CK297" s="79" t="str">
        <f>IFERROR((O297*1000*(((INDEX(avoidedcosttbl2,$H297,CK$2)+(($H297-ROUNDDOWN($H297,0))*(INDEX(avoidedcosttbl2,ROUNDUP($H297,0),CK$2)-INDEX(avoidedcosttbl2,ROUNDDOWN($H297,0),CK$2))))*'Inputs Yr 2'!AU297))),"")</f>
        <v/>
      </c>
      <c r="CL297" s="504" t="str">
        <f>IFERROR(O297*1000*'Inputs Yr 2'!AV297/((1+realdiscrt1)^-0.5),"")</f>
        <v/>
      </c>
      <c r="CM297" s="79" t="str">
        <f>IFERROR((AB297*'Inputs Yr 2'!AW297*(((INDEX(avoidedcosttbl2,$H297,CM$2)+(($H297-ROUNDDOWN($H297,0))*(INDEX(avoidedcosttbl2,ROUNDUP($H297,0),CM$2)-INDEX(avoidedcosttbl2,ROUNDDOWN($H297,0),CM$2)))))))*10,"")</f>
        <v/>
      </c>
      <c r="CN297" s="504">
        <f>IFERROR(10*AB297*'Inputs Yr 2'!AX297/((1+realdiscrt1)^-0.5),"")</f>
        <v>0</v>
      </c>
      <c r="CO297" s="505">
        <f t="shared" si="165"/>
        <v>0</v>
      </c>
      <c r="CP297" s="230">
        <f t="shared" si="166"/>
        <v>0</v>
      </c>
      <c r="CQ297" s="199">
        <f>ROUND(IFERROR(IF(LEFT($A297,1)="C",'Avoided Costs'!$K$13,'Avoided Costs'!$K$12)+1,""),4)</f>
        <v>1.0720000000000001</v>
      </c>
      <c r="CR297" s="199">
        <f>ROUND(IFERROR(IF(LEFT($A297,1)="C",'Avoided Costs'!$L$13,'Avoided Costs'!$L$12)+1,""),4)</f>
        <v>1.04</v>
      </c>
      <c r="CS297" s="199">
        <f>ROUND(IFERROR(IF(LEFT($A297,1)="C",'Avoided Costs'!$M$13,'Avoided Costs'!$M$12)+1,""),4)</f>
        <v>1.0720000000000001</v>
      </c>
      <c r="CT297" s="199">
        <f>ROUND(IFERROR(IF(LEFT($A297,1)="C",'Avoided Costs'!$N$13,'Avoided Costs'!$N$12)+1,""),4)</f>
        <v>1.04</v>
      </c>
      <c r="CU297" s="199">
        <f>ROUND(IFERROR(IF(LEFT($A297,1)="C",'Avoided Costs'!$O$13,'Avoided Costs'!$O$12)+1,""),4)</f>
        <v>1.1120000000000001</v>
      </c>
      <c r="CV297" s="199">
        <f>ROUND(IFERROR(IF(LEFT($A297,1)="C",'Avoided Costs'!$P$13,'Avoided Costs'!$P$12)+1,""),4)</f>
        <v>1.095</v>
      </c>
      <c r="CW297" s="199">
        <f>ROUND(IFERROR(IF(LEFT($A297,1)="C",'Avoided Costs'!$Q$13,'Avoided Costs'!$Q$12)+1,""),4)</f>
        <v>1.1120000000000001</v>
      </c>
      <c r="CX297" s="200">
        <f>ROUND(IFERROR(IF(LEFT($A297,1)="C",'Avoided Costs'!$R$13,'Avoided Costs'!$R$12)+1,""),4)</f>
        <v>1.1120000000000001</v>
      </c>
    </row>
    <row r="298" spans="1:102" ht="12.75" customHeight="1">
      <c r="A298" s="91" t="str">
        <f>IF('Inputs Yr 2'!$B298=0,"",'Inputs Yr 2'!A298)</f>
        <v>C - Commercial &amp; Industrial</v>
      </c>
      <c r="B298" s="91" t="str">
        <f>IF('Inputs Yr 2'!$B298=0,"",'Inputs Yr 2'!B298)</f>
        <v>C2 - C&amp;I Retrofit</v>
      </c>
      <c r="C298" s="91" t="str">
        <f>IF('Inputs Yr 2'!$B298=0,"",'Inputs Yr 2'!C298)</f>
        <v>C2b - C&amp;I Small Business</v>
      </c>
      <c r="D298" s="91" t="str">
        <f>IF('Inputs Yr 2'!$B298=0,"",'Inputs Yr 2'!E298)</f>
        <v>Food Services - Prescriptive</v>
      </c>
      <c r="E298" s="93" t="str">
        <f>IF('Inputs Yr 2'!$B298=0,"",'Inputs Yr 2'!F298)</f>
        <v>G16C2b03</v>
      </c>
      <c r="F298" s="93" t="str">
        <f>IF('Inputs Yr 2'!$B298=0,"",'Inputs Yr 2'!G298)</f>
        <v>Food Service</v>
      </c>
      <c r="G298" s="95" t="str">
        <f>IF('Inputs Yr 2'!$H298&lt;&gt;0,('Inputs Yr 2'!H298),"")</f>
        <v/>
      </c>
      <c r="H298" s="94">
        <f>IFERROR('Inputs Yr 2'!I298,"")</f>
        <v>0</v>
      </c>
      <c r="I298" s="298" t="str">
        <f>IFERROR('Inputs Yr 2'!J298*'Inputs Yr 2'!P298*G298,"")</f>
        <v/>
      </c>
      <c r="J298" s="298" t="str">
        <f>IFERROR('Inputs Yr 2'!K298*G298,"")</f>
        <v/>
      </c>
      <c r="K298" s="298" t="str">
        <f t="shared" si="143"/>
        <v/>
      </c>
      <c r="L298" s="194" t="str">
        <f>IFERROR(('Inputs Yr 2'!W298*G298)/1000,"")</f>
        <v/>
      </c>
      <c r="M298" s="194" t="str">
        <f>IFERROR(L298*('Inputs Yr 2'!$Q298*'Inputs Yr 2'!$V298*'Inputs Yr 2'!$R298),"")</f>
        <v/>
      </c>
      <c r="N298" s="194" t="str">
        <f t="shared" si="144"/>
        <v/>
      </c>
      <c r="O298" s="194" t="str">
        <f>IFERROR(M298*'Inputs Yr 2'!P298,"")</f>
        <v/>
      </c>
      <c r="P298" s="194" t="str">
        <f t="shared" si="145"/>
        <v/>
      </c>
      <c r="Q298" s="194" t="str">
        <f>IFERROR($P298*'Inputs Yr 2'!AA298,"")</f>
        <v/>
      </c>
      <c r="R298" s="194" t="str">
        <f>IFERROR($P298*'Inputs Yr 2'!AB298,"")</f>
        <v/>
      </c>
      <c r="S298" s="194" t="str">
        <f>IFERROR($P298*'Inputs Yr 2'!AC298,"")</f>
        <v/>
      </c>
      <c r="T298" s="194" t="str">
        <f>IFERROR($P298*'Inputs Yr 2'!AD298,"")</f>
        <v/>
      </c>
      <c r="U298" s="194" t="str">
        <f>IFERROR(G298*'Inputs Yr 2'!$AE298*'Inputs Yr 2'!$P298*'Inputs Yr 2'!$Q298,"")</f>
        <v/>
      </c>
      <c r="V298" s="194" t="str">
        <f>IFERROR($G298*'Inputs Yr 2'!$AE298*'Inputs Yr 2'!$AG298*'Inputs Yr 2'!Q298*'Inputs Yr 2'!$S298,"")</f>
        <v/>
      </c>
      <c r="W298" s="194" t="str">
        <f>IFERROR($G298*'Inputs Yr 2'!$AE298*'Inputs Yr 2'!$AG298*'Inputs Yr 2'!P298*'Inputs Yr 2'!Q298*'Inputs Yr 2'!$S298,"")</f>
        <v/>
      </c>
      <c r="X298" s="194" t="str">
        <f>IFERROR($G298*'Inputs Yr 2'!$AE298*'Inputs Yr 2'!$AF298*'Inputs Yr 2'!Q298*'Inputs Yr 2'!$T298,"")</f>
        <v/>
      </c>
      <c r="Y298" s="194" t="str">
        <f>IFERROR($G298*'Inputs Yr 2'!$AE298*'Inputs Yr 2'!$AF298*'Inputs Yr 2'!P298*'Inputs Yr 2'!Q298*'Inputs Yr 2'!$T298,"")</f>
        <v/>
      </c>
      <c r="Z298" s="257">
        <f>IFERROR($G298*'Inputs Yr 2'!$Q298*'Inputs Yr 2'!$U298*(IF(IFERROR(SEARCH("NG", 'Inputs Yr 2'!$AJ298),0),'Inputs Yr 2'!$AK298,0)+IF(IFERROR(SEARCH("NG", 'Inputs Yr 2'!$AL298),0),'Inputs Yr 2'!$AM298,0)+IF(IFERROR(SEARCH("NG", 'Inputs Yr 2'!$AN298),0),'Inputs Yr 2'!$AO298,0)),0)</f>
        <v>0</v>
      </c>
      <c r="AA298" s="257">
        <f t="shared" si="146"/>
        <v>0</v>
      </c>
      <c r="AB298" s="257">
        <f>IFERROR(Z298*'Inputs Yr 2'!$P298,0)</f>
        <v>0</v>
      </c>
      <c r="AC298" s="257">
        <f t="shared" si="147"/>
        <v>0</v>
      </c>
      <c r="AD298" s="257">
        <f>IFERROR($G298*'Inputs Yr 2'!$Q298*'Inputs Yr 2'!$U298*(IF(IFERROR(SEARCH("Oil", 'Inputs Yr 2'!$AJ298), 0),'Inputs Yr 2'!$AK298,0)+IF(IFERROR(SEARCH("Oil", 'Inputs Yr 2'!$AL298), 0),'Inputs Yr 2'!$AM298,0)+IF(IFERROR(SEARCH("Oil", 'Inputs Yr 2'!$AN298), 0),'Inputs Yr 2'!$AO298,0)),0)</f>
        <v>0</v>
      </c>
      <c r="AE298" s="257">
        <f t="shared" si="148"/>
        <v>0</v>
      </c>
      <c r="AF298" s="257">
        <f>IFERROR(AD298*'Inputs Yr 2'!$P298,0)</f>
        <v>0</v>
      </c>
      <c r="AG298" s="257">
        <f t="shared" si="149"/>
        <v>0</v>
      </c>
      <c r="AH298" s="257">
        <f>IFERROR($G298*'Inputs Yr 2'!$Q298*'Inputs Yr 2'!$U298*(IF('Inputs Yr 2'!$AJ298=CD$4,'Inputs Yr 2'!$AK298,IF('Inputs Yr 2'!$AL298=CD$4,'Inputs Yr 2'!$AM298,IF('Inputs Yr 2'!$AN298=CD$4,'Inputs Yr 2'!$AO298,0)))),0)</f>
        <v>0</v>
      </c>
      <c r="AI298" s="257">
        <f t="shared" si="150"/>
        <v>0</v>
      </c>
      <c r="AJ298" s="257">
        <f>IFERROR(AH298*'Inputs Yr 2'!$P298,0)</f>
        <v>0</v>
      </c>
      <c r="AK298" s="257">
        <f t="shared" si="151"/>
        <v>0</v>
      </c>
      <c r="AL298" s="258">
        <f>IFERROR($G298*'Inputs Yr 2'!$P298*'Inputs Yr 2'!$Q298*'Inputs Yr 2'!AP298,0)</f>
        <v>0</v>
      </c>
      <c r="AM298" s="260">
        <f>IFERROR($G298*'Inputs Yr 2'!$P298*'Inputs Yr 2'!$Q298*'Inputs Yr 2'!AQ298,0)</f>
        <v>0</v>
      </c>
      <c r="AN298" s="258">
        <f>IFERROR($G298*'Inputs Yr 2'!$P298*'Inputs Yr 2'!$Q298*'Inputs Yr 2'!AR298,0)</f>
        <v>0</v>
      </c>
      <c r="AO298" s="257">
        <f t="shared" si="152"/>
        <v>0</v>
      </c>
      <c r="AP298" s="195" t="str">
        <f>IFERROR($CQ298*(INDEX(avoidedcosttbl2,$H298,AP$2)+(($H298-ROUNDDOWN($H298,0))*(INDEX(avoidedcosttbl2,ROUNDUP($H298,0),AP$2)-(INDEX(avoidedcosttbl2,ROUNDDOWN($H298,0),AP$2)))))*$O298*1000*'Inputs Yr 2'!AA298,"")</f>
        <v/>
      </c>
      <c r="AQ298" s="195" t="str">
        <f>IFERROR($CR298*(INDEX(avoidedcosttbl2,$H298,AQ$2)+(($H298-ROUNDDOWN($H298,0))*(INDEX(avoidedcosttbl2,ROUNDUP($H298,0),AQ$2)-(INDEX(avoidedcosttbl2,ROUNDDOWN($H298,0),AQ$2)))))*$O298*1000*'Inputs Yr 2'!AB298,"")</f>
        <v/>
      </c>
      <c r="AR298" s="195" t="str">
        <f>IFERROR($CS298*(INDEX(avoidedcosttbl2,$H298,AR$2)+(($H298-ROUNDDOWN($H298,0))*(INDEX(avoidedcosttbl2,ROUNDUP($H298,0),AR$2)-(INDEX(avoidedcosttbl2,ROUNDDOWN($H298,0),AR$2)))))*$O298*1000*'Inputs Yr 2'!AC298,"")</f>
        <v/>
      </c>
      <c r="AS298" s="195" t="str">
        <f>IFERROR($CT298*(INDEX(avoidedcosttbl2,$H298,AS$2)+(($H298-ROUNDDOWN($H298,0))*(INDEX(avoidedcosttbl2,ROUNDUP($H298,0),AS$2)-(INDEX(avoidedcosttbl2,ROUNDDOWN($H298,0),AS$2)))))*$O298*1000*'Inputs Yr 2'!AD298,"")</f>
        <v/>
      </c>
      <c r="AT298" s="196">
        <f t="shared" si="153"/>
        <v>0</v>
      </c>
      <c r="AU298" s="197" t="str">
        <f>IFERROR($CQ298*((INDEX(avoidedcosttbl2,$H298,AU$2))+(($H298-ROUNDDOWN($H298,0))*((INDEX(avoidedcosttbl2,ROUNDUP($H298,0),AU$2))-(INDEX(avoidedcosttbl2,ROUNDDOWN($H298,0),AU$2)))))*$O298*1000*'Inputs Yr 2'!AA298,"")</f>
        <v/>
      </c>
      <c r="AV298" s="197" t="str">
        <f>IFERROR($CR298*((INDEX(avoidedcosttbl2,$H298,AV$2))+(($H298-ROUNDDOWN($H298,0))*((INDEX(avoidedcosttbl2,ROUNDUP($H298,0),AV$2))-(INDEX(avoidedcosttbl2,ROUNDDOWN($H298,0),AV$2)))))*$O298*1000*'Inputs Yr 2'!AB298,"")</f>
        <v/>
      </c>
      <c r="AW298" s="197" t="str">
        <f>IFERROR($CS298*((INDEX(avoidedcosttbl2,$H298,AW$2))+(($H298-ROUNDDOWN($H298,0))*((INDEX(avoidedcosttbl2,ROUNDUP($H298,0),AW$2))-(INDEX(avoidedcosttbl2,ROUNDDOWN($H298,0),AW$2)))))*$O298*1000*'Inputs Yr 2'!AC298,"")</f>
        <v/>
      </c>
      <c r="AX298" s="197" t="str">
        <f>IFERROR($CT298*((INDEX(avoidedcosttbl2,$H298,AX$2))+(($H298-ROUNDDOWN($H298,0))*((INDEX(avoidedcosttbl2,ROUNDUP($H298,0),AX$2))-(INDEX(avoidedcosttbl2,ROUNDDOWN($H298,0),AX$2)))))*$O298*1000*'Inputs Yr 2'!AD298,"")</f>
        <v/>
      </c>
      <c r="AY298" s="197" t="str">
        <f>IFERROR(((INDEX(avoidedcosttbl2,$H298,AY$2))+(($H298-ROUNDDOWN($H298,0))*((INDEX(avoidedcosttbl2,ROUNDUP($H298,0),AY$2))-(INDEX(avoidedcosttbl2,ROUNDDOWN($H298,0),AY$2)))))*$O298*1000*('Inputs Yr 2'!AC298+'Inputs Yr 2'!AD298),"")</f>
        <v/>
      </c>
      <c r="AZ298" s="197" t="str">
        <f>IFERROR(((INDEX(avoidedcosttbl2,$H298,AZ$2))+(($H298-ROUNDDOWN($H298,0))*((INDEX(avoidedcosttbl2,ROUNDUP($H298,0),AZ$2))-(INDEX(avoidedcosttbl2,ROUNDDOWN($H298,0),AZ$2)))))*$O298*1000*('Inputs Yr 2'!AA298+'Inputs Yr 2'!AB298),"")</f>
        <v/>
      </c>
      <c r="BA298" s="198">
        <f t="shared" si="154"/>
        <v>0</v>
      </c>
      <c r="BB298" s="198">
        <f t="shared" si="155"/>
        <v>0</v>
      </c>
      <c r="BC298" s="195" t="str">
        <f t="shared" si="137"/>
        <v/>
      </c>
      <c r="BD298" s="195" t="str">
        <f t="shared" si="138"/>
        <v/>
      </c>
      <c r="BE298" s="195" t="str">
        <f t="shared" si="139"/>
        <v/>
      </c>
      <c r="BF298" s="195" t="str">
        <f t="shared" si="140"/>
        <v/>
      </c>
      <c r="BG298" s="195" t="str">
        <f t="shared" si="141"/>
        <v/>
      </c>
      <c r="BH298" s="196">
        <f t="shared" si="156"/>
        <v>0</v>
      </c>
      <c r="BI298" s="196">
        <f t="shared" si="157"/>
        <v>0</v>
      </c>
      <c r="BJ298" s="195" t="str">
        <f>IFERROR($G298*(IF('Inputs Yr 2'!$AJ298=BJ$4,'Inputs Yr 2'!$AK298,IF('Inputs Yr 2'!$AL298=BJ$4,'Inputs Yr 2'!$AM298,IF('Inputs Yr 2'!$AN298=BJ$4,'Inputs Yr 2'!$AO298,0))))*(INDEX(avoidedcosttbl2,$H298,BJ$2)+(($H298-ROUNDDOWN($H298,0))*(INDEX(avoidedcosttbl2,ROUNDUP($H298,0),BJ$2)-(INDEX(avoidedcosttbl2,ROUNDDOWN($H298,0),BJ$2)))))*'Inputs Yr 2'!P298*'Inputs Yr 2'!Q298*'Inputs Yr 2'!U298,"")</f>
        <v/>
      </c>
      <c r="BK298" s="195" t="str">
        <f>IFERROR($G298*(IF('Inputs Yr 2'!$AJ298=BK$4,'Inputs Yr 2'!$AK298,IF('Inputs Yr 2'!$AL298=BK$4,'Inputs Yr 2'!$AM298,IF('Inputs Yr 2'!$AN298=BK$4,'Inputs Yr 2'!$AO298,0))))*(INDEX(avoidedcosttbl2,$H298,BK$2)+(($H298-ROUNDDOWN($H298,0))*(INDEX(avoidedcosttbl2,ROUNDUP($H298,0),BK$2)-(INDEX(avoidedcosttbl2,ROUNDDOWN($H298,0),BK$2)))))*'Inputs Yr 2'!P298*'Inputs Yr 2'!Q298*'Inputs Yr 2'!U298,"")</f>
        <v/>
      </c>
      <c r="BL298" s="195" t="str">
        <f>IFERROR($G298*(IF('Inputs Yr 2'!$AJ298=BL$4,'Inputs Yr 2'!$AK298,IF('Inputs Yr 2'!$AL298=BL$4,'Inputs Yr 2'!$AM298,IF('Inputs Yr 2'!$AN298=BL$4,'Inputs Yr 2'!$AO298,0))))*(INDEX(avoidedcosttbl2,$H298,BL$2)+(($H298-ROUNDDOWN($H298,0))*(INDEX(avoidedcosttbl2,ROUNDUP($H298,0),BL$2)-(INDEX(avoidedcosttbl2,ROUNDDOWN($H298,0),BL$2)))))*'Inputs Yr 2'!P298*'Inputs Yr 2'!Q298*'Inputs Yr 2'!U298,"")</f>
        <v/>
      </c>
      <c r="BM298" s="195" t="str">
        <f>IFERROR($G298*(IF('Inputs Yr 2'!$AJ298=BM$4,'Inputs Yr 2'!$AK298,IF('Inputs Yr 2'!$AL298=BM$4,'Inputs Yr 2'!$AM298,IF('Inputs Yr 2'!$AN298=BM$4,'Inputs Yr 2'!$AO298,0))))*(INDEX(avoidedcosttbl2,$H298,BM$2)+(($H298-ROUNDDOWN($H298,0))*(INDEX(avoidedcosttbl2,ROUNDUP($H298,0),BM$2)-(INDEX(avoidedcosttbl2,ROUNDDOWN($H298,0),BM$2)))))*'Inputs Yr 2'!P298*'Inputs Yr 2'!Q298*'Inputs Yr 2'!U298,"")</f>
        <v/>
      </c>
      <c r="BN298" s="195" t="str">
        <f>IFERROR($G298*(IF('Inputs Yr 2'!$AJ298=BN$4,'Inputs Yr 2'!$AK298,IF('Inputs Yr 2'!$AL298=BN$4,'Inputs Yr 2'!$AM298,IF('Inputs Yr 2'!$AN298=BN$4,'Inputs Yr 2'!$AO298,0))))*(INDEX(avoidedcosttbl2,$H298,BN$2)+(($H298-ROUNDDOWN($H298,0))*(INDEX(avoidedcosttbl2,ROUNDUP($H298,0),BN$2)-(INDEX(avoidedcosttbl2,ROUNDDOWN($H298,0),BN$2)))))*'Inputs Yr 2'!P298*'Inputs Yr 2'!Q298*'Inputs Yr 2'!U298,"")</f>
        <v/>
      </c>
      <c r="BO298" s="195" t="str">
        <f>IFERROR($G298*(IF('Inputs Yr 2'!$AJ298=BO$4,'Inputs Yr 2'!$AK298,IF('Inputs Yr 2'!$AL298=BO$4,'Inputs Yr 2'!$AM298,IF('Inputs Yr 2'!$AN298=BO$4,'Inputs Yr 2'!$AO298,0))))*(INDEX(avoidedcosttbl2,$H298,BO$2)+(($H298-ROUNDDOWN($H298,0))*(INDEX(avoidedcosttbl2,ROUNDUP($H298,0),BO$2)-(INDEX(avoidedcosttbl2,ROUNDDOWN($H298,0),BO$2)))))*'Inputs Yr 2'!P298*'Inputs Yr 2'!Q298*'Inputs Yr 2'!U298,"")</f>
        <v/>
      </c>
      <c r="BP298" s="195" t="str">
        <f>IFERROR($G298*(IF('Inputs Yr 2'!$AJ298=BP$4,'Inputs Yr 2'!$AK298,IF('Inputs Yr 2'!$AL298=BP$4,'Inputs Yr 2'!$AM298,IF('Inputs Yr 2'!$AN298=BP$4,'Inputs Yr 2'!$AO298,0))))*(INDEX(avoidedcosttbl2,$H298,BP$2)+(($H298-ROUNDDOWN($H298,0))*(INDEX(avoidedcosttbl2,ROUNDUP($H298,0),BP$2)-(INDEX(avoidedcosttbl2,ROUNDDOWN($H298,0),BP$2)))))*'Inputs Yr 2'!P298*'Inputs Yr 2'!Q298*'Inputs Yr 2'!U298,"")</f>
        <v/>
      </c>
      <c r="BQ298" s="230">
        <f t="shared" si="158"/>
        <v>0</v>
      </c>
      <c r="BR298" s="197" t="str">
        <f t="shared" si="142"/>
        <v/>
      </c>
      <c r="BS298" s="197" t="str">
        <f>IFERROR(($G298*IF('Inputs Yr 2'!$AJ298=BM$4,'Inputs Yr 2'!$AK298,IF('Inputs Yr 2'!$AL298=BM$4,'Inputs Yr 2'!$AM298,IF('Inputs Yr 2'!$AN298=BM$4,'Inputs Yr 2'!$AO298,0))))*(INDEX(avoidedcosttbl2,$H298,BS$2)+(($H298-ROUNDDOWN($H298,0))*(INDEX(avoidedcosttbl2,ROUNDUP($H298,0),BS$2)-(INDEX(avoidedcosttbl2,ROUNDDOWN($H298,0),BS$2)))))*'Inputs Yr 2'!P298*'Inputs Yr 2'!Q298*'Inputs Yr 2'!U298,"")</f>
        <v/>
      </c>
      <c r="BT298" s="197" t="str">
        <f>IFERROR(($G298*IF('Inputs Yr 2'!$AJ298=BK$4,'Inputs Yr 2'!$AK298,IF('Inputs Yr 2'!$AL298=BK$4,'Inputs Yr 2'!$AM298,IF('Inputs Yr 2'!$AN298=BK$4,'Inputs Yr 2'!$AO298,0))))*(INDEX(avoidedcosttbl2,$H298,BT$2)+(($H298-ROUNDDOWN($H298,0))*(INDEX(avoidedcosttbl2,ROUNDUP($H298,0),BT$2)-(INDEX(avoidedcosttbl2,ROUNDDOWN($H298,0),BT$2)))))*'Inputs Yr 2'!P298*'Inputs Yr 2'!Q298*'Inputs Yr 2'!U298,"")</f>
        <v/>
      </c>
      <c r="BU298" s="197" t="str">
        <f>IFERROR(($G298*IF('Inputs Yr 2'!$AJ298=BL$4,'Inputs Yr 2'!$AK298,IF('Inputs Yr 2'!$AL298=BL$4,'Inputs Yr 2'!$AM298,IF('Inputs Yr 2'!$AN298=BL$4,'Inputs Yr 2'!$AO298,0))))*(INDEX(avoidedcosttbl2,$H298,BU$2)+(($H298-ROUNDDOWN($H298,0))*(INDEX(avoidedcosttbl2,ROUNDUP($H298,0),BU$2)-(INDEX(avoidedcosttbl2,ROUNDDOWN($H298,0),BU$2)))))*'Inputs Yr 2'!P298*'Inputs Yr 2'!Q298*'Inputs Yr 2'!U298,"")</f>
        <v/>
      </c>
      <c r="BV298" s="775" t="str">
        <f>IFERROR(($G298*IF('Inputs Yr 2'!$AJ298=BJ$4,'Inputs Yr 2'!$AK298,IF('Inputs Yr 2'!$AL298=BJ$4,'Inputs Yr 2'!$AM298,IF('Inputs Yr 2'!$AN298=BJ$4,'Inputs Yr 2'!$AO298,0))))*(INDEX(avoidedcosttbl2,$H298,BV$2)+(($H298-ROUNDDOWN($H298,0))*(INDEX(avoidedcosttbl2,ROUNDUP($H298,0),BV$2)-(INDEX(avoidedcosttbl2,ROUNDDOWN($H298,0),BV$2)))))*'Inputs Yr 2'!P298*'Inputs Yr 2'!Q298*'Inputs Yr 2'!U298,"")</f>
        <v/>
      </c>
      <c r="BW298" s="197" t="str">
        <f>IFERROR(($G298*IF('Inputs Yr 2'!$AJ298=BN$4,'Inputs Yr 2'!$AK298,IF('Inputs Yr 2'!$AL298=BN$4,'Inputs Yr 2'!$AM298,IF('Inputs Yr 2'!$AN298=BN$4,'Inputs Yr 2'!$AO298,0))))*(INDEX(avoidedcosttbl2,$H298,BW$2)+(($H298-ROUNDDOWN($H298,0))*(INDEX(avoidedcosttbl2,ROUNDUP($H298,0),BW$2)-(INDEX(avoidedcosttbl2,ROUNDDOWN($H298,0),BW$2)))))*'Inputs Yr 2'!P298*'Inputs Yr 2'!Q298*'Inputs Yr 2'!U298,"")</f>
        <v/>
      </c>
      <c r="BX298" s="197" t="str">
        <f>IFERROR(($G298*IF('Inputs Yr 2'!$AJ298=BO$4,'Inputs Yr 2'!$AK298,IF('Inputs Yr 2'!$AL298=BO$4,'Inputs Yr 2'!$AM298,IF('Inputs Yr 2'!$AN298=BO$4,'Inputs Yr 2'!$AO298,0))))*(INDEX(avoidedcosttbl2,$H298,BX$2)+(($H298-ROUNDDOWN($H298,0))*(INDEX(avoidedcosttbl2,ROUNDUP($H298,0),BX$2)-(INDEX(avoidedcosttbl2,ROUNDDOWN($H298,0),BX$2)))))*'Inputs Yr 2'!P298*'Inputs Yr 2'!Q298*'Inputs Yr 2'!U298,"")</f>
        <v/>
      </c>
      <c r="BY298" s="197" t="str">
        <f>IFERROR(($G298*IF('Inputs Yr 2'!$AJ298=BP$4,'Inputs Yr 2'!$AK298,IF('Inputs Yr 2'!$AL298=BP$4,'Inputs Yr 2'!$AM298,IF('Inputs Yr 2'!$AN298=BP$4,'Inputs Yr 2'!$AO298,0))))*(INDEX(avoidedcosttbl2,$H298,BY$2)+(($H298-ROUNDDOWN($H298,0))*(INDEX(avoidedcosttbl2,ROUNDUP($H298,0),BY$2)-(INDEX(avoidedcosttbl2,ROUNDDOWN($H298,0),BY$2)))))*'Inputs Yr 2'!P298*'Inputs Yr 2'!Q298*'Inputs Yr 2'!U298,"")</f>
        <v/>
      </c>
      <c r="BZ298" s="193">
        <f t="shared" si="159"/>
        <v>0</v>
      </c>
      <c r="CA298" s="193">
        <f t="shared" si="160"/>
        <v>0</v>
      </c>
      <c r="CB298" s="195" t="str">
        <f>IFERROR(G298*(IF('Inputs Yr 2'!$AJ298=CB$4,'Inputs Yr 2'!$AK298,IF('Inputs Yr 2'!$AL298=CB$4,'Inputs Yr 2'!$AM298,IF('Inputs Yr 2'!$AN298=CB$4,'Inputs Yr 2'!$AO298,0))))*(INDEX(avoidedcosttbl2,$H298,CB$2)+(($H298-ROUNDDOWN($H298,0))*(INDEX(avoidedcosttbl2,ROUNDUP($H298,0),CB$2)-(INDEX(avoidedcosttbl2,ROUNDDOWN($H298,0),CB$2)))))*'Inputs Yr 2'!P298*'Inputs Yr 2'!Q298*'Inputs Yr 2'!U298,"")</f>
        <v/>
      </c>
      <c r="CC298" s="195" t="str">
        <f>IFERROR(H298*(IF('Inputs Yr 2'!$AJ298=CC$4,'Inputs Yr 2'!$AK298,IF('Inputs Yr 2'!$AL298=CC$4,'Inputs Yr 2'!$AM298,IF('Inputs Yr 2'!$AN298=CC$4,'Inputs Yr 2'!$AO298,0))))*(INDEX(avoidedcosttbl2,$H298,CC$2)+(($H298-ROUNDDOWN($H298,0))*(INDEX(avoidedcosttbl2,ROUNDUP($H298,0),CC$2)-(INDEX(avoidedcosttbl2,ROUNDDOWN($H298,0),CC$2)))))*'Inputs Yr 2'!Q298*'Inputs Yr 2'!R298*'Inputs Yr 2'!V298,"")</f>
        <v/>
      </c>
      <c r="CD298" s="195" t="str">
        <f>IFERROR(I298*(IF('Inputs Yr 2'!$AJ298=CD$4,'Inputs Yr 2'!$AK298,IF('Inputs Yr 2'!$AL298=CD$4,'Inputs Yr 2'!$AM298,IF('Inputs Yr 2'!$AN298=CD$4,'Inputs Yr 2'!$AO298,0))))*(INDEX(avoidedcosttbl2,$H298,CD$2)+(($H298-ROUNDDOWN($H298,0))*(INDEX(avoidedcosttbl2,ROUNDUP($H298,0),CD$2)-(INDEX(avoidedcosttbl2,ROUNDDOWN($H298,0),CD$2)))))*'Inputs Yr 2'!R298*'Inputs Yr 2'!S298*'Inputs Yr 2'!W298,"")</f>
        <v/>
      </c>
      <c r="CE298" s="213" t="str">
        <f t="shared" si="161"/>
        <v/>
      </c>
      <c r="CF298" s="213" t="str">
        <f t="shared" si="162"/>
        <v/>
      </c>
      <c r="CG298" s="213" t="str">
        <f t="shared" si="163"/>
        <v/>
      </c>
      <c r="CH298" s="698">
        <f t="shared" si="164"/>
        <v>0</v>
      </c>
      <c r="CI298" s="79" t="str">
        <f>IFERROR(($G298*'Inputs Yr 2'!$P298*'Inputs Yr 2'!$Q298*(((INDEX(avoidedcosttbl2,$H298,CI$2)+(($H298-ROUNDDOWN($H298,0))*(INDEX(avoidedcosttbl2,ROUNDUP($H298,0),CI$2)-INDEX(avoidedcosttbl2,ROUNDDOWN($H298,0),CI$2))))*'Inputs Yr 2'!AS298))),"")</f>
        <v/>
      </c>
      <c r="CJ298" s="504" t="str">
        <f>IFERROR($G298*'Inputs Yr 2'!AT298*'Inputs Yr 2'!$P298*'Inputs Yr 2'!$Q298/((1+realdiscrt1)^-0.5),"")</f>
        <v/>
      </c>
      <c r="CK298" s="79" t="str">
        <f>IFERROR((O298*1000*(((INDEX(avoidedcosttbl2,$H298,CK$2)+(($H298-ROUNDDOWN($H298,0))*(INDEX(avoidedcosttbl2,ROUNDUP($H298,0),CK$2)-INDEX(avoidedcosttbl2,ROUNDDOWN($H298,0),CK$2))))*'Inputs Yr 2'!AU298))),"")</f>
        <v/>
      </c>
      <c r="CL298" s="504" t="str">
        <f>IFERROR(O298*1000*'Inputs Yr 2'!AV298/((1+realdiscrt1)^-0.5),"")</f>
        <v/>
      </c>
      <c r="CM298" s="79" t="str">
        <f>IFERROR((AB298*'Inputs Yr 2'!AW298*(((INDEX(avoidedcosttbl2,$H298,CM$2)+(($H298-ROUNDDOWN($H298,0))*(INDEX(avoidedcosttbl2,ROUNDUP($H298,0),CM$2)-INDEX(avoidedcosttbl2,ROUNDDOWN($H298,0),CM$2)))))))*10,"")</f>
        <v/>
      </c>
      <c r="CN298" s="504">
        <f>IFERROR(10*AB298*'Inputs Yr 2'!AX298/((1+realdiscrt1)^-0.5),"")</f>
        <v>0</v>
      </c>
      <c r="CO298" s="505">
        <f t="shared" si="165"/>
        <v>0</v>
      </c>
      <c r="CP298" s="230">
        <f t="shared" si="166"/>
        <v>0</v>
      </c>
      <c r="CQ298" s="199">
        <f>ROUND(IFERROR(IF(LEFT($A298,1)="C",'Avoided Costs'!$K$13,'Avoided Costs'!$K$12)+1,""),4)</f>
        <v>1.0720000000000001</v>
      </c>
      <c r="CR298" s="199">
        <f>ROUND(IFERROR(IF(LEFT($A298,1)="C",'Avoided Costs'!$L$13,'Avoided Costs'!$L$12)+1,""),4)</f>
        <v>1.04</v>
      </c>
      <c r="CS298" s="199">
        <f>ROUND(IFERROR(IF(LEFT($A298,1)="C",'Avoided Costs'!$M$13,'Avoided Costs'!$M$12)+1,""),4)</f>
        <v>1.0720000000000001</v>
      </c>
      <c r="CT298" s="199">
        <f>ROUND(IFERROR(IF(LEFT($A298,1)="C",'Avoided Costs'!$N$13,'Avoided Costs'!$N$12)+1,""),4)</f>
        <v>1.04</v>
      </c>
      <c r="CU298" s="199">
        <f>ROUND(IFERROR(IF(LEFT($A298,1)="C",'Avoided Costs'!$O$13,'Avoided Costs'!$O$12)+1,""),4)</f>
        <v>1.1120000000000001</v>
      </c>
      <c r="CV298" s="199">
        <f>ROUND(IFERROR(IF(LEFT($A298,1)="C",'Avoided Costs'!$P$13,'Avoided Costs'!$P$12)+1,""),4)</f>
        <v>1.095</v>
      </c>
      <c r="CW298" s="199">
        <f>ROUND(IFERROR(IF(LEFT($A298,1)="C",'Avoided Costs'!$Q$13,'Avoided Costs'!$Q$12)+1,""),4)</f>
        <v>1.1120000000000001</v>
      </c>
      <c r="CX298" s="200">
        <f>ROUND(IFERROR(IF(LEFT($A298,1)="C",'Avoided Costs'!$R$13,'Avoided Costs'!$R$12)+1,""),4)</f>
        <v>1.1120000000000001</v>
      </c>
    </row>
    <row r="299" spans="1:102" ht="12.75" customHeight="1">
      <c r="A299" s="91" t="str">
        <f>IF('Inputs Yr 2'!$B299=0,"",'Inputs Yr 2'!A299)</f>
        <v>C - Commercial &amp; Industrial</v>
      </c>
      <c r="B299" s="91" t="str">
        <f>IF('Inputs Yr 2'!$B299=0,"",'Inputs Yr 2'!B299)</f>
        <v>C2 - C&amp;I Retrofit</v>
      </c>
      <c r="C299" s="91" t="str">
        <f>IF('Inputs Yr 2'!$B299=0,"",'Inputs Yr 2'!C299)</f>
        <v>C2b - C&amp;I Small Business</v>
      </c>
      <c r="D299" s="91" t="str">
        <f>IF('Inputs Yr 2'!$B299=0,"",'Inputs Yr 2'!E299)</f>
        <v>Heat Recovery - Custom</v>
      </c>
      <c r="E299" s="93" t="str">
        <f>IF('Inputs Yr 2'!$B299=0,"",'Inputs Yr 2'!F299)</f>
        <v>G16C2b04</v>
      </c>
      <c r="F299" s="93" t="str">
        <f>IF('Inputs Yr 2'!$B299=0,"",'Inputs Yr 2'!G299)</f>
        <v>HVAC</v>
      </c>
      <c r="G299" s="95" t="str">
        <f>IF('Inputs Yr 2'!$H299&lt;&gt;0,('Inputs Yr 2'!H299),"")</f>
        <v/>
      </c>
      <c r="H299" s="94">
        <f>IFERROR('Inputs Yr 2'!I299,"")</f>
        <v>0</v>
      </c>
      <c r="I299" s="298" t="str">
        <f>IFERROR('Inputs Yr 2'!J299*'Inputs Yr 2'!P299*G299,"")</f>
        <v/>
      </c>
      <c r="J299" s="298" t="str">
        <f>IFERROR('Inputs Yr 2'!K299*G299,"")</f>
        <v/>
      </c>
      <c r="K299" s="298" t="str">
        <f t="shared" si="143"/>
        <v/>
      </c>
      <c r="L299" s="194" t="str">
        <f>IFERROR(('Inputs Yr 2'!W299*G299)/1000,"")</f>
        <v/>
      </c>
      <c r="M299" s="194" t="str">
        <f>IFERROR(L299*('Inputs Yr 2'!$Q299*'Inputs Yr 2'!$V299*'Inputs Yr 2'!$R299),"")</f>
        <v/>
      </c>
      <c r="N299" s="194" t="str">
        <f t="shared" si="144"/>
        <v/>
      </c>
      <c r="O299" s="194" t="str">
        <f>IFERROR(M299*'Inputs Yr 2'!P299,"")</f>
        <v/>
      </c>
      <c r="P299" s="194" t="str">
        <f t="shared" si="145"/>
        <v/>
      </c>
      <c r="Q299" s="194" t="str">
        <f>IFERROR($P299*'Inputs Yr 2'!AA299,"")</f>
        <v/>
      </c>
      <c r="R299" s="194" t="str">
        <f>IFERROR($P299*'Inputs Yr 2'!AB299,"")</f>
        <v/>
      </c>
      <c r="S299" s="194" t="str">
        <f>IFERROR($P299*'Inputs Yr 2'!AC299,"")</f>
        <v/>
      </c>
      <c r="T299" s="194" t="str">
        <f>IFERROR($P299*'Inputs Yr 2'!AD299,"")</f>
        <v/>
      </c>
      <c r="U299" s="194" t="str">
        <f>IFERROR(G299*'Inputs Yr 2'!$AE299*'Inputs Yr 2'!$P299*'Inputs Yr 2'!$Q299,"")</f>
        <v/>
      </c>
      <c r="V299" s="194" t="str">
        <f>IFERROR($G299*'Inputs Yr 2'!$AE299*'Inputs Yr 2'!$AG299*'Inputs Yr 2'!Q299*'Inputs Yr 2'!$S299,"")</f>
        <v/>
      </c>
      <c r="W299" s="194" t="str">
        <f>IFERROR($G299*'Inputs Yr 2'!$AE299*'Inputs Yr 2'!$AG299*'Inputs Yr 2'!P299*'Inputs Yr 2'!Q299*'Inputs Yr 2'!$S299,"")</f>
        <v/>
      </c>
      <c r="X299" s="194" t="str">
        <f>IFERROR($G299*'Inputs Yr 2'!$AE299*'Inputs Yr 2'!$AF299*'Inputs Yr 2'!Q299*'Inputs Yr 2'!$T299,"")</f>
        <v/>
      </c>
      <c r="Y299" s="194" t="str">
        <f>IFERROR($G299*'Inputs Yr 2'!$AE299*'Inputs Yr 2'!$AF299*'Inputs Yr 2'!P299*'Inputs Yr 2'!Q299*'Inputs Yr 2'!$T299,"")</f>
        <v/>
      </c>
      <c r="Z299" s="257">
        <f>IFERROR($G299*'Inputs Yr 2'!$Q299*'Inputs Yr 2'!$U299*(IF(IFERROR(SEARCH("NG", 'Inputs Yr 2'!$AJ299),0),'Inputs Yr 2'!$AK299,0)+IF(IFERROR(SEARCH("NG", 'Inputs Yr 2'!$AL299),0),'Inputs Yr 2'!$AM299,0)+IF(IFERROR(SEARCH("NG", 'Inputs Yr 2'!$AN299),0),'Inputs Yr 2'!$AO299,0)),0)</f>
        <v>0</v>
      </c>
      <c r="AA299" s="257">
        <f t="shared" si="146"/>
        <v>0</v>
      </c>
      <c r="AB299" s="257">
        <f>IFERROR(Z299*'Inputs Yr 2'!$P299,0)</f>
        <v>0</v>
      </c>
      <c r="AC299" s="257">
        <f t="shared" si="147"/>
        <v>0</v>
      </c>
      <c r="AD299" s="257">
        <f>IFERROR($G299*'Inputs Yr 2'!$Q299*'Inputs Yr 2'!$U299*(IF(IFERROR(SEARCH("Oil", 'Inputs Yr 2'!$AJ299), 0),'Inputs Yr 2'!$AK299,0)+IF(IFERROR(SEARCH("Oil", 'Inputs Yr 2'!$AL299), 0),'Inputs Yr 2'!$AM299,0)+IF(IFERROR(SEARCH("Oil", 'Inputs Yr 2'!$AN299), 0),'Inputs Yr 2'!$AO299,0)),0)</f>
        <v>0</v>
      </c>
      <c r="AE299" s="257">
        <f t="shared" si="148"/>
        <v>0</v>
      </c>
      <c r="AF299" s="257">
        <f>IFERROR(AD299*'Inputs Yr 2'!$P299,0)</f>
        <v>0</v>
      </c>
      <c r="AG299" s="257">
        <f t="shared" si="149"/>
        <v>0</v>
      </c>
      <c r="AH299" s="257">
        <f>IFERROR($G299*'Inputs Yr 2'!$Q299*'Inputs Yr 2'!$U299*(IF('Inputs Yr 2'!$AJ299=CD$4,'Inputs Yr 2'!$AK299,IF('Inputs Yr 2'!$AL299=CD$4,'Inputs Yr 2'!$AM299,IF('Inputs Yr 2'!$AN299=CD$4,'Inputs Yr 2'!$AO299,0)))),0)</f>
        <v>0</v>
      </c>
      <c r="AI299" s="257">
        <f t="shared" si="150"/>
        <v>0</v>
      </c>
      <c r="AJ299" s="257">
        <f>IFERROR(AH299*'Inputs Yr 2'!$P299,0)</f>
        <v>0</v>
      </c>
      <c r="AK299" s="257">
        <f t="shared" si="151"/>
        <v>0</v>
      </c>
      <c r="AL299" s="258">
        <f>IFERROR($G299*'Inputs Yr 2'!$P299*'Inputs Yr 2'!$Q299*'Inputs Yr 2'!AP299,0)</f>
        <v>0</v>
      </c>
      <c r="AM299" s="260">
        <f>IFERROR($G299*'Inputs Yr 2'!$P299*'Inputs Yr 2'!$Q299*'Inputs Yr 2'!AQ299,0)</f>
        <v>0</v>
      </c>
      <c r="AN299" s="258">
        <f>IFERROR($G299*'Inputs Yr 2'!$P299*'Inputs Yr 2'!$Q299*'Inputs Yr 2'!AR299,0)</f>
        <v>0</v>
      </c>
      <c r="AO299" s="257">
        <f t="shared" si="152"/>
        <v>0</v>
      </c>
      <c r="AP299" s="195" t="str">
        <f>IFERROR($CQ299*(INDEX(avoidedcosttbl2,$H299,AP$2)+(($H299-ROUNDDOWN($H299,0))*(INDEX(avoidedcosttbl2,ROUNDUP($H299,0),AP$2)-(INDEX(avoidedcosttbl2,ROUNDDOWN($H299,0),AP$2)))))*$O299*1000*'Inputs Yr 2'!AA299,"")</f>
        <v/>
      </c>
      <c r="AQ299" s="195" t="str">
        <f>IFERROR($CR299*(INDEX(avoidedcosttbl2,$H299,AQ$2)+(($H299-ROUNDDOWN($H299,0))*(INDEX(avoidedcosttbl2,ROUNDUP($H299,0),AQ$2)-(INDEX(avoidedcosttbl2,ROUNDDOWN($H299,0),AQ$2)))))*$O299*1000*'Inputs Yr 2'!AB299,"")</f>
        <v/>
      </c>
      <c r="AR299" s="195" t="str">
        <f>IFERROR($CS299*(INDEX(avoidedcosttbl2,$H299,AR$2)+(($H299-ROUNDDOWN($H299,0))*(INDEX(avoidedcosttbl2,ROUNDUP($H299,0),AR$2)-(INDEX(avoidedcosttbl2,ROUNDDOWN($H299,0),AR$2)))))*$O299*1000*'Inputs Yr 2'!AC299,"")</f>
        <v/>
      </c>
      <c r="AS299" s="195" t="str">
        <f>IFERROR($CT299*(INDEX(avoidedcosttbl2,$H299,AS$2)+(($H299-ROUNDDOWN($H299,0))*(INDEX(avoidedcosttbl2,ROUNDUP($H299,0),AS$2)-(INDEX(avoidedcosttbl2,ROUNDDOWN($H299,0),AS$2)))))*$O299*1000*'Inputs Yr 2'!AD299,"")</f>
        <v/>
      </c>
      <c r="AT299" s="196">
        <f t="shared" si="153"/>
        <v>0</v>
      </c>
      <c r="AU299" s="197" t="str">
        <f>IFERROR($CQ299*((INDEX(avoidedcosttbl2,$H299,AU$2))+(($H299-ROUNDDOWN($H299,0))*((INDEX(avoidedcosttbl2,ROUNDUP($H299,0),AU$2))-(INDEX(avoidedcosttbl2,ROUNDDOWN($H299,0),AU$2)))))*$O299*1000*'Inputs Yr 2'!AA299,"")</f>
        <v/>
      </c>
      <c r="AV299" s="197" t="str">
        <f>IFERROR($CR299*((INDEX(avoidedcosttbl2,$H299,AV$2))+(($H299-ROUNDDOWN($H299,0))*((INDEX(avoidedcosttbl2,ROUNDUP($H299,0),AV$2))-(INDEX(avoidedcosttbl2,ROUNDDOWN($H299,0),AV$2)))))*$O299*1000*'Inputs Yr 2'!AB299,"")</f>
        <v/>
      </c>
      <c r="AW299" s="197" t="str">
        <f>IFERROR($CS299*((INDEX(avoidedcosttbl2,$H299,AW$2))+(($H299-ROUNDDOWN($H299,0))*((INDEX(avoidedcosttbl2,ROUNDUP($H299,0),AW$2))-(INDEX(avoidedcosttbl2,ROUNDDOWN($H299,0),AW$2)))))*$O299*1000*'Inputs Yr 2'!AC299,"")</f>
        <v/>
      </c>
      <c r="AX299" s="197" t="str">
        <f>IFERROR($CT299*((INDEX(avoidedcosttbl2,$H299,AX$2))+(($H299-ROUNDDOWN($H299,0))*((INDEX(avoidedcosttbl2,ROUNDUP($H299,0),AX$2))-(INDEX(avoidedcosttbl2,ROUNDDOWN($H299,0),AX$2)))))*$O299*1000*'Inputs Yr 2'!AD299,"")</f>
        <v/>
      </c>
      <c r="AY299" s="197" t="str">
        <f>IFERROR(((INDEX(avoidedcosttbl2,$H299,AY$2))+(($H299-ROUNDDOWN($H299,0))*((INDEX(avoidedcosttbl2,ROUNDUP($H299,0),AY$2))-(INDEX(avoidedcosttbl2,ROUNDDOWN($H299,0),AY$2)))))*$O299*1000*('Inputs Yr 2'!AC299+'Inputs Yr 2'!AD299),"")</f>
        <v/>
      </c>
      <c r="AZ299" s="197" t="str">
        <f>IFERROR(((INDEX(avoidedcosttbl2,$H299,AZ$2))+(($H299-ROUNDDOWN($H299,0))*((INDEX(avoidedcosttbl2,ROUNDUP($H299,0),AZ$2))-(INDEX(avoidedcosttbl2,ROUNDDOWN($H299,0),AZ$2)))))*$O299*1000*('Inputs Yr 2'!AA299+'Inputs Yr 2'!AB299),"")</f>
        <v/>
      </c>
      <c r="BA299" s="198">
        <f t="shared" si="154"/>
        <v>0</v>
      </c>
      <c r="BB299" s="198">
        <f t="shared" si="155"/>
        <v>0</v>
      </c>
      <c r="BC299" s="195" t="str">
        <f t="shared" si="137"/>
        <v/>
      </c>
      <c r="BD299" s="195" t="str">
        <f t="shared" si="138"/>
        <v/>
      </c>
      <c r="BE299" s="195" t="str">
        <f t="shared" si="139"/>
        <v/>
      </c>
      <c r="BF299" s="195" t="str">
        <f t="shared" si="140"/>
        <v/>
      </c>
      <c r="BG299" s="195" t="str">
        <f t="shared" si="141"/>
        <v/>
      </c>
      <c r="BH299" s="196">
        <f t="shared" si="156"/>
        <v>0</v>
      </c>
      <c r="BI299" s="196">
        <f t="shared" si="157"/>
        <v>0</v>
      </c>
      <c r="BJ299" s="195" t="str">
        <f>IFERROR($G299*(IF('Inputs Yr 2'!$AJ299=BJ$4,'Inputs Yr 2'!$AK299,IF('Inputs Yr 2'!$AL299=BJ$4,'Inputs Yr 2'!$AM299,IF('Inputs Yr 2'!$AN299=BJ$4,'Inputs Yr 2'!$AO299,0))))*(INDEX(avoidedcosttbl2,$H299,BJ$2)+(($H299-ROUNDDOWN($H299,0))*(INDEX(avoidedcosttbl2,ROUNDUP($H299,0),BJ$2)-(INDEX(avoidedcosttbl2,ROUNDDOWN($H299,0),BJ$2)))))*'Inputs Yr 2'!P299*'Inputs Yr 2'!Q299*'Inputs Yr 2'!U299,"")</f>
        <v/>
      </c>
      <c r="BK299" s="195" t="str">
        <f>IFERROR($G299*(IF('Inputs Yr 2'!$AJ299=BK$4,'Inputs Yr 2'!$AK299,IF('Inputs Yr 2'!$AL299=BK$4,'Inputs Yr 2'!$AM299,IF('Inputs Yr 2'!$AN299=BK$4,'Inputs Yr 2'!$AO299,0))))*(INDEX(avoidedcosttbl2,$H299,BK$2)+(($H299-ROUNDDOWN($H299,0))*(INDEX(avoidedcosttbl2,ROUNDUP($H299,0),BK$2)-(INDEX(avoidedcosttbl2,ROUNDDOWN($H299,0),BK$2)))))*'Inputs Yr 2'!P299*'Inputs Yr 2'!Q299*'Inputs Yr 2'!U299,"")</f>
        <v/>
      </c>
      <c r="BL299" s="195" t="str">
        <f>IFERROR($G299*(IF('Inputs Yr 2'!$AJ299=BL$4,'Inputs Yr 2'!$AK299,IF('Inputs Yr 2'!$AL299=BL$4,'Inputs Yr 2'!$AM299,IF('Inputs Yr 2'!$AN299=BL$4,'Inputs Yr 2'!$AO299,0))))*(INDEX(avoidedcosttbl2,$H299,BL$2)+(($H299-ROUNDDOWN($H299,0))*(INDEX(avoidedcosttbl2,ROUNDUP($H299,0),BL$2)-(INDEX(avoidedcosttbl2,ROUNDDOWN($H299,0),BL$2)))))*'Inputs Yr 2'!P299*'Inputs Yr 2'!Q299*'Inputs Yr 2'!U299,"")</f>
        <v/>
      </c>
      <c r="BM299" s="195" t="str">
        <f>IFERROR($G299*(IF('Inputs Yr 2'!$AJ299=BM$4,'Inputs Yr 2'!$AK299,IF('Inputs Yr 2'!$AL299=BM$4,'Inputs Yr 2'!$AM299,IF('Inputs Yr 2'!$AN299=BM$4,'Inputs Yr 2'!$AO299,0))))*(INDEX(avoidedcosttbl2,$H299,BM$2)+(($H299-ROUNDDOWN($H299,0))*(INDEX(avoidedcosttbl2,ROUNDUP($H299,0),BM$2)-(INDEX(avoidedcosttbl2,ROUNDDOWN($H299,0),BM$2)))))*'Inputs Yr 2'!P299*'Inputs Yr 2'!Q299*'Inputs Yr 2'!U299,"")</f>
        <v/>
      </c>
      <c r="BN299" s="195" t="str">
        <f>IFERROR($G299*(IF('Inputs Yr 2'!$AJ299=BN$4,'Inputs Yr 2'!$AK299,IF('Inputs Yr 2'!$AL299=BN$4,'Inputs Yr 2'!$AM299,IF('Inputs Yr 2'!$AN299=BN$4,'Inputs Yr 2'!$AO299,0))))*(INDEX(avoidedcosttbl2,$H299,BN$2)+(($H299-ROUNDDOWN($H299,0))*(INDEX(avoidedcosttbl2,ROUNDUP($H299,0),BN$2)-(INDEX(avoidedcosttbl2,ROUNDDOWN($H299,0),BN$2)))))*'Inputs Yr 2'!P299*'Inputs Yr 2'!Q299*'Inputs Yr 2'!U299,"")</f>
        <v/>
      </c>
      <c r="BO299" s="195" t="str">
        <f>IFERROR($G299*(IF('Inputs Yr 2'!$AJ299=BO$4,'Inputs Yr 2'!$AK299,IF('Inputs Yr 2'!$AL299=BO$4,'Inputs Yr 2'!$AM299,IF('Inputs Yr 2'!$AN299=BO$4,'Inputs Yr 2'!$AO299,0))))*(INDEX(avoidedcosttbl2,$H299,BO$2)+(($H299-ROUNDDOWN($H299,0))*(INDEX(avoidedcosttbl2,ROUNDUP($H299,0),BO$2)-(INDEX(avoidedcosttbl2,ROUNDDOWN($H299,0),BO$2)))))*'Inputs Yr 2'!P299*'Inputs Yr 2'!Q299*'Inputs Yr 2'!U299,"")</f>
        <v/>
      </c>
      <c r="BP299" s="195" t="str">
        <f>IFERROR($G299*(IF('Inputs Yr 2'!$AJ299=BP$4,'Inputs Yr 2'!$AK299,IF('Inputs Yr 2'!$AL299=BP$4,'Inputs Yr 2'!$AM299,IF('Inputs Yr 2'!$AN299=BP$4,'Inputs Yr 2'!$AO299,0))))*(INDEX(avoidedcosttbl2,$H299,BP$2)+(($H299-ROUNDDOWN($H299,0))*(INDEX(avoidedcosttbl2,ROUNDUP($H299,0),BP$2)-(INDEX(avoidedcosttbl2,ROUNDDOWN($H299,0),BP$2)))))*'Inputs Yr 2'!P299*'Inputs Yr 2'!Q299*'Inputs Yr 2'!U299,"")</f>
        <v/>
      </c>
      <c r="BQ299" s="230">
        <f t="shared" si="158"/>
        <v>0</v>
      </c>
      <c r="BR299" s="197" t="str">
        <f t="shared" si="142"/>
        <v/>
      </c>
      <c r="BS299" s="197" t="str">
        <f>IFERROR(($G299*IF('Inputs Yr 2'!$AJ299=BM$4,'Inputs Yr 2'!$AK299,IF('Inputs Yr 2'!$AL299=BM$4,'Inputs Yr 2'!$AM299,IF('Inputs Yr 2'!$AN299=BM$4,'Inputs Yr 2'!$AO299,0))))*(INDEX(avoidedcosttbl2,$H299,BS$2)+(($H299-ROUNDDOWN($H299,0))*(INDEX(avoidedcosttbl2,ROUNDUP($H299,0),BS$2)-(INDEX(avoidedcosttbl2,ROUNDDOWN($H299,0),BS$2)))))*'Inputs Yr 2'!P299*'Inputs Yr 2'!Q299*'Inputs Yr 2'!U299,"")</f>
        <v/>
      </c>
      <c r="BT299" s="197" t="str">
        <f>IFERROR(($G299*IF('Inputs Yr 2'!$AJ299=BK$4,'Inputs Yr 2'!$AK299,IF('Inputs Yr 2'!$AL299=BK$4,'Inputs Yr 2'!$AM299,IF('Inputs Yr 2'!$AN299=BK$4,'Inputs Yr 2'!$AO299,0))))*(INDEX(avoidedcosttbl2,$H299,BT$2)+(($H299-ROUNDDOWN($H299,0))*(INDEX(avoidedcosttbl2,ROUNDUP($H299,0),BT$2)-(INDEX(avoidedcosttbl2,ROUNDDOWN($H299,0),BT$2)))))*'Inputs Yr 2'!P299*'Inputs Yr 2'!Q299*'Inputs Yr 2'!U299,"")</f>
        <v/>
      </c>
      <c r="BU299" s="197" t="str">
        <f>IFERROR(($G299*IF('Inputs Yr 2'!$AJ299=BL$4,'Inputs Yr 2'!$AK299,IF('Inputs Yr 2'!$AL299=BL$4,'Inputs Yr 2'!$AM299,IF('Inputs Yr 2'!$AN299=BL$4,'Inputs Yr 2'!$AO299,0))))*(INDEX(avoidedcosttbl2,$H299,BU$2)+(($H299-ROUNDDOWN($H299,0))*(INDEX(avoidedcosttbl2,ROUNDUP($H299,0),BU$2)-(INDEX(avoidedcosttbl2,ROUNDDOWN($H299,0),BU$2)))))*'Inputs Yr 2'!P299*'Inputs Yr 2'!Q299*'Inputs Yr 2'!U299,"")</f>
        <v/>
      </c>
      <c r="BV299" s="775" t="str">
        <f>IFERROR(($G299*IF('Inputs Yr 2'!$AJ299=BJ$4,'Inputs Yr 2'!$AK299,IF('Inputs Yr 2'!$AL299=BJ$4,'Inputs Yr 2'!$AM299,IF('Inputs Yr 2'!$AN299=BJ$4,'Inputs Yr 2'!$AO299,0))))*(INDEX(avoidedcosttbl2,$H299,BV$2)+(($H299-ROUNDDOWN($H299,0))*(INDEX(avoidedcosttbl2,ROUNDUP($H299,0),BV$2)-(INDEX(avoidedcosttbl2,ROUNDDOWN($H299,0),BV$2)))))*'Inputs Yr 2'!P299*'Inputs Yr 2'!Q299*'Inputs Yr 2'!U299,"")</f>
        <v/>
      </c>
      <c r="BW299" s="197" t="str">
        <f>IFERROR(($G299*IF('Inputs Yr 2'!$AJ299=BN$4,'Inputs Yr 2'!$AK299,IF('Inputs Yr 2'!$AL299=BN$4,'Inputs Yr 2'!$AM299,IF('Inputs Yr 2'!$AN299=BN$4,'Inputs Yr 2'!$AO299,0))))*(INDEX(avoidedcosttbl2,$H299,BW$2)+(($H299-ROUNDDOWN($H299,0))*(INDEX(avoidedcosttbl2,ROUNDUP($H299,0),BW$2)-(INDEX(avoidedcosttbl2,ROUNDDOWN($H299,0),BW$2)))))*'Inputs Yr 2'!P299*'Inputs Yr 2'!Q299*'Inputs Yr 2'!U299,"")</f>
        <v/>
      </c>
      <c r="BX299" s="197" t="str">
        <f>IFERROR(($G299*IF('Inputs Yr 2'!$AJ299=BO$4,'Inputs Yr 2'!$AK299,IF('Inputs Yr 2'!$AL299=BO$4,'Inputs Yr 2'!$AM299,IF('Inputs Yr 2'!$AN299=BO$4,'Inputs Yr 2'!$AO299,0))))*(INDEX(avoidedcosttbl2,$H299,BX$2)+(($H299-ROUNDDOWN($H299,0))*(INDEX(avoidedcosttbl2,ROUNDUP($H299,0),BX$2)-(INDEX(avoidedcosttbl2,ROUNDDOWN($H299,0),BX$2)))))*'Inputs Yr 2'!P299*'Inputs Yr 2'!Q299*'Inputs Yr 2'!U299,"")</f>
        <v/>
      </c>
      <c r="BY299" s="197" t="str">
        <f>IFERROR(($G299*IF('Inputs Yr 2'!$AJ299=BP$4,'Inputs Yr 2'!$AK299,IF('Inputs Yr 2'!$AL299=BP$4,'Inputs Yr 2'!$AM299,IF('Inputs Yr 2'!$AN299=BP$4,'Inputs Yr 2'!$AO299,0))))*(INDEX(avoidedcosttbl2,$H299,BY$2)+(($H299-ROUNDDOWN($H299,0))*(INDEX(avoidedcosttbl2,ROUNDUP($H299,0),BY$2)-(INDEX(avoidedcosttbl2,ROUNDDOWN($H299,0),BY$2)))))*'Inputs Yr 2'!P299*'Inputs Yr 2'!Q299*'Inputs Yr 2'!U299,"")</f>
        <v/>
      </c>
      <c r="BZ299" s="193">
        <f t="shared" si="159"/>
        <v>0</v>
      </c>
      <c r="CA299" s="193">
        <f t="shared" si="160"/>
        <v>0</v>
      </c>
      <c r="CB299" s="195" t="str">
        <f>IFERROR(G299*(IF('Inputs Yr 2'!$AJ299=CB$4,'Inputs Yr 2'!$AK299,IF('Inputs Yr 2'!$AL299=CB$4,'Inputs Yr 2'!$AM299,IF('Inputs Yr 2'!$AN299=CB$4,'Inputs Yr 2'!$AO299,0))))*(INDEX(avoidedcosttbl2,$H299,CB$2)+(($H299-ROUNDDOWN($H299,0))*(INDEX(avoidedcosttbl2,ROUNDUP($H299,0),CB$2)-(INDEX(avoidedcosttbl2,ROUNDDOWN($H299,0),CB$2)))))*'Inputs Yr 2'!P299*'Inputs Yr 2'!Q299*'Inputs Yr 2'!U299,"")</f>
        <v/>
      </c>
      <c r="CC299" s="195" t="str">
        <f>IFERROR(H299*(IF('Inputs Yr 2'!$AJ299=CC$4,'Inputs Yr 2'!$AK299,IF('Inputs Yr 2'!$AL299=CC$4,'Inputs Yr 2'!$AM299,IF('Inputs Yr 2'!$AN299=CC$4,'Inputs Yr 2'!$AO299,0))))*(INDEX(avoidedcosttbl2,$H299,CC$2)+(($H299-ROUNDDOWN($H299,0))*(INDEX(avoidedcosttbl2,ROUNDUP($H299,0),CC$2)-(INDEX(avoidedcosttbl2,ROUNDDOWN($H299,0),CC$2)))))*'Inputs Yr 2'!Q299*'Inputs Yr 2'!R299*'Inputs Yr 2'!V299,"")</f>
        <v/>
      </c>
      <c r="CD299" s="195" t="str">
        <f>IFERROR(I299*(IF('Inputs Yr 2'!$AJ299=CD$4,'Inputs Yr 2'!$AK299,IF('Inputs Yr 2'!$AL299=CD$4,'Inputs Yr 2'!$AM299,IF('Inputs Yr 2'!$AN299=CD$4,'Inputs Yr 2'!$AO299,0))))*(INDEX(avoidedcosttbl2,$H299,CD$2)+(($H299-ROUNDDOWN($H299,0))*(INDEX(avoidedcosttbl2,ROUNDUP($H299,0),CD$2)-(INDEX(avoidedcosttbl2,ROUNDDOWN($H299,0),CD$2)))))*'Inputs Yr 2'!R299*'Inputs Yr 2'!S299*'Inputs Yr 2'!W299,"")</f>
        <v/>
      </c>
      <c r="CE299" s="213" t="str">
        <f t="shared" si="161"/>
        <v/>
      </c>
      <c r="CF299" s="213" t="str">
        <f t="shared" si="162"/>
        <v/>
      </c>
      <c r="CG299" s="213" t="str">
        <f t="shared" si="163"/>
        <v/>
      </c>
      <c r="CH299" s="698">
        <f t="shared" si="164"/>
        <v>0</v>
      </c>
      <c r="CI299" s="79" t="str">
        <f>IFERROR(($G299*'Inputs Yr 2'!$P299*'Inputs Yr 2'!$Q299*(((INDEX(avoidedcosttbl2,$H299,CI$2)+(($H299-ROUNDDOWN($H299,0))*(INDEX(avoidedcosttbl2,ROUNDUP($H299,0),CI$2)-INDEX(avoidedcosttbl2,ROUNDDOWN($H299,0),CI$2))))*'Inputs Yr 2'!AS299))),"")</f>
        <v/>
      </c>
      <c r="CJ299" s="504" t="str">
        <f>IFERROR($G299*'Inputs Yr 2'!AT299*'Inputs Yr 2'!$P299*'Inputs Yr 2'!$Q299/((1+realdiscrt1)^-0.5),"")</f>
        <v/>
      </c>
      <c r="CK299" s="79" t="str">
        <f>IFERROR((O299*1000*(((INDEX(avoidedcosttbl2,$H299,CK$2)+(($H299-ROUNDDOWN($H299,0))*(INDEX(avoidedcosttbl2,ROUNDUP($H299,0),CK$2)-INDEX(avoidedcosttbl2,ROUNDDOWN($H299,0),CK$2))))*'Inputs Yr 2'!AU299))),"")</f>
        <v/>
      </c>
      <c r="CL299" s="504" t="str">
        <f>IFERROR(O299*1000*'Inputs Yr 2'!AV299/((1+realdiscrt1)^-0.5),"")</f>
        <v/>
      </c>
      <c r="CM299" s="79" t="str">
        <f>IFERROR((AB299*'Inputs Yr 2'!AW299*(((INDEX(avoidedcosttbl2,$H299,CM$2)+(($H299-ROUNDDOWN($H299,0))*(INDEX(avoidedcosttbl2,ROUNDUP($H299,0),CM$2)-INDEX(avoidedcosttbl2,ROUNDDOWN($H299,0),CM$2)))))))*10,"")</f>
        <v/>
      </c>
      <c r="CN299" s="504">
        <f>IFERROR(10*AB299*'Inputs Yr 2'!AX299/((1+realdiscrt1)^-0.5),"")</f>
        <v>0</v>
      </c>
      <c r="CO299" s="505">
        <f t="shared" si="165"/>
        <v>0</v>
      </c>
      <c r="CP299" s="230">
        <f t="shared" si="166"/>
        <v>0</v>
      </c>
      <c r="CQ299" s="199">
        <f>ROUND(IFERROR(IF(LEFT($A299,1)="C",'Avoided Costs'!$K$13,'Avoided Costs'!$K$12)+1,""),4)</f>
        <v>1.0720000000000001</v>
      </c>
      <c r="CR299" s="199">
        <f>ROUND(IFERROR(IF(LEFT($A299,1)="C",'Avoided Costs'!$L$13,'Avoided Costs'!$L$12)+1,""),4)</f>
        <v>1.04</v>
      </c>
      <c r="CS299" s="199">
        <f>ROUND(IFERROR(IF(LEFT($A299,1)="C",'Avoided Costs'!$M$13,'Avoided Costs'!$M$12)+1,""),4)</f>
        <v>1.0720000000000001</v>
      </c>
      <c r="CT299" s="199">
        <f>ROUND(IFERROR(IF(LEFT($A299,1)="C",'Avoided Costs'!$N$13,'Avoided Costs'!$N$12)+1,""),4)</f>
        <v>1.04</v>
      </c>
      <c r="CU299" s="199">
        <f>ROUND(IFERROR(IF(LEFT($A299,1)="C",'Avoided Costs'!$O$13,'Avoided Costs'!$O$12)+1,""),4)</f>
        <v>1.1120000000000001</v>
      </c>
      <c r="CV299" s="199">
        <f>ROUND(IFERROR(IF(LEFT($A299,1)="C",'Avoided Costs'!$P$13,'Avoided Costs'!$P$12)+1,""),4)</f>
        <v>1.095</v>
      </c>
      <c r="CW299" s="199">
        <f>ROUND(IFERROR(IF(LEFT($A299,1)="C",'Avoided Costs'!$Q$13,'Avoided Costs'!$Q$12)+1,""),4)</f>
        <v>1.1120000000000001</v>
      </c>
      <c r="CX299" s="200">
        <f>ROUND(IFERROR(IF(LEFT($A299,1)="C",'Avoided Costs'!$R$13,'Avoided Costs'!$R$12)+1,""),4)</f>
        <v>1.1120000000000001</v>
      </c>
    </row>
    <row r="300" spans="1:102" ht="12.75" customHeight="1">
      <c r="A300" s="91" t="str">
        <f>IF('Inputs Yr 2'!$B300=0,"",'Inputs Yr 2'!A300)</f>
        <v>C - Commercial &amp; Industrial</v>
      </c>
      <c r="B300" s="91" t="str">
        <f>IF('Inputs Yr 2'!$B300=0,"",'Inputs Yr 2'!B300)</f>
        <v>C2 - C&amp;I Retrofit</v>
      </c>
      <c r="C300" s="91" t="str">
        <f>IF('Inputs Yr 2'!$B300=0,"",'Inputs Yr 2'!C300)</f>
        <v>C2b - C&amp;I Small Business</v>
      </c>
      <c r="D300" s="91" t="str">
        <f>IF('Inputs Yr 2'!$B300=0,"",'Inputs Yr 2'!E300)</f>
        <v>Heating - Custom 15</v>
      </c>
      <c r="E300" s="93" t="str">
        <f>IF('Inputs Yr 2'!$B300=0,"",'Inputs Yr 2'!F300)</f>
        <v>G16C2b05</v>
      </c>
      <c r="F300" s="93" t="str">
        <f>IF('Inputs Yr 2'!$B300=0,"",'Inputs Yr 2'!G300)</f>
        <v>HVAC</v>
      </c>
      <c r="G300" s="95">
        <f>IF('Inputs Yr 2'!$H300&lt;&gt;0,('Inputs Yr 2'!H300),"")</f>
        <v>1</v>
      </c>
      <c r="H300" s="94">
        <f>IFERROR('Inputs Yr 2'!I300,"")</f>
        <v>15</v>
      </c>
      <c r="I300" s="298">
        <f>IFERROR('Inputs Yr 2'!J300*'Inputs Yr 2'!P300*G300,"")</f>
        <v>35338.613333333335</v>
      </c>
      <c r="J300" s="298">
        <f>IFERROR('Inputs Yr 2'!K300*G300,"")</f>
        <v>28840</v>
      </c>
      <c r="K300" s="298">
        <f t="shared" si="143"/>
        <v>6498.6133333333346</v>
      </c>
      <c r="L300" s="194">
        <f>IFERROR(('Inputs Yr 2'!W300*G300)/1000,"")</f>
        <v>0</v>
      </c>
      <c r="M300" s="194">
        <f>IFERROR(L300*('Inputs Yr 2'!$Q300*'Inputs Yr 2'!$V300*'Inputs Yr 2'!$R300),"")</f>
        <v>0</v>
      </c>
      <c r="N300" s="194">
        <f t="shared" si="144"/>
        <v>0</v>
      </c>
      <c r="O300" s="194">
        <f>IFERROR(M300*'Inputs Yr 2'!P300,"")</f>
        <v>0</v>
      </c>
      <c r="P300" s="194">
        <f t="shared" si="145"/>
        <v>0</v>
      </c>
      <c r="Q300" s="194">
        <f>IFERROR($P300*'Inputs Yr 2'!AA300,"")</f>
        <v>0</v>
      </c>
      <c r="R300" s="194">
        <f>IFERROR($P300*'Inputs Yr 2'!AB300,"")</f>
        <v>0</v>
      </c>
      <c r="S300" s="194">
        <f>IFERROR($P300*'Inputs Yr 2'!AC300,"")</f>
        <v>0</v>
      </c>
      <c r="T300" s="194">
        <f>IFERROR($P300*'Inputs Yr 2'!AD300,"")</f>
        <v>0</v>
      </c>
      <c r="U300" s="194">
        <f>IFERROR(G300*'Inputs Yr 2'!$AE300*'Inputs Yr 2'!$P300*'Inputs Yr 2'!$Q300,"")</f>
        <v>0</v>
      </c>
      <c r="V300" s="194">
        <f>IFERROR($G300*'Inputs Yr 2'!$AE300*'Inputs Yr 2'!$AG300*'Inputs Yr 2'!Q300*'Inputs Yr 2'!$S300,"")</f>
        <v>0</v>
      </c>
      <c r="W300" s="194">
        <f>IFERROR($G300*'Inputs Yr 2'!$AE300*'Inputs Yr 2'!$AG300*'Inputs Yr 2'!P300*'Inputs Yr 2'!Q300*'Inputs Yr 2'!$S300,"")</f>
        <v>0</v>
      </c>
      <c r="X300" s="194">
        <f>IFERROR($G300*'Inputs Yr 2'!$AE300*'Inputs Yr 2'!$AF300*'Inputs Yr 2'!Q300*'Inputs Yr 2'!$T300,"")</f>
        <v>0</v>
      </c>
      <c r="Y300" s="194">
        <f>IFERROR($G300*'Inputs Yr 2'!$AE300*'Inputs Yr 2'!$AF300*'Inputs Yr 2'!P300*'Inputs Yr 2'!Q300*'Inputs Yr 2'!$T300,"")</f>
        <v>0</v>
      </c>
      <c r="Z300" s="257">
        <f>IFERROR($G300*'Inputs Yr 2'!$Q300*'Inputs Yr 2'!$U300*(IF(IFERROR(SEARCH("NG", 'Inputs Yr 2'!$AJ300),0),'Inputs Yr 2'!$AK300,0)+IF(IFERROR(SEARCH("NG", 'Inputs Yr 2'!$AL300),0),'Inputs Yr 2'!$AM300,0)+IF(IFERROR(SEARCH("NG", 'Inputs Yr 2'!$AN300),0),'Inputs Yr 2'!$AO300,0)),0)</f>
        <v>443.40680000000003</v>
      </c>
      <c r="AA300" s="257">
        <f t="shared" si="146"/>
        <v>6651.1020000000008</v>
      </c>
      <c r="AB300" s="257">
        <f>IFERROR(Z300*'Inputs Yr 2'!$P300,0)</f>
        <v>407.49084920000007</v>
      </c>
      <c r="AC300" s="257">
        <f t="shared" si="147"/>
        <v>6112.3627380000007</v>
      </c>
      <c r="AD300" s="257">
        <f>IFERROR($G300*'Inputs Yr 2'!$Q300*'Inputs Yr 2'!$U300*(IF(IFERROR(SEARCH("Oil", 'Inputs Yr 2'!$AJ300), 0),'Inputs Yr 2'!$AK300,0)+IF(IFERROR(SEARCH("Oil", 'Inputs Yr 2'!$AL300), 0),'Inputs Yr 2'!$AM300,0)+IF(IFERROR(SEARCH("Oil", 'Inputs Yr 2'!$AN300), 0),'Inputs Yr 2'!$AO300,0)),0)</f>
        <v>0</v>
      </c>
      <c r="AE300" s="257">
        <f t="shared" si="148"/>
        <v>0</v>
      </c>
      <c r="AF300" s="257">
        <f>IFERROR(AD300*'Inputs Yr 2'!$P300,0)</f>
        <v>0</v>
      </c>
      <c r="AG300" s="257">
        <f t="shared" si="149"/>
        <v>0</v>
      </c>
      <c r="AH300" s="257">
        <f>IFERROR($G300*'Inputs Yr 2'!$Q300*'Inputs Yr 2'!$U300*(IF('Inputs Yr 2'!$AJ300=CD$4,'Inputs Yr 2'!$AK300,IF('Inputs Yr 2'!$AL300=CD$4,'Inputs Yr 2'!$AM300,IF('Inputs Yr 2'!$AN300=CD$4,'Inputs Yr 2'!$AO300,0)))),0)</f>
        <v>0</v>
      </c>
      <c r="AI300" s="257">
        <f t="shared" si="150"/>
        <v>0</v>
      </c>
      <c r="AJ300" s="257">
        <f>IFERROR(AH300*'Inputs Yr 2'!$P300,0)</f>
        <v>0</v>
      </c>
      <c r="AK300" s="257">
        <f t="shared" si="151"/>
        <v>0</v>
      </c>
      <c r="AL300" s="258">
        <f>IFERROR($G300*'Inputs Yr 2'!$P300*'Inputs Yr 2'!$Q300*'Inputs Yr 2'!AP300,0)</f>
        <v>0</v>
      </c>
      <c r="AM300" s="260">
        <f>IFERROR($G300*'Inputs Yr 2'!$P300*'Inputs Yr 2'!$Q300*'Inputs Yr 2'!AQ300,0)</f>
        <v>0</v>
      </c>
      <c r="AN300" s="258">
        <f>IFERROR($G300*'Inputs Yr 2'!$P300*'Inputs Yr 2'!$Q300*'Inputs Yr 2'!AR300,0)</f>
        <v>0</v>
      </c>
      <c r="AO300" s="257">
        <f t="shared" si="152"/>
        <v>0</v>
      </c>
      <c r="AP300" s="195">
        <f>IFERROR($CQ300*(INDEX(avoidedcosttbl2,$H300,AP$2)+(($H300-ROUNDDOWN($H300,0))*(INDEX(avoidedcosttbl2,ROUNDUP($H300,0),AP$2)-(INDEX(avoidedcosttbl2,ROUNDDOWN($H300,0),AP$2)))))*$O300*1000*'Inputs Yr 2'!AA300,"")</f>
        <v>0</v>
      </c>
      <c r="AQ300" s="195">
        <f>IFERROR($CR300*(INDEX(avoidedcosttbl2,$H300,AQ$2)+(($H300-ROUNDDOWN($H300,0))*(INDEX(avoidedcosttbl2,ROUNDUP($H300,0),AQ$2)-(INDEX(avoidedcosttbl2,ROUNDDOWN($H300,0),AQ$2)))))*$O300*1000*'Inputs Yr 2'!AB300,"")</f>
        <v>0</v>
      </c>
      <c r="AR300" s="195">
        <f>IFERROR($CS300*(INDEX(avoidedcosttbl2,$H300,AR$2)+(($H300-ROUNDDOWN($H300,0))*(INDEX(avoidedcosttbl2,ROUNDUP($H300,0),AR$2)-(INDEX(avoidedcosttbl2,ROUNDDOWN($H300,0),AR$2)))))*$O300*1000*'Inputs Yr 2'!AC300,"")</f>
        <v>0</v>
      </c>
      <c r="AS300" s="195">
        <f>IFERROR($CT300*(INDEX(avoidedcosttbl2,$H300,AS$2)+(($H300-ROUNDDOWN($H300,0))*(INDEX(avoidedcosttbl2,ROUNDUP($H300,0),AS$2)-(INDEX(avoidedcosttbl2,ROUNDDOWN($H300,0),AS$2)))))*$O300*1000*'Inputs Yr 2'!AD300,"")</f>
        <v>0</v>
      </c>
      <c r="AT300" s="196">
        <f t="shared" si="153"/>
        <v>0</v>
      </c>
      <c r="AU300" s="197">
        <f>IFERROR($CQ300*((INDEX(avoidedcosttbl2,$H300,AU$2))+(($H300-ROUNDDOWN($H300,0))*((INDEX(avoidedcosttbl2,ROUNDUP($H300,0),AU$2))-(INDEX(avoidedcosttbl2,ROUNDDOWN($H300,0),AU$2)))))*$O300*1000*'Inputs Yr 2'!AA300,"")</f>
        <v>0</v>
      </c>
      <c r="AV300" s="197">
        <f>IFERROR($CR300*((INDEX(avoidedcosttbl2,$H300,AV$2))+(($H300-ROUNDDOWN($H300,0))*((INDEX(avoidedcosttbl2,ROUNDUP($H300,0),AV$2))-(INDEX(avoidedcosttbl2,ROUNDDOWN($H300,0),AV$2)))))*$O300*1000*'Inputs Yr 2'!AB300,"")</f>
        <v>0</v>
      </c>
      <c r="AW300" s="197">
        <f>IFERROR($CS300*((INDEX(avoidedcosttbl2,$H300,AW$2))+(($H300-ROUNDDOWN($H300,0))*((INDEX(avoidedcosttbl2,ROUNDUP($H300,0),AW$2))-(INDEX(avoidedcosttbl2,ROUNDDOWN($H300,0),AW$2)))))*$O300*1000*'Inputs Yr 2'!AC300,"")</f>
        <v>0</v>
      </c>
      <c r="AX300" s="197">
        <f>IFERROR($CT300*((INDEX(avoidedcosttbl2,$H300,AX$2))+(($H300-ROUNDDOWN($H300,0))*((INDEX(avoidedcosttbl2,ROUNDUP($H300,0),AX$2))-(INDEX(avoidedcosttbl2,ROUNDDOWN($H300,0),AX$2)))))*$O300*1000*'Inputs Yr 2'!AD300,"")</f>
        <v>0</v>
      </c>
      <c r="AY300" s="197">
        <f>IFERROR(((INDEX(avoidedcosttbl2,$H300,AY$2))+(($H300-ROUNDDOWN($H300,0))*((INDEX(avoidedcosttbl2,ROUNDUP($H300,0),AY$2))-(INDEX(avoidedcosttbl2,ROUNDDOWN($H300,0),AY$2)))))*$O300*1000*('Inputs Yr 2'!AC300+'Inputs Yr 2'!AD300),"")</f>
        <v>0</v>
      </c>
      <c r="AZ300" s="197">
        <f>IFERROR(((INDEX(avoidedcosttbl2,$H300,AZ$2))+(($H300-ROUNDDOWN($H300,0))*((INDEX(avoidedcosttbl2,ROUNDUP($H300,0),AZ$2))-(INDEX(avoidedcosttbl2,ROUNDDOWN($H300,0),AZ$2)))))*$O300*1000*('Inputs Yr 2'!AA300+'Inputs Yr 2'!AB300),"")</f>
        <v>0</v>
      </c>
      <c r="BA300" s="198">
        <f t="shared" si="154"/>
        <v>0</v>
      </c>
      <c r="BB300" s="198">
        <f t="shared" si="155"/>
        <v>0</v>
      </c>
      <c r="BC300" s="195">
        <f t="shared" si="137"/>
        <v>0</v>
      </c>
      <c r="BD300" s="195">
        <f t="shared" si="138"/>
        <v>0</v>
      </c>
      <c r="BE300" s="195">
        <f t="shared" si="139"/>
        <v>0</v>
      </c>
      <c r="BF300" s="195">
        <f t="shared" si="140"/>
        <v>0</v>
      </c>
      <c r="BG300" s="195">
        <f t="shared" si="141"/>
        <v>0</v>
      </c>
      <c r="BH300" s="196">
        <f t="shared" si="156"/>
        <v>0</v>
      </c>
      <c r="BI300" s="196">
        <f t="shared" si="157"/>
        <v>0</v>
      </c>
      <c r="BJ300" s="195">
        <f>IFERROR($G300*(IF('Inputs Yr 2'!$AJ300=BJ$4,'Inputs Yr 2'!$AK300,IF('Inputs Yr 2'!$AL300=BJ$4,'Inputs Yr 2'!$AM300,IF('Inputs Yr 2'!$AN300=BJ$4,'Inputs Yr 2'!$AO300,0))))*(INDEX(avoidedcosttbl2,$H300,BJ$2)+(($H300-ROUNDDOWN($H300,0))*(INDEX(avoidedcosttbl2,ROUNDUP($H300,0),BJ$2)-(INDEX(avoidedcosttbl2,ROUNDDOWN($H300,0),BJ$2)))))*'Inputs Yr 2'!P300*'Inputs Yr 2'!Q300*'Inputs Yr 2'!U300,"")</f>
        <v>0</v>
      </c>
      <c r="BK300" s="195">
        <f>IFERROR($G300*(IF('Inputs Yr 2'!$AJ300=BK$4,'Inputs Yr 2'!$AK300,IF('Inputs Yr 2'!$AL300=BK$4,'Inputs Yr 2'!$AM300,IF('Inputs Yr 2'!$AN300=BK$4,'Inputs Yr 2'!$AO300,0))))*(INDEX(avoidedcosttbl2,$H300,BK$2)+(($H300-ROUNDDOWN($H300,0))*(INDEX(avoidedcosttbl2,ROUNDUP($H300,0),BK$2)-(INDEX(avoidedcosttbl2,ROUNDDOWN($H300,0),BK$2)))))*'Inputs Yr 2'!P300*'Inputs Yr 2'!Q300*'Inputs Yr 2'!U300,"")</f>
        <v>0</v>
      </c>
      <c r="BL300" s="195">
        <f>IFERROR($G300*(IF('Inputs Yr 2'!$AJ300=BL$4,'Inputs Yr 2'!$AK300,IF('Inputs Yr 2'!$AL300=BL$4,'Inputs Yr 2'!$AM300,IF('Inputs Yr 2'!$AN300=BL$4,'Inputs Yr 2'!$AO300,0))))*(INDEX(avoidedcosttbl2,$H300,BL$2)+(($H300-ROUNDDOWN($H300,0))*(INDEX(avoidedcosttbl2,ROUNDUP($H300,0),BL$2)-(INDEX(avoidedcosttbl2,ROUNDDOWN($H300,0),BL$2)))))*'Inputs Yr 2'!P300*'Inputs Yr 2'!Q300*'Inputs Yr 2'!U300,"")</f>
        <v>0</v>
      </c>
      <c r="BM300" s="195">
        <f>IFERROR($G300*(IF('Inputs Yr 2'!$AJ300=BM$4,'Inputs Yr 2'!$AK300,IF('Inputs Yr 2'!$AL300=BM$4,'Inputs Yr 2'!$AM300,IF('Inputs Yr 2'!$AN300=BM$4,'Inputs Yr 2'!$AO300,0))))*(INDEX(avoidedcosttbl2,$H300,BM$2)+(($H300-ROUNDDOWN($H300,0))*(INDEX(avoidedcosttbl2,ROUNDUP($H300,0),BM$2)-(INDEX(avoidedcosttbl2,ROUNDDOWN($H300,0),BM$2)))))*'Inputs Yr 2'!P300*'Inputs Yr 2'!Q300*'Inputs Yr 2'!U300,"")</f>
        <v>0</v>
      </c>
      <c r="BN300" s="195">
        <f>IFERROR($G300*(IF('Inputs Yr 2'!$AJ300=BN$4,'Inputs Yr 2'!$AK300,IF('Inputs Yr 2'!$AL300=BN$4,'Inputs Yr 2'!$AM300,IF('Inputs Yr 2'!$AN300=BN$4,'Inputs Yr 2'!$AO300,0))))*(INDEX(avoidedcosttbl2,$H300,BN$2)+(($H300-ROUNDDOWN($H300,0))*(INDEX(avoidedcosttbl2,ROUNDUP($H300,0),BN$2)-(INDEX(avoidedcosttbl2,ROUNDDOWN($H300,0),BN$2)))))*'Inputs Yr 2'!P300*'Inputs Yr 2'!Q300*'Inputs Yr 2'!U300,"")</f>
        <v>0</v>
      </c>
      <c r="BO300" s="195">
        <f>IFERROR($G300*(IF('Inputs Yr 2'!$AJ300=BO$4,'Inputs Yr 2'!$AK300,IF('Inputs Yr 2'!$AL300=BO$4,'Inputs Yr 2'!$AM300,IF('Inputs Yr 2'!$AN300=BO$4,'Inputs Yr 2'!$AO300,0))))*(INDEX(avoidedcosttbl2,$H300,BO$2)+(($H300-ROUNDDOWN($H300,0))*(INDEX(avoidedcosttbl2,ROUNDUP($H300,0),BO$2)-(INDEX(avoidedcosttbl2,ROUNDDOWN($H300,0),BO$2)))))*'Inputs Yr 2'!P300*'Inputs Yr 2'!Q300*'Inputs Yr 2'!U300,"")</f>
        <v>47670.706253820696</v>
      </c>
      <c r="BP300" s="195">
        <f>IFERROR($G300*(IF('Inputs Yr 2'!$AJ300=BP$4,'Inputs Yr 2'!$AK300,IF('Inputs Yr 2'!$AL300=BP$4,'Inputs Yr 2'!$AM300,IF('Inputs Yr 2'!$AN300=BP$4,'Inputs Yr 2'!$AO300,0))))*(INDEX(avoidedcosttbl2,$H300,BP$2)+(($H300-ROUNDDOWN($H300,0))*(INDEX(avoidedcosttbl2,ROUNDUP($H300,0),BP$2)-(INDEX(avoidedcosttbl2,ROUNDDOWN($H300,0),BP$2)))))*'Inputs Yr 2'!P300*'Inputs Yr 2'!Q300*'Inputs Yr 2'!U300,"")</f>
        <v>0</v>
      </c>
      <c r="BQ300" s="230">
        <f t="shared" si="158"/>
        <v>47670.706253820696</v>
      </c>
      <c r="BR300" s="197">
        <f t="shared" si="142"/>
        <v>828.48128852509171</v>
      </c>
      <c r="BS300" s="197">
        <f>IFERROR(($G300*IF('Inputs Yr 2'!$AJ300=BM$4,'Inputs Yr 2'!$AK300,IF('Inputs Yr 2'!$AL300=BM$4,'Inputs Yr 2'!$AM300,IF('Inputs Yr 2'!$AN300=BM$4,'Inputs Yr 2'!$AO300,0))))*(INDEX(avoidedcosttbl2,$H300,BS$2)+(($H300-ROUNDDOWN($H300,0))*(INDEX(avoidedcosttbl2,ROUNDUP($H300,0),BS$2)-(INDEX(avoidedcosttbl2,ROUNDDOWN($H300,0),BS$2)))))*'Inputs Yr 2'!P300*'Inputs Yr 2'!Q300*'Inputs Yr 2'!U300,"")</f>
        <v>0</v>
      </c>
      <c r="BT300" s="197">
        <f>IFERROR(($G300*IF('Inputs Yr 2'!$AJ300=BK$4,'Inputs Yr 2'!$AK300,IF('Inputs Yr 2'!$AL300=BK$4,'Inputs Yr 2'!$AM300,IF('Inputs Yr 2'!$AN300=BK$4,'Inputs Yr 2'!$AO300,0))))*(INDEX(avoidedcosttbl2,$H300,BT$2)+(($H300-ROUNDDOWN($H300,0))*(INDEX(avoidedcosttbl2,ROUNDUP($H300,0),BT$2)-(INDEX(avoidedcosttbl2,ROUNDDOWN($H300,0),BT$2)))))*'Inputs Yr 2'!P300*'Inputs Yr 2'!Q300*'Inputs Yr 2'!U300,"")</f>
        <v>0</v>
      </c>
      <c r="BU300" s="197">
        <f>IFERROR(($G300*IF('Inputs Yr 2'!$AJ300=BL$4,'Inputs Yr 2'!$AK300,IF('Inputs Yr 2'!$AL300=BL$4,'Inputs Yr 2'!$AM300,IF('Inputs Yr 2'!$AN300=BL$4,'Inputs Yr 2'!$AO300,0))))*(INDEX(avoidedcosttbl2,$H300,BU$2)+(($H300-ROUNDDOWN($H300,0))*(INDEX(avoidedcosttbl2,ROUNDUP($H300,0),BU$2)-(INDEX(avoidedcosttbl2,ROUNDDOWN($H300,0),BU$2)))))*'Inputs Yr 2'!P300*'Inputs Yr 2'!Q300*'Inputs Yr 2'!U300,"")</f>
        <v>0</v>
      </c>
      <c r="BV300" s="775">
        <f>IFERROR(($G300*IF('Inputs Yr 2'!$AJ300=BJ$4,'Inputs Yr 2'!$AK300,IF('Inputs Yr 2'!$AL300=BJ$4,'Inputs Yr 2'!$AM300,IF('Inputs Yr 2'!$AN300=BJ$4,'Inputs Yr 2'!$AO300,0))))*(INDEX(avoidedcosttbl2,$H300,BV$2)+(($H300-ROUNDDOWN($H300,0))*(INDEX(avoidedcosttbl2,ROUNDUP($H300,0),BV$2)-(INDEX(avoidedcosttbl2,ROUNDDOWN($H300,0),BV$2)))))*'Inputs Yr 2'!P300*'Inputs Yr 2'!Q300*'Inputs Yr 2'!U300,"")</f>
        <v>0</v>
      </c>
      <c r="BW300" s="197">
        <f>IFERROR(($G300*IF('Inputs Yr 2'!$AJ300=BN$4,'Inputs Yr 2'!$AK300,IF('Inputs Yr 2'!$AL300=BN$4,'Inputs Yr 2'!$AM300,IF('Inputs Yr 2'!$AN300=BN$4,'Inputs Yr 2'!$AO300,0))))*(INDEX(avoidedcosttbl2,$H300,BW$2)+(($H300-ROUNDDOWN($H300,0))*(INDEX(avoidedcosttbl2,ROUNDUP($H300,0),BW$2)-(INDEX(avoidedcosttbl2,ROUNDDOWN($H300,0),BW$2)))))*'Inputs Yr 2'!P300*'Inputs Yr 2'!Q300*'Inputs Yr 2'!U300,"")</f>
        <v>0</v>
      </c>
      <c r="BX300" s="197">
        <f>IFERROR(($G300*IF('Inputs Yr 2'!$AJ300=BO$4,'Inputs Yr 2'!$AK300,IF('Inputs Yr 2'!$AL300=BO$4,'Inputs Yr 2'!$AM300,IF('Inputs Yr 2'!$AN300=BO$4,'Inputs Yr 2'!$AO300,0))))*(INDEX(avoidedcosttbl2,$H300,BX$2)+(($H300-ROUNDDOWN($H300,0))*(INDEX(avoidedcosttbl2,ROUNDUP($H300,0),BX$2)-(INDEX(avoidedcosttbl2,ROUNDDOWN($H300,0),BX$2)))))*'Inputs Yr 2'!P300*'Inputs Yr 2'!Q300*'Inputs Yr 2'!U300,"")</f>
        <v>3359.6753223501078</v>
      </c>
      <c r="BY300" s="197">
        <f>IFERROR(($G300*IF('Inputs Yr 2'!$AJ300=BP$4,'Inputs Yr 2'!$AK300,IF('Inputs Yr 2'!$AL300=BP$4,'Inputs Yr 2'!$AM300,IF('Inputs Yr 2'!$AN300=BP$4,'Inputs Yr 2'!$AO300,0))))*(INDEX(avoidedcosttbl2,$H300,BY$2)+(($H300-ROUNDDOWN($H300,0))*(INDEX(avoidedcosttbl2,ROUNDUP($H300,0),BY$2)-(INDEX(avoidedcosttbl2,ROUNDDOWN($H300,0),BY$2)))))*'Inputs Yr 2'!P300*'Inputs Yr 2'!Q300*'Inputs Yr 2'!U300,"")</f>
        <v>0</v>
      </c>
      <c r="BZ300" s="193">
        <f t="shared" si="159"/>
        <v>4188.1566108751995</v>
      </c>
      <c r="CA300" s="193">
        <f t="shared" si="160"/>
        <v>51858.862864695897</v>
      </c>
      <c r="CB300" s="195">
        <f>IFERROR(G300*(IF('Inputs Yr 2'!$AJ300=CB$4,'Inputs Yr 2'!$AK300,IF('Inputs Yr 2'!$AL300=CB$4,'Inputs Yr 2'!$AM300,IF('Inputs Yr 2'!$AN300=CB$4,'Inputs Yr 2'!$AO300,0))))*(INDEX(avoidedcosttbl2,$H300,CB$2)+(($H300-ROUNDDOWN($H300,0))*(INDEX(avoidedcosttbl2,ROUNDUP($H300,0),CB$2)-(INDEX(avoidedcosttbl2,ROUNDDOWN($H300,0),CB$2)))))*'Inputs Yr 2'!P300*'Inputs Yr 2'!Q300*'Inputs Yr 2'!U300,"")</f>
        <v>0</v>
      </c>
      <c r="CC300" s="195">
        <f>IFERROR(H300*(IF('Inputs Yr 2'!$AJ300=CC$4,'Inputs Yr 2'!$AK300,IF('Inputs Yr 2'!$AL300=CC$4,'Inputs Yr 2'!$AM300,IF('Inputs Yr 2'!$AN300=CC$4,'Inputs Yr 2'!$AO300,0))))*(INDEX(avoidedcosttbl2,$H300,CC$2)+(($H300-ROUNDDOWN($H300,0))*(INDEX(avoidedcosttbl2,ROUNDUP($H300,0),CC$2)-(INDEX(avoidedcosttbl2,ROUNDDOWN($H300,0),CC$2)))))*'Inputs Yr 2'!Q300*'Inputs Yr 2'!R300*'Inputs Yr 2'!V300,"")</f>
        <v>0</v>
      </c>
      <c r="CD300" s="195">
        <f>IFERROR(I300*(IF('Inputs Yr 2'!$AJ300=CD$4,'Inputs Yr 2'!$AK300,IF('Inputs Yr 2'!$AL300=CD$4,'Inputs Yr 2'!$AM300,IF('Inputs Yr 2'!$AN300=CD$4,'Inputs Yr 2'!$AO300,0))))*(INDEX(avoidedcosttbl2,$H300,CD$2)+(($H300-ROUNDDOWN($H300,0))*(INDEX(avoidedcosttbl2,ROUNDUP($H300,0),CD$2)-(INDEX(avoidedcosttbl2,ROUNDDOWN($H300,0),CD$2)))))*'Inputs Yr 2'!R300*'Inputs Yr 2'!S300*'Inputs Yr 2'!W300,"")</f>
        <v>0</v>
      </c>
      <c r="CE300" s="213">
        <f t="shared" si="161"/>
        <v>0</v>
      </c>
      <c r="CF300" s="213">
        <f t="shared" si="162"/>
        <v>0</v>
      </c>
      <c r="CG300" s="213">
        <f t="shared" si="163"/>
        <v>0</v>
      </c>
      <c r="CH300" s="698">
        <f t="shared" si="164"/>
        <v>51858.862864695897</v>
      </c>
      <c r="CI300" s="79">
        <f>IFERROR(($G300*'Inputs Yr 2'!$P300*'Inputs Yr 2'!$Q300*(((INDEX(avoidedcosttbl2,$H300,CI$2)+(($H300-ROUNDDOWN($H300,0))*(INDEX(avoidedcosttbl2,ROUNDUP($H300,0),CI$2)-INDEX(avoidedcosttbl2,ROUNDDOWN($H300,0),CI$2))))*'Inputs Yr 2'!AS300))),"")</f>
        <v>0</v>
      </c>
      <c r="CJ300" s="504">
        <f>IFERROR($G300*'Inputs Yr 2'!AT300*'Inputs Yr 2'!$P300*'Inputs Yr 2'!$Q300/((1+realdiscrt1)^-0.5),"")</f>
        <v>0</v>
      </c>
      <c r="CK300" s="79">
        <f>IFERROR((O300*1000*(((INDEX(avoidedcosttbl2,$H300,CK$2)+(($H300-ROUNDDOWN($H300,0))*(INDEX(avoidedcosttbl2,ROUNDUP($H300,0),CK$2)-INDEX(avoidedcosttbl2,ROUNDDOWN($H300,0),CK$2))))*'Inputs Yr 2'!AU300))),"")</f>
        <v>0</v>
      </c>
      <c r="CL300" s="504">
        <f>IFERROR(O300*1000*'Inputs Yr 2'!AV300/((1+realdiscrt1)^-0.5),"")</f>
        <v>0</v>
      </c>
      <c r="CM300" s="79">
        <f>IFERROR((AB300*'Inputs Yr 2'!AW300*(((INDEX(avoidedcosttbl2,$H300,CM$2)+(($H300-ROUNDDOWN($H300,0))*(INDEX(avoidedcosttbl2,ROUNDUP($H300,0),CM$2)-INDEX(avoidedcosttbl2,ROUNDDOWN($H300,0),CM$2)))))))*10,"")</f>
        <v>0</v>
      </c>
      <c r="CN300" s="504">
        <f>IFERROR(10*AB300*'Inputs Yr 2'!AX300/((1+realdiscrt1)^-0.5),"")</f>
        <v>0</v>
      </c>
      <c r="CO300" s="505">
        <f t="shared" si="165"/>
        <v>0</v>
      </c>
      <c r="CP300" s="230">
        <f t="shared" si="166"/>
        <v>51858.862864695897</v>
      </c>
      <c r="CQ300" s="199">
        <f>ROUND(IFERROR(IF(LEFT($A300,1)="C",'Avoided Costs'!$K$13,'Avoided Costs'!$K$12)+1,""),4)</f>
        <v>1.0720000000000001</v>
      </c>
      <c r="CR300" s="199">
        <f>ROUND(IFERROR(IF(LEFT($A300,1)="C",'Avoided Costs'!$L$13,'Avoided Costs'!$L$12)+1,""),4)</f>
        <v>1.04</v>
      </c>
      <c r="CS300" s="199">
        <f>ROUND(IFERROR(IF(LEFT($A300,1)="C",'Avoided Costs'!$M$13,'Avoided Costs'!$M$12)+1,""),4)</f>
        <v>1.0720000000000001</v>
      </c>
      <c r="CT300" s="199">
        <f>ROUND(IFERROR(IF(LEFT($A300,1)="C",'Avoided Costs'!$N$13,'Avoided Costs'!$N$12)+1,""),4)</f>
        <v>1.04</v>
      </c>
      <c r="CU300" s="199">
        <f>ROUND(IFERROR(IF(LEFT($A300,1)="C",'Avoided Costs'!$O$13,'Avoided Costs'!$O$12)+1,""),4)</f>
        <v>1.1120000000000001</v>
      </c>
      <c r="CV300" s="199">
        <f>ROUND(IFERROR(IF(LEFT($A300,1)="C",'Avoided Costs'!$P$13,'Avoided Costs'!$P$12)+1,""),4)</f>
        <v>1.095</v>
      </c>
      <c r="CW300" s="199">
        <f>ROUND(IFERROR(IF(LEFT($A300,1)="C",'Avoided Costs'!$Q$13,'Avoided Costs'!$Q$12)+1,""),4)</f>
        <v>1.1120000000000001</v>
      </c>
      <c r="CX300" s="200">
        <f>ROUND(IFERROR(IF(LEFT($A300,1)="C",'Avoided Costs'!$R$13,'Avoided Costs'!$R$12)+1,""),4)</f>
        <v>1.1120000000000001</v>
      </c>
    </row>
    <row r="301" spans="1:102" ht="12.75" customHeight="1">
      <c r="A301" s="91" t="str">
        <f>IF('Inputs Yr 2'!$B301=0,"",'Inputs Yr 2'!A301)</f>
        <v>C - Commercial &amp; Industrial</v>
      </c>
      <c r="B301" s="91" t="str">
        <f>IF('Inputs Yr 2'!$B301=0,"",'Inputs Yr 2'!B301)</f>
        <v>C2 - C&amp;I Retrofit</v>
      </c>
      <c r="C301" s="91" t="str">
        <f>IF('Inputs Yr 2'!$B301=0,"",'Inputs Yr 2'!C301)</f>
        <v>C2b - C&amp;I Small Business</v>
      </c>
      <c r="D301" s="91" t="str">
        <f>IF('Inputs Yr 2'!$B301=0,"",'Inputs Yr 2'!E301)</f>
        <v>Heating - Prescriptive</v>
      </c>
      <c r="E301" s="93" t="str">
        <f>IF('Inputs Yr 2'!$B301=0,"",'Inputs Yr 2'!F301)</f>
        <v>G16C2b06</v>
      </c>
      <c r="F301" s="93" t="str">
        <f>IF('Inputs Yr 2'!$B301=0,"",'Inputs Yr 2'!G301)</f>
        <v>HVAC</v>
      </c>
      <c r="G301" s="95" t="str">
        <f>IF('Inputs Yr 2'!$H301&lt;&gt;0,('Inputs Yr 2'!H301),"")</f>
        <v/>
      </c>
      <c r="H301" s="94">
        <f>IFERROR('Inputs Yr 2'!I301,"")</f>
        <v>15</v>
      </c>
      <c r="I301" s="298" t="str">
        <f>IFERROR('Inputs Yr 2'!J301*'Inputs Yr 2'!P301*G301,"")</f>
        <v/>
      </c>
      <c r="J301" s="298" t="str">
        <f>IFERROR('Inputs Yr 2'!K301*G301,"")</f>
        <v/>
      </c>
      <c r="K301" s="298" t="str">
        <f t="shared" si="143"/>
        <v/>
      </c>
      <c r="L301" s="194" t="str">
        <f>IFERROR(('Inputs Yr 2'!W301*G301)/1000,"")</f>
        <v/>
      </c>
      <c r="M301" s="194" t="str">
        <f>IFERROR(L301*('Inputs Yr 2'!$Q301*'Inputs Yr 2'!$V301*'Inputs Yr 2'!$R301),"")</f>
        <v/>
      </c>
      <c r="N301" s="194" t="str">
        <f t="shared" si="144"/>
        <v/>
      </c>
      <c r="O301" s="194" t="str">
        <f>IFERROR(M301*'Inputs Yr 2'!P301,"")</f>
        <v/>
      </c>
      <c r="P301" s="194" t="str">
        <f t="shared" si="145"/>
        <v/>
      </c>
      <c r="Q301" s="194" t="str">
        <f>IFERROR($P301*'Inputs Yr 2'!AA301,"")</f>
        <v/>
      </c>
      <c r="R301" s="194" t="str">
        <f>IFERROR($P301*'Inputs Yr 2'!AB301,"")</f>
        <v/>
      </c>
      <c r="S301" s="194" t="str">
        <f>IFERROR($P301*'Inputs Yr 2'!AC301,"")</f>
        <v/>
      </c>
      <c r="T301" s="194" t="str">
        <f>IFERROR($P301*'Inputs Yr 2'!AD301,"")</f>
        <v/>
      </c>
      <c r="U301" s="194" t="str">
        <f>IFERROR(G301*'Inputs Yr 2'!$AE301*'Inputs Yr 2'!$P301*'Inputs Yr 2'!$Q301,"")</f>
        <v/>
      </c>
      <c r="V301" s="194" t="str">
        <f>IFERROR($G301*'Inputs Yr 2'!$AE301*'Inputs Yr 2'!$AG301*'Inputs Yr 2'!Q301*'Inputs Yr 2'!$S301,"")</f>
        <v/>
      </c>
      <c r="W301" s="194" t="str">
        <f>IFERROR($G301*'Inputs Yr 2'!$AE301*'Inputs Yr 2'!$AG301*'Inputs Yr 2'!P301*'Inputs Yr 2'!Q301*'Inputs Yr 2'!$S301,"")</f>
        <v/>
      </c>
      <c r="X301" s="194" t="str">
        <f>IFERROR($G301*'Inputs Yr 2'!$AE301*'Inputs Yr 2'!$AF301*'Inputs Yr 2'!Q301*'Inputs Yr 2'!$T301,"")</f>
        <v/>
      </c>
      <c r="Y301" s="194" t="str">
        <f>IFERROR($G301*'Inputs Yr 2'!$AE301*'Inputs Yr 2'!$AF301*'Inputs Yr 2'!P301*'Inputs Yr 2'!Q301*'Inputs Yr 2'!$T301,"")</f>
        <v/>
      </c>
      <c r="Z301" s="257">
        <f>IFERROR($G301*'Inputs Yr 2'!$Q301*'Inputs Yr 2'!$U301*(IF(IFERROR(SEARCH("NG", 'Inputs Yr 2'!$AJ301),0),'Inputs Yr 2'!$AK301,0)+IF(IFERROR(SEARCH("NG", 'Inputs Yr 2'!$AL301),0),'Inputs Yr 2'!$AM301,0)+IF(IFERROR(SEARCH("NG", 'Inputs Yr 2'!$AN301),0),'Inputs Yr 2'!$AO301,0)),0)</f>
        <v>0</v>
      </c>
      <c r="AA301" s="257">
        <f t="shared" si="146"/>
        <v>0</v>
      </c>
      <c r="AB301" s="257">
        <f>IFERROR(Z301*'Inputs Yr 2'!$P301,0)</f>
        <v>0</v>
      </c>
      <c r="AC301" s="257">
        <f t="shared" si="147"/>
        <v>0</v>
      </c>
      <c r="AD301" s="257">
        <f>IFERROR($G301*'Inputs Yr 2'!$Q301*'Inputs Yr 2'!$U301*(IF(IFERROR(SEARCH("Oil", 'Inputs Yr 2'!$AJ301), 0),'Inputs Yr 2'!$AK301,0)+IF(IFERROR(SEARCH("Oil", 'Inputs Yr 2'!$AL301), 0),'Inputs Yr 2'!$AM301,0)+IF(IFERROR(SEARCH("Oil", 'Inputs Yr 2'!$AN301), 0),'Inputs Yr 2'!$AO301,0)),0)</f>
        <v>0</v>
      </c>
      <c r="AE301" s="257">
        <f t="shared" si="148"/>
        <v>0</v>
      </c>
      <c r="AF301" s="257">
        <f>IFERROR(AD301*'Inputs Yr 2'!$P301,0)</f>
        <v>0</v>
      </c>
      <c r="AG301" s="257">
        <f t="shared" si="149"/>
        <v>0</v>
      </c>
      <c r="AH301" s="257">
        <f>IFERROR($G301*'Inputs Yr 2'!$Q301*'Inputs Yr 2'!$U301*(IF('Inputs Yr 2'!$AJ301=CD$4,'Inputs Yr 2'!$AK301,IF('Inputs Yr 2'!$AL301=CD$4,'Inputs Yr 2'!$AM301,IF('Inputs Yr 2'!$AN301=CD$4,'Inputs Yr 2'!$AO301,0)))),0)</f>
        <v>0</v>
      </c>
      <c r="AI301" s="257">
        <f t="shared" si="150"/>
        <v>0</v>
      </c>
      <c r="AJ301" s="257">
        <f>IFERROR(AH301*'Inputs Yr 2'!$P301,0)</f>
        <v>0</v>
      </c>
      <c r="AK301" s="257">
        <f t="shared" si="151"/>
        <v>0</v>
      </c>
      <c r="AL301" s="258">
        <f>IFERROR($G301*'Inputs Yr 2'!$P301*'Inputs Yr 2'!$Q301*'Inputs Yr 2'!AP301,0)</f>
        <v>0</v>
      </c>
      <c r="AM301" s="260">
        <f>IFERROR($G301*'Inputs Yr 2'!$P301*'Inputs Yr 2'!$Q301*'Inputs Yr 2'!AQ301,0)</f>
        <v>0</v>
      </c>
      <c r="AN301" s="258">
        <f>IFERROR($G301*'Inputs Yr 2'!$P301*'Inputs Yr 2'!$Q301*'Inputs Yr 2'!AR301,0)</f>
        <v>0</v>
      </c>
      <c r="AO301" s="257">
        <f t="shared" si="152"/>
        <v>0</v>
      </c>
      <c r="AP301" s="195" t="str">
        <f>IFERROR($CQ301*(INDEX(avoidedcosttbl2,$H301,AP$2)+(($H301-ROUNDDOWN($H301,0))*(INDEX(avoidedcosttbl2,ROUNDUP($H301,0),AP$2)-(INDEX(avoidedcosttbl2,ROUNDDOWN($H301,0),AP$2)))))*$O301*1000*'Inputs Yr 2'!AA301,"")</f>
        <v/>
      </c>
      <c r="AQ301" s="195" t="str">
        <f>IFERROR($CR301*(INDEX(avoidedcosttbl2,$H301,AQ$2)+(($H301-ROUNDDOWN($H301,0))*(INDEX(avoidedcosttbl2,ROUNDUP($H301,0),AQ$2)-(INDEX(avoidedcosttbl2,ROUNDDOWN($H301,0),AQ$2)))))*$O301*1000*'Inputs Yr 2'!AB301,"")</f>
        <v/>
      </c>
      <c r="AR301" s="195" t="str">
        <f>IFERROR($CS301*(INDEX(avoidedcosttbl2,$H301,AR$2)+(($H301-ROUNDDOWN($H301,0))*(INDEX(avoidedcosttbl2,ROUNDUP($H301,0),AR$2)-(INDEX(avoidedcosttbl2,ROUNDDOWN($H301,0),AR$2)))))*$O301*1000*'Inputs Yr 2'!AC301,"")</f>
        <v/>
      </c>
      <c r="AS301" s="195" t="str">
        <f>IFERROR($CT301*(INDEX(avoidedcosttbl2,$H301,AS$2)+(($H301-ROUNDDOWN($H301,0))*(INDEX(avoidedcosttbl2,ROUNDUP($H301,0),AS$2)-(INDEX(avoidedcosttbl2,ROUNDDOWN($H301,0),AS$2)))))*$O301*1000*'Inputs Yr 2'!AD301,"")</f>
        <v/>
      </c>
      <c r="AT301" s="196">
        <f t="shared" si="153"/>
        <v>0</v>
      </c>
      <c r="AU301" s="197" t="str">
        <f>IFERROR($CQ301*((INDEX(avoidedcosttbl2,$H301,AU$2))+(($H301-ROUNDDOWN($H301,0))*((INDEX(avoidedcosttbl2,ROUNDUP($H301,0),AU$2))-(INDEX(avoidedcosttbl2,ROUNDDOWN($H301,0),AU$2)))))*$O301*1000*'Inputs Yr 2'!AA301,"")</f>
        <v/>
      </c>
      <c r="AV301" s="197" t="str">
        <f>IFERROR($CR301*((INDEX(avoidedcosttbl2,$H301,AV$2))+(($H301-ROUNDDOWN($H301,0))*((INDEX(avoidedcosttbl2,ROUNDUP($H301,0),AV$2))-(INDEX(avoidedcosttbl2,ROUNDDOWN($H301,0),AV$2)))))*$O301*1000*'Inputs Yr 2'!AB301,"")</f>
        <v/>
      </c>
      <c r="AW301" s="197" t="str">
        <f>IFERROR($CS301*((INDEX(avoidedcosttbl2,$H301,AW$2))+(($H301-ROUNDDOWN($H301,0))*((INDEX(avoidedcosttbl2,ROUNDUP($H301,0),AW$2))-(INDEX(avoidedcosttbl2,ROUNDDOWN($H301,0),AW$2)))))*$O301*1000*'Inputs Yr 2'!AC301,"")</f>
        <v/>
      </c>
      <c r="AX301" s="197" t="str">
        <f>IFERROR($CT301*((INDEX(avoidedcosttbl2,$H301,AX$2))+(($H301-ROUNDDOWN($H301,0))*((INDEX(avoidedcosttbl2,ROUNDUP($H301,0),AX$2))-(INDEX(avoidedcosttbl2,ROUNDDOWN($H301,0),AX$2)))))*$O301*1000*'Inputs Yr 2'!AD301,"")</f>
        <v/>
      </c>
      <c r="AY301" s="197" t="str">
        <f>IFERROR(((INDEX(avoidedcosttbl2,$H301,AY$2))+(($H301-ROUNDDOWN($H301,0))*((INDEX(avoidedcosttbl2,ROUNDUP($H301,0),AY$2))-(INDEX(avoidedcosttbl2,ROUNDDOWN($H301,0),AY$2)))))*$O301*1000*('Inputs Yr 2'!AC301+'Inputs Yr 2'!AD301),"")</f>
        <v/>
      </c>
      <c r="AZ301" s="197" t="str">
        <f>IFERROR(((INDEX(avoidedcosttbl2,$H301,AZ$2))+(($H301-ROUNDDOWN($H301,0))*((INDEX(avoidedcosttbl2,ROUNDUP($H301,0),AZ$2))-(INDEX(avoidedcosttbl2,ROUNDDOWN($H301,0),AZ$2)))))*$O301*1000*('Inputs Yr 2'!AA301+'Inputs Yr 2'!AB301),"")</f>
        <v/>
      </c>
      <c r="BA301" s="198">
        <f t="shared" si="154"/>
        <v>0</v>
      </c>
      <c r="BB301" s="198">
        <f t="shared" si="155"/>
        <v>0</v>
      </c>
      <c r="BC301" s="195" t="str">
        <f t="shared" si="137"/>
        <v/>
      </c>
      <c r="BD301" s="195" t="str">
        <f t="shared" si="138"/>
        <v/>
      </c>
      <c r="BE301" s="195" t="str">
        <f t="shared" si="139"/>
        <v/>
      </c>
      <c r="BF301" s="195" t="str">
        <f t="shared" si="140"/>
        <v/>
      </c>
      <c r="BG301" s="195" t="str">
        <f t="shared" si="141"/>
        <v/>
      </c>
      <c r="BH301" s="196">
        <f t="shared" si="156"/>
        <v>0</v>
      </c>
      <c r="BI301" s="196">
        <f t="shared" si="157"/>
        <v>0</v>
      </c>
      <c r="BJ301" s="195" t="str">
        <f>IFERROR($G301*(IF('Inputs Yr 2'!$AJ301=BJ$4,'Inputs Yr 2'!$AK301,IF('Inputs Yr 2'!$AL301=BJ$4,'Inputs Yr 2'!$AM301,IF('Inputs Yr 2'!$AN301=BJ$4,'Inputs Yr 2'!$AO301,0))))*(INDEX(avoidedcosttbl2,$H301,BJ$2)+(($H301-ROUNDDOWN($H301,0))*(INDEX(avoidedcosttbl2,ROUNDUP($H301,0),BJ$2)-(INDEX(avoidedcosttbl2,ROUNDDOWN($H301,0),BJ$2)))))*'Inputs Yr 2'!P301*'Inputs Yr 2'!Q301*'Inputs Yr 2'!U301,"")</f>
        <v/>
      </c>
      <c r="BK301" s="195" t="str">
        <f>IFERROR($G301*(IF('Inputs Yr 2'!$AJ301=BK$4,'Inputs Yr 2'!$AK301,IF('Inputs Yr 2'!$AL301=BK$4,'Inputs Yr 2'!$AM301,IF('Inputs Yr 2'!$AN301=BK$4,'Inputs Yr 2'!$AO301,0))))*(INDEX(avoidedcosttbl2,$H301,BK$2)+(($H301-ROUNDDOWN($H301,0))*(INDEX(avoidedcosttbl2,ROUNDUP($H301,0),BK$2)-(INDEX(avoidedcosttbl2,ROUNDDOWN($H301,0),BK$2)))))*'Inputs Yr 2'!P301*'Inputs Yr 2'!Q301*'Inputs Yr 2'!U301,"")</f>
        <v/>
      </c>
      <c r="BL301" s="195" t="str">
        <f>IFERROR($G301*(IF('Inputs Yr 2'!$AJ301=BL$4,'Inputs Yr 2'!$AK301,IF('Inputs Yr 2'!$AL301=BL$4,'Inputs Yr 2'!$AM301,IF('Inputs Yr 2'!$AN301=BL$4,'Inputs Yr 2'!$AO301,0))))*(INDEX(avoidedcosttbl2,$H301,BL$2)+(($H301-ROUNDDOWN($H301,0))*(INDEX(avoidedcosttbl2,ROUNDUP($H301,0),BL$2)-(INDEX(avoidedcosttbl2,ROUNDDOWN($H301,0),BL$2)))))*'Inputs Yr 2'!P301*'Inputs Yr 2'!Q301*'Inputs Yr 2'!U301,"")</f>
        <v/>
      </c>
      <c r="BM301" s="195" t="str">
        <f>IFERROR($G301*(IF('Inputs Yr 2'!$AJ301=BM$4,'Inputs Yr 2'!$AK301,IF('Inputs Yr 2'!$AL301=BM$4,'Inputs Yr 2'!$AM301,IF('Inputs Yr 2'!$AN301=BM$4,'Inputs Yr 2'!$AO301,0))))*(INDEX(avoidedcosttbl2,$H301,BM$2)+(($H301-ROUNDDOWN($H301,0))*(INDEX(avoidedcosttbl2,ROUNDUP($H301,0),BM$2)-(INDEX(avoidedcosttbl2,ROUNDDOWN($H301,0),BM$2)))))*'Inputs Yr 2'!P301*'Inputs Yr 2'!Q301*'Inputs Yr 2'!U301,"")</f>
        <v/>
      </c>
      <c r="BN301" s="195" t="str">
        <f>IFERROR($G301*(IF('Inputs Yr 2'!$AJ301=BN$4,'Inputs Yr 2'!$AK301,IF('Inputs Yr 2'!$AL301=BN$4,'Inputs Yr 2'!$AM301,IF('Inputs Yr 2'!$AN301=BN$4,'Inputs Yr 2'!$AO301,0))))*(INDEX(avoidedcosttbl2,$H301,BN$2)+(($H301-ROUNDDOWN($H301,0))*(INDEX(avoidedcosttbl2,ROUNDUP($H301,0),BN$2)-(INDEX(avoidedcosttbl2,ROUNDDOWN($H301,0),BN$2)))))*'Inputs Yr 2'!P301*'Inputs Yr 2'!Q301*'Inputs Yr 2'!U301,"")</f>
        <v/>
      </c>
      <c r="BO301" s="195" t="str">
        <f>IFERROR($G301*(IF('Inputs Yr 2'!$AJ301=BO$4,'Inputs Yr 2'!$AK301,IF('Inputs Yr 2'!$AL301=BO$4,'Inputs Yr 2'!$AM301,IF('Inputs Yr 2'!$AN301=BO$4,'Inputs Yr 2'!$AO301,0))))*(INDEX(avoidedcosttbl2,$H301,BO$2)+(($H301-ROUNDDOWN($H301,0))*(INDEX(avoidedcosttbl2,ROUNDUP($H301,0),BO$2)-(INDEX(avoidedcosttbl2,ROUNDDOWN($H301,0),BO$2)))))*'Inputs Yr 2'!P301*'Inputs Yr 2'!Q301*'Inputs Yr 2'!U301,"")</f>
        <v/>
      </c>
      <c r="BP301" s="195" t="str">
        <f>IFERROR($G301*(IF('Inputs Yr 2'!$AJ301=BP$4,'Inputs Yr 2'!$AK301,IF('Inputs Yr 2'!$AL301=BP$4,'Inputs Yr 2'!$AM301,IF('Inputs Yr 2'!$AN301=BP$4,'Inputs Yr 2'!$AO301,0))))*(INDEX(avoidedcosttbl2,$H301,BP$2)+(($H301-ROUNDDOWN($H301,0))*(INDEX(avoidedcosttbl2,ROUNDUP($H301,0),BP$2)-(INDEX(avoidedcosttbl2,ROUNDDOWN($H301,0),BP$2)))))*'Inputs Yr 2'!P301*'Inputs Yr 2'!Q301*'Inputs Yr 2'!U301,"")</f>
        <v/>
      </c>
      <c r="BQ301" s="230">
        <f t="shared" si="158"/>
        <v>0</v>
      </c>
      <c r="BR301" s="197">
        <f t="shared" si="142"/>
        <v>0</v>
      </c>
      <c r="BS301" s="197" t="str">
        <f>IFERROR(($G301*IF('Inputs Yr 2'!$AJ301=BM$4,'Inputs Yr 2'!$AK301,IF('Inputs Yr 2'!$AL301=BM$4,'Inputs Yr 2'!$AM301,IF('Inputs Yr 2'!$AN301=BM$4,'Inputs Yr 2'!$AO301,0))))*(INDEX(avoidedcosttbl2,$H301,BS$2)+(($H301-ROUNDDOWN($H301,0))*(INDEX(avoidedcosttbl2,ROUNDUP($H301,0),BS$2)-(INDEX(avoidedcosttbl2,ROUNDDOWN($H301,0),BS$2)))))*'Inputs Yr 2'!P301*'Inputs Yr 2'!Q301*'Inputs Yr 2'!U301,"")</f>
        <v/>
      </c>
      <c r="BT301" s="197" t="str">
        <f>IFERROR(($G301*IF('Inputs Yr 2'!$AJ301=BK$4,'Inputs Yr 2'!$AK301,IF('Inputs Yr 2'!$AL301=BK$4,'Inputs Yr 2'!$AM301,IF('Inputs Yr 2'!$AN301=BK$4,'Inputs Yr 2'!$AO301,0))))*(INDEX(avoidedcosttbl2,$H301,BT$2)+(($H301-ROUNDDOWN($H301,0))*(INDEX(avoidedcosttbl2,ROUNDUP($H301,0),BT$2)-(INDEX(avoidedcosttbl2,ROUNDDOWN($H301,0),BT$2)))))*'Inputs Yr 2'!P301*'Inputs Yr 2'!Q301*'Inputs Yr 2'!U301,"")</f>
        <v/>
      </c>
      <c r="BU301" s="197" t="str">
        <f>IFERROR(($G301*IF('Inputs Yr 2'!$AJ301=BL$4,'Inputs Yr 2'!$AK301,IF('Inputs Yr 2'!$AL301=BL$4,'Inputs Yr 2'!$AM301,IF('Inputs Yr 2'!$AN301=BL$4,'Inputs Yr 2'!$AO301,0))))*(INDEX(avoidedcosttbl2,$H301,BU$2)+(($H301-ROUNDDOWN($H301,0))*(INDEX(avoidedcosttbl2,ROUNDUP($H301,0),BU$2)-(INDEX(avoidedcosttbl2,ROUNDDOWN($H301,0),BU$2)))))*'Inputs Yr 2'!P301*'Inputs Yr 2'!Q301*'Inputs Yr 2'!U301,"")</f>
        <v/>
      </c>
      <c r="BV301" s="775" t="str">
        <f>IFERROR(($G301*IF('Inputs Yr 2'!$AJ301=BJ$4,'Inputs Yr 2'!$AK301,IF('Inputs Yr 2'!$AL301=BJ$4,'Inputs Yr 2'!$AM301,IF('Inputs Yr 2'!$AN301=BJ$4,'Inputs Yr 2'!$AO301,0))))*(INDEX(avoidedcosttbl2,$H301,BV$2)+(($H301-ROUNDDOWN($H301,0))*(INDEX(avoidedcosttbl2,ROUNDUP($H301,0),BV$2)-(INDEX(avoidedcosttbl2,ROUNDDOWN($H301,0),BV$2)))))*'Inputs Yr 2'!P301*'Inputs Yr 2'!Q301*'Inputs Yr 2'!U301,"")</f>
        <v/>
      </c>
      <c r="BW301" s="197" t="str">
        <f>IFERROR(($G301*IF('Inputs Yr 2'!$AJ301=BN$4,'Inputs Yr 2'!$AK301,IF('Inputs Yr 2'!$AL301=BN$4,'Inputs Yr 2'!$AM301,IF('Inputs Yr 2'!$AN301=BN$4,'Inputs Yr 2'!$AO301,0))))*(INDEX(avoidedcosttbl2,$H301,BW$2)+(($H301-ROUNDDOWN($H301,0))*(INDEX(avoidedcosttbl2,ROUNDUP($H301,0),BW$2)-(INDEX(avoidedcosttbl2,ROUNDDOWN($H301,0),BW$2)))))*'Inputs Yr 2'!P301*'Inputs Yr 2'!Q301*'Inputs Yr 2'!U301,"")</f>
        <v/>
      </c>
      <c r="BX301" s="197" t="str">
        <f>IFERROR(($G301*IF('Inputs Yr 2'!$AJ301=BO$4,'Inputs Yr 2'!$AK301,IF('Inputs Yr 2'!$AL301=BO$4,'Inputs Yr 2'!$AM301,IF('Inputs Yr 2'!$AN301=BO$4,'Inputs Yr 2'!$AO301,0))))*(INDEX(avoidedcosttbl2,$H301,BX$2)+(($H301-ROUNDDOWN($H301,0))*(INDEX(avoidedcosttbl2,ROUNDUP($H301,0),BX$2)-(INDEX(avoidedcosttbl2,ROUNDDOWN($H301,0),BX$2)))))*'Inputs Yr 2'!P301*'Inputs Yr 2'!Q301*'Inputs Yr 2'!U301,"")</f>
        <v/>
      </c>
      <c r="BY301" s="197" t="str">
        <f>IFERROR(($G301*IF('Inputs Yr 2'!$AJ301=BP$4,'Inputs Yr 2'!$AK301,IF('Inputs Yr 2'!$AL301=BP$4,'Inputs Yr 2'!$AM301,IF('Inputs Yr 2'!$AN301=BP$4,'Inputs Yr 2'!$AO301,0))))*(INDEX(avoidedcosttbl2,$H301,BY$2)+(($H301-ROUNDDOWN($H301,0))*(INDEX(avoidedcosttbl2,ROUNDUP($H301,0),BY$2)-(INDEX(avoidedcosttbl2,ROUNDDOWN($H301,0),BY$2)))))*'Inputs Yr 2'!P301*'Inputs Yr 2'!Q301*'Inputs Yr 2'!U301,"")</f>
        <v/>
      </c>
      <c r="BZ301" s="193">
        <f t="shared" si="159"/>
        <v>0</v>
      </c>
      <c r="CA301" s="193">
        <f t="shared" si="160"/>
        <v>0</v>
      </c>
      <c r="CB301" s="195" t="str">
        <f>IFERROR(G301*(IF('Inputs Yr 2'!$AJ301=CB$4,'Inputs Yr 2'!$AK301,IF('Inputs Yr 2'!$AL301=CB$4,'Inputs Yr 2'!$AM301,IF('Inputs Yr 2'!$AN301=CB$4,'Inputs Yr 2'!$AO301,0))))*(INDEX(avoidedcosttbl2,$H301,CB$2)+(($H301-ROUNDDOWN($H301,0))*(INDEX(avoidedcosttbl2,ROUNDUP($H301,0),CB$2)-(INDEX(avoidedcosttbl2,ROUNDDOWN($H301,0),CB$2)))))*'Inputs Yr 2'!P301*'Inputs Yr 2'!Q301*'Inputs Yr 2'!U301,"")</f>
        <v/>
      </c>
      <c r="CC301" s="195">
        <f>IFERROR(H301*(IF('Inputs Yr 2'!$AJ301=CC$4,'Inputs Yr 2'!$AK301,IF('Inputs Yr 2'!$AL301=CC$4,'Inputs Yr 2'!$AM301,IF('Inputs Yr 2'!$AN301=CC$4,'Inputs Yr 2'!$AO301,0))))*(INDEX(avoidedcosttbl2,$H301,CC$2)+(($H301-ROUNDDOWN($H301,0))*(INDEX(avoidedcosttbl2,ROUNDUP($H301,0),CC$2)-(INDEX(avoidedcosttbl2,ROUNDDOWN($H301,0),CC$2)))))*'Inputs Yr 2'!Q301*'Inputs Yr 2'!R301*'Inputs Yr 2'!V301,"")</f>
        <v>0</v>
      </c>
      <c r="CD301" s="195" t="str">
        <f>IFERROR(I301*(IF('Inputs Yr 2'!$AJ301=CD$4,'Inputs Yr 2'!$AK301,IF('Inputs Yr 2'!$AL301=CD$4,'Inputs Yr 2'!$AM301,IF('Inputs Yr 2'!$AN301=CD$4,'Inputs Yr 2'!$AO301,0))))*(INDEX(avoidedcosttbl2,$H301,CD$2)+(($H301-ROUNDDOWN($H301,0))*(INDEX(avoidedcosttbl2,ROUNDUP($H301,0),CD$2)-(INDEX(avoidedcosttbl2,ROUNDDOWN($H301,0),CD$2)))))*'Inputs Yr 2'!R301*'Inputs Yr 2'!S301*'Inputs Yr 2'!W301,"")</f>
        <v/>
      </c>
      <c r="CE301" s="213">
        <f t="shared" si="161"/>
        <v>0</v>
      </c>
      <c r="CF301" s="213">
        <f t="shared" si="162"/>
        <v>0</v>
      </c>
      <c r="CG301" s="213">
        <f t="shared" si="163"/>
        <v>0</v>
      </c>
      <c r="CH301" s="698">
        <f t="shared" si="164"/>
        <v>0</v>
      </c>
      <c r="CI301" s="79" t="str">
        <f>IFERROR(($G301*'Inputs Yr 2'!$P301*'Inputs Yr 2'!$Q301*(((INDEX(avoidedcosttbl2,$H301,CI$2)+(($H301-ROUNDDOWN($H301,0))*(INDEX(avoidedcosttbl2,ROUNDUP($H301,0),CI$2)-INDEX(avoidedcosttbl2,ROUNDDOWN($H301,0),CI$2))))*'Inputs Yr 2'!AS301))),"")</f>
        <v/>
      </c>
      <c r="CJ301" s="504" t="str">
        <f>IFERROR($G301*'Inputs Yr 2'!AT301*'Inputs Yr 2'!$P301*'Inputs Yr 2'!$Q301/((1+realdiscrt1)^-0.5),"")</f>
        <v/>
      </c>
      <c r="CK301" s="79" t="str">
        <f>IFERROR((O301*1000*(((INDEX(avoidedcosttbl2,$H301,CK$2)+(($H301-ROUNDDOWN($H301,0))*(INDEX(avoidedcosttbl2,ROUNDUP($H301,0),CK$2)-INDEX(avoidedcosttbl2,ROUNDDOWN($H301,0),CK$2))))*'Inputs Yr 2'!AU301))),"")</f>
        <v/>
      </c>
      <c r="CL301" s="504" t="str">
        <f>IFERROR(O301*1000*'Inputs Yr 2'!AV301/((1+realdiscrt1)^-0.5),"")</f>
        <v/>
      </c>
      <c r="CM301" s="79">
        <f>IFERROR((AB301*'Inputs Yr 2'!AW301*(((INDEX(avoidedcosttbl2,$H301,CM$2)+(($H301-ROUNDDOWN($H301,0))*(INDEX(avoidedcosttbl2,ROUNDUP($H301,0),CM$2)-INDEX(avoidedcosttbl2,ROUNDDOWN($H301,0),CM$2)))))))*10,"")</f>
        <v>0</v>
      </c>
      <c r="CN301" s="504">
        <f>IFERROR(10*AB301*'Inputs Yr 2'!AX301/((1+realdiscrt1)^-0.5),"")</f>
        <v>0</v>
      </c>
      <c r="CO301" s="505">
        <f t="shared" si="165"/>
        <v>0</v>
      </c>
      <c r="CP301" s="230">
        <f t="shared" si="166"/>
        <v>0</v>
      </c>
      <c r="CQ301" s="199">
        <f>ROUND(IFERROR(IF(LEFT($A301,1)="C",'Avoided Costs'!$K$13,'Avoided Costs'!$K$12)+1,""),4)</f>
        <v>1.0720000000000001</v>
      </c>
      <c r="CR301" s="199">
        <f>ROUND(IFERROR(IF(LEFT($A301,1)="C",'Avoided Costs'!$L$13,'Avoided Costs'!$L$12)+1,""),4)</f>
        <v>1.04</v>
      </c>
      <c r="CS301" s="199">
        <f>ROUND(IFERROR(IF(LEFT($A301,1)="C",'Avoided Costs'!$M$13,'Avoided Costs'!$M$12)+1,""),4)</f>
        <v>1.0720000000000001</v>
      </c>
      <c r="CT301" s="199">
        <f>ROUND(IFERROR(IF(LEFT($A301,1)="C",'Avoided Costs'!$N$13,'Avoided Costs'!$N$12)+1,""),4)</f>
        <v>1.04</v>
      </c>
      <c r="CU301" s="199">
        <f>ROUND(IFERROR(IF(LEFT($A301,1)="C",'Avoided Costs'!$O$13,'Avoided Costs'!$O$12)+1,""),4)</f>
        <v>1.1120000000000001</v>
      </c>
      <c r="CV301" s="199">
        <f>ROUND(IFERROR(IF(LEFT($A301,1)="C",'Avoided Costs'!$P$13,'Avoided Costs'!$P$12)+1,""),4)</f>
        <v>1.095</v>
      </c>
      <c r="CW301" s="199">
        <f>ROUND(IFERROR(IF(LEFT($A301,1)="C",'Avoided Costs'!$Q$13,'Avoided Costs'!$Q$12)+1,""),4)</f>
        <v>1.1120000000000001</v>
      </c>
      <c r="CX301" s="200">
        <f>ROUND(IFERROR(IF(LEFT($A301,1)="C",'Avoided Costs'!$R$13,'Avoided Costs'!$R$12)+1,""),4)</f>
        <v>1.1120000000000001</v>
      </c>
    </row>
    <row r="302" spans="1:102" ht="12.75" customHeight="1">
      <c r="A302" s="91" t="str">
        <f>IF('Inputs Yr 2'!$B302=0,"",'Inputs Yr 2'!A302)</f>
        <v>C - Commercial &amp; Industrial</v>
      </c>
      <c r="B302" s="91" t="str">
        <f>IF('Inputs Yr 2'!$B302=0,"",'Inputs Yr 2'!B302)</f>
        <v>C2 - C&amp;I Retrofit</v>
      </c>
      <c r="C302" s="91" t="str">
        <f>IF('Inputs Yr 2'!$B302=0,"",'Inputs Yr 2'!C302)</f>
        <v>C2b - C&amp;I Small Business</v>
      </c>
      <c r="D302" s="91" t="str">
        <f>IF('Inputs Yr 2'!$B302=0,"",'Inputs Yr 2'!E302)</f>
        <v>Hot Water - Custom  15</v>
      </c>
      <c r="E302" s="93" t="str">
        <f>IF('Inputs Yr 2'!$B302=0,"",'Inputs Yr 2'!F302)</f>
        <v>G16C2b07</v>
      </c>
      <c r="F302" s="93" t="str">
        <f>IF('Inputs Yr 2'!$B302=0,"",'Inputs Yr 2'!G302)</f>
        <v>Hot Water</v>
      </c>
      <c r="G302" s="95">
        <f>IF('Inputs Yr 2'!$H302&lt;&gt;0,('Inputs Yr 2'!H302),"")</f>
        <v>1</v>
      </c>
      <c r="H302" s="94">
        <f>IFERROR('Inputs Yr 2'!I302,"")</f>
        <v>15</v>
      </c>
      <c r="I302" s="298">
        <f>IFERROR('Inputs Yr 2'!J302*'Inputs Yr 2'!P302*G302,"")</f>
        <v>12522.906666666666</v>
      </c>
      <c r="J302" s="298">
        <f>IFERROR('Inputs Yr 2'!K302*G302,"")</f>
        <v>10220</v>
      </c>
      <c r="K302" s="298">
        <f t="shared" si="143"/>
        <v>2302.9066666666658</v>
      </c>
      <c r="L302" s="194">
        <f>IFERROR(('Inputs Yr 2'!W302*G302)/1000,"")</f>
        <v>0</v>
      </c>
      <c r="M302" s="194">
        <f>IFERROR(L302*('Inputs Yr 2'!$Q302*'Inputs Yr 2'!$V302*'Inputs Yr 2'!$R302),"")</f>
        <v>0</v>
      </c>
      <c r="N302" s="194">
        <f t="shared" si="144"/>
        <v>0</v>
      </c>
      <c r="O302" s="194">
        <f>IFERROR(M302*'Inputs Yr 2'!P302,"")</f>
        <v>0</v>
      </c>
      <c r="P302" s="194">
        <f t="shared" si="145"/>
        <v>0</v>
      </c>
      <c r="Q302" s="194">
        <f>IFERROR($P302*'Inputs Yr 2'!AA302,"")</f>
        <v>0</v>
      </c>
      <c r="R302" s="194">
        <f>IFERROR($P302*'Inputs Yr 2'!AB302,"")</f>
        <v>0</v>
      </c>
      <c r="S302" s="194">
        <f>IFERROR($P302*'Inputs Yr 2'!AC302,"")</f>
        <v>0</v>
      </c>
      <c r="T302" s="194">
        <f>IFERROR($P302*'Inputs Yr 2'!AD302,"")</f>
        <v>0</v>
      </c>
      <c r="U302" s="194">
        <f>IFERROR(G302*'Inputs Yr 2'!$AE302*'Inputs Yr 2'!$P302*'Inputs Yr 2'!$Q302,"")</f>
        <v>0</v>
      </c>
      <c r="V302" s="194">
        <f>IFERROR($G302*'Inputs Yr 2'!$AE302*'Inputs Yr 2'!$AG302*'Inputs Yr 2'!Q302*'Inputs Yr 2'!$S302,"")</f>
        <v>0</v>
      </c>
      <c r="W302" s="194">
        <f>IFERROR($G302*'Inputs Yr 2'!$AE302*'Inputs Yr 2'!$AG302*'Inputs Yr 2'!P302*'Inputs Yr 2'!Q302*'Inputs Yr 2'!$S302,"")</f>
        <v>0</v>
      </c>
      <c r="X302" s="194">
        <f>IFERROR($G302*'Inputs Yr 2'!$AE302*'Inputs Yr 2'!$AF302*'Inputs Yr 2'!Q302*'Inputs Yr 2'!$T302,"")</f>
        <v>0</v>
      </c>
      <c r="Y302" s="194">
        <f>IFERROR($G302*'Inputs Yr 2'!$AE302*'Inputs Yr 2'!$AF302*'Inputs Yr 2'!P302*'Inputs Yr 2'!Q302*'Inputs Yr 2'!$T302,"")</f>
        <v>0</v>
      </c>
      <c r="Z302" s="257">
        <f>IFERROR($G302*'Inputs Yr 2'!$Q302*'Inputs Yr 2'!$U302*(IF(IFERROR(SEARCH("NG", 'Inputs Yr 2'!$AJ302),0),'Inputs Yr 2'!$AK302,0)+IF(IFERROR(SEARCH("NG", 'Inputs Yr 2'!$AL302),0),'Inputs Yr 2'!$AM302,0)+IF(IFERROR(SEARCH("NG", 'Inputs Yr 2'!$AN302),0),'Inputs Yr 2'!$AO302,0)),0)</f>
        <v>244.83970000000002</v>
      </c>
      <c r="AA302" s="257">
        <f t="shared" si="146"/>
        <v>3672.5955000000004</v>
      </c>
      <c r="AB302" s="257">
        <f>IFERROR(Z302*'Inputs Yr 2'!$P302,0)</f>
        <v>225.00768430000002</v>
      </c>
      <c r="AC302" s="257">
        <f t="shared" si="147"/>
        <v>3375.1152645000002</v>
      </c>
      <c r="AD302" s="257">
        <f>IFERROR($G302*'Inputs Yr 2'!$Q302*'Inputs Yr 2'!$U302*(IF(IFERROR(SEARCH("Oil", 'Inputs Yr 2'!$AJ302), 0),'Inputs Yr 2'!$AK302,0)+IF(IFERROR(SEARCH("Oil", 'Inputs Yr 2'!$AL302), 0),'Inputs Yr 2'!$AM302,0)+IF(IFERROR(SEARCH("Oil", 'Inputs Yr 2'!$AN302), 0),'Inputs Yr 2'!$AO302,0)),0)</f>
        <v>0</v>
      </c>
      <c r="AE302" s="257">
        <f t="shared" si="148"/>
        <v>0</v>
      </c>
      <c r="AF302" s="257">
        <f>IFERROR(AD302*'Inputs Yr 2'!$P302,0)</f>
        <v>0</v>
      </c>
      <c r="AG302" s="257">
        <f t="shared" si="149"/>
        <v>0</v>
      </c>
      <c r="AH302" s="257">
        <f>IFERROR($G302*'Inputs Yr 2'!$Q302*'Inputs Yr 2'!$U302*(IF('Inputs Yr 2'!$AJ302=CD$4,'Inputs Yr 2'!$AK302,IF('Inputs Yr 2'!$AL302=CD$4,'Inputs Yr 2'!$AM302,IF('Inputs Yr 2'!$AN302=CD$4,'Inputs Yr 2'!$AO302,0)))),0)</f>
        <v>0</v>
      </c>
      <c r="AI302" s="257">
        <f t="shared" si="150"/>
        <v>0</v>
      </c>
      <c r="AJ302" s="257">
        <f>IFERROR(AH302*'Inputs Yr 2'!$P302,0)</f>
        <v>0</v>
      </c>
      <c r="AK302" s="257">
        <f t="shared" si="151"/>
        <v>0</v>
      </c>
      <c r="AL302" s="258">
        <f>IFERROR($G302*'Inputs Yr 2'!$P302*'Inputs Yr 2'!$Q302*'Inputs Yr 2'!AP302,0)</f>
        <v>0</v>
      </c>
      <c r="AM302" s="260">
        <f>IFERROR($G302*'Inputs Yr 2'!$P302*'Inputs Yr 2'!$Q302*'Inputs Yr 2'!AQ302,0)</f>
        <v>0</v>
      </c>
      <c r="AN302" s="258">
        <f>IFERROR($G302*'Inputs Yr 2'!$P302*'Inputs Yr 2'!$Q302*'Inputs Yr 2'!AR302,0)</f>
        <v>0</v>
      </c>
      <c r="AO302" s="257">
        <f t="shared" si="152"/>
        <v>0</v>
      </c>
      <c r="AP302" s="195">
        <f>IFERROR($CQ302*(INDEX(avoidedcosttbl2,$H302,AP$2)+(($H302-ROUNDDOWN($H302,0))*(INDEX(avoidedcosttbl2,ROUNDUP($H302,0),AP$2)-(INDEX(avoidedcosttbl2,ROUNDDOWN($H302,0),AP$2)))))*$O302*1000*'Inputs Yr 2'!AA302,"")</f>
        <v>0</v>
      </c>
      <c r="AQ302" s="195">
        <f>IFERROR($CR302*(INDEX(avoidedcosttbl2,$H302,AQ$2)+(($H302-ROUNDDOWN($H302,0))*(INDEX(avoidedcosttbl2,ROUNDUP($H302,0),AQ$2)-(INDEX(avoidedcosttbl2,ROUNDDOWN($H302,0),AQ$2)))))*$O302*1000*'Inputs Yr 2'!AB302,"")</f>
        <v>0</v>
      </c>
      <c r="AR302" s="195">
        <f>IFERROR($CS302*(INDEX(avoidedcosttbl2,$H302,AR$2)+(($H302-ROUNDDOWN($H302,0))*(INDEX(avoidedcosttbl2,ROUNDUP($H302,0),AR$2)-(INDEX(avoidedcosttbl2,ROUNDDOWN($H302,0),AR$2)))))*$O302*1000*'Inputs Yr 2'!AC302,"")</f>
        <v>0</v>
      </c>
      <c r="AS302" s="195">
        <f>IFERROR($CT302*(INDEX(avoidedcosttbl2,$H302,AS$2)+(($H302-ROUNDDOWN($H302,0))*(INDEX(avoidedcosttbl2,ROUNDUP($H302,0),AS$2)-(INDEX(avoidedcosttbl2,ROUNDDOWN($H302,0),AS$2)))))*$O302*1000*'Inputs Yr 2'!AD302,"")</f>
        <v>0</v>
      </c>
      <c r="AT302" s="196">
        <f t="shared" si="153"/>
        <v>0</v>
      </c>
      <c r="AU302" s="197">
        <f>IFERROR($CQ302*((INDEX(avoidedcosttbl2,$H302,AU$2))+(($H302-ROUNDDOWN($H302,0))*((INDEX(avoidedcosttbl2,ROUNDUP($H302,0),AU$2))-(INDEX(avoidedcosttbl2,ROUNDDOWN($H302,0),AU$2)))))*$O302*1000*'Inputs Yr 2'!AA302,"")</f>
        <v>0</v>
      </c>
      <c r="AV302" s="197">
        <f>IFERROR($CR302*((INDEX(avoidedcosttbl2,$H302,AV$2))+(($H302-ROUNDDOWN($H302,0))*((INDEX(avoidedcosttbl2,ROUNDUP($H302,0),AV$2))-(INDEX(avoidedcosttbl2,ROUNDDOWN($H302,0),AV$2)))))*$O302*1000*'Inputs Yr 2'!AB302,"")</f>
        <v>0</v>
      </c>
      <c r="AW302" s="197">
        <f>IFERROR($CS302*((INDEX(avoidedcosttbl2,$H302,AW$2))+(($H302-ROUNDDOWN($H302,0))*((INDEX(avoidedcosttbl2,ROUNDUP($H302,0),AW$2))-(INDEX(avoidedcosttbl2,ROUNDDOWN($H302,0),AW$2)))))*$O302*1000*'Inputs Yr 2'!AC302,"")</f>
        <v>0</v>
      </c>
      <c r="AX302" s="197">
        <f>IFERROR($CT302*((INDEX(avoidedcosttbl2,$H302,AX$2))+(($H302-ROUNDDOWN($H302,0))*((INDEX(avoidedcosttbl2,ROUNDUP($H302,0),AX$2))-(INDEX(avoidedcosttbl2,ROUNDDOWN($H302,0),AX$2)))))*$O302*1000*'Inputs Yr 2'!AD302,"")</f>
        <v>0</v>
      </c>
      <c r="AY302" s="197">
        <f>IFERROR(((INDEX(avoidedcosttbl2,$H302,AY$2))+(($H302-ROUNDDOWN($H302,0))*((INDEX(avoidedcosttbl2,ROUNDUP($H302,0),AY$2))-(INDEX(avoidedcosttbl2,ROUNDDOWN($H302,0),AY$2)))))*$O302*1000*('Inputs Yr 2'!AC302+'Inputs Yr 2'!AD302),"")</f>
        <v>0</v>
      </c>
      <c r="AZ302" s="197">
        <f>IFERROR(((INDEX(avoidedcosttbl2,$H302,AZ$2))+(($H302-ROUNDDOWN($H302,0))*((INDEX(avoidedcosttbl2,ROUNDUP($H302,0),AZ$2))-(INDEX(avoidedcosttbl2,ROUNDDOWN($H302,0),AZ$2)))))*$O302*1000*('Inputs Yr 2'!AA302+'Inputs Yr 2'!AB302),"")</f>
        <v>0</v>
      </c>
      <c r="BA302" s="198">
        <f t="shared" si="154"/>
        <v>0</v>
      </c>
      <c r="BB302" s="198">
        <f t="shared" si="155"/>
        <v>0</v>
      </c>
      <c r="BC302" s="195">
        <f t="shared" si="137"/>
        <v>0</v>
      </c>
      <c r="BD302" s="195">
        <f t="shared" si="138"/>
        <v>0</v>
      </c>
      <c r="BE302" s="195">
        <f t="shared" si="139"/>
        <v>0</v>
      </c>
      <c r="BF302" s="195">
        <f t="shared" si="140"/>
        <v>0</v>
      </c>
      <c r="BG302" s="195">
        <f t="shared" si="141"/>
        <v>0</v>
      </c>
      <c r="BH302" s="196">
        <f t="shared" si="156"/>
        <v>0</v>
      </c>
      <c r="BI302" s="196">
        <f t="shared" si="157"/>
        <v>0</v>
      </c>
      <c r="BJ302" s="195">
        <f>IFERROR($G302*(IF('Inputs Yr 2'!$AJ302=BJ$4,'Inputs Yr 2'!$AK302,IF('Inputs Yr 2'!$AL302=BJ$4,'Inputs Yr 2'!$AM302,IF('Inputs Yr 2'!$AN302=BJ$4,'Inputs Yr 2'!$AO302,0))))*(INDEX(avoidedcosttbl2,$H302,BJ$2)+(($H302-ROUNDDOWN($H302,0))*(INDEX(avoidedcosttbl2,ROUNDUP($H302,0),BJ$2)-(INDEX(avoidedcosttbl2,ROUNDDOWN($H302,0),BJ$2)))))*'Inputs Yr 2'!P302*'Inputs Yr 2'!Q302*'Inputs Yr 2'!U302,"")</f>
        <v>0</v>
      </c>
      <c r="BK302" s="195">
        <f>IFERROR($G302*(IF('Inputs Yr 2'!$AJ302=BK$4,'Inputs Yr 2'!$AK302,IF('Inputs Yr 2'!$AL302=BK$4,'Inputs Yr 2'!$AM302,IF('Inputs Yr 2'!$AN302=BK$4,'Inputs Yr 2'!$AO302,0))))*(INDEX(avoidedcosttbl2,$H302,BK$2)+(($H302-ROUNDDOWN($H302,0))*(INDEX(avoidedcosttbl2,ROUNDUP($H302,0),BK$2)-(INDEX(avoidedcosttbl2,ROUNDDOWN($H302,0),BK$2)))))*'Inputs Yr 2'!P302*'Inputs Yr 2'!Q302*'Inputs Yr 2'!U302,"")</f>
        <v>0</v>
      </c>
      <c r="BL302" s="195">
        <f>IFERROR($G302*(IF('Inputs Yr 2'!$AJ302=BL$4,'Inputs Yr 2'!$AK302,IF('Inputs Yr 2'!$AL302=BL$4,'Inputs Yr 2'!$AM302,IF('Inputs Yr 2'!$AN302=BL$4,'Inputs Yr 2'!$AO302,0))))*(INDEX(avoidedcosttbl2,$H302,BL$2)+(($H302-ROUNDDOWN($H302,0))*(INDEX(avoidedcosttbl2,ROUNDUP($H302,0),BL$2)-(INDEX(avoidedcosttbl2,ROUNDDOWN($H302,0),BL$2)))))*'Inputs Yr 2'!P302*'Inputs Yr 2'!Q302*'Inputs Yr 2'!U302,"")</f>
        <v>0</v>
      </c>
      <c r="BM302" s="195">
        <f>IFERROR($G302*(IF('Inputs Yr 2'!$AJ302=BM$4,'Inputs Yr 2'!$AK302,IF('Inputs Yr 2'!$AL302=BM$4,'Inputs Yr 2'!$AM302,IF('Inputs Yr 2'!$AN302=BM$4,'Inputs Yr 2'!$AO302,0))))*(INDEX(avoidedcosttbl2,$H302,BM$2)+(($H302-ROUNDDOWN($H302,0))*(INDEX(avoidedcosttbl2,ROUNDUP($H302,0),BM$2)-(INDEX(avoidedcosttbl2,ROUNDDOWN($H302,0),BM$2)))))*'Inputs Yr 2'!P302*'Inputs Yr 2'!Q302*'Inputs Yr 2'!U302,"")</f>
        <v>0</v>
      </c>
      <c r="BN302" s="195">
        <f>IFERROR($G302*(IF('Inputs Yr 2'!$AJ302=BN$4,'Inputs Yr 2'!$AK302,IF('Inputs Yr 2'!$AL302=BN$4,'Inputs Yr 2'!$AM302,IF('Inputs Yr 2'!$AN302=BN$4,'Inputs Yr 2'!$AO302,0))))*(INDEX(avoidedcosttbl2,$H302,BN$2)+(($H302-ROUNDDOWN($H302,0))*(INDEX(avoidedcosttbl2,ROUNDUP($H302,0),BN$2)-(INDEX(avoidedcosttbl2,ROUNDDOWN($H302,0),BN$2)))))*'Inputs Yr 2'!P302*'Inputs Yr 2'!Q302*'Inputs Yr 2'!U302,"")</f>
        <v>23437.505380396411</v>
      </c>
      <c r="BO302" s="195">
        <f>IFERROR($G302*(IF('Inputs Yr 2'!$AJ302=BO$4,'Inputs Yr 2'!$AK302,IF('Inputs Yr 2'!$AL302=BO$4,'Inputs Yr 2'!$AM302,IF('Inputs Yr 2'!$AN302=BO$4,'Inputs Yr 2'!$AO302,0))))*(INDEX(avoidedcosttbl2,$H302,BO$2)+(($H302-ROUNDDOWN($H302,0))*(INDEX(avoidedcosttbl2,ROUNDUP($H302,0),BO$2)-(INDEX(avoidedcosttbl2,ROUNDDOWN($H302,0),BO$2)))))*'Inputs Yr 2'!P302*'Inputs Yr 2'!Q302*'Inputs Yr 2'!U302,"")</f>
        <v>0</v>
      </c>
      <c r="BP302" s="195">
        <f>IFERROR($G302*(IF('Inputs Yr 2'!$AJ302=BP$4,'Inputs Yr 2'!$AK302,IF('Inputs Yr 2'!$AL302=BP$4,'Inputs Yr 2'!$AM302,IF('Inputs Yr 2'!$AN302=BP$4,'Inputs Yr 2'!$AO302,0))))*(INDEX(avoidedcosttbl2,$H302,BP$2)+(($H302-ROUNDDOWN($H302,0))*(INDEX(avoidedcosttbl2,ROUNDUP($H302,0),BP$2)-(INDEX(avoidedcosttbl2,ROUNDDOWN($H302,0),BP$2)))))*'Inputs Yr 2'!P302*'Inputs Yr 2'!Q302*'Inputs Yr 2'!U302,"")</f>
        <v>0</v>
      </c>
      <c r="BQ302" s="230">
        <f t="shared" si="158"/>
        <v>23437.505380396411</v>
      </c>
      <c r="BR302" s="197">
        <f t="shared" si="142"/>
        <v>457.46955197371102</v>
      </c>
      <c r="BS302" s="197">
        <f>IFERROR(($G302*IF('Inputs Yr 2'!$AJ302=BM$4,'Inputs Yr 2'!$AK302,IF('Inputs Yr 2'!$AL302=BM$4,'Inputs Yr 2'!$AM302,IF('Inputs Yr 2'!$AN302=BM$4,'Inputs Yr 2'!$AO302,0))))*(INDEX(avoidedcosttbl2,$H302,BS$2)+(($H302-ROUNDDOWN($H302,0))*(INDEX(avoidedcosttbl2,ROUNDUP($H302,0),BS$2)-(INDEX(avoidedcosttbl2,ROUNDDOWN($H302,0),BS$2)))))*'Inputs Yr 2'!P302*'Inputs Yr 2'!Q302*'Inputs Yr 2'!U302,"")</f>
        <v>0</v>
      </c>
      <c r="BT302" s="197">
        <f>IFERROR(($G302*IF('Inputs Yr 2'!$AJ302=BK$4,'Inputs Yr 2'!$AK302,IF('Inputs Yr 2'!$AL302=BK$4,'Inputs Yr 2'!$AM302,IF('Inputs Yr 2'!$AN302=BK$4,'Inputs Yr 2'!$AO302,0))))*(INDEX(avoidedcosttbl2,$H302,BT$2)+(($H302-ROUNDDOWN($H302,0))*(INDEX(avoidedcosttbl2,ROUNDUP($H302,0),BT$2)-(INDEX(avoidedcosttbl2,ROUNDDOWN($H302,0),BT$2)))))*'Inputs Yr 2'!P302*'Inputs Yr 2'!Q302*'Inputs Yr 2'!U302,"")</f>
        <v>0</v>
      </c>
      <c r="BU302" s="197">
        <f>IFERROR(($G302*IF('Inputs Yr 2'!$AJ302=BL$4,'Inputs Yr 2'!$AK302,IF('Inputs Yr 2'!$AL302=BL$4,'Inputs Yr 2'!$AM302,IF('Inputs Yr 2'!$AN302=BL$4,'Inputs Yr 2'!$AO302,0))))*(INDEX(avoidedcosttbl2,$H302,BU$2)+(($H302-ROUNDDOWN($H302,0))*(INDEX(avoidedcosttbl2,ROUNDUP($H302,0),BU$2)-(INDEX(avoidedcosttbl2,ROUNDDOWN($H302,0),BU$2)))))*'Inputs Yr 2'!P302*'Inputs Yr 2'!Q302*'Inputs Yr 2'!U302,"")</f>
        <v>0</v>
      </c>
      <c r="BV302" s="775">
        <f>IFERROR(($G302*IF('Inputs Yr 2'!$AJ302=BJ$4,'Inputs Yr 2'!$AK302,IF('Inputs Yr 2'!$AL302=BJ$4,'Inputs Yr 2'!$AM302,IF('Inputs Yr 2'!$AN302=BJ$4,'Inputs Yr 2'!$AO302,0))))*(INDEX(avoidedcosttbl2,$H302,BV$2)+(($H302-ROUNDDOWN($H302,0))*(INDEX(avoidedcosttbl2,ROUNDUP($H302,0),BV$2)-(INDEX(avoidedcosttbl2,ROUNDDOWN($H302,0),BV$2)))))*'Inputs Yr 2'!P302*'Inputs Yr 2'!Q302*'Inputs Yr 2'!U302,"")</f>
        <v>0</v>
      </c>
      <c r="BW302" s="197">
        <f>IFERROR(($G302*IF('Inputs Yr 2'!$AJ302=BN$4,'Inputs Yr 2'!$AK302,IF('Inputs Yr 2'!$AL302=BN$4,'Inputs Yr 2'!$AM302,IF('Inputs Yr 2'!$AN302=BN$4,'Inputs Yr 2'!$AO302,0))))*(INDEX(avoidedcosttbl2,$H302,BW$2)+(($H302-ROUNDDOWN($H302,0))*(INDEX(avoidedcosttbl2,ROUNDUP($H302,0),BW$2)-(INDEX(avoidedcosttbl2,ROUNDDOWN($H302,0),BW$2)))))*'Inputs Yr 2'!P302*'Inputs Yr 2'!Q302*'Inputs Yr 2'!U302,"")</f>
        <v>2083.9286060995564</v>
      </c>
      <c r="BX302" s="197">
        <f>IFERROR(($G302*IF('Inputs Yr 2'!$AJ302=BO$4,'Inputs Yr 2'!$AK302,IF('Inputs Yr 2'!$AL302=BO$4,'Inputs Yr 2'!$AM302,IF('Inputs Yr 2'!$AN302=BO$4,'Inputs Yr 2'!$AO302,0))))*(INDEX(avoidedcosttbl2,$H302,BX$2)+(($H302-ROUNDDOWN($H302,0))*(INDEX(avoidedcosttbl2,ROUNDUP($H302,0),BX$2)-(INDEX(avoidedcosttbl2,ROUNDDOWN($H302,0),BX$2)))))*'Inputs Yr 2'!P302*'Inputs Yr 2'!Q302*'Inputs Yr 2'!U302,"")</f>
        <v>0</v>
      </c>
      <c r="BY302" s="197">
        <f>IFERROR(($G302*IF('Inputs Yr 2'!$AJ302=BP$4,'Inputs Yr 2'!$AK302,IF('Inputs Yr 2'!$AL302=BP$4,'Inputs Yr 2'!$AM302,IF('Inputs Yr 2'!$AN302=BP$4,'Inputs Yr 2'!$AO302,0))))*(INDEX(avoidedcosttbl2,$H302,BY$2)+(($H302-ROUNDDOWN($H302,0))*(INDEX(avoidedcosttbl2,ROUNDUP($H302,0),BY$2)-(INDEX(avoidedcosttbl2,ROUNDDOWN($H302,0),BY$2)))))*'Inputs Yr 2'!P302*'Inputs Yr 2'!Q302*'Inputs Yr 2'!U302,"")</f>
        <v>0</v>
      </c>
      <c r="BZ302" s="193">
        <f t="shared" si="159"/>
        <v>2541.3981580732675</v>
      </c>
      <c r="CA302" s="193">
        <f t="shared" si="160"/>
        <v>25978.90353846968</v>
      </c>
      <c r="CB302" s="195">
        <f>IFERROR(G302*(IF('Inputs Yr 2'!$AJ302=CB$4,'Inputs Yr 2'!$AK302,IF('Inputs Yr 2'!$AL302=CB$4,'Inputs Yr 2'!$AM302,IF('Inputs Yr 2'!$AN302=CB$4,'Inputs Yr 2'!$AO302,0))))*(INDEX(avoidedcosttbl2,$H302,CB$2)+(($H302-ROUNDDOWN($H302,0))*(INDEX(avoidedcosttbl2,ROUNDUP($H302,0),CB$2)-(INDEX(avoidedcosttbl2,ROUNDDOWN($H302,0),CB$2)))))*'Inputs Yr 2'!P302*'Inputs Yr 2'!Q302*'Inputs Yr 2'!U302,"")</f>
        <v>0</v>
      </c>
      <c r="CC302" s="195">
        <f>IFERROR(H302*(IF('Inputs Yr 2'!$AJ302=CC$4,'Inputs Yr 2'!$AK302,IF('Inputs Yr 2'!$AL302=CC$4,'Inputs Yr 2'!$AM302,IF('Inputs Yr 2'!$AN302=CC$4,'Inputs Yr 2'!$AO302,0))))*(INDEX(avoidedcosttbl2,$H302,CC$2)+(($H302-ROUNDDOWN($H302,0))*(INDEX(avoidedcosttbl2,ROUNDUP($H302,0),CC$2)-(INDEX(avoidedcosttbl2,ROUNDDOWN($H302,0),CC$2)))))*'Inputs Yr 2'!Q302*'Inputs Yr 2'!R302*'Inputs Yr 2'!V302,"")</f>
        <v>0</v>
      </c>
      <c r="CD302" s="195">
        <f>IFERROR(I302*(IF('Inputs Yr 2'!$AJ302=CD$4,'Inputs Yr 2'!$AK302,IF('Inputs Yr 2'!$AL302=CD$4,'Inputs Yr 2'!$AM302,IF('Inputs Yr 2'!$AN302=CD$4,'Inputs Yr 2'!$AO302,0))))*(INDEX(avoidedcosttbl2,$H302,CD$2)+(($H302-ROUNDDOWN($H302,0))*(INDEX(avoidedcosttbl2,ROUNDUP($H302,0),CD$2)-(INDEX(avoidedcosttbl2,ROUNDDOWN($H302,0),CD$2)))))*'Inputs Yr 2'!R302*'Inputs Yr 2'!S302*'Inputs Yr 2'!W302,"")</f>
        <v>0</v>
      </c>
      <c r="CE302" s="213">
        <f t="shared" si="161"/>
        <v>0</v>
      </c>
      <c r="CF302" s="213">
        <f t="shared" si="162"/>
        <v>0</v>
      </c>
      <c r="CG302" s="213">
        <f t="shared" si="163"/>
        <v>0</v>
      </c>
      <c r="CH302" s="698">
        <f t="shared" si="164"/>
        <v>25978.90353846968</v>
      </c>
      <c r="CI302" s="79">
        <f>IFERROR(($G302*'Inputs Yr 2'!$P302*'Inputs Yr 2'!$Q302*(((INDEX(avoidedcosttbl2,$H302,CI$2)+(($H302-ROUNDDOWN($H302,0))*(INDEX(avoidedcosttbl2,ROUNDUP($H302,0),CI$2)-INDEX(avoidedcosttbl2,ROUNDDOWN($H302,0),CI$2))))*'Inputs Yr 2'!AS302))),"")</f>
        <v>0</v>
      </c>
      <c r="CJ302" s="504">
        <f>IFERROR($G302*'Inputs Yr 2'!AT302*'Inputs Yr 2'!$P302*'Inputs Yr 2'!$Q302/((1+realdiscrt1)^-0.5),"")</f>
        <v>0</v>
      </c>
      <c r="CK302" s="79">
        <f>IFERROR((O302*1000*(((INDEX(avoidedcosttbl2,$H302,CK$2)+(($H302-ROUNDDOWN($H302,0))*(INDEX(avoidedcosttbl2,ROUNDUP($H302,0),CK$2)-INDEX(avoidedcosttbl2,ROUNDDOWN($H302,0),CK$2))))*'Inputs Yr 2'!AU302))),"")</f>
        <v>0</v>
      </c>
      <c r="CL302" s="504">
        <f>IFERROR(O302*1000*'Inputs Yr 2'!AV302/((1+realdiscrt1)^-0.5),"")</f>
        <v>0</v>
      </c>
      <c r="CM302" s="79">
        <f>IFERROR((AB302*'Inputs Yr 2'!AW302*(((INDEX(avoidedcosttbl2,$H302,CM$2)+(($H302-ROUNDDOWN($H302,0))*(INDEX(avoidedcosttbl2,ROUNDUP($H302,0),CM$2)-INDEX(avoidedcosttbl2,ROUNDDOWN($H302,0),CM$2)))))))*10,"")</f>
        <v>0</v>
      </c>
      <c r="CN302" s="504">
        <f>IFERROR(10*AB302*'Inputs Yr 2'!AX302/((1+realdiscrt1)^-0.5),"")</f>
        <v>0</v>
      </c>
      <c r="CO302" s="505">
        <f t="shared" si="165"/>
        <v>0</v>
      </c>
      <c r="CP302" s="230">
        <f t="shared" si="166"/>
        <v>25978.90353846968</v>
      </c>
      <c r="CQ302" s="199">
        <f>ROUND(IFERROR(IF(LEFT($A302,1)="C",'Avoided Costs'!$K$13,'Avoided Costs'!$K$12)+1,""),4)</f>
        <v>1.0720000000000001</v>
      </c>
      <c r="CR302" s="199">
        <f>ROUND(IFERROR(IF(LEFT($A302,1)="C",'Avoided Costs'!$L$13,'Avoided Costs'!$L$12)+1,""),4)</f>
        <v>1.04</v>
      </c>
      <c r="CS302" s="199">
        <f>ROUND(IFERROR(IF(LEFT($A302,1)="C",'Avoided Costs'!$M$13,'Avoided Costs'!$M$12)+1,""),4)</f>
        <v>1.0720000000000001</v>
      </c>
      <c r="CT302" s="199">
        <f>ROUND(IFERROR(IF(LEFT($A302,1)="C",'Avoided Costs'!$N$13,'Avoided Costs'!$N$12)+1,""),4)</f>
        <v>1.04</v>
      </c>
      <c r="CU302" s="199">
        <f>ROUND(IFERROR(IF(LEFT($A302,1)="C",'Avoided Costs'!$O$13,'Avoided Costs'!$O$12)+1,""),4)</f>
        <v>1.1120000000000001</v>
      </c>
      <c r="CV302" s="199">
        <f>ROUND(IFERROR(IF(LEFT($A302,1)="C",'Avoided Costs'!$P$13,'Avoided Costs'!$P$12)+1,""),4)</f>
        <v>1.095</v>
      </c>
      <c r="CW302" s="199">
        <f>ROUND(IFERROR(IF(LEFT($A302,1)="C",'Avoided Costs'!$Q$13,'Avoided Costs'!$Q$12)+1,""),4)</f>
        <v>1.1120000000000001</v>
      </c>
      <c r="CX302" s="200">
        <f>ROUND(IFERROR(IF(LEFT($A302,1)="C",'Avoided Costs'!$R$13,'Avoided Costs'!$R$12)+1,""),4)</f>
        <v>1.1120000000000001</v>
      </c>
    </row>
    <row r="303" spans="1:102" ht="12.75" customHeight="1">
      <c r="A303" s="91" t="str">
        <f>IF('Inputs Yr 2'!$B303=0,"",'Inputs Yr 2'!A303)</f>
        <v>C - Commercial &amp; Industrial</v>
      </c>
      <c r="B303" s="91" t="str">
        <f>IF('Inputs Yr 2'!$B303=0,"",'Inputs Yr 2'!B303)</f>
        <v>C2 - C&amp;I Retrofit</v>
      </c>
      <c r="C303" s="91" t="str">
        <f>IF('Inputs Yr 2'!$B303=0,"",'Inputs Yr 2'!C303)</f>
        <v>C2b - C&amp;I Small Business</v>
      </c>
      <c r="D303" s="91" t="str">
        <f>IF('Inputs Yr 2'!$B303=0,"",'Inputs Yr 2'!E303)</f>
        <v>Hot Water - Prescriptive</v>
      </c>
      <c r="E303" s="93" t="str">
        <f>IF('Inputs Yr 2'!$B303=0,"",'Inputs Yr 2'!F303)</f>
        <v>G16C2b08</v>
      </c>
      <c r="F303" s="93" t="str">
        <f>IF('Inputs Yr 2'!$B303=0,"",'Inputs Yr 2'!G303)</f>
        <v>Hot Water</v>
      </c>
      <c r="G303" s="95" t="str">
        <f>IF('Inputs Yr 2'!$H303&lt;&gt;0,('Inputs Yr 2'!H303),"")</f>
        <v/>
      </c>
      <c r="H303" s="94">
        <f>IFERROR('Inputs Yr 2'!I303,"")</f>
        <v>9</v>
      </c>
      <c r="I303" s="298" t="str">
        <f>IFERROR('Inputs Yr 2'!J303*'Inputs Yr 2'!P303*G303,"")</f>
        <v/>
      </c>
      <c r="J303" s="298" t="str">
        <f>IFERROR('Inputs Yr 2'!K303*G303,"")</f>
        <v/>
      </c>
      <c r="K303" s="298" t="str">
        <f t="shared" si="143"/>
        <v/>
      </c>
      <c r="L303" s="194" t="str">
        <f>IFERROR(('Inputs Yr 2'!W303*G303)/1000,"")</f>
        <v/>
      </c>
      <c r="M303" s="194" t="str">
        <f>IFERROR(L303*('Inputs Yr 2'!$Q303*'Inputs Yr 2'!$V303*'Inputs Yr 2'!$R303),"")</f>
        <v/>
      </c>
      <c r="N303" s="194" t="str">
        <f t="shared" si="144"/>
        <v/>
      </c>
      <c r="O303" s="194" t="str">
        <f>IFERROR(M303*'Inputs Yr 2'!P303,"")</f>
        <v/>
      </c>
      <c r="P303" s="194" t="str">
        <f t="shared" si="145"/>
        <v/>
      </c>
      <c r="Q303" s="194" t="str">
        <f>IFERROR($P303*'Inputs Yr 2'!AA303,"")</f>
        <v/>
      </c>
      <c r="R303" s="194" t="str">
        <f>IFERROR($P303*'Inputs Yr 2'!AB303,"")</f>
        <v/>
      </c>
      <c r="S303" s="194" t="str">
        <f>IFERROR($P303*'Inputs Yr 2'!AC303,"")</f>
        <v/>
      </c>
      <c r="T303" s="194" t="str">
        <f>IFERROR($P303*'Inputs Yr 2'!AD303,"")</f>
        <v/>
      </c>
      <c r="U303" s="194" t="str">
        <f>IFERROR(G303*'Inputs Yr 2'!$AE303*'Inputs Yr 2'!$P303*'Inputs Yr 2'!$Q303,"")</f>
        <v/>
      </c>
      <c r="V303" s="194" t="str">
        <f>IFERROR($G303*'Inputs Yr 2'!$AE303*'Inputs Yr 2'!$AG303*'Inputs Yr 2'!Q303*'Inputs Yr 2'!$S303,"")</f>
        <v/>
      </c>
      <c r="W303" s="194" t="str">
        <f>IFERROR($G303*'Inputs Yr 2'!$AE303*'Inputs Yr 2'!$AG303*'Inputs Yr 2'!P303*'Inputs Yr 2'!Q303*'Inputs Yr 2'!$S303,"")</f>
        <v/>
      </c>
      <c r="X303" s="194" t="str">
        <f>IFERROR($G303*'Inputs Yr 2'!$AE303*'Inputs Yr 2'!$AF303*'Inputs Yr 2'!Q303*'Inputs Yr 2'!$T303,"")</f>
        <v/>
      </c>
      <c r="Y303" s="194" t="str">
        <f>IFERROR($G303*'Inputs Yr 2'!$AE303*'Inputs Yr 2'!$AF303*'Inputs Yr 2'!P303*'Inputs Yr 2'!Q303*'Inputs Yr 2'!$T303,"")</f>
        <v/>
      </c>
      <c r="Z303" s="257">
        <f>IFERROR($G303*'Inputs Yr 2'!$Q303*'Inputs Yr 2'!$U303*(IF(IFERROR(SEARCH("NG", 'Inputs Yr 2'!$AJ303),0),'Inputs Yr 2'!$AK303,0)+IF(IFERROR(SEARCH("NG", 'Inputs Yr 2'!$AL303),0),'Inputs Yr 2'!$AM303,0)+IF(IFERROR(SEARCH("NG", 'Inputs Yr 2'!$AN303),0),'Inputs Yr 2'!$AO303,0)),0)</f>
        <v>0</v>
      </c>
      <c r="AA303" s="257">
        <f t="shared" si="146"/>
        <v>0</v>
      </c>
      <c r="AB303" s="257">
        <f>IFERROR(Z303*'Inputs Yr 2'!$P303,0)</f>
        <v>0</v>
      </c>
      <c r="AC303" s="257">
        <f t="shared" si="147"/>
        <v>0</v>
      </c>
      <c r="AD303" s="257">
        <f>IFERROR($G303*'Inputs Yr 2'!$Q303*'Inputs Yr 2'!$U303*(IF(IFERROR(SEARCH("Oil", 'Inputs Yr 2'!$AJ303), 0),'Inputs Yr 2'!$AK303,0)+IF(IFERROR(SEARCH("Oil", 'Inputs Yr 2'!$AL303), 0),'Inputs Yr 2'!$AM303,0)+IF(IFERROR(SEARCH("Oil", 'Inputs Yr 2'!$AN303), 0),'Inputs Yr 2'!$AO303,0)),0)</f>
        <v>0</v>
      </c>
      <c r="AE303" s="257">
        <f t="shared" si="148"/>
        <v>0</v>
      </c>
      <c r="AF303" s="257">
        <f>IFERROR(AD303*'Inputs Yr 2'!$P303,0)</f>
        <v>0</v>
      </c>
      <c r="AG303" s="257">
        <f t="shared" si="149"/>
        <v>0</v>
      </c>
      <c r="AH303" s="257">
        <f>IFERROR($G303*'Inputs Yr 2'!$Q303*'Inputs Yr 2'!$U303*(IF('Inputs Yr 2'!$AJ303=CD$4,'Inputs Yr 2'!$AK303,IF('Inputs Yr 2'!$AL303=CD$4,'Inputs Yr 2'!$AM303,IF('Inputs Yr 2'!$AN303=CD$4,'Inputs Yr 2'!$AO303,0)))),0)</f>
        <v>0</v>
      </c>
      <c r="AI303" s="257">
        <f t="shared" si="150"/>
        <v>0</v>
      </c>
      <c r="AJ303" s="257">
        <f>IFERROR(AH303*'Inputs Yr 2'!$P303,0)</f>
        <v>0</v>
      </c>
      <c r="AK303" s="257">
        <f t="shared" si="151"/>
        <v>0</v>
      </c>
      <c r="AL303" s="258">
        <f>IFERROR($G303*'Inputs Yr 2'!$P303*'Inputs Yr 2'!$Q303*'Inputs Yr 2'!AP303,0)</f>
        <v>0</v>
      </c>
      <c r="AM303" s="260">
        <f>IFERROR($G303*'Inputs Yr 2'!$P303*'Inputs Yr 2'!$Q303*'Inputs Yr 2'!AQ303,0)</f>
        <v>0</v>
      </c>
      <c r="AN303" s="258">
        <f>IFERROR($G303*'Inputs Yr 2'!$P303*'Inputs Yr 2'!$Q303*'Inputs Yr 2'!AR303,0)</f>
        <v>0</v>
      </c>
      <c r="AO303" s="257">
        <f t="shared" si="152"/>
        <v>0</v>
      </c>
      <c r="AP303" s="195" t="str">
        <f>IFERROR($CQ303*(INDEX(avoidedcosttbl2,$H303,AP$2)+(($H303-ROUNDDOWN($H303,0))*(INDEX(avoidedcosttbl2,ROUNDUP($H303,0),AP$2)-(INDEX(avoidedcosttbl2,ROUNDDOWN($H303,0),AP$2)))))*$O303*1000*'Inputs Yr 2'!AA303,"")</f>
        <v/>
      </c>
      <c r="AQ303" s="195" t="str">
        <f>IFERROR($CR303*(INDEX(avoidedcosttbl2,$H303,AQ$2)+(($H303-ROUNDDOWN($H303,0))*(INDEX(avoidedcosttbl2,ROUNDUP($H303,0),AQ$2)-(INDEX(avoidedcosttbl2,ROUNDDOWN($H303,0),AQ$2)))))*$O303*1000*'Inputs Yr 2'!AB303,"")</f>
        <v/>
      </c>
      <c r="AR303" s="195" t="str">
        <f>IFERROR($CS303*(INDEX(avoidedcosttbl2,$H303,AR$2)+(($H303-ROUNDDOWN($H303,0))*(INDEX(avoidedcosttbl2,ROUNDUP($H303,0),AR$2)-(INDEX(avoidedcosttbl2,ROUNDDOWN($H303,0),AR$2)))))*$O303*1000*'Inputs Yr 2'!AC303,"")</f>
        <v/>
      </c>
      <c r="AS303" s="195" t="str">
        <f>IFERROR($CT303*(INDEX(avoidedcosttbl2,$H303,AS$2)+(($H303-ROUNDDOWN($H303,0))*(INDEX(avoidedcosttbl2,ROUNDUP($H303,0),AS$2)-(INDEX(avoidedcosttbl2,ROUNDDOWN($H303,0),AS$2)))))*$O303*1000*'Inputs Yr 2'!AD303,"")</f>
        <v/>
      </c>
      <c r="AT303" s="196">
        <f t="shared" si="153"/>
        <v>0</v>
      </c>
      <c r="AU303" s="197" t="str">
        <f>IFERROR($CQ303*((INDEX(avoidedcosttbl2,$H303,AU$2))+(($H303-ROUNDDOWN($H303,0))*((INDEX(avoidedcosttbl2,ROUNDUP($H303,0),AU$2))-(INDEX(avoidedcosttbl2,ROUNDDOWN($H303,0),AU$2)))))*$O303*1000*'Inputs Yr 2'!AA303,"")</f>
        <v/>
      </c>
      <c r="AV303" s="197" t="str">
        <f>IFERROR($CR303*((INDEX(avoidedcosttbl2,$H303,AV$2))+(($H303-ROUNDDOWN($H303,0))*((INDEX(avoidedcosttbl2,ROUNDUP($H303,0),AV$2))-(INDEX(avoidedcosttbl2,ROUNDDOWN($H303,0),AV$2)))))*$O303*1000*'Inputs Yr 2'!AB303,"")</f>
        <v/>
      </c>
      <c r="AW303" s="197" t="str">
        <f>IFERROR($CS303*((INDEX(avoidedcosttbl2,$H303,AW$2))+(($H303-ROUNDDOWN($H303,0))*((INDEX(avoidedcosttbl2,ROUNDUP($H303,0),AW$2))-(INDEX(avoidedcosttbl2,ROUNDDOWN($H303,0),AW$2)))))*$O303*1000*'Inputs Yr 2'!AC303,"")</f>
        <v/>
      </c>
      <c r="AX303" s="197" t="str">
        <f>IFERROR($CT303*((INDEX(avoidedcosttbl2,$H303,AX$2))+(($H303-ROUNDDOWN($H303,0))*((INDEX(avoidedcosttbl2,ROUNDUP($H303,0),AX$2))-(INDEX(avoidedcosttbl2,ROUNDDOWN($H303,0),AX$2)))))*$O303*1000*'Inputs Yr 2'!AD303,"")</f>
        <v/>
      </c>
      <c r="AY303" s="197" t="str">
        <f>IFERROR(((INDEX(avoidedcosttbl2,$H303,AY$2))+(($H303-ROUNDDOWN($H303,0))*((INDEX(avoidedcosttbl2,ROUNDUP($H303,0),AY$2))-(INDEX(avoidedcosttbl2,ROUNDDOWN($H303,0),AY$2)))))*$O303*1000*('Inputs Yr 2'!AC303+'Inputs Yr 2'!AD303),"")</f>
        <v/>
      </c>
      <c r="AZ303" s="197" t="str">
        <f>IFERROR(((INDEX(avoidedcosttbl2,$H303,AZ$2))+(($H303-ROUNDDOWN($H303,0))*((INDEX(avoidedcosttbl2,ROUNDUP($H303,0),AZ$2))-(INDEX(avoidedcosttbl2,ROUNDDOWN($H303,0),AZ$2)))))*$O303*1000*('Inputs Yr 2'!AA303+'Inputs Yr 2'!AB303),"")</f>
        <v/>
      </c>
      <c r="BA303" s="198">
        <f t="shared" si="154"/>
        <v>0</v>
      </c>
      <c r="BB303" s="198">
        <f t="shared" si="155"/>
        <v>0</v>
      </c>
      <c r="BC303" s="195" t="str">
        <f t="shared" si="137"/>
        <v/>
      </c>
      <c r="BD303" s="195" t="str">
        <f t="shared" si="138"/>
        <v/>
      </c>
      <c r="BE303" s="195" t="str">
        <f t="shared" si="139"/>
        <v/>
      </c>
      <c r="BF303" s="195" t="str">
        <f t="shared" si="140"/>
        <v/>
      </c>
      <c r="BG303" s="195" t="str">
        <f t="shared" si="141"/>
        <v/>
      </c>
      <c r="BH303" s="196">
        <f t="shared" si="156"/>
        <v>0</v>
      </c>
      <c r="BI303" s="196">
        <f t="shared" si="157"/>
        <v>0</v>
      </c>
      <c r="BJ303" s="195" t="str">
        <f>IFERROR($G303*(IF('Inputs Yr 2'!$AJ303=BJ$4,'Inputs Yr 2'!$AK303,IF('Inputs Yr 2'!$AL303=BJ$4,'Inputs Yr 2'!$AM303,IF('Inputs Yr 2'!$AN303=BJ$4,'Inputs Yr 2'!$AO303,0))))*(INDEX(avoidedcosttbl2,$H303,BJ$2)+(($H303-ROUNDDOWN($H303,0))*(INDEX(avoidedcosttbl2,ROUNDUP($H303,0),BJ$2)-(INDEX(avoidedcosttbl2,ROUNDDOWN($H303,0),BJ$2)))))*'Inputs Yr 2'!P303*'Inputs Yr 2'!Q303*'Inputs Yr 2'!U303,"")</f>
        <v/>
      </c>
      <c r="BK303" s="195" t="str">
        <f>IFERROR($G303*(IF('Inputs Yr 2'!$AJ303=BK$4,'Inputs Yr 2'!$AK303,IF('Inputs Yr 2'!$AL303=BK$4,'Inputs Yr 2'!$AM303,IF('Inputs Yr 2'!$AN303=BK$4,'Inputs Yr 2'!$AO303,0))))*(INDEX(avoidedcosttbl2,$H303,BK$2)+(($H303-ROUNDDOWN($H303,0))*(INDEX(avoidedcosttbl2,ROUNDUP($H303,0),BK$2)-(INDEX(avoidedcosttbl2,ROUNDDOWN($H303,0),BK$2)))))*'Inputs Yr 2'!P303*'Inputs Yr 2'!Q303*'Inputs Yr 2'!U303,"")</f>
        <v/>
      </c>
      <c r="BL303" s="195" t="str">
        <f>IFERROR($G303*(IF('Inputs Yr 2'!$AJ303=BL$4,'Inputs Yr 2'!$AK303,IF('Inputs Yr 2'!$AL303=BL$4,'Inputs Yr 2'!$AM303,IF('Inputs Yr 2'!$AN303=BL$4,'Inputs Yr 2'!$AO303,0))))*(INDEX(avoidedcosttbl2,$H303,BL$2)+(($H303-ROUNDDOWN($H303,0))*(INDEX(avoidedcosttbl2,ROUNDUP($H303,0),BL$2)-(INDEX(avoidedcosttbl2,ROUNDDOWN($H303,0),BL$2)))))*'Inputs Yr 2'!P303*'Inputs Yr 2'!Q303*'Inputs Yr 2'!U303,"")</f>
        <v/>
      </c>
      <c r="BM303" s="195" t="str">
        <f>IFERROR($G303*(IF('Inputs Yr 2'!$AJ303=BM$4,'Inputs Yr 2'!$AK303,IF('Inputs Yr 2'!$AL303=BM$4,'Inputs Yr 2'!$AM303,IF('Inputs Yr 2'!$AN303=BM$4,'Inputs Yr 2'!$AO303,0))))*(INDEX(avoidedcosttbl2,$H303,BM$2)+(($H303-ROUNDDOWN($H303,0))*(INDEX(avoidedcosttbl2,ROUNDUP($H303,0),BM$2)-(INDEX(avoidedcosttbl2,ROUNDDOWN($H303,0),BM$2)))))*'Inputs Yr 2'!P303*'Inputs Yr 2'!Q303*'Inputs Yr 2'!U303,"")</f>
        <v/>
      </c>
      <c r="BN303" s="195" t="str">
        <f>IFERROR($G303*(IF('Inputs Yr 2'!$AJ303=BN$4,'Inputs Yr 2'!$AK303,IF('Inputs Yr 2'!$AL303=BN$4,'Inputs Yr 2'!$AM303,IF('Inputs Yr 2'!$AN303=BN$4,'Inputs Yr 2'!$AO303,0))))*(INDEX(avoidedcosttbl2,$H303,BN$2)+(($H303-ROUNDDOWN($H303,0))*(INDEX(avoidedcosttbl2,ROUNDUP($H303,0),BN$2)-(INDEX(avoidedcosttbl2,ROUNDDOWN($H303,0),BN$2)))))*'Inputs Yr 2'!P303*'Inputs Yr 2'!Q303*'Inputs Yr 2'!U303,"")</f>
        <v/>
      </c>
      <c r="BO303" s="195" t="str">
        <f>IFERROR($G303*(IF('Inputs Yr 2'!$AJ303=BO$4,'Inputs Yr 2'!$AK303,IF('Inputs Yr 2'!$AL303=BO$4,'Inputs Yr 2'!$AM303,IF('Inputs Yr 2'!$AN303=BO$4,'Inputs Yr 2'!$AO303,0))))*(INDEX(avoidedcosttbl2,$H303,BO$2)+(($H303-ROUNDDOWN($H303,0))*(INDEX(avoidedcosttbl2,ROUNDUP($H303,0),BO$2)-(INDEX(avoidedcosttbl2,ROUNDDOWN($H303,0),BO$2)))))*'Inputs Yr 2'!P303*'Inputs Yr 2'!Q303*'Inputs Yr 2'!U303,"")</f>
        <v/>
      </c>
      <c r="BP303" s="195" t="str">
        <f>IFERROR($G303*(IF('Inputs Yr 2'!$AJ303=BP$4,'Inputs Yr 2'!$AK303,IF('Inputs Yr 2'!$AL303=BP$4,'Inputs Yr 2'!$AM303,IF('Inputs Yr 2'!$AN303=BP$4,'Inputs Yr 2'!$AO303,0))))*(INDEX(avoidedcosttbl2,$H303,BP$2)+(($H303-ROUNDDOWN($H303,0))*(INDEX(avoidedcosttbl2,ROUNDUP($H303,0),BP$2)-(INDEX(avoidedcosttbl2,ROUNDDOWN($H303,0),BP$2)))))*'Inputs Yr 2'!P303*'Inputs Yr 2'!Q303*'Inputs Yr 2'!U303,"")</f>
        <v/>
      </c>
      <c r="BQ303" s="230">
        <f t="shared" si="158"/>
        <v>0</v>
      </c>
      <c r="BR303" s="197">
        <f t="shared" si="142"/>
        <v>0</v>
      </c>
      <c r="BS303" s="197" t="str">
        <f>IFERROR(($G303*IF('Inputs Yr 2'!$AJ303=BM$4,'Inputs Yr 2'!$AK303,IF('Inputs Yr 2'!$AL303=BM$4,'Inputs Yr 2'!$AM303,IF('Inputs Yr 2'!$AN303=BM$4,'Inputs Yr 2'!$AO303,0))))*(INDEX(avoidedcosttbl2,$H303,BS$2)+(($H303-ROUNDDOWN($H303,0))*(INDEX(avoidedcosttbl2,ROUNDUP($H303,0),BS$2)-(INDEX(avoidedcosttbl2,ROUNDDOWN($H303,0),BS$2)))))*'Inputs Yr 2'!P303*'Inputs Yr 2'!Q303*'Inputs Yr 2'!U303,"")</f>
        <v/>
      </c>
      <c r="BT303" s="197" t="str">
        <f>IFERROR(($G303*IF('Inputs Yr 2'!$AJ303=BK$4,'Inputs Yr 2'!$AK303,IF('Inputs Yr 2'!$AL303=BK$4,'Inputs Yr 2'!$AM303,IF('Inputs Yr 2'!$AN303=BK$4,'Inputs Yr 2'!$AO303,0))))*(INDEX(avoidedcosttbl2,$H303,BT$2)+(($H303-ROUNDDOWN($H303,0))*(INDEX(avoidedcosttbl2,ROUNDUP($H303,0),BT$2)-(INDEX(avoidedcosttbl2,ROUNDDOWN($H303,0),BT$2)))))*'Inputs Yr 2'!P303*'Inputs Yr 2'!Q303*'Inputs Yr 2'!U303,"")</f>
        <v/>
      </c>
      <c r="BU303" s="197" t="str">
        <f>IFERROR(($G303*IF('Inputs Yr 2'!$AJ303=BL$4,'Inputs Yr 2'!$AK303,IF('Inputs Yr 2'!$AL303=BL$4,'Inputs Yr 2'!$AM303,IF('Inputs Yr 2'!$AN303=BL$4,'Inputs Yr 2'!$AO303,0))))*(INDEX(avoidedcosttbl2,$H303,BU$2)+(($H303-ROUNDDOWN($H303,0))*(INDEX(avoidedcosttbl2,ROUNDUP($H303,0),BU$2)-(INDEX(avoidedcosttbl2,ROUNDDOWN($H303,0),BU$2)))))*'Inputs Yr 2'!P303*'Inputs Yr 2'!Q303*'Inputs Yr 2'!U303,"")</f>
        <v/>
      </c>
      <c r="BV303" s="775" t="str">
        <f>IFERROR(($G303*IF('Inputs Yr 2'!$AJ303=BJ$4,'Inputs Yr 2'!$AK303,IF('Inputs Yr 2'!$AL303=BJ$4,'Inputs Yr 2'!$AM303,IF('Inputs Yr 2'!$AN303=BJ$4,'Inputs Yr 2'!$AO303,0))))*(INDEX(avoidedcosttbl2,$H303,BV$2)+(($H303-ROUNDDOWN($H303,0))*(INDEX(avoidedcosttbl2,ROUNDUP($H303,0),BV$2)-(INDEX(avoidedcosttbl2,ROUNDDOWN($H303,0),BV$2)))))*'Inputs Yr 2'!P303*'Inputs Yr 2'!Q303*'Inputs Yr 2'!U303,"")</f>
        <v/>
      </c>
      <c r="BW303" s="197" t="str">
        <f>IFERROR(($G303*IF('Inputs Yr 2'!$AJ303=BN$4,'Inputs Yr 2'!$AK303,IF('Inputs Yr 2'!$AL303=BN$4,'Inputs Yr 2'!$AM303,IF('Inputs Yr 2'!$AN303=BN$4,'Inputs Yr 2'!$AO303,0))))*(INDEX(avoidedcosttbl2,$H303,BW$2)+(($H303-ROUNDDOWN($H303,0))*(INDEX(avoidedcosttbl2,ROUNDUP($H303,0),BW$2)-(INDEX(avoidedcosttbl2,ROUNDDOWN($H303,0),BW$2)))))*'Inputs Yr 2'!P303*'Inputs Yr 2'!Q303*'Inputs Yr 2'!U303,"")</f>
        <v/>
      </c>
      <c r="BX303" s="197" t="str">
        <f>IFERROR(($G303*IF('Inputs Yr 2'!$AJ303=BO$4,'Inputs Yr 2'!$AK303,IF('Inputs Yr 2'!$AL303=BO$4,'Inputs Yr 2'!$AM303,IF('Inputs Yr 2'!$AN303=BO$4,'Inputs Yr 2'!$AO303,0))))*(INDEX(avoidedcosttbl2,$H303,BX$2)+(($H303-ROUNDDOWN($H303,0))*(INDEX(avoidedcosttbl2,ROUNDUP($H303,0),BX$2)-(INDEX(avoidedcosttbl2,ROUNDDOWN($H303,0),BX$2)))))*'Inputs Yr 2'!P303*'Inputs Yr 2'!Q303*'Inputs Yr 2'!U303,"")</f>
        <v/>
      </c>
      <c r="BY303" s="197" t="str">
        <f>IFERROR(($G303*IF('Inputs Yr 2'!$AJ303=BP$4,'Inputs Yr 2'!$AK303,IF('Inputs Yr 2'!$AL303=BP$4,'Inputs Yr 2'!$AM303,IF('Inputs Yr 2'!$AN303=BP$4,'Inputs Yr 2'!$AO303,0))))*(INDEX(avoidedcosttbl2,$H303,BY$2)+(($H303-ROUNDDOWN($H303,0))*(INDEX(avoidedcosttbl2,ROUNDUP($H303,0),BY$2)-(INDEX(avoidedcosttbl2,ROUNDDOWN($H303,0),BY$2)))))*'Inputs Yr 2'!P303*'Inputs Yr 2'!Q303*'Inputs Yr 2'!U303,"")</f>
        <v/>
      </c>
      <c r="BZ303" s="193">
        <f t="shared" si="159"/>
        <v>0</v>
      </c>
      <c r="CA303" s="193">
        <f t="shared" si="160"/>
        <v>0</v>
      </c>
      <c r="CB303" s="195" t="str">
        <f>IFERROR(G303*(IF('Inputs Yr 2'!$AJ303=CB$4,'Inputs Yr 2'!$AK303,IF('Inputs Yr 2'!$AL303=CB$4,'Inputs Yr 2'!$AM303,IF('Inputs Yr 2'!$AN303=CB$4,'Inputs Yr 2'!$AO303,0))))*(INDEX(avoidedcosttbl2,$H303,CB$2)+(($H303-ROUNDDOWN($H303,0))*(INDEX(avoidedcosttbl2,ROUNDUP($H303,0),CB$2)-(INDEX(avoidedcosttbl2,ROUNDDOWN($H303,0),CB$2)))))*'Inputs Yr 2'!P303*'Inputs Yr 2'!Q303*'Inputs Yr 2'!U303,"")</f>
        <v/>
      </c>
      <c r="CC303" s="195">
        <f>IFERROR(H303*(IF('Inputs Yr 2'!$AJ303=CC$4,'Inputs Yr 2'!$AK303,IF('Inputs Yr 2'!$AL303=CC$4,'Inputs Yr 2'!$AM303,IF('Inputs Yr 2'!$AN303=CC$4,'Inputs Yr 2'!$AO303,0))))*(INDEX(avoidedcosttbl2,$H303,CC$2)+(($H303-ROUNDDOWN($H303,0))*(INDEX(avoidedcosttbl2,ROUNDUP($H303,0),CC$2)-(INDEX(avoidedcosttbl2,ROUNDDOWN($H303,0),CC$2)))))*'Inputs Yr 2'!Q303*'Inputs Yr 2'!R303*'Inputs Yr 2'!V303,"")</f>
        <v>0</v>
      </c>
      <c r="CD303" s="195" t="str">
        <f>IFERROR(I303*(IF('Inputs Yr 2'!$AJ303=CD$4,'Inputs Yr 2'!$AK303,IF('Inputs Yr 2'!$AL303=CD$4,'Inputs Yr 2'!$AM303,IF('Inputs Yr 2'!$AN303=CD$4,'Inputs Yr 2'!$AO303,0))))*(INDEX(avoidedcosttbl2,$H303,CD$2)+(($H303-ROUNDDOWN($H303,0))*(INDEX(avoidedcosttbl2,ROUNDUP($H303,0),CD$2)-(INDEX(avoidedcosttbl2,ROUNDDOWN($H303,0),CD$2)))))*'Inputs Yr 2'!R303*'Inputs Yr 2'!S303*'Inputs Yr 2'!W303,"")</f>
        <v/>
      </c>
      <c r="CE303" s="213">
        <f t="shared" si="161"/>
        <v>0</v>
      </c>
      <c r="CF303" s="213">
        <f t="shared" si="162"/>
        <v>0</v>
      </c>
      <c r="CG303" s="213">
        <f t="shared" si="163"/>
        <v>0</v>
      </c>
      <c r="CH303" s="698">
        <f t="shared" si="164"/>
        <v>0</v>
      </c>
      <c r="CI303" s="79" t="str">
        <f>IFERROR(($G303*'Inputs Yr 2'!$P303*'Inputs Yr 2'!$Q303*(((INDEX(avoidedcosttbl2,$H303,CI$2)+(($H303-ROUNDDOWN($H303,0))*(INDEX(avoidedcosttbl2,ROUNDUP($H303,0),CI$2)-INDEX(avoidedcosttbl2,ROUNDDOWN($H303,0),CI$2))))*'Inputs Yr 2'!AS303))),"")</f>
        <v/>
      </c>
      <c r="CJ303" s="504" t="str">
        <f>IFERROR($G303*'Inputs Yr 2'!AT303*'Inputs Yr 2'!$P303*'Inputs Yr 2'!$Q303/((1+realdiscrt1)^-0.5),"")</f>
        <v/>
      </c>
      <c r="CK303" s="79" t="str">
        <f>IFERROR((O303*1000*(((INDEX(avoidedcosttbl2,$H303,CK$2)+(($H303-ROUNDDOWN($H303,0))*(INDEX(avoidedcosttbl2,ROUNDUP($H303,0),CK$2)-INDEX(avoidedcosttbl2,ROUNDDOWN($H303,0),CK$2))))*'Inputs Yr 2'!AU303))),"")</f>
        <v/>
      </c>
      <c r="CL303" s="504" t="str">
        <f>IFERROR(O303*1000*'Inputs Yr 2'!AV303/((1+realdiscrt1)^-0.5),"")</f>
        <v/>
      </c>
      <c r="CM303" s="79">
        <f>IFERROR((AB303*'Inputs Yr 2'!AW303*(((INDEX(avoidedcosttbl2,$H303,CM$2)+(($H303-ROUNDDOWN($H303,0))*(INDEX(avoidedcosttbl2,ROUNDUP($H303,0),CM$2)-INDEX(avoidedcosttbl2,ROUNDDOWN($H303,0),CM$2)))))))*10,"")</f>
        <v>0</v>
      </c>
      <c r="CN303" s="504">
        <f>IFERROR(10*AB303*'Inputs Yr 2'!AX303/((1+realdiscrt1)^-0.5),"")</f>
        <v>0</v>
      </c>
      <c r="CO303" s="505">
        <f t="shared" si="165"/>
        <v>0</v>
      </c>
      <c r="CP303" s="230">
        <f t="shared" si="166"/>
        <v>0</v>
      </c>
      <c r="CQ303" s="199">
        <f>ROUND(IFERROR(IF(LEFT($A303,1)="C",'Avoided Costs'!$K$13,'Avoided Costs'!$K$12)+1,""),4)</f>
        <v>1.0720000000000001</v>
      </c>
      <c r="CR303" s="199">
        <f>ROUND(IFERROR(IF(LEFT($A303,1)="C",'Avoided Costs'!$L$13,'Avoided Costs'!$L$12)+1,""),4)</f>
        <v>1.04</v>
      </c>
      <c r="CS303" s="199">
        <f>ROUND(IFERROR(IF(LEFT($A303,1)="C",'Avoided Costs'!$M$13,'Avoided Costs'!$M$12)+1,""),4)</f>
        <v>1.0720000000000001</v>
      </c>
      <c r="CT303" s="199">
        <f>ROUND(IFERROR(IF(LEFT($A303,1)="C",'Avoided Costs'!$N$13,'Avoided Costs'!$N$12)+1,""),4)</f>
        <v>1.04</v>
      </c>
      <c r="CU303" s="199">
        <f>ROUND(IFERROR(IF(LEFT($A303,1)="C",'Avoided Costs'!$O$13,'Avoided Costs'!$O$12)+1,""),4)</f>
        <v>1.1120000000000001</v>
      </c>
      <c r="CV303" s="199">
        <f>ROUND(IFERROR(IF(LEFT($A303,1)="C",'Avoided Costs'!$P$13,'Avoided Costs'!$P$12)+1,""),4)</f>
        <v>1.095</v>
      </c>
      <c r="CW303" s="199">
        <f>ROUND(IFERROR(IF(LEFT($A303,1)="C",'Avoided Costs'!$Q$13,'Avoided Costs'!$Q$12)+1,""),4)</f>
        <v>1.1120000000000001</v>
      </c>
      <c r="CX303" s="200">
        <f>ROUND(IFERROR(IF(LEFT($A303,1)="C",'Avoided Costs'!$R$13,'Avoided Costs'!$R$12)+1,""),4)</f>
        <v>1.1120000000000001</v>
      </c>
    </row>
    <row r="304" spans="1:102" ht="12.75" customHeight="1">
      <c r="A304" s="91" t="str">
        <f>IF('Inputs Yr 2'!$B304=0,"",'Inputs Yr 2'!A304)</f>
        <v>C - Commercial &amp; Industrial</v>
      </c>
      <c r="B304" s="91" t="str">
        <f>IF('Inputs Yr 2'!$B304=0,"",'Inputs Yr 2'!B304)</f>
        <v>C2 - C&amp;I Retrofit</v>
      </c>
      <c r="C304" s="91" t="str">
        <f>IF('Inputs Yr 2'!$B304=0,"",'Inputs Yr 2'!C304)</f>
        <v>C2b - C&amp;I Small Business</v>
      </c>
      <c r="D304" s="91" t="str">
        <f>IF('Inputs Yr 2'!$B304=0,"",'Inputs Yr 2'!E304)</f>
        <v>HVAC - Custom</v>
      </c>
      <c r="E304" s="93" t="str">
        <f>IF('Inputs Yr 2'!$B304=0,"",'Inputs Yr 2'!F304)</f>
        <v>G16C2b09</v>
      </c>
      <c r="F304" s="93" t="str">
        <f>IF('Inputs Yr 2'!$B304=0,"",'Inputs Yr 2'!G304)</f>
        <v>HVAC</v>
      </c>
      <c r="G304" s="95" t="str">
        <f>IF('Inputs Yr 2'!$H304&lt;&gt;0,('Inputs Yr 2'!H304),"")</f>
        <v/>
      </c>
      <c r="H304" s="94">
        <f>IFERROR('Inputs Yr 2'!I304,"")</f>
        <v>0</v>
      </c>
      <c r="I304" s="298" t="str">
        <f>IFERROR('Inputs Yr 2'!J304*'Inputs Yr 2'!P304*G304,"")</f>
        <v/>
      </c>
      <c r="J304" s="298" t="str">
        <f>IFERROR('Inputs Yr 2'!K304*G304,"")</f>
        <v/>
      </c>
      <c r="K304" s="298" t="str">
        <f t="shared" si="143"/>
        <v/>
      </c>
      <c r="L304" s="194" t="str">
        <f>IFERROR(('Inputs Yr 2'!W304*G304)/1000,"")</f>
        <v/>
      </c>
      <c r="M304" s="194" t="str">
        <f>IFERROR(L304*('Inputs Yr 2'!$Q304*'Inputs Yr 2'!$V304*'Inputs Yr 2'!$R304),"")</f>
        <v/>
      </c>
      <c r="N304" s="194" t="str">
        <f t="shared" si="144"/>
        <v/>
      </c>
      <c r="O304" s="194" t="str">
        <f>IFERROR(M304*'Inputs Yr 2'!P304,"")</f>
        <v/>
      </c>
      <c r="P304" s="194" t="str">
        <f t="shared" si="145"/>
        <v/>
      </c>
      <c r="Q304" s="194" t="str">
        <f>IFERROR($P304*'Inputs Yr 2'!AA304,"")</f>
        <v/>
      </c>
      <c r="R304" s="194" t="str">
        <f>IFERROR($P304*'Inputs Yr 2'!AB304,"")</f>
        <v/>
      </c>
      <c r="S304" s="194" t="str">
        <f>IFERROR($P304*'Inputs Yr 2'!AC304,"")</f>
        <v/>
      </c>
      <c r="T304" s="194" t="str">
        <f>IFERROR($P304*'Inputs Yr 2'!AD304,"")</f>
        <v/>
      </c>
      <c r="U304" s="194" t="str">
        <f>IFERROR(G304*'Inputs Yr 2'!$AE304*'Inputs Yr 2'!$P304*'Inputs Yr 2'!$Q304,"")</f>
        <v/>
      </c>
      <c r="V304" s="194" t="str">
        <f>IFERROR($G304*'Inputs Yr 2'!$AE304*'Inputs Yr 2'!$AG304*'Inputs Yr 2'!Q304*'Inputs Yr 2'!$S304,"")</f>
        <v/>
      </c>
      <c r="W304" s="194" t="str">
        <f>IFERROR($G304*'Inputs Yr 2'!$AE304*'Inputs Yr 2'!$AG304*'Inputs Yr 2'!P304*'Inputs Yr 2'!Q304*'Inputs Yr 2'!$S304,"")</f>
        <v/>
      </c>
      <c r="X304" s="194" t="str">
        <f>IFERROR($G304*'Inputs Yr 2'!$AE304*'Inputs Yr 2'!$AF304*'Inputs Yr 2'!Q304*'Inputs Yr 2'!$T304,"")</f>
        <v/>
      </c>
      <c r="Y304" s="194" t="str">
        <f>IFERROR($G304*'Inputs Yr 2'!$AE304*'Inputs Yr 2'!$AF304*'Inputs Yr 2'!P304*'Inputs Yr 2'!Q304*'Inputs Yr 2'!$T304,"")</f>
        <v/>
      </c>
      <c r="Z304" s="257">
        <f>IFERROR($G304*'Inputs Yr 2'!$Q304*'Inputs Yr 2'!$U304*(IF(IFERROR(SEARCH("NG", 'Inputs Yr 2'!$AJ304),0),'Inputs Yr 2'!$AK304,0)+IF(IFERROR(SEARCH("NG", 'Inputs Yr 2'!$AL304),0),'Inputs Yr 2'!$AM304,0)+IF(IFERROR(SEARCH("NG", 'Inputs Yr 2'!$AN304),0),'Inputs Yr 2'!$AO304,0)),0)</f>
        <v>0</v>
      </c>
      <c r="AA304" s="257">
        <f t="shared" si="146"/>
        <v>0</v>
      </c>
      <c r="AB304" s="257">
        <f>IFERROR(Z304*'Inputs Yr 2'!$P304,0)</f>
        <v>0</v>
      </c>
      <c r="AC304" s="257">
        <f t="shared" si="147"/>
        <v>0</v>
      </c>
      <c r="AD304" s="257">
        <f>IFERROR($G304*'Inputs Yr 2'!$Q304*'Inputs Yr 2'!$U304*(IF(IFERROR(SEARCH("Oil", 'Inputs Yr 2'!$AJ304), 0),'Inputs Yr 2'!$AK304,0)+IF(IFERROR(SEARCH("Oil", 'Inputs Yr 2'!$AL304), 0),'Inputs Yr 2'!$AM304,0)+IF(IFERROR(SEARCH("Oil", 'Inputs Yr 2'!$AN304), 0),'Inputs Yr 2'!$AO304,0)),0)</f>
        <v>0</v>
      </c>
      <c r="AE304" s="257">
        <f t="shared" si="148"/>
        <v>0</v>
      </c>
      <c r="AF304" s="257">
        <f>IFERROR(AD304*'Inputs Yr 2'!$P304,0)</f>
        <v>0</v>
      </c>
      <c r="AG304" s="257">
        <f t="shared" si="149"/>
        <v>0</v>
      </c>
      <c r="AH304" s="257">
        <f>IFERROR($G304*'Inputs Yr 2'!$Q304*'Inputs Yr 2'!$U304*(IF('Inputs Yr 2'!$AJ304=CD$4,'Inputs Yr 2'!$AK304,IF('Inputs Yr 2'!$AL304=CD$4,'Inputs Yr 2'!$AM304,IF('Inputs Yr 2'!$AN304=CD$4,'Inputs Yr 2'!$AO304,0)))),0)</f>
        <v>0</v>
      </c>
      <c r="AI304" s="257">
        <f t="shared" si="150"/>
        <v>0</v>
      </c>
      <c r="AJ304" s="257">
        <f>IFERROR(AH304*'Inputs Yr 2'!$P304,0)</f>
        <v>0</v>
      </c>
      <c r="AK304" s="257">
        <f t="shared" si="151"/>
        <v>0</v>
      </c>
      <c r="AL304" s="258">
        <f>IFERROR($G304*'Inputs Yr 2'!$P304*'Inputs Yr 2'!$Q304*'Inputs Yr 2'!AP304,0)</f>
        <v>0</v>
      </c>
      <c r="AM304" s="260">
        <f>IFERROR($G304*'Inputs Yr 2'!$P304*'Inputs Yr 2'!$Q304*'Inputs Yr 2'!AQ304,0)</f>
        <v>0</v>
      </c>
      <c r="AN304" s="258">
        <f>IFERROR($G304*'Inputs Yr 2'!$P304*'Inputs Yr 2'!$Q304*'Inputs Yr 2'!AR304,0)</f>
        <v>0</v>
      </c>
      <c r="AO304" s="257">
        <f t="shared" si="152"/>
        <v>0</v>
      </c>
      <c r="AP304" s="195" t="str">
        <f>IFERROR($CQ304*(INDEX(avoidedcosttbl2,$H304,AP$2)+(($H304-ROUNDDOWN($H304,0))*(INDEX(avoidedcosttbl2,ROUNDUP($H304,0),AP$2)-(INDEX(avoidedcosttbl2,ROUNDDOWN($H304,0),AP$2)))))*$O304*1000*'Inputs Yr 2'!AA304,"")</f>
        <v/>
      </c>
      <c r="AQ304" s="195" t="str">
        <f>IFERROR($CR304*(INDEX(avoidedcosttbl2,$H304,AQ$2)+(($H304-ROUNDDOWN($H304,0))*(INDEX(avoidedcosttbl2,ROUNDUP($H304,0),AQ$2)-(INDEX(avoidedcosttbl2,ROUNDDOWN($H304,0),AQ$2)))))*$O304*1000*'Inputs Yr 2'!AB304,"")</f>
        <v/>
      </c>
      <c r="AR304" s="195" t="str">
        <f>IFERROR($CS304*(INDEX(avoidedcosttbl2,$H304,AR$2)+(($H304-ROUNDDOWN($H304,0))*(INDEX(avoidedcosttbl2,ROUNDUP($H304,0),AR$2)-(INDEX(avoidedcosttbl2,ROUNDDOWN($H304,0),AR$2)))))*$O304*1000*'Inputs Yr 2'!AC304,"")</f>
        <v/>
      </c>
      <c r="AS304" s="195" t="str">
        <f>IFERROR($CT304*(INDEX(avoidedcosttbl2,$H304,AS$2)+(($H304-ROUNDDOWN($H304,0))*(INDEX(avoidedcosttbl2,ROUNDUP($H304,0),AS$2)-(INDEX(avoidedcosttbl2,ROUNDDOWN($H304,0),AS$2)))))*$O304*1000*'Inputs Yr 2'!AD304,"")</f>
        <v/>
      </c>
      <c r="AT304" s="196">
        <f t="shared" si="153"/>
        <v>0</v>
      </c>
      <c r="AU304" s="197" t="str">
        <f>IFERROR($CQ304*((INDEX(avoidedcosttbl2,$H304,AU$2))+(($H304-ROUNDDOWN($H304,0))*((INDEX(avoidedcosttbl2,ROUNDUP($H304,0),AU$2))-(INDEX(avoidedcosttbl2,ROUNDDOWN($H304,0),AU$2)))))*$O304*1000*'Inputs Yr 2'!AA304,"")</f>
        <v/>
      </c>
      <c r="AV304" s="197" t="str">
        <f>IFERROR($CR304*((INDEX(avoidedcosttbl2,$H304,AV$2))+(($H304-ROUNDDOWN($H304,0))*((INDEX(avoidedcosttbl2,ROUNDUP($H304,0),AV$2))-(INDEX(avoidedcosttbl2,ROUNDDOWN($H304,0),AV$2)))))*$O304*1000*'Inputs Yr 2'!AB304,"")</f>
        <v/>
      </c>
      <c r="AW304" s="197" t="str">
        <f>IFERROR($CS304*((INDEX(avoidedcosttbl2,$H304,AW$2))+(($H304-ROUNDDOWN($H304,0))*((INDEX(avoidedcosttbl2,ROUNDUP($H304,0),AW$2))-(INDEX(avoidedcosttbl2,ROUNDDOWN($H304,0),AW$2)))))*$O304*1000*'Inputs Yr 2'!AC304,"")</f>
        <v/>
      </c>
      <c r="AX304" s="197" t="str">
        <f>IFERROR($CT304*((INDEX(avoidedcosttbl2,$H304,AX$2))+(($H304-ROUNDDOWN($H304,0))*((INDEX(avoidedcosttbl2,ROUNDUP($H304,0),AX$2))-(INDEX(avoidedcosttbl2,ROUNDDOWN($H304,0),AX$2)))))*$O304*1000*'Inputs Yr 2'!AD304,"")</f>
        <v/>
      </c>
      <c r="AY304" s="197" t="str">
        <f>IFERROR(((INDEX(avoidedcosttbl2,$H304,AY$2))+(($H304-ROUNDDOWN($H304,0))*((INDEX(avoidedcosttbl2,ROUNDUP($H304,0),AY$2))-(INDEX(avoidedcosttbl2,ROUNDDOWN($H304,0),AY$2)))))*$O304*1000*('Inputs Yr 2'!AC304+'Inputs Yr 2'!AD304),"")</f>
        <v/>
      </c>
      <c r="AZ304" s="197" t="str">
        <f>IFERROR(((INDEX(avoidedcosttbl2,$H304,AZ$2))+(($H304-ROUNDDOWN($H304,0))*((INDEX(avoidedcosttbl2,ROUNDUP($H304,0),AZ$2))-(INDEX(avoidedcosttbl2,ROUNDDOWN($H304,0),AZ$2)))))*$O304*1000*('Inputs Yr 2'!AA304+'Inputs Yr 2'!AB304),"")</f>
        <v/>
      </c>
      <c r="BA304" s="198">
        <f t="shared" si="154"/>
        <v>0</v>
      </c>
      <c r="BB304" s="198">
        <f t="shared" si="155"/>
        <v>0</v>
      </c>
      <c r="BC304" s="195" t="str">
        <f t="shared" si="137"/>
        <v/>
      </c>
      <c r="BD304" s="195" t="str">
        <f t="shared" si="138"/>
        <v/>
      </c>
      <c r="BE304" s="195" t="str">
        <f t="shared" si="139"/>
        <v/>
      </c>
      <c r="BF304" s="195" t="str">
        <f t="shared" si="140"/>
        <v/>
      </c>
      <c r="BG304" s="195" t="str">
        <f t="shared" si="141"/>
        <v/>
      </c>
      <c r="BH304" s="196">
        <f t="shared" si="156"/>
        <v>0</v>
      </c>
      <c r="BI304" s="196">
        <f t="shared" si="157"/>
        <v>0</v>
      </c>
      <c r="BJ304" s="195" t="str">
        <f>IFERROR($G304*(IF('Inputs Yr 2'!$AJ304=BJ$4,'Inputs Yr 2'!$AK304,IF('Inputs Yr 2'!$AL304=BJ$4,'Inputs Yr 2'!$AM304,IF('Inputs Yr 2'!$AN304=BJ$4,'Inputs Yr 2'!$AO304,0))))*(INDEX(avoidedcosttbl2,$H304,BJ$2)+(($H304-ROUNDDOWN($H304,0))*(INDEX(avoidedcosttbl2,ROUNDUP($H304,0),BJ$2)-(INDEX(avoidedcosttbl2,ROUNDDOWN($H304,0),BJ$2)))))*'Inputs Yr 2'!P304*'Inputs Yr 2'!Q304*'Inputs Yr 2'!U304,"")</f>
        <v/>
      </c>
      <c r="BK304" s="195" t="str">
        <f>IFERROR($G304*(IF('Inputs Yr 2'!$AJ304=BK$4,'Inputs Yr 2'!$AK304,IF('Inputs Yr 2'!$AL304=BK$4,'Inputs Yr 2'!$AM304,IF('Inputs Yr 2'!$AN304=BK$4,'Inputs Yr 2'!$AO304,0))))*(INDEX(avoidedcosttbl2,$H304,BK$2)+(($H304-ROUNDDOWN($H304,0))*(INDEX(avoidedcosttbl2,ROUNDUP($H304,0),BK$2)-(INDEX(avoidedcosttbl2,ROUNDDOWN($H304,0),BK$2)))))*'Inputs Yr 2'!P304*'Inputs Yr 2'!Q304*'Inputs Yr 2'!U304,"")</f>
        <v/>
      </c>
      <c r="BL304" s="195" t="str">
        <f>IFERROR($G304*(IF('Inputs Yr 2'!$AJ304=BL$4,'Inputs Yr 2'!$AK304,IF('Inputs Yr 2'!$AL304=BL$4,'Inputs Yr 2'!$AM304,IF('Inputs Yr 2'!$AN304=BL$4,'Inputs Yr 2'!$AO304,0))))*(INDEX(avoidedcosttbl2,$H304,BL$2)+(($H304-ROUNDDOWN($H304,0))*(INDEX(avoidedcosttbl2,ROUNDUP($H304,0),BL$2)-(INDEX(avoidedcosttbl2,ROUNDDOWN($H304,0),BL$2)))))*'Inputs Yr 2'!P304*'Inputs Yr 2'!Q304*'Inputs Yr 2'!U304,"")</f>
        <v/>
      </c>
      <c r="BM304" s="195" t="str">
        <f>IFERROR($G304*(IF('Inputs Yr 2'!$AJ304=BM$4,'Inputs Yr 2'!$AK304,IF('Inputs Yr 2'!$AL304=BM$4,'Inputs Yr 2'!$AM304,IF('Inputs Yr 2'!$AN304=BM$4,'Inputs Yr 2'!$AO304,0))))*(INDEX(avoidedcosttbl2,$H304,BM$2)+(($H304-ROUNDDOWN($H304,0))*(INDEX(avoidedcosttbl2,ROUNDUP($H304,0),BM$2)-(INDEX(avoidedcosttbl2,ROUNDDOWN($H304,0),BM$2)))))*'Inputs Yr 2'!P304*'Inputs Yr 2'!Q304*'Inputs Yr 2'!U304,"")</f>
        <v/>
      </c>
      <c r="BN304" s="195" t="str">
        <f>IFERROR($G304*(IF('Inputs Yr 2'!$AJ304=BN$4,'Inputs Yr 2'!$AK304,IF('Inputs Yr 2'!$AL304=BN$4,'Inputs Yr 2'!$AM304,IF('Inputs Yr 2'!$AN304=BN$4,'Inputs Yr 2'!$AO304,0))))*(INDEX(avoidedcosttbl2,$H304,BN$2)+(($H304-ROUNDDOWN($H304,0))*(INDEX(avoidedcosttbl2,ROUNDUP($H304,0),BN$2)-(INDEX(avoidedcosttbl2,ROUNDDOWN($H304,0),BN$2)))))*'Inputs Yr 2'!P304*'Inputs Yr 2'!Q304*'Inputs Yr 2'!U304,"")</f>
        <v/>
      </c>
      <c r="BO304" s="195" t="str">
        <f>IFERROR($G304*(IF('Inputs Yr 2'!$AJ304=BO$4,'Inputs Yr 2'!$AK304,IF('Inputs Yr 2'!$AL304=BO$4,'Inputs Yr 2'!$AM304,IF('Inputs Yr 2'!$AN304=BO$4,'Inputs Yr 2'!$AO304,0))))*(INDEX(avoidedcosttbl2,$H304,BO$2)+(($H304-ROUNDDOWN($H304,0))*(INDEX(avoidedcosttbl2,ROUNDUP($H304,0),BO$2)-(INDEX(avoidedcosttbl2,ROUNDDOWN($H304,0),BO$2)))))*'Inputs Yr 2'!P304*'Inputs Yr 2'!Q304*'Inputs Yr 2'!U304,"")</f>
        <v/>
      </c>
      <c r="BP304" s="195" t="str">
        <f>IFERROR($G304*(IF('Inputs Yr 2'!$AJ304=BP$4,'Inputs Yr 2'!$AK304,IF('Inputs Yr 2'!$AL304=BP$4,'Inputs Yr 2'!$AM304,IF('Inputs Yr 2'!$AN304=BP$4,'Inputs Yr 2'!$AO304,0))))*(INDEX(avoidedcosttbl2,$H304,BP$2)+(($H304-ROUNDDOWN($H304,0))*(INDEX(avoidedcosttbl2,ROUNDUP($H304,0),BP$2)-(INDEX(avoidedcosttbl2,ROUNDDOWN($H304,0),BP$2)))))*'Inputs Yr 2'!P304*'Inputs Yr 2'!Q304*'Inputs Yr 2'!U304,"")</f>
        <v/>
      </c>
      <c r="BQ304" s="230">
        <f t="shared" si="158"/>
        <v>0</v>
      </c>
      <c r="BR304" s="197" t="str">
        <f t="shared" si="142"/>
        <v/>
      </c>
      <c r="BS304" s="197" t="str">
        <f>IFERROR(($G304*IF('Inputs Yr 2'!$AJ304=BM$4,'Inputs Yr 2'!$AK304,IF('Inputs Yr 2'!$AL304=BM$4,'Inputs Yr 2'!$AM304,IF('Inputs Yr 2'!$AN304=BM$4,'Inputs Yr 2'!$AO304,0))))*(INDEX(avoidedcosttbl2,$H304,BS$2)+(($H304-ROUNDDOWN($H304,0))*(INDEX(avoidedcosttbl2,ROUNDUP($H304,0),BS$2)-(INDEX(avoidedcosttbl2,ROUNDDOWN($H304,0),BS$2)))))*'Inputs Yr 2'!P304*'Inputs Yr 2'!Q304*'Inputs Yr 2'!U304,"")</f>
        <v/>
      </c>
      <c r="BT304" s="197" t="str">
        <f>IFERROR(($G304*IF('Inputs Yr 2'!$AJ304=BK$4,'Inputs Yr 2'!$AK304,IF('Inputs Yr 2'!$AL304=BK$4,'Inputs Yr 2'!$AM304,IF('Inputs Yr 2'!$AN304=BK$4,'Inputs Yr 2'!$AO304,0))))*(INDEX(avoidedcosttbl2,$H304,BT$2)+(($H304-ROUNDDOWN($H304,0))*(INDEX(avoidedcosttbl2,ROUNDUP($H304,0),BT$2)-(INDEX(avoidedcosttbl2,ROUNDDOWN($H304,0),BT$2)))))*'Inputs Yr 2'!P304*'Inputs Yr 2'!Q304*'Inputs Yr 2'!U304,"")</f>
        <v/>
      </c>
      <c r="BU304" s="197" t="str">
        <f>IFERROR(($G304*IF('Inputs Yr 2'!$AJ304=BL$4,'Inputs Yr 2'!$AK304,IF('Inputs Yr 2'!$AL304=BL$4,'Inputs Yr 2'!$AM304,IF('Inputs Yr 2'!$AN304=BL$4,'Inputs Yr 2'!$AO304,0))))*(INDEX(avoidedcosttbl2,$H304,BU$2)+(($H304-ROUNDDOWN($H304,0))*(INDEX(avoidedcosttbl2,ROUNDUP($H304,0),BU$2)-(INDEX(avoidedcosttbl2,ROUNDDOWN($H304,0),BU$2)))))*'Inputs Yr 2'!P304*'Inputs Yr 2'!Q304*'Inputs Yr 2'!U304,"")</f>
        <v/>
      </c>
      <c r="BV304" s="775" t="str">
        <f>IFERROR(($G304*IF('Inputs Yr 2'!$AJ304=BJ$4,'Inputs Yr 2'!$AK304,IF('Inputs Yr 2'!$AL304=BJ$4,'Inputs Yr 2'!$AM304,IF('Inputs Yr 2'!$AN304=BJ$4,'Inputs Yr 2'!$AO304,0))))*(INDEX(avoidedcosttbl2,$H304,BV$2)+(($H304-ROUNDDOWN($H304,0))*(INDEX(avoidedcosttbl2,ROUNDUP($H304,0),BV$2)-(INDEX(avoidedcosttbl2,ROUNDDOWN($H304,0),BV$2)))))*'Inputs Yr 2'!P304*'Inputs Yr 2'!Q304*'Inputs Yr 2'!U304,"")</f>
        <v/>
      </c>
      <c r="BW304" s="197" t="str">
        <f>IFERROR(($G304*IF('Inputs Yr 2'!$AJ304=BN$4,'Inputs Yr 2'!$AK304,IF('Inputs Yr 2'!$AL304=BN$4,'Inputs Yr 2'!$AM304,IF('Inputs Yr 2'!$AN304=BN$4,'Inputs Yr 2'!$AO304,0))))*(INDEX(avoidedcosttbl2,$H304,BW$2)+(($H304-ROUNDDOWN($H304,0))*(INDEX(avoidedcosttbl2,ROUNDUP($H304,0),BW$2)-(INDEX(avoidedcosttbl2,ROUNDDOWN($H304,0),BW$2)))))*'Inputs Yr 2'!P304*'Inputs Yr 2'!Q304*'Inputs Yr 2'!U304,"")</f>
        <v/>
      </c>
      <c r="BX304" s="197" t="str">
        <f>IFERROR(($G304*IF('Inputs Yr 2'!$AJ304=BO$4,'Inputs Yr 2'!$AK304,IF('Inputs Yr 2'!$AL304=BO$4,'Inputs Yr 2'!$AM304,IF('Inputs Yr 2'!$AN304=BO$4,'Inputs Yr 2'!$AO304,0))))*(INDEX(avoidedcosttbl2,$H304,BX$2)+(($H304-ROUNDDOWN($H304,0))*(INDEX(avoidedcosttbl2,ROUNDUP($H304,0),BX$2)-(INDEX(avoidedcosttbl2,ROUNDDOWN($H304,0),BX$2)))))*'Inputs Yr 2'!P304*'Inputs Yr 2'!Q304*'Inputs Yr 2'!U304,"")</f>
        <v/>
      </c>
      <c r="BY304" s="197" t="str">
        <f>IFERROR(($G304*IF('Inputs Yr 2'!$AJ304=BP$4,'Inputs Yr 2'!$AK304,IF('Inputs Yr 2'!$AL304=BP$4,'Inputs Yr 2'!$AM304,IF('Inputs Yr 2'!$AN304=BP$4,'Inputs Yr 2'!$AO304,0))))*(INDEX(avoidedcosttbl2,$H304,BY$2)+(($H304-ROUNDDOWN($H304,0))*(INDEX(avoidedcosttbl2,ROUNDUP($H304,0),BY$2)-(INDEX(avoidedcosttbl2,ROUNDDOWN($H304,0),BY$2)))))*'Inputs Yr 2'!P304*'Inputs Yr 2'!Q304*'Inputs Yr 2'!U304,"")</f>
        <v/>
      </c>
      <c r="BZ304" s="193">
        <f t="shared" si="159"/>
        <v>0</v>
      </c>
      <c r="CA304" s="193">
        <f t="shared" si="160"/>
        <v>0</v>
      </c>
      <c r="CB304" s="195" t="str">
        <f>IFERROR(G304*(IF('Inputs Yr 2'!$AJ304=CB$4,'Inputs Yr 2'!$AK304,IF('Inputs Yr 2'!$AL304=CB$4,'Inputs Yr 2'!$AM304,IF('Inputs Yr 2'!$AN304=CB$4,'Inputs Yr 2'!$AO304,0))))*(INDEX(avoidedcosttbl2,$H304,CB$2)+(($H304-ROUNDDOWN($H304,0))*(INDEX(avoidedcosttbl2,ROUNDUP($H304,0),CB$2)-(INDEX(avoidedcosttbl2,ROUNDDOWN($H304,0),CB$2)))))*'Inputs Yr 2'!P304*'Inputs Yr 2'!Q304*'Inputs Yr 2'!U304,"")</f>
        <v/>
      </c>
      <c r="CC304" s="195" t="str">
        <f>IFERROR(H304*(IF('Inputs Yr 2'!$AJ304=CC$4,'Inputs Yr 2'!$AK304,IF('Inputs Yr 2'!$AL304=CC$4,'Inputs Yr 2'!$AM304,IF('Inputs Yr 2'!$AN304=CC$4,'Inputs Yr 2'!$AO304,0))))*(INDEX(avoidedcosttbl2,$H304,CC$2)+(($H304-ROUNDDOWN($H304,0))*(INDEX(avoidedcosttbl2,ROUNDUP($H304,0),CC$2)-(INDEX(avoidedcosttbl2,ROUNDDOWN($H304,0),CC$2)))))*'Inputs Yr 2'!Q304*'Inputs Yr 2'!R304*'Inputs Yr 2'!V304,"")</f>
        <v/>
      </c>
      <c r="CD304" s="195" t="str">
        <f>IFERROR(I304*(IF('Inputs Yr 2'!$AJ304=CD$4,'Inputs Yr 2'!$AK304,IF('Inputs Yr 2'!$AL304=CD$4,'Inputs Yr 2'!$AM304,IF('Inputs Yr 2'!$AN304=CD$4,'Inputs Yr 2'!$AO304,0))))*(INDEX(avoidedcosttbl2,$H304,CD$2)+(($H304-ROUNDDOWN($H304,0))*(INDEX(avoidedcosttbl2,ROUNDUP($H304,0),CD$2)-(INDEX(avoidedcosttbl2,ROUNDDOWN($H304,0),CD$2)))))*'Inputs Yr 2'!R304*'Inputs Yr 2'!S304*'Inputs Yr 2'!W304,"")</f>
        <v/>
      </c>
      <c r="CE304" s="213" t="str">
        <f t="shared" si="161"/>
        <v/>
      </c>
      <c r="CF304" s="213" t="str">
        <f t="shared" si="162"/>
        <v/>
      </c>
      <c r="CG304" s="213" t="str">
        <f t="shared" si="163"/>
        <v/>
      </c>
      <c r="CH304" s="698">
        <f t="shared" si="164"/>
        <v>0</v>
      </c>
      <c r="CI304" s="79" t="str">
        <f>IFERROR(($G304*'Inputs Yr 2'!$P304*'Inputs Yr 2'!$Q304*(((INDEX(avoidedcosttbl2,$H304,CI$2)+(($H304-ROUNDDOWN($H304,0))*(INDEX(avoidedcosttbl2,ROUNDUP($H304,0),CI$2)-INDEX(avoidedcosttbl2,ROUNDDOWN($H304,0),CI$2))))*'Inputs Yr 2'!AS304))),"")</f>
        <v/>
      </c>
      <c r="CJ304" s="504" t="str">
        <f>IFERROR($G304*'Inputs Yr 2'!AT304*'Inputs Yr 2'!$P304*'Inputs Yr 2'!$Q304/((1+realdiscrt1)^-0.5),"")</f>
        <v/>
      </c>
      <c r="CK304" s="79" t="str">
        <f>IFERROR((O304*1000*(((INDEX(avoidedcosttbl2,$H304,CK$2)+(($H304-ROUNDDOWN($H304,0))*(INDEX(avoidedcosttbl2,ROUNDUP($H304,0),CK$2)-INDEX(avoidedcosttbl2,ROUNDDOWN($H304,0),CK$2))))*'Inputs Yr 2'!AU304))),"")</f>
        <v/>
      </c>
      <c r="CL304" s="504" t="str">
        <f>IFERROR(O304*1000*'Inputs Yr 2'!AV304/((1+realdiscrt1)^-0.5),"")</f>
        <v/>
      </c>
      <c r="CM304" s="79" t="str">
        <f>IFERROR((AB304*'Inputs Yr 2'!AW304*(((INDEX(avoidedcosttbl2,$H304,CM$2)+(($H304-ROUNDDOWN($H304,0))*(INDEX(avoidedcosttbl2,ROUNDUP($H304,0),CM$2)-INDEX(avoidedcosttbl2,ROUNDDOWN($H304,0),CM$2)))))))*10,"")</f>
        <v/>
      </c>
      <c r="CN304" s="504">
        <f>IFERROR(10*AB304*'Inputs Yr 2'!AX304/((1+realdiscrt1)^-0.5),"")</f>
        <v>0</v>
      </c>
      <c r="CO304" s="505">
        <f t="shared" si="165"/>
        <v>0</v>
      </c>
      <c r="CP304" s="230">
        <f t="shared" si="166"/>
        <v>0</v>
      </c>
      <c r="CQ304" s="199">
        <f>ROUND(IFERROR(IF(LEFT($A304,1)="C",'Avoided Costs'!$K$13,'Avoided Costs'!$K$12)+1,""),4)</f>
        <v>1.0720000000000001</v>
      </c>
      <c r="CR304" s="199">
        <f>ROUND(IFERROR(IF(LEFT($A304,1)="C",'Avoided Costs'!$L$13,'Avoided Costs'!$L$12)+1,""),4)</f>
        <v>1.04</v>
      </c>
      <c r="CS304" s="199">
        <f>ROUND(IFERROR(IF(LEFT($A304,1)="C",'Avoided Costs'!$M$13,'Avoided Costs'!$M$12)+1,""),4)</f>
        <v>1.0720000000000001</v>
      </c>
      <c r="CT304" s="199">
        <f>ROUND(IFERROR(IF(LEFT($A304,1)="C",'Avoided Costs'!$N$13,'Avoided Costs'!$N$12)+1,""),4)</f>
        <v>1.04</v>
      </c>
      <c r="CU304" s="199">
        <f>ROUND(IFERROR(IF(LEFT($A304,1)="C",'Avoided Costs'!$O$13,'Avoided Costs'!$O$12)+1,""),4)</f>
        <v>1.1120000000000001</v>
      </c>
      <c r="CV304" s="199">
        <f>ROUND(IFERROR(IF(LEFT($A304,1)="C",'Avoided Costs'!$P$13,'Avoided Costs'!$P$12)+1,""),4)</f>
        <v>1.095</v>
      </c>
      <c r="CW304" s="199">
        <f>ROUND(IFERROR(IF(LEFT($A304,1)="C",'Avoided Costs'!$Q$13,'Avoided Costs'!$Q$12)+1,""),4)</f>
        <v>1.1120000000000001</v>
      </c>
      <c r="CX304" s="200">
        <f>ROUND(IFERROR(IF(LEFT($A304,1)="C",'Avoided Costs'!$R$13,'Avoided Costs'!$R$12)+1,""),4)</f>
        <v>1.1120000000000001</v>
      </c>
    </row>
    <row r="305" spans="1:102" ht="12.75" customHeight="1">
      <c r="A305" s="91" t="str">
        <f>IF('Inputs Yr 2'!$B305=0,"",'Inputs Yr 2'!A305)</f>
        <v>C - Commercial &amp; Industrial</v>
      </c>
      <c r="B305" s="91" t="str">
        <f>IF('Inputs Yr 2'!$B305=0,"",'Inputs Yr 2'!B305)</f>
        <v>C2 - C&amp;I Retrofit</v>
      </c>
      <c r="C305" s="91" t="str">
        <f>IF('Inputs Yr 2'!$B305=0,"",'Inputs Yr 2'!C305)</f>
        <v>C2b - C&amp;I Small Business</v>
      </c>
      <c r="D305" s="91" t="str">
        <f>IF('Inputs Yr 2'!$B305=0,"",'Inputs Yr 2'!E305)</f>
        <v>HVAC - Prescriptive</v>
      </c>
      <c r="E305" s="93" t="str">
        <f>IF('Inputs Yr 2'!$B305=0,"",'Inputs Yr 2'!F305)</f>
        <v>G16C2b10</v>
      </c>
      <c r="F305" s="93" t="str">
        <f>IF('Inputs Yr 2'!$B305=0,"",'Inputs Yr 2'!G305)</f>
        <v>HVAC</v>
      </c>
      <c r="G305" s="95" t="str">
        <f>IF('Inputs Yr 2'!$H305&lt;&gt;0,('Inputs Yr 2'!H305),"")</f>
        <v/>
      </c>
      <c r="H305" s="94">
        <f>IFERROR('Inputs Yr 2'!I305,"")</f>
        <v>15</v>
      </c>
      <c r="I305" s="298" t="str">
        <f>IFERROR('Inputs Yr 2'!J305*'Inputs Yr 2'!P305*G305,"")</f>
        <v/>
      </c>
      <c r="J305" s="298" t="str">
        <f>IFERROR('Inputs Yr 2'!K305*G305,"")</f>
        <v/>
      </c>
      <c r="K305" s="298" t="str">
        <f t="shared" si="143"/>
        <v/>
      </c>
      <c r="L305" s="194" t="str">
        <f>IFERROR(('Inputs Yr 2'!W305*G305)/1000,"")</f>
        <v/>
      </c>
      <c r="M305" s="194" t="str">
        <f>IFERROR(L305*('Inputs Yr 2'!$Q305*'Inputs Yr 2'!$V305*'Inputs Yr 2'!$R305),"")</f>
        <v/>
      </c>
      <c r="N305" s="194" t="str">
        <f t="shared" si="144"/>
        <v/>
      </c>
      <c r="O305" s="194" t="str">
        <f>IFERROR(M305*'Inputs Yr 2'!P305,"")</f>
        <v/>
      </c>
      <c r="P305" s="194" t="str">
        <f t="shared" si="145"/>
        <v/>
      </c>
      <c r="Q305" s="194" t="str">
        <f>IFERROR($P305*'Inputs Yr 2'!AA305,"")</f>
        <v/>
      </c>
      <c r="R305" s="194" t="str">
        <f>IFERROR($P305*'Inputs Yr 2'!AB305,"")</f>
        <v/>
      </c>
      <c r="S305" s="194" t="str">
        <f>IFERROR($P305*'Inputs Yr 2'!AC305,"")</f>
        <v/>
      </c>
      <c r="T305" s="194" t="str">
        <f>IFERROR($P305*'Inputs Yr 2'!AD305,"")</f>
        <v/>
      </c>
      <c r="U305" s="194" t="str">
        <f>IFERROR(G305*'Inputs Yr 2'!$AE305*'Inputs Yr 2'!$P305*'Inputs Yr 2'!$Q305,"")</f>
        <v/>
      </c>
      <c r="V305" s="194" t="str">
        <f>IFERROR($G305*'Inputs Yr 2'!$AE305*'Inputs Yr 2'!$AG305*'Inputs Yr 2'!Q305*'Inputs Yr 2'!$S305,"")</f>
        <v/>
      </c>
      <c r="W305" s="194" t="str">
        <f>IFERROR($G305*'Inputs Yr 2'!$AE305*'Inputs Yr 2'!$AG305*'Inputs Yr 2'!P305*'Inputs Yr 2'!Q305*'Inputs Yr 2'!$S305,"")</f>
        <v/>
      </c>
      <c r="X305" s="194" t="str">
        <f>IFERROR($G305*'Inputs Yr 2'!$AE305*'Inputs Yr 2'!$AF305*'Inputs Yr 2'!Q305*'Inputs Yr 2'!$T305,"")</f>
        <v/>
      </c>
      <c r="Y305" s="194" t="str">
        <f>IFERROR($G305*'Inputs Yr 2'!$AE305*'Inputs Yr 2'!$AF305*'Inputs Yr 2'!P305*'Inputs Yr 2'!Q305*'Inputs Yr 2'!$T305,"")</f>
        <v/>
      </c>
      <c r="Z305" s="257">
        <f>IFERROR($G305*'Inputs Yr 2'!$Q305*'Inputs Yr 2'!$U305*(IF(IFERROR(SEARCH("NG", 'Inputs Yr 2'!$AJ305),0),'Inputs Yr 2'!$AK305,0)+IF(IFERROR(SEARCH("NG", 'Inputs Yr 2'!$AL305),0),'Inputs Yr 2'!$AM305,0)+IF(IFERROR(SEARCH("NG", 'Inputs Yr 2'!$AN305),0),'Inputs Yr 2'!$AO305,0)),0)</f>
        <v>0</v>
      </c>
      <c r="AA305" s="257">
        <f t="shared" si="146"/>
        <v>0</v>
      </c>
      <c r="AB305" s="257">
        <f>IFERROR(Z305*'Inputs Yr 2'!$P305,0)</f>
        <v>0</v>
      </c>
      <c r="AC305" s="257">
        <f t="shared" si="147"/>
        <v>0</v>
      </c>
      <c r="AD305" s="257">
        <f>IFERROR($G305*'Inputs Yr 2'!$Q305*'Inputs Yr 2'!$U305*(IF(IFERROR(SEARCH("Oil", 'Inputs Yr 2'!$AJ305), 0),'Inputs Yr 2'!$AK305,0)+IF(IFERROR(SEARCH("Oil", 'Inputs Yr 2'!$AL305), 0),'Inputs Yr 2'!$AM305,0)+IF(IFERROR(SEARCH("Oil", 'Inputs Yr 2'!$AN305), 0),'Inputs Yr 2'!$AO305,0)),0)</f>
        <v>0</v>
      </c>
      <c r="AE305" s="257">
        <f t="shared" si="148"/>
        <v>0</v>
      </c>
      <c r="AF305" s="257">
        <f>IFERROR(AD305*'Inputs Yr 2'!$P305,0)</f>
        <v>0</v>
      </c>
      <c r="AG305" s="257">
        <f t="shared" si="149"/>
        <v>0</v>
      </c>
      <c r="AH305" s="257">
        <f>IFERROR($G305*'Inputs Yr 2'!$Q305*'Inputs Yr 2'!$U305*(IF('Inputs Yr 2'!$AJ305=CD$4,'Inputs Yr 2'!$AK305,IF('Inputs Yr 2'!$AL305=CD$4,'Inputs Yr 2'!$AM305,IF('Inputs Yr 2'!$AN305=CD$4,'Inputs Yr 2'!$AO305,0)))),0)</f>
        <v>0</v>
      </c>
      <c r="AI305" s="257">
        <f t="shared" si="150"/>
        <v>0</v>
      </c>
      <c r="AJ305" s="257">
        <f>IFERROR(AH305*'Inputs Yr 2'!$P305,0)</f>
        <v>0</v>
      </c>
      <c r="AK305" s="257">
        <f t="shared" si="151"/>
        <v>0</v>
      </c>
      <c r="AL305" s="258">
        <f>IFERROR($G305*'Inputs Yr 2'!$P305*'Inputs Yr 2'!$Q305*'Inputs Yr 2'!AP305,0)</f>
        <v>0</v>
      </c>
      <c r="AM305" s="260">
        <f>IFERROR($G305*'Inputs Yr 2'!$P305*'Inputs Yr 2'!$Q305*'Inputs Yr 2'!AQ305,0)</f>
        <v>0</v>
      </c>
      <c r="AN305" s="258">
        <f>IFERROR($G305*'Inputs Yr 2'!$P305*'Inputs Yr 2'!$Q305*'Inputs Yr 2'!AR305,0)</f>
        <v>0</v>
      </c>
      <c r="AO305" s="257">
        <f t="shared" si="152"/>
        <v>0</v>
      </c>
      <c r="AP305" s="195" t="str">
        <f>IFERROR($CQ305*(INDEX(avoidedcosttbl2,$H305,AP$2)+(($H305-ROUNDDOWN($H305,0))*(INDEX(avoidedcosttbl2,ROUNDUP($H305,0),AP$2)-(INDEX(avoidedcosttbl2,ROUNDDOWN($H305,0),AP$2)))))*$O305*1000*'Inputs Yr 2'!AA305,"")</f>
        <v/>
      </c>
      <c r="AQ305" s="195" t="str">
        <f>IFERROR($CR305*(INDEX(avoidedcosttbl2,$H305,AQ$2)+(($H305-ROUNDDOWN($H305,0))*(INDEX(avoidedcosttbl2,ROUNDUP($H305,0),AQ$2)-(INDEX(avoidedcosttbl2,ROUNDDOWN($H305,0),AQ$2)))))*$O305*1000*'Inputs Yr 2'!AB305,"")</f>
        <v/>
      </c>
      <c r="AR305" s="195" t="str">
        <f>IFERROR($CS305*(INDEX(avoidedcosttbl2,$H305,AR$2)+(($H305-ROUNDDOWN($H305,0))*(INDEX(avoidedcosttbl2,ROUNDUP($H305,0),AR$2)-(INDEX(avoidedcosttbl2,ROUNDDOWN($H305,0),AR$2)))))*$O305*1000*'Inputs Yr 2'!AC305,"")</f>
        <v/>
      </c>
      <c r="AS305" s="195" t="str">
        <f>IFERROR($CT305*(INDEX(avoidedcosttbl2,$H305,AS$2)+(($H305-ROUNDDOWN($H305,0))*(INDEX(avoidedcosttbl2,ROUNDUP($H305,0),AS$2)-(INDEX(avoidedcosttbl2,ROUNDDOWN($H305,0),AS$2)))))*$O305*1000*'Inputs Yr 2'!AD305,"")</f>
        <v/>
      </c>
      <c r="AT305" s="196">
        <f t="shared" si="153"/>
        <v>0</v>
      </c>
      <c r="AU305" s="197" t="str">
        <f>IFERROR($CQ305*((INDEX(avoidedcosttbl2,$H305,AU$2))+(($H305-ROUNDDOWN($H305,0))*((INDEX(avoidedcosttbl2,ROUNDUP($H305,0),AU$2))-(INDEX(avoidedcosttbl2,ROUNDDOWN($H305,0),AU$2)))))*$O305*1000*'Inputs Yr 2'!AA305,"")</f>
        <v/>
      </c>
      <c r="AV305" s="197" t="str">
        <f>IFERROR($CR305*((INDEX(avoidedcosttbl2,$H305,AV$2))+(($H305-ROUNDDOWN($H305,0))*((INDEX(avoidedcosttbl2,ROUNDUP($H305,0),AV$2))-(INDEX(avoidedcosttbl2,ROUNDDOWN($H305,0),AV$2)))))*$O305*1000*'Inputs Yr 2'!AB305,"")</f>
        <v/>
      </c>
      <c r="AW305" s="197" t="str">
        <f>IFERROR($CS305*((INDEX(avoidedcosttbl2,$H305,AW$2))+(($H305-ROUNDDOWN($H305,0))*((INDEX(avoidedcosttbl2,ROUNDUP($H305,0),AW$2))-(INDEX(avoidedcosttbl2,ROUNDDOWN($H305,0),AW$2)))))*$O305*1000*'Inputs Yr 2'!AC305,"")</f>
        <v/>
      </c>
      <c r="AX305" s="197" t="str">
        <f>IFERROR($CT305*((INDEX(avoidedcosttbl2,$H305,AX$2))+(($H305-ROUNDDOWN($H305,0))*((INDEX(avoidedcosttbl2,ROUNDUP($H305,0),AX$2))-(INDEX(avoidedcosttbl2,ROUNDDOWN($H305,0),AX$2)))))*$O305*1000*'Inputs Yr 2'!AD305,"")</f>
        <v/>
      </c>
      <c r="AY305" s="197" t="str">
        <f>IFERROR(((INDEX(avoidedcosttbl2,$H305,AY$2))+(($H305-ROUNDDOWN($H305,0))*((INDEX(avoidedcosttbl2,ROUNDUP($H305,0),AY$2))-(INDEX(avoidedcosttbl2,ROUNDDOWN($H305,0),AY$2)))))*$O305*1000*('Inputs Yr 2'!AC305+'Inputs Yr 2'!AD305),"")</f>
        <v/>
      </c>
      <c r="AZ305" s="197" t="str">
        <f>IFERROR(((INDEX(avoidedcosttbl2,$H305,AZ$2))+(($H305-ROUNDDOWN($H305,0))*((INDEX(avoidedcosttbl2,ROUNDUP($H305,0),AZ$2))-(INDEX(avoidedcosttbl2,ROUNDDOWN($H305,0),AZ$2)))))*$O305*1000*('Inputs Yr 2'!AA305+'Inputs Yr 2'!AB305),"")</f>
        <v/>
      </c>
      <c r="BA305" s="198">
        <f t="shared" si="154"/>
        <v>0</v>
      </c>
      <c r="BB305" s="198">
        <f t="shared" si="155"/>
        <v>0</v>
      </c>
      <c r="BC305" s="195" t="str">
        <f t="shared" si="137"/>
        <v/>
      </c>
      <c r="BD305" s="195" t="str">
        <f t="shared" si="138"/>
        <v/>
      </c>
      <c r="BE305" s="195" t="str">
        <f t="shared" si="139"/>
        <v/>
      </c>
      <c r="BF305" s="195" t="str">
        <f t="shared" si="140"/>
        <v/>
      </c>
      <c r="BG305" s="195" t="str">
        <f t="shared" si="141"/>
        <v/>
      </c>
      <c r="BH305" s="196">
        <f t="shared" si="156"/>
        <v>0</v>
      </c>
      <c r="BI305" s="196">
        <f t="shared" si="157"/>
        <v>0</v>
      </c>
      <c r="BJ305" s="195" t="str">
        <f>IFERROR($G305*(IF('Inputs Yr 2'!$AJ305=BJ$4,'Inputs Yr 2'!$AK305,IF('Inputs Yr 2'!$AL305=BJ$4,'Inputs Yr 2'!$AM305,IF('Inputs Yr 2'!$AN305=BJ$4,'Inputs Yr 2'!$AO305,0))))*(INDEX(avoidedcosttbl2,$H305,BJ$2)+(($H305-ROUNDDOWN($H305,0))*(INDEX(avoidedcosttbl2,ROUNDUP($H305,0),BJ$2)-(INDEX(avoidedcosttbl2,ROUNDDOWN($H305,0),BJ$2)))))*'Inputs Yr 2'!P305*'Inputs Yr 2'!Q305*'Inputs Yr 2'!U305,"")</f>
        <v/>
      </c>
      <c r="BK305" s="195" t="str">
        <f>IFERROR($G305*(IF('Inputs Yr 2'!$AJ305=BK$4,'Inputs Yr 2'!$AK305,IF('Inputs Yr 2'!$AL305=BK$4,'Inputs Yr 2'!$AM305,IF('Inputs Yr 2'!$AN305=BK$4,'Inputs Yr 2'!$AO305,0))))*(INDEX(avoidedcosttbl2,$H305,BK$2)+(($H305-ROUNDDOWN($H305,0))*(INDEX(avoidedcosttbl2,ROUNDUP($H305,0),BK$2)-(INDEX(avoidedcosttbl2,ROUNDDOWN($H305,0),BK$2)))))*'Inputs Yr 2'!P305*'Inputs Yr 2'!Q305*'Inputs Yr 2'!U305,"")</f>
        <v/>
      </c>
      <c r="BL305" s="195" t="str">
        <f>IFERROR($G305*(IF('Inputs Yr 2'!$AJ305=BL$4,'Inputs Yr 2'!$AK305,IF('Inputs Yr 2'!$AL305=BL$4,'Inputs Yr 2'!$AM305,IF('Inputs Yr 2'!$AN305=BL$4,'Inputs Yr 2'!$AO305,0))))*(INDEX(avoidedcosttbl2,$H305,BL$2)+(($H305-ROUNDDOWN($H305,0))*(INDEX(avoidedcosttbl2,ROUNDUP($H305,0),BL$2)-(INDEX(avoidedcosttbl2,ROUNDDOWN($H305,0),BL$2)))))*'Inputs Yr 2'!P305*'Inputs Yr 2'!Q305*'Inputs Yr 2'!U305,"")</f>
        <v/>
      </c>
      <c r="BM305" s="195" t="str">
        <f>IFERROR($G305*(IF('Inputs Yr 2'!$AJ305=BM$4,'Inputs Yr 2'!$AK305,IF('Inputs Yr 2'!$AL305=BM$4,'Inputs Yr 2'!$AM305,IF('Inputs Yr 2'!$AN305=BM$4,'Inputs Yr 2'!$AO305,0))))*(INDEX(avoidedcosttbl2,$H305,BM$2)+(($H305-ROUNDDOWN($H305,0))*(INDEX(avoidedcosttbl2,ROUNDUP($H305,0),BM$2)-(INDEX(avoidedcosttbl2,ROUNDDOWN($H305,0),BM$2)))))*'Inputs Yr 2'!P305*'Inputs Yr 2'!Q305*'Inputs Yr 2'!U305,"")</f>
        <v/>
      </c>
      <c r="BN305" s="195" t="str">
        <f>IFERROR($G305*(IF('Inputs Yr 2'!$AJ305=BN$4,'Inputs Yr 2'!$AK305,IF('Inputs Yr 2'!$AL305=BN$4,'Inputs Yr 2'!$AM305,IF('Inputs Yr 2'!$AN305=BN$4,'Inputs Yr 2'!$AO305,0))))*(INDEX(avoidedcosttbl2,$H305,BN$2)+(($H305-ROUNDDOWN($H305,0))*(INDEX(avoidedcosttbl2,ROUNDUP($H305,0),BN$2)-(INDEX(avoidedcosttbl2,ROUNDDOWN($H305,0),BN$2)))))*'Inputs Yr 2'!P305*'Inputs Yr 2'!Q305*'Inputs Yr 2'!U305,"")</f>
        <v/>
      </c>
      <c r="BO305" s="195" t="str">
        <f>IFERROR($G305*(IF('Inputs Yr 2'!$AJ305=BO$4,'Inputs Yr 2'!$AK305,IF('Inputs Yr 2'!$AL305=BO$4,'Inputs Yr 2'!$AM305,IF('Inputs Yr 2'!$AN305=BO$4,'Inputs Yr 2'!$AO305,0))))*(INDEX(avoidedcosttbl2,$H305,BO$2)+(($H305-ROUNDDOWN($H305,0))*(INDEX(avoidedcosttbl2,ROUNDUP($H305,0),BO$2)-(INDEX(avoidedcosttbl2,ROUNDDOWN($H305,0),BO$2)))))*'Inputs Yr 2'!P305*'Inputs Yr 2'!Q305*'Inputs Yr 2'!U305,"")</f>
        <v/>
      </c>
      <c r="BP305" s="195" t="str">
        <f>IFERROR($G305*(IF('Inputs Yr 2'!$AJ305=BP$4,'Inputs Yr 2'!$AK305,IF('Inputs Yr 2'!$AL305=BP$4,'Inputs Yr 2'!$AM305,IF('Inputs Yr 2'!$AN305=BP$4,'Inputs Yr 2'!$AO305,0))))*(INDEX(avoidedcosttbl2,$H305,BP$2)+(($H305-ROUNDDOWN($H305,0))*(INDEX(avoidedcosttbl2,ROUNDUP($H305,0),BP$2)-(INDEX(avoidedcosttbl2,ROUNDDOWN($H305,0),BP$2)))))*'Inputs Yr 2'!P305*'Inputs Yr 2'!Q305*'Inputs Yr 2'!U305,"")</f>
        <v/>
      </c>
      <c r="BQ305" s="230">
        <f t="shared" si="158"/>
        <v>0</v>
      </c>
      <c r="BR305" s="197">
        <f t="shared" si="142"/>
        <v>0</v>
      </c>
      <c r="BS305" s="197" t="str">
        <f>IFERROR(($G305*IF('Inputs Yr 2'!$AJ305=BM$4,'Inputs Yr 2'!$AK305,IF('Inputs Yr 2'!$AL305=BM$4,'Inputs Yr 2'!$AM305,IF('Inputs Yr 2'!$AN305=BM$4,'Inputs Yr 2'!$AO305,0))))*(INDEX(avoidedcosttbl2,$H305,BS$2)+(($H305-ROUNDDOWN($H305,0))*(INDEX(avoidedcosttbl2,ROUNDUP($H305,0),BS$2)-(INDEX(avoidedcosttbl2,ROUNDDOWN($H305,0),BS$2)))))*'Inputs Yr 2'!P305*'Inputs Yr 2'!Q305*'Inputs Yr 2'!U305,"")</f>
        <v/>
      </c>
      <c r="BT305" s="197" t="str">
        <f>IFERROR(($G305*IF('Inputs Yr 2'!$AJ305=BK$4,'Inputs Yr 2'!$AK305,IF('Inputs Yr 2'!$AL305=BK$4,'Inputs Yr 2'!$AM305,IF('Inputs Yr 2'!$AN305=BK$4,'Inputs Yr 2'!$AO305,0))))*(INDEX(avoidedcosttbl2,$H305,BT$2)+(($H305-ROUNDDOWN($H305,0))*(INDEX(avoidedcosttbl2,ROUNDUP($H305,0),BT$2)-(INDEX(avoidedcosttbl2,ROUNDDOWN($H305,0),BT$2)))))*'Inputs Yr 2'!P305*'Inputs Yr 2'!Q305*'Inputs Yr 2'!U305,"")</f>
        <v/>
      </c>
      <c r="BU305" s="197" t="str">
        <f>IFERROR(($G305*IF('Inputs Yr 2'!$AJ305=BL$4,'Inputs Yr 2'!$AK305,IF('Inputs Yr 2'!$AL305=BL$4,'Inputs Yr 2'!$AM305,IF('Inputs Yr 2'!$AN305=BL$4,'Inputs Yr 2'!$AO305,0))))*(INDEX(avoidedcosttbl2,$H305,BU$2)+(($H305-ROUNDDOWN($H305,0))*(INDEX(avoidedcosttbl2,ROUNDUP($H305,0),BU$2)-(INDEX(avoidedcosttbl2,ROUNDDOWN($H305,0),BU$2)))))*'Inputs Yr 2'!P305*'Inputs Yr 2'!Q305*'Inputs Yr 2'!U305,"")</f>
        <v/>
      </c>
      <c r="BV305" s="775" t="str">
        <f>IFERROR(($G305*IF('Inputs Yr 2'!$AJ305=BJ$4,'Inputs Yr 2'!$AK305,IF('Inputs Yr 2'!$AL305=BJ$4,'Inputs Yr 2'!$AM305,IF('Inputs Yr 2'!$AN305=BJ$4,'Inputs Yr 2'!$AO305,0))))*(INDEX(avoidedcosttbl2,$H305,BV$2)+(($H305-ROUNDDOWN($H305,0))*(INDEX(avoidedcosttbl2,ROUNDUP($H305,0),BV$2)-(INDEX(avoidedcosttbl2,ROUNDDOWN($H305,0),BV$2)))))*'Inputs Yr 2'!P305*'Inputs Yr 2'!Q305*'Inputs Yr 2'!U305,"")</f>
        <v/>
      </c>
      <c r="BW305" s="197" t="str">
        <f>IFERROR(($G305*IF('Inputs Yr 2'!$AJ305=BN$4,'Inputs Yr 2'!$AK305,IF('Inputs Yr 2'!$AL305=BN$4,'Inputs Yr 2'!$AM305,IF('Inputs Yr 2'!$AN305=BN$4,'Inputs Yr 2'!$AO305,0))))*(INDEX(avoidedcosttbl2,$H305,BW$2)+(($H305-ROUNDDOWN($H305,0))*(INDEX(avoidedcosttbl2,ROUNDUP($H305,0),BW$2)-(INDEX(avoidedcosttbl2,ROUNDDOWN($H305,0),BW$2)))))*'Inputs Yr 2'!P305*'Inputs Yr 2'!Q305*'Inputs Yr 2'!U305,"")</f>
        <v/>
      </c>
      <c r="BX305" s="197" t="str">
        <f>IFERROR(($G305*IF('Inputs Yr 2'!$AJ305=BO$4,'Inputs Yr 2'!$AK305,IF('Inputs Yr 2'!$AL305=BO$4,'Inputs Yr 2'!$AM305,IF('Inputs Yr 2'!$AN305=BO$4,'Inputs Yr 2'!$AO305,0))))*(INDEX(avoidedcosttbl2,$H305,BX$2)+(($H305-ROUNDDOWN($H305,0))*(INDEX(avoidedcosttbl2,ROUNDUP($H305,0),BX$2)-(INDEX(avoidedcosttbl2,ROUNDDOWN($H305,0),BX$2)))))*'Inputs Yr 2'!P305*'Inputs Yr 2'!Q305*'Inputs Yr 2'!U305,"")</f>
        <v/>
      </c>
      <c r="BY305" s="197" t="str">
        <f>IFERROR(($G305*IF('Inputs Yr 2'!$AJ305=BP$4,'Inputs Yr 2'!$AK305,IF('Inputs Yr 2'!$AL305=BP$4,'Inputs Yr 2'!$AM305,IF('Inputs Yr 2'!$AN305=BP$4,'Inputs Yr 2'!$AO305,0))))*(INDEX(avoidedcosttbl2,$H305,BY$2)+(($H305-ROUNDDOWN($H305,0))*(INDEX(avoidedcosttbl2,ROUNDUP($H305,0),BY$2)-(INDEX(avoidedcosttbl2,ROUNDDOWN($H305,0),BY$2)))))*'Inputs Yr 2'!P305*'Inputs Yr 2'!Q305*'Inputs Yr 2'!U305,"")</f>
        <v/>
      </c>
      <c r="BZ305" s="193">
        <f t="shared" si="159"/>
        <v>0</v>
      </c>
      <c r="CA305" s="193">
        <f t="shared" si="160"/>
        <v>0</v>
      </c>
      <c r="CB305" s="195" t="str">
        <f>IFERROR(G305*(IF('Inputs Yr 2'!$AJ305=CB$4,'Inputs Yr 2'!$AK305,IF('Inputs Yr 2'!$AL305=CB$4,'Inputs Yr 2'!$AM305,IF('Inputs Yr 2'!$AN305=CB$4,'Inputs Yr 2'!$AO305,0))))*(INDEX(avoidedcosttbl2,$H305,CB$2)+(($H305-ROUNDDOWN($H305,0))*(INDEX(avoidedcosttbl2,ROUNDUP($H305,0),CB$2)-(INDEX(avoidedcosttbl2,ROUNDDOWN($H305,0),CB$2)))))*'Inputs Yr 2'!P305*'Inputs Yr 2'!Q305*'Inputs Yr 2'!U305,"")</f>
        <v/>
      </c>
      <c r="CC305" s="195">
        <f>IFERROR(H305*(IF('Inputs Yr 2'!$AJ305=CC$4,'Inputs Yr 2'!$AK305,IF('Inputs Yr 2'!$AL305=CC$4,'Inputs Yr 2'!$AM305,IF('Inputs Yr 2'!$AN305=CC$4,'Inputs Yr 2'!$AO305,0))))*(INDEX(avoidedcosttbl2,$H305,CC$2)+(($H305-ROUNDDOWN($H305,0))*(INDEX(avoidedcosttbl2,ROUNDUP($H305,0),CC$2)-(INDEX(avoidedcosttbl2,ROUNDDOWN($H305,0),CC$2)))))*'Inputs Yr 2'!Q305*'Inputs Yr 2'!R305*'Inputs Yr 2'!V305,"")</f>
        <v>0</v>
      </c>
      <c r="CD305" s="195" t="str">
        <f>IFERROR(I305*(IF('Inputs Yr 2'!$AJ305=CD$4,'Inputs Yr 2'!$AK305,IF('Inputs Yr 2'!$AL305=CD$4,'Inputs Yr 2'!$AM305,IF('Inputs Yr 2'!$AN305=CD$4,'Inputs Yr 2'!$AO305,0))))*(INDEX(avoidedcosttbl2,$H305,CD$2)+(($H305-ROUNDDOWN($H305,0))*(INDEX(avoidedcosttbl2,ROUNDUP($H305,0),CD$2)-(INDEX(avoidedcosttbl2,ROUNDDOWN($H305,0),CD$2)))))*'Inputs Yr 2'!R305*'Inputs Yr 2'!S305*'Inputs Yr 2'!W305,"")</f>
        <v/>
      </c>
      <c r="CE305" s="213">
        <f t="shared" si="161"/>
        <v>0</v>
      </c>
      <c r="CF305" s="213">
        <f t="shared" si="162"/>
        <v>0</v>
      </c>
      <c r="CG305" s="213">
        <f t="shared" si="163"/>
        <v>0</v>
      </c>
      <c r="CH305" s="698">
        <f t="shared" si="164"/>
        <v>0</v>
      </c>
      <c r="CI305" s="79" t="str">
        <f>IFERROR(($G305*'Inputs Yr 2'!$P305*'Inputs Yr 2'!$Q305*(((INDEX(avoidedcosttbl2,$H305,CI$2)+(($H305-ROUNDDOWN($H305,0))*(INDEX(avoidedcosttbl2,ROUNDUP($H305,0),CI$2)-INDEX(avoidedcosttbl2,ROUNDDOWN($H305,0),CI$2))))*'Inputs Yr 2'!AS305))),"")</f>
        <v/>
      </c>
      <c r="CJ305" s="504" t="str">
        <f>IFERROR($G305*'Inputs Yr 2'!AT305*'Inputs Yr 2'!$P305*'Inputs Yr 2'!$Q305/((1+realdiscrt1)^-0.5),"")</f>
        <v/>
      </c>
      <c r="CK305" s="79" t="str">
        <f>IFERROR((O305*1000*(((INDEX(avoidedcosttbl2,$H305,CK$2)+(($H305-ROUNDDOWN($H305,0))*(INDEX(avoidedcosttbl2,ROUNDUP($H305,0),CK$2)-INDEX(avoidedcosttbl2,ROUNDDOWN($H305,0),CK$2))))*'Inputs Yr 2'!AU305))),"")</f>
        <v/>
      </c>
      <c r="CL305" s="504" t="str">
        <f>IFERROR(O305*1000*'Inputs Yr 2'!AV305/((1+realdiscrt1)^-0.5),"")</f>
        <v/>
      </c>
      <c r="CM305" s="79">
        <f>IFERROR((AB305*'Inputs Yr 2'!AW305*(((INDEX(avoidedcosttbl2,$H305,CM$2)+(($H305-ROUNDDOWN($H305,0))*(INDEX(avoidedcosttbl2,ROUNDUP($H305,0),CM$2)-INDEX(avoidedcosttbl2,ROUNDDOWN($H305,0),CM$2)))))))*10,"")</f>
        <v>0</v>
      </c>
      <c r="CN305" s="504">
        <f>IFERROR(10*AB305*'Inputs Yr 2'!AX305/((1+realdiscrt1)^-0.5),"")</f>
        <v>0</v>
      </c>
      <c r="CO305" s="505">
        <f t="shared" si="165"/>
        <v>0</v>
      </c>
      <c r="CP305" s="230">
        <f t="shared" si="166"/>
        <v>0</v>
      </c>
      <c r="CQ305" s="199">
        <f>ROUND(IFERROR(IF(LEFT($A305,1)="C",'Avoided Costs'!$K$13,'Avoided Costs'!$K$12)+1,""),4)</f>
        <v>1.0720000000000001</v>
      </c>
      <c r="CR305" s="199">
        <f>ROUND(IFERROR(IF(LEFT($A305,1)="C",'Avoided Costs'!$L$13,'Avoided Costs'!$L$12)+1,""),4)</f>
        <v>1.04</v>
      </c>
      <c r="CS305" s="199">
        <f>ROUND(IFERROR(IF(LEFT($A305,1)="C",'Avoided Costs'!$M$13,'Avoided Costs'!$M$12)+1,""),4)</f>
        <v>1.0720000000000001</v>
      </c>
      <c r="CT305" s="199">
        <f>ROUND(IFERROR(IF(LEFT($A305,1)="C",'Avoided Costs'!$N$13,'Avoided Costs'!$N$12)+1,""),4)</f>
        <v>1.04</v>
      </c>
      <c r="CU305" s="199">
        <f>ROUND(IFERROR(IF(LEFT($A305,1)="C",'Avoided Costs'!$O$13,'Avoided Costs'!$O$12)+1,""),4)</f>
        <v>1.1120000000000001</v>
      </c>
      <c r="CV305" s="199">
        <f>ROUND(IFERROR(IF(LEFT($A305,1)="C",'Avoided Costs'!$P$13,'Avoided Costs'!$P$12)+1,""),4)</f>
        <v>1.095</v>
      </c>
      <c r="CW305" s="199">
        <f>ROUND(IFERROR(IF(LEFT($A305,1)="C",'Avoided Costs'!$Q$13,'Avoided Costs'!$Q$12)+1,""),4)</f>
        <v>1.1120000000000001</v>
      </c>
      <c r="CX305" s="200">
        <f>ROUND(IFERROR(IF(LEFT($A305,1)="C",'Avoided Costs'!$R$13,'Avoided Costs'!$R$12)+1,""),4)</f>
        <v>1.1120000000000001</v>
      </c>
    </row>
    <row r="306" spans="1:102" ht="12.75" customHeight="1">
      <c r="A306" s="91" t="str">
        <f>IF('Inputs Yr 2'!$B306=0,"",'Inputs Yr 2'!A306)</f>
        <v>C - Commercial &amp; Industrial</v>
      </c>
      <c r="B306" s="91" t="str">
        <f>IF('Inputs Yr 2'!$B306=0,"",'Inputs Yr 2'!B306)</f>
        <v>C2 - C&amp;I Retrofit</v>
      </c>
      <c r="C306" s="91" t="str">
        <f>IF('Inputs Yr 2'!$B306=0,"",'Inputs Yr 2'!C306)</f>
        <v>C2b - C&amp;I Small Business</v>
      </c>
      <c r="D306" s="91" t="str">
        <f>IF('Inputs Yr 2'!$B306=0,"",'Inputs Yr 2'!E306)</f>
        <v>Other - Custom 15</v>
      </c>
      <c r="E306" s="93" t="str">
        <f>IF('Inputs Yr 2'!$B306=0,"",'Inputs Yr 2'!F306)</f>
        <v>G16C2b11</v>
      </c>
      <c r="F306" s="93" t="str">
        <f>IF('Inputs Yr 2'!$B306=0,"",'Inputs Yr 2'!G306)</f>
        <v>Custom Measures</v>
      </c>
      <c r="G306" s="95">
        <f>IF('Inputs Yr 2'!$H306&lt;&gt;0,('Inputs Yr 2'!H306),"")</f>
        <v>1</v>
      </c>
      <c r="H306" s="94">
        <f>IFERROR('Inputs Yr 2'!I306,"")</f>
        <v>15</v>
      </c>
      <c r="I306" s="298">
        <f>IFERROR('Inputs Yr 2'!J306*'Inputs Yr 2'!P306*G306,"")</f>
        <v>5918.3600000000006</v>
      </c>
      <c r="J306" s="298">
        <f>IFERROR('Inputs Yr 2'!K306*G306,"")</f>
        <v>4830</v>
      </c>
      <c r="K306" s="298">
        <f t="shared" si="143"/>
        <v>1088.3600000000006</v>
      </c>
      <c r="L306" s="194">
        <f>IFERROR(('Inputs Yr 2'!W306*G306)/1000,"")</f>
        <v>0</v>
      </c>
      <c r="M306" s="194">
        <f>IFERROR(L306*('Inputs Yr 2'!$Q306*'Inputs Yr 2'!$V306*'Inputs Yr 2'!$R306),"")</f>
        <v>0</v>
      </c>
      <c r="N306" s="194">
        <f t="shared" si="144"/>
        <v>0</v>
      </c>
      <c r="O306" s="194">
        <f>IFERROR(M306*'Inputs Yr 2'!P306,"")</f>
        <v>0</v>
      </c>
      <c r="P306" s="194">
        <f t="shared" si="145"/>
        <v>0</v>
      </c>
      <c r="Q306" s="194">
        <f>IFERROR($P306*'Inputs Yr 2'!AA306,"")</f>
        <v>0</v>
      </c>
      <c r="R306" s="194">
        <f>IFERROR($P306*'Inputs Yr 2'!AB306,"")</f>
        <v>0</v>
      </c>
      <c r="S306" s="194">
        <f>IFERROR($P306*'Inputs Yr 2'!AC306,"")</f>
        <v>0</v>
      </c>
      <c r="T306" s="194">
        <f>IFERROR($P306*'Inputs Yr 2'!AD306,"")</f>
        <v>0</v>
      </c>
      <c r="U306" s="194">
        <f>IFERROR(G306*'Inputs Yr 2'!$AE306*'Inputs Yr 2'!$P306*'Inputs Yr 2'!$Q306,"")</f>
        <v>0</v>
      </c>
      <c r="V306" s="194">
        <f>IFERROR($G306*'Inputs Yr 2'!$AE306*'Inputs Yr 2'!$AG306*'Inputs Yr 2'!Q306*'Inputs Yr 2'!$S306,"")</f>
        <v>0</v>
      </c>
      <c r="W306" s="194">
        <f>IFERROR($G306*'Inputs Yr 2'!$AE306*'Inputs Yr 2'!$AG306*'Inputs Yr 2'!P306*'Inputs Yr 2'!Q306*'Inputs Yr 2'!$S306,"")</f>
        <v>0</v>
      </c>
      <c r="X306" s="194">
        <f>IFERROR($G306*'Inputs Yr 2'!$AE306*'Inputs Yr 2'!$AF306*'Inputs Yr 2'!Q306*'Inputs Yr 2'!$T306,"")</f>
        <v>0</v>
      </c>
      <c r="Y306" s="194">
        <f>IFERROR($G306*'Inputs Yr 2'!$AE306*'Inputs Yr 2'!$AF306*'Inputs Yr 2'!P306*'Inputs Yr 2'!Q306*'Inputs Yr 2'!$T306,"")</f>
        <v>0</v>
      </c>
      <c r="Z306" s="257">
        <f>IFERROR($G306*'Inputs Yr 2'!$Q306*'Inputs Yr 2'!$U306*(IF(IFERROR(SEARCH("NG", 'Inputs Yr 2'!$AJ306),0),'Inputs Yr 2'!$AK306,0)+IF(IFERROR(SEARCH("NG", 'Inputs Yr 2'!$AL306),0),'Inputs Yr 2'!$AM306,0)+IF(IFERROR(SEARCH("NG", 'Inputs Yr 2'!$AN306),0),'Inputs Yr 2'!$AO306,0)),0)</f>
        <v>491.31530000000004</v>
      </c>
      <c r="AA306" s="257">
        <f t="shared" si="146"/>
        <v>7369.7295000000004</v>
      </c>
      <c r="AB306" s="257">
        <f>IFERROR(Z306*'Inputs Yr 2'!$P306,0)</f>
        <v>451.51876070000003</v>
      </c>
      <c r="AC306" s="257">
        <f t="shared" si="147"/>
        <v>6772.7814105000007</v>
      </c>
      <c r="AD306" s="257">
        <f>IFERROR($G306*'Inputs Yr 2'!$Q306*'Inputs Yr 2'!$U306*(IF(IFERROR(SEARCH("Oil", 'Inputs Yr 2'!$AJ306), 0),'Inputs Yr 2'!$AK306,0)+IF(IFERROR(SEARCH("Oil", 'Inputs Yr 2'!$AL306), 0),'Inputs Yr 2'!$AM306,0)+IF(IFERROR(SEARCH("Oil", 'Inputs Yr 2'!$AN306), 0),'Inputs Yr 2'!$AO306,0)),0)</f>
        <v>0</v>
      </c>
      <c r="AE306" s="257">
        <f t="shared" si="148"/>
        <v>0</v>
      </c>
      <c r="AF306" s="257">
        <f>IFERROR(AD306*'Inputs Yr 2'!$P306,0)</f>
        <v>0</v>
      </c>
      <c r="AG306" s="257">
        <f t="shared" si="149"/>
        <v>0</v>
      </c>
      <c r="AH306" s="257">
        <f>IFERROR($G306*'Inputs Yr 2'!$Q306*'Inputs Yr 2'!$U306*(IF('Inputs Yr 2'!$AJ306=CD$4,'Inputs Yr 2'!$AK306,IF('Inputs Yr 2'!$AL306=CD$4,'Inputs Yr 2'!$AM306,IF('Inputs Yr 2'!$AN306=CD$4,'Inputs Yr 2'!$AO306,0)))),0)</f>
        <v>0</v>
      </c>
      <c r="AI306" s="257">
        <f t="shared" si="150"/>
        <v>0</v>
      </c>
      <c r="AJ306" s="257">
        <f>IFERROR(AH306*'Inputs Yr 2'!$P306,0)</f>
        <v>0</v>
      </c>
      <c r="AK306" s="257">
        <f t="shared" si="151"/>
        <v>0</v>
      </c>
      <c r="AL306" s="258">
        <f>IFERROR($G306*'Inputs Yr 2'!$P306*'Inputs Yr 2'!$Q306*'Inputs Yr 2'!AP306,0)</f>
        <v>0</v>
      </c>
      <c r="AM306" s="260">
        <f>IFERROR($G306*'Inputs Yr 2'!$P306*'Inputs Yr 2'!$Q306*'Inputs Yr 2'!AQ306,0)</f>
        <v>0</v>
      </c>
      <c r="AN306" s="258">
        <f>IFERROR($G306*'Inputs Yr 2'!$P306*'Inputs Yr 2'!$Q306*'Inputs Yr 2'!AR306,0)</f>
        <v>0</v>
      </c>
      <c r="AO306" s="257">
        <f t="shared" si="152"/>
        <v>0</v>
      </c>
      <c r="AP306" s="195">
        <f>IFERROR($CQ306*(INDEX(avoidedcosttbl2,$H306,AP$2)+(($H306-ROUNDDOWN($H306,0))*(INDEX(avoidedcosttbl2,ROUNDUP($H306,0),AP$2)-(INDEX(avoidedcosttbl2,ROUNDDOWN($H306,0),AP$2)))))*$O306*1000*'Inputs Yr 2'!AA306,"")</f>
        <v>0</v>
      </c>
      <c r="AQ306" s="195">
        <f>IFERROR($CR306*(INDEX(avoidedcosttbl2,$H306,AQ$2)+(($H306-ROUNDDOWN($H306,0))*(INDEX(avoidedcosttbl2,ROUNDUP($H306,0),AQ$2)-(INDEX(avoidedcosttbl2,ROUNDDOWN($H306,0),AQ$2)))))*$O306*1000*'Inputs Yr 2'!AB306,"")</f>
        <v>0</v>
      </c>
      <c r="AR306" s="195">
        <f>IFERROR($CS306*(INDEX(avoidedcosttbl2,$H306,AR$2)+(($H306-ROUNDDOWN($H306,0))*(INDEX(avoidedcosttbl2,ROUNDUP($H306,0),AR$2)-(INDEX(avoidedcosttbl2,ROUNDDOWN($H306,0),AR$2)))))*$O306*1000*'Inputs Yr 2'!AC306,"")</f>
        <v>0</v>
      </c>
      <c r="AS306" s="195">
        <f>IFERROR($CT306*(INDEX(avoidedcosttbl2,$H306,AS$2)+(($H306-ROUNDDOWN($H306,0))*(INDEX(avoidedcosttbl2,ROUNDUP($H306,0),AS$2)-(INDEX(avoidedcosttbl2,ROUNDDOWN($H306,0),AS$2)))))*$O306*1000*'Inputs Yr 2'!AD306,"")</f>
        <v>0</v>
      </c>
      <c r="AT306" s="196">
        <f t="shared" si="153"/>
        <v>0</v>
      </c>
      <c r="AU306" s="197">
        <f>IFERROR($CQ306*((INDEX(avoidedcosttbl2,$H306,AU$2))+(($H306-ROUNDDOWN($H306,0))*((INDEX(avoidedcosttbl2,ROUNDUP($H306,0),AU$2))-(INDEX(avoidedcosttbl2,ROUNDDOWN($H306,0),AU$2)))))*$O306*1000*'Inputs Yr 2'!AA306,"")</f>
        <v>0</v>
      </c>
      <c r="AV306" s="197">
        <f>IFERROR($CR306*((INDEX(avoidedcosttbl2,$H306,AV$2))+(($H306-ROUNDDOWN($H306,0))*((INDEX(avoidedcosttbl2,ROUNDUP($H306,0),AV$2))-(INDEX(avoidedcosttbl2,ROUNDDOWN($H306,0),AV$2)))))*$O306*1000*'Inputs Yr 2'!AB306,"")</f>
        <v>0</v>
      </c>
      <c r="AW306" s="197">
        <f>IFERROR($CS306*((INDEX(avoidedcosttbl2,$H306,AW$2))+(($H306-ROUNDDOWN($H306,0))*((INDEX(avoidedcosttbl2,ROUNDUP($H306,0),AW$2))-(INDEX(avoidedcosttbl2,ROUNDDOWN($H306,0),AW$2)))))*$O306*1000*'Inputs Yr 2'!AC306,"")</f>
        <v>0</v>
      </c>
      <c r="AX306" s="197">
        <f>IFERROR($CT306*((INDEX(avoidedcosttbl2,$H306,AX$2))+(($H306-ROUNDDOWN($H306,0))*((INDEX(avoidedcosttbl2,ROUNDUP($H306,0),AX$2))-(INDEX(avoidedcosttbl2,ROUNDDOWN($H306,0),AX$2)))))*$O306*1000*'Inputs Yr 2'!AD306,"")</f>
        <v>0</v>
      </c>
      <c r="AY306" s="197">
        <f>IFERROR(((INDEX(avoidedcosttbl2,$H306,AY$2))+(($H306-ROUNDDOWN($H306,0))*((INDEX(avoidedcosttbl2,ROUNDUP($H306,0),AY$2))-(INDEX(avoidedcosttbl2,ROUNDDOWN($H306,0),AY$2)))))*$O306*1000*('Inputs Yr 2'!AC306+'Inputs Yr 2'!AD306),"")</f>
        <v>0</v>
      </c>
      <c r="AZ306" s="197">
        <f>IFERROR(((INDEX(avoidedcosttbl2,$H306,AZ$2))+(($H306-ROUNDDOWN($H306,0))*((INDEX(avoidedcosttbl2,ROUNDUP($H306,0),AZ$2))-(INDEX(avoidedcosttbl2,ROUNDDOWN($H306,0),AZ$2)))))*$O306*1000*('Inputs Yr 2'!AA306+'Inputs Yr 2'!AB306),"")</f>
        <v>0</v>
      </c>
      <c r="BA306" s="198">
        <f t="shared" si="154"/>
        <v>0</v>
      </c>
      <c r="BB306" s="198">
        <f t="shared" si="155"/>
        <v>0</v>
      </c>
      <c r="BC306" s="195">
        <f t="shared" si="137"/>
        <v>0</v>
      </c>
      <c r="BD306" s="195">
        <f t="shared" si="138"/>
        <v>0</v>
      </c>
      <c r="BE306" s="195">
        <f t="shared" si="139"/>
        <v>0</v>
      </c>
      <c r="BF306" s="195">
        <f t="shared" si="140"/>
        <v>0</v>
      </c>
      <c r="BG306" s="195">
        <f t="shared" si="141"/>
        <v>0</v>
      </c>
      <c r="BH306" s="196">
        <f t="shared" si="156"/>
        <v>0</v>
      </c>
      <c r="BI306" s="196">
        <f t="shared" si="157"/>
        <v>0</v>
      </c>
      <c r="BJ306" s="195">
        <f>IFERROR($G306*(IF('Inputs Yr 2'!$AJ306=BJ$4,'Inputs Yr 2'!$AK306,IF('Inputs Yr 2'!$AL306=BJ$4,'Inputs Yr 2'!$AM306,IF('Inputs Yr 2'!$AN306=BJ$4,'Inputs Yr 2'!$AO306,0))))*(INDEX(avoidedcosttbl2,$H306,BJ$2)+(($H306-ROUNDDOWN($H306,0))*(INDEX(avoidedcosttbl2,ROUNDUP($H306,0),BJ$2)-(INDEX(avoidedcosttbl2,ROUNDDOWN($H306,0),BJ$2)))))*'Inputs Yr 2'!P306*'Inputs Yr 2'!Q306*'Inputs Yr 2'!U306,"")</f>
        <v>0</v>
      </c>
      <c r="BK306" s="195">
        <f>IFERROR($G306*(IF('Inputs Yr 2'!$AJ306=BK$4,'Inputs Yr 2'!$AK306,IF('Inputs Yr 2'!$AL306=BK$4,'Inputs Yr 2'!$AM306,IF('Inputs Yr 2'!$AN306=BK$4,'Inputs Yr 2'!$AO306,0))))*(INDEX(avoidedcosttbl2,$H306,BK$2)+(($H306-ROUNDDOWN($H306,0))*(INDEX(avoidedcosttbl2,ROUNDUP($H306,0),BK$2)-(INDEX(avoidedcosttbl2,ROUNDDOWN($H306,0),BK$2)))))*'Inputs Yr 2'!P306*'Inputs Yr 2'!Q306*'Inputs Yr 2'!U306,"")</f>
        <v>0</v>
      </c>
      <c r="BL306" s="195">
        <f>IFERROR($G306*(IF('Inputs Yr 2'!$AJ306=BL$4,'Inputs Yr 2'!$AK306,IF('Inputs Yr 2'!$AL306=BL$4,'Inputs Yr 2'!$AM306,IF('Inputs Yr 2'!$AN306=BL$4,'Inputs Yr 2'!$AO306,0))))*(INDEX(avoidedcosttbl2,$H306,BL$2)+(($H306-ROUNDDOWN($H306,0))*(INDEX(avoidedcosttbl2,ROUNDUP($H306,0),BL$2)-(INDEX(avoidedcosttbl2,ROUNDDOWN($H306,0),BL$2)))))*'Inputs Yr 2'!P306*'Inputs Yr 2'!Q306*'Inputs Yr 2'!U306,"")</f>
        <v>0</v>
      </c>
      <c r="BM306" s="195">
        <f>IFERROR($G306*(IF('Inputs Yr 2'!$AJ306=BM$4,'Inputs Yr 2'!$AK306,IF('Inputs Yr 2'!$AL306=BM$4,'Inputs Yr 2'!$AM306,IF('Inputs Yr 2'!$AN306=BM$4,'Inputs Yr 2'!$AO306,0))))*(INDEX(avoidedcosttbl2,$H306,BM$2)+(($H306-ROUNDDOWN($H306,0))*(INDEX(avoidedcosttbl2,ROUNDUP($H306,0),BM$2)-(INDEX(avoidedcosttbl2,ROUNDDOWN($H306,0),BM$2)))))*'Inputs Yr 2'!P306*'Inputs Yr 2'!Q306*'Inputs Yr 2'!U306,"")</f>
        <v>0</v>
      </c>
      <c r="BN306" s="195">
        <f>IFERROR($G306*(IF('Inputs Yr 2'!$AJ306=BN$4,'Inputs Yr 2'!$AK306,IF('Inputs Yr 2'!$AL306=BN$4,'Inputs Yr 2'!$AM306,IF('Inputs Yr 2'!$AN306=BN$4,'Inputs Yr 2'!$AO306,0))))*(INDEX(avoidedcosttbl2,$H306,BN$2)+(($H306-ROUNDDOWN($H306,0))*(INDEX(avoidedcosttbl2,ROUNDUP($H306,0),BN$2)-(INDEX(avoidedcosttbl2,ROUNDDOWN($H306,0),BN$2)))))*'Inputs Yr 2'!P306*'Inputs Yr 2'!Q306*'Inputs Yr 2'!U306,"")</f>
        <v>0</v>
      </c>
      <c r="BO306" s="195">
        <f>IFERROR($G306*(IF('Inputs Yr 2'!$AJ306=BO$4,'Inputs Yr 2'!$AK306,IF('Inputs Yr 2'!$AL306=BO$4,'Inputs Yr 2'!$AM306,IF('Inputs Yr 2'!$AN306=BO$4,'Inputs Yr 2'!$AO306,0))))*(INDEX(avoidedcosttbl2,$H306,BO$2)+(($H306-ROUNDDOWN($H306,0))*(INDEX(avoidedcosttbl2,ROUNDUP($H306,0),BO$2)-(INDEX(avoidedcosttbl2,ROUNDDOWN($H306,0),BO$2)))))*'Inputs Yr 2'!P306*'Inputs Yr 2'!Q306*'Inputs Yr 2'!U306,"")</f>
        <v>0</v>
      </c>
      <c r="BP306" s="195">
        <f>IFERROR($G306*(IF('Inputs Yr 2'!$AJ306=BP$4,'Inputs Yr 2'!$AK306,IF('Inputs Yr 2'!$AL306=BP$4,'Inputs Yr 2'!$AM306,IF('Inputs Yr 2'!$AN306=BP$4,'Inputs Yr 2'!$AO306,0))))*(INDEX(avoidedcosttbl2,$H306,BP$2)+(($H306-ROUNDDOWN($H306,0))*(INDEX(avoidedcosttbl2,ROUNDUP($H306,0),BP$2)-(INDEX(avoidedcosttbl2,ROUNDDOWN($H306,0),BP$2)))))*'Inputs Yr 2'!P306*'Inputs Yr 2'!Q306*'Inputs Yr 2'!U306,"")</f>
        <v>50748.713306229161</v>
      </c>
      <c r="BQ306" s="230">
        <f t="shared" si="158"/>
        <v>50748.713306229161</v>
      </c>
      <c r="BR306" s="197">
        <f t="shared" si="142"/>
        <v>917.99569338154481</v>
      </c>
      <c r="BS306" s="197">
        <f>IFERROR(($G306*IF('Inputs Yr 2'!$AJ306=BM$4,'Inputs Yr 2'!$AK306,IF('Inputs Yr 2'!$AL306=BM$4,'Inputs Yr 2'!$AM306,IF('Inputs Yr 2'!$AN306=BM$4,'Inputs Yr 2'!$AO306,0))))*(INDEX(avoidedcosttbl2,$H306,BS$2)+(($H306-ROUNDDOWN($H306,0))*(INDEX(avoidedcosttbl2,ROUNDUP($H306,0),BS$2)-(INDEX(avoidedcosttbl2,ROUNDDOWN($H306,0),BS$2)))))*'Inputs Yr 2'!P306*'Inputs Yr 2'!Q306*'Inputs Yr 2'!U306,"")</f>
        <v>0</v>
      </c>
      <c r="BT306" s="197">
        <f>IFERROR(($G306*IF('Inputs Yr 2'!$AJ306=BK$4,'Inputs Yr 2'!$AK306,IF('Inputs Yr 2'!$AL306=BK$4,'Inputs Yr 2'!$AM306,IF('Inputs Yr 2'!$AN306=BK$4,'Inputs Yr 2'!$AO306,0))))*(INDEX(avoidedcosttbl2,$H306,BT$2)+(($H306-ROUNDDOWN($H306,0))*(INDEX(avoidedcosttbl2,ROUNDUP($H306,0),BT$2)-(INDEX(avoidedcosttbl2,ROUNDDOWN($H306,0),BT$2)))))*'Inputs Yr 2'!P306*'Inputs Yr 2'!Q306*'Inputs Yr 2'!U306,"")</f>
        <v>0</v>
      </c>
      <c r="BU306" s="197">
        <f>IFERROR(($G306*IF('Inputs Yr 2'!$AJ306=BL$4,'Inputs Yr 2'!$AK306,IF('Inputs Yr 2'!$AL306=BL$4,'Inputs Yr 2'!$AM306,IF('Inputs Yr 2'!$AN306=BL$4,'Inputs Yr 2'!$AO306,0))))*(INDEX(avoidedcosttbl2,$H306,BU$2)+(($H306-ROUNDDOWN($H306,0))*(INDEX(avoidedcosttbl2,ROUNDUP($H306,0),BU$2)-(INDEX(avoidedcosttbl2,ROUNDDOWN($H306,0),BU$2)))))*'Inputs Yr 2'!P306*'Inputs Yr 2'!Q306*'Inputs Yr 2'!U306,"")</f>
        <v>0</v>
      </c>
      <c r="BV306" s="775">
        <f>IFERROR(($G306*IF('Inputs Yr 2'!$AJ306=BJ$4,'Inputs Yr 2'!$AK306,IF('Inputs Yr 2'!$AL306=BJ$4,'Inputs Yr 2'!$AM306,IF('Inputs Yr 2'!$AN306=BJ$4,'Inputs Yr 2'!$AO306,0))))*(INDEX(avoidedcosttbl2,$H306,BV$2)+(($H306-ROUNDDOWN($H306,0))*(INDEX(avoidedcosttbl2,ROUNDUP($H306,0),BV$2)-(INDEX(avoidedcosttbl2,ROUNDDOWN($H306,0),BV$2)))))*'Inputs Yr 2'!P306*'Inputs Yr 2'!Q306*'Inputs Yr 2'!U306,"")</f>
        <v>0</v>
      </c>
      <c r="BW306" s="197">
        <f>IFERROR(($G306*IF('Inputs Yr 2'!$AJ306=BN$4,'Inputs Yr 2'!$AK306,IF('Inputs Yr 2'!$AL306=BN$4,'Inputs Yr 2'!$AM306,IF('Inputs Yr 2'!$AN306=BN$4,'Inputs Yr 2'!$AO306,0))))*(INDEX(avoidedcosttbl2,$H306,BW$2)+(($H306-ROUNDDOWN($H306,0))*(INDEX(avoidedcosttbl2,ROUNDUP($H306,0),BW$2)-(INDEX(avoidedcosttbl2,ROUNDDOWN($H306,0),BW$2)))))*'Inputs Yr 2'!P306*'Inputs Yr 2'!Q306*'Inputs Yr 2'!U306,"")</f>
        <v>0</v>
      </c>
      <c r="BX306" s="197">
        <f>IFERROR(($G306*IF('Inputs Yr 2'!$AJ306=BO$4,'Inputs Yr 2'!$AK306,IF('Inputs Yr 2'!$AL306=BO$4,'Inputs Yr 2'!$AM306,IF('Inputs Yr 2'!$AN306=BO$4,'Inputs Yr 2'!$AO306,0))))*(INDEX(avoidedcosttbl2,$H306,BX$2)+(($H306-ROUNDDOWN($H306,0))*(INDEX(avoidedcosttbl2,ROUNDUP($H306,0),BX$2)-(INDEX(avoidedcosttbl2,ROUNDDOWN($H306,0),BX$2)))))*'Inputs Yr 2'!P306*'Inputs Yr 2'!Q306*'Inputs Yr 2'!U306,"")</f>
        <v>0</v>
      </c>
      <c r="BY306" s="197">
        <f>IFERROR(($G306*IF('Inputs Yr 2'!$AJ306=BP$4,'Inputs Yr 2'!$AK306,IF('Inputs Yr 2'!$AL306=BP$4,'Inputs Yr 2'!$AM306,IF('Inputs Yr 2'!$AN306=BP$4,'Inputs Yr 2'!$AO306,0))))*(INDEX(avoidedcosttbl2,$H306,BY$2)+(($H306-ROUNDDOWN($H306,0))*(INDEX(avoidedcosttbl2,ROUNDUP($H306,0),BY$2)-(INDEX(avoidedcosttbl2,ROUNDDOWN($H306,0),BY$2)))))*'Inputs Yr 2'!P306*'Inputs Yr 2'!Q306*'Inputs Yr 2'!U306,"")</f>
        <v>3923.3049360580658</v>
      </c>
      <c r="BZ306" s="193">
        <f t="shared" si="159"/>
        <v>4841.3006294396109</v>
      </c>
      <c r="CA306" s="193">
        <f t="shared" si="160"/>
        <v>55590.013935668772</v>
      </c>
      <c r="CB306" s="195">
        <f>IFERROR(G306*(IF('Inputs Yr 2'!$AJ306=CB$4,'Inputs Yr 2'!$AK306,IF('Inputs Yr 2'!$AL306=CB$4,'Inputs Yr 2'!$AM306,IF('Inputs Yr 2'!$AN306=CB$4,'Inputs Yr 2'!$AO306,0))))*(INDEX(avoidedcosttbl2,$H306,CB$2)+(($H306-ROUNDDOWN($H306,0))*(INDEX(avoidedcosttbl2,ROUNDUP($H306,0),CB$2)-(INDEX(avoidedcosttbl2,ROUNDDOWN($H306,0),CB$2)))))*'Inputs Yr 2'!P306*'Inputs Yr 2'!Q306*'Inputs Yr 2'!U306,"")</f>
        <v>0</v>
      </c>
      <c r="CC306" s="195">
        <f>IFERROR(H306*(IF('Inputs Yr 2'!$AJ306=CC$4,'Inputs Yr 2'!$AK306,IF('Inputs Yr 2'!$AL306=CC$4,'Inputs Yr 2'!$AM306,IF('Inputs Yr 2'!$AN306=CC$4,'Inputs Yr 2'!$AO306,0))))*(INDEX(avoidedcosttbl2,$H306,CC$2)+(($H306-ROUNDDOWN($H306,0))*(INDEX(avoidedcosttbl2,ROUNDUP($H306,0),CC$2)-(INDEX(avoidedcosttbl2,ROUNDDOWN($H306,0),CC$2)))))*'Inputs Yr 2'!Q306*'Inputs Yr 2'!R306*'Inputs Yr 2'!V306,"")</f>
        <v>0</v>
      </c>
      <c r="CD306" s="195">
        <f>IFERROR(I306*(IF('Inputs Yr 2'!$AJ306=CD$4,'Inputs Yr 2'!$AK306,IF('Inputs Yr 2'!$AL306=CD$4,'Inputs Yr 2'!$AM306,IF('Inputs Yr 2'!$AN306=CD$4,'Inputs Yr 2'!$AO306,0))))*(INDEX(avoidedcosttbl2,$H306,CD$2)+(($H306-ROUNDDOWN($H306,0))*(INDEX(avoidedcosttbl2,ROUNDUP($H306,0),CD$2)-(INDEX(avoidedcosttbl2,ROUNDDOWN($H306,0),CD$2)))))*'Inputs Yr 2'!R306*'Inputs Yr 2'!S306*'Inputs Yr 2'!W306,"")</f>
        <v>0</v>
      </c>
      <c r="CE306" s="213">
        <f t="shared" si="161"/>
        <v>0</v>
      </c>
      <c r="CF306" s="213">
        <f t="shared" si="162"/>
        <v>0</v>
      </c>
      <c r="CG306" s="213">
        <f t="shared" si="163"/>
        <v>0</v>
      </c>
      <c r="CH306" s="698">
        <f t="shared" si="164"/>
        <v>55590.013935668772</v>
      </c>
      <c r="CI306" s="79">
        <f>IFERROR(($G306*'Inputs Yr 2'!$P306*'Inputs Yr 2'!$Q306*(((INDEX(avoidedcosttbl2,$H306,CI$2)+(($H306-ROUNDDOWN($H306,0))*(INDEX(avoidedcosttbl2,ROUNDUP($H306,0),CI$2)-INDEX(avoidedcosttbl2,ROUNDDOWN($H306,0),CI$2))))*'Inputs Yr 2'!AS306))),"")</f>
        <v>0</v>
      </c>
      <c r="CJ306" s="504">
        <f>IFERROR($G306*'Inputs Yr 2'!AT306*'Inputs Yr 2'!$P306*'Inputs Yr 2'!$Q306/((1+realdiscrt1)^-0.5),"")</f>
        <v>0</v>
      </c>
      <c r="CK306" s="79">
        <f>IFERROR((O306*1000*(((INDEX(avoidedcosttbl2,$H306,CK$2)+(($H306-ROUNDDOWN($H306,0))*(INDEX(avoidedcosttbl2,ROUNDUP($H306,0),CK$2)-INDEX(avoidedcosttbl2,ROUNDDOWN($H306,0),CK$2))))*'Inputs Yr 2'!AU306))),"")</f>
        <v>0</v>
      </c>
      <c r="CL306" s="504">
        <f>IFERROR(O306*1000*'Inputs Yr 2'!AV306/((1+realdiscrt1)^-0.5),"")</f>
        <v>0</v>
      </c>
      <c r="CM306" s="79">
        <f>IFERROR((AB306*'Inputs Yr 2'!AW306*(((INDEX(avoidedcosttbl2,$H306,CM$2)+(($H306-ROUNDDOWN($H306,0))*(INDEX(avoidedcosttbl2,ROUNDUP($H306,0),CM$2)-INDEX(avoidedcosttbl2,ROUNDDOWN($H306,0),CM$2)))))))*10,"")</f>
        <v>0</v>
      </c>
      <c r="CN306" s="504">
        <f>IFERROR(10*AB306*'Inputs Yr 2'!AX306/((1+realdiscrt1)^-0.5),"")</f>
        <v>0</v>
      </c>
      <c r="CO306" s="505">
        <f t="shared" si="165"/>
        <v>0</v>
      </c>
      <c r="CP306" s="230">
        <f t="shared" si="166"/>
        <v>55590.013935668772</v>
      </c>
      <c r="CQ306" s="199">
        <f>ROUND(IFERROR(IF(LEFT($A306,1)="C",'Avoided Costs'!$K$13,'Avoided Costs'!$K$12)+1,""),4)</f>
        <v>1.0720000000000001</v>
      </c>
      <c r="CR306" s="199">
        <f>ROUND(IFERROR(IF(LEFT($A306,1)="C",'Avoided Costs'!$L$13,'Avoided Costs'!$L$12)+1,""),4)</f>
        <v>1.04</v>
      </c>
      <c r="CS306" s="199">
        <f>ROUND(IFERROR(IF(LEFT($A306,1)="C",'Avoided Costs'!$M$13,'Avoided Costs'!$M$12)+1,""),4)</f>
        <v>1.0720000000000001</v>
      </c>
      <c r="CT306" s="199">
        <f>ROUND(IFERROR(IF(LEFT($A306,1)="C",'Avoided Costs'!$N$13,'Avoided Costs'!$N$12)+1,""),4)</f>
        <v>1.04</v>
      </c>
      <c r="CU306" s="199">
        <f>ROUND(IFERROR(IF(LEFT($A306,1)="C",'Avoided Costs'!$O$13,'Avoided Costs'!$O$12)+1,""),4)</f>
        <v>1.1120000000000001</v>
      </c>
      <c r="CV306" s="199">
        <f>ROUND(IFERROR(IF(LEFT($A306,1)="C",'Avoided Costs'!$P$13,'Avoided Costs'!$P$12)+1,""),4)</f>
        <v>1.095</v>
      </c>
      <c r="CW306" s="199">
        <f>ROUND(IFERROR(IF(LEFT($A306,1)="C",'Avoided Costs'!$Q$13,'Avoided Costs'!$Q$12)+1,""),4)</f>
        <v>1.1120000000000001</v>
      </c>
      <c r="CX306" s="200">
        <f>ROUND(IFERROR(IF(LEFT($A306,1)="C",'Avoided Costs'!$R$13,'Avoided Costs'!$R$12)+1,""),4)</f>
        <v>1.1120000000000001</v>
      </c>
    </row>
    <row r="307" spans="1:102" ht="12.75" customHeight="1">
      <c r="A307" s="91" t="str">
        <f>IF('Inputs Yr 2'!$B307=0,"",'Inputs Yr 2'!A307)</f>
        <v>C - Commercial &amp; Industrial</v>
      </c>
      <c r="B307" s="91" t="str">
        <f>IF('Inputs Yr 2'!$B307=0,"",'Inputs Yr 2'!B307)</f>
        <v>C2 - C&amp;I Retrofit</v>
      </c>
      <c r="C307" s="91" t="str">
        <f>IF('Inputs Yr 2'!$B307=0,"",'Inputs Yr 2'!C307)</f>
        <v>C2b - C&amp;I Small Business</v>
      </c>
      <c r="D307" s="91" t="str">
        <f>IF('Inputs Yr 2'!$B307=0,"",'Inputs Yr 2'!E307)</f>
        <v>Other - Prescriptive</v>
      </c>
      <c r="E307" s="93" t="str">
        <f>IF('Inputs Yr 2'!$B307=0,"",'Inputs Yr 2'!F307)</f>
        <v>G16C2b12</v>
      </c>
      <c r="F307" s="93" t="str">
        <f>IF('Inputs Yr 2'!$B307=0,"",'Inputs Yr 2'!G307)</f>
        <v>Custom Measures</v>
      </c>
      <c r="G307" s="95" t="str">
        <f>IF('Inputs Yr 2'!$H307&lt;&gt;0,('Inputs Yr 2'!H307),"")</f>
        <v/>
      </c>
      <c r="H307" s="94">
        <f>IFERROR('Inputs Yr 2'!I307,"")</f>
        <v>0</v>
      </c>
      <c r="I307" s="298" t="str">
        <f>IFERROR('Inputs Yr 2'!J307*'Inputs Yr 2'!P307*G307,"")</f>
        <v/>
      </c>
      <c r="J307" s="298" t="str">
        <f>IFERROR('Inputs Yr 2'!K307*G307,"")</f>
        <v/>
      </c>
      <c r="K307" s="298" t="str">
        <f t="shared" si="143"/>
        <v/>
      </c>
      <c r="L307" s="194" t="str">
        <f>IFERROR(('Inputs Yr 2'!W307*G307)/1000,"")</f>
        <v/>
      </c>
      <c r="M307" s="194" t="str">
        <f>IFERROR(L307*('Inputs Yr 2'!$Q307*'Inputs Yr 2'!$V307*'Inputs Yr 2'!$R307),"")</f>
        <v/>
      </c>
      <c r="N307" s="194" t="str">
        <f t="shared" si="144"/>
        <v/>
      </c>
      <c r="O307" s="194" t="str">
        <f>IFERROR(M307*'Inputs Yr 2'!P307,"")</f>
        <v/>
      </c>
      <c r="P307" s="194" t="str">
        <f t="shared" si="145"/>
        <v/>
      </c>
      <c r="Q307" s="194" t="str">
        <f>IFERROR($P307*'Inputs Yr 2'!AA307,"")</f>
        <v/>
      </c>
      <c r="R307" s="194" t="str">
        <f>IFERROR($P307*'Inputs Yr 2'!AB307,"")</f>
        <v/>
      </c>
      <c r="S307" s="194" t="str">
        <f>IFERROR($P307*'Inputs Yr 2'!AC307,"")</f>
        <v/>
      </c>
      <c r="T307" s="194" t="str">
        <f>IFERROR($P307*'Inputs Yr 2'!AD307,"")</f>
        <v/>
      </c>
      <c r="U307" s="194" t="str">
        <f>IFERROR(G307*'Inputs Yr 2'!$AE307*'Inputs Yr 2'!$P307*'Inputs Yr 2'!$Q307,"")</f>
        <v/>
      </c>
      <c r="V307" s="194" t="str">
        <f>IFERROR($G307*'Inputs Yr 2'!$AE307*'Inputs Yr 2'!$AG307*'Inputs Yr 2'!Q307*'Inputs Yr 2'!$S307,"")</f>
        <v/>
      </c>
      <c r="W307" s="194" t="str">
        <f>IFERROR($G307*'Inputs Yr 2'!$AE307*'Inputs Yr 2'!$AG307*'Inputs Yr 2'!P307*'Inputs Yr 2'!Q307*'Inputs Yr 2'!$S307,"")</f>
        <v/>
      </c>
      <c r="X307" s="194" t="str">
        <f>IFERROR($G307*'Inputs Yr 2'!$AE307*'Inputs Yr 2'!$AF307*'Inputs Yr 2'!Q307*'Inputs Yr 2'!$T307,"")</f>
        <v/>
      </c>
      <c r="Y307" s="194" t="str">
        <f>IFERROR($G307*'Inputs Yr 2'!$AE307*'Inputs Yr 2'!$AF307*'Inputs Yr 2'!P307*'Inputs Yr 2'!Q307*'Inputs Yr 2'!$T307,"")</f>
        <v/>
      </c>
      <c r="Z307" s="257">
        <f>IFERROR($G307*'Inputs Yr 2'!$Q307*'Inputs Yr 2'!$U307*(IF(IFERROR(SEARCH("NG", 'Inputs Yr 2'!$AJ307),0),'Inputs Yr 2'!$AK307,0)+IF(IFERROR(SEARCH("NG", 'Inputs Yr 2'!$AL307),0),'Inputs Yr 2'!$AM307,0)+IF(IFERROR(SEARCH("NG", 'Inputs Yr 2'!$AN307),0),'Inputs Yr 2'!$AO307,0)),0)</f>
        <v>0</v>
      </c>
      <c r="AA307" s="257">
        <f t="shared" si="146"/>
        <v>0</v>
      </c>
      <c r="AB307" s="257">
        <f>IFERROR(Z307*'Inputs Yr 2'!$P307,0)</f>
        <v>0</v>
      </c>
      <c r="AC307" s="257">
        <f t="shared" si="147"/>
        <v>0</v>
      </c>
      <c r="AD307" s="257">
        <f>IFERROR($G307*'Inputs Yr 2'!$Q307*'Inputs Yr 2'!$U307*(IF(IFERROR(SEARCH("Oil", 'Inputs Yr 2'!$AJ307), 0),'Inputs Yr 2'!$AK307,0)+IF(IFERROR(SEARCH("Oil", 'Inputs Yr 2'!$AL307), 0),'Inputs Yr 2'!$AM307,0)+IF(IFERROR(SEARCH("Oil", 'Inputs Yr 2'!$AN307), 0),'Inputs Yr 2'!$AO307,0)),0)</f>
        <v>0</v>
      </c>
      <c r="AE307" s="257">
        <f t="shared" si="148"/>
        <v>0</v>
      </c>
      <c r="AF307" s="257">
        <f>IFERROR(AD307*'Inputs Yr 2'!$P307,0)</f>
        <v>0</v>
      </c>
      <c r="AG307" s="257">
        <f t="shared" si="149"/>
        <v>0</v>
      </c>
      <c r="AH307" s="257">
        <f>IFERROR($G307*'Inputs Yr 2'!$Q307*'Inputs Yr 2'!$U307*(IF('Inputs Yr 2'!$AJ307=CD$4,'Inputs Yr 2'!$AK307,IF('Inputs Yr 2'!$AL307=CD$4,'Inputs Yr 2'!$AM307,IF('Inputs Yr 2'!$AN307=CD$4,'Inputs Yr 2'!$AO307,0)))),0)</f>
        <v>0</v>
      </c>
      <c r="AI307" s="257">
        <f t="shared" si="150"/>
        <v>0</v>
      </c>
      <c r="AJ307" s="257">
        <f>IFERROR(AH307*'Inputs Yr 2'!$P307,0)</f>
        <v>0</v>
      </c>
      <c r="AK307" s="257">
        <f t="shared" si="151"/>
        <v>0</v>
      </c>
      <c r="AL307" s="258">
        <f>IFERROR($G307*'Inputs Yr 2'!$P307*'Inputs Yr 2'!$Q307*'Inputs Yr 2'!AP307,0)</f>
        <v>0</v>
      </c>
      <c r="AM307" s="260">
        <f>IFERROR($G307*'Inputs Yr 2'!$P307*'Inputs Yr 2'!$Q307*'Inputs Yr 2'!AQ307,0)</f>
        <v>0</v>
      </c>
      <c r="AN307" s="258">
        <f>IFERROR($G307*'Inputs Yr 2'!$P307*'Inputs Yr 2'!$Q307*'Inputs Yr 2'!AR307,0)</f>
        <v>0</v>
      </c>
      <c r="AO307" s="257">
        <f t="shared" si="152"/>
        <v>0</v>
      </c>
      <c r="AP307" s="195" t="str">
        <f>IFERROR($CQ307*(INDEX(avoidedcosttbl2,$H307,AP$2)+(($H307-ROUNDDOWN($H307,0))*(INDEX(avoidedcosttbl2,ROUNDUP($H307,0),AP$2)-(INDEX(avoidedcosttbl2,ROUNDDOWN($H307,0),AP$2)))))*$O307*1000*'Inputs Yr 2'!AA307,"")</f>
        <v/>
      </c>
      <c r="AQ307" s="195" t="str">
        <f>IFERROR($CR307*(INDEX(avoidedcosttbl2,$H307,AQ$2)+(($H307-ROUNDDOWN($H307,0))*(INDEX(avoidedcosttbl2,ROUNDUP($H307,0),AQ$2)-(INDEX(avoidedcosttbl2,ROUNDDOWN($H307,0),AQ$2)))))*$O307*1000*'Inputs Yr 2'!AB307,"")</f>
        <v/>
      </c>
      <c r="AR307" s="195" t="str">
        <f>IFERROR($CS307*(INDEX(avoidedcosttbl2,$H307,AR$2)+(($H307-ROUNDDOWN($H307,0))*(INDEX(avoidedcosttbl2,ROUNDUP($H307,0),AR$2)-(INDEX(avoidedcosttbl2,ROUNDDOWN($H307,0),AR$2)))))*$O307*1000*'Inputs Yr 2'!AC307,"")</f>
        <v/>
      </c>
      <c r="AS307" s="195" t="str">
        <f>IFERROR($CT307*(INDEX(avoidedcosttbl2,$H307,AS$2)+(($H307-ROUNDDOWN($H307,0))*(INDEX(avoidedcosttbl2,ROUNDUP($H307,0),AS$2)-(INDEX(avoidedcosttbl2,ROUNDDOWN($H307,0),AS$2)))))*$O307*1000*'Inputs Yr 2'!AD307,"")</f>
        <v/>
      </c>
      <c r="AT307" s="196">
        <f t="shared" si="153"/>
        <v>0</v>
      </c>
      <c r="AU307" s="197" t="str">
        <f>IFERROR($CQ307*((INDEX(avoidedcosttbl2,$H307,AU$2))+(($H307-ROUNDDOWN($H307,0))*((INDEX(avoidedcosttbl2,ROUNDUP($H307,0),AU$2))-(INDEX(avoidedcosttbl2,ROUNDDOWN($H307,0),AU$2)))))*$O307*1000*'Inputs Yr 2'!AA307,"")</f>
        <v/>
      </c>
      <c r="AV307" s="197" t="str">
        <f>IFERROR($CR307*((INDEX(avoidedcosttbl2,$H307,AV$2))+(($H307-ROUNDDOWN($H307,0))*((INDEX(avoidedcosttbl2,ROUNDUP($H307,0),AV$2))-(INDEX(avoidedcosttbl2,ROUNDDOWN($H307,0),AV$2)))))*$O307*1000*'Inputs Yr 2'!AB307,"")</f>
        <v/>
      </c>
      <c r="AW307" s="197" t="str">
        <f>IFERROR($CS307*((INDEX(avoidedcosttbl2,$H307,AW$2))+(($H307-ROUNDDOWN($H307,0))*((INDEX(avoidedcosttbl2,ROUNDUP($H307,0),AW$2))-(INDEX(avoidedcosttbl2,ROUNDDOWN($H307,0),AW$2)))))*$O307*1000*'Inputs Yr 2'!AC307,"")</f>
        <v/>
      </c>
      <c r="AX307" s="197" t="str">
        <f>IFERROR($CT307*((INDEX(avoidedcosttbl2,$H307,AX$2))+(($H307-ROUNDDOWN($H307,0))*((INDEX(avoidedcosttbl2,ROUNDUP($H307,0),AX$2))-(INDEX(avoidedcosttbl2,ROUNDDOWN($H307,0),AX$2)))))*$O307*1000*'Inputs Yr 2'!AD307,"")</f>
        <v/>
      </c>
      <c r="AY307" s="197" t="str">
        <f>IFERROR(((INDEX(avoidedcosttbl2,$H307,AY$2))+(($H307-ROUNDDOWN($H307,0))*((INDEX(avoidedcosttbl2,ROUNDUP($H307,0),AY$2))-(INDEX(avoidedcosttbl2,ROUNDDOWN($H307,0),AY$2)))))*$O307*1000*('Inputs Yr 2'!AC307+'Inputs Yr 2'!AD307),"")</f>
        <v/>
      </c>
      <c r="AZ307" s="197" t="str">
        <f>IFERROR(((INDEX(avoidedcosttbl2,$H307,AZ$2))+(($H307-ROUNDDOWN($H307,0))*((INDEX(avoidedcosttbl2,ROUNDUP($H307,0),AZ$2))-(INDEX(avoidedcosttbl2,ROUNDDOWN($H307,0),AZ$2)))))*$O307*1000*('Inputs Yr 2'!AA307+'Inputs Yr 2'!AB307),"")</f>
        <v/>
      </c>
      <c r="BA307" s="198">
        <f t="shared" si="154"/>
        <v>0</v>
      </c>
      <c r="BB307" s="198">
        <f t="shared" si="155"/>
        <v>0</v>
      </c>
      <c r="BC307" s="195" t="str">
        <f t="shared" si="137"/>
        <v/>
      </c>
      <c r="BD307" s="195" t="str">
        <f t="shared" si="138"/>
        <v/>
      </c>
      <c r="BE307" s="195" t="str">
        <f t="shared" si="139"/>
        <v/>
      </c>
      <c r="BF307" s="195" t="str">
        <f t="shared" si="140"/>
        <v/>
      </c>
      <c r="BG307" s="195" t="str">
        <f t="shared" si="141"/>
        <v/>
      </c>
      <c r="BH307" s="196">
        <f t="shared" si="156"/>
        <v>0</v>
      </c>
      <c r="BI307" s="196">
        <f t="shared" si="157"/>
        <v>0</v>
      </c>
      <c r="BJ307" s="195" t="str">
        <f>IFERROR($G307*(IF('Inputs Yr 2'!$AJ307=BJ$4,'Inputs Yr 2'!$AK307,IF('Inputs Yr 2'!$AL307=BJ$4,'Inputs Yr 2'!$AM307,IF('Inputs Yr 2'!$AN307=BJ$4,'Inputs Yr 2'!$AO307,0))))*(INDEX(avoidedcosttbl2,$H307,BJ$2)+(($H307-ROUNDDOWN($H307,0))*(INDEX(avoidedcosttbl2,ROUNDUP($H307,0),BJ$2)-(INDEX(avoidedcosttbl2,ROUNDDOWN($H307,0),BJ$2)))))*'Inputs Yr 2'!P307*'Inputs Yr 2'!Q307*'Inputs Yr 2'!U307,"")</f>
        <v/>
      </c>
      <c r="BK307" s="195" t="str">
        <f>IFERROR($G307*(IF('Inputs Yr 2'!$AJ307=BK$4,'Inputs Yr 2'!$AK307,IF('Inputs Yr 2'!$AL307=BK$4,'Inputs Yr 2'!$AM307,IF('Inputs Yr 2'!$AN307=BK$4,'Inputs Yr 2'!$AO307,0))))*(INDEX(avoidedcosttbl2,$H307,BK$2)+(($H307-ROUNDDOWN($H307,0))*(INDEX(avoidedcosttbl2,ROUNDUP($H307,0),BK$2)-(INDEX(avoidedcosttbl2,ROUNDDOWN($H307,0),BK$2)))))*'Inputs Yr 2'!P307*'Inputs Yr 2'!Q307*'Inputs Yr 2'!U307,"")</f>
        <v/>
      </c>
      <c r="BL307" s="195" t="str">
        <f>IFERROR($G307*(IF('Inputs Yr 2'!$AJ307=BL$4,'Inputs Yr 2'!$AK307,IF('Inputs Yr 2'!$AL307=BL$4,'Inputs Yr 2'!$AM307,IF('Inputs Yr 2'!$AN307=BL$4,'Inputs Yr 2'!$AO307,0))))*(INDEX(avoidedcosttbl2,$H307,BL$2)+(($H307-ROUNDDOWN($H307,0))*(INDEX(avoidedcosttbl2,ROUNDUP($H307,0),BL$2)-(INDEX(avoidedcosttbl2,ROUNDDOWN($H307,0),BL$2)))))*'Inputs Yr 2'!P307*'Inputs Yr 2'!Q307*'Inputs Yr 2'!U307,"")</f>
        <v/>
      </c>
      <c r="BM307" s="195" t="str">
        <f>IFERROR($G307*(IF('Inputs Yr 2'!$AJ307=BM$4,'Inputs Yr 2'!$AK307,IF('Inputs Yr 2'!$AL307=BM$4,'Inputs Yr 2'!$AM307,IF('Inputs Yr 2'!$AN307=BM$4,'Inputs Yr 2'!$AO307,0))))*(INDEX(avoidedcosttbl2,$H307,BM$2)+(($H307-ROUNDDOWN($H307,0))*(INDEX(avoidedcosttbl2,ROUNDUP($H307,0),BM$2)-(INDEX(avoidedcosttbl2,ROUNDDOWN($H307,0),BM$2)))))*'Inputs Yr 2'!P307*'Inputs Yr 2'!Q307*'Inputs Yr 2'!U307,"")</f>
        <v/>
      </c>
      <c r="BN307" s="195" t="str">
        <f>IFERROR($G307*(IF('Inputs Yr 2'!$AJ307=BN$4,'Inputs Yr 2'!$AK307,IF('Inputs Yr 2'!$AL307=BN$4,'Inputs Yr 2'!$AM307,IF('Inputs Yr 2'!$AN307=BN$4,'Inputs Yr 2'!$AO307,0))))*(INDEX(avoidedcosttbl2,$H307,BN$2)+(($H307-ROUNDDOWN($H307,0))*(INDEX(avoidedcosttbl2,ROUNDUP($H307,0),BN$2)-(INDEX(avoidedcosttbl2,ROUNDDOWN($H307,0),BN$2)))))*'Inputs Yr 2'!P307*'Inputs Yr 2'!Q307*'Inputs Yr 2'!U307,"")</f>
        <v/>
      </c>
      <c r="BO307" s="195" t="str">
        <f>IFERROR($G307*(IF('Inputs Yr 2'!$AJ307=BO$4,'Inputs Yr 2'!$AK307,IF('Inputs Yr 2'!$AL307=BO$4,'Inputs Yr 2'!$AM307,IF('Inputs Yr 2'!$AN307=BO$4,'Inputs Yr 2'!$AO307,0))))*(INDEX(avoidedcosttbl2,$H307,BO$2)+(($H307-ROUNDDOWN($H307,0))*(INDEX(avoidedcosttbl2,ROUNDUP($H307,0),BO$2)-(INDEX(avoidedcosttbl2,ROUNDDOWN($H307,0),BO$2)))))*'Inputs Yr 2'!P307*'Inputs Yr 2'!Q307*'Inputs Yr 2'!U307,"")</f>
        <v/>
      </c>
      <c r="BP307" s="195" t="str">
        <f>IFERROR($G307*(IF('Inputs Yr 2'!$AJ307=BP$4,'Inputs Yr 2'!$AK307,IF('Inputs Yr 2'!$AL307=BP$4,'Inputs Yr 2'!$AM307,IF('Inputs Yr 2'!$AN307=BP$4,'Inputs Yr 2'!$AO307,0))))*(INDEX(avoidedcosttbl2,$H307,BP$2)+(($H307-ROUNDDOWN($H307,0))*(INDEX(avoidedcosttbl2,ROUNDUP($H307,0),BP$2)-(INDEX(avoidedcosttbl2,ROUNDDOWN($H307,0),BP$2)))))*'Inputs Yr 2'!P307*'Inputs Yr 2'!Q307*'Inputs Yr 2'!U307,"")</f>
        <v/>
      </c>
      <c r="BQ307" s="230">
        <f t="shared" si="158"/>
        <v>0</v>
      </c>
      <c r="BR307" s="197" t="str">
        <f t="shared" si="142"/>
        <v/>
      </c>
      <c r="BS307" s="197" t="str">
        <f>IFERROR(($G307*IF('Inputs Yr 2'!$AJ307=BM$4,'Inputs Yr 2'!$AK307,IF('Inputs Yr 2'!$AL307=BM$4,'Inputs Yr 2'!$AM307,IF('Inputs Yr 2'!$AN307=BM$4,'Inputs Yr 2'!$AO307,0))))*(INDEX(avoidedcosttbl2,$H307,BS$2)+(($H307-ROUNDDOWN($H307,0))*(INDEX(avoidedcosttbl2,ROUNDUP($H307,0),BS$2)-(INDEX(avoidedcosttbl2,ROUNDDOWN($H307,0),BS$2)))))*'Inputs Yr 2'!P307*'Inputs Yr 2'!Q307*'Inputs Yr 2'!U307,"")</f>
        <v/>
      </c>
      <c r="BT307" s="197" t="str">
        <f>IFERROR(($G307*IF('Inputs Yr 2'!$AJ307=BK$4,'Inputs Yr 2'!$AK307,IF('Inputs Yr 2'!$AL307=BK$4,'Inputs Yr 2'!$AM307,IF('Inputs Yr 2'!$AN307=BK$4,'Inputs Yr 2'!$AO307,0))))*(INDEX(avoidedcosttbl2,$H307,BT$2)+(($H307-ROUNDDOWN($H307,0))*(INDEX(avoidedcosttbl2,ROUNDUP($H307,0),BT$2)-(INDEX(avoidedcosttbl2,ROUNDDOWN($H307,0),BT$2)))))*'Inputs Yr 2'!P307*'Inputs Yr 2'!Q307*'Inputs Yr 2'!U307,"")</f>
        <v/>
      </c>
      <c r="BU307" s="197" t="str">
        <f>IFERROR(($G307*IF('Inputs Yr 2'!$AJ307=BL$4,'Inputs Yr 2'!$AK307,IF('Inputs Yr 2'!$AL307=BL$4,'Inputs Yr 2'!$AM307,IF('Inputs Yr 2'!$AN307=BL$4,'Inputs Yr 2'!$AO307,0))))*(INDEX(avoidedcosttbl2,$H307,BU$2)+(($H307-ROUNDDOWN($H307,0))*(INDEX(avoidedcosttbl2,ROUNDUP($H307,0),BU$2)-(INDEX(avoidedcosttbl2,ROUNDDOWN($H307,0),BU$2)))))*'Inputs Yr 2'!P307*'Inputs Yr 2'!Q307*'Inputs Yr 2'!U307,"")</f>
        <v/>
      </c>
      <c r="BV307" s="775" t="str">
        <f>IFERROR(($G307*IF('Inputs Yr 2'!$AJ307=BJ$4,'Inputs Yr 2'!$AK307,IF('Inputs Yr 2'!$AL307=BJ$4,'Inputs Yr 2'!$AM307,IF('Inputs Yr 2'!$AN307=BJ$4,'Inputs Yr 2'!$AO307,0))))*(INDEX(avoidedcosttbl2,$H307,BV$2)+(($H307-ROUNDDOWN($H307,0))*(INDEX(avoidedcosttbl2,ROUNDUP($H307,0),BV$2)-(INDEX(avoidedcosttbl2,ROUNDDOWN($H307,0),BV$2)))))*'Inputs Yr 2'!P307*'Inputs Yr 2'!Q307*'Inputs Yr 2'!U307,"")</f>
        <v/>
      </c>
      <c r="BW307" s="197" t="str">
        <f>IFERROR(($G307*IF('Inputs Yr 2'!$AJ307=BN$4,'Inputs Yr 2'!$AK307,IF('Inputs Yr 2'!$AL307=BN$4,'Inputs Yr 2'!$AM307,IF('Inputs Yr 2'!$AN307=BN$4,'Inputs Yr 2'!$AO307,0))))*(INDEX(avoidedcosttbl2,$H307,BW$2)+(($H307-ROUNDDOWN($H307,0))*(INDEX(avoidedcosttbl2,ROUNDUP($H307,0),BW$2)-(INDEX(avoidedcosttbl2,ROUNDDOWN($H307,0),BW$2)))))*'Inputs Yr 2'!P307*'Inputs Yr 2'!Q307*'Inputs Yr 2'!U307,"")</f>
        <v/>
      </c>
      <c r="BX307" s="197" t="str">
        <f>IFERROR(($G307*IF('Inputs Yr 2'!$AJ307=BO$4,'Inputs Yr 2'!$AK307,IF('Inputs Yr 2'!$AL307=BO$4,'Inputs Yr 2'!$AM307,IF('Inputs Yr 2'!$AN307=BO$4,'Inputs Yr 2'!$AO307,0))))*(INDEX(avoidedcosttbl2,$H307,BX$2)+(($H307-ROUNDDOWN($H307,0))*(INDEX(avoidedcosttbl2,ROUNDUP($H307,0),BX$2)-(INDEX(avoidedcosttbl2,ROUNDDOWN($H307,0),BX$2)))))*'Inputs Yr 2'!P307*'Inputs Yr 2'!Q307*'Inputs Yr 2'!U307,"")</f>
        <v/>
      </c>
      <c r="BY307" s="197" t="str">
        <f>IFERROR(($G307*IF('Inputs Yr 2'!$AJ307=BP$4,'Inputs Yr 2'!$AK307,IF('Inputs Yr 2'!$AL307=BP$4,'Inputs Yr 2'!$AM307,IF('Inputs Yr 2'!$AN307=BP$4,'Inputs Yr 2'!$AO307,0))))*(INDEX(avoidedcosttbl2,$H307,BY$2)+(($H307-ROUNDDOWN($H307,0))*(INDEX(avoidedcosttbl2,ROUNDUP($H307,0),BY$2)-(INDEX(avoidedcosttbl2,ROUNDDOWN($H307,0),BY$2)))))*'Inputs Yr 2'!P307*'Inputs Yr 2'!Q307*'Inputs Yr 2'!U307,"")</f>
        <v/>
      </c>
      <c r="BZ307" s="193">
        <f t="shared" si="159"/>
        <v>0</v>
      </c>
      <c r="CA307" s="193">
        <f t="shared" si="160"/>
        <v>0</v>
      </c>
      <c r="CB307" s="195" t="str">
        <f>IFERROR(G307*(IF('Inputs Yr 2'!$AJ307=CB$4,'Inputs Yr 2'!$AK307,IF('Inputs Yr 2'!$AL307=CB$4,'Inputs Yr 2'!$AM307,IF('Inputs Yr 2'!$AN307=CB$4,'Inputs Yr 2'!$AO307,0))))*(INDEX(avoidedcosttbl2,$H307,CB$2)+(($H307-ROUNDDOWN($H307,0))*(INDEX(avoidedcosttbl2,ROUNDUP($H307,0),CB$2)-(INDEX(avoidedcosttbl2,ROUNDDOWN($H307,0),CB$2)))))*'Inputs Yr 2'!P307*'Inputs Yr 2'!Q307*'Inputs Yr 2'!U307,"")</f>
        <v/>
      </c>
      <c r="CC307" s="195" t="str">
        <f>IFERROR(H307*(IF('Inputs Yr 2'!$AJ307=CC$4,'Inputs Yr 2'!$AK307,IF('Inputs Yr 2'!$AL307=CC$4,'Inputs Yr 2'!$AM307,IF('Inputs Yr 2'!$AN307=CC$4,'Inputs Yr 2'!$AO307,0))))*(INDEX(avoidedcosttbl2,$H307,CC$2)+(($H307-ROUNDDOWN($H307,0))*(INDEX(avoidedcosttbl2,ROUNDUP($H307,0),CC$2)-(INDEX(avoidedcosttbl2,ROUNDDOWN($H307,0),CC$2)))))*'Inputs Yr 2'!Q307*'Inputs Yr 2'!R307*'Inputs Yr 2'!V307,"")</f>
        <v/>
      </c>
      <c r="CD307" s="195" t="str">
        <f>IFERROR(I307*(IF('Inputs Yr 2'!$AJ307=CD$4,'Inputs Yr 2'!$AK307,IF('Inputs Yr 2'!$AL307=CD$4,'Inputs Yr 2'!$AM307,IF('Inputs Yr 2'!$AN307=CD$4,'Inputs Yr 2'!$AO307,0))))*(INDEX(avoidedcosttbl2,$H307,CD$2)+(($H307-ROUNDDOWN($H307,0))*(INDEX(avoidedcosttbl2,ROUNDUP($H307,0),CD$2)-(INDEX(avoidedcosttbl2,ROUNDDOWN($H307,0),CD$2)))))*'Inputs Yr 2'!R307*'Inputs Yr 2'!S307*'Inputs Yr 2'!W307,"")</f>
        <v/>
      </c>
      <c r="CE307" s="213" t="str">
        <f t="shared" si="161"/>
        <v/>
      </c>
      <c r="CF307" s="213" t="str">
        <f t="shared" si="162"/>
        <v/>
      </c>
      <c r="CG307" s="213" t="str">
        <f t="shared" si="163"/>
        <v/>
      </c>
      <c r="CH307" s="698">
        <f t="shared" si="164"/>
        <v>0</v>
      </c>
      <c r="CI307" s="79" t="str">
        <f>IFERROR(($G307*'Inputs Yr 2'!$P307*'Inputs Yr 2'!$Q307*(((INDEX(avoidedcosttbl2,$H307,CI$2)+(($H307-ROUNDDOWN($H307,0))*(INDEX(avoidedcosttbl2,ROUNDUP($H307,0),CI$2)-INDEX(avoidedcosttbl2,ROUNDDOWN($H307,0),CI$2))))*'Inputs Yr 2'!AS307))),"")</f>
        <v/>
      </c>
      <c r="CJ307" s="504" t="str">
        <f>IFERROR($G307*'Inputs Yr 2'!AT307*'Inputs Yr 2'!$P307*'Inputs Yr 2'!$Q307/((1+realdiscrt1)^-0.5),"")</f>
        <v/>
      </c>
      <c r="CK307" s="79" t="str">
        <f>IFERROR((O307*1000*(((INDEX(avoidedcosttbl2,$H307,CK$2)+(($H307-ROUNDDOWN($H307,0))*(INDEX(avoidedcosttbl2,ROUNDUP($H307,0),CK$2)-INDEX(avoidedcosttbl2,ROUNDDOWN($H307,0),CK$2))))*'Inputs Yr 2'!AU307))),"")</f>
        <v/>
      </c>
      <c r="CL307" s="504" t="str">
        <f>IFERROR(O307*1000*'Inputs Yr 2'!AV307/((1+realdiscrt1)^-0.5),"")</f>
        <v/>
      </c>
      <c r="CM307" s="79" t="str">
        <f>IFERROR((AB307*'Inputs Yr 2'!AW307*(((INDEX(avoidedcosttbl2,$H307,CM$2)+(($H307-ROUNDDOWN($H307,0))*(INDEX(avoidedcosttbl2,ROUNDUP($H307,0),CM$2)-INDEX(avoidedcosttbl2,ROUNDDOWN($H307,0),CM$2)))))))*10,"")</f>
        <v/>
      </c>
      <c r="CN307" s="504">
        <f>IFERROR(10*AB307*'Inputs Yr 2'!AX307/((1+realdiscrt1)^-0.5),"")</f>
        <v>0</v>
      </c>
      <c r="CO307" s="505">
        <f t="shared" si="165"/>
        <v>0</v>
      </c>
      <c r="CP307" s="230">
        <f t="shared" si="166"/>
        <v>0</v>
      </c>
      <c r="CQ307" s="199">
        <f>ROUND(IFERROR(IF(LEFT($A307,1)="C",'Avoided Costs'!$K$13,'Avoided Costs'!$K$12)+1,""),4)</f>
        <v>1.0720000000000001</v>
      </c>
      <c r="CR307" s="199">
        <f>ROUND(IFERROR(IF(LEFT($A307,1)="C",'Avoided Costs'!$L$13,'Avoided Costs'!$L$12)+1,""),4)</f>
        <v>1.04</v>
      </c>
      <c r="CS307" s="199">
        <f>ROUND(IFERROR(IF(LEFT($A307,1)="C",'Avoided Costs'!$M$13,'Avoided Costs'!$M$12)+1,""),4)</f>
        <v>1.0720000000000001</v>
      </c>
      <c r="CT307" s="199">
        <f>ROUND(IFERROR(IF(LEFT($A307,1)="C",'Avoided Costs'!$N$13,'Avoided Costs'!$N$12)+1,""),4)</f>
        <v>1.04</v>
      </c>
      <c r="CU307" s="199">
        <f>ROUND(IFERROR(IF(LEFT($A307,1)="C",'Avoided Costs'!$O$13,'Avoided Costs'!$O$12)+1,""),4)</f>
        <v>1.1120000000000001</v>
      </c>
      <c r="CV307" s="199">
        <f>ROUND(IFERROR(IF(LEFT($A307,1)="C",'Avoided Costs'!$P$13,'Avoided Costs'!$P$12)+1,""),4)</f>
        <v>1.095</v>
      </c>
      <c r="CW307" s="199">
        <f>ROUND(IFERROR(IF(LEFT($A307,1)="C",'Avoided Costs'!$Q$13,'Avoided Costs'!$Q$12)+1,""),4)</f>
        <v>1.1120000000000001</v>
      </c>
      <c r="CX307" s="200">
        <f>ROUND(IFERROR(IF(LEFT($A307,1)="C",'Avoided Costs'!$R$13,'Avoided Costs'!$R$12)+1,""),4)</f>
        <v>1.1120000000000001</v>
      </c>
    </row>
    <row r="308" spans="1:102" ht="12.75" customHeight="1">
      <c r="A308" s="91" t="str">
        <f>IF('Inputs Yr 2'!$B308=0,"",'Inputs Yr 2'!A308)</f>
        <v>C - Commercial &amp; Industrial</v>
      </c>
      <c r="B308" s="91" t="str">
        <f>IF('Inputs Yr 2'!$B308=0,"",'Inputs Yr 2'!B308)</f>
        <v>C2 - C&amp;I Retrofit</v>
      </c>
      <c r="C308" s="91" t="str">
        <f>IF('Inputs Yr 2'!$B308=0,"",'Inputs Yr 2'!C308)</f>
        <v>C2b - C&amp;I Small Business</v>
      </c>
      <c r="D308" s="91" t="str">
        <f>IF('Inputs Yr 2'!$B308=0,"",'Inputs Yr 2'!E308)</f>
        <v>Process - Custom</v>
      </c>
      <c r="E308" s="93" t="str">
        <f>IF('Inputs Yr 2'!$B308=0,"",'Inputs Yr 2'!F308)</f>
        <v>G16C2b13</v>
      </c>
      <c r="F308" s="93" t="str">
        <f>IF('Inputs Yr 2'!$B308=0,"",'Inputs Yr 2'!G308)</f>
        <v>Process</v>
      </c>
      <c r="G308" s="95" t="str">
        <f>IF('Inputs Yr 2'!$H308&lt;&gt;0,('Inputs Yr 2'!H308),"")</f>
        <v/>
      </c>
      <c r="H308" s="94">
        <f>IFERROR('Inputs Yr 2'!I308,"")</f>
        <v>0</v>
      </c>
      <c r="I308" s="298" t="str">
        <f>IFERROR('Inputs Yr 2'!J308*'Inputs Yr 2'!P308*G308,"")</f>
        <v/>
      </c>
      <c r="J308" s="298" t="str">
        <f>IFERROR('Inputs Yr 2'!K308*G308,"")</f>
        <v/>
      </c>
      <c r="K308" s="298" t="str">
        <f t="shared" si="143"/>
        <v/>
      </c>
      <c r="L308" s="194" t="str">
        <f>IFERROR(('Inputs Yr 2'!W308*G308)/1000,"")</f>
        <v/>
      </c>
      <c r="M308" s="194" t="str">
        <f>IFERROR(L308*('Inputs Yr 2'!$Q308*'Inputs Yr 2'!$V308*'Inputs Yr 2'!$R308),"")</f>
        <v/>
      </c>
      <c r="N308" s="194" t="str">
        <f t="shared" si="144"/>
        <v/>
      </c>
      <c r="O308" s="194" t="str">
        <f>IFERROR(M308*'Inputs Yr 2'!P308,"")</f>
        <v/>
      </c>
      <c r="P308" s="194" t="str">
        <f t="shared" si="145"/>
        <v/>
      </c>
      <c r="Q308" s="194" t="str">
        <f>IFERROR($P308*'Inputs Yr 2'!AA308,"")</f>
        <v/>
      </c>
      <c r="R308" s="194" t="str">
        <f>IFERROR($P308*'Inputs Yr 2'!AB308,"")</f>
        <v/>
      </c>
      <c r="S308" s="194" t="str">
        <f>IFERROR($P308*'Inputs Yr 2'!AC308,"")</f>
        <v/>
      </c>
      <c r="T308" s="194" t="str">
        <f>IFERROR($P308*'Inputs Yr 2'!AD308,"")</f>
        <v/>
      </c>
      <c r="U308" s="194" t="str">
        <f>IFERROR(G308*'Inputs Yr 2'!$AE308*'Inputs Yr 2'!$P308*'Inputs Yr 2'!$Q308,"")</f>
        <v/>
      </c>
      <c r="V308" s="194" t="str">
        <f>IFERROR($G308*'Inputs Yr 2'!$AE308*'Inputs Yr 2'!$AG308*'Inputs Yr 2'!Q308*'Inputs Yr 2'!$S308,"")</f>
        <v/>
      </c>
      <c r="W308" s="194" t="str">
        <f>IFERROR($G308*'Inputs Yr 2'!$AE308*'Inputs Yr 2'!$AG308*'Inputs Yr 2'!P308*'Inputs Yr 2'!Q308*'Inputs Yr 2'!$S308,"")</f>
        <v/>
      </c>
      <c r="X308" s="194" t="str">
        <f>IFERROR($G308*'Inputs Yr 2'!$AE308*'Inputs Yr 2'!$AF308*'Inputs Yr 2'!Q308*'Inputs Yr 2'!$T308,"")</f>
        <v/>
      </c>
      <c r="Y308" s="194" t="str">
        <f>IFERROR($G308*'Inputs Yr 2'!$AE308*'Inputs Yr 2'!$AF308*'Inputs Yr 2'!P308*'Inputs Yr 2'!Q308*'Inputs Yr 2'!$T308,"")</f>
        <v/>
      </c>
      <c r="Z308" s="257">
        <f>IFERROR($G308*'Inputs Yr 2'!$Q308*'Inputs Yr 2'!$U308*(IF(IFERROR(SEARCH("NG", 'Inputs Yr 2'!$AJ308),0),'Inputs Yr 2'!$AK308,0)+IF(IFERROR(SEARCH("NG", 'Inputs Yr 2'!$AL308),0),'Inputs Yr 2'!$AM308,0)+IF(IFERROR(SEARCH("NG", 'Inputs Yr 2'!$AN308),0),'Inputs Yr 2'!$AO308,0)),0)</f>
        <v>0</v>
      </c>
      <c r="AA308" s="257">
        <f t="shared" si="146"/>
        <v>0</v>
      </c>
      <c r="AB308" s="257">
        <f>IFERROR(Z308*'Inputs Yr 2'!$P308,0)</f>
        <v>0</v>
      </c>
      <c r="AC308" s="257">
        <f t="shared" si="147"/>
        <v>0</v>
      </c>
      <c r="AD308" s="257">
        <f>IFERROR($G308*'Inputs Yr 2'!$Q308*'Inputs Yr 2'!$U308*(IF(IFERROR(SEARCH("Oil", 'Inputs Yr 2'!$AJ308), 0),'Inputs Yr 2'!$AK308,0)+IF(IFERROR(SEARCH("Oil", 'Inputs Yr 2'!$AL308), 0),'Inputs Yr 2'!$AM308,0)+IF(IFERROR(SEARCH("Oil", 'Inputs Yr 2'!$AN308), 0),'Inputs Yr 2'!$AO308,0)),0)</f>
        <v>0</v>
      </c>
      <c r="AE308" s="257">
        <f t="shared" si="148"/>
        <v>0</v>
      </c>
      <c r="AF308" s="257">
        <f>IFERROR(AD308*'Inputs Yr 2'!$P308,0)</f>
        <v>0</v>
      </c>
      <c r="AG308" s="257">
        <f t="shared" si="149"/>
        <v>0</v>
      </c>
      <c r="AH308" s="257">
        <f>IFERROR($G308*'Inputs Yr 2'!$Q308*'Inputs Yr 2'!$U308*(IF('Inputs Yr 2'!$AJ308=CD$4,'Inputs Yr 2'!$AK308,IF('Inputs Yr 2'!$AL308=CD$4,'Inputs Yr 2'!$AM308,IF('Inputs Yr 2'!$AN308=CD$4,'Inputs Yr 2'!$AO308,0)))),0)</f>
        <v>0</v>
      </c>
      <c r="AI308" s="257">
        <f t="shared" si="150"/>
        <v>0</v>
      </c>
      <c r="AJ308" s="257">
        <f>IFERROR(AH308*'Inputs Yr 2'!$P308,0)</f>
        <v>0</v>
      </c>
      <c r="AK308" s="257">
        <f t="shared" si="151"/>
        <v>0</v>
      </c>
      <c r="AL308" s="258">
        <f>IFERROR($G308*'Inputs Yr 2'!$P308*'Inputs Yr 2'!$Q308*'Inputs Yr 2'!AP308,0)</f>
        <v>0</v>
      </c>
      <c r="AM308" s="260">
        <f>IFERROR($G308*'Inputs Yr 2'!$P308*'Inputs Yr 2'!$Q308*'Inputs Yr 2'!AQ308,0)</f>
        <v>0</v>
      </c>
      <c r="AN308" s="258">
        <f>IFERROR($G308*'Inputs Yr 2'!$P308*'Inputs Yr 2'!$Q308*'Inputs Yr 2'!AR308,0)</f>
        <v>0</v>
      </c>
      <c r="AO308" s="257">
        <f t="shared" si="152"/>
        <v>0</v>
      </c>
      <c r="AP308" s="195" t="str">
        <f>IFERROR($CQ308*(INDEX(avoidedcosttbl2,$H308,AP$2)+(($H308-ROUNDDOWN($H308,0))*(INDEX(avoidedcosttbl2,ROUNDUP($H308,0),AP$2)-(INDEX(avoidedcosttbl2,ROUNDDOWN($H308,0),AP$2)))))*$O308*1000*'Inputs Yr 2'!AA308,"")</f>
        <v/>
      </c>
      <c r="AQ308" s="195" t="str">
        <f>IFERROR($CR308*(INDEX(avoidedcosttbl2,$H308,AQ$2)+(($H308-ROUNDDOWN($H308,0))*(INDEX(avoidedcosttbl2,ROUNDUP($H308,0),AQ$2)-(INDEX(avoidedcosttbl2,ROUNDDOWN($H308,0),AQ$2)))))*$O308*1000*'Inputs Yr 2'!AB308,"")</f>
        <v/>
      </c>
      <c r="AR308" s="195" t="str">
        <f>IFERROR($CS308*(INDEX(avoidedcosttbl2,$H308,AR$2)+(($H308-ROUNDDOWN($H308,0))*(INDEX(avoidedcosttbl2,ROUNDUP($H308,0),AR$2)-(INDEX(avoidedcosttbl2,ROUNDDOWN($H308,0),AR$2)))))*$O308*1000*'Inputs Yr 2'!AC308,"")</f>
        <v/>
      </c>
      <c r="AS308" s="195" t="str">
        <f>IFERROR($CT308*(INDEX(avoidedcosttbl2,$H308,AS$2)+(($H308-ROUNDDOWN($H308,0))*(INDEX(avoidedcosttbl2,ROUNDUP($H308,0),AS$2)-(INDEX(avoidedcosttbl2,ROUNDDOWN($H308,0),AS$2)))))*$O308*1000*'Inputs Yr 2'!AD308,"")</f>
        <v/>
      </c>
      <c r="AT308" s="196">
        <f t="shared" si="153"/>
        <v>0</v>
      </c>
      <c r="AU308" s="197" t="str">
        <f>IFERROR($CQ308*((INDEX(avoidedcosttbl2,$H308,AU$2))+(($H308-ROUNDDOWN($H308,0))*((INDEX(avoidedcosttbl2,ROUNDUP($H308,0),AU$2))-(INDEX(avoidedcosttbl2,ROUNDDOWN($H308,0),AU$2)))))*$O308*1000*'Inputs Yr 2'!AA308,"")</f>
        <v/>
      </c>
      <c r="AV308" s="197" t="str">
        <f>IFERROR($CR308*((INDEX(avoidedcosttbl2,$H308,AV$2))+(($H308-ROUNDDOWN($H308,0))*((INDEX(avoidedcosttbl2,ROUNDUP($H308,0),AV$2))-(INDEX(avoidedcosttbl2,ROUNDDOWN($H308,0),AV$2)))))*$O308*1000*'Inputs Yr 2'!AB308,"")</f>
        <v/>
      </c>
      <c r="AW308" s="197" t="str">
        <f>IFERROR($CS308*((INDEX(avoidedcosttbl2,$H308,AW$2))+(($H308-ROUNDDOWN($H308,0))*((INDEX(avoidedcosttbl2,ROUNDUP($H308,0),AW$2))-(INDEX(avoidedcosttbl2,ROUNDDOWN($H308,0),AW$2)))))*$O308*1000*'Inputs Yr 2'!AC308,"")</f>
        <v/>
      </c>
      <c r="AX308" s="197" t="str">
        <f>IFERROR($CT308*((INDEX(avoidedcosttbl2,$H308,AX$2))+(($H308-ROUNDDOWN($H308,0))*((INDEX(avoidedcosttbl2,ROUNDUP($H308,0),AX$2))-(INDEX(avoidedcosttbl2,ROUNDDOWN($H308,0),AX$2)))))*$O308*1000*'Inputs Yr 2'!AD308,"")</f>
        <v/>
      </c>
      <c r="AY308" s="197" t="str">
        <f>IFERROR(((INDEX(avoidedcosttbl2,$H308,AY$2))+(($H308-ROUNDDOWN($H308,0))*((INDEX(avoidedcosttbl2,ROUNDUP($H308,0),AY$2))-(INDEX(avoidedcosttbl2,ROUNDDOWN($H308,0),AY$2)))))*$O308*1000*('Inputs Yr 2'!AC308+'Inputs Yr 2'!AD308),"")</f>
        <v/>
      </c>
      <c r="AZ308" s="197" t="str">
        <f>IFERROR(((INDEX(avoidedcosttbl2,$H308,AZ$2))+(($H308-ROUNDDOWN($H308,0))*((INDEX(avoidedcosttbl2,ROUNDUP($H308,0),AZ$2))-(INDEX(avoidedcosttbl2,ROUNDDOWN($H308,0),AZ$2)))))*$O308*1000*('Inputs Yr 2'!AA308+'Inputs Yr 2'!AB308),"")</f>
        <v/>
      </c>
      <c r="BA308" s="198">
        <f t="shared" si="154"/>
        <v>0</v>
      </c>
      <c r="BB308" s="198">
        <f t="shared" si="155"/>
        <v>0</v>
      </c>
      <c r="BC308" s="195" t="str">
        <f t="shared" si="137"/>
        <v/>
      </c>
      <c r="BD308" s="195" t="str">
        <f t="shared" si="138"/>
        <v/>
      </c>
      <c r="BE308" s="195" t="str">
        <f t="shared" si="139"/>
        <v/>
      </c>
      <c r="BF308" s="195" t="str">
        <f t="shared" si="140"/>
        <v/>
      </c>
      <c r="BG308" s="195" t="str">
        <f t="shared" si="141"/>
        <v/>
      </c>
      <c r="BH308" s="196">
        <f t="shared" si="156"/>
        <v>0</v>
      </c>
      <c r="BI308" s="196">
        <f t="shared" si="157"/>
        <v>0</v>
      </c>
      <c r="BJ308" s="195" t="str">
        <f>IFERROR($G308*(IF('Inputs Yr 2'!$AJ308=BJ$4,'Inputs Yr 2'!$AK308,IF('Inputs Yr 2'!$AL308=BJ$4,'Inputs Yr 2'!$AM308,IF('Inputs Yr 2'!$AN308=BJ$4,'Inputs Yr 2'!$AO308,0))))*(INDEX(avoidedcosttbl2,$H308,BJ$2)+(($H308-ROUNDDOWN($H308,0))*(INDEX(avoidedcosttbl2,ROUNDUP($H308,0),BJ$2)-(INDEX(avoidedcosttbl2,ROUNDDOWN($H308,0),BJ$2)))))*'Inputs Yr 2'!P308*'Inputs Yr 2'!Q308*'Inputs Yr 2'!U308,"")</f>
        <v/>
      </c>
      <c r="BK308" s="195" t="str">
        <f>IFERROR($G308*(IF('Inputs Yr 2'!$AJ308=BK$4,'Inputs Yr 2'!$AK308,IF('Inputs Yr 2'!$AL308=BK$4,'Inputs Yr 2'!$AM308,IF('Inputs Yr 2'!$AN308=BK$4,'Inputs Yr 2'!$AO308,0))))*(INDEX(avoidedcosttbl2,$H308,BK$2)+(($H308-ROUNDDOWN($H308,0))*(INDEX(avoidedcosttbl2,ROUNDUP($H308,0),BK$2)-(INDEX(avoidedcosttbl2,ROUNDDOWN($H308,0),BK$2)))))*'Inputs Yr 2'!P308*'Inputs Yr 2'!Q308*'Inputs Yr 2'!U308,"")</f>
        <v/>
      </c>
      <c r="BL308" s="195" t="str">
        <f>IFERROR($G308*(IF('Inputs Yr 2'!$AJ308=BL$4,'Inputs Yr 2'!$AK308,IF('Inputs Yr 2'!$AL308=BL$4,'Inputs Yr 2'!$AM308,IF('Inputs Yr 2'!$AN308=BL$4,'Inputs Yr 2'!$AO308,0))))*(INDEX(avoidedcosttbl2,$H308,BL$2)+(($H308-ROUNDDOWN($H308,0))*(INDEX(avoidedcosttbl2,ROUNDUP($H308,0),BL$2)-(INDEX(avoidedcosttbl2,ROUNDDOWN($H308,0),BL$2)))))*'Inputs Yr 2'!P308*'Inputs Yr 2'!Q308*'Inputs Yr 2'!U308,"")</f>
        <v/>
      </c>
      <c r="BM308" s="195" t="str">
        <f>IFERROR($G308*(IF('Inputs Yr 2'!$AJ308=BM$4,'Inputs Yr 2'!$AK308,IF('Inputs Yr 2'!$AL308=BM$4,'Inputs Yr 2'!$AM308,IF('Inputs Yr 2'!$AN308=BM$4,'Inputs Yr 2'!$AO308,0))))*(INDEX(avoidedcosttbl2,$H308,BM$2)+(($H308-ROUNDDOWN($H308,0))*(INDEX(avoidedcosttbl2,ROUNDUP($H308,0),BM$2)-(INDEX(avoidedcosttbl2,ROUNDDOWN($H308,0),BM$2)))))*'Inputs Yr 2'!P308*'Inputs Yr 2'!Q308*'Inputs Yr 2'!U308,"")</f>
        <v/>
      </c>
      <c r="BN308" s="195" t="str">
        <f>IFERROR($G308*(IF('Inputs Yr 2'!$AJ308=BN$4,'Inputs Yr 2'!$AK308,IF('Inputs Yr 2'!$AL308=BN$4,'Inputs Yr 2'!$AM308,IF('Inputs Yr 2'!$AN308=BN$4,'Inputs Yr 2'!$AO308,0))))*(INDEX(avoidedcosttbl2,$H308,BN$2)+(($H308-ROUNDDOWN($H308,0))*(INDEX(avoidedcosttbl2,ROUNDUP($H308,0),BN$2)-(INDEX(avoidedcosttbl2,ROUNDDOWN($H308,0),BN$2)))))*'Inputs Yr 2'!P308*'Inputs Yr 2'!Q308*'Inputs Yr 2'!U308,"")</f>
        <v/>
      </c>
      <c r="BO308" s="195" t="str">
        <f>IFERROR($G308*(IF('Inputs Yr 2'!$AJ308=BO$4,'Inputs Yr 2'!$AK308,IF('Inputs Yr 2'!$AL308=BO$4,'Inputs Yr 2'!$AM308,IF('Inputs Yr 2'!$AN308=BO$4,'Inputs Yr 2'!$AO308,0))))*(INDEX(avoidedcosttbl2,$H308,BO$2)+(($H308-ROUNDDOWN($H308,0))*(INDEX(avoidedcosttbl2,ROUNDUP($H308,0),BO$2)-(INDEX(avoidedcosttbl2,ROUNDDOWN($H308,0),BO$2)))))*'Inputs Yr 2'!P308*'Inputs Yr 2'!Q308*'Inputs Yr 2'!U308,"")</f>
        <v/>
      </c>
      <c r="BP308" s="195" t="str">
        <f>IFERROR($G308*(IF('Inputs Yr 2'!$AJ308=BP$4,'Inputs Yr 2'!$AK308,IF('Inputs Yr 2'!$AL308=BP$4,'Inputs Yr 2'!$AM308,IF('Inputs Yr 2'!$AN308=BP$4,'Inputs Yr 2'!$AO308,0))))*(INDEX(avoidedcosttbl2,$H308,BP$2)+(($H308-ROUNDDOWN($H308,0))*(INDEX(avoidedcosttbl2,ROUNDUP($H308,0),BP$2)-(INDEX(avoidedcosttbl2,ROUNDDOWN($H308,0),BP$2)))))*'Inputs Yr 2'!P308*'Inputs Yr 2'!Q308*'Inputs Yr 2'!U308,"")</f>
        <v/>
      </c>
      <c r="BQ308" s="230">
        <f t="shared" si="158"/>
        <v>0</v>
      </c>
      <c r="BR308" s="197" t="str">
        <f t="shared" si="142"/>
        <v/>
      </c>
      <c r="BS308" s="197" t="str">
        <f>IFERROR(($G308*IF('Inputs Yr 2'!$AJ308=BM$4,'Inputs Yr 2'!$AK308,IF('Inputs Yr 2'!$AL308=BM$4,'Inputs Yr 2'!$AM308,IF('Inputs Yr 2'!$AN308=BM$4,'Inputs Yr 2'!$AO308,0))))*(INDEX(avoidedcosttbl2,$H308,BS$2)+(($H308-ROUNDDOWN($H308,0))*(INDEX(avoidedcosttbl2,ROUNDUP($H308,0),BS$2)-(INDEX(avoidedcosttbl2,ROUNDDOWN($H308,0),BS$2)))))*'Inputs Yr 2'!P308*'Inputs Yr 2'!Q308*'Inputs Yr 2'!U308,"")</f>
        <v/>
      </c>
      <c r="BT308" s="197" t="str">
        <f>IFERROR(($G308*IF('Inputs Yr 2'!$AJ308=BK$4,'Inputs Yr 2'!$AK308,IF('Inputs Yr 2'!$AL308=BK$4,'Inputs Yr 2'!$AM308,IF('Inputs Yr 2'!$AN308=BK$4,'Inputs Yr 2'!$AO308,0))))*(INDEX(avoidedcosttbl2,$H308,BT$2)+(($H308-ROUNDDOWN($H308,0))*(INDEX(avoidedcosttbl2,ROUNDUP($H308,0),BT$2)-(INDEX(avoidedcosttbl2,ROUNDDOWN($H308,0),BT$2)))))*'Inputs Yr 2'!P308*'Inputs Yr 2'!Q308*'Inputs Yr 2'!U308,"")</f>
        <v/>
      </c>
      <c r="BU308" s="197" t="str">
        <f>IFERROR(($G308*IF('Inputs Yr 2'!$AJ308=BL$4,'Inputs Yr 2'!$AK308,IF('Inputs Yr 2'!$AL308=BL$4,'Inputs Yr 2'!$AM308,IF('Inputs Yr 2'!$AN308=BL$4,'Inputs Yr 2'!$AO308,0))))*(INDEX(avoidedcosttbl2,$H308,BU$2)+(($H308-ROUNDDOWN($H308,0))*(INDEX(avoidedcosttbl2,ROUNDUP($H308,0),BU$2)-(INDEX(avoidedcosttbl2,ROUNDDOWN($H308,0),BU$2)))))*'Inputs Yr 2'!P308*'Inputs Yr 2'!Q308*'Inputs Yr 2'!U308,"")</f>
        <v/>
      </c>
      <c r="BV308" s="775" t="str">
        <f>IFERROR(($G308*IF('Inputs Yr 2'!$AJ308=BJ$4,'Inputs Yr 2'!$AK308,IF('Inputs Yr 2'!$AL308=BJ$4,'Inputs Yr 2'!$AM308,IF('Inputs Yr 2'!$AN308=BJ$4,'Inputs Yr 2'!$AO308,0))))*(INDEX(avoidedcosttbl2,$H308,BV$2)+(($H308-ROUNDDOWN($H308,0))*(INDEX(avoidedcosttbl2,ROUNDUP($H308,0),BV$2)-(INDEX(avoidedcosttbl2,ROUNDDOWN($H308,0),BV$2)))))*'Inputs Yr 2'!P308*'Inputs Yr 2'!Q308*'Inputs Yr 2'!U308,"")</f>
        <v/>
      </c>
      <c r="BW308" s="197" t="str">
        <f>IFERROR(($G308*IF('Inputs Yr 2'!$AJ308=BN$4,'Inputs Yr 2'!$AK308,IF('Inputs Yr 2'!$AL308=BN$4,'Inputs Yr 2'!$AM308,IF('Inputs Yr 2'!$AN308=BN$4,'Inputs Yr 2'!$AO308,0))))*(INDEX(avoidedcosttbl2,$H308,BW$2)+(($H308-ROUNDDOWN($H308,0))*(INDEX(avoidedcosttbl2,ROUNDUP($H308,0),BW$2)-(INDEX(avoidedcosttbl2,ROUNDDOWN($H308,0),BW$2)))))*'Inputs Yr 2'!P308*'Inputs Yr 2'!Q308*'Inputs Yr 2'!U308,"")</f>
        <v/>
      </c>
      <c r="BX308" s="197" t="str">
        <f>IFERROR(($G308*IF('Inputs Yr 2'!$AJ308=BO$4,'Inputs Yr 2'!$AK308,IF('Inputs Yr 2'!$AL308=BO$4,'Inputs Yr 2'!$AM308,IF('Inputs Yr 2'!$AN308=BO$4,'Inputs Yr 2'!$AO308,0))))*(INDEX(avoidedcosttbl2,$H308,BX$2)+(($H308-ROUNDDOWN($H308,0))*(INDEX(avoidedcosttbl2,ROUNDUP($H308,0),BX$2)-(INDEX(avoidedcosttbl2,ROUNDDOWN($H308,0),BX$2)))))*'Inputs Yr 2'!P308*'Inputs Yr 2'!Q308*'Inputs Yr 2'!U308,"")</f>
        <v/>
      </c>
      <c r="BY308" s="197" t="str">
        <f>IFERROR(($G308*IF('Inputs Yr 2'!$AJ308=BP$4,'Inputs Yr 2'!$AK308,IF('Inputs Yr 2'!$AL308=BP$4,'Inputs Yr 2'!$AM308,IF('Inputs Yr 2'!$AN308=BP$4,'Inputs Yr 2'!$AO308,0))))*(INDEX(avoidedcosttbl2,$H308,BY$2)+(($H308-ROUNDDOWN($H308,0))*(INDEX(avoidedcosttbl2,ROUNDUP($H308,0),BY$2)-(INDEX(avoidedcosttbl2,ROUNDDOWN($H308,0),BY$2)))))*'Inputs Yr 2'!P308*'Inputs Yr 2'!Q308*'Inputs Yr 2'!U308,"")</f>
        <v/>
      </c>
      <c r="BZ308" s="193">
        <f t="shared" si="159"/>
        <v>0</v>
      </c>
      <c r="CA308" s="193">
        <f t="shared" si="160"/>
        <v>0</v>
      </c>
      <c r="CB308" s="195" t="str">
        <f>IFERROR(G308*(IF('Inputs Yr 2'!$AJ308=CB$4,'Inputs Yr 2'!$AK308,IF('Inputs Yr 2'!$AL308=CB$4,'Inputs Yr 2'!$AM308,IF('Inputs Yr 2'!$AN308=CB$4,'Inputs Yr 2'!$AO308,0))))*(INDEX(avoidedcosttbl2,$H308,CB$2)+(($H308-ROUNDDOWN($H308,0))*(INDEX(avoidedcosttbl2,ROUNDUP($H308,0),CB$2)-(INDEX(avoidedcosttbl2,ROUNDDOWN($H308,0),CB$2)))))*'Inputs Yr 2'!P308*'Inputs Yr 2'!Q308*'Inputs Yr 2'!U308,"")</f>
        <v/>
      </c>
      <c r="CC308" s="195" t="str">
        <f>IFERROR(H308*(IF('Inputs Yr 2'!$AJ308=CC$4,'Inputs Yr 2'!$AK308,IF('Inputs Yr 2'!$AL308=CC$4,'Inputs Yr 2'!$AM308,IF('Inputs Yr 2'!$AN308=CC$4,'Inputs Yr 2'!$AO308,0))))*(INDEX(avoidedcosttbl2,$H308,CC$2)+(($H308-ROUNDDOWN($H308,0))*(INDEX(avoidedcosttbl2,ROUNDUP($H308,0),CC$2)-(INDEX(avoidedcosttbl2,ROUNDDOWN($H308,0),CC$2)))))*'Inputs Yr 2'!Q308*'Inputs Yr 2'!R308*'Inputs Yr 2'!V308,"")</f>
        <v/>
      </c>
      <c r="CD308" s="195" t="str">
        <f>IFERROR(I308*(IF('Inputs Yr 2'!$AJ308=CD$4,'Inputs Yr 2'!$AK308,IF('Inputs Yr 2'!$AL308=CD$4,'Inputs Yr 2'!$AM308,IF('Inputs Yr 2'!$AN308=CD$4,'Inputs Yr 2'!$AO308,0))))*(INDEX(avoidedcosttbl2,$H308,CD$2)+(($H308-ROUNDDOWN($H308,0))*(INDEX(avoidedcosttbl2,ROUNDUP($H308,0),CD$2)-(INDEX(avoidedcosttbl2,ROUNDDOWN($H308,0),CD$2)))))*'Inputs Yr 2'!R308*'Inputs Yr 2'!S308*'Inputs Yr 2'!W308,"")</f>
        <v/>
      </c>
      <c r="CE308" s="213" t="str">
        <f t="shared" si="161"/>
        <v/>
      </c>
      <c r="CF308" s="213" t="str">
        <f t="shared" si="162"/>
        <v/>
      </c>
      <c r="CG308" s="213" t="str">
        <f t="shared" si="163"/>
        <v/>
      </c>
      <c r="CH308" s="698">
        <f t="shared" si="164"/>
        <v>0</v>
      </c>
      <c r="CI308" s="79" t="str">
        <f>IFERROR(($G308*'Inputs Yr 2'!$P308*'Inputs Yr 2'!$Q308*(((INDEX(avoidedcosttbl2,$H308,CI$2)+(($H308-ROUNDDOWN($H308,0))*(INDEX(avoidedcosttbl2,ROUNDUP($H308,0),CI$2)-INDEX(avoidedcosttbl2,ROUNDDOWN($H308,0),CI$2))))*'Inputs Yr 2'!AS308))),"")</f>
        <v/>
      </c>
      <c r="CJ308" s="504" t="str">
        <f>IFERROR($G308*'Inputs Yr 2'!AT308*'Inputs Yr 2'!$P308*'Inputs Yr 2'!$Q308/((1+realdiscrt1)^-0.5),"")</f>
        <v/>
      </c>
      <c r="CK308" s="79" t="str">
        <f>IFERROR((O308*1000*(((INDEX(avoidedcosttbl2,$H308,CK$2)+(($H308-ROUNDDOWN($H308,0))*(INDEX(avoidedcosttbl2,ROUNDUP($H308,0),CK$2)-INDEX(avoidedcosttbl2,ROUNDDOWN($H308,0),CK$2))))*'Inputs Yr 2'!AU308))),"")</f>
        <v/>
      </c>
      <c r="CL308" s="504" t="str">
        <f>IFERROR(O308*1000*'Inputs Yr 2'!AV308/((1+realdiscrt1)^-0.5),"")</f>
        <v/>
      </c>
      <c r="CM308" s="79" t="str">
        <f>IFERROR((AB308*'Inputs Yr 2'!AW308*(((INDEX(avoidedcosttbl2,$H308,CM$2)+(($H308-ROUNDDOWN($H308,0))*(INDEX(avoidedcosttbl2,ROUNDUP($H308,0),CM$2)-INDEX(avoidedcosttbl2,ROUNDDOWN($H308,0),CM$2)))))))*10,"")</f>
        <v/>
      </c>
      <c r="CN308" s="504">
        <f>IFERROR(10*AB308*'Inputs Yr 2'!AX308/((1+realdiscrt1)^-0.5),"")</f>
        <v>0</v>
      </c>
      <c r="CO308" s="505">
        <f t="shared" si="165"/>
        <v>0</v>
      </c>
      <c r="CP308" s="230">
        <f t="shared" si="166"/>
        <v>0</v>
      </c>
      <c r="CQ308" s="199">
        <f>ROUND(IFERROR(IF(LEFT($A308,1)="C",'Avoided Costs'!$K$13,'Avoided Costs'!$K$12)+1,""),4)</f>
        <v>1.0720000000000001</v>
      </c>
      <c r="CR308" s="199">
        <f>ROUND(IFERROR(IF(LEFT($A308,1)="C",'Avoided Costs'!$L$13,'Avoided Costs'!$L$12)+1,""),4)</f>
        <v>1.04</v>
      </c>
      <c r="CS308" s="199">
        <f>ROUND(IFERROR(IF(LEFT($A308,1)="C",'Avoided Costs'!$M$13,'Avoided Costs'!$M$12)+1,""),4)</f>
        <v>1.0720000000000001</v>
      </c>
      <c r="CT308" s="199">
        <f>ROUND(IFERROR(IF(LEFT($A308,1)="C",'Avoided Costs'!$N$13,'Avoided Costs'!$N$12)+1,""),4)</f>
        <v>1.04</v>
      </c>
      <c r="CU308" s="199">
        <f>ROUND(IFERROR(IF(LEFT($A308,1)="C",'Avoided Costs'!$O$13,'Avoided Costs'!$O$12)+1,""),4)</f>
        <v>1.1120000000000001</v>
      </c>
      <c r="CV308" s="199">
        <f>ROUND(IFERROR(IF(LEFT($A308,1)="C",'Avoided Costs'!$P$13,'Avoided Costs'!$P$12)+1,""),4)</f>
        <v>1.095</v>
      </c>
      <c r="CW308" s="199">
        <f>ROUND(IFERROR(IF(LEFT($A308,1)="C",'Avoided Costs'!$Q$13,'Avoided Costs'!$Q$12)+1,""),4)</f>
        <v>1.1120000000000001</v>
      </c>
      <c r="CX308" s="200">
        <f>ROUND(IFERROR(IF(LEFT($A308,1)="C",'Avoided Costs'!$R$13,'Avoided Costs'!$R$12)+1,""),4)</f>
        <v>1.1120000000000001</v>
      </c>
    </row>
    <row r="309" spans="1:102" ht="12.75" customHeight="1">
      <c r="A309" s="91" t="str">
        <f>IF('Inputs Yr 2'!$B309=0,"",'Inputs Yr 2'!A309)</f>
        <v>C - Commercial &amp; Industrial</v>
      </c>
      <c r="B309" s="91" t="str">
        <f>IF('Inputs Yr 2'!$B309=0,"",'Inputs Yr 2'!B309)</f>
        <v>C2 - C&amp;I Retrofit</v>
      </c>
      <c r="C309" s="91" t="str">
        <f>IF('Inputs Yr 2'!$B309=0,"",'Inputs Yr 2'!C309)</f>
        <v>C2b - C&amp;I Small Business</v>
      </c>
      <c r="D309" s="91" t="str">
        <f>IF('Inputs Yr 2'!$B309=0,"",'Inputs Yr 2'!E309)</f>
        <v>Steam Trap - Custom 6</v>
      </c>
      <c r="E309" s="93" t="str">
        <f>IF('Inputs Yr 2'!$B309=0,"",'Inputs Yr 2'!F309)</f>
        <v>G16C2b14</v>
      </c>
      <c r="F309" s="93" t="str">
        <f>IF('Inputs Yr 2'!$B309=0,"",'Inputs Yr 2'!G309)</f>
        <v>Hot Water</v>
      </c>
      <c r="G309" s="95">
        <f>IF('Inputs Yr 2'!$H309&lt;&gt;0,('Inputs Yr 2'!H309),"")</f>
        <v>1</v>
      </c>
      <c r="H309" s="94">
        <f>IFERROR('Inputs Yr 2'!I309,"")</f>
        <v>6</v>
      </c>
      <c r="I309" s="298">
        <f>IFERROR('Inputs Yr 2'!J309*'Inputs Yr 2'!P309*G309,"")</f>
        <v>11236.306666666667</v>
      </c>
      <c r="J309" s="298">
        <f>IFERROR('Inputs Yr 2'!K309*G309,"")</f>
        <v>9170</v>
      </c>
      <c r="K309" s="298">
        <f t="shared" si="143"/>
        <v>2066.3066666666673</v>
      </c>
      <c r="L309" s="194">
        <f>IFERROR(('Inputs Yr 2'!W309*G309)/1000,"")</f>
        <v>0</v>
      </c>
      <c r="M309" s="194">
        <f>IFERROR(L309*('Inputs Yr 2'!$Q309*'Inputs Yr 2'!$V309*'Inputs Yr 2'!$R309),"")</f>
        <v>0</v>
      </c>
      <c r="N309" s="194">
        <f t="shared" si="144"/>
        <v>0</v>
      </c>
      <c r="O309" s="194">
        <f>IFERROR(M309*'Inputs Yr 2'!P309,"")</f>
        <v>0</v>
      </c>
      <c r="P309" s="194">
        <f t="shared" si="145"/>
        <v>0</v>
      </c>
      <c r="Q309" s="194">
        <f>IFERROR($P309*'Inputs Yr 2'!AA309,"")</f>
        <v>0</v>
      </c>
      <c r="R309" s="194">
        <f>IFERROR($P309*'Inputs Yr 2'!AB309,"")</f>
        <v>0</v>
      </c>
      <c r="S309" s="194">
        <f>IFERROR($P309*'Inputs Yr 2'!AC309,"")</f>
        <v>0</v>
      </c>
      <c r="T309" s="194">
        <f>IFERROR($P309*'Inputs Yr 2'!AD309,"")</f>
        <v>0</v>
      </c>
      <c r="U309" s="194">
        <f>IFERROR(G309*'Inputs Yr 2'!$AE309*'Inputs Yr 2'!$P309*'Inputs Yr 2'!$Q309,"")</f>
        <v>0</v>
      </c>
      <c r="V309" s="194">
        <f>IFERROR($G309*'Inputs Yr 2'!$AE309*'Inputs Yr 2'!$AG309*'Inputs Yr 2'!Q309*'Inputs Yr 2'!$S309,"")</f>
        <v>0</v>
      </c>
      <c r="W309" s="194">
        <f>IFERROR($G309*'Inputs Yr 2'!$AE309*'Inputs Yr 2'!$AG309*'Inputs Yr 2'!P309*'Inputs Yr 2'!Q309*'Inputs Yr 2'!$S309,"")</f>
        <v>0</v>
      </c>
      <c r="X309" s="194">
        <f>IFERROR($G309*'Inputs Yr 2'!$AE309*'Inputs Yr 2'!$AF309*'Inputs Yr 2'!Q309*'Inputs Yr 2'!$T309,"")</f>
        <v>0</v>
      </c>
      <c r="Y309" s="194">
        <f>IFERROR($G309*'Inputs Yr 2'!$AE309*'Inputs Yr 2'!$AF309*'Inputs Yr 2'!P309*'Inputs Yr 2'!Q309*'Inputs Yr 2'!$T309,"")</f>
        <v>0</v>
      </c>
      <c r="Z309" s="257">
        <f>IFERROR($G309*'Inputs Yr 2'!$Q309*'Inputs Yr 2'!$U309*(IF(IFERROR(SEARCH("NG", 'Inputs Yr 2'!$AJ309),0),'Inputs Yr 2'!$AK309,0)+IF(IFERROR(SEARCH("NG", 'Inputs Yr 2'!$AL309),0),'Inputs Yr 2'!$AM309,0)+IF(IFERROR(SEARCH("NG", 'Inputs Yr 2'!$AN309),0),'Inputs Yr 2'!$AO309,0)),0)</f>
        <v>266.18430000000001</v>
      </c>
      <c r="AA309" s="257">
        <f t="shared" si="146"/>
        <v>1597.1058</v>
      </c>
      <c r="AB309" s="257">
        <f>IFERROR(Z309*'Inputs Yr 2'!$P309,0)</f>
        <v>244.62337170000001</v>
      </c>
      <c r="AC309" s="257">
        <f t="shared" si="147"/>
        <v>1467.7402302</v>
      </c>
      <c r="AD309" s="257">
        <f>IFERROR($G309*'Inputs Yr 2'!$Q309*'Inputs Yr 2'!$U309*(IF(IFERROR(SEARCH("Oil", 'Inputs Yr 2'!$AJ309), 0),'Inputs Yr 2'!$AK309,0)+IF(IFERROR(SEARCH("Oil", 'Inputs Yr 2'!$AL309), 0),'Inputs Yr 2'!$AM309,0)+IF(IFERROR(SEARCH("Oil", 'Inputs Yr 2'!$AN309), 0),'Inputs Yr 2'!$AO309,0)),0)</f>
        <v>0</v>
      </c>
      <c r="AE309" s="257">
        <f t="shared" si="148"/>
        <v>0</v>
      </c>
      <c r="AF309" s="257">
        <f>IFERROR(AD309*'Inputs Yr 2'!$P309,0)</f>
        <v>0</v>
      </c>
      <c r="AG309" s="257">
        <f t="shared" si="149"/>
        <v>0</v>
      </c>
      <c r="AH309" s="257">
        <f>IFERROR($G309*'Inputs Yr 2'!$Q309*'Inputs Yr 2'!$U309*(IF('Inputs Yr 2'!$AJ309=CD$4,'Inputs Yr 2'!$AK309,IF('Inputs Yr 2'!$AL309=CD$4,'Inputs Yr 2'!$AM309,IF('Inputs Yr 2'!$AN309=CD$4,'Inputs Yr 2'!$AO309,0)))),0)</f>
        <v>0</v>
      </c>
      <c r="AI309" s="257">
        <f t="shared" si="150"/>
        <v>0</v>
      </c>
      <c r="AJ309" s="257">
        <f>IFERROR(AH309*'Inputs Yr 2'!$P309,0)</f>
        <v>0</v>
      </c>
      <c r="AK309" s="257">
        <f t="shared" si="151"/>
        <v>0</v>
      </c>
      <c r="AL309" s="258">
        <f>IFERROR($G309*'Inputs Yr 2'!$P309*'Inputs Yr 2'!$Q309*'Inputs Yr 2'!AP309,0)</f>
        <v>0</v>
      </c>
      <c r="AM309" s="260">
        <f>IFERROR($G309*'Inputs Yr 2'!$P309*'Inputs Yr 2'!$Q309*'Inputs Yr 2'!AQ309,0)</f>
        <v>0</v>
      </c>
      <c r="AN309" s="258">
        <f>IFERROR($G309*'Inputs Yr 2'!$P309*'Inputs Yr 2'!$Q309*'Inputs Yr 2'!AR309,0)</f>
        <v>0</v>
      </c>
      <c r="AO309" s="257">
        <f t="shared" si="152"/>
        <v>0</v>
      </c>
      <c r="AP309" s="195">
        <f>IFERROR($CQ309*(INDEX(avoidedcosttbl2,$H309,AP$2)+(($H309-ROUNDDOWN($H309,0))*(INDEX(avoidedcosttbl2,ROUNDUP($H309,0),AP$2)-(INDEX(avoidedcosttbl2,ROUNDDOWN($H309,0),AP$2)))))*$O309*1000*'Inputs Yr 2'!AA309,"")</f>
        <v>0</v>
      </c>
      <c r="AQ309" s="195">
        <f>IFERROR($CR309*(INDEX(avoidedcosttbl2,$H309,AQ$2)+(($H309-ROUNDDOWN($H309,0))*(INDEX(avoidedcosttbl2,ROUNDUP($H309,0),AQ$2)-(INDEX(avoidedcosttbl2,ROUNDDOWN($H309,0),AQ$2)))))*$O309*1000*'Inputs Yr 2'!AB309,"")</f>
        <v>0</v>
      </c>
      <c r="AR309" s="195">
        <f>IFERROR($CS309*(INDEX(avoidedcosttbl2,$H309,AR$2)+(($H309-ROUNDDOWN($H309,0))*(INDEX(avoidedcosttbl2,ROUNDUP($H309,0),AR$2)-(INDEX(avoidedcosttbl2,ROUNDDOWN($H309,0),AR$2)))))*$O309*1000*'Inputs Yr 2'!AC309,"")</f>
        <v>0</v>
      </c>
      <c r="AS309" s="195">
        <f>IFERROR($CT309*(INDEX(avoidedcosttbl2,$H309,AS$2)+(($H309-ROUNDDOWN($H309,0))*(INDEX(avoidedcosttbl2,ROUNDUP($H309,0),AS$2)-(INDEX(avoidedcosttbl2,ROUNDDOWN($H309,0),AS$2)))))*$O309*1000*'Inputs Yr 2'!AD309,"")</f>
        <v>0</v>
      </c>
      <c r="AT309" s="196">
        <f t="shared" si="153"/>
        <v>0</v>
      </c>
      <c r="AU309" s="197">
        <f>IFERROR($CQ309*((INDEX(avoidedcosttbl2,$H309,AU$2))+(($H309-ROUNDDOWN($H309,0))*((INDEX(avoidedcosttbl2,ROUNDUP($H309,0),AU$2))-(INDEX(avoidedcosttbl2,ROUNDDOWN($H309,0),AU$2)))))*$O309*1000*'Inputs Yr 2'!AA309,"")</f>
        <v>0</v>
      </c>
      <c r="AV309" s="197">
        <f>IFERROR($CR309*((INDEX(avoidedcosttbl2,$H309,AV$2))+(($H309-ROUNDDOWN($H309,0))*((INDEX(avoidedcosttbl2,ROUNDUP($H309,0),AV$2))-(INDEX(avoidedcosttbl2,ROUNDDOWN($H309,0),AV$2)))))*$O309*1000*'Inputs Yr 2'!AB309,"")</f>
        <v>0</v>
      </c>
      <c r="AW309" s="197">
        <f>IFERROR($CS309*((INDEX(avoidedcosttbl2,$H309,AW$2))+(($H309-ROUNDDOWN($H309,0))*((INDEX(avoidedcosttbl2,ROUNDUP($H309,0),AW$2))-(INDEX(avoidedcosttbl2,ROUNDDOWN($H309,0),AW$2)))))*$O309*1000*'Inputs Yr 2'!AC309,"")</f>
        <v>0</v>
      </c>
      <c r="AX309" s="197">
        <f>IFERROR($CT309*((INDEX(avoidedcosttbl2,$H309,AX$2))+(($H309-ROUNDDOWN($H309,0))*((INDEX(avoidedcosttbl2,ROUNDUP($H309,0),AX$2))-(INDEX(avoidedcosttbl2,ROUNDDOWN($H309,0),AX$2)))))*$O309*1000*'Inputs Yr 2'!AD309,"")</f>
        <v>0</v>
      </c>
      <c r="AY309" s="197">
        <f>IFERROR(((INDEX(avoidedcosttbl2,$H309,AY$2))+(($H309-ROUNDDOWN($H309,0))*((INDEX(avoidedcosttbl2,ROUNDUP($H309,0),AY$2))-(INDEX(avoidedcosttbl2,ROUNDDOWN($H309,0),AY$2)))))*$O309*1000*('Inputs Yr 2'!AC309+'Inputs Yr 2'!AD309),"")</f>
        <v>0</v>
      </c>
      <c r="AZ309" s="197">
        <f>IFERROR(((INDEX(avoidedcosttbl2,$H309,AZ$2))+(($H309-ROUNDDOWN($H309,0))*((INDEX(avoidedcosttbl2,ROUNDUP($H309,0),AZ$2))-(INDEX(avoidedcosttbl2,ROUNDDOWN($H309,0),AZ$2)))))*$O309*1000*('Inputs Yr 2'!AA309+'Inputs Yr 2'!AB309),"")</f>
        <v>0</v>
      </c>
      <c r="BA309" s="198">
        <f t="shared" si="154"/>
        <v>0</v>
      </c>
      <c r="BB309" s="198">
        <f t="shared" si="155"/>
        <v>0</v>
      </c>
      <c r="BC309" s="195">
        <f t="shared" si="137"/>
        <v>0</v>
      </c>
      <c r="BD309" s="195">
        <f t="shared" si="138"/>
        <v>0</v>
      </c>
      <c r="BE309" s="195">
        <f t="shared" si="139"/>
        <v>0</v>
      </c>
      <c r="BF309" s="195">
        <f t="shared" si="140"/>
        <v>0</v>
      </c>
      <c r="BG309" s="195">
        <f t="shared" si="141"/>
        <v>0</v>
      </c>
      <c r="BH309" s="196">
        <f t="shared" si="156"/>
        <v>0</v>
      </c>
      <c r="BI309" s="196">
        <f t="shared" si="157"/>
        <v>0</v>
      </c>
      <c r="BJ309" s="195">
        <f>IFERROR($G309*(IF('Inputs Yr 2'!$AJ309=BJ$4,'Inputs Yr 2'!$AK309,IF('Inputs Yr 2'!$AL309=BJ$4,'Inputs Yr 2'!$AM309,IF('Inputs Yr 2'!$AN309=BJ$4,'Inputs Yr 2'!$AO309,0))))*(INDEX(avoidedcosttbl2,$H309,BJ$2)+(($H309-ROUNDDOWN($H309,0))*(INDEX(avoidedcosttbl2,ROUNDUP($H309,0),BJ$2)-(INDEX(avoidedcosttbl2,ROUNDDOWN($H309,0),BJ$2)))))*'Inputs Yr 2'!P309*'Inputs Yr 2'!Q309*'Inputs Yr 2'!U309,"")</f>
        <v>0</v>
      </c>
      <c r="BK309" s="195">
        <f>IFERROR($G309*(IF('Inputs Yr 2'!$AJ309=BK$4,'Inputs Yr 2'!$AK309,IF('Inputs Yr 2'!$AL309=BK$4,'Inputs Yr 2'!$AM309,IF('Inputs Yr 2'!$AN309=BK$4,'Inputs Yr 2'!$AO309,0))))*(INDEX(avoidedcosttbl2,$H309,BK$2)+(($H309-ROUNDDOWN($H309,0))*(INDEX(avoidedcosttbl2,ROUNDUP($H309,0),BK$2)-(INDEX(avoidedcosttbl2,ROUNDDOWN($H309,0),BK$2)))))*'Inputs Yr 2'!P309*'Inputs Yr 2'!Q309*'Inputs Yr 2'!U309,"")</f>
        <v>0</v>
      </c>
      <c r="BL309" s="195">
        <f>IFERROR($G309*(IF('Inputs Yr 2'!$AJ309=BL$4,'Inputs Yr 2'!$AK309,IF('Inputs Yr 2'!$AL309=BL$4,'Inputs Yr 2'!$AM309,IF('Inputs Yr 2'!$AN309=BL$4,'Inputs Yr 2'!$AO309,0))))*(INDEX(avoidedcosttbl2,$H309,BL$2)+(($H309-ROUNDDOWN($H309,0))*(INDEX(avoidedcosttbl2,ROUNDUP($H309,0),BL$2)-(INDEX(avoidedcosttbl2,ROUNDDOWN($H309,0),BL$2)))))*'Inputs Yr 2'!P309*'Inputs Yr 2'!Q309*'Inputs Yr 2'!U309,"")</f>
        <v>0</v>
      </c>
      <c r="BM309" s="195">
        <f>IFERROR($G309*(IF('Inputs Yr 2'!$AJ309=BM$4,'Inputs Yr 2'!$AK309,IF('Inputs Yr 2'!$AL309=BM$4,'Inputs Yr 2'!$AM309,IF('Inputs Yr 2'!$AN309=BM$4,'Inputs Yr 2'!$AO309,0))))*(INDEX(avoidedcosttbl2,$H309,BM$2)+(($H309-ROUNDDOWN($H309,0))*(INDEX(avoidedcosttbl2,ROUNDUP($H309,0),BM$2)-(INDEX(avoidedcosttbl2,ROUNDDOWN($H309,0),BM$2)))))*'Inputs Yr 2'!P309*'Inputs Yr 2'!Q309*'Inputs Yr 2'!U309,"")</f>
        <v>0</v>
      </c>
      <c r="BN309" s="195">
        <f>IFERROR($G309*(IF('Inputs Yr 2'!$AJ309=BN$4,'Inputs Yr 2'!$AK309,IF('Inputs Yr 2'!$AL309=BN$4,'Inputs Yr 2'!$AM309,IF('Inputs Yr 2'!$AN309=BN$4,'Inputs Yr 2'!$AO309,0))))*(INDEX(avoidedcosttbl2,$H309,BN$2)+(($H309-ROUNDDOWN($H309,0))*(INDEX(avoidedcosttbl2,ROUNDUP($H309,0),BN$2)-(INDEX(avoidedcosttbl2,ROUNDDOWN($H309,0),BN$2)))))*'Inputs Yr 2'!P309*'Inputs Yr 2'!Q309*'Inputs Yr 2'!U309,"")</f>
        <v>0</v>
      </c>
      <c r="BO309" s="195">
        <f>IFERROR($G309*(IF('Inputs Yr 2'!$AJ309=BO$4,'Inputs Yr 2'!$AK309,IF('Inputs Yr 2'!$AL309=BO$4,'Inputs Yr 2'!$AM309,IF('Inputs Yr 2'!$AN309=BO$4,'Inputs Yr 2'!$AO309,0))))*(INDEX(avoidedcosttbl2,$H309,BO$2)+(($H309-ROUNDDOWN($H309,0))*(INDEX(avoidedcosttbl2,ROUNDUP($H309,0),BO$2)-(INDEX(avoidedcosttbl2,ROUNDDOWN($H309,0),BO$2)))))*'Inputs Yr 2'!P309*'Inputs Yr 2'!Q309*'Inputs Yr 2'!U309,"")</f>
        <v>10986.251573690013</v>
      </c>
      <c r="BP309" s="195">
        <f>IFERROR($G309*(IF('Inputs Yr 2'!$AJ309=BP$4,'Inputs Yr 2'!$AK309,IF('Inputs Yr 2'!$AL309=BP$4,'Inputs Yr 2'!$AM309,IF('Inputs Yr 2'!$AN309=BP$4,'Inputs Yr 2'!$AO309,0))))*(INDEX(avoidedcosttbl2,$H309,BP$2)+(($H309-ROUNDDOWN($H309,0))*(INDEX(avoidedcosttbl2,ROUNDUP($H309,0),BP$2)-(INDEX(avoidedcosttbl2,ROUNDDOWN($H309,0),BP$2)))))*'Inputs Yr 2'!P309*'Inputs Yr 2'!Q309*'Inputs Yr 2'!U309,"")</f>
        <v>0</v>
      </c>
      <c r="BQ309" s="230">
        <f t="shared" si="158"/>
        <v>10986.251573690013</v>
      </c>
      <c r="BR309" s="197">
        <f t="shared" si="142"/>
        <v>202.87897007838637</v>
      </c>
      <c r="BS309" s="197">
        <f>IFERROR(($G309*IF('Inputs Yr 2'!$AJ309=BM$4,'Inputs Yr 2'!$AK309,IF('Inputs Yr 2'!$AL309=BM$4,'Inputs Yr 2'!$AM309,IF('Inputs Yr 2'!$AN309=BM$4,'Inputs Yr 2'!$AO309,0))))*(INDEX(avoidedcosttbl2,$H309,BS$2)+(($H309-ROUNDDOWN($H309,0))*(INDEX(avoidedcosttbl2,ROUNDUP($H309,0),BS$2)-(INDEX(avoidedcosttbl2,ROUNDDOWN($H309,0),BS$2)))))*'Inputs Yr 2'!P309*'Inputs Yr 2'!Q309*'Inputs Yr 2'!U309,"")</f>
        <v>0</v>
      </c>
      <c r="BT309" s="197">
        <f>IFERROR(($G309*IF('Inputs Yr 2'!$AJ309=BK$4,'Inputs Yr 2'!$AK309,IF('Inputs Yr 2'!$AL309=BK$4,'Inputs Yr 2'!$AM309,IF('Inputs Yr 2'!$AN309=BK$4,'Inputs Yr 2'!$AO309,0))))*(INDEX(avoidedcosttbl2,$H309,BT$2)+(($H309-ROUNDDOWN($H309,0))*(INDEX(avoidedcosttbl2,ROUNDUP($H309,0),BT$2)-(INDEX(avoidedcosttbl2,ROUNDDOWN($H309,0),BT$2)))))*'Inputs Yr 2'!P309*'Inputs Yr 2'!Q309*'Inputs Yr 2'!U309,"")</f>
        <v>0</v>
      </c>
      <c r="BU309" s="197">
        <f>IFERROR(($G309*IF('Inputs Yr 2'!$AJ309=BL$4,'Inputs Yr 2'!$AK309,IF('Inputs Yr 2'!$AL309=BL$4,'Inputs Yr 2'!$AM309,IF('Inputs Yr 2'!$AN309=BL$4,'Inputs Yr 2'!$AO309,0))))*(INDEX(avoidedcosttbl2,$H309,BU$2)+(($H309-ROUNDDOWN($H309,0))*(INDEX(avoidedcosttbl2,ROUNDUP($H309,0),BU$2)-(INDEX(avoidedcosttbl2,ROUNDDOWN($H309,0),BU$2)))))*'Inputs Yr 2'!P309*'Inputs Yr 2'!Q309*'Inputs Yr 2'!U309,"")</f>
        <v>0</v>
      </c>
      <c r="BV309" s="775">
        <f>IFERROR(($G309*IF('Inputs Yr 2'!$AJ309=BJ$4,'Inputs Yr 2'!$AK309,IF('Inputs Yr 2'!$AL309=BJ$4,'Inputs Yr 2'!$AM309,IF('Inputs Yr 2'!$AN309=BJ$4,'Inputs Yr 2'!$AO309,0))))*(INDEX(avoidedcosttbl2,$H309,BV$2)+(($H309-ROUNDDOWN($H309,0))*(INDEX(avoidedcosttbl2,ROUNDUP($H309,0),BV$2)-(INDEX(avoidedcosttbl2,ROUNDDOWN($H309,0),BV$2)))))*'Inputs Yr 2'!P309*'Inputs Yr 2'!Q309*'Inputs Yr 2'!U309,"")</f>
        <v>0</v>
      </c>
      <c r="BW309" s="197">
        <f>IFERROR(($G309*IF('Inputs Yr 2'!$AJ309=BN$4,'Inputs Yr 2'!$AK309,IF('Inputs Yr 2'!$AL309=BN$4,'Inputs Yr 2'!$AM309,IF('Inputs Yr 2'!$AN309=BN$4,'Inputs Yr 2'!$AO309,0))))*(INDEX(avoidedcosttbl2,$H309,BW$2)+(($H309-ROUNDDOWN($H309,0))*(INDEX(avoidedcosttbl2,ROUNDUP($H309,0),BW$2)-(INDEX(avoidedcosttbl2,ROUNDDOWN($H309,0),BW$2)))))*'Inputs Yr 2'!P309*'Inputs Yr 2'!Q309*'Inputs Yr 2'!U309,"")</f>
        <v>0</v>
      </c>
      <c r="BX309" s="197">
        <f>IFERROR(($G309*IF('Inputs Yr 2'!$AJ309=BO$4,'Inputs Yr 2'!$AK309,IF('Inputs Yr 2'!$AL309=BO$4,'Inputs Yr 2'!$AM309,IF('Inputs Yr 2'!$AN309=BO$4,'Inputs Yr 2'!$AO309,0))))*(INDEX(avoidedcosttbl2,$H309,BX$2)+(($H309-ROUNDDOWN($H309,0))*(INDEX(avoidedcosttbl2,ROUNDUP($H309,0),BX$2)-(INDEX(avoidedcosttbl2,ROUNDDOWN($H309,0),BX$2)))))*'Inputs Yr 2'!P309*'Inputs Yr 2'!Q309*'Inputs Yr 2'!U309,"")</f>
        <v>1770.4062991093149</v>
      </c>
      <c r="BY309" s="197">
        <f>IFERROR(($G309*IF('Inputs Yr 2'!$AJ309=BP$4,'Inputs Yr 2'!$AK309,IF('Inputs Yr 2'!$AL309=BP$4,'Inputs Yr 2'!$AM309,IF('Inputs Yr 2'!$AN309=BP$4,'Inputs Yr 2'!$AO309,0))))*(INDEX(avoidedcosttbl2,$H309,BY$2)+(($H309-ROUNDDOWN($H309,0))*(INDEX(avoidedcosttbl2,ROUNDUP($H309,0),BY$2)-(INDEX(avoidedcosttbl2,ROUNDDOWN($H309,0),BY$2)))))*'Inputs Yr 2'!P309*'Inputs Yr 2'!Q309*'Inputs Yr 2'!U309,"")</f>
        <v>0</v>
      </c>
      <c r="BZ309" s="193">
        <f t="shared" si="159"/>
        <v>1973.2852691877013</v>
      </c>
      <c r="CA309" s="193">
        <f t="shared" si="160"/>
        <v>12959.536842877715</v>
      </c>
      <c r="CB309" s="195">
        <f>IFERROR(G309*(IF('Inputs Yr 2'!$AJ309=CB$4,'Inputs Yr 2'!$AK309,IF('Inputs Yr 2'!$AL309=CB$4,'Inputs Yr 2'!$AM309,IF('Inputs Yr 2'!$AN309=CB$4,'Inputs Yr 2'!$AO309,0))))*(INDEX(avoidedcosttbl2,$H309,CB$2)+(($H309-ROUNDDOWN($H309,0))*(INDEX(avoidedcosttbl2,ROUNDUP($H309,0),CB$2)-(INDEX(avoidedcosttbl2,ROUNDDOWN($H309,0),CB$2)))))*'Inputs Yr 2'!P309*'Inputs Yr 2'!Q309*'Inputs Yr 2'!U309,"")</f>
        <v>0</v>
      </c>
      <c r="CC309" s="195">
        <f>IFERROR(H309*(IF('Inputs Yr 2'!$AJ309=CC$4,'Inputs Yr 2'!$AK309,IF('Inputs Yr 2'!$AL309=CC$4,'Inputs Yr 2'!$AM309,IF('Inputs Yr 2'!$AN309=CC$4,'Inputs Yr 2'!$AO309,0))))*(INDEX(avoidedcosttbl2,$H309,CC$2)+(($H309-ROUNDDOWN($H309,0))*(INDEX(avoidedcosttbl2,ROUNDUP($H309,0),CC$2)-(INDEX(avoidedcosttbl2,ROUNDDOWN($H309,0),CC$2)))))*'Inputs Yr 2'!Q309*'Inputs Yr 2'!R309*'Inputs Yr 2'!V309,"")</f>
        <v>0</v>
      </c>
      <c r="CD309" s="195">
        <f>IFERROR(I309*(IF('Inputs Yr 2'!$AJ309=CD$4,'Inputs Yr 2'!$AK309,IF('Inputs Yr 2'!$AL309=CD$4,'Inputs Yr 2'!$AM309,IF('Inputs Yr 2'!$AN309=CD$4,'Inputs Yr 2'!$AO309,0))))*(INDEX(avoidedcosttbl2,$H309,CD$2)+(($H309-ROUNDDOWN($H309,0))*(INDEX(avoidedcosttbl2,ROUNDUP($H309,0),CD$2)-(INDEX(avoidedcosttbl2,ROUNDDOWN($H309,0),CD$2)))))*'Inputs Yr 2'!R309*'Inputs Yr 2'!S309*'Inputs Yr 2'!W309,"")</f>
        <v>0</v>
      </c>
      <c r="CE309" s="213">
        <f t="shared" si="161"/>
        <v>0</v>
      </c>
      <c r="CF309" s="213">
        <f t="shared" si="162"/>
        <v>0</v>
      </c>
      <c r="CG309" s="213">
        <f t="shared" si="163"/>
        <v>0</v>
      </c>
      <c r="CH309" s="698">
        <f t="shared" si="164"/>
        <v>12959.536842877715</v>
      </c>
      <c r="CI309" s="79">
        <f>IFERROR(($G309*'Inputs Yr 2'!$P309*'Inputs Yr 2'!$Q309*(((INDEX(avoidedcosttbl2,$H309,CI$2)+(($H309-ROUNDDOWN($H309,0))*(INDEX(avoidedcosttbl2,ROUNDUP($H309,0),CI$2)-INDEX(avoidedcosttbl2,ROUNDDOWN($H309,0),CI$2))))*'Inputs Yr 2'!AS309))),"")</f>
        <v>0</v>
      </c>
      <c r="CJ309" s="504">
        <f>IFERROR($G309*'Inputs Yr 2'!AT309*'Inputs Yr 2'!$P309*'Inputs Yr 2'!$Q309/((1+realdiscrt1)^-0.5),"")</f>
        <v>0</v>
      </c>
      <c r="CK309" s="79">
        <f>IFERROR((O309*1000*(((INDEX(avoidedcosttbl2,$H309,CK$2)+(($H309-ROUNDDOWN($H309,0))*(INDEX(avoidedcosttbl2,ROUNDUP($H309,0),CK$2)-INDEX(avoidedcosttbl2,ROUNDDOWN($H309,0),CK$2))))*'Inputs Yr 2'!AU309))),"")</f>
        <v>0</v>
      </c>
      <c r="CL309" s="504">
        <f>IFERROR(O309*1000*'Inputs Yr 2'!AV309/((1+realdiscrt1)^-0.5),"")</f>
        <v>0</v>
      </c>
      <c r="CM309" s="79">
        <f>IFERROR((AB309*'Inputs Yr 2'!AW309*(((INDEX(avoidedcosttbl2,$H309,CM$2)+(($H309-ROUNDDOWN($H309,0))*(INDEX(avoidedcosttbl2,ROUNDUP($H309,0),CM$2)-INDEX(avoidedcosttbl2,ROUNDDOWN($H309,0),CM$2)))))))*10,"")</f>
        <v>0</v>
      </c>
      <c r="CN309" s="504">
        <f>IFERROR(10*AB309*'Inputs Yr 2'!AX309/((1+realdiscrt1)^-0.5),"")</f>
        <v>0</v>
      </c>
      <c r="CO309" s="505">
        <f t="shared" si="165"/>
        <v>0</v>
      </c>
      <c r="CP309" s="230">
        <f t="shared" si="166"/>
        <v>12959.536842877715</v>
      </c>
      <c r="CQ309" s="199">
        <f>ROUND(IFERROR(IF(LEFT($A309,1)="C",'Avoided Costs'!$K$13,'Avoided Costs'!$K$12)+1,""),4)</f>
        <v>1.0720000000000001</v>
      </c>
      <c r="CR309" s="199">
        <f>ROUND(IFERROR(IF(LEFT($A309,1)="C",'Avoided Costs'!$L$13,'Avoided Costs'!$L$12)+1,""),4)</f>
        <v>1.04</v>
      </c>
      <c r="CS309" s="199">
        <f>ROUND(IFERROR(IF(LEFT($A309,1)="C",'Avoided Costs'!$M$13,'Avoided Costs'!$M$12)+1,""),4)</f>
        <v>1.0720000000000001</v>
      </c>
      <c r="CT309" s="199">
        <f>ROUND(IFERROR(IF(LEFT($A309,1)="C",'Avoided Costs'!$N$13,'Avoided Costs'!$N$12)+1,""),4)</f>
        <v>1.04</v>
      </c>
      <c r="CU309" s="199">
        <f>ROUND(IFERROR(IF(LEFT($A309,1)="C",'Avoided Costs'!$O$13,'Avoided Costs'!$O$12)+1,""),4)</f>
        <v>1.1120000000000001</v>
      </c>
      <c r="CV309" s="199">
        <f>ROUND(IFERROR(IF(LEFT($A309,1)="C",'Avoided Costs'!$P$13,'Avoided Costs'!$P$12)+1,""),4)</f>
        <v>1.095</v>
      </c>
      <c r="CW309" s="199">
        <f>ROUND(IFERROR(IF(LEFT($A309,1)="C",'Avoided Costs'!$Q$13,'Avoided Costs'!$Q$12)+1,""),4)</f>
        <v>1.1120000000000001</v>
      </c>
      <c r="CX309" s="200">
        <f>ROUND(IFERROR(IF(LEFT($A309,1)="C",'Avoided Costs'!$R$13,'Avoided Costs'!$R$12)+1,""),4)</f>
        <v>1.1120000000000001</v>
      </c>
    </row>
    <row r="310" spans="1:102" ht="12.75" customHeight="1">
      <c r="A310" s="91" t="str">
        <f>IF('Inputs Yr 2'!$B310=0,"",'Inputs Yr 2'!A310)</f>
        <v>C - Commercial &amp; Industrial</v>
      </c>
      <c r="B310" s="91" t="str">
        <f>IF('Inputs Yr 2'!$B310=0,"",'Inputs Yr 2'!B310)</f>
        <v>C2 - C&amp;I Retrofit</v>
      </c>
      <c r="C310" s="91" t="str">
        <f>IF('Inputs Yr 2'!$B310=0,"",'Inputs Yr 2'!C310)</f>
        <v>C2b - C&amp;I Small Business</v>
      </c>
      <c r="D310" s="91" t="str">
        <f>IF('Inputs Yr 2'!$B310=0,"",'Inputs Yr 2'!E310)</f>
        <v>Steam Trap - Prescriptive</v>
      </c>
      <c r="E310" s="93" t="str">
        <f>IF('Inputs Yr 2'!$B310=0,"",'Inputs Yr 2'!F310)</f>
        <v>G16C2b15</v>
      </c>
      <c r="F310" s="93" t="str">
        <f>IF('Inputs Yr 2'!$B310=0,"",'Inputs Yr 2'!G310)</f>
        <v>Hot Water</v>
      </c>
      <c r="G310" s="95" t="str">
        <f>IF('Inputs Yr 2'!$H310&lt;&gt;0,('Inputs Yr 2'!H310),"")</f>
        <v/>
      </c>
      <c r="H310" s="94">
        <f>IFERROR('Inputs Yr 2'!I310,"")</f>
        <v>6</v>
      </c>
      <c r="I310" s="298" t="str">
        <f>IFERROR('Inputs Yr 2'!J310*'Inputs Yr 2'!P310*G310,"")</f>
        <v/>
      </c>
      <c r="J310" s="298" t="str">
        <f>IFERROR('Inputs Yr 2'!K310*G310,"")</f>
        <v/>
      </c>
      <c r="K310" s="298" t="str">
        <f t="shared" si="143"/>
        <v/>
      </c>
      <c r="L310" s="194" t="str">
        <f>IFERROR(('Inputs Yr 2'!W310*G310)/1000,"")</f>
        <v/>
      </c>
      <c r="M310" s="194" t="str">
        <f>IFERROR(L310*('Inputs Yr 2'!$Q310*'Inputs Yr 2'!$V310*'Inputs Yr 2'!$R310),"")</f>
        <v/>
      </c>
      <c r="N310" s="194" t="str">
        <f t="shared" si="144"/>
        <v/>
      </c>
      <c r="O310" s="194" t="str">
        <f>IFERROR(M310*'Inputs Yr 2'!P310,"")</f>
        <v/>
      </c>
      <c r="P310" s="194" t="str">
        <f t="shared" si="145"/>
        <v/>
      </c>
      <c r="Q310" s="194" t="str">
        <f>IFERROR($P310*'Inputs Yr 2'!AA310,"")</f>
        <v/>
      </c>
      <c r="R310" s="194" t="str">
        <f>IFERROR($P310*'Inputs Yr 2'!AB310,"")</f>
        <v/>
      </c>
      <c r="S310" s="194" t="str">
        <f>IFERROR($P310*'Inputs Yr 2'!AC310,"")</f>
        <v/>
      </c>
      <c r="T310" s="194" t="str">
        <f>IFERROR($P310*'Inputs Yr 2'!AD310,"")</f>
        <v/>
      </c>
      <c r="U310" s="194" t="str">
        <f>IFERROR(G310*'Inputs Yr 2'!$AE310*'Inputs Yr 2'!$P310*'Inputs Yr 2'!$Q310,"")</f>
        <v/>
      </c>
      <c r="V310" s="194" t="str">
        <f>IFERROR($G310*'Inputs Yr 2'!$AE310*'Inputs Yr 2'!$AG310*'Inputs Yr 2'!Q310*'Inputs Yr 2'!$S310,"")</f>
        <v/>
      </c>
      <c r="W310" s="194" t="str">
        <f>IFERROR($G310*'Inputs Yr 2'!$AE310*'Inputs Yr 2'!$AG310*'Inputs Yr 2'!P310*'Inputs Yr 2'!Q310*'Inputs Yr 2'!$S310,"")</f>
        <v/>
      </c>
      <c r="X310" s="194" t="str">
        <f>IFERROR($G310*'Inputs Yr 2'!$AE310*'Inputs Yr 2'!$AF310*'Inputs Yr 2'!Q310*'Inputs Yr 2'!$T310,"")</f>
        <v/>
      </c>
      <c r="Y310" s="194" t="str">
        <f>IFERROR($G310*'Inputs Yr 2'!$AE310*'Inputs Yr 2'!$AF310*'Inputs Yr 2'!P310*'Inputs Yr 2'!Q310*'Inputs Yr 2'!$T310,"")</f>
        <v/>
      </c>
      <c r="Z310" s="257">
        <f>IFERROR($G310*'Inputs Yr 2'!$Q310*'Inputs Yr 2'!$U310*(IF(IFERROR(SEARCH("NG", 'Inputs Yr 2'!$AJ310),0),'Inputs Yr 2'!$AK310,0)+IF(IFERROR(SEARCH("NG", 'Inputs Yr 2'!$AL310),0),'Inputs Yr 2'!$AM310,0)+IF(IFERROR(SEARCH("NG", 'Inputs Yr 2'!$AN310),0),'Inputs Yr 2'!$AO310,0)),0)</f>
        <v>0</v>
      </c>
      <c r="AA310" s="257">
        <f t="shared" si="146"/>
        <v>0</v>
      </c>
      <c r="AB310" s="257">
        <f>IFERROR(Z310*'Inputs Yr 2'!$P310,0)</f>
        <v>0</v>
      </c>
      <c r="AC310" s="257">
        <f t="shared" si="147"/>
        <v>0</v>
      </c>
      <c r="AD310" s="257">
        <f>IFERROR($G310*'Inputs Yr 2'!$Q310*'Inputs Yr 2'!$U310*(IF(IFERROR(SEARCH("Oil", 'Inputs Yr 2'!$AJ310), 0),'Inputs Yr 2'!$AK310,0)+IF(IFERROR(SEARCH("Oil", 'Inputs Yr 2'!$AL310), 0),'Inputs Yr 2'!$AM310,0)+IF(IFERROR(SEARCH("Oil", 'Inputs Yr 2'!$AN310), 0),'Inputs Yr 2'!$AO310,0)),0)</f>
        <v>0</v>
      </c>
      <c r="AE310" s="257">
        <f t="shared" si="148"/>
        <v>0</v>
      </c>
      <c r="AF310" s="257">
        <f>IFERROR(AD310*'Inputs Yr 2'!$P310,0)</f>
        <v>0</v>
      </c>
      <c r="AG310" s="257">
        <f t="shared" si="149"/>
        <v>0</v>
      </c>
      <c r="AH310" s="257">
        <f>IFERROR($G310*'Inputs Yr 2'!$Q310*'Inputs Yr 2'!$U310*(IF('Inputs Yr 2'!$AJ310=CD$4,'Inputs Yr 2'!$AK310,IF('Inputs Yr 2'!$AL310=CD$4,'Inputs Yr 2'!$AM310,IF('Inputs Yr 2'!$AN310=CD$4,'Inputs Yr 2'!$AO310,0)))),0)</f>
        <v>0</v>
      </c>
      <c r="AI310" s="257">
        <f t="shared" si="150"/>
        <v>0</v>
      </c>
      <c r="AJ310" s="257">
        <f>IFERROR(AH310*'Inputs Yr 2'!$P310,0)</f>
        <v>0</v>
      </c>
      <c r="AK310" s="257">
        <f t="shared" si="151"/>
        <v>0</v>
      </c>
      <c r="AL310" s="258">
        <f>IFERROR($G310*'Inputs Yr 2'!$P310*'Inputs Yr 2'!$Q310*'Inputs Yr 2'!AP310,0)</f>
        <v>0</v>
      </c>
      <c r="AM310" s="260">
        <f>IFERROR($G310*'Inputs Yr 2'!$P310*'Inputs Yr 2'!$Q310*'Inputs Yr 2'!AQ310,0)</f>
        <v>0</v>
      </c>
      <c r="AN310" s="258">
        <f>IFERROR($G310*'Inputs Yr 2'!$P310*'Inputs Yr 2'!$Q310*'Inputs Yr 2'!AR310,0)</f>
        <v>0</v>
      </c>
      <c r="AO310" s="257">
        <f t="shared" si="152"/>
        <v>0</v>
      </c>
      <c r="AP310" s="195" t="str">
        <f>IFERROR($CQ310*(INDEX(avoidedcosttbl2,$H310,AP$2)+(($H310-ROUNDDOWN($H310,0))*(INDEX(avoidedcosttbl2,ROUNDUP($H310,0),AP$2)-(INDEX(avoidedcosttbl2,ROUNDDOWN($H310,0),AP$2)))))*$O310*1000*'Inputs Yr 2'!AA310,"")</f>
        <v/>
      </c>
      <c r="AQ310" s="195" t="str">
        <f>IFERROR($CR310*(INDEX(avoidedcosttbl2,$H310,AQ$2)+(($H310-ROUNDDOWN($H310,0))*(INDEX(avoidedcosttbl2,ROUNDUP($H310,0),AQ$2)-(INDEX(avoidedcosttbl2,ROUNDDOWN($H310,0),AQ$2)))))*$O310*1000*'Inputs Yr 2'!AB310,"")</f>
        <v/>
      </c>
      <c r="AR310" s="195" t="str">
        <f>IFERROR($CS310*(INDEX(avoidedcosttbl2,$H310,AR$2)+(($H310-ROUNDDOWN($H310,0))*(INDEX(avoidedcosttbl2,ROUNDUP($H310,0),AR$2)-(INDEX(avoidedcosttbl2,ROUNDDOWN($H310,0),AR$2)))))*$O310*1000*'Inputs Yr 2'!AC310,"")</f>
        <v/>
      </c>
      <c r="AS310" s="195" t="str">
        <f>IFERROR($CT310*(INDEX(avoidedcosttbl2,$H310,AS$2)+(($H310-ROUNDDOWN($H310,0))*(INDEX(avoidedcosttbl2,ROUNDUP($H310,0),AS$2)-(INDEX(avoidedcosttbl2,ROUNDDOWN($H310,0),AS$2)))))*$O310*1000*'Inputs Yr 2'!AD310,"")</f>
        <v/>
      </c>
      <c r="AT310" s="196">
        <f t="shared" si="153"/>
        <v>0</v>
      </c>
      <c r="AU310" s="197" t="str">
        <f>IFERROR($CQ310*((INDEX(avoidedcosttbl2,$H310,AU$2))+(($H310-ROUNDDOWN($H310,0))*((INDEX(avoidedcosttbl2,ROUNDUP($H310,0),AU$2))-(INDEX(avoidedcosttbl2,ROUNDDOWN($H310,0),AU$2)))))*$O310*1000*'Inputs Yr 2'!AA310,"")</f>
        <v/>
      </c>
      <c r="AV310" s="197" t="str">
        <f>IFERROR($CR310*((INDEX(avoidedcosttbl2,$H310,AV$2))+(($H310-ROUNDDOWN($H310,0))*((INDEX(avoidedcosttbl2,ROUNDUP($H310,0),AV$2))-(INDEX(avoidedcosttbl2,ROUNDDOWN($H310,0),AV$2)))))*$O310*1000*'Inputs Yr 2'!AB310,"")</f>
        <v/>
      </c>
      <c r="AW310" s="197" t="str">
        <f>IFERROR($CS310*((INDEX(avoidedcosttbl2,$H310,AW$2))+(($H310-ROUNDDOWN($H310,0))*((INDEX(avoidedcosttbl2,ROUNDUP($H310,0),AW$2))-(INDEX(avoidedcosttbl2,ROUNDDOWN($H310,0),AW$2)))))*$O310*1000*'Inputs Yr 2'!AC310,"")</f>
        <v/>
      </c>
      <c r="AX310" s="197" t="str">
        <f>IFERROR($CT310*((INDEX(avoidedcosttbl2,$H310,AX$2))+(($H310-ROUNDDOWN($H310,0))*((INDEX(avoidedcosttbl2,ROUNDUP($H310,0),AX$2))-(INDEX(avoidedcosttbl2,ROUNDDOWN($H310,0),AX$2)))))*$O310*1000*'Inputs Yr 2'!AD310,"")</f>
        <v/>
      </c>
      <c r="AY310" s="197" t="str">
        <f>IFERROR(((INDEX(avoidedcosttbl2,$H310,AY$2))+(($H310-ROUNDDOWN($H310,0))*((INDEX(avoidedcosttbl2,ROUNDUP($H310,0),AY$2))-(INDEX(avoidedcosttbl2,ROUNDDOWN($H310,0),AY$2)))))*$O310*1000*('Inputs Yr 2'!AC310+'Inputs Yr 2'!AD310),"")</f>
        <v/>
      </c>
      <c r="AZ310" s="197" t="str">
        <f>IFERROR(((INDEX(avoidedcosttbl2,$H310,AZ$2))+(($H310-ROUNDDOWN($H310,0))*((INDEX(avoidedcosttbl2,ROUNDUP($H310,0),AZ$2))-(INDEX(avoidedcosttbl2,ROUNDDOWN($H310,0),AZ$2)))))*$O310*1000*('Inputs Yr 2'!AA310+'Inputs Yr 2'!AB310),"")</f>
        <v/>
      </c>
      <c r="BA310" s="198">
        <f t="shared" si="154"/>
        <v>0</v>
      </c>
      <c r="BB310" s="198">
        <f t="shared" si="155"/>
        <v>0</v>
      </c>
      <c r="BC310" s="195" t="str">
        <f t="shared" si="137"/>
        <v/>
      </c>
      <c r="BD310" s="195" t="str">
        <f t="shared" si="138"/>
        <v/>
      </c>
      <c r="BE310" s="195" t="str">
        <f t="shared" si="139"/>
        <v/>
      </c>
      <c r="BF310" s="195" t="str">
        <f t="shared" si="140"/>
        <v/>
      </c>
      <c r="BG310" s="195" t="str">
        <f t="shared" si="141"/>
        <v/>
      </c>
      <c r="BH310" s="196">
        <f t="shared" si="156"/>
        <v>0</v>
      </c>
      <c r="BI310" s="196">
        <f t="shared" si="157"/>
        <v>0</v>
      </c>
      <c r="BJ310" s="195" t="str">
        <f>IFERROR($G310*(IF('Inputs Yr 2'!$AJ310=BJ$4,'Inputs Yr 2'!$AK310,IF('Inputs Yr 2'!$AL310=BJ$4,'Inputs Yr 2'!$AM310,IF('Inputs Yr 2'!$AN310=BJ$4,'Inputs Yr 2'!$AO310,0))))*(INDEX(avoidedcosttbl2,$H310,BJ$2)+(($H310-ROUNDDOWN($H310,0))*(INDEX(avoidedcosttbl2,ROUNDUP($H310,0),BJ$2)-(INDEX(avoidedcosttbl2,ROUNDDOWN($H310,0),BJ$2)))))*'Inputs Yr 2'!P310*'Inputs Yr 2'!Q310*'Inputs Yr 2'!U310,"")</f>
        <v/>
      </c>
      <c r="BK310" s="195" t="str">
        <f>IFERROR($G310*(IF('Inputs Yr 2'!$AJ310=BK$4,'Inputs Yr 2'!$AK310,IF('Inputs Yr 2'!$AL310=BK$4,'Inputs Yr 2'!$AM310,IF('Inputs Yr 2'!$AN310=BK$4,'Inputs Yr 2'!$AO310,0))))*(INDEX(avoidedcosttbl2,$H310,BK$2)+(($H310-ROUNDDOWN($H310,0))*(INDEX(avoidedcosttbl2,ROUNDUP($H310,0),BK$2)-(INDEX(avoidedcosttbl2,ROUNDDOWN($H310,0),BK$2)))))*'Inputs Yr 2'!P310*'Inputs Yr 2'!Q310*'Inputs Yr 2'!U310,"")</f>
        <v/>
      </c>
      <c r="BL310" s="195" t="str">
        <f>IFERROR($G310*(IF('Inputs Yr 2'!$AJ310=BL$4,'Inputs Yr 2'!$AK310,IF('Inputs Yr 2'!$AL310=BL$4,'Inputs Yr 2'!$AM310,IF('Inputs Yr 2'!$AN310=BL$4,'Inputs Yr 2'!$AO310,0))))*(INDEX(avoidedcosttbl2,$H310,BL$2)+(($H310-ROUNDDOWN($H310,0))*(INDEX(avoidedcosttbl2,ROUNDUP($H310,0),BL$2)-(INDEX(avoidedcosttbl2,ROUNDDOWN($H310,0),BL$2)))))*'Inputs Yr 2'!P310*'Inputs Yr 2'!Q310*'Inputs Yr 2'!U310,"")</f>
        <v/>
      </c>
      <c r="BM310" s="195" t="str">
        <f>IFERROR($G310*(IF('Inputs Yr 2'!$AJ310=BM$4,'Inputs Yr 2'!$AK310,IF('Inputs Yr 2'!$AL310=BM$4,'Inputs Yr 2'!$AM310,IF('Inputs Yr 2'!$AN310=BM$4,'Inputs Yr 2'!$AO310,0))))*(INDEX(avoidedcosttbl2,$H310,BM$2)+(($H310-ROUNDDOWN($H310,0))*(INDEX(avoidedcosttbl2,ROUNDUP($H310,0),BM$2)-(INDEX(avoidedcosttbl2,ROUNDDOWN($H310,0),BM$2)))))*'Inputs Yr 2'!P310*'Inputs Yr 2'!Q310*'Inputs Yr 2'!U310,"")</f>
        <v/>
      </c>
      <c r="BN310" s="195" t="str">
        <f>IFERROR($G310*(IF('Inputs Yr 2'!$AJ310=BN$4,'Inputs Yr 2'!$AK310,IF('Inputs Yr 2'!$AL310=BN$4,'Inputs Yr 2'!$AM310,IF('Inputs Yr 2'!$AN310=BN$4,'Inputs Yr 2'!$AO310,0))))*(INDEX(avoidedcosttbl2,$H310,BN$2)+(($H310-ROUNDDOWN($H310,0))*(INDEX(avoidedcosttbl2,ROUNDUP($H310,0),BN$2)-(INDEX(avoidedcosttbl2,ROUNDDOWN($H310,0),BN$2)))))*'Inputs Yr 2'!P310*'Inputs Yr 2'!Q310*'Inputs Yr 2'!U310,"")</f>
        <v/>
      </c>
      <c r="BO310" s="195" t="str">
        <f>IFERROR($G310*(IF('Inputs Yr 2'!$AJ310=BO$4,'Inputs Yr 2'!$AK310,IF('Inputs Yr 2'!$AL310=BO$4,'Inputs Yr 2'!$AM310,IF('Inputs Yr 2'!$AN310=BO$4,'Inputs Yr 2'!$AO310,0))))*(INDEX(avoidedcosttbl2,$H310,BO$2)+(($H310-ROUNDDOWN($H310,0))*(INDEX(avoidedcosttbl2,ROUNDUP($H310,0),BO$2)-(INDEX(avoidedcosttbl2,ROUNDDOWN($H310,0),BO$2)))))*'Inputs Yr 2'!P310*'Inputs Yr 2'!Q310*'Inputs Yr 2'!U310,"")</f>
        <v/>
      </c>
      <c r="BP310" s="195" t="str">
        <f>IFERROR($G310*(IF('Inputs Yr 2'!$AJ310=BP$4,'Inputs Yr 2'!$AK310,IF('Inputs Yr 2'!$AL310=BP$4,'Inputs Yr 2'!$AM310,IF('Inputs Yr 2'!$AN310=BP$4,'Inputs Yr 2'!$AO310,0))))*(INDEX(avoidedcosttbl2,$H310,BP$2)+(($H310-ROUNDDOWN($H310,0))*(INDEX(avoidedcosttbl2,ROUNDUP($H310,0),BP$2)-(INDEX(avoidedcosttbl2,ROUNDDOWN($H310,0),BP$2)))))*'Inputs Yr 2'!P310*'Inputs Yr 2'!Q310*'Inputs Yr 2'!U310,"")</f>
        <v/>
      </c>
      <c r="BQ310" s="230">
        <f t="shared" si="158"/>
        <v>0</v>
      </c>
      <c r="BR310" s="197">
        <f t="shared" si="142"/>
        <v>0</v>
      </c>
      <c r="BS310" s="197" t="str">
        <f>IFERROR(($G310*IF('Inputs Yr 2'!$AJ310=BM$4,'Inputs Yr 2'!$AK310,IF('Inputs Yr 2'!$AL310=BM$4,'Inputs Yr 2'!$AM310,IF('Inputs Yr 2'!$AN310=BM$4,'Inputs Yr 2'!$AO310,0))))*(INDEX(avoidedcosttbl2,$H310,BS$2)+(($H310-ROUNDDOWN($H310,0))*(INDEX(avoidedcosttbl2,ROUNDUP($H310,0),BS$2)-(INDEX(avoidedcosttbl2,ROUNDDOWN($H310,0),BS$2)))))*'Inputs Yr 2'!P310*'Inputs Yr 2'!Q310*'Inputs Yr 2'!U310,"")</f>
        <v/>
      </c>
      <c r="BT310" s="197" t="str">
        <f>IFERROR(($G310*IF('Inputs Yr 2'!$AJ310=BK$4,'Inputs Yr 2'!$AK310,IF('Inputs Yr 2'!$AL310=BK$4,'Inputs Yr 2'!$AM310,IF('Inputs Yr 2'!$AN310=BK$4,'Inputs Yr 2'!$AO310,0))))*(INDEX(avoidedcosttbl2,$H310,BT$2)+(($H310-ROUNDDOWN($H310,0))*(INDEX(avoidedcosttbl2,ROUNDUP($H310,0),BT$2)-(INDEX(avoidedcosttbl2,ROUNDDOWN($H310,0),BT$2)))))*'Inputs Yr 2'!P310*'Inputs Yr 2'!Q310*'Inputs Yr 2'!U310,"")</f>
        <v/>
      </c>
      <c r="BU310" s="197" t="str">
        <f>IFERROR(($G310*IF('Inputs Yr 2'!$AJ310=BL$4,'Inputs Yr 2'!$AK310,IF('Inputs Yr 2'!$AL310=BL$4,'Inputs Yr 2'!$AM310,IF('Inputs Yr 2'!$AN310=BL$4,'Inputs Yr 2'!$AO310,0))))*(INDEX(avoidedcosttbl2,$H310,BU$2)+(($H310-ROUNDDOWN($H310,0))*(INDEX(avoidedcosttbl2,ROUNDUP($H310,0),BU$2)-(INDEX(avoidedcosttbl2,ROUNDDOWN($H310,0),BU$2)))))*'Inputs Yr 2'!P310*'Inputs Yr 2'!Q310*'Inputs Yr 2'!U310,"")</f>
        <v/>
      </c>
      <c r="BV310" s="775" t="str">
        <f>IFERROR(($G310*IF('Inputs Yr 2'!$AJ310=BJ$4,'Inputs Yr 2'!$AK310,IF('Inputs Yr 2'!$AL310=BJ$4,'Inputs Yr 2'!$AM310,IF('Inputs Yr 2'!$AN310=BJ$4,'Inputs Yr 2'!$AO310,0))))*(INDEX(avoidedcosttbl2,$H310,BV$2)+(($H310-ROUNDDOWN($H310,0))*(INDEX(avoidedcosttbl2,ROUNDUP($H310,0),BV$2)-(INDEX(avoidedcosttbl2,ROUNDDOWN($H310,0),BV$2)))))*'Inputs Yr 2'!P310*'Inputs Yr 2'!Q310*'Inputs Yr 2'!U310,"")</f>
        <v/>
      </c>
      <c r="BW310" s="197" t="str">
        <f>IFERROR(($G310*IF('Inputs Yr 2'!$AJ310=BN$4,'Inputs Yr 2'!$AK310,IF('Inputs Yr 2'!$AL310=BN$4,'Inputs Yr 2'!$AM310,IF('Inputs Yr 2'!$AN310=BN$4,'Inputs Yr 2'!$AO310,0))))*(INDEX(avoidedcosttbl2,$H310,BW$2)+(($H310-ROUNDDOWN($H310,0))*(INDEX(avoidedcosttbl2,ROUNDUP($H310,0),BW$2)-(INDEX(avoidedcosttbl2,ROUNDDOWN($H310,0),BW$2)))))*'Inputs Yr 2'!P310*'Inputs Yr 2'!Q310*'Inputs Yr 2'!U310,"")</f>
        <v/>
      </c>
      <c r="BX310" s="197" t="str">
        <f>IFERROR(($G310*IF('Inputs Yr 2'!$AJ310=BO$4,'Inputs Yr 2'!$AK310,IF('Inputs Yr 2'!$AL310=BO$4,'Inputs Yr 2'!$AM310,IF('Inputs Yr 2'!$AN310=BO$4,'Inputs Yr 2'!$AO310,0))))*(INDEX(avoidedcosttbl2,$H310,BX$2)+(($H310-ROUNDDOWN($H310,0))*(INDEX(avoidedcosttbl2,ROUNDUP($H310,0),BX$2)-(INDEX(avoidedcosttbl2,ROUNDDOWN($H310,0),BX$2)))))*'Inputs Yr 2'!P310*'Inputs Yr 2'!Q310*'Inputs Yr 2'!U310,"")</f>
        <v/>
      </c>
      <c r="BY310" s="197" t="str">
        <f>IFERROR(($G310*IF('Inputs Yr 2'!$AJ310=BP$4,'Inputs Yr 2'!$AK310,IF('Inputs Yr 2'!$AL310=BP$4,'Inputs Yr 2'!$AM310,IF('Inputs Yr 2'!$AN310=BP$4,'Inputs Yr 2'!$AO310,0))))*(INDEX(avoidedcosttbl2,$H310,BY$2)+(($H310-ROUNDDOWN($H310,0))*(INDEX(avoidedcosttbl2,ROUNDUP($H310,0),BY$2)-(INDEX(avoidedcosttbl2,ROUNDDOWN($H310,0),BY$2)))))*'Inputs Yr 2'!P310*'Inputs Yr 2'!Q310*'Inputs Yr 2'!U310,"")</f>
        <v/>
      </c>
      <c r="BZ310" s="193">
        <f t="shared" si="159"/>
        <v>0</v>
      </c>
      <c r="CA310" s="193">
        <f t="shared" si="160"/>
        <v>0</v>
      </c>
      <c r="CB310" s="195" t="str">
        <f>IFERROR(G310*(IF('Inputs Yr 2'!$AJ310=CB$4,'Inputs Yr 2'!$AK310,IF('Inputs Yr 2'!$AL310=CB$4,'Inputs Yr 2'!$AM310,IF('Inputs Yr 2'!$AN310=CB$4,'Inputs Yr 2'!$AO310,0))))*(INDEX(avoidedcosttbl2,$H310,CB$2)+(($H310-ROUNDDOWN($H310,0))*(INDEX(avoidedcosttbl2,ROUNDUP($H310,0),CB$2)-(INDEX(avoidedcosttbl2,ROUNDDOWN($H310,0),CB$2)))))*'Inputs Yr 2'!P310*'Inputs Yr 2'!Q310*'Inputs Yr 2'!U310,"")</f>
        <v/>
      </c>
      <c r="CC310" s="195">
        <f>IFERROR(H310*(IF('Inputs Yr 2'!$AJ310=CC$4,'Inputs Yr 2'!$AK310,IF('Inputs Yr 2'!$AL310=CC$4,'Inputs Yr 2'!$AM310,IF('Inputs Yr 2'!$AN310=CC$4,'Inputs Yr 2'!$AO310,0))))*(INDEX(avoidedcosttbl2,$H310,CC$2)+(($H310-ROUNDDOWN($H310,0))*(INDEX(avoidedcosttbl2,ROUNDUP($H310,0),CC$2)-(INDEX(avoidedcosttbl2,ROUNDDOWN($H310,0),CC$2)))))*'Inputs Yr 2'!Q310*'Inputs Yr 2'!R310*'Inputs Yr 2'!V310,"")</f>
        <v>0</v>
      </c>
      <c r="CD310" s="195" t="str">
        <f>IFERROR(I310*(IF('Inputs Yr 2'!$AJ310=CD$4,'Inputs Yr 2'!$AK310,IF('Inputs Yr 2'!$AL310=CD$4,'Inputs Yr 2'!$AM310,IF('Inputs Yr 2'!$AN310=CD$4,'Inputs Yr 2'!$AO310,0))))*(INDEX(avoidedcosttbl2,$H310,CD$2)+(($H310-ROUNDDOWN($H310,0))*(INDEX(avoidedcosttbl2,ROUNDUP($H310,0),CD$2)-(INDEX(avoidedcosttbl2,ROUNDDOWN($H310,0),CD$2)))))*'Inputs Yr 2'!R310*'Inputs Yr 2'!S310*'Inputs Yr 2'!W310,"")</f>
        <v/>
      </c>
      <c r="CE310" s="213">
        <f t="shared" si="161"/>
        <v>0</v>
      </c>
      <c r="CF310" s="213">
        <f t="shared" si="162"/>
        <v>0</v>
      </c>
      <c r="CG310" s="213">
        <f t="shared" si="163"/>
        <v>0</v>
      </c>
      <c r="CH310" s="698">
        <f t="shared" si="164"/>
        <v>0</v>
      </c>
      <c r="CI310" s="79" t="str">
        <f>IFERROR(($G310*'Inputs Yr 2'!$P310*'Inputs Yr 2'!$Q310*(((INDEX(avoidedcosttbl2,$H310,CI$2)+(($H310-ROUNDDOWN($H310,0))*(INDEX(avoidedcosttbl2,ROUNDUP($H310,0),CI$2)-INDEX(avoidedcosttbl2,ROUNDDOWN($H310,0),CI$2))))*'Inputs Yr 2'!AS310))),"")</f>
        <v/>
      </c>
      <c r="CJ310" s="504" t="str">
        <f>IFERROR($G310*'Inputs Yr 2'!AT310*'Inputs Yr 2'!$P310*'Inputs Yr 2'!$Q310/((1+realdiscrt1)^-0.5),"")</f>
        <v/>
      </c>
      <c r="CK310" s="79" t="str">
        <f>IFERROR((O310*1000*(((INDEX(avoidedcosttbl2,$H310,CK$2)+(($H310-ROUNDDOWN($H310,0))*(INDEX(avoidedcosttbl2,ROUNDUP($H310,0),CK$2)-INDEX(avoidedcosttbl2,ROUNDDOWN($H310,0),CK$2))))*'Inputs Yr 2'!AU310))),"")</f>
        <v/>
      </c>
      <c r="CL310" s="504" t="str">
        <f>IFERROR(O310*1000*'Inputs Yr 2'!AV310/((1+realdiscrt1)^-0.5),"")</f>
        <v/>
      </c>
      <c r="CM310" s="79">
        <f>IFERROR((AB310*'Inputs Yr 2'!AW310*(((INDEX(avoidedcosttbl2,$H310,CM$2)+(($H310-ROUNDDOWN($H310,0))*(INDEX(avoidedcosttbl2,ROUNDUP($H310,0),CM$2)-INDEX(avoidedcosttbl2,ROUNDDOWN($H310,0),CM$2)))))))*10,"")</f>
        <v>0</v>
      </c>
      <c r="CN310" s="504">
        <f>IFERROR(10*AB310*'Inputs Yr 2'!AX310/((1+realdiscrt1)^-0.5),"")</f>
        <v>0</v>
      </c>
      <c r="CO310" s="505">
        <f t="shared" si="165"/>
        <v>0</v>
      </c>
      <c r="CP310" s="230">
        <f t="shared" si="166"/>
        <v>0</v>
      </c>
      <c r="CQ310" s="199">
        <f>ROUND(IFERROR(IF(LEFT($A310,1)="C",'Avoided Costs'!$K$13,'Avoided Costs'!$K$12)+1,""),4)</f>
        <v>1.0720000000000001</v>
      </c>
      <c r="CR310" s="199">
        <f>ROUND(IFERROR(IF(LEFT($A310,1)="C",'Avoided Costs'!$L$13,'Avoided Costs'!$L$12)+1,""),4)</f>
        <v>1.04</v>
      </c>
      <c r="CS310" s="199">
        <f>ROUND(IFERROR(IF(LEFT($A310,1)="C",'Avoided Costs'!$M$13,'Avoided Costs'!$M$12)+1,""),4)</f>
        <v>1.0720000000000001</v>
      </c>
      <c r="CT310" s="199">
        <f>ROUND(IFERROR(IF(LEFT($A310,1)="C",'Avoided Costs'!$N$13,'Avoided Costs'!$N$12)+1,""),4)</f>
        <v>1.04</v>
      </c>
      <c r="CU310" s="199">
        <f>ROUND(IFERROR(IF(LEFT($A310,1)="C",'Avoided Costs'!$O$13,'Avoided Costs'!$O$12)+1,""),4)</f>
        <v>1.1120000000000001</v>
      </c>
      <c r="CV310" s="199">
        <f>ROUND(IFERROR(IF(LEFT($A310,1)="C",'Avoided Costs'!$P$13,'Avoided Costs'!$P$12)+1,""),4)</f>
        <v>1.095</v>
      </c>
      <c r="CW310" s="199">
        <f>ROUND(IFERROR(IF(LEFT($A310,1)="C",'Avoided Costs'!$Q$13,'Avoided Costs'!$Q$12)+1,""),4)</f>
        <v>1.1120000000000001</v>
      </c>
      <c r="CX310" s="200">
        <f>ROUND(IFERROR(IF(LEFT($A310,1)="C",'Avoided Costs'!$R$13,'Avoided Costs'!$R$12)+1,""),4)</f>
        <v>1.1120000000000001</v>
      </c>
    </row>
    <row r="311" spans="1:102" ht="12.75" customHeight="1">
      <c r="A311" s="91" t="str">
        <f>IF('Inputs Yr 2'!$B311=0,"",'Inputs Yr 2'!A311)</f>
        <v>C - Commercial &amp; Industrial</v>
      </c>
      <c r="B311" s="91" t="str">
        <f>IF('Inputs Yr 2'!$B311=0,"",'Inputs Yr 2'!B311)</f>
        <v>C2 - C&amp;I Retrofit</v>
      </c>
      <c r="C311" s="91" t="str">
        <f>IF('Inputs Yr 2'!$B311=0,"",'Inputs Yr 2'!C311)</f>
        <v>C2b - C&amp;I Small Business</v>
      </c>
      <c r="D311" s="91" t="str">
        <f>IF('Inputs Yr 2'!$B311=0,"",'Inputs Yr 2'!E311)</f>
        <v>Programmable Thermostat, Gas</v>
      </c>
      <c r="E311" s="93" t="str">
        <f>IF('Inputs Yr 2'!$B311=0,"",'Inputs Yr 2'!F311)</f>
        <v>G16C2b16</v>
      </c>
      <c r="F311" s="93" t="str">
        <f>IF('Inputs Yr 2'!$B311=0,"",'Inputs Yr 2'!G311)</f>
        <v>HVAC</v>
      </c>
      <c r="G311" s="95">
        <f>IF('Inputs Yr 2'!$H311&lt;&gt;0,('Inputs Yr 2'!H311),"")</f>
        <v>35</v>
      </c>
      <c r="H311" s="94">
        <f>IFERROR('Inputs Yr 2'!I311,"")</f>
        <v>15</v>
      </c>
      <c r="I311" s="298">
        <f>IFERROR('Inputs Yr 2'!J311*'Inputs Yr 2'!P311*G311,"")</f>
        <v>3821.4666000000002</v>
      </c>
      <c r="J311" s="298">
        <f>IFERROR('Inputs Yr 2'!K311*G311,"")</f>
        <v>4517.1000000000004</v>
      </c>
      <c r="K311" s="298">
        <f t="shared" si="143"/>
        <v>-695.63340000000017</v>
      </c>
      <c r="L311" s="194">
        <f>IFERROR(('Inputs Yr 2'!W311*G311)/1000,"")</f>
        <v>0</v>
      </c>
      <c r="M311" s="194">
        <f>IFERROR(L311*('Inputs Yr 2'!$Q311*'Inputs Yr 2'!$V311*'Inputs Yr 2'!$R311),"")</f>
        <v>0</v>
      </c>
      <c r="N311" s="194">
        <f t="shared" si="144"/>
        <v>0</v>
      </c>
      <c r="O311" s="194">
        <f>IFERROR(M311*'Inputs Yr 2'!P311,"")</f>
        <v>0</v>
      </c>
      <c r="P311" s="194">
        <f t="shared" si="145"/>
        <v>0</v>
      </c>
      <c r="Q311" s="194">
        <f>IFERROR($P311*'Inputs Yr 2'!AA311,"")</f>
        <v>0</v>
      </c>
      <c r="R311" s="194">
        <f>IFERROR($P311*'Inputs Yr 2'!AB311,"")</f>
        <v>0</v>
      </c>
      <c r="S311" s="194">
        <f>IFERROR($P311*'Inputs Yr 2'!AC311,"")</f>
        <v>0</v>
      </c>
      <c r="T311" s="194">
        <f>IFERROR($P311*'Inputs Yr 2'!AD311,"")</f>
        <v>0</v>
      </c>
      <c r="U311" s="194">
        <f>IFERROR(G311*'Inputs Yr 2'!$AE311*'Inputs Yr 2'!$P311*'Inputs Yr 2'!$Q311,"")</f>
        <v>0</v>
      </c>
      <c r="V311" s="194">
        <f>IFERROR($G311*'Inputs Yr 2'!$AE311*'Inputs Yr 2'!$AG311*'Inputs Yr 2'!Q311*'Inputs Yr 2'!$S311,"")</f>
        <v>0</v>
      </c>
      <c r="W311" s="194">
        <f>IFERROR($G311*'Inputs Yr 2'!$AE311*'Inputs Yr 2'!$AG311*'Inputs Yr 2'!P311*'Inputs Yr 2'!Q311*'Inputs Yr 2'!$S311,"")</f>
        <v>0</v>
      </c>
      <c r="X311" s="194">
        <f>IFERROR($G311*'Inputs Yr 2'!$AE311*'Inputs Yr 2'!$AF311*'Inputs Yr 2'!Q311*'Inputs Yr 2'!$T311,"")</f>
        <v>0</v>
      </c>
      <c r="Y311" s="194">
        <f>IFERROR($G311*'Inputs Yr 2'!$AE311*'Inputs Yr 2'!$AF311*'Inputs Yr 2'!P311*'Inputs Yr 2'!Q311*'Inputs Yr 2'!$T311,"")</f>
        <v>0</v>
      </c>
      <c r="Z311" s="257">
        <f>IFERROR($G311*'Inputs Yr 2'!$Q311*'Inputs Yr 2'!$U311*(IF(IFERROR(SEARCH("NG", 'Inputs Yr 2'!$AJ311),0),'Inputs Yr 2'!$AK311,0)+IF(IFERROR(SEARCH("NG", 'Inputs Yr 2'!$AL311),0),'Inputs Yr 2'!$AM311,0)+IF(IFERROR(SEARCH("NG", 'Inputs Yr 2'!$AN311),0),'Inputs Yr 2'!$AO311,0)),0)</f>
        <v>112</v>
      </c>
      <c r="AA311" s="257">
        <f t="shared" si="146"/>
        <v>1680</v>
      </c>
      <c r="AB311" s="257">
        <f>IFERROR(Z311*'Inputs Yr 2'!$P311,0)</f>
        <v>94.75200000000001</v>
      </c>
      <c r="AC311" s="257">
        <f t="shared" si="147"/>
        <v>1421.2800000000002</v>
      </c>
      <c r="AD311" s="257">
        <f>IFERROR($G311*'Inputs Yr 2'!$Q311*'Inputs Yr 2'!$U311*(IF(IFERROR(SEARCH("Oil", 'Inputs Yr 2'!$AJ311), 0),'Inputs Yr 2'!$AK311,0)+IF(IFERROR(SEARCH("Oil", 'Inputs Yr 2'!$AL311), 0),'Inputs Yr 2'!$AM311,0)+IF(IFERROR(SEARCH("Oil", 'Inputs Yr 2'!$AN311), 0),'Inputs Yr 2'!$AO311,0)),0)</f>
        <v>0</v>
      </c>
      <c r="AE311" s="257">
        <f t="shared" si="148"/>
        <v>0</v>
      </c>
      <c r="AF311" s="257">
        <f>IFERROR(AD311*'Inputs Yr 2'!$P311,0)</f>
        <v>0</v>
      </c>
      <c r="AG311" s="257">
        <f t="shared" si="149"/>
        <v>0</v>
      </c>
      <c r="AH311" s="257">
        <f>IFERROR($G311*'Inputs Yr 2'!$Q311*'Inputs Yr 2'!$U311*(IF('Inputs Yr 2'!$AJ311=CD$4,'Inputs Yr 2'!$AK311,IF('Inputs Yr 2'!$AL311=CD$4,'Inputs Yr 2'!$AM311,IF('Inputs Yr 2'!$AN311=CD$4,'Inputs Yr 2'!$AO311,0)))),0)</f>
        <v>0</v>
      </c>
      <c r="AI311" s="257">
        <f t="shared" si="150"/>
        <v>0</v>
      </c>
      <c r="AJ311" s="257">
        <f>IFERROR(AH311*'Inputs Yr 2'!$P311,0)</f>
        <v>0</v>
      </c>
      <c r="AK311" s="257">
        <f t="shared" si="151"/>
        <v>0</v>
      </c>
      <c r="AL311" s="258">
        <f>IFERROR($G311*'Inputs Yr 2'!$P311*'Inputs Yr 2'!$Q311*'Inputs Yr 2'!AP311,0)</f>
        <v>0</v>
      </c>
      <c r="AM311" s="260">
        <f>IFERROR($G311*'Inputs Yr 2'!$P311*'Inputs Yr 2'!$Q311*'Inputs Yr 2'!AQ311,0)</f>
        <v>0</v>
      </c>
      <c r="AN311" s="258">
        <f>IFERROR($G311*'Inputs Yr 2'!$P311*'Inputs Yr 2'!$Q311*'Inputs Yr 2'!AR311,0)</f>
        <v>0</v>
      </c>
      <c r="AO311" s="257">
        <f t="shared" si="152"/>
        <v>0</v>
      </c>
      <c r="AP311" s="195">
        <f>IFERROR($CQ311*(INDEX(avoidedcosttbl2,$H311,AP$2)+(($H311-ROUNDDOWN($H311,0))*(INDEX(avoidedcosttbl2,ROUNDUP($H311,0),AP$2)-(INDEX(avoidedcosttbl2,ROUNDDOWN($H311,0),AP$2)))))*$O311*1000*'Inputs Yr 2'!AA311,"")</f>
        <v>0</v>
      </c>
      <c r="AQ311" s="195">
        <f>IFERROR($CR311*(INDEX(avoidedcosttbl2,$H311,AQ$2)+(($H311-ROUNDDOWN($H311,0))*(INDEX(avoidedcosttbl2,ROUNDUP($H311,0),AQ$2)-(INDEX(avoidedcosttbl2,ROUNDDOWN($H311,0),AQ$2)))))*$O311*1000*'Inputs Yr 2'!AB311,"")</f>
        <v>0</v>
      </c>
      <c r="AR311" s="195">
        <f>IFERROR($CS311*(INDEX(avoidedcosttbl2,$H311,AR$2)+(($H311-ROUNDDOWN($H311,0))*(INDEX(avoidedcosttbl2,ROUNDUP($H311,0),AR$2)-(INDEX(avoidedcosttbl2,ROUNDDOWN($H311,0),AR$2)))))*$O311*1000*'Inputs Yr 2'!AC311,"")</f>
        <v>0</v>
      </c>
      <c r="AS311" s="195">
        <f>IFERROR($CT311*(INDEX(avoidedcosttbl2,$H311,AS$2)+(($H311-ROUNDDOWN($H311,0))*(INDEX(avoidedcosttbl2,ROUNDUP($H311,0),AS$2)-(INDEX(avoidedcosttbl2,ROUNDDOWN($H311,0),AS$2)))))*$O311*1000*'Inputs Yr 2'!AD311,"")</f>
        <v>0</v>
      </c>
      <c r="AT311" s="196">
        <f t="shared" si="153"/>
        <v>0</v>
      </c>
      <c r="AU311" s="197">
        <f>IFERROR($CQ311*((INDEX(avoidedcosttbl2,$H311,AU$2))+(($H311-ROUNDDOWN($H311,0))*((INDEX(avoidedcosttbl2,ROUNDUP($H311,0),AU$2))-(INDEX(avoidedcosttbl2,ROUNDDOWN($H311,0),AU$2)))))*$O311*1000*'Inputs Yr 2'!AA311,"")</f>
        <v>0</v>
      </c>
      <c r="AV311" s="197">
        <f>IFERROR($CR311*((INDEX(avoidedcosttbl2,$H311,AV$2))+(($H311-ROUNDDOWN($H311,0))*((INDEX(avoidedcosttbl2,ROUNDUP($H311,0),AV$2))-(INDEX(avoidedcosttbl2,ROUNDDOWN($H311,0),AV$2)))))*$O311*1000*'Inputs Yr 2'!AB311,"")</f>
        <v>0</v>
      </c>
      <c r="AW311" s="197">
        <f>IFERROR($CS311*((INDEX(avoidedcosttbl2,$H311,AW$2))+(($H311-ROUNDDOWN($H311,0))*((INDEX(avoidedcosttbl2,ROUNDUP($H311,0),AW$2))-(INDEX(avoidedcosttbl2,ROUNDDOWN($H311,0),AW$2)))))*$O311*1000*'Inputs Yr 2'!AC311,"")</f>
        <v>0</v>
      </c>
      <c r="AX311" s="197">
        <f>IFERROR($CT311*((INDEX(avoidedcosttbl2,$H311,AX$2))+(($H311-ROUNDDOWN($H311,0))*((INDEX(avoidedcosttbl2,ROUNDUP($H311,0),AX$2))-(INDEX(avoidedcosttbl2,ROUNDDOWN($H311,0),AX$2)))))*$O311*1000*'Inputs Yr 2'!AD311,"")</f>
        <v>0</v>
      </c>
      <c r="AY311" s="197">
        <f>IFERROR(((INDEX(avoidedcosttbl2,$H311,AY$2))+(($H311-ROUNDDOWN($H311,0))*((INDEX(avoidedcosttbl2,ROUNDUP($H311,0),AY$2))-(INDEX(avoidedcosttbl2,ROUNDDOWN($H311,0),AY$2)))))*$O311*1000*('Inputs Yr 2'!AC311+'Inputs Yr 2'!AD311),"")</f>
        <v>0</v>
      </c>
      <c r="AZ311" s="197">
        <f>IFERROR(((INDEX(avoidedcosttbl2,$H311,AZ$2))+(($H311-ROUNDDOWN($H311,0))*((INDEX(avoidedcosttbl2,ROUNDUP($H311,0),AZ$2))-(INDEX(avoidedcosttbl2,ROUNDDOWN($H311,0),AZ$2)))))*$O311*1000*('Inputs Yr 2'!AA311+'Inputs Yr 2'!AB311),"")</f>
        <v>0</v>
      </c>
      <c r="BA311" s="198">
        <f t="shared" si="154"/>
        <v>0</v>
      </c>
      <c r="BB311" s="198">
        <f t="shared" si="155"/>
        <v>0</v>
      </c>
      <c r="BC311" s="195">
        <f t="shared" si="137"/>
        <v>0</v>
      </c>
      <c r="BD311" s="195">
        <f t="shared" si="138"/>
        <v>0</v>
      </c>
      <c r="BE311" s="195">
        <f t="shared" si="139"/>
        <v>0</v>
      </c>
      <c r="BF311" s="195">
        <f t="shared" si="140"/>
        <v>0</v>
      </c>
      <c r="BG311" s="195">
        <f t="shared" si="141"/>
        <v>0</v>
      </c>
      <c r="BH311" s="196">
        <f t="shared" si="156"/>
        <v>0</v>
      </c>
      <c r="BI311" s="196">
        <f t="shared" si="157"/>
        <v>0</v>
      </c>
      <c r="BJ311" s="195">
        <f>IFERROR($G311*(IF('Inputs Yr 2'!$AJ311=BJ$4,'Inputs Yr 2'!$AK311,IF('Inputs Yr 2'!$AL311=BJ$4,'Inputs Yr 2'!$AM311,IF('Inputs Yr 2'!$AN311=BJ$4,'Inputs Yr 2'!$AO311,0))))*(INDEX(avoidedcosttbl2,$H311,BJ$2)+(($H311-ROUNDDOWN($H311,0))*(INDEX(avoidedcosttbl2,ROUNDUP($H311,0),BJ$2)-(INDEX(avoidedcosttbl2,ROUNDDOWN($H311,0),BJ$2)))))*'Inputs Yr 2'!P311*'Inputs Yr 2'!Q311*'Inputs Yr 2'!U311,"")</f>
        <v>0</v>
      </c>
      <c r="BK311" s="195">
        <f>IFERROR($G311*(IF('Inputs Yr 2'!$AJ311=BK$4,'Inputs Yr 2'!$AK311,IF('Inputs Yr 2'!$AL311=BK$4,'Inputs Yr 2'!$AM311,IF('Inputs Yr 2'!$AN311=BK$4,'Inputs Yr 2'!$AO311,0))))*(INDEX(avoidedcosttbl2,$H311,BK$2)+(($H311-ROUNDDOWN($H311,0))*(INDEX(avoidedcosttbl2,ROUNDUP($H311,0),BK$2)-(INDEX(avoidedcosttbl2,ROUNDDOWN($H311,0),BK$2)))))*'Inputs Yr 2'!P311*'Inputs Yr 2'!Q311*'Inputs Yr 2'!U311,"")</f>
        <v>0</v>
      </c>
      <c r="BL311" s="195">
        <f>IFERROR($G311*(IF('Inputs Yr 2'!$AJ311=BL$4,'Inputs Yr 2'!$AK311,IF('Inputs Yr 2'!$AL311=BL$4,'Inputs Yr 2'!$AM311,IF('Inputs Yr 2'!$AN311=BL$4,'Inputs Yr 2'!$AO311,0))))*(INDEX(avoidedcosttbl2,$H311,BL$2)+(($H311-ROUNDDOWN($H311,0))*(INDEX(avoidedcosttbl2,ROUNDUP($H311,0),BL$2)-(INDEX(avoidedcosttbl2,ROUNDDOWN($H311,0),BL$2)))))*'Inputs Yr 2'!P311*'Inputs Yr 2'!Q311*'Inputs Yr 2'!U311,"")</f>
        <v>0</v>
      </c>
      <c r="BM311" s="195">
        <f>IFERROR($G311*(IF('Inputs Yr 2'!$AJ311=BM$4,'Inputs Yr 2'!$AK311,IF('Inputs Yr 2'!$AL311=BM$4,'Inputs Yr 2'!$AM311,IF('Inputs Yr 2'!$AN311=BM$4,'Inputs Yr 2'!$AO311,0))))*(INDEX(avoidedcosttbl2,$H311,BM$2)+(($H311-ROUNDDOWN($H311,0))*(INDEX(avoidedcosttbl2,ROUNDUP($H311,0),BM$2)-(INDEX(avoidedcosttbl2,ROUNDDOWN($H311,0),BM$2)))))*'Inputs Yr 2'!P311*'Inputs Yr 2'!Q311*'Inputs Yr 2'!U311,"")</f>
        <v>0</v>
      </c>
      <c r="BN311" s="195">
        <f>IFERROR($G311*(IF('Inputs Yr 2'!$AJ311=BN$4,'Inputs Yr 2'!$AK311,IF('Inputs Yr 2'!$AL311=BN$4,'Inputs Yr 2'!$AM311,IF('Inputs Yr 2'!$AN311=BN$4,'Inputs Yr 2'!$AO311,0))))*(INDEX(avoidedcosttbl2,$H311,BN$2)+(($H311-ROUNDDOWN($H311,0))*(INDEX(avoidedcosttbl2,ROUNDUP($H311,0),BN$2)-(INDEX(avoidedcosttbl2,ROUNDDOWN($H311,0),BN$2)))))*'Inputs Yr 2'!P311*'Inputs Yr 2'!Q311*'Inputs Yr 2'!U311,"")</f>
        <v>0</v>
      </c>
      <c r="BO311" s="195">
        <f>IFERROR($G311*(IF('Inputs Yr 2'!$AJ311=BO$4,'Inputs Yr 2'!$AK311,IF('Inputs Yr 2'!$AL311=BO$4,'Inputs Yr 2'!$AM311,IF('Inputs Yr 2'!$AN311=BO$4,'Inputs Yr 2'!$AO311,0))))*(INDEX(avoidedcosttbl2,$H311,BO$2)+(($H311-ROUNDDOWN($H311,0))*(INDEX(avoidedcosttbl2,ROUNDUP($H311,0),BO$2)-(INDEX(avoidedcosttbl2,ROUNDDOWN($H311,0),BO$2)))))*'Inputs Yr 2'!P311*'Inputs Yr 2'!Q311*'Inputs Yr 2'!U311,"")</f>
        <v>11084.653232900177</v>
      </c>
      <c r="BP311" s="195">
        <f>IFERROR($G311*(IF('Inputs Yr 2'!$AJ311=BP$4,'Inputs Yr 2'!$AK311,IF('Inputs Yr 2'!$AL311=BP$4,'Inputs Yr 2'!$AM311,IF('Inputs Yr 2'!$AN311=BP$4,'Inputs Yr 2'!$AO311,0))))*(INDEX(avoidedcosttbl2,$H311,BP$2)+(($H311-ROUNDDOWN($H311,0))*(INDEX(avoidedcosttbl2,ROUNDUP($H311,0),BP$2)-(INDEX(avoidedcosttbl2,ROUNDDOWN($H311,0),BP$2)))))*'Inputs Yr 2'!P311*'Inputs Yr 2'!Q311*'Inputs Yr 2'!U311,"")</f>
        <v>0</v>
      </c>
      <c r="BQ311" s="230">
        <f t="shared" si="158"/>
        <v>11084.653232900177</v>
      </c>
      <c r="BR311" s="197">
        <f t="shared" si="142"/>
        <v>192.64299849786539</v>
      </c>
      <c r="BS311" s="197">
        <f>IFERROR(($G311*IF('Inputs Yr 2'!$AJ311=BM$4,'Inputs Yr 2'!$AK311,IF('Inputs Yr 2'!$AL311=BM$4,'Inputs Yr 2'!$AM311,IF('Inputs Yr 2'!$AN311=BM$4,'Inputs Yr 2'!$AO311,0))))*(INDEX(avoidedcosttbl2,$H311,BS$2)+(($H311-ROUNDDOWN($H311,0))*(INDEX(avoidedcosttbl2,ROUNDUP($H311,0),BS$2)-(INDEX(avoidedcosttbl2,ROUNDDOWN($H311,0),BS$2)))))*'Inputs Yr 2'!P311*'Inputs Yr 2'!Q311*'Inputs Yr 2'!U311,"")</f>
        <v>0</v>
      </c>
      <c r="BT311" s="197">
        <f>IFERROR(($G311*IF('Inputs Yr 2'!$AJ311=BK$4,'Inputs Yr 2'!$AK311,IF('Inputs Yr 2'!$AL311=BK$4,'Inputs Yr 2'!$AM311,IF('Inputs Yr 2'!$AN311=BK$4,'Inputs Yr 2'!$AO311,0))))*(INDEX(avoidedcosttbl2,$H311,BT$2)+(($H311-ROUNDDOWN($H311,0))*(INDEX(avoidedcosttbl2,ROUNDUP($H311,0),BT$2)-(INDEX(avoidedcosttbl2,ROUNDDOWN($H311,0),BT$2)))))*'Inputs Yr 2'!P311*'Inputs Yr 2'!Q311*'Inputs Yr 2'!U311,"")</f>
        <v>0</v>
      </c>
      <c r="BU311" s="197">
        <f>IFERROR(($G311*IF('Inputs Yr 2'!$AJ311=BL$4,'Inputs Yr 2'!$AK311,IF('Inputs Yr 2'!$AL311=BL$4,'Inputs Yr 2'!$AM311,IF('Inputs Yr 2'!$AN311=BL$4,'Inputs Yr 2'!$AO311,0))))*(INDEX(avoidedcosttbl2,$H311,BU$2)+(($H311-ROUNDDOWN($H311,0))*(INDEX(avoidedcosttbl2,ROUNDUP($H311,0),BU$2)-(INDEX(avoidedcosttbl2,ROUNDDOWN($H311,0),BU$2)))))*'Inputs Yr 2'!P311*'Inputs Yr 2'!Q311*'Inputs Yr 2'!U311,"")</f>
        <v>0</v>
      </c>
      <c r="BV311" s="775">
        <f>IFERROR(($G311*IF('Inputs Yr 2'!$AJ311=BJ$4,'Inputs Yr 2'!$AK311,IF('Inputs Yr 2'!$AL311=BJ$4,'Inputs Yr 2'!$AM311,IF('Inputs Yr 2'!$AN311=BJ$4,'Inputs Yr 2'!$AO311,0))))*(INDEX(avoidedcosttbl2,$H311,BV$2)+(($H311-ROUNDDOWN($H311,0))*(INDEX(avoidedcosttbl2,ROUNDUP($H311,0),BV$2)-(INDEX(avoidedcosttbl2,ROUNDDOWN($H311,0),BV$2)))))*'Inputs Yr 2'!P311*'Inputs Yr 2'!Q311*'Inputs Yr 2'!U311,"")</f>
        <v>0</v>
      </c>
      <c r="BW311" s="197">
        <f>IFERROR(($G311*IF('Inputs Yr 2'!$AJ311=BN$4,'Inputs Yr 2'!$AK311,IF('Inputs Yr 2'!$AL311=BN$4,'Inputs Yr 2'!$AM311,IF('Inputs Yr 2'!$AN311=BN$4,'Inputs Yr 2'!$AO311,0))))*(INDEX(avoidedcosttbl2,$H311,BW$2)+(($H311-ROUNDDOWN($H311,0))*(INDEX(avoidedcosttbl2,ROUNDUP($H311,0),BW$2)-(INDEX(avoidedcosttbl2,ROUNDDOWN($H311,0),BW$2)))))*'Inputs Yr 2'!P311*'Inputs Yr 2'!Q311*'Inputs Yr 2'!U311,"")</f>
        <v>0</v>
      </c>
      <c r="BX311" s="197">
        <f>IFERROR(($G311*IF('Inputs Yr 2'!$AJ311=BO$4,'Inputs Yr 2'!$AK311,IF('Inputs Yr 2'!$AL311=BO$4,'Inputs Yr 2'!$AM311,IF('Inputs Yr 2'!$AN311=BO$4,'Inputs Yr 2'!$AO311,0))))*(INDEX(avoidedcosttbl2,$H311,BX$2)+(($H311-ROUNDDOWN($H311,0))*(INDEX(avoidedcosttbl2,ROUNDUP($H311,0),BX$2)-(INDEX(avoidedcosttbl2,ROUNDDOWN($H311,0),BX$2)))))*'Inputs Yr 2'!P311*'Inputs Yr 2'!Q311*'Inputs Yr 2'!U311,"")</f>
        <v>781.21007322811158</v>
      </c>
      <c r="BY311" s="197">
        <f>IFERROR(($G311*IF('Inputs Yr 2'!$AJ311=BP$4,'Inputs Yr 2'!$AK311,IF('Inputs Yr 2'!$AL311=BP$4,'Inputs Yr 2'!$AM311,IF('Inputs Yr 2'!$AN311=BP$4,'Inputs Yr 2'!$AO311,0))))*(INDEX(avoidedcosttbl2,$H311,BY$2)+(($H311-ROUNDDOWN($H311,0))*(INDEX(avoidedcosttbl2,ROUNDUP($H311,0),BY$2)-(INDEX(avoidedcosttbl2,ROUNDDOWN($H311,0),BY$2)))))*'Inputs Yr 2'!P311*'Inputs Yr 2'!Q311*'Inputs Yr 2'!U311,"")</f>
        <v>0</v>
      </c>
      <c r="BZ311" s="193">
        <f t="shared" si="159"/>
        <v>973.85307172597697</v>
      </c>
      <c r="CA311" s="193">
        <f t="shared" si="160"/>
        <v>12058.506304626153</v>
      </c>
      <c r="CB311" s="195">
        <f>IFERROR(G311*(IF('Inputs Yr 2'!$AJ311=CB$4,'Inputs Yr 2'!$AK311,IF('Inputs Yr 2'!$AL311=CB$4,'Inputs Yr 2'!$AM311,IF('Inputs Yr 2'!$AN311=CB$4,'Inputs Yr 2'!$AO311,0))))*(INDEX(avoidedcosttbl2,$H311,CB$2)+(($H311-ROUNDDOWN($H311,0))*(INDEX(avoidedcosttbl2,ROUNDUP($H311,0),CB$2)-(INDEX(avoidedcosttbl2,ROUNDDOWN($H311,0),CB$2)))))*'Inputs Yr 2'!P311*'Inputs Yr 2'!Q311*'Inputs Yr 2'!U311,"")</f>
        <v>0</v>
      </c>
      <c r="CC311" s="195">
        <f>IFERROR(H311*(IF('Inputs Yr 2'!$AJ311=CC$4,'Inputs Yr 2'!$AK311,IF('Inputs Yr 2'!$AL311=CC$4,'Inputs Yr 2'!$AM311,IF('Inputs Yr 2'!$AN311=CC$4,'Inputs Yr 2'!$AO311,0))))*(INDEX(avoidedcosttbl2,$H311,CC$2)+(($H311-ROUNDDOWN($H311,0))*(INDEX(avoidedcosttbl2,ROUNDUP($H311,0),CC$2)-(INDEX(avoidedcosttbl2,ROUNDDOWN($H311,0),CC$2)))))*'Inputs Yr 2'!Q311*'Inputs Yr 2'!R311*'Inputs Yr 2'!V311,"")</f>
        <v>0</v>
      </c>
      <c r="CD311" s="195">
        <f>IFERROR(I311*(IF('Inputs Yr 2'!$AJ311=CD$4,'Inputs Yr 2'!$AK311,IF('Inputs Yr 2'!$AL311=CD$4,'Inputs Yr 2'!$AM311,IF('Inputs Yr 2'!$AN311=CD$4,'Inputs Yr 2'!$AO311,0))))*(INDEX(avoidedcosttbl2,$H311,CD$2)+(($H311-ROUNDDOWN($H311,0))*(INDEX(avoidedcosttbl2,ROUNDUP($H311,0),CD$2)-(INDEX(avoidedcosttbl2,ROUNDDOWN($H311,0),CD$2)))))*'Inputs Yr 2'!R311*'Inputs Yr 2'!S311*'Inputs Yr 2'!W311,"")</f>
        <v>0</v>
      </c>
      <c r="CE311" s="213">
        <f t="shared" si="161"/>
        <v>0</v>
      </c>
      <c r="CF311" s="213">
        <f t="shared" si="162"/>
        <v>0</v>
      </c>
      <c r="CG311" s="213">
        <f t="shared" si="163"/>
        <v>0</v>
      </c>
      <c r="CH311" s="698">
        <f t="shared" si="164"/>
        <v>12058.506304626153</v>
      </c>
      <c r="CI311" s="79">
        <f>IFERROR(($G311*'Inputs Yr 2'!$P311*'Inputs Yr 2'!$Q311*(((INDEX(avoidedcosttbl2,$H311,CI$2)+(($H311-ROUNDDOWN($H311,0))*(INDEX(avoidedcosttbl2,ROUNDUP($H311,0),CI$2)-INDEX(avoidedcosttbl2,ROUNDDOWN($H311,0),CI$2))))*'Inputs Yr 2'!AS311))),"")</f>
        <v>0</v>
      </c>
      <c r="CJ311" s="504">
        <f>IFERROR($G311*'Inputs Yr 2'!AT311*'Inputs Yr 2'!$P311*'Inputs Yr 2'!$Q311/((1+realdiscrt1)^-0.5),"")</f>
        <v>0</v>
      </c>
      <c r="CK311" s="79">
        <f>IFERROR((O311*1000*(((INDEX(avoidedcosttbl2,$H311,CK$2)+(($H311-ROUNDDOWN($H311,0))*(INDEX(avoidedcosttbl2,ROUNDUP($H311,0),CK$2)-INDEX(avoidedcosttbl2,ROUNDDOWN($H311,0),CK$2))))*'Inputs Yr 2'!AU311))),"")</f>
        <v>0</v>
      </c>
      <c r="CL311" s="504">
        <f>IFERROR(O311*1000*'Inputs Yr 2'!AV311/((1+realdiscrt1)^-0.5),"")</f>
        <v>0</v>
      </c>
      <c r="CM311" s="79">
        <f>IFERROR((AB311*'Inputs Yr 2'!AW311*(((INDEX(avoidedcosttbl2,$H311,CM$2)+(($H311-ROUNDDOWN($H311,0))*(INDEX(avoidedcosttbl2,ROUNDUP($H311,0),CM$2)-INDEX(avoidedcosttbl2,ROUNDDOWN($H311,0),CM$2)))))))*10,"")</f>
        <v>18569.117329559533</v>
      </c>
      <c r="CN311" s="504">
        <f>IFERROR(10*AB311*'Inputs Yr 2'!AX311/((1+realdiscrt1)^-0.5),"")</f>
        <v>0</v>
      </c>
      <c r="CO311" s="505">
        <f t="shared" si="165"/>
        <v>18569.117329559533</v>
      </c>
      <c r="CP311" s="230">
        <f t="shared" si="166"/>
        <v>30627.623634185686</v>
      </c>
      <c r="CQ311" s="199">
        <f>ROUND(IFERROR(IF(LEFT($A311,1)="C",'Avoided Costs'!$K$13,'Avoided Costs'!$K$12)+1,""),4)</f>
        <v>1.0720000000000001</v>
      </c>
      <c r="CR311" s="199">
        <f>ROUND(IFERROR(IF(LEFT($A311,1)="C",'Avoided Costs'!$L$13,'Avoided Costs'!$L$12)+1,""),4)</f>
        <v>1.04</v>
      </c>
      <c r="CS311" s="199">
        <f>ROUND(IFERROR(IF(LEFT($A311,1)="C",'Avoided Costs'!$M$13,'Avoided Costs'!$M$12)+1,""),4)</f>
        <v>1.0720000000000001</v>
      </c>
      <c r="CT311" s="199">
        <f>ROUND(IFERROR(IF(LEFT($A311,1)="C",'Avoided Costs'!$N$13,'Avoided Costs'!$N$12)+1,""),4)</f>
        <v>1.04</v>
      </c>
      <c r="CU311" s="199">
        <f>ROUND(IFERROR(IF(LEFT($A311,1)="C",'Avoided Costs'!$O$13,'Avoided Costs'!$O$12)+1,""),4)</f>
        <v>1.1120000000000001</v>
      </c>
      <c r="CV311" s="199">
        <f>ROUND(IFERROR(IF(LEFT($A311,1)="C",'Avoided Costs'!$P$13,'Avoided Costs'!$P$12)+1,""),4)</f>
        <v>1.095</v>
      </c>
      <c r="CW311" s="199">
        <f>ROUND(IFERROR(IF(LEFT($A311,1)="C",'Avoided Costs'!$Q$13,'Avoided Costs'!$Q$12)+1,""),4)</f>
        <v>1.1120000000000001</v>
      </c>
      <c r="CX311" s="200">
        <f>ROUND(IFERROR(IF(LEFT($A311,1)="C",'Avoided Costs'!$R$13,'Avoided Costs'!$R$12)+1,""),4)</f>
        <v>1.1120000000000001</v>
      </c>
    </row>
    <row r="312" spans="1:102" ht="12.75" customHeight="1">
      <c r="A312" s="91" t="str">
        <f>IF('Inputs Yr 2'!$B312=0,"",'Inputs Yr 2'!A312)</f>
        <v>C - Commercial &amp; Industrial</v>
      </c>
      <c r="B312" s="91" t="str">
        <f>IF('Inputs Yr 2'!$B312=0,"",'Inputs Yr 2'!B312)</f>
        <v>C2 - C&amp;I Retrofit</v>
      </c>
      <c r="C312" s="91" t="str">
        <f>IF('Inputs Yr 2'!$B312=0,"",'Inputs Yr 2'!C312)</f>
        <v>C2b - C&amp;I Small Business</v>
      </c>
      <c r="D312" s="91" t="str">
        <f>IF('Inputs Yr 2'!$B312=0,"",'Inputs Yr 2'!E312)</f>
        <v>Wi-Fi Thermostat (controls gas heat only)</v>
      </c>
      <c r="E312" s="93" t="str">
        <f>IF('Inputs Yr 2'!$B312=0,"",'Inputs Yr 2'!F312)</f>
        <v>G16C2b17</v>
      </c>
      <c r="F312" s="93" t="str">
        <f>IF('Inputs Yr 2'!$B312=0,"",'Inputs Yr 2'!G312)</f>
        <v>HVAC</v>
      </c>
      <c r="G312" s="95" t="str">
        <f>IF('Inputs Yr 2'!$H312&lt;&gt;0,('Inputs Yr 2'!H312),"")</f>
        <v/>
      </c>
      <c r="H312" s="94">
        <f>IFERROR('Inputs Yr 2'!I312,"")</f>
        <v>15</v>
      </c>
      <c r="I312" s="298" t="str">
        <f>IFERROR('Inputs Yr 2'!J312*'Inputs Yr 2'!P312*G312,"")</f>
        <v/>
      </c>
      <c r="J312" s="298" t="str">
        <f>IFERROR('Inputs Yr 2'!K312*G312,"")</f>
        <v/>
      </c>
      <c r="K312" s="298" t="str">
        <f t="shared" si="143"/>
        <v/>
      </c>
      <c r="L312" s="194" t="str">
        <f>IFERROR(('Inputs Yr 2'!W312*G312)/1000,"")</f>
        <v/>
      </c>
      <c r="M312" s="194" t="str">
        <f>IFERROR(L312*('Inputs Yr 2'!$Q312*'Inputs Yr 2'!$V312*'Inputs Yr 2'!$R312),"")</f>
        <v/>
      </c>
      <c r="N312" s="194" t="str">
        <f t="shared" si="144"/>
        <v/>
      </c>
      <c r="O312" s="194" t="str">
        <f>IFERROR(M312*'Inputs Yr 2'!P312,"")</f>
        <v/>
      </c>
      <c r="P312" s="194" t="str">
        <f t="shared" si="145"/>
        <v/>
      </c>
      <c r="Q312" s="194" t="str">
        <f>IFERROR($P312*'Inputs Yr 2'!AA312,"")</f>
        <v/>
      </c>
      <c r="R312" s="194" t="str">
        <f>IFERROR($P312*'Inputs Yr 2'!AB312,"")</f>
        <v/>
      </c>
      <c r="S312" s="194" t="str">
        <f>IFERROR($P312*'Inputs Yr 2'!AC312,"")</f>
        <v/>
      </c>
      <c r="T312" s="194" t="str">
        <f>IFERROR($P312*'Inputs Yr 2'!AD312,"")</f>
        <v/>
      </c>
      <c r="U312" s="194" t="str">
        <f>IFERROR(G312*'Inputs Yr 2'!$AE312*'Inputs Yr 2'!$P312*'Inputs Yr 2'!$Q312,"")</f>
        <v/>
      </c>
      <c r="V312" s="194" t="str">
        <f>IFERROR($G312*'Inputs Yr 2'!$AE312*'Inputs Yr 2'!$AG312*'Inputs Yr 2'!Q312*'Inputs Yr 2'!$S312,"")</f>
        <v/>
      </c>
      <c r="W312" s="194" t="str">
        <f>IFERROR($G312*'Inputs Yr 2'!$AE312*'Inputs Yr 2'!$AG312*'Inputs Yr 2'!P312*'Inputs Yr 2'!Q312*'Inputs Yr 2'!$S312,"")</f>
        <v/>
      </c>
      <c r="X312" s="194" t="str">
        <f>IFERROR($G312*'Inputs Yr 2'!$AE312*'Inputs Yr 2'!$AF312*'Inputs Yr 2'!Q312*'Inputs Yr 2'!$T312,"")</f>
        <v/>
      </c>
      <c r="Y312" s="194" t="str">
        <f>IFERROR($G312*'Inputs Yr 2'!$AE312*'Inputs Yr 2'!$AF312*'Inputs Yr 2'!P312*'Inputs Yr 2'!Q312*'Inputs Yr 2'!$T312,"")</f>
        <v/>
      </c>
      <c r="Z312" s="257">
        <f>IFERROR($G312*'Inputs Yr 2'!$Q312*'Inputs Yr 2'!$U312*(IF(IFERROR(SEARCH("NG", 'Inputs Yr 2'!$AJ312),0),'Inputs Yr 2'!$AK312,0)+IF(IFERROR(SEARCH("NG", 'Inputs Yr 2'!$AL312),0),'Inputs Yr 2'!$AM312,0)+IF(IFERROR(SEARCH("NG", 'Inputs Yr 2'!$AN312),0),'Inputs Yr 2'!$AO312,0)),0)</f>
        <v>0</v>
      </c>
      <c r="AA312" s="257">
        <f t="shared" si="146"/>
        <v>0</v>
      </c>
      <c r="AB312" s="257">
        <f>IFERROR(Z312*'Inputs Yr 2'!$P312,0)</f>
        <v>0</v>
      </c>
      <c r="AC312" s="257">
        <f t="shared" si="147"/>
        <v>0</v>
      </c>
      <c r="AD312" s="257">
        <f>IFERROR($G312*'Inputs Yr 2'!$Q312*'Inputs Yr 2'!$U312*(IF(IFERROR(SEARCH("Oil", 'Inputs Yr 2'!$AJ312), 0),'Inputs Yr 2'!$AK312,0)+IF(IFERROR(SEARCH("Oil", 'Inputs Yr 2'!$AL312), 0),'Inputs Yr 2'!$AM312,0)+IF(IFERROR(SEARCH("Oil", 'Inputs Yr 2'!$AN312), 0),'Inputs Yr 2'!$AO312,0)),0)</f>
        <v>0</v>
      </c>
      <c r="AE312" s="257">
        <f t="shared" si="148"/>
        <v>0</v>
      </c>
      <c r="AF312" s="257">
        <f>IFERROR(AD312*'Inputs Yr 2'!$P312,0)</f>
        <v>0</v>
      </c>
      <c r="AG312" s="257">
        <f t="shared" si="149"/>
        <v>0</v>
      </c>
      <c r="AH312" s="257">
        <f>IFERROR($G312*'Inputs Yr 2'!$Q312*'Inputs Yr 2'!$U312*(IF('Inputs Yr 2'!$AJ312=CD$4,'Inputs Yr 2'!$AK312,IF('Inputs Yr 2'!$AL312=CD$4,'Inputs Yr 2'!$AM312,IF('Inputs Yr 2'!$AN312=CD$4,'Inputs Yr 2'!$AO312,0)))),0)</f>
        <v>0</v>
      </c>
      <c r="AI312" s="257">
        <f t="shared" si="150"/>
        <v>0</v>
      </c>
      <c r="AJ312" s="257">
        <f>IFERROR(AH312*'Inputs Yr 2'!$P312,0)</f>
        <v>0</v>
      </c>
      <c r="AK312" s="257">
        <f t="shared" si="151"/>
        <v>0</v>
      </c>
      <c r="AL312" s="258">
        <f>IFERROR($G312*'Inputs Yr 2'!$P312*'Inputs Yr 2'!$Q312*'Inputs Yr 2'!AP312,0)</f>
        <v>0</v>
      </c>
      <c r="AM312" s="260">
        <f>IFERROR($G312*'Inputs Yr 2'!$P312*'Inputs Yr 2'!$Q312*'Inputs Yr 2'!AQ312,0)</f>
        <v>0</v>
      </c>
      <c r="AN312" s="258">
        <f>IFERROR($G312*'Inputs Yr 2'!$P312*'Inputs Yr 2'!$Q312*'Inputs Yr 2'!AR312,0)</f>
        <v>0</v>
      </c>
      <c r="AO312" s="257">
        <f t="shared" si="152"/>
        <v>0</v>
      </c>
      <c r="AP312" s="195" t="str">
        <f>IFERROR($CQ312*(INDEX(avoidedcosttbl2,$H312,AP$2)+(($H312-ROUNDDOWN($H312,0))*(INDEX(avoidedcosttbl2,ROUNDUP($H312,0),AP$2)-(INDEX(avoidedcosttbl2,ROUNDDOWN($H312,0),AP$2)))))*$O312*1000*'Inputs Yr 2'!AA312,"")</f>
        <v/>
      </c>
      <c r="AQ312" s="195" t="str">
        <f>IFERROR($CR312*(INDEX(avoidedcosttbl2,$H312,AQ$2)+(($H312-ROUNDDOWN($H312,0))*(INDEX(avoidedcosttbl2,ROUNDUP($H312,0),AQ$2)-(INDEX(avoidedcosttbl2,ROUNDDOWN($H312,0),AQ$2)))))*$O312*1000*'Inputs Yr 2'!AB312,"")</f>
        <v/>
      </c>
      <c r="AR312" s="195" t="str">
        <f>IFERROR($CS312*(INDEX(avoidedcosttbl2,$H312,AR$2)+(($H312-ROUNDDOWN($H312,0))*(INDEX(avoidedcosttbl2,ROUNDUP($H312,0),AR$2)-(INDEX(avoidedcosttbl2,ROUNDDOWN($H312,0),AR$2)))))*$O312*1000*'Inputs Yr 2'!AC312,"")</f>
        <v/>
      </c>
      <c r="AS312" s="195" t="str">
        <f>IFERROR($CT312*(INDEX(avoidedcosttbl2,$H312,AS$2)+(($H312-ROUNDDOWN($H312,0))*(INDEX(avoidedcosttbl2,ROUNDUP($H312,0),AS$2)-(INDEX(avoidedcosttbl2,ROUNDDOWN($H312,0),AS$2)))))*$O312*1000*'Inputs Yr 2'!AD312,"")</f>
        <v/>
      </c>
      <c r="AT312" s="196">
        <f t="shared" si="153"/>
        <v>0</v>
      </c>
      <c r="AU312" s="197" t="str">
        <f>IFERROR($CQ312*((INDEX(avoidedcosttbl2,$H312,AU$2))+(($H312-ROUNDDOWN($H312,0))*((INDEX(avoidedcosttbl2,ROUNDUP($H312,0),AU$2))-(INDEX(avoidedcosttbl2,ROUNDDOWN($H312,0),AU$2)))))*$O312*1000*'Inputs Yr 2'!AA312,"")</f>
        <v/>
      </c>
      <c r="AV312" s="197" t="str">
        <f>IFERROR($CR312*((INDEX(avoidedcosttbl2,$H312,AV$2))+(($H312-ROUNDDOWN($H312,0))*((INDEX(avoidedcosttbl2,ROUNDUP($H312,0),AV$2))-(INDEX(avoidedcosttbl2,ROUNDDOWN($H312,0),AV$2)))))*$O312*1000*'Inputs Yr 2'!AB312,"")</f>
        <v/>
      </c>
      <c r="AW312" s="197" t="str">
        <f>IFERROR($CS312*((INDEX(avoidedcosttbl2,$H312,AW$2))+(($H312-ROUNDDOWN($H312,0))*((INDEX(avoidedcosttbl2,ROUNDUP($H312,0),AW$2))-(INDEX(avoidedcosttbl2,ROUNDDOWN($H312,0),AW$2)))))*$O312*1000*'Inputs Yr 2'!AC312,"")</f>
        <v/>
      </c>
      <c r="AX312" s="197" t="str">
        <f>IFERROR($CT312*((INDEX(avoidedcosttbl2,$H312,AX$2))+(($H312-ROUNDDOWN($H312,0))*((INDEX(avoidedcosttbl2,ROUNDUP($H312,0),AX$2))-(INDEX(avoidedcosttbl2,ROUNDDOWN($H312,0),AX$2)))))*$O312*1000*'Inputs Yr 2'!AD312,"")</f>
        <v/>
      </c>
      <c r="AY312" s="197" t="str">
        <f>IFERROR(((INDEX(avoidedcosttbl2,$H312,AY$2))+(($H312-ROUNDDOWN($H312,0))*((INDEX(avoidedcosttbl2,ROUNDUP($H312,0),AY$2))-(INDEX(avoidedcosttbl2,ROUNDDOWN($H312,0),AY$2)))))*$O312*1000*('Inputs Yr 2'!AC312+'Inputs Yr 2'!AD312),"")</f>
        <v/>
      </c>
      <c r="AZ312" s="197" t="str">
        <f>IFERROR(((INDEX(avoidedcosttbl2,$H312,AZ$2))+(($H312-ROUNDDOWN($H312,0))*((INDEX(avoidedcosttbl2,ROUNDUP($H312,0),AZ$2))-(INDEX(avoidedcosttbl2,ROUNDDOWN($H312,0),AZ$2)))))*$O312*1000*('Inputs Yr 2'!AA312+'Inputs Yr 2'!AB312),"")</f>
        <v/>
      </c>
      <c r="BA312" s="198">
        <f t="shared" si="154"/>
        <v>0</v>
      </c>
      <c r="BB312" s="198">
        <f t="shared" si="155"/>
        <v>0</v>
      </c>
      <c r="BC312" s="195" t="str">
        <f t="shared" si="137"/>
        <v/>
      </c>
      <c r="BD312" s="195" t="str">
        <f t="shared" si="138"/>
        <v/>
      </c>
      <c r="BE312" s="195" t="str">
        <f t="shared" si="139"/>
        <v/>
      </c>
      <c r="BF312" s="195" t="str">
        <f t="shared" si="140"/>
        <v/>
      </c>
      <c r="BG312" s="195" t="str">
        <f t="shared" si="141"/>
        <v/>
      </c>
      <c r="BH312" s="196">
        <f t="shared" si="156"/>
        <v>0</v>
      </c>
      <c r="BI312" s="196">
        <f t="shared" si="157"/>
        <v>0</v>
      </c>
      <c r="BJ312" s="195" t="str">
        <f>IFERROR($G312*(IF('Inputs Yr 2'!$AJ312=BJ$4,'Inputs Yr 2'!$AK312,IF('Inputs Yr 2'!$AL312=BJ$4,'Inputs Yr 2'!$AM312,IF('Inputs Yr 2'!$AN312=BJ$4,'Inputs Yr 2'!$AO312,0))))*(INDEX(avoidedcosttbl2,$H312,BJ$2)+(($H312-ROUNDDOWN($H312,0))*(INDEX(avoidedcosttbl2,ROUNDUP($H312,0),BJ$2)-(INDEX(avoidedcosttbl2,ROUNDDOWN($H312,0),BJ$2)))))*'Inputs Yr 2'!P312*'Inputs Yr 2'!Q312*'Inputs Yr 2'!U312,"")</f>
        <v/>
      </c>
      <c r="BK312" s="195" t="str">
        <f>IFERROR($G312*(IF('Inputs Yr 2'!$AJ312=BK$4,'Inputs Yr 2'!$AK312,IF('Inputs Yr 2'!$AL312=BK$4,'Inputs Yr 2'!$AM312,IF('Inputs Yr 2'!$AN312=BK$4,'Inputs Yr 2'!$AO312,0))))*(INDEX(avoidedcosttbl2,$H312,BK$2)+(($H312-ROUNDDOWN($H312,0))*(INDEX(avoidedcosttbl2,ROUNDUP($H312,0),BK$2)-(INDEX(avoidedcosttbl2,ROUNDDOWN($H312,0),BK$2)))))*'Inputs Yr 2'!P312*'Inputs Yr 2'!Q312*'Inputs Yr 2'!U312,"")</f>
        <v/>
      </c>
      <c r="BL312" s="195" t="str">
        <f>IFERROR($G312*(IF('Inputs Yr 2'!$AJ312=BL$4,'Inputs Yr 2'!$AK312,IF('Inputs Yr 2'!$AL312=BL$4,'Inputs Yr 2'!$AM312,IF('Inputs Yr 2'!$AN312=BL$4,'Inputs Yr 2'!$AO312,0))))*(INDEX(avoidedcosttbl2,$H312,BL$2)+(($H312-ROUNDDOWN($H312,0))*(INDEX(avoidedcosttbl2,ROUNDUP($H312,0),BL$2)-(INDEX(avoidedcosttbl2,ROUNDDOWN($H312,0),BL$2)))))*'Inputs Yr 2'!P312*'Inputs Yr 2'!Q312*'Inputs Yr 2'!U312,"")</f>
        <v/>
      </c>
      <c r="BM312" s="195" t="str">
        <f>IFERROR($G312*(IF('Inputs Yr 2'!$AJ312=BM$4,'Inputs Yr 2'!$AK312,IF('Inputs Yr 2'!$AL312=BM$4,'Inputs Yr 2'!$AM312,IF('Inputs Yr 2'!$AN312=BM$4,'Inputs Yr 2'!$AO312,0))))*(INDEX(avoidedcosttbl2,$H312,BM$2)+(($H312-ROUNDDOWN($H312,0))*(INDEX(avoidedcosttbl2,ROUNDUP($H312,0),BM$2)-(INDEX(avoidedcosttbl2,ROUNDDOWN($H312,0),BM$2)))))*'Inputs Yr 2'!P312*'Inputs Yr 2'!Q312*'Inputs Yr 2'!U312,"")</f>
        <v/>
      </c>
      <c r="BN312" s="195" t="str">
        <f>IFERROR($G312*(IF('Inputs Yr 2'!$AJ312=BN$4,'Inputs Yr 2'!$AK312,IF('Inputs Yr 2'!$AL312=BN$4,'Inputs Yr 2'!$AM312,IF('Inputs Yr 2'!$AN312=BN$4,'Inputs Yr 2'!$AO312,0))))*(INDEX(avoidedcosttbl2,$H312,BN$2)+(($H312-ROUNDDOWN($H312,0))*(INDEX(avoidedcosttbl2,ROUNDUP($H312,0),BN$2)-(INDEX(avoidedcosttbl2,ROUNDDOWN($H312,0),BN$2)))))*'Inputs Yr 2'!P312*'Inputs Yr 2'!Q312*'Inputs Yr 2'!U312,"")</f>
        <v/>
      </c>
      <c r="BO312" s="195" t="str">
        <f>IFERROR($G312*(IF('Inputs Yr 2'!$AJ312=BO$4,'Inputs Yr 2'!$AK312,IF('Inputs Yr 2'!$AL312=BO$4,'Inputs Yr 2'!$AM312,IF('Inputs Yr 2'!$AN312=BO$4,'Inputs Yr 2'!$AO312,0))))*(INDEX(avoidedcosttbl2,$H312,BO$2)+(($H312-ROUNDDOWN($H312,0))*(INDEX(avoidedcosttbl2,ROUNDUP($H312,0),BO$2)-(INDEX(avoidedcosttbl2,ROUNDDOWN($H312,0),BO$2)))))*'Inputs Yr 2'!P312*'Inputs Yr 2'!Q312*'Inputs Yr 2'!U312,"")</f>
        <v/>
      </c>
      <c r="BP312" s="195" t="str">
        <f>IFERROR($G312*(IF('Inputs Yr 2'!$AJ312=BP$4,'Inputs Yr 2'!$AK312,IF('Inputs Yr 2'!$AL312=BP$4,'Inputs Yr 2'!$AM312,IF('Inputs Yr 2'!$AN312=BP$4,'Inputs Yr 2'!$AO312,0))))*(INDEX(avoidedcosttbl2,$H312,BP$2)+(($H312-ROUNDDOWN($H312,0))*(INDEX(avoidedcosttbl2,ROUNDUP($H312,0),BP$2)-(INDEX(avoidedcosttbl2,ROUNDDOWN($H312,0),BP$2)))))*'Inputs Yr 2'!P312*'Inputs Yr 2'!Q312*'Inputs Yr 2'!U312,"")</f>
        <v/>
      </c>
      <c r="BQ312" s="230">
        <f t="shared" si="158"/>
        <v>0</v>
      </c>
      <c r="BR312" s="197">
        <f t="shared" si="142"/>
        <v>0</v>
      </c>
      <c r="BS312" s="197" t="str">
        <f>IFERROR(($G312*IF('Inputs Yr 2'!$AJ312=BM$4,'Inputs Yr 2'!$AK312,IF('Inputs Yr 2'!$AL312=BM$4,'Inputs Yr 2'!$AM312,IF('Inputs Yr 2'!$AN312=BM$4,'Inputs Yr 2'!$AO312,0))))*(INDEX(avoidedcosttbl2,$H312,BS$2)+(($H312-ROUNDDOWN($H312,0))*(INDEX(avoidedcosttbl2,ROUNDUP($H312,0),BS$2)-(INDEX(avoidedcosttbl2,ROUNDDOWN($H312,0),BS$2)))))*'Inputs Yr 2'!P312*'Inputs Yr 2'!Q312*'Inputs Yr 2'!U312,"")</f>
        <v/>
      </c>
      <c r="BT312" s="197" t="str">
        <f>IFERROR(($G312*IF('Inputs Yr 2'!$AJ312=BK$4,'Inputs Yr 2'!$AK312,IF('Inputs Yr 2'!$AL312=BK$4,'Inputs Yr 2'!$AM312,IF('Inputs Yr 2'!$AN312=BK$4,'Inputs Yr 2'!$AO312,0))))*(INDEX(avoidedcosttbl2,$H312,BT$2)+(($H312-ROUNDDOWN($H312,0))*(INDEX(avoidedcosttbl2,ROUNDUP($H312,0),BT$2)-(INDEX(avoidedcosttbl2,ROUNDDOWN($H312,0),BT$2)))))*'Inputs Yr 2'!P312*'Inputs Yr 2'!Q312*'Inputs Yr 2'!U312,"")</f>
        <v/>
      </c>
      <c r="BU312" s="197" t="str">
        <f>IFERROR(($G312*IF('Inputs Yr 2'!$AJ312=BL$4,'Inputs Yr 2'!$AK312,IF('Inputs Yr 2'!$AL312=BL$4,'Inputs Yr 2'!$AM312,IF('Inputs Yr 2'!$AN312=BL$4,'Inputs Yr 2'!$AO312,0))))*(INDEX(avoidedcosttbl2,$H312,BU$2)+(($H312-ROUNDDOWN($H312,0))*(INDEX(avoidedcosttbl2,ROUNDUP($H312,0),BU$2)-(INDEX(avoidedcosttbl2,ROUNDDOWN($H312,0),BU$2)))))*'Inputs Yr 2'!P312*'Inputs Yr 2'!Q312*'Inputs Yr 2'!U312,"")</f>
        <v/>
      </c>
      <c r="BV312" s="775" t="str">
        <f>IFERROR(($G312*IF('Inputs Yr 2'!$AJ312=BJ$4,'Inputs Yr 2'!$AK312,IF('Inputs Yr 2'!$AL312=BJ$4,'Inputs Yr 2'!$AM312,IF('Inputs Yr 2'!$AN312=BJ$4,'Inputs Yr 2'!$AO312,0))))*(INDEX(avoidedcosttbl2,$H312,BV$2)+(($H312-ROUNDDOWN($H312,0))*(INDEX(avoidedcosttbl2,ROUNDUP($H312,0),BV$2)-(INDEX(avoidedcosttbl2,ROUNDDOWN($H312,0),BV$2)))))*'Inputs Yr 2'!P312*'Inputs Yr 2'!Q312*'Inputs Yr 2'!U312,"")</f>
        <v/>
      </c>
      <c r="BW312" s="197" t="str">
        <f>IFERROR(($G312*IF('Inputs Yr 2'!$AJ312=BN$4,'Inputs Yr 2'!$AK312,IF('Inputs Yr 2'!$AL312=BN$4,'Inputs Yr 2'!$AM312,IF('Inputs Yr 2'!$AN312=BN$4,'Inputs Yr 2'!$AO312,0))))*(INDEX(avoidedcosttbl2,$H312,BW$2)+(($H312-ROUNDDOWN($H312,0))*(INDEX(avoidedcosttbl2,ROUNDUP($H312,0),BW$2)-(INDEX(avoidedcosttbl2,ROUNDDOWN($H312,0),BW$2)))))*'Inputs Yr 2'!P312*'Inputs Yr 2'!Q312*'Inputs Yr 2'!U312,"")</f>
        <v/>
      </c>
      <c r="BX312" s="197" t="str">
        <f>IFERROR(($G312*IF('Inputs Yr 2'!$AJ312=BO$4,'Inputs Yr 2'!$AK312,IF('Inputs Yr 2'!$AL312=BO$4,'Inputs Yr 2'!$AM312,IF('Inputs Yr 2'!$AN312=BO$4,'Inputs Yr 2'!$AO312,0))))*(INDEX(avoidedcosttbl2,$H312,BX$2)+(($H312-ROUNDDOWN($H312,0))*(INDEX(avoidedcosttbl2,ROUNDUP($H312,0),BX$2)-(INDEX(avoidedcosttbl2,ROUNDDOWN($H312,0),BX$2)))))*'Inputs Yr 2'!P312*'Inputs Yr 2'!Q312*'Inputs Yr 2'!U312,"")</f>
        <v/>
      </c>
      <c r="BY312" s="197" t="str">
        <f>IFERROR(($G312*IF('Inputs Yr 2'!$AJ312=BP$4,'Inputs Yr 2'!$AK312,IF('Inputs Yr 2'!$AL312=BP$4,'Inputs Yr 2'!$AM312,IF('Inputs Yr 2'!$AN312=BP$4,'Inputs Yr 2'!$AO312,0))))*(INDEX(avoidedcosttbl2,$H312,BY$2)+(($H312-ROUNDDOWN($H312,0))*(INDEX(avoidedcosttbl2,ROUNDUP($H312,0),BY$2)-(INDEX(avoidedcosttbl2,ROUNDDOWN($H312,0),BY$2)))))*'Inputs Yr 2'!P312*'Inputs Yr 2'!Q312*'Inputs Yr 2'!U312,"")</f>
        <v/>
      </c>
      <c r="BZ312" s="193">
        <f t="shared" si="159"/>
        <v>0</v>
      </c>
      <c r="CA312" s="193">
        <f t="shared" si="160"/>
        <v>0</v>
      </c>
      <c r="CB312" s="195" t="str">
        <f>IFERROR(G312*(IF('Inputs Yr 2'!$AJ312=CB$4,'Inputs Yr 2'!$AK312,IF('Inputs Yr 2'!$AL312=CB$4,'Inputs Yr 2'!$AM312,IF('Inputs Yr 2'!$AN312=CB$4,'Inputs Yr 2'!$AO312,0))))*(INDEX(avoidedcosttbl2,$H312,CB$2)+(($H312-ROUNDDOWN($H312,0))*(INDEX(avoidedcosttbl2,ROUNDUP($H312,0),CB$2)-(INDEX(avoidedcosttbl2,ROUNDDOWN($H312,0),CB$2)))))*'Inputs Yr 2'!P312*'Inputs Yr 2'!Q312*'Inputs Yr 2'!U312,"")</f>
        <v/>
      </c>
      <c r="CC312" s="195">
        <f>IFERROR(H312*(IF('Inputs Yr 2'!$AJ312=CC$4,'Inputs Yr 2'!$AK312,IF('Inputs Yr 2'!$AL312=CC$4,'Inputs Yr 2'!$AM312,IF('Inputs Yr 2'!$AN312=CC$4,'Inputs Yr 2'!$AO312,0))))*(INDEX(avoidedcosttbl2,$H312,CC$2)+(($H312-ROUNDDOWN($H312,0))*(INDEX(avoidedcosttbl2,ROUNDUP($H312,0),CC$2)-(INDEX(avoidedcosttbl2,ROUNDDOWN($H312,0),CC$2)))))*'Inputs Yr 2'!Q312*'Inputs Yr 2'!R312*'Inputs Yr 2'!V312,"")</f>
        <v>0</v>
      </c>
      <c r="CD312" s="195" t="str">
        <f>IFERROR(I312*(IF('Inputs Yr 2'!$AJ312=CD$4,'Inputs Yr 2'!$AK312,IF('Inputs Yr 2'!$AL312=CD$4,'Inputs Yr 2'!$AM312,IF('Inputs Yr 2'!$AN312=CD$4,'Inputs Yr 2'!$AO312,0))))*(INDEX(avoidedcosttbl2,$H312,CD$2)+(($H312-ROUNDDOWN($H312,0))*(INDEX(avoidedcosttbl2,ROUNDUP($H312,0),CD$2)-(INDEX(avoidedcosttbl2,ROUNDDOWN($H312,0),CD$2)))))*'Inputs Yr 2'!R312*'Inputs Yr 2'!S312*'Inputs Yr 2'!W312,"")</f>
        <v/>
      </c>
      <c r="CE312" s="213">
        <f t="shared" si="161"/>
        <v>0</v>
      </c>
      <c r="CF312" s="213">
        <f t="shared" si="162"/>
        <v>0</v>
      </c>
      <c r="CG312" s="213">
        <f t="shared" si="163"/>
        <v>0</v>
      </c>
      <c r="CH312" s="698">
        <f t="shared" si="164"/>
        <v>0</v>
      </c>
      <c r="CI312" s="79" t="str">
        <f>IFERROR(($G312*'Inputs Yr 2'!$P312*'Inputs Yr 2'!$Q312*(((INDEX(avoidedcosttbl2,$H312,CI$2)+(($H312-ROUNDDOWN($H312,0))*(INDEX(avoidedcosttbl2,ROUNDUP($H312,0),CI$2)-INDEX(avoidedcosttbl2,ROUNDDOWN($H312,0),CI$2))))*'Inputs Yr 2'!AS312))),"")</f>
        <v/>
      </c>
      <c r="CJ312" s="504" t="str">
        <f>IFERROR($G312*'Inputs Yr 2'!AT312*'Inputs Yr 2'!$P312*'Inputs Yr 2'!$Q312/((1+realdiscrt1)^-0.5),"")</f>
        <v/>
      </c>
      <c r="CK312" s="79" t="str">
        <f>IFERROR((O312*1000*(((INDEX(avoidedcosttbl2,$H312,CK$2)+(($H312-ROUNDDOWN($H312,0))*(INDEX(avoidedcosttbl2,ROUNDUP($H312,0),CK$2)-INDEX(avoidedcosttbl2,ROUNDDOWN($H312,0),CK$2))))*'Inputs Yr 2'!AU312))),"")</f>
        <v/>
      </c>
      <c r="CL312" s="504" t="str">
        <f>IFERROR(O312*1000*'Inputs Yr 2'!AV312/((1+realdiscrt1)^-0.5),"")</f>
        <v/>
      </c>
      <c r="CM312" s="79">
        <f>IFERROR((AB312*'Inputs Yr 2'!AW312*(((INDEX(avoidedcosttbl2,$H312,CM$2)+(($H312-ROUNDDOWN($H312,0))*(INDEX(avoidedcosttbl2,ROUNDUP($H312,0),CM$2)-INDEX(avoidedcosttbl2,ROUNDDOWN($H312,0),CM$2)))))))*10,"")</f>
        <v>0</v>
      </c>
      <c r="CN312" s="504">
        <f>IFERROR(10*AB312*'Inputs Yr 2'!AX312/((1+realdiscrt1)^-0.5),"")</f>
        <v>0</v>
      </c>
      <c r="CO312" s="505">
        <f t="shared" si="165"/>
        <v>0</v>
      </c>
      <c r="CP312" s="230">
        <f t="shared" si="166"/>
        <v>0</v>
      </c>
      <c r="CQ312" s="199">
        <f>ROUND(IFERROR(IF(LEFT($A312,1)="C",'Avoided Costs'!$K$13,'Avoided Costs'!$K$12)+1,""),4)</f>
        <v>1.0720000000000001</v>
      </c>
      <c r="CR312" s="199">
        <f>ROUND(IFERROR(IF(LEFT($A312,1)="C",'Avoided Costs'!$L$13,'Avoided Costs'!$L$12)+1,""),4)</f>
        <v>1.04</v>
      </c>
      <c r="CS312" s="199">
        <f>ROUND(IFERROR(IF(LEFT($A312,1)="C",'Avoided Costs'!$M$13,'Avoided Costs'!$M$12)+1,""),4)</f>
        <v>1.0720000000000001</v>
      </c>
      <c r="CT312" s="199">
        <f>ROUND(IFERROR(IF(LEFT($A312,1)="C",'Avoided Costs'!$N$13,'Avoided Costs'!$N$12)+1,""),4)</f>
        <v>1.04</v>
      </c>
      <c r="CU312" s="199">
        <f>ROUND(IFERROR(IF(LEFT($A312,1)="C",'Avoided Costs'!$O$13,'Avoided Costs'!$O$12)+1,""),4)</f>
        <v>1.1120000000000001</v>
      </c>
      <c r="CV312" s="199">
        <f>ROUND(IFERROR(IF(LEFT($A312,1)="C",'Avoided Costs'!$P$13,'Avoided Costs'!$P$12)+1,""),4)</f>
        <v>1.095</v>
      </c>
      <c r="CW312" s="199">
        <f>ROUND(IFERROR(IF(LEFT($A312,1)="C",'Avoided Costs'!$Q$13,'Avoided Costs'!$Q$12)+1,""),4)</f>
        <v>1.1120000000000001</v>
      </c>
      <c r="CX312" s="200">
        <f>ROUND(IFERROR(IF(LEFT($A312,1)="C",'Avoided Costs'!$R$13,'Avoided Costs'!$R$12)+1,""),4)</f>
        <v>1.1120000000000001</v>
      </c>
    </row>
    <row r="313" spans="1:102" ht="12.75" customHeight="1">
      <c r="A313" s="91" t="str">
        <f>IF('Inputs Yr 2'!$B313=0,"",'Inputs Yr 2'!A313)</f>
        <v>C - Commercial &amp; Industrial</v>
      </c>
      <c r="B313" s="91" t="str">
        <f>IF('Inputs Yr 2'!$B313=0,"",'Inputs Yr 2'!B313)</f>
        <v>C2 - C&amp;I Retrofit</v>
      </c>
      <c r="C313" s="91" t="str">
        <f>IF('Inputs Yr 2'!$B313=0,"",'Inputs Yr 2'!C313)</f>
        <v>C2b - C&amp;I Small Business</v>
      </c>
      <c r="D313" s="91" t="str">
        <f>IF('Inputs Yr 2'!$B313=0,"",'Inputs Yr 2'!E313)</f>
        <v>Wi-Fi Thermostat (controls elec cooling &amp; gas heat )</v>
      </c>
      <c r="E313" s="93" t="str">
        <f>IF('Inputs Yr 2'!$B313=0,"",'Inputs Yr 2'!F313)</f>
        <v>G16C2b18</v>
      </c>
      <c r="F313" s="93" t="str">
        <f>IF('Inputs Yr 2'!$B313=0,"",'Inputs Yr 2'!G313)</f>
        <v>HVAC</v>
      </c>
      <c r="G313" s="95" t="str">
        <f>IF('Inputs Yr 2'!$H313&lt;&gt;0,('Inputs Yr 2'!H313),"")</f>
        <v/>
      </c>
      <c r="H313" s="94">
        <f>IFERROR('Inputs Yr 2'!I313,"")</f>
        <v>15</v>
      </c>
      <c r="I313" s="298" t="str">
        <f>IFERROR('Inputs Yr 2'!J313*'Inputs Yr 2'!P313*G313,"")</f>
        <v/>
      </c>
      <c r="J313" s="298" t="str">
        <f>IFERROR('Inputs Yr 2'!K313*G313,"")</f>
        <v/>
      </c>
      <c r="K313" s="298" t="str">
        <f t="shared" si="143"/>
        <v/>
      </c>
      <c r="L313" s="194" t="str">
        <f>IFERROR(('Inputs Yr 2'!W313*G313)/1000,"")</f>
        <v/>
      </c>
      <c r="M313" s="194" t="str">
        <f>IFERROR(L313*('Inputs Yr 2'!$Q313*'Inputs Yr 2'!$V313*'Inputs Yr 2'!$R313),"")</f>
        <v/>
      </c>
      <c r="N313" s="194" t="str">
        <f t="shared" si="144"/>
        <v/>
      </c>
      <c r="O313" s="194" t="str">
        <f>IFERROR(M313*'Inputs Yr 2'!P313,"")</f>
        <v/>
      </c>
      <c r="P313" s="194" t="str">
        <f t="shared" si="145"/>
        <v/>
      </c>
      <c r="Q313" s="194" t="str">
        <f>IFERROR($P313*'Inputs Yr 2'!AA313,"")</f>
        <v/>
      </c>
      <c r="R313" s="194" t="str">
        <f>IFERROR($P313*'Inputs Yr 2'!AB313,"")</f>
        <v/>
      </c>
      <c r="S313" s="194" t="str">
        <f>IFERROR($P313*'Inputs Yr 2'!AC313,"")</f>
        <v/>
      </c>
      <c r="T313" s="194" t="str">
        <f>IFERROR($P313*'Inputs Yr 2'!AD313,"")</f>
        <v/>
      </c>
      <c r="U313" s="194" t="str">
        <f>IFERROR(G313*'Inputs Yr 2'!$AE313*'Inputs Yr 2'!$P313*'Inputs Yr 2'!$Q313,"")</f>
        <v/>
      </c>
      <c r="V313" s="194" t="str">
        <f>IFERROR($G313*'Inputs Yr 2'!$AE313*'Inputs Yr 2'!$AG313*'Inputs Yr 2'!Q313*'Inputs Yr 2'!$S313,"")</f>
        <v/>
      </c>
      <c r="W313" s="194" t="str">
        <f>IFERROR($G313*'Inputs Yr 2'!$AE313*'Inputs Yr 2'!$AG313*'Inputs Yr 2'!P313*'Inputs Yr 2'!Q313*'Inputs Yr 2'!$S313,"")</f>
        <v/>
      </c>
      <c r="X313" s="194" t="str">
        <f>IFERROR($G313*'Inputs Yr 2'!$AE313*'Inputs Yr 2'!$AF313*'Inputs Yr 2'!Q313*'Inputs Yr 2'!$T313,"")</f>
        <v/>
      </c>
      <c r="Y313" s="194" t="str">
        <f>IFERROR($G313*'Inputs Yr 2'!$AE313*'Inputs Yr 2'!$AF313*'Inputs Yr 2'!P313*'Inputs Yr 2'!Q313*'Inputs Yr 2'!$T313,"")</f>
        <v/>
      </c>
      <c r="Z313" s="257">
        <f>IFERROR($G313*'Inputs Yr 2'!$Q313*'Inputs Yr 2'!$U313*(IF(IFERROR(SEARCH("NG", 'Inputs Yr 2'!$AJ313),0),'Inputs Yr 2'!$AK313,0)+IF(IFERROR(SEARCH("NG", 'Inputs Yr 2'!$AL313),0),'Inputs Yr 2'!$AM313,0)+IF(IFERROR(SEARCH("NG", 'Inputs Yr 2'!$AN313),0),'Inputs Yr 2'!$AO313,0)),0)</f>
        <v>0</v>
      </c>
      <c r="AA313" s="257">
        <f t="shared" si="146"/>
        <v>0</v>
      </c>
      <c r="AB313" s="257">
        <f>IFERROR(Z313*'Inputs Yr 2'!$P313,0)</f>
        <v>0</v>
      </c>
      <c r="AC313" s="257">
        <f t="shared" si="147"/>
        <v>0</v>
      </c>
      <c r="AD313" s="257">
        <f>IFERROR($G313*'Inputs Yr 2'!$Q313*'Inputs Yr 2'!$U313*(IF(IFERROR(SEARCH("Oil", 'Inputs Yr 2'!$AJ313), 0),'Inputs Yr 2'!$AK313,0)+IF(IFERROR(SEARCH("Oil", 'Inputs Yr 2'!$AL313), 0),'Inputs Yr 2'!$AM313,0)+IF(IFERROR(SEARCH("Oil", 'Inputs Yr 2'!$AN313), 0),'Inputs Yr 2'!$AO313,0)),0)</f>
        <v>0</v>
      </c>
      <c r="AE313" s="257">
        <f t="shared" si="148"/>
        <v>0</v>
      </c>
      <c r="AF313" s="257">
        <f>IFERROR(AD313*'Inputs Yr 2'!$P313,0)</f>
        <v>0</v>
      </c>
      <c r="AG313" s="257">
        <f t="shared" si="149"/>
        <v>0</v>
      </c>
      <c r="AH313" s="257">
        <f>IFERROR($G313*'Inputs Yr 2'!$Q313*'Inputs Yr 2'!$U313*(IF('Inputs Yr 2'!$AJ313=CD$4,'Inputs Yr 2'!$AK313,IF('Inputs Yr 2'!$AL313=CD$4,'Inputs Yr 2'!$AM313,IF('Inputs Yr 2'!$AN313=CD$4,'Inputs Yr 2'!$AO313,0)))),0)</f>
        <v>0</v>
      </c>
      <c r="AI313" s="257">
        <f t="shared" si="150"/>
        <v>0</v>
      </c>
      <c r="AJ313" s="257">
        <f>IFERROR(AH313*'Inputs Yr 2'!$P313,0)</f>
        <v>0</v>
      </c>
      <c r="AK313" s="257">
        <f t="shared" si="151"/>
        <v>0</v>
      </c>
      <c r="AL313" s="258">
        <f>IFERROR($G313*'Inputs Yr 2'!$P313*'Inputs Yr 2'!$Q313*'Inputs Yr 2'!AP313,0)</f>
        <v>0</v>
      </c>
      <c r="AM313" s="260">
        <f>IFERROR($G313*'Inputs Yr 2'!$P313*'Inputs Yr 2'!$Q313*'Inputs Yr 2'!AQ313,0)</f>
        <v>0</v>
      </c>
      <c r="AN313" s="258">
        <f>IFERROR($G313*'Inputs Yr 2'!$P313*'Inputs Yr 2'!$Q313*'Inputs Yr 2'!AR313,0)</f>
        <v>0</v>
      </c>
      <c r="AO313" s="257">
        <f t="shared" si="152"/>
        <v>0</v>
      </c>
      <c r="AP313" s="195" t="str">
        <f>IFERROR($CQ313*(INDEX(avoidedcosttbl2,$H313,AP$2)+(($H313-ROUNDDOWN($H313,0))*(INDEX(avoidedcosttbl2,ROUNDUP($H313,0),AP$2)-(INDEX(avoidedcosttbl2,ROUNDDOWN($H313,0),AP$2)))))*$O313*1000*'Inputs Yr 2'!AA313,"")</f>
        <v/>
      </c>
      <c r="AQ313" s="195" t="str">
        <f>IFERROR($CR313*(INDEX(avoidedcosttbl2,$H313,AQ$2)+(($H313-ROUNDDOWN($H313,0))*(INDEX(avoidedcosttbl2,ROUNDUP($H313,0),AQ$2)-(INDEX(avoidedcosttbl2,ROUNDDOWN($H313,0),AQ$2)))))*$O313*1000*'Inputs Yr 2'!AB313,"")</f>
        <v/>
      </c>
      <c r="AR313" s="195" t="str">
        <f>IFERROR($CS313*(INDEX(avoidedcosttbl2,$H313,AR$2)+(($H313-ROUNDDOWN($H313,0))*(INDEX(avoidedcosttbl2,ROUNDUP($H313,0),AR$2)-(INDEX(avoidedcosttbl2,ROUNDDOWN($H313,0),AR$2)))))*$O313*1000*'Inputs Yr 2'!AC313,"")</f>
        <v/>
      </c>
      <c r="AS313" s="195" t="str">
        <f>IFERROR($CT313*(INDEX(avoidedcosttbl2,$H313,AS$2)+(($H313-ROUNDDOWN($H313,0))*(INDEX(avoidedcosttbl2,ROUNDUP($H313,0),AS$2)-(INDEX(avoidedcosttbl2,ROUNDDOWN($H313,0),AS$2)))))*$O313*1000*'Inputs Yr 2'!AD313,"")</f>
        <v/>
      </c>
      <c r="AT313" s="196">
        <f t="shared" si="153"/>
        <v>0</v>
      </c>
      <c r="AU313" s="197" t="str">
        <f>IFERROR($CQ313*((INDEX(avoidedcosttbl2,$H313,AU$2))+(($H313-ROUNDDOWN($H313,0))*((INDEX(avoidedcosttbl2,ROUNDUP($H313,0),AU$2))-(INDEX(avoidedcosttbl2,ROUNDDOWN($H313,0),AU$2)))))*$O313*1000*'Inputs Yr 2'!AA313,"")</f>
        <v/>
      </c>
      <c r="AV313" s="197" t="str">
        <f>IFERROR($CR313*((INDEX(avoidedcosttbl2,$H313,AV$2))+(($H313-ROUNDDOWN($H313,0))*((INDEX(avoidedcosttbl2,ROUNDUP($H313,0),AV$2))-(INDEX(avoidedcosttbl2,ROUNDDOWN($H313,0),AV$2)))))*$O313*1000*'Inputs Yr 2'!AB313,"")</f>
        <v/>
      </c>
      <c r="AW313" s="197" t="str">
        <f>IFERROR($CS313*((INDEX(avoidedcosttbl2,$H313,AW$2))+(($H313-ROUNDDOWN($H313,0))*((INDEX(avoidedcosttbl2,ROUNDUP($H313,0),AW$2))-(INDEX(avoidedcosttbl2,ROUNDDOWN($H313,0),AW$2)))))*$O313*1000*'Inputs Yr 2'!AC313,"")</f>
        <v/>
      </c>
      <c r="AX313" s="197" t="str">
        <f>IFERROR($CT313*((INDEX(avoidedcosttbl2,$H313,AX$2))+(($H313-ROUNDDOWN($H313,0))*((INDEX(avoidedcosttbl2,ROUNDUP($H313,0),AX$2))-(INDEX(avoidedcosttbl2,ROUNDDOWN($H313,0),AX$2)))))*$O313*1000*'Inputs Yr 2'!AD313,"")</f>
        <v/>
      </c>
      <c r="AY313" s="197" t="str">
        <f>IFERROR(((INDEX(avoidedcosttbl2,$H313,AY$2))+(($H313-ROUNDDOWN($H313,0))*((INDEX(avoidedcosttbl2,ROUNDUP($H313,0),AY$2))-(INDEX(avoidedcosttbl2,ROUNDDOWN($H313,0),AY$2)))))*$O313*1000*('Inputs Yr 2'!AC313+'Inputs Yr 2'!AD313),"")</f>
        <v/>
      </c>
      <c r="AZ313" s="197" t="str">
        <f>IFERROR(((INDEX(avoidedcosttbl2,$H313,AZ$2))+(($H313-ROUNDDOWN($H313,0))*((INDEX(avoidedcosttbl2,ROUNDUP($H313,0),AZ$2))-(INDEX(avoidedcosttbl2,ROUNDDOWN($H313,0),AZ$2)))))*$O313*1000*('Inputs Yr 2'!AA313+'Inputs Yr 2'!AB313),"")</f>
        <v/>
      </c>
      <c r="BA313" s="198">
        <f t="shared" si="154"/>
        <v>0</v>
      </c>
      <c r="BB313" s="198">
        <f t="shared" si="155"/>
        <v>0</v>
      </c>
      <c r="BC313" s="195" t="str">
        <f t="shared" si="137"/>
        <v/>
      </c>
      <c r="BD313" s="195" t="str">
        <f t="shared" si="138"/>
        <v/>
      </c>
      <c r="BE313" s="195" t="str">
        <f t="shared" si="139"/>
        <v/>
      </c>
      <c r="BF313" s="195" t="str">
        <f t="shared" si="140"/>
        <v/>
      </c>
      <c r="BG313" s="195" t="str">
        <f t="shared" si="141"/>
        <v/>
      </c>
      <c r="BH313" s="196">
        <f t="shared" si="156"/>
        <v>0</v>
      </c>
      <c r="BI313" s="196">
        <f t="shared" si="157"/>
        <v>0</v>
      </c>
      <c r="BJ313" s="195" t="str">
        <f>IFERROR($G313*(IF('Inputs Yr 2'!$AJ313=BJ$4,'Inputs Yr 2'!$AK313,IF('Inputs Yr 2'!$AL313=BJ$4,'Inputs Yr 2'!$AM313,IF('Inputs Yr 2'!$AN313=BJ$4,'Inputs Yr 2'!$AO313,0))))*(INDEX(avoidedcosttbl2,$H313,BJ$2)+(($H313-ROUNDDOWN($H313,0))*(INDEX(avoidedcosttbl2,ROUNDUP($H313,0),BJ$2)-(INDEX(avoidedcosttbl2,ROUNDDOWN($H313,0),BJ$2)))))*'Inputs Yr 2'!P313*'Inputs Yr 2'!Q313*'Inputs Yr 2'!U313,"")</f>
        <v/>
      </c>
      <c r="BK313" s="195" t="str">
        <f>IFERROR($G313*(IF('Inputs Yr 2'!$AJ313=BK$4,'Inputs Yr 2'!$AK313,IF('Inputs Yr 2'!$AL313=BK$4,'Inputs Yr 2'!$AM313,IF('Inputs Yr 2'!$AN313=BK$4,'Inputs Yr 2'!$AO313,0))))*(INDEX(avoidedcosttbl2,$H313,BK$2)+(($H313-ROUNDDOWN($H313,0))*(INDEX(avoidedcosttbl2,ROUNDUP($H313,0),BK$2)-(INDEX(avoidedcosttbl2,ROUNDDOWN($H313,0),BK$2)))))*'Inputs Yr 2'!P313*'Inputs Yr 2'!Q313*'Inputs Yr 2'!U313,"")</f>
        <v/>
      </c>
      <c r="BL313" s="195" t="str">
        <f>IFERROR($G313*(IF('Inputs Yr 2'!$AJ313=BL$4,'Inputs Yr 2'!$AK313,IF('Inputs Yr 2'!$AL313=BL$4,'Inputs Yr 2'!$AM313,IF('Inputs Yr 2'!$AN313=BL$4,'Inputs Yr 2'!$AO313,0))))*(INDEX(avoidedcosttbl2,$H313,BL$2)+(($H313-ROUNDDOWN($H313,0))*(INDEX(avoidedcosttbl2,ROUNDUP($H313,0),BL$2)-(INDEX(avoidedcosttbl2,ROUNDDOWN($H313,0),BL$2)))))*'Inputs Yr 2'!P313*'Inputs Yr 2'!Q313*'Inputs Yr 2'!U313,"")</f>
        <v/>
      </c>
      <c r="BM313" s="195" t="str">
        <f>IFERROR($G313*(IF('Inputs Yr 2'!$AJ313=BM$4,'Inputs Yr 2'!$AK313,IF('Inputs Yr 2'!$AL313=BM$4,'Inputs Yr 2'!$AM313,IF('Inputs Yr 2'!$AN313=BM$4,'Inputs Yr 2'!$AO313,0))))*(INDEX(avoidedcosttbl2,$H313,BM$2)+(($H313-ROUNDDOWN($H313,0))*(INDEX(avoidedcosttbl2,ROUNDUP($H313,0),BM$2)-(INDEX(avoidedcosttbl2,ROUNDDOWN($H313,0),BM$2)))))*'Inputs Yr 2'!P313*'Inputs Yr 2'!Q313*'Inputs Yr 2'!U313,"")</f>
        <v/>
      </c>
      <c r="BN313" s="195" t="str">
        <f>IFERROR($G313*(IF('Inputs Yr 2'!$AJ313=BN$4,'Inputs Yr 2'!$AK313,IF('Inputs Yr 2'!$AL313=BN$4,'Inputs Yr 2'!$AM313,IF('Inputs Yr 2'!$AN313=BN$4,'Inputs Yr 2'!$AO313,0))))*(INDEX(avoidedcosttbl2,$H313,BN$2)+(($H313-ROUNDDOWN($H313,0))*(INDEX(avoidedcosttbl2,ROUNDUP($H313,0),BN$2)-(INDEX(avoidedcosttbl2,ROUNDDOWN($H313,0),BN$2)))))*'Inputs Yr 2'!P313*'Inputs Yr 2'!Q313*'Inputs Yr 2'!U313,"")</f>
        <v/>
      </c>
      <c r="BO313" s="195" t="str">
        <f>IFERROR($G313*(IF('Inputs Yr 2'!$AJ313=BO$4,'Inputs Yr 2'!$AK313,IF('Inputs Yr 2'!$AL313=BO$4,'Inputs Yr 2'!$AM313,IF('Inputs Yr 2'!$AN313=BO$4,'Inputs Yr 2'!$AO313,0))))*(INDEX(avoidedcosttbl2,$H313,BO$2)+(($H313-ROUNDDOWN($H313,0))*(INDEX(avoidedcosttbl2,ROUNDUP($H313,0),BO$2)-(INDEX(avoidedcosttbl2,ROUNDDOWN($H313,0),BO$2)))))*'Inputs Yr 2'!P313*'Inputs Yr 2'!Q313*'Inputs Yr 2'!U313,"")</f>
        <v/>
      </c>
      <c r="BP313" s="195" t="str">
        <f>IFERROR($G313*(IF('Inputs Yr 2'!$AJ313=BP$4,'Inputs Yr 2'!$AK313,IF('Inputs Yr 2'!$AL313=BP$4,'Inputs Yr 2'!$AM313,IF('Inputs Yr 2'!$AN313=BP$4,'Inputs Yr 2'!$AO313,0))))*(INDEX(avoidedcosttbl2,$H313,BP$2)+(($H313-ROUNDDOWN($H313,0))*(INDEX(avoidedcosttbl2,ROUNDUP($H313,0),BP$2)-(INDEX(avoidedcosttbl2,ROUNDDOWN($H313,0),BP$2)))))*'Inputs Yr 2'!P313*'Inputs Yr 2'!Q313*'Inputs Yr 2'!U313,"")</f>
        <v/>
      </c>
      <c r="BQ313" s="230">
        <f t="shared" si="158"/>
        <v>0</v>
      </c>
      <c r="BR313" s="197">
        <f t="shared" si="142"/>
        <v>0</v>
      </c>
      <c r="BS313" s="197" t="str">
        <f>IFERROR(($G313*IF('Inputs Yr 2'!$AJ313=BM$4,'Inputs Yr 2'!$AK313,IF('Inputs Yr 2'!$AL313=BM$4,'Inputs Yr 2'!$AM313,IF('Inputs Yr 2'!$AN313=BM$4,'Inputs Yr 2'!$AO313,0))))*(INDEX(avoidedcosttbl2,$H313,BS$2)+(($H313-ROUNDDOWN($H313,0))*(INDEX(avoidedcosttbl2,ROUNDUP($H313,0),BS$2)-(INDEX(avoidedcosttbl2,ROUNDDOWN($H313,0),BS$2)))))*'Inputs Yr 2'!P313*'Inputs Yr 2'!Q313*'Inputs Yr 2'!U313,"")</f>
        <v/>
      </c>
      <c r="BT313" s="197" t="str">
        <f>IFERROR(($G313*IF('Inputs Yr 2'!$AJ313=BK$4,'Inputs Yr 2'!$AK313,IF('Inputs Yr 2'!$AL313=BK$4,'Inputs Yr 2'!$AM313,IF('Inputs Yr 2'!$AN313=BK$4,'Inputs Yr 2'!$AO313,0))))*(INDEX(avoidedcosttbl2,$H313,BT$2)+(($H313-ROUNDDOWN($H313,0))*(INDEX(avoidedcosttbl2,ROUNDUP($H313,0),BT$2)-(INDEX(avoidedcosttbl2,ROUNDDOWN($H313,0),BT$2)))))*'Inputs Yr 2'!P313*'Inputs Yr 2'!Q313*'Inputs Yr 2'!U313,"")</f>
        <v/>
      </c>
      <c r="BU313" s="197" t="str">
        <f>IFERROR(($G313*IF('Inputs Yr 2'!$AJ313=BL$4,'Inputs Yr 2'!$AK313,IF('Inputs Yr 2'!$AL313=BL$4,'Inputs Yr 2'!$AM313,IF('Inputs Yr 2'!$AN313=BL$4,'Inputs Yr 2'!$AO313,0))))*(INDEX(avoidedcosttbl2,$H313,BU$2)+(($H313-ROUNDDOWN($H313,0))*(INDEX(avoidedcosttbl2,ROUNDUP($H313,0),BU$2)-(INDEX(avoidedcosttbl2,ROUNDDOWN($H313,0),BU$2)))))*'Inputs Yr 2'!P313*'Inputs Yr 2'!Q313*'Inputs Yr 2'!U313,"")</f>
        <v/>
      </c>
      <c r="BV313" s="775" t="str">
        <f>IFERROR(($G313*IF('Inputs Yr 2'!$AJ313=BJ$4,'Inputs Yr 2'!$AK313,IF('Inputs Yr 2'!$AL313=BJ$4,'Inputs Yr 2'!$AM313,IF('Inputs Yr 2'!$AN313=BJ$4,'Inputs Yr 2'!$AO313,0))))*(INDEX(avoidedcosttbl2,$H313,BV$2)+(($H313-ROUNDDOWN($H313,0))*(INDEX(avoidedcosttbl2,ROUNDUP($H313,0),BV$2)-(INDEX(avoidedcosttbl2,ROUNDDOWN($H313,0),BV$2)))))*'Inputs Yr 2'!P313*'Inputs Yr 2'!Q313*'Inputs Yr 2'!U313,"")</f>
        <v/>
      </c>
      <c r="BW313" s="197" t="str">
        <f>IFERROR(($G313*IF('Inputs Yr 2'!$AJ313=BN$4,'Inputs Yr 2'!$AK313,IF('Inputs Yr 2'!$AL313=BN$4,'Inputs Yr 2'!$AM313,IF('Inputs Yr 2'!$AN313=BN$4,'Inputs Yr 2'!$AO313,0))))*(INDEX(avoidedcosttbl2,$H313,BW$2)+(($H313-ROUNDDOWN($H313,0))*(INDEX(avoidedcosttbl2,ROUNDUP($H313,0),BW$2)-(INDEX(avoidedcosttbl2,ROUNDDOWN($H313,0),BW$2)))))*'Inputs Yr 2'!P313*'Inputs Yr 2'!Q313*'Inputs Yr 2'!U313,"")</f>
        <v/>
      </c>
      <c r="BX313" s="197" t="str">
        <f>IFERROR(($G313*IF('Inputs Yr 2'!$AJ313=BO$4,'Inputs Yr 2'!$AK313,IF('Inputs Yr 2'!$AL313=BO$4,'Inputs Yr 2'!$AM313,IF('Inputs Yr 2'!$AN313=BO$4,'Inputs Yr 2'!$AO313,0))))*(INDEX(avoidedcosttbl2,$H313,BX$2)+(($H313-ROUNDDOWN($H313,0))*(INDEX(avoidedcosttbl2,ROUNDUP($H313,0),BX$2)-(INDEX(avoidedcosttbl2,ROUNDDOWN($H313,0),BX$2)))))*'Inputs Yr 2'!P313*'Inputs Yr 2'!Q313*'Inputs Yr 2'!U313,"")</f>
        <v/>
      </c>
      <c r="BY313" s="197" t="str">
        <f>IFERROR(($G313*IF('Inputs Yr 2'!$AJ313=BP$4,'Inputs Yr 2'!$AK313,IF('Inputs Yr 2'!$AL313=BP$4,'Inputs Yr 2'!$AM313,IF('Inputs Yr 2'!$AN313=BP$4,'Inputs Yr 2'!$AO313,0))))*(INDEX(avoidedcosttbl2,$H313,BY$2)+(($H313-ROUNDDOWN($H313,0))*(INDEX(avoidedcosttbl2,ROUNDUP($H313,0),BY$2)-(INDEX(avoidedcosttbl2,ROUNDDOWN($H313,0),BY$2)))))*'Inputs Yr 2'!P313*'Inputs Yr 2'!Q313*'Inputs Yr 2'!U313,"")</f>
        <v/>
      </c>
      <c r="BZ313" s="193">
        <f t="shared" si="159"/>
        <v>0</v>
      </c>
      <c r="CA313" s="193">
        <f t="shared" si="160"/>
        <v>0</v>
      </c>
      <c r="CB313" s="195" t="str">
        <f>IFERROR(G313*(IF('Inputs Yr 2'!$AJ313=CB$4,'Inputs Yr 2'!$AK313,IF('Inputs Yr 2'!$AL313=CB$4,'Inputs Yr 2'!$AM313,IF('Inputs Yr 2'!$AN313=CB$4,'Inputs Yr 2'!$AO313,0))))*(INDEX(avoidedcosttbl2,$H313,CB$2)+(($H313-ROUNDDOWN($H313,0))*(INDEX(avoidedcosttbl2,ROUNDUP($H313,0),CB$2)-(INDEX(avoidedcosttbl2,ROUNDDOWN($H313,0),CB$2)))))*'Inputs Yr 2'!P313*'Inputs Yr 2'!Q313*'Inputs Yr 2'!U313,"")</f>
        <v/>
      </c>
      <c r="CC313" s="195">
        <f>IFERROR(H313*(IF('Inputs Yr 2'!$AJ313=CC$4,'Inputs Yr 2'!$AK313,IF('Inputs Yr 2'!$AL313=CC$4,'Inputs Yr 2'!$AM313,IF('Inputs Yr 2'!$AN313=CC$4,'Inputs Yr 2'!$AO313,0))))*(INDEX(avoidedcosttbl2,$H313,CC$2)+(($H313-ROUNDDOWN($H313,0))*(INDEX(avoidedcosttbl2,ROUNDUP($H313,0),CC$2)-(INDEX(avoidedcosttbl2,ROUNDDOWN($H313,0),CC$2)))))*'Inputs Yr 2'!Q313*'Inputs Yr 2'!R313*'Inputs Yr 2'!V313,"")</f>
        <v>0</v>
      </c>
      <c r="CD313" s="195" t="str">
        <f>IFERROR(I313*(IF('Inputs Yr 2'!$AJ313=CD$4,'Inputs Yr 2'!$AK313,IF('Inputs Yr 2'!$AL313=CD$4,'Inputs Yr 2'!$AM313,IF('Inputs Yr 2'!$AN313=CD$4,'Inputs Yr 2'!$AO313,0))))*(INDEX(avoidedcosttbl2,$H313,CD$2)+(($H313-ROUNDDOWN($H313,0))*(INDEX(avoidedcosttbl2,ROUNDUP($H313,0),CD$2)-(INDEX(avoidedcosttbl2,ROUNDDOWN($H313,0),CD$2)))))*'Inputs Yr 2'!R313*'Inputs Yr 2'!S313*'Inputs Yr 2'!W313,"")</f>
        <v/>
      </c>
      <c r="CE313" s="213">
        <f t="shared" si="161"/>
        <v>0</v>
      </c>
      <c r="CF313" s="213">
        <f t="shared" si="162"/>
        <v>0</v>
      </c>
      <c r="CG313" s="213">
        <f t="shared" si="163"/>
        <v>0</v>
      </c>
      <c r="CH313" s="698">
        <f t="shared" si="164"/>
        <v>0</v>
      </c>
      <c r="CI313" s="79" t="str">
        <f>IFERROR(($G313*'Inputs Yr 2'!$P313*'Inputs Yr 2'!$Q313*(((INDEX(avoidedcosttbl2,$H313,CI$2)+(($H313-ROUNDDOWN($H313,0))*(INDEX(avoidedcosttbl2,ROUNDUP($H313,0),CI$2)-INDEX(avoidedcosttbl2,ROUNDDOWN($H313,0),CI$2))))*'Inputs Yr 2'!AS313))),"")</f>
        <v/>
      </c>
      <c r="CJ313" s="504" t="str">
        <f>IFERROR($G313*'Inputs Yr 2'!AT313*'Inputs Yr 2'!$P313*'Inputs Yr 2'!$Q313/((1+realdiscrt1)^-0.5),"")</f>
        <v/>
      </c>
      <c r="CK313" s="79" t="str">
        <f>IFERROR((O313*1000*(((INDEX(avoidedcosttbl2,$H313,CK$2)+(($H313-ROUNDDOWN($H313,0))*(INDEX(avoidedcosttbl2,ROUNDUP($H313,0),CK$2)-INDEX(avoidedcosttbl2,ROUNDDOWN($H313,0),CK$2))))*'Inputs Yr 2'!AU313))),"")</f>
        <v/>
      </c>
      <c r="CL313" s="504" t="str">
        <f>IFERROR(O313*1000*'Inputs Yr 2'!AV313/((1+realdiscrt1)^-0.5),"")</f>
        <v/>
      </c>
      <c r="CM313" s="79">
        <f>IFERROR((AB313*'Inputs Yr 2'!AW313*(((INDEX(avoidedcosttbl2,$H313,CM$2)+(($H313-ROUNDDOWN($H313,0))*(INDEX(avoidedcosttbl2,ROUNDUP($H313,0),CM$2)-INDEX(avoidedcosttbl2,ROUNDDOWN($H313,0),CM$2)))))))*10,"")</f>
        <v>0</v>
      </c>
      <c r="CN313" s="504">
        <f>IFERROR(10*AB313*'Inputs Yr 2'!AX313/((1+realdiscrt1)^-0.5),"")</f>
        <v>0</v>
      </c>
      <c r="CO313" s="505">
        <f t="shared" si="165"/>
        <v>0</v>
      </c>
      <c r="CP313" s="230">
        <f t="shared" si="166"/>
        <v>0</v>
      </c>
      <c r="CQ313" s="199">
        <f>ROUND(IFERROR(IF(LEFT($A313,1)="C",'Avoided Costs'!$K$13,'Avoided Costs'!$K$12)+1,""),4)</f>
        <v>1.0720000000000001</v>
      </c>
      <c r="CR313" s="199">
        <f>ROUND(IFERROR(IF(LEFT($A313,1)="C",'Avoided Costs'!$L$13,'Avoided Costs'!$L$12)+1,""),4)</f>
        <v>1.04</v>
      </c>
      <c r="CS313" s="199">
        <f>ROUND(IFERROR(IF(LEFT($A313,1)="C",'Avoided Costs'!$M$13,'Avoided Costs'!$M$12)+1,""),4)</f>
        <v>1.0720000000000001</v>
      </c>
      <c r="CT313" s="199">
        <f>ROUND(IFERROR(IF(LEFT($A313,1)="C",'Avoided Costs'!$N$13,'Avoided Costs'!$N$12)+1,""),4)</f>
        <v>1.04</v>
      </c>
      <c r="CU313" s="199">
        <f>ROUND(IFERROR(IF(LEFT($A313,1)="C",'Avoided Costs'!$O$13,'Avoided Costs'!$O$12)+1,""),4)</f>
        <v>1.1120000000000001</v>
      </c>
      <c r="CV313" s="199">
        <f>ROUND(IFERROR(IF(LEFT($A313,1)="C",'Avoided Costs'!$P$13,'Avoided Costs'!$P$12)+1,""),4)</f>
        <v>1.095</v>
      </c>
      <c r="CW313" s="199">
        <f>ROUND(IFERROR(IF(LEFT($A313,1)="C",'Avoided Costs'!$Q$13,'Avoided Costs'!$Q$12)+1,""),4)</f>
        <v>1.1120000000000001</v>
      </c>
      <c r="CX313" s="200">
        <f>ROUND(IFERROR(IF(LEFT($A313,1)="C",'Avoided Costs'!$R$13,'Avoided Costs'!$R$12)+1,""),4)</f>
        <v>1.1120000000000001</v>
      </c>
    </row>
    <row r="314" spans="1:102" ht="12.75" customHeight="1">
      <c r="A314" s="91" t="str">
        <f>IF('Inputs Yr 2'!$B314=0,"",'Inputs Yr 2'!A314)</f>
        <v>C - Commercial &amp; Industrial</v>
      </c>
      <c r="B314" s="91" t="str">
        <f>IF('Inputs Yr 2'!$B314=0,"",'Inputs Yr 2'!B314)</f>
        <v>C2 - C&amp;I Retrofit</v>
      </c>
      <c r="C314" s="91" t="str">
        <f>IF('Inputs Yr 2'!$B314=0,"",'Inputs Yr 2'!C314)</f>
        <v>C2b - C&amp;I Small Business</v>
      </c>
      <c r="D314" s="91" t="str">
        <f>IF('Inputs Yr 2'!$B314=0,"",'Inputs Yr 2'!E314)</f>
        <v>Duct Seal, Gas</v>
      </c>
      <c r="E314" s="93" t="str">
        <f>IF('Inputs Yr 2'!$B314=0,"",'Inputs Yr 2'!F314)</f>
        <v>G16C2b19</v>
      </c>
      <c r="F314" s="93" t="str">
        <f>IF('Inputs Yr 2'!$B314=0,"",'Inputs Yr 2'!G314)</f>
        <v>HVAC</v>
      </c>
      <c r="G314" s="95" t="str">
        <f>IF('Inputs Yr 2'!$H314&lt;&gt;0,('Inputs Yr 2'!H314),"")</f>
        <v/>
      </c>
      <c r="H314" s="94">
        <f>IFERROR('Inputs Yr 2'!I314,"")</f>
        <v>20</v>
      </c>
      <c r="I314" s="298" t="str">
        <f>IFERROR('Inputs Yr 2'!J314*'Inputs Yr 2'!P314*G314,"")</f>
        <v/>
      </c>
      <c r="J314" s="298" t="str">
        <f>IFERROR('Inputs Yr 2'!K314*G314,"")</f>
        <v/>
      </c>
      <c r="K314" s="298" t="str">
        <f t="shared" si="143"/>
        <v/>
      </c>
      <c r="L314" s="194" t="str">
        <f>IFERROR(('Inputs Yr 2'!W314*G314)/1000,"")</f>
        <v/>
      </c>
      <c r="M314" s="194" t="str">
        <f>IFERROR(L314*('Inputs Yr 2'!$Q314*'Inputs Yr 2'!$V314*'Inputs Yr 2'!$R314),"")</f>
        <v/>
      </c>
      <c r="N314" s="194" t="str">
        <f t="shared" si="144"/>
        <v/>
      </c>
      <c r="O314" s="194" t="str">
        <f>IFERROR(M314*'Inputs Yr 2'!P314,"")</f>
        <v/>
      </c>
      <c r="P314" s="194" t="str">
        <f t="shared" si="145"/>
        <v/>
      </c>
      <c r="Q314" s="194" t="str">
        <f>IFERROR($P314*'Inputs Yr 2'!AA314,"")</f>
        <v/>
      </c>
      <c r="R314" s="194" t="str">
        <f>IFERROR($P314*'Inputs Yr 2'!AB314,"")</f>
        <v/>
      </c>
      <c r="S314" s="194" t="str">
        <f>IFERROR($P314*'Inputs Yr 2'!AC314,"")</f>
        <v/>
      </c>
      <c r="T314" s="194" t="str">
        <f>IFERROR($P314*'Inputs Yr 2'!AD314,"")</f>
        <v/>
      </c>
      <c r="U314" s="194" t="str">
        <f>IFERROR(G314*'Inputs Yr 2'!$AE314*'Inputs Yr 2'!$P314*'Inputs Yr 2'!$Q314,"")</f>
        <v/>
      </c>
      <c r="V314" s="194" t="str">
        <f>IFERROR($G314*'Inputs Yr 2'!$AE314*'Inputs Yr 2'!$AG314*'Inputs Yr 2'!Q314*'Inputs Yr 2'!$S314,"")</f>
        <v/>
      </c>
      <c r="W314" s="194" t="str">
        <f>IFERROR($G314*'Inputs Yr 2'!$AE314*'Inputs Yr 2'!$AG314*'Inputs Yr 2'!P314*'Inputs Yr 2'!Q314*'Inputs Yr 2'!$S314,"")</f>
        <v/>
      </c>
      <c r="X314" s="194" t="str">
        <f>IFERROR($G314*'Inputs Yr 2'!$AE314*'Inputs Yr 2'!$AF314*'Inputs Yr 2'!Q314*'Inputs Yr 2'!$T314,"")</f>
        <v/>
      </c>
      <c r="Y314" s="194" t="str">
        <f>IFERROR($G314*'Inputs Yr 2'!$AE314*'Inputs Yr 2'!$AF314*'Inputs Yr 2'!P314*'Inputs Yr 2'!Q314*'Inputs Yr 2'!$T314,"")</f>
        <v/>
      </c>
      <c r="Z314" s="257">
        <f>IFERROR($G314*'Inputs Yr 2'!$Q314*'Inputs Yr 2'!$U314*(IF(IFERROR(SEARCH("NG", 'Inputs Yr 2'!$AJ314),0),'Inputs Yr 2'!$AK314,0)+IF(IFERROR(SEARCH("NG", 'Inputs Yr 2'!$AL314),0),'Inputs Yr 2'!$AM314,0)+IF(IFERROR(SEARCH("NG", 'Inputs Yr 2'!$AN314),0),'Inputs Yr 2'!$AO314,0)),0)</f>
        <v>0</v>
      </c>
      <c r="AA314" s="257">
        <f t="shared" si="146"/>
        <v>0</v>
      </c>
      <c r="AB314" s="257">
        <f>IFERROR(Z314*'Inputs Yr 2'!$P314,0)</f>
        <v>0</v>
      </c>
      <c r="AC314" s="257">
        <f t="shared" si="147"/>
        <v>0</v>
      </c>
      <c r="AD314" s="257">
        <f>IFERROR($G314*'Inputs Yr 2'!$Q314*'Inputs Yr 2'!$U314*(IF(IFERROR(SEARCH("Oil", 'Inputs Yr 2'!$AJ314), 0),'Inputs Yr 2'!$AK314,0)+IF(IFERROR(SEARCH("Oil", 'Inputs Yr 2'!$AL314), 0),'Inputs Yr 2'!$AM314,0)+IF(IFERROR(SEARCH("Oil", 'Inputs Yr 2'!$AN314), 0),'Inputs Yr 2'!$AO314,0)),0)</f>
        <v>0</v>
      </c>
      <c r="AE314" s="257">
        <f t="shared" si="148"/>
        <v>0</v>
      </c>
      <c r="AF314" s="257">
        <f>IFERROR(AD314*'Inputs Yr 2'!$P314,0)</f>
        <v>0</v>
      </c>
      <c r="AG314" s="257">
        <f t="shared" si="149"/>
        <v>0</v>
      </c>
      <c r="AH314" s="257">
        <f>IFERROR($G314*'Inputs Yr 2'!$Q314*'Inputs Yr 2'!$U314*(IF('Inputs Yr 2'!$AJ314=CD$4,'Inputs Yr 2'!$AK314,IF('Inputs Yr 2'!$AL314=CD$4,'Inputs Yr 2'!$AM314,IF('Inputs Yr 2'!$AN314=CD$4,'Inputs Yr 2'!$AO314,0)))),0)</f>
        <v>0</v>
      </c>
      <c r="AI314" s="257">
        <f t="shared" si="150"/>
        <v>0</v>
      </c>
      <c r="AJ314" s="257">
        <f>IFERROR(AH314*'Inputs Yr 2'!$P314,0)</f>
        <v>0</v>
      </c>
      <c r="AK314" s="257">
        <f t="shared" si="151"/>
        <v>0</v>
      </c>
      <c r="AL314" s="258">
        <f>IFERROR($G314*'Inputs Yr 2'!$P314*'Inputs Yr 2'!$Q314*'Inputs Yr 2'!AP314,0)</f>
        <v>0</v>
      </c>
      <c r="AM314" s="260">
        <f>IFERROR($G314*'Inputs Yr 2'!$P314*'Inputs Yr 2'!$Q314*'Inputs Yr 2'!AQ314,0)</f>
        <v>0</v>
      </c>
      <c r="AN314" s="258">
        <f>IFERROR($G314*'Inputs Yr 2'!$P314*'Inputs Yr 2'!$Q314*'Inputs Yr 2'!AR314,0)</f>
        <v>0</v>
      </c>
      <c r="AO314" s="257">
        <f t="shared" si="152"/>
        <v>0</v>
      </c>
      <c r="AP314" s="195" t="str">
        <f>IFERROR($CQ314*(INDEX(avoidedcosttbl2,$H314,AP$2)+(($H314-ROUNDDOWN($H314,0))*(INDEX(avoidedcosttbl2,ROUNDUP($H314,0),AP$2)-(INDEX(avoidedcosttbl2,ROUNDDOWN($H314,0),AP$2)))))*$O314*1000*'Inputs Yr 2'!AA314,"")</f>
        <v/>
      </c>
      <c r="AQ314" s="195" t="str">
        <f>IFERROR($CR314*(INDEX(avoidedcosttbl2,$H314,AQ$2)+(($H314-ROUNDDOWN($H314,0))*(INDEX(avoidedcosttbl2,ROUNDUP($H314,0),AQ$2)-(INDEX(avoidedcosttbl2,ROUNDDOWN($H314,0),AQ$2)))))*$O314*1000*'Inputs Yr 2'!AB314,"")</f>
        <v/>
      </c>
      <c r="AR314" s="195" t="str">
        <f>IFERROR($CS314*(INDEX(avoidedcosttbl2,$H314,AR$2)+(($H314-ROUNDDOWN($H314,0))*(INDEX(avoidedcosttbl2,ROUNDUP($H314,0),AR$2)-(INDEX(avoidedcosttbl2,ROUNDDOWN($H314,0),AR$2)))))*$O314*1000*'Inputs Yr 2'!AC314,"")</f>
        <v/>
      </c>
      <c r="AS314" s="195" t="str">
        <f>IFERROR($CT314*(INDEX(avoidedcosttbl2,$H314,AS$2)+(($H314-ROUNDDOWN($H314,0))*(INDEX(avoidedcosttbl2,ROUNDUP($H314,0),AS$2)-(INDEX(avoidedcosttbl2,ROUNDDOWN($H314,0),AS$2)))))*$O314*1000*'Inputs Yr 2'!AD314,"")</f>
        <v/>
      </c>
      <c r="AT314" s="196">
        <f t="shared" si="153"/>
        <v>0</v>
      </c>
      <c r="AU314" s="197" t="str">
        <f>IFERROR($CQ314*((INDEX(avoidedcosttbl2,$H314,AU$2))+(($H314-ROUNDDOWN($H314,0))*((INDEX(avoidedcosttbl2,ROUNDUP($H314,0),AU$2))-(INDEX(avoidedcosttbl2,ROUNDDOWN($H314,0),AU$2)))))*$O314*1000*'Inputs Yr 2'!AA314,"")</f>
        <v/>
      </c>
      <c r="AV314" s="197" t="str">
        <f>IFERROR($CR314*((INDEX(avoidedcosttbl2,$H314,AV$2))+(($H314-ROUNDDOWN($H314,0))*((INDEX(avoidedcosttbl2,ROUNDUP($H314,0),AV$2))-(INDEX(avoidedcosttbl2,ROUNDDOWN($H314,0),AV$2)))))*$O314*1000*'Inputs Yr 2'!AB314,"")</f>
        <v/>
      </c>
      <c r="AW314" s="197" t="str">
        <f>IFERROR($CS314*((INDEX(avoidedcosttbl2,$H314,AW$2))+(($H314-ROUNDDOWN($H314,0))*((INDEX(avoidedcosttbl2,ROUNDUP($H314,0),AW$2))-(INDEX(avoidedcosttbl2,ROUNDDOWN($H314,0),AW$2)))))*$O314*1000*'Inputs Yr 2'!AC314,"")</f>
        <v/>
      </c>
      <c r="AX314" s="197" t="str">
        <f>IFERROR($CT314*((INDEX(avoidedcosttbl2,$H314,AX$2))+(($H314-ROUNDDOWN($H314,0))*((INDEX(avoidedcosttbl2,ROUNDUP($H314,0),AX$2))-(INDEX(avoidedcosttbl2,ROUNDDOWN($H314,0),AX$2)))))*$O314*1000*'Inputs Yr 2'!AD314,"")</f>
        <v/>
      </c>
      <c r="AY314" s="197" t="str">
        <f>IFERROR(((INDEX(avoidedcosttbl2,$H314,AY$2))+(($H314-ROUNDDOWN($H314,0))*((INDEX(avoidedcosttbl2,ROUNDUP($H314,0),AY$2))-(INDEX(avoidedcosttbl2,ROUNDDOWN($H314,0),AY$2)))))*$O314*1000*('Inputs Yr 2'!AC314+'Inputs Yr 2'!AD314),"")</f>
        <v/>
      </c>
      <c r="AZ314" s="197" t="str">
        <f>IFERROR(((INDEX(avoidedcosttbl2,$H314,AZ$2))+(($H314-ROUNDDOWN($H314,0))*((INDEX(avoidedcosttbl2,ROUNDUP($H314,0),AZ$2))-(INDEX(avoidedcosttbl2,ROUNDDOWN($H314,0),AZ$2)))))*$O314*1000*('Inputs Yr 2'!AA314+'Inputs Yr 2'!AB314),"")</f>
        <v/>
      </c>
      <c r="BA314" s="198">
        <f t="shared" si="154"/>
        <v>0</v>
      </c>
      <c r="BB314" s="198">
        <f t="shared" si="155"/>
        <v>0</v>
      </c>
      <c r="BC314" s="195" t="str">
        <f t="shared" si="137"/>
        <v/>
      </c>
      <c r="BD314" s="195" t="str">
        <f t="shared" si="138"/>
        <v/>
      </c>
      <c r="BE314" s="195" t="str">
        <f t="shared" si="139"/>
        <v/>
      </c>
      <c r="BF314" s="195" t="str">
        <f t="shared" si="140"/>
        <v/>
      </c>
      <c r="BG314" s="195" t="str">
        <f t="shared" si="141"/>
        <v/>
      </c>
      <c r="BH314" s="196">
        <f t="shared" si="156"/>
        <v>0</v>
      </c>
      <c r="BI314" s="196">
        <f t="shared" si="157"/>
        <v>0</v>
      </c>
      <c r="BJ314" s="195" t="str">
        <f>IFERROR($G314*(IF('Inputs Yr 2'!$AJ314=BJ$4,'Inputs Yr 2'!$AK314,IF('Inputs Yr 2'!$AL314=BJ$4,'Inputs Yr 2'!$AM314,IF('Inputs Yr 2'!$AN314=BJ$4,'Inputs Yr 2'!$AO314,0))))*(INDEX(avoidedcosttbl2,$H314,BJ$2)+(($H314-ROUNDDOWN($H314,0))*(INDEX(avoidedcosttbl2,ROUNDUP($H314,0),BJ$2)-(INDEX(avoidedcosttbl2,ROUNDDOWN($H314,0),BJ$2)))))*'Inputs Yr 2'!P314*'Inputs Yr 2'!Q314*'Inputs Yr 2'!U314,"")</f>
        <v/>
      </c>
      <c r="BK314" s="195" t="str">
        <f>IFERROR($G314*(IF('Inputs Yr 2'!$AJ314=BK$4,'Inputs Yr 2'!$AK314,IF('Inputs Yr 2'!$AL314=BK$4,'Inputs Yr 2'!$AM314,IF('Inputs Yr 2'!$AN314=BK$4,'Inputs Yr 2'!$AO314,0))))*(INDEX(avoidedcosttbl2,$H314,BK$2)+(($H314-ROUNDDOWN($H314,0))*(INDEX(avoidedcosttbl2,ROUNDUP($H314,0),BK$2)-(INDEX(avoidedcosttbl2,ROUNDDOWN($H314,0),BK$2)))))*'Inputs Yr 2'!P314*'Inputs Yr 2'!Q314*'Inputs Yr 2'!U314,"")</f>
        <v/>
      </c>
      <c r="BL314" s="195" t="str">
        <f>IFERROR($G314*(IF('Inputs Yr 2'!$AJ314=BL$4,'Inputs Yr 2'!$AK314,IF('Inputs Yr 2'!$AL314=BL$4,'Inputs Yr 2'!$AM314,IF('Inputs Yr 2'!$AN314=BL$4,'Inputs Yr 2'!$AO314,0))))*(INDEX(avoidedcosttbl2,$H314,BL$2)+(($H314-ROUNDDOWN($H314,0))*(INDEX(avoidedcosttbl2,ROUNDUP($H314,0),BL$2)-(INDEX(avoidedcosttbl2,ROUNDDOWN($H314,0),BL$2)))))*'Inputs Yr 2'!P314*'Inputs Yr 2'!Q314*'Inputs Yr 2'!U314,"")</f>
        <v/>
      </c>
      <c r="BM314" s="195" t="str">
        <f>IFERROR($G314*(IF('Inputs Yr 2'!$AJ314=BM$4,'Inputs Yr 2'!$AK314,IF('Inputs Yr 2'!$AL314=BM$4,'Inputs Yr 2'!$AM314,IF('Inputs Yr 2'!$AN314=BM$4,'Inputs Yr 2'!$AO314,0))))*(INDEX(avoidedcosttbl2,$H314,BM$2)+(($H314-ROUNDDOWN($H314,0))*(INDEX(avoidedcosttbl2,ROUNDUP($H314,0),BM$2)-(INDEX(avoidedcosttbl2,ROUNDDOWN($H314,0),BM$2)))))*'Inputs Yr 2'!P314*'Inputs Yr 2'!Q314*'Inputs Yr 2'!U314,"")</f>
        <v/>
      </c>
      <c r="BN314" s="195" t="str">
        <f>IFERROR($G314*(IF('Inputs Yr 2'!$AJ314=BN$4,'Inputs Yr 2'!$AK314,IF('Inputs Yr 2'!$AL314=BN$4,'Inputs Yr 2'!$AM314,IF('Inputs Yr 2'!$AN314=BN$4,'Inputs Yr 2'!$AO314,0))))*(INDEX(avoidedcosttbl2,$H314,BN$2)+(($H314-ROUNDDOWN($H314,0))*(INDEX(avoidedcosttbl2,ROUNDUP($H314,0),BN$2)-(INDEX(avoidedcosttbl2,ROUNDDOWN($H314,0),BN$2)))))*'Inputs Yr 2'!P314*'Inputs Yr 2'!Q314*'Inputs Yr 2'!U314,"")</f>
        <v/>
      </c>
      <c r="BO314" s="195" t="str">
        <f>IFERROR($G314*(IF('Inputs Yr 2'!$AJ314=BO$4,'Inputs Yr 2'!$AK314,IF('Inputs Yr 2'!$AL314=BO$4,'Inputs Yr 2'!$AM314,IF('Inputs Yr 2'!$AN314=BO$4,'Inputs Yr 2'!$AO314,0))))*(INDEX(avoidedcosttbl2,$H314,BO$2)+(($H314-ROUNDDOWN($H314,0))*(INDEX(avoidedcosttbl2,ROUNDUP($H314,0),BO$2)-(INDEX(avoidedcosttbl2,ROUNDDOWN($H314,0),BO$2)))))*'Inputs Yr 2'!P314*'Inputs Yr 2'!Q314*'Inputs Yr 2'!U314,"")</f>
        <v/>
      </c>
      <c r="BP314" s="195" t="str">
        <f>IFERROR($G314*(IF('Inputs Yr 2'!$AJ314=BP$4,'Inputs Yr 2'!$AK314,IF('Inputs Yr 2'!$AL314=BP$4,'Inputs Yr 2'!$AM314,IF('Inputs Yr 2'!$AN314=BP$4,'Inputs Yr 2'!$AO314,0))))*(INDEX(avoidedcosttbl2,$H314,BP$2)+(($H314-ROUNDDOWN($H314,0))*(INDEX(avoidedcosttbl2,ROUNDUP($H314,0),BP$2)-(INDEX(avoidedcosttbl2,ROUNDDOWN($H314,0),BP$2)))))*'Inputs Yr 2'!P314*'Inputs Yr 2'!Q314*'Inputs Yr 2'!U314,"")</f>
        <v/>
      </c>
      <c r="BQ314" s="230">
        <f t="shared" si="158"/>
        <v>0</v>
      </c>
      <c r="BR314" s="197">
        <f t="shared" si="142"/>
        <v>0</v>
      </c>
      <c r="BS314" s="197" t="str">
        <f>IFERROR(($G314*IF('Inputs Yr 2'!$AJ314=BM$4,'Inputs Yr 2'!$AK314,IF('Inputs Yr 2'!$AL314=BM$4,'Inputs Yr 2'!$AM314,IF('Inputs Yr 2'!$AN314=BM$4,'Inputs Yr 2'!$AO314,0))))*(INDEX(avoidedcosttbl2,$H314,BS$2)+(($H314-ROUNDDOWN($H314,0))*(INDEX(avoidedcosttbl2,ROUNDUP($H314,0),BS$2)-(INDEX(avoidedcosttbl2,ROUNDDOWN($H314,0),BS$2)))))*'Inputs Yr 2'!P314*'Inputs Yr 2'!Q314*'Inputs Yr 2'!U314,"")</f>
        <v/>
      </c>
      <c r="BT314" s="197" t="str">
        <f>IFERROR(($G314*IF('Inputs Yr 2'!$AJ314=BK$4,'Inputs Yr 2'!$AK314,IF('Inputs Yr 2'!$AL314=BK$4,'Inputs Yr 2'!$AM314,IF('Inputs Yr 2'!$AN314=BK$4,'Inputs Yr 2'!$AO314,0))))*(INDEX(avoidedcosttbl2,$H314,BT$2)+(($H314-ROUNDDOWN($H314,0))*(INDEX(avoidedcosttbl2,ROUNDUP($H314,0),BT$2)-(INDEX(avoidedcosttbl2,ROUNDDOWN($H314,0),BT$2)))))*'Inputs Yr 2'!P314*'Inputs Yr 2'!Q314*'Inputs Yr 2'!U314,"")</f>
        <v/>
      </c>
      <c r="BU314" s="197" t="str">
        <f>IFERROR(($G314*IF('Inputs Yr 2'!$AJ314=BL$4,'Inputs Yr 2'!$AK314,IF('Inputs Yr 2'!$AL314=BL$4,'Inputs Yr 2'!$AM314,IF('Inputs Yr 2'!$AN314=BL$4,'Inputs Yr 2'!$AO314,0))))*(INDEX(avoidedcosttbl2,$H314,BU$2)+(($H314-ROUNDDOWN($H314,0))*(INDEX(avoidedcosttbl2,ROUNDUP($H314,0),BU$2)-(INDEX(avoidedcosttbl2,ROUNDDOWN($H314,0),BU$2)))))*'Inputs Yr 2'!P314*'Inputs Yr 2'!Q314*'Inputs Yr 2'!U314,"")</f>
        <v/>
      </c>
      <c r="BV314" s="775" t="str">
        <f>IFERROR(($G314*IF('Inputs Yr 2'!$AJ314=BJ$4,'Inputs Yr 2'!$AK314,IF('Inputs Yr 2'!$AL314=BJ$4,'Inputs Yr 2'!$AM314,IF('Inputs Yr 2'!$AN314=BJ$4,'Inputs Yr 2'!$AO314,0))))*(INDEX(avoidedcosttbl2,$H314,BV$2)+(($H314-ROUNDDOWN($H314,0))*(INDEX(avoidedcosttbl2,ROUNDUP($H314,0),BV$2)-(INDEX(avoidedcosttbl2,ROUNDDOWN($H314,0),BV$2)))))*'Inputs Yr 2'!P314*'Inputs Yr 2'!Q314*'Inputs Yr 2'!U314,"")</f>
        <v/>
      </c>
      <c r="BW314" s="197" t="str">
        <f>IFERROR(($G314*IF('Inputs Yr 2'!$AJ314=BN$4,'Inputs Yr 2'!$AK314,IF('Inputs Yr 2'!$AL314=BN$4,'Inputs Yr 2'!$AM314,IF('Inputs Yr 2'!$AN314=BN$4,'Inputs Yr 2'!$AO314,0))))*(INDEX(avoidedcosttbl2,$H314,BW$2)+(($H314-ROUNDDOWN($H314,0))*(INDEX(avoidedcosttbl2,ROUNDUP($H314,0),BW$2)-(INDEX(avoidedcosttbl2,ROUNDDOWN($H314,0),BW$2)))))*'Inputs Yr 2'!P314*'Inputs Yr 2'!Q314*'Inputs Yr 2'!U314,"")</f>
        <v/>
      </c>
      <c r="BX314" s="197" t="str">
        <f>IFERROR(($G314*IF('Inputs Yr 2'!$AJ314=BO$4,'Inputs Yr 2'!$AK314,IF('Inputs Yr 2'!$AL314=BO$4,'Inputs Yr 2'!$AM314,IF('Inputs Yr 2'!$AN314=BO$4,'Inputs Yr 2'!$AO314,0))))*(INDEX(avoidedcosttbl2,$H314,BX$2)+(($H314-ROUNDDOWN($H314,0))*(INDEX(avoidedcosttbl2,ROUNDUP($H314,0),BX$2)-(INDEX(avoidedcosttbl2,ROUNDDOWN($H314,0),BX$2)))))*'Inputs Yr 2'!P314*'Inputs Yr 2'!Q314*'Inputs Yr 2'!U314,"")</f>
        <v/>
      </c>
      <c r="BY314" s="197" t="str">
        <f>IFERROR(($G314*IF('Inputs Yr 2'!$AJ314=BP$4,'Inputs Yr 2'!$AK314,IF('Inputs Yr 2'!$AL314=BP$4,'Inputs Yr 2'!$AM314,IF('Inputs Yr 2'!$AN314=BP$4,'Inputs Yr 2'!$AO314,0))))*(INDEX(avoidedcosttbl2,$H314,BY$2)+(($H314-ROUNDDOWN($H314,0))*(INDEX(avoidedcosttbl2,ROUNDUP($H314,0),BY$2)-(INDEX(avoidedcosttbl2,ROUNDDOWN($H314,0),BY$2)))))*'Inputs Yr 2'!P314*'Inputs Yr 2'!Q314*'Inputs Yr 2'!U314,"")</f>
        <v/>
      </c>
      <c r="BZ314" s="193">
        <f t="shared" si="159"/>
        <v>0</v>
      </c>
      <c r="CA314" s="193">
        <f t="shared" si="160"/>
        <v>0</v>
      </c>
      <c r="CB314" s="195" t="str">
        <f>IFERROR(G314*(IF('Inputs Yr 2'!$AJ314=CB$4,'Inputs Yr 2'!$AK314,IF('Inputs Yr 2'!$AL314=CB$4,'Inputs Yr 2'!$AM314,IF('Inputs Yr 2'!$AN314=CB$4,'Inputs Yr 2'!$AO314,0))))*(INDEX(avoidedcosttbl2,$H314,CB$2)+(($H314-ROUNDDOWN($H314,0))*(INDEX(avoidedcosttbl2,ROUNDUP($H314,0),CB$2)-(INDEX(avoidedcosttbl2,ROUNDDOWN($H314,0),CB$2)))))*'Inputs Yr 2'!P314*'Inputs Yr 2'!Q314*'Inputs Yr 2'!U314,"")</f>
        <v/>
      </c>
      <c r="CC314" s="195">
        <f>IFERROR(H314*(IF('Inputs Yr 2'!$AJ314=CC$4,'Inputs Yr 2'!$AK314,IF('Inputs Yr 2'!$AL314=CC$4,'Inputs Yr 2'!$AM314,IF('Inputs Yr 2'!$AN314=CC$4,'Inputs Yr 2'!$AO314,0))))*(INDEX(avoidedcosttbl2,$H314,CC$2)+(($H314-ROUNDDOWN($H314,0))*(INDEX(avoidedcosttbl2,ROUNDUP($H314,0),CC$2)-(INDEX(avoidedcosttbl2,ROUNDDOWN($H314,0),CC$2)))))*'Inputs Yr 2'!Q314*'Inputs Yr 2'!R314*'Inputs Yr 2'!V314,"")</f>
        <v>0</v>
      </c>
      <c r="CD314" s="195" t="str">
        <f>IFERROR(I314*(IF('Inputs Yr 2'!$AJ314=CD$4,'Inputs Yr 2'!$AK314,IF('Inputs Yr 2'!$AL314=CD$4,'Inputs Yr 2'!$AM314,IF('Inputs Yr 2'!$AN314=CD$4,'Inputs Yr 2'!$AO314,0))))*(INDEX(avoidedcosttbl2,$H314,CD$2)+(($H314-ROUNDDOWN($H314,0))*(INDEX(avoidedcosttbl2,ROUNDUP($H314,0),CD$2)-(INDEX(avoidedcosttbl2,ROUNDDOWN($H314,0),CD$2)))))*'Inputs Yr 2'!R314*'Inputs Yr 2'!S314*'Inputs Yr 2'!W314,"")</f>
        <v/>
      </c>
      <c r="CE314" s="213">
        <f t="shared" si="161"/>
        <v>0</v>
      </c>
      <c r="CF314" s="213">
        <f t="shared" si="162"/>
        <v>0</v>
      </c>
      <c r="CG314" s="213">
        <f t="shared" si="163"/>
        <v>0</v>
      </c>
      <c r="CH314" s="698">
        <f t="shared" si="164"/>
        <v>0</v>
      </c>
      <c r="CI314" s="79" t="str">
        <f>IFERROR(($G314*'Inputs Yr 2'!$P314*'Inputs Yr 2'!$Q314*(((INDEX(avoidedcosttbl2,$H314,CI$2)+(($H314-ROUNDDOWN($H314,0))*(INDEX(avoidedcosttbl2,ROUNDUP($H314,0),CI$2)-INDEX(avoidedcosttbl2,ROUNDDOWN($H314,0),CI$2))))*'Inputs Yr 2'!AS314))),"")</f>
        <v/>
      </c>
      <c r="CJ314" s="504" t="str">
        <f>IFERROR($G314*'Inputs Yr 2'!AT314*'Inputs Yr 2'!$P314*'Inputs Yr 2'!$Q314/((1+realdiscrt1)^-0.5),"")</f>
        <v/>
      </c>
      <c r="CK314" s="79" t="str">
        <f>IFERROR((O314*1000*(((INDEX(avoidedcosttbl2,$H314,CK$2)+(($H314-ROUNDDOWN($H314,0))*(INDEX(avoidedcosttbl2,ROUNDUP($H314,0),CK$2)-INDEX(avoidedcosttbl2,ROUNDDOWN($H314,0),CK$2))))*'Inputs Yr 2'!AU314))),"")</f>
        <v/>
      </c>
      <c r="CL314" s="504" t="str">
        <f>IFERROR(O314*1000*'Inputs Yr 2'!AV314/((1+realdiscrt1)^-0.5),"")</f>
        <v/>
      </c>
      <c r="CM314" s="79">
        <f>IFERROR((AB314*'Inputs Yr 2'!AW314*(((INDEX(avoidedcosttbl2,$H314,CM$2)+(($H314-ROUNDDOWN($H314,0))*(INDEX(avoidedcosttbl2,ROUNDUP($H314,0),CM$2)-INDEX(avoidedcosttbl2,ROUNDDOWN($H314,0),CM$2)))))))*10,"")</f>
        <v>0</v>
      </c>
      <c r="CN314" s="504">
        <f>IFERROR(10*AB314*'Inputs Yr 2'!AX314/((1+realdiscrt1)^-0.5),"")</f>
        <v>0</v>
      </c>
      <c r="CO314" s="505">
        <f t="shared" si="165"/>
        <v>0</v>
      </c>
      <c r="CP314" s="230">
        <f t="shared" si="166"/>
        <v>0</v>
      </c>
      <c r="CQ314" s="199">
        <f>ROUND(IFERROR(IF(LEFT($A314,1)="C",'Avoided Costs'!$K$13,'Avoided Costs'!$K$12)+1,""),4)</f>
        <v>1.0720000000000001</v>
      </c>
      <c r="CR314" s="199">
        <f>ROUND(IFERROR(IF(LEFT($A314,1)="C",'Avoided Costs'!$L$13,'Avoided Costs'!$L$12)+1,""),4)</f>
        <v>1.04</v>
      </c>
      <c r="CS314" s="199">
        <f>ROUND(IFERROR(IF(LEFT($A314,1)="C",'Avoided Costs'!$M$13,'Avoided Costs'!$M$12)+1,""),4)</f>
        <v>1.0720000000000001</v>
      </c>
      <c r="CT314" s="199">
        <f>ROUND(IFERROR(IF(LEFT($A314,1)="C",'Avoided Costs'!$N$13,'Avoided Costs'!$N$12)+1,""),4)</f>
        <v>1.04</v>
      </c>
      <c r="CU314" s="199">
        <f>ROUND(IFERROR(IF(LEFT($A314,1)="C",'Avoided Costs'!$O$13,'Avoided Costs'!$O$12)+1,""),4)</f>
        <v>1.1120000000000001</v>
      </c>
      <c r="CV314" s="199">
        <f>ROUND(IFERROR(IF(LEFT($A314,1)="C",'Avoided Costs'!$P$13,'Avoided Costs'!$P$12)+1,""),4)</f>
        <v>1.095</v>
      </c>
      <c r="CW314" s="199">
        <f>ROUND(IFERROR(IF(LEFT($A314,1)="C",'Avoided Costs'!$Q$13,'Avoided Costs'!$Q$12)+1,""),4)</f>
        <v>1.1120000000000001</v>
      </c>
      <c r="CX314" s="200">
        <f>ROUND(IFERROR(IF(LEFT($A314,1)="C",'Avoided Costs'!$R$13,'Avoided Costs'!$R$12)+1,""),4)</f>
        <v>1.1120000000000001</v>
      </c>
    </row>
    <row r="315" spans="1:102" ht="12.75" customHeight="1">
      <c r="A315" s="91" t="str">
        <f>IF('Inputs Yr 2'!$B315=0,"",'Inputs Yr 2'!A315)</f>
        <v>C - Commercial &amp; Industrial</v>
      </c>
      <c r="B315" s="91" t="str">
        <f>IF('Inputs Yr 2'!$B315=0,"",'Inputs Yr 2'!B315)</f>
        <v>C2 - C&amp;I Retrofit</v>
      </c>
      <c r="C315" s="91" t="str">
        <f>IF('Inputs Yr 2'!$B315=0,"",'Inputs Yr 2'!C315)</f>
        <v>C2b - C&amp;I Small Business</v>
      </c>
      <c r="D315" s="91" t="str">
        <f>IF('Inputs Yr 2'!$B315=0,"",'Inputs Yr 2'!E315)</f>
        <v>Duct Insulation, Gas</v>
      </c>
      <c r="E315" s="93" t="str">
        <f>IF('Inputs Yr 2'!$B315=0,"",'Inputs Yr 2'!F315)</f>
        <v>G16C2b20</v>
      </c>
      <c r="F315" s="93" t="str">
        <f>IF('Inputs Yr 2'!$B315=0,"",'Inputs Yr 2'!G315)</f>
        <v>HVAC</v>
      </c>
      <c r="G315" s="95" t="str">
        <f>IF('Inputs Yr 2'!$H315&lt;&gt;0,('Inputs Yr 2'!H315),"")</f>
        <v/>
      </c>
      <c r="H315" s="94">
        <f>IFERROR('Inputs Yr 2'!I315,"")</f>
        <v>20</v>
      </c>
      <c r="I315" s="298" t="str">
        <f>IFERROR('Inputs Yr 2'!J315*'Inputs Yr 2'!P315*G315,"")</f>
        <v/>
      </c>
      <c r="J315" s="298" t="str">
        <f>IFERROR('Inputs Yr 2'!K315*G315,"")</f>
        <v/>
      </c>
      <c r="K315" s="298" t="str">
        <f t="shared" si="143"/>
        <v/>
      </c>
      <c r="L315" s="194" t="str">
        <f>IFERROR(('Inputs Yr 2'!W315*G315)/1000,"")</f>
        <v/>
      </c>
      <c r="M315" s="194" t="str">
        <f>IFERROR(L315*('Inputs Yr 2'!$Q315*'Inputs Yr 2'!$V315*'Inputs Yr 2'!$R315),"")</f>
        <v/>
      </c>
      <c r="N315" s="194" t="str">
        <f t="shared" si="144"/>
        <v/>
      </c>
      <c r="O315" s="194" t="str">
        <f>IFERROR(M315*'Inputs Yr 2'!P315,"")</f>
        <v/>
      </c>
      <c r="P315" s="194" t="str">
        <f t="shared" si="145"/>
        <v/>
      </c>
      <c r="Q315" s="194" t="str">
        <f>IFERROR($P315*'Inputs Yr 2'!AA315,"")</f>
        <v/>
      </c>
      <c r="R315" s="194" t="str">
        <f>IFERROR($P315*'Inputs Yr 2'!AB315,"")</f>
        <v/>
      </c>
      <c r="S315" s="194" t="str">
        <f>IFERROR($P315*'Inputs Yr 2'!AC315,"")</f>
        <v/>
      </c>
      <c r="T315" s="194" t="str">
        <f>IFERROR($P315*'Inputs Yr 2'!AD315,"")</f>
        <v/>
      </c>
      <c r="U315" s="194" t="str">
        <f>IFERROR(G315*'Inputs Yr 2'!$AE315*'Inputs Yr 2'!$P315*'Inputs Yr 2'!$Q315,"")</f>
        <v/>
      </c>
      <c r="V315" s="194" t="str">
        <f>IFERROR($G315*'Inputs Yr 2'!$AE315*'Inputs Yr 2'!$AG315*'Inputs Yr 2'!Q315*'Inputs Yr 2'!$S315,"")</f>
        <v/>
      </c>
      <c r="W315" s="194" t="str">
        <f>IFERROR($G315*'Inputs Yr 2'!$AE315*'Inputs Yr 2'!$AG315*'Inputs Yr 2'!P315*'Inputs Yr 2'!Q315*'Inputs Yr 2'!$S315,"")</f>
        <v/>
      </c>
      <c r="X315" s="194" t="str">
        <f>IFERROR($G315*'Inputs Yr 2'!$AE315*'Inputs Yr 2'!$AF315*'Inputs Yr 2'!Q315*'Inputs Yr 2'!$T315,"")</f>
        <v/>
      </c>
      <c r="Y315" s="194" t="str">
        <f>IFERROR($G315*'Inputs Yr 2'!$AE315*'Inputs Yr 2'!$AF315*'Inputs Yr 2'!P315*'Inputs Yr 2'!Q315*'Inputs Yr 2'!$T315,"")</f>
        <v/>
      </c>
      <c r="Z315" s="257">
        <f>IFERROR($G315*'Inputs Yr 2'!$Q315*'Inputs Yr 2'!$U315*(IF(IFERROR(SEARCH("NG", 'Inputs Yr 2'!$AJ315),0),'Inputs Yr 2'!$AK315,0)+IF(IFERROR(SEARCH("NG", 'Inputs Yr 2'!$AL315),0),'Inputs Yr 2'!$AM315,0)+IF(IFERROR(SEARCH("NG", 'Inputs Yr 2'!$AN315),0),'Inputs Yr 2'!$AO315,0)),0)</f>
        <v>0</v>
      </c>
      <c r="AA315" s="257">
        <f t="shared" si="146"/>
        <v>0</v>
      </c>
      <c r="AB315" s="257">
        <f>IFERROR(Z315*'Inputs Yr 2'!$P315,0)</f>
        <v>0</v>
      </c>
      <c r="AC315" s="257">
        <f t="shared" si="147"/>
        <v>0</v>
      </c>
      <c r="AD315" s="257">
        <f>IFERROR($G315*'Inputs Yr 2'!$Q315*'Inputs Yr 2'!$U315*(IF(IFERROR(SEARCH("Oil", 'Inputs Yr 2'!$AJ315), 0),'Inputs Yr 2'!$AK315,0)+IF(IFERROR(SEARCH("Oil", 'Inputs Yr 2'!$AL315), 0),'Inputs Yr 2'!$AM315,0)+IF(IFERROR(SEARCH("Oil", 'Inputs Yr 2'!$AN315), 0),'Inputs Yr 2'!$AO315,0)),0)</f>
        <v>0</v>
      </c>
      <c r="AE315" s="257">
        <f t="shared" si="148"/>
        <v>0</v>
      </c>
      <c r="AF315" s="257">
        <f>IFERROR(AD315*'Inputs Yr 2'!$P315,0)</f>
        <v>0</v>
      </c>
      <c r="AG315" s="257">
        <f t="shared" si="149"/>
        <v>0</v>
      </c>
      <c r="AH315" s="257">
        <f>IFERROR($G315*'Inputs Yr 2'!$Q315*'Inputs Yr 2'!$U315*(IF('Inputs Yr 2'!$AJ315=CD$4,'Inputs Yr 2'!$AK315,IF('Inputs Yr 2'!$AL315=CD$4,'Inputs Yr 2'!$AM315,IF('Inputs Yr 2'!$AN315=CD$4,'Inputs Yr 2'!$AO315,0)))),0)</f>
        <v>0</v>
      </c>
      <c r="AI315" s="257">
        <f t="shared" si="150"/>
        <v>0</v>
      </c>
      <c r="AJ315" s="257">
        <f>IFERROR(AH315*'Inputs Yr 2'!$P315,0)</f>
        <v>0</v>
      </c>
      <c r="AK315" s="257">
        <f t="shared" si="151"/>
        <v>0</v>
      </c>
      <c r="AL315" s="258">
        <f>IFERROR($G315*'Inputs Yr 2'!$P315*'Inputs Yr 2'!$Q315*'Inputs Yr 2'!AP315,0)</f>
        <v>0</v>
      </c>
      <c r="AM315" s="260">
        <f>IFERROR($G315*'Inputs Yr 2'!$P315*'Inputs Yr 2'!$Q315*'Inputs Yr 2'!AQ315,0)</f>
        <v>0</v>
      </c>
      <c r="AN315" s="258">
        <f>IFERROR($G315*'Inputs Yr 2'!$P315*'Inputs Yr 2'!$Q315*'Inputs Yr 2'!AR315,0)</f>
        <v>0</v>
      </c>
      <c r="AO315" s="257">
        <f t="shared" si="152"/>
        <v>0</v>
      </c>
      <c r="AP315" s="195" t="str">
        <f>IFERROR($CQ315*(INDEX(avoidedcosttbl2,$H315,AP$2)+(($H315-ROUNDDOWN($H315,0))*(INDEX(avoidedcosttbl2,ROUNDUP($H315,0),AP$2)-(INDEX(avoidedcosttbl2,ROUNDDOWN($H315,0),AP$2)))))*$O315*1000*'Inputs Yr 2'!AA315,"")</f>
        <v/>
      </c>
      <c r="AQ315" s="195" t="str">
        <f>IFERROR($CR315*(INDEX(avoidedcosttbl2,$H315,AQ$2)+(($H315-ROUNDDOWN($H315,0))*(INDEX(avoidedcosttbl2,ROUNDUP($H315,0),AQ$2)-(INDEX(avoidedcosttbl2,ROUNDDOWN($H315,0),AQ$2)))))*$O315*1000*'Inputs Yr 2'!AB315,"")</f>
        <v/>
      </c>
      <c r="AR315" s="195" t="str">
        <f>IFERROR($CS315*(INDEX(avoidedcosttbl2,$H315,AR$2)+(($H315-ROUNDDOWN($H315,0))*(INDEX(avoidedcosttbl2,ROUNDUP($H315,0),AR$2)-(INDEX(avoidedcosttbl2,ROUNDDOWN($H315,0),AR$2)))))*$O315*1000*'Inputs Yr 2'!AC315,"")</f>
        <v/>
      </c>
      <c r="AS315" s="195" t="str">
        <f>IFERROR($CT315*(INDEX(avoidedcosttbl2,$H315,AS$2)+(($H315-ROUNDDOWN($H315,0))*(INDEX(avoidedcosttbl2,ROUNDUP($H315,0),AS$2)-(INDEX(avoidedcosttbl2,ROUNDDOWN($H315,0),AS$2)))))*$O315*1000*'Inputs Yr 2'!AD315,"")</f>
        <v/>
      </c>
      <c r="AT315" s="196">
        <f t="shared" si="153"/>
        <v>0</v>
      </c>
      <c r="AU315" s="197" t="str">
        <f>IFERROR($CQ315*((INDEX(avoidedcosttbl2,$H315,AU$2))+(($H315-ROUNDDOWN($H315,0))*((INDEX(avoidedcosttbl2,ROUNDUP($H315,0),AU$2))-(INDEX(avoidedcosttbl2,ROUNDDOWN($H315,0),AU$2)))))*$O315*1000*'Inputs Yr 2'!AA315,"")</f>
        <v/>
      </c>
      <c r="AV315" s="197" t="str">
        <f>IFERROR($CR315*((INDEX(avoidedcosttbl2,$H315,AV$2))+(($H315-ROUNDDOWN($H315,0))*((INDEX(avoidedcosttbl2,ROUNDUP($H315,0),AV$2))-(INDEX(avoidedcosttbl2,ROUNDDOWN($H315,0),AV$2)))))*$O315*1000*'Inputs Yr 2'!AB315,"")</f>
        <v/>
      </c>
      <c r="AW315" s="197" t="str">
        <f>IFERROR($CS315*((INDEX(avoidedcosttbl2,$H315,AW$2))+(($H315-ROUNDDOWN($H315,0))*((INDEX(avoidedcosttbl2,ROUNDUP($H315,0),AW$2))-(INDEX(avoidedcosttbl2,ROUNDDOWN($H315,0),AW$2)))))*$O315*1000*'Inputs Yr 2'!AC315,"")</f>
        <v/>
      </c>
      <c r="AX315" s="197" t="str">
        <f>IFERROR($CT315*((INDEX(avoidedcosttbl2,$H315,AX$2))+(($H315-ROUNDDOWN($H315,0))*((INDEX(avoidedcosttbl2,ROUNDUP($H315,0),AX$2))-(INDEX(avoidedcosttbl2,ROUNDDOWN($H315,0),AX$2)))))*$O315*1000*'Inputs Yr 2'!AD315,"")</f>
        <v/>
      </c>
      <c r="AY315" s="197" t="str">
        <f>IFERROR(((INDEX(avoidedcosttbl2,$H315,AY$2))+(($H315-ROUNDDOWN($H315,0))*((INDEX(avoidedcosttbl2,ROUNDUP($H315,0),AY$2))-(INDEX(avoidedcosttbl2,ROUNDDOWN($H315,0),AY$2)))))*$O315*1000*('Inputs Yr 2'!AC315+'Inputs Yr 2'!AD315),"")</f>
        <v/>
      </c>
      <c r="AZ315" s="197" t="str">
        <f>IFERROR(((INDEX(avoidedcosttbl2,$H315,AZ$2))+(($H315-ROUNDDOWN($H315,0))*((INDEX(avoidedcosttbl2,ROUNDUP($H315,0),AZ$2))-(INDEX(avoidedcosttbl2,ROUNDDOWN($H315,0),AZ$2)))))*$O315*1000*('Inputs Yr 2'!AA315+'Inputs Yr 2'!AB315),"")</f>
        <v/>
      </c>
      <c r="BA315" s="198">
        <f t="shared" si="154"/>
        <v>0</v>
      </c>
      <c r="BB315" s="198">
        <f t="shared" si="155"/>
        <v>0</v>
      </c>
      <c r="BC315" s="195" t="str">
        <f t="shared" si="137"/>
        <v/>
      </c>
      <c r="BD315" s="195" t="str">
        <f t="shared" si="138"/>
        <v/>
      </c>
      <c r="BE315" s="195" t="str">
        <f t="shared" si="139"/>
        <v/>
      </c>
      <c r="BF315" s="195" t="str">
        <f t="shared" si="140"/>
        <v/>
      </c>
      <c r="BG315" s="195" t="str">
        <f t="shared" si="141"/>
        <v/>
      </c>
      <c r="BH315" s="196">
        <f t="shared" si="156"/>
        <v>0</v>
      </c>
      <c r="BI315" s="196">
        <f t="shared" si="157"/>
        <v>0</v>
      </c>
      <c r="BJ315" s="195" t="str">
        <f>IFERROR($G315*(IF('Inputs Yr 2'!$AJ315=BJ$4,'Inputs Yr 2'!$AK315,IF('Inputs Yr 2'!$AL315=BJ$4,'Inputs Yr 2'!$AM315,IF('Inputs Yr 2'!$AN315=BJ$4,'Inputs Yr 2'!$AO315,0))))*(INDEX(avoidedcosttbl2,$H315,BJ$2)+(($H315-ROUNDDOWN($H315,0))*(INDEX(avoidedcosttbl2,ROUNDUP($H315,0),BJ$2)-(INDEX(avoidedcosttbl2,ROUNDDOWN($H315,0),BJ$2)))))*'Inputs Yr 2'!P315*'Inputs Yr 2'!Q315*'Inputs Yr 2'!U315,"")</f>
        <v/>
      </c>
      <c r="BK315" s="195" t="str">
        <f>IFERROR($G315*(IF('Inputs Yr 2'!$AJ315=BK$4,'Inputs Yr 2'!$AK315,IF('Inputs Yr 2'!$AL315=BK$4,'Inputs Yr 2'!$AM315,IF('Inputs Yr 2'!$AN315=BK$4,'Inputs Yr 2'!$AO315,0))))*(INDEX(avoidedcosttbl2,$H315,BK$2)+(($H315-ROUNDDOWN($H315,0))*(INDEX(avoidedcosttbl2,ROUNDUP($H315,0),BK$2)-(INDEX(avoidedcosttbl2,ROUNDDOWN($H315,0),BK$2)))))*'Inputs Yr 2'!P315*'Inputs Yr 2'!Q315*'Inputs Yr 2'!U315,"")</f>
        <v/>
      </c>
      <c r="BL315" s="195" t="str">
        <f>IFERROR($G315*(IF('Inputs Yr 2'!$AJ315=BL$4,'Inputs Yr 2'!$AK315,IF('Inputs Yr 2'!$AL315=BL$4,'Inputs Yr 2'!$AM315,IF('Inputs Yr 2'!$AN315=BL$4,'Inputs Yr 2'!$AO315,0))))*(INDEX(avoidedcosttbl2,$H315,BL$2)+(($H315-ROUNDDOWN($H315,0))*(INDEX(avoidedcosttbl2,ROUNDUP($H315,0),BL$2)-(INDEX(avoidedcosttbl2,ROUNDDOWN($H315,0),BL$2)))))*'Inputs Yr 2'!P315*'Inputs Yr 2'!Q315*'Inputs Yr 2'!U315,"")</f>
        <v/>
      </c>
      <c r="BM315" s="195" t="str">
        <f>IFERROR($G315*(IF('Inputs Yr 2'!$AJ315=BM$4,'Inputs Yr 2'!$AK315,IF('Inputs Yr 2'!$AL315=BM$4,'Inputs Yr 2'!$AM315,IF('Inputs Yr 2'!$AN315=BM$4,'Inputs Yr 2'!$AO315,0))))*(INDEX(avoidedcosttbl2,$H315,BM$2)+(($H315-ROUNDDOWN($H315,0))*(INDEX(avoidedcosttbl2,ROUNDUP($H315,0),BM$2)-(INDEX(avoidedcosttbl2,ROUNDDOWN($H315,0),BM$2)))))*'Inputs Yr 2'!P315*'Inputs Yr 2'!Q315*'Inputs Yr 2'!U315,"")</f>
        <v/>
      </c>
      <c r="BN315" s="195" t="str">
        <f>IFERROR($G315*(IF('Inputs Yr 2'!$AJ315=BN$4,'Inputs Yr 2'!$AK315,IF('Inputs Yr 2'!$AL315=BN$4,'Inputs Yr 2'!$AM315,IF('Inputs Yr 2'!$AN315=BN$4,'Inputs Yr 2'!$AO315,0))))*(INDEX(avoidedcosttbl2,$H315,BN$2)+(($H315-ROUNDDOWN($H315,0))*(INDEX(avoidedcosttbl2,ROUNDUP($H315,0),BN$2)-(INDEX(avoidedcosttbl2,ROUNDDOWN($H315,0),BN$2)))))*'Inputs Yr 2'!P315*'Inputs Yr 2'!Q315*'Inputs Yr 2'!U315,"")</f>
        <v/>
      </c>
      <c r="BO315" s="195" t="str">
        <f>IFERROR($G315*(IF('Inputs Yr 2'!$AJ315=BO$4,'Inputs Yr 2'!$AK315,IF('Inputs Yr 2'!$AL315=BO$4,'Inputs Yr 2'!$AM315,IF('Inputs Yr 2'!$AN315=BO$4,'Inputs Yr 2'!$AO315,0))))*(INDEX(avoidedcosttbl2,$H315,BO$2)+(($H315-ROUNDDOWN($H315,0))*(INDEX(avoidedcosttbl2,ROUNDUP($H315,0),BO$2)-(INDEX(avoidedcosttbl2,ROUNDDOWN($H315,0),BO$2)))))*'Inputs Yr 2'!P315*'Inputs Yr 2'!Q315*'Inputs Yr 2'!U315,"")</f>
        <v/>
      </c>
      <c r="BP315" s="195" t="str">
        <f>IFERROR($G315*(IF('Inputs Yr 2'!$AJ315=BP$4,'Inputs Yr 2'!$AK315,IF('Inputs Yr 2'!$AL315=BP$4,'Inputs Yr 2'!$AM315,IF('Inputs Yr 2'!$AN315=BP$4,'Inputs Yr 2'!$AO315,0))))*(INDEX(avoidedcosttbl2,$H315,BP$2)+(($H315-ROUNDDOWN($H315,0))*(INDEX(avoidedcosttbl2,ROUNDUP($H315,0),BP$2)-(INDEX(avoidedcosttbl2,ROUNDDOWN($H315,0),BP$2)))))*'Inputs Yr 2'!P315*'Inputs Yr 2'!Q315*'Inputs Yr 2'!U315,"")</f>
        <v/>
      </c>
      <c r="BQ315" s="230">
        <f t="shared" si="158"/>
        <v>0</v>
      </c>
      <c r="BR315" s="197">
        <f t="shared" si="142"/>
        <v>0</v>
      </c>
      <c r="BS315" s="197" t="str">
        <f>IFERROR(($G315*IF('Inputs Yr 2'!$AJ315=BM$4,'Inputs Yr 2'!$AK315,IF('Inputs Yr 2'!$AL315=BM$4,'Inputs Yr 2'!$AM315,IF('Inputs Yr 2'!$AN315=BM$4,'Inputs Yr 2'!$AO315,0))))*(INDEX(avoidedcosttbl2,$H315,BS$2)+(($H315-ROUNDDOWN($H315,0))*(INDEX(avoidedcosttbl2,ROUNDUP($H315,0),BS$2)-(INDEX(avoidedcosttbl2,ROUNDDOWN($H315,0),BS$2)))))*'Inputs Yr 2'!P315*'Inputs Yr 2'!Q315*'Inputs Yr 2'!U315,"")</f>
        <v/>
      </c>
      <c r="BT315" s="197" t="str">
        <f>IFERROR(($G315*IF('Inputs Yr 2'!$AJ315=BK$4,'Inputs Yr 2'!$AK315,IF('Inputs Yr 2'!$AL315=BK$4,'Inputs Yr 2'!$AM315,IF('Inputs Yr 2'!$AN315=BK$4,'Inputs Yr 2'!$AO315,0))))*(INDEX(avoidedcosttbl2,$H315,BT$2)+(($H315-ROUNDDOWN($H315,0))*(INDEX(avoidedcosttbl2,ROUNDUP($H315,0),BT$2)-(INDEX(avoidedcosttbl2,ROUNDDOWN($H315,0),BT$2)))))*'Inputs Yr 2'!P315*'Inputs Yr 2'!Q315*'Inputs Yr 2'!U315,"")</f>
        <v/>
      </c>
      <c r="BU315" s="197" t="str">
        <f>IFERROR(($G315*IF('Inputs Yr 2'!$AJ315=BL$4,'Inputs Yr 2'!$AK315,IF('Inputs Yr 2'!$AL315=BL$4,'Inputs Yr 2'!$AM315,IF('Inputs Yr 2'!$AN315=BL$4,'Inputs Yr 2'!$AO315,0))))*(INDEX(avoidedcosttbl2,$H315,BU$2)+(($H315-ROUNDDOWN($H315,0))*(INDEX(avoidedcosttbl2,ROUNDUP($H315,0),BU$2)-(INDEX(avoidedcosttbl2,ROUNDDOWN($H315,0),BU$2)))))*'Inputs Yr 2'!P315*'Inputs Yr 2'!Q315*'Inputs Yr 2'!U315,"")</f>
        <v/>
      </c>
      <c r="BV315" s="775" t="str">
        <f>IFERROR(($G315*IF('Inputs Yr 2'!$AJ315=BJ$4,'Inputs Yr 2'!$AK315,IF('Inputs Yr 2'!$AL315=BJ$4,'Inputs Yr 2'!$AM315,IF('Inputs Yr 2'!$AN315=BJ$4,'Inputs Yr 2'!$AO315,0))))*(INDEX(avoidedcosttbl2,$H315,BV$2)+(($H315-ROUNDDOWN($H315,0))*(INDEX(avoidedcosttbl2,ROUNDUP($H315,0),BV$2)-(INDEX(avoidedcosttbl2,ROUNDDOWN($H315,0),BV$2)))))*'Inputs Yr 2'!P315*'Inputs Yr 2'!Q315*'Inputs Yr 2'!U315,"")</f>
        <v/>
      </c>
      <c r="BW315" s="197" t="str">
        <f>IFERROR(($G315*IF('Inputs Yr 2'!$AJ315=BN$4,'Inputs Yr 2'!$AK315,IF('Inputs Yr 2'!$AL315=BN$4,'Inputs Yr 2'!$AM315,IF('Inputs Yr 2'!$AN315=BN$4,'Inputs Yr 2'!$AO315,0))))*(INDEX(avoidedcosttbl2,$H315,BW$2)+(($H315-ROUNDDOWN($H315,0))*(INDEX(avoidedcosttbl2,ROUNDUP($H315,0),BW$2)-(INDEX(avoidedcosttbl2,ROUNDDOWN($H315,0),BW$2)))))*'Inputs Yr 2'!P315*'Inputs Yr 2'!Q315*'Inputs Yr 2'!U315,"")</f>
        <v/>
      </c>
      <c r="BX315" s="197" t="str">
        <f>IFERROR(($G315*IF('Inputs Yr 2'!$AJ315=BO$4,'Inputs Yr 2'!$AK315,IF('Inputs Yr 2'!$AL315=BO$4,'Inputs Yr 2'!$AM315,IF('Inputs Yr 2'!$AN315=BO$4,'Inputs Yr 2'!$AO315,0))))*(INDEX(avoidedcosttbl2,$H315,BX$2)+(($H315-ROUNDDOWN($H315,0))*(INDEX(avoidedcosttbl2,ROUNDUP($H315,0),BX$2)-(INDEX(avoidedcosttbl2,ROUNDDOWN($H315,0),BX$2)))))*'Inputs Yr 2'!P315*'Inputs Yr 2'!Q315*'Inputs Yr 2'!U315,"")</f>
        <v/>
      </c>
      <c r="BY315" s="197" t="str">
        <f>IFERROR(($G315*IF('Inputs Yr 2'!$AJ315=BP$4,'Inputs Yr 2'!$AK315,IF('Inputs Yr 2'!$AL315=BP$4,'Inputs Yr 2'!$AM315,IF('Inputs Yr 2'!$AN315=BP$4,'Inputs Yr 2'!$AO315,0))))*(INDEX(avoidedcosttbl2,$H315,BY$2)+(($H315-ROUNDDOWN($H315,0))*(INDEX(avoidedcosttbl2,ROUNDUP($H315,0),BY$2)-(INDEX(avoidedcosttbl2,ROUNDDOWN($H315,0),BY$2)))))*'Inputs Yr 2'!P315*'Inputs Yr 2'!Q315*'Inputs Yr 2'!U315,"")</f>
        <v/>
      </c>
      <c r="BZ315" s="193">
        <f t="shared" si="159"/>
        <v>0</v>
      </c>
      <c r="CA315" s="193">
        <f t="shared" si="160"/>
        <v>0</v>
      </c>
      <c r="CB315" s="195" t="str">
        <f>IFERROR(G315*(IF('Inputs Yr 2'!$AJ315=CB$4,'Inputs Yr 2'!$AK315,IF('Inputs Yr 2'!$AL315=CB$4,'Inputs Yr 2'!$AM315,IF('Inputs Yr 2'!$AN315=CB$4,'Inputs Yr 2'!$AO315,0))))*(INDEX(avoidedcosttbl2,$H315,CB$2)+(($H315-ROUNDDOWN($H315,0))*(INDEX(avoidedcosttbl2,ROUNDUP($H315,0),CB$2)-(INDEX(avoidedcosttbl2,ROUNDDOWN($H315,0),CB$2)))))*'Inputs Yr 2'!P315*'Inputs Yr 2'!Q315*'Inputs Yr 2'!U315,"")</f>
        <v/>
      </c>
      <c r="CC315" s="195">
        <f>IFERROR(H315*(IF('Inputs Yr 2'!$AJ315=CC$4,'Inputs Yr 2'!$AK315,IF('Inputs Yr 2'!$AL315=CC$4,'Inputs Yr 2'!$AM315,IF('Inputs Yr 2'!$AN315=CC$4,'Inputs Yr 2'!$AO315,0))))*(INDEX(avoidedcosttbl2,$H315,CC$2)+(($H315-ROUNDDOWN($H315,0))*(INDEX(avoidedcosttbl2,ROUNDUP($H315,0),CC$2)-(INDEX(avoidedcosttbl2,ROUNDDOWN($H315,0),CC$2)))))*'Inputs Yr 2'!Q315*'Inputs Yr 2'!R315*'Inputs Yr 2'!V315,"")</f>
        <v>0</v>
      </c>
      <c r="CD315" s="195" t="str">
        <f>IFERROR(I315*(IF('Inputs Yr 2'!$AJ315=CD$4,'Inputs Yr 2'!$AK315,IF('Inputs Yr 2'!$AL315=CD$4,'Inputs Yr 2'!$AM315,IF('Inputs Yr 2'!$AN315=CD$4,'Inputs Yr 2'!$AO315,0))))*(INDEX(avoidedcosttbl2,$H315,CD$2)+(($H315-ROUNDDOWN($H315,0))*(INDEX(avoidedcosttbl2,ROUNDUP($H315,0),CD$2)-(INDEX(avoidedcosttbl2,ROUNDDOWN($H315,0),CD$2)))))*'Inputs Yr 2'!R315*'Inputs Yr 2'!S315*'Inputs Yr 2'!W315,"")</f>
        <v/>
      </c>
      <c r="CE315" s="213">
        <f t="shared" si="161"/>
        <v>0</v>
      </c>
      <c r="CF315" s="213">
        <f t="shared" si="162"/>
        <v>0</v>
      </c>
      <c r="CG315" s="213">
        <f t="shared" si="163"/>
        <v>0</v>
      </c>
      <c r="CH315" s="698">
        <f t="shared" si="164"/>
        <v>0</v>
      </c>
      <c r="CI315" s="79" t="str">
        <f>IFERROR(($G315*'Inputs Yr 2'!$P315*'Inputs Yr 2'!$Q315*(((INDEX(avoidedcosttbl2,$H315,CI$2)+(($H315-ROUNDDOWN($H315,0))*(INDEX(avoidedcosttbl2,ROUNDUP($H315,0),CI$2)-INDEX(avoidedcosttbl2,ROUNDDOWN($H315,0),CI$2))))*'Inputs Yr 2'!AS315))),"")</f>
        <v/>
      </c>
      <c r="CJ315" s="504" t="str">
        <f>IFERROR($G315*'Inputs Yr 2'!AT315*'Inputs Yr 2'!$P315*'Inputs Yr 2'!$Q315/((1+realdiscrt1)^-0.5),"")</f>
        <v/>
      </c>
      <c r="CK315" s="79" t="str">
        <f>IFERROR((O315*1000*(((INDEX(avoidedcosttbl2,$H315,CK$2)+(($H315-ROUNDDOWN($H315,0))*(INDEX(avoidedcosttbl2,ROUNDUP($H315,0),CK$2)-INDEX(avoidedcosttbl2,ROUNDDOWN($H315,0),CK$2))))*'Inputs Yr 2'!AU315))),"")</f>
        <v/>
      </c>
      <c r="CL315" s="504" t="str">
        <f>IFERROR(O315*1000*'Inputs Yr 2'!AV315/((1+realdiscrt1)^-0.5),"")</f>
        <v/>
      </c>
      <c r="CM315" s="79">
        <f>IFERROR((AB315*'Inputs Yr 2'!AW315*(((INDEX(avoidedcosttbl2,$H315,CM$2)+(($H315-ROUNDDOWN($H315,0))*(INDEX(avoidedcosttbl2,ROUNDUP($H315,0),CM$2)-INDEX(avoidedcosttbl2,ROUNDDOWN($H315,0),CM$2)))))))*10,"")</f>
        <v>0</v>
      </c>
      <c r="CN315" s="504">
        <f>IFERROR(10*AB315*'Inputs Yr 2'!AX315/((1+realdiscrt1)^-0.5),"")</f>
        <v>0</v>
      </c>
      <c r="CO315" s="505">
        <f t="shared" si="165"/>
        <v>0</v>
      </c>
      <c r="CP315" s="230">
        <f t="shared" si="166"/>
        <v>0</v>
      </c>
      <c r="CQ315" s="199">
        <f>ROUND(IFERROR(IF(LEFT($A315,1)="C",'Avoided Costs'!$K$13,'Avoided Costs'!$K$12)+1,""),4)</f>
        <v>1.0720000000000001</v>
      </c>
      <c r="CR315" s="199">
        <f>ROUND(IFERROR(IF(LEFT($A315,1)="C",'Avoided Costs'!$L$13,'Avoided Costs'!$L$12)+1,""),4)</f>
        <v>1.04</v>
      </c>
      <c r="CS315" s="199">
        <f>ROUND(IFERROR(IF(LEFT($A315,1)="C",'Avoided Costs'!$M$13,'Avoided Costs'!$M$12)+1,""),4)</f>
        <v>1.0720000000000001</v>
      </c>
      <c r="CT315" s="199">
        <f>ROUND(IFERROR(IF(LEFT($A315,1)="C",'Avoided Costs'!$N$13,'Avoided Costs'!$N$12)+1,""),4)</f>
        <v>1.04</v>
      </c>
      <c r="CU315" s="199">
        <f>ROUND(IFERROR(IF(LEFT($A315,1)="C",'Avoided Costs'!$O$13,'Avoided Costs'!$O$12)+1,""),4)</f>
        <v>1.1120000000000001</v>
      </c>
      <c r="CV315" s="199">
        <f>ROUND(IFERROR(IF(LEFT($A315,1)="C",'Avoided Costs'!$P$13,'Avoided Costs'!$P$12)+1,""),4)</f>
        <v>1.095</v>
      </c>
      <c r="CW315" s="199">
        <f>ROUND(IFERROR(IF(LEFT($A315,1)="C",'Avoided Costs'!$Q$13,'Avoided Costs'!$Q$12)+1,""),4)</f>
        <v>1.1120000000000001</v>
      </c>
      <c r="CX315" s="200">
        <f>ROUND(IFERROR(IF(LEFT($A315,1)="C",'Avoided Costs'!$R$13,'Avoided Costs'!$R$12)+1,""),4)</f>
        <v>1.1120000000000001</v>
      </c>
    </row>
    <row r="316" spans="1:102" ht="12.75" customHeight="1">
      <c r="A316" s="91" t="str">
        <f>IF('Inputs Yr 2'!$B316=0,"",'Inputs Yr 2'!A316)</f>
        <v>C - Commercial &amp; Industrial</v>
      </c>
      <c r="B316" s="91" t="str">
        <f>IF('Inputs Yr 2'!$B316=0,"",'Inputs Yr 2'!B316)</f>
        <v>C2 - C&amp;I Retrofit</v>
      </c>
      <c r="C316" s="91" t="str">
        <f>IF('Inputs Yr 2'!$B316=0,"",'Inputs Yr 2'!C316)</f>
        <v>C2b - C&amp;I Small Business</v>
      </c>
      <c r="D316" s="91" t="str">
        <f>IF('Inputs Yr 2'!$B316=0,"",'Inputs Yr 2'!E316)</f>
        <v>Faucet Aerator, Gas</v>
      </c>
      <c r="E316" s="93" t="str">
        <f>IF('Inputs Yr 2'!$B316=0,"",'Inputs Yr 2'!F316)</f>
        <v>G16C2b21</v>
      </c>
      <c r="F316" s="93" t="str">
        <f>IF('Inputs Yr 2'!$B316=0,"",'Inputs Yr 2'!G316)</f>
        <v>Hot Water</v>
      </c>
      <c r="G316" s="95">
        <f>IF('Inputs Yr 2'!$H316&lt;&gt;0,('Inputs Yr 2'!H316),"")</f>
        <v>1829</v>
      </c>
      <c r="H316" s="94">
        <f>IFERROR('Inputs Yr 2'!I316,"")</f>
        <v>10</v>
      </c>
      <c r="I316" s="298">
        <f>IFERROR('Inputs Yr 2'!J316*'Inputs Yr 2'!P316*G316,"")</f>
        <v>15504.286679999999</v>
      </c>
      <c r="J316" s="298">
        <f>IFERROR('Inputs Yr 2'!K316*G316,"")</f>
        <v>18326.579999999998</v>
      </c>
      <c r="K316" s="298">
        <f t="shared" si="143"/>
        <v>-2822.2933199999989</v>
      </c>
      <c r="L316" s="194">
        <f>IFERROR(('Inputs Yr 2'!W316*G316)/1000,"")</f>
        <v>0</v>
      </c>
      <c r="M316" s="194">
        <f>IFERROR(L316*('Inputs Yr 2'!$Q316*'Inputs Yr 2'!$V316*'Inputs Yr 2'!$R316),"")</f>
        <v>0</v>
      </c>
      <c r="N316" s="194">
        <f t="shared" si="144"/>
        <v>0</v>
      </c>
      <c r="O316" s="194">
        <f>IFERROR(M316*'Inputs Yr 2'!P316,"")</f>
        <v>0</v>
      </c>
      <c r="P316" s="194">
        <f t="shared" si="145"/>
        <v>0</v>
      </c>
      <c r="Q316" s="194">
        <f>IFERROR($P316*'Inputs Yr 2'!AA316,"")</f>
        <v>0</v>
      </c>
      <c r="R316" s="194">
        <f>IFERROR($P316*'Inputs Yr 2'!AB316,"")</f>
        <v>0</v>
      </c>
      <c r="S316" s="194">
        <f>IFERROR($P316*'Inputs Yr 2'!AC316,"")</f>
        <v>0</v>
      </c>
      <c r="T316" s="194">
        <f>IFERROR($P316*'Inputs Yr 2'!AD316,"")</f>
        <v>0</v>
      </c>
      <c r="U316" s="194">
        <f>IFERROR(G316*'Inputs Yr 2'!$AE316*'Inputs Yr 2'!$P316*'Inputs Yr 2'!$Q316,"")</f>
        <v>0</v>
      </c>
      <c r="V316" s="194">
        <f>IFERROR($G316*'Inputs Yr 2'!$AE316*'Inputs Yr 2'!$AG316*'Inputs Yr 2'!Q316*'Inputs Yr 2'!$S316,"")</f>
        <v>0</v>
      </c>
      <c r="W316" s="194">
        <f>IFERROR($G316*'Inputs Yr 2'!$AE316*'Inputs Yr 2'!$AG316*'Inputs Yr 2'!P316*'Inputs Yr 2'!Q316*'Inputs Yr 2'!$S316,"")</f>
        <v>0</v>
      </c>
      <c r="X316" s="194">
        <f>IFERROR($G316*'Inputs Yr 2'!$AE316*'Inputs Yr 2'!$AF316*'Inputs Yr 2'!Q316*'Inputs Yr 2'!$T316,"")</f>
        <v>0</v>
      </c>
      <c r="Y316" s="194">
        <f>IFERROR($G316*'Inputs Yr 2'!$AE316*'Inputs Yr 2'!$AF316*'Inputs Yr 2'!P316*'Inputs Yr 2'!Q316*'Inputs Yr 2'!$T316,"")</f>
        <v>0</v>
      </c>
      <c r="Z316" s="257">
        <f>IFERROR($G316*'Inputs Yr 2'!$Q316*'Inputs Yr 2'!$U316*(IF(IFERROR(SEARCH("NG", 'Inputs Yr 2'!$AJ316),0),'Inputs Yr 2'!$AK316,0)+IF(IFERROR(SEARCH("NG", 'Inputs Yr 2'!$AL316),0),'Inputs Yr 2'!$AM316,0)+IF(IFERROR(SEARCH("NG", 'Inputs Yr 2'!$AN316),0),'Inputs Yr 2'!$AO316,0)),0)</f>
        <v>3109.3000000000011</v>
      </c>
      <c r="AA316" s="257">
        <f t="shared" si="146"/>
        <v>31093.000000000011</v>
      </c>
      <c r="AB316" s="257">
        <f>IFERROR(Z316*'Inputs Yr 2'!$P316,0)</f>
        <v>2630.4678000000013</v>
      </c>
      <c r="AC316" s="257">
        <f t="shared" si="147"/>
        <v>26304.678000000014</v>
      </c>
      <c r="AD316" s="257">
        <f>IFERROR($G316*'Inputs Yr 2'!$Q316*'Inputs Yr 2'!$U316*(IF(IFERROR(SEARCH("Oil", 'Inputs Yr 2'!$AJ316), 0),'Inputs Yr 2'!$AK316,0)+IF(IFERROR(SEARCH("Oil", 'Inputs Yr 2'!$AL316), 0),'Inputs Yr 2'!$AM316,0)+IF(IFERROR(SEARCH("Oil", 'Inputs Yr 2'!$AN316), 0),'Inputs Yr 2'!$AO316,0)),0)</f>
        <v>0</v>
      </c>
      <c r="AE316" s="257">
        <f t="shared" si="148"/>
        <v>0</v>
      </c>
      <c r="AF316" s="257">
        <f>IFERROR(AD316*'Inputs Yr 2'!$P316,0)</f>
        <v>0</v>
      </c>
      <c r="AG316" s="257">
        <f t="shared" si="149"/>
        <v>0</v>
      </c>
      <c r="AH316" s="257">
        <f>IFERROR($G316*'Inputs Yr 2'!$Q316*'Inputs Yr 2'!$U316*(IF('Inputs Yr 2'!$AJ316=CD$4,'Inputs Yr 2'!$AK316,IF('Inputs Yr 2'!$AL316=CD$4,'Inputs Yr 2'!$AM316,IF('Inputs Yr 2'!$AN316=CD$4,'Inputs Yr 2'!$AO316,0)))),0)</f>
        <v>0</v>
      </c>
      <c r="AI316" s="257">
        <f t="shared" si="150"/>
        <v>0</v>
      </c>
      <c r="AJ316" s="257">
        <f>IFERROR(AH316*'Inputs Yr 2'!$P316,0)</f>
        <v>0</v>
      </c>
      <c r="AK316" s="257">
        <f t="shared" si="151"/>
        <v>0</v>
      </c>
      <c r="AL316" s="258">
        <f>IFERROR($G316*'Inputs Yr 2'!$P316*'Inputs Yr 2'!$Q316*'Inputs Yr 2'!AP316,0)</f>
        <v>0</v>
      </c>
      <c r="AM316" s="260">
        <f>IFERROR($G316*'Inputs Yr 2'!$P316*'Inputs Yr 2'!$Q316*'Inputs Yr 2'!AQ316,0)</f>
        <v>8448443.6400000006</v>
      </c>
      <c r="AN316" s="258">
        <f>IFERROR($G316*'Inputs Yr 2'!$P316*'Inputs Yr 2'!$Q316*'Inputs Yr 2'!AR316,0)</f>
        <v>8448443.6400000006</v>
      </c>
      <c r="AO316" s="257">
        <f t="shared" si="152"/>
        <v>84484436.400000006</v>
      </c>
      <c r="AP316" s="195">
        <f>IFERROR($CQ316*(INDEX(avoidedcosttbl2,$H316,AP$2)+(($H316-ROUNDDOWN($H316,0))*(INDEX(avoidedcosttbl2,ROUNDUP($H316,0),AP$2)-(INDEX(avoidedcosttbl2,ROUNDDOWN($H316,0),AP$2)))))*$O316*1000*'Inputs Yr 2'!AA316,"")</f>
        <v>0</v>
      </c>
      <c r="AQ316" s="195">
        <f>IFERROR($CR316*(INDEX(avoidedcosttbl2,$H316,AQ$2)+(($H316-ROUNDDOWN($H316,0))*(INDEX(avoidedcosttbl2,ROUNDUP($H316,0),AQ$2)-(INDEX(avoidedcosttbl2,ROUNDDOWN($H316,0),AQ$2)))))*$O316*1000*'Inputs Yr 2'!AB316,"")</f>
        <v>0</v>
      </c>
      <c r="AR316" s="195">
        <f>IFERROR($CS316*(INDEX(avoidedcosttbl2,$H316,AR$2)+(($H316-ROUNDDOWN($H316,0))*(INDEX(avoidedcosttbl2,ROUNDUP($H316,0),AR$2)-(INDEX(avoidedcosttbl2,ROUNDDOWN($H316,0),AR$2)))))*$O316*1000*'Inputs Yr 2'!AC316,"")</f>
        <v>0</v>
      </c>
      <c r="AS316" s="195">
        <f>IFERROR($CT316*(INDEX(avoidedcosttbl2,$H316,AS$2)+(($H316-ROUNDDOWN($H316,0))*(INDEX(avoidedcosttbl2,ROUNDUP($H316,0),AS$2)-(INDEX(avoidedcosttbl2,ROUNDDOWN($H316,0),AS$2)))))*$O316*1000*'Inputs Yr 2'!AD316,"")</f>
        <v>0</v>
      </c>
      <c r="AT316" s="196">
        <f t="shared" si="153"/>
        <v>0</v>
      </c>
      <c r="AU316" s="197">
        <f>IFERROR($CQ316*((INDEX(avoidedcosttbl2,$H316,AU$2))+(($H316-ROUNDDOWN($H316,0))*((INDEX(avoidedcosttbl2,ROUNDUP($H316,0),AU$2))-(INDEX(avoidedcosttbl2,ROUNDDOWN($H316,0),AU$2)))))*$O316*1000*'Inputs Yr 2'!AA316,"")</f>
        <v>0</v>
      </c>
      <c r="AV316" s="197">
        <f>IFERROR($CR316*((INDEX(avoidedcosttbl2,$H316,AV$2))+(($H316-ROUNDDOWN($H316,0))*((INDEX(avoidedcosttbl2,ROUNDUP($H316,0),AV$2))-(INDEX(avoidedcosttbl2,ROUNDDOWN($H316,0),AV$2)))))*$O316*1000*'Inputs Yr 2'!AB316,"")</f>
        <v>0</v>
      </c>
      <c r="AW316" s="197">
        <f>IFERROR($CS316*((INDEX(avoidedcosttbl2,$H316,AW$2))+(($H316-ROUNDDOWN($H316,0))*((INDEX(avoidedcosttbl2,ROUNDUP($H316,0),AW$2))-(INDEX(avoidedcosttbl2,ROUNDDOWN($H316,0),AW$2)))))*$O316*1000*'Inputs Yr 2'!AC316,"")</f>
        <v>0</v>
      </c>
      <c r="AX316" s="197">
        <f>IFERROR($CT316*((INDEX(avoidedcosttbl2,$H316,AX$2))+(($H316-ROUNDDOWN($H316,0))*((INDEX(avoidedcosttbl2,ROUNDUP($H316,0),AX$2))-(INDEX(avoidedcosttbl2,ROUNDDOWN($H316,0),AX$2)))))*$O316*1000*'Inputs Yr 2'!AD316,"")</f>
        <v>0</v>
      </c>
      <c r="AY316" s="197">
        <f>IFERROR(((INDEX(avoidedcosttbl2,$H316,AY$2))+(($H316-ROUNDDOWN($H316,0))*((INDEX(avoidedcosttbl2,ROUNDUP($H316,0),AY$2))-(INDEX(avoidedcosttbl2,ROUNDDOWN($H316,0),AY$2)))))*$O316*1000*('Inputs Yr 2'!AC316+'Inputs Yr 2'!AD316),"")</f>
        <v>0</v>
      </c>
      <c r="AZ316" s="197">
        <f>IFERROR(((INDEX(avoidedcosttbl2,$H316,AZ$2))+(($H316-ROUNDDOWN($H316,0))*((INDEX(avoidedcosttbl2,ROUNDUP($H316,0),AZ$2))-(INDEX(avoidedcosttbl2,ROUNDDOWN($H316,0),AZ$2)))))*$O316*1000*('Inputs Yr 2'!AA316+'Inputs Yr 2'!AB316),"")</f>
        <v>0</v>
      </c>
      <c r="BA316" s="198">
        <f t="shared" si="154"/>
        <v>0</v>
      </c>
      <c r="BB316" s="198">
        <f t="shared" si="155"/>
        <v>0</v>
      </c>
      <c r="BC316" s="195">
        <f t="shared" si="137"/>
        <v>0</v>
      </c>
      <c r="BD316" s="195">
        <f t="shared" si="138"/>
        <v>0</v>
      </c>
      <c r="BE316" s="195">
        <f t="shared" si="139"/>
        <v>0</v>
      </c>
      <c r="BF316" s="195">
        <f t="shared" si="140"/>
        <v>0</v>
      </c>
      <c r="BG316" s="195">
        <f t="shared" si="141"/>
        <v>0</v>
      </c>
      <c r="BH316" s="196">
        <f t="shared" si="156"/>
        <v>0</v>
      </c>
      <c r="BI316" s="196">
        <f t="shared" si="157"/>
        <v>0</v>
      </c>
      <c r="BJ316" s="195">
        <f>IFERROR($G316*(IF('Inputs Yr 2'!$AJ316=BJ$4,'Inputs Yr 2'!$AK316,IF('Inputs Yr 2'!$AL316=BJ$4,'Inputs Yr 2'!$AM316,IF('Inputs Yr 2'!$AN316=BJ$4,'Inputs Yr 2'!$AO316,0))))*(INDEX(avoidedcosttbl2,$H316,BJ$2)+(($H316-ROUNDDOWN($H316,0))*(INDEX(avoidedcosttbl2,ROUNDUP($H316,0),BJ$2)-(INDEX(avoidedcosttbl2,ROUNDDOWN($H316,0),BJ$2)))))*'Inputs Yr 2'!P316*'Inputs Yr 2'!Q316*'Inputs Yr 2'!U316,"")</f>
        <v>0</v>
      </c>
      <c r="BK316" s="195">
        <f>IFERROR($G316*(IF('Inputs Yr 2'!$AJ316=BK$4,'Inputs Yr 2'!$AK316,IF('Inputs Yr 2'!$AL316=BK$4,'Inputs Yr 2'!$AM316,IF('Inputs Yr 2'!$AN316=BK$4,'Inputs Yr 2'!$AO316,0))))*(INDEX(avoidedcosttbl2,$H316,BK$2)+(($H316-ROUNDDOWN($H316,0))*(INDEX(avoidedcosttbl2,ROUNDUP($H316,0),BK$2)-(INDEX(avoidedcosttbl2,ROUNDDOWN($H316,0),BK$2)))))*'Inputs Yr 2'!P316*'Inputs Yr 2'!Q316*'Inputs Yr 2'!U316,"")</f>
        <v>0</v>
      </c>
      <c r="BL316" s="195">
        <f>IFERROR($G316*(IF('Inputs Yr 2'!$AJ316=BL$4,'Inputs Yr 2'!$AK316,IF('Inputs Yr 2'!$AL316=BL$4,'Inputs Yr 2'!$AM316,IF('Inputs Yr 2'!$AN316=BL$4,'Inputs Yr 2'!$AO316,0))))*(INDEX(avoidedcosttbl2,$H316,BL$2)+(($H316-ROUNDDOWN($H316,0))*(INDEX(avoidedcosttbl2,ROUNDUP($H316,0),BL$2)-(INDEX(avoidedcosttbl2,ROUNDDOWN($H316,0),BL$2)))))*'Inputs Yr 2'!P316*'Inputs Yr 2'!Q316*'Inputs Yr 2'!U316,"")</f>
        <v>0</v>
      </c>
      <c r="BM316" s="195">
        <f>IFERROR($G316*(IF('Inputs Yr 2'!$AJ316=BM$4,'Inputs Yr 2'!$AK316,IF('Inputs Yr 2'!$AL316=BM$4,'Inputs Yr 2'!$AM316,IF('Inputs Yr 2'!$AN316=BM$4,'Inputs Yr 2'!$AO316,0))))*(INDEX(avoidedcosttbl2,$H316,BM$2)+(($H316-ROUNDDOWN($H316,0))*(INDEX(avoidedcosttbl2,ROUNDUP($H316,0),BM$2)-(INDEX(avoidedcosttbl2,ROUNDDOWN($H316,0),BM$2)))))*'Inputs Yr 2'!P316*'Inputs Yr 2'!Q316*'Inputs Yr 2'!U316,"")</f>
        <v>0</v>
      </c>
      <c r="BN316" s="195">
        <f>IFERROR($G316*(IF('Inputs Yr 2'!$AJ316=BN$4,'Inputs Yr 2'!$AK316,IF('Inputs Yr 2'!$AL316=BN$4,'Inputs Yr 2'!$AM316,IF('Inputs Yr 2'!$AN316=BN$4,'Inputs Yr 2'!$AO316,0))))*(INDEX(avoidedcosttbl2,$H316,BN$2)+(($H316-ROUNDDOWN($H316,0))*(INDEX(avoidedcosttbl2,ROUNDUP($H316,0),BN$2)-(INDEX(avoidedcosttbl2,ROUNDDOWN($H316,0),BN$2)))))*'Inputs Yr 2'!P316*'Inputs Yr 2'!Q316*'Inputs Yr 2'!U316,"")</f>
        <v>176927.76467385283</v>
      </c>
      <c r="BO316" s="195">
        <f>IFERROR($G316*(IF('Inputs Yr 2'!$AJ316=BO$4,'Inputs Yr 2'!$AK316,IF('Inputs Yr 2'!$AL316=BO$4,'Inputs Yr 2'!$AM316,IF('Inputs Yr 2'!$AN316=BO$4,'Inputs Yr 2'!$AO316,0))))*(INDEX(avoidedcosttbl2,$H316,BO$2)+(($H316-ROUNDDOWN($H316,0))*(INDEX(avoidedcosttbl2,ROUNDUP($H316,0),BO$2)-(INDEX(avoidedcosttbl2,ROUNDDOWN($H316,0),BO$2)))))*'Inputs Yr 2'!P316*'Inputs Yr 2'!Q316*'Inputs Yr 2'!U316,"")</f>
        <v>0</v>
      </c>
      <c r="BP316" s="195">
        <f>IFERROR($G316*(IF('Inputs Yr 2'!$AJ316=BP$4,'Inputs Yr 2'!$AK316,IF('Inputs Yr 2'!$AL316=BP$4,'Inputs Yr 2'!$AM316,IF('Inputs Yr 2'!$AN316=BP$4,'Inputs Yr 2'!$AO316,0))))*(INDEX(avoidedcosttbl2,$H316,BP$2)+(($H316-ROUNDDOWN($H316,0))*(INDEX(avoidedcosttbl2,ROUNDUP($H316,0),BP$2)-(INDEX(avoidedcosttbl2,ROUNDDOWN($H316,0),BP$2)))))*'Inputs Yr 2'!P316*'Inputs Yr 2'!Q316*'Inputs Yr 2'!U316,"")</f>
        <v>0</v>
      </c>
      <c r="BQ316" s="230">
        <f t="shared" si="158"/>
        <v>176927.76467385283</v>
      </c>
      <c r="BR316" s="197">
        <f t="shared" si="142"/>
        <v>3604.3730807289021</v>
      </c>
      <c r="BS316" s="197">
        <f>IFERROR(($G316*IF('Inputs Yr 2'!$AJ316=BM$4,'Inputs Yr 2'!$AK316,IF('Inputs Yr 2'!$AL316=BM$4,'Inputs Yr 2'!$AM316,IF('Inputs Yr 2'!$AN316=BM$4,'Inputs Yr 2'!$AO316,0))))*(INDEX(avoidedcosttbl2,$H316,BS$2)+(($H316-ROUNDDOWN($H316,0))*(INDEX(avoidedcosttbl2,ROUNDUP($H316,0),BS$2)-(INDEX(avoidedcosttbl2,ROUNDDOWN($H316,0),BS$2)))))*'Inputs Yr 2'!P316*'Inputs Yr 2'!Q316*'Inputs Yr 2'!U316,"")</f>
        <v>0</v>
      </c>
      <c r="BT316" s="197">
        <f>IFERROR(($G316*IF('Inputs Yr 2'!$AJ316=BK$4,'Inputs Yr 2'!$AK316,IF('Inputs Yr 2'!$AL316=BK$4,'Inputs Yr 2'!$AM316,IF('Inputs Yr 2'!$AN316=BK$4,'Inputs Yr 2'!$AO316,0))))*(INDEX(avoidedcosttbl2,$H316,BT$2)+(($H316-ROUNDDOWN($H316,0))*(INDEX(avoidedcosttbl2,ROUNDUP($H316,0),BT$2)-(INDEX(avoidedcosttbl2,ROUNDDOWN($H316,0),BT$2)))))*'Inputs Yr 2'!P316*'Inputs Yr 2'!Q316*'Inputs Yr 2'!U316,"")</f>
        <v>0</v>
      </c>
      <c r="BU316" s="197">
        <f>IFERROR(($G316*IF('Inputs Yr 2'!$AJ316=BL$4,'Inputs Yr 2'!$AK316,IF('Inputs Yr 2'!$AL316=BL$4,'Inputs Yr 2'!$AM316,IF('Inputs Yr 2'!$AN316=BL$4,'Inputs Yr 2'!$AO316,0))))*(INDEX(avoidedcosttbl2,$H316,BU$2)+(($H316-ROUNDDOWN($H316,0))*(INDEX(avoidedcosttbl2,ROUNDUP($H316,0),BU$2)-(INDEX(avoidedcosttbl2,ROUNDDOWN($H316,0),BU$2)))))*'Inputs Yr 2'!P316*'Inputs Yr 2'!Q316*'Inputs Yr 2'!U316,"")</f>
        <v>0</v>
      </c>
      <c r="BV316" s="775">
        <f>IFERROR(($G316*IF('Inputs Yr 2'!$AJ316=BJ$4,'Inputs Yr 2'!$AK316,IF('Inputs Yr 2'!$AL316=BJ$4,'Inputs Yr 2'!$AM316,IF('Inputs Yr 2'!$AN316=BJ$4,'Inputs Yr 2'!$AO316,0))))*(INDEX(avoidedcosttbl2,$H316,BV$2)+(($H316-ROUNDDOWN($H316,0))*(INDEX(avoidedcosttbl2,ROUNDUP($H316,0),BV$2)-(INDEX(avoidedcosttbl2,ROUNDDOWN($H316,0),BV$2)))))*'Inputs Yr 2'!P316*'Inputs Yr 2'!Q316*'Inputs Yr 2'!U316,"")</f>
        <v>0</v>
      </c>
      <c r="BW316" s="197">
        <f>IFERROR(($G316*IF('Inputs Yr 2'!$AJ316=BN$4,'Inputs Yr 2'!$AK316,IF('Inputs Yr 2'!$AL316=BN$4,'Inputs Yr 2'!$AM316,IF('Inputs Yr 2'!$AN316=BN$4,'Inputs Yr 2'!$AO316,0))))*(INDEX(avoidedcosttbl2,$H316,BW$2)+(($H316-ROUNDDOWN($H316,0))*(INDEX(avoidedcosttbl2,ROUNDUP($H316,0),BW$2)-(INDEX(avoidedcosttbl2,ROUNDDOWN($H316,0),BW$2)))))*'Inputs Yr 2'!P316*'Inputs Yr 2'!Q316*'Inputs Yr 2'!U316,"")</f>
        <v>22133.421094826175</v>
      </c>
      <c r="BX316" s="197">
        <f>IFERROR(($G316*IF('Inputs Yr 2'!$AJ316=BO$4,'Inputs Yr 2'!$AK316,IF('Inputs Yr 2'!$AL316=BO$4,'Inputs Yr 2'!$AM316,IF('Inputs Yr 2'!$AN316=BO$4,'Inputs Yr 2'!$AO316,0))))*(INDEX(avoidedcosttbl2,$H316,BX$2)+(($H316-ROUNDDOWN($H316,0))*(INDEX(avoidedcosttbl2,ROUNDUP($H316,0),BX$2)-(INDEX(avoidedcosttbl2,ROUNDDOWN($H316,0),BX$2)))))*'Inputs Yr 2'!P316*'Inputs Yr 2'!Q316*'Inputs Yr 2'!U316,"")</f>
        <v>0</v>
      </c>
      <c r="BY316" s="197">
        <f>IFERROR(($G316*IF('Inputs Yr 2'!$AJ316=BP$4,'Inputs Yr 2'!$AK316,IF('Inputs Yr 2'!$AL316=BP$4,'Inputs Yr 2'!$AM316,IF('Inputs Yr 2'!$AN316=BP$4,'Inputs Yr 2'!$AO316,0))))*(INDEX(avoidedcosttbl2,$H316,BY$2)+(($H316-ROUNDDOWN($H316,0))*(INDEX(avoidedcosttbl2,ROUNDUP($H316,0),BY$2)-(INDEX(avoidedcosttbl2,ROUNDDOWN($H316,0),BY$2)))))*'Inputs Yr 2'!P316*'Inputs Yr 2'!Q316*'Inputs Yr 2'!U316,"")</f>
        <v>0</v>
      </c>
      <c r="BZ316" s="193">
        <f t="shared" si="159"/>
        <v>25737.794175555078</v>
      </c>
      <c r="CA316" s="193">
        <f t="shared" si="160"/>
        <v>202665.55884940791</v>
      </c>
      <c r="CB316" s="195">
        <f>IFERROR(G316*(IF('Inputs Yr 2'!$AJ316=CB$4,'Inputs Yr 2'!$AK316,IF('Inputs Yr 2'!$AL316=CB$4,'Inputs Yr 2'!$AM316,IF('Inputs Yr 2'!$AN316=CB$4,'Inputs Yr 2'!$AO316,0))))*(INDEX(avoidedcosttbl2,$H316,CB$2)+(($H316-ROUNDDOWN($H316,0))*(INDEX(avoidedcosttbl2,ROUNDUP($H316,0),CB$2)-(INDEX(avoidedcosttbl2,ROUNDDOWN($H316,0),CB$2)))))*'Inputs Yr 2'!P316*'Inputs Yr 2'!Q316*'Inputs Yr 2'!U316,"")</f>
        <v>0</v>
      </c>
      <c r="CC316" s="195">
        <f>IFERROR(H316*(IF('Inputs Yr 2'!$AJ316=CC$4,'Inputs Yr 2'!$AK316,IF('Inputs Yr 2'!$AL316=CC$4,'Inputs Yr 2'!$AM316,IF('Inputs Yr 2'!$AN316=CC$4,'Inputs Yr 2'!$AO316,0))))*(INDEX(avoidedcosttbl2,$H316,CC$2)+(($H316-ROUNDDOWN($H316,0))*(INDEX(avoidedcosttbl2,ROUNDUP($H316,0),CC$2)-(INDEX(avoidedcosttbl2,ROUNDDOWN($H316,0),CC$2)))))*'Inputs Yr 2'!Q316*'Inputs Yr 2'!R316*'Inputs Yr 2'!V316,"")</f>
        <v>0</v>
      </c>
      <c r="CD316" s="195">
        <f>IFERROR(I316*(IF('Inputs Yr 2'!$AJ316=CD$4,'Inputs Yr 2'!$AK316,IF('Inputs Yr 2'!$AL316=CD$4,'Inputs Yr 2'!$AM316,IF('Inputs Yr 2'!$AN316=CD$4,'Inputs Yr 2'!$AO316,0))))*(INDEX(avoidedcosttbl2,$H316,CD$2)+(($H316-ROUNDDOWN($H316,0))*(INDEX(avoidedcosttbl2,ROUNDUP($H316,0),CD$2)-(INDEX(avoidedcosttbl2,ROUNDDOWN($H316,0),CD$2)))))*'Inputs Yr 2'!R316*'Inputs Yr 2'!S316*'Inputs Yr 2'!W316,"")</f>
        <v>0</v>
      </c>
      <c r="CE316" s="213">
        <f t="shared" si="161"/>
        <v>0</v>
      </c>
      <c r="CF316" s="213">
        <f t="shared" si="162"/>
        <v>375093.34948786773</v>
      </c>
      <c r="CG316" s="213">
        <f t="shared" si="163"/>
        <v>520340.79717655526</v>
      </c>
      <c r="CH316" s="698">
        <f t="shared" si="164"/>
        <v>1098099.7055138308</v>
      </c>
      <c r="CI316" s="79">
        <f>IFERROR(($G316*'Inputs Yr 2'!$P316*'Inputs Yr 2'!$Q316*(((INDEX(avoidedcosttbl2,$H316,CI$2)+(($H316-ROUNDDOWN($H316,0))*(INDEX(avoidedcosttbl2,ROUNDUP($H316,0),CI$2)-INDEX(avoidedcosttbl2,ROUNDDOWN($H316,0),CI$2))))*'Inputs Yr 2'!AS316))),"")</f>
        <v>0</v>
      </c>
      <c r="CJ316" s="504">
        <f>IFERROR($G316*'Inputs Yr 2'!AT316*'Inputs Yr 2'!$P316*'Inputs Yr 2'!$Q316/((1+realdiscrt1)^-0.5),"")</f>
        <v>0</v>
      </c>
      <c r="CK316" s="79">
        <f>IFERROR((O316*1000*(((INDEX(avoidedcosttbl2,$H316,CK$2)+(($H316-ROUNDDOWN($H316,0))*(INDEX(avoidedcosttbl2,ROUNDUP($H316,0),CK$2)-INDEX(avoidedcosttbl2,ROUNDDOWN($H316,0),CK$2))))*'Inputs Yr 2'!AU316))),"")</f>
        <v>0</v>
      </c>
      <c r="CL316" s="504">
        <f>IFERROR(O316*1000*'Inputs Yr 2'!AV316/((1+realdiscrt1)^-0.5),"")</f>
        <v>0</v>
      </c>
      <c r="CM316" s="79">
        <f>IFERROR((AB316*'Inputs Yr 2'!AW316*(((INDEX(avoidedcosttbl2,$H316,CM$2)+(($H316-ROUNDDOWN($H316,0))*(INDEX(avoidedcosttbl2,ROUNDUP($H316,0),CM$2)-INDEX(avoidedcosttbl2,ROUNDDOWN($H316,0),CM$2)))))))*10,"")</f>
        <v>0</v>
      </c>
      <c r="CN316" s="504">
        <f>IFERROR(10*AB316*'Inputs Yr 2'!AX316/((1+realdiscrt1)^-0.5),"")</f>
        <v>0</v>
      </c>
      <c r="CO316" s="505">
        <f t="shared" si="165"/>
        <v>0</v>
      </c>
      <c r="CP316" s="230">
        <f t="shared" si="166"/>
        <v>1098099.7055138308</v>
      </c>
      <c r="CQ316" s="199">
        <f>ROUND(IFERROR(IF(LEFT($A316,1)="C",'Avoided Costs'!$K$13,'Avoided Costs'!$K$12)+1,""),4)</f>
        <v>1.0720000000000001</v>
      </c>
      <c r="CR316" s="199">
        <f>ROUND(IFERROR(IF(LEFT($A316,1)="C",'Avoided Costs'!$L$13,'Avoided Costs'!$L$12)+1,""),4)</f>
        <v>1.04</v>
      </c>
      <c r="CS316" s="199">
        <f>ROUND(IFERROR(IF(LEFT($A316,1)="C",'Avoided Costs'!$M$13,'Avoided Costs'!$M$12)+1,""),4)</f>
        <v>1.0720000000000001</v>
      </c>
      <c r="CT316" s="199">
        <f>ROUND(IFERROR(IF(LEFT($A316,1)="C",'Avoided Costs'!$N$13,'Avoided Costs'!$N$12)+1,""),4)</f>
        <v>1.04</v>
      </c>
      <c r="CU316" s="199">
        <f>ROUND(IFERROR(IF(LEFT($A316,1)="C",'Avoided Costs'!$O$13,'Avoided Costs'!$O$12)+1,""),4)</f>
        <v>1.1120000000000001</v>
      </c>
      <c r="CV316" s="199">
        <f>ROUND(IFERROR(IF(LEFT($A316,1)="C",'Avoided Costs'!$P$13,'Avoided Costs'!$P$12)+1,""),4)</f>
        <v>1.095</v>
      </c>
      <c r="CW316" s="199">
        <f>ROUND(IFERROR(IF(LEFT($A316,1)="C",'Avoided Costs'!$Q$13,'Avoided Costs'!$Q$12)+1,""),4)</f>
        <v>1.1120000000000001</v>
      </c>
      <c r="CX316" s="200">
        <f>ROUND(IFERROR(IF(LEFT($A316,1)="C",'Avoided Costs'!$R$13,'Avoided Costs'!$R$12)+1,""),4)</f>
        <v>1.1120000000000001</v>
      </c>
    </row>
    <row r="317" spans="1:102" ht="12.75" customHeight="1">
      <c r="A317" s="91" t="str">
        <f>IF('Inputs Yr 2'!$B317=0,"",'Inputs Yr 2'!A317)</f>
        <v>C - Commercial &amp; Industrial</v>
      </c>
      <c r="B317" s="91" t="str">
        <f>IF('Inputs Yr 2'!$B317=0,"",'Inputs Yr 2'!B317)</f>
        <v>C2 - C&amp;I Retrofit</v>
      </c>
      <c r="C317" s="91" t="str">
        <f>IF('Inputs Yr 2'!$B317=0,"",'Inputs Yr 2'!C317)</f>
        <v>C2b - C&amp;I Small Business</v>
      </c>
      <c r="D317" s="91" t="str">
        <f>IF('Inputs Yr 2'!$B317=0,"",'Inputs Yr 2'!E317)</f>
        <v>Low Flow Showerhead, Gas</v>
      </c>
      <c r="E317" s="93" t="str">
        <f>IF('Inputs Yr 2'!$B317=0,"",'Inputs Yr 2'!F317)</f>
        <v>G16C2b22</v>
      </c>
      <c r="F317" s="93" t="str">
        <f>IF('Inputs Yr 2'!$B317=0,"",'Inputs Yr 2'!G317)</f>
        <v>Hot Water</v>
      </c>
      <c r="G317" s="95">
        <f>IF('Inputs Yr 2'!$H317&lt;&gt;0,('Inputs Yr 2'!H317),"")</f>
        <v>1336</v>
      </c>
      <c r="H317" s="94">
        <f>IFERROR('Inputs Yr 2'!I317,"")</f>
        <v>10</v>
      </c>
      <c r="I317" s="298">
        <f>IFERROR('Inputs Yr 2'!J317*'Inputs Yr 2'!P317*G317,"")</f>
        <v>41548.21056</v>
      </c>
      <c r="J317" s="298">
        <f>IFERROR('Inputs Yr 2'!K317*G317,"")</f>
        <v>49111.360000000001</v>
      </c>
      <c r="K317" s="298">
        <f t="shared" si="143"/>
        <v>-7563.1494400000011</v>
      </c>
      <c r="L317" s="194">
        <f>IFERROR(('Inputs Yr 2'!W317*G317)/1000,"")</f>
        <v>0</v>
      </c>
      <c r="M317" s="194">
        <f>IFERROR(L317*('Inputs Yr 2'!$Q317*'Inputs Yr 2'!$V317*'Inputs Yr 2'!$R317),"")</f>
        <v>0</v>
      </c>
      <c r="N317" s="194">
        <f t="shared" si="144"/>
        <v>0</v>
      </c>
      <c r="O317" s="194">
        <f>IFERROR(M317*'Inputs Yr 2'!P317,"")</f>
        <v>0</v>
      </c>
      <c r="P317" s="194">
        <f t="shared" si="145"/>
        <v>0</v>
      </c>
      <c r="Q317" s="194">
        <f>IFERROR($P317*'Inputs Yr 2'!AA317,"")</f>
        <v>0</v>
      </c>
      <c r="R317" s="194">
        <f>IFERROR($P317*'Inputs Yr 2'!AB317,"")</f>
        <v>0</v>
      </c>
      <c r="S317" s="194">
        <f>IFERROR($P317*'Inputs Yr 2'!AC317,"")</f>
        <v>0</v>
      </c>
      <c r="T317" s="194">
        <f>IFERROR($P317*'Inputs Yr 2'!AD317,"")</f>
        <v>0</v>
      </c>
      <c r="U317" s="194">
        <f>IFERROR(G317*'Inputs Yr 2'!$AE317*'Inputs Yr 2'!$P317*'Inputs Yr 2'!$Q317,"")</f>
        <v>0</v>
      </c>
      <c r="V317" s="194">
        <f>IFERROR($G317*'Inputs Yr 2'!$AE317*'Inputs Yr 2'!$AG317*'Inputs Yr 2'!Q317*'Inputs Yr 2'!$S317,"")</f>
        <v>0</v>
      </c>
      <c r="W317" s="194">
        <f>IFERROR($G317*'Inputs Yr 2'!$AE317*'Inputs Yr 2'!$AG317*'Inputs Yr 2'!P317*'Inputs Yr 2'!Q317*'Inputs Yr 2'!$S317,"")</f>
        <v>0</v>
      </c>
      <c r="X317" s="194">
        <f>IFERROR($G317*'Inputs Yr 2'!$AE317*'Inputs Yr 2'!$AF317*'Inputs Yr 2'!Q317*'Inputs Yr 2'!$T317,"")</f>
        <v>0</v>
      </c>
      <c r="Y317" s="194">
        <f>IFERROR($G317*'Inputs Yr 2'!$AE317*'Inputs Yr 2'!$AF317*'Inputs Yr 2'!P317*'Inputs Yr 2'!Q317*'Inputs Yr 2'!$T317,"")</f>
        <v>0</v>
      </c>
      <c r="Z317" s="257">
        <f>IFERROR($G317*'Inputs Yr 2'!$Q317*'Inputs Yr 2'!$U317*(IF(IFERROR(SEARCH("NG", 'Inputs Yr 2'!$AJ317),0),'Inputs Yr 2'!$AK317,0)+IF(IFERROR(SEARCH("NG", 'Inputs Yr 2'!$AL317),0),'Inputs Yr 2'!$AM317,0)+IF(IFERROR(SEARCH("NG", 'Inputs Yr 2'!$AN317),0),'Inputs Yr 2'!$AO317,0)),0)</f>
        <v>2605.1999999999998</v>
      </c>
      <c r="AA317" s="257">
        <f t="shared" si="146"/>
        <v>26052</v>
      </c>
      <c r="AB317" s="257">
        <f>IFERROR(Z317*'Inputs Yr 2'!$P317,0)</f>
        <v>2203.9992000000002</v>
      </c>
      <c r="AC317" s="257">
        <f t="shared" si="147"/>
        <v>22039.992000000002</v>
      </c>
      <c r="AD317" s="257">
        <f>IFERROR($G317*'Inputs Yr 2'!$Q317*'Inputs Yr 2'!$U317*(IF(IFERROR(SEARCH("Oil", 'Inputs Yr 2'!$AJ317), 0),'Inputs Yr 2'!$AK317,0)+IF(IFERROR(SEARCH("Oil", 'Inputs Yr 2'!$AL317), 0),'Inputs Yr 2'!$AM317,0)+IF(IFERROR(SEARCH("Oil", 'Inputs Yr 2'!$AN317), 0),'Inputs Yr 2'!$AO317,0)),0)</f>
        <v>0</v>
      </c>
      <c r="AE317" s="257">
        <f t="shared" si="148"/>
        <v>0</v>
      </c>
      <c r="AF317" s="257">
        <f>IFERROR(AD317*'Inputs Yr 2'!$P317,0)</f>
        <v>0</v>
      </c>
      <c r="AG317" s="257">
        <f t="shared" si="149"/>
        <v>0</v>
      </c>
      <c r="AH317" s="257">
        <f>IFERROR($G317*'Inputs Yr 2'!$Q317*'Inputs Yr 2'!$U317*(IF('Inputs Yr 2'!$AJ317=CD$4,'Inputs Yr 2'!$AK317,IF('Inputs Yr 2'!$AL317=CD$4,'Inputs Yr 2'!$AM317,IF('Inputs Yr 2'!$AN317=CD$4,'Inputs Yr 2'!$AO317,0)))),0)</f>
        <v>0</v>
      </c>
      <c r="AI317" s="257">
        <f t="shared" si="150"/>
        <v>0</v>
      </c>
      <c r="AJ317" s="257">
        <f>IFERROR(AH317*'Inputs Yr 2'!$P317,0)</f>
        <v>0</v>
      </c>
      <c r="AK317" s="257">
        <f t="shared" si="151"/>
        <v>0</v>
      </c>
      <c r="AL317" s="258">
        <f>IFERROR($G317*'Inputs Yr 2'!$P317*'Inputs Yr 2'!$Q317*'Inputs Yr 2'!AP317,0)</f>
        <v>0</v>
      </c>
      <c r="AM317" s="260">
        <f>IFERROR($G317*'Inputs Yr 2'!$P317*'Inputs Yr 2'!$Q317*'Inputs Yr 2'!AQ317,0)</f>
        <v>8250868.8000000007</v>
      </c>
      <c r="AN317" s="258">
        <f>IFERROR($G317*'Inputs Yr 2'!$P317*'Inputs Yr 2'!$Q317*'Inputs Yr 2'!AR317,0)</f>
        <v>8250868.8000000007</v>
      </c>
      <c r="AO317" s="257">
        <f t="shared" si="152"/>
        <v>82508688</v>
      </c>
      <c r="AP317" s="195">
        <f>IFERROR($CQ317*(INDEX(avoidedcosttbl2,$H317,AP$2)+(($H317-ROUNDDOWN($H317,0))*(INDEX(avoidedcosttbl2,ROUNDUP($H317,0),AP$2)-(INDEX(avoidedcosttbl2,ROUNDDOWN($H317,0),AP$2)))))*$O317*1000*'Inputs Yr 2'!AA317,"")</f>
        <v>0</v>
      </c>
      <c r="AQ317" s="195">
        <f>IFERROR($CR317*(INDEX(avoidedcosttbl2,$H317,AQ$2)+(($H317-ROUNDDOWN($H317,0))*(INDEX(avoidedcosttbl2,ROUNDUP($H317,0),AQ$2)-(INDEX(avoidedcosttbl2,ROUNDDOWN($H317,0),AQ$2)))))*$O317*1000*'Inputs Yr 2'!AB317,"")</f>
        <v>0</v>
      </c>
      <c r="AR317" s="195">
        <f>IFERROR($CS317*(INDEX(avoidedcosttbl2,$H317,AR$2)+(($H317-ROUNDDOWN($H317,0))*(INDEX(avoidedcosttbl2,ROUNDUP($H317,0),AR$2)-(INDEX(avoidedcosttbl2,ROUNDDOWN($H317,0),AR$2)))))*$O317*1000*'Inputs Yr 2'!AC317,"")</f>
        <v>0</v>
      </c>
      <c r="AS317" s="195">
        <f>IFERROR($CT317*(INDEX(avoidedcosttbl2,$H317,AS$2)+(($H317-ROUNDDOWN($H317,0))*(INDEX(avoidedcosttbl2,ROUNDUP($H317,0),AS$2)-(INDEX(avoidedcosttbl2,ROUNDDOWN($H317,0),AS$2)))))*$O317*1000*'Inputs Yr 2'!AD317,"")</f>
        <v>0</v>
      </c>
      <c r="AT317" s="196">
        <f t="shared" si="153"/>
        <v>0</v>
      </c>
      <c r="AU317" s="197">
        <f>IFERROR($CQ317*((INDEX(avoidedcosttbl2,$H317,AU$2))+(($H317-ROUNDDOWN($H317,0))*((INDEX(avoidedcosttbl2,ROUNDUP($H317,0),AU$2))-(INDEX(avoidedcosttbl2,ROUNDDOWN($H317,0),AU$2)))))*$O317*1000*'Inputs Yr 2'!AA317,"")</f>
        <v>0</v>
      </c>
      <c r="AV317" s="197">
        <f>IFERROR($CR317*((INDEX(avoidedcosttbl2,$H317,AV$2))+(($H317-ROUNDDOWN($H317,0))*((INDEX(avoidedcosttbl2,ROUNDUP($H317,0),AV$2))-(INDEX(avoidedcosttbl2,ROUNDDOWN($H317,0),AV$2)))))*$O317*1000*'Inputs Yr 2'!AB317,"")</f>
        <v>0</v>
      </c>
      <c r="AW317" s="197">
        <f>IFERROR($CS317*((INDEX(avoidedcosttbl2,$H317,AW$2))+(($H317-ROUNDDOWN($H317,0))*((INDEX(avoidedcosttbl2,ROUNDUP($H317,0),AW$2))-(INDEX(avoidedcosttbl2,ROUNDDOWN($H317,0),AW$2)))))*$O317*1000*'Inputs Yr 2'!AC317,"")</f>
        <v>0</v>
      </c>
      <c r="AX317" s="197">
        <f>IFERROR($CT317*((INDEX(avoidedcosttbl2,$H317,AX$2))+(($H317-ROUNDDOWN($H317,0))*((INDEX(avoidedcosttbl2,ROUNDUP($H317,0),AX$2))-(INDEX(avoidedcosttbl2,ROUNDDOWN($H317,0),AX$2)))))*$O317*1000*'Inputs Yr 2'!AD317,"")</f>
        <v>0</v>
      </c>
      <c r="AY317" s="197">
        <f>IFERROR(((INDEX(avoidedcosttbl2,$H317,AY$2))+(($H317-ROUNDDOWN($H317,0))*((INDEX(avoidedcosttbl2,ROUNDUP($H317,0),AY$2))-(INDEX(avoidedcosttbl2,ROUNDDOWN($H317,0),AY$2)))))*$O317*1000*('Inputs Yr 2'!AC317+'Inputs Yr 2'!AD317),"")</f>
        <v>0</v>
      </c>
      <c r="AZ317" s="197">
        <f>IFERROR(((INDEX(avoidedcosttbl2,$H317,AZ$2))+(($H317-ROUNDDOWN($H317,0))*((INDEX(avoidedcosttbl2,ROUNDUP($H317,0),AZ$2))-(INDEX(avoidedcosttbl2,ROUNDDOWN($H317,0),AZ$2)))))*$O317*1000*('Inputs Yr 2'!AA317+'Inputs Yr 2'!AB317),"")</f>
        <v>0</v>
      </c>
      <c r="BA317" s="198">
        <f t="shared" si="154"/>
        <v>0</v>
      </c>
      <c r="BB317" s="198">
        <f t="shared" si="155"/>
        <v>0</v>
      </c>
      <c r="BC317" s="195">
        <f t="shared" si="137"/>
        <v>0</v>
      </c>
      <c r="BD317" s="195">
        <f t="shared" si="138"/>
        <v>0</v>
      </c>
      <c r="BE317" s="195">
        <f t="shared" si="139"/>
        <v>0</v>
      </c>
      <c r="BF317" s="195">
        <f t="shared" si="140"/>
        <v>0</v>
      </c>
      <c r="BG317" s="195">
        <f t="shared" si="141"/>
        <v>0</v>
      </c>
      <c r="BH317" s="196">
        <f t="shared" si="156"/>
        <v>0</v>
      </c>
      <c r="BI317" s="196">
        <f t="shared" si="157"/>
        <v>0</v>
      </c>
      <c r="BJ317" s="195">
        <f>IFERROR($G317*(IF('Inputs Yr 2'!$AJ317=BJ$4,'Inputs Yr 2'!$AK317,IF('Inputs Yr 2'!$AL317=BJ$4,'Inputs Yr 2'!$AM317,IF('Inputs Yr 2'!$AN317=BJ$4,'Inputs Yr 2'!$AO317,0))))*(INDEX(avoidedcosttbl2,$H317,BJ$2)+(($H317-ROUNDDOWN($H317,0))*(INDEX(avoidedcosttbl2,ROUNDUP($H317,0),BJ$2)-(INDEX(avoidedcosttbl2,ROUNDDOWN($H317,0),BJ$2)))))*'Inputs Yr 2'!P317*'Inputs Yr 2'!Q317*'Inputs Yr 2'!U317,"")</f>
        <v>0</v>
      </c>
      <c r="BK317" s="195">
        <f>IFERROR($G317*(IF('Inputs Yr 2'!$AJ317=BK$4,'Inputs Yr 2'!$AK317,IF('Inputs Yr 2'!$AL317=BK$4,'Inputs Yr 2'!$AM317,IF('Inputs Yr 2'!$AN317=BK$4,'Inputs Yr 2'!$AO317,0))))*(INDEX(avoidedcosttbl2,$H317,BK$2)+(($H317-ROUNDDOWN($H317,0))*(INDEX(avoidedcosttbl2,ROUNDUP($H317,0),BK$2)-(INDEX(avoidedcosttbl2,ROUNDDOWN($H317,0),BK$2)))))*'Inputs Yr 2'!P317*'Inputs Yr 2'!Q317*'Inputs Yr 2'!U317,"")</f>
        <v>0</v>
      </c>
      <c r="BL317" s="195">
        <f>IFERROR($G317*(IF('Inputs Yr 2'!$AJ317=BL$4,'Inputs Yr 2'!$AK317,IF('Inputs Yr 2'!$AL317=BL$4,'Inputs Yr 2'!$AM317,IF('Inputs Yr 2'!$AN317=BL$4,'Inputs Yr 2'!$AO317,0))))*(INDEX(avoidedcosttbl2,$H317,BL$2)+(($H317-ROUNDDOWN($H317,0))*(INDEX(avoidedcosttbl2,ROUNDUP($H317,0),BL$2)-(INDEX(avoidedcosttbl2,ROUNDDOWN($H317,0),BL$2)))))*'Inputs Yr 2'!P317*'Inputs Yr 2'!Q317*'Inputs Yr 2'!U317,"")</f>
        <v>0</v>
      </c>
      <c r="BM317" s="195">
        <f>IFERROR($G317*(IF('Inputs Yr 2'!$AJ317=BM$4,'Inputs Yr 2'!$AK317,IF('Inputs Yr 2'!$AL317=BM$4,'Inputs Yr 2'!$AM317,IF('Inputs Yr 2'!$AN317=BM$4,'Inputs Yr 2'!$AO317,0))))*(INDEX(avoidedcosttbl2,$H317,BM$2)+(($H317-ROUNDDOWN($H317,0))*(INDEX(avoidedcosttbl2,ROUNDUP($H317,0),BM$2)-(INDEX(avoidedcosttbl2,ROUNDDOWN($H317,0),BM$2)))))*'Inputs Yr 2'!P317*'Inputs Yr 2'!Q317*'Inputs Yr 2'!U317,"")</f>
        <v>0</v>
      </c>
      <c r="BN317" s="195">
        <f>IFERROR($G317*(IF('Inputs Yr 2'!$AJ317=BN$4,'Inputs Yr 2'!$AK317,IF('Inputs Yr 2'!$AL317=BN$4,'Inputs Yr 2'!$AM317,IF('Inputs Yr 2'!$AN317=BN$4,'Inputs Yr 2'!$AO317,0))))*(INDEX(avoidedcosttbl2,$H317,BN$2)+(($H317-ROUNDDOWN($H317,0))*(INDEX(avoidedcosttbl2,ROUNDUP($H317,0),BN$2)-(INDEX(avoidedcosttbl2,ROUNDDOWN($H317,0),BN$2)))))*'Inputs Yr 2'!P317*'Inputs Yr 2'!Q317*'Inputs Yr 2'!U317,"")</f>
        <v>148243.08124925906</v>
      </c>
      <c r="BO317" s="195">
        <f>IFERROR($G317*(IF('Inputs Yr 2'!$AJ317=BO$4,'Inputs Yr 2'!$AK317,IF('Inputs Yr 2'!$AL317=BO$4,'Inputs Yr 2'!$AM317,IF('Inputs Yr 2'!$AN317=BO$4,'Inputs Yr 2'!$AO317,0))))*(INDEX(avoidedcosttbl2,$H317,BO$2)+(($H317-ROUNDDOWN($H317,0))*(INDEX(avoidedcosttbl2,ROUNDUP($H317,0),BO$2)-(INDEX(avoidedcosttbl2,ROUNDDOWN($H317,0),BO$2)))))*'Inputs Yr 2'!P317*'Inputs Yr 2'!Q317*'Inputs Yr 2'!U317,"")</f>
        <v>0</v>
      </c>
      <c r="BP317" s="195">
        <f>IFERROR($G317*(IF('Inputs Yr 2'!$AJ317=BP$4,'Inputs Yr 2'!$AK317,IF('Inputs Yr 2'!$AL317=BP$4,'Inputs Yr 2'!$AM317,IF('Inputs Yr 2'!$AN317=BP$4,'Inputs Yr 2'!$AO317,0))))*(INDEX(avoidedcosttbl2,$H317,BP$2)+(($H317-ROUNDDOWN($H317,0))*(INDEX(avoidedcosttbl2,ROUNDUP($H317,0),BP$2)-(INDEX(avoidedcosttbl2,ROUNDDOWN($H317,0),BP$2)))))*'Inputs Yr 2'!P317*'Inputs Yr 2'!Q317*'Inputs Yr 2'!U317,"")</f>
        <v>0</v>
      </c>
      <c r="BQ317" s="230">
        <f t="shared" si="158"/>
        <v>148243.08124925906</v>
      </c>
      <c r="BR317" s="197">
        <f t="shared" si="142"/>
        <v>3020.008603195231</v>
      </c>
      <c r="BS317" s="197">
        <f>IFERROR(($G317*IF('Inputs Yr 2'!$AJ317=BM$4,'Inputs Yr 2'!$AK317,IF('Inputs Yr 2'!$AL317=BM$4,'Inputs Yr 2'!$AM317,IF('Inputs Yr 2'!$AN317=BM$4,'Inputs Yr 2'!$AO317,0))))*(INDEX(avoidedcosttbl2,$H317,BS$2)+(($H317-ROUNDDOWN($H317,0))*(INDEX(avoidedcosttbl2,ROUNDUP($H317,0),BS$2)-(INDEX(avoidedcosttbl2,ROUNDDOWN($H317,0),BS$2)))))*'Inputs Yr 2'!P317*'Inputs Yr 2'!Q317*'Inputs Yr 2'!U317,"")</f>
        <v>0</v>
      </c>
      <c r="BT317" s="197">
        <f>IFERROR(($G317*IF('Inputs Yr 2'!$AJ317=BK$4,'Inputs Yr 2'!$AK317,IF('Inputs Yr 2'!$AL317=BK$4,'Inputs Yr 2'!$AM317,IF('Inputs Yr 2'!$AN317=BK$4,'Inputs Yr 2'!$AO317,0))))*(INDEX(avoidedcosttbl2,$H317,BT$2)+(($H317-ROUNDDOWN($H317,0))*(INDEX(avoidedcosttbl2,ROUNDUP($H317,0),BT$2)-(INDEX(avoidedcosttbl2,ROUNDDOWN($H317,0),BT$2)))))*'Inputs Yr 2'!P317*'Inputs Yr 2'!Q317*'Inputs Yr 2'!U317,"")</f>
        <v>0</v>
      </c>
      <c r="BU317" s="197">
        <f>IFERROR(($G317*IF('Inputs Yr 2'!$AJ317=BL$4,'Inputs Yr 2'!$AK317,IF('Inputs Yr 2'!$AL317=BL$4,'Inputs Yr 2'!$AM317,IF('Inputs Yr 2'!$AN317=BL$4,'Inputs Yr 2'!$AO317,0))))*(INDEX(avoidedcosttbl2,$H317,BU$2)+(($H317-ROUNDDOWN($H317,0))*(INDEX(avoidedcosttbl2,ROUNDUP($H317,0),BU$2)-(INDEX(avoidedcosttbl2,ROUNDDOWN($H317,0),BU$2)))))*'Inputs Yr 2'!P317*'Inputs Yr 2'!Q317*'Inputs Yr 2'!U317,"")</f>
        <v>0</v>
      </c>
      <c r="BV317" s="775">
        <f>IFERROR(($G317*IF('Inputs Yr 2'!$AJ317=BJ$4,'Inputs Yr 2'!$AK317,IF('Inputs Yr 2'!$AL317=BJ$4,'Inputs Yr 2'!$AM317,IF('Inputs Yr 2'!$AN317=BJ$4,'Inputs Yr 2'!$AO317,0))))*(INDEX(avoidedcosttbl2,$H317,BV$2)+(($H317-ROUNDDOWN($H317,0))*(INDEX(avoidedcosttbl2,ROUNDUP($H317,0),BV$2)-(INDEX(avoidedcosttbl2,ROUNDDOWN($H317,0),BV$2)))))*'Inputs Yr 2'!P317*'Inputs Yr 2'!Q317*'Inputs Yr 2'!U317,"")</f>
        <v>0</v>
      </c>
      <c r="BW317" s="197">
        <f>IFERROR(($G317*IF('Inputs Yr 2'!$AJ317=BN$4,'Inputs Yr 2'!$AK317,IF('Inputs Yr 2'!$AL317=BN$4,'Inputs Yr 2'!$AM317,IF('Inputs Yr 2'!$AN317=BN$4,'Inputs Yr 2'!$AO317,0))))*(INDEX(avoidedcosttbl2,$H317,BW$2)+(($H317-ROUNDDOWN($H317,0))*(INDEX(avoidedcosttbl2,ROUNDUP($H317,0),BW$2)-(INDEX(avoidedcosttbl2,ROUNDDOWN($H317,0),BW$2)))))*'Inputs Yr 2'!P317*'Inputs Yr 2'!Q317*'Inputs Yr 2'!U317,"")</f>
        <v>18545.006476133258</v>
      </c>
      <c r="BX317" s="197">
        <f>IFERROR(($G317*IF('Inputs Yr 2'!$AJ317=BO$4,'Inputs Yr 2'!$AK317,IF('Inputs Yr 2'!$AL317=BO$4,'Inputs Yr 2'!$AM317,IF('Inputs Yr 2'!$AN317=BO$4,'Inputs Yr 2'!$AO317,0))))*(INDEX(avoidedcosttbl2,$H317,BX$2)+(($H317-ROUNDDOWN($H317,0))*(INDEX(avoidedcosttbl2,ROUNDUP($H317,0),BX$2)-(INDEX(avoidedcosttbl2,ROUNDDOWN($H317,0),BX$2)))))*'Inputs Yr 2'!P317*'Inputs Yr 2'!Q317*'Inputs Yr 2'!U317,"")</f>
        <v>0</v>
      </c>
      <c r="BY317" s="197">
        <f>IFERROR(($G317*IF('Inputs Yr 2'!$AJ317=BP$4,'Inputs Yr 2'!$AK317,IF('Inputs Yr 2'!$AL317=BP$4,'Inputs Yr 2'!$AM317,IF('Inputs Yr 2'!$AN317=BP$4,'Inputs Yr 2'!$AO317,0))))*(INDEX(avoidedcosttbl2,$H317,BY$2)+(($H317-ROUNDDOWN($H317,0))*(INDEX(avoidedcosttbl2,ROUNDUP($H317,0),BY$2)-(INDEX(avoidedcosttbl2,ROUNDDOWN($H317,0),BY$2)))))*'Inputs Yr 2'!P317*'Inputs Yr 2'!Q317*'Inputs Yr 2'!U317,"")</f>
        <v>0</v>
      </c>
      <c r="BZ317" s="193">
        <f t="shared" si="159"/>
        <v>21565.015079328488</v>
      </c>
      <c r="CA317" s="193">
        <f t="shared" si="160"/>
        <v>169808.09632858756</v>
      </c>
      <c r="CB317" s="195">
        <f>IFERROR(G317*(IF('Inputs Yr 2'!$AJ317=CB$4,'Inputs Yr 2'!$AK317,IF('Inputs Yr 2'!$AL317=CB$4,'Inputs Yr 2'!$AM317,IF('Inputs Yr 2'!$AN317=CB$4,'Inputs Yr 2'!$AO317,0))))*(INDEX(avoidedcosttbl2,$H317,CB$2)+(($H317-ROUNDDOWN($H317,0))*(INDEX(avoidedcosttbl2,ROUNDUP($H317,0),CB$2)-(INDEX(avoidedcosttbl2,ROUNDDOWN($H317,0),CB$2)))))*'Inputs Yr 2'!P317*'Inputs Yr 2'!Q317*'Inputs Yr 2'!U317,"")</f>
        <v>0</v>
      </c>
      <c r="CC317" s="195">
        <f>IFERROR(H317*(IF('Inputs Yr 2'!$AJ317=CC$4,'Inputs Yr 2'!$AK317,IF('Inputs Yr 2'!$AL317=CC$4,'Inputs Yr 2'!$AM317,IF('Inputs Yr 2'!$AN317=CC$4,'Inputs Yr 2'!$AO317,0))))*(INDEX(avoidedcosttbl2,$H317,CC$2)+(($H317-ROUNDDOWN($H317,0))*(INDEX(avoidedcosttbl2,ROUNDUP($H317,0),CC$2)-(INDEX(avoidedcosttbl2,ROUNDDOWN($H317,0),CC$2)))))*'Inputs Yr 2'!Q317*'Inputs Yr 2'!R317*'Inputs Yr 2'!V317,"")</f>
        <v>0</v>
      </c>
      <c r="CD317" s="195">
        <f>IFERROR(I317*(IF('Inputs Yr 2'!$AJ317=CD$4,'Inputs Yr 2'!$AK317,IF('Inputs Yr 2'!$AL317=CD$4,'Inputs Yr 2'!$AM317,IF('Inputs Yr 2'!$AN317=CD$4,'Inputs Yr 2'!$AO317,0))))*(INDEX(avoidedcosttbl2,$H317,CD$2)+(($H317-ROUNDDOWN($H317,0))*(INDEX(avoidedcosttbl2,ROUNDUP($H317,0),CD$2)-(INDEX(avoidedcosttbl2,ROUNDDOWN($H317,0),CD$2)))))*'Inputs Yr 2'!R317*'Inputs Yr 2'!S317*'Inputs Yr 2'!W317,"")</f>
        <v>0</v>
      </c>
      <c r="CE317" s="213">
        <f t="shared" si="161"/>
        <v>0</v>
      </c>
      <c r="CF317" s="213">
        <f t="shared" si="162"/>
        <v>366321.43697143061</v>
      </c>
      <c r="CG317" s="213">
        <f t="shared" si="163"/>
        <v>508172.13580786437</v>
      </c>
      <c r="CH317" s="698">
        <f t="shared" si="164"/>
        <v>1044301.6691078825</v>
      </c>
      <c r="CI317" s="79">
        <f>IFERROR(($G317*'Inputs Yr 2'!$P317*'Inputs Yr 2'!$Q317*(((INDEX(avoidedcosttbl2,$H317,CI$2)+(($H317-ROUNDDOWN($H317,0))*(INDEX(avoidedcosttbl2,ROUNDUP($H317,0),CI$2)-INDEX(avoidedcosttbl2,ROUNDDOWN($H317,0),CI$2))))*'Inputs Yr 2'!AS317))),"")</f>
        <v>0</v>
      </c>
      <c r="CJ317" s="504">
        <f>IFERROR($G317*'Inputs Yr 2'!AT317*'Inputs Yr 2'!$P317*'Inputs Yr 2'!$Q317/((1+realdiscrt1)^-0.5),"")</f>
        <v>0</v>
      </c>
      <c r="CK317" s="79">
        <f>IFERROR((O317*1000*(((INDEX(avoidedcosttbl2,$H317,CK$2)+(($H317-ROUNDDOWN($H317,0))*(INDEX(avoidedcosttbl2,ROUNDUP($H317,0),CK$2)-INDEX(avoidedcosttbl2,ROUNDDOWN($H317,0),CK$2))))*'Inputs Yr 2'!AU317))),"")</f>
        <v>0</v>
      </c>
      <c r="CL317" s="504">
        <f>IFERROR(O317*1000*'Inputs Yr 2'!AV317/((1+realdiscrt1)^-0.5),"")</f>
        <v>0</v>
      </c>
      <c r="CM317" s="79">
        <f>IFERROR((AB317*'Inputs Yr 2'!AW317*(((INDEX(avoidedcosttbl2,$H317,CM$2)+(($H317-ROUNDDOWN($H317,0))*(INDEX(avoidedcosttbl2,ROUNDUP($H317,0),CM$2)-INDEX(avoidedcosttbl2,ROUNDDOWN($H317,0),CM$2)))))))*10,"")</f>
        <v>0</v>
      </c>
      <c r="CN317" s="504">
        <f>IFERROR(10*AB317*'Inputs Yr 2'!AX317/((1+realdiscrt1)^-0.5),"")</f>
        <v>0</v>
      </c>
      <c r="CO317" s="505">
        <f t="shared" si="165"/>
        <v>0</v>
      </c>
      <c r="CP317" s="230">
        <f t="shared" si="166"/>
        <v>1044301.6691078825</v>
      </c>
      <c r="CQ317" s="199">
        <f>ROUND(IFERROR(IF(LEFT($A317,1)="C",'Avoided Costs'!$K$13,'Avoided Costs'!$K$12)+1,""),4)</f>
        <v>1.0720000000000001</v>
      </c>
      <c r="CR317" s="199">
        <f>ROUND(IFERROR(IF(LEFT($A317,1)="C",'Avoided Costs'!$L$13,'Avoided Costs'!$L$12)+1,""),4)</f>
        <v>1.04</v>
      </c>
      <c r="CS317" s="199">
        <f>ROUND(IFERROR(IF(LEFT($A317,1)="C",'Avoided Costs'!$M$13,'Avoided Costs'!$M$12)+1,""),4)</f>
        <v>1.0720000000000001</v>
      </c>
      <c r="CT317" s="199">
        <f>ROUND(IFERROR(IF(LEFT($A317,1)="C",'Avoided Costs'!$N$13,'Avoided Costs'!$N$12)+1,""),4)</f>
        <v>1.04</v>
      </c>
      <c r="CU317" s="199">
        <f>ROUND(IFERROR(IF(LEFT($A317,1)="C",'Avoided Costs'!$O$13,'Avoided Costs'!$O$12)+1,""),4)</f>
        <v>1.1120000000000001</v>
      </c>
      <c r="CV317" s="199">
        <f>ROUND(IFERROR(IF(LEFT($A317,1)="C",'Avoided Costs'!$P$13,'Avoided Costs'!$P$12)+1,""),4)</f>
        <v>1.095</v>
      </c>
      <c r="CW317" s="199">
        <f>ROUND(IFERROR(IF(LEFT($A317,1)="C",'Avoided Costs'!$Q$13,'Avoided Costs'!$Q$12)+1,""),4)</f>
        <v>1.1120000000000001</v>
      </c>
      <c r="CX317" s="200">
        <f>ROUND(IFERROR(IF(LEFT($A317,1)="C",'Avoided Costs'!$R$13,'Avoided Costs'!$R$12)+1,""),4)</f>
        <v>1.1120000000000001</v>
      </c>
    </row>
    <row r="318" spans="1:102" ht="12.75" customHeight="1">
      <c r="A318" s="91" t="str">
        <f>IF('Inputs Yr 2'!$B318=0,"",'Inputs Yr 2'!A318)</f>
        <v>C - Commercial &amp; Industrial</v>
      </c>
      <c r="B318" s="91" t="str">
        <f>IF('Inputs Yr 2'!$B318=0,"",'Inputs Yr 2'!B318)</f>
        <v>C2 - C&amp;I Retrofit</v>
      </c>
      <c r="C318" s="91" t="str">
        <f>IF('Inputs Yr 2'!$B318=0,"",'Inputs Yr 2'!C318)</f>
        <v>C2b - C&amp;I Small Business</v>
      </c>
      <c r="D318" s="91" t="str">
        <f>IF('Inputs Yr 2'!$B318=0,"",'Inputs Yr 2'!E318)</f>
        <v>Pre-Rinse Spray Valve</v>
      </c>
      <c r="E318" s="93" t="str">
        <f>IF('Inputs Yr 2'!$B318=0,"",'Inputs Yr 2'!F318)</f>
        <v>G16C2b23</v>
      </c>
      <c r="F318" s="93" t="str">
        <f>IF('Inputs Yr 2'!$B318=0,"",'Inputs Yr 2'!G318)</f>
        <v>Hot Water</v>
      </c>
      <c r="G318" s="95">
        <f>IF('Inputs Yr 2'!$H318&lt;&gt;0,('Inputs Yr 2'!H318),"")</f>
        <v>244</v>
      </c>
      <c r="H318" s="94">
        <f>IFERROR('Inputs Yr 2'!I318,"")</f>
        <v>8</v>
      </c>
      <c r="I318" s="298">
        <f>IFERROR('Inputs Yr 2'!J318*'Inputs Yr 2'!P318*G318,"")</f>
        <v>29295.694079999997</v>
      </c>
      <c r="J318" s="298">
        <f>IFERROR('Inputs Yr 2'!K318*G318,"")</f>
        <v>34628.479999999996</v>
      </c>
      <c r="K318" s="298">
        <f t="shared" si="143"/>
        <v>-5332.7859199999984</v>
      </c>
      <c r="L318" s="194">
        <f>IFERROR(('Inputs Yr 2'!W318*G318)/1000,"")</f>
        <v>0</v>
      </c>
      <c r="M318" s="194">
        <f>IFERROR(L318*('Inputs Yr 2'!$Q318*'Inputs Yr 2'!$V318*'Inputs Yr 2'!$R318),"")</f>
        <v>0</v>
      </c>
      <c r="N318" s="194">
        <f t="shared" si="144"/>
        <v>0</v>
      </c>
      <c r="O318" s="194">
        <f>IFERROR(M318*'Inputs Yr 2'!P318,"")</f>
        <v>0</v>
      </c>
      <c r="P318" s="194">
        <f t="shared" si="145"/>
        <v>0</v>
      </c>
      <c r="Q318" s="194">
        <f>IFERROR($P318*'Inputs Yr 2'!AA318,"")</f>
        <v>0</v>
      </c>
      <c r="R318" s="194">
        <f>IFERROR($P318*'Inputs Yr 2'!AB318,"")</f>
        <v>0</v>
      </c>
      <c r="S318" s="194">
        <f>IFERROR($P318*'Inputs Yr 2'!AC318,"")</f>
        <v>0</v>
      </c>
      <c r="T318" s="194">
        <f>IFERROR($P318*'Inputs Yr 2'!AD318,"")</f>
        <v>0</v>
      </c>
      <c r="U318" s="194">
        <f>IFERROR(G318*'Inputs Yr 2'!$AE318*'Inputs Yr 2'!$P318*'Inputs Yr 2'!$Q318,"")</f>
        <v>0</v>
      </c>
      <c r="V318" s="194">
        <f>IFERROR($G318*'Inputs Yr 2'!$AE318*'Inputs Yr 2'!$AG318*'Inputs Yr 2'!Q318*'Inputs Yr 2'!$S318,"")</f>
        <v>0</v>
      </c>
      <c r="W318" s="194">
        <f>IFERROR($G318*'Inputs Yr 2'!$AE318*'Inputs Yr 2'!$AG318*'Inputs Yr 2'!P318*'Inputs Yr 2'!Q318*'Inputs Yr 2'!$S318,"")</f>
        <v>0</v>
      </c>
      <c r="X318" s="194">
        <f>IFERROR($G318*'Inputs Yr 2'!$AE318*'Inputs Yr 2'!$AF318*'Inputs Yr 2'!Q318*'Inputs Yr 2'!$T318,"")</f>
        <v>0</v>
      </c>
      <c r="Y318" s="194">
        <f>IFERROR($G318*'Inputs Yr 2'!$AE318*'Inputs Yr 2'!$AF318*'Inputs Yr 2'!P318*'Inputs Yr 2'!Q318*'Inputs Yr 2'!$T318,"")</f>
        <v>0</v>
      </c>
      <c r="Z318" s="257">
        <f>IFERROR($G318*'Inputs Yr 2'!$Q318*'Inputs Yr 2'!$U318*(IF(IFERROR(SEARCH("NG", 'Inputs Yr 2'!$AJ318),0),'Inputs Yr 2'!$AK318,0)+IF(IFERROR(SEARCH("NG", 'Inputs Yr 2'!$AL318),0),'Inputs Yr 2'!$AM318,0)+IF(IFERROR(SEARCH("NG", 'Inputs Yr 2'!$AN318),0),'Inputs Yr 2'!$AO318,0)),0)</f>
        <v>2781.6000000000004</v>
      </c>
      <c r="AA318" s="257">
        <f t="shared" si="146"/>
        <v>22252.800000000003</v>
      </c>
      <c r="AB318" s="257">
        <f>IFERROR(Z318*'Inputs Yr 2'!$P318,0)</f>
        <v>2353.2336000000005</v>
      </c>
      <c r="AC318" s="257">
        <f t="shared" si="147"/>
        <v>18825.868800000004</v>
      </c>
      <c r="AD318" s="257">
        <f>IFERROR($G318*'Inputs Yr 2'!$Q318*'Inputs Yr 2'!$U318*(IF(IFERROR(SEARCH("Oil", 'Inputs Yr 2'!$AJ318), 0),'Inputs Yr 2'!$AK318,0)+IF(IFERROR(SEARCH("Oil", 'Inputs Yr 2'!$AL318), 0),'Inputs Yr 2'!$AM318,0)+IF(IFERROR(SEARCH("Oil", 'Inputs Yr 2'!$AN318), 0),'Inputs Yr 2'!$AO318,0)),0)</f>
        <v>0</v>
      </c>
      <c r="AE318" s="257">
        <f t="shared" si="148"/>
        <v>0</v>
      </c>
      <c r="AF318" s="257">
        <f>IFERROR(AD318*'Inputs Yr 2'!$P318,0)</f>
        <v>0</v>
      </c>
      <c r="AG318" s="257">
        <f t="shared" si="149"/>
        <v>0</v>
      </c>
      <c r="AH318" s="257">
        <f>IFERROR($G318*'Inputs Yr 2'!$Q318*'Inputs Yr 2'!$U318*(IF('Inputs Yr 2'!$AJ318=CD$4,'Inputs Yr 2'!$AK318,IF('Inputs Yr 2'!$AL318=CD$4,'Inputs Yr 2'!$AM318,IF('Inputs Yr 2'!$AN318=CD$4,'Inputs Yr 2'!$AO318,0)))),0)</f>
        <v>0</v>
      </c>
      <c r="AI318" s="257">
        <f t="shared" si="150"/>
        <v>0</v>
      </c>
      <c r="AJ318" s="257">
        <f>IFERROR(AH318*'Inputs Yr 2'!$P318,0)</f>
        <v>0</v>
      </c>
      <c r="AK318" s="257">
        <f t="shared" si="151"/>
        <v>0</v>
      </c>
      <c r="AL318" s="258">
        <f>IFERROR($G318*'Inputs Yr 2'!$P318*'Inputs Yr 2'!$Q318*'Inputs Yr 2'!AP318,0)</f>
        <v>0</v>
      </c>
      <c r="AM318" s="260">
        <f>IFERROR($G318*'Inputs Yr 2'!$P318*'Inputs Yr 2'!$Q318*'Inputs Yr 2'!AQ318,0)</f>
        <v>1323177.8400000003</v>
      </c>
      <c r="AN318" s="258">
        <f>IFERROR($G318*'Inputs Yr 2'!$P318*'Inputs Yr 2'!$Q318*'Inputs Yr 2'!AR318,0)</f>
        <v>1323177.8400000003</v>
      </c>
      <c r="AO318" s="257">
        <f t="shared" si="152"/>
        <v>10585422.720000003</v>
      </c>
      <c r="AP318" s="195">
        <f>IFERROR($CQ318*(INDEX(avoidedcosttbl2,$H318,AP$2)+(($H318-ROUNDDOWN($H318,0))*(INDEX(avoidedcosttbl2,ROUNDUP($H318,0),AP$2)-(INDEX(avoidedcosttbl2,ROUNDDOWN($H318,0),AP$2)))))*$O318*1000*'Inputs Yr 2'!AA318,"")</f>
        <v>0</v>
      </c>
      <c r="AQ318" s="195">
        <f>IFERROR($CR318*(INDEX(avoidedcosttbl2,$H318,AQ$2)+(($H318-ROUNDDOWN($H318,0))*(INDEX(avoidedcosttbl2,ROUNDUP($H318,0),AQ$2)-(INDEX(avoidedcosttbl2,ROUNDDOWN($H318,0),AQ$2)))))*$O318*1000*'Inputs Yr 2'!AB318,"")</f>
        <v>0</v>
      </c>
      <c r="AR318" s="195">
        <f>IFERROR($CS318*(INDEX(avoidedcosttbl2,$H318,AR$2)+(($H318-ROUNDDOWN($H318,0))*(INDEX(avoidedcosttbl2,ROUNDUP($H318,0),AR$2)-(INDEX(avoidedcosttbl2,ROUNDDOWN($H318,0),AR$2)))))*$O318*1000*'Inputs Yr 2'!AC318,"")</f>
        <v>0</v>
      </c>
      <c r="AS318" s="195">
        <f>IFERROR($CT318*(INDEX(avoidedcosttbl2,$H318,AS$2)+(($H318-ROUNDDOWN($H318,0))*(INDEX(avoidedcosttbl2,ROUNDUP($H318,0),AS$2)-(INDEX(avoidedcosttbl2,ROUNDDOWN($H318,0),AS$2)))))*$O318*1000*'Inputs Yr 2'!AD318,"")</f>
        <v>0</v>
      </c>
      <c r="AT318" s="196">
        <f t="shared" si="153"/>
        <v>0</v>
      </c>
      <c r="AU318" s="197">
        <f>IFERROR($CQ318*((INDEX(avoidedcosttbl2,$H318,AU$2))+(($H318-ROUNDDOWN($H318,0))*((INDEX(avoidedcosttbl2,ROUNDUP($H318,0),AU$2))-(INDEX(avoidedcosttbl2,ROUNDDOWN($H318,0),AU$2)))))*$O318*1000*'Inputs Yr 2'!AA318,"")</f>
        <v>0</v>
      </c>
      <c r="AV318" s="197">
        <f>IFERROR($CR318*((INDEX(avoidedcosttbl2,$H318,AV$2))+(($H318-ROUNDDOWN($H318,0))*((INDEX(avoidedcosttbl2,ROUNDUP($H318,0),AV$2))-(INDEX(avoidedcosttbl2,ROUNDDOWN($H318,0),AV$2)))))*$O318*1000*'Inputs Yr 2'!AB318,"")</f>
        <v>0</v>
      </c>
      <c r="AW318" s="197">
        <f>IFERROR($CS318*((INDEX(avoidedcosttbl2,$H318,AW$2))+(($H318-ROUNDDOWN($H318,0))*((INDEX(avoidedcosttbl2,ROUNDUP($H318,0),AW$2))-(INDEX(avoidedcosttbl2,ROUNDDOWN($H318,0),AW$2)))))*$O318*1000*'Inputs Yr 2'!AC318,"")</f>
        <v>0</v>
      </c>
      <c r="AX318" s="197">
        <f>IFERROR($CT318*((INDEX(avoidedcosttbl2,$H318,AX$2))+(($H318-ROUNDDOWN($H318,0))*((INDEX(avoidedcosttbl2,ROUNDUP($H318,0),AX$2))-(INDEX(avoidedcosttbl2,ROUNDDOWN($H318,0),AX$2)))))*$O318*1000*'Inputs Yr 2'!AD318,"")</f>
        <v>0</v>
      </c>
      <c r="AY318" s="197">
        <f>IFERROR(((INDEX(avoidedcosttbl2,$H318,AY$2))+(($H318-ROUNDDOWN($H318,0))*((INDEX(avoidedcosttbl2,ROUNDUP($H318,0),AY$2))-(INDEX(avoidedcosttbl2,ROUNDDOWN($H318,0),AY$2)))))*$O318*1000*('Inputs Yr 2'!AC318+'Inputs Yr 2'!AD318),"")</f>
        <v>0</v>
      </c>
      <c r="AZ318" s="197">
        <f>IFERROR(((INDEX(avoidedcosttbl2,$H318,AZ$2))+(($H318-ROUNDDOWN($H318,0))*((INDEX(avoidedcosttbl2,ROUNDUP($H318,0),AZ$2))-(INDEX(avoidedcosttbl2,ROUNDDOWN($H318,0),AZ$2)))))*$O318*1000*('Inputs Yr 2'!AA318+'Inputs Yr 2'!AB318),"")</f>
        <v>0</v>
      </c>
      <c r="BA318" s="198">
        <f t="shared" si="154"/>
        <v>0</v>
      </c>
      <c r="BB318" s="198">
        <f t="shared" si="155"/>
        <v>0</v>
      </c>
      <c r="BC318" s="195">
        <f t="shared" si="137"/>
        <v>0</v>
      </c>
      <c r="BD318" s="195">
        <f t="shared" si="138"/>
        <v>0</v>
      </c>
      <c r="BE318" s="195">
        <f t="shared" si="139"/>
        <v>0</v>
      </c>
      <c r="BF318" s="195">
        <f t="shared" si="140"/>
        <v>0</v>
      </c>
      <c r="BG318" s="195">
        <f t="shared" si="141"/>
        <v>0</v>
      </c>
      <c r="BH318" s="196">
        <f t="shared" si="156"/>
        <v>0</v>
      </c>
      <c r="BI318" s="196">
        <f t="shared" si="157"/>
        <v>0</v>
      </c>
      <c r="BJ318" s="195">
        <f>IFERROR($G318*(IF('Inputs Yr 2'!$AJ318=BJ$4,'Inputs Yr 2'!$AK318,IF('Inputs Yr 2'!$AL318=BJ$4,'Inputs Yr 2'!$AM318,IF('Inputs Yr 2'!$AN318=BJ$4,'Inputs Yr 2'!$AO318,0))))*(INDEX(avoidedcosttbl2,$H318,BJ$2)+(($H318-ROUNDDOWN($H318,0))*(INDEX(avoidedcosttbl2,ROUNDUP($H318,0),BJ$2)-(INDEX(avoidedcosttbl2,ROUNDDOWN($H318,0),BJ$2)))))*'Inputs Yr 2'!P318*'Inputs Yr 2'!Q318*'Inputs Yr 2'!U318,"")</f>
        <v>0</v>
      </c>
      <c r="BK318" s="195">
        <f>IFERROR($G318*(IF('Inputs Yr 2'!$AJ318=BK$4,'Inputs Yr 2'!$AK318,IF('Inputs Yr 2'!$AL318=BK$4,'Inputs Yr 2'!$AM318,IF('Inputs Yr 2'!$AN318=BK$4,'Inputs Yr 2'!$AO318,0))))*(INDEX(avoidedcosttbl2,$H318,BK$2)+(($H318-ROUNDDOWN($H318,0))*(INDEX(avoidedcosttbl2,ROUNDUP($H318,0),BK$2)-(INDEX(avoidedcosttbl2,ROUNDDOWN($H318,0),BK$2)))))*'Inputs Yr 2'!P318*'Inputs Yr 2'!Q318*'Inputs Yr 2'!U318,"")</f>
        <v>0</v>
      </c>
      <c r="BL318" s="195">
        <f>IFERROR($G318*(IF('Inputs Yr 2'!$AJ318=BL$4,'Inputs Yr 2'!$AK318,IF('Inputs Yr 2'!$AL318=BL$4,'Inputs Yr 2'!$AM318,IF('Inputs Yr 2'!$AN318=BL$4,'Inputs Yr 2'!$AO318,0))))*(INDEX(avoidedcosttbl2,$H318,BL$2)+(($H318-ROUNDDOWN($H318,0))*(INDEX(avoidedcosttbl2,ROUNDUP($H318,0),BL$2)-(INDEX(avoidedcosttbl2,ROUNDDOWN($H318,0),BL$2)))))*'Inputs Yr 2'!P318*'Inputs Yr 2'!Q318*'Inputs Yr 2'!U318,"")</f>
        <v>0</v>
      </c>
      <c r="BM318" s="195">
        <f>IFERROR($G318*(IF('Inputs Yr 2'!$AJ318=BM$4,'Inputs Yr 2'!$AK318,IF('Inputs Yr 2'!$AL318=BM$4,'Inputs Yr 2'!$AM318,IF('Inputs Yr 2'!$AN318=BM$4,'Inputs Yr 2'!$AO318,0))))*(INDEX(avoidedcosttbl2,$H318,BM$2)+(($H318-ROUNDDOWN($H318,0))*(INDEX(avoidedcosttbl2,ROUNDUP($H318,0),BM$2)-(INDEX(avoidedcosttbl2,ROUNDDOWN($H318,0),BM$2)))))*'Inputs Yr 2'!P318*'Inputs Yr 2'!Q318*'Inputs Yr 2'!U318,"")</f>
        <v>0</v>
      </c>
      <c r="BN318" s="195">
        <f>IFERROR($G318*(IF('Inputs Yr 2'!$AJ318=BN$4,'Inputs Yr 2'!$AK318,IF('Inputs Yr 2'!$AL318=BN$4,'Inputs Yr 2'!$AM318,IF('Inputs Yr 2'!$AN318=BN$4,'Inputs Yr 2'!$AO318,0))))*(INDEX(avoidedcosttbl2,$H318,BN$2)+(($H318-ROUNDDOWN($H318,0))*(INDEX(avoidedcosttbl2,ROUNDUP($H318,0),BN$2)-(INDEX(avoidedcosttbl2,ROUNDDOWN($H318,0),BN$2)))))*'Inputs Yr 2'!P318*'Inputs Yr 2'!Q318*'Inputs Yr 2'!U318,"")</f>
        <v>125210.17390775007</v>
      </c>
      <c r="BO318" s="195">
        <f>IFERROR($G318*(IF('Inputs Yr 2'!$AJ318=BO$4,'Inputs Yr 2'!$AK318,IF('Inputs Yr 2'!$AL318=BO$4,'Inputs Yr 2'!$AM318,IF('Inputs Yr 2'!$AN318=BO$4,'Inputs Yr 2'!$AO318,0))))*(INDEX(avoidedcosttbl2,$H318,BO$2)+(($H318-ROUNDDOWN($H318,0))*(INDEX(avoidedcosttbl2,ROUNDUP($H318,0),BO$2)-(INDEX(avoidedcosttbl2,ROUNDDOWN($H318,0),BO$2)))))*'Inputs Yr 2'!P318*'Inputs Yr 2'!Q318*'Inputs Yr 2'!U318,"")</f>
        <v>0</v>
      </c>
      <c r="BP318" s="195">
        <f>IFERROR($G318*(IF('Inputs Yr 2'!$AJ318=BP$4,'Inputs Yr 2'!$AK318,IF('Inputs Yr 2'!$AL318=BP$4,'Inputs Yr 2'!$AM318,IF('Inputs Yr 2'!$AN318=BP$4,'Inputs Yr 2'!$AO318,0))))*(INDEX(avoidedcosttbl2,$H318,BP$2)+(($H318-ROUNDDOWN($H318,0))*(INDEX(avoidedcosttbl2,ROUNDUP($H318,0),BP$2)-(INDEX(avoidedcosttbl2,ROUNDDOWN($H318,0),BP$2)))))*'Inputs Yr 2'!P318*'Inputs Yr 2'!Q318*'Inputs Yr 2'!U318,"")</f>
        <v>0</v>
      </c>
      <c r="BQ318" s="230">
        <f t="shared" si="158"/>
        <v>125210.17390775007</v>
      </c>
      <c r="BR318" s="197">
        <f t="shared" si="142"/>
        <v>2590.8717942105795</v>
      </c>
      <c r="BS318" s="197">
        <f>IFERROR(($G318*IF('Inputs Yr 2'!$AJ318=BM$4,'Inputs Yr 2'!$AK318,IF('Inputs Yr 2'!$AL318=BM$4,'Inputs Yr 2'!$AM318,IF('Inputs Yr 2'!$AN318=BM$4,'Inputs Yr 2'!$AO318,0))))*(INDEX(avoidedcosttbl2,$H318,BS$2)+(($H318-ROUNDDOWN($H318,0))*(INDEX(avoidedcosttbl2,ROUNDUP($H318,0),BS$2)-(INDEX(avoidedcosttbl2,ROUNDDOWN($H318,0),BS$2)))))*'Inputs Yr 2'!P318*'Inputs Yr 2'!Q318*'Inputs Yr 2'!U318,"")</f>
        <v>0</v>
      </c>
      <c r="BT318" s="197">
        <f>IFERROR(($G318*IF('Inputs Yr 2'!$AJ318=BK$4,'Inputs Yr 2'!$AK318,IF('Inputs Yr 2'!$AL318=BK$4,'Inputs Yr 2'!$AM318,IF('Inputs Yr 2'!$AN318=BK$4,'Inputs Yr 2'!$AO318,0))))*(INDEX(avoidedcosttbl2,$H318,BT$2)+(($H318-ROUNDDOWN($H318,0))*(INDEX(avoidedcosttbl2,ROUNDUP($H318,0),BT$2)-(INDEX(avoidedcosttbl2,ROUNDDOWN($H318,0),BT$2)))))*'Inputs Yr 2'!P318*'Inputs Yr 2'!Q318*'Inputs Yr 2'!U318,"")</f>
        <v>0</v>
      </c>
      <c r="BU318" s="197">
        <f>IFERROR(($G318*IF('Inputs Yr 2'!$AJ318=BL$4,'Inputs Yr 2'!$AK318,IF('Inputs Yr 2'!$AL318=BL$4,'Inputs Yr 2'!$AM318,IF('Inputs Yr 2'!$AN318=BL$4,'Inputs Yr 2'!$AO318,0))))*(INDEX(avoidedcosttbl2,$H318,BU$2)+(($H318-ROUNDDOWN($H318,0))*(INDEX(avoidedcosttbl2,ROUNDUP($H318,0),BU$2)-(INDEX(avoidedcosttbl2,ROUNDDOWN($H318,0),BU$2)))))*'Inputs Yr 2'!P318*'Inputs Yr 2'!Q318*'Inputs Yr 2'!U318,"")</f>
        <v>0</v>
      </c>
      <c r="BV318" s="775">
        <f>IFERROR(($G318*IF('Inputs Yr 2'!$AJ318=BJ$4,'Inputs Yr 2'!$AK318,IF('Inputs Yr 2'!$AL318=BJ$4,'Inputs Yr 2'!$AM318,IF('Inputs Yr 2'!$AN318=BJ$4,'Inputs Yr 2'!$AO318,0))))*(INDEX(avoidedcosttbl2,$H318,BV$2)+(($H318-ROUNDDOWN($H318,0))*(INDEX(avoidedcosttbl2,ROUNDUP($H318,0),BV$2)-(INDEX(avoidedcosttbl2,ROUNDDOWN($H318,0),BV$2)))))*'Inputs Yr 2'!P318*'Inputs Yr 2'!Q318*'Inputs Yr 2'!U318,"")</f>
        <v>0</v>
      </c>
      <c r="BW318" s="197">
        <f>IFERROR(($G318*IF('Inputs Yr 2'!$AJ318=BN$4,'Inputs Yr 2'!$AK318,IF('Inputs Yr 2'!$AL318=BN$4,'Inputs Yr 2'!$AM318,IF('Inputs Yr 2'!$AN318=BN$4,'Inputs Yr 2'!$AO318,0))))*(INDEX(avoidedcosttbl2,$H318,BW$2)+(($H318-ROUNDDOWN($H318,0))*(INDEX(avoidedcosttbl2,ROUNDUP($H318,0),BW$2)-(INDEX(avoidedcosttbl2,ROUNDDOWN($H318,0),BW$2)))))*'Inputs Yr 2'!P318*'Inputs Yr 2'!Q318*'Inputs Yr 2'!U318,"")</f>
        <v>18986.272950754374</v>
      </c>
      <c r="BX318" s="197">
        <f>IFERROR(($G318*IF('Inputs Yr 2'!$AJ318=BO$4,'Inputs Yr 2'!$AK318,IF('Inputs Yr 2'!$AL318=BO$4,'Inputs Yr 2'!$AM318,IF('Inputs Yr 2'!$AN318=BO$4,'Inputs Yr 2'!$AO318,0))))*(INDEX(avoidedcosttbl2,$H318,BX$2)+(($H318-ROUNDDOWN($H318,0))*(INDEX(avoidedcosttbl2,ROUNDUP($H318,0),BX$2)-(INDEX(avoidedcosttbl2,ROUNDDOWN($H318,0),BX$2)))))*'Inputs Yr 2'!P318*'Inputs Yr 2'!Q318*'Inputs Yr 2'!U318,"")</f>
        <v>0</v>
      </c>
      <c r="BY318" s="197">
        <f>IFERROR(($G318*IF('Inputs Yr 2'!$AJ318=BP$4,'Inputs Yr 2'!$AK318,IF('Inputs Yr 2'!$AL318=BP$4,'Inputs Yr 2'!$AM318,IF('Inputs Yr 2'!$AN318=BP$4,'Inputs Yr 2'!$AO318,0))))*(INDEX(avoidedcosttbl2,$H318,BY$2)+(($H318-ROUNDDOWN($H318,0))*(INDEX(avoidedcosttbl2,ROUNDUP($H318,0),BY$2)-(INDEX(avoidedcosttbl2,ROUNDDOWN($H318,0),BY$2)))))*'Inputs Yr 2'!P318*'Inputs Yr 2'!Q318*'Inputs Yr 2'!U318,"")</f>
        <v>0</v>
      </c>
      <c r="BZ318" s="193">
        <f t="shared" si="159"/>
        <v>21577.144744964953</v>
      </c>
      <c r="CA318" s="193">
        <f t="shared" si="160"/>
        <v>146787.31865271501</v>
      </c>
      <c r="CB318" s="195">
        <f>IFERROR(G318*(IF('Inputs Yr 2'!$AJ318=CB$4,'Inputs Yr 2'!$AK318,IF('Inputs Yr 2'!$AL318=CB$4,'Inputs Yr 2'!$AM318,IF('Inputs Yr 2'!$AN318=CB$4,'Inputs Yr 2'!$AO318,0))))*(INDEX(avoidedcosttbl2,$H318,CB$2)+(($H318-ROUNDDOWN($H318,0))*(INDEX(avoidedcosttbl2,ROUNDUP($H318,0),CB$2)-(INDEX(avoidedcosttbl2,ROUNDDOWN($H318,0),CB$2)))))*'Inputs Yr 2'!P318*'Inputs Yr 2'!Q318*'Inputs Yr 2'!U318,"")</f>
        <v>0</v>
      </c>
      <c r="CC318" s="195">
        <f>IFERROR(H318*(IF('Inputs Yr 2'!$AJ318=CC$4,'Inputs Yr 2'!$AK318,IF('Inputs Yr 2'!$AL318=CC$4,'Inputs Yr 2'!$AM318,IF('Inputs Yr 2'!$AN318=CC$4,'Inputs Yr 2'!$AO318,0))))*(INDEX(avoidedcosttbl2,$H318,CC$2)+(($H318-ROUNDDOWN($H318,0))*(INDEX(avoidedcosttbl2,ROUNDUP($H318,0),CC$2)-(INDEX(avoidedcosttbl2,ROUNDDOWN($H318,0),CC$2)))))*'Inputs Yr 2'!Q318*'Inputs Yr 2'!R318*'Inputs Yr 2'!V318,"")</f>
        <v>0</v>
      </c>
      <c r="CD318" s="195">
        <f>IFERROR(I318*(IF('Inputs Yr 2'!$AJ318=CD$4,'Inputs Yr 2'!$AK318,IF('Inputs Yr 2'!$AL318=CD$4,'Inputs Yr 2'!$AM318,IF('Inputs Yr 2'!$AN318=CD$4,'Inputs Yr 2'!$AO318,0))))*(INDEX(avoidedcosttbl2,$H318,CD$2)+(($H318-ROUNDDOWN($H318,0))*(INDEX(avoidedcosttbl2,ROUNDUP($H318,0),CD$2)-(INDEX(avoidedcosttbl2,ROUNDDOWN($H318,0),CD$2)))))*'Inputs Yr 2'!R318*'Inputs Yr 2'!S318*'Inputs Yr 2'!W318,"")</f>
        <v>0</v>
      </c>
      <c r="CE318" s="213">
        <f t="shared" si="161"/>
        <v>0</v>
      </c>
      <c r="CF318" s="213">
        <f t="shared" si="162"/>
        <v>47202.500602236498</v>
      </c>
      <c r="CG318" s="213">
        <f t="shared" si="163"/>
        <v>65480.731198325331</v>
      </c>
      <c r="CH318" s="698">
        <f t="shared" si="164"/>
        <v>259470.55045327684</v>
      </c>
      <c r="CI318" s="79">
        <f>IFERROR(($G318*'Inputs Yr 2'!$P318*'Inputs Yr 2'!$Q318*(((INDEX(avoidedcosttbl2,$H318,CI$2)+(($H318-ROUNDDOWN($H318,0))*(INDEX(avoidedcosttbl2,ROUNDUP($H318,0),CI$2)-INDEX(avoidedcosttbl2,ROUNDDOWN($H318,0),CI$2))))*'Inputs Yr 2'!AS318))),"")</f>
        <v>0</v>
      </c>
      <c r="CJ318" s="504">
        <f>IFERROR($G318*'Inputs Yr 2'!AT318*'Inputs Yr 2'!$P318*'Inputs Yr 2'!$Q318/((1+realdiscrt1)^-0.5),"")</f>
        <v>0</v>
      </c>
      <c r="CK318" s="79">
        <f>IFERROR((O318*1000*(((INDEX(avoidedcosttbl2,$H318,CK$2)+(($H318-ROUNDDOWN($H318,0))*(INDEX(avoidedcosttbl2,ROUNDUP($H318,0),CK$2)-INDEX(avoidedcosttbl2,ROUNDDOWN($H318,0),CK$2))))*'Inputs Yr 2'!AU318))),"")</f>
        <v>0</v>
      </c>
      <c r="CL318" s="504">
        <f>IFERROR(O318*1000*'Inputs Yr 2'!AV318/((1+realdiscrt1)^-0.5),"")</f>
        <v>0</v>
      </c>
      <c r="CM318" s="79">
        <f>IFERROR((AB318*'Inputs Yr 2'!AW318*(((INDEX(avoidedcosttbl2,$H318,CM$2)+(($H318-ROUNDDOWN($H318,0))*(INDEX(avoidedcosttbl2,ROUNDUP($H318,0),CM$2)-INDEX(avoidedcosttbl2,ROUNDDOWN($H318,0),CM$2)))))))*10,"")</f>
        <v>0</v>
      </c>
      <c r="CN318" s="504">
        <f>IFERROR(10*AB318*'Inputs Yr 2'!AX318/((1+realdiscrt1)^-0.5),"")</f>
        <v>0</v>
      </c>
      <c r="CO318" s="505">
        <f t="shared" si="165"/>
        <v>0</v>
      </c>
      <c r="CP318" s="230">
        <f t="shared" si="166"/>
        <v>259470.55045327684</v>
      </c>
      <c r="CQ318" s="199">
        <f>ROUND(IFERROR(IF(LEFT($A318,1)="C",'Avoided Costs'!$K$13,'Avoided Costs'!$K$12)+1,""),4)</f>
        <v>1.0720000000000001</v>
      </c>
      <c r="CR318" s="199">
        <f>ROUND(IFERROR(IF(LEFT($A318,1)="C",'Avoided Costs'!$L$13,'Avoided Costs'!$L$12)+1,""),4)</f>
        <v>1.04</v>
      </c>
      <c r="CS318" s="199">
        <f>ROUND(IFERROR(IF(LEFT($A318,1)="C",'Avoided Costs'!$M$13,'Avoided Costs'!$M$12)+1,""),4)</f>
        <v>1.0720000000000001</v>
      </c>
      <c r="CT318" s="199">
        <f>ROUND(IFERROR(IF(LEFT($A318,1)="C",'Avoided Costs'!$N$13,'Avoided Costs'!$N$12)+1,""),4)</f>
        <v>1.04</v>
      </c>
      <c r="CU318" s="199">
        <f>ROUND(IFERROR(IF(LEFT($A318,1)="C",'Avoided Costs'!$O$13,'Avoided Costs'!$O$12)+1,""),4)</f>
        <v>1.1120000000000001</v>
      </c>
      <c r="CV318" s="199">
        <f>ROUND(IFERROR(IF(LEFT($A318,1)="C",'Avoided Costs'!$P$13,'Avoided Costs'!$P$12)+1,""),4)</f>
        <v>1.095</v>
      </c>
      <c r="CW318" s="199">
        <f>ROUND(IFERROR(IF(LEFT($A318,1)="C",'Avoided Costs'!$Q$13,'Avoided Costs'!$Q$12)+1,""),4)</f>
        <v>1.1120000000000001</v>
      </c>
      <c r="CX318" s="200">
        <f>ROUND(IFERROR(IF(LEFT($A318,1)="C",'Avoided Costs'!$R$13,'Avoided Costs'!$R$12)+1,""),4)</f>
        <v>1.1120000000000001</v>
      </c>
    </row>
    <row r="319" spans="1:102" ht="12.75" customHeight="1">
      <c r="A319" s="91" t="str">
        <f>IF('Inputs Yr 2'!$B319=0,"",'Inputs Yr 2'!A319)</f>
        <v>C - Commercial &amp; Industrial</v>
      </c>
      <c r="B319" s="91" t="str">
        <f>IF('Inputs Yr 2'!$B319=0,"",'Inputs Yr 2'!B319)</f>
        <v>C2 - C&amp;I Retrofit</v>
      </c>
      <c r="C319" s="91" t="str">
        <f>IF('Inputs Yr 2'!$B319=0,"",'Inputs Yr 2'!C319)</f>
        <v>C2b - C&amp;I Small Business</v>
      </c>
      <c r="D319" s="91" t="str">
        <f>IF('Inputs Yr 2'!$B319=0,"",'Inputs Yr 2'!E319)</f>
        <v>Hot Water Pipe Insulation, &lt;=1.5"</v>
      </c>
      <c r="E319" s="93" t="str">
        <f>IF('Inputs Yr 2'!$B319=0,"",'Inputs Yr 2'!F319)</f>
        <v>G16C2b24</v>
      </c>
      <c r="F319" s="93" t="str">
        <f>IF('Inputs Yr 2'!$B319=0,"",'Inputs Yr 2'!G319)</f>
        <v>Hot Water</v>
      </c>
      <c r="G319" s="95">
        <f>IF('Inputs Yr 2'!$H319&lt;&gt;0,('Inputs Yr 2'!H319),"")</f>
        <v>21</v>
      </c>
      <c r="H319" s="94">
        <f>IFERROR('Inputs Yr 2'!I319,"")</f>
        <v>15</v>
      </c>
      <c r="I319" s="298">
        <f>IFERROR('Inputs Yr 2'!J319*'Inputs Yr 2'!P319*G319,"")</f>
        <v>1011.06306</v>
      </c>
      <c r="J319" s="298">
        <f>IFERROR('Inputs Yr 2'!K319*G319,"")</f>
        <v>1195.1099999999999</v>
      </c>
      <c r="K319" s="298">
        <f t="shared" si="143"/>
        <v>-184.04693999999995</v>
      </c>
      <c r="L319" s="194">
        <f>IFERROR(('Inputs Yr 2'!W319*G319)/1000,"")</f>
        <v>0</v>
      </c>
      <c r="M319" s="194">
        <f>IFERROR(L319*('Inputs Yr 2'!$Q319*'Inputs Yr 2'!$V319*'Inputs Yr 2'!$R319),"")</f>
        <v>0</v>
      </c>
      <c r="N319" s="194">
        <f t="shared" si="144"/>
        <v>0</v>
      </c>
      <c r="O319" s="194">
        <f>IFERROR(M319*'Inputs Yr 2'!P319,"")</f>
        <v>0</v>
      </c>
      <c r="P319" s="194">
        <f t="shared" si="145"/>
        <v>0</v>
      </c>
      <c r="Q319" s="194">
        <f>IFERROR($P319*'Inputs Yr 2'!AA319,"")</f>
        <v>0</v>
      </c>
      <c r="R319" s="194">
        <f>IFERROR($P319*'Inputs Yr 2'!AB319,"")</f>
        <v>0</v>
      </c>
      <c r="S319" s="194">
        <f>IFERROR($P319*'Inputs Yr 2'!AC319,"")</f>
        <v>0</v>
      </c>
      <c r="T319" s="194">
        <f>IFERROR($P319*'Inputs Yr 2'!AD319,"")</f>
        <v>0</v>
      </c>
      <c r="U319" s="194">
        <f>IFERROR(G319*'Inputs Yr 2'!$AE319*'Inputs Yr 2'!$P319*'Inputs Yr 2'!$Q319,"")</f>
        <v>0</v>
      </c>
      <c r="V319" s="194">
        <f>IFERROR($G319*'Inputs Yr 2'!$AE319*'Inputs Yr 2'!$AG319*'Inputs Yr 2'!Q319*'Inputs Yr 2'!$S319,"")</f>
        <v>0</v>
      </c>
      <c r="W319" s="194">
        <f>IFERROR($G319*'Inputs Yr 2'!$AE319*'Inputs Yr 2'!$AG319*'Inputs Yr 2'!P319*'Inputs Yr 2'!Q319*'Inputs Yr 2'!$S319,"")</f>
        <v>0</v>
      </c>
      <c r="X319" s="194">
        <f>IFERROR($G319*'Inputs Yr 2'!$AE319*'Inputs Yr 2'!$AF319*'Inputs Yr 2'!Q319*'Inputs Yr 2'!$T319,"")</f>
        <v>0</v>
      </c>
      <c r="Y319" s="194">
        <f>IFERROR($G319*'Inputs Yr 2'!$AE319*'Inputs Yr 2'!$AF319*'Inputs Yr 2'!P319*'Inputs Yr 2'!Q319*'Inputs Yr 2'!$T319,"")</f>
        <v>0</v>
      </c>
      <c r="Z319" s="257">
        <f>IFERROR($G319*'Inputs Yr 2'!$Q319*'Inputs Yr 2'!$U319*(IF(IFERROR(SEARCH("NG", 'Inputs Yr 2'!$AJ319),0),'Inputs Yr 2'!$AK319,0)+IF(IFERROR(SEARCH("NG", 'Inputs Yr 2'!$AL319),0),'Inputs Yr 2'!$AM319,0)+IF(IFERROR(SEARCH("NG", 'Inputs Yr 2'!$AN319),0),'Inputs Yr 2'!$AO319,0)),0)</f>
        <v>4.4099999999999993</v>
      </c>
      <c r="AA319" s="257">
        <f t="shared" si="146"/>
        <v>66.149999999999991</v>
      </c>
      <c r="AB319" s="257">
        <f>IFERROR(Z319*'Inputs Yr 2'!$P319,0)</f>
        <v>3.7308599999999998</v>
      </c>
      <c r="AC319" s="257">
        <f t="shared" si="147"/>
        <v>55.962899999999998</v>
      </c>
      <c r="AD319" s="257">
        <f>IFERROR($G319*'Inputs Yr 2'!$Q319*'Inputs Yr 2'!$U319*(IF(IFERROR(SEARCH("Oil", 'Inputs Yr 2'!$AJ319), 0),'Inputs Yr 2'!$AK319,0)+IF(IFERROR(SEARCH("Oil", 'Inputs Yr 2'!$AL319), 0),'Inputs Yr 2'!$AM319,0)+IF(IFERROR(SEARCH("Oil", 'Inputs Yr 2'!$AN319), 0),'Inputs Yr 2'!$AO319,0)),0)</f>
        <v>0</v>
      </c>
      <c r="AE319" s="257">
        <f t="shared" si="148"/>
        <v>0</v>
      </c>
      <c r="AF319" s="257">
        <f>IFERROR(AD319*'Inputs Yr 2'!$P319,0)</f>
        <v>0</v>
      </c>
      <c r="AG319" s="257">
        <f t="shared" si="149"/>
        <v>0</v>
      </c>
      <c r="AH319" s="257">
        <f>IFERROR($G319*'Inputs Yr 2'!$Q319*'Inputs Yr 2'!$U319*(IF('Inputs Yr 2'!$AJ319=CD$4,'Inputs Yr 2'!$AK319,IF('Inputs Yr 2'!$AL319=CD$4,'Inputs Yr 2'!$AM319,IF('Inputs Yr 2'!$AN319=CD$4,'Inputs Yr 2'!$AO319,0)))),0)</f>
        <v>0</v>
      </c>
      <c r="AI319" s="257">
        <f t="shared" si="150"/>
        <v>0</v>
      </c>
      <c r="AJ319" s="257">
        <f>IFERROR(AH319*'Inputs Yr 2'!$P319,0)</f>
        <v>0</v>
      </c>
      <c r="AK319" s="257">
        <f t="shared" si="151"/>
        <v>0</v>
      </c>
      <c r="AL319" s="258">
        <f>IFERROR($G319*'Inputs Yr 2'!$P319*'Inputs Yr 2'!$Q319*'Inputs Yr 2'!AP319,0)</f>
        <v>0</v>
      </c>
      <c r="AM319" s="260">
        <f>IFERROR($G319*'Inputs Yr 2'!$P319*'Inputs Yr 2'!$Q319*'Inputs Yr 2'!AQ319,0)</f>
        <v>0</v>
      </c>
      <c r="AN319" s="258">
        <f>IFERROR($G319*'Inputs Yr 2'!$P319*'Inputs Yr 2'!$Q319*'Inputs Yr 2'!AR319,0)</f>
        <v>0</v>
      </c>
      <c r="AO319" s="257">
        <f t="shared" si="152"/>
        <v>0</v>
      </c>
      <c r="AP319" s="195">
        <f>IFERROR($CQ319*(INDEX(avoidedcosttbl2,$H319,AP$2)+(($H319-ROUNDDOWN($H319,0))*(INDEX(avoidedcosttbl2,ROUNDUP($H319,0),AP$2)-(INDEX(avoidedcosttbl2,ROUNDDOWN($H319,0),AP$2)))))*$O319*1000*'Inputs Yr 2'!AA319,"")</f>
        <v>0</v>
      </c>
      <c r="AQ319" s="195">
        <f>IFERROR($CR319*(INDEX(avoidedcosttbl2,$H319,AQ$2)+(($H319-ROUNDDOWN($H319,0))*(INDEX(avoidedcosttbl2,ROUNDUP($H319,0),AQ$2)-(INDEX(avoidedcosttbl2,ROUNDDOWN($H319,0),AQ$2)))))*$O319*1000*'Inputs Yr 2'!AB319,"")</f>
        <v>0</v>
      </c>
      <c r="AR319" s="195">
        <f>IFERROR($CS319*(INDEX(avoidedcosttbl2,$H319,AR$2)+(($H319-ROUNDDOWN($H319,0))*(INDEX(avoidedcosttbl2,ROUNDUP($H319,0),AR$2)-(INDEX(avoidedcosttbl2,ROUNDDOWN($H319,0),AR$2)))))*$O319*1000*'Inputs Yr 2'!AC319,"")</f>
        <v>0</v>
      </c>
      <c r="AS319" s="195">
        <f>IFERROR($CT319*(INDEX(avoidedcosttbl2,$H319,AS$2)+(($H319-ROUNDDOWN($H319,0))*(INDEX(avoidedcosttbl2,ROUNDUP($H319,0),AS$2)-(INDEX(avoidedcosttbl2,ROUNDDOWN($H319,0),AS$2)))))*$O319*1000*'Inputs Yr 2'!AD319,"")</f>
        <v>0</v>
      </c>
      <c r="AT319" s="196">
        <f t="shared" si="153"/>
        <v>0</v>
      </c>
      <c r="AU319" s="197">
        <f>IFERROR($CQ319*((INDEX(avoidedcosttbl2,$H319,AU$2))+(($H319-ROUNDDOWN($H319,0))*((INDEX(avoidedcosttbl2,ROUNDUP($H319,0),AU$2))-(INDEX(avoidedcosttbl2,ROUNDDOWN($H319,0),AU$2)))))*$O319*1000*'Inputs Yr 2'!AA319,"")</f>
        <v>0</v>
      </c>
      <c r="AV319" s="197">
        <f>IFERROR($CR319*((INDEX(avoidedcosttbl2,$H319,AV$2))+(($H319-ROUNDDOWN($H319,0))*((INDEX(avoidedcosttbl2,ROUNDUP($H319,0),AV$2))-(INDEX(avoidedcosttbl2,ROUNDDOWN($H319,0),AV$2)))))*$O319*1000*'Inputs Yr 2'!AB319,"")</f>
        <v>0</v>
      </c>
      <c r="AW319" s="197">
        <f>IFERROR($CS319*((INDEX(avoidedcosttbl2,$H319,AW$2))+(($H319-ROUNDDOWN($H319,0))*((INDEX(avoidedcosttbl2,ROUNDUP($H319,0),AW$2))-(INDEX(avoidedcosttbl2,ROUNDDOWN($H319,0),AW$2)))))*$O319*1000*'Inputs Yr 2'!AC319,"")</f>
        <v>0</v>
      </c>
      <c r="AX319" s="197">
        <f>IFERROR($CT319*((INDEX(avoidedcosttbl2,$H319,AX$2))+(($H319-ROUNDDOWN($H319,0))*((INDEX(avoidedcosttbl2,ROUNDUP($H319,0),AX$2))-(INDEX(avoidedcosttbl2,ROUNDDOWN($H319,0),AX$2)))))*$O319*1000*'Inputs Yr 2'!AD319,"")</f>
        <v>0</v>
      </c>
      <c r="AY319" s="197">
        <f>IFERROR(((INDEX(avoidedcosttbl2,$H319,AY$2))+(($H319-ROUNDDOWN($H319,0))*((INDEX(avoidedcosttbl2,ROUNDUP($H319,0),AY$2))-(INDEX(avoidedcosttbl2,ROUNDDOWN($H319,0),AY$2)))))*$O319*1000*('Inputs Yr 2'!AC319+'Inputs Yr 2'!AD319),"")</f>
        <v>0</v>
      </c>
      <c r="AZ319" s="197">
        <f>IFERROR(((INDEX(avoidedcosttbl2,$H319,AZ$2))+(($H319-ROUNDDOWN($H319,0))*((INDEX(avoidedcosttbl2,ROUNDUP($H319,0),AZ$2))-(INDEX(avoidedcosttbl2,ROUNDDOWN($H319,0),AZ$2)))))*$O319*1000*('Inputs Yr 2'!AA319+'Inputs Yr 2'!AB319),"")</f>
        <v>0</v>
      </c>
      <c r="BA319" s="198">
        <f t="shared" si="154"/>
        <v>0</v>
      </c>
      <c r="BB319" s="198">
        <f t="shared" si="155"/>
        <v>0</v>
      </c>
      <c r="BC319" s="195">
        <f t="shared" si="137"/>
        <v>0</v>
      </c>
      <c r="BD319" s="195">
        <f t="shared" si="138"/>
        <v>0</v>
      </c>
      <c r="BE319" s="195">
        <f t="shared" si="139"/>
        <v>0</v>
      </c>
      <c r="BF319" s="195">
        <f t="shared" si="140"/>
        <v>0</v>
      </c>
      <c r="BG319" s="195">
        <f t="shared" si="141"/>
        <v>0</v>
      </c>
      <c r="BH319" s="196">
        <f t="shared" si="156"/>
        <v>0</v>
      </c>
      <c r="BI319" s="196">
        <f t="shared" si="157"/>
        <v>0</v>
      </c>
      <c r="BJ319" s="195">
        <f>IFERROR($G319*(IF('Inputs Yr 2'!$AJ319=BJ$4,'Inputs Yr 2'!$AK319,IF('Inputs Yr 2'!$AL319=BJ$4,'Inputs Yr 2'!$AM319,IF('Inputs Yr 2'!$AN319=BJ$4,'Inputs Yr 2'!$AO319,0))))*(INDEX(avoidedcosttbl2,$H319,BJ$2)+(($H319-ROUNDDOWN($H319,0))*(INDEX(avoidedcosttbl2,ROUNDUP($H319,0),BJ$2)-(INDEX(avoidedcosttbl2,ROUNDDOWN($H319,0),BJ$2)))))*'Inputs Yr 2'!P319*'Inputs Yr 2'!Q319*'Inputs Yr 2'!U319,"")</f>
        <v>0</v>
      </c>
      <c r="BK319" s="195">
        <f>IFERROR($G319*(IF('Inputs Yr 2'!$AJ319=BK$4,'Inputs Yr 2'!$AK319,IF('Inputs Yr 2'!$AL319=BK$4,'Inputs Yr 2'!$AM319,IF('Inputs Yr 2'!$AN319=BK$4,'Inputs Yr 2'!$AO319,0))))*(INDEX(avoidedcosttbl2,$H319,BK$2)+(($H319-ROUNDDOWN($H319,0))*(INDEX(avoidedcosttbl2,ROUNDUP($H319,0),BK$2)-(INDEX(avoidedcosttbl2,ROUNDDOWN($H319,0),BK$2)))))*'Inputs Yr 2'!P319*'Inputs Yr 2'!Q319*'Inputs Yr 2'!U319,"")</f>
        <v>0</v>
      </c>
      <c r="BL319" s="195">
        <f>IFERROR($G319*(IF('Inputs Yr 2'!$AJ319=BL$4,'Inputs Yr 2'!$AK319,IF('Inputs Yr 2'!$AL319=BL$4,'Inputs Yr 2'!$AM319,IF('Inputs Yr 2'!$AN319=BL$4,'Inputs Yr 2'!$AO319,0))))*(INDEX(avoidedcosttbl2,$H319,BL$2)+(($H319-ROUNDDOWN($H319,0))*(INDEX(avoidedcosttbl2,ROUNDUP($H319,0),BL$2)-(INDEX(avoidedcosttbl2,ROUNDDOWN($H319,0),BL$2)))))*'Inputs Yr 2'!P319*'Inputs Yr 2'!Q319*'Inputs Yr 2'!U319,"")</f>
        <v>0</v>
      </c>
      <c r="BM319" s="195">
        <f>IFERROR($G319*(IF('Inputs Yr 2'!$AJ319=BM$4,'Inputs Yr 2'!$AK319,IF('Inputs Yr 2'!$AL319=BM$4,'Inputs Yr 2'!$AM319,IF('Inputs Yr 2'!$AN319=BM$4,'Inputs Yr 2'!$AO319,0))))*(INDEX(avoidedcosttbl2,$H319,BM$2)+(($H319-ROUNDDOWN($H319,0))*(INDEX(avoidedcosttbl2,ROUNDUP($H319,0),BM$2)-(INDEX(avoidedcosttbl2,ROUNDDOWN($H319,0),BM$2)))))*'Inputs Yr 2'!P319*'Inputs Yr 2'!Q319*'Inputs Yr 2'!U319,"")</f>
        <v>0</v>
      </c>
      <c r="BN319" s="195">
        <f>IFERROR($G319*(IF('Inputs Yr 2'!$AJ319=BN$4,'Inputs Yr 2'!$AK319,IF('Inputs Yr 2'!$AL319=BN$4,'Inputs Yr 2'!$AM319,IF('Inputs Yr 2'!$AN319=BN$4,'Inputs Yr 2'!$AO319,0))))*(INDEX(avoidedcosttbl2,$H319,BN$2)+(($H319-ROUNDDOWN($H319,0))*(INDEX(avoidedcosttbl2,ROUNDUP($H319,0),BN$2)-(INDEX(avoidedcosttbl2,ROUNDDOWN($H319,0),BN$2)))))*'Inputs Yr 2'!P319*'Inputs Yr 2'!Q319*'Inputs Yr 2'!U319,"")</f>
        <v>388.61806695863919</v>
      </c>
      <c r="BO319" s="195">
        <f>IFERROR($G319*(IF('Inputs Yr 2'!$AJ319=BO$4,'Inputs Yr 2'!$AK319,IF('Inputs Yr 2'!$AL319=BO$4,'Inputs Yr 2'!$AM319,IF('Inputs Yr 2'!$AN319=BO$4,'Inputs Yr 2'!$AO319,0))))*(INDEX(avoidedcosttbl2,$H319,BO$2)+(($H319-ROUNDDOWN($H319,0))*(INDEX(avoidedcosttbl2,ROUNDUP($H319,0),BO$2)-(INDEX(avoidedcosttbl2,ROUNDDOWN($H319,0),BO$2)))))*'Inputs Yr 2'!P319*'Inputs Yr 2'!Q319*'Inputs Yr 2'!U319,"")</f>
        <v>0</v>
      </c>
      <c r="BP319" s="195">
        <f>IFERROR($G319*(IF('Inputs Yr 2'!$AJ319=BP$4,'Inputs Yr 2'!$AK319,IF('Inputs Yr 2'!$AL319=BP$4,'Inputs Yr 2'!$AM319,IF('Inputs Yr 2'!$AN319=BP$4,'Inputs Yr 2'!$AO319,0))))*(INDEX(avoidedcosttbl2,$H319,BP$2)+(($H319-ROUNDDOWN($H319,0))*(INDEX(avoidedcosttbl2,ROUNDUP($H319,0),BP$2)-(INDEX(avoidedcosttbl2,ROUNDDOWN($H319,0),BP$2)))))*'Inputs Yr 2'!P319*'Inputs Yr 2'!Q319*'Inputs Yr 2'!U319,"")</f>
        <v>0</v>
      </c>
      <c r="BQ319" s="230">
        <f t="shared" si="158"/>
        <v>388.61806695863919</v>
      </c>
      <c r="BR319" s="197">
        <f t="shared" si="142"/>
        <v>7.585318065853448</v>
      </c>
      <c r="BS319" s="197">
        <f>IFERROR(($G319*IF('Inputs Yr 2'!$AJ319=BM$4,'Inputs Yr 2'!$AK319,IF('Inputs Yr 2'!$AL319=BM$4,'Inputs Yr 2'!$AM319,IF('Inputs Yr 2'!$AN319=BM$4,'Inputs Yr 2'!$AO319,0))))*(INDEX(avoidedcosttbl2,$H319,BS$2)+(($H319-ROUNDDOWN($H319,0))*(INDEX(avoidedcosttbl2,ROUNDUP($H319,0),BS$2)-(INDEX(avoidedcosttbl2,ROUNDDOWN($H319,0),BS$2)))))*'Inputs Yr 2'!P319*'Inputs Yr 2'!Q319*'Inputs Yr 2'!U319,"")</f>
        <v>0</v>
      </c>
      <c r="BT319" s="197">
        <f>IFERROR(($G319*IF('Inputs Yr 2'!$AJ319=BK$4,'Inputs Yr 2'!$AK319,IF('Inputs Yr 2'!$AL319=BK$4,'Inputs Yr 2'!$AM319,IF('Inputs Yr 2'!$AN319=BK$4,'Inputs Yr 2'!$AO319,0))))*(INDEX(avoidedcosttbl2,$H319,BT$2)+(($H319-ROUNDDOWN($H319,0))*(INDEX(avoidedcosttbl2,ROUNDUP($H319,0),BT$2)-(INDEX(avoidedcosttbl2,ROUNDDOWN($H319,0),BT$2)))))*'Inputs Yr 2'!P319*'Inputs Yr 2'!Q319*'Inputs Yr 2'!U319,"")</f>
        <v>0</v>
      </c>
      <c r="BU319" s="197">
        <f>IFERROR(($G319*IF('Inputs Yr 2'!$AJ319=BL$4,'Inputs Yr 2'!$AK319,IF('Inputs Yr 2'!$AL319=BL$4,'Inputs Yr 2'!$AM319,IF('Inputs Yr 2'!$AN319=BL$4,'Inputs Yr 2'!$AO319,0))))*(INDEX(avoidedcosttbl2,$H319,BU$2)+(($H319-ROUNDDOWN($H319,0))*(INDEX(avoidedcosttbl2,ROUNDUP($H319,0),BU$2)-(INDEX(avoidedcosttbl2,ROUNDDOWN($H319,0),BU$2)))))*'Inputs Yr 2'!P319*'Inputs Yr 2'!Q319*'Inputs Yr 2'!U319,"")</f>
        <v>0</v>
      </c>
      <c r="BV319" s="775">
        <f>IFERROR(($G319*IF('Inputs Yr 2'!$AJ319=BJ$4,'Inputs Yr 2'!$AK319,IF('Inputs Yr 2'!$AL319=BJ$4,'Inputs Yr 2'!$AM319,IF('Inputs Yr 2'!$AN319=BJ$4,'Inputs Yr 2'!$AO319,0))))*(INDEX(avoidedcosttbl2,$H319,BV$2)+(($H319-ROUNDDOWN($H319,0))*(INDEX(avoidedcosttbl2,ROUNDUP($H319,0),BV$2)-(INDEX(avoidedcosttbl2,ROUNDDOWN($H319,0),BV$2)))))*'Inputs Yr 2'!P319*'Inputs Yr 2'!Q319*'Inputs Yr 2'!U319,"")</f>
        <v>0</v>
      </c>
      <c r="BW319" s="197">
        <f>IFERROR(($G319*IF('Inputs Yr 2'!$AJ319=BN$4,'Inputs Yr 2'!$AK319,IF('Inputs Yr 2'!$AL319=BN$4,'Inputs Yr 2'!$AM319,IF('Inputs Yr 2'!$AN319=BN$4,'Inputs Yr 2'!$AO319,0))))*(INDEX(avoidedcosttbl2,$H319,BW$2)+(($H319-ROUNDDOWN($H319,0))*(INDEX(avoidedcosttbl2,ROUNDUP($H319,0),BW$2)-(INDEX(avoidedcosttbl2,ROUNDDOWN($H319,0),BW$2)))))*'Inputs Yr 2'!P319*'Inputs Yr 2'!Q319*'Inputs Yr 2'!U319,"")</f>
        <v>34.553690481905861</v>
      </c>
      <c r="BX319" s="197">
        <f>IFERROR(($G319*IF('Inputs Yr 2'!$AJ319=BO$4,'Inputs Yr 2'!$AK319,IF('Inputs Yr 2'!$AL319=BO$4,'Inputs Yr 2'!$AM319,IF('Inputs Yr 2'!$AN319=BO$4,'Inputs Yr 2'!$AO319,0))))*(INDEX(avoidedcosttbl2,$H319,BX$2)+(($H319-ROUNDDOWN($H319,0))*(INDEX(avoidedcosttbl2,ROUNDUP($H319,0),BX$2)-(INDEX(avoidedcosttbl2,ROUNDDOWN($H319,0),BX$2)))))*'Inputs Yr 2'!P319*'Inputs Yr 2'!Q319*'Inputs Yr 2'!U319,"")</f>
        <v>0</v>
      </c>
      <c r="BY319" s="197">
        <f>IFERROR(($G319*IF('Inputs Yr 2'!$AJ319=BP$4,'Inputs Yr 2'!$AK319,IF('Inputs Yr 2'!$AL319=BP$4,'Inputs Yr 2'!$AM319,IF('Inputs Yr 2'!$AN319=BP$4,'Inputs Yr 2'!$AO319,0))))*(INDEX(avoidedcosttbl2,$H319,BY$2)+(($H319-ROUNDDOWN($H319,0))*(INDEX(avoidedcosttbl2,ROUNDUP($H319,0),BY$2)-(INDEX(avoidedcosttbl2,ROUNDDOWN($H319,0),BY$2)))))*'Inputs Yr 2'!P319*'Inputs Yr 2'!Q319*'Inputs Yr 2'!U319,"")</f>
        <v>0</v>
      </c>
      <c r="BZ319" s="193">
        <f t="shared" si="159"/>
        <v>42.13900854775931</v>
      </c>
      <c r="CA319" s="193">
        <f t="shared" si="160"/>
        <v>430.75707550639851</v>
      </c>
      <c r="CB319" s="195">
        <f>IFERROR(G319*(IF('Inputs Yr 2'!$AJ319=CB$4,'Inputs Yr 2'!$AK319,IF('Inputs Yr 2'!$AL319=CB$4,'Inputs Yr 2'!$AM319,IF('Inputs Yr 2'!$AN319=CB$4,'Inputs Yr 2'!$AO319,0))))*(INDEX(avoidedcosttbl2,$H319,CB$2)+(($H319-ROUNDDOWN($H319,0))*(INDEX(avoidedcosttbl2,ROUNDUP($H319,0),CB$2)-(INDEX(avoidedcosttbl2,ROUNDDOWN($H319,0),CB$2)))))*'Inputs Yr 2'!P319*'Inputs Yr 2'!Q319*'Inputs Yr 2'!U319,"")</f>
        <v>0</v>
      </c>
      <c r="CC319" s="195">
        <f>IFERROR(H319*(IF('Inputs Yr 2'!$AJ319=CC$4,'Inputs Yr 2'!$AK319,IF('Inputs Yr 2'!$AL319=CC$4,'Inputs Yr 2'!$AM319,IF('Inputs Yr 2'!$AN319=CC$4,'Inputs Yr 2'!$AO319,0))))*(INDEX(avoidedcosttbl2,$H319,CC$2)+(($H319-ROUNDDOWN($H319,0))*(INDEX(avoidedcosttbl2,ROUNDUP($H319,0),CC$2)-(INDEX(avoidedcosttbl2,ROUNDDOWN($H319,0),CC$2)))))*'Inputs Yr 2'!Q319*'Inputs Yr 2'!R319*'Inputs Yr 2'!V319,"")</f>
        <v>0</v>
      </c>
      <c r="CD319" s="195">
        <f>IFERROR(I319*(IF('Inputs Yr 2'!$AJ319=CD$4,'Inputs Yr 2'!$AK319,IF('Inputs Yr 2'!$AL319=CD$4,'Inputs Yr 2'!$AM319,IF('Inputs Yr 2'!$AN319=CD$4,'Inputs Yr 2'!$AO319,0))))*(INDEX(avoidedcosttbl2,$H319,CD$2)+(($H319-ROUNDDOWN($H319,0))*(INDEX(avoidedcosttbl2,ROUNDUP($H319,0),CD$2)-(INDEX(avoidedcosttbl2,ROUNDDOWN($H319,0),CD$2)))))*'Inputs Yr 2'!R319*'Inputs Yr 2'!S319*'Inputs Yr 2'!W319,"")</f>
        <v>0</v>
      </c>
      <c r="CE319" s="213">
        <f t="shared" si="161"/>
        <v>0</v>
      </c>
      <c r="CF319" s="213">
        <f t="shared" si="162"/>
        <v>0</v>
      </c>
      <c r="CG319" s="213">
        <f t="shared" si="163"/>
        <v>0</v>
      </c>
      <c r="CH319" s="698">
        <f t="shared" si="164"/>
        <v>430.75707550639851</v>
      </c>
      <c r="CI319" s="79">
        <f>IFERROR(($G319*'Inputs Yr 2'!$P319*'Inputs Yr 2'!$Q319*(((INDEX(avoidedcosttbl2,$H319,CI$2)+(($H319-ROUNDDOWN($H319,0))*(INDEX(avoidedcosttbl2,ROUNDUP($H319,0),CI$2)-INDEX(avoidedcosttbl2,ROUNDDOWN($H319,0),CI$2))))*'Inputs Yr 2'!AS319))),"")</f>
        <v>0</v>
      </c>
      <c r="CJ319" s="504">
        <f>IFERROR($G319*'Inputs Yr 2'!AT319*'Inputs Yr 2'!$P319*'Inputs Yr 2'!$Q319/((1+realdiscrt1)^-0.5),"")</f>
        <v>0</v>
      </c>
      <c r="CK319" s="79">
        <f>IFERROR((O319*1000*(((INDEX(avoidedcosttbl2,$H319,CK$2)+(($H319-ROUNDDOWN($H319,0))*(INDEX(avoidedcosttbl2,ROUNDUP($H319,0),CK$2)-INDEX(avoidedcosttbl2,ROUNDDOWN($H319,0),CK$2))))*'Inputs Yr 2'!AU319))),"")</f>
        <v>0</v>
      </c>
      <c r="CL319" s="504">
        <f>IFERROR(O319*1000*'Inputs Yr 2'!AV319/((1+realdiscrt1)^-0.5),"")</f>
        <v>0</v>
      </c>
      <c r="CM319" s="79">
        <f>IFERROR((AB319*'Inputs Yr 2'!AW319*(((INDEX(avoidedcosttbl2,$H319,CM$2)+(($H319-ROUNDDOWN($H319,0))*(INDEX(avoidedcosttbl2,ROUNDUP($H319,0),CM$2)-INDEX(avoidedcosttbl2,ROUNDDOWN($H319,0),CM$2)))))))*10,"")</f>
        <v>0</v>
      </c>
      <c r="CN319" s="504">
        <f>IFERROR(10*AB319*'Inputs Yr 2'!AX319/((1+realdiscrt1)^-0.5),"")</f>
        <v>0</v>
      </c>
      <c r="CO319" s="505">
        <f t="shared" si="165"/>
        <v>0</v>
      </c>
      <c r="CP319" s="230">
        <f t="shared" si="166"/>
        <v>430.75707550639851</v>
      </c>
      <c r="CQ319" s="199">
        <f>ROUND(IFERROR(IF(LEFT($A319,1)="C",'Avoided Costs'!$K$13,'Avoided Costs'!$K$12)+1,""),4)</f>
        <v>1.0720000000000001</v>
      </c>
      <c r="CR319" s="199">
        <f>ROUND(IFERROR(IF(LEFT($A319,1)="C",'Avoided Costs'!$L$13,'Avoided Costs'!$L$12)+1,""),4)</f>
        <v>1.04</v>
      </c>
      <c r="CS319" s="199">
        <f>ROUND(IFERROR(IF(LEFT($A319,1)="C",'Avoided Costs'!$M$13,'Avoided Costs'!$M$12)+1,""),4)</f>
        <v>1.0720000000000001</v>
      </c>
      <c r="CT319" s="199">
        <f>ROUND(IFERROR(IF(LEFT($A319,1)="C",'Avoided Costs'!$N$13,'Avoided Costs'!$N$12)+1,""),4)</f>
        <v>1.04</v>
      </c>
      <c r="CU319" s="199">
        <f>ROUND(IFERROR(IF(LEFT($A319,1)="C",'Avoided Costs'!$O$13,'Avoided Costs'!$O$12)+1,""),4)</f>
        <v>1.1120000000000001</v>
      </c>
      <c r="CV319" s="199">
        <f>ROUND(IFERROR(IF(LEFT($A319,1)="C",'Avoided Costs'!$P$13,'Avoided Costs'!$P$12)+1,""),4)</f>
        <v>1.095</v>
      </c>
      <c r="CW319" s="199">
        <f>ROUND(IFERROR(IF(LEFT($A319,1)="C",'Avoided Costs'!$Q$13,'Avoided Costs'!$Q$12)+1,""),4)</f>
        <v>1.1120000000000001</v>
      </c>
      <c r="CX319" s="200">
        <f>ROUND(IFERROR(IF(LEFT($A319,1)="C",'Avoided Costs'!$R$13,'Avoided Costs'!$R$12)+1,""),4)</f>
        <v>1.1120000000000001</v>
      </c>
    </row>
    <row r="320" spans="1:102" ht="12.75" customHeight="1">
      <c r="A320" s="91" t="str">
        <f>IF('Inputs Yr 2'!$B320=0,"",'Inputs Yr 2'!A320)</f>
        <v>C - Commercial &amp; Industrial</v>
      </c>
      <c r="B320" s="91" t="str">
        <f>IF('Inputs Yr 2'!$B320=0,"",'Inputs Yr 2'!B320)</f>
        <v>C2 - C&amp;I Retrofit</v>
      </c>
      <c r="C320" s="91" t="str">
        <f>IF('Inputs Yr 2'!$B320=0,"",'Inputs Yr 2'!C320)</f>
        <v>C2b - C&amp;I Small Business</v>
      </c>
      <c r="D320" s="91" t="str">
        <f>IF('Inputs Yr 2'!$B320=0,"",'Inputs Yr 2'!E320)</f>
        <v>Hot Water Pipe Insulation, 2"</v>
      </c>
      <c r="E320" s="93" t="str">
        <f>IF('Inputs Yr 2'!$B320=0,"",'Inputs Yr 2'!F320)</f>
        <v>G16C2b25</v>
      </c>
      <c r="F320" s="93" t="str">
        <f>IF('Inputs Yr 2'!$B320=0,"",'Inputs Yr 2'!G320)</f>
        <v>Hot Water</v>
      </c>
      <c r="G320" s="95">
        <f>IF('Inputs Yr 2'!$H320&lt;&gt;0,('Inputs Yr 2'!H320),"")</f>
        <v>4</v>
      </c>
      <c r="H320" s="94">
        <f>IFERROR('Inputs Yr 2'!I320,"")</f>
        <v>15</v>
      </c>
      <c r="I320" s="298">
        <f>IFERROR('Inputs Yr 2'!J320*'Inputs Yr 2'!P320*G320,"")</f>
        <v>18.950400000000002</v>
      </c>
      <c r="J320" s="298">
        <f>IFERROR('Inputs Yr 2'!K320*G320,"")</f>
        <v>22.4</v>
      </c>
      <c r="K320" s="298">
        <f t="shared" si="143"/>
        <v>-3.4495999999999967</v>
      </c>
      <c r="L320" s="194">
        <f>IFERROR(('Inputs Yr 2'!W320*G320)/1000,"")</f>
        <v>0</v>
      </c>
      <c r="M320" s="194">
        <f>IFERROR(L320*('Inputs Yr 2'!$Q320*'Inputs Yr 2'!$V320*'Inputs Yr 2'!$R320),"")</f>
        <v>0</v>
      </c>
      <c r="N320" s="194">
        <f t="shared" si="144"/>
        <v>0</v>
      </c>
      <c r="O320" s="194">
        <f>IFERROR(M320*'Inputs Yr 2'!P320,"")</f>
        <v>0</v>
      </c>
      <c r="P320" s="194">
        <f t="shared" si="145"/>
        <v>0</v>
      </c>
      <c r="Q320" s="194">
        <f>IFERROR($P320*'Inputs Yr 2'!AA320,"")</f>
        <v>0</v>
      </c>
      <c r="R320" s="194">
        <f>IFERROR($P320*'Inputs Yr 2'!AB320,"")</f>
        <v>0</v>
      </c>
      <c r="S320" s="194">
        <f>IFERROR($P320*'Inputs Yr 2'!AC320,"")</f>
        <v>0</v>
      </c>
      <c r="T320" s="194">
        <f>IFERROR($P320*'Inputs Yr 2'!AD320,"")</f>
        <v>0</v>
      </c>
      <c r="U320" s="194">
        <f>IFERROR(G320*'Inputs Yr 2'!$AE320*'Inputs Yr 2'!$P320*'Inputs Yr 2'!$Q320,"")</f>
        <v>0</v>
      </c>
      <c r="V320" s="194">
        <f>IFERROR($G320*'Inputs Yr 2'!$AE320*'Inputs Yr 2'!$AG320*'Inputs Yr 2'!Q320*'Inputs Yr 2'!$S320,"")</f>
        <v>0</v>
      </c>
      <c r="W320" s="194">
        <f>IFERROR($G320*'Inputs Yr 2'!$AE320*'Inputs Yr 2'!$AG320*'Inputs Yr 2'!P320*'Inputs Yr 2'!Q320*'Inputs Yr 2'!$S320,"")</f>
        <v>0</v>
      </c>
      <c r="X320" s="194">
        <f>IFERROR($G320*'Inputs Yr 2'!$AE320*'Inputs Yr 2'!$AF320*'Inputs Yr 2'!Q320*'Inputs Yr 2'!$T320,"")</f>
        <v>0</v>
      </c>
      <c r="Y320" s="194">
        <f>IFERROR($G320*'Inputs Yr 2'!$AE320*'Inputs Yr 2'!$AF320*'Inputs Yr 2'!P320*'Inputs Yr 2'!Q320*'Inputs Yr 2'!$T320,"")</f>
        <v>0</v>
      </c>
      <c r="Z320" s="257">
        <f>IFERROR($G320*'Inputs Yr 2'!$Q320*'Inputs Yr 2'!$U320*(IF(IFERROR(SEARCH("NG", 'Inputs Yr 2'!$AJ320),0),'Inputs Yr 2'!$AK320,0)+IF(IFERROR(SEARCH("NG", 'Inputs Yr 2'!$AL320),0),'Inputs Yr 2'!$AM320,0)+IF(IFERROR(SEARCH("NG", 'Inputs Yr 2'!$AN320),0),'Inputs Yr 2'!$AO320,0)),0)</f>
        <v>1.44</v>
      </c>
      <c r="AA320" s="257">
        <f t="shared" si="146"/>
        <v>21.599999999999998</v>
      </c>
      <c r="AB320" s="257">
        <f>IFERROR(Z320*'Inputs Yr 2'!$P320,0)</f>
        <v>1.21824</v>
      </c>
      <c r="AC320" s="257">
        <f t="shared" si="147"/>
        <v>18.273599999999998</v>
      </c>
      <c r="AD320" s="257">
        <f>IFERROR($G320*'Inputs Yr 2'!$Q320*'Inputs Yr 2'!$U320*(IF(IFERROR(SEARCH("Oil", 'Inputs Yr 2'!$AJ320), 0),'Inputs Yr 2'!$AK320,0)+IF(IFERROR(SEARCH("Oil", 'Inputs Yr 2'!$AL320), 0),'Inputs Yr 2'!$AM320,0)+IF(IFERROR(SEARCH("Oil", 'Inputs Yr 2'!$AN320), 0),'Inputs Yr 2'!$AO320,0)),0)</f>
        <v>0</v>
      </c>
      <c r="AE320" s="257">
        <f t="shared" si="148"/>
        <v>0</v>
      </c>
      <c r="AF320" s="257">
        <f>IFERROR(AD320*'Inputs Yr 2'!$P320,0)</f>
        <v>0</v>
      </c>
      <c r="AG320" s="257">
        <f t="shared" si="149"/>
        <v>0</v>
      </c>
      <c r="AH320" s="257">
        <f>IFERROR($G320*'Inputs Yr 2'!$Q320*'Inputs Yr 2'!$U320*(IF('Inputs Yr 2'!$AJ320=CD$4,'Inputs Yr 2'!$AK320,IF('Inputs Yr 2'!$AL320=CD$4,'Inputs Yr 2'!$AM320,IF('Inputs Yr 2'!$AN320=CD$4,'Inputs Yr 2'!$AO320,0)))),0)</f>
        <v>0</v>
      </c>
      <c r="AI320" s="257">
        <f t="shared" si="150"/>
        <v>0</v>
      </c>
      <c r="AJ320" s="257">
        <f>IFERROR(AH320*'Inputs Yr 2'!$P320,0)</f>
        <v>0</v>
      </c>
      <c r="AK320" s="257">
        <f t="shared" si="151"/>
        <v>0</v>
      </c>
      <c r="AL320" s="258">
        <f>IFERROR($G320*'Inputs Yr 2'!$P320*'Inputs Yr 2'!$Q320*'Inputs Yr 2'!AP320,0)</f>
        <v>0</v>
      </c>
      <c r="AM320" s="260">
        <f>IFERROR($G320*'Inputs Yr 2'!$P320*'Inputs Yr 2'!$Q320*'Inputs Yr 2'!AQ320,0)</f>
        <v>0</v>
      </c>
      <c r="AN320" s="258">
        <f>IFERROR($G320*'Inputs Yr 2'!$P320*'Inputs Yr 2'!$Q320*'Inputs Yr 2'!AR320,0)</f>
        <v>0</v>
      </c>
      <c r="AO320" s="257">
        <f t="shared" si="152"/>
        <v>0</v>
      </c>
      <c r="AP320" s="195">
        <f>IFERROR($CQ320*(INDEX(avoidedcosttbl2,$H320,AP$2)+(($H320-ROUNDDOWN($H320,0))*(INDEX(avoidedcosttbl2,ROUNDUP($H320,0),AP$2)-(INDEX(avoidedcosttbl2,ROUNDDOWN($H320,0),AP$2)))))*$O320*1000*'Inputs Yr 2'!AA320,"")</f>
        <v>0</v>
      </c>
      <c r="AQ320" s="195">
        <f>IFERROR($CR320*(INDEX(avoidedcosttbl2,$H320,AQ$2)+(($H320-ROUNDDOWN($H320,0))*(INDEX(avoidedcosttbl2,ROUNDUP($H320,0),AQ$2)-(INDEX(avoidedcosttbl2,ROUNDDOWN($H320,0),AQ$2)))))*$O320*1000*'Inputs Yr 2'!AB320,"")</f>
        <v>0</v>
      </c>
      <c r="AR320" s="195">
        <f>IFERROR($CS320*(INDEX(avoidedcosttbl2,$H320,AR$2)+(($H320-ROUNDDOWN($H320,0))*(INDEX(avoidedcosttbl2,ROUNDUP($H320,0),AR$2)-(INDEX(avoidedcosttbl2,ROUNDDOWN($H320,0),AR$2)))))*$O320*1000*'Inputs Yr 2'!AC320,"")</f>
        <v>0</v>
      </c>
      <c r="AS320" s="195">
        <f>IFERROR($CT320*(INDEX(avoidedcosttbl2,$H320,AS$2)+(($H320-ROUNDDOWN($H320,0))*(INDEX(avoidedcosttbl2,ROUNDUP($H320,0),AS$2)-(INDEX(avoidedcosttbl2,ROUNDDOWN($H320,0),AS$2)))))*$O320*1000*'Inputs Yr 2'!AD320,"")</f>
        <v>0</v>
      </c>
      <c r="AT320" s="196">
        <f t="shared" si="153"/>
        <v>0</v>
      </c>
      <c r="AU320" s="197">
        <f>IFERROR($CQ320*((INDEX(avoidedcosttbl2,$H320,AU$2))+(($H320-ROUNDDOWN($H320,0))*((INDEX(avoidedcosttbl2,ROUNDUP($H320,0),AU$2))-(INDEX(avoidedcosttbl2,ROUNDDOWN($H320,0),AU$2)))))*$O320*1000*'Inputs Yr 2'!AA320,"")</f>
        <v>0</v>
      </c>
      <c r="AV320" s="197">
        <f>IFERROR($CR320*((INDEX(avoidedcosttbl2,$H320,AV$2))+(($H320-ROUNDDOWN($H320,0))*((INDEX(avoidedcosttbl2,ROUNDUP($H320,0),AV$2))-(INDEX(avoidedcosttbl2,ROUNDDOWN($H320,0),AV$2)))))*$O320*1000*'Inputs Yr 2'!AB320,"")</f>
        <v>0</v>
      </c>
      <c r="AW320" s="197">
        <f>IFERROR($CS320*((INDEX(avoidedcosttbl2,$H320,AW$2))+(($H320-ROUNDDOWN($H320,0))*((INDEX(avoidedcosttbl2,ROUNDUP($H320,0),AW$2))-(INDEX(avoidedcosttbl2,ROUNDDOWN($H320,0),AW$2)))))*$O320*1000*'Inputs Yr 2'!AC320,"")</f>
        <v>0</v>
      </c>
      <c r="AX320" s="197">
        <f>IFERROR($CT320*((INDEX(avoidedcosttbl2,$H320,AX$2))+(($H320-ROUNDDOWN($H320,0))*((INDEX(avoidedcosttbl2,ROUNDUP($H320,0),AX$2))-(INDEX(avoidedcosttbl2,ROUNDDOWN($H320,0),AX$2)))))*$O320*1000*'Inputs Yr 2'!AD320,"")</f>
        <v>0</v>
      </c>
      <c r="AY320" s="197">
        <f>IFERROR(((INDEX(avoidedcosttbl2,$H320,AY$2))+(($H320-ROUNDDOWN($H320,0))*((INDEX(avoidedcosttbl2,ROUNDUP($H320,0),AY$2))-(INDEX(avoidedcosttbl2,ROUNDDOWN($H320,0),AY$2)))))*$O320*1000*('Inputs Yr 2'!AC320+'Inputs Yr 2'!AD320),"")</f>
        <v>0</v>
      </c>
      <c r="AZ320" s="197">
        <f>IFERROR(((INDEX(avoidedcosttbl2,$H320,AZ$2))+(($H320-ROUNDDOWN($H320,0))*((INDEX(avoidedcosttbl2,ROUNDUP($H320,0),AZ$2))-(INDEX(avoidedcosttbl2,ROUNDDOWN($H320,0),AZ$2)))))*$O320*1000*('Inputs Yr 2'!AA320+'Inputs Yr 2'!AB320),"")</f>
        <v>0</v>
      </c>
      <c r="BA320" s="198">
        <f t="shared" si="154"/>
        <v>0</v>
      </c>
      <c r="BB320" s="198">
        <f t="shared" si="155"/>
        <v>0</v>
      </c>
      <c r="BC320" s="195">
        <f t="shared" si="137"/>
        <v>0</v>
      </c>
      <c r="BD320" s="195">
        <f t="shared" si="138"/>
        <v>0</v>
      </c>
      <c r="BE320" s="195">
        <f t="shared" si="139"/>
        <v>0</v>
      </c>
      <c r="BF320" s="195">
        <f t="shared" si="140"/>
        <v>0</v>
      </c>
      <c r="BG320" s="195">
        <f t="shared" si="141"/>
        <v>0</v>
      </c>
      <c r="BH320" s="196">
        <f t="shared" si="156"/>
        <v>0</v>
      </c>
      <c r="BI320" s="196">
        <f t="shared" si="157"/>
        <v>0</v>
      </c>
      <c r="BJ320" s="195">
        <f>IFERROR($G320*(IF('Inputs Yr 2'!$AJ320=BJ$4,'Inputs Yr 2'!$AK320,IF('Inputs Yr 2'!$AL320=BJ$4,'Inputs Yr 2'!$AM320,IF('Inputs Yr 2'!$AN320=BJ$4,'Inputs Yr 2'!$AO320,0))))*(INDEX(avoidedcosttbl2,$H320,BJ$2)+(($H320-ROUNDDOWN($H320,0))*(INDEX(avoidedcosttbl2,ROUNDUP($H320,0),BJ$2)-(INDEX(avoidedcosttbl2,ROUNDDOWN($H320,0),BJ$2)))))*'Inputs Yr 2'!P320*'Inputs Yr 2'!Q320*'Inputs Yr 2'!U320,"")</f>
        <v>0</v>
      </c>
      <c r="BK320" s="195">
        <f>IFERROR($G320*(IF('Inputs Yr 2'!$AJ320=BK$4,'Inputs Yr 2'!$AK320,IF('Inputs Yr 2'!$AL320=BK$4,'Inputs Yr 2'!$AM320,IF('Inputs Yr 2'!$AN320=BK$4,'Inputs Yr 2'!$AO320,0))))*(INDEX(avoidedcosttbl2,$H320,BK$2)+(($H320-ROUNDDOWN($H320,0))*(INDEX(avoidedcosttbl2,ROUNDUP($H320,0),BK$2)-(INDEX(avoidedcosttbl2,ROUNDDOWN($H320,0),BK$2)))))*'Inputs Yr 2'!P320*'Inputs Yr 2'!Q320*'Inputs Yr 2'!U320,"")</f>
        <v>0</v>
      </c>
      <c r="BL320" s="195">
        <f>IFERROR($G320*(IF('Inputs Yr 2'!$AJ320=BL$4,'Inputs Yr 2'!$AK320,IF('Inputs Yr 2'!$AL320=BL$4,'Inputs Yr 2'!$AM320,IF('Inputs Yr 2'!$AN320=BL$4,'Inputs Yr 2'!$AO320,0))))*(INDEX(avoidedcosttbl2,$H320,BL$2)+(($H320-ROUNDDOWN($H320,0))*(INDEX(avoidedcosttbl2,ROUNDUP($H320,0),BL$2)-(INDEX(avoidedcosttbl2,ROUNDDOWN($H320,0),BL$2)))))*'Inputs Yr 2'!P320*'Inputs Yr 2'!Q320*'Inputs Yr 2'!U320,"")</f>
        <v>0</v>
      </c>
      <c r="BM320" s="195">
        <f>IFERROR($G320*(IF('Inputs Yr 2'!$AJ320=BM$4,'Inputs Yr 2'!$AK320,IF('Inputs Yr 2'!$AL320=BM$4,'Inputs Yr 2'!$AM320,IF('Inputs Yr 2'!$AN320=BM$4,'Inputs Yr 2'!$AO320,0))))*(INDEX(avoidedcosttbl2,$H320,BM$2)+(($H320-ROUNDDOWN($H320,0))*(INDEX(avoidedcosttbl2,ROUNDUP($H320,0),BM$2)-(INDEX(avoidedcosttbl2,ROUNDDOWN($H320,0),BM$2)))))*'Inputs Yr 2'!P320*'Inputs Yr 2'!Q320*'Inputs Yr 2'!U320,"")</f>
        <v>0</v>
      </c>
      <c r="BN320" s="195">
        <f>IFERROR($G320*(IF('Inputs Yr 2'!$AJ320=BN$4,'Inputs Yr 2'!$AK320,IF('Inputs Yr 2'!$AL320=BN$4,'Inputs Yr 2'!$AM320,IF('Inputs Yr 2'!$AN320=BN$4,'Inputs Yr 2'!$AO320,0))))*(INDEX(avoidedcosttbl2,$H320,BN$2)+(($H320-ROUNDDOWN($H320,0))*(INDEX(avoidedcosttbl2,ROUNDUP($H320,0),BN$2)-(INDEX(avoidedcosttbl2,ROUNDDOWN($H320,0),BN$2)))))*'Inputs Yr 2'!P320*'Inputs Yr 2'!Q320*'Inputs Yr 2'!U320,"")</f>
        <v>126.89569533343324</v>
      </c>
      <c r="BO320" s="195">
        <f>IFERROR($G320*(IF('Inputs Yr 2'!$AJ320=BO$4,'Inputs Yr 2'!$AK320,IF('Inputs Yr 2'!$AL320=BO$4,'Inputs Yr 2'!$AM320,IF('Inputs Yr 2'!$AN320=BO$4,'Inputs Yr 2'!$AO320,0))))*(INDEX(avoidedcosttbl2,$H320,BO$2)+(($H320-ROUNDDOWN($H320,0))*(INDEX(avoidedcosttbl2,ROUNDUP($H320,0),BO$2)-(INDEX(avoidedcosttbl2,ROUNDDOWN($H320,0),BO$2)))))*'Inputs Yr 2'!P320*'Inputs Yr 2'!Q320*'Inputs Yr 2'!U320,"")</f>
        <v>0</v>
      </c>
      <c r="BP320" s="195">
        <f>IFERROR($G320*(IF('Inputs Yr 2'!$AJ320=BP$4,'Inputs Yr 2'!$AK320,IF('Inputs Yr 2'!$AL320=BP$4,'Inputs Yr 2'!$AM320,IF('Inputs Yr 2'!$AN320=BP$4,'Inputs Yr 2'!$AO320,0))))*(INDEX(avoidedcosttbl2,$H320,BP$2)+(($H320-ROUNDDOWN($H320,0))*(INDEX(avoidedcosttbl2,ROUNDUP($H320,0),BP$2)-(INDEX(avoidedcosttbl2,ROUNDDOWN($H320,0),BP$2)))))*'Inputs Yr 2'!P320*'Inputs Yr 2'!Q320*'Inputs Yr 2'!U320,"")</f>
        <v>0</v>
      </c>
      <c r="BQ320" s="230">
        <f t="shared" si="158"/>
        <v>126.89569533343324</v>
      </c>
      <c r="BR320" s="197">
        <f t="shared" si="142"/>
        <v>2.4768385521154119</v>
      </c>
      <c r="BS320" s="197">
        <f>IFERROR(($G320*IF('Inputs Yr 2'!$AJ320=BM$4,'Inputs Yr 2'!$AK320,IF('Inputs Yr 2'!$AL320=BM$4,'Inputs Yr 2'!$AM320,IF('Inputs Yr 2'!$AN320=BM$4,'Inputs Yr 2'!$AO320,0))))*(INDEX(avoidedcosttbl2,$H320,BS$2)+(($H320-ROUNDDOWN($H320,0))*(INDEX(avoidedcosttbl2,ROUNDUP($H320,0),BS$2)-(INDEX(avoidedcosttbl2,ROUNDDOWN($H320,0),BS$2)))))*'Inputs Yr 2'!P320*'Inputs Yr 2'!Q320*'Inputs Yr 2'!U320,"")</f>
        <v>0</v>
      </c>
      <c r="BT320" s="197">
        <f>IFERROR(($G320*IF('Inputs Yr 2'!$AJ320=BK$4,'Inputs Yr 2'!$AK320,IF('Inputs Yr 2'!$AL320=BK$4,'Inputs Yr 2'!$AM320,IF('Inputs Yr 2'!$AN320=BK$4,'Inputs Yr 2'!$AO320,0))))*(INDEX(avoidedcosttbl2,$H320,BT$2)+(($H320-ROUNDDOWN($H320,0))*(INDEX(avoidedcosttbl2,ROUNDUP($H320,0),BT$2)-(INDEX(avoidedcosttbl2,ROUNDDOWN($H320,0),BT$2)))))*'Inputs Yr 2'!P320*'Inputs Yr 2'!Q320*'Inputs Yr 2'!U320,"")</f>
        <v>0</v>
      </c>
      <c r="BU320" s="197">
        <f>IFERROR(($G320*IF('Inputs Yr 2'!$AJ320=BL$4,'Inputs Yr 2'!$AK320,IF('Inputs Yr 2'!$AL320=BL$4,'Inputs Yr 2'!$AM320,IF('Inputs Yr 2'!$AN320=BL$4,'Inputs Yr 2'!$AO320,0))))*(INDEX(avoidedcosttbl2,$H320,BU$2)+(($H320-ROUNDDOWN($H320,0))*(INDEX(avoidedcosttbl2,ROUNDUP($H320,0),BU$2)-(INDEX(avoidedcosttbl2,ROUNDDOWN($H320,0),BU$2)))))*'Inputs Yr 2'!P320*'Inputs Yr 2'!Q320*'Inputs Yr 2'!U320,"")</f>
        <v>0</v>
      </c>
      <c r="BV320" s="775">
        <f>IFERROR(($G320*IF('Inputs Yr 2'!$AJ320=BJ$4,'Inputs Yr 2'!$AK320,IF('Inputs Yr 2'!$AL320=BJ$4,'Inputs Yr 2'!$AM320,IF('Inputs Yr 2'!$AN320=BJ$4,'Inputs Yr 2'!$AO320,0))))*(INDEX(avoidedcosttbl2,$H320,BV$2)+(($H320-ROUNDDOWN($H320,0))*(INDEX(avoidedcosttbl2,ROUNDUP($H320,0),BV$2)-(INDEX(avoidedcosttbl2,ROUNDDOWN($H320,0),BV$2)))))*'Inputs Yr 2'!P320*'Inputs Yr 2'!Q320*'Inputs Yr 2'!U320,"")</f>
        <v>0</v>
      </c>
      <c r="BW320" s="197">
        <f>IFERROR(($G320*IF('Inputs Yr 2'!$AJ320=BN$4,'Inputs Yr 2'!$AK320,IF('Inputs Yr 2'!$AL320=BN$4,'Inputs Yr 2'!$AM320,IF('Inputs Yr 2'!$AN320=BN$4,'Inputs Yr 2'!$AO320,0))))*(INDEX(avoidedcosttbl2,$H320,BW$2)+(($H320-ROUNDDOWN($H320,0))*(INDEX(avoidedcosttbl2,ROUNDUP($H320,0),BW$2)-(INDEX(avoidedcosttbl2,ROUNDDOWN($H320,0),BW$2)))))*'Inputs Yr 2'!P320*'Inputs Yr 2'!Q320*'Inputs Yr 2'!U320,"")</f>
        <v>11.282837708377425</v>
      </c>
      <c r="BX320" s="197">
        <f>IFERROR(($G320*IF('Inputs Yr 2'!$AJ320=BO$4,'Inputs Yr 2'!$AK320,IF('Inputs Yr 2'!$AL320=BO$4,'Inputs Yr 2'!$AM320,IF('Inputs Yr 2'!$AN320=BO$4,'Inputs Yr 2'!$AO320,0))))*(INDEX(avoidedcosttbl2,$H320,BX$2)+(($H320-ROUNDDOWN($H320,0))*(INDEX(avoidedcosttbl2,ROUNDUP($H320,0),BX$2)-(INDEX(avoidedcosttbl2,ROUNDDOWN($H320,0),BX$2)))))*'Inputs Yr 2'!P320*'Inputs Yr 2'!Q320*'Inputs Yr 2'!U320,"")</f>
        <v>0</v>
      </c>
      <c r="BY320" s="197">
        <f>IFERROR(($G320*IF('Inputs Yr 2'!$AJ320=BP$4,'Inputs Yr 2'!$AK320,IF('Inputs Yr 2'!$AL320=BP$4,'Inputs Yr 2'!$AM320,IF('Inputs Yr 2'!$AN320=BP$4,'Inputs Yr 2'!$AO320,0))))*(INDEX(avoidedcosttbl2,$H320,BY$2)+(($H320-ROUNDDOWN($H320,0))*(INDEX(avoidedcosttbl2,ROUNDUP($H320,0),BY$2)-(INDEX(avoidedcosttbl2,ROUNDDOWN($H320,0),BY$2)))))*'Inputs Yr 2'!P320*'Inputs Yr 2'!Q320*'Inputs Yr 2'!U320,"")</f>
        <v>0</v>
      </c>
      <c r="BZ320" s="193">
        <f t="shared" si="159"/>
        <v>13.759676260492837</v>
      </c>
      <c r="CA320" s="193">
        <f t="shared" si="160"/>
        <v>140.65537159392608</v>
      </c>
      <c r="CB320" s="195">
        <f>IFERROR(G320*(IF('Inputs Yr 2'!$AJ320=CB$4,'Inputs Yr 2'!$AK320,IF('Inputs Yr 2'!$AL320=CB$4,'Inputs Yr 2'!$AM320,IF('Inputs Yr 2'!$AN320=CB$4,'Inputs Yr 2'!$AO320,0))))*(INDEX(avoidedcosttbl2,$H320,CB$2)+(($H320-ROUNDDOWN($H320,0))*(INDEX(avoidedcosttbl2,ROUNDUP($H320,0),CB$2)-(INDEX(avoidedcosttbl2,ROUNDDOWN($H320,0),CB$2)))))*'Inputs Yr 2'!P320*'Inputs Yr 2'!Q320*'Inputs Yr 2'!U320,"")</f>
        <v>0</v>
      </c>
      <c r="CC320" s="195">
        <f>IFERROR(H320*(IF('Inputs Yr 2'!$AJ320=CC$4,'Inputs Yr 2'!$AK320,IF('Inputs Yr 2'!$AL320=CC$4,'Inputs Yr 2'!$AM320,IF('Inputs Yr 2'!$AN320=CC$4,'Inputs Yr 2'!$AO320,0))))*(INDEX(avoidedcosttbl2,$H320,CC$2)+(($H320-ROUNDDOWN($H320,0))*(INDEX(avoidedcosttbl2,ROUNDUP($H320,0),CC$2)-(INDEX(avoidedcosttbl2,ROUNDDOWN($H320,0),CC$2)))))*'Inputs Yr 2'!Q320*'Inputs Yr 2'!R320*'Inputs Yr 2'!V320,"")</f>
        <v>0</v>
      </c>
      <c r="CD320" s="195">
        <f>IFERROR(I320*(IF('Inputs Yr 2'!$AJ320=CD$4,'Inputs Yr 2'!$AK320,IF('Inputs Yr 2'!$AL320=CD$4,'Inputs Yr 2'!$AM320,IF('Inputs Yr 2'!$AN320=CD$4,'Inputs Yr 2'!$AO320,0))))*(INDEX(avoidedcosttbl2,$H320,CD$2)+(($H320-ROUNDDOWN($H320,0))*(INDEX(avoidedcosttbl2,ROUNDUP($H320,0),CD$2)-(INDEX(avoidedcosttbl2,ROUNDDOWN($H320,0),CD$2)))))*'Inputs Yr 2'!R320*'Inputs Yr 2'!S320*'Inputs Yr 2'!W320,"")</f>
        <v>0</v>
      </c>
      <c r="CE320" s="213">
        <f t="shared" si="161"/>
        <v>0</v>
      </c>
      <c r="CF320" s="213">
        <f t="shared" si="162"/>
        <v>0</v>
      </c>
      <c r="CG320" s="213">
        <f t="shared" si="163"/>
        <v>0</v>
      </c>
      <c r="CH320" s="698">
        <f t="shared" si="164"/>
        <v>140.65537159392608</v>
      </c>
      <c r="CI320" s="79">
        <f>IFERROR(($G320*'Inputs Yr 2'!$P320*'Inputs Yr 2'!$Q320*(((INDEX(avoidedcosttbl2,$H320,CI$2)+(($H320-ROUNDDOWN($H320,0))*(INDEX(avoidedcosttbl2,ROUNDUP($H320,0),CI$2)-INDEX(avoidedcosttbl2,ROUNDDOWN($H320,0),CI$2))))*'Inputs Yr 2'!AS320))),"")</f>
        <v>0</v>
      </c>
      <c r="CJ320" s="504">
        <f>IFERROR($G320*'Inputs Yr 2'!AT320*'Inputs Yr 2'!$P320*'Inputs Yr 2'!$Q320/((1+realdiscrt1)^-0.5),"")</f>
        <v>0</v>
      </c>
      <c r="CK320" s="79">
        <f>IFERROR((O320*1000*(((INDEX(avoidedcosttbl2,$H320,CK$2)+(($H320-ROUNDDOWN($H320,0))*(INDEX(avoidedcosttbl2,ROUNDUP($H320,0),CK$2)-INDEX(avoidedcosttbl2,ROUNDDOWN($H320,0),CK$2))))*'Inputs Yr 2'!AU320))),"")</f>
        <v>0</v>
      </c>
      <c r="CL320" s="504">
        <f>IFERROR(O320*1000*'Inputs Yr 2'!AV320/((1+realdiscrt1)^-0.5),"")</f>
        <v>0</v>
      </c>
      <c r="CM320" s="79">
        <f>IFERROR((AB320*'Inputs Yr 2'!AW320*(((INDEX(avoidedcosttbl2,$H320,CM$2)+(($H320-ROUNDDOWN($H320,0))*(INDEX(avoidedcosttbl2,ROUNDUP($H320,0),CM$2)-INDEX(avoidedcosttbl2,ROUNDDOWN($H320,0),CM$2)))))))*10,"")</f>
        <v>0</v>
      </c>
      <c r="CN320" s="504">
        <f>IFERROR(10*AB320*'Inputs Yr 2'!AX320/((1+realdiscrt1)^-0.5),"")</f>
        <v>0</v>
      </c>
      <c r="CO320" s="505">
        <f t="shared" si="165"/>
        <v>0</v>
      </c>
      <c r="CP320" s="230">
        <f t="shared" si="166"/>
        <v>140.65537159392608</v>
      </c>
      <c r="CQ320" s="199">
        <f>ROUND(IFERROR(IF(LEFT($A320,1)="C",'Avoided Costs'!$K$13,'Avoided Costs'!$K$12)+1,""),4)</f>
        <v>1.0720000000000001</v>
      </c>
      <c r="CR320" s="199">
        <f>ROUND(IFERROR(IF(LEFT($A320,1)="C",'Avoided Costs'!$L$13,'Avoided Costs'!$L$12)+1,""),4)</f>
        <v>1.04</v>
      </c>
      <c r="CS320" s="199">
        <f>ROUND(IFERROR(IF(LEFT($A320,1)="C",'Avoided Costs'!$M$13,'Avoided Costs'!$M$12)+1,""),4)</f>
        <v>1.0720000000000001</v>
      </c>
      <c r="CT320" s="199">
        <f>ROUND(IFERROR(IF(LEFT($A320,1)="C",'Avoided Costs'!$N$13,'Avoided Costs'!$N$12)+1,""),4)</f>
        <v>1.04</v>
      </c>
      <c r="CU320" s="199">
        <f>ROUND(IFERROR(IF(LEFT($A320,1)="C",'Avoided Costs'!$O$13,'Avoided Costs'!$O$12)+1,""),4)</f>
        <v>1.1120000000000001</v>
      </c>
      <c r="CV320" s="199">
        <f>ROUND(IFERROR(IF(LEFT($A320,1)="C",'Avoided Costs'!$P$13,'Avoided Costs'!$P$12)+1,""),4)</f>
        <v>1.095</v>
      </c>
      <c r="CW320" s="199">
        <f>ROUND(IFERROR(IF(LEFT($A320,1)="C",'Avoided Costs'!$Q$13,'Avoided Costs'!$Q$12)+1,""),4)</f>
        <v>1.1120000000000001</v>
      </c>
      <c r="CX320" s="200">
        <f>ROUND(IFERROR(IF(LEFT($A320,1)="C",'Avoided Costs'!$R$13,'Avoided Costs'!$R$12)+1,""),4)</f>
        <v>1.1120000000000001</v>
      </c>
    </row>
    <row r="321" spans="1:102" ht="12.75" customHeight="1">
      <c r="A321" s="91" t="str">
        <f>IF('Inputs Yr 2'!$B321=0,"",'Inputs Yr 2'!A321)</f>
        <v>C - Commercial &amp; Industrial</v>
      </c>
      <c r="B321" s="91" t="str">
        <f>IF('Inputs Yr 2'!$B321=0,"",'Inputs Yr 2'!B321)</f>
        <v>C2 - C&amp;I Retrofit</v>
      </c>
      <c r="C321" s="91" t="str">
        <f>IF('Inputs Yr 2'!$B321=0,"",'Inputs Yr 2'!C321)</f>
        <v>C2b - C&amp;I Small Business</v>
      </c>
      <c r="D321" s="91" t="str">
        <f>IF('Inputs Yr 2'!$B321=0,"",'Inputs Yr 2'!E321)</f>
        <v>Steam Pipe Insulation, &lt;=1.5"</v>
      </c>
      <c r="E321" s="93" t="str">
        <f>IF('Inputs Yr 2'!$B321=0,"",'Inputs Yr 2'!F321)</f>
        <v>G16C2b26</v>
      </c>
      <c r="F321" s="93" t="str">
        <f>IF('Inputs Yr 2'!$B321=0,"",'Inputs Yr 2'!G321)</f>
        <v>HVAC</v>
      </c>
      <c r="G321" s="95" t="str">
        <f>IF('Inputs Yr 2'!$H321&lt;&gt;0,('Inputs Yr 2'!H321),"")</f>
        <v/>
      </c>
      <c r="H321" s="94">
        <f>IFERROR('Inputs Yr 2'!I321,"")</f>
        <v>15</v>
      </c>
      <c r="I321" s="298" t="str">
        <f>IFERROR('Inputs Yr 2'!J321*'Inputs Yr 2'!P321*G321,"")</f>
        <v/>
      </c>
      <c r="J321" s="298" t="str">
        <f>IFERROR('Inputs Yr 2'!K321*G321,"")</f>
        <v/>
      </c>
      <c r="K321" s="298" t="str">
        <f t="shared" si="143"/>
        <v/>
      </c>
      <c r="L321" s="194" t="str">
        <f>IFERROR(('Inputs Yr 2'!W321*G321)/1000,"")</f>
        <v/>
      </c>
      <c r="M321" s="194" t="str">
        <f>IFERROR(L321*('Inputs Yr 2'!$Q321*'Inputs Yr 2'!$V321*'Inputs Yr 2'!$R321),"")</f>
        <v/>
      </c>
      <c r="N321" s="194" t="str">
        <f t="shared" si="144"/>
        <v/>
      </c>
      <c r="O321" s="194" t="str">
        <f>IFERROR(M321*'Inputs Yr 2'!P321,"")</f>
        <v/>
      </c>
      <c r="P321" s="194" t="str">
        <f t="shared" si="145"/>
        <v/>
      </c>
      <c r="Q321" s="194" t="str">
        <f>IFERROR($P321*'Inputs Yr 2'!AA321,"")</f>
        <v/>
      </c>
      <c r="R321" s="194" t="str">
        <f>IFERROR($P321*'Inputs Yr 2'!AB321,"")</f>
        <v/>
      </c>
      <c r="S321" s="194" t="str">
        <f>IFERROR($P321*'Inputs Yr 2'!AC321,"")</f>
        <v/>
      </c>
      <c r="T321" s="194" t="str">
        <f>IFERROR($P321*'Inputs Yr 2'!AD321,"")</f>
        <v/>
      </c>
      <c r="U321" s="194" t="str">
        <f>IFERROR(G321*'Inputs Yr 2'!$AE321*'Inputs Yr 2'!$P321*'Inputs Yr 2'!$Q321,"")</f>
        <v/>
      </c>
      <c r="V321" s="194" t="str">
        <f>IFERROR($G321*'Inputs Yr 2'!$AE321*'Inputs Yr 2'!$AG321*'Inputs Yr 2'!Q321*'Inputs Yr 2'!$S321,"")</f>
        <v/>
      </c>
      <c r="W321" s="194" t="str">
        <f>IFERROR($G321*'Inputs Yr 2'!$AE321*'Inputs Yr 2'!$AG321*'Inputs Yr 2'!P321*'Inputs Yr 2'!Q321*'Inputs Yr 2'!$S321,"")</f>
        <v/>
      </c>
      <c r="X321" s="194" t="str">
        <f>IFERROR($G321*'Inputs Yr 2'!$AE321*'Inputs Yr 2'!$AF321*'Inputs Yr 2'!Q321*'Inputs Yr 2'!$T321,"")</f>
        <v/>
      </c>
      <c r="Y321" s="194" t="str">
        <f>IFERROR($G321*'Inputs Yr 2'!$AE321*'Inputs Yr 2'!$AF321*'Inputs Yr 2'!P321*'Inputs Yr 2'!Q321*'Inputs Yr 2'!$T321,"")</f>
        <v/>
      </c>
      <c r="Z321" s="257">
        <f>IFERROR($G321*'Inputs Yr 2'!$Q321*'Inputs Yr 2'!$U321*(IF(IFERROR(SEARCH("NG", 'Inputs Yr 2'!$AJ321),0),'Inputs Yr 2'!$AK321,0)+IF(IFERROR(SEARCH("NG", 'Inputs Yr 2'!$AL321),0),'Inputs Yr 2'!$AM321,0)+IF(IFERROR(SEARCH("NG", 'Inputs Yr 2'!$AN321),0),'Inputs Yr 2'!$AO321,0)),0)</f>
        <v>0</v>
      </c>
      <c r="AA321" s="257">
        <f t="shared" si="146"/>
        <v>0</v>
      </c>
      <c r="AB321" s="257">
        <f>IFERROR(Z321*'Inputs Yr 2'!$P321,0)</f>
        <v>0</v>
      </c>
      <c r="AC321" s="257">
        <f t="shared" si="147"/>
        <v>0</v>
      </c>
      <c r="AD321" s="257">
        <f>IFERROR($G321*'Inputs Yr 2'!$Q321*'Inputs Yr 2'!$U321*(IF(IFERROR(SEARCH("Oil", 'Inputs Yr 2'!$AJ321), 0),'Inputs Yr 2'!$AK321,0)+IF(IFERROR(SEARCH("Oil", 'Inputs Yr 2'!$AL321), 0),'Inputs Yr 2'!$AM321,0)+IF(IFERROR(SEARCH("Oil", 'Inputs Yr 2'!$AN321), 0),'Inputs Yr 2'!$AO321,0)),0)</f>
        <v>0</v>
      </c>
      <c r="AE321" s="257">
        <f t="shared" si="148"/>
        <v>0</v>
      </c>
      <c r="AF321" s="257">
        <f>IFERROR(AD321*'Inputs Yr 2'!$P321,0)</f>
        <v>0</v>
      </c>
      <c r="AG321" s="257">
        <f t="shared" si="149"/>
        <v>0</v>
      </c>
      <c r="AH321" s="257">
        <f>IFERROR($G321*'Inputs Yr 2'!$Q321*'Inputs Yr 2'!$U321*(IF('Inputs Yr 2'!$AJ321=CD$4,'Inputs Yr 2'!$AK321,IF('Inputs Yr 2'!$AL321=CD$4,'Inputs Yr 2'!$AM321,IF('Inputs Yr 2'!$AN321=CD$4,'Inputs Yr 2'!$AO321,0)))),0)</f>
        <v>0</v>
      </c>
      <c r="AI321" s="257">
        <f t="shared" si="150"/>
        <v>0</v>
      </c>
      <c r="AJ321" s="257">
        <f>IFERROR(AH321*'Inputs Yr 2'!$P321,0)</f>
        <v>0</v>
      </c>
      <c r="AK321" s="257">
        <f t="shared" si="151"/>
        <v>0</v>
      </c>
      <c r="AL321" s="258">
        <f>IFERROR($G321*'Inputs Yr 2'!$P321*'Inputs Yr 2'!$Q321*'Inputs Yr 2'!AP321,0)</f>
        <v>0</v>
      </c>
      <c r="AM321" s="260">
        <f>IFERROR($G321*'Inputs Yr 2'!$P321*'Inputs Yr 2'!$Q321*'Inputs Yr 2'!AQ321,0)</f>
        <v>0</v>
      </c>
      <c r="AN321" s="258">
        <f>IFERROR($G321*'Inputs Yr 2'!$P321*'Inputs Yr 2'!$Q321*'Inputs Yr 2'!AR321,0)</f>
        <v>0</v>
      </c>
      <c r="AO321" s="257">
        <f t="shared" si="152"/>
        <v>0</v>
      </c>
      <c r="AP321" s="195" t="str">
        <f>IFERROR($CQ321*(INDEX(avoidedcosttbl2,$H321,AP$2)+(($H321-ROUNDDOWN($H321,0))*(INDEX(avoidedcosttbl2,ROUNDUP($H321,0),AP$2)-(INDEX(avoidedcosttbl2,ROUNDDOWN($H321,0),AP$2)))))*$O321*1000*'Inputs Yr 2'!AA321,"")</f>
        <v/>
      </c>
      <c r="AQ321" s="195" t="str">
        <f>IFERROR($CR321*(INDEX(avoidedcosttbl2,$H321,AQ$2)+(($H321-ROUNDDOWN($H321,0))*(INDEX(avoidedcosttbl2,ROUNDUP($H321,0),AQ$2)-(INDEX(avoidedcosttbl2,ROUNDDOWN($H321,0),AQ$2)))))*$O321*1000*'Inputs Yr 2'!AB321,"")</f>
        <v/>
      </c>
      <c r="AR321" s="195" t="str">
        <f>IFERROR($CS321*(INDEX(avoidedcosttbl2,$H321,AR$2)+(($H321-ROUNDDOWN($H321,0))*(INDEX(avoidedcosttbl2,ROUNDUP($H321,0),AR$2)-(INDEX(avoidedcosttbl2,ROUNDDOWN($H321,0),AR$2)))))*$O321*1000*'Inputs Yr 2'!AC321,"")</f>
        <v/>
      </c>
      <c r="AS321" s="195" t="str">
        <f>IFERROR($CT321*(INDEX(avoidedcosttbl2,$H321,AS$2)+(($H321-ROUNDDOWN($H321,0))*(INDEX(avoidedcosttbl2,ROUNDUP($H321,0),AS$2)-(INDEX(avoidedcosttbl2,ROUNDDOWN($H321,0),AS$2)))))*$O321*1000*'Inputs Yr 2'!AD321,"")</f>
        <v/>
      </c>
      <c r="AT321" s="196">
        <f t="shared" si="153"/>
        <v>0</v>
      </c>
      <c r="AU321" s="197" t="str">
        <f>IFERROR($CQ321*((INDEX(avoidedcosttbl2,$H321,AU$2))+(($H321-ROUNDDOWN($H321,0))*((INDEX(avoidedcosttbl2,ROUNDUP($H321,0),AU$2))-(INDEX(avoidedcosttbl2,ROUNDDOWN($H321,0),AU$2)))))*$O321*1000*'Inputs Yr 2'!AA321,"")</f>
        <v/>
      </c>
      <c r="AV321" s="197" t="str">
        <f>IFERROR($CR321*((INDEX(avoidedcosttbl2,$H321,AV$2))+(($H321-ROUNDDOWN($H321,0))*((INDEX(avoidedcosttbl2,ROUNDUP($H321,0),AV$2))-(INDEX(avoidedcosttbl2,ROUNDDOWN($H321,0),AV$2)))))*$O321*1000*'Inputs Yr 2'!AB321,"")</f>
        <v/>
      </c>
      <c r="AW321" s="197" t="str">
        <f>IFERROR($CS321*((INDEX(avoidedcosttbl2,$H321,AW$2))+(($H321-ROUNDDOWN($H321,0))*((INDEX(avoidedcosttbl2,ROUNDUP($H321,0),AW$2))-(INDEX(avoidedcosttbl2,ROUNDDOWN($H321,0),AW$2)))))*$O321*1000*'Inputs Yr 2'!AC321,"")</f>
        <v/>
      </c>
      <c r="AX321" s="197" t="str">
        <f>IFERROR($CT321*((INDEX(avoidedcosttbl2,$H321,AX$2))+(($H321-ROUNDDOWN($H321,0))*((INDEX(avoidedcosttbl2,ROUNDUP($H321,0),AX$2))-(INDEX(avoidedcosttbl2,ROUNDDOWN($H321,0),AX$2)))))*$O321*1000*'Inputs Yr 2'!AD321,"")</f>
        <v/>
      </c>
      <c r="AY321" s="197" t="str">
        <f>IFERROR(((INDEX(avoidedcosttbl2,$H321,AY$2))+(($H321-ROUNDDOWN($H321,0))*((INDEX(avoidedcosttbl2,ROUNDUP($H321,0),AY$2))-(INDEX(avoidedcosttbl2,ROUNDDOWN($H321,0),AY$2)))))*$O321*1000*('Inputs Yr 2'!AC321+'Inputs Yr 2'!AD321),"")</f>
        <v/>
      </c>
      <c r="AZ321" s="197" t="str">
        <f>IFERROR(((INDEX(avoidedcosttbl2,$H321,AZ$2))+(($H321-ROUNDDOWN($H321,0))*((INDEX(avoidedcosttbl2,ROUNDUP($H321,0),AZ$2))-(INDEX(avoidedcosttbl2,ROUNDDOWN($H321,0),AZ$2)))))*$O321*1000*('Inputs Yr 2'!AA321+'Inputs Yr 2'!AB321),"")</f>
        <v/>
      </c>
      <c r="BA321" s="198">
        <f t="shared" si="154"/>
        <v>0</v>
      </c>
      <c r="BB321" s="198">
        <f t="shared" si="155"/>
        <v>0</v>
      </c>
      <c r="BC321" s="195" t="str">
        <f t="shared" si="137"/>
        <v/>
      </c>
      <c r="BD321" s="195" t="str">
        <f t="shared" si="138"/>
        <v/>
      </c>
      <c r="BE321" s="195" t="str">
        <f t="shared" si="139"/>
        <v/>
      </c>
      <c r="BF321" s="195" t="str">
        <f t="shared" si="140"/>
        <v/>
      </c>
      <c r="BG321" s="195" t="str">
        <f t="shared" si="141"/>
        <v/>
      </c>
      <c r="BH321" s="196">
        <f t="shared" si="156"/>
        <v>0</v>
      </c>
      <c r="BI321" s="196">
        <f t="shared" si="157"/>
        <v>0</v>
      </c>
      <c r="BJ321" s="195" t="str">
        <f>IFERROR($G321*(IF('Inputs Yr 2'!$AJ321=BJ$4,'Inputs Yr 2'!$AK321,IF('Inputs Yr 2'!$AL321=BJ$4,'Inputs Yr 2'!$AM321,IF('Inputs Yr 2'!$AN321=BJ$4,'Inputs Yr 2'!$AO321,0))))*(INDEX(avoidedcosttbl2,$H321,BJ$2)+(($H321-ROUNDDOWN($H321,0))*(INDEX(avoidedcosttbl2,ROUNDUP($H321,0),BJ$2)-(INDEX(avoidedcosttbl2,ROUNDDOWN($H321,0),BJ$2)))))*'Inputs Yr 2'!P321*'Inputs Yr 2'!Q321*'Inputs Yr 2'!U321,"")</f>
        <v/>
      </c>
      <c r="BK321" s="195" t="str">
        <f>IFERROR($G321*(IF('Inputs Yr 2'!$AJ321=BK$4,'Inputs Yr 2'!$AK321,IF('Inputs Yr 2'!$AL321=BK$4,'Inputs Yr 2'!$AM321,IF('Inputs Yr 2'!$AN321=BK$4,'Inputs Yr 2'!$AO321,0))))*(INDEX(avoidedcosttbl2,$H321,BK$2)+(($H321-ROUNDDOWN($H321,0))*(INDEX(avoidedcosttbl2,ROUNDUP($H321,0),BK$2)-(INDEX(avoidedcosttbl2,ROUNDDOWN($H321,0),BK$2)))))*'Inputs Yr 2'!P321*'Inputs Yr 2'!Q321*'Inputs Yr 2'!U321,"")</f>
        <v/>
      </c>
      <c r="BL321" s="195" t="str">
        <f>IFERROR($G321*(IF('Inputs Yr 2'!$AJ321=BL$4,'Inputs Yr 2'!$AK321,IF('Inputs Yr 2'!$AL321=BL$4,'Inputs Yr 2'!$AM321,IF('Inputs Yr 2'!$AN321=BL$4,'Inputs Yr 2'!$AO321,0))))*(INDEX(avoidedcosttbl2,$H321,BL$2)+(($H321-ROUNDDOWN($H321,0))*(INDEX(avoidedcosttbl2,ROUNDUP($H321,0),BL$2)-(INDEX(avoidedcosttbl2,ROUNDDOWN($H321,0),BL$2)))))*'Inputs Yr 2'!P321*'Inputs Yr 2'!Q321*'Inputs Yr 2'!U321,"")</f>
        <v/>
      </c>
      <c r="BM321" s="195" t="str">
        <f>IFERROR($G321*(IF('Inputs Yr 2'!$AJ321=BM$4,'Inputs Yr 2'!$AK321,IF('Inputs Yr 2'!$AL321=BM$4,'Inputs Yr 2'!$AM321,IF('Inputs Yr 2'!$AN321=BM$4,'Inputs Yr 2'!$AO321,0))))*(INDEX(avoidedcosttbl2,$H321,BM$2)+(($H321-ROUNDDOWN($H321,0))*(INDEX(avoidedcosttbl2,ROUNDUP($H321,0),BM$2)-(INDEX(avoidedcosttbl2,ROUNDDOWN($H321,0),BM$2)))))*'Inputs Yr 2'!P321*'Inputs Yr 2'!Q321*'Inputs Yr 2'!U321,"")</f>
        <v/>
      </c>
      <c r="BN321" s="195" t="str">
        <f>IFERROR($G321*(IF('Inputs Yr 2'!$AJ321=BN$4,'Inputs Yr 2'!$AK321,IF('Inputs Yr 2'!$AL321=BN$4,'Inputs Yr 2'!$AM321,IF('Inputs Yr 2'!$AN321=BN$4,'Inputs Yr 2'!$AO321,0))))*(INDEX(avoidedcosttbl2,$H321,BN$2)+(($H321-ROUNDDOWN($H321,0))*(INDEX(avoidedcosttbl2,ROUNDUP($H321,0),BN$2)-(INDEX(avoidedcosttbl2,ROUNDDOWN($H321,0),BN$2)))))*'Inputs Yr 2'!P321*'Inputs Yr 2'!Q321*'Inputs Yr 2'!U321,"")</f>
        <v/>
      </c>
      <c r="BO321" s="195" t="str">
        <f>IFERROR($G321*(IF('Inputs Yr 2'!$AJ321=BO$4,'Inputs Yr 2'!$AK321,IF('Inputs Yr 2'!$AL321=BO$4,'Inputs Yr 2'!$AM321,IF('Inputs Yr 2'!$AN321=BO$4,'Inputs Yr 2'!$AO321,0))))*(INDEX(avoidedcosttbl2,$H321,BO$2)+(($H321-ROUNDDOWN($H321,0))*(INDEX(avoidedcosttbl2,ROUNDUP($H321,0),BO$2)-(INDEX(avoidedcosttbl2,ROUNDDOWN($H321,0),BO$2)))))*'Inputs Yr 2'!P321*'Inputs Yr 2'!Q321*'Inputs Yr 2'!U321,"")</f>
        <v/>
      </c>
      <c r="BP321" s="195" t="str">
        <f>IFERROR($G321*(IF('Inputs Yr 2'!$AJ321=BP$4,'Inputs Yr 2'!$AK321,IF('Inputs Yr 2'!$AL321=BP$4,'Inputs Yr 2'!$AM321,IF('Inputs Yr 2'!$AN321=BP$4,'Inputs Yr 2'!$AO321,0))))*(INDEX(avoidedcosttbl2,$H321,BP$2)+(($H321-ROUNDDOWN($H321,0))*(INDEX(avoidedcosttbl2,ROUNDUP($H321,0),BP$2)-(INDEX(avoidedcosttbl2,ROUNDDOWN($H321,0),BP$2)))))*'Inputs Yr 2'!P321*'Inputs Yr 2'!Q321*'Inputs Yr 2'!U321,"")</f>
        <v/>
      </c>
      <c r="BQ321" s="230">
        <f t="shared" si="158"/>
        <v>0</v>
      </c>
      <c r="BR321" s="197">
        <f t="shared" si="142"/>
        <v>0</v>
      </c>
      <c r="BS321" s="197" t="str">
        <f>IFERROR(($G321*IF('Inputs Yr 2'!$AJ321=BM$4,'Inputs Yr 2'!$AK321,IF('Inputs Yr 2'!$AL321=BM$4,'Inputs Yr 2'!$AM321,IF('Inputs Yr 2'!$AN321=BM$4,'Inputs Yr 2'!$AO321,0))))*(INDEX(avoidedcosttbl2,$H321,BS$2)+(($H321-ROUNDDOWN($H321,0))*(INDEX(avoidedcosttbl2,ROUNDUP($H321,0),BS$2)-(INDEX(avoidedcosttbl2,ROUNDDOWN($H321,0),BS$2)))))*'Inputs Yr 2'!P321*'Inputs Yr 2'!Q321*'Inputs Yr 2'!U321,"")</f>
        <v/>
      </c>
      <c r="BT321" s="197" t="str">
        <f>IFERROR(($G321*IF('Inputs Yr 2'!$AJ321=BK$4,'Inputs Yr 2'!$AK321,IF('Inputs Yr 2'!$AL321=BK$4,'Inputs Yr 2'!$AM321,IF('Inputs Yr 2'!$AN321=BK$4,'Inputs Yr 2'!$AO321,0))))*(INDEX(avoidedcosttbl2,$H321,BT$2)+(($H321-ROUNDDOWN($H321,0))*(INDEX(avoidedcosttbl2,ROUNDUP($H321,0),BT$2)-(INDEX(avoidedcosttbl2,ROUNDDOWN($H321,0),BT$2)))))*'Inputs Yr 2'!P321*'Inputs Yr 2'!Q321*'Inputs Yr 2'!U321,"")</f>
        <v/>
      </c>
      <c r="BU321" s="197" t="str">
        <f>IFERROR(($G321*IF('Inputs Yr 2'!$AJ321=BL$4,'Inputs Yr 2'!$AK321,IF('Inputs Yr 2'!$AL321=BL$4,'Inputs Yr 2'!$AM321,IF('Inputs Yr 2'!$AN321=BL$4,'Inputs Yr 2'!$AO321,0))))*(INDEX(avoidedcosttbl2,$H321,BU$2)+(($H321-ROUNDDOWN($H321,0))*(INDEX(avoidedcosttbl2,ROUNDUP($H321,0),BU$2)-(INDEX(avoidedcosttbl2,ROUNDDOWN($H321,0),BU$2)))))*'Inputs Yr 2'!P321*'Inputs Yr 2'!Q321*'Inputs Yr 2'!U321,"")</f>
        <v/>
      </c>
      <c r="BV321" s="775" t="str">
        <f>IFERROR(($G321*IF('Inputs Yr 2'!$AJ321=BJ$4,'Inputs Yr 2'!$AK321,IF('Inputs Yr 2'!$AL321=BJ$4,'Inputs Yr 2'!$AM321,IF('Inputs Yr 2'!$AN321=BJ$4,'Inputs Yr 2'!$AO321,0))))*(INDEX(avoidedcosttbl2,$H321,BV$2)+(($H321-ROUNDDOWN($H321,0))*(INDEX(avoidedcosttbl2,ROUNDUP($H321,0),BV$2)-(INDEX(avoidedcosttbl2,ROUNDDOWN($H321,0),BV$2)))))*'Inputs Yr 2'!P321*'Inputs Yr 2'!Q321*'Inputs Yr 2'!U321,"")</f>
        <v/>
      </c>
      <c r="BW321" s="197" t="str">
        <f>IFERROR(($G321*IF('Inputs Yr 2'!$AJ321=BN$4,'Inputs Yr 2'!$AK321,IF('Inputs Yr 2'!$AL321=BN$4,'Inputs Yr 2'!$AM321,IF('Inputs Yr 2'!$AN321=BN$4,'Inputs Yr 2'!$AO321,0))))*(INDEX(avoidedcosttbl2,$H321,BW$2)+(($H321-ROUNDDOWN($H321,0))*(INDEX(avoidedcosttbl2,ROUNDUP($H321,0),BW$2)-(INDEX(avoidedcosttbl2,ROUNDDOWN($H321,0),BW$2)))))*'Inputs Yr 2'!P321*'Inputs Yr 2'!Q321*'Inputs Yr 2'!U321,"")</f>
        <v/>
      </c>
      <c r="BX321" s="197" t="str">
        <f>IFERROR(($G321*IF('Inputs Yr 2'!$AJ321=BO$4,'Inputs Yr 2'!$AK321,IF('Inputs Yr 2'!$AL321=BO$4,'Inputs Yr 2'!$AM321,IF('Inputs Yr 2'!$AN321=BO$4,'Inputs Yr 2'!$AO321,0))))*(INDEX(avoidedcosttbl2,$H321,BX$2)+(($H321-ROUNDDOWN($H321,0))*(INDEX(avoidedcosttbl2,ROUNDUP($H321,0),BX$2)-(INDEX(avoidedcosttbl2,ROUNDDOWN($H321,0),BX$2)))))*'Inputs Yr 2'!P321*'Inputs Yr 2'!Q321*'Inputs Yr 2'!U321,"")</f>
        <v/>
      </c>
      <c r="BY321" s="197" t="str">
        <f>IFERROR(($G321*IF('Inputs Yr 2'!$AJ321=BP$4,'Inputs Yr 2'!$AK321,IF('Inputs Yr 2'!$AL321=BP$4,'Inputs Yr 2'!$AM321,IF('Inputs Yr 2'!$AN321=BP$4,'Inputs Yr 2'!$AO321,0))))*(INDEX(avoidedcosttbl2,$H321,BY$2)+(($H321-ROUNDDOWN($H321,0))*(INDEX(avoidedcosttbl2,ROUNDUP($H321,0),BY$2)-(INDEX(avoidedcosttbl2,ROUNDDOWN($H321,0),BY$2)))))*'Inputs Yr 2'!P321*'Inputs Yr 2'!Q321*'Inputs Yr 2'!U321,"")</f>
        <v/>
      </c>
      <c r="BZ321" s="193">
        <f t="shared" si="159"/>
        <v>0</v>
      </c>
      <c r="CA321" s="193">
        <f t="shared" si="160"/>
        <v>0</v>
      </c>
      <c r="CB321" s="195" t="str">
        <f>IFERROR(G321*(IF('Inputs Yr 2'!$AJ321=CB$4,'Inputs Yr 2'!$AK321,IF('Inputs Yr 2'!$AL321=CB$4,'Inputs Yr 2'!$AM321,IF('Inputs Yr 2'!$AN321=CB$4,'Inputs Yr 2'!$AO321,0))))*(INDEX(avoidedcosttbl2,$H321,CB$2)+(($H321-ROUNDDOWN($H321,0))*(INDEX(avoidedcosttbl2,ROUNDUP($H321,0),CB$2)-(INDEX(avoidedcosttbl2,ROUNDDOWN($H321,0),CB$2)))))*'Inputs Yr 2'!P321*'Inputs Yr 2'!Q321*'Inputs Yr 2'!U321,"")</f>
        <v/>
      </c>
      <c r="CC321" s="195">
        <f>IFERROR(H321*(IF('Inputs Yr 2'!$AJ321=CC$4,'Inputs Yr 2'!$AK321,IF('Inputs Yr 2'!$AL321=CC$4,'Inputs Yr 2'!$AM321,IF('Inputs Yr 2'!$AN321=CC$4,'Inputs Yr 2'!$AO321,0))))*(INDEX(avoidedcosttbl2,$H321,CC$2)+(($H321-ROUNDDOWN($H321,0))*(INDEX(avoidedcosttbl2,ROUNDUP($H321,0),CC$2)-(INDEX(avoidedcosttbl2,ROUNDDOWN($H321,0),CC$2)))))*'Inputs Yr 2'!Q321*'Inputs Yr 2'!R321*'Inputs Yr 2'!V321,"")</f>
        <v>0</v>
      </c>
      <c r="CD321" s="195" t="str">
        <f>IFERROR(I321*(IF('Inputs Yr 2'!$AJ321=CD$4,'Inputs Yr 2'!$AK321,IF('Inputs Yr 2'!$AL321=CD$4,'Inputs Yr 2'!$AM321,IF('Inputs Yr 2'!$AN321=CD$4,'Inputs Yr 2'!$AO321,0))))*(INDEX(avoidedcosttbl2,$H321,CD$2)+(($H321-ROUNDDOWN($H321,0))*(INDEX(avoidedcosttbl2,ROUNDUP($H321,0),CD$2)-(INDEX(avoidedcosttbl2,ROUNDDOWN($H321,0),CD$2)))))*'Inputs Yr 2'!R321*'Inputs Yr 2'!S321*'Inputs Yr 2'!W321,"")</f>
        <v/>
      </c>
      <c r="CE321" s="213">
        <f t="shared" si="161"/>
        <v>0</v>
      </c>
      <c r="CF321" s="213">
        <f t="shared" si="162"/>
        <v>0</v>
      </c>
      <c r="CG321" s="213">
        <f t="shared" si="163"/>
        <v>0</v>
      </c>
      <c r="CH321" s="698">
        <f t="shared" si="164"/>
        <v>0</v>
      </c>
      <c r="CI321" s="79" t="str">
        <f>IFERROR(($G321*'Inputs Yr 2'!$P321*'Inputs Yr 2'!$Q321*(((INDEX(avoidedcosttbl2,$H321,CI$2)+(($H321-ROUNDDOWN($H321,0))*(INDEX(avoidedcosttbl2,ROUNDUP($H321,0),CI$2)-INDEX(avoidedcosttbl2,ROUNDDOWN($H321,0),CI$2))))*'Inputs Yr 2'!AS321))),"")</f>
        <v/>
      </c>
      <c r="CJ321" s="504" t="str">
        <f>IFERROR($G321*'Inputs Yr 2'!AT321*'Inputs Yr 2'!$P321*'Inputs Yr 2'!$Q321/((1+realdiscrt1)^-0.5),"")</f>
        <v/>
      </c>
      <c r="CK321" s="79" t="str">
        <f>IFERROR((O321*1000*(((INDEX(avoidedcosttbl2,$H321,CK$2)+(($H321-ROUNDDOWN($H321,0))*(INDEX(avoidedcosttbl2,ROUNDUP($H321,0),CK$2)-INDEX(avoidedcosttbl2,ROUNDDOWN($H321,0),CK$2))))*'Inputs Yr 2'!AU321))),"")</f>
        <v/>
      </c>
      <c r="CL321" s="504" t="str">
        <f>IFERROR(O321*1000*'Inputs Yr 2'!AV321/((1+realdiscrt1)^-0.5),"")</f>
        <v/>
      </c>
      <c r="CM321" s="79">
        <f>IFERROR((AB321*'Inputs Yr 2'!AW321*(((INDEX(avoidedcosttbl2,$H321,CM$2)+(($H321-ROUNDDOWN($H321,0))*(INDEX(avoidedcosttbl2,ROUNDUP($H321,0),CM$2)-INDEX(avoidedcosttbl2,ROUNDDOWN($H321,0),CM$2)))))))*10,"")</f>
        <v>0</v>
      </c>
      <c r="CN321" s="504">
        <f>IFERROR(10*AB321*'Inputs Yr 2'!AX321/((1+realdiscrt1)^-0.5),"")</f>
        <v>0</v>
      </c>
      <c r="CO321" s="505">
        <f t="shared" si="165"/>
        <v>0</v>
      </c>
      <c r="CP321" s="230">
        <f t="shared" si="166"/>
        <v>0</v>
      </c>
      <c r="CQ321" s="199">
        <f>ROUND(IFERROR(IF(LEFT($A321,1)="C",'Avoided Costs'!$K$13,'Avoided Costs'!$K$12)+1,""),4)</f>
        <v>1.0720000000000001</v>
      </c>
      <c r="CR321" s="199">
        <f>ROUND(IFERROR(IF(LEFT($A321,1)="C",'Avoided Costs'!$L$13,'Avoided Costs'!$L$12)+1,""),4)</f>
        <v>1.04</v>
      </c>
      <c r="CS321" s="199">
        <f>ROUND(IFERROR(IF(LEFT($A321,1)="C",'Avoided Costs'!$M$13,'Avoided Costs'!$M$12)+1,""),4)</f>
        <v>1.0720000000000001</v>
      </c>
      <c r="CT321" s="199">
        <f>ROUND(IFERROR(IF(LEFT($A321,1)="C",'Avoided Costs'!$N$13,'Avoided Costs'!$N$12)+1,""),4)</f>
        <v>1.04</v>
      </c>
      <c r="CU321" s="199">
        <f>ROUND(IFERROR(IF(LEFT($A321,1)="C",'Avoided Costs'!$O$13,'Avoided Costs'!$O$12)+1,""),4)</f>
        <v>1.1120000000000001</v>
      </c>
      <c r="CV321" s="199">
        <f>ROUND(IFERROR(IF(LEFT($A321,1)="C",'Avoided Costs'!$P$13,'Avoided Costs'!$P$12)+1,""),4)</f>
        <v>1.095</v>
      </c>
      <c r="CW321" s="199">
        <f>ROUND(IFERROR(IF(LEFT($A321,1)="C",'Avoided Costs'!$Q$13,'Avoided Costs'!$Q$12)+1,""),4)</f>
        <v>1.1120000000000001</v>
      </c>
      <c r="CX321" s="200">
        <f>ROUND(IFERROR(IF(LEFT($A321,1)="C",'Avoided Costs'!$R$13,'Avoided Costs'!$R$12)+1,""),4)</f>
        <v>1.1120000000000001</v>
      </c>
    </row>
    <row r="322" spans="1:102" ht="12.75" customHeight="1">
      <c r="A322" s="91" t="str">
        <f>IF('Inputs Yr 2'!$B322=0,"",'Inputs Yr 2'!A322)</f>
        <v>C - Commercial &amp; Industrial</v>
      </c>
      <c r="B322" s="91" t="str">
        <f>IF('Inputs Yr 2'!$B322=0,"",'Inputs Yr 2'!B322)</f>
        <v>C2 - C&amp;I Retrofit</v>
      </c>
      <c r="C322" s="91" t="str">
        <f>IF('Inputs Yr 2'!$B322=0,"",'Inputs Yr 2'!C322)</f>
        <v>C2b - C&amp;I Small Business</v>
      </c>
      <c r="D322" s="91" t="str">
        <f>IF('Inputs Yr 2'!$B322=0,"",'Inputs Yr 2'!E322)</f>
        <v>Steam Pipe Insulation, 3"</v>
      </c>
      <c r="E322" s="93" t="str">
        <f>IF('Inputs Yr 2'!$B322=0,"",'Inputs Yr 2'!F322)</f>
        <v>G16C2b27</v>
      </c>
      <c r="F322" s="93" t="str">
        <f>IF('Inputs Yr 2'!$B322=0,"",'Inputs Yr 2'!G322)</f>
        <v>HVAC</v>
      </c>
      <c r="G322" s="95" t="str">
        <f>IF('Inputs Yr 2'!$H322&lt;&gt;0,('Inputs Yr 2'!H322),"")</f>
        <v/>
      </c>
      <c r="H322" s="94">
        <f>IFERROR('Inputs Yr 2'!I322,"")</f>
        <v>15</v>
      </c>
      <c r="I322" s="298" t="str">
        <f>IFERROR('Inputs Yr 2'!J322*'Inputs Yr 2'!P322*G322,"")</f>
        <v/>
      </c>
      <c r="J322" s="298" t="str">
        <f>IFERROR('Inputs Yr 2'!K322*G322,"")</f>
        <v/>
      </c>
      <c r="K322" s="298" t="str">
        <f t="shared" si="143"/>
        <v/>
      </c>
      <c r="L322" s="194" t="str">
        <f>IFERROR(('Inputs Yr 2'!W322*G322)/1000,"")</f>
        <v/>
      </c>
      <c r="M322" s="194" t="str">
        <f>IFERROR(L322*('Inputs Yr 2'!$Q322*'Inputs Yr 2'!$V322*'Inputs Yr 2'!$R322),"")</f>
        <v/>
      </c>
      <c r="N322" s="194" t="str">
        <f t="shared" si="144"/>
        <v/>
      </c>
      <c r="O322" s="194" t="str">
        <f>IFERROR(M322*'Inputs Yr 2'!P322,"")</f>
        <v/>
      </c>
      <c r="P322" s="194" t="str">
        <f t="shared" si="145"/>
        <v/>
      </c>
      <c r="Q322" s="194" t="str">
        <f>IFERROR($P322*'Inputs Yr 2'!AA322,"")</f>
        <v/>
      </c>
      <c r="R322" s="194" t="str">
        <f>IFERROR($P322*'Inputs Yr 2'!AB322,"")</f>
        <v/>
      </c>
      <c r="S322" s="194" t="str">
        <f>IFERROR($P322*'Inputs Yr 2'!AC322,"")</f>
        <v/>
      </c>
      <c r="T322" s="194" t="str">
        <f>IFERROR($P322*'Inputs Yr 2'!AD322,"")</f>
        <v/>
      </c>
      <c r="U322" s="194" t="str">
        <f>IFERROR(G322*'Inputs Yr 2'!$AE322*'Inputs Yr 2'!$P322*'Inputs Yr 2'!$Q322,"")</f>
        <v/>
      </c>
      <c r="V322" s="194" t="str">
        <f>IFERROR($G322*'Inputs Yr 2'!$AE322*'Inputs Yr 2'!$AG322*'Inputs Yr 2'!Q322*'Inputs Yr 2'!$S322,"")</f>
        <v/>
      </c>
      <c r="W322" s="194" t="str">
        <f>IFERROR($G322*'Inputs Yr 2'!$AE322*'Inputs Yr 2'!$AG322*'Inputs Yr 2'!P322*'Inputs Yr 2'!Q322*'Inputs Yr 2'!$S322,"")</f>
        <v/>
      </c>
      <c r="X322" s="194" t="str">
        <f>IFERROR($G322*'Inputs Yr 2'!$AE322*'Inputs Yr 2'!$AF322*'Inputs Yr 2'!Q322*'Inputs Yr 2'!$T322,"")</f>
        <v/>
      </c>
      <c r="Y322" s="194" t="str">
        <f>IFERROR($G322*'Inputs Yr 2'!$AE322*'Inputs Yr 2'!$AF322*'Inputs Yr 2'!P322*'Inputs Yr 2'!Q322*'Inputs Yr 2'!$T322,"")</f>
        <v/>
      </c>
      <c r="Z322" s="257">
        <f>IFERROR($G322*'Inputs Yr 2'!$Q322*'Inputs Yr 2'!$U322*(IF(IFERROR(SEARCH("NG", 'Inputs Yr 2'!$AJ322),0),'Inputs Yr 2'!$AK322,0)+IF(IFERROR(SEARCH("NG", 'Inputs Yr 2'!$AL322),0),'Inputs Yr 2'!$AM322,0)+IF(IFERROR(SEARCH("NG", 'Inputs Yr 2'!$AN322),0),'Inputs Yr 2'!$AO322,0)),0)</f>
        <v>0</v>
      </c>
      <c r="AA322" s="257">
        <f t="shared" si="146"/>
        <v>0</v>
      </c>
      <c r="AB322" s="257">
        <f>IFERROR(Z322*'Inputs Yr 2'!$P322,0)</f>
        <v>0</v>
      </c>
      <c r="AC322" s="257">
        <f t="shared" si="147"/>
        <v>0</v>
      </c>
      <c r="AD322" s="257">
        <f>IFERROR($G322*'Inputs Yr 2'!$Q322*'Inputs Yr 2'!$U322*(IF(IFERROR(SEARCH("Oil", 'Inputs Yr 2'!$AJ322), 0),'Inputs Yr 2'!$AK322,0)+IF(IFERROR(SEARCH("Oil", 'Inputs Yr 2'!$AL322), 0),'Inputs Yr 2'!$AM322,0)+IF(IFERROR(SEARCH("Oil", 'Inputs Yr 2'!$AN322), 0),'Inputs Yr 2'!$AO322,0)),0)</f>
        <v>0</v>
      </c>
      <c r="AE322" s="257">
        <f t="shared" si="148"/>
        <v>0</v>
      </c>
      <c r="AF322" s="257">
        <f>IFERROR(AD322*'Inputs Yr 2'!$P322,0)</f>
        <v>0</v>
      </c>
      <c r="AG322" s="257">
        <f t="shared" si="149"/>
        <v>0</v>
      </c>
      <c r="AH322" s="257">
        <f>IFERROR($G322*'Inputs Yr 2'!$Q322*'Inputs Yr 2'!$U322*(IF('Inputs Yr 2'!$AJ322=CD$4,'Inputs Yr 2'!$AK322,IF('Inputs Yr 2'!$AL322=CD$4,'Inputs Yr 2'!$AM322,IF('Inputs Yr 2'!$AN322=CD$4,'Inputs Yr 2'!$AO322,0)))),0)</f>
        <v>0</v>
      </c>
      <c r="AI322" s="257">
        <f t="shared" si="150"/>
        <v>0</v>
      </c>
      <c r="AJ322" s="257">
        <f>IFERROR(AH322*'Inputs Yr 2'!$P322,0)</f>
        <v>0</v>
      </c>
      <c r="AK322" s="257">
        <f t="shared" si="151"/>
        <v>0</v>
      </c>
      <c r="AL322" s="258">
        <f>IFERROR($G322*'Inputs Yr 2'!$P322*'Inputs Yr 2'!$Q322*'Inputs Yr 2'!AP322,0)</f>
        <v>0</v>
      </c>
      <c r="AM322" s="260">
        <f>IFERROR($G322*'Inputs Yr 2'!$P322*'Inputs Yr 2'!$Q322*'Inputs Yr 2'!AQ322,0)</f>
        <v>0</v>
      </c>
      <c r="AN322" s="258">
        <f>IFERROR($G322*'Inputs Yr 2'!$P322*'Inputs Yr 2'!$Q322*'Inputs Yr 2'!AR322,0)</f>
        <v>0</v>
      </c>
      <c r="AO322" s="257">
        <f t="shared" si="152"/>
        <v>0</v>
      </c>
      <c r="AP322" s="195" t="str">
        <f>IFERROR($CQ322*(INDEX(avoidedcosttbl2,$H322,AP$2)+(($H322-ROUNDDOWN($H322,0))*(INDEX(avoidedcosttbl2,ROUNDUP($H322,0),AP$2)-(INDEX(avoidedcosttbl2,ROUNDDOWN($H322,0),AP$2)))))*$O322*1000*'Inputs Yr 2'!AA322,"")</f>
        <v/>
      </c>
      <c r="AQ322" s="195" t="str">
        <f>IFERROR($CR322*(INDEX(avoidedcosttbl2,$H322,AQ$2)+(($H322-ROUNDDOWN($H322,0))*(INDEX(avoidedcosttbl2,ROUNDUP($H322,0),AQ$2)-(INDEX(avoidedcosttbl2,ROUNDDOWN($H322,0),AQ$2)))))*$O322*1000*'Inputs Yr 2'!AB322,"")</f>
        <v/>
      </c>
      <c r="AR322" s="195" t="str">
        <f>IFERROR($CS322*(INDEX(avoidedcosttbl2,$H322,AR$2)+(($H322-ROUNDDOWN($H322,0))*(INDEX(avoidedcosttbl2,ROUNDUP($H322,0),AR$2)-(INDEX(avoidedcosttbl2,ROUNDDOWN($H322,0),AR$2)))))*$O322*1000*'Inputs Yr 2'!AC322,"")</f>
        <v/>
      </c>
      <c r="AS322" s="195" t="str">
        <f>IFERROR($CT322*(INDEX(avoidedcosttbl2,$H322,AS$2)+(($H322-ROUNDDOWN($H322,0))*(INDEX(avoidedcosttbl2,ROUNDUP($H322,0),AS$2)-(INDEX(avoidedcosttbl2,ROUNDDOWN($H322,0),AS$2)))))*$O322*1000*'Inputs Yr 2'!AD322,"")</f>
        <v/>
      </c>
      <c r="AT322" s="196">
        <f t="shared" si="153"/>
        <v>0</v>
      </c>
      <c r="AU322" s="197" t="str">
        <f>IFERROR($CQ322*((INDEX(avoidedcosttbl2,$H322,AU$2))+(($H322-ROUNDDOWN($H322,0))*((INDEX(avoidedcosttbl2,ROUNDUP($H322,0),AU$2))-(INDEX(avoidedcosttbl2,ROUNDDOWN($H322,0),AU$2)))))*$O322*1000*'Inputs Yr 2'!AA322,"")</f>
        <v/>
      </c>
      <c r="AV322" s="197" t="str">
        <f>IFERROR($CR322*((INDEX(avoidedcosttbl2,$H322,AV$2))+(($H322-ROUNDDOWN($H322,0))*((INDEX(avoidedcosttbl2,ROUNDUP($H322,0),AV$2))-(INDEX(avoidedcosttbl2,ROUNDDOWN($H322,0),AV$2)))))*$O322*1000*'Inputs Yr 2'!AB322,"")</f>
        <v/>
      </c>
      <c r="AW322" s="197" t="str">
        <f>IFERROR($CS322*((INDEX(avoidedcosttbl2,$H322,AW$2))+(($H322-ROUNDDOWN($H322,0))*((INDEX(avoidedcosttbl2,ROUNDUP($H322,0),AW$2))-(INDEX(avoidedcosttbl2,ROUNDDOWN($H322,0),AW$2)))))*$O322*1000*'Inputs Yr 2'!AC322,"")</f>
        <v/>
      </c>
      <c r="AX322" s="197" t="str">
        <f>IFERROR($CT322*((INDEX(avoidedcosttbl2,$H322,AX$2))+(($H322-ROUNDDOWN($H322,0))*((INDEX(avoidedcosttbl2,ROUNDUP($H322,0),AX$2))-(INDEX(avoidedcosttbl2,ROUNDDOWN($H322,0),AX$2)))))*$O322*1000*'Inputs Yr 2'!AD322,"")</f>
        <v/>
      </c>
      <c r="AY322" s="197" t="str">
        <f>IFERROR(((INDEX(avoidedcosttbl2,$H322,AY$2))+(($H322-ROUNDDOWN($H322,0))*((INDEX(avoidedcosttbl2,ROUNDUP($H322,0),AY$2))-(INDEX(avoidedcosttbl2,ROUNDDOWN($H322,0),AY$2)))))*$O322*1000*('Inputs Yr 2'!AC322+'Inputs Yr 2'!AD322),"")</f>
        <v/>
      </c>
      <c r="AZ322" s="197" t="str">
        <f>IFERROR(((INDEX(avoidedcosttbl2,$H322,AZ$2))+(($H322-ROUNDDOWN($H322,0))*((INDEX(avoidedcosttbl2,ROUNDUP($H322,0),AZ$2))-(INDEX(avoidedcosttbl2,ROUNDDOWN($H322,0),AZ$2)))))*$O322*1000*('Inputs Yr 2'!AA322+'Inputs Yr 2'!AB322),"")</f>
        <v/>
      </c>
      <c r="BA322" s="198">
        <f t="shared" si="154"/>
        <v>0</v>
      </c>
      <c r="BB322" s="198">
        <f t="shared" si="155"/>
        <v>0</v>
      </c>
      <c r="BC322" s="195" t="str">
        <f t="shared" si="137"/>
        <v/>
      </c>
      <c r="BD322" s="195" t="str">
        <f t="shared" si="138"/>
        <v/>
      </c>
      <c r="BE322" s="195" t="str">
        <f t="shared" si="139"/>
        <v/>
      </c>
      <c r="BF322" s="195" t="str">
        <f t="shared" si="140"/>
        <v/>
      </c>
      <c r="BG322" s="195" t="str">
        <f t="shared" si="141"/>
        <v/>
      </c>
      <c r="BH322" s="196">
        <f t="shared" si="156"/>
        <v>0</v>
      </c>
      <c r="BI322" s="196">
        <f t="shared" si="157"/>
        <v>0</v>
      </c>
      <c r="BJ322" s="195" t="str">
        <f>IFERROR($G322*(IF('Inputs Yr 2'!$AJ322=BJ$4,'Inputs Yr 2'!$AK322,IF('Inputs Yr 2'!$AL322=BJ$4,'Inputs Yr 2'!$AM322,IF('Inputs Yr 2'!$AN322=BJ$4,'Inputs Yr 2'!$AO322,0))))*(INDEX(avoidedcosttbl2,$H322,BJ$2)+(($H322-ROUNDDOWN($H322,0))*(INDEX(avoidedcosttbl2,ROUNDUP($H322,0),BJ$2)-(INDEX(avoidedcosttbl2,ROUNDDOWN($H322,0),BJ$2)))))*'Inputs Yr 2'!P322*'Inputs Yr 2'!Q322*'Inputs Yr 2'!U322,"")</f>
        <v/>
      </c>
      <c r="BK322" s="195" t="str">
        <f>IFERROR($G322*(IF('Inputs Yr 2'!$AJ322=BK$4,'Inputs Yr 2'!$AK322,IF('Inputs Yr 2'!$AL322=BK$4,'Inputs Yr 2'!$AM322,IF('Inputs Yr 2'!$AN322=BK$4,'Inputs Yr 2'!$AO322,0))))*(INDEX(avoidedcosttbl2,$H322,BK$2)+(($H322-ROUNDDOWN($H322,0))*(INDEX(avoidedcosttbl2,ROUNDUP($H322,0),BK$2)-(INDEX(avoidedcosttbl2,ROUNDDOWN($H322,0),BK$2)))))*'Inputs Yr 2'!P322*'Inputs Yr 2'!Q322*'Inputs Yr 2'!U322,"")</f>
        <v/>
      </c>
      <c r="BL322" s="195" t="str">
        <f>IFERROR($G322*(IF('Inputs Yr 2'!$AJ322=BL$4,'Inputs Yr 2'!$AK322,IF('Inputs Yr 2'!$AL322=BL$4,'Inputs Yr 2'!$AM322,IF('Inputs Yr 2'!$AN322=BL$4,'Inputs Yr 2'!$AO322,0))))*(INDEX(avoidedcosttbl2,$H322,BL$2)+(($H322-ROUNDDOWN($H322,0))*(INDEX(avoidedcosttbl2,ROUNDUP($H322,0),BL$2)-(INDEX(avoidedcosttbl2,ROUNDDOWN($H322,0),BL$2)))))*'Inputs Yr 2'!P322*'Inputs Yr 2'!Q322*'Inputs Yr 2'!U322,"")</f>
        <v/>
      </c>
      <c r="BM322" s="195" t="str">
        <f>IFERROR($G322*(IF('Inputs Yr 2'!$AJ322=BM$4,'Inputs Yr 2'!$AK322,IF('Inputs Yr 2'!$AL322=BM$4,'Inputs Yr 2'!$AM322,IF('Inputs Yr 2'!$AN322=BM$4,'Inputs Yr 2'!$AO322,0))))*(INDEX(avoidedcosttbl2,$H322,BM$2)+(($H322-ROUNDDOWN($H322,0))*(INDEX(avoidedcosttbl2,ROUNDUP($H322,0),BM$2)-(INDEX(avoidedcosttbl2,ROUNDDOWN($H322,0),BM$2)))))*'Inputs Yr 2'!P322*'Inputs Yr 2'!Q322*'Inputs Yr 2'!U322,"")</f>
        <v/>
      </c>
      <c r="BN322" s="195" t="str">
        <f>IFERROR($G322*(IF('Inputs Yr 2'!$AJ322=BN$4,'Inputs Yr 2'!$AK322,IF('Inputs Yr 2'!$AL322=BN$4,'Inputs Yr 2'!$AM322,IF('Inputs Yr 2'!$AN322=BN$4,'Inputs Yr 2'!$AO322,0))))*(INDEX(avoidedcosttbl2,$H322,BN$2)+(($H322-ROUNDDOWN($H322,0))*(INDEX(avoidedcosttbl2,ROUNDUP($H322,0),BN$2)-(INDEX(avoidedcosttbl2,ROUNDDOWN($H322,0),BN$2)))))*'Inputs Yr 2'!P322*'Inputs Yr 2'!Q322*'Inputs Yr 2'!U322,"")</f>
        <v/>
      </c>
      <c r="BO322" s="195" t="str">
        <f>IFERROR($G322*(IF('Inputs Yr 2'!$AJ322=BO$4,'Inputs Yr 2'!$AK322,IF('Inputs Yr 2'!$AL322=BO$4,'Inputs Yr 2'!$AM322,IF('Inputs Yr 2'!$AN322=BO$4,'Inputs Yr 2'!$AO322,0))))*(INDEX(avoidedcosttbl2,$H322,BO$2)+(($H322-ROUNDDOWN($H322,0))*(INDEX(avoidedcosttbl2,ROUNDUP($H322,0),BO$2)-(INDEX(avoidedcosttbl2,ROUNDDOWN($H322,0),BO$2)))))*'Inputs Yr 2'!P322*'Inputs Yr 2'!Q322*'Inputs Yr 2'!U322,"")</f>
        <v/>
      </c>
      <c r="BP322" s="195" t="str">
        <f>IFERROR($G322*(IF('Inputs Yr 2'!$AJ322=BP$4,'Inputs Yr 2'!$AK322,IF('Inputs Yr 2'!$AL322=BP$4,'Inputs Yr 2'!$AM322,IF('Inputs Yr 2'!$AN322=BP$4,'Inputs Yr 2'!$AO322,0))))*(INDEX(avoidedcosttbl2,$H322,BP$2)+(($H322-ROUNDDOWN($H322,0))*(INDEX(avoidedcosttbl2,ROUNDUP($H322,0),BP$2)-(INDEX(avoidedcosttbl2,ROUNDDOWN($H322,0),BP$2)))))*'Inputs Yr 2'!P322*'Inputs Yr 2'!Q322*'Inputs Yr 2'!U322,"")</f>
        <v/>
      </c>
      <c r="BQ322" s="230">
        <f t="shared" si="158"/>
        <v>0</v>
      </c>
      <c r="BR322" s="197">
        <f t="shared" si="142"/>
        <v>0</v>
      </c>
      <c r="BS322" s="197" t="str">
        <f>IFERROR(($G322*IF('Inputs Yr 2'!$AJ322=BM$4,'Inputs Yr 2'!$AK322,IF('Inputs Yr 2'!$AL322=BM$4,'Inputs Yr 2'!$AM322,IF('Inputs Yr 2'!$AN322=BM$4,'Inputs Yr 2'!$AO322,0))))*(INDEX(avoidedcosttbl2,$H322,BS$2)+(($H322-ROUNDDOWN($H322,0))*(INDEX(avoidedcosttbl2,ROUNDUP($H322,0),BS$2)-(INDEX(avoidedcosttbl2,ROUNDDOWN($H322,0),BS$2)))))*'Inputs Yr 2'!P322*'Inputs Yr 2'!Q322*'Inputs Yr 2'!U322,"")</f>
        <v/>
      </c>
      <c r="BT322" s="197" t="str">
        <f>IFERROR(($G322*IF('Inputs Yr 2'!$AJ322=BK$4,'Inputs Yr 2'!$AK322,IF('Inputs Yr 2'!$AL322=BK$4,'Inputs Yr 2'!$AM322,IF('Inputs Yr 2'!$AN322=BK$4,'Inputs Yr 2'!$AO322,0))))*(INDEX(avoidedcosttbl2,$H322,BT$2)+(($H322-ROUNDDOWN($H322,0))*(INDEX(avoidedcosttbl2,ROUNDUP($H322,0),BT$2)-(INDEX(avoidedcosttbl2,ROUNDDOWN($H322,0),BT$2)))))*'Inputs Yr 2'!P322*'Inputs Yr 2'!Q322*'Inputs Yr 2'!U322,"")</f>
        <v/>
      </c>
      <c r="BU322" s="197" t="str">
        <f>IFERROR(($G322*IF('Inputs Yr 2'!$AJ322=BL$4,'Inputs Yr 2'!$AK322,IF('Inputs Yr 2'!$AL322=BL$4,'Inputs Yr 2'!$AM322,IF('Inputs Yr 2'!$AN322=BL$4,'Inputs Yr 2'!$AO322,0))))*(INDEX(avoidedcosttbl2,$H322,BU$2)+(($H322-ROUNDDOWN($H322,0))*(INDEX(avoidedcosttbl2,ROUNDUP($H322,0),BU$2)-(INDEX(avoidedcosttbl2,ROUNDDOWN($H322,0),BU$2)))))*'Inputs Yr 2'!P322*'Inputs Yr 2'!Q322*'Inputs Yr 2'!U322,"")</f>
        <v/>
      </c>
      <c r="BV322" s="775" t="str">
        <f>IFERROR(($G322*IF('Inputs Yr 2'!$AJ322=BJ$4,'Inputs Yr 2'!$AK322,IF('Inputs Yr 2'!$AL322=BJ$4,'Inputs Yr 2'!$AM322,IF('Inputs Yr 2'!$AN322=BJ$4,'Inputs Yr 2'!$AO322,0))))*(INDEX(avoidedcosttbl2,$H322,BV$2)+(($H322-ROUNDDOWN($H322,0))*(INDEX(avoidedcosttbl2,ROUNDUP($H322,0),BV$2)-(INDEX(avoidedcosttbl2,ROUNDDOWN($H322,0),BV$2)))))*'Inputs Yr 2'!P322*'Inputs Yr 2'!Q322*'Inputs Yr 2'!U322,"")</f>
        <v/>
      </c>
      <c r="BW322" s="197" t="str">
        <f>IFERROR(($G322*IF('Inputs Yr 2'!$AJ322=BN$4,'Inputs Yr 2'!$AK322,IF('Inputs Yr 2'!$AL322=BN$4,'Inputs Yr 2'!$AM322,IF('Inputs Yr 2'!$AN322=BN$4,'Inputs Yr 2'!$AO322,0))))*(INDEX(avoidedcosttbl2,$H322,BW$2)+(($H322-ROUNDDOWN($H322,0))*(INDEX(avoidedcosttbl2,ROUNDUP($H322,0),BW$2)-(INDEX(avoidedcosttbl2,ROUNDDOWN($H322,0),BW$2)))))*'Inputs Yr 2'!P322*'Inputs Yr 2'!Q322*'Inputs Yr 2'!U322,"")</f>
        <v/>
      </c>
      <c r="BX322" s="197" t="str">
        <f>IFERROR(($G322*IF('Inputs Yr 2'!$AJ322=BO$4,'Inputs Yr 2'!$AK322,IF('Inputs Yr 2'!$AL322=BO$4,'Inputs Yr 2'!$AM322,IF('Inputs Yr 2'!$AN322=BO$4,'Inputs Yr 2'!$AO322,0))))*(INDEX(avoidedcosttbl2,$H322,BX$2)+(($H322-ROUNDDOWN($H322,0))*(INDEX(avoidedcosttbl2,ROUNDUP($H322,0),BX$2)-(INDEX(avoidedcosttbl2,ROUNDDOWN($H322,0),BX$2)))))*'Inputs Yr 2'!P322*'Inputs Yr 2'!Q322*'Inputs Yr 2'!U322,"")</f>
        <v/>
      </c>
      <c r="BY322" s="197" t="str">
        <f>IFERROR(($G322*IF('Inputs Yr 2'!$AJ322=BP$4,'Inputs Yr 2'!$AK322,IF('Inputs Yr 2'!$AL322=BP$4,'Inputs Yr 2'!$AM322,IF('Inputs Yr 2'!$AN322=BP$4,'Inputs Yr 2'!$AO322,0))))*(INDEX(avoidedcosttbl2,$H322,BY$2)+(($H322-ROUNDDOWN($H322,0))*(INDEX(avoidedcosttbl2,ROUNDUP($H322,0),BY$2)-(INDEX(avoidedcosttbl2,ROUNDDOWN($H322,0),BY$2)))))*'Inputs Yr 2'!P322*'Inputs Yr 2'!Q322*'Inputs Yr 2'!U322,"")</f>
        <v/>
      </c>
      <c r="BZ322" s="193">
        <f t="shared" si="159"/>
        <v>0</v>
      </c>
      <c r="CA322" s="193">
        <f t="shared" si="160"/>
        <v>0</v>
      </c>
      <c r="CB322" s="195" t="str">
        <f>IFERROR(G322*(IF('Inputs Yr 2'!$AJ322=CB$4,'Inputs Yr 2'!$AK322,IF('Inputs Yr 2'!$AL322=CB$4,'Inputs Yr 2'!$AM322,IF('Inputs Yr 2'!$AN322=CB$4,'Inputs Yr 2'!$AO322,0))))*(INDEX(avoidedcosttbl2,$H322,CB$2)+(($H322-ROUNDDOWN($H322,0))*(INDEX(avoidedcosttbl2,ROUNDUP($H322,0),CB$2)-(INDEX(avoidedcosttbl2,ROUNDDOWN($H322,0),CB$2)))))*'Inputs Yr 2'!P322*'Inputs Yr 2'!Q322*'Inputs Yr 2'!U322,"")</f>
        <v/>
      </c>
      <c r="CC322" s="195">
        <f>IFERROR(H322*(IF('Inputs Yr 2'!$AJ322=CC$4,'Inputs Yr 2'!$AK322,IF('Inputs Yr 2'!$AL322=CC$4,'Inputs Yr 2'!$AM322,IF('Inputs Yr 2'!$AN322=CC$4,'Inputs Yr 2'!$AO322,0))))*(INDEX(avoidedcosttbl2,$H322,CC$2)+(($H322-ROUNDDOWN($H322,0))*(INDEX(avoidedcosttbl2,ROUNDUP($H322,0),CC$2)-(INDEX(avoidedcosttbl2,ROUNDDOWN($H322,0),CC$2)))))*'Inputs Yr 2'!Q322*'Inputs Yr 2'!R322*'Inputs Yr 2'!V322,"")</f>
        <v>0</v>
      </c>
      <c r="CD322" s="195" t="str">
        <f>IFERROR(I322*(IF('Inputs Yr 2'!$AJ322=CD$4,'Inputs Yr 2'!$AK322,IF('Inputs Yr 2'!$AL322=CD$4,'Inputs Yr 2'!$AM322,IF('Inputs Yr 2'!$AN322=CD$4,'Inputs Yr 2'!$AO322,0))))*(INDEX(avoidedcosttbl2,$H322,CD$2)+(($H322-ROUNDDOWN($H322,0))*(INDEX(avoidedcosttbl2,ROUNDUP($H322,0),CD$2)-(INDEX(avoidedcosttbl2,ROUNDDOWN($H322,0),CD$2)))))*'Inputs Yr 2'!R322*'Inputs Yr 2'!S322*'Inputs Yr 2'!W322,"")</f>
        <v/>
      </c>
      <c r="CE322" s="213">
        <f t="shared" si="161"/>
        <v>0</v>
      </c>
      <c r="CF322" s="213">
        <f t="shared" si="162"/>
        <v>0</v>
      </c>
      <c r="CG322" s="213">
        <f t="shared" si="163"/>
        <v>0</v>
      </c>
      <c r="CH322" s="698">
        <f t="shared" si="164"/>
        <v>0</v>
      </c>
      <c r="CI322" s="79" t="str">
        <f>IFERROR(($G322*'Inputs Yr 2'!$P322*'Inputs Yr 2'!$Q322*(((INDEX(avoidedcosttbl2,$H322,CI$2)+(($H322-ROUNDDOWN($H322,0))*(INDEX(avoidedcosttbl2,ROUNDUP($H322,0),CI$2)-INDEX(avoidedcosttbl2,ROUNDDOWN($H322,0),CI$2))))*'Inputs Yr 2'!AS322))),"")</f>
        <v/>
      </c>
      <c r="CJ322" s="504" t="str">
        <f>IFERROR($G322*'Inputs Yr 2'!AT322*'Inputs Yr 2'!$P322*'Inputs Yr 2'!$Q322/((1+realdiscrt1)^-0.5),"")</f>
        <v/>
      </c>
      <c r="CK322" s="79" t="str">
        <f>IFERROR((O322*1000*(((INDEX(avoidedcosttbl2,$H322,CK$2)+(($H322-ROUNDDOWN($H322,0))*(INDEX(avoidedcosttbl2,ROUNDUP($H322,0),CK$2)-INDEX(avoidedcosttbl2,ROUNDDOWN($H322,0),CK$2))))*'Inputs Yr 2'!AU322))),"")</f>
        <v/>
      </c>
      <c r="CL322" s="504" t="str">
        <f>IFERROR(O322*1000*'Inputs Yr 2'!AV322/((1+realdiscrt1)^-0.5),"")</f>
        <v/>
      </c>
      <c r="CM322" s="79">
        <f>IFERROR((AB322*'Inputs Yr 2'!AW322*(((INDEX(avoidedcosttbl2,$H322,CM$2)+(($H322-ROUNDDOWN($H322,0))*(INDEX(avoidedcosttbl2,ROUNDUP($H322,0),CM$2)-INDEX(avoidedcosttbl2,ROUNDDOWN($H322,0),CM$2)))))))*10,"")</f>
        <v>0</v>
      </c>
      <c r="CN322" s="504">
        <f>IFERROR(10*AB322*'Inputs Yr 2'!AX322/((1+realdiscrt1)^-0.5),"")</f>
        <v>0</v>
      </c>
      <c r="CO322" s="505">
        <f t="shared" si="165"/>
        <v>0</v>
      </c>
      <c r="CP322" s="230">
        <f t="shared" si="166"/>
        <v>0</v>
      </c>
      <c r="CQ322" s="199">
        <f>ROUND(IFERROR(IF(LEFT($A322,1)="C",'Avoided Costs'!$K$13,'Avoided Costs'!$K$12)+1,""),4)</f>
        <v>1.0720000000000001</v>
      </c>
      <c r="CR322" s="199">
        <f>ROUND(IFERROR(IF(LEFT($A322,1)="C",'Avoided Costs'!$L$13,'Avoided Costs'!$L$12)+1,""),4)</f>
        <v>1.04</v>
      </c>
      <c r="CS322" s="199">
        <f>ROUND(IFERROR(IF(LEFT($A322,1)="C",'Avoided Costs'!$M$13,'Avoided Costs'!$M$12)+1,""),4)</f>
        <v>1.0720000000000001</v>
      </c>
      <c r="CT322" s="199">
        <f>ROUND(IFERROR(IF(LEFT($A322,1)="C",'Avoided Costs'!$N$13,'Avoided Costs'!$N$12)+1,""),4)</f>
        <v>1.04</v>
      </c>
      <c r="CU322" s="199">
        <f>ROUND(IFERROR(IF(LEFT($A322,1)="C",'Avoided Costs'!$O$13,'Avoided Costs'!$O$12)+1,""),4)</f>
        <v>1.1120000000000001</v>
      </c>
      <c r="CV322" s="199">
        <f>ROUND(IFERROR(IF(LEFT($A322,1)="C",'Avoided Costs'!$P$13,'Avoided Costs'!$P$12)+1,""),4)</f>
        <v>1.095</v>
      </c>
      <c r="CW322" s="199">
        <f>ROUND(IFERROR(IF(LEFT($A322,1)="C",'Avoided Costs'!$Q$13,'Avoided Costs'!$Q$12)+1,""),4)</f>
        <v>1.1120000000000001</v>
      </c>
      <c r="CX322" s="200">
        <f>ROUND(IFERROR(IF(LEFT($A322,1)="C",'Avoided Costs'!$R$13,'Avoided Costs'!$R$12)+1,""),4)</f>
        <v>1.1120000000000001</v>
      </c>
    </row>
    <row r="323" spans="1:102" ht="12.75" customHeight="1">
      <c r="A323" s="91" t="str">
        <f>IF('Inputs Yr 2'!$B323=0,"",'Inputs Yr 2'!A323)</f>
        <v>C - Commercial &amp; Industrial</v>
      </c>
      <c r="B323" s="91" t="str">
        <f>IF('Inputs Yr 2'!$B323=0,"",'Inputs Yr 2'!B323)</f>
        <v>C2 - C&amp;I Retrofit</v>
      </c>
      <c r="C323" s="91" t="str">
        <f>IF('Inputs Yr 2'!$B323=0,"",'Inputs Yr 2'!C323)</f>
        <v>C2b - C&amp;I Small Business</v>
      </c>
      <c r="D323" s="91" t="str">
        <f>IF('Inputs Yr 2'!$B323=0,"",'Inputs Yr 2'!E323)</f>
        <v>Boiler Reset Control, Gas</v>
      </c>
      <c r="E323" s="93" t="str">
        <f>IF('Inputs Yr 2'!$B323=0,"",'Inputs Yr 2'!F323)</f>
        <v>G16C2b28</v>
      </c>
      <c r="F323" s="93" t="str">
        <f>IF('Inputs Yr 2'!$B323=0,"",'Inputs Yr 2'!G323)</f>
        <v>HVAC</v>
      </c>
      <c r="G323" s="95" t="str">
        <f>IF('Inputs Yr 2'!$H323&lt;&gt;0,('Inputs Yr 2'!H323),"")</f>
        <v/>
      </c>
      <c r="H323" s="94">
        <f>IFERROR('Inputs Yr 2'!I323,"")</f>
        <v>15</v>
      </c>
      <c r="I323" s="298" t="str">
        <f>IFERROR('Inputs Yr 2'!J323*'Inputs Yr 2'!P323*G323,"")</f>
        <v/>
      </c>
      <c r="J323" s="298" t="str">
        <f>IFERROR('Inputs Yr 2'!K323*G323,"")</f>
        <v/>
      </c>
      <c r="K323" s="298" t="str">
        <f t="shared" si="143"/>
        <v/>
      </c>
      <c r="L323" s="194" t="str">
        <f>IFERROR(('Inputs Yr 2'!W323*G323)/1000,"")</f>
        <v/>
      </c>
      <c r="M323" s="194" t="str">
        <f>IFERROR(L323*('Inputs Yr 2'!$Q323*'Inputs Yr 2'!$V323*'Inputs Yr 2'!$R323),"")</f>
        <v/>
      </c>
      <c r="N323" s="194" t="str">
        <f t="shared" si="144"/>
        <v/>
      </c>
      <c r="O323" s="194" t="str">
        <f>IFERROR(M323*'Inputs Yr 2'!P323,"")</f>
        <v/>
      </c>
      <c r="P323" s="194" t="str">
        <f t="shared" si="145"/>
        <v/>
      </c>
      <c r="Q323" s="194" t="str">
        <f>IFERROR($P323*'Inputs Yr 2'!AA323,"")</f>
        <v/>
      </c>
      <c r="R323" s="194" t="str">
        <f>IFERROR($P323*'Inputs Yr 2'!AB323,"")</f>
        <v/>
      </c>
      <c r="S323" s="194" t="str">
        <f>IFERROR($P323*'Inputs Yr 2'!AC323,"")</f>
        <v/>
      </c>
      <c r="T323" s="194" t="str">
        <f>IFERROR($P323*'Inputs Yr 2'!AD323,"")</f>
        <v/>
      </c>
      <c r="U323" s="194" t="str">
        <f>IFERROR(G323*'Inputs Yr 2'!$AE323*'Inputs Yr 2'!$P323*'Inputs Yr 2'!$Q323,"")</f>
        <v/>
      </c>
      <c r="V323" s="194" t="str">
        <f>IFERROR($G323*'Inputs Yr 2'!$AE323*'Inputs Yr 2'!$AG323*'Inputs Yr 2'!Q323*'Inputs Yr 2'!$S323,"")</f>
        <v/>
      </c>
      <c r="W323" s="194" t="str">
        <f>IFERROR($G323*'Inputs Yr 2'!$AE323*'Inputs Yr 2'!$AG323*'Inputs Yr 2'!P323*'Inputs Yr 2'!Q323*'Inputs Yr 2'!$S323,"")</f>
        <v/>
      </c>
      <c r="X323" s="194" t="str">
        <f>IFERROR($G323*'Inputs Yr 2'!$AE323*'Inputs Yr 2'!$AF323*'Inputs Yr 2'!Q323*'Inputs Yr 2'!$T323,"")</f>
        <v/>
      </c>
      <c r="Y323" s="194" t="str">
        <f>IFERROR($G323*'Inputs Yr 2'!$AE323*'Inputs Yr 2'!$AF323*'Inputs Yr 2'!P323*'Inputs Yr 2'!Q323*'Inputs Yr 2'!$T323,"")</f>
        <v/>
      </c>
      <c r="Z323" s="257">
        <f>IFERROR($G323*'Inputs Yr 2'!$Q323*'Inputs Yr 2'!$U323*(IF(IFERROR(SEARCH("NG", 'Inputs Yr 2'!$AJ323),0),'Inputs Yr 2'!$AK323,0)+IF(IFERROR(SEARCH("NG", 'Inputs Yr 2'!$AL323),0),'Inputs Yr 2'!$AM323,0)+IF(IFERROR(SEARCH("NG", 'Inputs Yr 2'!$AN323),0),'Inputs Yr 2'!$AO323,0)),0)</f>
        <v>0</v>
      </c>
      <c r="AA323" s="257">
        <f t="shared" si="146"/>
        <v>0</v>
      </c>
      <c r="AB323" s="257">
        <f>IFERROR(Z323*'Inputs Yr 2'!$P323,0)</f>
        <v>0</v>
      </c>
      <c r="AC323" s="257">
        <f t="shared" si="147"/>
        <v>0</v>
      </c>
      <c r="AD323" s="257">
        <f>IFERROR($G323*'Inputs Yr 2'!$Q323*'Inputs Yr 2'!$U323*(IF(IFERROR(SEARCH("Oil", 'Inputs Yr 2'!$AJ323), 0),'Inputs Yr 2'!$AK323,0)+IF(IFERROR(SEARCH("Oil", 'Inputs Yr 2'!$AL323), 0),'Inputs Yr 2'!$AM323,0)+IF(IFERROR(SEARCH("Oil", 'Inputs Yr 2'!$AN323), 0),'Inputs Yr 2'!$AO323,0)),0)</f>
        <v>0</v>
      </c>
      <c r="AE323" s="257">
        <f t="shared" si="148"/>
        <v>0</v>
      </c>
      <c r="AF323" s="257">
        <f>IFERROR(AD323*'Inputs Yr 2'!$P323,0)</f>
        <v>0</v>
      </c>
      <c r="AG323" s="257">
        <f t="shared" si="149"/>
        <v>0</v>
      </c>
      <c r="AH323" s="257">
        <f>IFERROR($G323*'Inputs Yr 2'!$Q323*'Inputs Yr 2'!$U323*(IF('Inputs Yr 2'!$AJ323=CD$4,'Inputs Yr 2'!$AK323,IF('Inputs Yr 2'!$AL323=CD$4,'Inputs Yr 2'!$AM323,IF('Inputs Yr 2'!$AN323=CD$4,'Inputs Yr 2'!$AO323,0)))),0)</f>
        <v>0</v>
      </c>
      <c r="AI323" s="257">
        <f t="shared" si="150"/>
        <v>0</v>
      </c>
      <c r="AJ323" s="257">
        <f>IFERROR(AH323*'Inputs Yr 2'!$P323,0)</f>
        <v>0</v>
      </c>
      <c r="AK323" s="257">
        <f t="shared" si="151"/>
        <v>0</v>
      </c>
      <c r="AL323" s="258">
        <f>IFERROR($G323*'Inputs Yr 2'!$P323*'Inputs Yr 2'!$Q323*'Inputs Yr 2'!AP323,0)</f>
        <v>0</v>
      </c>
      <c r="AM323" s="260">
        <f>IFERROR($G323*'Inputs Yr 2'!$P323*'Inputs Yr 2'!$Q323*'Inputs Yr 2'!AQ323,0)</f>
        <v>0</v>
      </c>
      <c r="AN323" s="258">
        <f>IFERROR($G323*'Inputs Yr 2'!$P323*'Inputs Yr 2'!$Q323*'Inputs Yr 2'!AR323,0)</f>
        <v>0</v>
      </c>
      <c r="AO323" s="257">
        <f t="shared" si="152"/>
        <v>0</v>
      </c>
      <c r="AP323" s="195" t="str">
        <f>IFERROR($CQ323*(INDEX(avoidedcosttbl2,$H323,AP$2)+(($H323-ROUNDDOWN($H323,0))*(INDEX(avoidedcosttbl2,ROUNDUP($H323,0),AP$2)-(INDEX(avoidedcosttbl2,ROUNDDOWN($H323,0),AP$2)))))*$O323*1000*'Inputs Yr 2'!AA323,"")</f>
        <v/>
      </c>
      <c r="AQ323" s="195" t="str">
        <f>IFERROR($CR323*(INDEX(avoidedcosttbl2,$H323,AQ$2)+(($H323-ROUNDDOWN($H323,0))*(INDEX(avoidedcosttbl2,ROUNDUP($H323,0),AQ$2)-(INDEX(avoidedcosttbl2,ROUNDDOWN($H323,0),AQ$2)))))*$O323*1000*'Inputs Yr 2'!AB323,"")</f>
        <v/>
      </c>
      <c r="AR323" s="195" t="str">
        <f>IFERROR($CS323*(INDEX(avoidedcosttbl2,$H323,AR$2)+(($H323-ROUNDDOWN($H323,0))*(INDEX(avoidedcosttbl2,ROUNDUP($H323,0),AR$2)-(INDEX(avoidedcosttbl2,ROUNDDOWN($H323,0),AR$2)))))*$O323*1000*'Inputs Yr 2'!AC323,"")</f>
        <v/>
      </c>
      <c r="AS323" s="195" t="str">
        <f>IFERROR($CT323*(INDEX(avoidedcosttbl2,$H323,AS$2)+(($H323-ROUNDDOWN($H323,0))*(INDEX(avoidedcosttbl2,ROUNDUP($H323,0),AS$2)-(INDEX(avoidedcosttbl2,ROUNDDOWN($H323,0),AS$2)))))*$O323*1000*'Inputs Yr 2'!AD323,"")</f>
        <v/>
      </c>
      <c r="AT323" s="196">
        <f t="shared" si="153"/>
        <v>0</v>
      </c>
      <c r="AU323" s="197" t="str">
        <f>IFERROR($CQ323*((INDEX(avoidedcosttbl2,$H323,AU$2))+(($H323-ROUNDDOWN($H323,0))*((INDEX(avoidedcosttbl2,ROUNDUP($H323,0),AU$2))-(INDEX(avoidedcosttbl2,ROUNDDOWN($H323,0),AU$2)))))*$O323*1000*'Inputs Yr 2'!AA323,"")</f>
        <v/>
      </c>
      <c r="AV323" s="197" t="str">
        <f>IFERROR($CR323*((INDEX(avoidedcosttbl2,$H323,AV$2))+(($H323-ROUNDDOWN($H323,0))*((INDEX(avoidedcosttbl2,ROUNDUP($H323,0),AV$2))-(INDEX(avoidedcosttbl2,ROUNDDOWN($H323,0),AV$2)))))*$O323*1000*'Inputs Yr 2'!AB323,"")</f>
        <v/>
      </c>
      <c r="AW323" s="197" t="str">
        <f>IFERROR($CS323*((INDEX(avoidedcosttbl2,$H323,AW$2))+(($H323-ROUNDDOWN($H323,0))*((INDEX(avoidedcosttbl2,ROUNDUP($H323,0),AW$2))-(INDEX(avoidedcosttbl2,ROUNDDOWN($H323,0),AW$2)))))*$O323*1000*'Inputs Yr 2'!AC323,"")</f>
        <v/>
      </c>
      <c r="AX323" s="197" t="str">
        <f>IFERROR($CT323*((INDEX(avoidedcosttbl2,$H323,AX$2))+(($H323-ROUNDDOWN($H323,0))*((INDEX(avoidedcosttbl2,ROUNDUP($H323,0),AX$2))-(INDEX(avoidedcosttbl2,ROUNDDOWN($H323,0),AX$2)))))*$O323*1000*'Inputs Yr 2'!AD323,"")</f>
        <v/>
      </c>
      <c r="AY323" s="197" t="str">
        <f>IFERROR(((INDEX(avoidedcosttbl2,$H323,AY$2))+(($H323-ROUNDDOWN($H323,0))*((INDEX(avoidedcosttbl2,ROUNDUP($H323,0),AY$2))-(INDEX(avoidedcosttbl2,ROUNDDOWN($H323,0),AY$2)))))*$O323*1000*('Inputs Yr 2'!AC323+'Inputs Yr 2'!AD323),"")</f>
        <v/>
      </c>
      <c r="AZ323" s="197" t="str">
        <f>IFERROR(((INDEX(avoidedcosttbl2,$H323,AZ$2))+(($H323-ROUNDDOWN($H323,0))*((INDEX(avoidedcosttbl2,ROUNDUP($H323,0),AZ$2))-(INDEX(avoidedcosttbl2,ROUNDDOWN($H323,0),AZ$2)))))*$O323*1000*('Inputs Yr 2'!AA323+'Inputs Yr 2'!AB323),"")</f>
        <v/>
      </c>
      <c r="BA323" s="198">
        <f t="shared" si="154"/>
        <v>0</v>
      </c>
      <c r="BB323" s="198">
        <f t="shared" si="155"/>
        <v>0</v>
      </c>
      <c r="BC323" s="195" t="str">
        <f t="shared" si="137"/>
        <v/>
      </c>
      <c r="BD323" s="195" t="str">
        <f t="shared" si="138"/>
        <v/>
      </c>
      <c r="BE323" s="195" t="str">
        <f t="shared" si="139"/>
        <v/>
      </c>
      <c r="BF323" s="195" t="str">
        <f t="shared" si="140"/>
        <v/>
      </c>
      <c r="BG323" s="195" t="str">
        <f t="shared" si="141"/>
        <v/>
      </c>
      <c r="BH323" s="196">
        <f t="shared" si="156"/>
        <v>0</v>
      </c>
      <c r="BI323" s="196">
        <f t="shared" si="157"/>
        <v>0</v>
      </c>
      <c r="BJ323" s="195" t="str">
        <f>IFERROR($G323*(IF('Inputs Yr 2'!$AJ323=BJ$4,'Inputs Yr 2'!$AK323,IF('Inputs Yr 2'!$AL323=BJ$4,'Inputs Yr 2'!$AM323,IF('Inputs Yr 2'!$AN323=BJ$4,'Inputs Yr 2'!$AO323,0))))*(INDEX(avoidedcosttbl2,$H323,BJ$2)+(($H323-ROUNDDOWN($H323,0))*(INDEX(avoidedcosttbl2,ROUNDUP($H323,0),BJ$2)-(INDEX(avoidedcosttbl2,ROUNDDOWN($H323,0),BJ$2)))))*'Inputs Yr 2'!P323*'Inputs Yr 2'!Q323*'Inputs Yr 2'!U323,"")</f>
        <v/>
      </c>
      <c r="BK323" s="195" t="str">
        <f>IFERROR($G323*(IF('Inputs Yr 2'!$AJ323=BK$4,'Inputs Yr 2'!$AK323,IF('Inputs Yr 2'!$AL323=BK$4,'Inputs Yr 2'!$AM323,IF('Inputs Yr 2'!$AN323=BK$4,'Inputs Yr 2'!$AO323,0))))*(INDEX(avoidedcosttbl2,$H323,BK$2)+(($H323-ROUNDDOWN($H323,0))*(INDEX(avoidedcosttbl2,ROUNDUP($H323,0),BK$2)-(INDEX(avoidedcosttbl2,ROUNDDOWN($H323,0),BK$2)))))*'Inputs Yr 2'!P323*'Inputs Yr 2'!Q323*'Inputs Yr 2'!U323,"")</f>
        <v/>
      </c>
      <c r="BL323" s="195" t="str">
        <f>IFERROR($G323*(IF('Inputs Yr 2'!$AJ323=BL$4,'Inputs Yr 2'!$AK323,IF('Inputs Yr 2'!$AL323=BL$4,'Inputs Yr 2'!$AM323,IF('Inputs Yr 2'!$AN323=BL$4,'Inputs Yr 2'!$AO323,0))))*(INDEX(avoidedcosttbl2,$H323,BL$2)+(($H323-ROUNDDOWN($H323,0))*(INDEX(avoidedcosttbl2,ROUNDUP($H323,0),BL$2)-(INDEX(avoidedcosttbl2,ROUNDDOWN($H323,0),BL$2)))))*'Inputs Yr 2'!P323*'Inputs Yr 2'!Q323*'Inputs Yr 2'!U323,"")</f>
        <v/>
      </c>
      <c r="BM323" s="195" t="str">
        <f>IFERROR($G323*(IF('Inputs Yr 2'!$AJ323=BM$4,'Inputs Yr 2'!$AK323,IF('Inputs Yr 2'!$AL323=BM$4,'Inputs Yr 2'!$AM323,IF('Inputs Yr 2'!$AN323=BM$4,'Inputs Yr 2'!$AO323,0))))*(INDEX(avoidedcosttbl2,$H323,BM$2)+(($H323-ROUNDDOWN($H323,0))*(INDEX(avoidedcosttbl2,ROUNDUP($H323,0),BM$2)-(INDEX(avoidedcosttbl2,ROUNDDOWN($H323,0),BM$2)))))*'Inputs Yr 2'!P323*'Inputs Yr 2'!Q323*'Inputs Yr 2'!U323,"")</f>
        <v/>
      </c>
      <c r="BN323" s="195" t="str">
        <f>IFERROR($G323*(IF('Inputs Yr 2'!$AJ323=BN$4,'Inputs Yr 2'!$AK323,IF('Inputs Yr 2'!$AL323=BN$4,'Inputs Yr 2'!$AM323,IF('Inputs Yr 2'!$AN323=BN$4,'Inputs Yr 2'!$AO323,0))))*(INDEX(avoidedcosttbl2,$H323,BN$2)+(($H323-ROUNDDOWN($H323,0))*(INDEX(avoidedcosttbl2,ROUNDUP($H323,0),BN$2)-(INDEX(avoidedcosttbl2,ROUNDDOWN($H323,0),BN$2)))))*'Inputs Yr 2'!P323*'Inputs Yr 2'!Q323*'Inputs Yr 2'!U323,"")</f>
        <v/>
      </c>
      <c r="BO323" s="195" t="str">
        <f>IFERROR($G323*(IF('Inputs Yr 2'!$AJ323=BO$4,'Inputs Yr 2'!$AK323,IF('Inputs Yr 2'!$AL323=BO$4,'Inputs Yr 2'!$AM323,IF('Inputs Yr 2'!$AN323=BO$4,'Inputs Yr 2'!$AO323,0))))*(INDEX(avoidedcosttbl2,$H323,BO$2)+(($H323-ROUNDDOWN($H323,0))*(INDEX(avoidedcosttbl2,ROUNDUP($H323,0),BO$2)-(INDEX(avoidedcosttbl2,ROUNDDOWN($H323,0),BO$2)))))*'Inputs Yr 2'!P323*'Inputs Yr 2'!Q323*'Inputs Yr 2'!U323,"")</f>
        <v/>
      </c>
      <c r="BP323" s="195" t="str">
        <f>IFERROR($G323*(IF('Inputs Yr 2'!$AJ323=BP$4,'Inputs Yr 2'!$AK323,IF('Inputs Yr 2'!$AL323=BP$4,'Inputs Yr 2'!$AM323,IF('Inputs Yr 2'!$AN323=BP$4,'Inputs Yr 2'!$AO323,0))))*(INDEX(avoidedcosttbl2,$H323,BP$2)+(($H323-ROUNDDOWN($H323,0))*(INDEX(avoidedcosttbl2,ROUNDUP($H323,0),BP$2)-(INDEX(avoidedcosttbl2,ROUNDDOWN($H323,0),BP$2)))))*'Inputs Yr 2'!P323*'Inputs Yr 2'!Q323*'Inputs Yr 2'!U323,"")</f>
        <v/>
      </c>
      <c r="BQ323" s="230">
        <f t="shared" si="158"/>
        <v>0</v>
      </c>
      <c r="BR323" s="197">
        <f t="shared" si="142"/>
        <v>0</v>
      </c>
      <c r="BS323" s="197" t="str">
        <f>IFERROR(($G323*IF('Inputs Yr 2'!$AJ323=BM$4,'Inputs Yr 2'!$AK323,IF('Inputs Yr 2'!$AL323=BM$4,'Inputs Yr 2'!$AM323,IF('Inputs Yr 2'!$AN323=BM$4,'Inputs Yr 2'!$AO323,0))))*(INDEX(avoidedcosttbl2,$H323,BS$2)+(($H323-ROUNDDOWN($H323,0))*(INDEX(avoidedcosttbl2,ROUNDUP($H323,0),BS$2)-(INDEX(avoidedcosttbl2,ROUNDDOWN($H323,0),BS$2)))))*'Inputs Yr 2'!P323*'Inputs Yr 2'!Q323*'Inputs Yr 2'!U323,"")</f>
        <v/>
      </c>
      <c r="BT323" s="197" t="str">
        <f>IFERROR(($G323*IF('Inputs Yr 2'!$AJ323=BK$4,'Inputs Yr 2'!$AK323,IF('Inputs Yr 2'!$AL323=BK$4,'Inputs Yr 2'!$AM323,IF('Inputs Yr 2'!$AN323=BK$4,'Inputs Yr 2'!$AO323,0))))*(INDEX(avoidedcosttbl2,$H323,BT$2)+(($H323-ROUNDDOWN($H323,0))*(INDEX(avoidedcosttbl2,ROUNDUP($H323,0),BT$2)-(INDEX(avoidedcosttbl2,ROUNDDOWN($H323,0),BT$2)))))*'Inputs Yr 2'!P323*'Inputs Yr 2'!Q323*'Inputs Yr 2'!U323,"")</f>
        <v/>
      </c>
      <c r="BU323" s="197" t="str">
        <f>IFERROR(($G323*IF('Inputs Yr 2'!$AJ323=BL$4,'Inputs Yr 2'!$AK323,IF('Inputs Yr 2'!$AL323=BL$4,'Inputs Yr 2'!$AM323,IF('Inputs Yr 2'!$AN323=BL$4,'Inputs Yr 2'!$AO323,0))))*(INDEX(avoidedcosttbl2,$H323,BU$2)+(($H323-ROUNDDOWN($H323,0))*(INDEX(avoidedcosttbl2,ROUNDUP($H323,0),BU$2)-(INDEX(avoidedcosttbl2,ROUNDDOWN($H323,0),BU$2)))))*'Inputs Yr 2'!P323*'Inputs Yr 2'!Q323*'Inputs Yr 2'!U323,"")</f>
        <v/>
      </c>
      <c r="BV323" s="775" t="str">
        <f>IFERROR(($G323*IF('Inputs Yr 2'!$AJ323=BJ$4,'Inputs Yr 2'!$AK323,IF('Inputs Yr 2'!$AL323=BJ$4,'Inputs Yr 2'!$AM323,IF('Inputs Yr 2'!$AN323=BJ$4,'Inputs Yr 2'!$AO323,0))))*(INDEX(avoidedcosttbl2,$H323,BV$2)+(($H323-ROUNDDOWN($H323,0))*(INDEX(avoidedcosttbl2,ROUNDUP($H323,0),BV$2)-(INDEX(avoidedcosttbl2,ROUNDDOWN($H323,0),BV$2)))))*'Inputs Yr 2'!P323*'Inputs Yr 2'!Q323*'Inputs Yr 2'!U323,"")</f>
        <v/>
      </c>
      <c r="BW323" s="197" t="str">
        <f>IFERROR(($G323*IF('Inputs Yr 2'!$AJ323=BN$4,'Inputs Yr 2'!$AK323,IF('Inputs Yr 2'!$AL323=BN$4,'Inputs Yr 2'!$AM323,IF('Inputs Yr 2'!$AN323=BN$4,'Inputs Yr 2'!$AO323,0))))*(INDEX(avoidedcosttbl2,$H323,BW$2)+(($H323-ROUNDDOWN($H323,0))*(INDEX(avoidedcosttbl2,ROUNDUP($H323,0),BW$2)-(INDEX(avoidedcosttbl2,ROUNDDOWN($H323,0),BW$2)))))*'Inputs Yr 2'!P323*'Inputs Yr 2'!Q323*'Inputs Yr 2'!U323,"")</f>
        <v/>
      </c>
      <c r="BX323" s="197" t="str">
        <f>IFERROR(($G323*IF('Inputs Yr 2'!$AJ323=BO$4,'Inputs Yr 2'!$AK323,IF('Inputs Yr 2'!$AL323=BO$4,'Inputs Yr 2'!$AM323,IF('Inputs Yr 2'!$AN323=BO$4,'Inputs Yr 2'!$AO323,0))))*(INDEX(avoidedcosttbl2,$H323,BX$2)+(($H323-ROUNDDOWN($H323,0))*(INDEX(avoidedcosttbl2,ROUNDUP($H323,0),BX$2)-(INDEX(avoidedcosttbl2,ROUNDDOWN($H323,0),BX$2)))))*'Inputs Yr 2'!P323*'Inputs Yr 2'!Q323*'Inputs Yr 2'!U323,"")</f>
        <v/>
      </c>
      <c r="BY323" s="197" t="str">
        <f>IFERROR(($G323*IF('Inputs Yr 2'!$AJ323=BP$4,'Inputs Yr 2'!$AK323,IF('Inputs Yr 2'!$AL323=BP$4,'Inputs Yr 2'!$AM323,IF('Inputs Yr 2'!$AN323=BP$4,'Inputs Yr 2'!$AO323,0))))*(INDEX(avoidedcosttbl2,$H323,BY$2)+(($H323-ROUNDDOWN($H323,0))*(INDEX(avoidedcosttbl2,ROUNDUP($H323,0),BY$2)-(INDEX(avoidedcosttbl2,ROUNDDOWN($H323,0),BY$2)))))*'Inputs Yr 2'!P323*'Inputs Yr 2'!Q323*'Inputs Yr 2'!U323,"")</f>
        <v/>
      </c>
      <c r="BZ323" s="193">
        <f t="shared" si="159"/>
        <v>0</v>
      </c>
      <c r="CA323" s="193">
        <f t="shared" si="160"/>
        <v>0</v>
      </c>
      <c r="CB323" s="195" t="str">
        <f>IFERROR(G323*(IF('Inputs Yr 2'!$AJ323=CB$4,'Inputs Yr 2'!$AK323,IF('Inputs Yr 2'!$AL323=CB$4,'Inputs Yr 2'!$AM323,IF('Inputs Yr 2'!$AN323=CB$4,'Inputs Yr 2'!$AO323,0))))*(INDEX(avoidedcosttbl2,$H323,CB$2)+(($H323-ROUNDDOWN($H323,0))*(INDEX(avoidedcosttbl2,ROUNDUP($H323,0),CB$2)-(INDEX(avoidedcosttbl2,ROUNDDOWN($H323,0),CB$2)))))*'Inputs Yr 2'!P323*'Inputs Yr 2'!Q323*'Inputs Yr 2'!U323,"")</f>
        <v/>
      </c>
      <c r="CC323" s="195">
        <f>IFERROR(H323*(IF('Inputs Yr 2'!$AJ323=CC$4,'Inputs Yr 2'!$AK323,IF('Inputs Yr 2'!$AL323=CC$4,'Inputs Yr 2'!$AM323,IF('Inputs Yr 2'!$AN323=CC$4,'Inputs Yr 2'!$AO323,0))))*(INDEX(avoidedcosttbl2,$H323,CC$2)+(($H323-ROUNDDOWN($H323,0))*(INDEX(avoidedcosttbl2,ROUNDUP($H323,0),CC$2)-(INDEX(avoidedcosttbl2,ROUNDDOWN($H323,0),CC$2)))))*'Inputs Yr 2'!Q323*'Inputs Yr 2'!R323*'Inputs Yr 2'!V323,"")</f>
        <v>0</v>
      </c>
      <c r="CD323" s="195" t="str">
        <f>IFERROR(I323*(IF('Inputs Yr 2'!$AJ323=CD$4,'Inputs Yr 2'!$AK323,IF('Inputs Yr 2'!$AL323=CD$4,'Inputs Yr 2'!$AM323,IF('Inputs Yr 2'!$AN323=CD$4,'Inputs Yr 2'!$AO323,0))))*(INDEX(avoidedcosttbl2,$H323,CD$2)+(($H323-ROUNDDOWN($H323,0))*(INDEX(avoidedcosttbl2,ROUNDUP($H323,0),CD$2)-(INDEX(avoidedcosttbl2,ROUNDDOWN($H323,0),CD$2)))))*'Inputs Yr 2'!R323*'Inputs Yr 2'!S323*'Inputs Yr 2'!W323,"")</f>
        <v/>
      </c>
      <c r="CE323" s="213">
        <f t="shared" si="161"/>
        <v>0</v>
      </c>
      <c r="CF323" s="213">
        <f t="shared" si="162"/>
        <v>0</v>
      </c>
      <c r="CG323" s="213">
        <f t="shared" si="163"/>
        <v>0</v>
      </c>
      <c r="CH323" s="698">
        <f t="shared" si="164"/>
        <v>0</v>
      </c>
      <c r="CI323" s="79" t="str">
        <f>IFERROR(($G323*'Inputs Yr 2'!$P323*'Inputs Yr 2'!$Q323*(((INDEX(avoidedcosttbl2,$H323,CI$2)+(($H323-ROUNDDOWN($H323,0))*(INDEX(avoidedcosttbl2,ROUNDUP($H323,0),CI$2)-INDEX(avoidedcosttbl2,ROUNDDOWN($H323,0),CI$2))))*'Inputs Yr 2'!AS323))),"")</f>
        <v/>
      </c>
      <c r="CJ323" s="504" t="str">
        <f>IFERROR($G323*'Inputs Yr 2'!AT323*'Inputs Yr 2'!$P323*'Inputs Yr 2'!$Q323/((1+realdiscrt1)^-0.5),"")</f>
        <v/>
      </c>
      <c r="CK323" s="79" t="str">
        <f>IFERROR((O323*1000*(((INDEX(avoidedcosttbl2,$H323,CK$2)+(($H323-ROUNDDOWN($H323,0))*(INDEX(avoidedcosttbl2,ROUNDUP($H323,0),CK$2)-INDEX(avoidedcosttbl2,ROUNDDOWN($H323,0),CK$2))))*'Inputs Yr 2'!AU323))),"")</f>
        <v/>
      </c>
      <c r="CL323" s="504" t="str">
        <f>IFERROR(O323*1000*'Inputs Yr 2'!AV323/((1+realdiscrt1)^-0.5),"")</f>
        <v/>
      </c>
      <c r="CM323" s="79">
        <f>IFERROR((AB323*'Inputs Yr 2'!AW323*(((INDEX(avoidedcosttbl2,$H323,CM$2)+(($H323-ROUNDDOWN($H323,0))*(INDEX(avoidedcosttbl2,ROUNDUP($H323,0),CM$2)-INDEX(avoidedcosttbl2,ROUNDDOWN($H323,0),CM$2)))))))*10,"")</f>
        <v>0</v>
      </c>
      <c r="CN323" s="504">
        <f>IFERROR(10*AB323*'Inputs Yr 2'!AX323/((1+realdiscrt1)^-0.5),"")</f>
        <v>0</v>
      </c>
      <c r="CO323" s="505">
        <f t="shared" si="165"/>
        <v>0</v>
      </c>
      <c r="CP323" s="230">
        <f t="shared" si="166"/>
        <v>0</v>
      </c>
      <c r="CQ323" s="199">
        <f>ROUND(IFERROR(IF(LEFT($A323,1)="C",'Avoided Costs'!$K$13,'Avoided Costs'!$K$12)+1,""),4)</f>
        <v>1.0720000000000001</v>
      </c>
      <c r="CR323" s="199">
        <f>ROUND(IFERROR(IF(LEFT($A323,1)="C",'Avoided Costs'!$L$13,'Avoided Costs'!$L$12)+1,""),4)</f>
        <v>1.04</v>
      </c>
      <c r="CS323" s="199">
        <f>ROUND(IFERROR(IF(LEFT($A323,1)="C",'Avoided Costs'!$M$13,'Avoided Costs'!$M$12)+1,""),4)</f>
        <v>1.0720000000000001</v>
      </c>
      <c r="CT323" s="199">
        <f>ROUND(IFERROR(IF(LEFT($A323,1)="C",'Avoided Costs'!$N$13,'Avoided Costs'!$N$12)+1,""),4)</f>
        <v>1.04</v>
      </c>
      <c r="CU323" s="199">
        <f>ROUND(IFERROR(IF(LEFT($A323,1)="C",'Avoided Costs'!$O$13,'Avoided Costs'!$O$12)+1,""),4)</f>
        <v>1.1120000000000001</v>
      </c>
      <c r="CV323" s="199">
        <f>ROUND(IFERROR(IF(LEFT($A323,1)="C",'Avoided Costs'!$P$13,'Avoided Costs'!$P$12)+1,""),4)</f>
        <v>1.095</v>
      </c>
      <c r="CW323" s="199">
        <f>ROUND(IFERROR(IF(LEFT($A323,1)="C",'Avoided Costs'!$Q$13,'Avoided Costs'!$Q$12)+1,""),4)</f>
        <v>1.1120000000000001</v>
      </c>
      <c r="CX323" s="200">
        <f>ROUND(IFERROR(IF(LEFT($A323,1)="C",'Avoided Costs'!$R$13,'Avoided Costs'!$R$12)+1,""),4)</f>
        <v>1.1120000000000001</v>
      </c>
    </row>
    <row r="324" spans="1:102" ht="12.75" customHeight="1">
      <c r="A324" s="91" t="str">
        <f>IF('Inputs Yr 2'!$B324=0,"",'Inputs Yr 2'!A324)</f>
        <v>C - Commercial &amp; Industrial</v>
      </c>
      <c r="B324" s="91" t="str">
        <f>IF('Inputs Yr 2'!$B324=0,"",'Inputs Yr 2'!B324)</f>
        <v>C2 - C&amp;I Retrofit</v>
      </c>
      <c r="C324" s="91" t="str">
        <f>IF('Inputs Yr 2'!$B324=0,"",'Inputs Yr 2'!C324)</f>
        <v>C2b - C&amp;I Small Business</v>
      </c>
      <c r="D324" s="91" t="str">
        <f>IF('Inputs Yr 2'!$B324=0,"",'Inputs Yr 2'!E324)</f>
        <v>Control - Custom 10</v>
      </c>
      <c r="E324" s="93" t="str">
        <f>IF('Inputs Yr 2'!$B324=0,"",'Inputs Yr 2'!F324)</f>
        <v>G16C2b29</v>
      </c>
      <c r="F324" s="93" t="str">
        <f>IF('Inputs Yr 2'!$B324=0,"",'Inputs Yr 2'!G324)</f>
        <v>HVAC</v>
      </c>
      <c r="G324" s="95">
        <f>IF('Inputs Yr 2'!$H324&lt;&gt;0,('Inputs Yr 2'!H324),"")</f>
        <v>1</v>
      </c>
      <c r="H324" s="94">
        <f>IFERROR('Inputs Yr 2'!I324,"")</f>
        <v>10</v>
      </c>
      <c r="I324" s="298">
        <f>IFERROR('Inputs Yr 2'!J324*'Inputs Yr 2'!P324*G324,"")</f>
        <v>12094.04</v>
      </c>
      <c r="J324" s="298">
        <f>IFERROR('Inputs Yr 2'!K324*G324,"")</f>
        <v>9870</v>
      </c>
      <c r="K324" s="298">
        <f t="shared" si="143"/>
        <v>2224.0400000000009</v>
      </c>
      <c r="L324" s="194">
        <f>IFERROR(('Inputs Yr 2'!W324*G324)/1000,"")</f>
        <v>0</v>
      </c>
      <c r="M324" s="194">
        <f>IFERROR(L324*('Inputs Yr 2'!$Q324*'Inputs Yr 2'!$V324*'Inputs Yr 2'!$R324),"")</f>
        <v>0</v>
      </c>
      <c r="N324" s="194">
        <f t="shared" si="144"/>
        <v>0</v>
      </c>
      <c r="O324" s="194">
        <f>IFERROR(M324*'Inputs Yr 2'!P324,"")</f>
        <v>0</v>
      </c>
      <c r="P324" s="194">
        <f t="shared" si="145"/>
        <v>0</v>
      </c>
      <c r="Q324" s="194">
        <f>IFERROR($P324*'Inputs Yr 2'!AA324,"")</f>
        <v>0</v>
      </c>
      <c r="R324" s="194">
        <f>IFERROR($P324*'Inputs Yr 2'!AB324,"")</f>
        <v>0</v>
      </c>
      <c r="S324" s="194">
        <f>IFERROR($P324*'Inputs Yr 2'!AC324,"")</f>
        <v>0</v>
      </c>
      <c r="T324" s="194">
        <f>IFERROR($P324*'Inputs Yr 2'!AD324,"")</f>
        <v>0</v>
      </c>
      <c r="U324" s="194">
        <f>IFERROR(G324*'Inputs Yr 2'!$AE324*'Inputs Yr 2'!$P324*'Inputs Yr 2'!$Q324,"")</f>
        <v>0</v>
      </c>
      <c r="V324" s="194">
        <f>IFERROR($G324*'Inputs Yr 2'!$AE324*'Inputs Yr 2'!$AG324*'Inputs Yr 2'!Q324*'Inputs Yr 2'!$S324,"")</f>
        <v>0</v>
      </c>
      <c r="W324" s="194">
        <f>IFERROR($G324*'Inputs Yr 2'!$AE324*'Inputs Yr 2'!$AG324*'Inputs Yr 2'!P324*'Inputs Yr 2'!Q324*'Inputs Yr 2'!$S324,"")</f>
        <v>0</v>
      </c>
      <c r="X324" s="194">
        <f>IFERROR($G324*'Inputs Yr 2'!$AE324*'Inputs Yr 2'!$AF324*'Inputs Yr 2'!Q324*'Inputs Yr 2'!$T324,"")</f>
        <v>0</v>
      </c>
      <c r="Y324" s="194">
        <f>IFERROR($G324*'Inputs Yr 2'!$AE324*'Inputs Yr 2'!$AF324*'Inputs Yr 2'!P324*'Inputs Yr 2'!Q324*'Inputs Yr 2'!$T324,"")</f>
        <v>0</v>
      </c>
      <c r="Z324" s="257">
        <f>IFERROR($G324*'Inputs Yr 2'!$Q324*'Inputs Yr 2'!$U324*(IF(IFERROR(SEARCH("NG", 'Inputs Yr 2'!$AJ324),0),'Inputs Yr 2'!$AK324,0)+IF(IFERROR(SEARCH("NG", 'Inputs Yr 2'!$AL324),0),'Inputs Yr 2'!$AM324,0)+IF(IFERROR(SEARCH("NG", 'Inputs Yr 2'!$AN324),0),'Inputs Yr 2'!$AO324,0)),0)</f>
        <v>140.84320000000002</v>
      </c>
      <c r="AA324" s="257">
        <f t="shared" si="146"/>
        <v>1408.4320000000002</v>
      </c>
      <c r="AB324" s="257">
        <f>IFERROR(Z324*'Inputs Yr 2'!$P324,0)</f>
        <v>129.43490080000004</v>
      </c>
      <c r="AC324" s="257">
        <f t="shared" si="147"/>
        <v>1294.3490080000004</v>
      </c>
      <c r="AD324" s="257">
        <f>IFERROR($G324*'Inputs Yr 2'!$Q324*'Inputs Yr 2'!$U324*(IF(IFERROR(SEARCH("Oil", 'Inputs Yr 2'!$AJ324), 0),'Inputs Yr 2'!$AK324,0)+IF(IFERROR(SEARCH("Oil", 'Inputs Yr 2'!$AL324), 0),'Inputs Yr 2'!$AM324,0)+IF(IFERROR(SEARCH("Oil", 'Inputs Yr 2'!$AN324), 0),'Inputs Yr 2'!$AO324,0)),0)</f>
        <v>0</v>
      </c>
      <c r="AE324" s="257">
        <f t="shared" si="148"/>
        <v>0</v>
      </c>
      <c r="AF324" s="257">
        <f>IFERROR(AD324*'Inputs Yr 2'!$P324,0)</f>
        <v>0</v>
      </c>
      <c r="AG324" s="257">
        <f t="shared" si="149"/>
        <v>0</v>
      </c>
      <c r="AH324" s="257">
        <f>IFERROR($G324*'Inputs Yr 2'!$Q324*'Inputs Yr 2'!$U324*(IF('Inputs Yr 2'!$AJ324=CD$4,'Inputs Yr 2'!$AK324,IF('Inputs Yr 2'!$AL324=CD$4,'Inputs Yr 2'!$AM324,IF('Inputs Yr 2'!$AN324=CD$4,'Inputs Yr 2'!$AO324,0)))),0)</f>
        <v>0</v>
      </c>
      <c r="AI324" s="257">
        <f t="shared" si="150"/>
        <v>0</v>
      </c>
      <c r="AJ324" s="257">
        <f>IFERROR(AH324*'Inputs Yr 2'!$P324,0)</f>
        <v>0</v>
      </c>
      <c r="AK324" s="257">
        <f t="shared" si="151"/>
        <v>0</v>
      </c>
      <c r="AL324" s="258">
        <f>IFERROR($G324*'Inputs Yr 2'!$P324*'Inputs Yr 2'!$Q324*'Inputs Yr 2'!AP324,0)</f>
        <v>0</v>
      </c>
      <c r="AM324" s="260">
        <f>IFERROR($G324*'Inputs Yr 2'!$P324*'Inputs Yr 2'!$Q324*'Inputs Yr 2'!AQ324,0)</f>
        <v>0</v>
      </c>
      <c r="AN324" s="258">
        <f>IFERROR($G324*'Inputs Yr 2'!$P324*'Inputs Yr 2'!$Q324*'Inputs Yr 2'!AR324,0)</f>
        <v>0</v>
      </c>
      <c r="AO324" s="257">
        <f t="shared" si="152"/>
        <v>0</v>
      </c>
      <c r="AP324" s="195">
        <f>IFERROR($CQ324*(INDEX(avoidedcosttbl2,$H324,AP$2)+(($H324-ROUNDDOWN($H324,0))*(INDEX(avoidedcosttbl2,ROUNDUP($H324,0),AP$2)-(INDEX(avoidedcosttbl2,ROUNDDOWN($H324,0),AP$2)))))*$O324*1000*'Inputs Yr 2'!AA324,"")</f>
        <v>0</v>
      </c>
      <c r="AQ324" s="195">
        <f>IFERROR($CR324*(INDEX(avoidedcosttbl2,$H324,AQ$2)+(($H324-ROUNDDOWN($H324,0))*(INDEX(avoidedcosttbl2,ROUNDUP($H324,0),AQ$2)-(INDEX(avoidedcosttbl2,ROUNDDOWN($H324,0),AQ$2)))))*$O324*1000*'Inputs Yr 2'!AB324,"")</f>
        <v>0</v>
      </c>
      <c r="AR324" s="195">
        <f>IFERROR($CS324*(INDEX(avoidedcosttbl2,$H324,AR$2)+(($H324-ROUNDDOWN($H324,0))*(INDEX(avoidedcosttbl2,ROUNDUP($H324,0),AR$2)-(INDEX(avoidedcosttbl2,ROUNDDOWN($H324,0),AR$2)))))*$O324*1000*'Inputs Yr 2'!AC324,"")</f>
        <v>0</v>
      </c>
      <c r="AS324" s="195">
        <f>IFERROR($CT324*(INDEX(avoidedcosttbl2,$H324,AS$2)+(($H324-ROUNDDOWN($H324,0))*(INDEX(avoidedcosttbl2,ROUNDUP($H324,0),AS$2)-(INDEX(avoidedcosttbl2,ROUNDDOWN($H324,0),AS$2)))))*$O324*1000*'Inputs Yr 2'!AD324,"")</f>
        <v>0</v>
      </c>
      <c r="AT324" s="196">
        <f t="shared" si="153"/>
        <v>0</v>
      </c>
      <c r="AU324" s="197">
        <f>IFERROR($CQ324*((INDEX(avoidedcosttbl2,$H324,AU$2))+(($H324-ROUNDDOWN($H324,0))*((INDEX(avoidedcosttbl2,ROUNDUP($H324,0),AU$2))-(INDEX(avoidedcosttbl2,ROUNDDOWN($H324,0),AU$2)))))*$O324*1000*'Inputs Yr 2'!AA324,"")</f>
        <v>0</v>
      </c>
      <c r="AV324" s="197">
        <f>IFERROR($CR324*((INDEX(avoidedcosttbl2,$H324,AV$2))+(($H324-ROUNDDOWN($H324,0))*((INDEX(avoidedcosttbl2,ROUNDUP($H324,0),AV$2))-(INDEX(avoidedcosttbl2,ROUNDDOWN($H324,0),AV$2)))))*$O324*1000*'Inputs Yr 2'!AB324,"")</f>
        <v>0</v>
      </c>
      <c r="AW324" s="197">
        <f>IFERROR($CS324*((INDEX(avoidedcosttbl2,$H324,AW$2))+(($H324-ROUNDDOWN($H324,0))*((INDEX(avoidedcosttbl2,ROUNDUP($H324,0),AW$2))-(INDEX(avoidedcosttbl2,ROUNDDOWN($H324,0),AW$2)))))*$O324*1000*'Inputs Yr 2'!AC324,"")</f>
        <v>0</v>
      </c>
      <c r="AX324" s="197">
        <f>IFERROR($CT324*((INDEX(avoidedcosttbl2,$H324,AX$2))+(($H324-ROUNDDOWN($H324,0))*((INDEX(avoidedcosttbl2,ROUNDUP($H324,0),AX$2))-(INDEX(avoidedcosttbl2,ROUNDDOWN($H324,0),AX$2)))))*$O324*1000*'Inputs Yr 2'!AD324,"")</f>
        <v>0</v>
      </c>
      <c r="AY324" s="197">
        <f>IFERROR(((INDEX(avoidedcosttbl2,$H324,AY$2))+(($H324-ROUNDDOWN($H324,0))*((INDEX(avoidedcosttbl2,ROUNDUP($H324,0),AY$2))-(INDEX(avoidedcosttbl2,ROUNDDOWN($H324,0),AY$2)))))*$O324*1000*('Inputs Yr 2'!AC324+'Inputs Yr 2'!AD324),"")</f>
        <v>0</v>
      </c>
      <c r="AZ324" s="197">
        <f>IFERROR(((INDEX(avoidedcosttbl2,$H324,AZ$2))+(($H324-ROUNDDOWN($H324,0))*((INDEX(avoidedcosttbl2,ROUNDUP($H324,0),AZ$2))-(INDEX(avoidedcosttbl2,ROUNDDOWN($H324,0),AZ$2)))))*$O324*1000*('Inputs Yr 2'!AA324+'Inputs Yr 2'!AB324),"")</f>
        <v>0</v>
      </c>
      <c r="BA324" s="198">
        <f t="shared" si="154"/>
        <v>0</v>
      </c>
      <c r="BB324" s="198">
        <f t="shared" si="155"/>
        <v>0</v>
      </c>
      <c r="BC324" s="195">
        <f t="shared" si="137"/>
        <v>0</v>
      </c>
      <c r="BD324" s="195">
        <f t="shared" si="138"/>
        <v>0</v>
      </c>
      <c r="BE324" s="195">
        <f t="shared" si="139"/>
        <v>0</v>
      </c>
      <c r="BF324" s="195">
        <f t="shared" si="140"/>
        <v>0</v>
      </c>
      <c r="BG324" s="195">
        <f t="shared" si="141"/>
        <v>0</v>
      </c>
      <c r="BH324" s="196">
        <f t="shared" si="156"/>
        <v>0</v>
      </c>
      <c r="BI324" s="196">
        <f t="shared" si="157"/>
        <v>0</v>
      </c>
      <c r="BJ324" s="195">
        <f>IFERROR($G324*(IF('Inputs Yr 2'!$AJ324=BJ$4,'Inputs Yr 2'!$AK324,IF('Inputs Yr 2'!$AL324=BJ$4,'Inputs Yr 2'!$AM324,IF('Inputs Yr 2'!$AN324=BJ$4,'Inputs Yr 2'!$AO324,0))))*(INDEX(avoidedcosttbl2,$H324,BJ$2)+(($H324-ROUNDDOWN($H324,0))*(INDEX(avoidedcosttbl2,ROUNDUP($H324,0),BJ$2)-(INDEX(avoidedcosttbl2,ROUNDDOWN($H324,0),BJ$2)))))*'Inputs Yr 2'!P324*'Inputs Yr 2'!Q324*'Inputs Yr 2'!U324,"")</f>
        <v>0</v>
      </c>
      <c r="BK324" s="195">
        <f>IFERROR($G324*(IF('Inputs Yr 2'!$AJ324=BK$4,'Inputs Yr 2'!$AK324,IF('Inputs Yr 2'!$AL324=BK$4,'Inputs Yr 2'!$AM324,IF('Inputs Yr 2'!$AN324=BK$4,'Inputs Yr 2'!$AO324,0))))*(INDEX(avoidedcosttbl2,$H324,BK$2)+(($H324-ROUNDDOWN($H324,0))*(INDEX(avoidedcosttbl2,ROUNDUP($H324,0),BK$2)-(INDEX(avoidedcosttbl2,ROUNDDOWN($H324,0),BK$2)))))*'Inputs Yr 2'!P324*'Inputs Yr 2'!Q324*'Inputs Yr 2'!U324,"")</f>
        <v>0</v>
      </c>
      <c r="BL324" s="195">
        <f>IFERROR($G324*(IF('Inputs Yr 2'!$AJ324=BL$4,'Inputs Yr 2'!$AK324,IF('Inputs Yr 2'!$AL324=BL$4,'Inputs Yr 2'!$AM324,IF('Inputs Yr 2'!$AN324=BL$4,'Inputs Yr 2'!$AO324,0))))*(INDEX(avoidedcosttbl2,$H324,BL$2)+(($H324-ROUNDDOWN($H324,0))*(INDEX(avoidedcosttbl2,ROUNDUP($H324,0),BL$2)-(INDEX(avoidedcosttbl2,ROUNDDOWN($H324,0),BL$2)))))*'Inputs Yr 2'!P324*'Inputs Yr 2'!Q324*'Inputs Yr 2'!U324,"")</f>
        <v>0</v>
      </c>
      <c r="BM324" s="195">
        <f>IFERROR($G324*(IF('Inputs Yr 2'!$AJ324=BM$4,'Inputs Yr 2'!$AK324,IF('Inputs Yr 2'!$AL324=BM$4,'Inputs Yr 2'!$AM324,IF('Inputs Yr 2'!$AN324=BM$4,'Inputs Yr 2'!$AO324,0))))*(INDEX(avoidedcosttbl2,$H324,BM$2)+(($H324-ROUNDDOWN($H324,0))*(INDEX(avoidedcosttbl2,ROUNDUP($H324,0),BM$2)-(INDEX(avoidedcosttbl2,ROUNDDOWN($H324,0),BM$2)))))*'Inputs Yr 2'!P324*'Inputs Yr 2'!Q324*'Inputs Yr 2'!U324,"")</f>
        <v>0</v>
      </c>
      <c r="BN324" s="195">
        <f>IFERROR($G324*(IF('Inputs Yr 2'!$AJ324=BN$4,'Inputs Yr 2'!$AK324,IF('Inputs Yr 2'!$AL324=BN$4,'Inputs Yr 2'!$AM324,IF('Inputs Yr 2'!$AN324=BN$4,'Inputs Yr 2'!$AO324,0))))*(INDEX(avoidedcosttbl2,$H324,BN$2)+(($H324-ROUNDDOWN($H324,0))*(INDEX(avoidedcosttbl2,ROUNDUP($H324,0),BN$2)-(INDEX(avoidedcosttbl2,ROUNDDOWN($H324,0),BN$2)))))*'Inputs Yr 2'!P324*'Inputs Yr 2'!Q324*'Inputs Yr 2'!U324,"")</f>
        <v>0</v>
      </c>
      <c r="BO324" s="195">
        <f>IFERROR($G324*(IF('Inputs Yr 2'!$AJ324=BO$4,'Inputs Yr 2'!$AK324,IF('Inputs Yr 2'!$AL324=BO$4,'Inputs Yr 2'!$AM324,IF('Inputs Yr 2'!$AN324=BO$4,'Inputs Yr 2'!$AO324,0))))*(INDEX(avoidedcosttbl2,$H324,BO$2)+(($H324-ROUNDDOWN($H324,0))*(INDEX(avoidedcosttbl2,ROUNDUP($H324,0),BO$2)-(INDEX(avoidedcosttbl2,ROUNDDOWN($H324,0),BO$2)))))*'Inputs Yr 2'!P324*'Inputs Yr 2'!Q324*'Inputs Yr 2'!U324,"")</f>
        <v>9834.6380193692767</v>
      </c>
      <c r="BP324" s="195">
        <f>IFERROR($G324*(IF('Inputs Yr 2'!$AJ324=BP$4,'Inputs Yr 2'!$AK324,IF('Inputs Yr 2'!$AL324=BP$4,'Inputs Yr 2'!$AM324,IF('Inputs Yr 2'!$AN324=BP$4,'Inputs Yr 2'!$AO324,0))))*(INDEX(avoidedcosttbl2,$H324,BP$2)+(($H324-ROUNDDOWN($H324,0))*(INDEX(avoidedcosttbl2,ROUNDUP($H324,0),BP$2)-(INDEX(avoidedcosttbl2,ROUNDDOWN($H324,0),BP$2)))))*'Inputs Yr 2'!P324*'Inputs Yr 2'!Q324*'Inputs Yr 2'!U324,"")</f>
        <v>0</v>
      </c>
      <c r="BQ324" s="230">
        <f t="shared" si="158"/>
        <v>9834.6380193692767</v>
      </c>
      <c r="BR324" s="197">
        <f t="shared" si="142"/>
        <v>177.35692189440059</v>
      </c>
      <c r="BS324" s="197">
        <f>IFERROR(($G324*IF('Inputs Yr 2'!$AJ324=BM$4,'Inputs Yr 2'!$AK324,IF('Inputs Yr 2'!$AL324=BM$4,'Inputs Yr 2'!$AM324,IF('Inputs Yr 2'!$AN324=BM$4,'Inputs Yr 2'!$AO324,0))))*(INDEX(avoidedcosttbl2,$H324,BS$2)+(($H324-ROUNDDOWN($H324,0))*(INDEX(avoidedcosttbl2,ROUNDUP($H324,0),BS$2)-(INDEX(avoidedcosttbl2,ROUNDDOWN($H324,0),BS$2)))))*'Inputs Yr 2'!P324*'Inputs Yr 2'!Q324*'Inputs Yr 2'!U324,"")</f>
        <v>0</v>
      </c>
      <c r="BT324" s="197">
        <f>IFERROR(($G324*IF('Inputs Yr 2'!$AJ324=BK$4,'Inputs Yr 2'!$AK324,IF('Inputs Yr 2'!$AL324=BK$4,'Inputs Yr 2'!$AM324,IF('Inputs Yr 2'!$AN324=BK$4,'Inputs Yr 2'!$AO324,0))))*(INDEX(avoidedcosttbl2,$H324,BT$2)+(($H324-ROUNDDOWN($H324,0))*(INDEX(avoidedcosttbl2,ROUNDUP($H324,0),BT$2)-(INDEX(avoidedcosttbl2,ROUNDDOWN($H324,0),BT$2)))))*'Inputs Yr 2'!P324*'Inputs Yr 2'!Q324*'Inputs Yr 2'!U324,"")</f>
        <v>0</v>
      </c>
      <c r="BU324" s="197">
        <f>IFERROR(($G324*IF('Inputs Yr 2'!$AJ324=BL$4,'Inputs Yr 2'!$AK324,IF('Inputs Yr 2'!$AL324=BL$4,'Inputs Yr 2'!$AM324,IF('Inputs Yr 2'!$AN324=BL$4,'Inputs Yr 2'!$AO324,0))))*(INDEX(avoidedcosttbl2,$H324,BU$2)+(($H324-ROUNDDOWN($H324,0))*(INDEX(avoidedcosttbl2,ROUNDUP($H324,0),BU$2)-(INDEX(avoidedcosttbl2,ROUNDDOWN($H324,0),BU$2)))))*'Inputs Yr 2'!P324*'Inputs Yr 2'!Q324*'Inputs Yr 2'!U324,"")</f>
        <v>0</v>
      </c>
      <c r="BV324" s="775">
        <f>IFERROR(($G324*IF('Inputs Yr 2'!$AJ324=BJ$4,'Inputs Yr 2'!$AK324,IF('Inputs Yr 2'!$AL324=BJ$4,'Inputs Yr 2'!$AM324,IF('Inputs Yr 2'!$AN324=BJ$4,'Inputs Yr 2'!$AO324,0))))*(INDEX(avoidedcosttbl2,$H324,BV$2)+(($H324-ROUNDDOWN($H324,0))*(INDEX(avoidedcosttbl2,ROUNDUP($H324,0),BV$2)-(INDEX(avoidedcosttbl2,ROUNDDOWN($H324,0),BV$2)))))*'Inputs Yr 2'!P324*'Inputs Yr 2'!Q324*'Inputs Yr 2'!U324,"")</f>
        <v>0</v>
      </c>
      <c r="BW324" s="197">
        <f>IFERROR(($G324*IF('Inputs Yr 2'!$AJ324=BN$4,'Inputs Yr 2'!$AK324,IF('Inputs Yr 2'!$AL324=BN$4,'Inputs Yr 2'!$AM324,IF('Inputs Yr 2'!$AN324=BN$4,'Inputs Yr 2'!$AO324,0))))*(INDEX(avoidedcosttbl2,$H324,BW$2)+(($H324-ROUNDDOWN($H324,0))*(INDEX(avoidedcosttbl2,ROUNDUP($H324,0),BW$2)-(INDEX(avoidedcosttbl2,ROUNDDOWN($H324,0),BW$2)))))*'Inputs Yr 2'!P324*'Inputs Yr 2'!Q324*'Inputs Yr 2'!U324,"")</f>
        <v>0</v>
      </c>
      <c r="BX324" s="197">
        <f>IFERROR(($G324*IF('Inputs Yr 2'!$AJ324=BO$4,'Inputs Yr 2'!$AK324,IF('Inputs Yr 2'!$AL324=BO$4,'Inputs Yr 2'!$AM324,IF('Inputs Yr 2'!$AN324=BO$4,'Inputs Yr 2'!$AO324,0))))*(INDEX(avoidedcosttbl2,$H324,BX$2)+(($H324-ROUNDDOWN($H324,0))*(INDEX(avoidedcosttbl2,ROUNDUP($H324,0),BX$2)-(INDEX(avoidedcosttbl2,ROUNDDOWN($H324,0),BX$2)))))*'Inputs Yr 2'!P324*'Inputs Yr 2'!Q324*'Inputs Yr 2'!U324,"")</f>
        <v>995.58512183911728</v>
      </c>
      <c r="BY324" s="197">
        <f>IFERROR(($G324*IF('Inputs Yr 2'!$AJ324=BP$4,'Inputs Yr 2'!$AK324,IF('Inputs Yr 2'!$AL324=BP$4,'Inputs Yr 2'!$AM324,IF('Inputs Yr 2'!$AN324=BP$4,'Inputs Yr 2'!$AO324,0))))*(INDEX(avoidedcosttbl2,$H324,BY$2)+(($H324-ROUNDDOWN($H324,0))*(INDEX(avoidedcosttbl2,ROUNDUP($H324,0),BY$2)-(INDEX(avoidedcosttbl2,ROUNDDOWN($H324,0),BY$2)))))*'Inputs Yr 2'!P324*'Inputs Yr 2'!Q324*'Inputs Yr 2'!U324,"")</f>
        <v>0</v>
      </c>
      <c r="BZ324" s="193">
        <f t="shared" si="159"/>
        <v>1172.9420437335179</v>
      </c>
      <c r="CA324" s="193">
        <f t="shared" si="160"/>
        <v>11007.580063102794</v>
      </c>
      <c r="CB324" s="195">
        <f>IFERROR(G324*(IF('Inputs Yr 2'!$AJ324=CB$4,'Inputs Yr 2'!$AK324,IF('Inputs Yr 2'!$AL324=CB$4,'Inputs Yr 2'!$AM324,IF('Inputs Yr 2'!$AN324=CB$4,'Inputs Yr 2'!$AO324,0))))*(INDEX(avoidedcosttbl2,$H324,CB$2)+(($H324-ROUNDDOWN($H324,0))*(INDEX(avoidedcosttbl2,ROUNDUP($H324,0),CB$2)-(INDEX(avoidedcosttbl2,ROUNDDOWN($H324,0),CB$2)))))*'Inputs Yr 2'!P324*'Inputs Yr 2'!Q324*'Inputs Yr 2'!U324,"")</f>
        <v>0</v>
      </c>
      <c r="CC324" s="195">
        <f>IFERROR(H324*(IF('Inputs Yr 2'!$AJ324=CC$4,'Inputs Yr 2'!$AK324,IF('Inputs Yr 2'!$AL324=CC$4,'Inputs Yr 2'!$AM324,IF('Inputs Yr 2'!$AN324=CC$4,'Inputs Yr 2'!$AO324,0))))*(INDEX(avoidedcosttbl2,$H324,CC$2)+(($H324-ROUNDDOWN($H324,0))*(INDEX(avoidedcosttbl2,ROUNDUP($H324,0),CC$2)-(INDEX(avoidedcosttbl2,ROUNDDOWN($H324,0),CC$2)))))*'Inputs Yr 2'!Q324*'Inputs Yr 2'!R324*'Inputs Yr 2'!V324,"")</f>
        <v>0</v>
      </c>
      <c r="CD324" s="195">
        <f>IFERROR(I324*(IF('Inputs Yr 2'!$AJ324=CD$4,'Inputs Yr 2'!$AK324,IF('Inputs Yr 2'!$AL324=CD$4,'Inputs Yr 2'!$AM324,IF('Inputs Yr 2'!$AN324=CD$4,'Inputs Yr 2'!$AO324,0))))*(INDEX(avoidedcosttbl2,$H324,CD$2)+(($H324-ROUNDDOWN($H324,0))*(INDEX(avoidedcosttbl2,ROUNDUP($H324,0),CD$2)-(INDEX(avoidedcosttbl2,ROUNDDOWN($H324,0),CD$2)))))*'Inputs Yr 2'!R324*'Inputs Yr 2'!S324*'Inputs Yr 2'!W324,"")</f>
        <v>0</v>
      </c>
      <c r="CE324" s="213">
        <f t="shared" si="161"/>
        <v>0</v>
      </c>
      <c r="CF324" s="213">
        <f t="shared" si="162"/>
        <v>0</v>
      </c>
      <c r="CG324" s="213">
        <f t="shared" si="163"/>
        <v>0</v>
      </c>
      <c r="CH324" s="698">
        <f t="shared" si="164"/>
        <v>11007.580063102794</v>
      </c>
      <c r="CI324" s="79">
        <f>IFERROR(($G324*'Inputs Yr 2'!$P324*'Inputs Yr 2'!$Q324*(((INDEX(avoidedcosttbl2,$H324,CI$2)+(($H324-ROUNDDOWN($H324,0))*(INDEX(avoidedcosttbl2,ROUNDUP($H324,0),CI$2)-INDEX(avoidedcosttbl2,ROUNDDOWN($H324,0),CI$2))))*'Inputs Yr 2'!AS324))),"")</f>
        <v>0</v>
      </c>
      <c r="CJ324" s="504">
        <f>IFERROR($G324*'Inputs Yr 2'!AT324*'Inputs Yr 2'!$P324*'Inputs Yr 2'!$Q324/((1+realdiscrt1)^-0.5),"")</f>
        <v>0</v>
      </c>
      <c r="CK324" s="79">
        <f>IFERROR((O324*1000*(((INDEX(avoidedcosttbl2,$H324,CK$2)+(($H324-ROUNDDOWN($H324,0))*(INDEX(avoidedcosttbl2,ROUNDUP($H324,0),CK$2)-INDEX(avoidedcosttbl2,ROUNDDOWN($H324,0),CK$2))))*'Inputs Yr 2'!AU324))),"")</f>
        <v>0</v>
      </c>
      <c r="CL324" s="504">
        <f>IFERROR(O324*1000*'Inputs Yr 2'!AV324/((1+realdiscrt1)^-0.5),"")</f>
        <v>0</v>
      </c>
      <c r="CM324" s="79">
        <f>IFERROR((AB324*'Inputs Yr 2'!AW324*(((INDEX(avoidedcosttbl2,$H324,CM$2)+(($H324-ROUNDDOWN($H324,0))*(INDEX(avoidedcosttbl2,ROUNDUP($H324,0),CM$2)-INDEX(avoidedcosttbl2,ROUNDDOWN($H324,0),CM$2)))))))*10,"")</f>
        <v>0</v>
      </c>
      <c r="CN324" s="504">
        <f>IFERROR(10*AB324*'Inputs Yr 2'!AX324/((1+realdiscrt1)^-0.5),"")</f>
        <v>0</v>
      </c>
      <c r="CO324" s="505">
        <f t="shared" si="165"/>
        <v>0</v>
      </c>
      <c r="CP324" s="230">
        <f t="shared" si="166"/>
        <v>11007.580063102794</v>
      </c>
      <c r="CQ324" s="199">
        <f>ROUND(IFERROR(IF(LEFT($A324,1)="C",'Avoided Costs'!$K$13,'Avoided Costs'!$K$12)+1,""),4)</f>
        <v>1.0720000000000001</v>
      </c>
      <c r="CR324" s="199">
        <f>ROUND(IFERROR(IF(LEFT($A324,1)="C",'Avoided Costs'!$L$13,'Avoided Costs'!$L$12)+1,""),4)</f>
        <v>1.04</v>
      </c>
      <c r="CS324" s="199">
        <f>ROUND(IFERROR(IF(LEFT($A324,1)="C",'Avoided Costs'!$M$13,'Avoided Costs'!$M$12)+1,""),4)</f>
        <v>1.0720000000000001</v>
      </c>
      <c r="CT324" s="199">
        <f>ROUND(IFERROR(IF(LEFT($A324,1)="C",'Avoided Costs'!$N$13,'Avoided Costs'!$N$12)+1,""),4)</f>
        <v>1.04</v>
      </c>
      <c r="CU324" s="199">
        <f>ROUND(IFERROR(IF(LEFT($A324,1)="C",'Avoided Costs'!$O$13,'Avoided Costs'!$O$12)+1,""),4)</f>
        <v>1.1120000000000001</v>
      </c>
      <c r="CV324" s="199">
        <f>ROUND(IFERROR(IF(LEFT($A324,1)="C",'Avoided Costs'!$P$13,'Avoided Costs'!$P$12)+1,""),4)</f>
        <v>1.095</v>
      </c>
      <c r="CW324" s="199">
        <f>ROUND(IFERROR(IF(LEFT($A324,1)="C",'Avoided Costs'!$Q$13,'Avoided Costs'!$Q$12)+1,""),4)</f>
        <v>1.1120000000000001</v>
      </c>
      <c r="CX324" s="200">
        <f>ROUND(IFERROR(IF(LEFT($A324,1)="C",'Avoided Costs'!$R$13,'Avoided Costs'!$R$12)+1,""),4)</f>
        <v>1.1120000000000001</v>
      </c>
    </row>
    <row r="325" spans="1:102" ht="12.75" customHeight="1">
      <c r="A325" s="91" t="str">
        <f>IF('Inputs Yr 2'!$B325=0,"",'Inputs Yr 2'!A325)</f>
        <v>C - Commercial &amp; Industrial</v>
      </c>
      <c r="B325" s="91" t="str">
        <f>IF('Inputs Yr 2'!$B325=0,"",'Inputs Yr 2'!B325)</f>
        <v>C2 - C&amp;I Retrofit</v>
      </c>
      <c r="C325" s="91" t="str">
        <f>IF('Inputs Yr 2'!$B325=0,"",'Inputs Yr 2'!C325)</f>
        <v>C2b - C&amp;I Small Business</v>
      </c>
      <c r="D325" s="91" t="str">
        <f>IF('Inputs Yr 2'!$B325=0,"",'Inputs Yr 2'!E325)</f>
        <v>Control - Custom 15</v>
      </c>
      <c r="E325" s="93" t="str">
        <f>IF('Inputs Yr 2'!$B325=0,"",'Inputs Yr 2'!F325)</f>
        <v>G16C2b29</v>
      </c>
      <c r="F325" s="93" t="str">
        <f>IF('Inputs Yr 2'!$B325=0,"",'Inputs Yr 2'!G325)</f>
        <v>HVAC</v>
      </c>
      <c r="G325" s="95">
        <f>IF('Inputs Yr 2'!$H325&lt;&gt;0,('Inputs Yr 2'!H325),"")</f>
        <v>1</v>
      </c>
      <c r="H325" s="94">
        <f>IFERROR('Inputs Yr 2'!I325,"")</f>
        <v>15</v>
      </c>
      <c r="I325" s="298">
        <f>IFERROR('Inputs Yr 2'!J325*'Inputs Yr 2'!P325*G325,"")</f>
        <v>6861.8666666666668</v>
      </c>
      <c r="J325" s="298">
        <f>IFERROR('Inputs Yr 2'!K325*G325,"")</f>
        <v>5600</v>
      </c>
      <c r="K325" s="298">
        <f t="shared" si="143"/>
        <v>1261.8666666666668</v>
      </c>
      <c r="L325" s="194">
        <f>IFERROR(('Inputs Yr 2'!W325*G325)/1000,"")</f>
        <v>0</v>
      </c>
      <c r="M325" s="194">
        <f>IFERROR(L325*('Inputs Yr 2'!$Q325*'Inputs Yr 2'!$V325*'Inputs Yr 2'!$R325),"")</f>
        <v>0</v>
      </c>
      <c r="N325" s="194">
        <f t="shared" si="144"/>
        <v>0</v>
      </c>
      <c r="O325" s="194">
        <f>IFERROR(M325*'Inputs Yr 2'!P325,"")</f>
        <v>0</v>
      </c>
      <c r="P325" s="194">
        <f t="shared" si="145"/>
        <v>0</v>
      </c>
      <c r="Q325" s="194">
        <f>IFERROR($P325*'Inputs Yr 2'!AA325,"")</f>
        <v>0</v>
      </c>
      <c r="R325" s="194">
        <f>IFERROR($P325*'Inputs Yr 2'!AB325,"")</f>
        <v>0</v>
      </c>
      <c r="S325" s="194">
        <f>IFERROR($P325*'Inputs Yr 2'!AC325,"")</f>
        <v>0</v>
      </c>
      <c r="T325" s="194">
        <f>IFERROR($P325*'Inputs Yr 2'!AD325,"")</f>
        <v>0</v>
      </c>
      <c r="U325" s="194">
        <f>IFERROR(G325*'Inputs Yr 2'!$AE325*'Inputs Yr 2'!$P325*'Inputs Yr 2'!$Q325,"")</f>
        <v>0</v>
      </c>
      <c r="V325" s="194">
        <f>IFERROR($G325*'Inputs Yr 2'!$AE325*'Inputs Yr 2'!$AG325*'Inputs Yr 2'!Q325*'Inputs Yr 2'!$S325,"")</f>
        <v>0</v>
      </c>
      <c r="W325" s="194">
        <f>IFERROR($G325*'Inputs Yr 2'!$AE325*'Inputs Yr 2'!$AG325*'Inputs Yr 2'!P325*'Inputs Yr 2'!Q325*'Inputs Yr 2'!$S325,"")</f>
        <v>0</v>
      </c>
      <c r="X325" s="194">
        <f>IFERROR($G325*'Inputs Yr 2'!$AE325*'Inputs Yr 2'!$AF325*'Inputs Yr 2'!Q325*'Inputs Yr 2'!$T325,"")</f>
        <v>0</v>
      </c>
      <c r="Y325" s="194">
        <f>IFERROR($G325*'Inputs Yr 2'!$AE325*'Inputs Yr 2'!$AF325*'Inputs Yr 2'!P325*'Inputs Yr 2'!Q325*'Inputs Yr 2'!$T325,"")</f>
        <v>0</v>
      </c>
      <c r="Z325" s="257">
        <f>IFERROR($G325*'Inputs Yr 2'!$Q325*'Inputs Yr 2'!$U325*(IF(IFERROR(SEARCH("NG", 'Inputs Yr 2'!$AJ325),0),'Inputs Yr 2'!$AK325,0)+IF(IFERROR(SEARCH("NG", 'Inputs Yr 2'!$AL325),0),'Inputs Yr 2'!$AM325,0)+IF(IFERROR(SEARCH("NG", 'Inputs Yr 2'!$AN325),0),'Inputs Yr 2'!$AO325,0)),0)</f>
        <v>102.36060000000001</v>
      </c>
      <c r="AA325" s="257">
        <f t="shared" si="146"/>
        <v>1535.4090000000001</v>
      </c>
      <c r="AB325" s="257">
        <f>IFERROR(Z325*'Inputs Yr 2'!$P325,0)</f>
        <v>94.069391400000015</v>
      </c>
      <c r="AC325" s="257">
        <f t="shared" si="147"/>
        <v>1411.0408710000002</v>
      </c>
      <c r="AD325" s="257">
        <f>IFERROR($G325*'Inputs Yr 2'!$Q325*'Inputs Yr 2'!$U325*(IF(IFERROR(SEARCH("Oil", 'Inputs Yr 2'!$AJ325), 0),'Inputs Yr 2'!$AK325,0)+IF(IFERROR(SEARCH("Oil", 'Inputs Yr 2'!$AL325), 0),'Inputs Yr 2'!$AM325,0)+IF(IFERROR(SEARCH("Oil", 'Inputs Yr 2'!$AN325), 0),'Inputs Yr 2'!$AO325,0)),0)</f>
        <v>0</v>
      </c>
      <c r="AE325" s="257">
        <f t="shared" si="148"/>
        <v>0</v>
      </c>
      <c r="AF325" s="257">
        <f>IFERROR(AD325*'Inputs Yr 2'!$P325,0)</f>
        <v>0</v>
      </c>
      <c r="AG325" s="257">
        <f t="shared" si="149"/>
        <v>0</v>
      </c>
      <c r="AH325" s="257">
        <f>IFERROR($G325*'Inputs Yr 2'!$Q325*'Inputs Yr 2'!$U325*(IF('Inputs Yr 2'!$AJ325=CD$4,'Inputs Yr 2'!$AK325,IF('Inputs Yr 2'!$AL325=CD$4,'Inputs Yr 2'!$AM325,IF('Inputs Yr 2'!$AN325=CD$4,'Inputs Yr 2'!$AO325,0)))),0)</f>
        <v>0</v>
      </c>
      <c r="AI325" s="257">
        <f t="shared" si="150"/>
        <v>0</v>
      </c>
      <c r="AJ325" s="257">
        <f>IFERROR(AH325*'Inputs Yr 2'!$P325,0)</f>
        <v>0</v>
      </c>
      <c r="AK325" s="257">
        <f t="shared" si="151"/>
        <v>0</v>
      </c>
      <c r="AL325" s="258">
        <f>IFERROR($G325*'Inputs Yr 2'!$P325*'Inputs Yr 2'!$Q325*'Inputs Yr 2'!AP325,0)</f>
        <v>0</v>
      </c>
      <c r="AM325" s="260">
        <f>IFERROR($G325*'Inputs Yr 2'!$P325*'Inputs Yr 2'!$Q325*'Inputs Yr 2'!AQ325,0)</f>
        <v>0</v>
      </c>
      <c r="AN325" s="258">
        <f>IFERROR($G325*'Inputs Yr 2'!$P325*'Inputs Yr 2'!$Q325*'Inputs Yr 2'!AR325,0)</f>
        <v>0</v>
      </c>
      <c r="AO325" s="257">
        <f t="shared" si="152"/>
        <v>0</v>
      </c>
      <c r="AP325" s="195">
        <f>IFERROR($CQ325*(INDEX(avoidedcosttbl2,$H325,AP$2)+(($H325-ROUNDDOWN($H325,0))*(INDEX(avoidedcosttbl2,ROUNDUP($H325,0),AP$2)-(INDEX(avoidedcosttbl2,ROUNDDOWN($H325,0),AP$2)))))*$O325*1000*'Inputs Yr 2'!AA325,"")</f>
        <v>0</v>
      </c>
      <c r="AQ325" s="195">
        <f>IFERROR($CR325*(INDEX(avoidedcosttbl2,$H325,AQ$2)+(($H325-ROUNDDOWN($H325,0))*(INDEX(avoidedcosttbl2,ROUNDUP($H325,0),AQ$2)-(INDEX(avoidedcosttbl2,ROUNDDOWN($H325,0),AQ$2)))))*$O325*1000*'Inputs Yr 2'!AB325,"")</f>
        <v>0</v>
      </c>
      <c r="AR325" s="195">
        <f>IFERROR($CS325*(INDEX(avoidedcosttbl2,$H325,AR$2)+(($H325-ROUNDDOWN($H325,0))*(INDEX(avoidedcosttbl2,ROUNDUP($H325,0),AR$2)-(INDEX(avoidedcosttbl2,ROUNDDOWN($H325,0),AR$2)))))*$O325*1000*'Inputs Yr 2'!AC325,"")</f>
        <v>0</v>
      </c>
      <c r="AS325" s="195">
        <f>IFERROR($CT325*(INDEX(avoidedcosttbl2,$H325,AS$2)+(($H325-ROUNDDOWN($H325,0))*(INDEX(avoidedcosttbl2,ROUNDUP($H325,0),AS$2)-(INDEX(avoidedcosttbl2,ROUNDDOWN($H325,0),AS$2)))))*$O325*1000*'Inputs Yr 2'!AD325,"")</f>
        <v>0</v>
      </c>
      <c r="AT325" s="196">
        <f t="shared" si="153"/>
        <v>0</v>
      </c>
      <c r="AU325" s="197">
        <f>IFERROR($CQ325*((INDEX(avoidedcosttbl2,$H325,AU$2))+(($H325-ROUNDDOWN($H325,0))*((INDEX(avoidedcosttbl2,ROUNDUP($H325,0),AU$2))-(INDEX(avoidedcosttbl2,ROUNDDOWN($H325,0),AU$2)))))*$O325*1000*'Inputs Yr 2'!AA325,"")</f>
        <v>0</v>
      </c>
      <c r="AV325" s="197">
        <f>IFERROR($CR325*((INDEX(avoidedcosttbl2,$H325,AV$2))+(($H325-ROUNDDOWN($H325,0))*((INDEX(avoidedcosttbl2,ROUNDUP($H325,0),AV$2))-(INDEX(avoidedcosttbl2,ROUNDDOWN($H325,0),AV$2)))))*$O325*1000*'Inputs Yr 2'!AB325,"")</f>
        <v>0</v>
      </c>
      <c r="AW325" s="197">
        <f>IFERROR($CS325*((INDEX(avoidedcosttbl2,$H325,AW$2))+(($H325-ROUNDDOWN($H325,0))*((INDEX(avoidedcosttbl2,ROUNDUP($H325,0),AW$2))-(INDEX(avoidedcosttbl2,ROUNDDOWN($H325,0),AW$2)))))*$O325*1000*'Inputs Yr 2'!AC325,"")</f>
        <v>0</v>
      </c>
      <c r="AX325" s="197">
        <f>IFERROR($CT325*((INDEX(avoidedcosttbl2,$H325,AX$2))+(($H325-ROUNDDOWN($H325,0))*((INDEX(avoidedcosttbl2,ROUNDUP($H325,0),AX$2))-(INDEX(avoidedcosttbl2,ROUNDDOWN($H325,0),AX$2)))))*$O325*1000*'Inputs Yr 2'!AD325,"")</f>
        <v>0</v>
      </c>
      <c r="AY325" s="197">
        <f>IFERROR(((INDEX(avoidedcosttbl2,$H325,AY$2))+(($H325-ROUNDDOWN($H325,0))*((INDEX(avoidedcosttbl2,ROUNDUP($H325,0),AY$2))-(INDEX(avoidedcosttbl2,ROUNDDOWN($H325,0),AY$2)))))*$O325*1000*('Inputs Yr 2'!AC325+'Inputs Yr 2'!AD325),"")</f>
        <v>0</v>
      </c>
      <c r="AZ325" s="197">
        <f>IFERROR(((INDEX(avoidedcosttbl2,$H325,AZ$2))+(($H325-ROUNDDOWN($H325,0))*((INDEX(avoidedcosttbl2,ROUNDUP($H325,0),AZ$2))-(INDEX(avoidedcosttbl2,ROUNDDOWN($H325,0),AZ$2)))))*$O325*1000*('Inputs Yr 2'!AA325+'Inputs Yr 2'!AB325),"")</f>
        <v>0</v>
      </c>
      <c r="BA325" s="198">
        <f t="shared" si="154"/>
        <v>0</v>
      </c>
      <c r="BB325" s="198">
        <f t="shared" si="155"/>
        <v>0</v>
      </c>
      <c r="BC325" s="195">
        <f t="shared" ref="BC325:BC364" si="167">IFERROR($CU325*(INDEX(avoidedcosttbl2,$H325,BC$2)+(($H325-ROUNDDOWN($H325,0))*(INDEX(avoidedcosttbl2,ROUNDUP($H325,0),BC$2)-(INDEX(avoidedcosttbl2,ROUNDDOWN($H325,0),BC$2)))))*$Y325,"")</f>
        <v>0</v>
      </c>
      <c r="BD325" s="195">
        <f t="shared" ref="BD325:BD364" si="168">IFERROR($CV325*(INDEX(avoidedcosttbl2,$H325,BD$2)+(($H325-ROUNDDOWN($H325,0))*(INDEX(avoidedcosttbl2,ROUNDUP($H325,0),BD$2)-(INDEX(avoidedcosttbl2,ROUNDDOWN($H325,0),BD$2)))))*$W325,"")</f>
        <v>0</v>
      </c>
      <c r="BE325" s="195">
        <f t="shared" ref="BE325:BE364" si="169">IFERROR($CU325*(INDEX(avoidedcosttbl2,$H325,BE$2)+(($H325-ROUNDDOWN($H325,0))*(INDEX(avoidedcosttbl2,ROUNDUP($H325,0),BE$2)-(INDEX(avoidedcosttbl2,ROUNDDOWN($H325,0),BE$2)))))*$Y325,"")</f>
        <v>0</v>
      </c>
      <c r="BF325" s="195">
        <f t="shared" ref="BF325:BF364" si="170">IFERROR($CW325*(INDEX(avoidedcosttbl2,$H325,BF$2)+(($H325-ROUNDDOWN($H325,0))*(INDEX(avoidedcosttbl2,ROUNDUP($H325,0),BF$2)-(INDEX(avoidedcosttbl2,ROUNDDOWN($H325,0),BF$2)))))*$Y325,"")</f>
        <v>0</v>
      </c>
      <c r="BG325" s="195">
        <f t="shared" ref="BG325:BG364" si="171">IFERROR($CX325*(INDEX(avoidedcosttbl2,$H325,BG$2)+(($H325-ROUNDDOWN($H325,0))*(INDEX(avoidedcosttbl2,ROUNDUP($H325,0),BG$2)-(INDEX(avoidedcosttbl2,ROUNDDOWN($H325,0),BG$2)))))*$Y325,"")</f>
        <v>0</v>
      </c>
      <c r="BH325" s="196">
        <f t="shared" si="156"/>
        <v>0</v>
      </c>
      <c r="BI325" s="196">
        <f t="shared" si="157"/>
        <v>0</v>
      </c>
      <c r="BJ325" s="195">
        <f>IFERROR($G325*(IF('Inputs Yr 2'!$AJ325=BJ$4,'Inputs Yr 2'!$AK325,IF('Inputs Yr 2'!$AL325=BJ$4,'Inputs Yr 2'!$AM325,IF('Inputs Yr 2'!$AN325=BJ$4,'Inputs Yr 2'!$AO325,0))))*(INDEX(avoidedcosttbl2,$H325,BJ$2)+(($H325-ROUNDDOWN($H325,0))*(INDEX(avoidedcosttbl2,ROUNDUP($H325,0),BJ$2)-(INDEX(avoidedcosttbl2,ROUNDDOWN($H325,0),BJ$2)))))*'Inputs Yr 2'!P325*'Inputs Yr 2'!Q325*'Inputs Yr 2'!U325,"")</f>
        <v>0</v>
      </c>
      <c r="BK325" s="195">
        <f>IFERROR($G325*(IF('Inputs Yr 2'!$AJ325=BK$4,'Inputs Yr 2'!$AK325,IF('Inputs Yr 2'!$AL325=BK$4,'Inputs Yr 2'!$AM325,IF('Inputs Yr 2'!$AN325=BK$4,'Inputs Yr 2'!$AO325,0))))*(INDEX(avoidedcosttbl2,$H325,BK$2)+(($H325-ROUNDDOWN($H325,0))*(INDEX(avoidedcosttbl2,ROUNDUP($H325,0),BK$2)-(INDEX(avoidedcosttbl2,ROUNDDOWN($H325,0),BK$2)))))*'Inputs Yr 2'!P325*'Inputs Yr 2'!Q325*'Inputs Yr 2'!U325,"")</f>
        <v>0</v>
      </c>
      <c r="BL325" s="195">
        <f>IFERROR($G325*(IF('Inputs Yr 2'!$AJ325=BL$4,'Inputs Yr 2'!$AK325,IF('Inputs Yr 2'!$AL325=BL$4,'Inputs Yr 2'!$AM325,IF('Inputs Yr 2'!$AN325=BL$4,'Inputs Yr 2'!$AO325,0))))*(INDEX(avoidedcosttbl2,$H325,BL$2)+(($H325-ROUNDDOWN($H325,0))*(INDEX(avoidedcosttbl2,ROUNDUP($H325,0),BL$2)-(INDEX(avoidedcosttbl2,ROUNDDOWN($H325,0),BL$2)))))*'Inputs Yr 2'!P325*'Inputs Yr 2'!Q325*'Inputs Yr 2'!U325,"")</f>
        <v>0</v>
      </c>
      <c r="BM325" s="195">
        <f>IFERROR($G325*(IF('Inputs Yr 2'!$AJ325=BM$4,'Inputs Yr 2'!$AK325,IF('Inputs Yr 2'!$AL325=BM$4,'Inputs Yr 2'!$AM325,IF('Inputs Yr 2'!$AN325=BM$4,'Inputs Yr 2'!$AO325,0))))*(INDEX(avoidedcosttbl2,$H325,BM$2)+(($H325-ROUNDDOWN($H325,0))*(INDEX(avoidedcosttbl2,ROUNDUP($H325,0),BM$2)-(INDEX(avoidedcosttbl2,ROUNDDOWN($H325,0),BM$2)))))*'Inputs Yr 2'!P325*'Inputs Yr 2'!Q325*'Inputs Yr 2'!U325,"")</f>
        <v>0</v>
      </c>
      <c r="BN325" s="195">
        <f>IFERROR($G325*(IF('Inputs Yr 2'!$AJ325=BN$4,'Inputs Yr 2'!$AK325,IF('Inputs Yr 2'!$AL325=BN$4,'Inputs Yr 2'!$AM325,IF('Inputs Yr 2'!$AN325=BN$4,'Inputs Yr 2'!$AO325,0))))*(INDEX(avoidedcosttbl2,$H325,BN$2)+(($H325-ROUNDDOWN($H325,0))*(INDEX(avoidedcosttbl2,ROUNDUP($H325,0),BN$2)-(INDEX(avoidedcosttbl2,ROUNDDOWN($H325,0),BN$2)))))*'Inputs Yr 2'!P325*'Inputs Yr 2'!Q325*'Inputs Yr 2'!U325,"")</f>
        <v>0</v>
      </c>
      <c r="BO325" s="195">
        <f>IFERROR($G325*(IF('Inputs Yr 2'!$AJ325=BO$4,'Inputs Yr 2'!$AK325,IF('Inputs Yr 2'!$AL325=BO$4,'Inputs Yr 2'!$AM325,IF('Inputs Yr 2'!$AN325=BO$4,'Inputs Yr 2'!$AO325,0))))*(INDEX(avoidedcosttbl2,$H325,BO$2)+(($H325-ROUNDDOWN($H325,0))*(INDEX(avoidedcosttbl2,ROUNDUP($H325,0),BO$2)-(INDEX(avoidedcosttbl2,ROUNDDOWN($H325,0),BO$2)))))*'Inputs Yr 2'!P325*'Inputs Yr 2'!Q325*'Inputs Yr 2'!U325,"")</f>
        <v>11004.797613759732</v>
      </c>
      <c r="BP325" s="195">
        <f>IFERROR($G325*(IF('Inputs Yr 2'!$AJ325=BP$4,'Inputs Yr 2'!$AK325,IF('Inputs Yr 2'!$AL325=BP$4,'Inputs Yr 2'!$AM325,IF('Inputs Yr 2'!$AN325=BP$4,'Inputs Yr 2'!$AO325,0))))*(INDEX(avoidedcosttbl2,$H325,BP$2)+(($H325-ROUNDDOWN($H325,0))*(INDEX(avoidedcosttbl2,ROUNDUP($H325,0),BP$2)-(INDEX(avoidedcosttbl2,ROUNDDOWN($H325,0),BP$2)))))*'Inputs Yr 2'!P325*'Inputs Yr 2'!Q325*'Inputs Yr 2'!U325,"")</f>
        <v>0</v>
      </c>
      <c r="BQ325" s="230">
        <f t="shared" si="158"/>
        <v>11004.797613759732</v>
      </c>
      <c r="BR325" s="197">
        <f t="shared" ref="BR325:BR364" si="172">IFERROR($AB325*((INDEX(avoidedcosttbl2,$H325,BR$2))+(($H325-ROUNDDOWN($H325,0))*((INDEX(avoidedcosttbl2,ROUNDUP($H325,0),BR$2))-(INDEX(avoidedcosttbl2,ROUNDDOWN($H325,0),BR$2))))),"")</f>
        <v>191.2551674493975</v>
      </c>
      <c r="BS325" s="197">
        <f>IFERROR(($G325*IF('Inputs Yr 2'!$AJ325=BM$4,'Inputs Yr 2'!$AK325,IF('Inputs Yr 2'!$AL325=BM$4,'Inputs Yr 2'!$AM325,IF('Inputs Yr 2'!$AN325=BM$4,'Inputs Yr 2'!$AO325,0))))*(INDEX(avoidedcosttbl2,$H325,BS$2)+(($H325-ROUNDDOWN($H325,0))*(INDEX(avoidedcosttbl2,ROUNDUP($H325,0),BS$2)-(INDEX(avoidedcosttbl2,ROUNDDOWN($H325,0),BS$2)))))*'Inputs Yr 2'!P325*'Inputs Yr 2'!Q325*'Inputs Yr 2'!U325,"")</f>
        <v>0</v>
      </c>
      <c r="BT325" s="197">
        <f>IFERROR(($G325*IF('Inputs Yr 2'!$AJ325=BK$4,'Inputs Yr 2'!$AK325,IF('Inputs Yr 2'!$AL325=BK$4,'Inputs Yr 2'!$AM325,IF('Inputs Yr 2'!$AN325=BK$4,'Inputs Yr 2'!$AO325,0))))*(INDEX(avoidedcosttbl2,$H325,BT$2)+(($H325-ROUNDDOWN($H325,0))*(INDEX(avoidedcosttbl2,ROUNDUP($H325,0),BT$2)-(INDEX(avoidedcosttbl2,ROUNDDOWN($H325,0),BT$2)))))*'Inputs Yr 2'!P325*'Inputs Yr 2'!Q325*'Inputs Yr 2'!U325,"")</f>
        <v>0</v>
      </c>
      <c r="BU325" s="197">
        <f>IFERROR(($G325*IF('Inputs Yr 2'!$AJ325=BL$4,'Inputs Yr 2'!$AK325,IF('Inputs Yr 2'!$AL325=BL$4,'Inputs Yr 2'!$AM325,IF('Inputs Yr 2'!$AN325=BL$4,'Inputs Yr 2'!$AO325,0))))*(INDEX(avoidedcosttbl2,$H325,BU$2)+(($H325-ROUNDDOWN($H325,0))*(INDEX(avoidedcosttbl2,ROUNDUP($H325,0),BU$2)-(INDEX(avoidedcosttbl2,ROUNDDOWN($H325,0),BU$2)))))*'Inputs Yr 2'!P325*'Inputs Yr 2'!Q325*'Inputs Yr 2'!U325,"")</f>
        <v>0</v>
      </c>
      <c r="BV325" s="775">
        <f>IFERROR(($G325*IF('Inputs Yr 2'!$AJ325=BJ$4,'Inputs Yr 2'!$AK325,IF('Inputs Yr 2'!$AL325=BJ$4,'Inputs Yr 2'!$AM325,IF('Inputs Yr 2'!$AN325=BJ$4,'Inputs Yr 2'!$AO325,0))))*(INDEX(avoidedcosttbl2,$H325,BV$2)+(($H325-ROUNDDOWN($H325,0))*(INDEX(avoidedcosttbl2,ROUNDUP($H325,0),BV$2)-(INDEX(avoidedcosttbl2,ROUNDDOWN($H325,0),BV$2)))))*'Inputs Yr 2'!P325*'Inputs Yr 2'!Q325*'Inputs Yr 2'!U325,"")</f>
        <v>0</v>
      </c>
      <c r="BW325" s="197">
        <f>IFERROR(($G325*IF('Inputs Yr 2'!$AJ325=BN$4,'Inputs Yr 2'!$AK325,IF('Inputs Yr 2'!$AL325=BN$4,'Inputs Yr 2'!$AM325,IF('Inputs Yr 2'!$AN325=BN$4,'Inputs Yr 2'!$AO325,0))))*(INDEX(avoidedcosttbl2,$H325,BW$2)+(($H325-ROUNDDOWN($H325,0))*(INDEX(avoidedcosttbl2,ROUNDUP($H325,0),BW$2)-(INDEX(avoidedcosttbl2,ROUNDDOWN($H325,0),BW$2)))))*'Inputs Yr 2'!P325*'Inputs Yr 2'!Q325*'Inputs Yr 2'!U325,"")</f>
        <v>0</v>
      </c>
      <c r="BX325" s="197">
        <f>IFERROR(($G325*IF('Inputs Yr 2'!$AJ325=BO$4,'Inputs Yr 2'!$AK325,IF('Inputs Yr 2'!$AL325=BO$4,'Inputs Yr 2'!$AM325,IF('Inputs Yr 2'!$AN325=BO$4,'Inputs Yr 2'!$AO325,0))))*(INDEX(avoidedcosttbl2,$H325,BX$2)+(($H325-ROUNDDOWN($H325,0))*(INDEX(avoidedcosttbl2,ROUNDUP($H325,0),BX$2)-(INDEX(avoidedcosttbl2,ROUNDDOWN($H325,0),BX$2)))))*'Inputs Yr 2'!P325*'Inputs Yr 2'!Q325*'Inputs Yr 2'!U325,"")</f>
        <v>775.58211060576969</v>
      </c>
      <c r="BY325" s="197">
        <f>IFERROR(($G325*IF('Inputs Yr 2'!$AJ325=BP$4,'Inputs Yr 2'!$AK325,IF('Inputs Yr 2'!$AL325=BP$4,'Inputs Yr 2'!$AM325,IF('Inputs Yr 2'!$AN325=BP$4,'Inputs Yr 2'!$AO325,0))))*(INDEX(avoidedcosttbl2,$H325,BY$2)+(($H325-ROUNDDOWN($H325,0))*(INDEX(avoidedcosttbl2,ROUNDUP($H325,0),BY$2)-(INDEX(avoidedcosttbl2,ROUNDDOWN($H325,0),BY$2)))))*'Inputs Yr 2'!P325*'Inputs Yr 2'!Q325*'Inputs Yr 2'!U325,"")</f>
        <v>0</v>
      </c>
      <c r="BZ325" s="193">
        <f t="shared" si="159"/>
        <v>966.83727805516719</v>
      </c>
      <c r="CA325" s="193">
        <f t="shared" si="160"/>
        <v>11971.6348918149</v>
      </c>
      <c r="CB325" s="195">
        <f>IFERROR(G325*(IF('Inputs Yr 2'!$AJ325=CB$4,'Inputs Yr 2'!$AK325,IF('Inputs Yr 2'!$AL325=CB$4,'Inputs Yr 2'!$AM325,IF('Inputs Yr 2'!$AN325=CB$4,'Inputs Yr 2'!$AO325,0))))*(INDEX(avoidedcosttbl2,$H325,CB$2)+(($H325-ROUNDDOWN($H325,0))*(INDEX(avoidedcosttbl2,ROUNDUP($H325,0),CB$2)-(INDEX(avoidedcosttbl2,ROUNDDOWN($H325,0),CB$2)))))*'Inputs Yr 2'!P325*'Inputs Yr 2'!Q325*'Inputs Yr 2'!U325,"")</f>
        <v>0</v>
      </c>
      <c r="CC325" s="195">
        <f>IFERROR(H325*(IF('Inputs Yr 2'!$AJ325=CC$4,'Inputs Yr 2'!$AK325,IF('Inputs Yr 2'!$AL325=CC$4,'Inputs Yr 2'!$AM325,IF('Inputs Yr 2'!$AN325=CC$4,'Inputs Yr 2'!$AO325,0))))*(INDEX(avoidedcosttbl2,$H325,CC$2)+(($H325-ROUNDDOWN($H325,0))*(INDEX(avoidedcosttbl2,ROUNDUP($H325,0),CC$2)-(INDEX(avoidedcosttbl2,ROUNDDOWN($H325,0),CC$2)))))*'Inputs Yr 2'!Q325*'Inputs Yr 2'!R325*'Inputs Yr 2'!V325,"")</f>
        <v>0</v>
      </c>
      <c r="CD325" s="195">
        <f>IFERROR(I325*(IF('Inputs Yr 2'!$AJ325=CD$4,'Inputs Yr 2'!$AK325,IF('Inputs Yr 2'!$AL325=CD$4,'Inputs Yr 2'!$AM325,IF('Inputs Yr 2'!$AN325=CD$4,'Inputs Yr 2'!$AO325,0))))*(INDEX(avoidedcosttbl2,$H325,CD$2)+(($H325-ROUNDDOWN($H325,0))*(INDEX(avoidedcosttbl2,ROUNDUP($H325,0),CD$2)-(INDEX(avoidedcosttbl2,ROUNDDOWN($H325,0),CD$2)))))*'Inputs Yr 2'!R325*'Inputs Yr 2'!S325*'Inputs Yr 2'!W325,"")</f>
        <v>0</v>
      </c>
      <c r="CE325" s="213">
        <f t="shared" si="161"/>
        <v>0</v>
      </c>
      <c r="CF325" s="213">
        <f t="shared" si="162"/>
        <v>0</v>
      </c>
      <c r="CG325" s="213">
        <f t="shared" si="163"/>
        <v>0</v>
      </c>
      <c r="CH325" s="698">
        <f t="shared" si="164"/>
        <v>11971.6348918149</v>
      </c>
      <c r="CI325" s="79">
        <f>IFERROR(($G325*'Inputs Yr 2'!$P325*'Inputs Yr 2'!$Q325*(((INDEX(avoidedcosttbl2,$H325,CI$2)+(($H325-ROUNDDOWN($H325,0))*(INDEX(avoidedcosttbl2,ROUNDUP($H325,0),CI$2)-INDEX(avoidedcosttbl2,ROUNDDOWN($H325,0),CI$2))))*'Inputs Yr 2'!AS325))),"")</f>
        <v>0</v>
      </c>
      <c r="CJ325" s="504">
        <f>IFERROR($G325*'Inputs Yr 2'!AT325*'Inputs Yr 2'!$P325*'Inputs Yr 2'!$Q325/((1+realdiscrt1)^-0.5),"")</f>
        <v>0</v>
      </c>
      <c r="CK325" s="79">
        <f>IFERROR((O325*1000*(((INDEX(avoidedcosttbl2,$H325,CK$2)+(($H325-ROUNDDOWN($H325,0))*(INDEX(avoidedcosttbl2,ROUNDUP($H325,0),CK$2)-INDEX(avoidedcosttbl2,ROUNDDOWN($H325,0),CK$2))))*'Inputs Yr 2'!AU325))),"")</f>
        <v>0</v>
      </c>
      <c r="CL325" s="504">
        <f>IFERROR(O325*1000*'Inputs Yr 2'!AV325/((1+realdiscrt1)^-0.5),"")</f>
        <v>0</v>
      </c>
      <c r="CM325" s="79">
        <f>IFERROR((AB325*'Inputs Yr 2'!AW325*(((INDEX(avoidedcosttbl2,$H325,CM$2)+(($H325-ROUNDDOWN($H325,0))*(INDEX(avoidedcosttbl2,ROUNDUP($H325,0),CM$2)-INDEX(avoidedcosttbl2,ROUNDDOWN($H325,0),CM$2)))))))*10,"")</f>
        <v>0</v>
      </c>
      <c r="CN325" s="504">
        <f>IFERROR(10*AB325*'Inputs Yr 2'!AX325/((1+realdiscrt1)^-0.5),"")</f>
        <v>0</v>
      </c>
      <c r="CO325" s="505">
        <f t="shared" si="165"/>
        <v>0</v>
      </c>
      <c r="CP325" s="230">
        <f t="shared" si="166"/>
        <v>11971.6348918149</v>
      </c>
      <c r="CQ325" s="199">
        <f>ROUND(IFERROR(IF(LEFT($A325,1)="C",'Avoided Costs'!$K$13,'Avoided Costs'!$K$12)+1,""),4)</f>
        <v>1.0720000000000001</v>
      </c>
      <c r="CR325" s="199">
        <f>ROUND(IFERROR(IF(LEFT($A325,1)="C",'Avoided Costs'!$L$13,'Avoided Costs'!$L$12)+1,""),4)</f>
        <v>1.04</v>
      </c>
      <c r="CS325" s="199">
        <f>ROUND(IFERROR(IF(LEFT($A325,1)="C",'Avoided Costs'!$M$13,'Avoided Costs'!$M$12)+1,""),4)</f>
        <v>1.0720000000000001</v>
      </c>
      <c r="CT325" s="199">
        <f>ROUND(IFERROR(IF(LEFT($A325,1)="C",'Avoided Costs'!$N$13,'Avoided Costs'!$N$12)+1,""),4)</f>
        <v>1.04</v>
      </c>
      <c r="CU325" s="199">
        <f>ROUND(IFERROR(IF(LEFT($A325,1)="C",'Avoided Costs'!$O$13,'Avoided Costs'!$O$12)+1,""),4)</f>
        <v>1.1120000000000001</v>
      </c>
      <c r="CV325" s="199">
        <f>ROUND(IFERROR(IF(LEFT($A325,1)="C",'Avoided Costs'!$P$13,'Avoided Costs'!$P$12)+1,""),4)</f>
        <v>1.095</v>
      </c>
      <c r="CW325" s="199">
        <f>ROUND(IFERROR(IF(LEFT($A325,1)="C",'Avoided Costs'!$Q$13,'Avoided Costs'!$Q$12)+1,""),4)</f>
        <v>1.1120000000000001</v>
      </c>
      <c r="CX325" s="200">
        <f>ROUND(IFERROR(IF(LEFT($A325,1)="C",'Avoided Costs'!$R$13,'Avoided Costs'!$R$12)+1,""),4)</f>
        <v>1.1120000000000001</v>
      </c>
    </row>
    <row r="326" spans="1:102" ht="12.75" customHeight="1">
      <c r="A326" s="91" t="str">
        <f>IF('Inputs Yr 2'!$B326=0,"",'Inputs Yr 2'!A326)</f>
        <v>C - Commercial &amp; Industrial</v>
      </c>
      <c r="B326" s="91" t="str">
        <f>IF('Inputs Yr 2'!$B326=0,"",'Inputs Yr 2'!B326)</f>
        <v>C2 - C&amp;I Retrofit</v>
      </c>
      <c r="C326" s="91" t="str">
        <f>IF('Inputs Yr 2'!$B326=0,"",'Inputs Yr 2'!C326)</f>
        <v xml:space="preserve">C2c - C&amp;I Multifamily Retrofit </v>
      </c>
      <c r="D326" s="91" t="str">
        <f>IF('Inputs Yr 2'!$B326=0,"",'Inputs Yr 2'!E326)</f>
        <v>Building Shell - Custom</v>
      </c>
      <c r="E326" s="93" t="str">
        <f>IF('Inputs Yr 2'!$B326=0,"",'Inputs Yr 2'!F326)</f>
        <v>G16C2c01</v>
      </c>
      <c r="F326" s="93" t="str">
        <f>IF('Inputs Yr 2'!$B326=0,"",'Inputs Yr 2'!G326)</f>
        <v>Envelope</v>
      </c>
      <c r="G326" s="95">
        <f>IF('Inputs Yr 2'!$H326&lt;&gt;0,('Inputs Yr 2'!H326),"")</f>
        <v>38500</v>
      </c>
      <c r="H326" s="94">
        <f>IFERROR('Inputs Yr 2'!I326,"")</f>
        <v>19</v>
      </c>
      <c r="I326" s="298">
        <f>IFERROR('Inputs Yr 2'!J326*'Inputs Yr 2'!P326*G326,"")</f>
        <v>100129.645</v>
      </c>
      <c r="J326" s="298">
        <f>IFERROR('Inputs Yr 2'!K326*G326,"")</f>
        <v>81705</v>
      </c>
      <c r="K326" s="298">
        <f t="shared" ref="K326:K364" si="173">IFERROR(I326-J326,"")</f>
        <v>18424.645000000004</v>
      </c>
      <c r="L326" s="194">
        <f>IFERROR(('Inputs Yr 2'!W326*G326)/1000,"")</f>
        <v>0</v>
      </c>
      <c r="M326" s="194">
        <f>IFERROR(L326*('Inputs Yr 2'!$Q326*'Inputs Yr 2'!$V326*'Inputs Yr 2'!$R326),"")</f>
        <v>0</v>
      </c>
      <c r="N326" s="194">
        <f t="shared" ref="N326:N364" si="174">IFERROR(M326*$H326,"")</f>
        <v>0</v>
      </c>
      <c r="O326" s="194">
        <f>IFERROR(M326*'Inputs Yr 2'!P326,"")</f>
        <v>0</v>
      </c>
      <c r="P326" s="194">
        <f t="shared" ref="P326:P364" si="175">IFERROR(O326*$H326,"")</f>
        <v>0</v>
      </c>
      <c r="Q326" s="194">
        <f>IFERROR($P326*'Inputs Yr 2'!AA326,"")</f>
        <v>0</v>
      </c>
      <c r="R326" s="194">
        <f>IFERROR($P326*'Inputs Yr 2'!AB326,"")</f>
        <v>0</v>
      </c>
      <c r="S326" s="194">
        <f>IFERROR($P326*'Inputs Yr 2'!AC326,"")</f>
        <v>0</v>
      </c>
      <c r="T326" s="194">
        <f>IFERROR($P326*'Inputs Yr 2'!AD326,"")</f>
        <v>0</v>
      </c>
      <c r="U326" s="194">
        <f>IFERROR(G326*'Inputs Yr 2'!$AE326*'Inputs Yr 2'!$P326*'Inputs Yr 2'!$Q326,"")</f>
        <v>0</v>
      </c>
      <c r="V326" s="194">
        <f>IFERROR($G326*'Inputs Yr 2'!$AE326*'Inputs Yr 2'!$AG326*'Inputs Yr 2'!Q326*'Inputs Yr 2'!$S326,"")</f>
        <v>0</v>
      </c>
      <c r="W326" s="194">
        <f>IFERROR($G326*'Inputs Yr 2'!$AE326*'Inputs Yr 2'!$AG326*'Inputs Yr 2'!P326*'Inputs Yr 2'!Q326*'Inputs Yr 2'!$S326,"")</f>
        <v>0</v>
      </c>
      <c r="X326" s="194">
        <f>IFERROR($G326*'Inputs Yr 2'!$AE326*'Inputs Yr 2'!$AF326*'Inputs Yr 2'!Q326*'Inputs Yr 2'!$T326,"")</f>
        <v>0</v>
      </c>
      <c r="Y326" s="194">
        <f>IFERROR($G326*'Inputs Yr 2'!$AE326*'Inputs Yr 2'!$AF326*'Inputs Yr 2'!P326*'Inputs Yr 2'!Q326*'Inputs Yr 2'!$T326,"")</f>
        <v>0</v>
      </c>
      <c r="Z326" s="257">
        <f>IFERROR($G326*'Inputs Yr 2'!$Q326*'Inputs Yr 2'!$U326*(IF(IFERROR(SEARCH("NG", 'Inputs Yr 2'!$AJ326),0),'Inputs Yr 2'!$AK326,0)+IF(IFERROR(SEARCH("NG", 'Inputs Yr 2'!$AL326),0),'Inputs Yr 2'!$AM326,0)+IF(IFERROR(SEARCH("NG", 'Inputs Yr 2'!$AN326),0),'Inputs Yr 2'!$AO326,0)),0)</f>
        <v>488.74459956474419</v>
      </c>
      <c r="AA326" s="257">
        <f t="shared" ref="AA326:AA364" si="176">IFERROR(Z326*$H326,0)</f>
        <v>9286.1473917301391</v>
      </c>
      <c r="AB326" s="257">
        <f>IFERROR(Z326*'Inputs Yr 2'!$P326,0)</f>
        <v>449.15628699999991</v>
      </c>
      <c r="AC326" s="257">
        <f t="shared" ref="AC326:AC364" si="177">IFERROR(AB326*$H326,0)</f>
        <v>8533.9694529999979</v>
      </c>
      <c r="AD326" s="257">
        <f>IFERROR($G326*'Inputs Yr 2'!$Q326*'Inputs Yr 2'!$U326*(IF(IFERROR(SEARCH("Oil", 'Inputs Yr 2'!$AJ326), 0),'Inputs Yr 2'!$AK326,0)+IF(IFERROR(SEARCH("Oil", 'Inputs Yr 2'!$AL326), 0),'Inputs Yr 2'!$AM326,0)+IF(IFERROR(SEARCH("Oil", 'Inputs Yr 2'!$AN326), 0),'Inputs Yr 2'!$AO326,0)),0)</f>
        <v>0</v>
      </c>
      <c r="AE326" s="257">
        <f t="shared" ref="AE326:AE364" si="178">IFERROR(AD326*$H326,0)</f>
        <v>0</v>
      </c>
      <c r="AF326" s="257">
        <f>IFERROR(AD326*'Inputs Yr 2'!$P326,0)</f>
        <v>0</v>
      </c>
      <c r="AG326" s="257">
        <f t="shared" ref="AG326:AG364" si="179">IFERROR(AF326*$H326,0)</f>
        <v>0</v>
      </c>
      <c r="AH326" s="257">
        <f>IFERROR($G326*'Inputs Yr 2'!$Q326*'Inputs Yr 2'!$U326*(IF('Inputs Yr 2'!$AJ326=CD$4,'Inputs Yr 2'!$AK326,IF('Inputs Yr 2'!$AL326=CD$4,'Inputs Yr 2'!$AM326,IF('Inputs Yr 2'!$AN326=CD$4,'Inputs Yr 2'!$AO326,0)))),0)</f>
        <v>0</v>
      </c>
      <c r="AI326" s="257">
        <f t="shared" ref="AI326:AI364" si="180">IFERROR(AH326*$H326,0)</f>
        <v>0</v>
      </c>
      <c r="AJ326" s="257">
        <f>IFERROR(AH326*'Inputs Yr 2'!$P326,0)</f>
        <v>0</v>
      </c>
      <c r="AK326" s="257">
        <f t="shared" ref="AK326:AK364" si="181">IFERROR(AJ326*$H326,0)</f>
        <v>0</v>
      </c>
      <c r="AL326" s="258">
        <f>IFERROR($G326*'Inputs Yr 2'!$P326*'Inputs Yr 2'!$Q326*'Inputs Yr 2'!AP326,0)</f>
        <v>0</v>
      </c>
      <c r="AM326" s="260">
        <f>IFERROR($G326*'Inputs Yr 2'!$P326*'Inputs Yr 2'!$Q326*'Inputs Yr 2'!AQ326,0)</f>
        <v>0</v>
      </c>
      <c r="AN326" s="258">
        <f>IFERROR($G326*'Inputs Yr 2'!$P326*'Inputs Yr 2'!$Q326*'Inputs Yr 2'!AR326,0)</f>
        <v>0</v>
      </c>
      <c r="AO326" s="257">
        <f t="shared" ref="AO326:AO364" si="182">IFERROR(SUM(AL326:AM326)*$H326,0)</f>
        <v>0</v>
      </c>
      <c r="AP326" s="195">
        <f>IFERROR($CQ326*(INDEX(avoidedcosttbl2,$H326,AP$2)+(($H326-ROUNDDOWN($H326,0))*(INDEX(avoidedcosttbl2,ROUNDUP($H326,0),AP$2)-(INDEX(avoidedcosttbl2,ROUNDDOWN($H326,0),AP$2)))))*$O326*1000*'Inputs Yr 2'!AA326,"")</f>
        <v>0</v>
      </c>
      <c r="AQ326" s="195">
        <f>IFERROR($CR326*(INDEX(avoidedcosttbl2,$H326,AQ$2)+(($H326-ROUNDDOWN($H326,0))*(INDEX(avoidedcosttbl2,ROUNDUP($H326,0),AQ$2)-(INDEX(avoidedcosttbl2,ROUNDDOWN($H326,0),AQ$2)))))*$O326*1000*'Inputs Yr 2'!AB326,"")</f>
        <v>0</v>
      </c>
      <c r="AR326" s="195">
        <f>IFERROR($CS326*(INDEX(avoidedcosttbl2,$H326,AR$2)+(($H326-ROUNDDOWN($H326,0))*(INDEX(avoidedcosttbl2,ROUNDUP($H326,0),AR$2)-(INDEX(avoidedcosttbl2,ROUNDDOWN($H326,0),AR$2)))))*$O326*1000*'Inputs Yr 2'!AC326,"")</f>
        <v>0</v>
      </c>
      <c r="AS326" s="195">
        <f>IFERROR($CT326*(INDEX(avoidedcosttbl2,$H326,AS$2)+(($H326-ROUNDDOWN($H326,0))*(INDEX(avoidedcosttbl2,ROUNDUP($H326,0),AS$2)-(INDEX(avoidedcosttbl2,ROUNDDOWN($H326,0),AS$2)))))*$O326*1000*'Inputs Yr 2'!AD326,"")</f>
        <v>0</v>
      </c>
      <c r="AT326" s="196">
        <f t="shared" ref="AT326:AT364" si="183">IFERROR(SUM(AP326:AS326),"")</f>
        <v>0</v>
      </c>
      <c r="AU326" s="197">
        <f>IFERROR($CQ326*((INDEX(avoidedcosttbl2,$H326,AU$2))+(($H326-ROUNDDOWN($H326,0))*((INDEX(avoidedcosttbl2,ROUNDUP($H326,0),AU$2))-(INDEX(avoidedcosttbl2,ROUNDDOWN($H326,0),AU$2)))))*$O326*1000*'Inputs Yr 2'!AA326,"")</f>
        <v>0</v>
      </c>
      <c r="AV326" s="197">
        <f>IFERROR($CR326*((INDEX(avoidedcosttbl2,$H326,AV$2))+(($H326-ROUNDDOWN($H326,0))*((INDEX(avoidedcosttbl2,ROUNDUP($H326,0),AV$2))-(INDEX(avoidedcosttbl2,ROUNDDOWN($H326,0),AV$2)))))*$O326*1000*'Inputs Yr 2'!AB326,"")</f>
        <v>0</v>
      </c>
      <c r="AW326" s="197">
        <f>IFERROR($CS326*((INDEX(avoidedcosttbl2,$H326,AW$2))+(($H326-ROUNDDOWN($H326,0))*((INDEX(avoidedcosttbl2,ROUNDUP($H326,0),AW$2))-(INDEX(avoidedcosttbl2,ROUNDDOWN($H326,0),AW$2)))))*$O326*1000*'Inputs Yr 2'!AC326,"")</f>
        <v>0</v>
      </c>
      <c r="AX326" s="197">
        <f>IFERROR($CT326*((INDEX(avoidedcosttbl2,$H326,AX$2))+(($H326-ROUNDDOWN($H326,0))*((INDEX(avoidedcosttbl2,ROUNDUP($H326,0),AX$2))-(INDEX(avoidedcosttbl2,ROUNDDOWN($H326,0),AX$2)))))*$O326*1000*'Inputs Yr 2'!AD326,"")</f>
        <v>0</v>
      </c>
      <c r="AY326" s="197">
        <f>IFERROR(((INDEX(avoidedcosttbl2,$H326,AY$2))+(($H326-ROUNDDOWN($H326,0))*((INDEX(avoidedcosttbl2,ROUNDUP($H326,0),AY$2))-(INDEX(avoidedcosttbl2,ROUNDDOWN($H326,0),AY$2)))))*$O326*1000*('Inputs Yr 2'!AC326+'Inputs Yr 2'!AD326),"")</f>
        <v>0</v>
      </c>
      <c r="AZ326" s="197">
        <f>IFERROR(((INDEX(avoidedcosttbl2,$H326,AZ$2))+(($H326-ROUNDDOWN($H326,0))*((INDEX(avoidedcosttbl2,ROUNDUP($H326,0),AZ$2))-(INDEX(avoidedcosttbl2,ROUNDDOWN($H326,0),AZ$2)))))*$O326*1000*('Inputs Yr 2'!AA326+'Inputs Yr 2'!AB326),"")</f>
        <v>0</v>
      </c>
      <c r="BA326" s="198">
        <f t="shared" ref="BA326:BA364" si="184">IFERROR(SUM(AU326:AZ326),"")</f>
        <v>0</v>
      </c>
      <c r="BB326" s="198">
        <f t="shared" ref="BB326:BB364" si="185">IFERROR(SUM(AT326,BA326),"")</f>
        <v>0</v>
      </c>
      <c r="BC326" s="195">
        <f t="shared" si="167"/>
        <v>0</v>
      </c>
      <c r="BD326" s="195">
        <f t="shared" si="168"/>
        <v>0</v>
      </c>
      <c r="BE326" s="195">
        <f t="shared" si="169"/>
        <v>0</v>
      </c>
      <c r="BF326" s="195">
        <f t="shared" si="170"/>
        <v>0</v>
      </c>
      <c r="BG326" s="195">
        <f t="shared" si="171"/>
        <v>0</v>
      </c>
      <c r="BH326" s="196">
        <f t="shared" ref="BH326:BH364" si="186">IFERROR(SUM(BC326:BG326),"")</f>
        <v>0</v>
      </c>
      <c r="BI326" s="196">
        <f t="shared" ref="BI326:BI364" si="187">IFERROR(BB326+BH326,"")</f>
        <v>0</v>
      </c>
      <c r="BJ326" s="195">
        <f>IFERROR($G326*(IF('Inputs Yr 2'!$AJ326=BJ$4,'Inputs Yr 2'!$AK326,IF('Inputs Yr 2'!$AL326=BJ$4,'Inputs Yr 2'!$AM326,IF('Inputs Yr 2'!$AN326=BJ$4,'Inputs Yr 2'!$AO326,0))))*(INDEX(avoidedcosttbl2,$H326,BJ$2)+(($H326-ROUNDDOWN($H326,0))*(INDEX(avoidedcosttbl2,ROUNDUP($H326,0),BJ$2)-(INDEX(avoidedcosttbl2,ROUNDDOWN($H326,0),BJ$2)))))*'Inputs Yr 2'!P326*'Inputs Yr 2'!Q326*'Inputs Yr 2'!U326,"")</f>
        <v>0</v>
      </c>
      <c r="BK326" s="195">
        <f>IFERROR($G326*(IF('Inputs Yr 2'!$AJ326=BK$4,'Inputs Yr 2'!$AK326,IF('Inputs Yr 2'!$AL326=BK$4,'Inputs Yr 2'!$AM326,IF('Inputs Yr 2'!$AN326=BK$4,'Inputs Yr 2'!$AO326,0))))*(INDEX(avoidedcosttbl2,$H326,BK$2)+(($H326-ROUNDDOWN($H326,0))*(INDEX(avoidedcosttbl2,ROUNDUP($H326,0),BK$2)-(INDEX(avoidedcosttbl2,ROUNDDOWN($H326,0),BK$2)))))*'Inputs Yr 2'!P326*'Inputs Yr 2'!Q326*'Inputs Yr 2'!U326,"")</f>
        <v>0</v>
      </c>
      <c r="BL326" s="195">
        <f>IFERROR($G326*(IF('Inputs Yr 2'!$AJ326=BL$4,'Inputs Yr 2'!$AK326,IF('Inputs Yr 2'!$AL326=BL$4,'Inputs Yr 2'!$AM326,IF('Inputs Yr 2'!$AN326=BL$4,'Inputs Yr 2'!$AO326,0))))*(INDEX(avoidedcosttbl2,$H326,BL$2)+(($H326-ROUNDDOWN($H326,0))*(INDEX(avoidedcosttbl2,ROUNDUP($H326,0),BL$2)-(INDEX(avoidedcosttbl2,ROUNDDOWN($H326,0),BL$2)))))*'Inputs Yr 2'!P326*'Inputs Yr 2'!Q326*'Inputs Yr 2'!U326,"")</f>
        <v>73557.95507290808</v>
      </c>
      <c r="BM326" s="195">
        <f>IFERROR($G326*(IF('Inputs Yr 2'!$AJ326=BM$4,'Inputs Yr 2'!$AK326,IF('Inputs Yr 2'!$AL326=BM$4,'Inputs Yr 2'!$AM326,IF('Inputs Yr 2'!$AN326=BM$4,'Inputs Yr 2'!$AO326,0))))*(INDEX(avoidedcosttbl2,$H326,BM$2)+(($H326-ROUNDDOWN($H326,0))*(INDEX(avoidedcosttbl2,ROUNDUP($H326,0),BM$2)-(INDEX(avoidedcosttbl2,ROUNDDOWN($H326,0),BM$2)))))*'Inputs Yr 2'!P326*'Inputs Yr 2'!Q326*'Inputs Yr 2'!U326,"")</f>
        <v>0</v>
      </c>
      <c r="BN326" s="195">
        <f>IFERROR($G326*(IF('Inputs Yr 2'!$AJ326=BN$4,'Inputs Yr 2'!$AK326,IF('Inputs Yr 2'!$AL326=BN$4,'Inputs Yr 2'!$AM326,IF('Inputs Yr 2'!$AN326=BN$4,'Inputs Yr 2'!$AO326,0))))*(INDEX(avoidedcosttbl2,$H326,BN$2)+(($H326-ROUNDDOWN($H326,0))*(INDEX(avoidedcosttbl2,ROUNDUP($H326,0),BN$2)-(INDEX(avoidedcosttbl2,ROUNDDOWN($H326,0),BN$2)))))*'Inputs Yr 2'!P326*'Inputs Yr 2'!Q326*'Inputs Yr 2'!U326,"")</f>
        <v>0</v>
      </c>
      <c r="BO326" s="195">
        <f>IFERROR($G326*(IF('Inputs Yr 2'!$AJ326=BO$4,'Inputs Yr 2'!$AK326,IF('Inputs Yr 2'!$AL326=BO$4,'Inputs Yr 2'!$AM326,IF('Inputs Yr 2'!$AN326=BO$4,'Inputs Yr 2'!$AO326,0))))*(INDEX(avoidedcosttbl2,$H326,BO$2)+(($H326-ROUNDDOWN($H326,0))*(INDEX(avoidedcosttbl2,ROUNDUP($H326,0),BO$2)-(INDEX(avoidedcosttbl2,ROUNDDOWN($H326,0),BO$2)))))*'Inputs Yr 2'!P326*'Inputs Yr 2'!Q326*'Inputs Yr 2'!U326,"")</f>
        <v>0</v>
      </c>
      <c r="BP326" s="195">
        <f>IFERROR($G326*(IF('Inputs Yr 2'!$AJ326=BP$4,'Inputs Yr 2'!$AK326,IF('Inputs Yr 2'!$AL326=BP$4,'Inputs Yr 2'!$AM326,IF('Inputs Yr 2'!$AN326=BP$4,'Inputs Yr 2'!$AO326,0))))*(INDEX(avoidedcosttbl2,$H326,BP$2)+(($H326-ROUNDDOWN($H326,0))*(INDEX(avoidedcosttbl2,ROUNDUP($H326,0),BP$2)-(INDEX(avoidedcosttbl2,ROUNDDOWN($H326,0),BP$2)))))*'Inputs Yr 2'!P326*'Inputs Yr 2'!Q326*'Inputs Yr 2'!U326,"")</f>
        <v>0</v>
      </c>
      <c r="BQ326" s="230">
        <f t="shared" ref="BQ326:BQ364" si="188">IFERROR(SUM(BJ326:BP326),"")</f>
        <v>73557.95507290808</v>
      </c>
      <c r="BR326" s="197">
        <f t="shared" si="172"/>
        <v>1146.723446280902</v>
      </c>
      <c r="BS326" s="197">
        <f>IFERROR(($G326*IF('Inputs Yr 2'!$AJ326=BM$4,'Inputs Yr 2'!$AK326,IF('Inputs Yr 2'!$AL326=BM$4,'Inputs Yr 2'!$AM326,IF('Inputs Yr 2'!$AN326=BM$4,'Inputs Yr 2'!$AO326,0))))*(INDEX(avoidedcosttbl2,$H326,BS$2)+(($H326-ROUNDDOWN($H326,0))*(INDEX(avoidedcosttbl2,ROUNDUP($H326,0),BS$2)-(INDEX(avoidedcosttbl2,ROUNDDOWN($H326,0),BS$2)))))*'Inputs Yr 2'!P326*'Inputs Yr 2'!Q326*'Inputs Yr 2'!U326,"")</f>
        <v>0</v>
      </c>
      <c r="BT326" s="197">
        <f>IFERROR(($G326*IF('Inputs Yr 2'!$AJ326=BK$4,'Inputs Yr 2'!$AK326,IF('Inputs Yr 2'!$AL326=BK$4,'Inputs Yr 2'!$AM326,IF('Inputs Yr 2'!$AN326=BK$4,'Inputs Yr 2'!$AO326,0))))*(INDEX(avoidedcosttbl2,$H326,BT$2)+(($H326-ROUNDDOWN($H326,0))*(INDEX(avoidedcosttbl2,ROUNDUP($H326,0),BT$2)-(INDEX(avoidedcosttbl2,ROUNDDOWN($H326,0),BT$2)))))*'Inputs Yr 2'!P326*'Inputs Yr 2'!Q326*'Inputs Yr 2'!U326,"")</f>
        <v>0</v>
      </c>
      <c r="BU326" s="197">
        <f>IFERROR(($G326*IF('Inputs Yr 2'!$AJ326=BL$4,'Inputs Yr 2'!$AK326,IF('Inputs Yr 2'!$AL326=BL$4,'Inputs Yr 2'!$AM326,IF('Inputs Yr 2'!$AN326=BL$4,'Inputs Yr 2'!$AO326,0))))*(INDEX(avoidedcosttbl2,$H326,BU$2)+(($H326-ROUNDDOWN($H326,0))*(INDEX(avoidedcosttbl2,ROUNDUP($H326,0),BU$2)-(INDEX(avoidedcosttbl2,ROUNDDOWN($H326,0),BU$2)))))*'Inputs Yr 2'!P326*'Inputs Yr 2'!Q326*'Inputs Yr 2'!U326,"")</f>
        <v>3620.730975365354</v>
      </c>
      <c r="BV326" s="775">
        <f>IFERROR(($G326*IF('Inputs Yr 2'!$AJ326=BJ$4,'Inputs Yr 2'!$AK326,IF('Inputs Yr 2'!$AL326=BJ$4,'Inputs Yr 2'!$AM326,IF('Inputs Yr 2'!$AN326=BJ$4,'Inputs Yr 2'!$AO326,0))))*(INDEX(avoidedcosttbl2,$H326,BV$2)+(($H326-ROUNDDOWN($H326,0))*(INDEX(avoidedcosttbl2,ROUNDUP($H326,0),BV$2)-(INDEX(avoidedcosttbl2,ROUNDDOWN($H326,0),BV$2)))))*'Inputs Yr 2'!P326*'Inputs Yr 2'!Q326*'Inputs Yr 2'!U326,"")</f>
        <v>0</v>
      </c>
      <c r="BW326" s="197">
        <f>IFERROR(($G326*IF('Inputs Yr 2'!$AJ326=BN$4,'Inputs Yr 2'!$AK326,IF('Inputs Yr 2'!$AL326=BN$4,'Inputs Yr 2'!$AM326,IF('Inputs Yr 2'!$AN326=BN$4,'Inputs Yr 2'!$AO326,0))))*(INDEX(avoidedcosttbl2,$H326,BW$2)+(($H326-ROUNDDOWN($H326,0))*(INDEX(avoidedcosttbl2,ROUNDUP($H326,0),BW$2)-(INDEX(avoidedcosttbl2,ROUNDDOWN($H326,0),BW$2)))))*'Inputs Yr 2'!P326*'Inputs Yr 2'!Q326*'Inputs Yr 2'!U326,"")</f>
        <v>0</v>
      </c>
      <c r="BX326" s="197">
        <f>IFERROR(($G326*IF('Inputs Yr 2'!$AJ326=BO$4,'Inputs Yr 2'!$AK326,IF('Inputs Yr 2'!$AL326=BO$4,'Inputs Yr 2'!$AM326,IF('Inputs Yr 2'!$AN326=BO$4,'Inputs Yr 2'!$AO326,0))))*(INDEX(avoidedcosttbl2,$H326,BX$2)+(($H326-ROUNDDOWN($H326,0))*(INDEX(avoidedcosttbl2,ROUNDUP($H326,0),BX$2)-(INDEX(avoidedcosttbl2,ROUNDDOWN($H326,0),BX$2)))))*'Inputs Yr 2'!P326*'Inputs Yr 2'!Q326*'Inputs Yr 2'!U326,"")</f>
        <v>0</v>
      </c>
      <c r="BY326" s="197">
        <f>IFERROR(($G326*IF('Inputs Yr 2'!$AJ326=BP$4,'Inputs Yr 2'!$AK326,IF('Inputs Yr 2'!$AL326=BP$4,'Inputs Yr 2'!$AM326,IF('Inputs Yr 2'!$AN326=BP$4,'Inputs Yr 2'!$AO326,0))))*(INDEX(avoidedcosttbl2,$H326,BY$2)+(($H326-ROUNDDOWN($H326,0))*(INDEX(avoidedcosttbl2,ROUNDUP($H326,0),BY$2)-(INDEX(avoidedcosttbl2,ROUNDDOWN($H326,0),BY$2)))))*'Inputs Yr 2'!P326*'Inputs Yr 2'!Q326*'Inputs Yr 2'!U326,"")</f>
        <v>0</v>
      </c>
      <c r="BZ326" s="193">
        <f t="shared" ref="BZ326:BZ364" si="189">IFERROR(SUM(BR326:BY326),"")</f>
        <v>4767.4544216462564</v>
      </c>
      <c r="CA326" s="193">
        <f t="shared" ref="CA326:CA364" si="190">IFERROR(BQ326+BZ326,"")</f>
        <v>78325.409494554333</v>
      </c>
      <c r="CB326" s="195">
        <f>IFERROR(G326*(IF('Inputs Yr 2'!$AJ326=CB$4,'Inputs Yr 2'!$AK326,IF('Inputs Yr 2'!$AL326=CB$4,'Inputs Yr 2'!$AM326,IF('Inputs Yr 2'!$AN326=CB$4,'Inputs Yr 2'!$AO326,0))))*(INDEX(avoidedcosttbl2,$H326,CB$2)+(($H326-ROUNDDOWN($H326,0))*(INDEX(avoidedcosttbl2,ROUNDUP($H326,0),CB$2)-(INDEX(avoidedcosttbl2,ROUNDDOWN($H326,0),CB$2)))))*'Inputs Yr 2'!P326*'Inputs Yr 2'!Q326*'Inputs Yr 2'!U326,"")</f>
        <v>0</v>
      </c>
      <c r="CC326" s="195">
        <f>IFERROR(H326*(IF('Inputs Yr 2'!$AJ326=CC$4,'Inputs Yr 2'!$AK326,IF('Inputs Yr 2'!$AL326=CC$4,'Inputs Yr 2'!$AM326,IF('Inputs Yr 2'!$AN326=CC$4,'Inputs Yr 2'!$AO326,0))))*(INDEX(avoidedcosttbl2,$H326,CC$2)+(($H326-ROUNDDOWN($H326,0))*(INDEX(avoidedcosttbl2,ROUNDUP($H326,0),CC$2)-(INDEX(avoidedcosttbl2,ROUNDDOWN($H326,0),CC$2)))))*'Inputs Yr 2'!Q326*'Inputs Yr 2'!R326*'Inputs Yr 2'!V326,"")</f>
        <v>0</v>
      </c>
      <c r="CD326" s="195">
        <f>IFERROR(I326*(IF('Inputs Yr 2'!$AJ326=CD$4,'Inputs Yr 2'!$AK326,IF('Inputs Yr 2'!$AL326=CD$4,'Inputs Yr 2'!$AM326,IF('Inputs Yr 2'!$AN326=CD$4,'Inputs Yr 2'!$AO326,0))))*(INDEX(avoidedcosttbl2,$H326,CD$2)+(($H326-ROUNDDOWN($H326,0))*(INDEX(avoidedcosttbl2,ROUNDUP($H326,0),CD$2)-(INDEX(avoidedcosttbl2,ROUNDDOWN($H326,0),CD$2)))))*'Inputs Yr 2'!R326*'Inputs Yr 2'!S326*'Inputs Yr 2'!W326,"")</f>
        <v>0</v>
      </c>
      <c r="CE326" s="213">
        <f t="shared" ref="CE326:CE364" si="191">IFERROR(AL326*(INDEX(avoidedcosttbl2,$H326,CE$2)+(($H326-ROUNDDOWN($H326,0))*(INDEX(avoidedcosttbl2,ROUNDUP($H326,0),CE$2)-(INDEX(avoidedcosttbl2,ROUNDDOWN($H326,0),CE$2))))),"")</f>
        <v>0</v>
      </c>
      <c r="CF326" s="213">
        <f t="shared" ref="CF326:CF364" si="192">IFERROR(AM326*(INDEX(avoidedcosttbl2,$H326,CF$2)+(($H326-ROUNDDOWN($H326,0))*(INDEX(avoidedcosttbl2,ROUNDUP($H326,0),CF$2)-(INDEX(avoidedcosttbl2,ROUNDDOWN($H326,0),CF$2))))),"")</f>
        <v>0</v>
      </c>
      <c r="CG326" s="213">
        <f t="shared" ref="CG326:CG364" si="193">IFERROR(AN326*(INDEX(avoidedcosttbl2,$H326,CG$2)+(($H326-ROUNDDOWN($H326,0))*(INDEX(avoidedcosttbl2,ROUNDUP($H326,0),CG$2)-(INDEX(avoidedcosttbl2,ROUNDDOWN($H326,0),CG$2))))),"")</f>
        <v>0</v>
      </c>
      <c r="CH326" s="698">
        <f t="shared" ref="CH326:CH364" si="194">IFERROR(SUM(CA326:CG326),"")</f>
        <v>78325.409494554333</v>
      </c>
      <c r="CI326" s="79">
        <f>IFERROR(($G326*'Inputs Yr 2'!$P326*'Inputs Yr 2'!$Q326*(((INDEX(avoidedcosttbl2,$H326,CI$2)+(($H326-ROUNDDOWN($H326,0))*(INDEX(avoidedcosttbl2,ROUNDUP($H326,0),CI$2)-INDEX(avoidedcosttbl2,ROUNDDOWN($H326,0),CI$2))))*'Inputs Yr 2'!AS326))),"")</f>
        <v>0</v>
      </c>
      <c r="CJ326" s="504">
        <f>IFERROR($G326*'Inputs Yr 2'!AT326*'Inputs Yr 2'!$P326*'Inputs Yr 2'!$Q326/((1+realdiscrt1)^-0.5),"")</f>
        <v>0</v>
      </c>
      <c r="CK326" s="79">
        <f>IFERROR((O326*1000*(((INDEX(avoidedcosttbl2,$H326,CK$2)+(($H326-ROUNDDOWN($H326,0))*(INDEX(avoidedcosttbl2,ROUNDUP($H326,0),CK$2)-INDEX(avoidedcosttbl2,ROUNDDOWN($H326,0),CK$2))))*'Inputs Yr 2'!AU326))),"")</f>
        <v>0</v>
      </c>
      <c r="CL326" s="504">
        <f>IFERROR(O326*1000*'Inputs Yr 2'!AV326/((1+realdiscrt1)^-0.5),"")</f>
        <v>0</v>
      </c>
      <c r="CM326" s="79">
        <f>IFERROR((AB326*'Inputs Yr 2'!AW326*(((INDEX(avoidedcosttbl2,$H326,CM$2)+(($H326-ROUNDDOWN($H326,0))*(INDEX(avoidedcosttbl2,ROUNDUP($H326,0),CM$2)-INDEX(avoidedcosttbl2,ROUNDDOWN($H326,0),CM$2)))))))*10,"")</f>
        <v>39055.421907637858</v>
      </c>
      <c r="CN326" s="504">
        <f>IFERROR(10*AB326*'Inputs Yr 2'!AX326/((1+realdiscrt1)^-0.5),"")</f>
        <v>0</v>
      </c>
      <c r="CO326" s="505">
        <f t="shared" ref="CO326:CO364" si="195">SUM(CI326:CN326)</f>
        <v>39055.421907637858</v>
      </c>
      <c r="CP326" s="230">
        <f t="shared" ref="CP326:CP364" si="196">IFERROR(CO326+CH326+BI326,"")</f>
        <v>117380.83140219218</v>
      </c>
      <c r="CQ326" s="199">
        <f>ROUND(IFERROR(IF(LEFT($A326,1)="C",'Avoided Costs'!$K$13,'Avoided Costs'!$K$12)+1,""),4)</f>
        <v>1.0720000000000001</v>
      </c>
      <c r="CR326" s="199">
        <f>ROUND(IFERROR(IF(LEFT($A326,1)="C",'Avoided Costs'!$L$13,'Avoided Costs'!$L$12)+1,""),4)</f>
        <v>1.04</v>
      </c>
      <c r="CS326" s="199">
        <f>ROUND(IFERROR(IF(LEFT($A326,1)="C",'Avoided Costs'!$M$13,'Avoided Costs'!$M$12)+1,""),4)</f>
        <v>1.0720000000000001</v>
      </c>
      <c r="CT326" s="199">
        <f>ROUND(IFERROR(IF(LEFT($A326,1)="C",'Avoided Costs'!$N$13,'Avoided Costs'!$N$12)+1,""),4)</f>
        <v>1.04</v>
      </c>
      <c r="CU326" s="199">
        <f>ROUND(IFERROR(IF(LEFT($A326,1)="C",'Avoided Costs'!$O$13,'Avoided Costs'!$O$12)+1,""),4)</f>
        <v>1.1120000000000001</v>
      </c>
      <c r="CV326" s="199">
        <f>ROUND(IFERROR(IF(LEFT($A326,1)="C",'Avoided Costs'!$P$13,'Avoided Costs'!$P$12)+1,""),4)</f>
        <v>1.095</v>
      </c>
      <c r="CW326" s="199">
        <f>ROUND(IFERROR(IF(LEFT($A326,1)="C",'Avoided Costs'!$Q$13,'Avoided Costs'!$Q$12)+1,""),4)</f>
        <v>1.1120000000000001</v>
      </c>
      <c r="CX326" s="200">
        <f>ROUND(IFERROR(IF(LEFT($A326,1)="C",'Avoided Costs'!$R$13,'Avoided Costs'!$R$12)+1,""),4)</f>
        <v>1.1120000000000001</v>
      </c>
    </row>
    <row r="327" spans="1:102" ht="12.75" customHeight="1">
      <c r="A327" s="91" t="str">
        <f>IF('Inputs Yr 2'!$B327=0,"",'Inputs Yr 2'!A327)</f>
        <v>C - Commercial &amp; Industrial</v>
      </c>
      <c r="B327" s="91" t="str">
        <f>IF('Inputs Yr 2'!$B327=0,"",'Inputs Yr 2'!B327)</f>
        <v>C2 - C&amp;I Retrofit</v>
      </c>
      <c r="C327" s="91" t="str">
        <f>IF('Inputs Yr 2'!$B327=0,"",'Inputs Yr 2'!C327)</f>
        <v xml:space="preserve">C2c - C&amp;I Multifamily Retrofit </v>
      </c>
      <c r="D327" s="91" t="str">
        <f>IF('Inputs Yr 2'!$B327=0,"",'Inputs Yr 2'!E327)</f>
        <v>HVAC - Custom</v>
      </c>
      <c r="E327" s="93" t="str">
        <f>IF('Inputs Yr 2'!$B327=0,"",'Inputs Yr 2'!F327)</f>
        <v>G16C2c02</v>
      </c>
      <c r="F327" s="93" t="str">
        <f>IF('Inputs Yr 2'!$B327=0,"",'Inputs Yr 2'!G327)</f>
        <v>HVAC</v>
      </c>
      <c r="G327" s="95" t="str">
        <f>IF('Inputs Yr 2'!$H327&lt;&gt;0,('Inputs Yr 2'!H327),"")</f>
        <v/>
      </c>
      <c r="H327" s="94">
        <f>IFERROR('Inputs Yr 2'!I327,"")</f>
        <v>0</v>
      </c>
      <c r="I327" s="298" t="str">
        <f>IFERROR('Inputs Yr 2'!J327*'Inputs Yr 2'!P327*G327,"")</f>
        <v/>
      </c>
      <c r="J327" s="298" t="str">
        <f>IFERROR('Inputs Yr 2'!K327*G327,"")</f>
        <v/>
      </c>
      <c r="K327" s="298" t="str">
        <f t="shared" si="173"/>
        <v/>
      </c>
      <c r="L327" s="194" t="str">
        <f>IFERROR(('Inputs Yr 2'!W327*G327)/1000,"")</f>
        <v/>
      </c>
      <c r="M327" s="194" t="str">
        <f>IFERROR(L327*('Inputs Yr 2'!$Q327*'Inputs Yr 2'!$V327*'Inputs Yr 2'!$R327),"")</f>
        <v/>
      </c>
      <c r="N327" s="194" t="str">
        <f t="shared" si="174"/>
        <v/>
      </c>
      <c r="O327" s="194" t="str">
        <f>IFERROR(M327*'Inputs Yr 2'!P327,"")</f>
        <v/>
      </c>
      <c r="P327" s="194" t="str">
        <f t="shared" si="175"/>
        <v/>
      </c>
      <c r="Q327" s="194" t="str">
        <f>IFERROR($P327*'Inputs Yr 2'!AA327,"")</f>
        <v/>
      </c>
      <c r="R327" s="194" t="str">
        <f>IFERROR($P327*'Inputs Yr 2'!AB327,"")</f>
        <v/>
      </c>
      <c r="S327" s="194" t="str">
        <f>IFERROR($P327*'Inputs Yr 2'!AC327,"")</f>
        <v/>
      </c>
      <c r="T327" s="194" t="str">
        <f>IFERROR($P327*'Inputs Yr 2'!AD327,"")</f>
        <v/>
      </c>
      <c r="U327" s="194" t="str">
        <f>IFERROR(G327*'Inputs Yr 2'!$AE327*'Inputs Yr 2'!$P327*'Inputs Yr 2'!$Q327,"")</f>
        <v/>
      </c>
      <c r="V327" s="194" t="str">
        <f>IFERROR($G327*'Inputs Yr 2'!$AE327*'Inputs Yr 2'!$AG327*'Inputs Yr 2'!Q327*'Inputs Yr 2'!$S327,"")</f>
        <v/>
      </c>
      <c r="W327" s="194" t="str">
        <f>IFERROR($G327*'Inputs Yr 2'!$AE327*'Inputs Yr 2'!$AG327*'Inputs Yr 2'!P327*'Inputs Yr 2'!Q327*'Inputs Yr 2'!$S327,"")</f>
        <v/>
      </c>
      <c r="X327" s="194" t="str">
        <f>IFERROR($G327*'Inputs Yr 2'!$AE327*'Inputs Yr 2'!$AF327*'Inputs Yr 2'!Q327*'Inputs Yr 2'!$T327,"")</f>
        <v/>
      </c>
      <c r="Y327" s="194" t="str">
        <f>IFERROR($G327*'Inputs Yr 2'!$AE327*'Inputs Yr 2'!$AF327*'Inputs Yr 2'!P327*'Inputs Yr 2'!Q327*'Inputs Yr 2'!$T327,"")</f>
        <v/>
      </c>
      <c r="Z327" s="257">
        <f>IFERROR($G327*'Inputs Yr 2'!$Q327*'Inputs Yr 2'!$U327*(IF(IFERROR(SEARCH("NG", 'Inputs Yr 2'!$AJ327),0),'Inputs Yr 2'!$AK327,0)+IF(IFERROR(SEARCH("NG", 'Inputs Yr 2'!$AL327),0),'Inputs Yr 2'!$AM327,0)+IF(IFERROR(SEARCH("NG", 'Inputs Yr 2'!$AN327),0),'Inputs Yr 2'!$AO327,0)),0)</f>
        <v>0</v>
      </c>
      <c r="AA327" s="257">
        <f t="shared" si="176"/>
        <v>0</v>
      </c>
      <c r="AB327" s="257">
        <f>IFERROR(Z327*'Inputs Yr 2'!$P327,0)</f>
        <v>0</v>
      </c>
      <c r="AC327" s="257">
        <f t="shared" si="177"/>
        <v>0</v>
      </c>
      <c r="AD327" s="257">
        <f>IFERROR($G327*'Inputs Yr 2'!$Q327*'Inputs Yr 2'!$U327*(IF(IFERROR(SEARCH("Oil", 'Inputs Yr 2'!$AJ327), 0),'Inputs Yr 2'!$AK327,0)+IF(IFERROR(SEARCH("Oil", 'Inputs Yr 2'!$AL327), 0),'Inputs Yr 2'!$AM327,0)+IF(IFERROR(SEARCH("Oil", 'Inputs Yr 2'!$AN327), 0),'Inputs Yr 2'!$AO327,0)),0)</f>
        <v>0</v>
      </c>
      <c r="AE327" s="257">
        <f t="shared" si="178"/>
        <v>0</v>
      </c>
      <c r="AF327" s="257">
        <f>IFERROR(AD327*'Inputs Yr 2'!$P327,0)</f>
        <v>0</v>
      </c>
      <c r="AG327" s="257">
        <f t="shared" si="179"/>
        <v>0</v>
      </c>
      <c r="AH327" s="257">
        <f>IFERROR($G327*'Inputs Yr 2'!$Q327*'Inputs Yr 2'!$U327*(IF('Inputs Yr 2'!$AJ327=CD$4,'Inputs Yr 2'!$AK327,IF('Inputs Yr 2'!$AL327=CD$4,'Inputs Yr 2'!$AM327,IF('Inputs Yr 2'!$AN327=CD$4,'Inputs Yr 2'!$AO327,0)))),0)</f>
        <v>0</v>
      </c>
      <c r="AI327" s="257">
        <f t="shared" si="180"/>
        <v>0</v>
      </c>
      <c r="AJ327" s="257">
        <f>IFERROR(AH327*'Inputs Yr 2'!$P327,0)</f>
        <v>0</v>
      </c>
      <c r="AK327" s="257">
        <f t="shared" si="181"/>
        <v>0</v>
      </c>
      <c r="AL327" s="258">
        <f>IFERROR($G327*'Inputs Yr 2'!$P327*'Inputs Yr 2'!$Q327*'Inputs Yr 2'!AP327,0)</f>
        <v>0</v>
      </c>
      <c r="AM327" s="260">
        <f>IFERROR($G327*'Inputs Yr 2'!$P327*'Inputs Yr 2'!$Q327*'Inputs Yr 2'!AQ327,0)</f>
        <v>0</v>
      </c>
      <c r="AN327" s="258">
        <f>IFERROR($G327*'Inputs Yr 2'!$P327*'Inputs Yr 2'!$Q327*'Inputs Yr 2'!AR327,0)</f>
        <v>0</v>
      </c>
      <c r="AO327" s="257">
        <f t="shared" si="182"/>
        <v>0</v>
      </c>
      <c r="AP327" s="195" t="str">
        <f>IFERROR($CQ327*(INDEX(avoidedcosttbl2,$H327,AP$2)+(($H327-ROUNDDOWN($H327,0))*(INDEX(avoidedcosttbl2,ROUNDUP($H327,0),AP$2)-(INDEX(avoidedcosttbl2,ROUNDDOWN($H327,0),AP$2)))))*$O327*1000*'Inputs Yr 2'!AA327,"")</f>
        <v/>
      </c>
      <c r="AQ327" s="195" t="str">
        <f>IFERROR($CR327*(INDEX(avoidedcosttbl2,$H327,AQ$2)+(($H327-ROUNDDOWN($H327,0))*(INDEX(avoidedcosttbl2,ROUNDUP($H327,0),AQ$2)-(INDEX(avoidedcosttbl2,ROUNDDOWN($H327,0),AQ$2)))))*$O327*1000*'Inputs Yr 2'!AB327,"")</f>
        <v/>
      </c>
      <c r="AR327" s="195" t="str">
        <f>IFERROR($CS327*(INDEX(avoidedcosttbl2,$H327,AR$2)+(($H327-ROUNDDOWN($H327,0))*(INDEX(avoidedcosttbl2,ROUNDUP($H327,0),AR$2)-(INDEX(avoidedcosttbl2,ROUNDDOWN($H327,0),AR$2)))))*$O327*1000*'Inputs Yr 2'!AC327,"")</f>
        <v/>
      </c>
      <c r="AS327" s="195" t="str">
        <f>IFERROR($CT327*(INDEX(avoidedcosttbl2,$H327,AS$2)+(($H327-ROUNDDOWN($H327,0))*(INDEX(avoidedcosttbl2,ROUNDUP($H327,0),AS$2)-(INDEX(avoidedcosttbl2,ROUNDDOWN($H327,0),AS$2)))))*$O327*1000*'Inputs Yr 2'!AD327,"")</f>
        <v/>
      </c>
      <c r="AT327" s="196">
        <f t="shared" si="183"/>
        <v>0</v>
      </c>
      <c r="AU327" s="197" t="str">
        <f>IFERROR($CQ327*((INDEX(avoidedcosttbl2,$H327,AU$2))+(($H327-ROUNDDOWN($H327,0))*((INDEX(avoidedcosttbl2,ROUNDUP($H327,0),AU$2))-(INDEX(avoidedcosttbl2,ROUNDDOWN($H327,0),AU$2)))))*$O327*1000*'Inputs Yr 2'!AA327,"")</f>
        <v/>
      </c>
      <c r="AV327" s="197" t="str">
        <f>IFERROR($CR327*((INDEX(avoidedcosttbl2,$H327,AV$2))+(($H327-ROUNDDOWN($H327,0))*((INDEX(avoidedcosttbl2,ROUNDUP($H327,0),AV$2))-(INDEX(avoidedcosttbl2,ROUNDDOWN($H327,0),AV$2)))))*$O327*1000*'Inputs Yr 2'!AB327,"")</f>
        <v/>
      </c>
      <c r="AW327" s="197" t="str">
        <f>IFERROR($CS327*((INDEX(avoidedcosttbl2,$H327,AW$2))+(($H327-ROUNDDOWN($H327,0))*((INDEX(avoidedcosttbl2,ROUNDUP($H327,0),AW$2))-(INDEX(avoidedcosttbl2,ROUNDDOWN($H327,0),AW$2)))))*$O327*1000*'Inputs Yr 2'!AC327,"")</f>
        <v/>
      </c>
      <c r="AX327" s="197" t="str">
        <f>IFERROR($CT327*((INDEX(avoidedcosttbl2,$H327,AX$2))+(($H327-ROUNDDOWN($H327,0))*((INDEX(avoidedcosttbl2,ROUNDUP($H327,0),AX$2))-(INDEX(avoidedcosttbl2,ROUNDDOWN($H327,0),AX$2)))))*$O327*1000*'Inputs Yr 2'!AD327,"")</f>
        <v/>
      </c>
      <c r="AY327" s="197" t="str">
        <f>IFERROR(((INDEX(avoidedcosttbl2,$H327,AY$2))+(($H327-ROUNDDOWN($H327,0))*((INDEX(avoidedcosttbl2,ROUNDUP($H327,0),AY$2))-(INDEX(avoidedcosttbl2,ROUNDDOWN($H327,0),AY$2)))))*$O327*1000*('Inputs Yr 2'!AC327+'Inputs Yr 2'!AD327),"")</f>
        <v/>
      </c>
      <c r="AZ327" s="197" t="str">
        <f>IFERROR(((INDEX(avoidedcosttbl2,$H327,AZ$2))+(($H327-ROUNDDOWN($H327,0))*((INDEX(avoidedcosttbl2,ROUNDUP($H327,0),AZ$2))-(INDEX(avoidedcosttbl2,ROUNDDOWN($H327,0),AZ$2)))))*$O327*1000*('Inputs Yr 2'!AA327+'Inputs Yr 2'!AB327),"")</f>
        <v/>
      </c>
      <c r="BA327" s="198">
        <f t="shared" si="184"/>
        <v>0</v>
      </c>
      <c r="BB327" s="198">
        <f t="shared" si="185"/>
        <v>0</v>
      </c>
      <c r="BC327" s="195" t="str">
        <f t="shared" si="167"/>
        <v/>
      </c>
      <c r="BD327" s="195" t="str">
        <f t="shared" si="168"/>
        <v/>
      </c>
      <c r="BE327" s="195" t="str">
        <f t="shared" si="169"/>
        <v/>
      </c>
      <c r="BF327" s="195" t="str">
        <f t="shared" si="170"/>
        <v/>
      </c>
      <c r="BG327" s="195" t="str">
        <f t="shared" si="171"/>
        <v/>
      </c>
      <c r="BH327" s="196">
        <f t="shared" si="186"/>
        <v>0</v>
      </c>
      <c r="BI327" s="196">
        <f t="shared" si="187"/>
        <v>0</v>
      </c>
      <c r="BJ327" s="195" t="str">
        <f>IFERROR($G327*(IF('Inputs Yr 2'!$AJ327=BJ$4,'Inputs Yr 2'!$AK327,IF('Inputs Yr 2'!$AL327=BJ$4,'Inputs Yr 2'!$AM327,IF('Inputs Yr 2'!$AN327=BJ$4,'Inputs Yr 2'!$AO327,0))))*(INDEX(avoidedcosttbl2,$H327,BJ$2)+(($H327-ROUNDDOWN($H327,0))*(INDEX(avoidedcosttbl2,ROUNDUP($H327,0),BJ$2)-(INDEX(avoidedcosttbl2,ROUNDDOWN($H327,0),BJ$2)))))*'Inputs Yr 2'!P327*'Inputs Yr 2'!Q327*'Inputs Yr 2'!U327,"")</f>
        <v/>
      </c>
      <c r="BK327" s="195" t="str">
        <f>IFERROR($G327*(IF('Inputs Yr 2'!$AJ327=BK$4,'Inputs Yr 2'!$AK327,IF('Inputs Yr 2'!$AL327=BK$4,'Inputs Yr 2'!$AM327,IF('Inputs Yr 2'!$AN327=BK$4,'Inputs Yr 2'!$AO327,0))))*(INDEX(avoidedcosttbl2,$H327,BK$2)+(($H327-ROUNDDOWN($H327,0))*(INDEX(avoidedcosttbl2,ROUNDUP($H327,0),BK$2)-(INDEX(avoidedcosttbl2,ROUNDDOWN($H327,0),BK$2)))))*'Inputs Yr 2'!P327*'Inputs Yr 2'!Q327*'Inputs Yr 2'!U327,"")</f>
        <v/>
      </c>
      <c r="BL327" s="195" t="str">
        <f>IFERROR($G327*(IF('Inputs Yr 2'!$AJ327=BL$4,'Inputs Yr 2'!$AK327,IF('Inputs Yr 2'!$AL327=BL$4,'Inputs Yr 2'!$AM327,IF('Inputs Yr 2'!$AN327=BL$4,'Inputs Yr 2'!$AO327,0))))*(INDEX(avoidedcosttbl2,$H327,BL$2)+(($H327-ROUNDDOWN($H327,0))*(INDEX(avoidedcosttbl2,ROUNDUP($H327,0),BL$2)-(INDEX(avoidedcosttbl2,ROUNDDOWN($H327,0),BL$2)))))*'Inputs Yr 2'!P327*'Inputs Yr 2'!Q327*'Inputs Yr 2'!U327,"")</f>
        <v/>
      </c>
      <c r="BM327" s="195" t="str">
        <f>IFERROR($G327*(IF('Inputs Yr 2'!$AJ327=BM$4,'Inputs Yr 2'!$AK327,IF('Inputs Yr 2'!$AL327=BM$4,'Inputs Yr 2'!$AM327,IF('Inputs Yr 2'!$AN327=BM$4,'Inputs Yr 2'!$AO327,0))))*(INDEX(avoidedcosttbl2,$H327,BM$2)+(($H327-ROUNDDOWN($H327,0))*(INDEX(avoidedcosttbl2,ROUNDUP($H327,0),BM$2)-(INDEX(avoidedcosttbl2,ROUNDDOWN($H327,0),BM$2)))))*'Inputs Yr 2'!P327*'Inputs Yr 2'!Q327*'Inputs Yr 2'!U327,"")</f>
        <v/>
      </c>
      <c r="BN327" s="195" t="str">
        <f>IFERROR($G327*(IF('Inputs Yr 2'!$AJ327=BN$4,'Inputs Yr 2'!$AK327,IF('Inputs Yr 2'!$AL327=BN$4,'Inputs Yr 2'!$AM327,IF('Inputs Yr 2'!$AN327=BN$4,'Inputs Yr 2'!$AO327,0))))*(INDEX(avoidedcosttbl2,$H327,BN$2)+(($H327-ROUNDDOWN($H327,0))*(INDEX(avoidedcosttbl2,ROUNDUP($H327,0),BN$2)-(INDEX(avoidedcosttbl2,ROUNDDOWN($H327,0),BN$2)))))*'Inputs Yr 2'!P327*'Inputs Yr 2'!Q327*'Inputs Yr 2'!U327,"")</f>
        <v/>
      </c>
      <c r="BO327" s="195" t="str">
        <f>IFERROR($G327*(IF('Inputs Yr 2'!$AJ327=BO$4,'Inputs Yr 2'!$AK327,IF('Inputs Yr 2'!$AL327=BO$4,'Inputs Yr 2'!$AM327,IF('Inputs Yr 2'!$AN327=BO$4,'Inputs Yr 2'!$AO327,0))))*(INDEX(avoidedcosttbl2,$H327,BO$2)+(($H327-ROUNDDOWN($H327,0))*(INDEX(avoidedcosttbl2,ROUNDUP($H327,0),BO$2)-(INDEX(avoidedcosttbl2,ROUNDDOWN($H327,0),BO$2)))))*'Inputs Yr 2'!P327*'Inputs Yr 2'!Q327*'Inputs Yr 2'!U327,"")</f>
        <v/>
      </c>
      <c r="BP327" s="195" t="str">
        <f>IFERROR($G327*(IF('Inputs Yr 2'!$AJ327=BP$4,'Inputs Yr 2'!$AK327,IF('Inputs Yr 2'!$AL327=BP$4,'Inputs Yr 2'!$AM327,IF('Inputs Yr 2'!$AN327=BP$4,'Inputs Yr 2'!$AO327,0))))*(INDEX(avoidedcosttbl2,$H327,BP$2)+(($H327-ROUNDDOWN($H327,0))*(INDEX(avoidedcosttbl2,ROUNDUP($H327,0),BP$2)-(INDEX(avoidedcosttbl2,ROUNDDOWN($H327,0),BP$2)))))*'Inputs Yr 2'!P327*'Inputs Yr 2'!Q327*'Inputs Yr 2'!U327,"")</f>
        <v/>
      </c>
      <c r="BQ327" s="230">
        <f t="shared" si="188"/>
        <v>0</v>
      </c>
      <c r="BR327" s="197" t="str">
        <f t="shared" si="172"/>
        <v/>
      </c>
      <c r="BS327" s="197" t="str">
        <f>IFERROR(($G327*IF('Inputs Yr 2'!$AJ327=BM$4,'Inputs Yr 2'!$AK327,IF('Inputs Yr 2'!$AL327=BM$4,'Inputs Yr 2'!$AM327,IF('Inputs Yr 2'!$AN327=BM$4,'Inputs Yr 2'!$AO327,0))))*(INDEX(avoidedcosttbl2,$H327,BS$2)+(($H327-ROUNDDOWN($H327,0))*(INDEX(avoidedcosttbl2,ROUNDUP($H327,0),BS$2)-(INDEX(avoidedcosttbl2,ROUNDDOWN($H327,0),BS$2)))))*'Inputs Yr 2'!P327*'Inputs Yr 2'!Q327*'Inputs Yr 2'!U327,"")</f>
        <v/>
      </c>
      <c r="BT327" s="197" t="str">
        <f>IFERROR(($G327*IF('Inputs Yr 2'!$AJ327=BK$4,'Inputs Yr 2'!$AK327,IF('Inputs Yr 2'!$AL327=BK$4,'Inputs Yr 2'!$AM327,IF('Inputs Yr 2'!$AN327=BK$4,'Inputs Yr 2'!$AO327,0))))*(INDEX(avoidedcosttbl2,$H327,BT$2)+(($H327-ROUNDDOWN($H327,0))*(INDEX(avoidedcosttbl2,ROUNDUP($H327,0),BT$2)-(INDEX(avoidedcosttbl2,ROUNDDOWN($H327,0),BT$2)))))*'Inputs Yr 2'!P327*'Inputs Yr 2'!Q327*'Inputs Yr 2'!U327,"")</f>
        <v/>
      </c>
      <c r="BU327" s="197" t="str">
        <f>IFERROR(($G327*IF('Inputs Yr 2'!$AJ327=BL$4,'Inputs Yr 2'!$AK327,IF('Inputs Yr 2'!$AL327=BL$4,'Inputs Yr 2'!$AM327,IF('Inputs Yr 2'!$AN327=BL$4,'Inputs Yr 2'!$AO327,0))))*(INDEX(avoidedcosttbl2,$H327,BU$2)+(($H327-ROUNDDOWN($H327,0))*(INDEX(avoidedcosttbl2,ROUNDUP($H327,0),BU$2)-(INDEX(avoidedcosttbl2,ROUNDDOWN($H327,0),BU$2)))))*'Inputs Yr 2'!P327*'Inputs Yr 2'!Q327*'Inputs Yr 2'!U327,"")</f>
        <v/>
      </c>
      <c r="BV327" s="775" t="str">
        <f>IFERROR(($G327*IF('Inputs Yr 2'!$AJ327=BJ$4,'Inputs Yr 2'!$AK327,IF('Inputs Yr 2'!$AL327=BJ$4,'Inputs Yr 2'!$AM327,IF('Inputs Yr 2'!$AN327=BJ$4,'Inputs Yr 2'!$AO327,0))))*(INDEX(avoidedcosttbl2,$H327,BV$2)+(($H327-ROUNDDOWN($H327,0))*(INDEX(avoidedcosttbl2,ROUNDUP($H327,0),BV$2)-(INDEX(avoidedcosttbl2,ROUNDDOWN($H327,0),BV$2)))))*'Inputs Yr 2'!P327*'Inputs Yr 2'!Q327*'Inputs Yr 2'!U327,"")</f>
        <v/>
      </c>
      <c r="BW327" s="197" t="str">
        <f>IFERROR(($G327*IF('Inputs Yr 2'!$AJ327=BN$4,'Inputs Yr 2'!$AK327,IF('Inputs Yr 2'!$AL327=BN$4,'Inputs Yr 2'!$AM327,IF('Inputs Yr 2'!$AN327=BN$4,'Inputs Yr 2'!$AO327,0))))*(INDEX(avoidedcosttbl2,$H327,BW$2)+(($H327-ROUNDDOWN($H327,0))*(INDEX(avoidedcosttbl2,ROUNDUP($H327,0),BW$2)-(INDEX(avoidedcosttbl2,ROUNDDOWN($H327,0),BW$2)))))*'Inputs Yr 2'!P327*'Inputs Yr 2'!Q327*'Inputs Yr 2'!U327,"")</f>
        <v/>
      </c>
      <c r="BX327" s="197" t="str">
        <f>IFERROR(($G327*IF('Inputs Yr 2'!$AJ327=BO$4,'Inputs Yr 2'!$AK327,IF('Inputs Yr 2'!$AL327=BO$4,'Inputs Yr 2'!$AM327,IF('Inputs Yr 2'!$AN327=BO$4,'Inputs Yr 2'!$AO327,0))))*(INDEX(avoidedcosttbl2,$H327,BX$2)+(($H327-ROUNDDOWN($H327,0))*(INDEX(avoidedcosttbl2,ROUNDUP($H327,0),BX$2)-(INDEX(avoidedcosttbl2,ROUNDDOWN($H327,0),BX$2)))))*'Inputs Yr 2'!P327*'Inputs Yr 2'!Q327*'Inputs Yr 2'!U327,"")</f>
        <v/>
      </c>
      <c r="BY327" s="197" t="str">
        <f>IFERROR(($G327*IF('Inputs Yr 2'!$AJ327=BP$4,'Inputs Yr 2'!$AK327,IF('Inputs Yr 2'!$AL327=BP$4,'Inputs Yr 2'!$AM327,IF('Inputs Yr 2'!$AN327=BP$4,'Inputs Yr 2'!$AO327,0))))*(INDEX(avoidedcosttbl2,$H327,BY$2)+(($H327-ROUNDDOWN($H327,0))*(INDEX(avoidedcosttbl2,ROUNDUP($H327,0),BY$2)-(INDEX(avoidedcosttbl2,ROUNDDOWN($H327,0),BY$2)))))*'Inputs Yr 2'!P327*'Inputs Yr 2'!Q327*'Inputs Yr 2'!U327,"")</f>
        <v/>
      </c>
      <c r="BZ327" s="193">
        <f t="shared" si="189"/>
        <v>0</v>
      </c>
      <c r="CA327" s="193">
        <f t="shared" si="190"/>
        <v>0</v>
      </c>
      <c r="CB327" s="195" t="str">
        <f>IFERROR(G327*(IF('Inputs Yr 2'!$AJ327=CB$4,'Inputs Yr 2'!$AK327,IF('Inputs Yr 2'!$AL327=CB$4,'Inputs Yr 2'!$AM327,IF('Inputs Yr 2'!$AN327=CB$4,'Inputs Yr 2'!$AO327,0))))*(INDEX(avoidedcosttbl2,$H327,CB$2)+(($H327-ROUNDDOWN($H327,0))*(INDEX(avoidedcosttbl2,ROUNDUP($H327,0),CB$2)-(INDEX(avoidedcosttbl2,ROUNDDOWN($H327,0),CB$2)))))*'Inputs Yr 2'!P327*'Inputs Yr 2'!Q327*'Inputs Yr 2'!U327,"")</f>
        <v/>
      </c>
      <c r="CC327" s="195" t="str">
        <f>IFERROR(H327*(IF('Inputs Yr 2'!$AJ327=CC$4,'Inputs Yr 2'!$AK327,IF('Inputs Yr 2'!$AL327=CC$4,'Inputs Yr 2'!$AM327,IF('Inputs Yr 2'!$AN327=CC$4,'Inputs Yr 2'!$AO327,0))))*(INDEX(avoidedcosttbl2,$H327,CC$2)+(($H327-ROUNDDOWN($H327,0))*(INDEX(avoidedcosttbl2,ROUNDUP($H327,0),CC$2)-(INDEX(avoidedcosttbl2,ROUNDDOWN($H327,0),CC$2)))))*'Inputs Yr 2'!Q327*'Inputs Yr 2'!R327*'Inputs Yr 2'!V327,"")</f>
        <v/>
      </c>
      <c r="CD327" s="195" t="str">
        <f>IFERROR(I327*(IF('Inputs Yr 2'!$AJ327=CD$4,'Inputs Yr 2'!$AK327,IF('Inputs Yr 2'!$AL327=CD$4,'Inputs Yr 2'!$AM327,IF('Inputs Yr 2'!$AN327=CD$4,'Inputs Yr 2'!$AO327,0))))*(INDEX(avoidedcosttbl2,$H327,CD$2)+(($H327-ROUNDDOWN($H327,0))*(INDEX(avoidedcosttbl2,ROUNDUP($H327,0),CD$2)-(INDEX(avoidedcosttbl2,ROUNDDOWN($H327,0),CD$2)))))*'Inputs Yr 2'!R327*'Inputs Yr 2'!S327*'Inputs Yr 2'!W327,"")</f>
        <v/>
      </c>
      <c r="CE327" s="213" t="str">
        <f t="shared" si="191"/>
        <v/>
      </c>
      <c r="CF327" s="213" t="str">
        <f t="shared" si="192"/>
        <v/>
      </c>
      <c r="CG327" s="213" t="str">
        <f t="shared" si="193"/>
        <v/>
      </c>
      <c r="CH327" s="698">
        <f t="shared" si="194"/>
        <v>0</v>
      </c>
      <c r="CI327" s="79" t="str">
        <f>IFERROR(($G327*'Inputs Yr 2'!$P327*'Inputs Yr 2'!$Q327*(((INDEX(avoidedcosttbl2,$H327,CI$2)+(($H327-ROUNDDOWN($H327,0))*(INDEX(avoidedcosttbl2,ROUNDUP($H327,0),CI$2)-INDEX(avoidedcosttbl2,ROUNDDOWN($H327,0),CI$2))))*'Inputs Yr 2'!AS327))),"")</f>
        <v/>
      </c>
      <c r="CJ327" s="504" t="str">
        <f>IFERROR($G327*'Inputs Yr 2'!AT327*'Inputs Yr 2'!$P327*'Inputs Yr 2'!$Q327/((1+realdiscrt1)^-0.5),"")</f>
        <v/>
      </c>
      <c r="CK327" s="79" t="str">
        <f>IFERROR((O327*1000*(((INDEX(avoidedcosttbl2,$H327,CK$2)+(($H327-ROUNDDOWN($H327,0))*(INDEX(avoidedcosttbl2,ROUNDUP($H327,0),CK$2)-INDEX(avoidedcosttbl2,ROUNDDOWN($H327,0),CK$2))))*'Inputs Yr 2'!AU327))),"")</f>
        <v/>
      </c>
      <c r="CL327" s="504" t="str">
        <f>IFERROR(O327*1000*'Inputs Yr 2'!AV327/((1+realdiscrt1)^-0.5),"")</f>
        <v/>
      </c>
      <c r="CM327" s="79" t="str">
        <f>IFERROR((AB327*'Inputs Yr 2'!AW327*(((INDEX(avoidedcosttbl2,$H327,CM$2)+(($H327-ROUNDDOWN($H327,0))*(INDEX(avoidedcosttbl2,ROUNDUP($H327,0),CM$2)-INDEX(avoidedcosttbl2,ROUNDDOWN($H327,0),CM$2)))))))*10,"")</f>
        <v/>
      </c>
      <c r="CN327" s="504">
        <f>IFERROR(10*AB327*'Inputs Yr 2'!AX327/((1+realdiscrt1)^-0.5),"")</f>
        <v>0</v>
      </c>
      <c r="CO327" s="505">
        <f t="shared" si="195"/>
        <v>0</v>
      </c>
      <c r="CP327" s="230">
        <f t="shared" si="196"/>
        <v>0</v>
      </c>
      <c r="CQ327" s="199">
        <f>ROUND(IFERROR(IF(LEFT($A327,1)="C",'Avoided Costs'!$K$13,'Avoided Costs'!$K$12)+1,""),4)</f>
        <v>1.0720000000000001</v>
      </c>
      <c r="CR327" s="199">
        <f>ROUND(IFERROR(IF(LEFT($A327,1)="C",'Avoided Costs'!$L$13,'Avoided Costs'!$L$12)+1,""),4)</f>
        <v>1.04</v>
      </c>
      <c r="CS327" s="199">
        <f>ROUND(IFERROR(IF(LEFT($A327,1)="C",'Avoided Costs'!$M$13,'Avoided Costs'!$M$12)+1,""),4)</f>
        <v>1.0720000000000001</v>
      </c>
      <c r="CT327" s="199">
        <f>ROUND(IFERROR(IF(LEFT($A327,1)="C",'Avoided Costs'!$N$13,'Avoided Costs'!$N$12)+1,""),4)</f>
        <v>1.04</v>
      </c>
      <c r="CU327" s="199">
        <f>ROUND(IFERROR(IF(LEFT($A327,1)="C",'Avoided Costs'!$O$13,'Avoided Costs'!$O$12)+1,""),4)</f>
        <v>1.1120000000000001</v>
      </c>
      <c r="CV327" s="199">
        <f>ROUND(IFERROR(IF(LEFT($A327,1)="C",'Avoided Costs'!$P$13,'Avoided Costs'!$P$12)+1,""),4)</f>
        <v>1.095</v>
      </c>
      <c r="CW327" s="199">
        <f>ROUND(IFERROR(IF(LEFT($A327,1)="C",'Avoided Costs'!$Q$13,'Avoided Costs'!$Q$12)+1,""),4)</f>
        <v>1.1120000000000001</v>
      </c>
      <c r="CX327" s="200">
        <f>ROUND(IFERROR(IF(LEFT($A327,1)="C",'Avoided Costs'!$R$13,'Avoided Costs'!$R$12)+1,""),4)</f>
        <v>1.1120000000000001</v>
      </c>
    </row>
    <row r="328" spans="1:102" ht="12.75" customHeight="1">
      <c r="A328" s="91" t="str">
        <f>IF('Inputs Yr 2'!$B328=0,"",'Inputs Yr 2'!A328)</f>
        <v>C - Commercial &amp; Industrial</v>
      </c>
      <c r="B328" s="91" t="str">
        <f>IF('Inputs Yr 2'!$B328=0,"",'Inputs Yr 2'!B328)</f>
        <v>C2 - C&amp;I Retrofit</v>
      </c>
      <c r="C328" s="91" t="str">
        <f>IF('Inputs Yr 2'!$B328=0,"",'Inputs Yr 2'!C328)</f>
        <v xml:space="preserve">C2c - C&amp;I Multifamily Retrofit </v>
      </c>
      <c r="D328" s="91" t="str">
        <f>IF('Inputs Yr 2'!$B328=0,"",'Inputs Yr 2'!E328)</f>
        <v>Heating - Custom</v>
      </c>
      <c r="E328" s="93" t="str">
        <f>IF('Inputs Yr 2'!$B328=0,"",'Inputs Yr 2'!F328)</f>
        <v>G16C2c03</v>
      </c>
      <c r="F328" s="93" t="str">
        <f>IF('Inputs Yr 2'!$B328=0,"",'Inputs Yr 2'!G328)</f>
        <v>HVAC</v>
      </c>
      <c r="G328" s="95">
        <f>IF('Inputs Yr 2'!$H328&lt;&gt;0,('Inputs Yr 2'!H328),"")</f>
        <v>1716</v>
      </c>
      <c r="H328" s="94">
        <f>IFERROR('Inputs Yr 2'!I328,"")</f>
        <v>20</v>
      </c>
      <c r="I328" s="298">
        <f>IFERROR('Inputs Yr 2'!J328*'Inputs Yr 2'!P328*G328,"")</f>
        <v>111842.3</v>
      </c>
      <c r="J328" s="298">
        <f>IFERROR('Inputs Yr 2'!K328*G328,"")</f>
        <v>91275</v>
      </c>
      <c r="K328" s="298">
        <f t="shared" si="173"/>
        <v>20567.300000000003</v>
      </c>
      <c r="L328" s="194">
        <f>IFERROR(('Inputs Yr 2'!W328*G328)/1000,"")</f>
        <v>0</v>
      </c>
      <c r="M328" s="194">
        <f>IFERROR(L328*('Inputs Yr 2'!$Q328*'Inputs Yr 2'!$V328*'Inputs Yr 2'!$R328),"")</f>
        <v>0</v>
      </c>
      <c r="N328" s="194">
        <f t="shared" si="174"/>
        <v>0</v>
      </c>
      <c r="O328" s="194">
        <f>IFERROR(M328*'Inputs Yr 2'!P328,"")</f>
        <v>0</v>
      </c>
      <c r="P328" s="194">
        <f t="shared" si="175"/>
        <v>0</v>
      </c>
      <c r="Q328" s="194">
        <f>IFERROR($P328*'Inputs Yr 2'!AA328,"")</f>
        <v>0</v>
      </c>
      <c r="R328" s="194">
        <f>IFERROR($P328*'Inputs Yr 2'!AB328,"")</f>
        <v>0</v>
      </c>
      <c r="S328" s="194">
        <f>IFERROR($P328*'Inputs Yr 2'!AC328,"")</f>
        <v>0</v>
      </c>
      <c r="T328" s="194">
        <f>IFERROR($P328*'Inputs Yr 2'!AD328,"")</f>
        <v>0</v>
      </c>
      <c r="U328" s="194">
        <f>IFERROR(G328*'Inputs Yr 2'!$AE328*'Inputs Yr 2'!$P328*'Inputs Yr 2'!$Q328,"")</f>
        <v>0</v>
      </c>
      <c r="V328" s="194">
        <f>IFERROR($G328*'Inputs Yr 2'!$AE328*'Inputs Yr 2'!$AG328*'Inputs Yr 2'!Q328*'Inputs Yr 2'!$S328,"")</f>
        <v>0</v>
      </c>
      <c r="W328" s="194">
        <f>IFERROR($G328*'Inputs Yr 2'!$AE328*'Inputs Yr 2'!$AG328*'Inputs Yr 2'!P328*'Inputs Yr 2'!Q328*'Inputs Yr 2'!$S328,"")</f>
        <v>0</v>
      </c>
      <c r="X328" s="194">
        <f>IFERROR($G328*'Inputs Yr 2'!$AE328*'Inputs Yr 2'!$AF328*'Inputs Yr 2'!Q328*'Inputs Yr 2'!$T328,"")</f>
        <v>0</v>
      </c>
      <c r="Y328" s="194">
        <f>IFERROR($G328*'Inputs Yr 2'!$AE328*'Inputs Yr 2'!$AF328*'Inputs Yr 2'!P328*'Inputs Yr 2'!Q328*'Inputs Yr 2'!$T328,"")</f>
        <v>0</v>
      </c>
      <c r="Z328" s="257">
        <f>IFERROR($G328*'Inputs Yr 2'!$Q328*'Inputs Yr 2'!$U328*(IF(IFERROR(SEARCH("NG", 'Inputs Yr 2'!$AJ328),0),'Inputs Yr 2'!$AK328,0)+IF(IFERROR(SEARCH("NG", 'Inputs Yr 2'!$AL328),0),'Inputs Yr 2'!$AM328,0)+IF(IFERROR(SEARCH("NG", 'Inputs Yr 2'!$AN328),0),'Inputs Yr 2'!$AO328,0)),0)</f>
        <v>824.64939934711651</v>
      </c>
      <c r="AA328" s="257">
        <f t="shared" si="176"/>
        <v>16492.987986942331</v>
      </c>
      <c r="AB328" s="257">
        <f>IFERROR(Z328*'Inputs Yr 2'!$P328,0)</f>
        <v>757.85279800000012</v>
      </c>
      <c r="AC328" s="257">
        <f t="shared" si="177"/>
        <v>15157.055960000002</v>
      </c>
      <c r="AD328" s="257">
        <f>IFERROR($G328*'Inputs Yr 2'!$Q328*'Inputs Yr 2'!$U328*(IF(IFERROR(SEARCH("Oil", 'Inputs Yr 2'!$AJ328), 0),'Inputs Yr 2'!$AK328,0)+IF(IFERROR(SEARCH("Oil", 'Inputs Yr 2'!$AL328), 0),'Inputs Yr 2'!$AM328,0)+IF(IFERROR(SEARCH("Oil", 'Inputs Yr 2'!$AN328), 0),'Inputs Yr 2'!$AO328,0)),0)</f>
        <v>0</v>
      </c>
      <c r="AE328" s="257">
        <f t="shared" si="178"/>
        <v>0</v>
      </c>
      <c r="AF328" s="257">
        <f>IFERROR(AD328*'Inputs Yr 2'!$P328,0)</f>
        <v>0</v>
      </c>
      <c r="AG328" s="257">
        <f t="shared" si="179"/>
        <v>0</v>
      </c>
      <c r="AH328" s="257">
        <f>IFERROR($G328*'Inputs Yr 2'!$Q328*'Inputs Yr 2'!$U328*(IF('Inputs Yr 2'!$AJ328=CD$4,'Inputs Yr 2'!$AK328,IF('Inputs Yr 2'!$AL328=CD$4,'Inputs Yr 2'!$AM328,IF('Inputs Yr 2'!$AN328=CD$4,'Inputs Yr 2'!$AO328,0)))),0)</f>
        <v>0</v>
      </c>
      <c r="AI328" s="257">
        <f t="shared" si="180"/>
        <v>0</v>
      </c>
      <c r="AJ328" s="257">
        <f>IFERROR(AH328*'Inputs Yr 2'!$P328,0)</f>
        <v>0</v>
      </c>
      <c r="AK328" s="257">
        <f t="shared" si="181"/>
        <v>0</v>
      </c>
      <c r="AL328" s="258">
        <f>IFERROR($G328*'Inputs Yr 2'!$P328*'Inputs Yr 2'!$Q328*'Inputs Yr 2'!AP328,0)</f>
        <v>0</v>
      </c>
      <c r="AM328" s="260">
        <f>IFERROR($G328*'Inputs Yr 2'!$P328*'Inputs Yr 2'!$Q328*'Inputs Yr 2'!AQ328,0)</f>
        <v>0</v>
      </c>
      <c r="AN328" s="258">
        <f>IFERROR($G328*'Inputs Yr 2'!$P328*'Inputs Yr 2'!$Q328*'Inputs Yr 2'!AR328,0)</f>
        <v>0</v>
      </c>
      <c r="AO328" s="257">
        <f t="shared" si="182"/>
        <v>0</v>
      </c>
      <c r="AP328" s="195">
        <f>IFERROR($CQ328*(INDEX(avoidedcosttbl2,$H328,AP$2)+(($H328-ROUNDDOWN($H328,0))*(INDEX(avoidedcosttbl2,ROUNDUP($H328,0),AP$2)-(INDEX(avoidedcosttbl2,ROUNDDOWN($H328,0),AP$2)))))*$O328*1000*'Inputs Yr 2'!AA328,"")</f>
        <v>0</v>
      </c>
      <c r="AQ328" s="195">
        <f>IFERROR($CR328*(INDEX(avoidedcosttbl2,$H328,AQ$2)+(($H328-ROUNDDOWN($H328,0))*(INDEX(avoidedcosttbl2,ROUNDUP($H328,0),AQ$2)-(INDEX(avoidedcosttbl2,ROUNDDOWN($H328,0),AQ$2)))))*$O328*1000*'Inputs Yr 2'!AB328,"")</f>
        <v>0</v>
      </c>
      <c r="AR328" s="195">
        <f>IFERROR($CS328*(INDEX(avoidedcosttbl2,$H328,AR$2)+(($H328-ROUNDDOWN($H328,0))*(INDEX(avoidedcosttbl2,ROUNDUP($H328,0),AR$2)-(INDEX(avoidedcosttbl2,ROUNDDOWN($H328,0),AR$2)))))*$O328*1000*'Inputs Yr 2'!AC328,"")</f>
        <v>0</v>
      </c>
      <c r="AS328" s="195">
        <f>IFERROR($CT328*(INDEX(avoidedcosttbl2,$H328,AS$2)+(($H328-ROUNDDOWN($H328,0))*(INDEX(avoidedcosttbl2,ROUNDUP($H328,0),AS$2)-(INDEX(avoidedcosttbl2,ROUNDDOWN($H328,0),AS$2)))))*$O328*1000*'Inputs Yr 2'!AD328,"")</f>
        <v>0</v>
      </c>
      <c r="AT328" s="196">
        <f t="shared" si="183"/>
        <v>0</v>
      </c>
      <c r="AU328" s="197">
        <f>IFERROR($CQ328*((INDEX(avoidedcosttbl2,$H328,AU$2))+(($H328-ROUNDDOWN($H328,0))*((INDEX(avoidedcosttbl2,ROUNDUP($H328,0),AU$2))-(INDEX(avoidedcosttbl2,ROUNDDOWN($H328,0),AU$2)))))*$O328*1000*'Inputs Yr 2'!AA328,"")</f>
        <v>0</v>
      </c>
      <c r="AV328" s="197">
        <f>IFERROR($CR328*((INDEX(avoidedcosttbl2,$H328,AV$2))+(($H328-ROUNDDOWN($H328,0))*((INDEX(avoidedcosttbl2,ROUNDUP($H328,0),AV$2))-(INDEX(avoidedcosttbl2,ROUNDDOWN($H328,0),AV$2)))))*$O328*1000*'Inputs Yr 2'!AB328,"")</f>
        <v>0</v>
      </c>
      <c r="AW328" s="197">
        <f>IFERROR($CS328*((INDEX(avoidedcosttbl2,$H328,AW$2))+(($H328-ROUNDDOWN($H328,0))*((INDEX(avoidedcosttbl2,ROUNDUP($H328,0),AW$2))-(INDEX(avoidedcosttbl2,ROUNDDOWN($H328,0),AW$2)))))*$O328*1000*'Inputs Yr 2'!AC328,"")</f>
        <v>0</v>
      </c>
      <c r="AX328" s="197">
        <f>IFERROR($CT328*((INDEX(avoidedcosttbl2,$H328,AX$2))+(($H328-ROUNDDOWN($H328,0))*((INDEX(avoidedcosttbl2,ROUNDUP($H328,0),AX$2))-(INDEX(avoidedcosttbl2,ROUNDDOWN($H328,0),AX$2)))))*$O328*1000*'Inputs Yr 2'!AD328,"")</f>
        <v>0</v>
      </c>
      <c r="AY328" s="197">
        <f>IFERROR(((INDEX(avoidedcosttbl2,$H328,AY$2))+(($H328-ROUNDDOWN($H328,0))*((INDEX(avoidedcosttbl2,ROUNDUP($H328,0),AY$2))-(INDEX(avoidedcosttbl2,ROUNDDOWN($H328,0),AY$2)))))*$O328*1000*('Inputs Yr 2'!AC328+'Inputs Yr 2'!AD328),"")</f>
        <v>0</v>
      </c>
      <c r="AZ328" s="197">
        <f>IFERROR(((INDEX(avoidedcosttbl2,$H328,AZ$2))+(($H328-ROUNDDOWN($H328,0))*((INDEX(avoidedcosttbl2,ROUNDUP($H328,0),AZ$2))-(INDEX(avoidedcosttbl2,ROUNDDOWN($H328,0),AZ$2)))))*$O328*1000*('Inputs Yr 2'!AA328+'Inputs Yr 2'!AB328),"")</f>
        <v>0</v>
      </c>
      <c r="BA328" s="198">
        <f t="shared" si="184"/>
        <v>0</v>
      </c>
      <c r="BB328" s="198">
        <f t="shared" si="185"/>
        <v>0</v>
      </c>
      <c r="BC328" s="195">
        <f t="shared" si="167"/>
        <v>0</v>
      </c>
      <c r="BD328" s="195">
        <f t="shared" si="168"/>
        <v>0</v>
      </c>
      <c r="BE328" s="195">
        <f t="shared" si="169"/>
        <v>0</v>
      </c>
      <c r="BF328" s="195">
        <f t="shared" si="170"/>
        <v>0</v>
      </c>
      <c r="BG328" s="195">
        <f t="shared" si="171"/>
        <v>0</v>
      </c>
      <c r="BH328" s="196">
        <f t="shared" si="186"/>
        <v>0</v>
      </c>
      <c r="BI328" s="196">
        <f t="shared" si="187"/>
        <v>0</v>
      </c>
      <c r="BJ328" s="195">
        <f>IFERROR($G328*(IF('Inputs Yr 2'!$AJ328=BJ$4,'Inputs Yr 2'!$AK328,IF('Inputs Yr 2'!$AL328=BJ$4,'Inputs Yr 2'!$AM328,IF('Inputs Yr 2'!$AN328=BJ$4,'Inputs Yr 2'!$AO328,0))))*(INDEX(avoidedcosttbl2,$H328,BJ$2)+(($H328-ROUNDDOWN($H328,0))*(INDEX(avoidedcosttbl2,ROUNDUP($H328,0),BJ$2)-(INDEX(avoidedcosttbl2,ROUNDDOWN($H328,0),BJ$2)))))*'Inputs Yr 2'!P328*'Inputs Yr 2'!Q328*'Inputs Yr 2'!U328,"")</f>
        <v>0</v>
      </c>
      <c r="BK328" s="195">
        <f>IFERROR($G328*(IF('Inputs Yr 2'!$AJ328=BK$4,'Inputs Yr 2'!$AK328,IF('Inputs Yr 2'!$AL328=BK$4,'Inputs Yr 2'!$AM328,IF('Inputs Yr 2'!$AN328=BK$4,'Inputs Yr 2'!$AO328,0))))*(INDEX(avoidedcosttbl2,$H328,BK$2)+(($H328-ROUNDDOWN($H328,0))*(INDEX(avoidedcosttbl2,ROUNDUP($H328,0),BK$2)-(INDEX(avoidedcosttbl2,ROUNDDOWN($H328,0),BK$2)))))*'Inputs Yr 2'!P328*'Inputs Yr 2'!Q328*'Inputs Yr 2'!U328,"")</f>
        <v>0</v>
      </c>
      <c r="BL328" s="195">
        <f>IFERROR($G328*(IF('Inputs Yr 2'!$AJ328=BL$4,'Inputs Yr 2'!$AK328,IF('Inputs Yr 2'!$AL328=BL$4,'Inputs Yr 2'!$AM328,IF('Inputs Yr 2'!$AN328=BL$4,'Inputs Yr 2'!$AO328,0))))*(INDEX(avoidedcosttbl2,$H328,BL$2)+(($H328-ROUNDDOWN($H328,0))*(INDEX(avoidedcosttbl2,ROUNDUP($H328,0),BL$2)-(INDEX(avoidedcosttbl2,ROUNDDOWN($H328,0),BL$2)))))*'Inputs Yr 2'!P328*'Inputs Yr 2'!Q328*'Inputs Yr 2'!U328,"")</f>
        <v>131349.77951923979</v>
      </c>
      <c r="BM328" s="195">
        <f>IFERROR($G328*(IF('Inputs Yr 2'!$AJ328=BM$4,'Inputs Yr 2'!$AK328,IF('Inputs Yr 2'!$AL328=BM$4,'Inputs Yr 2'!$AM328,IF('Inputs Yr 2'!$AN328=BM$4,'Inputs Yr 2'!$AO328,0))))*(INDEX(avoidedcosttbl2,$H328,BM$2)+(($H328-ROUNDDOWN($H328,0))*(INDEX(avoidedcosttbl2,ROUNDUP($H328,0),BM$2)-(INDEX(avoidedcosttbl2,ROUNDDOWN($H328,0),BM$2)))))*'Inputs Yr 2'!P328*'Inputs Yr 2'!Q328*'Inputs Yr 2'!U328,"")</f>
        <v>0</v>
      </c>
      <c r="BN328" s="195">
        <f>IFERROR($G328*(IF('Inputs Yr 2'!$AJ328=BN$4,'Inputs Yr 2'!$AK328,IF('Inputs Yr 2'!$AL328=BN$4,'Inputs Yr 2'!$AM328,IF('Inputs Yr 2'!$AN328=BN$4,'Inputs Yr 2'!$AO328,0))))*(INDEX(avoidedcosttbl2,$H328,BN$2)+(($H328-ROUNDDOWN($H328,0))*(INDEX(avoidedcosttbl2,ROUNDUP($H328,0),BN$2)-(INDEX(avoidedcosttbl2,ROUNDDOWN($H328,0),BN$2)))))*'Inputs Yr 2'!P328*'Inputs Yr 2'!Q328*'Inputs Yr 2'!U328,"")</f>
        <v>0</v>
      </c>
      <c r="BO328" s="195">
        <f>IFERROR($G328*(IF('Inputs Yr 2'!$AJ328=BO$4,'Inputs Yr 2'!$AK328,IF('Inputs Yr 2'!$AL328=BO$4,'Inputs Yr 2'!$AM328,IF('Inputs Yr 2'!$AN328=BO$4,'Inputs Yr 2'!$AO328,0))))*(INDEX(avoidedcosttbl2,$H328,BO$2)+(($H328-ROUNDDOWN($H328,0))*(INDEX(avoidedcosttbl2,ROUNDUP($H328,0),BO$2)-(INDEX(avoidedcosttbl2,ROUNDDOWN($H328,0),BO$2)))))*'Inputs Yr 2'!P328*'Inputs Yr 2'!Q328*'Inputs Yr 2'!U328,"")</f>
        <v>0</v>
      </c>
      <c r="BP328" s="195">
        <f>IFERROR($G328*(IF('Inputs Yr 2'!$AJ328=BP$4,'Inputs Yr 2'!$AK328,IF('Inputs Yr 2'!$AL328=BP$4,'Inputs Yr 2'!$AM328,IF('Inputs Yr 2'!$AN328=BP$4,'Inputs Yr 2'!$AO328,0))))*(INDEX(avoidedcosttbl2,$H328,BP$2)+(($H328-ROUNDDOWN($H328,0))*(INDEX(avoidedcosttbl2,ROUNDUP($H328,0),BP$2)-(INDEX(avoidedcosttbl2,ROUNDDOWN($H328,0),BP$2)))))*'Inputs Yr 2'!P328*'Inputs Yr 2'!Q328*'Inputs Yr 2'!U328,"")</f>
        <v>0</v>
      </c>
      <c r="BQ328" s="230">
        <f t="shared" si="188"/>
        <v>131349.77951923979</v>
      </c>
      <c r="BR328" s="197">
        <f t="shared" si="172"/>
        <v>2032.2761090103536</v>
      </c>
      <c r="BS328" s="197">
        <f>IFERROR(($G328*IF('Inputs Yr 2'!$AJ328=BM$4,'Inputs Yr 2'!$AK328,IF('Inputs Yr 2'!$AL328=BM$4,'Inputs Yr 2'!$AM328,IF('Inputs Yr 2'!$AN328=BM$4,'Inputs Yr 2'!$AO328,0))))*(INDEX(avoidedcosttbl2,$H328,BS$2)+(($H328-ROUNDDOWN($H328,0))*(INDEX(avoidedcosttbl2,ROUNDUP($H328,0),BS$2)-(INDEX(avoidedcosttbl2,ROUNDDOWN($H328,0),BS$2)))))*'Inputs Yr 2'!P328*'Inputs Yr 2'!Q328*'Inputs Yr 2'!U328,"")</f>
        <v>0</v>
      </c>
      <c r="BT328" s="197">
        <f>IFERROR(($G328*IF('Inputs Yr 2'!$AJ328=BK$4,'Inputs Yr 2'!$AK328,IF('Inputs Yr 2'!$AL328=BK$4,'Inputs Yr 2'!$AM328,IF('Inputs Yr 2'!$AN328=BK$4,'Inputs Yr 2'!$AO328,0))))*(INDEX(avoidedcosttbl2,$H328,BT$2)+(($H328-ROUNDDOWN($H328,0))*(INDEX(avoidedcosttbl2,ROUNDUP($H328,0),BT$2)-(INDEX(avoidedcosttbl2,ROUNDDOWN($H328,0),BT$2)))))*'Inputs Yr 2'!P328*'Inputs Yr 2'!Q328*'Inputs Yr 2'!U328,"")</f>
        <v>0</v>
      </c>
      <c r="BU328" s="197">
        <f>IFERROR(($G328*IF('Inputs Yr 2'!$AJ328=BL$4,'Inputs Yr 2'!$AK328,IF('Inputs Yr 2'!$AL328=BL$4,'Inputs Yr 2'!$AM328,IF('Inputs Yr 2'!$AN328=BL$4,'Inputs Yr 2'!$AO328,0))))*(INDEX(avoidedcosttbl2,$H328,BU$2)+(($H328-ROUNDDOWN($H328,0))*(INDEX(avoidedcosttbl2,ROUNDUP($H328,0),BU$2)-(INDEX(avoidedcosttbl2,ROUNDDOWN($H328,0),BU$2)))))*'Inputs Yr 2'!P328*'Inputs Yr 2'!Q328*'Inputs Yr 2'!U328,"")</f>
        <v>6168.9662786556783</v>
      </c>
      <c r="BV328" s="775">
        <f>IFERROR(($G328*IF('Inputs Yr 2'!$AJ328=BJ$4,'Inputs Yr 2'!$AK328,IF('Inputs Yr 2'!$AL328=BJ$4,'Inputs Yr 2'!$AM328,IF('Inputs Yr 2'!$AN328=BJ$4,'Inputs Yr 2'!$AO328,0))))*(INDEX(avoidedcosttbl2,$H328,BV$2)+(($H328-ROUNDDOWN($H328,0))*(INDEX(avoidedcosttbl2,ROUNDUP($H328,0),BV$2)-(INDEX(avoidedcosttbl2,ROUNDDOWN($H328,0),BV$2)))))*'Inputs Yr 2'!P328*'Inputs Yr 2'!Q328*'Inputs Yr 2'!U328,"")</f>
        <v>0</v>
      </c>
      <c r="BW328" s="197">
        <f>IFERROR(($G328*IF('Inputs Yr 2'!$AJ328=BN$4,'Inputs Yr 2'!$AK328,IF('Inputs Yr 2'!$AL328=BN$4,'Inputs Yr 2'!$AM328,IF('Inputs Yr 2'!$AN328=BN$4,'Inputs Yr 2'!$AO328,0))))*(INDEX(avoidedcosttbl2,$H328,BW$2)+(($H328-ROUNDDOWN($H328,0))*(INDEX(avoidedcosttbl2,ROUNDUP($H328,0),BW$2)-(INDEX(avoidedcosttbl2,ROUNDDOWN($H328,0),BW$2)))))*'Inputs Yr 2'!P328*'Inputs Yr 2'!Q328*'Inputs Yr 2'!U328,"")</f>
        <v>0</v>
      </c>
      <c r="BX328" s="197">
        <f>IFERROR(($G328*IF('Inputs Yr 2'!$AJ328=BO$4,'Inputs Yr 2'!$AK328,IF('Inputs Yr 2'!$AL328=BO$4,'Inputs Yr 2'!$AM328,IF('Inputs Yr 2'!$AN328=BO$4,'Inputs Yr 2'!$AO328,0))))*(INDEX(avoidedcosttbl2,$H328,BX$2)+(($H328-ROUNDDOWN($H328,0))*(INDEX(avoidedcosttbl2,ROUNDUP($H328,0),BX$2)-(INDEX(avoidedcosttbl2,ROUNDDOWN($H328,0),BX$2)))))*'Inputs Yr 2'!P328*'Inputs Yr 2'!Q328*'Inputs Yr 2'!U328,"")</f>
        <v>0</v>
      </c>
      <c r="BY328" s="197">
        <f>IFERROR(($G328*IF('Inputs Yr 2'!$AJ328=BP$4,'Inputs Yr 2'!$AK328,IF('Inputs Yr 2'!$AL328=BP$4,'Inputs Yr 2'!$AM328,IF('Inputs Yr 2'!$AN328=BP$4,'Inputs Yr 2'!$AO328,0))))*(INDEX(avoidedcosttbl2,$H328,BY$2)+(($H328-ROUNDDOWN($H328,0))*(INDEX(avoidedcosttbl2,ROUNDUP($H328,0),BY$2)-(INDEX(avoidedcosttbl2,ROUNDDOWN($H328,0),BY$2)))))*'Inputs Yr 2'!P328*'Inputs Yr 2'!Q328*'Inputs Yr 2'!U328,"")</f>
        <v>0</v>
      </c>
      <c r="BZ328" s="193">
        <f t="shared" si="189"/>
        <v>8201.2423876660323</v>
      </c>
      <c r="CA328" s="193">
        <f t="shared" si="190"/>
        <v>139551.02190690581</v>
      </c>
      <c r="CB328" s="195">
        <f>IFERROR(G328*(IF('Inputs Yr 2'!$AJ328=CB$4,'Inputs Yr 2'!$AK328,IF('Inputs Yr 2'!$AL328=CB$4,'Inputs Yr 2'!$AM328,IF('Inputs Yr 2'!$AN328=CB$4,'Inputs Yr 2'!$AO328,0))))*(INDEX(avoidedcosttbl2,$H328,CB$2)+(($H328-ROUNDDOWN($H328,0))*(INDEX(avoidedcosttbl2,ROUNDUP($H328,0),CB$2)-(INDEX(avoidedcosttbl2,ROUNDDOWN($H328,0),CB$2)))))*'Inputs Yr 2'!P328*'Inputs Yr 2'!Q328*'Inputs Yr 2'!U328,"")</f>
        <v>0</v>
      </c>
      <c r="CC328" s="195">
        <f>IFERROR(H328*(IF('Inputs Yr 2'!$AJ328=CC$4,'Inputs Yr 2'!$AK328,IF('Inputs Yr 2'!$AL328=CC$4,'Inputs Yr 2'!$AM328,IF('Inputs Yr 2'!$AN328=CC$4,'Inputs Yr 2'!$AO328,0))))*(INDEX(avoidedcosttbl2,$H328,CC$2)+(($H328-ROUNDDOWN($H328,0))*(INDEX(avoidedcosttbl2,ROUNDUP($H328,0),CC$2)-(INDEX(avoidedcosttbl2,ROUNDDOWN($H328,0),CC$2)))))*'Inputs Yr 2'!Q328*'Inputs Yr 2'!R328*'Inputs Yr 2'!V328,"")</f>
        <v>0</v>
      </c>
      <c r="CD328" s="195">
        <f>IFERROR(I328*(IF('Inputs Yr 2'!$AJ328=CD$4,'Inputs Yr 2'!$AK328,IF('Inputs Yr 2'!$AL328=CD$4,'Inputs Yr 2'!$AM328,IF('Inputs Yr 2'!$AN328=CD$4,'Inputs Yr 2'!$AO328,0))))*(INDEX(avoidedcosttbl2,$H328,CD$2)+(($H328-ROUNDDOWN($H328,0))*(INDEX(avoidedcosttbl2,ROUNDUP($H328,0),CD$2)-(INDEX(avoidedcosttbl2,ROUNDDOWN($H328,0),CD$2)))))*'Inputs Yr 2'!R328*'Inputs Yr 2'!S328*'Inputs Yr 2'!W328,"")</f>
        <v>0</v>
      </c>
      <c r="CE328" s="213">
        <f t="shared" si="191"/>
        <v>0</v>
      </c>
      <c r="CF328" s="213">
        <f t="shared" si="192"/>
        <v>0</v>
      </c>
      <c r="CG328" s="213">
        <f t="shared" si="193"/>
        <v>0</v>
      </c>
      <c r="CH328" s="698">
        <f t="shared" si="194"/>
        <v>139551.02190690581</v>
      </c>
      <c r="CI328" s="79">
        <f>IFERROR(($G328*'Inputs Yr 2'!$P328*'Inputs Yr 2'!$Q328*(((INDEX(avoidedcosttbl2,$H328,CI$2)+(($H328-ROUNDDOWN($H328,0))*(INDEX(avoidedcosttbl2,ROUNDUP($H328,0),CI$2)-INDEX(avoidedcosttbl2,ROUNDDOWN($H328,0),CI$2))))*'Inputs Yr 2'!AS328))),"")</f>
        <v>0</v>
      </c>
      <c r="CJ328" s="504">
        <f>IFERROR($G328*'Inputs Yr 2'!AT328*'Inputs Yr 2'!$P328*'Inputs Yr 2'!$Q328/((1+realdiscrt1)^-0.5),"")</f>
        <v>0</v>
      </c>
      <c r="CK328" s="79">
        <f>IFERROR((O328*1000*(((INDEX(avoidedcosttbl2,$H328,CK$2)+(($H328-ROUNDDOWN($H328,0))*(INDEX(avoidedcosttbl2,ROUNDUP($H328,0),CK$2)-INDEX(avoidedcosttbl2,ROUNDDOWN($H328,0),CK$2))))*'Inputs Yr 2'!AU328))),"")</f>
        <v>0</v>
      </c>
      <c r="CL328" s="504">
        <f>IFERROR(O328*1000*'Inputs Yr 2'!AV328/((1+realdiscrt1)^-0.5),"")</f>
        <v>0</v>
      </c>
      <c r="CM328" s="79">
        <f>IFERROR((AB328*'Inputs Yr 2'!AW328*(((INDEX(avoidedcosttbl2,$H328,CM$2)+(($H328-ROUNDDOWN($H328,0))*(INDEX(avoidedcosttbl2,ROUNDUP($H328,0),CM$2)-INDEX(avoidedcosttbl2,ROUNDDOWN($H328,0),CM$2)))))))*10,"")</f>
        <v>33229.396698879478</v>
      </c>
      <c r="CN328" s="504">
        <f>IFERROR(10*AB328*'Inputs Yr 2'!AX328/((1+realdiscrt1)^-0.5),"")</f>
        <v>0</v>
      </c>
      <c r="CO328" s="505">
        <f t="shared" si="195"/>
        <v>33229.396698879478</v>
      </c>
      <c r="CP328" s="230">
        <f t="shared" si="196"/>
        <v>172780.41860578529</v>
      </c>
      <c r="CQ328" s="199">
        <f>ROUND(IFERROR(IF(LEFT($A328,1)="C",'Avoided Costs'!$K$13,'Avoided Costs'!$K$12)+1,""),4)</f>
        <v>1.0720000000000001</v>
      </c>
      <c r="CR328" s="199">
        <f>ROUND(IFERROR(IF(LEFT($A328,1)="C",'Avoided Costs'!$L$13,'Avoided Costs'!$L$12)+1,""),4)</f>
        <v>1.04</v>
      </c>
      <c r="CS328" s="199">
        <f>ROUND(IFERROR(IF(LEFT($A328,1)="C",'Avoided Costs'!$M$13,'Avoided Costs'!$M$12)+1,""),4)</f>
        <v>1.0720000000000001</v>
      </c>
      <c r="CT328" s="199">
        <f>ROUND(IFERROR(IF(LEFT($A328,1)="C",'Avoided Costs'!$N$13,'Avoided Costs'!$N$12)+1,""),4)</f>
        <v>1.04</v>
      </c>
      <c r="CU328" s="199">
        <f>ROUND(IFERROR(IF(LEFT($A328,1)="C",'Avoided Costs'!$O$13,'Avoided Costs'!$O$12)+1,""),4)</f>
        <v>1.1120000000000001</v>
      </c>
      <c r="CV328" s="199">
        <f>ROUND(IFERROR(IF(LEFT($A328,1)="C",'Avoided Costs'!$P$13,'Avoided Costs'!$P$12)+1,""),4)</f>
        <v>1.095</v>
      </c>
      <c r="CW328" s="199">
        <f>ROUND(IFERROR(IF(LEFT($A328,1)="C",'Avoided Costs'!$Q$13,'Avoided Costs'!$Q$12)+1,""),4)</f>
        <v>1.1120000000000001</v>
      </c>
      <c r="CX328" s="200">
        <f>ROUND(IFERROR(IF(LEFT($A328,1)="C",'Avoided Costs'!$R$13,'Avoided Costs'!$R$12)+1,""),4)</f>
        <v>1.1120000000000001</v>
      </c>
    </row>
    <row r="329" spans="1:102" ht="12.75" customHeight="1">
      <c r="A329" s="91" t="str">
        <f>IF('Inputs Yr 2'!$B329=0,"",'Inputs Yr 2'!A329)</f>
        <v>C - Commercial &amp; Industrial</v>
      </c>
      <c r="B329" s="91" t="str">
        <f>IF('Inputs Yr 2'!$B329=0,"",'Inputs Yr 2'!B329)</f>
        <v>C2 - C&amp;I Retrofit</v>
      </c>
      <c r="C329" s="91" t="str">
        <f>IF('Inputs Yr 2'!$B329=0,"",'Inputs Yr 2'!C329)</f>
        <v xml:space="preserve">C2c - C&amp;I Multifamily Retrofit </v>
      </c>
      <c r="D329" s="91" t="str">
        <f>IF('Inputs Yr 2'!$B329=0,"",'Inputs Yr 2'!E329)</f>
        <v>Hot Water - Custom</v>
      </c>
      <c r="E329" s="93" t="str">
        <f>IF('Inputs Yr 2'!$B329=0,"",'Inputs Yr 2'!F329)</f>
        <v>G16C2c04</v>
      </c>
      <c r="F329" s="93" t="str">
        <f>IF('Inputs Yr 2'!$B329=0,"",'Inputs Yr 2'!G329)</f>
        <v>Hot Water</v>
      </c>
      <c r="G329" s="95">
        <f>IF('Inputs Yr 2'!$H329&lt;&gt;0,('Inputs Yr 2'!H329),"")</f>
        <v>8487</v>
      </c>
      <c r="H329" s="94">
        <f>IFERROR('Inputs Yr 2'!I329,"")</f>
        <v>18</v>
      </c>
      <c r="I329" s="298">
        <f>IFERROR('Inputs Yr 2'!J329*'Inputs Yr 2'!P329*G329,"")</f>
        <v>80959.810450000004</v>
      </c>
      <c r="J329" s="298">
        <f>IFERROR('Inputs Yr 2'!K329*G329,"")</f>
        <v>66072.12999999999</v>
      </c>
      <c r="K329" s="298">
        <f t="shared" si="173"/>
        <v>14887.680450000014</v>
      </c>
      <c r="L329" s="194">
        <f>IFERROR(('Inputs Yr 2'!W329*G329)/1000,"")</f>
        <v>0</v>
      </c>
      <c r="M329" s="194">
        <f>IFERROR(L329*('Inputs Yr 2'!$Q329*'Inputs Yr 2'!$V329*'Inputs Yr 2'!$R329),"")</f>
        <v>0</v>
      </c>
      <c r="N329" s="194">
        <f t="shared" si="174"/>
        <v>0</v>
      </c>
      <c r="O329" s="194">
        <f>IFERROR(M329*'Inputs Yr 2'!P329,"")</f>
        <v>0</v>
      </c>
      <c r="P329" s="194">
        <f t="shared" si="175"/>
        <v>0</v>
      </c>
      <c r="Q329" s="194">
        <f>IFERROR($P329*'Inputs Yr 2'!AA329,"")</f>
        <v>0</v>
      </c>
      <c r="R329" s="194">
        <f>IFERROR($P329*'Inputs Yr 2'!AB329,"")</f>
        <v>0</v>
      </c>
      <c r="S329" s="194">
        <f>IFERROR($P329*'Inputs Yr 2'!AC329,"")</f>
        <v>0</v>
      </c>
      <c r="T329" s="194">
        <f>IFERROR($P329*'Inputs Yr 2'!AD329,"")</f>
        <v>0</v>
      </c>
      <c r="U329" s="194">
        <f>IFERROR(G329*'Inputs Yr 2'!$AE329*'Inputs Yr 2'!$P329*'Inputs Yr 2'!$Q329,"")</f>
        <v>0</v>
      </c>
      <c r="V329" s="194">
        <f>IFERROR($G329*'Inputs Yr 2'!$AE329*'Inputs Yr 2'!$AG329*'Inputs Yr 2'!Q329*'Inputs Yr 2'!$S329,"")</f>
        <v>0</v>
      </c>
      <c r="W329" s="194">
        <f>IFERROR($G329*'Inputs Yr 2'!$AE329*'Inputs Yr 2'!$AG329*'Inputs Yr 2'!P329*'Inputs Yr 2'!Q329*'Inputs Yr 2'!$S329,"")</f>
        <v>0</v>
      </c>
      <c r="X329" s="194">
        <f>IFERROR($G329*'Inputs Yr 2'!$AE329*'Inputs Yr 2'!$AF329*'Inputs Yr 2'!Q329*'Inputs Yr 2'!$T329,"")</f>
        <v>0</v>
      </c>
      <c r="Y329" s="194">
        <f>IFERROR($G329*'Inputs Yr 2'!$AE329*'Inputs Yr 2'!$AF329*'Inputs Yr 2'!P329*'Inputs Yr 2'!Q329*'Inputs Yr 2'!$T329,"")</f>
        <v>0</v>
      </c>
      <c r="Z329" s="257">
        <f>IFERROR($G329*'Inputs Yr 2'!$Q329*'Inputs Yr 2'!$U329*(IF(IFERROR(SEARCH("NG", 'Inputs Yr 2'!$AJ329),0),'Inputs Yr 2'!$AK329,0)+IF(IFERROR(SEARCH("NG", 'Inputs Yr 2'!$AL329),0),'Inputs Yr 2'!$AM329,0)+IF(IFERROR(SEARCH("NG", 'Inputs Yr 2'!$AN329),0),'Inputs Yr 2'!$AO329,0)),0)</f>
        <v>2239.7496409140367</v>
      </c>
      <c r="AA329" s="257">
        <f t="shared" si="176"/>
        <v>40315.493536452661</v>
      </c>
      <c r="AB329" s="257">
        <f>IFERROR(Z329*'Inputs Yr 2'!$P329,0)</f>
        <v>2058.3299199999997</v>
      </c>
      <c r="AC329" s="257">
        <f t="shared" si="177"/>
        <v>37049.938559999995</v>
      </c>
      <c r="AD329" s="257">
        <f>IFERROR($G329*'Inputs Yr 2'!$Q329*'Inputs Yr 2'!$U329*(IF(IFERROR(SEARCH("Oil", 'Inputs Yr 2'!$AJ329), 0),'Inputs Yr 2'!$AK329,0)+IF(IFERROR(SEARCH("Oil", 'Inputs Yr 2'!$AL329), 0),'Inputs Yr 2'!$AM329,0)+IF(IFERROR(SEARCH("Oil", 'Inputs Yr 2'!$AN329), 0),'Inputs Yr 2'!$AO329,0)),0)</f>
        <v>0</v>
      </c>
      <c r="AE329" s="257">
        <f t="shared" si="178"/>
        <v>0</v>
      </c>
      <c r="AF329" s="257">
        <f>IFERROR(AD329*'Inputs Yr 2'!$P329,0)</f>
        <v>0</v>
      </c>
      <c r="AG329" s="257">
        <f t="shared" si="179"/>
        <v>0</v>
      </c>
      <c r="AH329" s="257">
        <f>IFERROR($G329*'Inputs Yr 2'!$Q329*'Inputs Yr 2'!$U329*(IF('Inputs Yr 2'!$AJ329=CD$4,'Inputs Yr 2'!$AK329,IF('Inputs Yr 2'!$AL329=CD$4,'Inputs Yr 2'!$AM329,IF('Inputs Yr 2'!$AN329=CD$4,'Inputs Yr 2'!$AO329,0)))),0)</f>
        <v>0</v>
      </c>
      <c r="AI329" s="257">
        <f t="shared" si="180"/>
        <v>0</v>
      </c>
      <c r="AJ329" s="257">
        <f>IFERROR(AH329*'Inputs Yr 2'!$P329,0)</f>
        <v>0</v>
      </c>
      <c r="AK329" s="257">
        <f t="shared" si="181"/>
        <v>0</v>
      </c>
      <c r="AL329" s="258">
        <f>IFERROR($G329*'Inputs Yr 2'!$P329*'Inputs Yr 2'!$Q329*'Inputs Yr 2'!AP329,0)</f>
        <v>0</v>
      </c>
      <c r="AM329" s="260">
        <f>IFERROR($G329*'Inputs Yr 2'!$P329*'Inputs Yr 2'!$Q329*'Inputs Yr 2'!AQ329,0)</f>
        <v>0</v>
      </c>
      <c r="AN329" s="258">
        <f>IFERROR($G329*'Inputs Yr 2'!$P329*'Inputs Yr 2'!$Q329*'Inputs Yr 2'!AR329,0)</f>
        <v>0</v>
      </c>
      <c r="AO329" s="257">
        <f t="shared" si="182"/>
        <v>0</v>
      </c>
      <c r="AP329" s="195">
        <f>IFERROR($CQ329*(INDEX(avoidedcosttbl2,$H329,AP$2)+(($H329-ROUNDDOWN($H329,0))*(INDEX(avoidedcosttbl2,ROUNDUP($H329,0),AP$2)-(INDEX(avoidedcosttbl2,ROUNDDOWN($H329,0),AP$2)))))*$O329*1000*'Inputs Yr 2'!AA329,"")</f>
        <v>0</v>
      </c>
      <c r="AQ329" s="195">
        <f>IFERROR($CR329*(INDEX(avoidedcosttbl2,$H329,AQ$2)+(($H329-ROUNDDOWN($H329,0))*(INDEX(avoidedcosttbl2,ROUNDUP($H329,0),AQ$2)-(INDEX(avoidedcosttbl2,ROUNDDOWN($H329,0),AQ$2)))))*$O329*1000*'Inputs Yr 2'!AB329,"")</f>
        <v>0</v>
      </c>
      <c r="AR329" s="195">
        <f>IFERROR($CS329*(INDEX(avoidedcosttbl2,$H329,AR$2)+(($H329-ROUNDDOWN($H329,0))*(INDEX(avoidedcosttbl2,ROUNDUP($H329,0),AR$2)-(INDEX(avoidedcosttbl2,ROUNDDOWN($H329,0),AR$2)))))*$O329*1000*'Inputs Yr 2'!AC329,"")</f>
        <v>0</v>
      </c>
      <c r="AS329" s="195">
        <f>IFERROR($CT329*(INDEX(avoidedcosttbl2,$H329,AS$2)+(($H329-ROUNDDOWN($H329,0))*(INDEX(avoidedcosttbl2,ROUNDUP($H329,0),AS$2)-(INDEX(avoidedcosttbl2,ROUNDDOWN($H329,0),AS$2)))))*$O329*1000*'Inputs Yr 2'!AD329,"")</f>
        <v>0</v>
      </c>
      <c r="AT329" s="196">
        <f t="shared" si="183"/>
        <v>0</v>
      </c>
      <c r="AU329" s="197">
        <f>IFERROR($CQ329*((INDEX(avoidedcosttbl2,$H329,AU$2))+(($H329-ROUNDDOWN($H329,0))*((INDEX(avoidedcosttbl2,ROUNDUP($H329,0),AU$2))-(INDEX(avoidedcosttbl2,ROUNDDOWN($H329,0),AU$2)))))*$O329*1000*'Inputs Yr 2'!AA329,"")</f>
        <v>0</v>
      </c>
      <c r="AV329" s="197">
        <f>IFERROR($CR329*((INDEX(avoidedcosttbl2,$H329,AV$2))+(($H329-ROUNDDOWN($H329,0))*((INDEX(avoidedcosttbl2,ROUNDUP($H329,0),AV$2))-(INDEX(avoidedcosttbl2,ROUNDDOWN($H329,0),AV$2)))))*$O329*1000*'Inputs Yr 2'!AB329,"")</f>
        <v>0</v>
      </c>
      <c r="AW329" s="197">
        <f>IFERROR($CS329*((INDEX(avoidedcosttbl2,$H329,AW$2))+(($H329-ROUNDDOWN($H329,0))*((INDEX(avoidedcosttbl2,ROUNDUP($H329,0),AW$2))-(INDEX(avoidedcosttbl2,ROUNDDOWN($H329,0),AW$2)))))*$O329*1000*'Inputs Yr 2'!AC329,"")</f>
        <v>0</v>
      </c>
      <c r="AX329" s="197">
        <f>IFERROR($CT329*((INDEX(avoidedcosttbl2,$H329,AX$2))+(($H329-ROUNDDOWN($H329,0))*((INDEX(avoidedcosttbl2,ROUNDUP($H329,0),AX$2))-(INDEX(avoidedcosttbl2,ROUNDDOWN($H329,0),AX$2)))))*$O329*1000*'Inputs Yr 2'!AD329,"")</f>
        <v>0</v>
      </c>
      <c r="AY329" s="197">
        <f>IFERROR(((INDEX(avoidedcosttbl2,$H329,AY$2))+(($H329-ROUNDDOWN($H329,0))*((INDEX(avoidedcosttbl2,ROUNDUP($H329,0),AY$2))-(INDEX(avoidedcosttbl2,ROUNDDOWN($H329,0),AY$2)))))*$O329*1000*('Inputs Yr 2'!AC329+'Inputs Yr 2'!AD329),"")</f>
        <v>0</v>
      </c>
      <c r="AZ329" s="197">
        <f>IFERROR(((INDEX(avoidedcosttbl2,$H329,AZ$2))+(($H329-ROUNDDOWN($H329,0))*((INDEX(avoidedcosttbl2,ROUNDUP($H329,0),AZ$2))-(INDEX(avoidedcosttbl2,ROUNDDOWN($H329,0),AZ$2)))))*$O329*1000*('Inputs Yr 2'!AA329+'Inputs Yr 2'!AB329),"")</f>
        <v>0</v>
      </c>
      <c r="BA329" s="198">
        <f t="shared" si="184"/>
        <v>0</v>
      </c>
      <c r="BB329" s="198">
        <f t="shared" si="185"/>
        <v>0</v>
      </c>
      <c r="BC329" s="195">
        <f t="shared" si="167"/>
        <v>0</v>
      </c>
      <c r="BD329" s="195">
        <f t="shared" si="168"/>
        <v>0</v>
      </c>
      <c r="BE329" s="195">
        <f t="shared" si="169"/>
        <v>0</v>
      </c>
      <c r="BF329" s="195">
        <f t="shared" si="170"/>
        <v>0</v>
      </c>
      <c r="BG329" s="195">
        <f t="shared" si="171"/>
        <v>0</v>
      </c>
      <c r="BH329" s="196">
        <f t="shared" si="186"/>
        <v>0</v>
      </c>
      <c r="BI329" s="196">
        <f t="shared" si="187"/>
        <v>0</v>
      </c>
      <c r="BJ329" s="195">
        <f>IFERROR($G329*(IF('Inputs Yr 2'!$AJ329=BJ$4,'Inputs Yr 2'!$AK329,IF('Inputs Yr 2'!$AL329=BJ$4,'Inputs Yr 2'!$AM329,IF('Inputs Yr 2'!$AN329=BJ$4,'Inputs Yr 2'!$AO329,0))))*(INDEX(avoidedcosttbl2,$H329,BJ$2)+(($H329-ROUNDDOWN($H329,0))*(INDEX(avoidedcosttbl2,ROUNDUP($H329,0),BJ$2)-(INDEX(avoidedcosttbl2,ROUNDDOWN($H329,0),BJ$2)))))*'Inputs Yr 2'!P329*'Inputs Yr 2'!Q329*'Inputs Yr 2'!U329,"")</f>
        <v>0</v>
      </c>
      <c r="BK329" s="195">
        <f>IFERROR($G329*(IF('Inputs Yr 2'!$AJ329=BK$4,'Inputs Yr 2'!$AK329,IF('Inputs Yr 2'!$AL329=BK$4,'Inputs Yr 2'!$AM329,IF('Inputs Yr 2'!$AN329=BK$4,'Inputs Yr 2'!$AO329,0))))*(INDEX(avoidedcosttbl2,$H329,BK$2)+(($H329-ROUNDDOWN($H329,0))*(INDEX(avoidedcosttbl2,ROUNDUP($H329,0),BK$2)-(INDEX(avoidedcosttbl2,ROUNDDOWN($H329,0),BK$2)))))*'Inputs Yr 2'!P329*'Inputs Yr 2'!Q329*'Inputs Yr 2'!U329,"")</f>
        <v>302244.23421092163</v>
      </c>
      <c r="BL329" s="195">
        <f>IFERROR($G329*(IF('Inputs Yr 2'!$AJ329=BL$4,'Inputs Yr 2'!$AK329,IF('Inputs Yr 2'!$AL329=BL$4,'Inputs Yr 2'!$AM329,IF('Inputs Yr 2'!$AN329=BL$4,'Inputs Yr 2'!$AO329,0))))*(INDEX(avoidedcosttbl2,$H329,BL$2)+(($H329-ROUNDDOWN($H329,0))*(INDEX(avoidedcosttbl2,ROUNDUP($H329,0),BL$2)-(INDEX(avoidedcosttbl2,ROUNDDOWN($H329,0),BL$2)))))*'Inputs Yr 2'!P329*'Inputs Yr 2'!Q329*'Inputs Yr 2'!U329,"")</f>
        <v>0</v>
      </c>
      <c r="BM329" s="195">
        <f>IFERROR($G329*(IF('Inputs Yr 2'!$AJ329=BM$4,'Inputs Yr 2'!$AK329,IF('Inputs Yr 2'!$AL329=BM$4,'Inputs Yr 2'!$AM329,IF('Inputs Yr 2'!$AN329=BM$4,'Inputs Yr 2'!$AO329,0))))*(INDEX(avoidedcosttbl2,$H329,BM$2)+(($H329-ROUNDDOWN($H329,0))*(INDEX(avoidedcosttbl2,ROUNDUP($H329,0),BM$2)-(INDEX(avoidedcosttbl2,ROUNDDOWN($H329,0),BM$2)))))*'Inputs Yr 2'!P329*'Inputs Yr 2'!Q329*'Inputs Yr 2'!U329,"")</f>
        <v>0</v>
      </c>
      <c r="BN329" s="195">
        <f>IFERROR($G329*(IF('Inputs Yr 2'!$AJ329=BN$4,'Inputs Yr 2'!$AK329,IF('Inputs Yr 2'!$AL329=BN$4,'Inputs Yr 2'!$AM329,IF('Inputs Yr 2'!$AN329=BN$4,'Inputs Yr 2'!$AO329,0))))*(INDEX(avoidedcosttbl2,$H329,BN$2)+(($H329-ROUNDDOWN($H329,0))*(INDEX(avoidedcosttbl2,ROUNDUP($H329,0),BN$2)-(INDEX(avoidedcosttbl2,ROUNDDOWN($H329,0),BN$2)))))*'Inputs Yr 2'!P329*'Inputs Yr 2'!Q329*'Inputs Yr 2'!U329,"")</f>
        <v>0</v>
      </c>
      <c r="BO329" s="195">
        <f>IFERROR($G329*(IF('Inputs Yr 2'!$AJ329=BO$4,'Inputs Yr 2'!$AK329,IF('Inputs Yr 2'!$AL329=BO$4,'Inputs Yr 2'!$AM329,IF('Inputs Yr 2'!$AN329=BO$4,'Inputs Yr 2'!$AO329,0))))*(INDEX(avoidedcosttbl2,$H329,BO$2)+(($H329-ROUNDDOWN($H329,0))*(INDEX(avoidedcosttbl2,ROUNDUP($H329,0),BO$2)-(INDEX(avoidedcosttbl2,ROUNDDOWN($H329,0),BO$2)))))*'Inputs Yr 2'!P329*'Inputs Yr 2'!Q329*'Inputs Yr 2'!U329,"")</f>
        <v>0</v>
      </c>
      <c r="BP329" s="195">
        <f>IFERROR($G329*(IF('Inputs Yr 2'!$AJ329=BP$4,'Inputs Yr 2'!$AK329,IF('Inputs Yr 2'!$AL329=BP$4,'Inputs Yr 2'!$AM329,IF('Inputs Yr 2'!$AN329=BP$4,'Inputs Yr 2'!$AO329,0))))*(INDEX(avoidedcosttbl2,$H329,BP$2)+(($H329-ROUNDDOWN($H329,0))*(INDEX(avoidedcosttbl2,ROUNDUP($H329,0),BP$2)-(INDEX(avoidedcosttbl2,ROUNDDOWN($H329,0),BP$2)))))*'Inputs Yr 2'!P329*'Inputs Yr 2'!Q329*'Inputs Yr 2'!U329,"")</f>
        <v>0</v>
      </c>
      <c r="BQ329" s="230">
        <f t="shared" si="188"/>
        <v>302244.23421092163</v>
      </c>
      <c r="BR329" s="197">
        <f t="shared" si="172"/>
        <v>4989.2532450602766</v>
      </c>
      <c r="BS329" s="197">
        <f>IFERROR(($G329*IF('Inputs Yr 2'!$AJ329=BM$4,'Inputs Yr 2'!$AK329,IF('Inputs Yr 2'!$AL329=BM$4,'Inputs Yr 2'!$AM329,IF('Inputs Yr 2'!$AN329=BM$4,'Inputs Yr 2'!$AO329,0))))*(INDEX(avoidedcosttbl2,$H329,BS$2)+(($H329-ROUNDDOWN($H329,0))*(INDEX(avoidedcosttbl2,ROUNDUP($H329,0),BS$2)-(INDEX(avoidedcosttbl2,ROUNDDOWN($H329,0),BS$2)))))*'Inputs Yr 2'!P329*'Inputs Yr 2'!Q329*'Inputs Yr 2'!U329,"")</f>
        <v>0</v>
      </c>
      <c r="BT329" s="197">
        <f>IFERROR(($G329*IF('Inputs Yr 2'!$AJ329=BK$4,'Inputs Yr 2'!$AK329,IF('Inputs Yr 2'!$AL329=BK$4,'Inputs Yr 2'!$AM329,IF('Inputs Yr 2'!$AN329=BK$4,'Inputs Yr 2'!$AO329,0))))*(INDEX(avoidedcosttbl2,$H329,BT$2)+(($H329-ROUNDDOWN($H329,0))*(INDEX(avoidedcosttbl2,ROUNDUP($H329,0),BT$2)-(INDEX(avoidedcosttbl2,ROUNDDOWN($H329,0),BT$2)))))*'Inputs Yr 2'!P329*'Inputs Yr 2'!Q329*'Inputs Yr 2'!U329,"")</f>
        <v>17673.769922429576</v>
      </c>
      <c r="BU329" s="197">
        <f>IFERROR(($G329*IF('Inputs Yr 2'!$AJ329=BL$4,'Inputs Yr 2'!$AK329,IF('Inputs Yr 2'!$AL329=BL$4,'Inputs Yr 2'!$AM329,IF('Inputs Yr 2'!$AN329=BL$4,'Inputs Yr 2'!$AO329,0))))*(INDEX(avoidedcosttbl2,$H329,BU$2)+(($H329-ROUNDDOWN($H329,0))*(INDEX(avoidedcosttbl2,ROUNDUP($H329,0),BU$2)-(INDEX(avoidedcosttbl2,ROUNDDOWN($H329,0),BU$2)))))*'Inputs Yr 2'!P329*'Inputs Yr 2'!Q329*'Inputs Yr 2'!U329,"")</f>
        <v>0</v>
      </c>
      <c r="BV329" s="775">
        <f>IFERROR(($G329*IF('Inputs Yr 2'!$AJ329=BJ$4,'Inputs Yr 2'!$AK329,IF('Inputs Yr 2'!$AL329=BJ$4,'Inputs Yr 2'!$AM329,IF('Inputs Yr 2'!$AN329=BJ$4,'Inputs Yr 2'!$AO329,0))))*(INDEX(avoidedcosttbl2,$H329,BV$2)+(($H329-ROUNDDOWN($H329,0))*(INDEX(avoidedcosttbl2,ROUNDUP($H329,0),BV$2)-(INDEX(avoidedcosttbl2,ROUNDDOWN($H329,0),BV$2)))))*'Inputs Yr 2'!P329*'Inputs Yr 2'!Q329*'Inputs Yr 2'!U329,"")</f>
        <v>0</v>
      </c>
      <c r="BW329" s="197">
        <f>IFERROR(($G329*IF('Inputs Yr 2'!$AJ329=BN$4,'Inputs Yr 2'!$AK329,IF('Inputs Yr 2'!$AL329=BN$4,'Inputs Yr 2'!$AM329,IF('Inputs Yr 2'!$AN329=BN$4,'Inputs Yr 2'!$AO329,0))))*(INDEX(avoidedcosttbl2,$H329,BW$2)+(($H329-ROUNDDOWN($H329,0))*(INDEX(avoidedcosttbl2,ROUNDUP($H329,0),BW$2)-(INDEX(avoidedcosttbl2,ROUNDDOWN($H329,0),BW$2)))))*'Inputs Yr 2'!P329*'Inputs Yr 2'!Q329*'Inputs Yr 2'!U329,"")</f>
        <v>0</v>
      </c>
      <c r="BX329" s="197">
        <f>IFERROR(($G329*IF('Inputs Yr 2'!$AJ329=BO$4,'Inputs Yr 2'!$AK329,IF('Inputs Yr 2'!$AL329=BO$4,'Inputs Yr 2'!$AM329,IF('Inputs Yr 2'!$AN329=BO$4,'Inputs Yr 2'!$AO329,0))))*(INDEX(avoidedcosttbl2,$H329,BX$2)+(($H329-ROUNDDOWN($H329,0))*(INDEX(avoidedcosttbl2,ROUNDUP($H329,0),BX$2)-(INDEX(avoidedcosttbl2,ROUNDDOWN($H329,0),BX$2)))))*'Inputs Yr 2'!P329*'Inputs Yr 2'!Q329*'Inputs Yr 2'!U329,"")</f>
        <v>0</v>
      </c>
      <c r="BY329" s="197">
        <f>IFERROR(($G329*IF('Inputs Yr 2'!$AJ329=BP$4,'Inputs Yr 2'!$AK329,IF('Inputs Yr 2'!$AL329=BP$4,'Inputs Yr 2'!$AM329,IF('Inputs Yr 2'!$AN329=BP$4,'Inputs Yr 2'!$AO329,0))))*(INDEX(avoidedcosttbl2,$H329,BY$2)+(($H329-ROUNDDOWN($H329,0))*(INDEX(avoidedcosttbl2,ROUNDUP($H329,0),BY$2)-(INDEX(avoidedcosttbl2,ROUNDDOWN($H329,0),BY$2)))))*'Inputs Yr 2'!P329*'Inputs Yr 2'!Q329*'Inputs Yr 2'!U329,"")</f>
        <v>0</v>
      </c>
      <c r="BZ329" s="193">
        <f t="shared" si="189"/>
        <v>22663.023167489853</v>
      </c>
      <c r="CA329" s="193">
        <f t="shared" si="190"/>
        <v>324907.25737841148</v>
      </c>
      <c r="CB329" s="195">
        <f>IFERROR(G329*(IF('Inputs Yr 2'!$AJ329=CB$4,'Inputs Yr 2'!$AK329,IF('Inputs Yr 2'!$AL329=CB$4,'Inputs Yr 2'!$AM329,IF('Inputs Yr 2'!$AN329=CB$4,'Inputs Yr 2'!$AO329,0))))*(INDEX(avoidedcosttbl2,$H329,CB$2)+(($H329-ROUNDDOWN($H329,0))*(INDEX(avoidedcosttbl2,ROUNDUP($H329,0),CB$2)-(INDEX(avoidedcosttbl2,ROUNDDOWN($H329,0),CB$2)))))*'Inputs Yr 2'!P329*'Inputs Yr 2'!Q329*'Inputs Yr 2'!U329,"")</f>
        <v>0</v>
      </c>
      <c r="CC329" s="195">
        <f>IFERROR(H329*(IF('Inputs Yr 2'!$AJ329=CC$4,'Inputs Yr 2'!$AK329,IF('Inputs Yr 2'!$AL329=CC$4,'Inputs Yr 2'!$AM329,IF('Inputs Yr 2'!$AN329=CC$4,'Inputs Yr 2'!$AO329,0))))*(INDEX(avoidedcosttbl2,$H329,CC$2)+(($H329-ROUNDDOWN($H329,0))*(INDEX(avoidedcosttbl2,ROUNDUP($H329,0),CC$2)-(INDEX(avoidedcosttbl2,ROUNDDOWN($H329,0),CC$2)))))*'Inputs Yr 2'!Q329*'Inputs Yr 2'!R329*'Inputs Yr 2'!V329,"")</f>
        <v>0</v>
      </c>
      <c r="CD329" s="195">
        <f>IFERROR(I329*(IF('Inputs Yr 2'!$AJ329=CD$4,'Inputs Yr 2'!$AK329,IF('Inputs Yr 2'!$AL329=CD$4,'Inputs Yr 2'!$AM329,IF('Inputs Yr 2'!$AN329=CD$4,'Inputs Yr 2'!$AO329,0))))*(INDEX(avoidedcosttbl2,$H329,CD$2)+(($H329-ROUNDDOWN($H329,0))*(INDEX(avoidedcosttbl2,ROUNDUP($H329,0),CD$2)-(INDEX(avoidedcosttbl2,ROUNDDOWN($H329,0),CD$2)))))*'Inputs Yr 2'!R329*'Inputs Yr 2'!S329*'Inputs Yr 2'!W329,"")</f>
        <v>0</v>
      </c>
      <c r="CE329" s="213">
        <f t="shared" si="191"/>
        <v>0</v>
      </c>
      <c r="CF329" s="213">
        <f t="shared" si="192"/>
        <v>0</v>
      </c>
      <c r="CG329" s="213">
        <f t="shared" si="193"/>
        <v>0</v>
      </c>
      <c r="CH329" s="698">
        <f t="shared" si="194"/>
        <v>324907.25737841148</v>
      </c>
      <c r="CI329" s="79">
        <f>IFERROR(($G329*'Inputs Yr 2'!$P329*'Inputs Yr 2'!$Q329*(((INDEX(avoidedcosttbl2,$H329,CI$2)+(($H329-ROUNDDOWN($H329,0))*(INDEX(avoidedcosttbl2,ROUNDUP($H329,0),CI$2)-INDEX(avoidedcosttbl2,ROUNDDOWN($H329,0),CI$2))))*'Inputs Yr 2'!AS329))),"")</f>
        <v>0</v>
      </c>
      <c r="CJ329" s="504">
        <f>IFERROR($G329*'Inputs Yr 2'!AT329*'Inputs Yr 2'!$P329*'Inputs Yr 2'!$Q329/((1+realdiscrt1)^-0.5),"")</f>
        <v>0</v>
      </c>
      <c r="CK329" s="79">
        <f>IFERROR((O329*1000*(((INDEX(avoidedcosttbl2,$H329,CK$2)+(($H329-ROUNDDOWN($H329,0))*(INDEX(avoidedcosttbl2,ROUNDUP($H329,0),CK$2)-INDEX(avoidedcosttbl2,ROUNDDOWN($H329,0),CK$2))))*'Inputs Yr 2'!AU329))),"")</f>
        <v>0</v>
      </c>
      <c r="CL329" s="504">
        <f>IFERROR(O329*1000*'Inputs Yr 2'!AV329/((1+realdiscrt1)^-0.5),"")</f>
        <v>0</v>
      </c>
      <c r="CM329" s="79">
        <f>IFERROR((AB329*'Inputs Yr 2'!AW329*(((INDEX(avoidedcosttbl2,$H329,CM$2)+(($H329-ROUNDDOWN($H329,0))*(INDEX(avoidedcosttbl2,ROUNDUP($H329,0),CM$2)-INDEX(avoidedcosttbl2,ROUNDDOWN($H329,0),CM$2)))))))*10,"")</f>
        <v>0</v>
      </c>
      <c r="CN329" s="504">
        <f>IFERROR(10*AB329*'Inputs Yr 2'!AX329/((1+realdiscrt1)^-0.5),"")</f>
        <v>0</v>
      </c>
      <c r="CO329" s="505">
        <f t="shared" si="195"/>
        <v>0</v>
      </c>
      <c r="CP329" s="230">
        <f t="shared" si="196"/>
        <v>324907.25737841148</v>
      </c>
      <c r="CQ329" s="199">
        <f>ROUND(IFERROR(IF(LEFT($A329,1)="C",'Avoided Costs'!$K$13,'Avoided Costs'!$K$12)+1,""),4)</f>
        <v>1.0720000000000001</v>
      </c>
      <c r="CR329" s="199">
        <f>ROUND(IFERROR(IF(LEFT($A329,1)="C",'Avoided Costs'!$L$13,'Avoided Costs'!$L$12)+1,""),4)</f>
        <v>1.04</v>
      </c>
      <c r="CS329" s="199">
        <f>ROUND(IFERROR(IF(LEFT($A329,1)="C",'Avoided Costs'!$M$13,'Avoided Costs'!$M$12)+1,""),4)</f>
        <v>1.0720000000000001</v>
      </c>
      <c r="CT329" s="199">
        <f>ROUND(IFERROR(IF(LEFT($A329,1)="C",'Avoided Costs'!$N$13,'Avoided Costs'!$N$12)+1,""),4)</f>
        <v>1.04</v>
      </c>
      <c r="CU329" s="199">
        <f>ROUND(IFERROR(IF(LEFT($A329,1)="C",'Avoided Costs'!$O$13,'Avoided Costs'!$O$12)+1,""),4)</f>
        <v>1.1120000000000001</v>
      </c>
      <c r="CV329" s="199">
        <f>ROUND(IFERROR(IF(LEFT($A329,1)="C",'Avoided Costs'!$P$13,'Avoided Costs'!$P$12)+1,""),4)</f>
        <v>1.095</v>
      </c>
      <c r="CW329" s="199">
        <f>ROUND(IFERROR(IF(LEFT($A329,1)="C",'Avoided Costs'!$Q$13,'Avoided Costs'!$Q$12)+1,""),4)</f>
        <v>1.1120000000000001</v>
      </c>
      <c r="CX329" s="200">
        <f>ROUND(IFERROR(IF(LEFT($A329,1)="C",'Avoided Costs'!$R$13,'Avoided Costs'!$R$12)+1,""),4)</f>
        <v>1.1120000000000001</v>
      </c>
    </row>
    <row r="330" spans="1:102" ht="12.75" customHeight="1">
      <c r="A330" s="91" t="str">
        <f>IF('Inputs Yr 2'!$B330=0,"",'Inputs Yr 2'!A330)</f>
        <v>C - Commercial &amp; Industrial</v>
      </c>
      <c r="B330" s="91" t="str">
        <f>IF('Inputs Yr 2'!$B330=0,"",'Inputs Yr 2'!B330)</f>
        <v>C2 - C&amp;I Retrofit</v>
      </c>
      <c r="C330" s="91" t="str">
        <f>IF('Inputs Yr 2'!$B330=0,"",'Inputs Yr 2'!C330)</f>
        <v xml:space="preserve">C2c - C&amp;I Multifamily Retrofit </v>
      </c>
      <c r="D330" s="91" t="str">
        <f>IF('Inputs Yr 2'!$B330=0,"",'Inputs Yr 2'!E330)</f>
        <v>Duct Insulation, Gas</v>
      </c>
      <c r="E330" s="93" t="str">
        <f>IF('Inputs Yr 2'!$B330=0,"",'Inputs Yr 2'!F330)</f>
        <v>G16C2c05</v>
      </c>
      <c r="F330" s="93" t="str">
        <f>IF('Inputs Yr 2'!$B330=0,"",'Inputs Yr 2'!G330)</f>
        <v>HVAC</v>
      </c>
      <c r="G330" s="95" t="str">
        <f>IF('Inputs Yr 2'!$H330&lt;&gt;0,('Inputs Yr 2'!H330),"")</f>
        <v/>
      </c>
      <c r="H330" s="94">
        <f>IFERROR('Inputs Yr 2'!I330,"")</f>
        <v>0</v>
      </c>
      <c r="I330" s="298" t="str">
        <f>IFERROR('Inputs Yr 2'!J330*'Inputs Yr 2'!P330*G330,"")</f>
        <v/>
      </c>
      <c r="J330" s="298" t="str">
        <f>IFERROR('Inputs Yr 2'!K330*G330,"")</f>
        <v/>
      </c>
      <c r="K330" s="298" t="str">
        <f t="shared" si="173"/>
        <v/>
      </c>
      <c r="L330" s="194" t="str">
        <f>IFERROR(('Inputs Yr 2'!W330*G330)/1000,"")</f>
        <v/>
      </c>
      <c r="M330" s="194" t="str">
        <f>IFERROR(L330*('Inputs Yr 2'!$Q330*'Inputs Yr 2'!$V330*'Inputs Yr 2'!$R330),"")</f>
        <v/>
      </c>
      <c r="N330" s="194" t="str">
        <f t="shared" si="174"/>
        <v/>
      </c>
      <c r="O330" s="194" t="str">
        <f>IFERROR(M330*'Inputs Yr 2'!P330,"")</f>
        <v/>
      </c>
      <c r="P330" s="194" t="str">
        <f t="shared" si="175"/>
        <v/>
      </c>
      <c r="Q330" s="194" t="str">
        <f>IFERROR($P330*'Inputs Yr 2'!AA330,"")</f>
        <v/>
      </c>
      <c r="R330" s="194" t="str">
        <f>IFERROR($P330*'Inputs Yr 2'!AB330,"")</f>
        <v/>
      </c>
      <c r="S330" s="194" t="str">
        <f>IFERROR($P330*'Inputs Yr 2'!AC330,"")</f>
        <v/>
      </c>
      <c r="T330" s="194" t="str">
        <f>IFERROR($P330*'Inputs Yr 2'!AD330,"")</f>
        <v/>
      </c>
      <c r="U330" s="194" t="str">
        <f>IFERROR(G330*'Inputs Yr 2'!$AE330*'Inputs Yr 2'!$P330*'Inputs Yr 2'!$Q330,"")</f>
        <v/>
      </c>
      <c r="V330" s="194" t="str">
        <f>IFERROR($G330*'Inputs Yr 2'!$AE330*'Inputs Yr 2'!$AG330*'Inputs Yr 2'!Q330*'Inputs Yr 2'!$S330,"")</f>
        <v/>
      </c>
      <c r="W330" s="194" t="str">
        <f>IFERROR($G330*'Inputs Yr 2'!$AE330*'Inputs Yr 2'!$AG330*'Inputs Yr 2'!P330*'Inputs Yr 2'!Q330*'Inputs Yr 2'!$S330,"")</f>
        <v/>
      </c>
      <c r="X330" s="194" t="str">
        <f>IFERROR($G330*'Inputs Yr 2'!$AE330*'Inputs Yr 2'!$AF330*'Inputs Yr 2'!Q330*'Inputs Yr 2'!$T330,"")</f>
        <v/>
      </c>
      <c r="Y330" s="194" t="str">
        <f>IFERROR($G330*'Inputs Yr 2'!$AE330*'Inputs Yr 2'!$AF330*'Inputs Yr 2'!P330*'Inputs Yr 2'!Q330*'Inputs Yr 2'!$T330,"")</f>
        <v/>
      </c>
      <c r="Z330" s="257">
        <f>IFERROR($G330*'Inputs Yr 2'!$Q330*'Inputs Yr 2'!$U330*(IF(IFERROR(SEARCH("NG", 'Inputs Yr 2'!$AJ330),0),'Inputs Yr 2'!$AK330,0)+IF(IFERROR(SEARCH("NG", 'Inputs Yr 2'!$AL330),0),'Inputs Yr 2'!$AM330,0)+IF(IFERROR(SEARCH("NG", 'Inputs Yr 2'!$AN330),0),'Inputs Yr 2'!$AO330,0)),0)</f>
        <v>0</v>
      </c>
      <c r="AA330" s="257">
        <f t="shared" si="176"/>
        <v>0</v>
      </c>
      <c r="AB330" s="257">
        <f>IFERROR(Z330*'Inputs Yr 2'!$P330,0)</f>
        <v>0</v>
      </c>
      <c r="AC330" s="257">
        <f t="shared" si="177"/>
        <v>0</v>
      </c>
      <c r="AD330" s="257">
        <f>IFERROR($G330*'Inputs Yr 2'!$Q330*'Inputs Yr 2'!$U330*(IF(IFERROR(SEARCH("Oil", 'Inputs Yr 2'!$AJ330), 0),'Inputs Yr 2'!$AK330,0)+IF(IFERROR(SEARCH("Oil", 'Inputs Yr 2'!$AL330), 0),'Inputs Yr 2'!$AM330,0)+IF(IFERROR(SEARCH("Oil", 'Inputs Yr 2'!$AN330), 0),'Inputs Yr 2'!$AO330,0)),0)</f>
        <v>0</v>
      </c>
      <c r="AE330" s="257">
        <f t="shared" si="178"/>
        <v>0</v>
      </c>
      <c r="AF330" s="257">
        <f>IFERROR(AD330*'Inputs Yr 2'!$P330,0)</f>
        <v>0</v>
      </c>
      <c r="AG330" s="257">
        <f t="shared" si="179"/>
        <v>0</v>
      </c>
      <c r="AH330" s="257">
        <f>IFERROR($G330*'Inputs Yr 2'!$Q330*'Inputs Yr 2'!$U330*(IF('Inputs Yr 2'!$AJ330=CD$4,'Inputs Yr 2'!$AK330,IF('Inputs Yr 2'!$AL330=CD$4,'Inputs Yr 2'!$AM330,IF('Inputs Yr 2'!$AN330=CD$4,'Inputs Yr 2'!$AO330,0)))),0)</f>
        <v>0</v>
      </c>
      <c r="AI330" s="257">
        <f t="shared" si="180"/>
        <v>0</v>
      </c>
      <c r="AJ330" s="257">
        <f>IFERROR(AH330*'Inputs Yr 2'!$P330,0)</f>
        <v>0</v>
      </c>
      <c r="AK330" s="257">
        <f t="shared" si="181"/>
        <v>0</v>
      </c>
      <c r="AL330" s="258">
        <f>IFERROR($G330*'Inputs Yr 2'!$P330*'Inputs Yr 2'!$Q330*'Inputs Yr 2'!AP330,0)</f>
        <v>0</v>
      </c>
      <c r="AM330" s="260">
        <f>IFERROR($G330*'Inputs Yr 2'!$P330*'Inputs Yr 2'!$Q330*'Inputs Yr 2'!AQ330,0)</f>
        <v>0</v>
      </c>
      <c r="AN330" s="258">
        <f>IFERROR($G330*'Inputs Yr 2'!$P330*'Inputs Yr 2'!$Q330*'Inputs Yr 2'!AR330,0)</f>
        <v>0</v>
      </c>
      <c r="AO330" s="257">
        <f t="shared" si="182"/>
        <v>0</v>
      </c>
      <c r="AP330" s="195" t="str">
        <f>IFERROR($CQ330*(INDEX(avoidedcosttbl2,$H330,AP$2)+(($H330-ROUNDDOWN($H330,0))*(INDEX(avoidedcosttbl2,ROUNDUP($H330,0),AP$2)-(INDEX(avoidedcosttbl2,ROUNDDOWN($H330,0),AP$2)))))*$O330*1000*'Inputs Yr 2'!AA330,"")</f>
        <v/>
      </c>
      <c r="AQ330" s="195" t="str">
        <f>IFERROR($CR330*(INDEX(avoidedcosttbl2,$H330,AQ$2)+(($H330-ROUNDDOWN($H330,0))*(INDEX(avoidedcosttbl2,ROUNDUP($H330,0),AQ$2)-(INDEX(avoidedcosttbl2,ROUNDDOWN($H330,0),AQ$2)))))*$O330*1000*'Inputs Yr 2'!AB330,"")</f>
        <v/>
      </c>
      <c r="AR330" s="195" t="str">
        <f>IFERROR($CS330*(INDEX(avoidedcosttbl2,$H330,AR$2)+(($H330-ROUNDDOWN($H330,0))*(INDEX(avoidedcosttbl2,ROUNDUP($H330,0),AR$2)-(INDEX(avoidedcosttbl2,ROUNDDOWN($H330,0),AR$2)))))*$O330*1000*'Inputs Yr 2'!AC330,"")</f>
        <v/>
      </c>
      <c r="AS330" s="195" t="str">
        <f>IFERROR($CT330*(INDEX(avoidedcosttbl2,$H330,AS$2)+(($H330-ROUNDDOWN($H330,0))*(INDEX(avoidedcosttbl2,ROUNDUP($H330,0),AS$2)-(INDEX(avoidedcosttbl2,ROUNDDOWN($H330,0),AS$2)))))*$O330*1000*'Inputs Yr 2'!AD330,"")</f>
        <v/>
      </c>
      <c r="AT330" s="196">
        <f t="shared" si="183"/>
        <v>0</v>
      </c>
      <c r="AU330" s="197" t="str">
        <f>IFERROR($CQ330*((INDEX(avoidedcosttbl2,$H330,AU$2))+(($H330-ROUNDDOWN($H330,0))*((INDEX(avoidedcosttbl2,ROUNDUP($H330,0),AU$2))-(INDEX(avoidedcosttbl2,ROUNDDOWN($H330,0),AU$2)))))*$O330*1000*'Inputs Yr 2'!AA330,"")</f>
        <v/>
      </c>
      <c r="AV330" s="197" t="str">
        <f>IFERROR($CR330*((INDEX(avoidedcosttbl2,$H330,AV$2))+(($H330-ROUNDDOWN($H330,0))*((INDEX(avoidedcosttbl2,ROUNDUP($H330,0),AV$2))-(INDEX(avoidedcosttbl2,ROUNDDOWN($H330,0),AV$2)))))*$O330*1000*'Inputs Yr 2'!AB330,"")</f>
        <v/>
      </c>
      <c r="AW330" s="197" t="str">
        <f>IFERROR($CS330*((INDEX(avoidedcosttbl2,$H330,AW$2))+(($H330-ROUNDDOWN($H330,0))*((INDEX(avoidedcosttbl2,ROUNDUP($H330,0),AW$2))-(INDEX(avoidedcosttbl2,ROUNDDOWN($H330,0),AW$2)))))*$O330*1000*'Inputs Yr 2'!AC330,"")</f>
        <v/>
      </c>
      <c r="AX330" s="197" t="str">
        <f>IFERROR($CT330*((INDEX(avoidedcosttbl2,$H330,AX$2))+(($H330-ROUNDDOWN($H330,0))*((INDEX(avoidedcosttbl2,ROUNDUP($H330,0),AX$2))-(INDEX(avoidedcosttbl2,ROUNDDOWN($H330,0),AX$2)))))*$O330*1000*'Inputs Yr 2'!AD330,"")</f>
        <v/>
      </c>
      <c r="AY330" s="197" t="str">
        <f>IFERROR(((INDEX(avoidedcosttbl2,$H330,AY$2))+(($H330-ROUNDDOWN($H330,0))*((INDEX(avoidedcosttbl2,ROUNDUP($H330,0),AY$2))-(INDEX(avoidedcosttbl2,ROUNDDOWN($H330,0),AY$2)))))*$O330*1000*('Inputs Yr 2'!AC330+'Inputs Yr 2'!AD330),"")</f>
        <v/>
      </c>
      <c r="AZ330" s="197" t="str">
        <f>IFERROR(((INDEX(avoidedcosttbl2,$H330,AZ$2))+(($H330-ROUNDDOWN($H330,0))*((INDEX(avoidedcosttbl2,ROUNDUP($H330,0),AZ$2))-(INDEX(avoidedcosttbl2,ROUNDDOWN($H330,0),AZ$2)))))*$O330*1000*('Inputs Yr 2'!AA330+'Inputs Yr 2'!AB330),"")</f>
        <v/>
      </c>
      <c r="BA330" s="198">
        <f t="shared" si="184"/>
        <v>0</v>
      </c>
      <c r="BB330" s="198">
        <f t="shared" si="185"/>
        <v>0</v>
      </c>
      <c r="BC330" s="195" t="str">
        <f t="shared" si="167"/>
        <v/>
      </c>
      <c r="BD330" s="195" t="str">
        <f t="shared" si="168"/>
        <v/>
      </c>
      <c r="BE330" s="195" t="str">
        <f t="shared" si="169"/>
        <v/>
      </c>
      <c r="BF330" s="195" t="str">
        <f t="shared" si="170"/>
        <v/>
      </c>
      <c r="BG330" s="195" t="str">
        <f t="shared" si="171"/>
        <v/>
      </c>
      <c r="BH330" s="196">
        <f t="shared" si="186"/>
        <v>0</v>
      </c>
      <c r="BI330" s="196">
        <f t="shared" si="187"/>
        <v>0</v>
      </c>
      <c r="BJ330" s="195" t="str">
        <f>IFERROR($G330*(IF('Inputs Yr 2'!$AJ330=BJ$4,'Inputs Yr 2'!$AK330,IF('Inputs Yr 2'!$AL330=BJ$4,'Inputs Yr 2'!$AM330,IF('Inputs Yr 2'!$AN330=BJ$4,'Inputs Yr 2'!$AO330,0))))*(INDEX(avoidedcosttbl2,$H330,BJ$2)+(($H330-ROUNDDOWN($H330,0))*(INDEX(avoidedcosttbl2,ROUNDUP($H330,0),BJ$2)-(INDEX(avoidedcosttbl2,ROUNDDOWN($H330,0),BJ$2)))))*'Inputs Yr 2'!P330*'Inputs Yr 2'!Q330*'Inputs Yr 2'!U330,"")</f>
        <v/>
      </c>
      <c r="BK330" s="195" t="str">
        <f>IFERROR($G330*(IF('Inputs Yr 2'!$AJ330=BK$4,'Inputs Yr 2'!$AK330,IF('Inputs Yr 2'!$AL330=BK$4,'Inputs Yr 2'!$AM330,IF('Inputs Yr 2'!$AN330=BK$4,'Inputs Yr 2'!$AO330,0))))*(INDEX(avoidedcosttbl2,$H330,BK$2)+(($H330-ROUNDDOWN($H330,0))*(INDEX(avoidedcosttbl2,ROUNDUP($H330,0),BK$2)-(INDEX(avoidedcosttbl2,ROUNDDOWN($H330,0),BK$2)))))*'Inputs Yr 2'!P330*'Inputs Yr 2'!Q330*'Inputs Yr 2'!U330,"")</f>
        <v/>
      </c>
      <c r="BL330" s="195" t="str">
        <f>IFERROR($G330*(IF('Inputs Yr 2'!$AJ330=BL$4,'Inputs Yr 2'!$AK330,IF('Inputs Yr 2'!$AL330=BL$4,'Inputs Yr 2'!$AM330,IF('Inputs Yr 2'!$AN330=BL$4,'Inputs Yr 2'!$AO330,0))))*(INDEX(avoidedcosttbl2,$H330,BL$2)+(($H330-ROUNDDOWN($H330,0))*(INDEX(avoidedcosttbl2,ROUNDUP($H330,0),BL$2)-(INDEX(avoidedcosttbl2,ROUNDDOWN($H330,0),BL$2)))))*'Inputs Yr 2'!P330*'Inputs Yr 2'!Q330*'Inputs Yr 2'!U330,"")</f>
        <v/>
      </c>
      <c r="BM330" s="195" t="str">
        <f>IFERROR($G330*(IF('Inputs Yr 2'!$AJ330=BM$4,'Inputs Yr 2'!$AK330,IF('Inputs Yr 2'!$AL330=BM$4,'Inputs Yr 2'!$AM330,IF('Inputs Yr 2'!$AN330=BM$4,'Inputs Yr 2'!$AO330,0))))*(INDEX(avoidedcosttbl2,$H330,BM$2)+(($H330-ROUNDDOWN($H330,0))*(INDEX(avoidedcosttbl2,ROUNDUP($H330,0),BM$2)-(INDEX(avoidedcosttbl2,ROUNDDOWN($H330,0),BM$2)))))*'Inputs Yr 2'!P330*'Inputs Yr 2'!Q330*'Inputs Yr 2'!U330,"")</f>
        <v/>
      </c>
      <c r="BN330" s="195" t="str">
        <f>IFERROR($G330*(IF('Inputs Yr 2'!$AJ330=BN$4,'Inputs Yr 2'!$AK330,IF('Inputs Yr 2'!$AL330=BN$4,'Inputs Yr 2'!$AM330,IF('Inputs Yr 2'!$AN330=BN$4,'Inputs Yr 2'!$AO330,0))))*(INDEX(avoidedcosttbl2,$H330,BN$2)+(($H330-ROUNDDOWN($H330,0))*(INDEX(avoidedcosttbl2,ROUNDUP($H330,0),BN$2)-(INDEX(avoidedcosttbl2,ROUNDDOWN($H330,0),BN$2)))))*'Inputs Yr 2'!P330*'Inputs Yr 2'!Q330*'Inputs Yr 2'!U330,"")</f>
        <v/>
      </c>
      <c r="BO330" s="195" t="str">
        <f>IFERROR($G330*(IF('Inputs Yr 2'!$AJ330=BO$4,'Inputs Yr 2'!$AK330,IF('Inputs Yr 2'!$AL330=BO$4,'Inputs Yr 2'!$AM330,IF('Inputs Yr 2'!$AN330=BO$4,'Inputs Yr 2'!$AO330,0))))*(INDEX(avoidedcosttbl2,$H330,BO$2)+(($H330-ROUNDDOWN($H330,0))*(INDEX(avoidedcosttbl2,ROUNDUP($H330,0),BO$2)-(INDEX(avoidedcosttbl2,ROUNDDOWN($H330,0),BO$2)))))*'Inputs Yr 2'!P330*'Inputs Yr 2'!Q330*'Inputs Yr 2'!U330,"")</f>
        <v/>
      </c>
      <c r="BP330" s="195" t="str">
        <f>IFERROR($G330*(IF('Inputs Yr 2'!$AJ330=BP$4,'Inputs Yr 2'!$AK330,IF('Inputs Yr 2'!$AL330=BP$4,'Inputs Yr 2'!$AM330,IF('Inputs Yr 2'!$AN330=BP$4,'Inputs Yr 2'!$AO330,0))))*(INDEX(avoidedcosttbl2,$H330,BP$2)+(($H330-ROUNDDOWN($H330,0))*(INDEX(avoidedcosttbl2,ROUNDUP($H330,0),BP$2)-(INDEX(avoidedcosttbl2,ROUNDDOWN($H330,0),BP$2)))))*'Inputs Yr 2'!P330*'Inputs Yr 2'!Q330*'Inputs Yr 2'!U330,"")</f>
        <v/>
      </c>
      <c r="BQ330" s="230">
        <f t="shared" si="188"/>
        <v>0</v>
      </c>
      <c r="BR330" s="197" t="str">
        <f t="shared" si="172"/>
        <v/>
      </c>
      <c r="BS330" s="197" t="str">
        <f>IFERROR(($G330*IF('Inputs Yr 2'!$AJ330=BM$4,'Inputs Yr 2'!$AK330,IF('Inputs Yr 2'!$AL330=BM$4,'Inputs Yr 2'!$AM330,IF('Inputs Yr 2'!$AN330=BM$4,'Inputs Yr 2'!$AO330,0))))*(INDEX(avoidedcosttbl2,$H330,BS$2)+(($H330-ROUNDDOWN($H330,0))*(INDEX(avoidedcosttbl2,ROUNDUP($H330,0),BS$2)-(INDEX(avoidedcosttbl2,ROUNDDOWN($H330,0),BS$2)))))*'Inputs Yr 2'!P330*'Inputs Yr 2'!Q330*'Inputs Yr 2'!U330,"")</f>
        <v/>
      </c>
      <c r="BT330" s="197" t="str">
        <f>IFERROR(($G330*IF('Inputs Yr 2'!$AJ330=BK$4,'Inputs Yr 2'!$AK330,IF('Inputs Yr 2'!$AL330=BK$4,'Inputs Yr 2'!$AM330,IF('Inputs Yr 2'!$AN330=BK$4,'Inputs Yr 2'!$AO330,0))))*(INDEX(avoidedcosttbl2,$H330,BT$2)+(($H330-ROUNDDOWN($H330,0))*(INDEX(avoidedcosttbl2,ROUNDUP($H330,0),BT$2)-(INDEX(avoidedcosttbl2,ROUNDDOWN($H330,0),BT$2)))))*'Inputs Yr 2'!P330*'Inputs Yr 2'!Q330*'Inputs Yr 2'!U330,"")</f>
        <v/>
      </c>
      <c r="BU330" s="197" t="str">
        <f>IFERROR(($G330*IF('Inputs Yr 2'!$AJ330=BL$4,'Inputs Yr 2'!$AK330,IF('Inputs Yr 2'!$AL330=BL$4,'Inputs Yr 2'!$AM330,IF('Inputs Yr 2'!$AN330=BL$4,'Inputs Yr 2'!$AO330,0))))*(INDEX(avoidedcosttbl2,$H330,BU$2)+(($H330-ROUNDDOWN($H330,0))*(INDEX(avoidedcosttbl2,ROUNDUP($H330,0),BU$2)-(INDEX(avoidedcosttbl2,ROUNDDOWN($H330,0),BU$2)))))*'Inputs Yr 2'!P330*'Inputs Yr 2'!Q330*'Inputs Yr 2'!U330,"")</f>
        <v/>
      </c>
      <c r="BV330" s="775" t="str">
        <f>IFERROR(($G330*IF('Inputs Yr 2'!$AJ330=BJ$4,'Inputs Yr 2'!$AK330,IF('Inputs Yr 2'!$AL330=BJ$4,'Inputs Yr 2'!$AM330,IF('Inputs Yr 2'!$AN330=BJ$4,'Inputs Yr 2'!$AO330,0))))*(INDEX(avoidedcosttbl2,$H330,BV$2)+(($H330-ROUNDDOWN($H330,0))*(INDEX(avoidedcosttbl2,ROUNDUP($H330,0),BV$2)-(INDEX(avoidedcosttbl2,ROUNDDOWN($H330,0),BV$2)))))*'Inputs Yr 2'!P330*'Inputs Yr 2'!Q330*'Inputs Yr 2'!U330,"")</f>
        <v/>
      </c>
      <c r="BW330" s="197" t="str">
        <f>IFERROR(($G330*IF('Inputs Yr 2'!$AJ330=BN$4,'Inputs Yr 2'!$AK330,IF('Inputs Yr 2'!$AL330=BN$4,'Inputs Yr 2'!$AM330,IF('Inputs Yr 2'!$AN330=BN$4,'Inputs Yr 2'!$AO330,0))))*(INDEX(avoidedcosttbl2,$H330,BW$2)+(($H330-ROUNDDOWN($H330,0))*(INDEX(avoidedcosttbl2,ROUNDUP($H330,0),BW$2)-(INDEX(avoidedcosttbl2,ROUNDDOWN($H330,0),BW$2)))))*'Inputs Yr 2'!P330*'Inputs Yr 2'!Q330*'Inputs Yr 2'!U330,"")</f>
        <v/>
      </c>
      <c r="BX330" s="197" t="str">
        <f>IFERROR(($G330*IF('Inputs Yr 2'!$AJ330=BO$4,'Inputs Yr 2'!$AK330,IF('Inputs Yr 2'!$AL330=BO$4,'Inputs Yr 2'!$AM330,IF('Inputs Yr 2'!$AN330=BO$4,'Inputs Yr 2'!$AO330,0))))*(INDEX(avoidedcosttbl2,$H330,BX$2)+(($H330-ROUNDDOWN($H330,0))*(INDEX(avoidedcosttbl2,ROUNDUP($H330,0),BX$2)-(INDEX(avoidedcosttbl2,ROUNDDOWN($H330,0),BX$2)))))*'Inputs Yr 2'!P330*'Inputs Yr 2'!Q330*'Inputs Yr 2'!U330,"")</f>
        <v/>
      </c>
      <c r="BY330" s="197" t="str">
        <f>IFERROR(($G330*IF('Inputs Yr 2'!$AJ330=BP$4,'Inputs Yr 2'!$AK330,IF('Inputs Yr 2'!$AL330=BP$4,'Inputs Yr 2'!$AM330,IF('Inputs Yr 2'!$AN330=BP$4,'Inputs Yr 2'!$AO330,0))))*(INDEX(avoidedcosttbl2,$H330,BY$2)+(($H330-ROUNDDOWN($H330,0))*(INDEX(avoidedcosttbl2,ROUNDUP($H330,0),BY$2)-(INDEX(avoidedcosttbl2,ROUNDDOWN($H330,0),BY$2)))))*'Inputs Yr 2'!P330*'Inputs Yr 2'!Q330*'Inputs Yr 2'!U330,"")</f>
        <v/>
      </c>
      <c r="BZ330" s="193">
        <f t="shared" si="189"/>
        <v>0</v>
      </c>
      <c r="CA330" s="193">
        <f t="shared" si="190"/>
        <v>0</v>
      </c>
      <c r="CB330" s="195" t="str">
        <f>IFERROR(G330*(IF('Inputs Yr 2'!$AJ330=CB$4,'Inputs Yr 2'!$AK330,IF('Inputs Yr 2'!$AL330=CB$4,'Inputs Yr 2'!$AM330,IF('Inputs Yr 2'!$AN330=CB$4,'Inputs Yr 2'!$AO330,0))))*(INDEX(avoidedcosttbl2,$H330,CB$2)+(($H330-ROUNDDOWN($H330,0))*(INDEX(avoidedcosttbl2,ROUNDUP($H330,0),CB$2)-(INDEX(avoidedcosttbl2,ROUNDDOWN($H330,0),CB$2)))))*'Inputs Yr 2'!P330*'Inputs Yr 2'!Q330*'Inputs Yr 2'!U330,"")</f>
        <v/>
      </c>
      <c r="CC330" s="195" t="str">
        <f>IFERROR(H330*(IF('Inputs Yr 2'!$AJ330=CC$4,'Inputs Yr 2'!$AK330,IF('Inputs Yr 2'!$AL330=CC$4,'Inputs Yr 2'!$AM330,IF('Inputs Yr 2'!$AN330=CC$4,'Inputs Yr 2'!$AO330,0))))*(INDEX(avoidedcosttbl2,$H330,CC$2)+(($H330-ROUNDDOWN($H330,0))*(INDEX(avoidedcosttbl2,ROUNDUP($H330,0),CC$2)-(INDEX(avoidedcosttbl2,ROUNDDOWN($H330,0),CC$2)))))*'Inputs Yr 2'!Q330*'Inputs Yr 2'!R330*'Inputs Yr 2'!V330,"")</f>
        <v/>
      </c>
      <c r="CD330" s="195" t="str">
        <f>IFERROR(I330*(IF('Inputs Yr 2'!$AJ330=CD$4,'Inputs Yr 2'!$AK330,IF('Inputs Yr 2'!$AL330=CD$4,'Inputs Yr 2'!$AM330,IF('Inputs Yr 2'!$AN330=CD$4,'Inputs Yr 2'!$AO330,0))))*(INDEX(avoidedcosttbl2,$H330,CD$2)+(($H330-ROUNDDOWN($H330,0))*(INDEX(avoidedcosttbl2,ROUNDUP($H330,0),CD$2)-(INDEX(avoidedcosttbl2,ROUNDDOWN($H330,0),CD$2)))))*'Inputs Yr 2'!R330*'Inputs Yr 2'!S330*'Inputs Yr 2'!W330,"")</f>
        <v/>
      </c>
      <c r="CE330" s="213" t="str">
        <f t="shared" si="191"/>
        <v/>
      </c>
      <c r="CF330" s="213" t="str">
        <f t="shared" si="192"/>
        <v/>
      </c>
      <c r="CG330" s="213" t="str">
        <f t="shared" si="193"/>
        <v/>
      </c>
      <c r="CH330" s="698">
        <f t="shared" si="194"/>
        <v>0</v>
      </c>
      <c r="CI330" s="79" t="str">
        <f>IFERROR(($G330*'Inputs Yr 2'!$P330*'Inputs Yr 2'!$Q330*(((INDEX(avoidedcosttbl2,$H330,CI$2)+(($H330-ROUNDDOWN($H330,0))*(INDEX(avoidedcosttbl2,ROUNDUP($H330,0),CI$2)-INDEX(avoidedcosttbl2,ROUNDDOWN($H330,0),CI$2))))*'Inputs Yr 2'!AS330))),"")</f>
        <v/>
      </c>
      <c r="CJ330" s="504" t="str">
        <f>IFERROR($G330*'Inputs Yr 2'!AT330*'Inputs Yr 2'!$P330*'Inputs Yr 2'!$Q330/((1+realdiscrt1)^-0.5),"")</f>
        <v/>
      </c>
      <c r="CK330" s="79" t="str">
        <f>IFERROR((O330*1000*(((INDEX(avoidedcosttbl2,$H330,CK$2)+(($H330-ROUNDDOWN($H330,0))*(INDEX(avoidedcosttbl2,ROUNDUP($H330,0),CK$2)-INDEX(avoidedcosttbl2,ROUNDDOWN($H330,0),CK$2))))*'Inputs Yr 2'!AU330))),"")</f>
        <v/>
      </c>
      <c r="CL330" s="504" t="str">
        <f>IFERROR(O330*1000*'Inputs Yr 2'!AV330/((1+realdiscrt1)^-0.5),"")</f>
        <v/>
      </c>
      <c r="CM330" s="79" t="str">
        <f>IFERROR((AB330*'Inputs Yr 2'!AW330*(((INDEX(avoidedcosttbl2,$H330,CM$2)+(($H330-ROUNDDOWN($H330,0))*(INDEX(avoidedcosttbl2,ROUNDUP($H330,0),CM$2)-INDEX(avoidedcosttbl2,ROUNDDOWN($H330,0),CM$2)))))))*10,"")</f>
        <v/>
      </c>
      <c r="CN330" s="504">
        <f>IFERROR(10*AB330*'Inputs Yr 2'!AX330/((1+realdiscrt1)^-0.5),"")</f>
        <v>0</v>
      </c>
      <c r="CO330" s="505">
        <f t="shared" si="195"/>
        <v>0</v>
      </c>
      <c r="CP330" s="230">
        <f t="shared" si="196"/>
        <v>0</v>
      </c>
      <c r="CQ330" s="199">
        <f>ROUND(IFERROR(IF(LEFT($A330,1)="C",'Avoided Costs'!$K$13,'Avoided Costs'!$K$12)+1,""),4)</f>
        <v>1.0720000000000001</v>
      </c>
      <c r="CR330" s="199">
        <f>ROUND(IFERROR(IF(LEFT($A330,1)="C",'Avoided Costs'!$L$13,'Avoided Costs'!$L$12)+1,""),4)</f>
        <v>1.04</v>
      </c>
      <c r="CS330" s="199">
        <f>ROUND(IFERROR(IF(LEFT($A330,1)="C",'Avoided Costs'!$M$13,'Avoided Costs'!$M$12)+1,""),4)</f>
        <v>1.0720000000000001</v>
      </c>
      <c r="CT330" s="199">
        <f>ROUND(IFERROR(IF(LEFT($A330,1)="C",'Avoided Costs'!$N$13,'Avoided Costs'!$N$12)+1,""),4)</f>
        <v>1.04</v>
      </c>
      <c r="CU330" s="199">
        <f>ROUND(IFERROR(IF(LEFT($A330,1)="C",'Avoided Costs'!$O$13,'Avoided Costs'!$O$12)+1,""),4)</f>
        <v>1.1120000000000001</v>
      </c>
      <c r="CV330" s="199">
        <f>ROUND(IFERROR(IF(LEFT($A330,1)="C",'Avoided Costs'!$P$13,'Avoided Costs'!$P$12)+1,""),4)</f>
        <v>1.095</v>
      </c>
      <c r="CW330" s="199">
        <f>ROUND(IFERROR(IF(LEFT($A330,1)="C",'Avoided Costs'!$Q$13,'Avoided Costs'!$Q$12)+1,""),4)</f>
        <v>1.1120000000000001</v>
      </c>
      <c r="CX330" s="200">
        <f>ROUND(IFERROR(IF(LEFT($A330,1)="C",'Avoided Costs'!$R$13,'Avoided Costs'!$R$12)+1,""),4)</f>
        <v>1.1120000000000001</v>
      </c>
    </row>
    <row r="331" spans="1:102" ht="12.75" customHeight="1">
      <c r="A331" s="91" t="str">
        <f>IF('Inputs Yr 2'!$B331=0,"",'Inputs Yr 2'!A331)</f>
        <v>C - Commercial &amp; Industrial</v>
      </c>
      <c r="B331" s="91" t="str">
        <f>IF('Inputs Yr 2'!$B331=0,"",'Inputs Yr 2'!B331)</f>
        <v>C2 - C&amp;I Retrofit</v>
      </c>
      <c r="C331" s="91" t="str">
        <f>IF('Inputs Yr 2'!$B331=0,"",'Inputs Yr 2'!C331)</f>
        <v xml:space="preserve">C2c - C&amp;I Multifamily Retrofit </v>
      </c>
      <c r="D331" s="91" t="str">
        <f>IF('Inputs Yr 2'!$B331=0,"",'Inputs Yr 2'!E331)</f>
        <v>Duct Seal, Gas</v>
      </c>
      <c r="E331" s="93" t="str">
        <f>IF('Inputs Yr 2'!$B331=0,"",'Inputs Yr 2'!F331)</f>
        <v>G16C2c06</v>
      </c>
      <c r="F331" s="93" t="str">
        <f>IF('Inputs Yr 2'!$B331=0,"",'Inputs Yr 2'!G331)</f>
        <v>HVAC</v>
      </c>
      <c r="G331" s="95">
        <f>IF('Inputs Yr 2'!$H331&lt;&gt;0,('Inputs Yr 2'!H331),"")</f>
        <v>1</v>
      </c>
      <c r="H331" s="94">
        <f>IFERROR('Inputs Yr 2'!I331,"")</f>
        <v>20</v>
      </c>
      <c r="I331" s="298">
        <f>IFERROR('Inputs Yr 2'!J331*'Inputs Yr 2'!P331*G331,"")</f>
        <v>80</v>
      </c>
      <c r="J331" s="298">
        <f>IFERROR('Inputs Yr 2'!K331*G331,"")</f>
        <v>80</v>
      </c>
      <c r="K331" s="298">
        <f t="shared" si="173"/>
        <v>0</v>
      </c>
      <c r="L331" s="194">
        <f>IFERROR(('Inputs Yr 2'!W331*G331)/1000,"")</f>
        <v>0</v>
      </c>
      <c r="M331" s="194">
        <f>IFERROR(L331*('Inputs Yr 2'!$Q331*'Inputs Yr 2'!$V331*'Inputs Yr 2'!$R331),"")</f>
        <v>0</v>
      </c>
      <c r="N331" s="194">
        <f t="shared" si="174"/>
        <v>0</v>
      </c>
      <c r="O331" s="194">
        <f>IFERROR(M331*'Inputs Yr 2'!P331,"")</f>
        <v>0</v>
      </c>
      <c r="P331" s="194">
        <f t="shared" si="175"/>
        <v>0</v>
      </c>
      <c r="Q331" s="194">
        <f>IFERROR($P331*'Inputs Yr 2'!AA331,"")</f>
        <v>0</v>
      </c>
      <c r="R331" s="194">
        <f>IFERROR($P331*'Inputs Yr 2'!AB331,"")</f>
        <v>0</v>
      </c>
      <c r="S331" s="194">
        <f>IFERROR($P331*'Inputs Yr 2'!AC331,"")</f>
        <v>0</v>
      </c>
      <c r="T331" s="194">
        <f>IFERROR($P331*'Inputs Yr 2'!AD331,"")</f>
        <v>0</v>
      </c>
      <c r="U331" s="194">
        <f>IFERROR(G331*'Inputs Yr 2'!$AE331*'Inputs Yr 2'!$P331*'Inputs Yr 2'!$Q331,"")</f>
        <v>0</v>
      </c>
      <c r="V331" s="194">
        <f>IFERROR($G331*'Inputs Yr 2'!$AE331*'Inputs Yr 2'!$AG331*'Inputs Yr 2'!Q331*'Inputs Yr 2'!$S331,"")</f>
        <v>0</v>
      </c>
      <c r="W331" s="194">
        <f>IFERROR($G331*'Inputs Yr 2'!$AE331*'Inputs Yr 2'!$AG331*'Inputs Yr 2'!P331*'Inputs Yr 2'!Q331*'Inputs Yr 2'!$S331,"")</f>
        <v>0</v>
      </c>
      <c r="X331" s="194">
        <f>IFERROR($G331*'Inputs Yr 2'!$AE331*'Inputs Yr 2'!$AF331*'Inputs Yr 2'!Q331*'Inputs Yr 2'!$T331,"")</f>
        <v>0</v>
      </c>
      <c r="Y331" s="194">
        <f>IFERROR($G331*'Inputs Yr 2'!$AE331*'Inputs Yr 2'!$AF331*'Inputs Yr 2'!P331*'Inputs Yr 2'!Q331*'Inputs Yr 2'!$T331,"")</f>
        <v>0</v>
      </c>
      <c r="Z331" s="257">
        <f>IFERROR($G331*'Inputs Yr 2'!$Q331*'Inputs Yr 2'!$U331*(IF(IFERROR(SEARCH("NG", 'Inputs Yr 2'!$AJ331),0),'Inputs Yr 2'!$AK331,0)+IF(IFERROR(SEARCH("NG", 'Inputs Yr 2'!$AL331),0),'Inputs Yr 2'!$AM331,0)+IF(IFERROR(SEARCH("NG", 'Inputs Yr 2'!$AN331),0),'Inputs Yr 2'!$AO331,0)),0)</f>
        <v>1.7005539999999999</v>
      </c>
      <c r="AA331" s="257">
        <f t="shared" si="176"/>
        <v>34.01108</v>
      </c>
      <c r="AB331" s="257">
        <f>IFERROR(Z331*'Inputs Yr 2'!$P331,0)</f>
        <v>1.7005539999999999</v>
      </c>
      <c r="AC331" s="257">
        <f t="shared" si="177"/>
        <v>34.01108</v>
      </c>
      <c r="AD331" s="257">
        <f>IFERROR($G331*'Inputs Yr 2'!$Q331*'Inputs Yr 2'!$U331*(IF(IFERROR(SEARCH("Oil", 'Inputs Yr 2'!$AJ331), 0),'Inputs Yr 2'!$AK331,0)+IF(IFERROR(SEARCH("Oil", 'Inputs Yr 2'!$AL331), 0),'Inputs Yr 2'!$AM331,0)+IF(IFERROR(SEARCH("Oil", 'Inputs Yr 2'!$AN331), 0),'Inputs Yr 2'!$AO331,0)),0)</f>
        <v>0</v>
      </c>
      <c r="AE331" s="257">
        <f t="shared" si="178"/>
        <v>0</v>
      </c>
      <c r="AF331" s="257">
        <f>IFERROR(AD331*'Inputs Yr 2'!$P331,0)</f>
        <v>0</v>
      </c>
      <c r="AG331" s="257">
        <f t="shared" si="179"/>
        <v>0</v>
      </c>
      <c r="AH331" s="257">
        <f>IFERROR($G331*'Inputs Yr 2'!$Q331*'Inputs Yr 2'!$U331*(IF('Inputs Yr 2'!$AJ331=CD$4,'Inputs Yr 2'!$AK331,IF('Inputs Yr 2'!$AL331=CD$4,'Inputs Yr 2'!$AM331,IF('Inputs Yr 2'!$AN331=CD$4,'Inputs Yr 2'!$AO331,0)))),0)</f>
        <v>0</v>
      </c>
      <c r="AI331" s="257">
        <f t="shared" si="180"/>
        <v>0</v>
      </c>
      <c r="AJ331" s="257">
        <f>IFERROR(AH331*'Inputs Yr 2'!$P331,0)</f>
        <v>0</v>
      </c>
      <c r="AK331" s="257">
        <f t="shared" si="181"/>
        <v>0</v>
      </c>
      <c r="AL331" s="258">
        <f>IFERROR($G331*'Inputs Yr 2'!$P331*'Inputs Yr 2'!$Q331*'Inputs Yr 2'!AP331,0)</f>
        <v>0</v>
      </c>
      <c r="AM331" s="260">
        <f>IFERROR($G331*'Inputs Yr 2'!$P331*'Inputs Yr 2'!$Q331*'Inputs Yr 2'!AQ331,0)</f>
        <v>0</v>
      </c>
      <c r="AN331" s="258">
        <f>IFERROR($G331*'Inputs Yr 2'!$P331*'Inputs Yr 2'!$Q331*'Inputs Yr 2'!AR331,0)</f>
        <v>0</v>
      </c>
      <c r="AO331" s="257">
        <f t="shared" si="182"/>
        <v>0</v>
      </c>
      <c r="AP331" s="195">
        <f>IFERROR($CQ331*(INDEX(avoidedcosttbl2,$H331,AP$2)+(($H331-ROUNDDOWN($H331,0))*(INDEX(avoidedcosttbl2,ROUNDUP($H331,0),AP$2)-(INDEX(avoidedcosttbl2,ROUNDDOWN($H331,0),AP$2)))))*$O331*1000*'Inputs Yr 2'!AA331,"")</f>
        <v>0</v>
      </c>
      <c r="AQ331" s="195">
        <f>IFERROR($CR331*(INDEX(avoidedcosttbl2,$H331,AQ$2)+(($H331-ROUNDDOWN($H331,0))*(INDEX(avoidedcosttbl2,ROUNDUP($H331,0),AQ$2)-(INDEX(avoidedcosttbl2,ROUNDDOWN($H331,0),AQ$2)))))*$O331*1000*'Inputs Yr 2'!AB331,"")</f>
        <v>0</v>
      </c>
      <c r="AR331" s="195">
        <f>IFERROR($CS331*(INDEX(avoidedcosttbl2,$H331,AR$2)+(($H331-ROUNDDOWN($H331,0))*(INDEX(avoidedcosttbl2,ROUNDUP($H331,0),AR$2)-(INDEX(avoidedcosttbl2,ROUNDDOWN($H331,0),AR$2)))))*$O331*1000*'Inputs Yr 2'!AC331,"")</f>
        <v>0</v>
      </c>
      <c r="AS331" s="195">
        <f>IFERROR($CT331*(INDEX(avoidedcosttbl2,$H331,AS$2)+(($H331-ROUNDDOWN($H331,0))*(INDEX(avoidedcosttbl2,ROUNDUP($H331,0),AS$2)-(INDEX(avoidedcosttbl2,ROUNDDOWN($H331,0),AS$2)))))*$O331*1000*'Inputs Yr 2'!AD331,"")</f>
        <v>0</v>
      </c>
      <c r="AT331" s="196">
        <f t="shared" si="183"/>
        <v>0</v>
      </c>
      <c r="AU331" s="197">
        <f>IFERROR($CQ331*((INDEX(avoidedcosttbl2,$H331,AU$2))+(($H331-ROUNDDOWN($H331,0))*((INDEX(avoidedcosttbl2,ROUNDUP($H331,0),AU$2))-(INDEX(avoidedcosttbl2,ROUNDDOWN($H331,0),AU$2)))))*$O331*1000*'Inputs Yr 2'!AA331,"")</f>
        <v>0</v>
      </c>
      <c r="AV331" s="197">
        <f>IFERROR($CR331*((INDEX(avoidedcosttbl2,$H331,AV$2))+(($H331-ROUNDDOWN($H331,0))*((INDEX(avoidedcosttbl2,ROUNDUP($H331,0),AV$2))-(INDEX(avoidedcosttbl2,ROUNDDOWN($H331,0),AV$2)))))*$O331*1000*'Inputs Yr 2'!AB331,"")</f>
        <v>0</v>
      </c>
      <c r="AW331" s="197">
        <f>IFERROR($CS331*((INDEX(avoidedcosttbl2,$H331,AW$2))+(($H331-ROUNDDOWN($H331,0))*((INDEX(avoidedcosttbl2,ROUNDUP($H331,0),AW$2))-(INDEX(avoidedcosttbl2,ROUNDDOWN($H331,0),AW$2)))))*$O331*1000*'Inputs Yr 2'!AC331,"")</f>
        <v>0</v>
      </c>
      <c r="AX331" s="197">
        <f>IFERROR($CT331*((INDEX(avoidedcosttbl2,$H331,AX$2))+(($H331-ROUNDDOWN($H331,0))*((INDEX(avoidedcosttbl2,ROUNDUP($H331,0),AX$2))-(INDEX(avoidedcosttbl2,ROUNDDOWN($H331,0),AX$2)))))*$O331*1000*'Inputs Yr 2'!AD331,"")</f>
        <v>0</v>
      </c>
      <c r="AY331" s="197">
        <f>IFERROR(((INDEX(avoidedcosttbl2,$H331,AY$2))+(($H331-ROUNDDOWN($H331,0))*((INDEX(avoidedcosttbl2,ROUNDUP($H331,0),AY$2))-(INDEX(avoidedcosttbl2,ROUNDDOWN($H331,0),AY$2)))))*$O331*1000*('Inputs Yr 2'!AC331+'Inputs Yr 2'!AD331),"")</f>
        <v>0</v>
      </c>
      <c r="AZ331" s="197">
        <f>IFERROR(((INDEX(avoidedcosttbl2,$H331,AZ$2))+(($H331-ROUNDDOWN($H331,0))*((INDEX(avoidedcosttbl2,ROUNDUP($H331,0),AZ$2))-(INDEX(avoidedcosttbl2,ROUNDDOWN($H331,0),AZ$2)))))*$O331*1000*('Inputs Yr 2'!AA331+'Inputs Yr 2'!AB331),"")</f>
        <v>0</v>
      </c>
      <c r="BA331" s="198">
        <f t="shared" si="184"/>
        <v>0</v>
      </c>
      <c r="BB331" s="198">
        <f t="shared" si="185"/>
        <v>0</v>
      </c>
      <c r="BC331" s="195">
        <f t="shared" si="167"/>
        <v>0</v>
      </c>
      <c r="BD331" s="195">
        <f t="shared" si="168"/>
        <v>0</v>
      </c>
      <c r="BE331" s="195">
        <f t="shared" si="169"/>
        <v>0</v>
      </c>
      <c r="BF331" s="195">
        <f t="shared" si="170"/>
        <v>0</v>
      </c>
      <c r="BG331" s="195">
        <f t="shared" si="171"/>
        <v>0</v>
      </c>
      <c r="BH331" s="196">
        <f t="shared" si="186"/>
        <v>0</v>
      </c>
      <c r="BI331" s="196">
        <f t="shared" si="187"/>
        <v>0</v>
      </c>
      <c r="BJ331" s="195">
        <f>IFERROR($G331*(IF('Inputs Yr 2'!$AJ331=BJ$4,'Inputs Yr 2'!$AK331,IF('Inputs Yr 2'!$AL331=BJ$4,'Inputs Yr 2'!$AM331,IF('Inputs Yr 2'!$AN331=BJ$4,'Inputs Yr 2'!$AO331,0))))*(INDEX(avoidedcosttbl2,$H331,BJ$2)+(($H331-ROUNDDOWN($H331,0))*(INDEX(avoidedcosttbl2,ROUNDUP($H331,0),BJ$2)-(INDEX(avoidedcosttbl2,ROUNDDOWN($H331,0),BJ$2)))))*'Inputs Yr 2'!P331*'Inputs Yr 2'!Q331*'Inputs Yr 2'!U331,"")</f>
        <v>0</v>
      </c>
      <c r="BK331" s="195">
        <f>IFERROR($G331*(IF('Inputs Yr 2'!$AJ331=BK$4,'Inputs Yr 2'!$AK331,IF('Inputs Yr 2'!$AL331=BK$4,'Inputs Yr 2'!$AM331,IF('Inputs Yr 2'!$AN331=BK$4,'Inputs Yr 2'!$AO331,0))))*(INDEX(avoidedcosttbl2,$H331,BK$2)+(($H331-ROUNDDOWN($H331,0))*(INDEX(avoidedcosttbl2,ROUNDUP($H331,0),BK$2)-(INDEX(avoidedcosttbl2,ROUNDDOWN($H331,0),BK$2)))))*'Inputs Yr 2'!P331*'Inputs Yr 2'!Q331*'Inputs Yr 2'!U331,"")</f>
        <v>0</v>
      </c>
      <c r="BL331" s="195">
        <f>IFERROR($G331*(IF('Inputs Yr 2'!$AJ331=BL$4,'Inputs Yr 2'!$AK331,IF('Inputs Yr 2'!$AL331=BL$4,'Inputs Yr 2'!$AM331,IF('Inputs Yr 2'!$AN331=BL$4,'Inputs Yr 2'!$AO331,0))))*(INDEX(avoidedcosttbl2,$H331,BL$2)+(($H331-ROUNDDOWN($H331,0))*(INDEX(avoidedcosttbl2,ROUNDUP($H331,0),BL$2)-(INDEX(avoidedcosttbl2,ROUNDDOWN($H331,0),BL$2)))))*'Inputs Yr 2'!P331*'Inputs Yr 2'!Q331*'Inputs Yr 2'!U331,"")</f>
        <v>294.73717527999582</v>
      </c>
      <c r="BM331" s="195">
        <f>IFERROR($G331*(IF('Inputs Yr 2'!$AJ331=BM$4,'Inputs Yr 2'!$AK331,IF('Inputs Yr 2'!$AL331=BM$4,'Inputs Yr 2'!$AM331,IF('Inputs Yr 2'!$AN331=BM$4,'Inputs Yr 2'!$AO331,0))))*(INDEX(avoidedcosttbl2,$H331,BM$2)+(($H331-ROUNDDOWN($H331,0))*(INDEX(avoidedcosttbl2,ROUNDUP($H331,0),BM$2)-(INDEX(avoidedcosttbl2,ROUNDDOWN($H331,0),BM$2)))))*'Inputs Yr 2'!P331*'Inputs Yr 2'!Q331*'Inputs Yr 2'!U331,"")</f>
        <v>0</v>
      </c>
      <c r="BN331" s="195">
        <f>IFERROR($G331*(IF('Inputs Yr 2'!$AJ331=BN$4,'Inputs Yr 2'!$AK331,IF('Inputs Yr 2'!$AL331=BN$4,'Inputs Yr 2'!$AM331,IF('Inputs Yr 2'!$AN331=BN$4,'Inputs Yr 2'!$AO331,0))))*(INDEX(avoidedcosttbl2,$H331,BN$2)+(($H331-ROUNDDOWN($H331,0))*(INDEX(avoidedcosttbl2,ROUNDUP($H331,0),BN$2)-(INDEX(avoidedcosttbl2,ROUNDDOWN($H331,0),BN$2)))))*'Inputs Yr 2'!P331*'Inputs Yr 2'!Q331*'Inputs Yr 2'!U331,"")</f>
        <v>0</v>
      </c>
      <c r="BO331" s="195">
        <f>IFERROR($G331*(IF('Inputs Yr 2'!$AJ331=BO$4,'Inputs Yr 2'!$AK331,IF('Inputs Yr 2'!$AL331=BO$4,'Inputs Yr 2'!$AM331,IF('Inputs Yr 2'!$AN331=BO$4,'Inputs Yr 2'!$AO331,0))))*(INDEX(avoidedcosttbl2,$H331,BO$2)+(($H331-ROUNDDOWN($H331,0))*(INDEX(avoidedcosttbl2,ROUNDUP($H331,0),BO$2)-(INDEX(avoidedcosttbl2,ROUNDDOWN($H331,0),BO$2)))))*'Inputs Yr 2'!P331*'Inputs Yr 2'!Q331*'Inputs Yr 2'!U331,"")</f>
        <v>0</v>
      </c>
      <c r="BP331" s="195">
        <f>IFERROR($G331*(IF('Inputs Yr 2'!$AJ331=BP$4,'Inputs Yr 2'!$AK331,IF('Inputs Yr 2'!$AL331=BP$4,'Inputs Yr 2'!$AM331,IF('Inputs Yr 2'!$AN331=BP$4,'Inputs Yr 2'!$AO331,0))))*(INDEX(avoidedcosttbl2,$H331,BP$2)+(($H331-ROUNDDOWN($H331,0))*(INDEX(avoidedcosttbl2,ROUNDUP($H331,0),BP$2)-(INDEX(avoidedcosttbl2,ROUNDDOWN($H331,0),BP$2)))))*'Inputs Yr 2'!P331*'Inputs Yr 2'!Q331*'Inputs Yr 2'!U331,"")</f>
        <v>0</v>
      </c>
      <c r="BQ331" s="230">
        <f t="shared" si="188"/>
        <v>294.73717527999582</v>
      </c>
      <c r="BR331" s="197">
        <f t="shared" si="172"/>
        <v>4.5602460997735763</v>
      </c>
      <c r="BS331" s="197">
        <f>IFERROR(($G331*IF('Inputs Yr 2'!$AJ331=BM$4,'Inputs Yr 2'!$AK331,IF('Inputs Yr 2'!$AL331=BM$4,'Inputs Yr 2'!$AM331,IF('Inputs Yr 2'!$AN331=BM$4,'Inputs Yr 2'!$AO331,0))))*(INDEX(avoidedcosttbl2,$H331,BS$2)+(($H331-ROUNDDOWN($H331,0))*(INDEX(avoidedcosttbl2,ROUNDUP($H331,0),BS$2)-(INDEX(avoidedcosttbl2,ROUNDDOWN($H331,0),BS$2)))))*'Inputs Yr 2'!P331*'Inputs Yr 2'!Q331*'Inputs Yr 2'!U331,"")</f>
        <v>0</v>
      </c>
      <c r="BT331" s="197">
        <f>IFERROR(($G331*IF('Inputs Yr 2'!$AJ331=BK$4,'Inputs Yr 2'!$AK331,IF('Inputs Yr 2'!$AL331=BK$4,'Inputs Yr 2'!$AM331,IF('Inputs Yr 2'!$AN331=BK$4,'Inputs Yr 2'!$AO331,0))))*(INDEX(avoidedcosttbl2,$H331,BT$2)+(($H331-ROUNDDOWN($H331,0))*(INDEX(avoidedcosttbl2,ROUNDUP($H331,0),BT$2)-(INDEX(avoidedcosttbl2,ROUNDDOWN($H331,0),BT$2)))))*'Inputs Yr 2'!P331*'Inputs Yr 2'!Q331*'Inputs Yr 2'!U331,"")</f>
        <v>0</v>
      </c>
      <c r="BU331" s="197">
        <f>IFERROR(($G331*IF('Inputs Yr 2'!$AJ331=BL$4,'Inputs Yr 2'!$AK331,IF('Inputs Yr 2'!$AL331=BL$4,'Inputs Yr 2'!$AM331,IF('Inputs Yr 2'!$AN331=BL$4,'Inputs Yr 2'!$AO331,0))))*(INDEX(avoidedcosttbl2,$H331,BU$2)+(($H331-ROUNDDOWN($H331,0))*(INDEX(avoidedcosttbl2,ROUNDUP($H331,0),BU$2)-(INDEX(avoidedcosttbl2,ROUNDDOWN($H331,0),BU$2)))))*'Inputs Yr 2'!P331*'Inputs Yr 2'!Q331*'Inputs Yr 2'!U331,"")</f>
        <v>13.842609420613403</v>
      </c>
      <c r="BV331" s="775">
        <f>IFERROR(($G331*IF('Inputs Yr 2'!$AJ331=BJ$4,'Inputs Yr 2'!$AK331,IF('Inputs Yr 2'!$AL331=BJ$4,'Inputs Yr 2'!$AM331,IF('Inputs Yr 2'!$AN331=BJ$4,'Inputs Yr 2'!$AO331,0))))*(INDEX(avoidedcosttbl2,$H331,BV$2)+(($H331-ROUNDDOWN($H331,0))*(INDEX(avoidedcosttbl2,ROUNDUP($H331,0),BV$2)-(INDEX(avoidedcosttbl2,ROUNDDOWN($H331,0),BV$2)))))*'Inputs Yr 2'!P331*'Inputs Yr 2'!Q331*'Inputs Yr 2'!U331,"")</f>
        <v>0</v>
      </c>
      <c r="BW331" s="197">
        <f>IFERROR(($G331*IF('Inputs Yr 2'!$AJ331=BN$4,'Inputs Yr 2'!$AK331,IF('Inputs Yr 2'!$AL331=BN$4,'Inputs Yr 2'!$AM331,IF('Inputs Yr 2'!$AN331=BN$4,'Inputs Yr 2'!$AO331,0))))*(INDEX(avoidedcosttbl2,$H331,BW$2)+(($H331-ROUNDDOWN($H331,0))*(INDEX(avoidedcosttbl2,ROUNDUP($H331,0),BW$2)-(INDEX(avoidedcosttbl2,ROUNDDOWN($H331,0),BW$2)))))*'Inputs Yr 2'!P331*'Inputs Yr 2'!Q331*'Inputs Yr 2'!U331,"")</f>
        <v>0</v>
      </c>
      <c r="BX331" s="197">
        <f>IFERROR(($G331*IF('Inputs Yr 2'!$AJ331=BO$4,'Inputs Yr 2'!$AK331,IF('Inputs Yr 2'!$AL331=BO$4,'Inputs Yr 2'!$AM331,IF('Inputs Yr 2'!$AN331=BO$4,'Inputs Yr 2'!$AO331,0))))*(INDEX(avoidedcosttbl2,$H331,BX$2)+(($H331-ROUNDDOWN($H331,0))*(INDEX(avoidedcosttbl2,ROUNDUP($H331,0),BX$2)-(INDEX(avoidedcosttbl2,ROUNDDOWN($H331,0),BX$2)))))*'Inputs Yr 2'!P331*'Inputs Yr 2'!Q331*'Inputs Yr 2'!U331,"")</f>
        <v>0</v>
      </c>
      <c r="BY331" s="197">
        <f>IFERROR(($G331*IF('Inputs Yr 2'!$AJ331=BP$4,'Inputs Yr 2'!$AK331,IF('Inputs Yr 2'!$AL331=BP$4,'Inputs Yr 2'!$AM331,IF('Inputs Yr 2'!$AN331=BP$4,'Inputs Yr 2'!$AO331,0))))*(INDEX(avoidedcosttbl2,$H331,BY$2)+(($H331-ROUNDDOWN($H331,0))*(INDEX(avoidedcosttbl2,ROUNDUP($H331,0),BY$2)-(INDEX(avoidedcosttbl2,ROUNDDOWN($H331,0),BY$2)))))*'Inputs Yr 2'!P331*'Inputs Yr 2'!Q331*'Inputs Yr 2'!U331,"")</f>
        <v>0</v>
      </c>
      <c r="BZ331" s="193">
        <f t="shared" si="189"/>
        <v>18.402855520386979</v>
      </c>
      <c r="CA331" s="193">
        <f t="shared" si="190"/>
        <v>313.14003080038282</v>
      </c>
      <c r="CB331" s="195">
        <f>IFERROR(G331*(IF('Inputs Yr 2'!$AJ331=CB$4,'Inputs Yr 2'!$AK331,IF('Inputs Yr 2'!$AL331=CB$4,'Inputs Yr 2'!$AM331,IF('Inputs Yr 2'!$AN331=CB$4,'Inputs Yr 2'!$AO331,0))))*(INDEX(avoidedcosttbl2,$H331,CB$2)+(($H331-ROUNDDOWN($H331,0))*(INDEX(avoidedcosttbl2,ROUNDUP($H331,0),CB$2)-(INDEX(avoidedcosttbl2,ROUNDDOWN($H331,0),CB$2)))))*'Inputs Yr 2'!P331*'Inputs Yr 2'!Q331*'Inputs Yr 2'!U331,"")</f>
        <v>0</v>
      </c>
      <c r="CC331" s="195">
        <f>IFERROR(H331*(IF('Inputs Yr 2'!$AJ331=CC$4,'Inputs Yr 2'!$AK331,IF('Inputs Yr 2'!$AL331=CC$4,'Inputs Yr 2'!$AM331,IF('Inputs Yr 2'!$AN331=CC$4,'Inputs Yr 2'!$AO331,0))))*(INDEX(avoidedcosttbl2,$H331,CC$2)+(($H331-ROUNDDOWN($H331,0))*(INDEX(avoidedcosttbl2,ROUNDUP($H331,0),CC$2)-(INDEX(avoidedcosttbl2,ROUNDDOWN($H331,0),CC$2)))))*'Inputs Yr 2'!Q331*'Inputs Yr 2'!R331*'Inputs Yr 2'!V331,"")</f>
        <v>0</v>
      </c>
      <c r="CD331" s="195">
        <f>IFERROR(I331*(IF('Inputs Yr 2'!$AJ331=CD$4,'Inputs Yr 2'!$AK331,IF('Inputs Yr 2'!$AL331=CD$4,'Inputs Yr 2'!$AM331,IF('Inputs Yr 2'!$AN331=CD$4,'Inputs Yr 2'!$AO331,0))))*(INDEX(avoidedcosttbl2,$H331,CD$2)+(($H331-ROUNDDOWN($H331,0))*(INDEX(avoidedcosttbl2,ROUNDUP($H331,0),CD$2)-(INDEX(avoidedcosttbl2,ROUNDDOWN($H331,0),CD$2)))))*'Inputs Yr 2'!R331*'Inputs Yr 2'!S331*'Inputs Yr 2'!W331,"")</f>
        <v>0</v>
      </c>
      <c r="CE331" s="213">
        <f t="shared" si="191"/>
        <v>0</v>
      </c>
      <c r="CF331" s="213">
        <f t="shared" si="192"/>
        <v>0</v>
      </c>
      <c r="CG331" s="213">
        <f t="shared" si="193"/>
        <v>0</v>
      </c>
      <c r="CH331" s="698">
        <f t="shared" si="194"/>
        <v>313.14003080038282</v>
      </c>
      <c r="CI331" s="79">
        <f>IFERROR(($G331*'Inputs Yr 2'!$P331*'Inputs Yr 2'!$Q331*(((INDEX(avoidedcosttbl2,$H331,CI$2)+(($H331-ROUNDDOWN($H331,0))*(INDEX(avoidedcosttbl2,ROUNDUP($H331,0),CI$2)-INDEX(avoidedcosttbl2,ROUNDDOWN($H331,0),CI$2))))*'Inputs Yr 2'!AS331))),"")</f>
        <v>4.403823977790795</v>
      </c>
      <c r="CJ331" s="504">
        <f>IFERROR($G331*'Inputs Yr 2'!AT331*'Inputs Yr 2'!$P331*'Inputs Yr 2'!$Q331/((1+realdiscrt1)^-0.5),"")</f>
        <v>0</v>
      </c>
      <c r="CK331" s="79">
        <f>IFERROR((O331*1000*(((INDEX(avoidedcosttbl2,$H331,CK$2)+(($H331-ROUNDDOWN($H331,0))*(INDEX(avoidedcosttbl2,ROUNDUP($H331,0),CK$2)-INDEX(avoidedcosttbl2,ROUNDDOWN($H331,0),CK$2))))*'Inputs Yr 2'!AU331))),"")</f>
        <v>0</v>
      </c>
      <c r="CL331" s="504">
        <f>IFERROR(O331*1000*'Inputs Yr 2'!AV331/((1+realdiscrt1)^-0.5),"")</f>
        <v>0</v>
      </c>
      <c r="CM331" s="79">
        <f>IFERROR((AB331*'Inputs Yr 2'!AW331*(((INDEX(avoidedcosttbl2,$H331,CM$2)+(($H331-ROUNDDOWN($H331,0))*(INDEX(avoidedcosttbl2,ROUNDUP($H331,0),CM$2)-INDEX(avoidedcosttbl2,ROUNDDOWN($H331,0),CM$2)))))))*10,"")</f>
        <v>0</v>
      </c>
      <c r="CN331" s="504">
        <f>IFERROR(10*AB331*'Inputs Yr 2'!AX331/((1+realdiscrt1)^-0.5),"")</f>
        <v>0</v>
      </c>
      <c r="CO331" s="505">
        <f t="shared" si="195"/>
        <v>4.403823977790795</v>
      </c>
      <c r="CP331" s="230">
        <f t="shared" si="196"/>
        <v>317.54385477817362</v>
      </c>
      <c r="CQ331" s="199">
        <f>ROUND(IFERROR(IF(LEFT($A331,1)="C",'Avoided Costs'!$K$13,'Avoided Costs'!$K$12)+1,""),4)</f>
        <v>1.0720000000000001</v>
      </c>
      <c r="CR331" s="199">
        <f>ROUND(IFERROR(IF(LEFT($A331,1)="C",'Avoided Costs'!$L$13,'Avoided Costs'!$L$12)+1,""),4)</f>
        <v>1.04</v>
      </c>
      <c r="CS331" s="199">
        <f>ROUND(IFERROR(IF(LEFT($A331,1)="C",'Avoided Costs'!$M$13,'Avoided Costs'!$M$12)+1,""),4)</f>
        <v>1.0720000000000001</v>
      </c>
      <c r="CT331" s="199">
        <f>ROUND(IFERROR(IF(LEFT($A331,1)="C",'Avoided Costs'!$N$13,'Avoided Costs'!$N$12)+1,""),4)</f>
        <v>1.04</v>
      </c>
      <c r="CU331" s="199">
        <f>ROUND(IFERROR(IF(LEFT($A331,1)="C",'Avoided Costs'!$O$13,'Avoided Costs'!$O$12)+1,""),4)</f>
        <v>1.1120000000000001</v>
      </c>
      <c r="CV331" s="199">
        <f>ROUND(IFERROR(IF(LEFT($A331,1)="C",'Avoided Costs'!$P$13,'Avoided Costs'!$P$12)+1,""),4)</f>
        <v>1.095</v>
      </c>
      <c r="CW331" s="199">
        <f>ROUND(IFERROR(IF(LEFT($A331,1)="C",'Avoided Costs'!$Q$13,'Avoided Costs'!$Q$12)+1,""),4)</f>
        <v>1.1120000000000001</v>
      </c>
      <c r="CX331" s="200">
        <f>ROUND(IFERROR(IF(LEFT($A331,1)="C",'Avoided Costs'!$R$13,'Avoided Costs'!$R$12)+1,""),4)</f>
        <v>1.1120000000000001</v>
      </c>
    </row>
    <row r="332" spans="1:102" ht="12.75" customHeight="1">
      <c r="A332" s="91" t="str">
        <f>IF('Inputs Yr 2'!$B332=0,"",'Inputs Yr 2'!A332)</f>
        <v>C - Commercial &amp; Industrial</v>
      </c>
      <c r="B332" s="91" t="str">
        <f>IF('Inputs Yr 2'!$B332=0,"",'Inputs Yr 2'!B332)</f>
        <v>C2 - C&amp;I Retrofit</v>
      </c>
      <c r="C332" s="91" t="str">
        <f>IF('Inputs Yr 2'!$B332=0,"",'Inputs Yr 2'!C332)</f>
        <v xml:space="preserve">C2c - C&amp;I Multifamily Retrofit </v>
      </c>
      <c r="D332" s="91" t="str">
        <f>IF('Inputs Yr 2'!$B332=0,"",'Inputs Yr 2'!E332)</f>
        <v>Pipe Wrap (Water Heating)</v>
      </c>
      <c r="E332" s="93" t="str">
        <f>IF('Inputs Yr 2'!$B332=0,"",'Inputs Yr 2'!F332)</f>
        <v>G16C2c07</v>
      </c>
      <c r="F332" s="93" t="str">
        <f>IF('Inputs Yr 2'!$B332=0,"",'Inputs Yr 2'!G332)</f>
        <v>Hot Water</v>
      </c>
      <c r="G332" s="95">
        <f>IF('Inputs Yr 2'!$H332&lt;&gt;0,('Inputs Yr 2'!H332),"")</f>
        <v>3</v>
      </c>
      <c r="H332" s="94">
        <f>IFERROR('Inputs Yr 2'!I332,"")</f>
        <v>15</v>
      </c>
      <c r="I332" s="298">
        <f>IFERROR('Inputs Yr 2'!J332*'Inputs Yr 2'!P332*G332,"")</f>
        <v>45</v>
      </c>
      <c r="J332" s="298">
        <f>IFERROR('Inputs Yr 2'!K332*G332,"")</f>
        <v>45</v>
      </c>
      <c r="K332" s="298">
        <f t="shared" si="173"/>
        <v>0</v>
      </c>
      <c r="L332" s="194">
        <f>IFERROR(('Inputs Yr 2'!W332*G332)/1000,"")</f>
        <v>0</v>
      </c>
      <c r="M332" s="194">
        <f>IFERROR(L332*('Inputs Yr 2'!$Q332*'Inputs Yr 2'!$V332*'Inputs Yr 2'!$R332),"")</f>
        <v>0</v>
      </c>
      <c r="N332" s="194">
        <f t="shared" si="174"/>
        <v>0</v>
      </c>
      <c r="O332" s="194">
        <f>IFERROR(M332*'Inputs Yr 2'!P332,"")</f>
        <v>0</v>
      </c>
      <c r="P332" s="194">
        <f t="shared" si="175"/>
        <v>0</v>
      </c>
      <c r="Q332" s="194">
        <f>IFERROR($P332*'Inputs Yr 2'!AA332,"")</f>
        <v>0</v>
      </c>
      <c r="R332" s="194">
        <f>IFERROR($P332*'Inputs Yr 2'!AB332,"")</f>
        <v>0</v>
      </c>
      <c r="S332" s="194">
        <f>IFERROR($P332*'Inputs Yr 2'!AC332,"")</f>
        <v>0</v>
      </c>
      <c r="T332" s="194">
        <f>IFERROR($P332*'Inputs Yr 2'!AD332,"")</f>
        <v>0</v>
      </c>
      <c r="U332" s="194">
        <f>IFERROR(G332*'Inputs Yr 2'!$AE332*'Inputs Yr 2'!$P332*'Inputs Yr 2'!$Q332,"")</f>
        <v>0</v>
      </c>
      <c r="V332" s="194">
        <f>IFERROR($G332*'Inputs Yr 2'!$AE332*'Inputs Yr 2'!$AG332*'Inputs Yr 2'!Q332*'Inputs Yr 2'!$S332,"")</f>
        <v>0</v>
      </c>
      <c r="W332" s="194">
        <f>IFERROR($G332*'Inputs Yr 2'!$AE332*'Inputs Yr 2'!$AG332*'Inputs Yr 2'!P332*'Inputs Yr 2'!Q332*'Inputs Yr 2'!$S332,"")</f>
        <v>0</v>
      </c>
      <c r="X332" s="194">
        <f>IFERROR($G332*'Inputs Yr 2'!$AE332*'Inputs Yr 2'!$AF332*'Inputs Yr 2'!Q332*'Inputs Yr 2'!$T332,"")</f>
        <v>0</v>
      </c>
      <c r="Y332" s="194">
        <f>IFERROR($G332*'Inputs Yr 2'!$AE332*'Inputs Yr 2'!$AF332*'Inputs Yr 2'!P332*'Inputs Yr 2'!Q332*'Inputs Yr 2'!$T332,"")</f>
        <v>0</v>
      </c>
      <c r="Z332" s="257">
        <f>IFERROR($G332*'Inputs Yr 2'!$Q332*'Inputs Yr 2'!$U332*(IF(IFERROR(SEARCH("NG", 'Inputs Yr 2'!$AJ332),0),'Inputs Yr 2'!$AK332,0)+IF(IFERROR(SEARCH("NG", 'Inputs Yr 2'!$AL332),0),'Inputs Yr 2'!$AM332,0)+IF(IFERROR(SEARCH("NG", 'Inputs Yr 2'!$AN332),0),'Inputs Yr 2'!$AO332,0)),0)</f>
        <v>2.9480400000000002</v>
      </c>
      <c r="AA332" s="257">
        <f t="shared" si="176"/>
        <v>44.220600000000005</v>
      </c>
      <c r="AB332" s="257">
        <f>IFERROR(Z332*'Inputs Yr 2'!$P332,0)</f>
        <v>2.9480400000000002</v>
      </c>
      <c r="AC332" s="257">
        <f t="shared" si="177"/>
        <v>44.220600000000005</v>
      </c>
      <c r="AD332" s="257">
        <f>IFERROR($G332*'Inputs Yr 2'!$Q332*'Inputs Yr 2'!$U332*(IF(IFERROR(SEARCH("Oil", 'Inputs Yr 2'!$AJ332), 0),'Inputs Yr 2'!$AK332,0)+IF(IFERROR(SEARCH("Oil", 'Inputs Yr 2'!$AL332), 0),'Inputs Yr 2'!$AM332,0)+IF(IFERROR(SEARCH("Oil", 'Inputs Yr 2'!$AN332), 0),'Inputs Yr 2'!$AO332,0)),0)</f>
        <v>0</v>
      </c>
      <c r="AE332" s="257">
        <f t="shared" si="178"/>
        <v>0</v>
      </c>
      <c r="AF332" s="257">
        <f>IFERROR(AD332*'Inputs Yr 2'!$P332,0)</f>
        <v>0</v>
      </c>
      <c r="AG332" s="257">
        <f t="shared" si="179"/>
        <v>0</v>
      </c>
      <c r="AH332" s="257">
        <f>IFERROR($G332*'Inputs Yr 2'!$Q332*'Inputs Yr 2'!$U332*(IF('Inputs Yr 2'!$AJ332=CD$4,'Inputs Yr 2'!$AK332,IF('Inputs Yr 2'!$AL332=CD$4,'Inputs Yr 2'!$AM332,IF('Inputs Yr 2'!$AN332=CD$4,'Inputs Yr 2'!$AO332,0)))),0)</f>
        <v>0</v>
      </c>
      <c r="AI332" s="257">
        <f t="shared" si="180"/>
        <v>0</v>
      </c>
      <c r="AJ332" s="257">
        <f>IFERROR(AH332*'Inputs Yr 2'!$P332,0)</f>
        <v>0</v>
      </c>
      <c r="AK332" s="257">
        <f t="shared" si="181"/>
        <v>0</v>
      </c>
      <c r="AL332" s="258">
        <f>IFERROR($G332*'Inputs Yr 2'!$P332*'Inputs Yr 2'!$Q332*'Inputs Yr 2'!AP332,0)</f>
        <v>0</v>
      </c>
      <c r="AM332" s="260">
        <f>IFERROR($G332*'Inputs Yr 2'!$P332*'Inputs Yr 2'!$Q332*'Inputs Yr 2'!AQ332,0)</f>
        <v>0</v>
      </c>
      <c r="AN332" s="258">
        <f>IFERROR($G332*'Inputs Yr 2'!$P332*'Inputs Yr 2'!$Q332*'Inputs Yr 2'!AR332,0)</f>
        <v>0</v>
      </c>
      <c r="AO332" s="257">
        <f t="shared" si="182"/>
        <v>0</v>
      </c>
      <c r="AP332" s="195">
        <f>IFERROR($CQ332*(INDEX(avoidedcosttbl2,$H332,AP$2)+(($H332-ROUNDDOWN($H332,0))*(INDEX(avoidedcosttbl2,ROUNDUP($H332,0),AP$2)-(INDEX(avoidedcosttbl2,ROUNDDOWN($H332,0),AP$2)))))*$O332*1000*'Inputs Yr 2'!AA332,"")</f>
        <v>0</v>
      </c>
      <c r="AQ332" s="195">
        <f>IFERROR($CR332*(INDEX(avoidedcosttbl2,$H332,AQ$2)+(($H332-ROUNDDOWN($H332,0))*(INDEX(avoidedcosttbl2,ROUNDUP($H332,0),AQ$2)-(INDEX(avoidedcosttbl2,ROUNDDOWN($H332,0),AQ$2)))))*$O332*1000*'Inputs Yr 2'!AB332,"")</f>
        <v>0</v>
      </c>
      <c r="AR332" s="195">
        <f>IFERROR($CS332*(INDEX(avoidedcosttbl2,$H332,AR$2)+(($H332-ROUNDDOWN($H332,0))*(INDEX(avoidedcosttbl2,ROUNDUP($H332,0),AR$2)-(INDEX(avoidedcosttbl2,ROUNDDOWN($H332,0),AR$2)))))*$O332*1000*'Inputs Yr 2'!AC332,"")</f>
        <v>0</v>
      </c>
      <c r="AS332" s="195">
        <f>IFERROR($CT332*(INDEX(avoidedcosttbl2,$H332,AS$2)+(($H332-ROUNDDOWN($H332,0))*(INDEX(avoidedcosttbl2,ROUNDUP($H332,0),AS$2)-(INDEX(avoidedcosttbl2,ROUNDDOWN($H332,0),AS$2)))))*$O332*1000*'Inputs Yr 2'!AD332,"")</f>
        <v>0</v>
      </c>
      <c r="AT332" s="196">
        <f t="shared" si="183"/>
        <v>0</v>
      </c>
      <c r="AU332" s="197">
        <f>IFERROR($CQ332*((INDEX(avoidedcosttbl2,$H332,AU$2))+(($H332-ROUNDDOWN($H332,0))*((INDEX(avoidedcosttbl2,ROUNDUP($H332,0),AU$2))-(INDEX(avoidedcosttbl2,ROUNDDOWN($H332,0),AU$2)))))*$O332*1000*'Inputs Yr 2'!AA332,"")</f>
        <v>0</v>
      </c>
      <c r="AV332" s="197">
        <f>IFERROR($CR332*((INDEX(avoidedcosttbl2,$H332,AV$2))+(($H332-ROUNDDOWN($H332,0))*((INDEX(avoidedcosttbl2,ROUNDUP($H332,0),AV$2))-(INDEX(avoidedcosttbl2,ROUNDDOWN($H332,0),AV$2)))))*$O332*1000*'Inputs Yr 2'!AB332,"")</f>
        <v>0</v>
      </c>
      <c r="AW332" s="197">
        <f>IFERROR($CS332*((INDEX(avoidedcosttbl2,$H332,AW$2))+(($H332-ROUNDDOWN($H332,0))*((INDEX(avoidedcosttbl2,ROUNDUP($H332,0),AW$2))-(INDEX(avoidedcosttbl2,ROUNDDOWN($H332,0),AW$2)))))*$O332*1000*'Inputs Yr 2'!AC332,"")</f>
        <v>0</v>
      </c>
      <c r="AX332" s="197">
        <f>IFERROR($CT332*((INDEX(avoidedcosttbl2,$H332,AX$2))+(($H332-ROUNDDOWN($H332,0))*((INDEX(avoidedcosttbl2,ROUNDUP($H332,0),AX$2))-(INDEX(avoidedcosttbl2,ROUNDDOWN($H332,0),AX$2)))))*$O332*1000*'Inputs Yr 2'!AD332,"")</f>
        <v>0</v>
      </c>
      <c r="AY332" s="197">
        <f>IFERROR(((INDEX(avoidedcosttbl2,$H332,AY$2))+(($H332-ROUNDDOWN($H332,0))*((INDEX(avoidedcosttbl2,ROUNDUP($H332,0),AY$2))-(INDEX(avoidedcosttbl2,ROUNDDOWN($H332,0),AY$2)))))*$O332*1000*('Inputs Yr 2'!AC332+'Inputs Yr 2'!AD332),"")</f>
        <v>0</v>
      </c>
      <c r="AZ332" s="197">
        <f>IFERROR(((INDEX(avoidedcosttbl2,$H332,AZ$2))+(($H332-ROUNDDOWN($H332,0))*((INDEX(avoidedcosttbl2,ROUNDUP($H332,0),AZ$2))-(INDEX(avoidedcosttbl2,ROUNDDOWN($H332,0),AZ$2)))))*$O332*1000*('Inputs Yr 2'!AA332+'Inputs Yr 2'!AB332),"")</f>
        <v>0</v>
      </c>
      <c r="BA332" s="198">
        <f t="shared" si="184"/>
        <v>0</v>
      </c>
      <c r="BB332" s="198">
        <f t="shared" si="185"/>
        <v>0</v>
      </c>
      <c r="BC332" s="195">
        <f t="shared" si="167"/>
        <v>0</v>
      </c>
      <c r="BD332" s="195">
        <f t="shared" si="168"/>
        <v>0</v>
      </c>
      <c r="BE332" s="195">
        <f t="shared" si="169"/>
        <v>0</v>
      </c>
      <c r="BF332" s="195">
        <f t="shared" si="170"/>
        <v>0</v>
      </c>
      <c r="BG332" s="195">
        <f t="shared" si="171"/>
        <v>0</v>
      </c>
      <c r="BH332" s="196">
        <f t="shared" si="186"/>
        <v>0</v>
      </c>
      <c r="BI332" s="196">
        <f t="shared" si="187"/>
        <v>0</v>
      </c>
      <c r="BJ332" s="195">
        <f>IFERROR($G332*(IF('Inputs Yr 2'!$AJ332=BJ$4,'Inputs Yr 2'!$AK332,IF('Inputs Yr 2'!$AL332=BJ$4,'Inputs Yr 2'!$AM332,IF('Inputs Yr 2'!$AN332=BJ$4,'Inputs Yr 2'!$AO332,0))))*(INDEX(avoidedcosttbl2,$H332,BJ$2)+(($H332-ROUNDDOWN($H332,0))*(INDEX(avoidedcosttbl2,ROUNDUP($H332,0),BJ$2)-(INDEX(avoidedcosttbl2,ROUNDDOWN($H332,0),BJ$2)))))*'Inputs Yr 2'!P332*'Inputs Yr 2'!Q332*'Inputs Yr 2'!U332,"")</f>
        <v>0</v>
      </c>
      <c r="BK332" s="195">
        <f>IFERROR($G332*(IF('Inputs Yr 2'!$AJ332=BK$4,'Inputs Yr 2'!$AK332,IF('Inputs Yr 2'!$AL332=BK$4,'Inputs Yr 2'!$AM332,IF('Inputs Yr 2'!$AN332=BK$4,'Inputs Yr 2'!$AO332,0))))*(INDEX(avoidedcosttbl2,$H332,BK$2)+(($H332-ROUNDDOWN($H332,0))*(INDEX(avoidedcosttbl2,ROUNDUP($H332,0),BK$2)-(INDEX(avoidedcosttbl2,ROUNDDOWN($H332,0),BK$2)))))*'Inputs Yr 2'!P332*'Inputs Yr 2'!Q332*'Inputs Yr 2'!U332,"")</f>
        <v>354.34522265681113</v>
      </c>
      <c r="BL332" s="195">
        <f>IFERROR($G332*(IF('Inputs Yr 2'!$AJ332=BL$4,'Inputs Yr 2'!$AK332,IF('Inputs Yr 2'!$AL332=BL$4,'Inputs Yr 2'!$AM332,IF('Inputs Yr 2'!$AN332=BL$4,'Inputs Yr 2'!$AO332,0))))*(INDEX(avoidedcosttbl2,$H332,BL$2)+(($H332-ROUNDDOWN($H332,0))*(INDEX(avoidedcosttbl2,ROUNDUP($H332,0),BL$2)-(INDEX(avoidedcosttbl2,ROUNDDOWN($H332,0),BL$2)))))*'Inputs Yr 2'!P332*'Inputs Yr 2'!Q332*'Inputs Yr 2'!U332,"")</f>
        <v>0</v>
      </c>
      <c r="BM332" s="195">
        <f>IFERROR($G332*(IF('Inputs Yr 2'!$AJ332=BM$4,'Inputs Yr 2'!$AK332,IF('Inputs Yr 2'!$AL332=BM$4,'Inputs Yr 2'!$AM332,IF('Inputs Yr 2'!$AN332=BM$4,'Inputs Yr 2'!$AO332,0))))*(INDEX(avoidedcosttbl2,$H332,BM$2)+(($H332-ROUNDDOWN($H332,0))*(INDEX(avoidedcosttbl2,ROUNDUP($H332,0),BM$2)-(INDEX(avoidedcosttbl2,ROUNDDOWN($H332,0),BM$2)))))*'Inputs Yr 2'!P332*'Inputs Yr 2'!Q332*'Inputs Yr 2'!U332,"")</f>
        <v>0</v>
      </c>
      <c r="BN332" s="195">
        <f>IFERROR($G332*(IF('Inputs Yr 2'!$AJ332=BN$4,'Inputs Yr 2'!$AK332,IF('Inputs Yr 2'!$AL332=BN$4,'Inputs Yr 2'!$AM332,IF('Inputs Yr 2'!$AN332=BN$4,'Inputs Yr 2'!$AO332,0))))*(INDEX(avoidedcosttbl2,$H332,BN$2)+(($H332-ROUNDDOWN($H332,0))*(INDEX(avoidedcosttbl2,ROUNDUP($H332,0),BN$2)-(INDEX(avoidedcosttbl2,ROUNDDOWN($H332,0),BN$2)))))*'Inputs Yr 2'!P332*'Inputs Yr 2'!Q332*'Inputs Yr 2'!U332,"")</f>
        <v>0</v>
      </c>
      <c r="BO332" s="195">
        <f>IFERROR($G332*(IF('Inputs Yr 2'!$AJ332=BO$4,'Inputs Yr 2'!$AK332,IF('Inputs Yr 2'!$AL332=BO$4,'Inputs Yr 2'!$AM332,IF('Inputs Yr 2'!$AN332=BO$4,'Inputs Yr 2'!$AO332,0))))*(INDEX(avoidedcosttbl2,$H332,BO$2)+(($H332-ROUNDDOWN($H332,0))*(INDEX(avoidedcosttbl2,ROUNDUP($H332,0),BO$2)-(INDEX(avoidedcosttbl2,ROUNDDOWN($H332,0),BO$2)))))*'Inputs Yr 2'!P332*'Inputs Yr 2'!Q332*'Inputs Yr 2'!U332,"")</f>
        <v>0</v>
      </c>
      <c r="BP332" s="195">
        <f>IFERROR($G332*(IF('Inputs Yr 2'!$AJ332=BP$4,'Inputs Yr 2'!$AK332,IF('Inputs Yr 2'!$AL332=BP$4,'Inputs Yr 2'!$AM332,IF('Inputs Yr 2'!$AN332=BP$4,'Inputs Yr 2'!$AO332,0))))*(INDEX(avoidedcosttbl2,$H332,BP$2)+(($H332-ROUNDDOWN($H332,0))*(INDEX(avoidedcosttbl2,ROUNDUP($H332,0),BP$2)-(INDEX(avoidedcosttbl2,ROUNDDOWN($H332,0),BP$2)))))*'Inputs Yr 2'!P332*'Inputs Yr 2'!Q332*'Inputs Yr 2'!U332,"")</f>
        <v>0</v>
      </c>
      <c r="BQ332" s="230">
        <f t="shared" si="188"/>
        <v>354.34522265681113</v>
      </c>
      <c r="BR332" s="197">
        <f t="shared" si="172"/>
        <v>5.9937443567591933</v>
      </c>
      <c r="BS332" s="197">
        <f>IFERROR(($G332*IF('Inputs Yr 2'!$AJ332=BM$4,'Inputs Yr 2'!$AK332,IF('Inputs Yr 2'!$AL332=BM$4,'Inputs Yr 2'!$AM332,IF('Inputs Yr 2'!$AN332=BM$4,'Inputs Yr 2'!$AO332,0))))*(INDEX(avoidedcosttbl2,$H332,BS$2)+(($H332-ROUNDDOWN($H332,0))*(INDEX(avoidedcosttbl2,ROUNDUP($H332,0),BS$2)-(INDEX(avoidedcosttbl2,ROUNDDOWN($H332,0),BS$2)))))*'Inputs Yr 2'!P332*'Inputs Yr 2'!Q332*'Inputs Yr 2'!U332,"")</f>
        <v>0</v>
      </c>
      <c r="BT332" s="197">
        <f>IFERROR(($G332*IF('Inputs Yr 2'!$AJ332=BK$4,'Inputs Yr 2'!$AK332,IF('Inputs Yr 2'!$AL332=BK$4,'Inputs Yr 2'!$AM332,IF('Inputs Yr 2'!$AN332=BK$4,'Inputs Yr 2'!$AO332,0))))*(INDEX(avoidedcosttbl2,$H332,BT$2)+(($H332-ROUNDDOWN($H332,0))*(INDEX(avoidedcosttbl2,ROUNDUP($H332,0),BT$2)-(INDEX(avoidedcosttbl2,ROUNDDOWN($H332,0),BT$2)))))*'Inputs Yr 2'!P332*'Inputs Yr 2'!Q332*'Inputs Yr 2'!U332,"")</f>
        <v>24.347050552026666</v>
      </c>
      <c r="BU332" s="197">
        <f>IFERROR(($G332*IF('Inputs Yr 2'!$AJ332=BL$4,'Inputs Yr 2'!$AK332,IF('Inputs Yr 2'!$AL332=BL$4,'Inputs Yr 2'!$AM332,IF('Inputs Yr 2'!$AN332=BL$4,'Inputs Yr 2'!$AO332,0))))*(INDEX(avoidedcosttbl2,$H332,BU$2)+(($H332-ROUNDDOWN($H332,0))*(INDEX(avoidedcosttbl2,ROUNDUP($H332,0),BU$2)-(INDEX(avoidedcosttbl2,ROUNDDOWN($H332,0),BU$2)))))*'Inputs Yr 2'!P332*'Inputs Yr 2'!Q332*'Inputs Yr 2'!U332,"")</f>
        <v>0</v>
      </c>
      <c r="BV332" s="775">
        <f>IFERROR(($G332*IF('Inputs Yr 2'!$AJ332=BJ$4,'Inputs Yr 2'!$AK332,IF('Inputs Yr 2'!$AL332=BJ$4,'Inputs Yr 2'!$AM332,IF('Inputs Yr 2'!$AN332=BJ$4,'Inputs Yr 2'!$AO332,0))))*(INDEX(avoidedcosttbl2,$H332,BV$2)+(($H332-ROUNDDOWN($H332,0))*(INDEX(avoidedcosttbl2,ROUNDUP($H332,0),BV$2)-(INDEX(avoidedcosttbl2,ROUNDDOWN($H332,0),BV$2)))))*'Inputs Yr 2'!P332*'Inputs Yr 2'!Q332*'Inputs Yr 2'!U332,"")</f>
        <v>0</v>
      </c>
      <c r="BW332" s="197">
        <f>IFERROR(($G332*IF('Inputs Yr 2'!$AJ332=BN$4,'Inputs Yr 2'!$AK332,IF('Inputs Yr 2'!$AL332=BN$4,'Inputs Yr 2'!$AM332,IF('Inputs Yr 2'!$AN332=BN$4,'Inputs Yr 2'!$AO332,0))))*(INDEX(avoidedcosttbl2,$H332,BW$2)+(($H332-ROUNDDOWN($H332,0))*(INDEX(avoidedcosttbl2,ROUNDUP($H332,0),BW$2)-(INDEX(avoidedcosttbl2,ROUNDDOWN($H332,0),BW$2)))))*'Inputs Yr 2'!P332*'Inputs Yr 2'!Q332*'Inputs Yr 2'!U332,"")</f>
        <v>0</v>
      </c>
      <c r="BX332" s="197">
        <f>IFERROR(($G332*IF('Inputs Yr 2'!$AJ332=BO$4,'Inputs Yr 2'!$AK332,IF('Inputs Yr 2'!$AL332=BO$4,'Inputs Yr 2'!$AM332,IF('Inputs Yr 2'!$AN332=BO$4,'Inputs Yr 2'!$AO332,0))))*(INDEX(avoidedcosttbl2,$H332,BX$2)+(($H332-ROUNDDOWN($H332,0))*(INDEX(avoidedcosttbl2,ROUNDUP($H332,0),BX$2)-(INDEX(avoidedcosttbl2,ROUNDDOWN($H332,0),BX$2)))))*'Inputs Yr 2'!P332*'Inputs Yr 2'!Q332*'Inputs Yr 2'!U332,"")</f>
        <v>0</v>
      </c>
      <c r="BY332" s="197">
        <f>IFERROR(($G332*IF('Inputs Yr 2'!$AJ332=BP$4,'Inputs Yr 2'!$AK332,IF('Inputs Yr 2'!$AL332=BP$4,'Inputs Yr 2'!$AM332,IF('Inputs Yr 2'!$AN332=BP$4,'Inputs Yr 2'!$AO332,0))))*(INDEX(avoidedcosttbl2,$H332,BY$2)+(($H332-ROUNDDOWN($H332,0))*(INDEX(avoidedcosttbl2,ROUNDUP($H332,0),BY$2)-(INDEX(avoidedcosttbl2,ROUNDDOWN($H332,0),BY$2)))))*'Inputs Yr 2'!P332*'Inputs Yr 2'!Q332*'Inputs Yr 2'!U332,"")</f>
        <v>0</v>
      </c>
      <c r="BZ332" s="193">
        <f t="shared" si="189"/>
        <v>30.34079490878586</v>
      </c>
      <c r="CA332" s="193">
        <f t="shared" si="190"/>
        <v>384.68601756559701</v>
      </c>
      <c r="CB332" s="195">
        <f>IFERROR(G332*(IF('Inputs Yr 2'!$AJ332=CB$4,'Inputs Yr 2'!$AK332,IF('Inputs Yr 2'!$AL332=CB$4,'Inputs Yr 2'!$AM332,IF('Inputs Yr 2'!$AN332=CB$4,'Inputs Yr 2'!$AO332,0))))*(INDEX(avoidedcosttbl2,$H332,CB$2)+(($H332-ROUNDDOWN($H332,0))*(INDEX(avoidedcosttbl2,ROUNDUP($H332,0),CB$2)-(INDEX(avoidedcosttbl2,ROUNDDOWN($H332,0),CB$2)))))*'Inputs Yr 2'!P332*'Inputs Yr 2'!Q332*'Inputs Yr 2'!U332,"")</f>
        <v>0</v>
      </c>
      <c r="CC332" s="195">
        <f>IFERROR(H332*(IF('Inputs Yr 2'!$AJ332=CC$4,'Inputs Yr 2'!$AK332,IF('Inputs Yr 2'!$AL332=CC$4,'Inputs Yr 2'!$AM332,IF('Inputs Yr 2'!$AN332=CC$4,'Inputs Yr 2'!$AO332,0))))*(INDEX(avoidedcosttbl2,$H332,CC$2)+(($H332-ROUNDDOWN($H332,0))*(INDEX(avoidedcosttbl2,ROUNDUP($H332,0),CC$2)-(INDEX(avoidedcosttbl2,ROUNDDOWN($H332,0),CC$2)))))*'Inputs Yr 2'!Q332*'Inputs Yr 2'!R332*'Inputs Yr 2'!V332,"")</f>
        <v>0</v>
      </c>
      <c r="CD332" s="195">
        <f>IFERROR(I332*(IF('Inputs Yr 2'!$AJ332=CD$4,'Inputs Yr 2'!$AK332,IF('Inputs Yr 2'!$AL332=CD$4,'Inputs Yr 2'!$AM332,IF('Inputs Yr 2'!$AN332=CD$4,'Inputs Yr 2'!$AO332,0))))*(INDEX(avoidedcosttbl2,$H332,CD$2)+(($H332-ROUNDDOWN($H332,0))*(INDEX(avoidedcosttbl2,ROUNDUP($H332,0),CD$2)-(INDEX(avoidedcosttbl2,ROUNDDOWN($H332,0),CD$2)))))*'Inputs Yr 2'!R332*'Inputs Yr 2'!S332*'Inputs Yr 2'!W332,"")</f>
        <v>0</v>
      </c>
      <c r="CE332" s="213">
        <f t="shared" si="191"/>
        <v>0</v>
      </c>
      <c r="CF332" s="213">
        <f t="shared" si="192"/>
        <v>0</v>
      </c>
      <c r="CG332" s="213">
        <f t="shared" si="193"/>
        <v>0</v>
      </c>
      <c r="CH332" s="698">
        <f t="shared" si="194"/>
        <v>384.68601756559701</v>
      </c>
      <c r="CI332" s="79">
        <f>IFERROR(($G332*'Inputs Yr 2'!$P332*'Inputs Yr 2'!$Q332*(((INDEX(avoidedcosttbl2,$H332,CI$2)+(($H332-ROUNDDOWN($H332,0))*(INDEX(avoidedcosttbl2,ROUNDUP($H332,0),CI$2)-INDEX(avoidedcosttbl2,ROUNDDOWN($H332,0),CI$2))))*'Inputs Yr 2'!AS332))),"")</f>
        <v>0</v>
      </c>
      <c r="CJ332" s="504">
        <f>IFERROR($G332*'Inputs Yr 2'!AT332*'Inputs Yr 2'!$P332*'Inputs Yr 2'!$Q332/((1+realdiscrt1)^-0.5),"")</f>
        <v>0</v>
      </c>
      <c r="CK332" s="79">
        <f>IFERROR((O332*1000*(((INDEX(avoidedcosttbl2,$H332,CK$2)+(($H332-ROUNDDOWN($H332,0))*(INDEX(avoidedcosttbl2,ROUNDUP($H332,0),CK$2)-INDEX(avoidedcosttbl2,ROUNDDOWN($H332,0),CK$2))))*'Inputs Yr 2'!AU332))),"")</f>
        <v>0</v>
      </c>
      <c r="CL332" s="504">
        <f>IFERROR(O332*1000*'Inputs Yr 2'!AV332/((1+realdiscrt1)^-0.5),"")</f>
        <v>0</v>
      </c>
      <c r="CM332" s="79">
        <f>IFERROR((AB332*'Inputs Yr 2'!AW332*(((INDEX(avoidedcosttbl2,$H332,CM$2)+(($H332-ROUNDDOWN($H332,0))*(INDEX(avoidedcosttbl2,ROUNDUP($H332,0),CM$2)-INDEX(avoidedcosttbl2,ROUNDDOWN($H332,0),CM$2)))))))*10,"")</f>
        <v>0</v>
      </c>
      <c r="CN332" s="504">
        <f>IFERROR(10*AB332*'Inputs Yr 2'!AX332/((1+realdiscrt1)^-0.5),"")</f>
        <v>0</v>
      </c>
      <c r="CO332" s="505">
        <f t="shared" si="195"/>
        <v>0</v>
      </c>
      <c r="CP332" s="230">
        <f t="shared" si="196"/>
        <v>384.68601756559701</v>
      </c>
      <c r="CQ332" s="199">
        <f>ROUND(IFERROR(IF(LEFT($A332,1)="C",'Avoided Costs'!$K$13,'Avoided Costs'!$K$12)+1,""),4)</f>
        <v>1.0720000000000001</v>
      </c>
      <c r="CR332" s="199">
        <f>ROUND(IFERROR(IF(LEFT($A332,1)="C",'Avoided Costs'!$L$13,'Avoided Costs'!$L$12)+1,""),4)</f>
        <v>1.04</v>
      </c>
      <c r="CS332" s="199">
        <f>ROUND(IFERROR(IF(LEFT($A332,1)="C",'Avoided Costs'!$M$13,'Avoided Costs'!$M$12)+1,""),4)</f>
        <v>1.0720000000000001</v>
      </c>
      <c r="CT332" s="199">
        <f>ROUND(IFERROR(IF(LEFT($A332,1)="C",'Avoided Costs'!$N$13,'Avoided Costs'!$N$12)+1,""),4)</f>
        <v>1.04</v>
      </c>
      <c r="CU332" s="199">
        <f>ROUND(IFERROR(IF(LEFT($A332,1)="C",'Avoided Costs'!$O$13,'Avoided Costs'!$O$12)+1,""),4)</f>
        <v>1.1120000000000001</v>
      </c>
      <c r="CV332" s="199">
        <f>ROUND(IFERROR(IF(LEFT($A332,1)="C",'Avoided Costs'!$P$13,'Avoided Costs'!$P$12)+1,""),4)</f>
        <v>1.095</v>
      </c>
      <c r="CW332" s="199">
        <f>ROUND(IFERROR(IF(LEFT($A332,1)="C",'Avoided Costs'!$Q$13,'Avoided Costs'!$Q$12)+1,""),4)</f>
        <v>1.1120000000000001</v>
      </c>
      <c r="CX332" s="200">
        <f>ROUND(IFERROR(IF(LEFT($A332,1)="C",'Avoided Costs'!$R$13,'Avoided Costs'!$R$12)+1,""),4)</f>
        <v>1.1120000000000001</v>
      </c>
    </row>
    <row r="333" spans="1:102" s="201" customFormat="1" ht="12.75" customHeight="1">
      <c r="A333" s="91" t="str">
        <f>IF('Inputs Yr 2'!$B333=0,"",'Inputs Yr 2'!A333)</f>
        <v>C - Commercial &amp; Industrial</v>
      </c>
      <c r="B333" s="91" t="str">
        <f>IF('Inputs Yr 2'!$B333=0,"",'Inputs Yr 2'!B333)</f>
        <v>C2 - C&amp;I Retrofit</v>
      </c>
      <c r="C333" s="91" t="str">
        <f>IF('Inputs Yr 2'!$B333=0,"",'Inputs Yr 2'!C333)</f>
        <v xml:space="preserve">C2c - C&amp;I Multifamily Retrofit </v>
      </c>
      <c r="D333" s="91" t="str">
        <f>IF('Inputs Yr 2'!$B333=0,"",'Inputs Yr 2'!E333)</f>
        <v>Pipe Wrap (Heating)</v>
      </c>
      <c r="E333" s="93" t="str">
        <f>IF('Inputs Yr 2'!$B333=0,"",'Inputs Yr 2'!F333)</f>
        <v>G16C2c08</v>
      </c>
      <c r="F333" s="93" t="str">
        <f>IF('Inputs Yr 2'!$B333=0,"",'Inputs Yr 2'!G333)</f>
        <v>HVAC</v>
      </c>
      <c r="G333" s="95">
        <f>IF('Inputs Yr 2'!$H333&lt;&gt;0,('Inputs Yr 2'!H333),"")</f>
        <v>16718</v>
      </c>
      <c r="H333" s="94">
        <f>IFERROR('Inputs Yr 2'!I333,"")</f>
        <v>15</v>
      </c>
      <c r="I333" s="298">
        <f>IFERROR('Inputs Yr 2'!J333*'Inputs Yr 2'!P333*G333,"")</f>
        <v>135785.91</v>
      </c>
      <c r="J333" s="298">
        <f>IFERROR('Inputs Yr 2'!K333*G333,"")</f>
        <v>101841.61000000002</v>
      </c>
      <c r="K333" s="298">
        <f t="shared" si="173"/>
        <v>33944.299999999988</v>
      </c>
      <c r="L333" s="194">
        <f>IFERROR(('Inputs Yr 2'!W333*G333)/1000,"")</f>
        <v>0</v>
      </c>
      <c r="M333" s="194">
        <f>IFERROR(L333*('Inputs Yr 2'!$Q333*'Inputs Yr 2'!$V333*'Inputs Yr 2'!$R333),"")</f>
        <v>0</v>
      </c>
      <c r="N333" s="194">
        <f t="shared" si="174"/>
        <v>0</v>
      </c>
      <c r="O333" s="194">
        <f>IFERROR(M333*'Inputs Yr 2'!P333,"")</f>
        <v>0</v>
      </c>
      <c r="P333" s="194">
        <f t="shared" si="175"/>
        <v>0</v>
      </c>
      <c r="Q333" s="194">
        <f>IFERROR($P333*'Inputs Yr 2'!AA333,"")</f>
        <v>0</v>
      </c>
      <c r="R333" s="194">
        <f>IFERROR($P333*'Inputs Yr 2'!AB333,"")</f>
        <v>0</v>
      </c>
      <c r="S333" s="194">
        <f>IFERROR($P333*'Inputs Yr 2'!AC333,"")</f>
        <v>0</v>
      </c>
      <c r="T333" s="194">
        <f>IFERROR($P333*'Inputs Yr 2'!AD333,"")</f>
        <v>0</v>
      </c>
      <c r="U333" s="194">
        <f>IFERROR(G333*'Inputs Yr 2'!$AE333*'Inputs Yr 2'!$P333*'Inputs Yr 2'!$Q333,"")</f>
        <v>0</v>
      </c>
      <c r="V333" s="194">
        <f>IFERROR($G333*'Inputs Yr 2'!$AE333*'Inputs Yr 2'!$AG333*'Inputs Yr 2'!Q333*'Inputs Yr 2'!$S333,"")</f>
        <v>0</v>
      </c>
      <c r="W333" s="194">
        <f>IFERROR($G333*'Inputs Yr 2'!$AE333*'Inputs Yr 2'!$AG333*'Inputs Yr 2'!P333*'Inputs Yr 2'!Q333*'Inputs Yr 2'!$S333,"")</f>
        <v>0</v>
      </c>
      <c r="X333" s="194">
        <f>IFERROR($G333*'Inputs Yr 2'!$AE333*'Inputs Yr 2'!$AF333*'Inputs Yr 2'!Q333*'Inputs Yr 2'!$T333,"")</f>
        <v>0</v>
      </c>
      <c r="Y333" s="194">
        <f>IFERROR($G333*'Inputs Yr 2'!$AE333*'Inputs Yr 2'!$AF333*'Inputs Yr 2'!P333*'Inputs Yr 2'!Q333*'Inputs Yr 2'!$T333,"")</f>
        <v>0</v>
      </c>
      <c r="Z333" s="257">
        <f>IFERROR($G333*'Inputs Yr 2'!$Q333*'Inputs Yr 2'!$U333*(IF(IFERROR(SEARCH("NG", 'Inputs Yr 2'!$AJ333),0),'Inputs Yr 2'!$AK333,0)+IF(IFERROR(SEARCH("NG", 'Inputs Yr 2'!$AL333),0),'Inputs Yr 2'!$AM333,0)+IF(IFERROR(SEARCH("NG", 'Inputs Yr 2'!$AN333),0),'Inputs Yr 2'!$AO333,0)),0)</f>
        <v>2305.7465599999996</v>
      </c>
      <c r="AA333" s="257">
        <f t="shared" si="176"/>
        <v>34586.198399999994</v>
      </c>
      <c r="AB333" s="257">
        <f>IFERROR(Z333*'Inputs Yr 2'!$P333,0)</f>
        <v>2305.7465599999996</v>
      </c>
      <c r="AC333" s="257">
        <f t="shared" si="177"/>
        <v>34586.198399999994</v>
      </c>
      <c r="AD333" s="257">
        <f>IFERROR($G333*'Inputs Yr 2'!$Q333*'Inputs Yr 2'!$U333*(IF(IFERROR(SEARCH("Oil", 'Inputs Yr 2'!$AJ333), 0),'Inputs Yr 2'!$AK333,0)+IF(IFERROR(SEARCH("Oil", 'Inputs Yr 2'!$AL333), 0),'Inputs Yr 2'!$AM333,0)+IF(IFERROR(SEARCH("Oil", 'Inputs Yr 2'!$AN333), 0),'Inputs Yr 2'!$AO333,0)),0)</f>
        <v>0</v>
      </c>
      <c r="AE333" s="257">
        <f t="shared" si="178"/>
        <v>0</v>
      </c>
      <c r="AF333" s="257">
        <f>IFERROR(AD333*'Inputs Yr 2'!$P333,0)</f>
        <v>0</v>
      </c>
      <c r="AG333" s="257">
        <f t="shared" si="179"/>
        <v>0</v>
      </c>
      <c r="AH333" s="257">
        <f>IFERROR($G333*'Inputs Yr 2'!$Q333*'Inputs Yr 2'!$U333*(IF('Inputs Yr 2'!$AJ333=CD$4,'Inputs Yr 2'!$AK333,IF('Inputs Yr 2'!$AL333=CD$4,'Inputs Yr 2'!$AM333,IF('Inputs Yr 2'!$AN333=CD$4,'Inputs Yr 2'!$AO333,0)))),0)</f>
        <v>0</v>
      </c>
      <c r="AI333" s="257">
        <f t="shared" si="180"/>
        <v>0</v>
      </c>
      <c r="AJ333" s="257">
        <f>IFERROR(AH333*'Inputs Yr 2'!$P333,0)</f>
        <v>0</v>
      </c>
      <c r="AK333" s="257">
        <f t="shared" si="181"/>
        <v>0</v>
      </c>
      <c r="AL333" s="258">
        <f>IFERROR($G333*'Inputs Yr 2'!$P333*'Inputs Yr 2'!$Q333*'Inputs Yr 2'!AP333,0)</f>
        <v>0</v>
      </c>
      <c r="AM333" s="260">
        <f>IFERROR($G333*'Inputs Yr 2'!$P333*'Inputs Yr 2'!$Q333*'Inputs Yr 2'!AQ333,0)</f>
        <v>0</v>
      </c>
      <c r="AN333" s="258">
        <f>IFERROR($G333*'Inputs Yr 2'!$P333*'Inputs Yr 2'!$Q333*'Inputs Yr 2'!AR333,0)</f>
        <v>0</v>
      </c>
      <c r="AO333" s="257">
        <f t="shared" si="182"/>
        <v>0</v>
      </c>
      <c r="AP333" s="195">
        <f>IFERROR($CQ333*(INDEX(avoidedcosttbl2,$H333,AP$2)+(($H333-ROUNDDOWN($H333,0))*(INDEX(avoidedcosttbl2,ROUNDUP($H333,0),AP$2)-(INDEX(avoidedcosttbl2,ROUNDDOWN($H333,0),AP$2)))))*$O333*1000*'Inputs Yr 2'!AA333,"")</f>
        <v>0</v>
      </c>
      <c r="AQ333" s="195">
        <f>IFERROR($CR333*(INDEX(avoidedcosttbl2,$H333,AQ$2)+(($H333-ROUNDDOWN($H333,0))*(INDEX(avoidedcosttbl2,ROUNDUP($H333,0),AQ$2)-(INDEX(avoidedcosttbl2,ROUNDDOWN($H333,0),AQ$2)))))*$O333*1000*'Inputs Yr 2'!AB333,"")</f>
        <v>0</v>
      </c>
      <c r="AR333" s="195">
        <f>IFERROR($CS333*(INDEX(avoidedcosttbl2,$H333,AR$2)+(($H333-ROUNDDOWN($H333,0))*(INDEX(avoidedcosttbl2,ROUNDUP($H333,0),AR$2)-(INDEX(avoidedcosttbl2,ROUNDDOWN($H333,0),AR$2)))))*$O333*1000*'Inputs Yr 2'!AC333,"")</f>
        <v>0</v>
      </c>
      <c r="AS333" s="195">
        <f>IFERROR($CT333*(INDEX(avoidedcosttbl2,$H333,AS$2)+(($H333-ROUNDDOWN($H333,0))*(INDEX(avoidedcosttbl2,ROUNDUP($H333,0),AS$2)-(INDEX(avoidedcosttbl2,ROUNDDOWN($H333,0),AS$2)))))*$O333*1000*'Inputs Yr 2'!AD333,"")</f>
        <v>0</v>
      </c>
      <c r="AT333" s="196">
        <f t="shared" si="183"/>
        <v>0</v>
      </c>
      <c r="AU333" s="197">
        <f>IFERROR($CQ333*((INDEX(avoidedcosttbl2,$H333,AU$2))+(($H333-ROUNDDOWN($H333,0))*((INDEX(avoidedcosttbl2,ROUNDUP($H333,0),AU$2))-(INDEX(avoidedcosttbl2,ROUNDDOWN($H333,0),AU$2)))))*$O333*1000*'Inputs Yr 2'!AA333,"")</f>
        <v>0</v>
      </c>
      <c r="AV333" s="197">
        <f>IFERROR($CR333*((INDEX(avoidedcosttbl2,$H333,AV$2))+(($H333-ROUNDDOWN($H333,0))*((INDEX(avoidedcosttbl2,ROUNDUP($H333,0),AV$2))-(INDEX(avoidedcosttbl2,ROUNDDOWN($H333,0),AV$2)))))*$O333*1000*'Inputs Yr 2'!AB333,"")</f>
        <v>0</v>
      </c>
      <c r="AW333" s="197">
        <f>IFERROR($CS333*((INDEX(avoidedcosttbl2,$H333,AW$2))+(($H333-ROUNDDOWN($H333,0))*((INDEX(avoidedcosttbl2,ROUNDUP($H333,0),AW$2))-(INDEX(avoidedcosttbl2,ROUNDDOWN($H333,0),AW$2)))))*$O333*1000*'Inputs Yr 2'!AC333,"")</f>
        <v>0</v>
      </c>
      <c r="AX333" s="197">
        <f>IFERROR($CT333*((INDEX(avoidedcosttbl2,$H333,AX$2))+(($H333-ROUNDDOWN($H333,0))*((INDEX(avoidedcosttbl2,ROUNDUP($H333,0),AX$2))-(INDEX(avoidedcosttbl2,ROUNDDOWN($H333,0),AX$2)))))*$O333*1000*'Inputs Yr 2'!AD333,"")</f>
        <v>0</v>
      </c>
      <c r="AY333" s="197">
        <f>IFERROR(((INDEX(avoidedcosttbl2,$H333,AY$2))+(($H333-ROUNDDOWN($H333,0))*((INDEX(avoidedcosttbl2,ROUNDUP($H333,0),AY$2))-(INDEX(avoidedcosttbl2,ROUNDDOWN($H333,0),AY$2)))))*$O333*1000*('Inputs Yr 2'!AC333+'Inputs Yr 2'!AD333),"")</f>
        <v>0</v>
      </c>
      <c r="AZ333" s="197">
        <f>IFERROR(((INDEX(avoidedcosttbl2,$H333,AZ$2))+(($H333-ROUNDDOWN($H333,0))*((INDEX(avoidedcosttbl2,ROUNDUP($H333,0),AZ$2))-(INDEX(avoidedcosttbl2,ROUNDDOWN($H333,0),AZ$2)))))*$O333*1000*('Inputs Yr 2'!AA333+'Inputs Yr 2'!AB333),"")</f>
        <v>0</v>
      </c>
      <c r="BA333" s="198">
        <f t="shared" si="184"/>
        <v>0</v>
      </c>
      <c r="BB333" s="198">
        <f t="shared" si="185"/>
        <v>0</v>
      </c>
      <c r="BC333" s="195">
        <f t="shared" si="167"/>
        <v>0</v>
      </c>
      <c r="BD333" s="195">
        <f t="shared" si="168"/>
        <v>0</v>
      </c>
      <c r="BE333" s="195">
        <f t="shared" si="169"/>
        <v>0</v>
      </c>
      <c r="BF333" s="195">
        <f t="shared" si="170"/>
        <v>0</v>
      </c>
      <c r="BG333" s="195">
        <f t="shared" si="171"/>
        <v>0</v>
      </c>
      <c r="BH333" s="196">
        <f t="shared" si="186"/>
        <v>0</v>
      </c>
      <c r="BI333" s="196">
        <f t="shared" si="187"/>
        <v>0</v>
      </c>
      <c r="BJ333" s="195">
        <f>IFERROR($G333*(IF('Inputs Yr 2'!$AJ333=BJ$4,'Inputs Yr 2'!$AK333,IF('Inputs Yr 2'!$AL333=BJ$4,'Inputs Yr 2'!$AM333,IF('Inputs Yr 2'!$AN333=BJ$4,'Inputs Yr 2'!$AO333,0))))*(INDEX(avoidedcosttbl2,$H333,BJ$2)+(($H333-ROUNDDOWN($H333,0))*(INDEX(avoidedcosttbl2,ROUNDUP($H333,0),BJ$2)-(INDEX(avoidedcosttbl2,ROUNDDOWN($H333,0),BJ$2)))))*'Inputs Yr 2'!P333*'Inputs Yr 2'!Q333*'Inputs Yr 2'!U333,"")</f>
        <v>0</v>
      </c>
      <c r="BK333" s="195">
        <f>IFERROR($G333*(IF('Inputs Yr 2'!$AJ333=BK$4,'Inputs Yr 2'!$AK333,IF('Inputs Yr 2'!$AL333=BK$4,'Inputs Yr 2'!$AM333,IF('Inputs Yr 2'!$AN333=BK$4,'Inputs Yr 2'!$AO333,0))))*(INDEX(avoidedcosttbl2,$H333,BK$2)+(($H333-ROUNDDOWN($H333,0))*(INDEX(avoidedcosttbl2,ROUNDUP($H333,0),BK$2)-(INDEX(avoidedcosttbl2,ROUNDDOWN($H333,0),BK$2)))))*'Inputs Yr 2'!P333*'Inputs Yr 2'!Q333*'Inputs Yr 2'!U333,"")</f>
        <v>0</v>
      </c>
      <c r="BL333" s="195">
        <f>IFERROR($G333*(IF('Inputs Yr 2'!$AJ333=BL$4,'Inputs Yr 2'!$AK333,IF('Inputs Yr 2'!$AL333=BL$4,'Inputs Yr 2'!$AM333,IF('Inputs Yr 2'!$AN333=BL$4,'Inputs Yr 2'!$AO333,0))))*(INDEX(avoidedcosttbl2,$H333,BL$2)+(($H333-ROUNDDOWN($H333,0))*(INDEX(avoidedcosttbl2,ROUNDUP($H333,0),BL$2)-(INDEX(avoidedcosttbl2,ROUNDDOWN($H333,0),BL$2)))))*'Inputs Yr 2'!P333*'Inputs Yr 2'!Q333*'Inputs Yr 2'!U333,"")</f>
        <v>291655.80429611023</v>
      </c>
      <c r="BM333" s="195">
        <f>IFERROR($G333*(IF('Inputs Yr 2'!$AJ333=BM$4,'Inputs Yr 2'!$AK333,IF('Inputs Yr 2'!$AL333=BM$4,'Inputs Yr 2'!$AM333,IF('Inputs Yr 2'!$AN333=BM$4,'Inputs Yr 2'!$AO333,0))))*(INDEX(avoidedcosttbl2,$H333,BM$2)+(($H333-ROUNDDOWN($H333,0))*(INDEX(avoidedcosttbl2,ROUNDUP($H333,0),BM$2)-(INDEX(avoidedcosttbl2,ROUNDDOWN($H333,0),BM$2)))))*'Inputs Yr 2'!P333*'Inputs Yr 2'!Q333*'Inputs Yr 2'!U333,"")</f>
        <v>0</v>
      </c>
      <c r="BN333" s="195">
        <f>IFERROR($G333*(IF('Inputs Yr 2'!$AJ333=BN$4,'Inputs Yr 2'!$AK333,IF('Inputs Yr 2'!$AL333=BN$4,'Inputs Yr 2'!$AM333,IF('Inputs Yr 2'!$AN333=BN$4,'Inputs Yr 2'!$AO333,0))))*(INDEX(avoidedcosttbl2,$H333,BN$2)+(($H333-ROUNDDOWN($H333,0))*(INDEX(avoidedcosttbl2,ROUNDUP($H333,0),BN$2)-(INDEX(avoidedcosttbl2,ROUNDDOWN($H333,0),BN$2)))))*'Inputs Yr 2'!P333*'Inputs Yr 2'!Q333*'Inputs Yr 2'!U333,"")</f>
        <v>0</v>
      </c>
      <c r="BO333" s="195">
        <f>IFERROR($G333*(IF('Inputs Yr 2'!$AJ333=BO$4,'Inputs Yr 2'!$AK333,IF('Inputs Yr 2'!$AL333=BO$4,'Inputs Yr 2'!$AM333,IF('Inputs Yr 2'!$AN333=BO$4,'Inputs Yr 2'!$AO333,0))))*(INDEX(avoidedcosttbl2,$H333,BO$2)+(($H333-ROUNDDOWN($H333,0))*(INDEX(avoidedcosttbl2,ROUNDUP($H333,0),BO$2)-(INDEX(avoidedcosttbl2,ROUNDDOWN($H333,0),BO$2)))))*'Inputs Yr 2'!P333*'Inputs Yr 2'!Q333*'Inputs Yr 2'!U333,"")</f>
        <v>0</v>
      </c>
      <c r="BP333" s="195">
        <f>IFERROR($G333*(IF('Inputs Yr 2'!$AJ333=BP$4,'Inputs Yr 2'!$AK333,IF('Inputs Yr 2'!$AL333=BP$4,'Inputs Yr 2'!$AM333,IF('Inputs Yr 2'!$AN333=BP$4,'Inputs Yr 2'!$AO333,0))))*(INDEX(avoidedcosttbl2,$H333,BP$2)+(($H333-ROUNDDOWN($H333,0))*(INDEX(avoidedcosttbl2,ROUNDUP($H333,0),BP$2)-(INDEX(avoidedcosttbl2,ROUNDDOWN($H333,0),BP$2)))))*'Inputs Yr 2'!P333*'Inputs Yr 2'!Q333*'Inputs Yr 2'!U333,"")</f>
        <v>0</v>
      </c>
      <c r="BQ333" s="230">
        <f t="shared" si="188"/>
        <v>291655.80429611023</v>
      </c>
      <c r="BR333" s="197">
        <f t="shared" si="172"/>
        <v>4687.8792119906511</v>
      </c>
      <c r="BS333" s="197">
        <f>IFERROR(($G333*IF('Inputs Yr 2'!$AJ333=BM$4,'Inputs Yr 2'!$AK333,IF('Inputs Yr 2'!$AL333=BM$4,'Inputs Yr 2'!$AM333,IF('Inputs Yr 2'!$AN333=BM$4,'Inputs Yr 2'!$AO333,0))))*(INDEX(avoidedcosttbl2,$H333,BS$2)+(($H333-ROUNDDOWN($H333,0))*(INDEX(avoidedcosttbl2,ROUNDUP($H333,0),BS$2)-(INDEX(avoidedcosttbl2,ROUNDDOWN($H333,0),BS$2)))))*'Inputs Yr 2'!P333*'Inputs Yr 2'!Q333*'Inputs Yr 2'!U333,"")</f>
        <v>0</v>
      </c>
      <c r="BT333" s="197">
        <f>IFERROR(($G333*IF('Inputs Yr 2'!$AJ333=BK$4,'Inputs Yr 2'!$AK333,IF('Inputs Yr 2'!$AL333=BK$4,'Inputs Yr 2'!$AM333,IF('Inputs Yr 2'!$AN333=BK$4,'Inputs Yr 2'!$AO333,0))))*(INDEX(avoidedcosttbl2,$H333,BT$2)+(($H333-ROUNDDOWN($H333,0))*(INDEX(avoidedcosttbl2,ROUNDUP($H333,0),BT$2)-(INDEX(avoidedcosttbl2,ROUNDDOWN($H333,0),BT$2)))))*'Inputs Yr 2'!P333*'Inputs Yr 2'!Q333*'Inputs Yr 2'!U333,"")</f>
        <v>0</v>
      </c>
      <c r="BU333" s="197">
        <f>IFERROR(($G333*IF('Inputs Yr 2'!$AJ333=BL$4,'Inputs Yr 2'!$AK333,IF('Inputs Yr 2'!$AL333=BL$4,'Inputs Yr 2'!$AM333,IF('Inputs Yr 2'!$AN333=BL$4,'Inputs Yr 2'!$AO333,0))))*(INDEX(avoidedcosttbl2,$H333,BU$2)+(($H333-ROUNDDOWN($H333,0))*(INDEX(avoidedcosttbl2,ROUNDUP($H333,0),BU$2)-(INDEX(avoidedcosttbl2,ROUNDDOWN($H333,0),BU$2)))))*'Inputs Yr 2'!P333*'Inputs Yr 2'!Q333*'Inputs Yr 2'!U333,"")</f>
        <v>17851.536527576322</v>
      </c>
      <c r="BV333" s="775">
        <f>IFERROR(($G333*IF('Inputs Yr 2'!$AJ333=BJ$4,'Inputs Yr 2'!$AK333,IF('Inputs Yr 2'!$AL333=BJ$4,'Inputs Yr 2'!$AM333,IF('Inputs Yr 2'!$AN333=BJ$4,'Inputs Yr 2'!$AO333,0))))*(INDEX(avoidedcosttbl2,$H333,BV$2)+(($H333-ROUNDDOWN($H333,0))*(INDEX(avoidedcosttbl2,ROUNDUP($H333,0),BV$2)-(INDEX(avoidedcosttbl2,ROUNDDOWN($H333,0),BV$2)))))*'Inputs Yr 2'!P333*'Inputs Yr 2'!Q333*'Inputs Yr 2'!U333,"")</f>
        <v>0</v>
      </c>
      <c r="BW333" s="197">
        <f>IFERROR(($G333*IF('Inputs Yr 2'!$AJ333=BN$4,'Inputs Yr 2'!$AK333,IF('Inputs Yr 2'!$AL333=BN$4,'Inputs Yr 2'!$AM333,IF('Inputs Yr 2'!$AN333=BN$4,'Inputs Yr 2'!$AO333,0))))*(INDEX(avoidedcosttbl2,$H333,BW$2)+(($H333-ROUNDDOWN($H333,0))*(INDEX(avoidedcosttbl2,ROUNDUP($H333,0),BW$2)-(INDEX(avoidedcosttbl2,ROUNDDOWN($H333,0),BW$2)))))*'Inputs Yr 2'!P333*'Inputs Yr 2'!Q333*'Inputs Yr 2'!U333,"")</f>
        <v>0</v>
      </c>
      <c r="BX333" s="197">
        <f>IFERROR(($G333*IF('Inputs Yr 2'!$AJ333=BO$4,'Inputs Yr 2'!$AK333,IF('Inputs Yr 2'!$AL333=BO$4,'Inputs Yr 2'!$AM333,IF('Inputs Yr 2'!$AN333=BO$4,'Inputs Yr 2'!$AO333,0))))*(INDEX(avoidedcosttbl2,$H333,BX$2)+(($H333-ROUNDDOWN($H333,0))*(INDEX(avoidedcosttbl2,ROUNDUP($H333,0),BX$2)-(INDEX(avoidedcosttbl2,ROUNDDOWN($H333,0),BX$2)))))*'Inputs Yr 2'!P333*'Inputs Yr 2'!Q333*'Inputs Yr 2'!U333,"")</f>
        <v>0</v>
      </c>
      <c r="BY333" s="197">
        <f>IFERROR(($G333*IF('Inputs Yr 2'!$AJ333=BP$4,'Inputs Yr 2'!$AK333,IF('Inputs Yr 2'!$AL333=BP$4,'Inputs Yr 2'!$AM333,IF('Inputs Yr 2'!$AN333=BP$4,'Inputs Yr 2'!$AO333,0))))*(INDEX(avoidedcosttbl2,$H333,BY$2)+(($H333-ROUNDDOWN($H333,0))*(INDEX(avoidedcosttbl2,ROUNDUP($H333,0),BY$2)-(INDEX(avoidedcosttbl2,ROUNDDOWN($H333,0),BY$2)))))*'Inputs Yr 2'!P333*'Inputs Yr 2'!Q333*'Inputs Yr 2'!U333,"")</f>
        <v>0</v>
      </c>
      <c r="BZ333" s="193">
        <f t="shared" si="189"/>
        <v>22539.415739566972</v>
      </c>
      <c r="CA333" s="193">
        <f t="shared" si="190"/>
        <v>314195.22003567719</v>
      </c>
      <c r="CB333" s="195">
        <f>IFERROR(G333*(IF('Inputs Yr 2'!$AJ333=CB$4,'Inputs Yr 2'!$AK333,IF('Inputs Yr 2'!$AL333=CB$4,'Inputs Yr 2'!$AM333,IF('Inputs Yr 2'!$AN333=CB$4,'Inputs Yr 2'!$AO333,0))))*(INDEX(avoidedcosttbl2,$H333,CB$2)+(($H333-ROUNDDOWN($H333,0))*(INDEX(avoidedcosttbl2,ROUNDUP($H333,0),CB$2)-(INDEX(avoidedcosttbl2,ROUNDDOWN($H333,0),CB$2)))))*'Inputs Yr 2'!P333*'Inputs Yr 2'!Q333*'Inputs Yr 2'!U333,"")</f>
        <v>0</v>
      </c>
      <c r="CC333" s="195">
        <f>IFERROR(H333*(IF('Inputs Yr 2'!$AJ333=CC$4,'Inputs Yr 2'!$AK333,IF('Inputs Yr 2'!$AL333=CC$4,'Inputs Yr 2'!$AM333,IF('Inputs Yr 2'!$AN333=CC$4,'Inputs Yr 2'!$AO333,0))))*(INDEX(avoidedcosttbl2,$H333,CC$2)+(($H333-ROUNDDOWN($H333,0))*(INDEX(avoidedcosttbl2,ROUNDUP($H333,0),CC$2)-(INDEX(avoidedcosttbl2,ROUNDDOWN($H333,0),CC$2)))))*'Inputs Yr 2'!Q333*'Inputs Yr 2'!R333*'Inputs Yr 2'!V333,"")</f>
        <v>0</v>
      </c>
      <c r="CD333" s="195">
        <f>IFERROR(I333*(IF('Inputs Yr 2'!$AJ333=CD$4,'Inputs Yr 2'!$AK333,IF('Inputs Yr 2'!$AL333=CD$4,'Inputs Yr 2'!$AM333,IF('Inputs Yr 2'!$AN333=CD$4,'Inputs Yr 2'!$AO333,0))))*(INDEX(avoidedcosttbl2,$H333,CD$2)+(($H333-ROUNDDOWN($H333,0))*(INDEX(avoidedcosttbl2,ROUNDUP($H333,0),CD$2)-(INDEX(avoidedcosttbl2,ROUNDDOWN($H333,0),CD$2)))))*'Inputs Yr 2'!R333*'Inputs Yr 2'!S333*'Inputs Yr 2'!W333,"")</f>
        <v>0</v>
      </c>
      <c r="CE333" s="213">
        <f t="shared" si="191"/>
        <v>0</v>
      </c>
      <c r="CF333" s="213">
        <f t="shared" si="192"/>
        <v>0</v>
      </c>
      <c r="CG333" s="213">
        <f t="shared" si="193"/>
        <v>0</v>
      </c>
      <c r="CH333" s="698">
        <f t="shared" si="194"/>
        <v>314195.22003567719</v>
      </c>
      <c r="CI333" s="79">
        <f>IFERROR(($G333*'Inputs Yr 2'!$P333*'Inputs Yr 2'!$Q333*(((INDEX(avoidedcosttbl2,$H333,CI$2)+(($H333-ROUNDDOWN($H333,0))*(INDEX(avoidedcosttbl2,ROUNDUP($H333,0),CI$2)-INDEX(avoidedcosttbl2,ROUNDDOWN($H333,0),CI$2))))*'Inputs Yr 2'!AS333))),"")</f>
        <v>0</v>
      </c>
      <c r="CJ333" s="504">
        <f>IFERROR($G333*'Inputs Yr 2'!AT333*'Inputs Yr 2'!$P333*'Inputs Yr 2'!$Q333/((1+realdiscrt1)^-0.5),"")</f>
        <v>0</v>
      </c>
      <c r="CK333" s="79">
        <f>IFERROR((O333*1000*(((INDEX(avoidedcosttbl2,$H333,CK$2)+(($H333-ROUNDDOWN($H333,0))*(INDEX(avoidedcosttbl2,ROUNDUP($H333,0),CK$2)-INDEX(avoidedcosttbl2,ROUNDDOWN($H333,0),CK$2))))*'Inputs Yr 2'!AU333))),"")</f>
        <v>0</v>
      </c>
      <c r="CL333" s="504">
        <f>IFERROR(O333*1000*'Inputs Yr 2'!AV333/((1+realdiscrt1)^-0.5),"")</f>
        <v>0</v>
      </c>
      <c r="CM333" s="79">
        <f>IFERROR((AB333*'Inputs Yr 2'!AW333*(((INDEX(avoidedcosttbl2,$H333,CM$2)+(($H333-ROUNDDOWN($H333,0))*(INDEX(avoidedcosttbl2,ROUNDUP($H333,0),CM$2)-INDEX(avoidedcosttbl2,ROUNDDOWN($H333,0),CM$2)))))))*10,"")</f>
        <v>451870.97269575589</v>
      </c>
      <c r="CN333" s="504">
        <f>IFERROR(10*AB333*'Inputs Yr 2'!AX333/((1+realdiscrt1)^-0.5),"")</f>
        <v>0</v>
      </c>
      <c r="CO333" s="505">
        <f t="shared" si="195"/>
        <v>451870.97269575589</v>
      </c>
      <c r="CP333" s="230">
        <f t="shared" si="196"/>
        <v>766066.19273143308</v>
      </c>
      <c r="CQ333" s="199">
        <f>ROUND(IFERROR(IF(LEFT($A333,1)="C",'Avoided Costs'!$K$13,'Avoided Costs'!$K$12)+1,""),4)</f>
        <v>1.0720000000000001</v>
      </c>
      <c r="CR333" s="199">
        <f>ROUND(IFERROR(IF(LEFT($A333,1)="C",'Avoided Costs'!$L$13,'Avoided Costs'!$L$12)+1,""),4)</f>
        <v>1.04</v>
      </c>
      <c r="CS333" s="199">
        <f>ROUND(IFERROR(IF(LEFT($A333,1)="C",'Avoided Costs'!$M$13,'Avoided Costs'!$M$12)+1,""),4)</f>
        <v>1.0720000000000001</v>
      </c>
      <c r="CT333" s="199">
        <f>ROUND(IFERROR(IF(LEFT($A333,1)="C",'Avoided Costs'!$N$13,'Avoided Costs'!$N$12)+1,""),4)</f>
        <v>1.04</v>
      </c>
      <c r="CU333" s="199">
        <f>ROUND(IFERROR(IF(LEFT($A333,1)="C",'Avoided Costs'!$O$13,'Avoided Costs'!$O$12)+1,""),4)</f>
        <v>1.1120000000000001</v>
      </c>
      <c r="CV333" s="199">
        <f>ROUND(IFERROR(IF(LEFT($A333,1)="C",'Avoided Costs'!$P$13,'Avoided Costs'!$P$12)+1,""),4)</f>
        <v>1.095</v>
      </c>
      <c r="CW333" s="199">
        <f>ROUND(IFERROR(IF(LEFT($A333,1)="C",'Avoided Costs'!$Q$13,'Avoided Costs'!$Q$12)+1,""),4)</f>
        <v>1.1120000000000001</v>
      </c>
      <c r="CX333" s="200">
        <f>ROUND(IFERROR(IF(LEFT($A333,1)="C",'Avoided Costs'!$R$13,'Avoided Costs'!$R$12)+1,""),4)</f>
        <v>1.1120000000000001</v>
      </c>
    </row>
    <row r="334" spans="1:102" s="201" customFormat="1" ht="12.75" customHeight="1">
      <c r="A334" s="91" t="str">
        <f>IF('Inputs Yr 2'!$B334=0,"",'Inputs Yr 2'!A334)</f>
        <v>C - Commercial &amp; Industrial</v>
      </c>
      <c r="B334" s="91" t="str">
        <f>IF('Inputs Yr 2'!$B334=0,"",'Inputs Yr 2'!B334)</f>
        <v>C2 - C&amp;I Retrofit</v>
      </c>
      <c r="C334" s="91" t="str">
        <f>IF('Inputs Yr 2'!$B334=0,"",'Inputs Yr 2'!C334)</f>
        <v xml:space="preserve">C2c - C&amp;I Multifamily Retrofit </v>
      </c>
      <c r="D334" s="91" t="str">
        <f>IF('Inputs Yr 2'!$B334=0,"",'Inputs Yr 2'!E334)</f>
        <v>Faucet Aerator, Gas</v>
      </c>
      <c r="E334" s="93" t="str">
        <f>IF('Inputs Yr 2'!$B334=0,"",'Inputs Yr 2'!F334)</f>
        <v>G16C2c09</v>
      </c>
      <c r="F334" s="93" t="str">
        <f>IF('Inputs Yr 2'!$B334=0,"",'Inputs Yr 2'!G334)</f>
        <v>Hot Water</v>
      </c>
      <c r="G334" s="95">
        <f>IF('Inputs Yr 2'!$H334&lt;&gt;0,('Inputs Yr 2'!H334),"")</f>
        <v>722</v>
      </c>
      <c r="H334" s="94">
        <f>IFERROR('Inputs Yr 2'!I334,"")</f>
        <v>7</v>
      </c>
      <c r="I334" s="298">
        <f>IFERROR('Inputs Yr 2'!J334*'Inputs Yr 2'!P334*G334,"")</f>
        <v>2191.7334999999994</v>
      </c>
      <c r="J334" s="298">
        <f>IFERROR('Inputs Yr 2'!K334*G334,"")</f>
        <v>2578.5099999999993</v>
      </c>
      <c r="K334" s="298">
        <f t="shared" si="173"/>
        <v>-386.77649999999994</v>
      </c>
      <c r="L334" s="194">
        <f>IFERROR(('Inputs Yr 2'!W334*G334)/1000,"")</f>
        <v>0</v>
      </c>
      <c r="M334" s="194">
        <f>IFERROR(L334*('Inputs Yr 2'!$Q334*'Inputs Yr 2'!$V334*'Inputs Yr 2'!$R334),"")</f>
        <v>0</v>
      </c>
      <c r="N334" s="194">
        <f t="shared" si="174"/>
        <v>0</v>
      </c>
      <c r="O334" s="194">
        <f>IFERROR(M334*'Inputs Yr 2'!P334,"")</f>
        <v>0</v>
      </c>
      <c r="P334" s="194">
        <f t="shared" si="175"/>
        <v>0</v>
      </c>
      <c r="Q334" s="194">
        <f>IFERROR($P334*'Inputs Yr 2'!AA334,"")</f>
        <v>0</v>
      </c>
      <c r="R334" s="194">
        <f>IFERROR($P334*'Inputs Yr 2'!AB334,"")</f>
        <v>0</v>
      </c>
      <c r="S334" s="194">
        <f>IFERROR($P334*'Inputs Yr 2'!AC334,"")</f>
        <v>0</v>
      </c>
      <c r="T334" s="194">
        <f>IFERROR($P334*'Inputs Yr 2'!AD334,"")</f>
        <v>0</v>
      </c>
      <c r="U334" s="194">
        <f>IFERROR(G334*'Inputs Yr 2'!$AE334*'Inputs Yr 2'!$P334*'Inputs Yr 2'!$Q334,"")</f>
        <v>0</v>
      </c>
      <c r="V334" s="194">
        <f>IFERROR($G334*'Inputs Yr 2'!$AE334*'Inputs Yr 2'!$AG334*'Inputs Yr 2'!Q334*'Inputs Yr 2'!$S334,"")</f>
        <v>0</v>
      </c>
      <c r="W334" s="194">
        <f>IFERROR($G334*'Inputs Yr 2'!$AE334*'Inputs Yr 2'!$AG334*'Inputs Yr 2'!P334*'Inputs Yr 2'!Q334*'Inputs Yr 2'!$S334,"")</f>
        <v>0</v>
      </c>
      <c r="X334" s="194">
        <f>IFERROR($G334*'Inputs Yr 2'!$AE334*'Inputs Yr 2'!$AF334*'Inputs Yr 2'!Q334*'Inputs Yr 2'!$T334,"")</f>
        <v>0</v>
      </c>
      <c r="Y334" s="194">
        <f>IFERROR($G334*'Inputs Yr 2'!$AE334*'Inputs Yr 2'!$AF334*'Inputs Yr 2'!P334*'Inputs Yr 2'!Q334*'Inputs Yr 2'!$T334,"")</f>
        <v>0</v>
      </c>
      <c r="Z334" s="257">
        <f>IFERROR($G334*'Inputs Yr 2'!$Q334*'Inputs Yr 2'!$U334*(IF(IFERROR(SEARCH("NG", 'Inputs Yr 2'!$AJ334),0),'Inputs Yr 2'!$AK334,0)+IF(IFERROR(SEARCH("NG", 'Inputs Yr 2'!$AL334),0),'Inputs Yr 2'!$AM334,0)+IF(IFERROR(SEARCH("NG", 'Inputs Yr 2'!$AN334),0),'Inputs Yr 2'!$AO334,0)),0)</f>
        <v>620.91999999999996</v>
      </c>
      <c r="AA334" s="257">
        <f t="shared" si="176"/>
        <v>4346.4399999999996</v>
      </c>
      <c r="AB334" s="257">
        <f>IFERROR(Z334*'Inputs Yr 2'!$P334,0)</f>
        <v>527.78199999999993</v>
      </c>
      <c r="AC334" s="257">
        <f t="shared" si="177"/>
        <v>3694.4739999999993</v>
      </c>
      <c r="AD334" s="257">
        <f>IFERROR($G334*'Inputs Yr 2'!$Q334*'Inputs Yr 2'!$U334*(IF(IFERROR(SEARCH("Oil", 'Inputs Yr 2'!$AJ334), 0),'Inputs Yr 2'!$AK334,0)+IF(IFERROR(SEARCH("Oil", 'Inputs Yr 2'!$AL334), 0),'Inputs Yr 2'!$AM334,0)+IF(IFERROR(SEARCH("Oil", 'Inputs Yr 2'!$AN334), 0),'Inputs Yr 2'!$AO334,0)),0)</f>
        <v>0</v>
      </c>
      <c r="AE334" s="257">
        <f t="shared" si="178"/>
        <v>0</v>
      </c>
      <c r="AF334" s="257">
        <f>IFERROR(AD334*'Inputs Yr 2'!$P334,0)</f>
        <v>0</v>
      </c>
      <c r="AG334" s="257">
        <f t="shared" si="179"/>
        <v>0</v>
      </c>
      <c r="AH334" s="257">
        <f>IFERROR($G334*'Inputs Yr 2'!$Q334*'Inputs Yr 2'!$U334*(IF('Inputs Yr 2'!$AJ334=CD$4,'Inputs Yr 2'!$AK334,IF('Inputs Yr 2'!$AL334=CD$4,'Inputs Yr 2'!$AM334,IF('Inputs Yr 2'!$AN334=CD$4,'Inputs Yr 2'!$AO334,0)))),0)</f>
        <v>0</v>
      </c>
      <c r="AI334" s="257">
        <f t="shared" si="180"/>
        <v>0</v>
      </c>
      <c r="AJ334" s="257">
        <f>IFERROR(AH334*'Inputs Yr 2'!$P334,0)</f>
        <v>0</v>
      </c>
      <c r="AK334" s="257">
        <f t="shared" si="181"/>
        <v>0</v>
      </c>
      <c r="AL334" s="258">
        <f>IFERROR($G334*'Inputs Yr 2'!$P334*'Inputs Yr 2'!$Q334*'Inputs Yr 2'!AP334,0)</f>
        <v>203748.39999999997</v>
      </c>
      <c r="AM334" s="260">
        <f>IFERROR($G334*'Inputs Yr 2'!$P334*'Inputs Yr 2'!$Q334*'Inputs Yr 2'!AQ334,0)</f>
        <v>0</v>
      </c>
      <c r="AN334" s="258">
        <f>IFERROR($G334*'Inputs Yr 2'!$P334*'Inputs Yr 2'!$Q334*'Inputs Yr 2'!AR334,0)</f>
        <v>0</v>
      </c>
      <c r="AO334" s="257">
        <f t="shared" si="182"/>
        <v>1426238.7999999998</v>
      </c>
      <c r="AP334" s="195">
        <f>IFERROR($CQ334*(INDEX(avoidedcosttbl2,$H334,AP$2)+(($H334-ROUNDDOWN($H334,0))*(INDEX(avoidedcosttbl2,ROUNDUP($H334,0),AP$2)-(INDEX(avoidedcosttbl2,ROUNDDOWN($H334,0),AP$2)))))*$O334*1000*'Inputs Yr 2'!AA334,"")</f>
        <v>0</v>
      </c>
      <c r="AQ334" s="195">
        <f>IFERROR($CR334*(INDEX(avoidedcosttbl2,$H334,AQ$2)+(($H334-ROUNDDOWN($H334,0))*(INDEX(avoidedcosttbl2,ROUNDUP($H334,0),AQ$2)-(INDEX(avoidedcosttbl2,ROUNDDOWN($H334,0),AQ$2)))))*$O334*1000*'Inputs Yr 2'!AB334,"")</f>
        <v>0</v>
      </c>
      <c r="AR334" s="195">
        <f>IFERROR($CS334*(INDEX(avoidedcosttbl2,$H334,AR$2)+(($H334-ROUNDDOWN($H334,0))*(INDEX(avoidedcosttbl2,ROUNDUP($H334,0),AR$2)-(INDEX(avoidedcosttbl2,ROUNDDOWN($H334,0),AR$2)))))*$O334*1000*'Inputs Yr 2'!AC334,"")</f>
        <v>0</v>
      </c>
      <c r="AS334" s="195">
        <f>IFERROR($CT334*(INDEX(avoidedcosttbl2,$H334,AS$2)+(($H334-ROUNDDOWN($H334,0))*(INDEX(avoidedcosttbl2,ROUNDUP($H334,0),AS$2)-(INDEX(avoidedcosttbl2,ROUNDDOWN($H334,0),AS$2)))))*$O334*1000*'Inputs Yr 2'!AD334,"")</f>
        <v>0</v>
      </c>
      <c r="AT334" s="196">
        <f t="shared" si="183"/>
        <v>0</v>
      </c>
      <c r="AU334" s="197">
        <f>IFERROR($CQ334*((INDEX(avoidedcosttbl2,$H334,AU$2))+(($H334-ROUNDDOWN($H334,0))*((INDEX(avoidedcosttbl2,ROUNDUP($H334,0),AU$2))-(INDEX(avoidedcosttbl2,ROUNDDOWN($H334,0),AU$2)))))*$O334*1000*'Inputs Yr 2'!AA334,"")</f>
        <v>0</v>
      </c>
      <c r="AV334" s="197">
        <f>IFERROR($CR334*((INDEX(avoidedcosttbl2,$H334,AV$2))+(($H334-ROUNDDOWN($H334,0))*((INDEX(avoidedcosttbl2,ROUNDUP($H334,0),AV$2))-(INDEX(avoidedcosttbl2,ROUNDDOWN($H334,0),AV$2)))))*$O334*1000*'Inputs Yr 2'!AB334,"")</f>
        <v>0</v>
      </c>
      <c r="AW334" s="197">
        <f>IFERROR($CS334*((INDEX(avoidedcosttbl2,$H334,AW$2))+(($H334-ROUNDDOWN($H334,0))*((INDEX(avoidedcosttbl2,ROUNDUP($H334,0),AW$2))-(INDEX(avoidedcosttbl2,ROUNDDOWN($H334,0),AW$2)))))*$O334*1000*'Inputs Yr 2'!AC334,"")</f>
        <v>0</v>
      </c>
      <c r="AX334" s="197">
        <f>IFERROR($CT334*((INDEX(avoidedcosttbl2,$H334,AX$2))+(($H334-ROUNDDOWN($H334,0))*((INDEX(avoidedcosttbl2,ROUNDUP($H334,0),AX$2))-(INDEX(avoidedcosttbl2,ROUNDDOWN($H334,0),AX$2)))))*$O334*1000*'Inputs Yr 2'!AD334,"")</f>
        <v>0</v>
      </c>
      <c r="AY334" s="197">
        <f>IFERROR(((INDEX(avoidedcosttbl2,$H334,AY$2))+(($H334-ROUNDDOWN($H334,0))*((INDEX(avoidedcosttbl2,ROUNDUP($H334,0),AY$2))-(INDEX(avoidedcosttbl2,ROUNDDOWN($H334,0),AY$2)))))*$O334*1000*('Inputs Yr 2'!AC334+'Inputs Yr 2'!AD334),"")</f>
        <v>0</v>
      </c>
      <c r="AZ334" s="197">
        <f>IFERROR(((INDEX(avoidedcosttbl2,$H334,AZ$2))+(($H334-ROUNDDOWN($H334,0))*((INDEX(avoidedcosttbl2,ROUNDUP($H334,0),AZ$2))-(INDEX(avoidedcosttbl2,ROUNDDOWN($H334,0),AZ$2)))))*$O334*1000*('Inputs Yr 2'!AA334+'Inputs Yr 2'!AB334),"")</f>
        <v>0</v>
      </c>
      <c r="BA334" s="198">
        <f t="shared" si="184"/>
        <v>0</v>
      </c>
      <c r="BB334" s="198">
        <f t="shared" si="185"/>
        <v>0</v>
      </c>
      <c r="BC334" s="195">
        <f t="shared" si="167"/>
        <v>0</v>
      </c>
      <c r="BD334" s="195">
        <f t="shared" si="168"/>
        <v>0</v>
      </c>
      <c r="BE334" s="195">
        <f t="shared" si="169"/>
        <v>0</v>
      </c>
      <c r="BF334" s="195">
        <f t="shared" si="170"/>
        <v>0</v>
      </c>
      <c r="BG334" s="195">
        <f t="shared" si="171"/>
        <v>0</v>
      </c>
      <c r="BH334" s="196">
        <f t="shared" si="186"/>
        <v>0</v>
      </c>
      <c r="BI334" s="196">
        <f t="shared" si="187"/>
        <v>0</v>
      </c>
      <c r="BJ334" s="195">
        <f>IFERROR($G334*(IF('Inputs Yr 2'!$AJ334=BJ$4,'Inputs Yr 2'!$AK334,IF('Inputs Yr 2'!$AL334=BJ$4,'Inputs Yr 2'!$AM334,IF('Inputs Yr 2'!$AN334=BJ$4,'Inputs Yr 2'!$AO334,0))))*(INDEX(avoidedcosttbl2,$H334,BJ$2)+(($H334-ROUNDDOWN($H334,0))*(INDEX(avoidedcosttbl2,ROUNDUP($H334,0),BJ$2)-(INDEX(avoidedcosttbl2,ROUNDDOWN($H334,0),BJ$2)))))*'Inputs Yr 2'!P334*'Inputs Yr 2'!Q334*'Inputs Yr 2'!U334,"")</f>
        <v>0</v>
      </c>
      <c r="BK334" s="195">
        <f>IFERROR($G334*(IF('Inputs Yr 2'!$AJ334=BK$4,'Inputs Yr 2'!$AK334,IF('Inputs Yr 2'!$AL334=BK$4,'Inputs Yr 2'!$AM334,IF('Inputs Yr 2'!$AN334=BK$4,'Inputs Yr 2'!$AO334,0))))*(INDEX(avoidedcosttbl2,$H334,BK$2)+(($H334-ROUNDDOWN($H334,0))*(INDEX(avoidedcosttbl2,ROUNDUP($H334,0),BK$2)-(INDEX(avoidedcosttbl2,ROUNDDOWN($H334,0),BK$2)))))*'Inputs Yr 2'!P334*'Inputs Yr 2'!Q334*'Inputs Yr 2'!U334,"")</f>
        <v>28510.878872146932</v>
      </c>
      <c r="BL334" s="195">
        <f>IFERROR($G334*(IF('Inputs Yr 2'!$AJ334=BL$4,'Inputs Yr 2'!$AK334,IF('Inputs Yr 2'!$AL334=BL$4,'Inputs Yr 2'!$AM334,IF('Inputs Yr 2'!$AN334=BL$4,'Inputs Yr 2'!$AO334,0))))*(INDEX(avoidedcosttbl2,$H334,BL$2)+(($H334-ROUNDDOWN($H334,0))*(INDEX(avoidedcosttbl2,ROUNDUP($H334,0),BL$2)-(INDEX(avoidedcosttbl2,ROUNDDOWN($H334,0),BL$2)))))*'Inputs Yr 2'!P334*'Inputs Yr 2'!Q334*'Inputs Yr 2'!U334,"")</f>
        <v>0</v>
      </c>
      <c r="BM334" s="195">
        <f>IFERROR($G334*(IF('Inputs Yr 2'!$AJ334=BM$4,'Inputs Yr 2'!$AK334,IF('Inputs Yr 2'!$AL334=BM$4,'Inputs Yr 2'!$AM334,IF('Inputs Yr 2'!$AN334=BM$4,'Inputs Yr 2'!$AO334,0))))*(INDEX(avoidedcosttbl2,$H334,BM$2)+(($H334-ROUNDDOWN($H334,0))*(INDEX(avoidedcosttbl2,ROUNDUP($H334,0),BM$2)-(INDEX(avoidedcosttbl2,ROUNDDOWN($H334,0),BM$2)))))*'Inputs Yr 2'!P334*'Inputs Yr 2'!Q334*'Inputs Yr 2'!U334,"")</f>
        <v>0</v>
      </c>
      <c r="BN334" s="195">
        <f>IFERROR($G334*(IF('Inputs Yr 2'!$AJ334=BN$4,'Inputs Yr 2'!$AK334,IF('Inputs Yr 2'!$AL334=BN$4,'Inputs Yr 2'!$AM334,IF('Inputs Yr 2'!$AN334=BN$4,'Inputs Yr 2'!$AO334,0))))*(INDEX(avoidedcosttbl2,$H334,BN$2)+(($H334-ROUNDDOWN($H334,0))*(INDEX(avoidedcosttbl2,ROUNDUP($H334,0),BN$2)-(INDEX(avoidedcosttbl2,ROUNDDOWN($H334,0),BN$2)))))*'Inputs Yr 2'!P334*'Inputs Yr 2'!Q334*'Inputs Yr 2'!U334,"")</f>
        <v>0</v>
      </c>
      <c r="BO334" s="195">
        <f>IFERROR($G334*(IF('Inputs Yr 2'!$AJ334=BO$4,'Inputs Yr 2'!$AK334,IF('Inputs Yr 2'!$AL334=BO$4,'Inputs Yr 2'!$AM334,IF('Inputs Yr 2'!$AN334=BO$4,'Inputs Yr 2'!$AO334,0))))*(INDEX(avoidedcosttbl2,$H334,BO$2)+(($H334-ROUNDDOWN($H334,0))*(INDEX(avoidedcosttbl2,ROUNDUP($H334,0),BO$2)-(INDEX(avoidedcosttbl2,ROUNDDOWN($H334,0),BO$2)))))*'Inputs Yr 2'!P334*'Inputs Yr 2'!Q334*'Inputs Yr 2'!U334,"")</f>
        <v>0</v>
      </c>
      <c r="BP334" s="195">
        <f>IFERROR($G334*(IF('Inputs Yr 2'!$AJ334=BP$4,'Inputs Yr 2'!$AK334,IF('Inputs Yr 2'!$AL334=BP$4,'Inputs Yr 2'!$AM334,IF('Inputs Yr 2'!$AN334=BP$4,'Inputs Yr 2'!$AO334,0))))*(INDEX(avoidedcosttbl2,$H334,BP$2)+(($H334-ROUNDDOWN($H334,0))*(INDEX(avoidedcosttbl2,ROUNDUP($H334,0),BP$2)-(INDEX(avoidedcosttbl2,ROUNDDOWN($H334,0),BP$2)))))*'Inputs Yr 2'!P334*'Inputs Yr 2'!Q334*'Inputs Yr 2'!U334,"")</f>
        <v>0</v>
      </c>
      <c r="BQ334" s="230">
        <f t="shared" si="188"/>
        <v>28510.878872146932</v>
      </c>
      <c r="BR334" s="197">
        <f t="shared" si="172"/>
        <v>509.55566010097243</v>
      </c>
      <c r="BS334" s="197">
        <f>IFERROR(($G334*IF('Inputs Yr 2'!$AJ334=BM$4,'Inputs Yr 2'!$AK334,IF('Inputs Yr 2'!$AL334=BM$4,'Inputs Yr 2'!$AM334,IF('Inputs Yr 2'!$AN334=BM$4,'Inputs Yr 2'!$AO334,0))))*(INDEX(avoidedcosttbl2,$H334,BS$2)+(($H334-ROUNDDOWN($H334,0))*(INDEX(avoidedcosttbl2,ROUNDUP($H334,0),BS$2)-(INDEX(avoidedcosttbl2,ROUNDDOWN($H334,0),BS$2)))))*'Inputs Yr 2'!P334*'Inputs Yr 2'!Q334*'Inputs Yr 2'!U334,"")</f>
        <v>0</v>
      </c>
      <c r="BT334" s="197">
        <f>IFERROR(($G334*IF('Inputs Yr 2'!$AJ334=BK$4,'Inputs Yr 2'!$AK334,IF('Inputs Yr 2'!$AL334=BK$4,'Inputs Yr 2'!$AM334,IF('Inputs Yr 2'!$AN334=BK$4,'Inputs Yr 2'!$AO334,0))))*(INDEX(avoidedcosttbl2,$H334,BT$2)+(($H334-ROUNDDOWN($H334,0))*(INDEX(avoidedcosttbl2,ROUNDUP($H334,0),BT$2)-(INDEX(avoidedcosttbl2,ROUNDDOWN($H334,0),BT$2)))))*'Inputs Yr 2'!P334*'Inputs Yr 2'!Q334*'Inputs Yr 2'!U334,"")</f>
        <v>3884.1399311582504</v>
      </c>
      <c r="BU334" s="197">
        <f>IFERROR(($G334*IF('Inputs Yr 2'!$AJ334=BL$4,'Inputs Yr 2'!$AK334,IF('Inputs Yr 2'!$AL334=BL$4,'Inputs Yr 2'!$AM334,IF('Inputs Yr 2'!$AN334=BL$4,'Inputs Yr 2'!$AO334,0))))*(INDEX(avoidedcosttbl2,$H334,BU$2)+(($H334-ROUNDDOWN($H334,0))*(INDEX(avoidedcosttbl2,ROUNDUP($H334,0),BU$2)-(INDEX(avoidedcosttbl2,ROUNDDOWN($H334,0),BU$2)))))*'Inputs Yr 2'!P334*'Inputs Yr 2'!Q334*'Inputs Yr 2'!U334,"")</f>
        <v>0</v>
      </c>
      <c r="BV334" s="775">
        <f>IFERROR(($G334*IF('Inputs Yr 2'!$AJ334=BJ$4,'Inputs Yr 2'!$AK334,IF('Inputs Yr 2'!$AL334=BJ$4,'Inputs Yr 2'!$AM334,IF('Inputs Yr 2'!$AN334=BJ$4,'Inputs Yr 2'!$AO334,0))))*(INDEX(avoidedcosttbl2,$H334,BV$2)+(($H334-ROUNDDOWN($H334,0))*(INDEX(avoidedcosttbl2,ROUNDUP($H334,0),BV$2)-(INDEX(avoidedcosttbl2,ROUNDDOWN($H334,0),BV$2)))))*'Inputs Yr 2'!P334*'Inputs Yr 2'!Q334*'Inputs Yr 2'!U334,"")</f>
        <v>0</v>
      </c>
      <c r="BW334" s="197">
        <f>IFERROR(($G334*IF('Inputs Yr 2'!$AJ334=BN$4,'Inputs Yr 2'!$AK334,IF('Inputs Yr 2'!$AL334=BN$4,'Inputs Yr 2'!$AM334,IF('Inputs Yr 2'!$AN334=BN$4,'Inputs Yr 2'!$AO334,0))))*(INDEX(avoidedcosttbl2,$H334,BW$2)+(($H334-ROUNDDOWN($H334,0))*(INDEX(avoidedcosttbl2,ROUNDUP($H334,0),BW$2)-(INDEX(avoidedcosttbl2,ROUNDDOWN($H334,0),BW$2)))))*'Inputs Yr 2'!P334*'Inputs Yr 2'!Q334*'Inputs Yr 2'!U334,"")</f>
        <v>0</v>
      </c>
      <c r="BX334" s="197">
        <f>IFERROR(($G334*IF('Inputs Yr 2'!$AJ334=BO$4,'Inputs Yr 2'!$AK334,IF('Inputs Yr 2'!$AL334=BO$4,'Inputs Yr 2'!$AM334,IF('Inputs Yr 2'!$AN334=BO$4,'Inputs Yr 2'!$AO334,0))))*(INDEX(avoidedcosttbl2,$H334,BX$2)+(($H334-ROUNDDOWN($H334,0))*(INDEX(avoidedcosttbl2,ROUNDUP($H334,0),BX$2)-(INDEX(avoidedcosttbl2,ROUNDDOWN($H334,0),BX$2)))))*'Inputs Yr 2'!P334*'Inputs Yr 2'!Q334*'Inputs Yr 2'!U334,"")</f>
        <v>0</v>
      </c>
      <c r="BY334" s="197">
        <f>IFERROR(($G334*IF('Inputs Yr 2'!$AJ334=BP$4,'Inputs Yr 2'!$AK334,IF('Inputs Yr 2'!$AL334=BP$4,'Inputs Yr 2'!$AM334,IF('Inputs Yr 2'!$AN334=BP$4,'Inputs Yr 2'!$AO334,0))))*(INDEX(avoidedcosttbl2,$H334,BY$2)+(($H334-ROUNDDOWN($H334,0))*(INDEX(avoidedcosttbl2,ROUNDUP($H334,0),BY$2)-(INDEX(avoidedcosttbl2,ROUNDDOWN($H334,0),BY$2)))))*'Inputs Yr 2'!P334*'Inputs Yr 2'!Q334*'Inputs Yr 2'!U334,"")</f>
        <v>0</v>
      </c>
      <c r="BZ334" s="193">
        <f t="shared" si="189"/>
        <v>4393.695591259223</v>
      </c>
      <c r="CA334" s="193">
        <f t="shared" si="190"/>
        <v>32904.574463406156</v>
      </c>
      <c r="CB334" s="195">
        <f>IFERROR(G334*(IF('Inputs Yr 2'!$AJ334=CB$4,'Inputs Yr 2'!$AK334,IF('Inputs Yr 2'!$AL334=CB$4,'Inputs Yr 2'!$AM334,IF('Inputs Yr 2'!$AN334=CB$4,'Inputs Yr 2'!$AO334,0))))*(INDEX(avoidedcosttbl2,$H334,CB$2)+(($H334-ROUNDDOWN($H334,0))*(INDEX(avoidedcosttbl2,ROUNDUP($H334,0),CB$2)-(INDEX(avoidedcosttbl2,ROUNDDOWN($H334,0),CB$2)))))*'Inputs Yr 2'!P334*'Inputs Yr 2'!Q334*'Inputs Yr 2'!U334,"")</f>
        <v>0</v>
      </c>
      <c r="CC334" s="195">
        <f>IFERROR(H334*(IF('Inputs Yr 2'!$AJ334=CC$4,'Inputs Yr 2'!$AK334,IF('Inputs Yr 2'!$AL334=CC$4,'Inputs Yr 2'!$AM334,IF('Inputs Yr 2'!$AN334=CC$4,'Inputs Yr 2'!$AO334,0))))*(INDEX(avoidedcosttbl2,$H334,CC$2)+(($H334-ROUNDDOWN($H334,0))*(INDEX(avoidedcosttbl2,ROUNDUP($H334,0),CC$2)-(INDEX(avoidedcosttbl2,ROUNDDOWN($H334,0),CC$2)))))*'Inputs Yr 2'!Q334*'Inputs Yr 2'!R334*'Inputs Yr 2'!V334,"")</f>
        <v>0</v>
      </c>
      <c r="CD334" s="195">
        <f>IFERROR(I334*(IF('Inputs Yr 2'!$AJ334=CD$4,'Inputs Yr 2'!$AK334,IF('Inputs Yr 2'!$AL334=CD$4,'Inputs Yr 2'!$AM334,IF('Inputs Yr 2'!$AN334=CD$4,'Inputs Yr 2'!$AO334,0))))*(INDEX(avoidedcosttbl2,$H334,CD$2)+(($H334-ROUNDDOWN($H334,0))*(INDEX(avoidedcosttbl2,ROUNDUP($H334,0),CD$2)-(INDEX(avoidedcosttbl2,ROUNDDOWN($H334,0),CD$2)))))*'Inputs Yr 2'!R334*'Inputs Yr 2'!S334*'Inputs Yr 2'!W334,"")</f>
        <v>0</v>
      </c>
      <c r="CE334" s="213">
        <f t="shared" si="191"/>
        <v>15215.683134214023</v>
      </c>
      <c r="CF334" s="213">
        <f t="shared" si="192"/>
        <v>0</v>
      </c>
      <c r="CG334" s="213">
        <f t="shared" si="193"/>
        <v>0</v>
      </c>
      <c r="CH334" s="698">
        <f t="shared" si="194"/>
        <v>48120.257597620177</v>
      </c>
      <c r="CI334" s="79">
        <f>IFERROR(($G334*'Inputs Yr 2'!$P334*'Inputs Yr 2'!$Q334*(((INDEX(avoidedcosttbl2,$H334,CI$2)+(($H334-ROUNDDOWN($H334,0))*(INDEX(avoidedcosttbl2,ROUNDUP($H334,0),CI$2)-INDEX(avoidedcosttbl2,ROUNDDOWN($H334,0),CI$2))))*'Inputs Yr 2'!AS334))),"")</f>
        <v>2453.7224405434049</v>
      </c>
      <c r="CJ334" s="504">
        <f>IFERROR($G334*'Inputs Yr 2'!AT334*'Inputs Yr 2'!$P334*'Inputs Yr 2'!$Q334/((1+realdiscrt1)^-0.5),"")</f>
        <v>0</v>
      </c>
      <c r="CK334" s="79">
        <f>IFERROR((O334*1000*(((INDEX(avoidedcosttbl2,$H334,CK$2)+(($H334-ROUNDDOWN($H334,0))*(INDEX(avoidedcosttbl2,ROUNDUP($H334,0),CK$2)-INDEX(avoidedcosttbl2,ROUNDDOWN($H334,0),CK$2))))*'Inputs Yr 2'!AU334))),"")</f>
        <v>0</v>
      </c>
      <c r="CL334" s="504">
        <f>IFERROR(O334*1000*'Inputs Yr 2'!AV334/((1+realdiscrt1)^-0.5),"")</f>
        <v>0</v>
      </c>
      <c r="CM334" s="79">
        <f>IFERROR((AB334*'Inputs Yr 2'!AW334*(((INDEX(avoidedcosttbl2,$H334,CM$2)+(($H334-ROUNDDOWN($H334,0))*(INDEX(avoidedcosttbl2,ROUNDUP($H334,0),CM$2)-INDEX(avoidedcosttbl2,ROUNDDOWN($H334,0),CM$2)))))))*10,"")</f>
        <v>0</v>
      </c>
      <c r="CN334" s="504">
        <f>IFERROR(10*AB334*'Inputs Yr 2'!AX334/((1+realdiscrt1)^-0.5),"")</f>
        <v>0</v>
      </c>
      <c r="CO334" s="505">
        <f t="shared" si="195"/>
        <v>2453.7224405434049</v>
      </c>
      <c r="CP334" s="230">
        <f t="shared" si="196"/>
        <v>50573.98003816358</v>
      </c>
      <c r="CQ334" s="199">
        <f>ROUND(IFERROR(IF(LEFT($A334,1)="C",'Avoided Costs'!$K$13,'Avoided Costs'!$K$12)+1,""),4)</f>
        <v>1.0720000000000001</v>
      </c>
      <c r="CR334" s="199">
        <f>ROUND(IFERROR(IF(LEFT($A334,1)="C",'Avoided Costs'!$L$13,'Avoided Costs'!$L$12)+1,""),4)</f>
        <v>1.04</v>
      </c>
      <c r="CS334" s="199">
        <f>ROUND(IFERROR(IF(LEFT($A334,1)="C",'Avoided Costs'!$M$13,'Avoided Costs'!$M$12)+1,""),4)</f>
        <v>1.0720000000000001</v>
      </c>
      <c r="CT334" s="199">
        <f>ROUND(IFERROR(IF(LEFT($A334,1)="C",'Avoided Costs'!$N$13,'Avoided Costs'!$N$12)+1,""),4)</f>
        <v>1.04</v>
      </c>
      <c r="CU334" s="199">
        <f>ROUND(IFERROR(IF(LEFT($A334,1)="C",'Avoided Costs'!$O$13,'Avoided Costs'!$O$12)+1,""),4)</f>
        <v>1.1120000000000001</v>
      </c>
      <c r="CV334" s="199">
        <f>ROUND(IFERROR(IF(LEFT($A334,1)="C",'Avoided Costs'!$P$13,'Avoided Costs'!$P$12)+1,""),4)</f>
        <v>1.095</v>
      </c>
      <c r="CW334" s="199">
        <f>ROUND(IFERROR(IF(LEFT($A334,1)="C",'Avoided Costs'!$Q$13,'Avoided Costs'!$Q$12)+1,""),4)</f>
        <v>1.1120000000000001</v>
      </c>
      <c r="CX334" s="200">
        <f>ROUND(IFERROR(IF(LEFT($A334,1)="C",'Avoided Costs'!$R$13,'Avoided Costs'!$R$12)+1,""),4)</f>
        <v>1.1120000000000001</v>
      </c>
    </row>
    <row r="335" spans="1:102" s="201" customFormat="1" ht="12.75" customHeight="1">
      <c r="A335" s="91" t="str">
        <f>IF('Inputs Yr 2'!$B335=0,"",'Inputs Yr 2'!A335)</f>
        <v>C - Commercial &amp; Industrial</v>
      </c>
      <c r="B335" s="91" t="str">
        <f>IF('Inputs Yr 2'!$B335=0,"",'Inputs Yr 2'!B335)</f>
        <v>C2 - C&amp;I Retrofit</v>
      </c>
      <c r="C335" s="91" t="str">
        <f>IF('Inputs Yr 2'!$B335=0,"",'Inputs Yr 2'!C335)</f>
        <v xml:space="preserve">C2c - C&amp;I Multifamily Retrofit </v>
      </c>
      <c r="D335" s="91" t="str">
        <f>IF('Inputs Yr 2'!$B335=0,"",'Inputs Yr 2'!E335)</f>
        <v>Low Flow Showerhead, Gas</v>
      </c>
      <c r="E335" s="93" t="str">
        <f>IF('Inputs Yr 2'!$B335=0,"",'Inputs Yr 2'!F335)</f>
        <v>G16C2c10</v>
      </c>
      <c r="F335" s="93" t="str">
        <f>IF('Inputs Yr 2'!$B335=0,"",'Inputs Yr 2'!G335)</f>
        <v>Hot Water</v>
      </c>
      <c r="G335" s="95">
        <f>IF('Inputs Yr 2'!$H335&lt;&gt;0,('Inputs Yr 2'!H335),"")</f>
        <v>486</v>
      </c>
      <c r="H335" s="94">
        <f>IFERROR('Inputs Yr 2'!I335,"")</f>
        <v>7</v>
      </c>
      <c r="I335" s="298">
        <f>IFERROR('Inputs Yr 2'!J335*'Inputs Yr 2'!P335*G335,"")</f>
        <v>6546.0625</v>
      </c>
      <c r="J335" s="298">
        <f>IFERROR('Inputs Yr 2'!K335*G335,"")</f>
        <v>7701.25</v>
      </c>
      <c r="K335" s="298">
        <f t="shared" si="173"/>
        <v>-1155.1875</v>
      </c>
      <c r="L335" s="194">
        <f>IFERROR(('Inputs Yr 2'!W335*G335)/1000,"")</f>
        <v>0</v>
      </c>
      <c r="M335" s="194">
        <f>IFERROR(L335*('Inputs Yr 2'!$Q335*'Inputs Yr 2'!$V335*'Inputs Yr 2'!$R335),"")</f>
        <v>0</v>
      </c>
      <c r="N335" s="194">
        <f t="shared" si="174"/>
        <v>0</v>
      </c>
      <c r="O335" s="194">
        <f>IFERROR(M335*'Inputs Yr 2'!P335,"")</f>
        <v>0</v>
      </c>
      <c r="P335" s="194">
        <f t="shared" si="175"/>
        <v>0</v>
      </c>
      <c r="Q335" s="194">
        <f>IFERROR($P335*'Inputs Yr 2'!AA335,"")</f>
        <v>0</v>
      </c>
      <c r="R335" s="194">
        <f>IFERROR($P335*'Inputs Yr 2'!AB335,"")</f>
        <v>0</v>
      </c>
      <c r="S335" s="194">
        <f>IFERROR($P335*'Inputs Yr 2'!AC335,"")</f>
        <v>0</v>
      </c>
      <c r="T335" s="194">
        <f>IFERROR($P335*'Inputs Yr 2'!AD335,"")</f>
        <v>0</v>
      </c>
      <c r="U335" s="194">
        <f>IFERROR(G335*'Inputs Yr 2'!$AE335*'Inputs Yr 2'!$P335*'Inputs Yr 2'!$Q335,"")</f>
        <v>0</v>
      </c>
      <c r="V335" s="194">
        <f>IFERROR($G335*'Inputs Yr 2'!$AE335*'Inputs Yr 2'!$AG335*'Inputs Yr 2'!Q335*'Inputs Yr 2'!$S335,"")</f>
        <v>0</v>
      </c>
      <c r="W335" s="194">
        <f>IFERROR($G335*'Inputs Yr 2'!$AE335*'Inputs Yr 2'!$AG335*'Inputs Yr 2'!P335*'Inputs Yr 2'!Q335*'Inputs Yr 2'!$S335,"")</f>
        <v>0</v>
      </c>
      <c r="X335" s="194">
        <f>IFERROR($G335*'Inputs Yr 2'!$AE335*'Inputs Yr 2'!$AF335*'Inputs Yr 2'!Q335*'Inputs Yr 2'!$T335,"")</f>
        <v>0</v>
      </c>
      <c r="Y335" s="194">
        <f>IFERROR($G335*'Inputs Yr 2'!$AE335*'Inputs Yr 2'!$AF335*'Inputs Yr 2'!P335*'Inputs Yr 2'!Q335*'Inputs Yr 2'!$T335,"")</f>
        <v>0</v>
      </c>
      <c r="Z335" s="257">
        <f>IFERROR($G335*'Inputs Yr 2'!$Q335*'Inputs Yr 2'!$U335*(IF(IFERROR(SEARCH("NG", 'Inputs Yr 2'!$AJ335),0),'Inputs Yr 2'!$AK335,0)+IF(IFERROR(SEARCH("NG", 'Inputs Yr 2'!$AL335),0),'Inputs Yr 2'!$AM335,0)+IF(IFERROR(SEARCH("NG", 'Inputs Yr 2'!$AN335),0),'Inputs Yr 2'!$AO335,0)),0)</f>
        <v>554.04000000000008</v>
      </c>
      <c r="AA335" s="257">
        <f t="shared" si="176"/>
        <v>3878.2800000000007</v>
      </c>
      <c r="AB335" s="257">
        <f>IFERROR(Z335*'Inputs Yr 2'!$P335,0)</f>
        <v>470.93400000000003</v>
      </c>
      <c r="AC335" s="257">
        <f t="shared" si="177"/>
        <v>3296.538</v>
      </c>
      <c r="AD335" s="257">
        <f>IFERROR($G335*'Inputs Yr 2'!$Q335*'Inputs Yr 2'!$U335*(IF(IFERROR(SEARCH("Oil", 'Inputs Yr 2'!$AJ335), 0),'Inputs Yr 2'!$AK335,0)+IF(IFERROR(SEARCH("Oil", 'Inputs Yr 2'!$AL335), 0),'Inputs Yr 2'!$AM335,0)+IF(IFERROR(SEARCH("Oil", 'Inputs Yr 2'!$AN335), 0),'Inputs Yr 2'!$AO335,0)),0)</f>
        <v>0</v>
      </c>
      <c r="AE335" s="257">
        <f t="shared" si="178"/>
        <v>0</v>
      </c>
      <c r="AF335" s="257">
        <f>IFERROR(AD335*'Inputs Yr 2'!$P335,0)</f>
        <v>0</v>
      </c>
      <c r="AG335" s="257">
        <f t="shared" si="179"/>
        <v>0</v>
      </c>
      <c r="AH335" s="257">
        <f>IFERROR($G335*'Inputs Yr 2'!$Q335*'Inputs Yr 2'!$U335*(IF('Inputs Yr 2'!$AJ335=CD$4,'Inputs Yr 2'!$AK335,IF('Inputs Yr 2'!$AL335=CD$4,'Inputs Yr 2'!$AM335,IF('Inputs Yr 2'!$AN335=CD$4,'Inputs Yr 2'!$AO335,0)))),0)</f>
        <v>0</v>
      </c>
      <c r="AI335" s="257">
        <f t="shared" si="180"/>
        <v>0</v>
      </c>
      <c r="AJ335" s="257">
        <f>IFERROR(AH335*'Inputs Yr 2'!$P335,0)</f>
        <v>0</v>
      </c>
      <c r="AK335" s="257">
        <f t="shared" si="181"/>
        <v>0</v>
      </c>
      <c r="AL335" s="258">
        <f>IFERROR($G335*'Inputs Yr 2'!$P335*'Inputs Yr 2'!$Q335*'Inputs Yr 2'!AP335,0)</f>
        <v>894361.49999999988</v>
      </c>
      <c r="AM335" s="260">
        <f>IFERROR($G335*'Inputs Yr 2'!$P335*'Inputs Yr 2'!$Q335*'Inputs Yr 2'!AQ335,0)</f>
        <v>0</v>
      </c>
      <c r="AN335" s="258">
        <f>IFERROR($G335*'Inputs Yr 2'!$P335*'Inputs Yr 2'!$Q335*'Inputs Yr 2'!AR335,0)</f>
        <v>0</v>
      </c>
      <c r="AO335" s="257">
        <f t="shared" si="182"/>
        <v>6260530.4999999991</v>
      </c>
      <c r="AP335" s="195">
        <f>IFERROR($CQ335*(INDEX(avoidedcosttbl2,$H335,AP$2)+(($H335-ROUNDDOWN($H335,0))*(INDEX(avoidedcosttbl2,ROUNDUP($H335,0),AP$2)-(INDEX(avoidedcosttbl2,ROUNDDOWN($H335,0),AP$2)))))*$O335*1000*'Inputs Yr 2'!AA335,"")</f>
        <v>0</v>
      </c>
      <c r="AQ335" s="195">
        <f>IFERROR($CR335*(INDEX(avoidedcosttbl2,$H335,AQ$2)+(($H335-ROUNDDOWN($H335,0))*(INDEX(avoidedcosttbl2,ROUNDUP($H335,0),AQ$2)-(INDEX(avoidedcosttbl2,ROUNDDOWN($H335,0),AQ$2)))))*$O335*1000*'Inputs Yr 2'!AB335,"")</f>
        <v>0</v>
      </c>
      <c r="AR335" s="195">
        <f>IFERROR($CS335*(INDEX(avoidedcosttbl2,$H335,AR$2)+(($H335-ROUNDDOWN($H335,0))*(INDEX(avoidedcosttbl2,ROUNDUP($H335,0),AR$2)-(INDEX(avoidedcosttbl2,ROUNDDOWN($H335,0),AR$2)))))*$O335*1000*'Inputs Yr 2'!AC335,"")</f>
        <v>0</v>
      </c>
      <c r="AS335" s="195">
        <f>IFERROR($CT335*(INDEX(avoidedcosttbl2,$H335,AS$2)+(($H335-ROUNDDOWN($H335,0))*(INDEX(avoidedcosttbl2,ROUNDUP($H335,0),AS$2)-(INDEX(avoidedcosttbl2,ROUNDDOWN($H335,0),AS$2)))))*$O335*1000*'Inputs Yr 2'!AD335,"")</f>
        <v>0</v>
      </c>
      <c r="AT335" s="196">
        <f t="shared" si="183"/>
        <v>0</v>
      </c>
      <c r="AU335" s="197">
        <f>IFERROR($CQ335*((INDEX(avoidedcosttbl2,$H335,AU$2))+(($H335-ROUNDDOWN($H335,0))*((INDEX(avoidedcosttbl2,ROUNDUP($H335,0),AU$2))-(INDEX(avoidedcosttbl2,ROUNDDOWN($H335,0),AU$2)))))*$O335*1000*'Inputs Yr 2'!AA335,"")</f>
        <v>0</v>
      </c>
      <c r="AV335" s="197">
        <f>IFERROR($CR335*((INDEX(avoidedcosttbl2,$H335,AV$2))+(($H335-ROUNDDOWN($H335,0))*((INDEX(avoidedcosttbl2,ROUNDUP($H335,0),AV$2))-(INDEX(avoidedcosttbl2,ROUNDDOWN($H335,0),AV$2)))))*$O335*1000*'Inputs Yr 2'!AB335,"")</f>
        <v>0</v>
      </c>
      <c r="AW335" s="197">
        <f>IFERROR($CS335*((INDEX(avoidedcosttbl2,$H335,AW$2))+(($H335-ROUNDDOWN($H335,0))*((INDEX(avoidedcosttbl2,ROUNDUP($H335,0),AW$2))-(INDEX(avoidedcosttbl2,ROUNDDOWN($H335,0),AW$2)))))*$O335*1000*'Inputs Yr 2'!AC335,"")</f>
        <v>0</v>
      </c>
      <c r="AX335" s="197">
        <f>IFERROR($CT335*((INDEX(avoidedcosttbl2,$H335,AX$2))+(($H335-ROUNDDOWN($H335,0))*((INDEX(avoidedcosttbl2,ROUNDUP($H335,0),AX$2))-(INDEX(avoidedcosttbl2,ROUNDDOWN($H335,0),AX$2)))))*$O335*1000*'Inputs Yr 2'!AD335,"")</f>
        <v>0</v>
      </c>
      <c r="AY335" s="197">
        <f>IFERROR(((INDEX(avoidedcosttbl2,$H335,AY$2))+(($H335-ROUNDDOWN($H335,0))*((INDEX(avoidedcosttbl2,ROUNDUP($H335,0),AY$2))-(INDEX(avoidedcosttbl2,ROUNDDOWN($H335,0),AY$2)))))*$O335*1000*('Inputs Yr 2'!AC335+'Inputs Yr 2'!AD335),"")</f>
        <v>0</v>
      </c>
      <c r="AZ335" s="197">
        <f>IFERROR(((INDEX(avoidedcosttbl2,$H335,AZ$2))+(($H335-ROUNDDOWN($H335,0))*((INDEX(avoidedcosttbl2,ROUNDUP($H335,0),AZ$2))-(INDEX(avoidedcosttbl2,ROUNDDOWN($H335,0),AZ$2)))))*$O335*1000*('Inputs Yr 2'!AA335+'Inputs Yr 2'!AB335),"")</f>
        <v>0</v>
      </c>
      <c r="BA335" s="198">
        <f t="shared" si="184"/>
        <v>0</v>
      </c>
      <c r="BB335" s="198">
        <f t="shared" si="185"/>
        <v>0</v>
      </c>
      <c r="BC335" s="195">
        <f t="shared" si="167"/>
        <v>0</v>
      </c>
      <c r="BD335" s="195">
        <f t="shared" si="168"/>
        <v>0</v>
      </c>
      <c r="BE335" s="195">
        <f t="shared" si="169"/>
        <v>0</v>
      </c>
      <c r="BF335" s="195">
        <f t="shared" si="170"/>
        <v>0</v>
      </c>
      <c r="BG335" s="195">
        <f t="shared" si="171"/>
        <v>0</v>
      </c>
      <c r="BH335" s="196">
        <f t="shared" si="186"/>
        <v>0</v>
      </c>
      <c r="BI335" s="196">
        <f t="shared" si="187"/>
        <v>0</v>
      </c>
      <c r="BJ335" s="195">
        <f>IFERROR($G335*(IF('Inputs Yr 2'!$AJ335=BJ$4,'Inputs Yr 2'!$AK335,IF('Inputs Yr 2'!$AL335=BJ$4,'Inputs Yr 2'!$AM335,IF('Inputs Yr 2'!$AN335=BJ$4,'Inputs Yr 2'!$AO335,0))))*(INDEX(avoidedcosttbl2,$H335,BJ$2)+(($H335-ROUNDDOWN($H335,0))*(INDEX(avoidedcosttbl2,ROUNDUP($H335,0),BJ$2)-(INDEX(avoidedcosttbl2,ROUNDDOWN($H335,0),BJ$2)))))*'Inputs Yr 2'!P335*'Inputs Yr 2'!Q335*'Inputs Yr 2'!U335,"")</f>
        <v>0</v>
      </c>
      <c r="BK335" s="195">
        <f>IFERROR($G335*(IF('Inputs Yr 2'!$AJ335=BK$4,'Inputs Yr 2'!$AK335,IF('Inputs Yr 2'!$AL335=BK$4,'Inputs Yr 2'!$AM335,IF('Inputs Yr 2'!$AN335=BK$4,'Inputs Yr 2'!$AO335,0))))*(INDEX(avoidedcosttbl2,$H335,BK$2)+(($H335-ROUNDDOWN($H335,0))*(INDEX(avoidedcosttbl2,ROUNDUP($H335,0),BK$2)-(INDEX(avoidedcosttbl2,ROUNDDOWN($H335,0),BK$2)))))*'Inputs Yr 2'!P335*'Inputs Yr 2'!Q335*'Inputs Yr 2'!U335,"")</f>
        <v>25439.939654583988</v>
      </c>
      <c r="BL335" s="195">
        <f>IFERROR($G335*(IF('Inputs Yr 2'!$AJ335=BL$4,'Inputs Yr 2'!$AK335,IF('Inputs Yr 2'!$AL335=BL$4,'Inputs Yr 2'!$AM335,IF('Inputs Yr 2'!$AN335=BL$4,'Inputs Yr 2'!$AO335,0))))*(INDEX(avoidedcosttbl2,$H335,BL$2)+(($H335-ROUNDDOWN($H335,0))*(INDEX(avoidedcosttbl2,ROUNDUP($H335,0),BL$2)-(INDEX(avoidedcosttbl2,ROUNDDOWN($H335,0),BL$2)))))*'Inputs Yr 2'!P335*'Inputs Yr 2'!Q335*'Inputs Yr 2'!U335,"")</f>
        <v>0</v>
      </c>
      <c r="BM335" s="195">
        <f>IFERROR($G335*(IF('Inputs Yr 2'!$AJ335=BM$4,'Inputs Yr 2'!$AK335,IF('Inputs Yr 2'!$AL335=BM$4,'Inputs Yr 2'!$AM335,IF('Inputs Yr 2'!$AN335=BM$4,'Inputs Yr 2'!$AO335,0))))*(INDEX(avoidedcosttbl2,$H335,BM$2)+(($H335-ROUNDDOWN($H335,0))*(INDEX(avoidedcosttbl2,ROUNDUP($H335,0),BM$2)-(INDEX(avoidedcosttbl2,ROUNDDOWN($H335,0),BM$2)))))*'Inputs Yr 2'!P335*'Inputs Yr 2'!Q335*'Inputs Yr 2'!U335,"")</f>
        <v>0</v>
      </c>
      <c r="BN335" s="195">
        <f>IFERROR($G335*(IF('Inputs Yr 2'!$AJ335=BN$4,'Inputs Yr 2'!$AK335,IF('Inputs Yr 2'!$AL335=BN$4,'Inputs Yr 2'!$AM335,IF('Inputs Yr 2'!$AN335=BN$4,'Inputs Yr 2'!$AO335,0))))*(INDEX(avoidedcosttbl2,$H335,BN$2)+(($H335-ROUNDDOWN($H335,0))*(INDEX(avoidedcosttbl2,ROUNDUP($H335,0),BN$2)-(INDEX(avoidedcosttbl2,ROUNDDOWN($H335,0),BN$2)))))*'Inputs Yr 2'!P335*'Inputs Yr 2'!Q335*'Inputs Yr 2'!U335,"")</f>
        <v>0</v>
      </c>
      <c r="BO335" s="195">
        <f>IFERROR($G335*(IF('Inputs Yr 2'!$AJ335=BO$4,'Inputs Yr 2'!$AK335,IF('Inputs Yr 2'!$AL335=BO$4,'Inputs Yr 2'!$AM335,IF('Inputs Yr 2'!$AN335=BO$4,'Inputs Yr 2'!$AO335,0))))*(INDEX(avoidedcosttbl2,$H335,BO$2)+(($H335-ROUNDDOWN($H335,0))*(INDEX(avoidedcosttbl2,ROUNDUP($H335,0),BO$2)-(INDEX(avoidedcosttbl2,ROUNDDOWN($H335,0),BO$2)))))*'Inputs Yr 2'!P335*'Inputs Yr 2'!Q335*'Inputs Yr 2'!U335,"")</f>
        <v>0</v>
      </c>
      <c r="BP335" s="195">
        <f>IFERROR($G335*(IF('Inputs Yr 2'!$AJ335=BP$4,'Inputs Yr 2'!$AK335,IF('Inputs Yr 2'!$AL335=BP$4,'Inputs Yr 2'!$AM335,IF('Inputs Yr 2'!$AN335=BP$4,'Inputs Yr 2'!$AO335,0))))*(INDEX(avoidedcosttbl2,$H335,BP$2)+(($H335-ROUNDDOWN($H335,0))*(INDEX(avoidedcosttbl2,ROUNDUP($H335,0),BP$2)-(INDEX(avoidedcosttbl2,ROUNDDOWN($H335,0),BP$2)))))*'Inputs Yr 2'!P335*'Inputs Yr 2'!Q335*'Inputs Yr 2'!U335,"")</f>
        <v>0</v>
      </c>
      <c r="BQ335" s="230">
        <f t="shared" si="188"/>
        <v>25439.939654583988</v>
      </c>
      <c r="BR335" s="197">
        <f t="shared" si="172"/>
        <v>454.67083991873807</v>
      </c>
      <c r="BS335" s="197">
        <f>IFERROR(($G335*IF('Inputs Yr 2'!$AJ335=BM$4,'Inputs Yr 2'!$AK335,IF('Inputs Yr 2'!$AL335=BM$4,'Inputs Yr 2'!$AM335,IF('Inputs Yr 2'!$AN335=BM$4,'Inputs Yr 2'!$AO335,0))))*(INDEX(avoidedcosttbl2,$H335,BS$2)+(($H335-ROUNDDOWN($H335,0))*(INDEX(avoidedcosttbl2,ROUNDUP($H335,0),BS$2)-(INDEX(avoidedcosttbl2,ROUNDDOWN($H335,0),BS$2)))))*'Inputs Yr 2'!P335*'Inputs Yr 2'!Q335*'Inputs Yr 2'!U335,"")</f>
        <v>0</v>
      </c>
      <c r="BT335" s="197">
        <f>IFERROR(($G335*IF('Inputs Yr 2'!$AJ335=BK$4,'Inputs Yr 2'!$AK335,IF('Inputs Yr 2'!$AL335=BK$4,'Inputs Yr 2'!$AM335,IF('Inputs Yr 2'!$AN335=BK$4,'Inputs Yr 2'!$AO335,0))))*(INDEX(avoidedcosttbl2,$H335,BT$2)+(($H335-ROUNDDOWN($H335,0))*(INDEX(avoidedcosttbl2,ROUNDUP($H335,0),BT$2)-(INDEX(avoidedcosttbl2,ROUNDDOWN($H335,0),BT$2)))))*'Inputs Yr 2'!P335*'Inputs Yr 2'!Q335*'Inputs Yr 2'!U335,"")</f>
        <v>3465.7747978144002</v>
      </c>
      <c r="BU335" s="197">
        <f>IFERROR(($G335*IF('Inputs Yr 2'!$AJ335=BL$4,'Inputs Yr 2'!$AK335,IF('Inputs Yr 2'!$AL335=BL$4,'Inputs Yr 2'!$AM335,IF('Inputs Yr 2'!$AN335=BL$4,'Inputs Yr 2'!$AO335,0))))*(INDEX(avoidedcosttbl2,$H335,BU$2)+(($H335-ROUNDDOWN($H335,0))*(INDEX(avoidedcosttbl2,ROUNDUP($H335,0),BU$2)-(INDEX(avoidedcosttbl2,ROUNDDOWN($H335,0),BU$2)))))*'Inputs Yr 2'!P335*'Inputs Yr 2'!Q335*'Inputs Yr 2'!U335,"")</f>
        <v>0</v>
      </c>
      <c r="BV335" s="775">
        <f>IFERROR(($G335*IF('Inputs Yr 2'!$AJ335=BJ$4,'Inputs Yr 2'!$AK335,IF('Inputs Yr 2'!$AL335=BJ$4,'Inputs Yr 2'!$AM335,IF('Inputs Yr 2'!$AN335=BJ$4,'Inputs Yr 2'!$AO335,0))))*(INDEX(avoidedcosttbl2,$H335,BV$2)+(($H335-ROUNDDOWN($H335,0))*(INDEX(avoidedcosttbl2,ROUNDUP($H335,0),BV$2)-(INDEX(avoidedcosttbl2,ROUNDDOWN($H335,0),BV$2)))))*'Inputs Yr 2'!P335*'Inputs Yr 2'!Q335*'Inputs Yr 2'!U335,"")</f>
        <v>0</v>
      </c>
      <c r="BW335" s="197">
        <f>IFERROR(($G335*IF('Inputs Yr 2'!$AJ335=BN$4,'Inputs Yr 2'!$AK335,IF('Inputs Yr 2'!$AL335=BN$4,'Inputs Yr 2'!$AM335,IF('Inputs Yr 2'!$AN335=BN$4,'Inputs Yr 2'!$AO335,0))))*(INDEX(avoidedcosttbl2,$H335,BW$2)+(($H335-ROUNDDOWN($H335,0))*(INDEX(avoidedcosttbl2,ROUNDUP($H335,0),BW$2)-(INDEX(avoidedcosttbl2,ROUNDDOWN($H335,0),BW$2)))))*'Inputs Yr 2'!P335*'Inputs Yr 2'!Q335*'Inputs Yr 2'!U335,"")</f>
        <v>0</v>
      </c>
      <c r="BX335" s="197">
        <f>IFERROR(($G335*IF('Inputs Yr 2'!$AJ335=BO$4,'Inputs Yr 2'!$AK335,IF('Inputs Yr 2'!$AL335=BO$4,'Inputs Yr 2'!$AM335,IF('Inputs Yr 2'!$AN335=BO$4,'Inputs Yr 2'!$AO335,0))))*(INDEX(avoidedcosttbl2,$H335,BX$2)+(($H335-ROUNDDOWN($H335,0))*(INDEX(avoidedcosttbl2,ROUNDUP($H335,0),BX$2)-(INDEX(avoidedcosttbl2,ROUNDDOWN($H335,0),BX$2)))))*'Inputs Yr 2'!P335*'Inputs Yr 2'!Q335*'Inputs Yr 2'!U335,"")</f>
        <v>0</v>
      </c>
      <c r="BY335" s="197">
        <f>IFERROR(($G335*IF('Inputs Yr 2'!$AJ335=BP$4,'Inputs Yr 2'!$AK335,IF('Inputs Yr 2'!$AL335=BP$4,'Inputs Yr 2'!$AM335,IF('Inputs Yr 2'!$AN335=BP$4,'Inputs Yr 2'!$AO335,0))))*(INDEX(avoidedcosttbl2,$H335,BY$2)+(($H335-ROUNDDOWN($H335,0))*(INDEX(avoidedcosttbl2,ROUNDUP($H335,0),BY$2)-(INDEX(avoidedcosttbl2,ROUNDDOWN($H335,0),BY$2)))))*'Inputs Yr 2'!P335*'Inputs Yr 2'!Q335*'Inputs Yr 2'!U335,"")</f>
        <v>0</v>
      </c>
      <c r="BZ335" s="193">
        <f t="shared" si="189"/>
        <v>3920.4456377331385</v>
      </c>
      <c r="CA335" s="193">
        <f t="shared" si="190"/>
        <v>29360.385292317125</v>
      </c>
      <c r="CB335" s="195">
        <f>IFERROR(G335*(IF('Inputs Yr 2'!$AJ335=CB$4,'Inputs Yr 2'!$AK335,IF('Inputs Yr 2'!$AL335=CB$4,'Inputs Yr 2'!$AM335,IF('Inputs Yr 2'!$AN335=CB$4,'Inputs Yr 2'!$AO335,0))))*(INDEX(avoidedcosttbl2,$H335,CB$2)+(($H335-ROUNDDOWN($H335,0))*(INDEX(avoidedcosttbl2,ROUNDUP($H335,0),CB$2)-(INDEX(avoidedcosttbl2,ROUNDDOWN($H335,0),CB$2)))))*'Inputs Yr 2'!P335*'Inputs Yr 2'!Q335*'Inputs Yr 2'!U335,"")</f>
        <v>0</v>
      </c>
      <c r="CC335" s="195">
        <f>IFERROR(H335*(IF('Inputs Yr 2'!$AJ335=CC$4,'Inputs Yr 2'!$AK335,IF('Inputs Yr 2'!$AL335=CC$4,'Inputs Yr 2'!$AM335,IF('Inputs Yr 2'!$AN335=CC$4,'Inputs Yr 2'!$AO335,0))))*(INDEX(avoidedcosttbl2,$H335,CC$2)+(($H335-ROUNDDOWN($H335,0))*(INDEX(avoidedcosttbl2,ROUNDUP($H335,0),CC$2)-(INDEX(avoidedcosttbl2,ROUNDDOWN($H335,0),CC$2)))))*'Inputs Yr 2'!Q335*'Inputs Yr 2'!R335*'Inputs Yr 2'!V335,"")</f>
        <v>0</v>
      </c>
      <c r="CD335" s="195">
        <f>IFERROR(I335*(IF('Inputs Yr 2'!$AJ335=CD$4,'Inputs Yr 2'!$AK335,IF('Inputs Yr 2'!$AL335=CD$4,'Inputs Yr 2'!$AM335,IF('Inputs Yr 2'!$AN335=CD$4,'Inputs Yr 2'!$AO335,0))))*(INDEX(avoidedcosttbl2,$H335,CD$2)+(($H335-ROUNDDOWN($H335,0))*(INDEX(avoidedcosttbl2,ROUNDUP($H335,0),CD$2)-(INDEX(avoidedcosttbl2,ROUNDDOWN($H335,0),CD$2)))))*'Inputs Yr 2'!R335*'Inputs Yr 2'!S335*'Inputs Yr 2'!W335,"")</f>
        <v>0</v>
      </c>
      <c r="CE335" s="213">
        <f t="shared" si="191"/>
        <v>66789.830945618989</v>
      </c>
      <c r="CF335" s="213">
        <f t="shared" si="192"/>
        <v>0</v>
      </c>
      <c r="CG335" s="213">
        <f t="shared" si="193"/>
        <v>0</v>
      </c>
      <c r="CH335" s="698">
        <f t="shared" si="194"/>
        <v>96150.216237936111</v>
      </c>
      <c r="CI335" s="79">
        <f>IFERROR(($G335*'Inputs Yr 2'!$P335*'Inputs Yr 2'!$Q335*(((INDEX(avoidedcosttbl2,$H335,CI$2)+(($H335-ROUNDDOWN($H335,0))*(INDEX(avoidedcosttbl2,ROUNDUP($H335,0),CI$2)-INDEX(avoidedcosttbl2,ROUNDDOWN($H335,0),CI$2))))*'Inputs Yr 2'!AS335))),"")</f>
        <v>1651.6746621940372</v>
      </c>
      <c r="CJ335" s="504">
        <f>IFERROR($G335*'Inputs Yr 2'!AT335*'Inputs Yr 2'!$P335*'Inputs Yr 2'!$Q335/((1+realdiscrt1)^-0.5),"")</f>
        <v>0</v>
      </c>
      <c r="CK335" s="79">
        <f>IFERROR((O335*1000*(((INDEX(avoidedcosttbl2,$H335,CK$2)+(($H335-ROUNDDOWN($H335,0))*(INDEX(avoidedcosttbl2,ROUNDUP($H335,0),CK$2)-INDEX(avoidedcosttbl2,ROUNDDOWN($H335,0),CK$2))))*'Inputs Yr 2'!AU335))),"")</f>
        <v>0</v>
      </c>
      <c r="CL335" s="504">
        <f>IFERROR(O335*1000*'Inputs Yr 2'!AV335/((1+realdiscrt1)^-0.5),"")</f>
        <v>0</v>
      </c>
      <c r="CM335" s="79">
        <f>IFERROR((AB335*'Inputs Yr 2'!AW335*(((INDEX(avoidedcosttbl2,$H335,CM$2)+(($H335-ROUNDDOWN($H335,0))*(INDEX(avoidedcosttbl2,ROUNDUP($H335,0),CM$2)-INDEX(avoidedcosttbl2,ROUNDDOWN($H335,0),CM$2)))))))*10,"")</f>
        <v>0</v>
      </c>
      <c r="CN335" s="504">
        <f>IFERROR(10*AB335*'Inputs Yr 2'!AX335/((1+realdiscrt1)^-0.5),"")</f>
        <v>0</v>
      </c>
      <c r="CO335" s="505">
        <f t="shared" si="195"/>
        <v>1651.6746621940372</v>
      </c>
      <c r="CP335" s="230">
        <f t="shared" si="196"/>
        <v>97801.890900130151</v>
      </c>
      <c r="CQ335" s="199">
        <f>ROUND(IFERROR(IF(LEFT($A335,1)="C",'Avoided Costs'!$K$13,'Avoided Costs'!$K$12)+1,""),4)</f>
        <v>1.0720000000000001</v>
      </c>
      <c r="CR335" s="199">
        <f>ROUND(IFERROR(IF(LEFT($A335,1)="C",'Avoided Costs'!$L$13,'Avoided Costs'!$L$12)+1,""),4)</f>
        <v>1.04</v>
      </c>
      <c r="CS335" s="199">
        <f>ROUND(IFERROR(IF(LEFT($A335,1)="C",'Avoided Costs'!$M$13,'Avoided Costs'!$M$12)+1,""),4)</f>
        <v>1.0720000000000001</v>
      </c>
      <c r="CT335" s="199">
        <f>ROUND(IFERROR(IF(LEFT($A335,1)="C",'Avoided Costs'!$N$13,'Avoided Costs'!$N$12)+1,""),4)</f>
        <v>1.04</v>
      </c>
      <c r="CU335" s="199">
        <f>ROUND(IFERROR(IF(LEFT($A335,1)="C",'Avoided Costs'!$O$13,'Avoided Costs'!$O$12)+1,""),4)</f>
        <v>1.1120000000000001</v>
      </c>
      <c r="CV335" s="199">
        <f>ROUND(IFERROR(IF(LEFT($A335,1)="C",'Avoided Costs'!$P$13,'Avoided Costs'!$P$12)+1,""),4)</f>
        <v>1.095</v>
      </c>
      <c r="CW335" s="199">
        <f>ROUND(IFERROR(IF(LEFT($A335,1)="C",'Avoided Costs'!$Q$13,'Avoided Costs'!$Q$12)+1,""),4)</f>
        <v>1.1120000000000001</v>
      </c>
      <c r="CX335" s="200">
        <f>ROUND(IFERROR(IF(LEFT($A335,1)="C",'Avoided Costs'!$R$13,'Avoided Costs'!$R$12)+1,""),4)</f>
        <v>1.1120000000000001</v>
      </c>
    </row>
    <row r="336" spans="1:102" ht="12.75" customHeight="1">
      <c r="A336" s="91" t="str">
        <f>IF('Inputs Yr 2'!$B336=0,"",'Inputs Yr 2'!A336)</f>
        <v>C - Commercial &amp; Industrial</v>
      </c>
      <c r="B336" s="91" t="str">
        <f>IF('Inputs Yr 2'!$B336=0,"",'Inputs Yr 2'!B336)</f>
        <v>C2 - C&amp;I Retrofit</v>
      </c>
      <c r="C336" s="91" t="str">
        <f>IF('Inputs Yr 2'!$B336=0,"",'Inputs Yr 2'!C336)</f>
        <v xml:space="preserve">C2c - C&amp;I Multifamily Retrofit </v>
      </c>
      <c r="D336" s="91" t="str">
        <f>IF('Inputs Yr 2'!$B336=0,"",'Inputs Yr 2'!E336)</f>
        <v>Programmable Thermostat, Gas</v>
      </c>
      <c r="E336" s="93" t="str">
        <f>IF('Inputs Yr 2'!$B336=0,"",'Inputs Yr 2'!F336)</f>
        <v>G16C2c11</v>
      </c>
      <c r="F336" s="93" t="str">
        <f>IF('Inputs Yr 2'!$B336=0,"",'Inputs Yr 2'!G336)</f>
        <v>HVAC</v>
      </c>
      <c r="G336" s="95">
        <f>IF('Inputs Yr 2'!$H336&lt;&gt;0,('Inputs Yr 2'!H336),"")</f>
        <v>1033</v>
      </c>
      <c r="H336" s="94">
        <f>IFERROR('Inputs Yr 2'!I336,"")</f>
        <v>10</v>
      </c>
      <c r="I336" s="298">
        <f>IFERROR('Inputs Yr 2'!J336*'Inputs Yr 2'!P336*G336,"")</f>
        <v>69228.399999999994</v>
      </c>
      <c r="J336" s="298">
        <f>IFERROR('Inputs Yr 2'!K336*G336,"")</f>
        <v>91090</v>
      </c>
      <c r="K336" s="298">
        <f t="shared" si="173"/>
        <v>-21861.600000000006</v>
      </c>
      <c r="L336" s="194">
        <f>IFERROR(('Inputs Yr 2'!W336*G336)/1000,"")</f>
        <v>0</v>
      </c>
      <c r="M336" s="194">
        <f>IFERROR(L336*('Inputs Yr 2'!$Q336*'Inputs Yr 2'!$V336*'Inputs Yr 2'!$R336),"")</f>
        <v>0</v>
      </c>
      <c r="N336" s="194">
        <f t="shared" si="174"/>
        <v>0</v>
      </c>
      <c r="O336" s="194">
        <f>IFERROR(M336*'Inputs Yr 2'!P336,"")</f>
        <v>0</v>
      </c>
      <c r="P336" s="194">
        <f t="shared" si="175"/>
        <v>0</v>
      </c>
      <c r="Q336" s="194">
        <f>IFERROR($P336*'Inputs Yr 2'!AA336,"")</f>
        <v>0</v>
      </c>
      <c r="R336" s="194">
        <f>IFERROR($P336*'Inputs Yr 2'!AB336,"")</f>
        <v>0</v>
      </c>
      <c r="S336" s="194">
        <f>IFERROR($P336*'Inputs Yr 2'!AC336,"")</f>
        <v>0</v>
      </c>
      <c r="T336" s="194">
        <f>IFERROR($P336*'Inputs Yr 2'!AD336,"")</f>
        <v>0</v>
      </c>
      <c r="U336" s="194">
        <f>IFERROR(G336*'Inputs Yr 2'!$AE336*'Inputs Yr 2'!$P336*'Inputs Yr 2'!$Q336,"")</f>
        <v>0</v>
      </c>
      <c r="V336" s="194">
        <f>IFERROR($G336*'Inputs Yr 2'!$AE336*'Inputs Yr 2'!$AG336*'Inputs Yr 2'!Q336*'Inputs Yr 2'!$S336,"")</f>
        <v>0</v>
      </c>
      <c r="W336" s="194">
        <f>IFERROR($G336*'Inputs Yr 2'!$AE336*'Inputs Yr 2'!$AG336*'Inputs Yr 2'!P336*'Inputs Yr 2'!Q336*'Inputs Yr 2'!$S336,"")</f>
        <v>0</v>
      </c>
      <c r="X336" s="194">
        <f>IFERROR($G336*'Inputs Yr 2'!$AE336*'Inputs Yr 2'!$AF336*'Inputs Yr 2'!Q336*'Inputs Yr 2'!$T336,"")</f>
        <v>0</v>
      </c>
      <c r="Y336" s="194">
        <f>IFERROR($G336*'Inputs Yr 2'!$AE336*'Inputs Yr 2'!$AF336*'Inputs Yr 2'!P336*'Inputs Yr 2'!Q336*'Inputs Yr 2'!$T336,"")</f>
        <v>0</v>
      </c>
      <c r="Z336" s="257">
        <f>IFERROR($G336*'Inputs Yr 2'!$Q336*'Inputs Yr 2'!$U336*(IF(IFERROR(SEARCH("NG", 'Inputs Yr 2'!$AJ336),0),'Inputs Yr 2'!$AK336,0)+IF(IFERROR(SEARCH("NG", 'Inputs Yr 2'!$AL336),0),'Inputs Yr 2'!$AM336,0)+IF(IFERROR(SEARCH("NG", 'Inputs Yr 2'!$AN336),0),'Inputs Yr 2'!$AO336,0)),0)</f>
        <v>2375.8999999999996</v>
      </c>
      <c r="AA336" s="257">
        <f t="shared" si="176"/>
        <v>23758.999999999996</v>
      </c>
      <c r="AB336" s="257">
        <f>IFERROR(Z336*'Inputs Yr 2'!$P336,0)</f>
        <v>1805.6839999999997</v>
      </c>
      <c r="AC336" s="257">
        <f t="shared" si="177"/>
        <v>18056.839999999997</v>
      </c>
      <c r="AD336" s="257">
        <f>IFERROR($G336*'Inputs Yr 2'!$Q336*'Inputs Yr 2'!$U336*(IF(IFERROR(SEARCH("Oil", 'Inputs Yr 2'!$AJ336), 0),'Inputs Yr 2'!$AK336,0)+IF(IFERROR(SEARCH("Oil", 'Inputs Yr 2'!$AL336), 0),'Inputs Yr 2'!$AM336,0)+IF(IFERROR(SEARCH("Oil", 'Inputs Yr 2'!$AN336), 0),'Inputs Yr 2'!$AO336,0)),0)</f>
        <v>0</v>
      </c>
      <c r="AE336" s="257">
        <f t="shared" si="178"/>
        <v>0</v>
      </c>
      <c r="AF336" s="257">
        <f>IFERROR(AD336*'Inputs Yr 2'!$P336,0)</f>
        <v>0</v>
      </c>
      <c r="AG336" s="257">
        <f t="shared" si="179"/>
        <v>0</v>
      </c>
      <c r="AH336" s="257">
        <f>IFERROR($G336*'Inputs Yr 2'!$Q336*'Inputs Yr 2'!$U336*(IF('Inputs Yr 2'!$AJ336=CD$4,'Inputs Yr 2'!$AK336,IF('Inputs Yr 2'!$AL336=CD$4,'Inputs Yr 2'!$AM336,IF('Inputs Yr 2'!$AN336=CD$4,'Inputs Yr 2'!$AO336,0)))),0)</f>
        <v>0</v>
      </c>
      <c r="AI336" s="257">
        <f t="shared" si="180"/>
        <v>0</v>
      </c>
      <c r="AJ336" s="257">
        <f>IFERROR(AH336*'Inputs Yr 2'!$P336,0)</f>
        <v>0</v>
      </c>
      <c r="AK336" s="257">
        <f t="shared" si="181"/>
        <v>0</v>
      </c>
      <c r="AL336" s="258">
        <f>IFERROR($G336*'Inputs Yr 2'!$P336*'Inputs Yr 2'!$Q336*'Inputs Yr 2'!AP336,0)</f>
        <v>0</v>
      </c>
      <c r="AM336" s="260">
        <f>IFERROR($G336*'Inputs Yr 2'!$P336*'Inputs Yr 2'!$Q336*'Inputs Yr 2'!AQ336,0)</f>
        <v>0</v>
      </c>
      <c r="AN336" s="258">
        <f>IFERROR($G336*'Inputs Yr 2'!$P336*'Inputs Yr 2'!$Q336*'Inputs Yr 2'!AR336,0)</f>
        <v>0</v>
      </c>
      <c r="AO336" s="257">
        <f t="shared" si="182"/>
        <v>0</v>
      </c>
      <c r="AP336" s="195">
        <f>IFERROR($CQ336*(INDEX(avoidedcosttbl2,$H336,AP$2)+(($H336-ROUNDDOWN($H336,0))*(INDEX(avoidedcosttbl2,ROUNDUP($H336,0),AP$2)-(INDEX(avoidedcosttbl2,ROUNDDOWN($H336,0),AP$2)))))*$O336*1000*'Inputs Yr 2'!AA336,"")</f>
        <v>0</v>
      </c>
      <c r="AQ336" s="195">
        <f>IFERROR($CR336*(INDEX(avoidedcosttbl2,$H336,AQ$2)+(($H336-ROUNDDOWN($H336,0))*(INDEX(avoidedcosttbl2,ROUNDUP($H336,0),AQ$2)-(INDEX(avoidedcosttbl2,ROUNDDOWN($H336,0),AQ$2)))))*$O336*1000*'Inputs Yr 2'!AB336,"")</f>
        <v>0</v>
      </c>
      <c r="AR336" s="195">
        <f>IFERROR($CS336*(INDEX(avoidedcosttbl2,$H336,AR$2)+(($H336-ROUNDDOWN($H336,0))*(INDEX(avoidedcosttbl2,ROUNDUP($H336,0),AR$2)-(INDEX(avoidedcosttbl2,ROUNDDOWN($H336,0),AR$2)))))*$O336*1000*'Inputs Yr 2'!AC336,"")</f>
        <v>0</v>
      </c>
      <c r="AS336" s="195">
        <f>IFERROR($CT336*(INDEX(avoidedcosttbl2,$H336,AS$2)+(($H336-ROUNDDOWN($H336,0))*(INDEX(avoidedcosttbl2,ROUNDUP($H336,0),AS$2)-(INDEX(avoidedcosttbl2,ROUNDDOWN($H336,0),AS$2)))))*$O336*1000*'Inputs Yr 2'!AD336,"")</f>
        <v>0</v>
      </c>
      <c r="AT336" s="196">
        <f t="shared" si="183"/>
        <v>0</v>
      </c>
      <c r="AU336" s="197">
        <f>IFERROR($CQ336*((INDEX(avoidedcosttbl2,$H336,AU$2))+(($H336-ROUNDDOWN($H336,0))*((INDEX(avoidedcosttbl2,ROUNDUP($H336,0),AU$2))-(INDEX(avoidedcosttbl2,ROUNDDOWN($H336,0),AU$2)))))*$O336*1000*'Inputs Yr 2'!AA336,"")</f>
        <v>0</v>
      </c>
      <c r="AV336" s="197">
        <f>IFERROR($CR336*((INDEX(avoidedcosttbl2,$H336,AV$2))+(($H336-ROUNDDOWN($H336,0))*((INDEX(avoidedcosttbl2,ROUNDUP($H336,0),AV$2))-(INDEX(avoidedcosttbl2,ROUNDDOWN($H336,0),AV$2)))))*$O336*1000*'Inputs Yr 2'!AB336,"")</f>
        <v>0</v>
      </c>
      <c r="AW336" s="197">
        <f>IFERROR($CS336*((INDEX(avoidedcosttbl2,$H336,AW$2))+(($H336-ROUNDDOWN($H336,0))*((INDEX(avoidedcosttbl2,ROUNDUP($H336,0),AW$2))-(INDEX(avoidedcosttbl2,ROUNDDOWN($H336,0),AW$2)))))*$O336*1000*'Inputs Yr 2'!AC336,"")</f>
        <v>0</v>
      </c>
      <c r="AX336" s="197">
        <f>IFERROR($CT336*((INDEX(avoidedcosttbl2,$H336,AX$2))+(($H336-ROUNDDOWN($H336,0))*((INDEX(avoidedcosttbl2,ROUNDUP($H336,0),AX$2))-(INDEX(avoidedcosttbl2,ROUNDDOWN($H336,0),AX$2)))))*$O336*1000*'Inputs Yr 2'!AD336,"")</f>
        <v>0</v>
      </c>
      <c r="AY336" s="197">
        <f>IFERROR(((INDEX(avoidedcosttbl2,$H336,AY$2))+(($H336-ROUNDDOWN($H336,0))*((INDEX(avoidedcosttbl2,ROUNDUP($H336,0),AY$2))-(INDEX(avoidedcosttbl2,ROUNDDOWN($H336,0),AY$2)))))*$O336*1000*('Inputs Yr 2'!AC336+'Inputs Yr 2'!AD336),"")</f>
        <v>0</v>
      </c>
      <c r="AZ336" s="197">
        <f>IFERROR(((INDEX(avoidedcosttbl2,$H336,AZ$2))+(($H336-ROUNDDOWN($H336,0))*((INDEX(avoidedcosttbl2,ROUNDUP($H336,0),AZ$2))-(INDEX(avoidedcosttbl2,ROUNDDOWN($H336,0),AZ$2)))))*$O336*1000*('Inputs Yr 2'!AA336+'Inputs Yr 2'!AB336),"")</f>
        <v>0</v>
      </c>
      <c r="BA336" s="198">
        <f t="shared" si="184"/>
        <v>0</v>
      </c>
      <c r="BB336" s="198">
        <f t="shared" si="185"/>
        <v>0</v>
      </c>
      <c r="BC336" s="195">
        <f t="shared" si="167"/>
        <v>0</v>
      </c>
      <c r="BD336" s="195">
        <f t="shared" si="168"/>
        <v>0</v>
      </c>
      <c r="BE336" s="195">
        <f t="shared" si="169"/>
        <v>0</v>
      </c>
      <c r="BF336" s="195">
        <f t="shared" si="170"/>
        <v>0</v>
      </c>
      <c r="BG336" s="195">
        <f t="shared" si="171"/>
        <v>0</v>
      </c>
      <c r="BH336" s="196">
        <f t="shared" si="186"/>
        <v>0</v>
      </c>
      <c r="BI336" s="196">
        <f t="shared" si="187"/>
        <v>0</v>
      </c>
      <c r="BJ336" s="195">
        <f>IFERROR($G336*(IF('Inputs Yr 2'!$AJ336=BJ$4,'Inputs Yr 2'!$AK336,IF('Inputs Yr 2'!$AL336=BJ$4,'Inputs Yr 2'!$AM336,IF('Inputs Yr 2'!$AN336=BJ$4,'Inputs Yr 2'!$AO336,0))))*(INDEX(avoidedcosttbl2,$H336,BJ$2)+(($H336-ROUNDDOWN($H336,0))*(INDEX(avoidedcosttbl2,ROUNDUP($H336,0),BJ$2)-(INDEX(avoidedcosttbl2,ROUNDDOWN($H336,0),BJ$2)))))*'Inputs Yr 2'!P336*'Inputs Yr 2'!Q336*'Inputs Yr 2'!U336,"")</f>
        <v>0</v>
      </c>
      <c r="BK336" s="195">
        <f>IFERROR($G336*(IF('Inputs Yr 2'!$AJ336=BK$4,'Inputs Yr 2'!$AK336,IF('Inputs Yr 2'!$AL336=BK$4,'Inputs Yr 2'!$AM336,IF('Inputs Yr 2'!$AN336=BK$4,'Inputs Yr 2'!$AO336,0))))*(INDEX(avoidedcosttbl2,$H336,BK$2)+(($H336-ROUNDDOWN($H336,0))*(INDEX(avoidedcosttbl2,ROUNDUP($H336,0),BK$2)-(INDEX(avoidedcosttbl2,ROUNDDOWN($H336,0),BK$2)))))*'Inputs Yr 2'!P336*'Inputs Yr 2'!Q336*'Inputs Yr 2'!U336,"")</f>
        <v>0</v>
      </c>
      <c r="BL336" s="195">
        <f>IFERROR($G336*(IF('Inputs Yr 2'!$AJ336=BL$4,'Inputs Yr 2'!$AK336,IF('Inputs Yr 2'!$AL336=BL$4,'Inputs Yr 2'!$AM336,IF('Inputs Yr 2'!$AN336=BL$4,'Inputs Yr 2'!$AO336,0))))*(INDEX(avoidedcosttbl2,$H336,BL$2)+(($H336-ROUNDDOWN($H336,0))*(INDEX(avoidedcosttbl2,ROUNDUP($H336,0),BL$2)-(INDEX(avoidedcosttbl2,ROUNDDOWN($H336,0),BL$2)))))*'Inputs Yr 2'!P336*'Inputs Yr 2'!Q336*'Inputs Yr 2'!U336,"")</f>
        <v>148829.22910739947</v>
      </c>
      <c r="BM336" s="195">
        <f>IFERROR($G336*(IF('Inputs Yr 2'!$AJ336=BM$4,'Inputs Yr 2'!$AK336,IF('Inputs Yr 2'!$AL336=BM$4,'Inputs Yr 2'!$AM336,IF('Inputs Yr 2'!$AN336=BM$4,'Inputs Yr 2'!$AO336,0))))*(INDEX(avoidedcosttbl2,$H336,BM$2)+(($H336-ROUNDDOWN($H336,0))*(INDEX(avoidedcosttbl2,ROUNDUP($H336,0),BM$2)-(INDEX(avoidedcosttbl2,ROUNDDOWN($H336,0),BM$2)))))*'Inputs Yr 2'!P336*'Inputs Yr 2'!Q336*'Inputs Yr 2'!U336,"")</f>
        <v>0</v>
      </c>
      <c r="BN336" s="195">
        <f>IFERROR($G336*(IF('Inputs Yr 2'!$AJ336=BN$4,'Inputs Yr 2'!$AK336,IF('Inputs Yr 2'!$AL336=BN$4,'Inputs Yr 2'!$AM336,IF('Inputs Yr 2'!$AN336=BN$4,'Inputs Yr 2'!$AO336,0))))*(INDEX(avoidedcosttbl2,$H336,BN$2)+(($H336-ROUNDDOWN($H336,0))*(INDEX(avoidedcosttbl2,ROUNDUP($H336,0),BN$2)-(INDEX(avoidedcosttbl2,ROUNDDOWN($H336,0),BN$2)))))*'Inputs Yr 2'!P336*'Inputs Yr 2'!Q336*'Inputs Yr 2'!U336,"")</f>
        <v>0</v>
      </c>
      <c r="BO336" s="195">
        <f>IFERROR($G336*(IF('Inputs Yr 2'!$AJ336=BO$4,'Inputs Yr 2'!$AK336,IF('Inputs Yr 2'!$AL336=BO$4,'Inputs Yr 2'!$AM336,IF('Inputs Yr 2'!$AN336=BO$4,'Inputs Yr 2'!$AO336,0))))*(INDEX(avoidedcosttbl2,$H336,BO$2)+(($H336-ROUNDDOWN($H336,0))*(INDEX(avoidedcosttbl2,ROUNDUP($H336,0),BO$2)-(INDEX(avoidedcosttbl2,ROUNDDOWN($H336,0),BO$2)))))*'Inputs Yr 2'!P336*'Inputs Yr 2'!Q336*'Inputs Yr 2'!U336,"")</f>
        <v>0</v>
      </c>
      <c r="BP336" s="195">
        <f>IFERROR($G336*(IF('Inputs Yr 2'!$AJ336=BP$4,'Inputs Yr 2'!$AK336,IF('Inputs Yr 2'!$AL336=BP$4,'Inputs Yr 2'!$AM336,IF('Inputs Yr 2'!$AN336=BP$4,'Inputs Yr 2'!$AO336,0))))*(INDEX(avoidedcosttbl2,$H336,BP$2)+(($H336-ROUNDDOWN($H336,0))*(INDEX(avoidedcosttbl2,ROUNDUP($H336,0),BP$2)-(INDEX(avoidedcosttbl2,ROUNDDOWN($H336,0),BP$2)))))*'Inputs Yr 2'!P336*'Inputs Yr 2'!Q336*'Inputs Yr 2'!U336,"")</f>
        <v>0</v>
      </c>
      <c r="BQ336" s="230">
        <f t="shared" si="188"/>
        <v>148829.22910739947</v>
      </c>
      <c r="BR336" s="197">
        <f t="shared" si="172"/>
        <v>2474.2210499223306</v>
      </c>
      <c r="BS336" s="197">
        <f>IFERROR(($G336*IF('Inputs Yr 2'!$AJ336=BM$4,'Inputs Yr 2'!$AK336,IF('Inputs Yr 2'!$AL336=BM$4,'Inputs Yr 2'!$AM336,IF('Inputs Yr 2'!$AN336=BM$4,'Inputs Yr 2'!$AO336,0))))*(INDEX(avoidedcosttbl2,$H336,BS$2)+(($H336-ROUNDDOWN($H336,0))*(INDEX(avoidedcosttbl2,ROUNDUP($H336,0),BS$2)-(INDEX(avoidedcosttbl2,ROUNDDOWN($H336,0),BS$2)))))*'Inputs Yr 2'!P336*'Inputs Yr 2'!Q336*'Inputs Yr 2'!U336,"")</f>
        <v>0</v>
      </c>
      <c r="BT336" s="197">
        <f>IFERROR(($G336*IF('Inputs Yr 2'!$AJ336=BK$4,'Inputs Yr 2'!$AK336,IF('Inputs Yr 2'!$AL336=BK$4,'Inputs Yr 2'!$AM336,IF('Inputs Yr 2'!$AN336=BK$4,'Inputs Yr 2'!$AO336,0))))*(INDEX(avoidedcosttbl2,$H336,BT$2)+(($H336-ROUNDDOWN($H336,0))*(INDEX(avoidedcosttbl2,ROUNDUP($H336,0),BT$2)-(INDEX(avoidedcosttbl2,ROUNDDOWN($H336,0),BT$2)))))*'Inputs Yr 2'!P336*'Inputs Yr 2'!Q336*'Inputs Yr 2'!U336,"")</f>
        <v>0</v>
      </c>
      <c r="BU336" s="197">
        <f>IFERROR(($G336*IF('Inputs Yr 2'!$AJ336=BL$4,'Inputs Yr 2'!$AK336,IF('Inputs Yr 2'!$AL336=BL$4,'Inputs Yr 2'!$AM336,IF('Inputs Yr 2'!$AN336=BL$4,'Inputs Yr 2'!$AO336,0))))*(INDEX(avoidedcosttbl2,$H336,BU$2)+(($H336-ROUNDDOWN($H336,0))*(INDEX(avoidedcosttbl2,ROUNDUP($H336,0),BU$2)-(INDEX(avoidedcosttbl2,ROUNDDOWN($H336,0),BU$2)))))*'Inputs Yr 2'!P336*'Inputs Yr 2'!Q336*'Inputs Yr 2'!U336,"")</f>
        <v>13244.103118733623</v>
      </c>
      <c r="BV336" s="775">
        <f>IFERROR(($G336*IF('Inputs Yr 2'!$AJ336=BJ$4,'Inputs Yr 2'!$AK336,IF('Inputs Yr 2'!$AL336=BJ$4,'Inputs Yr 2'!$AM336,IF('Inputs Yr 2'!$AN336=BJ$4,'Inputs Yr 2'!$AO336,0))))*(INDEX(avoidedcosttbl2,$H336,BV$2)+(($H336-ROUNDDOWN($H336,0))*(INDEX(avoidedcosttbl2,ROUNDUP($H336,0),BV$2)-(INDEX(avoidedcosttbl2,ROUNDDOWN($H336,0),BV$2)))))*'Inputs Yr 2'!P336*'Inputs Yr 2'!Q336*'Inputs Yr 2'!U336,"")</f>
        <v>0</v>
      </c>
      <c r="BW336" s="197">
        <f>IFERROR(($G336*IF('Inputs Yr 2'!$AJ336=BN$4,'Inputs Yr 2'!$AK336,IF('Inputs Yr 2'!$AL336=BN$4,'Inputs Yr 2'!$AM336,IF('Inputs Yr 2'!$AN336=BN$4,'Inputs Yr 2'!$AO336,0))))*(INDEX(avoidedcosttbl2,$H336,BW$2)+(($H336-ROUNDDOWN($H336,0))*(INDEX(avoidedcosttbl2,ROUNDUP($H336,0),BW$2)-(INDEX(avoidedcosttbl2,ROUNDDOWN($H336,0),BW$2)))))*'Inputs Yr 2'!P336*'Inputs Yr 2'!Q336*'Inputs Yr 2'!U336,"")</f>
        <v>0</v>
      </c>
      <c r="BX336" s="197">
        <f>IFERROR(($G336*IF('Inputs Yr 2'!$AJ336=BO$4,'Inputs Yr 2'!$AK336,IF('Inputs Yr 2'!$AL336=BO$4,'Inputs Yr 2'!$AM336,IF('Inputs Yr 2'!$AN336=BO$4,'Inputs Yr 2'!$AO336,0))))*(INDEX(avoidedcosttbl2,$H336,BX$2)+(($H336-ROUNDDOWN($H336,0))*(INDEX(avoidedcosttbl2,ROUNDUP($H336,0),BX$2)-(INDEX(avoidedcosttbl2,ROUNDDOWN($H336,0),BX$2)))))*'Inputs Yr 2'!P336*'Inputs Yr 2'!Q336*'Inputs Yr 2'!U336,"")</f>
        <v>0</v>
      </c>
      <c r="BY336" s="197">
        <f>IFERROR(($G336*IF('Inputs Yr 2'!$AJ336=BP$4,'Inputs Yr 2'!$AK336,IF('Inputs Yr 2'!$AL336=BP$4,'Inputs Yr 2'!$AM336,IF('Inputs Yr 2'!$AN336=BP$4,'Inputs Yr 2'!$AO336,0))))*(INDEX(avoidedcosttbl2,$H336,BY$2)+(($H336-ROUNDDOWN($H336,0))*(INDEX(avoidedcosttbl2,ROUNDUP($H336,0),BY$2)-(INDEX(avoidedcosttbl2,ROUNDDOWN($H336,0),BY$2)))))*'Inputs Yr 2'!P336*'Inputs Yr 2'!Q336*'Inputs Yr 2'!U336,"")</f>
        <v>0</v>
      </c>
      <c r="BZ336" s="193">
        <f t="shared" si="189"/>
        <v>15718.324168655954</v>
      </c>
      <c r="CA336" s="193">
        <f t="shared" si="190"/>
        <v>164547.55327605543</v>
      </c>
      <c r="CB336" s="195">
        <f>IFERROR(G336*(IF('Inputs Yr 2'!$AJ336=CB$4,'Inputs Yr 2'!$AK336,IF('Inputs Yr 2'!$AL336=CB$4,'Inputs Yr 2'!$AM336,IF('Inputs Yr 2'!$AN336=CB$4,'Inputs Yr 2'!$AO336,0))))*(INDEX(avoidedcosttbl2,$H336,CB$2)+(($H336-ROUNDDOWN($H336,0))*(INDEX(avoidedcosttbl2,ROUNDUP($H336,0),CB$2)-(INDEX(avoidedcosttbl2,ROUNDDOWN($H336,0),CB$2)))))*'Inputs Yr 2'!P336*'Inputs Yr 2'!Q336*'Inputs Yr 2'!U336,"")</f>
        <v>0</v>
      </c>
      <c r="CC336" s="195">
        <f>IFERROR(H336*(IF('Inputs Yr 2'!$AJ336=CC$4,'Inputs Yr 2'!$AK336,IF('Inputs Yr 2'!$AL336=CC$4,'Inputs Yr 2'!$AM336,IF('Inputs Yr 2'!$AN336=CC$4,'Inputs Yr 2'!$AO336,0))))*(INDEX(avoidedcosttbl2,$H336,CC$2)+(($H336-ROUNDDOWN($H336,0))*(INDEX(avoidedcosttbl2,ROUNDUP($H336,0),CC$2)-(INDEX(avoidedcosttbl2,ROUNDDOWN($H336,0),CC$2)))))*'Inputs Yr 2'!Q336*'Inputs Yr 2'!R336*'Inputs Yr 2'!V336,"")</f>
        <v>0</v>
      </c>
      <c r="CD336" s="195">
        <f>IFERROR(I336*(IF('Inputs Yr 2'!$AJ336=CD$4,'Inputs Yr 2'!$AK336,IF('Inputs Yr 2'!$AL336=CD$4,'Inputs Yr 2'!$AM336,IF('Inputs Yr 2'!$AN336=CD$4,'Inputs Yr 2'!$AO336,0))))*(INDEX(avoidedcosttbl2,$H336,CD$2)+(($H336-ROUNDDOWN($H336,0))*(INDEX(avoidedcosttbl2,ROUNDUP($H336,0),CD$2)-(INDEX(avoidedcosttbl2,ROUNDDOWN($H336,0),CD$2)))))*'Inputs Yr 2'!R336*'Inputs Yr 2'!S336*'Inputs Yr 2'!W336,"")</f>
        <v>0</v>
      </c>
      <c r="CE336" s="213">
        <f t="shared" si="191"/>
        <v>0</v>
      </c>
      <c r="CF336" s="213">
        <f t="shared" si="192"/>
        <v>0</v>
      </c>
      <c r="CG336" s="213">
        <f t="shared" si="193"/>
        <v>0</v>
      </c>
      <c r="CH336" s="698">
        <f t="shared" si="194"/>
        <v>164547.55327605543</v>
      </c>
      <c r="CI336" s="79">
        <f>IFERROR(($G336*'Inputs Yr 2'!$P336*'Inputs Yr 2'!$Q336*(((INDEX(avoidedcosttbl2,$H336,CI$2)+(($H336-ROUNDDOWN($H336,0))*(INDEX(avoidedcosttbl2,ROUNDUP($H336,0),CI$2)-INDEX(avoidedcosttbl2,ROUNDDOWN($H336,0),CI$2))))*'Inputs Yr 2'!AS336))),"")</f>
        <v>110221.62888856203</v>
      </c>
      <c r="CJ336" s="504">
        <f>IFERROR($G336*'Inputs Yr 2'!AT336*'Inputs Yr 2'!$P336*'Inputs Yr 2'!$Q336/((1+realdiscrt1)^-0.5),"")</f>
        <v>0</v>
      </c>
      <c r="CK336" s="79">
        <f>IFERROR((O336*1000*(((INDEX(avoidedcosttbl2,$H336,CK$2)+(($H336-ROUNDDOWN($H336,0))*(INDEX(avoidedcosttbl2,ROUNDUP($H336,0),CK$2)-INDEX(avoidedcosttbl2,ROUNDDOWN($H336,0),CK$2))))*'Inputs Yr 2'!AU336))),"")</f>
        <v>0</v>
      </c>
      <c r="CL336" s="504">
        <f>IFERROR(O336*1000*'Inputs Yr 2'!AV336/((1+realdiscrt1)^-0.5),"")</f>
        <v>0</v>
      </c>
      <c r="CM336" s="79">
        <f>IFERROR((AB336*'Inputs Yr 2'!AW336*(((INDEX(avoidedcosttbl2,$H336,CM$2)+(($H336-ROUNDDOWN($H336,0))*(INDEX(avoidedcosttbl2,ROUNDUP($H336,0),CM$2)-INDEX(avoidedcosttbl2,ROUNDDOWN($H336,0),CM$2)))))))*10,"")</f>
        <v>0</v>
      </c>
      <c r="CN336" s="504">
        <f>IFERROR(10*AB336*'Inputs Yr 2'!AX336/((1+realdiscrt1)^-0.5),"")</f>
        <v>0</v>
      </c>
      <c r="CO336" s="505">
        <f t="shared" si="195"/>
        <v>110221.62888856203</v>
      </c>
      <c r="CP336" s="230">
        <f t="shared" si="196"/>
        <v>274769.18216461746</v>
      </c>
      <c r="CQ336" s="199">
        <f>ROUND(IFERROR(IF(LEFT($A336,1)="C",'Avoided Costs'!$K$13,'Avoided Costs'!$K$12)+1,""),4)</f>
        <v>1.0720000000000001</v>
      </c>
      <c r="CR336" s="199">
        <f>ROUND(IFERROR(IF(LEFT($A336,1)="C",'Avoided Costs'!$L$13,'Avoided Costs'!$L$12)+1,""),4)</f>
        <v>1.04</v>
      </c>
      <c r="CS336" s="199">
        <f>ROUND(IFERROR(IF(LEFT($A336,1)="C",'Avoided Costs'!$M$13,'Avoided Costs'!$M$12)+1,""),4)</f>
        <v>1.0720000000000001</v>
      </c>
      <c r="CT336" s="199">
        <f>ROUND(IFERROR(IF(LEFT($A336,1)="C",'Avoided Costs'!$N$13,'Avoided Costs'!$N$12)+1,""),4)</f>
        <v>1.04</v>
      </c>
      <c r="CU336" s="199">
        <f>ROUND(IFERROR(IF(LEFT($A336,1)="C",'Avoided Costs'!$O$13,'Avoided Costs'!$O$12)+1,""),4)</f>
        <v>1.1120000000000001</v>
      </c>
      <c r="CV336" s="199">
        <f>ROUND(IFERROR(IF(LEFT($A336,1)="C",'Avoided Costs'!$P$13,'Avoided Costs'!$P$12)+1,""),4)</f>
        <v>1.095</v>
      </c>
      <c r="CW336" s="199">
        <f>ROUND(IFERROR(IF(LEFT($A336,1)="C",'Avoided Costs'!$Q$13,'Avoided Costs'!$Q$12)+1,""),4)</f>
        <v>1.1120000000000001</v>
      </c>
      <c r="CX336" s="200">
        <f>ROUND(IFERROR(IF(LEFT($A336,1)="C",'Avoided Costs'!$R$13,'Avoided Costs'!$R$12)+1,""),4)</f>
        <v>1.1120000000000001</v>
      </c>
    </row>
    <row r="337" spans="1:102" ht="12.75" customHeight="1">
      <c r="A337" s="91" t="str">
        <f>IF('Inputs Yr 2'!$B337=0,"",'Inputs Yr 2'!A337)</f>
        <v>C - Commercial &amp; Industrial</v>
      </c>
      <c r="B337" s="91" t="str">
        <f>IF('Inputs Yr 2'!$B337=0,"",'Inputs Yr 2'!B337)</f>
        <v>C2 - C&amp;I Retrofit</v>
      </c>
      <c r="C337" s="91" t="str">
        <f>IF('Inputs Yr 2'!$B337=0,"",'Inputs Yr 2'!C337)</f>
        <v xml:space="preserve">C2c - C&amp;I Multifamily Retrofit </v>
      </c>
      <c r="D337" s="91" t="str">
        <f>IF('Inputs Yr 2'!$B337=0,"",'Inputs Yr 2'!E337)</f>
        <v>Wi-Fi Thermostat (controls gas heat only)</v>
      </c>
      <c r="E337" s="93" t="str">
        <f>IF('Inputs Yr 2'!$B337=0,"",'Inputs Yr 2'!F337)</f>
        <v>G16C2c12</v>
      </c>
      <c r="F337" s="93" t="str">
        <f>IF('Inputs Yr 2'!$B337=0,"",'Inputs Yr 2'!G337)</f>
        <v>HVAC</v>
      </c>
      <c r="G337" s="95" t="str">
        <f>IF('Inputs Yr 2'!$H337&lt;&gt;0,('Inputs Yr 2'!H337),"")</f>
        <v/>
      </c>
      <c r="H337" s="94">
        <f>IFERROR('Inputs Yr 2'!I337,"")</f>
        <v>0</v>
      </c>
      <c r="I337" s="298" t="str">
        <f>IFERROR('Inputs Yr 2'!J337*'Inputs Yr 2'!P337*G337,"")</f>
        <v/>
      </c>
      <c r="J337" s="298" t="str">
        <f>IFERROR('Inputs Yr 2'!K337*G337,"")</f>
        <v/>
      </c>
      <c r="K337" s="298" t="str">
        <f t="shared" si="173"/>
        <v/>
      </c>
      <c r="L337" s="194" t="str">
        <f>IFERROR(('Inputs Yr 2'!W337*G337)/1000,"")</f>
        <v/>
      </c>
      <c r="M337" s="194" t="str">
        <f>IFERROR(L337*('Inputs Yr 2'!$Q337*'Inputs Yr 2'!$V337*'Inputs Yr 2'!$R337),"")</f>
        <v/>
      </c>
      <c r="N337" s="194" t="str">
        <f t="shared" si="174"/>
        <v/>
      </c>
      <c r="O337" s="194" t="str">
        <f>IFERROR(M337*'Inputs Yr 2'!P337,"")</f>
        <v/>
      </c>
      <c r="P337" s="194" t="str">
        <f t="shared" si="175"/>
        <v/>
      </c>
      <c r="Q337" s="194" t="str">
        <f>IFERROR($P337*'Inputs Yr 2'!AA337,"")</f>
        <v/>
      </c>
      <c r="R337" s="194" t="str">
        <f>IFERROR($P337*'Inputs Yr 2'!AB337,"")</f>
        <v/>
      </c>
      <c r="S337" s="194" t="str">
        <f>IFERROR($P337*'Inputs Yr 2'!AC337,"")</f>
        <v/>
      </c>
      <c r="T337" s="194" t="str">
        <f>IFERROR($P337*'Inputs Yr 2'!AD337,"")</f>
        <v/>
      </c>
      <c r="U337" s="194" t="str">
        <f>IFERROR(G337*'Inputs Yr 2'!$AE337*'Inputs Yr 2'!$P337*'Inputs Yr 2'!$Q337,"")</f>
        <v/>
      </c>
      <c r="V337" s="194" t="str">
        <f>IFERROR($G337*'Inputs Yr 2'!$AE337*'Inputs Yr 2'!$AG337*'Inputs Yr 2'!Q337*'Inputs Yr 2'!$S337,"")</f>
        <v/>
      </c>
      <c r="W337" s="194" t="str">
        <f>IFERROR($G337*'Inputs Yr 2'!$AE337*'Inputs Yr 2'!$AG337*'Inputs Yr 2'!P337*'Inputs Yr 2'!Q337*'Inputs Yr 2'!$S337,"")</f>
        <v/>
      </c>
      <c r="X337" s="194" t="str">
        <f>IFERROR($G337*'Inputs Yr 2'!$AE337*'Inputs Yr 2'!$AF337*'Inputs Yr 2'!Q337*'Inputs Yr 2'!$T337,"")</f>
        <v/>
      </c>
      <c r="Y337" s="194" t="str">
        <f>IFERROR($G337*'Inputs Yr 2'!$AE337*'Inputs Yr 2'!$AF337*'Inputs Yr 2'!P337*'Inputs Yr 2'!Q337*'Inputs Yr 2'!$T337,"")</f>
        <v/>
      </c>
      <c r="Z337" s="257">
        <f>IFERROR($G337*'Inputs Yr 2'!$Q337*'Inputs Yr 2'!$U337*(IF(IFERROR(SEARCH("NG", 'Inputs Yr 2'!$AJ337),0),'Inputs Yr 2'!$AK337,0)+IF(IFERROR(SEARCH("NG", 'Inputs Yr 2'!$AL337),0),'Inputs Yr 2'!$AM337,0)+IF(IFERROR(SEARCH("NG", 'Inputs Yr 2'!$AN337),0),'Inputs Yr 2'!$AO337,0)),0)</f>
        <v>0</v>
      </c>
      <c r="AA337" s="257">
        <f t="shared" si="176"/>
        <v>0</v>
      </c>
      <c r="AB337" s="257">
        <f>IFERROR(Z337*'Inputs Yr 2'!$P337,0)</f>
        <v>0</v>
      </c>
      <c r="AC337" s="257">
        <f t="shared" si="177"/>
        <v>0</v>
      </c>
      <c r="AD337" s="257">
        <f>IFERROR($G337*'Inputs Yr 2'!$Q337*'Inputs Yr 2'!$U337*(IF(IFERROR(SEARCH("Oil", 'Inputs Yr 2'!$AJ337), 0),'Inputs Yr 2'!$AK337,0)+IF(IFERROR(SEARCH("Oil", 'Inputs Yr 2'!$AL337), 0),'Inputs Yr 2'!$AM337,0)+IF(IFERROR(SEARCH("Oil", 'Inputs Yr 2'!$AN337), 0),'Inputs Yr 2'!$AO337,0)),0)</f>
        <v>0</v>
      </c>
      <c r="AE337" s="257">
        <f t="shared" si="178"/>
        <v>0</v>
      </c>
      <c r="AF337" s="257">
        <f>IFERROR(AD337*'Inputs Yr 2'!$P337,0)</f>
        <v>0</v>
      </c>
      <c r="AG337" s="257">
        <f t="shared" si="179"/>
        <v>0</v>
      </c>
      <c r="AH337" s="257">
        <f>IFERROR($G337*'Inputs Yr 2'!$Q337*'Inputs Yr 2'!$U337*(IF('Inputs Yr 2'!$AJ337=CD$4,'Inputs Yr 2'!$AK337,IF('Inputs Yr 2'!$AL337=CD$4,'Inputs Yr 2'!$AM337,IF('Inputs Yr 2'!$AN337=CD$4,'Inputs Yr 2'!$AO337,0)))),0)</f>
        <v>0</v>
      </c>
      <c r="AI337" s="257">
        <f t="shared" si="180"/>
        <v>0</v>
      </c>
      <c r="AJ337" s="257">
        <f>IFERROR(AH337*'Inputs Yr 2'!$P337,0)</f>
        <v>0</v>
      </c>
      <c r="AK337" s="257">
        <f t="shared" si="181"/>
        <v>0</v>
      </c>
      <c r="AL337" s="258">
        <f>IFERROR($G337*'Inputs Yr 2'!$P337*'Inputs Yr 2'!$Q337*'Inputs Yr 2'!AP337,0)</f>
        <v>0</v>
      </c>
      <c r="AM337" s="260">
        <f>IFERROR($G337*'Inputs Yr 2'!$P337*'Inputs Yr 2'!$Q337*'Inputs Yr 2'!AQ337,0)</f>
        <v>0</v>
      </c>
      <c r="AN337" s="258">
        <f>IFERROR($G337*'Inputs Yr 2'!$P337*'Inputs Yr 2'!$Q337*'Inputs Yr 2'!AR337,0)</f>
        <v>0</v>
      </c>
      <c r="AO337" s="257">
        <f t="shared" si="182"/>
        <v>0</v>
      </c>
      <c r="AP337" s="195" t="str">
        <f>IFERROR($CQ337*(INDEX(avoidedcosttbl2,$H337,AP$2)+(($H337-ROUNDDOWN($H337,0))*(INDEX(avoidedcosttbl2,ROUNDUP($H337,0),AP$2)-(INDEX(avoidedcosttbl2,ROUNDDOWN($H337,0),AP$2)))))*$O337*1000*'Inputs Yr 2'!AA337,"")</f>
        <v/>
      </c>
      <c r="AQ337" s="195" t="str">
        <f>IFERROR($CR337*(INDEX(avoidedcosttbl2,$H337,AQ$2)+(($H337-ROUNDDOWN($H337,0))*(INDEX(avoidedcosttbl2,ROUNDUP($H337,0),AQ$2)-(INDEX(avoidedcosttbl2,ROUNDDOWN($H337,0),AQ$2)))))*$O337*1000*'Inputs Yr 2'!AB337,"")</f>
        <v/>
      </c>
      <c r="AR337" s="195" t="str">
        <f>IFERROR($CS337*(INDEX(avoidedcosttbl2,$H337,AR$2)+(($H337-ROUNDDOWN($H337,0))*(INDEX(avoidedcosttbl2,ROUNDUP($H337,0),AR$2)-(INDEX(avoidedcosttbl2,ROUNDDOWN($H337,0),AR$2)))))*$O337*1000*'Inputs Yr 2'!AC337,"")</f>
        <v/>
      </c>
      <c r="AS337" s="195" t="str">
        <f>IFERROR($CT337*(INDEX(avoidedcosttbl2,$H337,AS$2)+(($H337-ROUNDDOWN($H337,0))*(INDEX(avoidedcosttbl2,ROUNDUP($H337,0),AS$2)-(INDEX(avoidedcosttbl2,ROUNDDOWN($H337,0),AS$2)))))*$O337*1000*'Inputs Yr 2'!AD337,"")</f>
        <v/>
      </c>
      <c r="AT337" s="196">
        <f t="shared" si="183"/>
        <v>0</v>
      </c>
      <c r="AU337" s="197" t="str">
        <f>IFERROR($CQ337*((INDEX(avoidedcosttbl2,$H337,AU$2))+(($H337-ROUNDDOWN($H337,0))*((INDEX(avoidedcosttbl2,ROUNDUP($H337,0),AU$2))-(INDEX(avoidedcosttbl2,ROUNDDOWN($H337,0),AU$2)))))*$O337*1000*'Inputs Yr 2'!AA337,"")</f>
        <v/>
      </c>
      <c r="AV337" s="197" t="str">
        <f>IFERROR($CR337*((INDEX(avoidedcosttbl2,$H337,AV$2))+(($H337-ROUNDDOWN($H337,0))*((INDEX(avoidedcosttbl2,ROUNDUP($H337,0),AV$2))-(INDEX(avoidedcosttbl2,ROUNDDOWN($H337,0),AV$2)))))*$O337*1000*'Inputs Yr 2'!AB337,"")</f>
        <v/>
      </c>
      <c r="AW337" s="197" t="str">
        <f>IFERROR($CS337*((INDEX(avoidedcosttbl2,$H337,AW$2))+(($H337-ROUNDDOWN($H337,0))*((INDEX(avoidedcosttbl2,ROUNDUP($H337,0),AW$2))-(INDEX(avoidedcosttbl2,ROUNDDOWN($H337,0),AW$2)))))*$O337*1000*'Inputs Yr 2'!AC337,"")</f>
        <v/>
      </c>
      <c r="AX337" s="197" t="str">
        <f>IFERROR($CT337*((INDEX(avoidedcosttbl2,$H337,AX$2))+(($H337-ROUNDDOWN($H337,0))*((INDEX(avoidedcosttbl2,ROUNDUP($H337,0),AX$2))-(INDEX(avoidedcosttbl2,ROUNDDOWN($H337,0),AX$2)))))*$O337*1000*'Inputs Yr 2'!AD337,"")</f>
        <v/>
      </c>
      <c r="AY337" s="197" t="str">
        <f>IFERROR(((INDEX(avoidedcosttbl2,$H337,AY$2))+(($H337-ROUNDDOWN($H337,0))*((INDEX(avoidedcosttbl2,ROUNDUP($H337,0),AY$2))-(INDEX(avoidedcosttbl2,ROUNDDOWN($H337,0),AY$2)))))*$O337*1000*('Inputs Yr 2'!AC337+'Inputs Yr 2'!AD337),"")</f>
        <v/>
      </c>
      <c r="AZ337" s="197" t="str">
        <f>IFERROR(((INDEX(avoidedcosttbl2,$H337,AZ$2))+(($H337-ROUNDDOWN($H337,0))*((INDEX(avoidedcosttbl2,ROUNDUP($H337,0),AZ$2))-(INDEX(avoidedcosttbl2,ROUNDDOWN($H337,0),AZ$2)))))*$O337*1000*('Inputs Yr 2'!AA337+'Inputs Yr 2'!AB337),"")</f>
        <v/>
      </c>
      <c r="BA337" s="198">
        <f t="shared" si="184"/>
        <v>0</v>
      </c>
      <c r="BB337" s="198">
        <f t="shared" si="185"/>
        <v>0</v>
      </c>
      <c r="BC337" s="195" t="str">
        <f t="shared" si="167"/>
        <v/>
      </c>
      <c r="BD337" s="195" t="str">
        <f t="shared" si="168"/>
        <v/>
      </c>
      <c r="BE337" s="195" t="str">
        <f t="shared" si="169"/>
        <v/>
      </c>
      <c r="BF337" s="195" t="str">
        <f t="shared" si="170"/>
        <v/>
      </c>
      <c r="BG337" s="195" t="str">
        <f t="shared" si="171"/>
        <v/>
      </c>
      <c r="BH337" s="196">
        <f t="shared" si="186"/>
        <v>0</v>
      </c>
      <c r="BI337" s="196">
        <f t="shared" si="187"/>
        <v>0</v>
      </c>
      <c r="BJ337" s="195" t="str">
        <f>IFERROR($G337*(IF('Inputs Yr 2'!$AJ337=BJ$4,'Inputs Yr 2'!$AK337,IF('Inputs Yr 2'!$AL337=BJ$4,'Inputs Yr 2'!$AM337,IF('Inputs Yr 2'!$AN337=BJ$4,'Inputs Yr 2'!$AO337,0))))*(INDEX(avoidedcosttbl2,$H337,BJ$2)+(($H337-ROUNDDOWN($H337,0))*(INDEX(avoidedcosttbl2,ROUNDUP($H337,0),BJ$2)-(INDEX(avoidedcosttbl2,ROUNDDOWN($H337,0),BJ$2)))))*'Inputs Yr 2'!P337*'Inputs Yr 2'!Q337*'Inputs Yr 2'!U337,"")</f>
        <v/>
      </c>
      <c r="BK337" s="195" t="str">
        <f>IFERROR($G337*(IF('Inputs Yr 2'!$AJ337=BK$4,'Inputs Yr 2'!$AK337,IF('Inputs Yr 2'!$AL337=BK$4,'Inputs Yr 2'!$AM337,IF('Inputs Yr 2'!$AN337=BK$4,'Inputs Yr 2'!$AO337,0))))*(INDEX(avoidedcosttbl2,$H337,BK$2)+(($H337-ROUNDDOWN($H337,0))*(INDEX(avoidedcosttbl2,ROUNDUP($H337,0),BK$2)-(INDEX(avoidedcosttbl2,ROUNDDOWN($H337,0),BK$2)))))*'Inputs Yr 2'!P337*'Inputs Yr 2'!Q337*'Inputs Yr 2'!U337,"")</f>
        <v/>
      </c>
      <c r="BL337" s="195" t="str">
        <f>IFERROR($G337*(IF('Inputs Yr 2'!$AJ337=BL$4,'Inputs Yr 2'!$AK337,IF('Inputs Yr 2'!$AL337=BL$4,'Inputs Yr 2'!$AM337,IF('Inputs Yr 2'!$AN337=BL$4,'Inputs Yr 2'!$AO337,0))))*(INDEX(avoidedcosttbl2,$H337,BL$2)+(($H337-ROUNDDOWN($H337,0))*(INDEX(avoidedcosttbl2,ROUNDUP($H337,0),BL$2)-(INDEX(avoidedcosttbl2,ROUNDDOWN($H337,0),BL$2)))))*'Inputs Yr 2'!P337*'Inputs Yr 2'!Q337*'Inputs Yr 2'!U337,"")</f>
        <v/>
      </c>
      <c r="BM337" s="195" t="str">
        <f>IFERROR($G337*(IF('Inputs Yr 2'!$AJ337=BM$4,'Inputs Yr 2'!$AK337,IF('Inputs Yr 2'!$AL337=BM$4,'Inputs Yr 2'!$AM337,IF('Inputs Yr 2'!$AN337=BM$4,'Inputs Yr 2'!$AO337,0))))*(INDEX(avoidedcosttbl2,$H337,BM$2)+(($H337-ROUNDDOWN($H337,0))*(INDEX(avoidedcosttbl2,ROUNDUP($H337,0),BM$2)-(INDEX(avoidedcosttbl2,ROUNDDOWN($H337,0),BM$2)))))*'Inputs Yr 2'!P337*'Inputs Yr 2'!Q337*'Inputs Yr 2'!U337,"")</f>
        <v/>
      </c>
      <c r="BN337" s="195" t="str">
        <f>IFERROR($G337*(IF('Inputs Yr 2'!$AJ337=BN$4,'Inputs Yr 2'!$AK337,IF('Inputs Yr 2'!$AL337=BN$4,'Inputs Yr 2'!$AM337,IF('Inputs Yr 2'!$AN337=BN$4,'Inputs Yr 2'!$AO337,0))))*(INDEX(avoidedcosttbl2,$H337,BN$2)+(($H337-ROUNDDOWN($H337,0))*(INDEX(avoidedcosttbl2,ROUNDUP($H337,0),BN$2)-(INDEX(avoidedcosttbl2,ROUNDDOWN($H337,0),BN$2)))))*'Inputs Yr 2'!P337*'Inputs Yr 2'!Q337*'Inputs Yr 2'!U337,"")</f>
        <v/>
      </c>
      <c r="BO337" s="195" t="str">
        <f>IFERROR($G337*(IF('Inputs Yr 2'!$AJ337=BO$4,'Inputs Yr 2'!$AK337,IF('Inputs Yr 2'!$AL337=BO$4,'Inputs Yr 2'!$AM337,IF('Inputs Yr 2'!$AN337=BO$4,'Inputs Yr 2'!$AO337,0))))*(INDEX(avoidedcosttbl2,$H337,BO$2)+(($H337-ROUNDDOWN($H337,0))*(INDEX(avoidedcosttbl2,ROUNDUP($H337,0),BO$2)-(INDEX(avoidedcosttbl2,ROUNDDOWN($H337,0),BO$2)))))*'Inputs Yr 2'!P337*'Inputs Yr 2'!Q337*'Inputs Yr 2'!U337,"")</f>
        <v/>
      </c>
      <c r="BP337" s="195" t="str">
        <f>IFERROR($G337*(IF('Inputs Yr 2'!$AJ337=BP$4,'Inputs Yr 2'!$AK337,IF('Inputs Yr 2'!$AL337=BP$4,'Inputs Yr 2'!$AM337,IF('Inputs Yr 2'!$AN337=BP$4,'Inputs Yr 2'!$AO337,0))))*(INDEX(avoidedcosttbl2,$H337,BP$2)+(($H337-ROUNDDOWN($H337,0))*(INDEX(avoidedcosttbl2,ROUNDUP($H337,0),BP$2)-(INDEX(avoidedcosttbl2,ROUNDDOWN($H337,0),BP$2)))))*'Inputs Yr 2'!P337*'Inputs Yr 2'!Q337*'Inputs Yr 2'!U337,"")</f>
        <v/>
      </c>
      <c r="BQ337" s="230">
        <f t="shared" si="188"/>
        <v>0</v>
      </c>
      <c r="BR337" s="197" t="str">
        <f t="shared" si="172"/>
        <v/>
      </c>
      <c r="BS337" s="197" t="str">
        <f>IFERROR(($G337*IF('Inputs Yr 2'!$AJ337=BM$4,'Inputs Yr 2'!$AK337,IF('Inputs Yr 2'!$AL337=BM$4,'Inputs Yr 2'!$AM337,IF('Inputs Yr 2'!$AN337=BM$4,'Inputs Yr 2'!$AO337,0))))*(INDEX(avoidedcosttbl2,$H337,BS$2)+(($H337-ROUNDDOWN($H337,0))*(INDEX(avoidedcosttbl2,ROUNDUP($H337,0),BS$2)-(INDEX(avoidedcosttbl2,ROUNDDOWN($H337,0),BS$2)))))*'Inputs Yr 2'!P337*'Inputs Yr 2'!Q337*'Inputs Yr 2'!U337,"")</f>
        <v/>
      </c>
      <c r="BT337" s="197" t="str">
        <f>IFERROR(($G337*IF('Inputs Yr 2'!$AJ337=BK$4,'Inputs Yr 2'!$AK337,IF('Inputs Yr 2'!$AL337=BK$4,'Inputs Yr 2'!$AM337,IF('Inputs Yr 2'!$AN337=BK$4,'Inputs Yr 2'!$AO337,0))))*(INDEX(avoidedcosttbl2,$H337,BT$2)+(($H337-ROUNDDOWN($H337,0))*(INDEX(avoidedcosttbl2,ROUNDUP($H337,0),BT$2)-(INDEX(avoidedcosttbl2,ROUNDDOWN($H337,0),BT$2)))))*'Inputs Yr 2'!P337*'Inputs Yr 2'!Q337*'Inputs Yr 2'!U337,"")</f>
        <v/>
      </c>
      <c r="BU337" s="197" t="str">
        <f>IFERROR(($G337*IF('Inputs Yr 2'!$AJ337=BL$4,'Inputs Yr 2'!$AK337,IF('Inputs Yr 2'!$AL337=BL$4,'Inputs Yr 2'!$AM337,IF('Inputs Yr 2'!$AN337=BL$4,'Inputs Yr 2'!$AO337,0))))*(INDEX(avoidedcosttbl2,$H337,BU$2)+(($H337-ROUNDDOWN($H337,0))*(INDEX(avoidedcosttbl2,ROUNDUP($H337,0),BU$2)-(INDEX(avoidedcosttbl2,ROUNDDOWN($H337,0),BU$2)))))*'Inputs Yr 2'!P337*'Inputs Yr 2'!Q337*'Inputs Yr 2'!U337,"")</f>
        <v/>
      </c>
      <c r="BV337" s="775" t="str">
        <f>IFERROR(($G337*IF('Inputs Yr 2'!$AJ337=BJ$4,'Inputs Yr 2'!$AK337,IF('Inputs Yr 2'!$AL337=BJ$4,'Inputs Yr 2'!$AM337,IF('Inputs Yr 2'!$AN337=BJ$4,'Inputs Yr 2'!$AO337,0))))*(INDEX(avoidedcosttbl2,$H337,BV$2)+(($H337-ROUNDDOWN($H337,0))*(INDEX(avoidedcosttbl2,ROUNDUP($H337,0),BV$2)-(INDEX(avoidedcosttbl2,ROUNDDOWN($H337,0),BV$2)))))*'Inputs Yr 2'!P337*'Inputs Yr 2'!Q337*'Inputs Yr 2'!U337,"")</f>
        <v/>
      </c>
      <c r="BW337" s="197" t="str">
        <f>IFERROR(($G337*IF('Inputs Yr 2'!$AJ337=BN$4,'Inputs Yr 2'!$AK337,IF('Inputs Yr 2'!$AL337=BN$4,'Inputs Yr 2'!$AM337,IF('Inputs Yr 2'!$AN337=BN$4,'Inputs Yr 2'!$AO337,0))))*(INDEX(avoidedcosttbl2,$H337,BW$2)+(($H337-ROUNDDOWN($H337,0))*(INDEX(avoidedcosttbl2,ROUNDUP($H337,0),BW$2)-(INDEX(avoidedcosttbl2,ROUNDDOWN($H337,0),BW$2)))))*'Inputs Yr 2'!P337*'Inputs Yr 2'!Q337*'Inputs Yr 2'!U337,"")</f>
        <v/>
      </c>
      <c r="BX337" s="197" t="str">
        <f>IFERROR(($G337*IF('Inputs Yr 2'!$AJ337=BO$4,'Inputs Yr 2'!$AK337,IF('Inputs Yr 2'!$AL337=BO$4,'Inputs Yr 2'!$AM337,IF('Inputs Yr 2'!$AN337=BO$4,'Inputs Yr 2'!$AO337,0))))*(INDEX(avoidedcosttbl2,$H337,BX$2)+(($H337-ROUNDDOWN($H337,0))*(INDEX(avoidedcosttbl2,ROUNDUP($H337,0),BX$2)-(INDEX(avoidedcosttbl2,ROUNDDOWN($H337,0),BX$2)))))*'Inputs Yr 2'!P337*'Inputs Yr 2'!Q337*'Inputs Yr 2'!U337,"")</f>
        <v/>
      </c>
      <c r="BY337" s="197" t="str">
        <f>IFERROR(($G337*IF('Inputs Yr 2'!$AJ337=BP$4,'Inputs Yr 2'!$AK337,IF('Inputs Yr 2'!$AL337=BP$4,'Inputs Yr 2'!$AM337,IF('Inputs Yr 2'!$AN337=BP$4,'Inputs Yr 2'!$AO337,0))))*(INDEX(avoidedcosttbl2,$H337,BY$2)+(($H337-ROUNDDOWN($H337,0))*(INDEX(avoidedcosttbl2,ROUNDUP($H337,0),BY$2)-(INDEX(avoidedcosttbl2,ROUNDDOWN($H337,0),BY$2)))))*'Inputs Yr 2'!P337*'Inputs Yr 2'!Q337*'Inputs Yr 2'!U337,"")</f>
        <v/>
      </c>
      <c r="BZ337" s="193">
        <f t="shared" si="189"/>
        <v>0</v>
      </c>
      <c r="CA337" s="193">
        <f t="shared" si="190"/>
        <v>0</v>
      </c>
      <c r="CB337" s="195" t="str">
        <f>IFERROR(G337*(IF('Inputs Yr 2'!$AJ337=CB$4,'Inputs Yr 2'!$AK337,IF('Inputs Yr 2'!$AL337=CB$4,'Inputs Yr 2'!$AM337,IF('Inputs Yr 2'!$AN337=CB$4,'Inputs Yr 2'!$AO337,0))))*(INDEX(avoidedcosttbl2,$H337,CB$2)+(($H337-ROUNDDOWN($H337,0))*(INDEX(avoidedcosttbl2,ROUNDUP($H337,0),CB$2)-(INDEX(avoidedcosttbl2,ROUNDDOWN($H337,0),CB$2)))))*'Inputs Yr 2'!P337*'Inputs Yr 2'!Q337*'Inputs Yr 2'!U337,"")</f>
        <v/>
      </c>
      <c r="CC337" s="195" t="str">
        <f>IFERROR(H337*(IF('Inputs Yr 2'!$AJ337=CC$4,'Inputs Yr 2'!$AK337,IF('Inputs Yr 2'!$AL337=CC$4,'Inputs Yr 2'!$AM337,IF('Inputs Yr 2'!$AN337=CC$4,'Inputs Yr 2'!$AO337,0))))*(INDEX(avoidedcosttbl2,$H337,CC$2)+(($H337-ROUNDDOWN($H337,0))*(INDEX(avoidedcosttbl2,ROUNDUP($H337,0),CC$2)-(INDEX(avoidedcosttbl2,ROUNDDOWN($H337,0),CC$2)))))*'Inputs Yr 2'!Q337*'Inputs Yr 2'!R337*'Inputs Yr 2'!V337,"")</f>
        <v/>
      </c>
      <c r="CD337" s="195" t="str">
        <f>IFERROR(I337*(IF('Inputs Yr 2'!$AJ337=CD$4,'Inputs Yr 2'!$AK337,IF('Inputs Yr 2'!$AL337=CD$4,'Inputs Yr 2'!$AM337,IF('Inputs Yr 2'!$AN337=CD$4,'Inputs Yr 2'!$AO337,0))))*(INDEX(avoidedcosttbl2,$H337,CD$2)+(($H337-ROUNDDOWN($H337,0))*(INDEX(avoidedcosttbl2,ROUNDUP($H337,0),CD$2)-(INDEX(avoidedcosttbl2,ROUNDDOWN($H337,0),CD$2)))))*'Inputs Yr 2'!R337*'Inputs Yr 2'!S337*'Inputs Yr 2'!W337,"")</f>
        <v/>
      </c>
      <c r="CE337" s="213" t="str">
        <f t="shared" si="191"/>
        <v/>
      </c>
      <c r="CF337" s="213" t="str">
        <f t="shared" si="192"/>
        <v/>
      </c>
      <c r="CG337" s="213" t="str">
        <f t="shared" si="193"/>
        <v/>
      </c>
      <c r="CH337" s="698">
        <f t="shared" si="194"/>
        <v>0</v>
      </c>
      <c r="CI337" s="79" t="str">
        <f>IFERROR(($G337*'Inputs Yr 2'!$P337*'Inputs Yr 2'!$Q337*(((INDEX(avoidedcosttbl2,$H337,CI$2)+(($H337-ROUNDDOWN($H337,0))*(INDEX(avoidedcosttbl2,ROUNDUP($H337,0),CI$2)-INDEX(avoidedcosttbl2,ROUNDDOWN($H337,0),CI$2))))*'Inputs Yr 2'!AS337))),"")</f>
        <v/>
      </c>
      <c r="CJ337" s="504" t="str">
        <f>IFERROR($G337*'Inputs Yr 2'!AT337*'Inputs Yr 2'!$P337*'Inputs Yr 2'!$Q337/((1+realdiscrt1)^-0.5),"")</f>
        <v/>
      </c>
      <c r="CK337" s="79" t="str">
        <f>IFERROR((O337*1000*(((INDEX(avoidedcosttbl2,$H337,CK$2)+(($H337-ROUNDDOWN($H337,0))*(INDEX(avoidedcosttbl2,ROUNDUP($H337,0),CK$2)-INDEX(avoidedcosttbl2,ROUNDDOWN($H337,0),CK$2))))*'Inputs Yr 2'!AU337))),"")</f>
        <v/>
      </c>
      <c r="CL337" s="504" t="str">
        <f>IFERROR(O337*1000*'Inputs Yr 2'!AV337/((1+realdiscrt1)^-0.5),"")</f>
        <v/>
      </c>
      <c r="CM337" s="79" t="str">
        <f>IFERROR((AB337*'Inputs Yr 2'!AW337*(((INDEX(avoidedcosttbl2,$H337,CM$2)+(($H337-ROUNDDOWN($H337,0))*(INDEX(avoidedcosttbl2,ROUNDUP($H337,0),CM$2)-INDEX(avoidedcosttbl2,ROUNDDOWN($H337,0),CM$2)))))))*10,"")</f>
        <v/>
      </c>
      <c r="CN337" s="504">
        <f>IFERROR(10*AB337*'Inputs Yr 2'!AX337/((1+realdiscrt1)^-0.5),"")</f>
        <v>0</v>
      </c>
      <c r="CO337" s="505">
        <f t="shared" si="195"/>
        <v>0</v>
      </c>
      <c r="CP337" s="230">
        <f t="shared" si="196"/>
        <v>0</v>
      </c>
      <c r="CQ337" s="199">
        <f>ROUND(IFERROR(IF(LEFT($A337,1)="C",'Avoided Costs'!$K$13,'Avoided Costs'!$K$12)+1,""),4)</f>
        <v>1.0720000000000001</v>
      </c>
      <c r="CR337" s="199">
        <f>ROUND(IFERROR(IF(LEFT($A337,1)="C",'Avoided Costs'!$L$13,'Avoided Costs'!$L$12)+1,""),4)</f>
        <v>1.04</v>
      </c>
      <c r="CS337" s="199">
        <f>ROUND(IFERROR(IF(LEFT($A337,1)="C",'Avoided Costs'!$M$13,'Avoided Costs'!$M$12)+1,""),4)</f>
        <v>1.0720000000000001</v>
      </c>
      <c r="CT337" s="199">
        <f>ROUND(IFERROR(IF(LEFT($A337,1)="C",'Avoided Costs'!$N$13,'Avoided Costs'!$N$12)+1,""),4)</f>
        <v>1.04</v>
      </c>
      <c r="CU337" s="199">
        <f>ROUND(IFERROR(IF(LEFT($A337,1)="C",'Avoided Costs'!$O$13,'Avoided Costs'!$O$12)+1,""),4)</f>
        <v>1.1120000000000001</v>
      </c>
      <c r="CV337" s="199">
        <f>ROUND(IFERROR(IF(LEFT($A337,1)="C",'Avoided Costs'!$P$13,'Avoided Costs'!$P$12)+1,""),4)</f>
        <v>1.095</v>
      </c>
      <c r="CW337" s="199">
        <f>ROUND(IFERROR(IF(LEFT($A337,1)="C",'Avoided Costs'!$Q$13,'Avoided Costs'!$Q$12)+1,""),4)</f>
        <v>1.1120000000000001</v>
      </c>
      <c r="CX337" s="200">
        <f>ROUND(IFERROR(IF(LEFT($A337,1)="C",'Avoided Costs'!$R$13,'Avoided Costs'!$R$12)+1,""),4)</f>
        <v>1.1120000000000001</v>
      </c>
    </row>
    <row r="338" spans="1:102" ht="12.75" customHeight="1">
      <c r="A338" s="91" t="str">
        <f>IF('Inputs Yr 2'!$B338=0,"",'Inputs Yr 2'!A338)</f>
        <v>C - Commercial &amp; Industrial</v>
      </c>
      <c r="B338" s="91" t="str">
        <f>IF('Inputs Yr 2'!$B338=0,"",'Inputs Yr 2'!B338)</f>
        <v>C2 - C&amp;I Retrofit</v>
      </c>
      <c r="C338" s="91" t="str">
        <f>IF('Inputs Yr 2'!$B338=0,"",'Inputs Yr 2'!C338)</f>
        <v xml:space="preserve">C2c - C&amp;I Multifamily Retrofit </v>
      </c>
      <c r="D338" s="91" t="str">
        <f>IF('Inputs Yr 2'!$B338=0,"",'Inputs Yr 2'!E338)</f>
        <v>Wi-Fi Thermostat (controls elec cooling and gas heat)</v>
      </c>
      <c r="E338" s="93" t="str">
        <f>IF('Inputs Yr 2'!$B338=0,"",'Inputs Yr 2'!F338)</f>
        <v>G16C2c13</v>
      </c>
      <c r="F338" s="93" t="str">
        <f>IF('Inputs Yr 2'!$B338=0,"",'Inputs Yr 2'!G338)</f>
        <v>HVAC</v>
      </c>
      <c r="G338" s="95" t="str">
        <f>IF('Inputs Yr 2'!$H338&lt;&gt;0,('Inputs Yr 2'!H338),"")</f>
        <v/>
      </c>
      <c r="H338" s="94">
        <f>IFERROR('Inputs Yr 2'!I338,"")</f>
        <v>0</v>
      </c>
      <c r="I338" s="298" t="str">
        <f>IFERROR('Inputs Yr 2'!J338*'Inputs Yr 2'!P338*G338,"")</f>
        <v/>
      </c>
      <c r="J338" s="298" t="str">
        <f>IFERROR('Inputs Yr 2'!K338*G338,"")</f>
        <v/>
      </c>
      <c r="K338" s="298" t="str">
        <f t="shared" si="173"/>
        <v/>
      </c>
      <c r="L338" s="194" t="str">
        <f>IFERROR(('Inputs Yr 2'!W338*G338)/1000,"")</f>
        <v/>
      </c>
      <c r="M338" s="194" t="str">
        <f>IFERROR(L338*('Inputs Yr 2'!$Q338*'Inputs Yr 2'!$V338*'Inputs Yr 2'!$R338),"")</f>
        <v/>
      </c>
      <c r="N338" s="194" t="str">
        <f t="shared" si="174"/>
        <v/>
      </c>
      <c r="O338" s="194" t="str">
        <f>IFERROR(M338*'Inputs Yr 2'!P338,"")</f>
        <v/>
      </c>
      <c r="P338" s="194" t="str">
        <f t="shared" si="175"/>
        <v/>
      </c>
      <c r="Q338" s="194" t="str">
        <f>IFERROR($P338*'Inputs Yr 2'!AA338,"")</f>
        <v/>
      </c>
      <c r="R338" s="194" t="str">
        <f>IFERROR($P338*'Inputs Yr 2'!AB338,"")</f>
        <v/>
      </c>
      <c r="S338" s="194" t="str">
        <f>IFERROR($P338*'Inputs Yr 2'!AC338,"")</f>
        <v/>
      </c>
      <c r="T338" s="194" t="str">
        <f>IFERROR($P338*'Inputs Yr 2'!AD338,"")</f>
        <v/>
      </c>
      <c r="U338" s="194" t="str">
        <f>IFERROR(G338*'Inputs Yr 2'!$AE338*'Inputs Yr 2'!$P338*'Inputs Yr 2'!$Q338,"")</f>
        <v/>
      </c>
      <c r="V338" s="194" t="str">
        <f>IFERROR($G338*'Inputs Yr 2'!$AE338*'Inputs Yr 2'!$AG338*'Inputs Yr 2'!Q338*'Inputs Yr 2'!$S338,"")</f>
        <v/>
      </c>
      <c r="W338" s="194" t="str">
        <f>IFERROR($G338*'Inputs Yr 2'!$AE338*'Inputs Yr 2'!$AG338*'Inputs Yr 2'!P338*'Inputs Yr 2'!Q338*'Inputs Yr 2'!$S338,"")</f>
        <v/>
      </c>
      <c r="X338" s="194" t="str">
        <f>IFERROR($G338*'Inputs Yr 2'!$AE338*'Inputs Yr 2'!$AF338*'Inputs Yr 2'!Q338*'Inputs Yr 2'!$T338,"")</f>
        <v/>
      </c>
      <c r="Y338" s="194" t="str">
        <f>IFERROR($G338*'Inputs Yr 2'!$AE338*'Inputs Yr 2'!$AF338*'Inputs Yr 2'!P338*'Inputs Yr 2'!Q338*'Inputs Yr 2'!$T338,"")</f>
        <v/>
      </c>
      <c r="Z338" s="257">
        <f>IFERROR($G338*'Inputs Yr 2'!$Q338*'Inputs Yr 2'!$U338*(IF(IFERROR(SEARCH("NG", 'Inputs Yr 2'!$AJ338),0),'Inputs Yr 2'!$AK338,0)+IF(IFERROR(SEARCH("NG", 'Inputs Yr 2'!$AL338),0),'Inputs Yr 2'!$AM338,0)+IF(IFERROR(SEARCH("NG", 'Inputs Yr 2'!$AN338),0),'Inputs Yr 2'!$AO338,0)),0)</f>
        <v>0</v>
      </c>
      <c r="AA338" s="257">
        <f t="shared" si="176"/>
        <v>0</v>
      </c>
      <c r="AB338" s="257">
        <f>IFERROR(Z338*'Inputs Yr 2'!$P338,0)</f>
        <v>0</v>
      </c>
      <c r="AC338" s="257">
        <f t="shared" si="177"/>
        <v>0</v>
      </c>
      <c r="AD338" s="257">
        <f>IFERROR($G338*'Inputs Yr 2'!$Q338*'Inputs Yr 2'!$U338*(IF(IFERROR(SEARCH("Oil", 'Inputs Yr 2'!$AJ338), 0),'Inputs Yr 2'!$AK338,0)+IF(IFERROR(SEARCH("Oil", 'Inputs Yr 2'!$AL338), 0),'Inputs Yr 2'!$AM338,0)+IF(IFERROR(SEARCH("Oil", 'Inputs Yr 2'!$AN338), 0),'Inputs Yr 2'!$AO338,0)),0)</f>
        <v>0</v>
      </c>
      <c r="AE338" s="257">
        <f t="shared" si="178"/>
        <v>0</v>
      </c>
      <c r="AF338" s="257">
        <f>IFERROR(AD338*'Inputs Yr 2'!$P338,0)</f>
        <v>0</v>
      </c>
      <c r="AG338" s="257">
        <f t="shared" si="179"/>
        <v>0</v>
      </c>
      <c r="AH338" s="257">
        <f>IFERROR($G338*'Inputs Yr 2'!$Q338*'Inputs Yr 2'!$U338*(IF('Inputs Yr 2'!$AJ338=CD$4,'Inputs Yr 2'!$AK338,IF('Inputs Yr 2'!$AL338=CD$4,'Inputs Yr 2'!$AM338,IF('Inputs Yr 2'!$AN338=CD$4,'Inputs Yr 2'!$AO338,0)))),0)</f>
        <v>0</v>
      </c>
      <c r="AI338" s="257">
        <f t="shared" si="180"/>
        <v>0</v>
      </c>
      <c r="AJ338" s="257">
        <f>IFERROR(AH338*'Inputs Yr 2'!$P338,0)</f>
        <v>0</v>
      </c>
      <c r="AK338" s="257">
        <f t="shared" si="181"/>
        <v>0</v>
      </c>
      <c r="AL338" s="258">
        <f>IFERROR($G338*'Inputs Yr 2'!$P338*'Inputs Yr 2'!$Q338*'Inputs Yr 2'!AP338,0)</f>
        <v>0</v>
      </c>
      <c r="AM338" s="260">
        <f>IFERROR($G338*'Inputs Yr 2'!$P338*'Inputs Yr 2'!$Q338*'Inputs Yr 2'!AQ338,0)</f>
        <v>0</v>
      </c>
      <c r="AN338" s="258">
        <f>IFERROR($G338*'Inputs Yr 2'!$P338*'Inputs Yr 2'!$Q338*'Inputs Yr 2'!AR338,0)</f>
        <v>0</v>
      </c>
      <c r="AO338" s="257">
        <f t="shared" si="182"/>
        <v>0</v>
      </c>
      <c r="AP338" s="195" t="str">
        <f>IFERROR($CQ338*(INDEX(avoidedcosttbl2,$H338,AP$2)+(($H338-ROUNDDOWN($H338,0))*(INDEX(avoidedcosttbl2,ROUNDUP($H338,0),AP$2)-(INDEX(avoidedcosttbl2,ROUNDDOWN($H338,0),AP$2)))))*$O338*1000*'Inputs Yr 2'!AA338,"")</f>
        <v/>
      </c>
      <c r="AQ338" s="195" t="str">
        <f>IFERROR($CR338*(INDEX(avoidedcosttbl2,$H338,AQ$2)+(($H338-ROUNDDOWN($H338,0))*(INDEX(avoidedcosttbl2,ROUNDUP($H338,0),AQ$2)-(INDEX(avoidedcosttbl2,ROUNDDOWN($H338,0),AQ$2)))))*$O338*1000*'Inputs Yr 2'!AB338,"")</f>
        <v/>
      </c>
      <c r="AR338" s="195" t="str">
        <f>IFERROR($CS338*(INDEX(avoidedcosttbl2,$H338,AR$2)+(($H338-ROUNDDOWN($H338,0))*(INDEX(avoidedcosttbl2,ROUNDUP($H338,0),AR$2)-(INDEX(avoidedcosttbl2,ROUNDDOWN($H338,0),AR$2)))))*$O338*1000*'Inputs Yr 2'!AC338,"")</f>
        <v/>
      </c>
      <c r="AS338" s="195" t="str">
        <f>IFERROR($CT338*(INDEX(avoidedcosttbl2,$H338,AS$2)+(($H338-ROUNDDOWN($H338,0))*(INDEX(avoidedcosttbl2,ROUNDUP($H338,0),AS$2)-(INDEX(avoidedcosttbl2,ROUNDDOWN($H338,0),AS$2)))))*$O338*1000*'Inputs Yr 2'!AD338,"")</f>
        <v/>
      </c>
      <c r="AT338" s="196">
        <f t="shared" si="183"/>
        <v>0</v>
      </c>
      <c r="AU338" s="197" t="str">
        <f>IFERROR($CQ338*((INDEX(avoidedcosttbl2,$H338,AU$2))+(($H338-ROUNDDOWN($H338,0))*((INDEX(avoidedcosttbl2,ROUNDUP($H338,0),AU$2))-(INDEX(avoidedcosttbl2,ROUNDDOWN($H338,0),AU$2)))))*$O338*1000*'Inputs Yr 2'!AA338,"")</f>
        <v/>
      </c>
      <c r="AV338" s="197" t="str">
        <f>IFERROR($CR338*((INDEX(avoidedcosttbl2,$H338,AV$2))+(($H338-ROUNDDOWN($H338,0))*((INDEX(avoidedcosttbl2,ROUNDUP($H338,0),AV$2))-(INDEX(avoidedcosttbl2,ROUNDDOWN($H338,0),AV$2)))))*$O338*1000*'Inputs Yr 2'!AB338,"")</f>
        <v/>
      </c>
      <c r="AW338" s="197" t="str">
        <f>IFERROR($CS338*((INDEX(avoidedcosttbl2,$H338,AW$2))+(($H338-ROUNDDOWN($H338,0))*((INDEX(avoidedcosttbl2,ROUNDUP($H338,0),AW$2))-(INDEX(avoidedcosttbl2,ROUNDDOWN($H338,0),AW$2)))))*$O338*1000*'Inputs Yr 2'!AC338,"")</f>
        <v/>
      </c>
      <c r="AX338" s="197" t="str">
        <f>IFERROR($CT338*((INDEX(avoidedcosttbl2,$H338,AX$2))+(($H338-ROUNDDOWN($H338,0))*((INDEX(avoidedcosttbl2,ROUNDUP($H338,0),AX$2))-(INDEX(avoidedcosttbl2,ROUNDDOWN($H338,0),AX$2)))))*$O338*1000*'Inputs Yr 2'!AD338,"")</f>
        <v/>
      </c>
      <c r="AY338" s="197" t="str">
        <f>IFERROR(((INDEX(avoidedcosttbl2,$H338,AY$2))+(($H338-ROUNDDOWN($H338,0))*((INDEX(avoidedcosttbl2,ROUNDUP($H338,0),AY$2))-(INDEX(avoidedcosttbl2,ROUNDDOWN($H338,0),AY$2)))))*$O338*1000*('Inputs Yr 2'!AC338+'Inputs Yr 2'!AD338),"")</f>
        <v/>
      </c>
      <c r="AZ338" s="197" t="str">
        <f>IFERROR(((INDEX(avoidedcosttbl2,$H338,AZ$2))+(($H338-ROUNDDOWN($H338,0))*((INDEX(avoidedcosttbl2,ROUNDUP($H338,0),AZ$2))-(INDEX(avoidedcosttbl2,ROUNDDOWN($H338,0),AZ$2)))))*$O338*1000*('Inputs Yr 2'!AA338+'Inputs Yr 2'!AB338),"")</f>
        <v/>
      </c>
      <c r="BA338" s="198">
        <f t="shared" si="184"/>
        <v>0</v>
      </c>
      <c r="BB338" s="198">
        <f t="shared" si="185"/>
        <v>0</v>
      </c>
      <c r="BC338" s="195" t="str">
        <f t="shared" si="167"/>
        <v/>
      </c>
      <c r="BD338" s="195" t="str">
        <f t="shared" si="168"/>
        <v/>
      </c>
      <c r="BE338" s="195" t="str">
        <f t="shared" si="169"/>
        <v/>
      </c>
      <c r="BF338" s="195" t="str">
        <f t="shared" si="170"/>
        <v/>
      </c>
      <c r="BG338" s="195" t="str">
        <f t="shared" si="171"/>
        <v/>
      </c>
      <c r="BH338" s="196">
        <f t="shared" si="186"/>
        <v>0</v>
      </c>
      <c r="BI338" s="196">
        <f t="shared" si="187"/>
        <v>0</v>
      </c>
      <c r="BJ338" s="195" t="str">
        <f>IFERROR($G338*(IF('Inputs Yr 2'!$AJ338=BJ$4,'Inputs Yr 2'!$AK338,IF('Inputs Yr 2'!$AL338=BJ$4,'Inputs Yr 2'!$AM338,IF('Inputs Yr 2'!$AN338=BJ$4,'Inputs Yr 2'!$AO338,0))))*(INDEX(avoidedcosttbl2,$H338,BJ$2)+(($H338-ROUNDDOWN($H338,0))*(INDEX(avoidedcosttbl2,ROUNDUP($H338,0),BJ$2)-(INDEX(avoidedcosttbl2,ROUNDDOWN($H338,0),BJ$2)))))*'Inputs Yr 2'!P338*'Inputs Yr 2'!Q338*'Inputs Yr 2'!U338,"")</f>
        <v/>
      </c>
      <c r="BK338" s="195" t="str">
        <f>IFERROR($G338*(IF('Inputs Yr 2'!$AJ338=BK$4,'Inputs Yr 2'!$AK338,IF('Inputs Yr 2'!$AL338=BK$4,'Inputs Yr 2'!$AM338,IF('Inputs Yr 2'!$AN338=BK$4,'Inputs Yr 2'!$AO338,0))))*(INDEX(avoidedcosttbl2,$H338,BK$2)+(($H338-ROUNDDOWN($H338,0))*(INDEX(avoidedcosttbl2,ROUNDUP($H338,0),BK$2)-(INDEX(avoidedcosttbl2,ROUNDDOWN($H338,0),BK$2)))))*'Inputs Yr 2'!P338*'Inputs Yr 2'!Q338*'Inputs Yr 2'!U338,"")</f>
        <v/>
      </c>
      <c r="BL338" s="195" t="str">
        <f>IFERROR($G338*(IF('Inputs Yr 2'!$AJ338=BL$4,'Inputs Yr 2'!$AK338,IF('Inputs Yr 2'!$AL338=BL$4,'Inputs Yr 2'!$AM338,IF('Inputs Yr 2'!$AN338=BL$4,'Inputs Yr 2'!$AO338,0))))*(INDEX(avoidedcosttbl2,$H338,BL$2)+(($H338-ROUNDDOWN($H338,0))*(INDEX(avoidedcosttbl2,ROUNDUP($H338,0),BL$2)-(INDEX(avoidedcosttbl2,ROUNDDOWN($H338,0),BL$2)))))*'Inputs Yr 2'!P338*'Inputs Yr 2'!Q338*'Inputs Yr 2'!U338,"")</f>
        <v/>
      </c>
      <c r="BM338" s="195" t="str">
        <f>IFERROR($G338*(IF('Inputs Yr 2'!$AJ338=BM$4,'Inputs Yr 2'!$AK338,IF('Inputs Yr 2'!$AL338=BM$4,'Inputs Yr 2'!$AM338,IF('Inputs Yr 2'!$AN338=BM$4,'Inputs Yr 2'!$AO338,0))))*(INDEX(avoidedcosttbl2,$H338,BM$2)+(($H338-ROUNDDOWN($H338,0))*(INDEX(avoidedcosttbl2,ROUNDUP($H338,0),BM$2)-(INDEX(avoidedcosttbl2,ROUNDDOWN($H338,0),BM$2)))))*'Inputs Yr 2'!P338*'Inputs Yr 2'!Q338*'Inputs Yr 2'!U338,"")</f>
        <v/>
      </c>
      <c r="BN338" s="195" t="str">
        <f>IFERROR($G338*(IF('Inputs Yr 2'!$AJ338=BN$4,'Inputs Yr 2'!$AK338,IF('Inputs Yr 2'!$AL338=BN$4,'Inputs Yr 2'!$AM338,IF('Inputs Yr 2'!$AN338=BN$4,'Inputs Yr 2'!$AO338,0))))*(INDEX(avoidedcosttbl2,$H338,BN$2)+(($H338-ROUNDDOWN($H338,0))*(INDEX(avoidedcosttbl2,ROUNDUP($H338,0),BN$2)-(INDEX(avoidedcosttbl2,ROUNDDOWN($H338,0),BN$2)))))*'Inputs Yr 2'!P338*'Inputs Yr 2'!Q338*'Inputs Yr 2'!U338,"")</f>
        <v/>
      </c>
      <c r="BO338" s="195" t="str">
        <f>IFERROR($G338*(IF('Inputs Yr 2'!$AJ338=BO$4,'Inputs Yr 2'!$AK338,IF('Inputs Yr 2'!$AL338=BO$4,'Inputs Yr 2'!$AM338,IF('Inputs Yr 2'!$AN338=BO$4,'Inputs Yr 2'!$AO338,0))))*(INDEX(avoidedcosttbl2,$H338,BO$2)+(($H338-ROUNDDOWN($H338,0))*(INDEX(avoidedcosttbl2,ROUNDUP($H338,0),BO$2)-(INDEX(avoidedcosttbl2,ROUNDDOWN($H338,0),BO$2)))))*'Inputs Yr 2'!P338*'Inputs Yr 2'!Q338*'Inputs Yr 2'!U338,"")</f>
        <v/>
      </c>
      <c r="BP338" s="195" t="str">
        <f>IFERROR($G338*(IF('Inputs Yr 2'!$AJ338=BP$4,'Inputs Yr 2'!$AK338,IF('Inputs Yr 2'!$AL338=BP$4,'Inputs Yr 2'!$AM338,IF('Inputs Yr 2'!$AN338=BP$4,'Inputs Yr 2'!$AO338,0))))*(INDEX(avoidedcosttbl2,$H338,BP$2)+(($H338-ROUNDDOWN($H338,0))*(INDEX(avoidedcosttbl2,ROUNDUP($H338,0),BP$2)-(INDEX(avoidedcosttbl2,ROUNDDOWN($H338,0),BP$2)))))*'Inputs Yr 2'!P338*'Inputs Yr 2'!Q338*'Inputs Yr 2'!U338,"")</f>
        <v/>
      </c>
      <c r="BQ338" s="230">
        <f t="shared" si="188"/>
        <v>0</v>
      </c>
      <c r="BR338" s="197" t="str">
        <f t="shared" si="172"/>
        <v/>
      </c>
      <c r="BS338" s="197" t="str">
        <f>IFERROR(($G338*IF('Inputs Yr 2'!$AJ338=BM$4,'Inputs Yr 2'!$AK338,IF('Inputs Yr 2'!$AL338=BM$4,'Inputs Yr 2'!$AM338,IF('Inputs Yr 2'!$AN338=BM$4,'Inputs Yr 2'!$AO338,0))))*(INDEX(avoidedcosttbl2,$H338,BS$2)+(($H338-ROUNDDOWN($H338,0))*(INDEX(avoidedcosttbl2,ROUNDUP($H338,0),BS$2)-(INDEX(avoidedcosttbl2,ROUNDDOWN($H338,0),BS$2)))))*'Inputs Yr 2'!P338*'Inputs Yr 2'!Q338*'Inputs Yr 2'!U338,"")</f>
        <v/>
      </c>
      <c r="BT338" s="197" t="str">
        <f>IFERROR(($G338*IF('Inputs Yr 2'!$AJ338=BK$4,'Inputs Yr 2'!$AK338,IF('Inputs Yr 2'!$AL338=BK$4,'Inputs Yr 2'!$AM338,IF('Inputs Yr 2'!$AN338=BK$4,'Inputs Yr 2'!$AO338,0))))*(INDEX(avoidedcosttbl2,$H338,BT$2)+(($H338-ROUNDDOWN($H338,0))*(INDEX(avoidedcosttbl2,ROUNDUP($H338,0),BT$2)-(INDEX(avoidedcosttbl2,ROUNDDOWN($H338,0),BT$2)))))*'Inputs Yr 2'!P338*'Inputs Yr 2'!Q338*'Inputs Yr 2'!U338,"")</f>
        <v/>
      </c>
      <c r="BU338" s="197" t="str">
        <f>IFERROR(($G338*IF('Inputs Yr 2'!$AJ338=BL$4,'Inputs Yr 2'!$AK338,IF('Inputs Yr 2'!$AL338=BL$4,'Inputs Yr 2'!$AM338,IF('Inputs Yr 2'!$AN338=BL$4,'Inputs Yr 2'!$AO338,0))))*(INDEX(avoidedcosttbl2,$H338,BU$2)+(($H338-ROUNDDOWN($H338,0))*(INDEX(avoidedcosttbl2,ROUNDUP($H338,0),BU$2)-(INDEX(avoidedcosttbl2,ROUNDDOWN($H338,0),BU$2)))))*'Inputs Yr 2'!P338*'Inputs Yr 2'!Q338*'Inputs Yr 2'!U338,"")</f>
        <v/>
      </c>
      <c r="BV338" s="775" t="str">
        <f>IFERROR(($G338*IF('Inputs Yr 2'!$AJ338=BJ$4,'Inputs Yr 2'!$AK338,IF('Inputs Yr 2'!$AL338=BJ$4,'Inputs Yr 2'!$AM338,IF('Inputs Yr 2'!$AN338=BJ$4,'Inputs Yr 2'!$AO338,0))))*(INDEX(avoidedcosttbl2,$H338,BV$2)+(($H338-ROUNDDOWN($H338,0))*(INDEX(avoidedcosttbl2,ROUNDUP($H338,0),BV$2)-(INDEX(avoidedcosttbl2,ROUNDDOWN($H338,0),BV$2)))))*'Inputs Yr 2'!P338*'Inputs Yr 2'!Q338*'Inputs Yr 2'!U338,"")</f>
        <v/>
      </c>
      <c r="BW338" s="197" t="str">
        <f>IFERROR(($G338*IF('Inputs Yr 2'!$AJ338=BN$4,'Inputs Yr 2'!$AK338,IF('Inputs Yr 2'!$AL338=BN$4,'Inputs Yr 2'!$AM338,IF('Inputs Yr 2'!$AN338=BN$4,'Inputs Yr 2'!$AO338,0))))*(INDEX(avoidedcosttbl2,$H338,BW$2)+(($H338-ROUNDDOWN($H338,0))*(INDEX(avoidedcosttbl2,ROUNDUP($H338,0),BW$2)-(INDEX(avoidedcosttbl2,ROUNDDOWN($H338,0),BW$2)))))*'Inputs Yr 2'!P338*'Inputs Yr 2'!Q338*'Inputs Yr 2'!U338,"")</f>
        <v/>
      </c>
      <c r="BX338" s="197" t="str">
        <f>IFERROR(($G338*IF('Inputs Yr 2'!$AJ338=BO$4,'Inputs Yr 2'!$AK338,IF('Inputs Yr 2'!$AL338=BO$4,'Inputs Yr 2'!$AM338,IF('Inputs Yr 2'!$AN338=BO$4,'Inputs Yr 2'!$AO338,0))))*(INDEX(avoidedcosttbl2,$H338,BX$2)+(($H338-ROUNDDOWN($H338,0))*(INDEX(avoidedcosttbl2,ROUNDUP($H338,0),BX$2)-(INDEX(avoidedcosttbl2,ROUNDDOWN($H338,0),BX$2)))))*'Inputs Yr 2'!P338*'Inputs Yr 2'!Q338*'Inputs Yr 2'!U338,"")</f>
        <v/>
      </c>
      <c r="BY338" s="197" t="str">
        <f>IFERROR(($G338*IF('Inputs Yr 2'!$AJ338=BP$4,'Inputs Yr 2'!$AK338,IF('Inputs Yr 2'!$AL338=BP$4,'Inputs Yr 2'!$AM338,IF('Inputs Yr 2'!$AN338=BP$4,'Inputs Yr 2'!$AO338,0))))*(INDEX(avoidedcosttbl2,$H338,BY$2)+(($H338-ROUNDDOWN($H338,0))*(INDEX(avoidedcosttbl2,ROUNDUP($H338,0),BY$2)-(INDEX(avoidedcosttbl2,ROUNDDOWN($H338,0),BY$2)))))*'Inputs Yr 2'!P338*'Inputs Yr 2'!Q338*'Inputs Yr 2'!U338,"")</f>
        <v/>
      </c>
      <c r="BZ338" s="193">
        <f t="shared" si="189"/>
        <v>0</v>
      </c>
      <c r="CA338" s="193">
        <f t="shared" si="190"/>
        <v>0</v>
      </c>
      <c r="CB338" s="195" t="str">
        <f>IFERROR(G338*(IF('Inputs Yr 2'!$AJ338=CB$4,'Inputs Yr 2'!$AK338,IF('Inputs Yr 2'!$AL338=CB$4,'Inputs Yr 2'!$AM338,IF('Inputs Yr 2'!$AN338=CB$4,'Inputs Yr 2'!$AO338,0))))*(INDEX(avoidedcosttbl2,$H338,CB$2)+(($H338-ROUNDDOWN($H338,0))*(INDEX(avoidedcosttbl2,ROUNDUP($H338,0),CB$2)-(INDEX(avoidedcosttbl2,ROUNDDOWN($H338,0),CB$2)))))*'Inputs Yr 2'!P338*'Inputs Yr 2'!Q338*'Inputs Yr 2'!U338,"")</f>
        <v/>
      </c>
      <c r="CC338" s="195" t="str">
        <f>IFERROR(H338*(IF('Inputs Yr 2'!$AJ338=CC$4,'Inputs Yr 2'!$AK338,IF('Inputs Yr 2'!$AL338=CC$4,'Inputs Yr 2'!$AM338,IF('Inputs Yr 2'!$AN338=CC$4,'Inputs Yr 2'!$AO338,0))))*(INDEX(avoidedcosttbl2,$H338,CC$2)+(($H338-ROUNDDOWN($H338,0))*(INDEX(avoidedcosttbl2,ROUNDUP($H338,0),CC$2)-(INDEX(avoidedcosttbl2,ROUNDDOWN($H338,0),CC$2)))))*'Inputs Yr 2'!Q338*'Inputs Yr 2'!R338*'Inputs Yr 2'!V338,"")</f>
        <v/>
      </c>
      <c r="CD338" s="195" t="str">
        <f>IFERROR(I338*(IF('Inputs Yr 2'!$AJ338=CD$4,'Inputs Yr 2'!$AK338,IF('Inputs Yr 2'!$AL338=CD$4,'Inputs Yr 2'!$AM338,IF('Inputs Yr 2'!$AN338=CD$4,'Inputs Yr 2'!$AO338,0))))*(INDEX(avoidedcosttbl2,$H338,CD$2)+(($H338-ROUNDDOWN($H338,0))*(INDEX(avoidedcosttbl2,ROUNDUP($H338,0),CD$2)-(INDEX(avoidedcosttbl2,ROUNDDOWN($H338,0),CD$2)))))*'Inputs Yr 2'!R338*'Inputs Yr 2'!S338*'Inputs Yr 2'!W338,"")</f>
        <v/>
      </c>
      <c r="CE338" s="213" t="str">
        <f t="shared" si="191"/>
        <v/>
      </c>
      <c r="CF338" s="213" t="str">
        <f t="shared" si="192"/>
        <v/>
      </c>
      <c r="CG338" s="213" t="str">
        <f t="shared" si="193"/>
        <v/>
      </c>
      <c r="CH338" s="698">
        <f t="shared" si="194"/>
        <v>0</v>
      </c>
      <c r="CI338" s="79" t="str">
        <f>IFERROR(($G338*'Inputs Yr 2'!$P338*'Inputs Yr 2'!$Q338*(((INDEX(avoidedcosttbl2,$H338,CI$2)+(($H338-ROUNDDOWN($H338,0))*(INDEX(avoidedcosttbl2,ROUNDUP($H338,0),CI$2)-INDEX(avoidedcosttbl2,ROUNDDOWN($H338,0),CI$2))))*'Inputs Yr 2'!AS338))),"")</f>
        <v/>
      </c>
      <c r="CJ338" s="504" t="str">
        <f>IFERROR($G338*'Inputs Yr 2'!AT338*'Inputs Yr 2'!$P338*'Inputs Yr 2'!$Q338/((1+realdiscrt1)^-0.5),"")</f>
        <v/>
      </c>
      <c r="CK338" s="79" t="str">
        <f>IFERROR((O338*1000*(((INDEX(avoidedcosttbl2,$H338,CK$2)+(($H338-ROUNDDOWN($H338,0))*(INDEX(avoidedcosttbl2,ROUNDUP($H338,0),CK$2)-INDEX(avoidedcosttbl2,ROUNDDOWN($H338,0),CK$2))))*'Inputs Yr 2'!AU338))),"")</f>
        <v/>
      </c>
      <c r="CL338" s="504" t="str">
        <f>IFERROR(O338*1000*'Inputs Yr 2'!AV338/((1+realdiscrt1)^-0.5),"")</f>
        <v/>
      </c>
      <c r="CM338" s="79" t="str">
        <f>IFERROR((AB338*'Inputs Yr 2'!AW338*(((INDEX(avoidedcosttbl2,$H338,CM$2)+(($H338-ROUNDDOWN($H338,0))*(INDEX(avoidedcosttbl2,ROUNDUP($H338,0),CM$2)-INDEX(avoidedcosttbl2,ROUNDDOWN($H338,0),CM$2)))))))*10,"")</f>
        <v/>
      </c>
      <c r="CN338" s="504">
        <f>IFERROR(10*AB338*'Inputs Yr 2'!AX338/((1+realdiscrt1)^-0.5),"")</f>
        <v>0</v>
      </c>
      <c r="CO338" s="505">
        <f t="shared" si="195"/>
        <v>0</v>
      </c>
      <c r="CP338" s="230">
        <f t="shared" si="196"/>
        <v>0</v>
      </c>
      <c r="CQ338" s="199">
        <f>ROUND(IFERROR(IF(LEFT($A338,1)="C",'Avoided Costs'!$K$13,'Avoided Costs'!$K$12)+1,""),4)</f>
        <v>1.0720000000000001</v>
      </c>
      <c r="CR338" s="199">
        <f>ROUND(IFERROR(IF(LEFT($A338,1)="C",'Avoided Costs'!$L$13,'Avoided Costs'!$L$12)+1,""),4)</f>
        <v>1.04</v>
      </c>
      <c r="CS338" s="199">
        <f>ROUND(IFERROR(IF(LEFT($A338,1)="C",'Avoided Costs'!$M$13,'Avoided Costs'!$M$12)+1,""),4)</f>
        <v>1.0720000000000001</v>
      </c>
      <c r="CT338" s="199">
        <f>ROUND(IFERROR(IF(LEFT($A338,1)="C",'Avoided Costs'!$N$13,'Avoided Costs'!$N$12)+1,""),4)</f>
        <v>1.04</v>
      </c>
      <c r="CU338" s="199">
        <f>ROUND(IFERROR(IF(LEFT($A338,1)="C",'Avoided Costs'!$O$13,'Avoided Costs'!$O$12)+1,""),4)</f>
        <v>1.1120000000000001</v>
      </c>
      <c r="CV338" s="199">
        <f>ROUND(IFERROR(IF(LEFT($A338,1)="C",'Avoided Costs'!$P$13,'Avoided Costs'!$P$12)+1,""),4)</f>
        <v>1.095</v>
      </c>
      <c r="CW338" s="199">
        <f>ROUND(IFERROR(IF(LEFT($A338,1)="C",'Avoided Costs'!$Q$13,'Avoided Costs'!$Q$12)+1,""),4)</f>
        <v>1.1120000000000001</v>
      </c>
      <c r="CX338" s="200">
        <f>ROUND(IFERROR(IF(LEFT($A338,1)="C",'Avoided Costs'!$R$13,'Avoided Costs'!$R$12)+1,""),4)</f>
        <v>1.1120000000000001</v>
      </c>
    </row>
    <row r="339" spans="1:102" ht="12.75" customHeight="1">
      <c r="A339" s="91" t="str">
        <f>IF('Inputs Yr 2'!$B339=0,"",'Inputs Yr 2'!A339)</f>
        <v>C - Commercial &amp; Industrial</v>
      </c>
      <c r="B339" s="91" t="str">
        <f>IF('Inputs Yr 2'!$B339=0,"",'Inputs Yr 2'!B339)</f>
        <v>C2 - C&amp;I Retrofit</v>
      </c>
      <c r="C339" s="91" t="str">
        <f>IF('Inputs Yr 2'!$B339=0,"",'Inputs Yr 2'!C339)</f>
        <v xml:space="preserve">C2c - C&amp;I Multifamily Retrofit </v>
      </c>
      <c r="D339" s="91" t="str">
        <f>IF('Inputs Yr 2'!$B339=0,"",'Inputs Yr 2'!E339)</f>
        <v>Demand Circulator, Gas</v>
      </c>
      <c r="E339" s="93" t="str">
        <f>IF('Inputs Yr 2'!$B339=0,"",'Inputs Yr 2'!F339)</f>
        <v>G16C2c14</v>
      </c>
      <c r="F339" s="93" t="str">
        <f>IF('Inputs Yr 2'!$B339=0,"",'Inputs Yr 2'!G339)</f>
        <v>Hot Water</v>
      </c>
      <c r="G339" s="95" t="str">
        <f>IF('Inputs Yr 2'!$H339&lt;&gt;0,('Inputs Yr 2'!H339),"")</f>
        <v/>
      </c>
      <c r="H339" s="94">
        <f>IFERROR('Inputs Yr 2'!I339,"")</f>
        <v>0</v>
      </c>
      <c r="I339" s="298" t="str">
        <f>IFERROR('Inputs Yr 2'!J339*'Inputs Yr 2'!P339*G339,"")</f>
        <v/>
      </c>
      <c r="J339" s="298" t="str">
        <f>IFERROR('Inputs Yr 2'!K339*G339,"")</f>
        <v/>
      </c>
      <c r="K339" s="298" t="str">
        <f t="shared" si="173"/>
        <v/>
      </c>
      <c r="L339" s="194" t="str">
        <f>IFERROR(('Inputs Yr 2'!W339*G339)/1000,"")</f>
        <v/>
      </c>
      <c r="M339" s="194" t="str">
        <f>IFERROR(L339*('Inputs Yr 2'!$Q339*'Inputs Yr 2'!$V339*'Inputs Yr 2'!$R339),"")</f>
        <v/>
      </c>
      <c r="N339" s="194" t="str">
        <f t="shared" si="174"/>
        <v/>
      </c>
      <c r="O339" s="194" t="str">
        <f>IFERROR(M339*'Inputs Yr 2'!P339,"")</f>
        <v/>
      </c>
      <c r="P339" s="194" t="str">
        <f t="shared" si="175"/>
        <v/>
      </c>
      <c r="Q339" s="194" t="str">
        <f>IFERROR($P339*'Inputs Yr 2'!AA339,"")</f>
        <v/>
      </c>
      <c r="R339" s="194" t="str">
        <f>IFERROR($P339*'Inputs Yr 2'!AB339,"")</f>
        <v/>
      </c>
      <c r="S339" s="194" t="str">
        <f>IFERROR($P339*'Inputs Yr 2'!AC339,"")</f>
        <v/>
      </c>
      <c r="T339" s="194" t="str">
        <f>IFERROR($P339*'Inputs Yr 2'!AD339,"")</f>
        <v/>
      </c>
      <c r="U339" s="194" t="str">
        <f>IFERROR(G339*'Inputs Yr 2'!$AE339*'Inputs Yr 2'!$P339*'Inputs Yr 2'!$Q339,"")</f>
        <v/>
      </c>
      <c r="V339" s="194" t="str">
        <f>IFERROR($G339*'Inputs Yr 2'!$AE339*'Inputs Yr 2'!$AG339*'Inputs Yr 2'!Q339*'Inputs Yr 2'!$S339,"")</f>
        <v/>
      </c>
      <c r="W339" s="194" t="str">
        <f>IFERROR($G339*'Inputs Yr 2'!$AE339*'Inputs Yr 2'!$AG339*'Inputs Yr 2'!P339*'Inputs Yr 2'!Q339*'Inputs Yr 2'!$S339,"")</f>
        <v/>
      </c>
      <c r="X339" s="194" t="str">
        <f>IFERROR($G339*'Inputs Yr 2'!$AE339*'Inputs Yr 2'!$AF339*'Inputs Yr 2'!Q339*'Inputs Yr 2'!$T339,"")</f>
        <v/>
      </c>
      <c r="Y339" s="194" t="str">
        <f>IFERROR($G339*'Inputs Yr 2'!$AE339*'Inputs Yr 2'!$AF339*'Inputs Yr 2'!P339*'Inputs Yr 2'!Q339*'Inputs Yr 2'!$T339,"")</f>
        <v/>
      </c>
      <c r="Z339" s="257">
        <f>IFERROR($G339*'Inputs Yr 2'!$Q339*'Inputs Yr 2'!$U339*(IF(IFERROR(SEARCH("NG", 'Inputs Yr 2'!$AJ339),0),'Inputs Yr 2'!$AK339,0)+IF(IFERROR(SEARCH("NG", 'Inputs Yr 2'!$AL339),0),'Inputs Yr 2'!$AM339,0)+IF(IFERROR(SEARCH("NG", 'Inputs Yr 2'!$AN339),0),'Inputs Yr 2'!$AO339,0)),0)</f>
        <v>0</v>
      </c>
      <c r="AA339" s="257">
        <f t="shared" si="176"/>
        <v>0</v>
      </c>
      <c r="AB339" s="257">
        <f>IFERROR(Z339*'Inputs Yr 2'!$P339,0)</f>
        <v>0</v>
      </c>
      <c r="AC339" s="257">
        <f t="shared" si="177"/>
        <v>0</v>
      </c>
      <c r="AD339" s="257">
        <f>IFERROR($G339*'Inputs Yr 2'!$Q339*'Inputs Yr 2'!$U339*(IF(IFERROR(SEARCH("Oil", 'Inputs Yr 2'!$AJ339), 0),'Inputs Yr 2'!$AK339,0)+IF(IFERROR(SEARCH("Oil", 'Inputs Yr 2'!$AL339), 0),'Inputs Yr 2'!$AM339,0)+IF(IFERROR(SEARCH("Oil", 'Inputs Yr 2'!$AN339), 0),'Inputs Yr 2'!$AO339,0)),0)</f>
        <v>0</v>
      </c>
      <c r="AE339" s="257">
        <f t="shared" si="178"/>
        <v>0</v>
      </c>
      <c r="AF339" s="257">
        <f>IFERROR(AD339*'Inputs Yr 2'!$P339,0)</f>
        <v>0</v>
      </c>
      <c r="AG339" s="257">
        <f t="shared" si="179"/>
        <v>0</v>
      </c>
      <c r="AH339" s="257">
        <f>IFERROR($G339*'Inputs Yr 2'!$Q339*'Inputs Yr 2'!$U339*(IF('Inputs Yr 2'!$AJ339=CD$4,'Inputs Yr 2'!$AK339,IF('Inputs Yr 2'!$AL339=CD$4,'Inputs Yr 2'!$AM339,IF('Inputs Yr 2'!$AN339=CD$4,'Inputs Yr 2'!$AO339,0)))),0)</f>
        <v>0</v>
      </c>
      <c r="AI339" s="257">
        <f t="shared" si="180"/>
        <v>0</v>
      </c>
      <c r="AJ339" s="257">
        <f>IFERROR(AH339*'Inputs Yr 2'!$P339,0)</f>
        <v>0</v>
      </c>
      <c r="AK339" s="257">
        <f t="shared" si="181"/>
        <v>0</v>
      </c>
      <c r="AL339" s="258">
        <f>IFERROR($G339*'Inputs Yr 2'!$P339*'Inputs Yr 2'!$Q339*'Inputs Yr 2'!AP339,0)</f>
        <v>0</v>
      </c>
      <c r="AM339" s="260">
        <f>IFERROR($G339*'Inputs Yr 2'!$P339*'Inputs Yr 2'!$Q339*'Inputs Yr 2'!AQ339,0)</f>
        <v>0</v>
      </c>
      <c r="AN339" s="258">
        <f>IFERROR($G339*'Inputs Yr 2'!$P339*'Inputs Yr 2'!$Q339*'Inputs Yr 2'!AR339,0)</f>
        <v>0</v>
      </c>
      <c r="AO339" s="257">
        <f t="shared" si="182"/>
        <v>0</v>
      </c>
      <c r="AP339" s="195" t="str">
        <f>IFERROR($CQ339*(INDEX(avoidedcosttbl2,$H339,AP$2)+(($H339-ROUNDDOWN($H339,0))*(INDEX(avoidedcosttbl2,ROUNDUP($H339,0),AP$2)-(INDEX(avoidedcosttbl2,ROUNDDOWN($H339,0),AP$2)))))*$O339*1000*'Inputs Yr 2'!AA339,"")</f>
        <v/>
      </c>
      <c r="AQ339" s="195" t="str">
        <f>IFERROR($CR339*(INDEX(avoidedcosttbl2,$H339,AQ$2)+(($H339-ROUNDDOWN($H339,0))*(INDEX(avoidedcosttbl2,ROUNDUP($H339,0),AQ$2)-(INDEX(avoidedcosttbl2,ROUNDDOWN($H339,0),AQ$2)))))*$O339*1000*'Inputs Yr 2'!AB339,"")</f>
        <v/>
      </c>
      <c r="AR339" s="195" t="str">
        <f>IFERROR($CS339*(INDEX(avoidedcosttbl2,$H339,AR$2)+(($H339-ROUNDDOWN($H339,0))*(INDEX(avoidedcosttbl2,ROUNDUP($H339,0),AR$2)-(INDEX(avoidedcosttbl2,ROUNDDOWN($H339,0),AR$2)))))*$O339*1000*'Inputs Yr 2'!AC339,"")</f>
        <v/>
      </c>
      <c r="AS339" s="195" t="str">
        <f>IFERROR($CT339*(INDEX(avoidedcosttbl2,$H339,AS$2)+(($H339-ROUNDDOWN($H339,0))*(INDEX(avoidedcosttbl2,ROUNDUP($H339,0),AS$2)-(INDEX(avoidedcosttbl2,ROUNDDOWN($H339,0),AS$2)))))*$O339*1000*'Inputs Yr 2'!AD339,"")</f>
        <v/>
      </c>
      <c r="AT339" s="196">
        <f t="shared" si="183"/>
        <v>0</v>
      </c>
      <c r="AU339" s="197" t="str">
        <f>IFERROR($CQ339*((INDEX(avoidedcosttbl2,$H339,AU$2))+(($H339-ROUNDDOWN($H339,0))*((INDEX(avoidedcosttbl2,ROUNDUP($H339,0),AU$2))-(INDEX(avoidedcosttbl2,ROUNDDOWN($H339,0),AU$2)))))*$O339*1000*'Inputs Yr 2'!AA339,"")</f>
        <v/>
      </c>
      <c r="AV339" s="197" t="str">
        <f>IFERROR($CR339*((INDEX(avoidedcosttbl2,$H339,AV$2))+(($H339-ROUNDDOWN($H339,0))*((INDEX(avoidedcosttbl2,ROUNDUP($H339,0),AV$2))-(INDEX(avoidedcosttbl2,ROUNDDOWN($H339,0),AV$2)))))*$O339*1000*'Inputs Yr 2'!AB339,"")</f>
        <v/>
      </c>
      <c r="AW339" s="197" t="str">
        <f>IFERROR($CS339*((INDEX(avoidedcosttbl2,$H339,AW$2))+(($H339-ROUNDDOWN($H339,0))*((INDEX(avoidedcosttbl2,ROUNDUP($H339,0),AW$2))-(INDEX(avoidedcosttbl2,ROUNDDOWN($H339,0),AW$2)))))*$O339*1000*'Inputs Yr 2'!AC339,"")</f>
        <v/>
      </c>
      <c r="AX339" s="197" t="str">
        <f>IFERROR($CT339*((INDEX(avoidedcosttbl2,$H339,AX$2))+(($H339-ROUNDDOWN($H339,0))*((INDEX(avoidedcosttbl2,ROUNDUP($H339,0),AX$2))-(INDEX(avoidedcosttbl2,ROUNDDOWN($H339,0),AX$2)))))*$O339*1000*'Inputs Yr 2'!AD339,"")</f>
        <v/>
      </c>
      <c r="AY339" s="197" t="str">
        <f>IFERROR(((INDEX(avoidedcosttbl2,$H339,AY$2))+(($H339-ROUNDDOWN($H339,0))*((INDEX(avoidedcosttbl2,ROUNDUP($H339,0),AY$2))-(INDEX(avoidedcosttbl2,ROUNDDOWN($H339,0),AY$2)))))*$O339*1000*('Inputs Yr 2'!AC339+'Inputs Yr 2'!AD339),"")</f>
        <v/>
      </c>
      <c r="AZ339" s="197" t="str">
        <f>IFERROR(((INDEX(avoidedcosttbl2,$H339,AZ$2))+(($H339-ROUNDDOWN($H339,0))*((INDEX(avoidedcosttbl2,ROUNDUP($H339,0),AZ$2))-(INDEX(avoidedcosttbl2,ROUNDDOWN($H339,0),AZ$2)))))*$O339*1000*('Inputs Yr 2'!AA339+'Inputs Yr 2'!AB339),"")</f>
        <v/>
      </c>
      <c r="BA339" s="198">
        <f t="shared" si="184"/>
        <v>0</v>
      </c>
      <c r="BB339" s="198">
        <f t="shared" si="185"/>
        <v>0</v>
      </c>
      <c r="BC339" s="195" t="str">
        <f t="shared" si="167"/>
        <v/>
      </c>
      <c r="BD339" s="195" t="str">
        <f t="shared" si="168"/>
        <v/>
      </c>
      <c r="BE339" s="195" t="str">
        <f t="shared" si="169"/>
        <v/>
      </c>
      <c r="BF339" s="195" t="str">
        <f t="shared" si="170"/>
        <v/>
      </c>
      <c r="BG339" s="195" t="str">
        <f t="shared" si="171"/>
        <v/>
      </c>
      <c r="BH339" s="196">
        <f t="shared" si="186"/>
        <v>0</v>
      </c>
      <c r="BI339" s="196">
        <f t="shared" si="187"/>
        <v>0</v>
      </c>
      <c r="BJ339" s="195" t="str">
        <f>IFERROR($G339*(IF('Inputs Yr 2'!$AJ339=BJ$4,'Inputs Yr 2'!$AK339,IF('Inputs Yr 2'!$AL339=BJ$4,'Inputs Yr 2'!$AM339,IF('Inputs Yr 2'!$AN339=BJ$4,'Inputs Yr 2'!$AO339,0))))*(INDEX(avoidedcosttbl2,$H339,BJ$2)+(($H339-ROUNDDOWN($H339,0))*(INDEX(avoidedcosttbl2,ROUNDUP($H339,0),BJ$2)-(INDEX(avoidedcosttbl2,ROUNDDOWN($H339,0),BJ$2)))))*'Inputs Yr 2'!P339*'Inputs Yr 2'!Q339*'Inputs Yr 2'!U339,"")</f>
        <v/>
      </c>
      <c r="BK339" s="195" t="str">
        <f>IFERROR($G339*(IF('Inputs Yr 2'!$AJ339=BK$4,'Inputs Yr 2'!$AK339,IF('Inputs Yr 2'!$AL339=BK$4,'Inputs Yr 2'!$AM339,IF('Inputs Yr 2'!$AN339=BK$4,'Inputs Yr 2'!$AO339,0))))*(INDEX(avoidedcosttbl2,$H339,BK$2)+(($H339-ROUNDDOWN($H339,0))*(INDEX(avoidedcosttbl2,ROUNDUP($H339,0),BK$2)-(INDEX(avoidedcosttbl2,ROUNDDOWN($H339,0),BK$2)))))*'Inputs Yr 2'!P339*'Inputs Yr 2'!Q339*'Inputs Yr 2'!U339,"")</f>
        <v/>
      </c>
      <c r="BL339" s="195" t="str">
        <f>IFERROR($G339*(IF('Inputs Yr 2'!$AJ339=BL$4,'Inputs Yr 2'!$AK339,IF('Inputs Yr 2'!$AL339=BL$4,'Inputs Yr 2'!$AM339,IF('Inputs Yr 2'!$AN339=BL$4,'Inputs Yr 2'!$AO339,0))))*(INDEX(avoidedcosttbl2,$H339,BL$2)+(($H339-ROUNDDOWN($H339,0))*(INDEX(avoidedcosttbl2,ROUNDUP($H339,0),BL$2)-(INDEX(avoidedcosttbl2,ROUNDDOWN($H339,0),BL$2)))))*'Inputs Yr 2'!P339*'Inputs Yr 2'!Q339*'Inputs Yr 2'!U339,"")</f>
        <v/>
      </c>
      <c r="BM339" s="195" t="str">
        <f>IFERROR($G339*(IF('Inputs Yr 2'!$AJ339=BM$4,'Inputs Yr 2'!$AK339,IF('Inputs Yr 2'!$AL339=BM$4,'Inputs Yr 2'!$AM339,IF('Inputs Yr 2'!$AN339=BM$4,'Inputs Yr 2'!$AO339,0))))*(INDEX(avoidedcosttbl2,$H339,BM$2)+(($H339-ROUNDDOWN($H339,0))*(INDEX(avoidedcosttbl2,ROUNDUP($H339,0),BM$2)-(INDEX(avoidedcosttbl2,ROUNDDOWN($H339,0),BM$2)))))*'Inputs Yr 2'!P339*'Inputs Yr 2'!Q339*'Inputs Yr 2'!U339,"")</f>
        <v/>
      </c>
      <c r="BN339" s="195" t="str">
        <f>IFERROR($G339*(IF('Inputs Yr 2'!$AJ339=BN$4,'Inputs Yr 2'!$AK339,IF('Inputs Yr 2'!$AL339=BN$4,'Inputs Yr 2'!$AM339,IF('Inputs Yr 2'!$AN339=BN$4,'Inputs Yr 2'!$AO339,0))))*(INDEX(avoidedcosttbl2,$H339,BN$2)+(($H339-ROUNDDOWN($H339,0))*(INDEX(avoidedcosttbl2,ROUNDUP($H339,0),BN$2)-(INDEX(avoidedcosttbl2,ROUNDDOWN($H339,0),BN$2)))))*'Inputs Yr 2'!P339*'Inputs Yr 2'!Q339*'Inputs Yr 2'!U339,"")</f>
        <v/>
      </c>
      <c r="BO339" s="195" t="str">
        <f>IFERROR($G339*(IF('Inputs Yr 2'!$AJ339=BO$4,'Inputs Yr 2'!$AK339,IF('Inputs Yr 2'!$AL339=BO$4,'Inputs Yr 2'!$AM339,IF('Inputs Yr 2'!$AN339=BO$4,'Inputs Yr 2'!$AO339,0))))*(INDEX(avoidedcosttbl2,$H339,BO$2)+(($H339-ROUNDDOWN($H339,0))*(INDEX(avoidedcosttbl2,ROUNDUP($H339,0),BO$2)-(INDEX(avoidedcosttbl2,ROUNDDOWN($H339,0),BO$2)))))*'Inputs Yr 2'!P339*'Inputs Yr 2'!Q339*'Inputs Yr 2'!U339,"")</f>
        <v/>
      </c>
      <c r="BP339" s="195" t="str">
        <f>IFERROR($G339*(IF('Inputs Yr 2'!$AJ339=BP$4,'Inputs Yr 2'!$AK339,IF('Inputs Yr 2'!$AL339=BP$4,'Inputs Yr 2'!$AM339,IF('Inputs Yr 2'!$AN339=BP$4,'Inputs Yr 2'!$AO339,0))))*(INDEX(avoidedcosttbl2,$H339,BP$2)+(($H339-ROUNDDOWN($H339,0))*(INDEX(avoidedcosttbl2,ROUNDUP($H339,0),BP$2)-(INDEX(avoidedcosttbl2,ROUNDDOWN($H339,0),BP$2)))))*'Inputs Yr 2'!P339*'Inputs Yr 2'!Q339*'Inputs Yr 2'!U339,"")</f>
        <v/>
      </c>
      <c r="BQ339" s="230">
        <f t="shared" si="188"/>
        <v>0</v>
      </c>
      <c r="BR339" s="197" t="str">
        <f t="shared" si="172"/>
        <v/>
      </c>
      <c r="BS339" s="197" t="str">
        <f>IFERROR(($G339*IF('Inputs Yr 2'!$AJ339=BM$4,'Inputs Yr 2'!$AK339,IF('Inputs Yr 2'!$AL339=BM$4,'Inputs Yr 2'!$AM339,IF('Inputs Yr 2'!$AN339=BM$4,'Inputs Yr 2'!$AO339,0))))*(INDEX(avoidedcosttbl2,$H339,BS$2)+(($H339-ROUNDDOWN($H339,0))*(INDEX(avoidedcosttbl2,ROUNDUP($H339,0),BS$2)-(INDEX(avoidedcosttbl2,ROUNDDOWN($H339,0),BS$2)))))*'Inputs Yr 2'!P339*'Inputs Yr 2'!Q339*'Inputs Yr 2'!U339,"")</f>
        <v/>
      </c>
      <c r="BT339" s="197" t="str">
        <f>IFERROR(($G339*IF('Inputs Yr 2'!$AJ339=BK$4,'Inputs Yr 2'!$AK339,IF('Inputs Yr 2'!$AL339=BK$4,'Inputs Yr 2'!$AM339,IF('Inputs Yr 2'!$AN339=BK$4,'Inputs Yr 2'!$AO339,0))))*(INDEX(avoidedcosttbl2,$H339,BT$2)+(($H339-ROUNDDOWN($H339,0))*(INDEX(avoidedcosttbl2,ROUNDUP($H339,0),BT$2)-(INDEX(avoidedcosttbl2,ROUNDDOWN($H339,0),BT$2)))))*'Inputs Yr 2'!P339*'Inputs Yr 2'!Q339*'Inputs Yr 2'!U339,"")</f>
        <v/>
      </c>
      <c r="BU339" s="197" t="str">
        <f>IFERROR(($G339*IF('Inputs Yr 2'!$AJ339=BL$4,'Inputs Yr 2'!$AK339,IF('Inputs Yr 2'!$AL339=BL$4,'Inputs Yr 2'!$AM339,IF('Inputs Yr 2'!$AN339=BL$4,'Inputs Yr 2'!$AO339,0))))*(INDEX(avoidedcosttbl2,$H339,BU$2)+(($H339-ROUNDDOWN($H339,0))*(INDEX(avoidedcosttbl2,ROUNDUP($H339,0),BU$2)-(INDEX(avoidedcosttbl2,ROUNDDOWN($H339,0),BU$2)))))*'Inputs Yr 2'!P339*'Inputs Yr 2'!Q339*'Inputs Yr 2'!U339,"")</f>
        <v/>
      </c>
      <c r="BV339" s="775" t="str">
        <f>IFERROR(($G339*IF('Inputs Yr 2'!$AJ339=BJ$4,'Inputs Yr 2'!$AK339,IF('Inputs Yr 2'!$AL339=BJ$4,'Inputs Yr 2'!$AM339,IF('Inputs Yr 2'!$AN339=BJ$4,'Inputs Yr 2'!$AO339,0))))*(INDEX(avoidedcosttbl2,$H339,BV$2)+(($H339-ROUNDDOWN($H339,0))*(INDEX(avoidedcosttbl2,ROUNDUP($H339,0),BV$2)-(INDEX(avoidedcosttbl2,ROUNDDOWN($H339,0),BV$2)))))*'Inputs Yr 2'!P339*'Inputs Yr 2'!Q339*'Inputs Yr 2'!U339,"")</f>
        <v/>
      </c>
      <c r="BW339" s="197" t="str">
        <f>IFERROR(($G339*IF('Inputs Yr 2'!$AJ339=BN$4,'Inputs Yr 2'!$AK339,IF('Inputs Yr 2'!$AL339=BN$4,'Inputs Yr 2'!$AM339,IF('Inputs Yr 2'!$AN339=BN$4,'Inputs Yr 2'!$AO339,0))))*(INDEX(avoidedcosttbl2,$H339,BW$2)+(($H339-ROUNDDOWN($H339,0))*(INDEX(avoidedcosttbl2,ROUNDUP($H339,0),BW$2)-(INDEX(avoidedcosttbl2,ROUNDDOWN($H339,0),BW$2)))))*'Inputs Yr 2'!P339*'Inputs Yr 2'!Q339*'Inputs Yr 2'!U339,"")</f>
        <v/>
      </c>
      <c r="BX339" s="197" t="str">
        <f>IFERROR(($G339*IF('Inputs Yr 2'!$AJ339=BO$4,'Inputs Yr 2'!$AK339,IF('Inputs Yr 2'!$AL339=BO$4,'Inputs Yr 2'!$AM339,IF('Inputs Yr 2'!$AN339=BO$4,'Inputs Yr 2'!$AO339,0))))*(INDEX(avoidedcosttbl2,$H339,BX$2)+(($H339-ROUNDDOWN($H339,0))*(INDEX(avoidedcosttbl2,ROUNDUP($H339,0),BX$2)-(INDEX(avoidedcosttbl2,ROUNDDOWN($H339,0),BX$2)))))*'Inputs Yr 2'!P339*'Inputs Yr 2'!Q339*'Inputs Yr 2'!U339,"")</f>
        <v/>
      </c>
      <c r="BY339" s="197" t="str">
        <f>IFERROR(($G339*IF('Inputs Yr 2'!$AJ339=BP$4,'Inputs Yr 2'!$AK339,IF('Inputs Yr 2'!$AL339=BP$4,'Inputs Yr 2'!$AM339,IF('Inputs Yr 2'!$AN339=BP$4,'Inputs Yr 2'!$AO339,0))))*(INDEX(avoidedcosttbl2,$H339,BY$2)+(($H339-ROUNDDOWN($H339,0))*(INDEX(avoidedcosttbl2,ROUNDUP($H339,0),BY$2)-(INDEX(avoidedcosttbl2,ROUNDDOWN($H339,0),BY$2)))))*'Inputs Yr 2'!P339*'Inputs Yr 2'!Q339*'Inputs Yr 2'!U339,"")</f>
        <v/>
      </c>
      <c r="BZ339" s="193">
        <f t="shared" si="189"/>
        <v>0</v>
      </c>
      <c r="CA339" s="193">
        <f t="shared" si="190"/>
        <v>0</v>
      </c>
      <c r="CB339" s="195" t="str">
        <f>IFERROR(G339*(IF('Inputs Yr 2'!$AJ339=CB$4,'Inputs Yr 2'!$AK339,IF('Inputs Yr 2'!$AL339=CB$4,'Inputs Yr 2'!$AM339,IF('Inputs Yr 2'!$AN339=CB$4,'Inputs Yr 2'!$AO339,0))))*(INDEX(avoidedcosttbl2,$H339,CB$2)+(($H339-ROUNDDOWN($H339,0))*(INDEX(avoidedcosttbl2,ROUNDUP($H339,0),CB$2)-(INDEX(avoidedcosttbl2,ROUNDDOWN($H339,0),CB$2)))))*'Inputs Yr 2'!P339*'Inputs Yr 2'!Q339*'Inputs Yr 2'!U339,"")</f>
        <v/>
      </c>
      <c r="CC339" s="195" t="str">
        <f>IFERROR(H339*(IF('Inputs Yr 2'!$AJ339=CC$4,'Inputs Yr 2'!$AK339,IF('Inputs Yr 2'!$AL339=CC$4,'Inputs Yr 2'!$AM339,IF('Inputs Yr 2'!$AN339=CC$4,'Inputs Yr 2'!$AO339,0))))*(INDEX(avoidedcosttbl2,$H339,CC$2)+(($H339-ROUNDDOWN($H339,0))*(INDEX(avoidedcosttbl2,ROUNDUP($H339,0),CC$2)-(INDEX(avoidedcosttbl2,ROUNDDOWN($H339,0),CC$2)))))*'Inputs Yr 2'!Q339*'Inputs Yr 2'!R339*'Inputs Yr 2'!V339,"")</f>
        <v/>
      </c>
      <c r="CD339" s="195" t="str">
        <f>IFERROR(I339*(IF('Inputs Yr 2'!$AJ339=CD$4,'Inputs Yr 2'!$AK339,IF('Inputs Yr 2'!$AL339=CD$4,'Inputs Yr 2'!$AM339,IF('Inputs Yr 2'!$AN339=CD$4,'Inputs Yr 2'!$AO339,0))))*(INDEX(avoidedcosttbl2,$H339,CD$2)+(($H339-ROUNDDOWN($H339,0))*(INDEX(avoidedcosttbl2,ROUNDUP($H339,0),CD$2)-(INDEX(avoidedcosttbl2,ROUNDDOWN($H339,0),CD$2)))))*'Inputs Yr 2'!R339*'Inputs Yr 2'!S339*'Inputs Yr 2'!W339,"")</f>
        <v/>
      </c>
      <c r="CE339" s="213" t="str">
        <f t="shared" si="191"/>
        <v/>
      </c>
      <c r="CF339" s="213" t="str">
        <f t="shared" si="192"/>
        <v/>
      </c>
      <c r="CG339" s="213" t="str">
        <f t="shared" si="193"/>
        <v/>
      </c>
      <c r="CH339" s="698">
        <f t="shared" si="194"/>
        <v>0</v>
      </c>
      <c r="CI339" s="79" t="str">
        <f>IFERROR(($G339*'Inputs Yr 2'!$P339*'Inputs Yr 2'!$Q339*(((INDEX(avoidedcosttbl2,$H339,CI$2)+(($H339-ROUNDDOWN($H339,0))*(INDEX(avoidedcosttbl2,ROUNDUP($H339,0),CI$2)-INDEX(avoidedcosttbl2,ROUNDDOWN($H339,0),CI$2))))*'Inputs Yr 2'!AS339))),"")</f>
        <v/>
      </c>
      <c r="CJ339" s="504" t="str">
        <f>IFERROR($G339*'Inputs Yr 2'!AT339*'Inputs Yr 2'!$P339*'Inputs Yr 2'!$Q339/((1+realdiscrt1)^-0.5),"")</f>
        <v/>
      </c>
      <c r="CK339" s="79" t="str">
        <f>IFERROR((O339*1000*(((INDEX(avoidedcosttbl2,$H339,CK$2)+(($H339-ROUNDDOWN($H339,0))*(INDEX(avoidedcosttbl2,ROUNDUP($H339,0),CK$2)-INDEX(avoidedcosttbl2,ROUNDDOWN($H339,0),CK$2))))*'Inputs Yr 2'!AU339))),"")</f>
        <v/>
      </c>
      <c r="CL339" s="504" t="str">
        <f>IFERROR(O339*1000*'Inputs Yr 2'!AV339/((1+realdiscrt1)^-0.5),"")</f>
        <v/>
      </c>
      <c r="CM339" s="79" t="str">
        <f>IFERROR((AB339*'Inputs Yr 2'!AW339*(((INDEX(avoidedcosttbl2,$H339,CM$2)+(($H339-ROUNDDOWN($H339,0))*(INDEX(avoidedcosttbl2,ROUNDUP($H339,0),CM$2)-INDEX(avoidedcosttbl2,ROUNDDOWN($H339,0),CM$2)))))))*10,"")</f>
        <v/>
      </c>
      <c r="CN339" s="504">
        <f>IFERROR(10*AB339*'Inputs Yr 2'!AX339/((1+realdiscrt1)^-0.5),"")</f>
        <v>0</v>
      </c>
      <c r="CO339" s="505">
        <f t="shared" si="195"/>
        <v>0</v>
      </c>
      <c r="CP339" s="230">
        <f t="shared" si="196"/>
        <v>0</v>
      </c>
      <c r="CQ339" s="199">
        <f>ROUND(IFERROR(IF(LEFT($A339,1)="C",'Avoided Costs'!$K$13,'Avoided Costs'!$K$12)+1,""),4)</f>
        <v>1.0720000000000001</v>
      </c>
      <c r="CR339" s="199">
        <f>ROUND(IFERROR(IF(LEFT($A339,1)="C",'Avoided Costs'!$L$13,'Avoided Costs'!$L$12)+1,""),4)</f>
        <v>1.04</v>
      </c>
      <c r="CS339" s="199">
        <f>ROUND(IFERROR(IF(LEFT($A339,1)="C",'Avoided Costs'!$M$13,'Avoided Costs'!$M$12)+1,""),4)</f>
        <v>1.0720000000000001</v>
      </c>
      <c r="CT339" s="199">
        <f>ROUND(IFERROR(IF(LEFT($A339,1)="C",'Avoided Costs'!$N$13,'Avoided Costs'!$N$12)+1,""),4)</f>
        <v>1.04</v>
      </c>
      <c r="CU339" s="199">
        <f>ROUND(IFERROR(IF(LEFT($A339,1)="C",'Avoided Costs'!$O$13,'Avoided Costs'!$O$12)+1,""),4)</f>
        <v>1.1120000000000001</v>
      </c>
      <c r="CV339" s="199">
        <f>ROUND(IFERROR(IF(LEFT($A339,1)="C",'Avoided Costs'!$P$13,'Avoided Costs'!$P$12)+1,""),4)</f>
        <v>1.095</v>
      </c>
      <c r="CW339" s="199">
        <f>ROUND(IFERROR(IF(LEFT($A339,1)="C",'Avoided Costs'!$Q$13,'Avoided Costs'!$Q$12)+1,""),4)</f>
        <v>1.1120000000000001</v>
      </c>
      <c r="CX339" s="200">
        <f>ROUND(IFERROR(IF(LEFT($A339,1)="C",'Avoided Costs'!$R$13,'Avoided Costs'!$R$12)+1,""),4)</f>
        <v>1.1120000000000001</v>
      </c>
    </row>
    <row r="340" spans="1:102" ht="12.75" customHeight="1">
      <c r="A340" s="91" t="str">
        <f>IF('Inputs Yr 2'!$B340=0,"",'Inputs Yr 2'!A340)</f>
        <v>C - Commercial &amp; Industrial</v>
      </c>
      <c r="B340" s="91" t="str">
        <f>IF('Inputs Yr 2'!$B340=0,"",'Inputs Yr 2'!B340)</f>
        <v>C2 - C&amp;I Retrofit</v>
      </c>
      <c r="C340" s="91" t="str">
        <f>IF('Inputs Yr 2'!$B340=0,"",'Inputs Yr 2'!C340)</f>
        <v xml:space="preserve">C2c - C&amp;I Multifamily Retrofit </v>
      </c>
      <c r="D340" s="91" t="str">
        <f>IF('Inputs Yr 2'!$B340=0,"",'Inputs Yr 2'!E340)</f>
        <v>CFL Bulb (Carryover)</v>
      </c>
      <c r="E340" s="93" t="str">
        <f>IF('Inputs Yr 2'!$B340=0,"",'Inputs Yr 2'!F340)</f>
        <v>G16C2c15</v>
      </c>
      <c r="F340" s="93" t="str">
        <f>IF('Inputs Yr 2'!$B340=0,"",'Inputs Yr 2'!G340)</f>
        <v>Lighting</v>
      </c>
      <c r="G340" s="95" t="str">
        <f>IF('Inputs Yr 2'!$H340&lt;&gt;0,('Inputs Yr 2'!H340),"")</f>
        <v/>
      </c>
      <c r="H340" s="94">
        <f>IFERROR('Inputs Yr 2'!I340,"")</f>
        <v>0</v>
      </c>
      <c r="I340" s="298" t="str">
        <f>IFERROR('Inputs Yr 2'!J340*'Inputs Yr 2'!P340*G340,"")</f>
        <v/>
      </c>
      <c r="J340" s="298" t="str">
        <f>IFERROR('Inputs Yr 2'!K340*G340,"")</f>
        <v/>
      </c>
      <c r="K340" s="298" t="str">
        <f t="shared" si="173"/>
        <v/>
      </c>
      <c r="L340" s="194" t="str">
        <f>IFERROR(('Inputs Yr 2'!W340*G340)/1000,"")</f>
        <v/>
      </c>
      <c r="M340" s="194" t="str">
        <f>IFERROR(L340*('Inputs Yr 2'!$Q340*'Inputs Yr 2'!$V340*'Inputs Yr 2'!$R340),"")</f>
        <v/>
      </c>
      <c r="N340" s="194" t="str">
        <f t="shared" si="174"/>
        <v/>
      </c>
      <c r="O340" s="194" t="str">
        <f>IFERROR(M340*'Inputs Yr 2'!P340,"")</f>
        <v/>
      </c>
      <c r="P340" s="194" t="str">
        <f t="shared" si="175"/>
        <v/>
      </c>
      <c r="Q340" s="194" t="str">
        <f>IFERROR($P340*'Inputs Yr 2'!AA340,"")</f>
        <v/>
      </c>
      <c r="R340" s="194" t="str">
        <f>IFERROR($P340*'Inputs Yr 2'!AB340,"")</f>
        <v/>
      </c>
      <c r="S340" s="194" t="str">
        <f>IFERROR($P340*'Inputs Yr 2'!AC340,"")</f>
        <v/>
      </c>
      <c r="T340" s="194" t="str">
        <f>IFERROR($P340*'Inputs Yr 2'!AD340,"")</f>
        <v/>
      </c>
      <c r="U340" s="194" t="str">
        <f>IFERROR(G340*'Inputs Yr 2'!$AE340*'Inputs Yr 2'!$P340*'Inputs Yr 2'!$Q340,"")</f>
        <v/>
      </c>
      <c r="V340" s="194" t="str">
        <f>IFERROR($G340*'Inputs Yr 2'!$AE340*'Inputs Yr 2'!$AG340*'Inputs Yr 2'!Q340*'Inputs Yr 2'!$S340,"")</f>
        <v/>
      </c>
      <c r="W340" s="194" t="str">
        <f>IFERROR($G340*'Inputs Yr 2'!$AE340*'Inputs Yr 2'!$AG340*'Inputs Yr 2'!P340*'Inputs Yr 2'!Q340*'Inputs Yr 2'!$S340,"")</f>
        <v/>
      </c>
      <c r="X340" s="194" t="str">
        <f>IFERROR($G340*'Inputs Yr 2'!$AE340*'Inputs Yr 2'!$AF340*'Inputs Yr 2'!Q340*'Inputs Yr 2'!$T340,"")</f>
        <v/>
      </c>
      <c r="Y340" s="194" t="str">
        <f>IFERROR($G340*'Inputs Yr 2'!$AE340*'Inputs Yr 2'!$AF340*'Inputs Yr 2'!P340*'Inputs Yr 2'!Q340*'Inputs Yr 2'!$T340,"")</f>
        <v/>
      </c>
      <c r="Z340" s="257">
        <f>IFERROR($G340*'Inputs Yr 2'!$Q340*'Inputs Yr 2'!$U340*(IF(IFERROR(SEARCH("NG", 'Inputs Yr 2'!$AJ340),0),'Inputs Yr 2'!$AK340,0)+IF(IFERROR(SEARCH("NG", 'Inputs Yr 2'!$AL340),0),'Inputs Yr 2'!$AM340,0)+IF(IFERROR(SEARCH("NG", 'Inputs Yr 2'!$AN340),0),'Inputs Yr 2'!$AO340,0)),0)</f>
        <v>0</v>
      </c>
      <c r="AA340" s="257">
        <f t="shared" si="176"/>
        <v>0</v>
      </c>
      <c r="AB340" s="257">
        <f>IFERROR(Z340*'Inputs Yr 2'!$P340,0)</f>
        <v>0</v>
      </c>
      <c r="AC340" s="257">
        <f t="shared" si="177"/>
        <v>0</v>
      </c>
      <c r="AD340" s="257">
        <f>IFERROR($G340*'Inputs Yr 2'!$Q340*'Inputs Yr 2'!$U340*(IF(IFERROR(SEARCH("Oil", 'Inputs Yr 2'!$AJ340), 0),'Inputs Yr 2'!$AK340,0)+IF(IFERROR(SEARCH("Oil", 'Inputs Yr 2'!$AL340), 0),'Inputs Yr 2'!$AM340,0)+IF(IFERROR(SEARCH("Oil", 'Inputs Yr 2'!$AN340), 0),'Inputs Yr 2'!$AO340,0)),0)</f>
        <v>0</v>
      </c>
      <c r="AE340" s="257">
        <f t="shared" si="178"/>
        <v>0</v>
      </c>
      <c r="AF340" s="257">
        <f>IFERROR(AD340*'Inputs Yr 2'!$P340,0)</f>
        <v>0</v>
      </c>
      <c r="AG340" s="257">
        <f t="shared" si="179"/>
        <v>0</v>
      </c>
      <c r="AH340" s="257">
        <f>IFERROR($G340*'Inputs Yr 2'!$Q340*'Inputs Yr 2'!$U340*(IF('Inputs Yr 2'!$AJ340=CD$4,'Inputs Yr 2'!$AK340,IF('Inputs Yr 2'!$AL340=CD$4,'Inputs Yr 2'!$AM340,IF('Inputs Yr 2'!$AN340=CD$4,'Inputs Yr 2'!$AO340,0)))),0)</f>
        <v>0</v>
      </c>
      <c r="AI340" s="257">
        <f t="shared" si="180"/>
        <v>0</v>
      </c>
      <c r="AJ340" s="257">
        <f>IFERROR(AH340*'Inputs Yr 2'!$P340,0)</f>
        <v>0</v>
      </c>
      <c r="AK340" s="257">
        <f t="shared" si="181"/>
        <v>0</v>
      </c>
      <c r="AL340" s="258">
        <f>IFERROR($G340*'Inputs Yr 2'!$P340*'Inputs Yr 2'!$Q340*'Inputs Yr 2'!AP340,0)</f>
        <v>0</v>
      </c>
      <c r="AM340" s="260">
        <f>IFERROR($G340*'Inputs Yr 2'!$P340*'Inputs Yr 2'!$Q340*'Inputs Yr 2'!AQ340,0)</f>
        <v>0</v>
      </c>
      <c r="AN340" s="258">
        <f>IFERROR($G340*'Inputs Yr 2'!$P340*'Inputs Yr 2'!$Q340*'Inputs Yr 2'!AR340,0)</f>
        <v>0</v>
      </c>
      <c r="AO340" s="257">
        <f t="shared" si="182"/>
        <v>0</v>
      </c>
      <c r="AP340" s="195" t="str">
        <f>IFERROR($CQ340*(INDEX(avoidedcosttbl2,$H340,AP$2)+(($H340-ROUNDDOWN($H340,0))*(INDEX(avoidedcosttbl2,ROUNDUP($H340,0),AP$2)-(INDEX(avoidedcosttbl2,ROUNDDOWN($H340,0),AP$2)))))*$O340*1000*'Inputs Yr 2'!AA340,"")</f>
        <v/>
      </c>
      <c r="AQ340" s="195" t="str">
        <f>IFERROR($CR340*(INDEX(avoidedcosttbl2,$H340,AQ$2)+(($H340-ROUNDDOWN($H340,0))*(INDEX(avoidedcosttbl2,ROUNDUP($H340,0),AQ$2)-(INDEX(avoidedcosttbl2,ROUNDDOWN($H340,0),AQ$2)))))*$O340*1000*'Inputs Yr 2'!AB340,"")</f>
        <v/>
      </c>
      <c r="AR340" s="195" t="str">
        <f>IFERROR($CS340*(INDEX(avoidedcosttbl2,$H340,AR$2)+(($H340-ROUNDDOWN($H340,0))*(INDEX(avoidedcosttbl2,ROUNDUP($H340,0),AR$2)-(INDEX(avoidedcosttbl2,ROUNDDOWN($H340,0),AR$2)))))*$O340*1000*'Inputs Yr 2'!AC340,"")</f>
        <v/>
      </c>
      <c r="AS340" s="195" t="str">
        <f>IFERROR($CT340*(INDEX(avoidedcosttbl2,$H340,AS$2)+(($H340-ROUNDDOWN($H340,0))*(INDEX(avoidedcosttbl2,ROUNDUP($H340,0),AS$2)-(INDEX(avoidedcosttbl2,ROUNDDOWN($H340,0),AS$2)))))*$O340*1000*'Inputs Yr 2'!AD340,"")</f>
        <v/>
      </c>
      <c r="AT340" s="196">
        <f t="shared" si="183"/>
        <v>0</v>
      </c>
      <c r="AU340" s="197" t="str">
        <f>IFERROR($CQ340*((INDEX(avoidedcosttbl2,$H340,AU$2))+(($H340-ROUNDDOWN($H340,0))*((INDEX(avoidedcosttbl2,ROUNDUP($H340,0),AU$2))-(INDEX(avoidedcosttbl2,ROUNDDOWN($H340,0),AU$2)))))*$O340*1000*'Inputs Yr 2'!AA340,"")</f>
        <v/>
      </c>
      <c r="AV340" s="197" t="str">
        <f>IFERROR($CR340*((INDEX(avoidedcosttbl2,$H340,AV$2))+(($H340-ROUNDDOWN($H340,0))*((INDEX(avoidedcosttbl2,ROUNDUP($H340,0),AV$2))-(INDEX(avoidedcosttbl2,ROUNDDOWN($H340,0),AV$2)))))*$O340*1000*'Inputs Yr 2'!AB340,"")</f>
        <v/>
      </c>
      <c r="AW340" s="197" t="str">
        <f>IFERROR($CS340*((INDEX(avoidedcosttbl2,$H340,AW$2))+(($H340-ROUNDDOWN($H340,0))*((INDEX(avoidedcosttbl2,ROUNDUP($H340,0),AW$2))-(INDEX(avoidedcosttbl2,ROUNDDOWN($H340,0),AW$2)))))*$O340*1000*'Inputs Yr 2'!AC340,"")</f>
        <v/>
      </c>
      <c r="AX340" s="197" t="str">
        <f>IFERROR($CT340*((INDEX(avoidedcosttbl2,$H340,AX$2))+(($H340-ROUNDDOWN($H340,0))*((INDEX(avoidedcosttbl2,ROUNDUP($H340,0),AX$2))-(INDEX(avoidedcosttbl2,ROUNDDOWN($H340,0),AX$2)))))*$O340*1000*'Inputs Yr 2'!AD340,"")</f>
        <v/>
      </c>
      <c r="AY340" s="197" t="str">
        <f>IFERROR(((INDEX(avoidedcosttbl2,$H340,AY$2))+(($H340-ROUNDDOWN($H340,0))*((INDEX(avoidedcosttbl2,ROUNDUP($H340,0),AY$2))-(INDEX(avoidedcosttbl2,ROUNDDOWN($H340,0),AY$2)))))*$O340*1000*('Inputs Yr 2'!AC340+'Inputs Yr 2'!AD340),"")</f>
        <v/>
      </c>
      <c r="AZ340" s="197" t="str">
        <f>IFERROR(((INDEX(avoidedcosttbl2,$H340,AZ$2))+(($H340-ROUNDDOWN($H340,0))*((INDEX(avoidedcosttbl2,ROUNDUP($H340,0),AZ$2))-(INDEX(avoidedcosttbl2,ROUNDDOWN($H340,0),AZ$2)))))*$O340*1000*('Inputs Yr 2'!AA340+'Inputs Yr 2'!AB340),"")</f>
        <v/>
      </c>
      <c r="BA340" s="198">
        <f t="shared" si="184"/>
        <v>0</v>
      </c>
      <c r="BB340" s="198">
        <f t="shared" si="185"/>
        <v>0</v>
      </c>
      <c r="BC340" s="195" t="str">
        <f t="shared" si="167"/>
        <v/>
      </c>
      <c r="BD340" s="195" t="str">
        <f t="shared" si="168"/>
        <v/>
      </c>
      <c r="BE340" s="195" t="str">
        <f t="shared" si="169"/>
        <v/>
      </c>
      <c r="BF340" s="195" t="str">
        <f t="shared" si="170"/>
        <v/>
      </c>
      <c r="BG340" s="195" t="str">
        <f t="shared" si="171"/>
        <v/>
      </c>
      <c r="BH340" s="196">
        <f t="shared" si="186"/>
        <v>0</v>
      </c>
      <c r="BI340" s="196">
        <f t="shared" si="187"/>
        <v>0</v>
      </c>
      <c r="BJ340" s="195" t="str">
        <f>IFERROR($G340*(IF('Inputs Yr 2'!$AJ340=BJ$4,'Inputs Yr 2'!$AK340,IF('Inputs Yr 2'!$AL340=BJ$4,'Inputs Yr 2'!$AM340,IF('Inputs Yr 2'!$AN340=BJ$4,'Inputs Yr 2'!$AO340,0))))*(INDEX(avoidedcosttbl2,$H340,BJ$2)+(($H340-ROUNDDOWN($H340,0))*(INDEX(avoidedcosttbl2,ROUNDUP($H340,0),BJ$2)-(INDEX(avoidedcosttbl2,ROUNDDOWN($H340,0),BJ$2)))))*'Inputs Yr 2'!P340*'Inputs Yr 2'!Q340*'Inputs Yr 2'!U340,"")</f>
        <v/>
      </c>
      <c r="BK340" s="195" t="str">
        <f>IFERROR($G340*(IF('Inputs Yr 2'!$AJ340=BK$4,'Inputs Yr 2'!$AK340,IF('Inputs Yr 2'!$AL340=BK$4,'Inputs Yr 2'!$AM340,IF('Inputs Yr 2'!$AN340=BK$4,'Inputs Yr 2'!$AO340,0))))*(INDEX(avoidedcosttbl2,$H340,BK$2)+(($H340-ROUNDDOWN($H340,0))*(INDEX(avoidedcosttbl2,ROUNDUP($H340,0),BK$2)-(INDEX(avoidedcosttbl2,ROUNDDOWN($H340,0),BK$2)))))*'Inputs Yr 2'!P340*'Inputs Yr 2'!Q340*'Inputs Yr 2'!U340,"")</f>
        <v/>
      </c>
      <c r="BL340" s="195" t="str">
        <f>IFERROR($G340*(IF('Inputs Yr 2'!$AJ340=BL$4,'Inputs Yr 2'!$AK340,IF('Inputs Yr 2'!$AL340=BL$4,'Inputs Yr 2'!$AM340,IF('Inputs Yr 2'!$AN340=BL$4,'Inputs Yr 2'!$AO340,0))))*(INDEX(avoidedcosttbl2,$H340,BL$2)+(($H340-ROUNDDOWN($H340,0))*(INDEX(avoidedcosttbl2,ROUNDUP($H340,0),BL$2)-(INDEX(avoidedcosttbl2,ROUNDDOWN($H340,0),BL$2)))))*'Inputs Yr 2'!P340*'Inputs Yr 2'!Q340*'Inputs Yr 2'!U340,"")</f>
        <v/>
      </c>
      <c r="BM340" s="195" t="str">
        <f>IFERROR($G340*(IF('Inputs Yr 2'!$AJ340=BM$4,'Inputs Yr 2'!$AK340,IF('Inputs Yr 2'!$AL340=BM$4,'Inputs Yr 2'!$AM340,IF('Inputs Yr 2'!$AN340=BM$4,'Inputs Yr 2'!$AO340,0))))*(INDEX(avoidedcosttbl2,$H340,BM$2)+(($H340-ROUNDDOWN($H340,0))*(INDEX(avoidedcosttbl2,ROUNDUP($H340,0),BM$2)-(INDEX(avoidedcosttbl2,ROUNDDOWN($H340,0),BM$2)))))*'Inputs Yr 2'!P340*'Inputs Yr 2'!Q340*'Inputs Yr 2'!U340,"")</f>
        <v/>
      </c>
      <c r="BN340" s="195" t="str">
        <f>IFERROR($G340*(IF('Inputs Yr 2'!$AJ340=BN$4,'Inputs Yr 2'!$AK340,IF('Inputs Yr 2'!$AL340=BN$4,'Inputs Yr 2'!$AM340,IF('Inputs Yr 2'!$AN340=BN$4,'Inputs Yr 2'!$AO340,0))))*(INDEX(avoidedcosttbl2,$H340,BN$2)+(($H340-ROUNDDOWN($H340,0))*(INDEX(avoidedcosttbl2,ROUNDUP($H340,0),BN$2)-(INDEX(avoidedcosttbl2,ROUNDDOWN($H340,0),BN$2)))))*'Inputs Yr 2'!P340*'Inputs Yr 2'!Q340*'Inputs Yr 2'!U340,"")</f>
        <v/>
      </c>
      <c r="BO340" s="195" t="str">
        <f>IFERROR($G340*(IF('Inputs Yr 2'!$AJ340=BO$4,'Inputs Yr 2'!$AK340,IF('Inputs Yr 2'!$AL340=BO$4,'Inputs Yr 2'!$AM340,IF('Inputs Yr 2'!$AN340=BO$4,'Inputs Yr 2'!$AO340,0))))*(INDEX(avoidedcosttbl2,$H340,BO$2)+(($H340-ROUNDDOWN($H340,0))*(INDEX(avoidedcosttbl2,ROUNDUP($H340,0),BO$2)-(INDEX(avoidedcosttbl2,ROUNDDOWN($H340,0),BO$2)))))*'Inputs Yr 2'!P340*'Inputs Yr 2'!Q340*'Inputs Yr 2'!U340,"")</f>
        <v/>
      </c>
      <c r="BP340" s="195" t="str">
        <f>IFERROR($G340*(IF('Inputs Yr 2'!$AJ340=BP$4,'Inputs Yr 2'!$AK340,IF('Inputs Yr 2'!$AL340=BP$4,'Inputs Yr 2'!$AM340,IF('Inputs Yr 2'!$AN340=BP$4,'Inputs Yr 2'!$AO340,0))))*(INDEX(avoidedcosttbl2,$H340,BP$2)+(($H340-ROUNDDOWN($H340,0))*(INDEX(avoidedcosttbl2,ROUNDUP($H340,0),BP$2)-(INDEX(avoidedcosttbl2,ROUNDDOWN($H340,0),BP$2)))))*'Inputs Yr 2'!P340*'Inputs Yr 2'!Q340*'Inputs Yr 2'!U340,"")</f>
        <v/>
      </c>
      <c r="BQ340" s="230">
        <f t="shared" si="188"/>
        <v>0</v>
      </c>
      <c r="BR340" s="197" t="str">
        <f t="shared" si="172"/>
        <v/>
      </c>
      <c r="BS340" s="197" t="str">
        <f>IFERROR(($G340*IF('Inputs Yr 2'!$AJ340=BM$4,'Inputs Yr 2'!$AK340,IF('Inputs Yr 2'!$AL340=BM$4,'Inputs Yr 2'!$AM340,IF('Inputs Yr 2'!$AN340=BM$4,'Inputs Yr 2'!$AO340,0))))*(INDEX(avoidedcosttbl2,$H340,BS$2)+(($H340-ROUNDDOWN($H340,0))*(INDEX(avoidedcosttbl2,ROUNDUP($H340,0),BS$2)-(INDEX(avoidedcosttbl2,ROUNDDOWN($H340,0),BS$2)))))*'Inputs Yr 2'!P340*'Inputs Yr 2'!Q340*'Inputs Yr 2'!U340,"")</f>
        <v/>
      </c>
      <c r="BT340" s="197" t="str">
        <f>IFERROR(($G340*IF('Inputs Yr 2'!$AJ340=BK$4,'Inputs Yr 2'!$AK340,IF('Inputs Yr 2'!$AL340=BK$4,'Inputs Yr 2'!$AM340,IF('Inputs Yr 2'!$AN340=BK$4,'Inputs Yr 2'!$AO340,0))))*(INDEX(avoidedcosttbl2,$H340,BT$2)+(($H340-ROUNDDOWN($H340,0))*(INDEX(avoidedcosttbl2,ROUNDUP($H340,0),BT$2)-(INDEX(avoidedcosttbl2,ROUNDDOWN($H340,0),BT$2)))))*'Inputs Yr 2'!P340*'Inputs Yr 2'!Q340*'Inputs Yr 2'!U340,"")</f>
        <v/>
      </c>
      <c r="BU340" s="197" t="str">
        <f>IFERROR(($G340*IF('Inputs Yr 2'!$AJ340=BL$4,'Inputs Yr 2'!$AK340,IF('Inputs Yr 2'!$AL340=BL$4,'Inputs Yr 2'!$AM340,IF('Inputs Yr 2'!$AN340=BL$4,'Inputs Yr 2'!$AO340,0))))*(INDEX(avoidedcosttbl2,$H340,BU$2)+(($H340-ROUNDDOWN($H340,0))*(INDEX(avoidedcosttbl2,ROUNDUP($H340,0),BU$2)-(INDEX(avoidedcosttbl2,ROUNDDOWN($H340,0),BU$2)))))*'Inputs Yr 2'!P340*'Inputs Yr 2'!Q340*'Inputs Yr 2'!U340,"")</f>
        <v/>
      </c>
      <c r="BV340" s="775" t="str">
        <f>IFERROR(($G340*IF('Inputs Yr 2'!$AJ340=BJ$4,'Inputs Yr 2'!$AK340,IF('Inputs Yr 2'!$AL340=BJ$4,'Inputs Yr 2'!$AM340,IF('Inputs Yr 2'!$AN340=BJ$4,'Inputs Yr 2'!$AO340,0))))*(INDEX(avoidedcosttbl2,$H340,BV$2)+(($H340-ROUNDDOWN($H340,0))*(INDEX(avoidedcosttbl2,ROUNDUP($H340,0),BV$2)-(INDEX(avoidedcosttbl2,ROUNDDOWN($H340,0),BV$2)))))*'Inputs Yr 2'!P340*'Inputs Yr 2'!Q340*'Inputs Yr 2'!U340,"")</f>
        <v/>
      </c>
      <c r="BW340" s="197" t="str">
        <f>IFERROR(($G340*IF('Inputs Yr 2'!$AJ340=BN$4,'Inputs Yr 2'!$AK340,IF('Inputs Yr 2'!$AL340=BN$4,'Inputs Yr 2'!$AM340,IF('Inputs Yr 2'!$AN340=BN$4,'Inputs Yr 2'!$AO340,0))))*(INDEX(avoidedcosttbl2,$H340,BW$2)+(($H340-ROUNDDOWN($H340,0))*(INDEX(avoidedcosttbl2,ROUNDUP($H340,0),BW$2)-(INDEX(avoidedcosttbl2,ROUNDDOWN($H340,0),BW$2)))))*'Inputs Yr 2'!P340*'Inputs Yr 2'!Q340*'Inputs Yr 2'!U340,"")</f>
        <v/>
      </c>
      <c r="BX340" s="197" t="str">
        <f>IFERROR(($G340*IF('Inputs Yr 2'!$AJ340=BO$4,'Inputs Yr 2'!$AK340,IF('Inputs Yr 2'!$AL340=BO$4,'Inputs Yr 2'!$AM340,IF('Inputs Yr 2'!$AN340=BO$4,'Inputs Yr 2'!$AO340,0))))*(INDEX(avoidedcosttbl2,$H340,BX$2)+(($H340-ROUNDDOWN($H340,0))*(INDEX(avoidedcosttbl2,ROUNDUP($H340,0),BX$2)-(INDEX(avoidedcosttbl2,ROUNDDOWN($H340,0),BX$2)))))*'Inputs Yr 2'!P340*'Inputs Yr 2'!Q340*'Inputs Yr 2'!U340,"")</f>
        <v/>
      </c>
      <c r="BY340" s="197" t="str">
        <f>IFERROR(($G340*IF('Inputs Yr 2'!$AJ340=BP$4,'Inputs Yr 2'!$AK340,IF('Inputs Yr 2'!$AL340=BP$4,'Inputs Yr 2'!$AM340,IF('Inputs Yr 2'!$AN340=BP$4,'Inputs Yr 2'!$AO340,0))))*(INDEX(avoidedcosttbl2,$H340,BY$2)+(($H340-ROUNDDOWN($H340,0))*(INDEX(avoidedcosttbl2,ROUNDUP($H340,0),BY$2)-(INDEX(avoidedcosttbl2,ROUNDDOWN($H340,0),BY$2)))))*'Inputs Yr 2'!P340*'Inputs Yr 2'!Q340*'Inputs Yr 2'!U340,"")</f>
        <v/>
      </c>
      <c r="BZ340" s="193">
        <f t="shared" si="189"/>
        <v>0</v>
      </c>
      <c r="CA340" s="193">
        <f t="shared" si="190"/>
        <v>0</v>
      </c>
      <c r="CB340" s="195" t="str">
        <f>IFERROR(G340*(IF('Inputs Yr 2'!$AJ340=CB$4,'Inputs Yr 2'!$AK340,IF('Inputs Yr 2'!$AL340=CB$4,'Inputs Yr 2'!$AM340,IF('Inputs Yr 2'!$AN340=CB$4,'Inputs Yr 2'!$AO340,0))))*(INDEX(avoidedcosttbl2,$H340,CB$2)+(($H340-ROUNDDOWN($H340,0))*(INDEX(avoidedcosttbl2,ROUNDUP($H340,0),CB$2)-(INDEX(avoidedcosttbl2,ROUNDDOWN($H340,0),CB$2)))))*'Inputs Yr 2'!P340*'Inputs Yr 2'!Q340*'Inputs Yr 2'!U340,"")</f>
        <v/>
      </c>
      <c r="CC340" s="195" t="str">
        <f>IFERROR(H340*(IF('Inputs Yr 2'!$AJ340=CC$4,'Inputs Yr 2'!$AK340,IF('Inputs Yr 2'!$AL340=CC$4,'Inputs Yr 2'!$AM340,IF('Inputs Yr 2'!$AN340=CC$4,'Inputs Yr 2'!$AO340,0))))*(INDEX(avoidedcosttbl2,$H340,CC$2)+(($H340-ROUNDDOWN($H340,0))*(INDEX(avoidedcosttbl2,ROUNDUP($H340,0),CC$2)-(INDEX(avoidedcosttbl2,ROUNDDOWN($H340,0),CC$2)))))*'Inputs Yr 2'!Q340*'Inputs Yr 2'!R340*'Inputs Yr 2'!V340,"")</f>
        <v/>
      </c>
      <c r="CD340" s="195" t="str">
        <f>IFERROR(I340*(IF('Inputs Yr 2'!$AJ340=CD$4,'Inputs Yr 2'!$AK340,IF('Inputs Yr 2'!$AL340=CD$4,'Inputs Yr 2'!$AM340,IF('Inputs Yr 2'!$AN340=CD$4,'Inputs Yr 2'!$AO340,0))))*(INDEX(avoidedcosttbl2,$H340,CD$2)+(($H340-ROUNDDOWN($H340,0))*(INDEX(avoidedcosttbl2,ROUNDUP($H340,0),CD$2)-(INDEX(avoidedcosttbl2,ROUNDDOWN($H340,0),CD$2)))))*'Inputs Yr 2'!R340*'Inputs Yr 2'!S340*'Inputs Yr 2'!W340,"")</f>
        <v/>
      </c>
      <c r="CE340" s="213" t="str">
        <f t="shared" si="191"/>
        <v/>
      </c>
      <c r="CF340" s="213" t="str">
        <f t="shared" si="192"/>
        <v/>
      </c>
      <c r="CG340" s="213" t="str">
        <f t="shared" si="193"/>
        <v/>
      </c>
      <c r="CH340" s="698">
        <f t="shared" si="194"/>
        <v>0</v>
      </c>
      <c r="CI340" s="79" t="str">
        <f>IFERROR(($G340*'Inputs Yr 2'!$P340*'Inputs Yr 2'!$Q340*(((INDEX(avoidedcosttbl2,$H340,CI$2)+(($H340-ROUNDDOWN($H340,0))*(INDEX(avoidedcosttbl2,ROUNDUP($H340,0),CI$2)-INDEX(avoidedcosttbl2,ROUNDDOWN($H340,0),CI$2))))*'Inputs Yr 2'!AS340))),"")</f>
        <v/>
      </c>
      <c r="CJ340" s="504" t="str">
        <f>IFERROR($G340*'Inputs Yr 2'!AT340*'Inputs Yr 2'!$P340*'Inputs Yr 2'!$Q340/((1+realdiscrt1)^-0.5),"")</f>
        <v/>
      </c>
      <c r="CK340" s="79" t="str">
        <f>IFERROR((O340*1000*(((INDEX(avoidedcosttbl2,$H340,CK$2)+(($H340-ROUNDDOWN($H340,0))*(INDEX(avoidedcosttbl2,ROUNDUP($H340,0),CK$2)-INDEX(avoidedcosttbl2,ROUNDDOWN($H340,0),CK$2))))*'Inputs Yr 2'!AU340))),"")</f>
        <v/>
      </c>
      <c r="CL340" s="504" t="str">
        <f>IFERROR(O340*1000*'Inputs Yr 2'!AV340/((1+realdiscrt1)^-0.5),"")</f>
        <v/>
      </c>
      <c r="CM340" s="79" t="str">
        <f>IFERROR((AB340*'Inputs Yr 2'!AW340*(((INDEX(avoidedcosttbl2,$H340,CM$2)+(($H340-ROUNDDOWN($H340,0))*(INDEX(avoidedcosttbl2,ROUNDUP($H340,0),CM$2)-INDEX(avoidedcosttbl2,ROUNDDOWN($H340,0),CM$2)))))))*10,"")</f>
        <v/>
      </c>
      <c r="CN340" s="504">
        <f>IFERROR(10*AB340*'Inputs Yr 2'!AX340/((1+realdiscrt1)^-0.5),"")</f>
        <v>0</v>
      </c>
      <c r="CO340" s="505">
        <f t="shared" si="195"/>
        <v>0</v>
      </c>
      <c r="CP340" s="230">
        <f t="shared" si="196"/>
        <v>0</v>
      </c>
      <c r="CQ340" s="199">
        <f>ROUND(IFERROR(IF(LEFT($A340,1)="C",'Avoided Costs'!$K$13,'Avoided Costs'!$K$12)+1,""),4)</f>
        <v>1.0720000000000001</v>
      </c>
      <c r="CR340" s="199">
        <f>ROUND(IFERROR(IF(LEFT($A340,1)="C",'Avoided Costs'!$L$13,'Avoided Costs'!$L$12)+1,""),4)</f>
        <v>1.04</v>
      </c>
      <c r="CS340" s="199">
        <f>ROUND(IFERROR(IF(LEFT($A340,1)="C",'Avoided Costs'!$M$13,'Avoided Costs'!$M$12)+1,""),4)</f>
        <v>1.0720000000000001</v>
      </c>
      <c r="CT340" s="199">
        <f>ROUND(IFERROR(IF(LEFT($A340,1)="C",'Avoided Costs'!$N$13,'Avoided Costs'!$N$12)+1,""),4)</f>
        <v>1.04</v>
      </c>
      <c r="CU340" s="199">
        <f>ROUND(IFERROR(IF(LEFT($A340,1)="C",'Avoided Costs'!$O$13,'Avoided Costs'!$O$12)+1,""),4)</f>
        <v>1.1120000000000001</v>
      </c>
      <c r="CV340" s="199">
        <f>ROUND(IFERROR(IF(LEFT($A340,1)="C",'Avoided Costs'!$P$13,'Avoided Costs'!$P$12)+1,""),4)</f>
        <v>1.095</v>
      </c>
      <c r="CW340" s="199">
        <f>ROUND(IFERROR(IF(LEFT($A340,1)="C",'Avoided Costs'!$Q$13,'Avoided Costs'!$Q$12)+1,""),4)</f>
        <v>1.1120000000000001</v>
      </c>
      <c r="CX340" s="200">
        <f>ROUND(IFERROR(IF(LEFT($A340,1)="C",'Avoided Costs'!$R$13,'Avoided Costs'!$R$12)+1,""),4)</f>
        <v>1.1120000000000001</v>
      </c>
    </row>
    <row r="341" spans="1:102" ht="12.75" customHeight="1">
      <c r="A341" s="91" t="str">
        <f>IF('Inputs Yr 2'!$B341=0,"",'Inputs Yr 2'!A341)</f>
        <v>C - Commercial &amp; Industrial</v>
      </c>
      <c r="B341" s="91" t="str">
        <f>IF('Inputs Yr 2'!$B341=0,"",'Inputs Yr 2'!B341)</f>
        <v>C2 - C&amp;I Retrofit</v>
      </c>
      <c r="C341" s="91" t="str">
        <f>IF('Inputs Yr 2'!$B341=0,"",'Inputs Yr 2'!C341)</f>
        <v xml:space="preserve">C2c - C&amp;I Multifamily Retrofit </v>
      </c>
      <c r="D341" s="91" t="str">
        <f>IF('Inputs Yr 2'!$B341=0,"",'Inputs Yr 2'!E341)</f>
        <v>LED Bulb</v>
      </c>
      <c r="E341" s="93" t="str">
        <f>IF('Inputs Yr 2'!$B341=0,"",'Inputs Yr 2'!F341)</f>
        <v>G17C2c16</v>
      </c>
      <c r="F341" s="93" t="str">
        <f>IF('Inputs Yr 2'!$B341=0,"",'Inputs Yr 2'!G341)</f>
        <v>Lighting</v>
      </c>
      <c r="G341" s="95" t="str">
        <f>IF('Inputs Yr 2'!$H341&lt;&gt;0,('Inputs Yr 2'!H341),"")</f>
        <v/>
      </c>
      <c r="H341" s="94">
        <f>IFERROR('Inputs Yr 2'!I341,"")</f>
        <v>0</v>
      </c>
      <c r="I341" s="298" t="str">
        <f>IFERROR('Inputs Yr 2'!J341*'Inputs Yr 2'!P341*G341,"")</f>
        <v/>
      </c>
      <c r="J341" s="298" t="str">
        <f>IFERROR('Inputs Yr 2'!K341*G341,"")</f>
        <v/>
      </c>
      <c r="K341" s="298" t="str">
        <f t="shared" si="173"/>
        <v/>
      </c>
      <c r="L341" s="194" t="str">
        <f>IFERROR(('Inputs Yr 2'!W341*G341)/1000,"")</f>
        <v/>
      </c>
      <c r="M341" s="194" t="str">
        <f>IFERROR(L341*('Inputs Yr 2'!$Q341*'Inputs Yr 2'!$V341*'Inputs Yr 2'!$R341),"")</f>
        <v/>
      </c>
      <c r="N341" s="194" t="str">
        <f t="shared" si="174"/>
        <v/>
      </c>
      <c r="O341" s="194" t="str">
        <f>IFERROR(M341*'Inputs Yr 2'!P341,"")</f>
        <v/>
      </c>
      <c r="P341" s="194" t="str">
        <f t="shared" si="175"/>
        <v/>
      </c>
      <c r="Q341" s="194" t="str">
        <f>IFERROR($P341*'Inputs Yr 2'!AA341,"")</f>
        <v/>
      </c>
      <c r="R341" s="194" t="str">
        <f>IFERROR($P341*'Inputs Yr 2'!AB341,"")</f>
        <v/>
      </c>
      <c r="S341" s="194" t="str">
        <f>IFERROR($P341*'Inputs Yr 2'!AC341,"")</f>
        <v/>
      </c>
      <c r="T341" s="194" t="str">
        <f>IFERROR($P341*'Inputs Yr 2'!AD341,"")</f>
        <v/>
      </c>
      <c r="U341" s="194" t="str">
        <f>IFERROR(G341*'Inputs Yr 2'!$AE341*'Inputs Yr 2'!$P341*'Inputs Yr 2'!$Q341,"")</f>
        <v/>
      </c>
      <c r="V341" s="194" t="str">
        <f>IFERROR($G341*'Inputs Yr 2'!$AE341*'Inputs Yr 2'!$AG341*'Inputs Yr 2'!Q341*'Inputs Yr 2'!$S341,"")</f>
        <v/>
      </c>
      <c r="W341" s="194" t="str">
        <f>IFERROR($G341*'Inputs Yr 2'!$AE341*'Inputs Yr 2'!$AG341*'Inputs Yr 2'!P341*'Inputs Yr 2'!Q341*'Inputs Yr 2'!$S341,"")</f>
        <v/>
      </c>
      <c r="X341" s="194" t="str">
        <f>IFERROR($G341*'Inputs Yr 2'!$AE341*'Inputs Yr 2'!$AF341*'Inputs Yr 2'!Q341*'Inputs Yr 2'!$T341,"")</f>
        <v/>
      </c>
      <c r="Y341" s="194" t="str">
        <f>IFERROR($G341*'Inputs Yr 2'!$AE341*'Inputs Yr 2'!$AF341*'Inputs Yr 2'!P341*'Inputs Yr 2'!Q341*'Inputs Yr 2'!$T341,"")</f>
        <v/>
      </c>
      <c r="Z341" s="257">
        <f>IFERROR($G341*'Inputs Yr 2'!$Q341*'Inputs Yr 2'!$U341*(IF(IFERROR(SEARCH("NG", 'Inputs Yr 2'!$AJ341),0),'Inputs Yr 2'!$AK341,0)+IF(IFERROR(SEARCH("NG", 'Inputs Yr 2'!$AL341),0),'Inputs Yr 2'!$AM341,0)+IF(IFERROR(SEARCH("NG", 'Inputs Yr 2'!$AN341),0),'Inputs Yr 2'!$AO341,0)),0)</f>
        <v>0</v>
      </c>
      <c r="AA341" s="257">
        <f t="shared" si="176"/>
        <v>0</v>
      </c>
      <c r="AB341" s="257">
        <f>IFERROR(Z341*'Inputs Yr 2'!$P341,0)</f>
        <v>0</v>
      </c>
      <c r="AC341" s="257">
        <f t="shared" si="177"/>
        <v>0</v>
      </c>
      <c r="AD341" s="257">
        <f>IFERROR($G341*'Inputs Yr 2'!$Q341*'Inputs Yr 2'!$U341*(IF(IFERROR(SEARCH("Oil", 'Inputs Yr 2'!$AJ341), 0),'Inputs Yr 2'!$AK341,0)+IF(IFERROR(SEARCH("Oil", 'Inputs Yr 2'!$AL341), 0),'Inputs Yr 2'!$AM341,0)+IF(IFERROR(SEARCH("Oil", 'Inputs Yr 2'!$AN341), 0),'Inputs Yr 2'!$AO341,0)),0)</f>
        <v>0</v>
      </c>
      <c r="AE341" s="257">
        <f t="shared" si="178"/>
        <v>0</v>
      </c>
      <c r="AF341" s="257">
        <f>IFERROR(AD341*'Inputs Yr 2'!$P341,0)</f>
        <v>0</v>
      </c>
      <c r="AG341" s="257">
        <f t="shared" si="179"/>
        <v>0</v>
      </c>
      <c r="AH341" s="257">
        <f>IFERROR($G341*'Inputs Yr 2'!$Q341*'Inputs Yr 2'!$U341*(IF('Inputs Yr 2'!$AJ341=CD$4,'Inputs Yr 2'!$AK341,IF('Inputs Yr 2'!$AL341=CD$4,'Inputs Yr 2'!$AM341,IF('Inputs Yr 2'!$AN341=CD$4,'Inputs Yr 2'!$AO341,0)))),0)</f>
        <v>0</v>
      </c>
      <c r="AI341" s="257">
        <f t="shared" si="180"/>
        <v>0</v>
      </c>
      <c r="AJ341" s="257">
        <f>IFERROR(AH341*'Inputs Yr 2'!$P341,0)</f>
        <v>0</v>
      </c>
      <c r="AK341" s="257">
        <f t="shared" si="181"/>
        <v>0</v>
      </c>
      <c r="AL341" s="258">
        <f>IFERROR($G341*'Inputs Yr 2'!$P341*'Inputs Yr 2'!$Q341*'Inputs Yr 2'!AP341,0)</f>
        <v>0</v>
      </c>
      <c r="AM341" s="260">
        <f>IFERROR($G341*'Inputs Yr 2'!$P341*'Inputs Yr 2'!$Q341*'Inputs Yr 2'!AQ341,0)</f>
        <v>0</v>
      </c>
      <c r="AN341" s="258">
        <f>IFERROR($G341*'Inputs Yr 2'!$P341*'Inputs Yr 2'!$Q341*'Inputs Yr 2'!AR341,0)</f>
        <v>0</v>
      </c>
      <c r="AO341" s="257">
        <f t="shared" si="182"/>
        <v>0</v>
      </c>
      <c r="AP341" s="195" t="str">
        <f>IFERROR($CQ341*(INDEX(avoidedcosttbl2,$H341,AP$2)+(($H341-ROUNDDOWN($H341,0))*(INDEX(avoidedcosttbl2,ROUNDUP($H341,0),AP$2)-(INDEX(avoidedcosttbl2,ROUNDDOWN($H341,0),AP$2)))))*$O341*1000*'Inputs Yr 2'!AA341,"")</f>
        <v/>
      </c>
      <c r="AQ341" s="195" t="str">
        <f>IFERROR($CR341*(INDEX(avoidedcosttbl2,$H341,AQ$2)+(($H341-ROUNDDOWN($H341,0))*(INDEX(avoidedcosttbl2,ROUNDUP($H341,0),AQ$2)-(INDEX(avoidedcosttbl2,ROUNDDOWN($H341,0),AQ$2)))))*$O341*1000*'Inputs Yr 2'!AB341,"")</f>
        <v/>
      </c>
      <c r="AR341" s="195" t="str">
        <f>IFERROR($CS341*(INDEX(avoidedcosttbl2,$H341,AR$2)+(($H341-ROUNDDOWN($H341,0))*(INDEX(avoidedcosttbl2,ROUNDUP($H341,0),AR$2)-(INDEX(avoidedcosttbl2,ROUNDDOWN($H341,0),AR$2)))))*$O341*1000*'Inputs Yr 2'!AC341,"")</f>
        <v/>
      </c>
      <c r="AS341" s="195" t="str">
        <f>IFERROR($CT341*(INDEX(avoidedcosttbl2,$H341,AS$2)+(($H341-ROUNDDOWN($H341,0))*(INDEX(avoidedcosttbl2,ROUNDUP($H341,0),AS$2)-(INDEX(avoidedcosttbl2,ROUNDDOWN($H341,0),AS$2)))))*$O341*1000*'Inputs Yr 2'!AD341,"")</f>
        <v/>
      </c>
      <c r="AT341" s="196">
        <f t="shared" si="183"/>
        <v>0</v>
      </c>
      <c r="AU341" s="197" t="str">
        <f>IFERROR($CQ341*((INDEX(avoidedcosttbl2,$H341,AU$2))+(($H341-ROUNDDOWN($H341,0))*((INDEX(avoidedcosttbl2,ROUNDUP($H341,0),AU$2))-(INDEX(avoidedcosttbl2,ROUNDDOWN($H341,0),AU$2)))))*$O341*1000*'Inputs Yr 2'!AA341,"")</f>
        <v/>
      </c>
      <c r="AV341" s="197" t="str">
        <f>IFERROR($CR341*((INDEX(avoidedcosttbl2,$H341,AV$2))+(($H341-ROUNDDOWN($H341,0))*((INDEX(avoidedcosttbl2,ROUNDUP($H341,0),AV$2))-(INDEX(avoidedcosttbl2,ROUNDDOWN($H341,0),AV$2)))))*$O341*1000*'Inputs Yr 2'!AB341,"")</f>
        <v/>
      </c>
      <c r="AW341" s="197" t="str">
        <f>IFERROR($CS341*((INDEX(avoidedcosttbl2,$H341,AW$2))+(($H341-ROUNDDOWN($H341,0))*((INDEX(avoidedcosttbl2,ROUNDUP($H341,0),AW$2))-(INDEX(avoidedcosttbl2,ROUNDDOWN($H341,0),AW$2)))))*$O341*1000*'Inputs Yr 2'!AC341,"")</f>
        <v/>
      </c>
      <c r="AX341" s="197" t="str">
        <f>IFERROR($CT341*((INDEX(avoidedcosttbl2,$H341,AX$2))+(($H341-ROUNDDOWN($H341,0))*((INDEX(avoidedcosttbl2,ROUNDUP($H341,0),AX$2))-(INDEX(avoidedcosttbl2,ROUNDDOWN($H341,0),AX$2)))))*$O341*1000*'Inputs Yr 2'!AD341,"")</f>
        <v/>
      </c>
      <c r="AY341" s="197" t="str">
        <f>IFERROR(((INDEX(avoidedcosttbl2,$H341,AY$2))+(($H341-ROUNDDOWN($H341,0))*((INDEX(avoidedcosttbl2,ROUNDUP($H341,0),AY$2))-(INDEX(avoidedcosttbl2,ROUNDDOWN($H341,0),AY$2)))))*$O341*1000*('Inputs Yr 2'!AC341+'Inputs Yr 2'!AD341),"")</f>
        <v/>
      </c>
      <c r="AZ341" s="197" t="str">
        <f>IFERROR(((INDEX(avoidedcosttbl2,$H341,AZ$2))+(($H341-ROUNDDOWN($H341,0))*((INDEX(avoidedcosttbl2,ROUNDUP($H341,0),AZ$2))-(INDEX(avoidedcosttbl2,ROUNDDOWN($H341,0),AZ$2)))))*$O341*1000*('Inputs Yr 2'!AA341+'Inputs Yr 2'!AB341),"")</f>
        <v/>
      </c>
      <c r="BA341" s="198">
        <f t="shared" si="184"/>
        <v>0</v>
      </c>
      <c r="BB341" s="198">
        <f t="shared" si="185"/>
        <v>0</v>
      </c>
      <c r="BC341" s="195" t="str">
        <f t="shared" si="167"/>
        <v/>
      </c>
      <c r="BD341" s="195" t="str">
        <f t="shared" si="168"/>
        <v/>
      </c>
      <c r="BE341" s="195" t="str">
        <f t="shared" si="169"/>
        <v/>
      </c>
      <c r="BF341" s="195" t="str">
        <f t="shared" si="170"/>
        <v/>
      </c>
      <c r="BG341" s="195" t="str">
        <f t="shared" si="171"/>
        <v/>
      </c>
      <c r="BH341" s="196">
        <f t="shared" si="186"/>
        <v>0</v>
      </c>
      <c r="BI341" s="196">
        <f t="shared" si="187"/>
        <v>0</v>
      </c>
      <c r="BJ341" s="195" t="str">
        <f>IFERROR($G341*(IF('Inputs Yr 2'!$AJ341=BJ$4,'Inputs Yr 2'!$AK341,IF('Inputs Yr 2'!$AL341=BJ$4,'Inputs Yr 2'!$AM341,IF('Inputs Yr 2'!$AN341=BJ$4,'Inputs Yr 2'!$AO341,0))))*(INDEX(avoidedcosttbl2,$H341,BJ$2)+(($H341-ROUNDDOWN($H341,0))*(INDEX(avoidedcosttbl2,ROUNDUP($H341,0),BJ$2)-(INDEX(avoidedcosttbl2,ROUNDDOWN($H341,0),BJ$2)))))*'Inputs Yr 2'!P341*'Inputs Yr 2'!Q341*'Inputs Yr 2'!U341,"")</f>
        <v/>
      </c>
      <c r="BK341" s="195" t="str">
        <f>IFERROR($G341*(IF('Inputs Yr 2'!$AJ341=BK$4,'Inputs Yr 2'!$AK341,IF('Inputs Yr 2'!$AL341=BK$4,'Inputs Yr 2'!$AM341,IF('Inputs Yr 2'!$AN341=BK$4,'Inputs Yr 2'!$AO341,0))))*(INDEX(avoidedcosttbl2,$H341,BK$2)+(($H341-ROUNDDOWN($H341,0))*(INDEX(avoidedcosttbl2,ROUNDUP($H341,0),BK$2)-(INDEX(avoidedcosttbl2,ROUNDDOWN($H341,0),BK$2)))))*'Inputs Yr 2'!P341*'Inputs Yr 2'!Q341*'Inputs Yr 2'!U341,"")</f>
        <v/>
      </c>
      <c r="BL341" s="195" t="str">
        <f>IFERROR($G341*(IF('Inputs Yr 2'!$AJ341=BL$4,'Inputs Yr 2'!$AK341,IF('Inputs Yr 2'!$AL341=BL$4,'Inputs Yr 2'!$AM341,IF('Inputs Yr 2'!$AN341=BL$4,'Inputs Yr 2'!$AO341,0))))*(INDEX(avoidedcosttbl2,$H341,BL$2)+(($H341-ROUNDDOWN($H341,0))*(INDEX(avoidedcosttbl2,ROUNDUP($H341,0),BL$2)-(INDEX(avoidedcosttbl2,ROUNDDOWN($H341,0),BL$2)))))*'Inputs Yr 2'!P341*'Inputs Yr 2'!Q341*'Inputs Yr 2'!U341,"")</f>
        <v/>
      </c>
      <c r="BM341" s="195" t="str">
        <f>IFERROR($G341*(IF('Inputs Yr 2'!$AJ341=BM$4,'Inputs Yr 2'!$AK341,IF('Inputs Yr 2'!$AL341=BM$4,'Inputs Yr 2'!$AM341,IF('Inputs Yr 2'!$AN341=BM$4,'Inputs Yr 2'!$AO341,0))))*(INDEX(avoidedcosttbl2,$H341,BM$2)+(($H341-ROUNDDOWN($H341,0))*(INDEX(avoidedcosttbl2,ROUNDUP($H341,0),BM$2)-(INDEX(avoidedcosttbl2,ROUNDDOWN($H341,0),BM$2)))))*'Inputs Yr 2'!P341*'Inputs Yr 2'!Q341*'Inputs Yr 2'!U341,"")</f>
        <v/>
      </c>
      <c r="BN341" s="195" t="str">
        <f>IFERROR($G341*(IF('Inputs Yr 2'!$AJ341=BN$4,'Inputs Yr 2'!$AK341,IF('Inputs Yr 2'!$AL341=BN$4,'Inputs Yr 2'!$AM341,IF('Inputs Yr 2'!$AN341=BN$4,'Inputs Yr 2'!$AO341,0))))*(INDEX(avoidedcosttbl2,$H341,BN$2)+(($H341-ROUNDDOWN($H341,0))*(INDEX(avoidedcosttbl2,ROUNDUP($H341,0),BN$2)-(INDEX(avoidedcosttbl2,ROUNDDOWN($H341,0),BN$2)))))*'Inputs Yr 2'!P341*'Inputs Yr 2'!Q341*'Inputs Yr 2'!U341,"")</f>
        <v/>
      </c>
      <c r="BO341" s="195" t="str">
        <f>IFERROR($G341*(IF('Inputs Yr 2'!$AJ341=BO$4,'Inputs Yr 2'!$AK341,IF('Inputs Yr 2'!$AL341=BO$4,'Inputs Yr 2'!$AM341,IF('Inputs Yr 2'!$AN341=BO$4,'Inputs Yr 2'!$AO341,0))))*(INDEX(avoidedcosttbl2,$H341,BO$2)+(($H341-ROUNDDOWN($H341,0))*(INDEX(avoidedcosttbl2,ROUNDUP($H341,0),BO$2)-(INDEX(avoidedcosttbl2,ROUNDDOWN($H341,0),BO$2)))))*'Inputs Yr 2'!P341*'Inputs Yr 2'!Q341*'Inputs Yr 2'!U341,"")</f>
        <v/>
      </c>
      <c r="BP341" s="195" t="str">
        <f>IFERROR($G341*(IF('Inputs Yr 2'!$AJ341=BP$4,'Inputs Yr 2'!$AK341,IF('Inputs Yr 2'!$AL341=BP$4,'Inputs Yr 2'!$AM341,IF('Inputs Yr 2'!$AN341=BP$4,'Inputs Yr 2'!$AO341,0))))*(INDEX(avoidedcosttbl2,$H341,BP$2)+(($H341-ROUNDDOWN($H341,0))*(INDEX(avoidedcosttbl2,ROUNDUP($H341,0),BP$2)-(INDEX(avoidedcosttbl2,ROUNDDOWN($H341,0),BP$2)))))*'Inputs Yr 2'!P341*'Inputs Yr 2'!Q341*'Inputs Yr 2'!U341,"")</f>
        <v/>
      </c>
      <c r="BQ341" s="230">
        <f t="shared" si="188"/>
        <v>0</v>
      </c>
      <c r="BR341" s="197" t="str">
        <f t="shared" si="172"/>
        <v/>
      </c>
      <c r="BS341" s="197" t="str">
        <f>IFERROR(($G341*IF('Inputs Yr 2'!$AJ341=BM$4,'Inputs Yr 2'!$AK341,IF('Inputs Yr 2'!$AL341=BM$4,'Inputs Yr 2'!$AM341,IF('Inputs Yr 2'!$AN341=BM$4,'Inputs Yr 2'!$AO341,0))))*(INDEX(avoidedcosttbl2,$H341,BS$2)+(($H341-ROUNDDOWN($H341,0))*(INDEX(avoidedcosttbl2,ROUNDUP($H341,0),BS$2)-(INDEX(avoidedcosttbl2,ROUNDDOWN($H341,0),BS$2)))))*'Inputs Yr 2'!P341*'Inputs Yr 2'!Q341*'Inputs Yr 2'!U341,"")</f>
        <v/>
      </c>
      <c r="BT341" s="197" t="str">
        <f>IFERROR(($G341*IF('Inputs Yr 2'!$AJ341=BK$4,'Inputs Yr 2'!$AK341,IF('Inputs Yr 2'!$AL341=BK$4,'Inputs Yr 2'!$AM341,IF('Inputs Yr 2'!$AN341=BK$4,'Inputs Yr 2'!$AO341,0))))*(INDEX(avoidedcosttbl2,$H341,BT$2)+(($H341-ROUNDDOWN($H341,0))*(INDEX(avoidedcosttbl2,ROUNDUP($H341,0),BT$2)-(INDEX(avoidedcosttbl2,ROUNDDOWN($H341,0),BT$2)))))*'Inputs Yr 2'!P341*'Inputs Yr 2'!Q341*'Inputs Yr 2'!U341,"")</f>
        <v/>
      </c>
      <c r="BU341" s="197" t="str">
        <f>IFERROR(($G341*IF('Inputs Yr 2'!$AJ341=BL$4,'Inputs Yr 2'!$AK341,IF('Inputs Yr 2'!$AL341=BL$4,'Inputs Yr 2'!$AM341,IF('Inputs Yr 2'!$AN341=BL$4,'Inputs Yr 2'!$AO341,0))))*(INDEX(avoidedcosttbl2,$H341,BU$2)+(($H341-ROUNDDOWN($H341,0))*(INDEX(avoidedcosttbl2,ROUNDUP($H341,0),BU$2)-(INDEX(avoidedcosttbl2,ROUNDDOWN($H341,0),BU$2)))))*'Inputs Yr 2'!P341*'Inputs Yr 2'!Q341*'Inputs Yr 2'!U341,"")</f>
        <v/>
      </c>
      <c r="BV341" s="775" t="str">
        <f>IFERROR(($G341*IF('Inputs Yr 2'!$AJ341=BJ$4,'Inputs Yr 2'!$AK341,IF('Inputs Yr 2'!$AL341=BJ$4,'Inputs Yr 2'!$AM341,IF('Inputs Yr 2'!$AN341=BJ$4,'Inputs Yr 2'!$AO341,0))))*(INDEX(avoidedcosttbl2,$H341,BV$2)+(($H341-ROUNDDOWN($H341,0))*(INDEX(avoidedcosttbl2,ROUNDUP($H341,0),BV$2)-(INDEX(avoidedcosttbl2,ROUNDDOWN($H341,0),BV$2)))))*'Inputs Yr 2'!P341*'Inputs Yr 2'!Q341*'Inputs Yr 2'!U341,"")</f>
        <v/>
      </c>
      <c r="BW341" s="197" t="str">
        <f>IFERROR(($G341*IF('Inputs Yr 2'!$AJ341=BN$4,'Inputs Yr 2'!$AK341,IF('Inputs Yr 2'!$AL341=BN$4,'Inputs Yr 2'!$AM341,IF('Inputs Yr 2'!$AN341=BN$4,'Inputs Yr 2'!$AO341,0))))*(INDEX(avoidedcosttbl2,$H341,BW$2)+(($H341-ROUNDDOWN($H341,0))*(INDEX(avoidedcosttbl2,ROUNDUP($H341,0),BW$2)-(INDEX(avoidedcosttbl2,ROUNDDOWN($H341,0),BW$2)))))*'Inputs Yr 2'!P341*'Inputs Yr 2'!Q341*'Inputs Yr 2'!U341,"")</f>
        <v/>
      </c>
      <c r="BX341" s="197" t="str">
        <f>IFERROR(($G341*IF('Inputs Yr 2'!$AJ341=BO$4,'Inputs Yr 2'!$AK341,IF('Inputs Yr 2'!$AL341=BO$4,'Inputs Yr 2'!$AM341,IF('Inputs Yr 2'!$AN341=BO$4,'Inputs Yr 2'!$AO341,0))))*(INDEX(avoidedcosttbl2,$H341,BX$2)+(($H341-ROUNDDOWN($H341,0))*(INDEX(avoidedcosttbl2,ROUNDUP($H341,0),BX$2)-(INDEX(avoidedcosttbl2,ROUNDDOWN($H341,0),BX$2)))))*'Inputs Yr 2'!P341*'Inputs Yr 2'!Q341*'Inputs Yr 2'!U341,"")</f>
        <v/>
      </c>
      <c r="BY341" s="197" t="str">
        <f>IFERROR(($G341*IF('Inputs Yr 2'!$AJ341=BP$4,'Inputs Yr 2'!$AK341,IF('Inputs Yr 2'!$AL341=BP$4,'Inputs Yr 2'!$AM341,IF('Inputs Yr 2'!$AN341=BP$4,'Inputs Yr 2'!$AO341,0))))*(INDEX(avoidedcosttbl2,$H341,BY$2)+(($H341-ROUNDDOWN($H341,0))*(INDEX(avoidedcosttbl2,ROUNDUP($H341,0),BY$2)-(INDEX(avoidedcosttbl2,ROUNDDOWN($H341,0),BY$2)))))*'Inputs Yr 2'!P341*'Inputs Yr 2'!Q341*'Inputs Yr 2'!U341,"")</f>
        <v/>
      </c>
      <c r="BZ341" s="193">
        <f t="shared" si="189"/>
        <v>0</v>
      </c>
      <c r="CA341" s="193">
        <f t="shared" si="190"/>
        <v>0</v>
      </c>
      <c r="CB341" s="195" t="str">
        <f>IFERROR(G341*(IF('Inputs Yr 2'!$AJ341=CB$4,'Inputs Yr 2'!$AK341,IF('Inputs Yr 2'!$AL341=CB$4,'Inputs Yr 2'!$AM341,IF('Inputs Yr 2'!$AN341=CB$4,'Inputs Yr 2'!$AO341,0))))*(INDEX(avoidedcosttbl2,$H341,CB$2)+(($H341-ROUNDDOWN($H341,0))*(INDEX(avoidedcosttbl2,ROUNDUP($H341,0),CB$2)-(INDEX(avoidedcosttbl2,ROUNDDOWN($H341,0),CB$2)))))*'Inputs Yr 2'!P341*'Inputs Yr 2'!Q341*'Inputs Yr 2'!U341,"")</f>
        <v/>
      </c>
      <c r="CC341" s="195" t="str">
        <f>IFERROR(H341*(IF('Inputs Yr 2'!$AJ341=CC$4,'Inputs Yr 2'!$AK341,IF('Inputs Yr 2'!$AL341=CC$4,'Inputs Yr 2'!$AM341,IF('Inputs Yr 2'!$AN341=CC$4,'Inputs Yr 2'!$AO341,0))))*(INDEX(avoidedcosttbl2,$H341,CC$2)+(($H341-ROUNDDOWN($H341,0))*(INDEX(avoidedcosttbl2,ROUNDUP($H341,0),CC$2)-(INDEX(avoidedcosttbl2,ROUNDDOWN($H341,0),CC$2)))))*'Inputs Yr 2'!Q341*'Inputs Yr 2'!R341*'Inputs Yr 2'!V341,"")</f>
        <v/>
      </c>
      <c r="CD341" s="195" t="str">
        <f>IFERROR(I341*(IF('Inputs Yr 2'!$AJ341=CD$4,'Inputs Yr 2'!$AK341,IF('Inputs Yr 2'!$AL341=CD$4,'Inputs Yr 2'!$AM341,IF('Inputs Yr 2'!$AN341=CD$4,'Inputs Yr 2'!$AO341,0))))*(INDEX(avoidedcosttbl2,$H341,CD$2)+(($H341-ROUNDDOWN($H341,0))*(INDEX(avoidedcosttbl2,ROUNDUP($H341,0),CD$2)-(INDEX(avoidedcosttbl2,ROUNDDOWN($H341,0),CD$2)))))*'Inputs Yr 2'!R341*'Inputs Yr 2'!S341*'Inputs Yr 2'!W341,"")</f>
        <v/>
      </c>
      <c r="CE341" s="213" t="str">
        <f t="shared" si="191"/>
        <v/>
      </c>
      <c r="CF341" s="213" t="str">
        <f t="shared" si="192"/>
        <v/>
      </c>
      <c r="CG341" s="213" t="str">
        <f t="shared" si="193"/>
        <v/>
      </c>
      <c r="CH341" s="698">
        <f t="shared" si="194"/>
        <v>0</v>
      </c>
      <c r="CI341" s="79" t="str">
        <f>IFERROR(($G341*'Inputs Yr 2'!$P341*'Inputs Yr 2'!$Q341*(((INDEX(avoidedcosttbl2,$H341,CI$2)+(($H341-ROUNDDOWN($H341,0))*(INDEX(avoidedcosttbl2,ROUNDUP($H341,0),CI$2)-INDEX(avoidedcosttbl2,ROUNDDOWN($H341,0),CI$2))))*'Inputs Yr 2'!AS341))),"")</f>
        <v/>
      </c>
      <c r="CJ341" s="504" t="str">
        <f>IFERROR($G341*'Inputs Yr 2'!AT341*'Inputs Yr 2'!$P341*'Inputs Yr 2'!$Q341/((1+realdiscrt1)^-0.5),"")</f>
        <v/>
      </c>
      <c r="CK341" s="79" t="str">
        <f>IFERROR((O341*1000*(((INDEX(avoidedcosttbl2,$H341,CK$2)+(($H341-ROUNDDOWN($H341,0))*(INDEX(avoidedcosttbl2,ROUNDUP($H341,0),CK$2)-INDEX(avoidedcosttbl2,ROUNDDOWN($H341,0),CK$2))))*'Inputs Yr 2'!AU341))),"")</f>
        <v/>
      </c>
      <c r="CL341" s="504" t="str">
        <f>IFERROR(O341*1000*'Inputs Yr 2'!AV341/((1+realdiscrt1)^-0.5),"")</f>
        <v/>
      </c>
      <c r="CM341" s="79" t="str">
        <f>IFERROR((AB341*'Inputs Yr 2'!AW341*(((INDEX(avoidedcosttbl2,$H341,CM$2)+(($H341-ROUNDDOWN($H341,0))*(INDEX(avoidedcosttbl2,ROUNDUP($H341,0),CM$2)-INDEX(avoidedcosttbl2,ROUNDDOWN($H341,0),CM$2)))))))*10,"")</f>
        <v/>
      </c>
      <c r="CN341" s="504">
        <f>IFERROR(10*AB341*'Inputs Yr 2'!AX341/((1+realdiscrt1)^-0.5),"")</f>
        <v>0</v>
      </c>
      <c r="CO341" s="505">
        <f t="shared" si="195"/>
        <v>0</v>
      </c>
      <c r="CP341" s="230">
        <f t="shared" si="196"/>
        <v>0</v>
      </c>
      <c r="CQ341" s="199">
        <f>ROUND(IFERROR(IF(LEFT($A341,1)="C",'Avoided Costs'!$K$13,'Avoided Costs'!$K$12)+1,""),4)</f>
        <v>1.0720000000000001</v>
      </c>
      <c r="CR341" s="199">
        <f>ROUND(IFERROR(IF(LEFT($A341,1)="C",'Avoided Costs'!$L$13,'Avoided Costs'!$L$12)+1,""),4)</f>
        <v>1.04</v>
      </c>
      <c r="CS341" s="199">
        <f>ROUND(IFERROR(IF(LEFT($A341,1)="C",'Avoided Costs'!$M$13,'Avoided Costs'!$M$12)+1,""),4)</f>
        <v>1.0720000000000001</v>
      </c>
      <c r="CT341" s="199">
        <f>ROUND(IFERROR(IF(LEFT($A341,1)="C",'Avoided Costs'!$N$13,'Avoided Costs'!$N$12)+1,""),4)</f>
        <v>1.04</v>
      </c>
      <c r="CU341" s="199">
        <f>ROUND(IFERROR(IF(LEFT($A341,1)="C",'Avoided Costs'!$O$13,'Avoided Costs'!$O$12)+1,""),4)</f>
        <v>1.1120000000000001</v>
      </c>
      <c r="CV341" s="199">
        <f>ROUND(IFERROR(IF(LEFT($A341,1)="C",'Avoided Costs'!$P$13,'Avoided Costs'!$P$12)+1,""),4)</f>
        <v>1.095</v>
      </c>
      <c r="CW341" s="199">
        <f>ROUND(IFERROR(IF(LEFT($A341,1)="C",'Avoided Costs'!$Q$13,'Avoided Costs'!$Q$12)+1,""),4)</f>
        <v>1.1120000000000001</v>
      </c>
      <c r="CX341" s="200">
        <f>ROUND(IFERROR(IF(LEFT($A341,1)="C",'Avoided Costs'!$R$13,'Avoided Costs'!$R$12)+1,""),4)</f>
        <v>1.1120000000000001</v>
      </c>
    </row>
    <row r="342" spans="1:102" ht="12.75" customHeight="1">
      <c r="A342" s="91" t="str">
        <f>IF('Inputs Yr 2'!$B342=0,"",'Inputs Yr 2'!A342)</f>
        <v>C - Commercial &amp; Industrial</v>
      </c>
      <c r="B342" s="91" t="str">
        <f>IF('Inputs Yr 2'!$B342=0,"",'Inputs Yr 2'!B342)</f>
        <v>C2 - C&amp;I Retrofit</v>
      </c>
      <c r="C342" s="91" t="str">
        <f>IF('Inputs Yr 2'!$B342=0,"",'Inputs Yr 2'!C342)</f>
        <v xml:space="preserve">C2c - C&amp;I Multifamily Retrofit </v>
      </c>
      <c r="D342" s="91" t="str">
        <f>IF('Inputs Yr 2'!$B342=0,"",'Inputs Yr 2'!E342)</f>
        <v>Air Sealing, Gas</v>
      </c>
      <c r="E342" s="93" t="str">
        <f>IF('Inputs Yr 2'!$B342=0,"",'Inputs Yr 2'!F342)</f>
        <v>G16C2c17</v>
      </c>
      <c r="F342" s="93" t="str">
        <f>IF('Inputs Yr 2'!$B342=0,"",'Inputs Yr 2'!G342)</f>
        <v>Envelope</v>
      </c>
      <c r="G342" s="95">
        <f>IF('Inputs Yr 2'!$H342&lt;&gt;0,('Inputs Yr 2'!H342),"")</f>
        <v>4282</v>
      </c>
      <c r="H342" s="94">
        <f>IFERROR('Inputs Yr 2'!I342,"")</f>
        <v>15</v>
      </c>
      <c r="I342" s="298">
        <f>IFERROR('Inputs Yr 2'!J342*'Inputs Yr 2'!P342*G342,"")</f>
        <v>1061118.3465</v>
      </c>
      <c r="J342" s="298">
        <f>IFERROR('Inputs Yr 2'!K342*G342,"")</f>
        <v>1305289.3499999999</v>
      </c>
      <c r="K342" s="298">
        <f t="shared" si="173"/>
        <v>-244171.00349999988</v>
      </c>
      <c r="L342" s="194">
        <f>IFERROR(('Inputs Yr 2'!W342*G342)/1000,"")</f>
        <v>0</v>
      </c>
      <c r="M342" s="194">
        <f>IFERROR(L342*('Inputs Yr 2'!$Q342*'Inputs Yr 2'!$V342*'Inputs Yr 2'!$R342),"")</f>
        <v>0</v>
      </c>
      <c r="N342" s="194">
        <f t="shared" si="174"/>
        <v>0</v>
      </c>
      <c r="O342" s="194">
        <f>IFERROR(M342*'Inputs Yr 2'!P342,"")</f>
        <v>0</v>
      </c>
      <c r="P342" s="194">
        <f t="shared" si="175"/>
        <v>0</v>
      </c>
      <c r="Q342" s="194">
        <f>IFERROR($P342*'Inputs Yr 2'!AA342,"")</f>
        <v>0</v>
      </c>
      <c r="R342" s="194">
        <f>IFERROR($P342*'Inputs Yr 2'!AB342,"")</f>
        <v>0</v>
      </c>
      <c r="S342" s="194">
        <f>IFERROR($P342*'Inputs Yr 2'!AC342,"")</f>
        <v>0</v>
      </c>
      <c r="T342" s="194">
        <f>IFERROR($P342*'Inputs Yr 2'!AD342,"")</f>
        <v>0</v>
      </c>
      <c r="U342" s="194">
        <f>IFERROR(G342*'Inputs Yr 2'!$AE342*'Inputs Yr 2'!$P342*'Inputs Yr 2'!$Q342,"")</f>
        <v>0</v>
      </c>
      <c r="V342" s="194">
        <f>IFERROR($G342*'Inputs Yr 2'!$AE342*'Inputs Yr 2'!$AG342*'Inputs Yr 2'!Q342*'Inputs Yr 2'!$S342,"")</f>
        <v>0</v>
      </c>
      <c r="W342" s="194">
        <f>IFERROR($G342*'Inputs Yr 2'!$AE342*'Inputs Yr 2'!$AG342*'Inputs Yr 2'!P342*'Inputs Yr 2'!Q342*'Inputs Yr 2'!$S342,"")</f>
        <v>0</v>
      </c>
      <c r="X342" s="194">
        <f>IFERROR($G342*'Inputs Yr 2'!$AE342*'Inputs Yr 2'!$AF342*'Inputs Yr 2'!Q342*'Inputs Yr 2'!$T342,"")</f>
        <v>0</v>
      </c>
      <c r="Y342" s="194">
        <f>IFERROR($G342*'Inputs Yr 2'!$AE342*'Inputs Yr 2'!$AF342*'Inputs Yr 2'!P342*'Inputs Yr 2'!Q342*'Inputs Yr 2'!$T342,"")</f>
        <v>0</v>
      </c>
      <c r="Z342" s="257">
        <f>IFERROR($G342*'Inputs Yr 2'!$Q342*'Inputs Yr 2'!$U342*(IF(IFERROR(SEARCH("NG", 'Inputs Yr 2'!$AJ342),0),'Inputs Yr 2'!$AK342,0)+IF(IFERROR(SEARCH("NG", 'Inputs Yr 2'!$AL342),0),'Inputs Yr 2'!$AM342,0)+IF(IFERROR(SEARCH("NG", 'Inputs Yr 2'!$AN342),0),'Inputs Yr 2'!$AO342,0)),0)</f>
        <v>11094.311519753084</v>
      </c>
      <c r="AA342" s="257">
        <f t="shared" si="176"/>
        <v>166414.67279629628</v>
      </c>
      <c r="AB342" s="257">
        <f>IFERROR(Z342*'Inputs Yr 2'!$P342,0)</f>
        <v>8986.3923309999991</v>
      </c>
      <c r="AC342" s="257">
        <f t="shared" si="177"/>
        <v>134795.88496499998</v>
      </c>
      <c r="AD342" s="257">
        <f>IFERROR($G342*'Inputs Yr 2'!$Q342*'Inputs Yr 2'!$U342*(IF(IFERROR(SEARCH("Oil", 'Inputs Yr 2'!$AJ342), 0),'Inputs Yr 2'!$AK342,0)+IF(IFERROR(SEARCH("Oil", 'Inputs Yr 2'!$AL342), 0),'Inputs Yr 2'!$AM342,0)+IF(IFERROR(SEARCH("Oil", 'Inputs Yr 2'!$AN342), 0),'Inputs Yr 2'!$AO342,0)),0)</f>
        <v>0</v>
      </c>
      <c r="AE342" s="257">
        <f t="shared" si="178"/>
        <v>0</v>
      </c>
      <c r="AF342" s="257">
        <f>IFERROR(AD342*'Inputs Yr 2'!$P342,0)</f>
        <v>0</v>
      </c>
      <c r="AG342" s="257">
        <f t="shared" si="179"/>
        <v>0</v>
      </c>
      <c r="AH342" s="257">
        <f>IFERROR($G342*'Inputs Yr 2'!$Q342*'Inputs Yr 2'!$U342*(IF('Inputs Yr 2'!$AJ342=CD$4,'Inputs Yr 2'!$AK342,IF('Inputs Yr 2'!$AL342=CD$4,'Inputs Yr 2'!$AM342,IF('Inputs Yr 2'!$AN342=CD$4,'Inputs Yr 2'!$AO342,0)))),0)</f>
        <v>0</v>
      </c>
      <c r="AI342" s="257">
        <f t="shared" si="180"/>
        <v>0</v>
      </c>
      <c r="AJ342" s="257">
        <f>IFERROR(AH342*'Inputs Yr 2'!$P342,0)</f>
        <v>0</v>
      </c>
      <c r="AK342" s="257">
        <f t="shared" si="181"/>
        <v>0</v>
      </c>
      <c r="AL342" s="258">
        <f>IFERROR($G342*'Inputs Yr 2'!$P342*'Inputs Yr 2'!$Q342*'Inputs Yr 2'!AP342,0)</f>
        <v>0</v>
      </c>
      <c r="AM342" s="260">
        <f>IFERROR($G342*'Inputs Yr 2'!$P342*'Inputs Yr 2'!$Q342*'Inputs Yr 2'!AQ342,0)</f>
        <v>0</v>
      </c>
      <c r="AN342" s="258">
        <f>IFERROR($G342*'Inputs Yr 2'!$P342*'Inputs Yr 2'!$Q342*'Inputs Yr 2'!AR342,0)</f>
        <v>0</v>
      </c>
      <c r="AO342" s="257">
        <f t="shared" si="182"/>
        <v>0</v>
      </c>
      <c r="AP342" s="195">
        <f>IFERROR($CQ342*(INDEX(avoidedcosttbl2,$H342,AP$2)+(($H342-ROUNDDOWN($H342,0))*(INDEX(avoidedcosttbl2,ROUNDUP($H342,0),AP$2)-(INDEX(avoidedcosttbl2,ROUNDDOWN($H342,0),AP$2)))))*$O342*1000*'Inputs Yr 2'!AA342,"")</f>
        <v>0</v>
      </c>
      <c r="AQ342" s="195">
        <f>IFERROR($CR342*(INDEX(avoidedcosttbl2,$H342,AQ$2)+(($H342-ROUNDDOWN($H342,0))*(INDEX(avoidedcosttbl2,ROUNDUP($H342,0),AQ$2)-(INDEX(avoidedcosttbl2,ROUNDDOWN($H342,0),AQ$2)))))*$O342*1000*'Inputs Yr 2'!AB342,"")</f>
        <v>0</v>
      </c>
      <c r="AR342" s="195">
        <f>IFERROR($CS342*(INDEX(avoidedcosttbl2,$H342,AR$2)+(($H342-ROUNDDOWN($H342,0))*(INDEX(avoidedcosttbl2,ROUNDUP($H342,0),AR$2)-(INDEX(avoidedcosttbl2,ROUNDDOWN($H342,0),AR$2)))))*$O342*1000*'Inputs Yr 2'!AC342,"")</f>
        <v>0</v>
      </c>
      <c r="AS342" s="195">
        <f>IFERROR($CT342*(INDEX(avoidedcosttbl2,$H342,AS$2)+(($H342-ROUNDDOWN($H342,0))*(INDEX(avoidedcosttbl2,ROUNDUP($H342,0),AS$2)-(INDEX(avoidedcosttbl2,ROUNDDOWN($H342,0),AS$2)))))*$O342*1000*'Inputs Yr 2'!AD342,"")</f>
        <v>0</v>
      </c>
      <c r="AT342" s="196">
        <f t="shared" si="183"/>
        <v>0</v>
      </c>
      <c r="AU342" s="197">
        <f>IFERROR($CQ342*((INDEX(avoidedcosttbl2,$H342,AU$2))+(($H342-ROUNDDOWN($H342,0))*((INDEX(avoidedcosttbl2,ROUNDUP($H342,0),AU$2))-(INDEX(avoidedcosttbl2,ROUNDDOWN($H342,0),AU$2)))))*$O342*1000*'Inputs Yr 2'!AA342,"")</f>
        <v>0</v>
      </c>
      <c r="AV342" s="197">
        <f>IFERROR($CR342*((INDEX(avoidedcosttbl2,$H342,AV$2))+(($H342-ROUNDDOWN($H342,0))*((INDEX(avoidedcosttbl2,ROUNDUP($H342,0),AV$2))-(INDEX(avoidedcosttbl2,ROUNDDOWN($H342,0),AV$2)))))*$O342*1000*'Inputs Yr 2'!AB342,"")</f>
        <v>0</v>
      </c>
      <c r="AW342" s="197">
        <f>IFERROR($CS342*((INDEX(avoidedcosttbl2,$H342,AW$2))+(($H342-ROUNDDOWN($H342,0))*((INDEX(avoidedcosttbl2,ROUNDUP($H342,0),AW$2))-(INDEX(avoidedcosttbl2,ROUNDDOWN($H342,0),AW$2)))))*$O342*1000*'Inputs Yr 2'!AC342,"")</f>
        <v>0</v>
      </c>
      <c r="AX342" s="197">
        <f>IFERROR($CT342*((INDEX(avoidedcosttbl2,$H342,AX$2))+(($H342-ROUNDDOWN($H342,0))*((INDEX(avoidedcosttbl2,ROUNDUP($H342,0),AX$2))-(INDEX(avoidedcosttbl2,ROUNDDOWN($H342,0),AX$2)))))*$O342*1000*'Inputs Yr 2'!AD342,"")</f>
        <v>0</v>
      </c>
      <c r="AY342" s="197">
        <f>IFERROR(((INDEX(avoidedcosttbl2,$H342,AY$2))+(($H342-ROUNDDOWN($H342,0))*((INDEX(avoidedcosttbl2,ROUNDUP($H342,0),AY$2))-(INDEX(avoidedcosttbl2,ROUNDDOWN($H342,0),AY$2)))))*$O342*1000*('Inputs Yr 2'!AC342+'Inputs Yr 2'!AD342),"")</f>
        <v>0</v>
      </c>
      <c r="AZ342" s="197">
        <f>IFERROR(((INDEX(avoidedcosttbl2,$H342,AZ$2))+(($H342-ROUNDDOWN($H342,0))*((INDEX(avoidedcosttbl2,ROUNDUP($H342,0),AZ$2))-(INDEX(avoidedcosttbl2,ROUNDDOWN($H342,0),AZ$2)))))*$O342*1000*('Inputs Yr 2'!AA342+'Inputs Yr 2'!AB342),"")</f>
        <v>0</v>
      </c>
      <c r="BA342" s="198">
        <f t="shared" si="184"/>
        <v>0</v>
      </c>
      <c r="BB342" s="198">
        <f t="shared" si="185"/>
        <v>0</v>
      </c>
      <c r="BC342" s="195">
        <f t="shared" si="167"/>
        <v>0</v>
      </c>
      <c r="BD342" s="195">
        <f t="shared" si="168"/>
        <v>0</v>
      </c>
      <c r="BE342" s="195">
        <f t="shared" si="169"/>
        <v>0</v>
      </c>
      <c r="BF342" s="195">
        <f t="shared" si="170"/>
        <v>0</v>
      </c>
      <c r="BG342" s="195">
        <f t="shared" si="171"/>
        <v>0</v>
      </c>
      <c r="BH342" s="196">
        <f t="shared" si="186"/>
        <v>0</v>
      </c>
      <c r="BI342" s="196">
        <f t="shared" si="187"/>
        <v>0</v>
      </c>
      <c r="BJ342" s="195">
        <f>IFERROR($G342*(IF('Inputs Yr 2'!$AJ342=BJ$4,'Inputs Yr 2'!$AK342,IF('Inputs Yr 2'!$AL342=BJ$4,'Inputs Yr 2'!$AM342,IF('Inputs Yr 2'!$AN342=BJ$4,'Inputs Yr 2'!$AO342,0))))*(INDEX(avoidedcosttbl2,$H342,BJ$2)+(($H342-ROUNDDOWN($H342,0))*(INDEX(avoidedcosttbl2,ROUNDUP($H342,0),BJ$2)-(INDEX(avoidedcosttbl2,ROUNDDOWN($H342,0),BJ$2)))))*'Inputs Yr 2'!P342*'Inputs Yr 2'!Q342*'Inputs Yr 2'!U342,"")</f>
        <v>0</v>
      </c>
      <c r="BK342" s="195">
        <f>IFERROR($G342*(IF('Inputs Yr 2'!$AJ342=BK$4,'Inputs Yr 2'!$AK342,IF('Inputs Yr 2'!$AL342=BK$4,'Inputs Yr 2'!$AM342,IF('Inputs Yr 2'!$AN342=BK$4,'Inputs Yr 2'!$AO342,0))))*(INDEX(avoidedcosttbl2,$H342,BK$2)+(($H342-ROUNDDOWN($H342,0))*(INDEX(avoidedcosttbl2,ROUNDUP($H342,0),BK$2)-(INDEX(avoidedcosttbl2,ROUNDDOWN($H342,0),BK$2)))))*'Inputs Yr 2'!P342*'Inputs Yr 2'!Q342*'Inputs Yr 2'!U342,"")</f>
        <v>0</v>
      </c>
      <c r="BL342" s="195">
        <f>IFERROR($G342*(IF('Inputs Yr 2'!$AJ342=BL$4,'Inputs Yr 2'!$AK342,IF('Inputs Yr 2'!$AL342=BL$4,'Inputs Yr 2'!$AM342,IF('Inputs Yr 2'!$AN342=BL$4,'Inputs Yr 2'!$AO342,0))))*(INDEX(avoidedcosttbl2,$H342,BL$2)+(($H342-ROUNDDOWN($H342,0))*(INDEX(avoidedcosttbl2,ROUNDUP($H342,0),BL$2)-(INDEX(avoidedcosttbl2,ROUNDDOWN($H342,0),BL$2)))))*'Inputs Yr 2'!P342*'Inputs Yr 2'!Q342*'Inputs Yr 2'!U342,"")</f>
        <v>1136696.2564255986</v>
      </c>
      <c r="BM342" s="195">
        <f>IFERROR($G342*(IF('Inputs Yr 2'!$AJ342=BM$4,'Inputs Yr 2'!$AK342,IF('Inputs Yr 2'!$AL342=BM$4,'Inputs Yr 2'!$AM342,IF('Inputs Yr 2'!$AN342=BM$4,'Inputs Yr 2'!$AO342,0))))*(INDEX(avoidedcosttbl2,$H342,BM$2)+(($H342-ROUNDDOWN($H342,0))*(INDEX(avoidedcosttbl2,ROUNDUP($H342,0),BM$2)-(INDEX(avoidedcosttbl2,ROUNDDOWN($H342,0),BM$2)))))*'Inputs Yr 2'!P342*'Inputs Yr 2'!Q342*'Inputs Yr 2'!U342,"")</f>
        <v>0</v>
      </c>
      <c r="BN342" s="195">
        <f>IFERROR($G342*(IF('Inputs Yr 2'!$AJ342=BN$4,'Inputs Yr 2'!$AK342,IF('Inputs Yr 2'!$AL342=BN$4,'Inputs Yr 2'!$AM342,IF('Inputs Yr 2'!$AN342=BN$4,'Inputs Yr 2'!$AO342,0))))*(INDEX(avoidedcosttbl2,$H342,BN$2)+(($H342-ROUNDDOWN($H342,0))*(INDEX(avoidedcosttbl2,ROUNDUP($H342,0),BN$2)-(INDEX(avoidedcosttbl2,ROUNDDOWN($H342,0),BN$2)))))*'Inputs Yr 2'!P342*'Inputs Yr 2'!Q342*'Inputs Yr 2'!U342,"")</f>
        <v>0</v>
      </c>
      <c r="BO342" s="195">
        <f>IFERROR($G342*(IF('Inputs Yr 2'!$AJ342=BO$4,'Inputs Yr 2'!$AK342,IF('Inputs Yr 2'!$AL342=BO$4,'Inputs Yr 2'!$AM342,IF('Inputs Yr 2'!$AN342=BO$4,'Inputs Yr 2'!$AO342,0))))*(INDEX(avoidedcosttbl2,$H342,BO$2)+(($H342-ROUNDDOWN($H342,0))*(INDEX(avoidedcosttbl2,ROUNDUP($H342,0),BO$2)-(INDEX(avoidedcosttbl2,ROUNDDOWN($H342,0),BO$2)))))*'Inputs Yr 2'!P342*'Inputs Yr 2'!Q342*'Inputs Yr 2'!U342,"")</f>
        <v>0</v>
      </c>
      <c r="BP342" s="195">
        <f>IFERROR($G342*(IF('Inputs Yr 2'!$AJ342=BP$4,'Inputs Yr 2'!$AK342,IF('Inputs Yr 2'!$AL342=BP$4,'Inputs Yr 2'!$AM342,IF('Inputs Yr 2'!$AN342=BP$4,'Inputs Yr 2'!$AO342,0))))*(INDEX(avoidedcosttbl2,$H342,BP$2)+(($H342-ROUNDDOWN($H342,0))*(INDEX(avoidedcosttbl2,ROUNDUP($H342,0),BP$2)-(INDEX(avoidedcosttbl2,ROUNDDOWN($H342,0),BP$2)))))*'Inputs Yr 2'!P342*'Inputs Yr 2'!Q342*'Inputs Yr 2'!U342,"")</f>
        <v>0</v>
      </c>
      <c r="BQ342" s="230">
        <f t="shared" si="188"/>
        <v>1136696.2564255986</v>
      </c>
      <c r="BR342" s="197">
        <f t="shared" si="172"/>
        <v>18270.491011504364</v>
      </c>
      <c r="BS342" s="197">
        <f>IFERROR(($G342*IF('Inputs Yr 2'!$AJ342=BM$4,'Inputs Yr 2'!$AK342,IF('Inputs Yr 2'!$AL342=BM$4,'Inputs Yr 2'!$AM342,IF('Inputs Yr 2'!$AN342=BM$4,'Inputs Yr 2'!$AO342,0))))*(INDEX(avoidedcosttbl2,$H342,BS$2)+(($H342-ROUNDDOWN($H342,0))*(INDEX(avoidedcosttbl2,ROUNDUP($H342,0),BS$2)-(INDEX(avoidedcosttbl2,ROUNDDOWN($H342,0),BS$2)))))*'Inputs Yr 2'!P342*'Inputs Yr 2'!Q342*'Inputs Yr 2'!U342,"")</f>
        <v>0</v>
      </c>
      <c r="BT342" s="197">
        <f>IFERROR(($G342*IF('Inputs Yr 2'!$AJ342=BK$4,'Inputs Yr 2'!$AK342,IF('Inputs Yr 2'!$AL342=BK$4,'Inputs Yr 2'!$AM342,IF('Inputs Yr 2'!$AN342=BK$4,'Inputs Yr 2'!$AO342,0))))*(INDEX(avoidedcosttbl2,$H342,BT$2)+(($H342-ROUNDDOWN($H342,0))*(INDEX(avoidedcosttbl2,ROUNDUP($H342,0),BT$2)-(INDEX(avoidedcosttbl2,ROUNDDOWN($H342,0),BT$2)))))*'Inputs Yr 2'!P342*'Inputs Yr 2'!Q342*'Inputs Yr 2'!U342,"")</f>
        <v>0</v>
      </c>
      <c r="BU342" s="197">
        <f>IFERROR(($G342*IF('Inputs Yr 2'!$AJ342=BL$4,'Inputs Yr 2'!$AK342,IF('Inputs Yr 2'!$AL342=BL$4,'Inputs Yr 2'!$AM342,IF('Inputs Yr 2'!$AN342=BL$4,'Inputs Yr 2'!$AO342,0))))*(INDEX(avoidedcosttbl2,$H342,BU$2)+(($H342-ROUNDDOWN($H342,0))*(INDEX(avoidedcosttbl2,ROUNDUP($H342,0),BU$2)-(INDEX(avoidedcosttbl2,ROUNDDOWN($H342,0),BU$2)))))*'Inputs Yr 2'!P342*'Inputs Yr 2'!Q342*'Inputs Yr 2'!U342,"")</f>
        <v>69574.390234795908</v>
      </c>
      <c r="BV342" s="775">
        <f>IFERROR(($G342*IF('Inputs Yr 2'!$AJ342=BJ$4,'Inputs Yr 2'!$AK342,IF('Inputs Yr 2'!$AL342=BJ$4,'Inputs Yr 2'!$AM342,IF('Inputs Yr 2'!$AN342=BJ$4,'Inputs Yr 2'!$AO342,0))))*(INDEX(avoidedcosttbl2,$H342,BV$2)+(($H342-ROUNDDOWN($H342,0))*(INDEX(avoidedcosttbl2,ROUNDUP($H342,0),BV$2)-(INDEX(avoidedcosttbl2,ROUNDDOWN($H342,0),BV$2)))))*'Inputs Yr 2'!P342*'Inputs Yr 2'!Q342*'Inputs Yr 2'!U342,"")</f>
        <v>0</v>
      </c>
      <c r="BW342" s="197">
        <f>IFERROR(($G342*IF('Inputs Yr 2'!$AJ342=BN$4,'Inputs Yr 2'!$AK342,IF('Inputs Yr 2'!$AL342=BN$4,'Inputs Yr 2'!$AM342,IF('Inputs Yr 2'!$AN342=BN$4,'Inputs Yr 2'!$AO342,0))))*(INDEX(avoidedcosttbl2,$H342,BW$2)+(($H342-ROUNDDOWN($H342,0))*(INDEX(avoidedcosttbl2,ROUNDUP($H342,0),BW$2)-(INDEX(avoidedcosttbl2,ROUNDDOWN($H342,0),BW$2)))))*'Inputs Yr 2'!P342*'Inputs Yr 2'!Q342*'Inputs Yr 2'!U342,"")</f>
        <v>0</v>
      </c>
      <c r="BX342" s="197">
        <f>IFERROR(($G342*IF('Inputs Yr 2'!$AJ342=BO$4,'Inputs Yr 2'!$AK342,IF('Inputs Yr 2'!$AL342=BO$4,'Inputs Yr 2'!$AM342,IF('Inputs Yr 2'!$AN342=BO$4,'Inputs Yr 2'!$AO342,0))))*(INDEX(avoidedcosttbl2,$H342,BX$2)+(($H342-ROUNDDOWN($H342,0))*(INDEX(avoidedcosttbl2,ROUNDUP($H342,0),BX$2)-(INDEX(avoidedcosttbl2,ROUNDDOWN($H342,0),BX$2)))))*'Inputs Yr 2'!P342*'Inputs Yr 2'!Q342*'Inputs Yr 2'!U342,"")</f>
        <v>0</v>
      </c>
      <c r="BY342" s="197">
        <f>IFERROR(($G342*IF('Inputs Yr 2'!$AJ342=BP$4,'Inputs Yr 2'!$AK342,IF('Inputs Yr 2'!$AL342=BP$4,'Inputs Yr 2'!$AM342,IF('Inputs Yr 2'!$AN342=BP$4,'Inputs Yr 2'!$AO342,0))))*(INDEX(avoidedcosttbl2,$H342,BY$2)+(($H342-ROUNDDOWN($H342,0))*(INDEX(avoidedcosttbl2,ROUNDUP($H342,0),BY$2)-(INDEX(avoidedcosttbl2,ROUNDDOWN($H342,0),BY$2)))))*'Inputs Yr 2'!P342*'Inputs Yr 2'!Q342*'Inputs Yr 2'!U342,"")</f>
        <v>0</v>
      </c>
      <c r="BZ342" s="193">
        <f t="shared" si="189"/>
        <v>87844.881246300269</v>
      </c>
      <c r="CA342" s="193">
        <f t="shared" si="190"/>
        <v>1224541.1376718988</v>
      </c>
      <c r="CB342" s="195">
        <f>IFERROR(G342*(IF('Inputs Yr 2'!$AJ342=CB$4,'Inputs Yr 2'!$AK342,IF('Inputs Yr 2'!$AL342=CB$4,'Inputs Yr 2'!$AM342,IF('Inputs Yr 2'!$AN342=CB$4,'Inputs Yr 2'!$AO342,0))))*(INDEX(avoidedcosttbl2,$H342,CB$2)+(($H342-ROUNDDOWN($H342,0))*(INDEX(avoidedcosttbl2,ROUNDUP($H342,0),CB$2)-(INDEX(avoidedcosttbl2,ROUNDDOWN($H342,0),CB$2)))))*'Inputs Yr 2'!P342*'Inputs Yr 2'!Q342*'Inputs Yr 2'!U342,"")</f>
        <v>0</v>
      </c>
      <c r="CC342" s="195">
        <f>IFERROR(H342*(IF('Inputs Yr 2'!$AJ342=CC$4,'Inputs Yr 2'!$AK342,IF('Inputs Yr 2'!$AL342=CC$4,'Inputs Yr 2'!$AM342,IF('Inputs Yr 2'!$AN342=CC$4,'Inputs Yr 2'!$AO342,0))))*(INDEX(avoidedcosttbl2,$H342,CC$2)+(($H342-ROUNDDOWN($H342,0))*(INDEX(avoidedcosttbl2,ROUNDUP($H342,0),CC$2)-(INDEX(avoidedcosttbl2,ROUNDDOWN($H342,0),CC$2)))))*'Inputs Yr 2'!Q342*'Inputs Yr 2'!R342*'Inputs Yr 2'!V342,"")</f>
        <v>0</v>
      </c>
      <c r="CD342" s="195">
        <f>IFERROR(I342*(IF('Inputs Yr 2'!$AJ342=CD$4,'Inputs Yr 2'!$AK342,IF('Inputs Yr 2'!$AL342=CD$4,'Inputs Yr 2'!$AM342,IF('Inputs Yr 2'!$AN342=CD$4,'Inputs Yr 2'!$AO342,0))))*(INDEX(avoidedcosttbl2,$H342,CD$2)+(($H342-ROUNDDOWN($H342,0))*(INDEX(avoidedcosttbl2,ROUNDUP($H342,0),CD$2)-(INDEX(avoidedcosttbl2,ROUNDDOWN($H342,0),CD$2)))))*'Inputs Yr 2'!R342*'Inputs Yr 2'!S342*'Inputs Yr 2'!W342,"")</f>
        <v>0</v>
      </c>
      <c r="CE342" s="213">
        <f t="shared" si="191"/>
        <v>0</v>
      </c>
      <c r="CF342" s="213">
        <f t="shared" si="192"/>
        <v>0</v>
      </c>
      <c r="CG342" s="213">
        <f t="shared" si="193"/>
        <v>0</v>
      </c>
      <c r="CH342" s="698">
        <f t="shared" si="194"/>
        <v>1224541.1376718988</v>
      </c>
      <c r="CI342" s="79">
        <f>IFERROR(($G342*'Inputs Yr 2'!$P342*'Inputs Yr 2'!$Q342*(((INDEX(avoidedcosttbl2,$H342,CI$2)+(($H342-ROUNDDOWN($H342,0))*(INDEX(avoidedcosttbl2,ROUNDUP($H342,0),CI$2)-INDEX(avoidedcosttbl2,ROUNDDOWN($H342,0),CI$2))))*'Inputs Yr 2'!AS342))),"")</f>
        <v>974275.44569409546</v>
      </c>
      <c r="CJ342" s="504">
        <f>IFERROR($G342*'Inputs Yr 2'!AT342*'Inputs Yr 2'!$P342*'Inputs Yr 2'!$Q342/((1+realdiscrt1)^-0.5),"")</f>
        <v>0</v>
      </c>
      <c r="CK342" s="79">
        <f>IFERROR((O342*1000*(((INDEX(avoidedcosttbl2,$H342,CK$2)+(($H342-ROUNDDOWN($H342,0))*(INDEX(avoidedcosttbl2,ROUNDUP($H342,0),CK$2)-INDEX(avoidedcosttbl2,ROUNDDOWN($H342,0),CK$2))))*'Inputs Yr 2'!AU342))),"")</f>
        <v>0</v>
      </c>
      <c r="CL342" s="504">
        <f>IFERROR(O342*1000*'Inputs Yr 2'!AV342/((1+realdiscrt1)^-0.5),"")</f>
        <v>0</v>
      </c>
      <c r="CM342" s="79">
        <f>IFERROR((AB342*'Inputs Yr 2'!AW342*(((INDEX(avoidedcosttbl2,$H342,CM$2)+(($H342-ROUNDDOWN($H342,0))*(INDEX(avoidedcosttbl2,ROUNDUP($H342,0),CM$2)-INDEX(avoidedcosttbl2,ROUNDDOWN($H342,0),CM$2)))))))*10,"")</f>
        <v>0</v>
      </c>
      <c r="CN342" s="504">
        <f>IFERROR(10*AB342*'Inputs Yr 2'!AX342/((1+realdiscrt1)^-0.5),"")</f>
        <v>0</v>
      </c>
      <c r="CO342" s="505">
        <f t="shared" si="195"/>
        <v>974275.44569409546</v>
      </c>
      <c r="CP342" s="230">
        <f t="shared" si="196"/>
        <v>2198816.5833659945</v>
      </c>
      <c r="CQ342" s="199">
        <f>ROUND(IFERROR(IF(LEFT($A342,1)="C",'Avoided Costs'!$K$13,'Avoided Costs'!$K$12)+1,""),4)</f>
        <v>1.0720000000000001</v>
      </c>
      <c r="CR342" s="199">
        <f>ROUND(IFERROR(IF(LEFT($A342,1)="C",'Avoided Costs'!$L$13,'Avoided Costs'!$L$12)+1,""),4)</f>
        <v>1.04</v>
      </c>
      <c r="CS342" s="199">
        <f>ROUND(IFERROR(IF(LEFT($A342,1)="C",'Avoided Costs'!$M$13,'Avoided Costs'!$M$12)+1,""),4)</f>
        <v>1.0720000000000001</v>
      </c>
      <c r="CT342" s="199">
        <f>ROUND(IFERROR(IF(LEFT($A342,1)="C",'Avoided Costs'!$N$13,'Avoided Costs'!$N$12)+1,""),4)</f>
        <v>1.04</v>
      </c>
      <c r="CU342" s="199">
        <f>ROUND(IFERROR(IF(LEFT($A342,1)="C",'Avoided Costs'!$O$13,'Avoided Costs'!$O$12)+1,""),4)</f>
        <v>1.1120000000000001</v>
      </c>
      <c r="CV342" s="199">
        <f>ROUND(IFERROR(IF(LEFT($A342,1)="C",'Avoided Costs'!$P$13,'Avoided Costs'!$P$12)+1,""),4)</f>
        <v>1.095</v>
      </c>
      <c r="CW342" s="199">
        <f>ROUND(IFERROR(IF(LEFT($A342,1)="C",'Avoided Costs'!$Q$13,'Avoided Costs'!$Q$12)+1,""),4)</f>
        <v>1.1120000000000001</v>
      </c>
      <c r="CX342" s="200">
        <f>ROUND(IFERROR(IF(LEFT($A342,1)="C",'Avoided Costs'!$R$13,'Avoided Costs'!$R$12)+1,""),4)</f>
        <v>1.1120000000000001</v>
      </c>
    </row>
    <row r="343" spans="1:102" ht="12.75" customHeight="1">
      <c r="A343" s="91" t="str">
        <f>IF('Inputs Yr 2'!$B343=0,"",'Inputs Yr 2'!A343)</f>
        <v>C - Commercial &amp; Industrial</v>
      </c>
      <c r="B343" s="91" t="str">
        <f>IF('Inputs Yr 2'!$B343=0,"",'Inputs Yr 2'!B343)</f>
        <v>C2 - C&amp;I Retrofit</v>
      </c>
      <c r="C343" s="91" t="str">
        <f>IF('Inputs Yr 2'!$B343=0,"",'Inputs Yr 2'!C343)</f>
        <v xml:space="preserve">C2c - C&amp;I Multifamily Retrofit </v>
      </c>
      <c r="D343" s="91" t="str">
        <f>IF('Inputs Yr 2'!$B343=0,"",'Inputs Yr 2'!E343)</f>
        <v>Insulation</v>
      </c>
      <c r="E343" s="93" t="str">
        <f>IF('Inputs Yr 2'!$B343=0,"",'Inputs Yr 2'!F343)</f>
        <v>G16C2c18</v>
      </c>
      <c r="F343" s="93" t="str">
        <f>IF('Inputs Yr 2'!$B343=0,"",'Inputs Yr 2'!G343)</f>
        <v>Envelope</v>
      </c>
      <c r="G343" s="95">
        <f>IF('Inputs Yr 2'!$H343&lt;&gt;0,('Inputs Yr 2'!H343),"")</f>
        <v>1081</v>
      </c>
      <c r="H343" s="94">
        <f>IFERROR('Inputs Yr 2'!I343,"")</f>
        <v>25</v>
      </c>
      <c r="I343" s="298">
        <f>IFERROR('Inputs Yr 2'!J343*'Inputs Yr 2'!P343*G343,"")</f>
        <v>314700.89219999994</v>
      </c>
      <c r="J343" s="298">
        <f>IFERROR('Inputs Yr 2'!K343*G343,"")</f>
        <v>298641.38</v>
      </c>
      <c r="K343" s="298">
        <f t="shared" si="173"/>
        <v>16059.512199999939</v>
      </c>
      <c r="L343" s="194">
        <f>IFERROR(('Inputs Yr 2'!W343*G343)/1000,"")</f>
        <v>0</v>
      </c>
      <c r="M343" s="194">
        <f>IFERROR(L343*('Inputs Yr 2'!$Q343*'Inputs Yr 2'!$V343*'Inputs Yr 2'!$R343),"")</f>
        <v>0</v>
      </c>
      <c r="N343" s="194">
        <f t="shared" si="174"/>
        <v>0</v>
      </c>
      <c r="O343" s="194">
        <f>IFERROR(M343*'Inputs Yr 2'!P343,"")</f>
        <v>0</v>
      </c>
      <c r="P343" s="194">
        <f t="shared" si="175"/>
        <v>0</v>
      </c>
      <c r="Q343" s="194">
        <f>IFERROR($P343*'Inputs Yr 2'!AA343,"")</f>
        <v>0</v>
      </c>
      <c r="R343" s="194">
        <f>IFERROR($P343*'Inputs Yr 2'!AB343,"")</f>
        <v>0</v>
      </c>
      <c r="S343" s="194">
        <f>IFERROR($P343*'Inputs Yr 2'!AC343,"")</f>
        <v>0</v>
      </c>
      <c r="T343" s="194">
        <f>IFERROR($P343*'Inputs Yr 2'!AD343,"")</f>
        <v>0</v>
      </c>
      <c r="U343" s="194">
        <f>IFERROR(G343*'Inputs Yr 2'!$AE343*'Inputs Yr 2'!$P343*'Inputs Yr 2'!$Q343,"")</f>
        <v>0</v>
      </c>
      <c r="V343" s="194">
        <f>IFERROR($G343*'Inputs Yr 2'!$AE343*'Inputs Yr 2'!$AG343*'Inputs Yr 2'!Q343*'Inputs Yr 2'!$S343,"")</f>
        <v>0</v>
      </c>
      <c r="W343" s="194">
        <f>IFERROR($G343*'Inputs Yr 2'!$AE343*'Inputs Yr 2'!$AG343*'Inputs Yr 2'!P343*'Inputs Yr 2'!Q343*'Inputs Yr 2'!$S343,"")</f>
        <v>0</v>
      </c>
      <c r="X343" s="194">
        <f>IFERROR($G343*'Inputs Yr 2'!$AE343*'Inputs Yr 2'!$AF343*'Inputs Yr 2'!Q343*'Inputs Yr 2'!$T343,"")</f>
        <v>0</v>
      </c>
      <c r="Y343" s="194">
        <f>IFERROR($G343*'Inputs Yr 2'!$AE343*'Inputs Yr 2'!$AF343*'Inputs Yr 2'!P343*'Inputs Yr 2'!Q343*'Inputs Yr 2'!$T343,"")</f>
        <v>0</v>
      </c>
      <c r="Z343" s="257">
        <f>IFERROR($G343*'Inputs Yr 2'!$Q343*'Inputs Yr 2'!$U343*(IF(IFERROR(SEARCH("NG", 'Inputs Yr 2'!$AJ343),0),'Inputs Yr 2'!$AK343,0)+IF(IFERROR(SEARCH("NG", 'Inputs Yr 2'!$AL343),0),'Inputs Yr 2'!$AM343,0)+IF(IFERROR(SEARCH("NG", 'Inputs Yr 2'!$AN343),0),'Inputs Yr 2'!$AO343,0)),0)</f>
        <v>2482.2240432098761</v>
      </c>
      <c r="AA343" s="257">
        <f t="shared" si="176"/>
        <v>62055.601080246903</v>
      </c>
      <c r="AB343" s="257">
        <f>IFERROR(Z343*'Inputs Yr 2'!$P343,0)</f>
        <v>2010.6014749999997</v>
      </c>
      <c r="AC343" s="257">
        <f t="shared" si="177"/>
        <v>50265.036874999991</v>
      </c>
      <c r="AD343" s="257">
        <f>IFERROR($G343*'Inputs Yr 2'!$Q343*'Inputs Yr 2'!$U343*(IF(IFERROR(SEARCH("Oil", 'Inputs Yr 2'!$AJ343), 0),'Inputs Yr 2'!$AK343,0)+IF(IFERROR(SEARCH("Oil", 'Inputs Yr 2'!$AL343), 0),'Inputs Yr 2'!$AM343,0)+IF(IFERROR(SEARCH("Oil", 'Inputs Yr 2'!$AN343), 0),'Inputs Yr 2'!$AO343,0)),0)</f>
        <v>0</v>
      </c>
      <c r="AE343" s="257">
        <f t="shared" si="178"/>
        <v>0</v>
      </c>
      <c r="AF343" s="257">
        <f>IFERROR(AD343*'Inputs Yr 2'!$P343,0)</f>
        <v>0</v>
      </c>
      <c r="AG343" s="257">
        <f t="shared" si="179"/>
        <v>0</v>
      </c>
      <c r="AH343" s="257">
        <f>IFERROR($G343*'Inputs Yr 2'!$Q343*'Inputs Yr 2'!$U343*(IF('Inputs Yr 2'!$AJ343=CD$4,'Inputs Yr 2'!$AK343,IF('Inputs Yr 2'!$AL343=CD$4,'Inputs Yr 2'!$AM343,IF('Inputs Yr 2'!$AN343=CD$4,'Inputs Yr 2'!$AO343,0)))),0)</f>
        <v>0</v>
      </c>
      <c r="AI343" s="257">
        <f t="shared" si="180"/>
        <v>0</v>
      </c>
      <c r="AJ343" s="257">
        <f>IFERROR(AH343*'Inputs Yr 2'!$P343,0)</f>
        <v>0</v>
      </c>
      <c r="AK343" s="257">
        <f t="shared" si="181"/>
        <v>0</v>
      </c>
      <c r="AL343" s="258">
        <f>IFERROR($G343*'Inputs Yr 2'!$P343*'Inputs Yr 2'!$Q343*'Inputs Yr 2'!AP343,0)</f>
        <v>0</v>
      </c>
      <c r="AM343" s="260">
        <f>IFERROR($G343*'Inputs Yr 2'!$P343*'Inputs Yr 2'!$Q343*'Inputs Yr 2'!AQ343,0)</f>
        <v>0</v>
      </c>
      <c r="AN343" s="258">
        <f>IFERROR($G343*'Inputs Yr 2'!$P343*'Inputs Yr 2'!$Q343*'Inputs Yr 2'!AR343,0)</f>
        <v>0</v>
      </c>
      <c r="AO343" s="257">
        <f t="shared" si="182"/>
        <v>0</v>
      </c>
      <c r="AP343" s="195">
        <f>IFERROR($CQ343*(INDEX(avoidedcosttbl2,$H343,AP$2)+(($H343-ROUNDDOWN($H343,0))*(INDEX(avoidedcosttbl2,ROUNDUP($H343,0),AP$2)-(INDEX(avoidedcosttbl2,ROUNDDOWN($H343,0),AP$2)))))*$O343*1000*'Inputs Yr 2'!AA343,"")</f>
        <v>0</v>
      </c>
      <c r="AQ343" s="195">
        <f>IFERROR($CR343*(INDEX(avoidedcosttbl2,$H343,AQ$2)+(($H343-ROUNDDOWN($H343,0))*(INDEX(avoidedcosttbl2,ROUNDUP($H343,0),AQ$2)-(INDEX(avoidedcosttbl2,ROUNDDOWN($H343,0),AQ$2)))))*$O343*1000*'Inputs Yr 2'!AB343,"")</f>
        <v>0</v>
      </c>
      <c r="AR343" s="195">
        <f>IFERROR($CS343*(INDEX(avoidedcosttbl2,$H343,AR$2)+(($H343-ROUNDDOWN($H343,0))*(INDEX(avoidedcosttbl2,ROUNDUP($H343,0),AR$2)-(INDEX(avoidedcosttbl2,ROUNDDOWN($H343,0),AR$2)))))*$O343*1000*'Inputs Yr 2'!AC343,"")</f>
        <v>0</v>
      </c>
      <c r="AS343" s="195">
        <f>IFERROR($CT343*(INDEX(avoidedcosttbl2,$H343,AS$2)+(($H343-ROUNDDOWN($H343,0))*(INDEX(avoidedcosttbl2,ROUNDUP($H343,0),AS$2)-(INDEX(avoidedcosttbl2,ROUNDDOWN($H343,0),AS$2)))))*$O343*1000*'Inputs Yr 2'!AD343,"")</f>
        <v>0</v>
      </c>
      <c r="AT343" s="196">
        <f t="shared" si="183"/>
        <v>0</v>
      </c>
      <c r="AU343" s="197">
        <f>IFERROR($CQ343*((INDEX(avoidedcosttbl2,$H343,AU$2))+(($H343-ROUNDDOWN($H343,0))*((INDEX(avoidedcosttbl2,ROUNDUP($H343,0),AU$2))-(INDEX(avoidedcosttbl2,ROUNDDOWN($H343,0),AU$2)))))*$O343*1000*'Inputs Yr 2'!AA343,"")</f>
        <v>0</v>
      </c>
      <c r="AV343" s="197">
        <f>IFERROR($CR343*((INDEX(avoidedcosttbl2,$H343,AV$2))+(($H343-ROUNDDOWN($H343,0))*((INDEX(avoidedcosttbl2,ROUNDUP($H343,0),AV$2))-(INDEX(avoidedcosttbl2,ROUNDDOWN($H343,0),AV$2)))))*$O343*1000*'Inputs Yr 2'!AB343,"")</f>
        <v>0</v>
      </c>
      <c r="AW343" s="197">
        <f>IFERROR($CS343*((INDEX(avoidedcosttbl2,$H343,AW$2))+(($H343-ROUNDDOWN($H343,0))*((INDEX(avoidedcosttbl2,ROUNDUP($H343,0),AW$2))-(INDEX(avoidedcosttbl2,ROUNDDOWN($H343,0),AW$2)))))*$O343*1000*'Inputs Yr 2'!AC343,"")</f>
        <v>0</v>
      </c>
      <c r="AX343" s="197">
        <f>IFERROR($CT343*((INDEX(avoidedcosttbl2,$H343,AX$2))+(($H343-ROUNDDOWN($H343,0))*((INDEX(avoidedcosttbl2,ROUNDUP($H343,0),AX$2))-(INDEX(avoidedcosttbl2,ROUNDDOWN($H343,0),AX$2)))))*$O343*1000*'Inputs Yr 2'!AD343,"")</f>
        <v>0</v>
      </c>
      <c r="AY343" s="197">
        <f>IFERROR(((INDEX(avoidedcosttbl2,$H343,AY$2))+(($H343-ROUNDDOWN($H343,0))*((INDEX(avoidedcosttbl2,ROUNDUP($H343,0),AY$2))-(INDEX(avoidedcosttbl2,ROUNDDOWN($H343,0),AY$2)))))*$O343*1000*('Inputs Yr 2'!AC343+'Inputs Yr 2'!AD343),"")</f>
        <v>0</v>
      </c>
      <c r="AZ343" s="197">
        <f>IFERROR(((INDEX(avoidedcosttbl2,$H343,AZ$2))+(($H343-ROUNDDOWN($H343,0))*((INDEX(avoidedcosttbl2,ROUNDUP($H343,0),AZ$2))-(INDEX(avoidedcosttbl2,ROUNDDOWN($H343,0),AZ$2)))))*$O343*1000*('Inputs Yr 2'!AA343+'Inputs Yr 2'!AB343),"")</f>
        <v>0</v>
      </c>
      <c r="BA343" s="198">
        <f t="shared" si="184"/>
        <v>0</v>
      </c>
      <c r="BB343" s="198">
        <f t="shared" si="185"/>
        <v>0</v>
      </c>
      <c r="BC343" s="195">
        <f t="shared" si="167"/>
        <v>0</v>
      </c>
      <c r="BD343" s="195">
        <f t="shared" si="168"/>
        <v>0</v>
      </c>
      <c r="BE343" s="195">
        <f t="shared" si="169"/>
        <v>0</v>
      </c>
      <c r="BF343" s="195">
        <f t="shared" si="170"/>
        <v>0</v>
      </c>
      <c r="BG343" s="195">
        <f t="shared" si="171"/>
        <v>0</v>
      </c>
      <c r="BH343" s="196">
        <f t="shared" si="186"/>
        <v>0</v>
      </c>
      <c r="BI343" s="196">
        <f t="shared" si="187"/>
        <v>0</v>
      </c>
      <c r="BJ343" s="195">
        <f>IFERROR($G343*(IF('Inputs Yr 2'!$AJ343=BJ$4,'Inputs Yr 2'!$AK343,IF('Inputs Yr 2'!$AL343=BJ$4,'Inputs Yr 2'!$AM343,IF('Inputs Yr 2'!$AN343=BJ$4,'Inputs Yr 2'!$AO343,0))))*(INDEX(avoidedcosttbl2,$H343,BJ$2)+(($H343-ROUNDDOWN($H343,0))*(INDEX(avoidedcosttbl2,ROUNDUP($H343,0),BJ$2)-(INDEX(avoidedcosttbl2,ROUNDDOWN($H343,0),BJ$2)))))*'Inputs Yr 2'!P343*'Inputs Yr 2'!Q343*'Inputs Yr 2'!U343,"")</f>
        <v>0</v>
      </c>
      <c r="BK343" s="195">
        <f>IFERROR($G343*(IF('Inputs Yr 2'!$AJ343=BK$4,'Inputs Yr 2'!$AK343,IF('Inputs Yr 2'!$AL343=BK$4,'Inputs Yr 2'!$AM343,IF('Inputs Yr 2'!$AN343=BK$4,'Inputs Yr 2'!$AO343,0))))*(INDEX(avoidedcosttbl2,$H343,BK$2)+(($H343-ROUNDDOWN($H343,0))*(INDEX(avoidedcosttbl2,ROUNDUP($H343,0),BK$2)-(INDEX(avoidedcosttbl2,ROUNDDOWN($H343,0),BK$2)))))*'Inputs Yr 2'!P343*'Inputs Yr 2'!Q343*'Inputs Yr 2'!U343,"")</f>
        <v>0</v>
      </c>
      <c r="BL343" s="195">
        <f>IFERROR($G343*(IF('Inputs Yr 2'!$AJ343=BL$4,'Inputs Yr 2'!$AK343,IF('Inputs Yr 2'!$AL343=BL$4,'Inputs Yr 2'!$AM343,IF('Inputs Yr 2'!$AN343=BL$4,'Inputs Yr 2'!$AO343,0))))*(INDEX(avoidedcosttbl2,$H343,BL$2)+(($H343-ROUNDDOWN($H343,0))*(INDEX(avoidedcosttbl2,ROUNDUP($H343,0),BL$2)-(INDEX(avoidedcosttbl2,ROUNDDOWN($H343,0),BL$2)))))*'Inputs Yr 2'!P343*'Inputs Yr 2'!Q343*'Inputs Yr 2'!U343,"")</f>
        <v>447332.79911863769</v>
      </c>
      <c r="BM343" s="195">
        <f>IFERROR($G343*(IF('Inputs Yr 2'!$AJ343=BM$4,'Inputs Yr 2'!$AK343,IF('Inputs Yr 2'!$AL343=BM$4,'Inputs Yr 2'!$AM343,IF('Inputs Yr 2'!$AN343=BM$4,'Inputs Yr 2'!$AO343,0))))*(INDEX(avoidedcosttbl2,$H343,BM$2)+(($H343-ROUNDDOWN($H343,0))*(INDEX(avoidedcosttbl2,ROUNDUP($H343,0),BM$2)-(INDEX(avoidedcosttbl2,ROUNDDOWN($H343,0),BM$2)))))*'Inputs Yr 2'!P343*'Inputs Yr 2'!Q343*'Inputs Yr 2'!U343,"")</f>
        <v>0</v>
      </c>
      <c r="BN343" s="195">
        <f>IFERROR($G343*(IF('Inputs Yr 2'!$AJ343=BN$4,'Inputs Yr 2'!$AK343,IF('Inputs Yr 2'!$AL343=BN$4,'Inputs Yr 2'!$AM343,IF('Inputs Yr 2'!$AN343=BN$4,'Inputs Yr 2'!$AO343,0))))*(INDEX(avoidedcosttbl2,$H343,BN$2)+(($H343-ROUNDDOWN($H343,0))*(INDEX(avoidedcosttbl2,ROUNDUP($H343,0),BN$2)-(INDEX(avoidedcosttbl2,ROUNDDOWN($H343,0),BN$2)))))*'Inputs Yr 2'!P343*'Inputs Yr 2'!Q343*'Inputs Yr 2'!U343,"")</f>
        <v>0</v>
      </c>
      <c r="BO343" s="195">
        <f>IFERROR($G343*(IF('Inputs Yr 2'!$AJ343=BO$4,'Inputs Yr 2'!$AK343,IF('Inputs Yr 2'!$AL343=BO$4,'Inputs Yr 2'!$AM343,IF('Inputs Yr 2'!$AN343=BO$4,'Inputs Yr 2'!$AO343,0))))*(INDEX(avoidedcosttbl2,$H343,BO$2)+(($H343-ROUNDDOWN($H343,0))*(INDEX(avoidedcosttbl2,ROUNDUP($H343,0),BO$2)-(INDEX(avoidedcosttbl2,ROUNDDOWN($H343,0),BO$2)))))*'Inputs Yr 2'!P343*'Inputs Yr 2'!Q343*'Inputs Yr 2'!U343,"")</f>
        <v>0</v>
      </c>
      <c r="BP343" s="195">
        <f>IFERROR($G343*(IF('Inputs Yr 2'!$AJ343=BP$4,'Inputs Yr 2'!$AK343,IF('Inputs Yr 2'!$AL343=BP$4,'Inputs Yr 2'!$AM343,IF('Inputs Yr 2'!$AN343=BP$4,'Inputs Yr 2'!$AO343,0))))*(INDEX(avoidedcosttbl2,$H343,BP$2)+(($H343-ROUNDDOWN($H343,0))*(INDEX(avoidedcosttbl2,ROUNDUP($H343,0),BP$2)-(INDEX(avoidedcosttbl2,ROUNDDOWN($H343,0),BP$2)))))*'Inputs Yr 2'!P343*'Inputs Yr 2'!Q343*'Inputs Yr 2'!U343,"")</f>
        <v>0</v>
      </c>
      <c r="BQ343" s="230">
        <f t="shared" si="188"/>
        <v>447332.79911863769</v>
      </c>
      <c r="BR343" s="197">
        <f t="shared" si="172"/>
        <v>6667.2320248455944</v>
      </c>
      <c r="BS343" s="197">
        <f>IFERROR(($G343*IF('Inputs Yr 2'!$AJ343=BM$4,'Inputs Yr 2'!$AK343,IF('Inputs Yr 2'!$AL343=BM$4,'Inputs Yr 2'!$AM343,IF('Inputs Yr 2'!$AN343=BM$4,'Inputs Yr 2'!$AO343,0))))*(INDEX(avoidedcosttbl2,$H343,BS$2)+(($H343-ROUNDDOWN($H343,0))*(INDEX(avoidedcosttbl2,ROUNDUP($H343,0),BS$2)-(INDEX(avoidedcosttbl2,ROUNDDOWN($H343,0),BS$2)))))*'Inputs Yr 2'!P343*'Inputs Yr 2'!Q343*'Inputs Yr 2'!U343,"")</f>
        <v>0</v>
      </c>
      <c r="BT343" s="197">
        <f>IFERROR(($G343*IF('Inputs Yr 2'!$AJ343=BK$4,'Inputs Yr 2'!$AK343,IF('Inputs Yr 2'!$AL343=BK$4,'Inputs Yr 2'!$AM343,IF('Inputs Yr 2'!$AN343=BK$4,'Inputs Yr 2'!$AO343,0))))*(INDEX(avoidedcosttbl2,$H343,BT$2)+(($H343-ROUNDDOWN($H343,0))*(INDEX(avoidedcosttbl2,ROUNDUP($H343,0),BT$2)-(INDEX(avoidedcosttbl2,ROUNDDOWN($H343,0),BT$2)))))*'Inputs Yr 2'!P343*'Inputs Yr 2'!Q343*'Inputs Yr 2'!U343,"")</f>
        <v>0</v>
      </c>
      <c r="BU343" s="197">
        <f>IFERROR(($G343*IF('Inputs Yr 2'!$AJ343=BL$4,'Inputs Yr 2'!$AK343,IF('Inputs Yr 2'!$AL343=BL$4,'Inputs Yr 2'!$AM343,IF('Inputs Yr 2'!$AN343=BL$4,'Inputs Yr 2'!$AO343,0))))*(INDEX(avoidedcosttbl2,$H343,BU$2)+(($H343-ROUNDDOWN($H343,0))*(INDEX(avoidedcosttbl2,ROUNDUP($H343,0),BU$2)-(INDEX(avoidedcosttbl2,ROUNDDOWN($H343,0),BU$2)))))*'Inputs Yr 2'!P343*'Inputs Yr 2'!Q343*'Inputs Yr 2'!U343,"")</f>
        <v>17148.993127922447</v>
      </c>
      <c r="BV343" s="775">
        <f>IFERROR(($G343*IF('Inputs Yr 2'!$AJ343=BJ$4,'Inputs Yr 2'!$AK343,IF('Inputs Yr 2'!$AL343=BJ$4,'Inputs Yr 2'!$AM343,IF('Inputs Yr 2'!$AN343=BJ$4,'Inputs Yr 2'!$AO343,0))))*(INDEX(avoidedcosttbl2,$H343,BV$2)+(($H343-ROUNDDOWN($H343,0))*(INDEX(avoidedcosttbl2,ROUNDUP($H343,0),BV$2)-(INDEX(avoidedcosttbl2,ROUNDDOWN($H343,0),BV$2)))))*'Inputs Yr 2'!P343*'Inputs Yr 2'!Q343*'Inputs Yr 2'!U343,"")</f>
        <v>0</v>
      </c>
      <c r="BW343" s="197">
        <f>IFERROR(($G343*IF('Inputs Yr 2'!$AJ343=BN$4,'Inputs Yr 2'!$AK343,IF('Inputs Yr 2'!$AL343=BN$4,'Inputs Yr 2'!$AM343,IF('Inputs Yr 2'!$AN343=BN$4,'Inputs Yr 2'!$AO343,0))))*(INDEX(avoidedcosttbl2,$H343,BW$2)+(($H343-ROUNDDOWN($H343,0))*(INDEX(avoidedcosttbl2,ROUNDUP($H343,0),BW$2)-(INDEX(avoidedcosttbl2,ROUNDDOWN($H343,0),BW$2)))))*'Inputs Yr 2'!P343*'Inputs Yr 2'!Q343*'Inputs Yr 2'!U343,"")</f>
        <v>0</v>
      </c>
      <c r="BX343" s="197">
        <f>IFERROR(($G343*IF('Inputs Yr 2'!$AJ343=BO$4,'Inputs Yr 2'!$AK343,IF('Inputs Yr 2'!$AL343=BO$4,'Inputs Yr 2'!$AM343,IF('Inputs Yr 2'!$AN343=BO$4,'Inputs Yr 2'!$AO343,0))))*(INDEX(avoidedcosttbl2,$H343,BX$2)+(($H343-ROUNDDOWN($H343,0))*(INDEX(avoidedcosttbl2,ROUNDUP($H343,0),BX$2)-(INDEX(avoidedcosttbl2,ROUNDDOWN($H343,0),BX$2)))))*'Inputs Yr 2'!P343*'Inputs Yr 2'!Q343*'Inputs Yr 2'!U343,"")</f>
        <v>0</v>
      </c>
      <c r="BY343" s="197">
        <f>IFERROR(($G343*IF('Inputs Yr 2'!$AJ343=BP$4,'Inputs Yr 2'!$AK343,IF('Inputs Yr 2'!$AL343=BP$4,'Inputs Yr 2'!$AM343,IF('Inputs Yr 2'!$AN343=BP$4,'Inputs Yr 2'!$AO343,0))))*(INDEX(avoidedcosttbl2,$H343,BY$2)+(($H343-ROUNDDOWN($H343,0))*(INDEX(avoidedcosttbl2,ROUNDUP($H343,0),BY$2)-(INDEX(avoidedcosttbl2,ROUNDDOWN($H343,0),BY$2)))))*'Inputs Yr 2'!P343*'Inputs Yr 2'!Q343*'Inputs Yr 2'!U343,"")</f>
        <v>0</v>
      </c>
      <c r="BZ343" s="193">
        <f t="shared" si="189"/>
        <v>23816.225152768042</v>
      </c>
      <c r="CA343" s="193">
        <f t="shared" si="190"/>
        <v>471149.02427140571</v>
      </c>
      <c r="CB343" s="195">
        <f>IFERROR(G343*(IF('Inputs Yr 2'!$AJ343=CB$4,'Inputs Yr 2'!$AK343,IF('Inputs Yr 2'!$AL343=CB$4,'Inputs Yr 2'!$AM343,IF('Inputs Yr 2'!$AN343=CB$4,'Inputs Yr 2'!$AO343,0))))*(INDEX(avoidedcosttbl2,$H343,CB$2)+(($H343-ROUNDDOWN($H343,0))*(INDEX(avoidedcosttbl2,ROUNDUP($H343,0),CB$2)-(INDEX(avoidedcosttbl2,ROUNDDOWN($H343,0),CB$2)))))*'Inputs Yr 2'!P343*'Inputs Yr 2'!Q343*'Inputs Yr 2'!U343,"")</f>
        <v>0</v>
      </c>
      <c r="CC343" s="195">
        <f>IFERROR(H343*(IF('Inputs Yr 2'!$AJ343=CC$4,'Inputs Yr 2'!$AK343,IF('Inputs Yr 2'!$AL343=CC$4,'Inputs Yr 2'!$AM343,IF('Inputs Yr 2'!$AN343=CC$4,'Inputs Yr 2'!$AO343,0))))*(INDEX(avoidedcosttbl2,$H343,CC$2)+(($H343-ROUNDDOWN($H343,0))*(INDEX(avoidedcosttbl2,ROUNDUP($H343,0),CC$2)-(INDEX(avoidedcosttbl2,ROUNDDOWN($H343,0),CC$2)))))*'Inputs Yr 2'!Q343*'Inputs Yr 2'!R343*'Inputs Yr 2'!V343,"")</f>
        <v>0</v>
      </c>
      <c r="CD343" s="195">
        <f>IFERROR(I343*(IF('Inputs Yr 2'!$AJ343=CD$4,'Inputs Yr 2'!$AK343,IF('Inputs Yr 2'!$AL343=CD$4,'Inputs Yr 2'!$AM343,IF('Inputs Yr 2'!$AN343=CD$4,'Inputs Yr 2'!$AO343,0))))*(INDEX(avoidedcosttbl2,$H343,CD$2)+(($H343-ROUNDDOWN($H343,0))*(INDEX(avoidedcosttbl2,ROUNDUP($H343,0),CD$2)-(INDEX(avoidedcosttbl2,ROUNDDOWN($H343,0),CD$2)))))*'Inputs Yr 2'!R343*'Inputs Yr 2'!S343*'Inputs Yr 2'!W343,"")</f>
        <v>0</v>
      </c>
      <c r="CE343" s="213">
        <f t="shared" si="191"/>
        <v>0</v>
      </c>
      <c r="CF343" s="213">
        <f t="shared" si="192"/>
        <v>0</v>
      </c>
      <c r="CG343" s="213">
        <f t="shared" si="193"/>
        <v>0</v>
      </c>
      <c r="CH343" s="698">
        <f t="shared" si="194"/>
        <v>471149.02427140571</v>
      </c>
      <c r="CI343" s="79">
        <f>IFERROR(($G343*'Inputs Yr 2'!$P343*'Inputs Yr 2'!$Q343*(((INDEX(avoidedcosttbl2,$H343,CI$2)+(($H343-ROUNDDOWN($H343,0))*(INDEX(avoidedcosttbl2,ROUNDUP($H343,0),CI$2)-INDEX(avoidedcosttbl2,ROUNDDOWN($H343,0),CI$2))))*'Inputs Yr 2'!AS343))),"")</f>
        <v>980815.89559689455</v>
      </c>
      <c r="CJ343" s="504">
        <f>IFERROR($G343*'Inputs Yr 2'!AT343*'Inputs Yr 2'!$P343*'Inputs Yr 2'!$Q343/((1+realdiscrt1)^-0.5),"")</f>
        <v>0</v>
      </c>
      <c r="CK343" s="79">
        <f>IFERROR((O343*1000*(((INDEX(avoidedcosttbl2,$H343,CK$2)+(($H343-ROUNDDOWN($H343,0))*(INDEX(avoidedcosttbl2,ROUNDUP($H343,0),CK$2)-INDEX(avoidedcosttbl2,ROUNDDOWN($H343,0),CK$2))))*'Inputs Yr 2'!AU343))),"")</f>
        <v>0</v>
      </c>
      <c r="CL343" s="504">
        <f>IFERROR(O343*1000*'Inputs Yr 2'!AV343/((1+realdiscrt1)^-0.5),"")</f>
        <v>0</v>
      </c>
      <c r="CM343" s="79">
        <f>IFERROR((AB343*'Inputs Yr 2'!AW343*(((INDEX(avoidedcosttbl2,$H343,CM$2)+(($H343-ROUNDDOWN($H343,0))*(INDEX(avoidedcosttbl2,ROUNDUP($H343,0),CM$2)-INDEX(avoidedcosttbl2,ROUNDDOWN($H343,0),CM$2)))))))*10,"")</f>
        <v>0</v>
      </c>
      <c r="CN343" s="504">
        <f>IFERROR(10*AB343*'Inputs Yr 2'!AX343/((1+realdiscrt1)^-0.5),"")</f>
        <v>0</v>
      </c>
      <c r="CO343" s="505">
        <f t="shared" si="195"/>
        <v>980815.89559689455</v>
      </c>
      <c r="CP343" s="230">
        <f t="shared" si="196"/>
        <v>1451964.9198683002</v>
      </c>
      <c r="CQ343" s="199">
        <f>ROUND(IFERROR(IF(LEFT($A343,1)="C",'Avoided Costs'!$K$13,'Avoided Costs'!$K$12)+1,""),4)</f>
        <v>1.0720000000000001</v>
      </c>
      <c r="CR343" s="199">
        <f>ROUND(IFERROR(IF(LEFT($A343,1)="C",'Avoided Costs'!$L$13,'Avoided Costs'!$L$12)+1,""),4)</f>
        <v>1.04</v>
      </c>
      <c r="CS343" s="199">
        <f>ROUND(IFERROR(IF(LEFT($A343,1)="C",'Avoided Costs'!$M$13,'Avoided Costs'!$M$12)+1,""),4)</f>
        <v>1.0720000000000001</v>
      </c>
      <c r="CT343" s="199">
        <f>ROUND(IFERROR(IF(LEFT($A343,1)="C",'Avoided Costs'!$N$13,'Avoided Costs'!$N$12)+1,""),4)</f>
        <v>1.04</v>
      </c>
      <c r="CU343" s="199">
        <f>ROUND(IFERROR(IF(LEFT($A343,1)="C",'Avoided Costs'!$O$13,'Avoided Costs'!$O$12)+1,""),4)</f>
        <v>1.1120000000000001</v>
      </c>
      <c r="CV343" s="199">
        <f>ROUND(IFERROR(IF(LEFT($A343,1)="C",'Avoided Costs'!$P$13,'Avoided Costs'!$P$12)+1,""),4)</f>
        <v>1.095</v>
      </c>
      <c r="CW343" s="199">
        <f>ROUND(IFERROR(IF(LEFT($A343,1)="C",'Avoided Costs'!$Q$13,'Avoided Costs'!$Q$12)+1,""),4)</f>
        <v>1.1120000000000001</v>
      </c>
      <c r="CX343" s="200">
        <f>ROUND(IFERROR(IF(LEFT($A343,1)="C",'Avoided Costs'!$R$13,'Avoided Costs'!$R$12)+1,""),4)</f>
        <v>1.1120000000000001</v>
      </c>
    </row>
    <row r="344" spans="1:102" ht="12.75" customHeight="1">
      <c r="A344" s="91" t="str">
        <f>IF('Inputs Yr 2'!$B344=0,"",'Inputs Yr 2'!A344)</f>
        <v>C - Commercial &amp; Industrial</v>
      </c>
      <c r="B344" s="91" t="str">
        <f>IF('Inputs Yr 2'!$B344=0,"",'Inputs Yr 2'!B344)</f>
        <v>C2 - C&amp;I Retrofit</v>
      </c>
      <c r="C344" s="91" t="str">
        <f>IF('Inputs Yr 2'!$B344=0,"",'Inputs Yr 2'!C344)</f>
        <v xml:space="preserve">C2c - C&amp;I Multifamily Retrofit </v>
      </c>
      <c r="D344" s="91" t="str">
        <f>IF('Inputs Yr 2'!$B344=0,"",'Inputs Yr 2'!E344)</f>
        <v>Insulation (with central AC)</v>
      </c>
      <c r="E344" s="93" t="str">
        <f>IF('Inputs Yr 2'!$B344=0,"",'Inputs Yr 2'!F344)</f>
        <v>G16C2c19</v>
      </c>
      <c r="F344" s="93" t="str">
        <f>IF('Inputs Yr 2'!$B344=0,"",'Inputs Yr 2'!G344)</f>
        <v>Envelope</v>
      </c>
      <c r="G344" s="95" t="str">
        <f>IF('Inputs Yr 2'!$H344&lt;&gt;0,('Inputs Yr 2'!H344),"")</f>
        <v/>
      </c>
      <c r="H344" s="94">
        <f>IFERROR('Inputs Yr 2'!I344,"")</f>
        <v>0</v>
      </c>
      <c r="I344" s="298" t="str">
        <f>IFERROR('Inputs Yr 2'!J344*'Inputs Yr 2'!P344*G344,"")</f>
        <v/>
      </c>
      <c r="J344" s="298" t="str">
        <f>IFERROR('Inputs Yr 2'!K344*G344,"")</f>
        <v/>
      </c>
      <c r="K344" s="298" t="str">
        <f t="shared" si="173"/>
        <v/>
      </c>
      <c r="L344" s="194" t="str">
        <f>IFERROR(('Inputs Yr 2'!W344*G344)/1000,"")</f>
        <v/>
      </c>
      <c r="M344" s="194" t="str">
        <f>IFERROR(L344*('Inputs Yr 2'!$Q344*'Inputs Yr 2'!$V344*'Inputs Yr 2'!$R344),"")</f>
        <v/>
      </c>
      <c r="N344" s="194" t="str">
        <f t="shared" si="174"/>
        <v/>
      </c>
      <c r="O344" s="194" t="str">
        <f>IFERROR(M344*'Inputs Yr 2'!P344,"")</f>
        <v/>
      </c>
      <c r="P344" s="194" t="str">
        <f t="shared" si="175"/>
        <v/>
      </c>
      <c r="Q344" s="194" t="str">
        <f>IFERROR($P344*'Inputs Yr 2'!AA344,"")</f>
        <v/>
      </c>
      <c r="R344" s="194" t="str">
        <f>IFERROR($P344*'Inputs Yr 2'!AB344,"")</f>
        <v/>
      </c>
      <c r="S344" s="194" t="str">
        <f>IFERROR($P344*'Inputs Yr 2'!AC344,"")</f>
        <v/>
      </c>
      <c r="T344" s="194" t="str">
        <f>IFERROR($P344*'Inputs Yr 2'!AD344,"")</f>
        <v/>
      </c>
      <c r="U344" s="194" t="str">
        <f>IFERROR(G344*'Inputs Yr 2'!$AE344*'Inputs Yr 2'!$P344*'Inputs Yr 2'!$Q344,"")</f>
        <v/>
      </c>
      <c r="V344" s="194" t="str">
        <f>IFERROR($G344*'Inputs Yr 2'!$AE344*'Inputs Yr 2'!$AG344*'Inputs Yr 2'!Q344*'Inputs Yr 2'!$S344,"")</f>
        <v/>
      </c>
      <c r="W344" s="194" t="str">
        <f>IFERROR($G344*'Inputs Yr 2'!$AE344*'Inputs Yr 2'!$AG344*'Inputs Yr 2'!P344*'Inputs Yr 2'!Q344*'Inputs Yr 2'!$S344,"")</f>
        <v/>
      </c>
      <c r="X344" s="194" t="str">
        <f>IFERROR($G344*'Inputs Yr 2'!$AE344*'Inputs Yr 2'!$AF344*'Inputs Yr 2'!Q344*'Inputs Yr 2'!$T344,"")</f>
        <v/>
      </c>
      <c r="Y344" s="194" t="str">
        <f>IFERROR($G344*'Inputs Yr 2'!$AE344*'Inputs Yr 2'!$AF344*'Inputs Yr 2'!P344*'Inputs Yr 2'!Q344*'Inputs Yr 2'!$T344,"")</f>
        <v/>
      </c>
      <c r="Z344" s="257">
        <f>IFERROR($G344*'Inputs Yr 2'!$Q344*'Inputs Yr 2'!$U344*(IF(IFERROR(SEARCH("NG", 'Inputs Yr 2'!$AJ344),0),'Inputs Yr 2'!$AK344,0)+IF(IFERROR(SEARCH("NG", 'Inputs Yr 2'!$AL344),0),'Inputs Yr 2'!$AM344,0)+IF(IFERROR(SEARCH("NG", 'Inputs Yr 2'!$AN344),0),'Inputs Yr 2'!$AO344,0)),0)</f>
        <v>0</v>
      </c>
      <c r="AA344" s="257">
        <f t="shared" si="176"/>
        <v>0</v>
      </c>
      <c r="AB344" s="257">
        <f>IFERROR(Z344*'Inputs Yr 2'!$P344,0)</f>
        <v>0</v>
      </c>
      <c r="AC344" s="257">
        <f t="shared" si="177"/>
        <v>0</v>
      </c>
      <c r="AD344" s="257">
        <f>IFERROR($G344*'Inputs Yr 2'!$Q344*'Inputs Yr 2'!$U344*(IF(IFERROR(SEARCH("Oil", 'Inputs Yr 2'!$AJ344), 0),'Inputs Yr 2'!$AK344,0)+IF(IFERROR(SEARCH("Oil", 'Inputs Yr 2'!$AL344), 0),'Inputs Yr 2'!$AM344,0)+IF(IFERROR(SEARCH("Oil", 'Inputs Yr 2'!$AN344), 0),'Inputs Yr 2'!$AO344,0)),0)</f>
        <v>0</v>
      </c>
      <c r="AE344" s="257">
        <f t="shared" si="178"/>
        <v>0</v>
      </c>
      <c r="AF344" s="257">
        <f>IFERROR(AD344*'Inputs Yr 2'!$P344,0)</f>
        <v>0</v>
      </c>
      <c r="AG344" s="257">
        <f t="shared" si="179"/>
        <v>0</v>
      </c>
      <c r="AH344" s="257">
        <f>IFERROR($G344*'Inputs Yr 2'!$Q344*'Inputs Yr 2'!$U344*(IF('Inputs Yr 2'!$AJ344=CD$4,'Inputs Yr 2'!$AK344,IF('Inputs Yr 2'!$AL344=CD$4,'Inputs Yr 2'!$AM344,IF('Inputs Yr 2'!$AN344=CD$4,'Inputs Yr 2'!$AO344,0)))),0)</f>
        <v>0</v>
      </c>
      <c r="AI344" s="257">
        <f t="shared" si="180"/>
        <v>0</v>
      </c>
      <c r="AJ344" s="257">
        <f>IFERROR(AH344*'Inputs Yr 2'!$P344,0)</f>
        <v>0</v>
      </c>
      <c r="AK344" s="257">
        <f t="shared" si="181"/>
        <v>0</v>
      </c>
      <c r="AL344" s="258">
        <f>IFERROR($G344*'Inputs Yr 2'!$P344*'Inputs Yr 2'!$Q344*'Inputs Yr 2'!AP344,0)</f>
        <v>0</v>
      </c>
      <c r="AM344" s="260">
        <f>IFERROR($G344*'Inputs Yr 2'!$P344*'Inputs Yr 2'!$Q344*'Inputs Yr 2'!AQ344,0)</f>
        <v>0</v>
      </c>
      <c r="AN344" s="258">
        <f>IFERROR($G344*'Inputs Yr 2'!$P344*'Inputs Yr 2'!$Q344*'Inputs Yr 2'!AR344,0)</f>
        <v>0</v>
      </c>
      <c r="AO344" s="257">
        <f t="shared" si="182"/>
        <v>0</v>
      </c>
      <c r="AP344" s="195" t="str">
        <f>IFERROR($CQ344*(INDEX(avoidedcosttbl2,$H344,AP$2)+(($H344-ROUNDDOWN($H344,0))*(INDEX(avoidedcosttbl2,ROUNDUP($H344,0),AP$2)-(INDEX(avoidedcosttbl2,ROUNDDOWN($H344,0),AP$2)))))*$O344*1000*'Inputs Yr 2'!AA344,"")</f>
        <v/>
      </c>
      <c r="AQ344" s="195" t="str">
        <f>IFERROR($CR344*(INDEX(avoidedcosttbl2,$H344,AQ$2)+(($H344-ROUNDDOWN($H344,0))*(INDEX(avoidedcosttbl2,ROUNDUP($H344,0),AQ$2)-(INDEX(avoidedcosttbl2,ROUNDDOWN($H344,0),AQ$2)))))*$O344*1000*'Inputs Yr 2'!AB344,"")</f>
        <v/>
      </c>
      <c r="AR344" s="195" t="str">
        <f>IFERROR($CS344*(INDEX(avoidedcosttbl2,$H344,AR$2)+(($H344-ROUNDDOWN($H344,0))*(INDEX(avoidedcosttbl2,ROUNDUP($H344,0),AR$2)-(INDEX(avoidedcosttbl2,ROUNDDOWN($H344,0),AR$2)))))*$O344*1000*'Inputs Yr 2'!AC344,"")</f>
        <v/>
      </c>
      <c r="AS344" s="195" t="str">
        <f>IFERROR($CT344*(INDEX(avoidedcosttbl2,$H344,AS$2)+(($H344-ROUNDDOWN($H344,0))*(INDEX(avoidedcosttbl2,ROUNDUP($H344,0),AS$2)-(INDEX(avoidedcosttbl2,ROUNDDOWN($H344,0),AS$2)))))*$O344*1000*'Inputs Yr 2'!AD344,"")</f>
        <v/>
      </c>
      <c r="AT344" s="196">
        <f t="shared" si="183"/>
        <v>0</v>
      </c>
      <c r="AU344" s="197" t="str">
        <f>IFERROR($CQ344*((INDEX(avoidedcosttbl2,$H344,AU$2))+(($H344-ROUNDDOWN($H344,0))*((INDEX(avoidedcosttbl2,ROUNDUP($H344,0),AU$2))-(INDEX(avoidedcosttbl2,ROUNDDOWN($H344,0),AU$2)))))*$O344*1000*'Inputs Yr 2'!AA344,"")</f>
        <v/>
      </c>
      <c r="AV344" s="197" t="str">
        <f>IFERROR($CR344*((INDEX(avoidedcosttbl2,$H344,AV$2))+(($H344-ROUNDDOWN($H344,0))*((INDEX(avoidedcosttbl2,ROUNDUP($H344,0),AV$2))-(INDEX(avoidedcosttbl2,ROUNDDOWN($H344,0),AV$2)))))*$O344*1000*'Inputs Yr 2'!AB344,"")</f>
        <v/>
      </c>
      <c r="AW344" s="197" t="str">
        <f>IFERROR($CS344*((INDEX(avoidedcosttbl2,$H344,AW$2))+(($H344-ROUNDDOWN($H344,0))*((INDEX(avoidedcosttbl2,ROUNDUP($H344,0),AW$2))-(INDEX(avoidedcosttbl2,ROUNDDOWN($H344,0),AW$2)))))*$O344*1000*'Inputs Yr 2'!AC344,"")</f>
        <v/>
      </c>
      <c r="AX344" s="197" t="str">
        <f>IFERROR($CT344*((INDEX(avoidedcosttbl2,$H344,AX$2))+(($H344-ROUNDDOWN($H344,0))*((INDEX(avoidedcosttbl2,ROUNDUP($H344,0),AX$2))-(INDEX(avoidedcosttbl2,ROUNDDOWN($H344,0),AX$2)))))*$O344*1000*'Inputs Yr 2'!AD344,"")</f>
        <v/>
      </c>
      <c r="AY344" s="197" t="str">
        <f>IFERROR(((INDEX(avoidedcosttbl2,$H344,AY$2))+(($H344-ROUNDDOWN($H344,0))*((INDEX(avoidedcosttbl2,ROUNDUP($H344,0),AY$2))-(INDEX(avoidedcosttbl2,ROUNDDOWN($H344,0),AY$2)))))*$O344*1000*('Inputs Yr 2'!AC344+'Inputs Yr 2'!AD344),"")</f>
        <v/>
      </c>
      <c r="AZ344" s="197" t="str">
        <f>IFERROR(((INDEX(avoidedcosttbl2,$H344,AZ$2))+(($H344-ROUNDDOWN($H344,0))*((INDEX(avoidedcosttbl2,ROUNDUP($H344,0),AZ$2))-(INDEX(avoidedcosttbl2,ROUNDDOWN($H344,0),AZ$2)))))*$O344*1000*('Inputs Yr 2'!AA344+'Inputs Yr 2'!AB344),"")</f>
        <v/>
      </c>
      <c r="BA344" s="198">
        <f t="shared" si="184"/>
        <v>0</v>
      </c>
      <c r="BB344" s="198">
        <f t="shared" si="185"/>
        <v>0</v>
      </c>
      <c r="BC344" s="195" t="str">
        <f t="shared" si="167"/>
        <v/>
      </c>
      <c r="BD344" s="195" t="str">
        <f t="shared" si="168"/>
        <v/>
      </c>
      <c r="BE344" s="195" t="str">
        <f t="shared" si="169"/>
        <v/>
      </c>
      <c r="BF344" s="195" t="str">
        <f t="shared" si="170"/>
        <v/>
      </c>
      <c r="BG344" s="195" t="str">
        <f t="shared" si="171"/>
        <v/>
      </c>
      <c r="BH344" s="196">
        <f t="shared" si="186"/>
        <v>0</v>
      </c>
      <c r="BI344" s="196">
        <f t="shared" si="187"/>
        <v>0</v>
      </c>
      <c r="BJ344" s="195" t="str">
        <f>IFERROR($G344*(IF('Inputs Yr 2'!$AJ344=BJ$4,'Inputs Yr 2'!$AK344,IF('Inputs Yr 2'!$AL344=BJ$4,'Inputs Yr 2'!$AM344,IF('Inputs Yr 2'!$AN344=BJ$4,'Inputs Yr 2'!$AO344,0))))*(INDEX(avoidedcosttbl2,$H344,BJ$2)+(($H344-ROUNDDOWN($H344,0))*(INDEX(avoidedcosttbl2,ROUNDUP($H344,0),BJ$2)-(INDEX(avoidedcosttbl2,ROUNDDOWN($H344,0),BJ$2)))))*'Inputs Yr 2'!P344*'Inputs Yr 2'!Q344*'Inputs Yr 2'!U344,"")</f>
        <v/>
      </c>
      <c r="BK344" s="195" t="str">
        <f>IFERROR($G344*(IF('Inputs Yr 2'!$AJ344=BK$4,'Inputs Yr 2'!$AK344,IF('Inputs Yr 2'!$AL344=BK$4,'Inputs Yr 2'!$AM344,IF('Inputs Yr 2'!$AN344=BK$4,'Inputs Yr 2'!$AO344,0))))*(INDEX(avoidedcosttbl2,$H344,BK$2)+(($H344-ROUNDDOWN($H344,0))*(INDEX(avoidedcosttbl2,ROUNDUP($H344,0),BK$2)-(INDEX(avoidedcosttbl2,ROUNDDOWN($H344,0),BK$2)))))*'Inputs Yr 2'!P344*'Inputs Yr 2'!Q344*'Inputs Yr 2'!U344,"")</f>
        <v/>
      </c>
      <c r="BL344" s="195" t="str">
        <f>IFERROR($G344*(IF('Inputs Yr 2'!$AJ344=BL$4,'Inputs Yr 2'!$AK344,IF('Inputs Yr 2'!$AL344=BL$4,'Inputs Yr 2'!$AM344,IF('Inputs Yr 2'!$AN344=BL$4,'Inputs Yr 2'!$AO344,0))))*(INDEX(avoidedcosttbl2,$H344,BL$2)+(($H344-ROUNDDOWN($H344,0))*(INDEX(avoidedcosttbl2,ROUNDUP($H344,0),BL$2)-(INDEX(avoidedcosttbl2,ROUNDDOWN($H344,0),BL$2)))))*'Inputs Yr 2'!P344*'Inputs Yr 2'!Q344*'Inputs Yr 2'!U344,"")</f>
        <v/>
      </c>
      <c r="BM344" s="195" t="str">
        <f>IFERROR($G344*(IF('Inputs Yr 2'!$AJ344=BM$4,'Inputs Yr 2'!$AK344,IF('Inputs Yr 2'!$AL344=BM$4,'Inputs Yr 2'!$AM344,IF('Inputs Yr 2'!$AN344=BM$4,'Inputs Yr 2'!$AO344,0))))*(INDEX(avoidedcosttbl2,$H344,BM$2)+(($H344-ROUNDDOWN($H344,0))*(INDEX(avoidedcosttbl2,ROUNDUP($H344,0),BM$2)-(INDEX(avoidedcosttbl2,ROUNDDOWN($H344,0),BM$2)))))*'Inputs Yr 2'!P344*'Inputs Yr 2'!Q344*'Inputs Yr 2'!U344,"")</f>
        <v/>
      </c>
      <c r="BN344" s="195" t="str">
        <f>IFERROR($G344*(IF('Inputs Yr 2'!$AJ344=BN$4,'Inputs Yr 2'!$AK344,IF('Inputs Yr 2'!$AL344=BN$4,'Inputs Yr 2'!$AM344,IF('Inputs Yr 2'!$AN344=BN$4,'Inputs Yr 2'!$AO344,0))))*(INDEX(avoidedcosttbl2,$H344,BN$2)+(($H344-ROUNDDOWN($H344,0))*(INDEX(avoidedcosttbl2,ROUNDUP($H344,0),BN$2)-(INDEX(avoidedcosttbl2,ROUNDDOWN($H344,0),BN$2)))))*'Inputs Yr 2'!P344*'Inputs Yr 2'!Q344*'Inputs Yr 2'!U344,"")</f>
        <v/>
      </c>
      <c r="BO344" s="195" t="str">
        <f>IFERROR($G344*(IF('Inputs Yr 2'!$AJ344=BO$4,'Inputs Yr 2'!$AK344,IF('Inputs Yr 2'!$AL344=BO$4,'Inputs Yr 2'!$AM344,IF('Inputs Yr 2'!$AN344=BO$4,'Inputs Yr 2'!$AO344,0))))*(INDEX(avoidedcosttbl2,$H344,BO$2)+(($H344-ROUNDDOWN($H344,0))*(INDEX(avoidedcosttbl2,ROUNDUP($H344,0),BO$2)-(INDEX(avoidedcosttbl2,ROUNDDOWN($H344,0),BO$2)))))*'Inputs Yr 2'!P344*'Inputs Yr 2'!Q344*'Inputs Yr 2'!U344,"")</f>
        <v/>
      </c>
      <c r="BP344" s="195" t="str">
        <f>IFERROR($G344*(IF('Inputs Yr 2'!$AJ344=BP$4,'Inputs Yr 2'!$AK344,IF('Inputs Yr 2'!$AL344=BP$4,'Inputs Yr 2'!$AM344,IF('Inputs Yr 2'!$AN344=BP$4,'Inputs Yr 2'!$AO344,0))))*(INDEX(avoidedcosttbl2,$H344,BP$2)+(($H344-ROUNDDOWN($H344,0))*(INDEX(avoidedcosttbl2,ROUNDUP($H344,0),BP$2)-(INDEX(avoidedcosttbl2,ROUNDDOWN($H344,0),BP$2)))))*'Inputs Yr 2'!P344*'Inputs Yr 2'!Q344*'Inputs Yr 2'!U344,"")</f>
        <v/>
      </c>
      <c r="BQ344" s="230">
        <f t="shared" si="188"/>
        <v>0</v>
      </c>
      <c r="BR344" s="197" t="str">
        <f t="shared" si="172"/>
        <v/>
      </c>
      <c r="BS344" s="197" t="str">
        <f>IFERROR(($G344*IF('Inputs Yr 2'!$AJ344=BM$4,'Inputs Yr 2'!$AK344,IF('Inputs Yr 2'!$AL344=BM$4,'Inputs Yr 2'!$AM344,IF('Inputs Yr 2'!$AN344=BM$4,'Inputs Yr 2'!$AO344,0))))*(INDEX(avoidedcosttbl2,$H344,BS$2)+(($H344-ROUNDDOWN($H344,0))*(INDEX(avoidedcosttbl2,ROUNDUP($H344,0),BS$2)-(INDEX(avoidedcosttbl2,ROUNDDOWN($H344,0),BS$2)))))*'Inputs Yr 2'!P344*'Inputs Yr 2'!Q344*'Inputs Yr 2'!U344,"")</f>
        <v/>
      </c>
      <c r="BT344" s="197" t="str">
        <f>IFERROR(($G344*IF('Inputs Yr 2'!$AJ344=BK$4,'Inputs Yr 2'!$AK344,IF('Inputs Yr 2'!$AL344=BK$4,'Inputs Yr 2'!$AM344,IF('Inputs Yr 2'!$AN344=BK$4,'Inputs Yr 2'!$AO344,0))))*(INDEX(avoidedcosttbl2,$H344,BT$2)+(($H344-ROUNDDOWN($H344,0))*(INDEX(avoidedcosttbl2,ROUNDUP($H344,0),BT$2)-(INDEX(avoidedcosttbl2,ROUNDDOWN($H344,0),BT$2)))))*'Inputs Yr 2'!P344*'Inputs Yr 2'!Q344*'Inputs Yr 2'!U344,"")</f>
        <v/>
      </c>
      <c r="BU344" s="197" t="str">
        <f>IFERROR(($G344*IF('Inputs Yr 2'!$AJ344=BL$4,'Inputs Yr 2'!$AK344,IF('Inputs Yr 2'!$AL344=BL$4,'Inputs Yr 2'!$AM344,IF('Inputs Yr 2'!$AN344=BL$4,'Inputs Yr 2'!$AO344,0))))*(INDEX(avoidedcosttbl2,$H344,BU$2)+(($H344-ROUNDDOWN($H344,0))*(INDEX(avoidedcosttbl2,ROUNDUP($H344,0),BU$2)-(INDEX(avoidedcosttbl2,ROUNDDOWN($H344,0),BU$2)))))*'Inputs Yr 2'!P344*'Inputs Yr 2'!Q344*'Inputs Yr 2'!U344,"")</f>
        <v/>
      </c>
      <c r="BV344" s="775" t="str">
        <f>IFERROR(($G344*IF('Inputs Yr 2'!$AJ344=BJ$4,'Inputs Yr 2'!$AK344,IF('Inputs Yr 2'!$AL344=BJ$4,'Inputs Yr 2'!$AM344,IF('Inputs Yr 2'!$AN344=BJ$4,'Inputs Yr 2'!$AO344,0))))*(INDEX(avoidedcosttbl2,$H344,BV$2)+(($H344-ROUNDDOWN($H344,0))*(INDEX(avoidedcosttbl2,ROUNDUP($H344,0),BV$2)-(INDEX(avoidedcosttbl2,ROUNDDOWN($H344,0),BV$2)))))*'Inputs Yr 2'!P344*'Inputs Yr 2'!Q344*'Inputs Yr 2'!U344,"")</f>
        <v/>
      </c>
      <c r="BW344" s="197" t="str">
        <f>IFERROR(($G344*IF('Inputs Yr 2'!$AJ344=BN$4,'Inputs Yr 2'!$AK344,IF('Inputs Yr 2'!$AL344=BN$4,'Inputs Yr 2'!$AM344,IF('Inputs Yr 2'!$AN344=BN$4,'Inputs Yr 2'!$AO344,0))))*(INDEX(avoidedcosttbl2,$H344,BW$2)+(($H344-ROUNDDOWN($H344,0))*(INDEX(avoidedcosttbl2,ROUNDUP($H344,0),BW$2)-(INDEX(avoidedcosttbl2,ROUNDDOWN($H344,0),BW$2)))))*'Inputs Yr 2'!P344*'Inputs Yr 2'!Q344*'Inputs Yr 2'!U344,"")</f>
        <v/>
      </c>
      <c r="BX344" s="197" t="str">
        <f>IFERROR(($G344*IF('Inputs Yr 2'!$AJ344=BO$4,'Inputs Yr 2'!$AK344,IF('Inputs Yr 2'!$AL344=BO$4,'Inputs Yr 2'!$AM344,IF('Inputs Yr 2'!$AN344=BO$4,'Inputs Yr 2'!$AO344,0))))*(INDEX(avoidedcosttbl2,$H344,BX$2)+(($H344-ROUNDDOWN($H344,0))*(INDEX(avoidedcosttbl2,ROUNDUP($H344,0),BX$2)-(INDEX(avoidedcosttbl2,ROUNDDOWN($H344,0),BX$2)))))*'Inputs Yr 2'!P344*'Inputs Yr 2'!Q344*'Inputs Yr 2'!U344,"")</f>
        <v/>
      </c>
      <c r="BY344" s="197" t="str">
        <f>IFERROR(($G344*IF('Inputs Yr 2'!$AJ344=BP$4,'Inputs Yr 2'!$AK344,IF('Inputs Yr 2'!$AL344=BP$4,'Inputs Yr 2'!$AM344,IF('Inputs Yr 2'!$AN344=BP$4,'Inputs Yr 2'!$AO344,0))))*(INDEX(avoidedcosttbl2,$H344,BY$2)+(($H344-ROUNDDOWN($H344,0))*(INDEX(avoidedcosttbl2,ROUNDUP($H344,0),BY$2)-(INDEX(avoidedcosttbl2,ROUNDDOWN($H344,0),BY$2)))))*'Inputs Yr 2'!P344*'Inputs Yr 2'!Q344*'Inputs Yr 2'!U344,"")</f>
        <v/>
      </c>
      <c r="BZ344" s="193">
        <f t="shared" si="189"/>
        <v>0</v>
      </c>
      <c r="CA344" s="193">
        <f t="shared" si="190"/>
        <v>0</v>
      </c>
      <c r="CB344" s="195" t="str">
        <f>IFERROR(G344*(IF('Inputs Yr 2'!$AJ344=CB$4,'Inputs Yr 2'!$AK344,IF('Inputs Yr 2'!$AL344=CB$4,'Inputs Yr 2'!$AM344,IF('Inputs Yr 2'!$AN344=CB$4,'Inputs Yr 2'!$AO344,0))))*(INDEX(avoidedcosttbl2,$H344,CB$2)+(($H344-ROUNDDOWN($H344,0))*(INDEX(avoidedcosttbl2,ROUNDUP($H344,0),CB$2)-(INDEX(avoidedcosttbl2,ROUNDDOWN($H344,0),CB$2)))))*'Inputs Yr 2'!P344*'Inputs Yr 2'!Q344*'Inputs Yr 2'!U344,"")</f>
        <v/>
      </c>
      <c r="CC344" s="195" t="str">
        <f>IFERROR(H344*(IF('Inputs Yr 2'!$AJ344=CC$4,'Inputs Yr 2'!$AK344,IF('Inputs Yr 2'!$AL344=CC$4,'Inputs Yr 2'!$AM344,IF('Inputs Yr 2'!$AN344=CC$4,'Inputs Yr 2'!$AO344,0))))*(INDEX(avoidedcosttbl2,$H344,CC$2)+(($H344-ROUNDDOWN($H344,0))*(INDEX(avoidedcosttbl2,ROUNDUP($H344,0),CC$2)-(INDEX(avoidedcosttbl2,ROUNDDOWN($H344,0),CC$2)))))*'Inputs Yr 2'!Q344*'Inputs Yr 2'!R344*'Inputs Yr 2'!V344,"")</f>
        <v/>
      </c>
      <c r="CD344" s="195" t="str">
        <f>IFERROR(I344*(IF('Inputs Yr 2'!$AJ344=CD$4,'Inputs Yr 2'!$AK344,IF('Inputs Yr 2'!$AL344=CD$4,'Inputs Yr 2'!$AM344,IF('Inputs Yr 2'!$AN344=CD$4,'Inputs Yr 2'!$AO344,0))))*(INDEX(avoidedcosttbl2,$H344,CD$2)+(($H344-ROUNDDOWN($H344,0))*(INDEX(avoidedcosttbl2,ROUNDUP($H344,0),CD$2)-(INDEX(avoidedcosttbl2,ROUNDDOWN($H344,0),CD$2)))))*'Inputs Yr 2'!R344*'Inputs Yr 2'!S344*'Inputs Yr 2'!W344,"")</f>
        <v/>
      </c>
      <c r="CE344" s="213" t="str">
        <f t="shared" si="191"/>
        <v/>
      </c>
      <c r="CF344" s="213" t="str">
        <f t="shared" si="192"/>
        <v/>
      </c>
      <c r="CG344" s="213" t="str">
        <f t="shared" si="193"/>
        <v/>
      </c>
      <c r="CH344" s="698">
        <f t="shared" si="194"/>
        <v>0</v>
      </c>
      <c r="CI344" s="79" t="str">
        <f>IFERROR(($G344*'Inputs Yr 2'!$P344*'Inputs Yr 2'!$Q344*(((INDEX(avoidedcosttbl2,$H344,CI$2)+(($H344-ROUNDDOWN($H344,0))*(INDEX(avoidedcosttbl2,ROUNDUP($H344,0),CI$2)-INDEX(avoidedcosttbl2,ROUNDDOWN($H344,0),CI$2))))*'Inputs Yr 2'!AS344))),"")</f>
        <v/>
      </c>
      <c r="CJ344" s="504" t="str">
        <f>IFERROR($G344*'Inputs Yr 2'!AT344*'Inputs Yr 2'!$P344*'Inputs Yr 2'!$Q344/((1+realdiscrt1)^-0.5),"")</f>
        <v/>
      </c>
      <c r="CK344" s="79" t="str">
        <f>IFERROR((O344*1000*(((INDEX(avoidedcosttbl2,$H344,CK$2)+(($H344-ROUNDDOWN($H344,0))*(INDEX(avoidedcosttbl2,ROUNDUP($H344,0),CK$2)-INDEX(avoidedcosttbl2,ROUNDDOWN($H344,0),CK$2))))*'Inputs Yr 2'!AU344))),"")</f>
        <v/>
      </c>
      <c r="CL344" s="504" t="str">
        <f>IFERROR(O344*1000*'Inputs Yr 2'!AV344/((1+realdiscrt1)^-0.5),"")</f>
        <v/>
      </c>
      <c r="CM344" s="79" t="str">
        <f>IFERROR((AB344*'Inputs Yr 2'!AW344*(((INDEX(avoidedcosttbl2,$H344,CM$2)+(($H344-ROUNDDOWN($H344,0))*(INDEX(avoidedcosttbl2,ROUNDUP($H344,0),CM$2)-INDEX(avoidedcosttbl2,ROUNDDOWN($H344,0),CM$2)))))))*10,"")</f>
        <v/>
      </c>
      <c r="CN344" s="504">
        <f>IFERROR(10*AB344*'Inputs Yr 2'!AX344/((1+realdiscrt1)^-0.5),"")</f>
        <v>0</v>
      </c>
      <c r="CO344" s="505">
        <f t="shared" si="195"/>
        <v>0</v>
      </c>
      <c r="CP344" s="230">
        <f t="shared" si="196"/>
        <v>0</v>
      </c>
      <c r="CQ344" s="199">
        <f>ROUND(IFERROR(IF(LEFT($A344,1)="C",'Avoided Costs'!$K$13,'Avoided Costs'!$K$12)+1,""),4)</f>
        <v>1.0720000000000001</v>
      </c>
      <c r="CR344" s="199">
        <f>ROUND(IFERROR(IF(LEFT($A344,1)="C",'Avoided Costs'!$L$13,'Avoided Costs'!$L$12)+1,""),4)</f>
        <v>1.04</v>
      </c>
      <c r="CS344" s="199">
        <f>ROUND(IFERROR(IF(LEFT($A344,1)="C",'Avoided Costs'!$M$13,'Avoided Costs'!$M$12)+1,""),4)</f>
        <v>1.0720000000000001</v>
      </c>
      <c r="CT344" s="199">
        <f>ROUND(IFERROR(IF(LEFT($A344,1)="C",'Avoided Costs'!$N$13,'Avoided Costs'!$N$12)+1,""),4)</f>
        <v>1.04</v>
      </c>
      <c r="CU344" s="199">
        <f>ROUND(IFERROR(IF(LEFT($A344,1)="C",'Avoided Costs'!$O$13,'Avoided Costs'!$O$12)+1,""),4)</f>
        <v>1.1120000000000001</v>
      </c>
      <c r="CV344" s="199">
        <f>ROUND(IFERROR(IF(LEFT($A344,1)="C",'Avoided Costs'!$P$13,'Avoided Costs'!$P$12)+1,""),4)</f>
        <v>1.095</v>
      </c>
      <c r="CW344" s="199">
        <f>ROUND(IFERROR(IF(LEFT($A344,1)="C",'Avoided Costs'!$Q$13,'Avoided Costs'!$Q$12)+1,""),4)</f>
        <v>1.1120000000000001</v>
      </c>
      <c r="CX344" s="200">
        <f>ROUND(IFERROR(IF(LEFT($A344,1)="C",'Avoided Costs'!$R$13,'Avoided Costs'!$R$12)+1,""),4)</f>
        <v>1.1120000000000001</v>
      </c>
    </row>
    <row r="345" spans="1:102" ht="12.75" customHeight="1">
      <c r="A345" s="91" t="str">
        <f>IF('Inputs Yr 2'!$B345=0,"",'Inputs Yr 2'!A345)</f>
        <v>C - Commercial &amp; Industrial</v>
      </c>
      <c r="B345" s="91" t="str">
        <f>IF('Inputs Yr 2'!$B345=0,"",'Inputs Yr 2'!B345)</f>
        <v>C2 - C&amp;I Retrofit</v>
      </c>
      <c r="C345" s="91" t="str">
        <f>IF('Inputs Yr 2'!$B345=0,"",'Inputs Yr 2'!C345)</f>
        <v xml:space="preserve">C2c - C&amp;I Multifamily Retrofit </v>
      </c>
      <c r="D345" s="91" t="str">
        <f>IF('Inputs Yr 2'!$B345=0,"",'Inputs Yr 2'!E345)</f>
        <v>Heating System Replacement, Boiler</v>
      </c>
      <c r="E345" s="93" t="str">
        <f>IF('Inputs Yr 2'!$B345=0,"",'Inputs Yr 2'!F345)</f>
        <v>G16C2c20</v>
      </c>
      <c r="F345" s="93" t="str">
        <f>IF('Inputs Yr 2'!$B345=0,"",'Inputs Yr 2'!G345)</f>
        <v>HVAC</v>
      </c>
      <c r="G345" s="95" t="str">
        <f>IF('Inputs Yr 2'!$H345&lt;&gt;0,('Inputs Yr 2'!H345),"")</f>
        <v/>
      </c>
      <c r="H345" s="94">
        <f>IFERROR('Inputs Yr 2'!I345,"")</f>
        <v>0</v>
      </c>
      <c r="I345" s="298" t="str">
        <f>IFERROR('Inputs Yr 2'!J345*'Inputs Yr 2'!P345*G345,"")</f>
        <v/>
      </c>
      <c r="J345" s="298" t="str">
        <f>IFERROR('Inputs Yr 2'!K345*G345,"")</f>
        <v/>
      </c>
      <c r="K345" s="298" t="str">
        <f t="shared" si="173"/>
        <v/>
      </c>
      <c r="L345" s="194" t="str">
        <f>IFERROR(('Inputs Yr 2'!W345*G345)/1000,"")</f>
        <v/>
      </c>
      <c r="M345" s="194" t="str">
        <f>IFERROR(L345*('Inputs Yr 2'!$Q345*'Inputs Yr 2'!$V345*'Inputs Yr 2'!$R345),"")</f>
        <v/>
      </c>
      <c r="N345" s="194" t="str">
        <f t="shared" si="174"/>
        <v/>
      </c>
      <c r="O345" s="194" t="str">
        <f>IFERROR(M345*'Inputs Yr 2'!P345,"")</f>
        <v/>
      </c>
      <c r="P345" s="194" t="str">
        <f t="shared" si="175"/>
        <v/>
      </c>
      <c r="Q345" s="194" t="str">
        <f>IFERROR($P345*'Inputs Yr 2'!AA345,"")</f>
        <v/>
      </c>
      <c r="R345" s="194" t="str">
        <f>IFERROR($P345*'Inputs Yr 2'!AB345,"")</f>
        <v/>
      </c>
      <c r="S345" s="194" t="str">
        <f>IFERROR($P345*'Inputs Yr 2'!AC345,"")</f>
        <v/>
      </c>
      <c r="T345" s="194" t="str">
        <f>IFERROR($P345*'Inputs Yr 2'!AD345,"")</f>
        <v/>
      </c>
      <c r="U345" s="194" t="str">
        <f>IFERROR(G345*'Inputs Yr 2'!$AE345*'Inputs Yr 2'!$P345*'Inputs Yr 2'!$Q345,"")</f>
        <v/>
      </c>
      <c r="V345" s="194" t="str">
        <f>IFERROR($G345*'Inputs Yr 2'!$AE345*'Inputs Yr 2'!$AG345*'Inputs Yr 2'!Q345*'Inputs Yr 2'!$S345,"")</f>
        <v/>
      </c>
      <c r="W345" s="194" t="str">
        <f>IFERROR($G345*'Inputs Yr 2'!$AE345*'Inputs Yr 2'!$AG345*'Inputs Yr 2'!P345*'Inputs Yr 2'!Q345*'Inputs Yr 2'!$S345,"")</f>
        <v/>
      </c>
      <c r="X345" s="194" t="str">
        <f>IFERROR($G345*'Inputs Yr 2'!$AE345*'Inputs Yr 2'!$AF345*'Inputs Yr 2'!Q345*'Inputs Yr 2'!$T345,"")</f>
        <v/>
      </c>
      <c r="Y345" s="194" t="str">
        <f>IFERROR($G345*'Inputs Yr 2'!$AE345*'Inputs Yr 2'!$AF345*'Inputs Yr 2'!P345*'Inputs Yr 2'!Q345*'Inputs Yr 2'!$T345,"")</f>
        <v/>
      </c>
      <c r="Z345" s="257">
        <f>IFERROR($G345*'Inputs Yr 2'!$Q345*'Inputs Yr 2'!$U345*(IF(IFERROR(SEARCH("NG", 'Inputs Yr 2'!$AJ345),0),'Inputs Yr 2'!$AK345,0)+IF(IFERROR(SEARCH("NG", 'Inputs Yr 2'!$AL345),0),'Inputs Yr 2'!$AM345,0)+IF(IFERROR(SEARCH("NG", 'Inputs Yr 2'!$AN345),0),'Inputs Yr 2'!$AO345,0)),0)</f>
        <v>0</v>
      </c>
      <c r="AA345" s="257">
        <f t="shared" si="176"/>
        <v>0</v>
      </c>
      <c r="AB345" s="257">
        <f>IFERROR(Z345*'Inputs Yr 2'!$P345,0)</f>
        <v>0</v>
      </c>
      <c r="AC345" s="257">
        <f t="shared" si="177"/>
        <v>0</v>
      </c>
      <c r="AD345" s="257">
        <f>IFERROR($G345*'Inputs Yr 2'!$Q345*'Inputs Yr 2'!$U345*(IF(IFERROR(SEARCH("Oil", 'Inputs Yr 2'!$AJ345), 0),'Inputs Yr 2'!$AK345,0)+IF(IFERROR(SEARCH("Oil", 'Inputs Yr 2'!$AL345), 0),'Inputs Yr 2'!$AM345,0)+IF(IFERROR(SEARCH("Oil", 'Inputs Yr 2'!$AN345), 0),'Inputs Yr 2'!$AO345,0)),0)</f>
        <v>0</v>
      </c>
      <c r="AE345" s="257">
        <f t="shared" si="178"/>
        <v>0</v>
      </c>
      <c r="AF345" s="257">
        <f>IFERROR(AD345*'Inputs Yr 2'!$P345,0)</f>
        <v>0</v>
      </c>
      <c r="AG345" s="257">
        <f t="shared" si="179"/>
        <v>0</v>
      </c>
      <c r="AH345" s="257">
        <f>IFERROR($G345*'Inputs Yr 2'!$Q345*'Inputs Yr 2'!$U345*(IF('Inputs Yr 2'!$AJ345=CD$4,'Inputs Yr 2'!$AK345,IF('Inputs Yr 2'!$AL345=CD$4,'Inputs Yr 2'!$AM345,IF('Inputs Yr 2'!$AN345=CD$4,'Inputs Yr 2'!$AO345,0)))),0)</f>
        <v>0</v>
      </c>
      <c r="AI345" s="257">
        <f t="shared" si="180"/>
        <v>0</v>
      </c>
      <c r="AJ345" s="257">
        <f>IFERROR(AH345*'Inputs Yr 2'!$P345,0)</f>
        <v>0</v>
      </c>
      <c r="AK345" s="257">
        <f t="shared" si="181"/>
        <v>0</v>
      </c>
      <c r="AL345" s="258">
        <f>IFERROR($G345*'Inputs Yr 2'!$P345*'Inputs Yr 2'!$Q345*'Inputs Yr 2'!AP345,0)</f>
        <v>0</v>
      </c>
      <c r="AM345" s="260">
        <f>IFERROR($G345*'Inputs Yr 2'!$P345*'Inputs Yr 2'!$Q345*'Inputs Yr 2'!AQ345,0)</f>
        <v>0</v>
      </c>
      <c r="AN345" s="258">
        <f>IFERROR($G345*'Inputs Yr 2'!$P345*'Inputs Yr 2'!$Q345*'Inputs Yr 2'!AR345,0)</f>
        <v>0</v>
      </c>
      <c r="AO345" s="257">
        <f t="shared" si="182"/>
        <v>0</v>
      </c>
      <c r="AP345" s="195" t="str">
        <f>IFERROR($CQ345*(INDEX(avoidedcosttbl2,$H345,AP$2)+(($H345-ROUNDDOWN($H345,0))*(INDEX(avoidedcosttbl2,ROUNDUP($H345,0),AP$2)-(INDEX(avoidedcosttbl2,ROUNDDOWN($H345,0),AP$2)))))*$O345*1000*'Inputs Yr 2'!AA345,"")</f>
        <v/>
      </c>
      <c r="AQ345" s="195" t="str">
        <f>IFERROR($CR345*(INDEX(avoidedcosttbl2,$H345,AQ$2)+(($H345-ROUNDDOWN($H345,0))*(INDEX(avoidedcosttbl2,ROUNDUP($H345,0),AQ$2)-(INDEX(avoidedcosttbl2,ROUNDDOWN($H345,0),AQ$2)))))*$O345*1000*'Inputs Yr 2'!AB345,"")</f>
        <v/>
      </c>
      <c r="AR345" s="195" t="str">
        <f>IFERROR($CS345*(INDEX(avoidedcosttbl2,$H345,AR$2)+(($H345-ROUNDDOWN($H345,0))*(INDEX(avoidedcosttbl2,ROUNDUP($H345,0),AR$2)-(INDEX(avoidedcosttbl2,ROUNDDOWN($H345,0),AR$2)))))*$O345*1000*'Inputs Yr 2'!AC345,"")</f>
        <v/>
      </c>
      <c r="AS345" s="195" t="str">
        <f>IFERROR($CT345*(INDEX(avoidedcosttbl2,$H345,AS$2)+(($H345-ROUNDDOWN($H345,0))*(INDEX(avoidedcosttbl2,ROUNDUP($H345,0),AS$2)-(INDEX(avoidedcosttbl2,ROUNDDOWN($H345,0),AS$2)))))*$O345*1000*'Inputs Yr 2'!AD345,"")</f>
        <v/>
      </c>
      <c r="AT345" s="196">
        <f t="shared" si="183"/>
        <v>0</v>
      </c>
      <c r="AU345" s="197" t="str">
        <f>IFERROR($CQ345*((INDEX(avoidedcosttbl2,$H345,AU$2))+(($H345-ROUNDDOWN($H345,0))*((INDEX(avoidedcosttbl2,ROUNDUP($H345,0),AU$2))-(INDEX(avoidedcosttbl2,ROUNDDOWN($H345,0),AU$2)))))*$O345*1000*'Inputs Yr 2'!AA345,"")</f>
        <v/>
      </c>
      <c r="AV345" s="197" t="str">
        <f>IFERROR($CR345*((INDEX(avoidedcosttbl2,$H345,AV$2))+(($H345-ROUNDDOWN($H345,0))*((INDEX(avoidedcosttbl2,ROUNDUP($H345,0),AV$2))-(INDEX(avoidedcosttbl2,ROUNDDOWN($H345,0),AV$2)))))*$O345*1000*'Inputs Yr 2'!AB345,"")</f>
        <v/>
      </c>
      <c r="AW345" s="197" t="str">
        <f>IFERROR($CS345*((INDEX(avoidedcosttbl2,$H345,AW$2))+(($H345-ROUNDDOWN($H345,0))*((INDEX(avoidedcosttbl2,ROUNDUP($H345,0),AW$2))-(INDEX(avoidedcosttbl2,ROUNDDOWN($H345,0),AW$2)))))*$O345*1000*'Inputs Yr 2'!AC345,"")</f>
        <v/>
      </c>
      <c r="AX345" s="197" t="str">
        <f>IFERROR($CT345*((INDEX(avoidedcosttbl2,$H345,AX$2))+(($H345-ROUNDDOWN($H345,0))*((INDEX(avoidedcosttbl2,ROUNDUP($H345,0),AX$2))-(INDEX(avoidedcosttbl2,ROUNDDOWN($H345,0),AX$2)))))*$O345*1000*'Inputs Yr 2'!AD345,"")</f>
        <v/>
      </c>
      <c r="AY345" s="197" t="str">
        <f>IFERROR(((INDEX(avoidedcosttbl2,$H345,AY$2))+(($H345-ROUNDDOWN($H345,0))*((INDEX(avoidedcosttbl2,ROUNDUP($H345,0),AY$2))-(INDEX(avoidedcosttbl2,ROUNDDOWN($H345,0),AY$2)))))*$O345*1000*('Inputs Yr 2'!AC345+'Inputs Yr 2'!AD345),"")</f>
        <v/>
      </c>
      <c r="AZ345" s="197" t="str">
        <f>IFERROR(((INDEX(avoidedcosttbl2,$H345,AZ$2))+(($H345-ROUNDDOWN($H345,0))*((INDEX(avoidedcosttbl2,ROUNDUP($H345,0),AZ$2))-(INDEX(avoidedcosttbl2,ROUNDDOWN($H345,0),AZ$2)))))*$O345*1000*('Inputs Yr 2'!AA345+'Inputs Yr 2'!AB345),"")</f>
        <v/>
      </c>
      <c r="BA345" s="198">
        <f t="shared" si="184"/>
        <v>0</v>
      </c>
      <c r="BB345" s="198">
        <f t="shared" si="185"/>
        <v>0</v>
      </c>
      <c r="BC345" s="195" t="str">
        <f t="shared" si="167"/>
        <v/>
      </c>
      <c r="BD345" s="195" t="str">
        <f t="shared" si="168"/>
        <v/>
      </c>
      <c r="BE345" s="195" t="str">
        <f t="shared" si="169"/>
        <v/>
      </c>
      <c r="BF345" s="195" t="str">
        <f t="shared" si="170"/>
        <v/>
      </c>
      <c r="BG345" s="195" t="str">
        <f t="shared" si="171"/>
        <v/>
      </c>
      <c r="BH345" s="196">
        <f t="shared" si="186"/>
        <v>0</v>
      </c>
      <c r="BI345" s="196">
        <f t="shared" si="187"/>
        <v>0</v>
      </c>
      <c r="BJ345" s="195" t="str">
        <f>IFERROR($G345*(IF('Inputs Yr 2'!$AJ345=BJ$4,'Inputs Yr 2'!$AK345,IF('Inputs Yr 2'!$AL345=BJ$4,'Inputs Yr 2'!$AM345,IF('Inputs Yr 2'!$AN345=BJ$4,'Inputs Yr 2'!$AO345,0))))*(INDEX(avoidedcosttbl2,$H345,BJ$2)+(($H345-ROUNDDOWN($H345,0))*(INDEX(avoidedcosttbl2,ROUNDUP($H345,0),BJ$2)-(INDEX(avoidedcosttbl2,ROUNDDOWN($H345,0),BJ$2)))))*'Inputs Yr 2'!P345*'Inputs Yr 2'!Q345*'Inputs Yr 2'!U345,"")</f>
        <v/>
      </c>
      <c r="BK345" s="195" t="str">
        <f>IFERROR($G345*(IF('Inputs Yr 2'!$AJ345=BK$4,'Inputs Yr 2'!$AK345,IF('Inputs Yr 2'!$AL345=BK$4,'Inputs Yr 2'!$AM345,IF('Inputs Yr 2'!$AN345=BK$4,'Inputs Yr 2'!$AO345,0))))*(INDEX(avoidedcosttbl2,$H345,BK$2)+(($H345-ROUNDDOWN($H345,0))*(INDEX(avoidedcosttbl2,ROUNDUP($H345,0),BK$2)-(INDEX(avoidedcosttbl2,ROUNDDOWN($H345,0),BK$2)))))*'Inputs Yr 2'!P345*'Inputs Yr 2'!Q345*'Inputs Yr 2'!U345,"")</f>
        <v/>
      </c>
      <c r="BL345" s="195" t="str">
        <f>IFERROR($G345*(IF('Inputs Yr 2'!$AJ345=BL$4,'Inputs Yr 2'!$AK345,IF('Inputs Yr 2'!$AL345=BL$4,'Inputs Yr 2'!$AM345,IF('Inputs Yr 2'!$AN345=BL$4,'Inputs Yr 2'!$AO345,0))))*(INDEX(avoidedcosttbl2,$H345,BL$2)+(($H345-ROUNDDOWN($H345,0))*(INDEX(avoidedcosttbl2,ROUNDUP($H345,0),BL$2)-(INDEX(avoidedcosttbl2,ROUNDDOWN($H345,0),BL$2)))))*'Inputs Yr 2'!P345*'Inputs Yr 2'!Q345*'Inputs Yr 2'!U345,"")</f>
        <v/>
      </c>
      <c r="BM345" s="195" t="str">
        <f>IFERROR($G345*(IF('Inputs Yr 2'!$AJ345=BM$4,'Inputs Yr 2'!$AK345,IF('Inputs Yr 2'!$AL345=BM$4,'Inputs Yr 2'!$AM345,IF('Inputs Yr 2'!$AN345=BM$4,'Inputs Yr 2'!$AO345,0))))*(INDEX(avoidedcosttbl2,$H345,BM$2)+(($H345-ROUNDDOWN($H345,0))*(INDEX(avoidedcosttbl2,ROUNDUP($H345,0),BM$2)-(INDEX(avoidedcosttbl2,ROUNDDOWN($H345,0),BM$2)))))*'Inputs Yr 2'!P345*'Inputs Yr 2'!Q345*'Inputs Yr 2'!U345,"")</f>
        <v/>
      </c>
      <c r="BN345" s="195" t="str">
        <f>IFERROR($G345*(IF('Inputs Yr 2'!$AJ345=BN$4,'Inputs Yr 2'!$AK345,IF('Inputs Yr 2'!$AL345=BN$4,'Inputs Yr 2'!$AM345,IF('Inputs Yr 2'!$AN345=BN$4,'Inputs Yr 2'!$AO345,0))))*(INDEX(avoidedcosttbl2,$H345,BN$2)+(($H345-ROUNDDOWN($H345,0))*(INDEX(avoidedcosttbl2,ROUNDUP($H345,0),BN$2)-(INDEX(avoidedcosttbl2,ROUNDDOWN($H345,0),BN$2)))))*'Inputs Yr 2'!P345*'Inputs Yr 2'!Q345*'Inputs Yr 2'!U345,"")</f>
        <v/>
      </c>
      <c r="BO345" s="195" t="str">
        <f>IFERROR($G345*(IF('Inputs Yr 2'!$AJ345=BO$4,'Inputs Yr 2'!$AK345,IF('Inputs Yr 2'!$AL345=BO$4,'Inputs Yr 2'!$AM345,IF('Inputs Yr 2'!$AN345=BO$4,'Inputs Yr 2'!$AO345,0))))*(INDEX(avoidedcosttbl2,$H345,BO$2)+(($H345-ROUNDDOWN($H345,0))*(INDEX(avoidedcosttbl2,ROUNDUP($H345,0),BO$2)-(INDEX(avoidedcosttbl2,ROUNDDOWN($H345,0),BO$2)))))*'Inputs Yr 2'!P345*'Inputs Yr 2'!Q345*'Inputs Yr 2'!U345,"")</f>
        <v/>
      </c>
      <c r="BP345" s="195" t="str">
        <f>IFERROR($G345*(IF('Inputs Yr 2'!$AJ345=BP$4,'Inputs Yr 2'!$AK345,IF('Inputs Yr 2'!$AL345=BP$4,'Inputs Yr 2'!$AM345,IF('Inputs Yr 2'!$AN345=BP$4,'Inputs Yr 2'!$AO345,0))))*(INDEX(avoidedcosttbl2,$H345,BP$2)+(($H345-ROUNDDOWN($H345,0))*(INDEX(avoidedcosttbl2,ROUNDUP($H345,0),BP$2)-(INDEX(avoidedcosttbl2,ROUNDDOWN($H345,0),BP$2)))))*'Inputs Yr 2'!P345*'Inputs Yr 2'!Q345*'Inputs Yr 2'!U345,"")</f>
        <v/>
      </c>
      <c r="BQ345" s="230">
        <f t="shared" si="188"/>
        <v>0</v>
      </c>
      <c r="BR345" s="197" t="str">
        <f t="shared" si="172"/>
        <v/>
      </c>
      <c r="BS345" s="197" t="str">
        <f>IFERROR(($G345*IF('Inputs Yr 2'!$AJ345=BM$4,'Inputs Yr 2'!$AK345,IF('Inputs Yr 2'!$AL345=BM$4,'Inputs Yr 2'!$AM345,IF('Inputs Yr 2'!$AN345=BM$4,'Inputs Yr 2'!$AO345,0))))*(INDEX(avoidedcosttbl2,$H345,BS$2)+(($H345-ROUNDDOWN($H345,0))*(INDEX(avoidedcosttbl2,ROUNDUP($H345,0),BS$2)-(INDEX(avoidedcosttbl2,ROUNDDOWN($H345,0),BS$2)))))*'Inputs Yr 2'!P345*'Inputs Yr 2'!Q345*'Inputs Yr 2'!U345,"")</f>
        <v/>
      </c>
      <c r="BT345" s="197" t="str">
        <f>IFERROR(($G345*IF('Inputs Yr 2'!$AJ345=BK$4,'Inputs Yr 2'!$AK345,IF('Inputs Yr 2'!$AL345=BK$4,'Inputs Yr 2'!$AM345,IF('Inputs Yr 2'!$AN345=BK$4,'Inputs Yr 2'!$AO345,0))))*(INDEX(avoidedcosttbl2,$H345,BT$2)+(($H345-ROUNDDOWN($H345,0))*(INDEX(avoidedcosttbl2,ROUNDUP($H345,0),BT$2)-(INDEX(avoidedcosttbl2,ROUNDDOWN($H345,0),BT$2)))))*'Inputs Yr 2'!P345*'Inputs Yr 2'!Q345*'Inputs Yr 2'!U345,"")</f>
        <v/>
      </c>
      <c r="BU345" s="197" t="str">
        <f>IFERROR(($G345*IF('Inputs Yr 2'!$AJ345=BL$4,'Inputs Yr 2'!$AK345,IF('Inputs Yr 2'!$AL345=BL$4,'Inputs Yr 2'!$AM345,IF('Inputs Yr 2'!$AN345=BL$4,'Inputs Yr 2'!$AO345,0))))*(INDEX(avoidedcosttbl2,$H345,BU$2)+(($H345-ROUNDDOWN($H345,0))*(INDEX(avoidedcosttbl2,ROUNDUP($H345,0),BU$2)-(INDEX(avoidedcosttbl2,ROUNDDOWN($H345,0),BU$2)))))*'Inputs Yr 2'!P345*'Inputs Yr 2'!Q345*'Inputs Yr 2'!U345,"")</f>
        <v/>
      </c>
      <c r="BV345" s="775" t="str">
        <f>IFERROR(($G345*IF('Inputs Yr 2'!$AJ345=BJ$4,'Inputs Yr 2'!$AK345,IF('Inputs Yr 2'!$AL345=BJ$4,'Inputs Yr 2'!$AM345,IF('Inputs Yr 2'!$AN345=BJ$4,'Inputs Yr 2'!$AO345,0))))*(INDEX(avoidedcosttbl2,$H345,BV$2)+(($H345-ROUNDDOWN($H345,0))*(INDEX(avoidedcosttbl2,ROUNDUP($H345,0),BV$2)-(INDEX(avoidedcosttbl2,ROUNDDOWN($H345,0),BV$2)))))*'Inputs Yr 2'!P345*'Inputs Yr 2'!Q345*'Inputs Yr 2'!U345,"")</f>
        <v/>
      </c>
      <c r="BW345" s="197" t="str">
        <f>IFERROR(($G345*IF('Inputs Yr 2'!$AJ345=BN$4,'Inputs Yr 2'!$AK345,IF('Inputs Yr 2'!$AL345=BN$4,'Inputs Yr 2'!$AM345,IF('Inputs Yr 2'!$AN345=BN$4,'Inputs Yr 2'!$AO345,0))))*(INDEX(avoidedcosttbl2,$H345,BW$2)+(($H345-ROUNDDOWN($H345,0))*(INDEX(avoidedcosttbl2,ROUNDUP($H345,0),BW$2)-(INDEX(avoidedcosttbl2,ROUNDDOWN($H345,0),BW$2)))))*'Inputs Yr 2'!P345*'Inputs Yr 2'!Q345*'Inputs Yr 2'!U345,"")</f>
        <v/>
      </c>
      <c r="BX345" s="197" t="str">
        <f>IFERROR(($G345*IF('Inputs Yr 2'!$AJ345=BO$4,'Inputs Yr 2'!$AK345,IF('Inputs Yr 2'!$AL345=BO$4,'Inputs Yr 2'!$AM345,IF('Inputs Yr 2'!$AN345=BO$4,'Inputs Yr 2'!$AO345,0))))*(INDEX(avoidedcosttbl2,$H345,BX$2)+(($H345-ROUNDDOWN($H345,0))*(INDEX(avoidedcosttbl2,ROUNDUP($H345,0),BX$2)-(INDEX(avoidedcosttbl2,ROUNDDOWN($H345,0),BX$2)))))*'Inputs Yr 2'!P345*'Inputs Yr 2'!Q345*'Inputs Yr 2'!U345,"")</f>
        <v/>
      </c>
      <c r="BY345" s="197" t="str">
        <f>IFERROR(($G345*IF('Inputs Yr 2'!$AJ345=BP$4,'Inputs Yr 2'!$AK345,IF('Inputs Yr 2'!$AL345=BP$4,'Inputs Yr 2'!$AM345,IF('Inputs Yr 2'!$AN345=BP$4,'Inputs Yr 2'!$AO345,0))))*(INDEX(avoidedcosttbl2,$H345,BY$2)+(($H345-ROUNDDOWN($H345,0))*(INDEX(avoidedcosttbl2,ROUNDUP($H345,0),BY$2)-(INDEX(avoidedcosttbl2,ROUNDDOWN($H345,0),BY$2)))))*'Inputs Yr 2'!P345*'Inputs Yr 2'!Q345*'Inputs Yr 2'!U345,"")</f>
        <v/>
      </c>
      <c r="BZ345" s="193">
        <f t="shared" si="189"/>
        <v>0</v>
      </c>
      <c r="CA345" s="193">
        <f t="shared" si="190"/>
        <v>0</v>
      </c>
      <c r="CB345" s="195" t="str">
        <f>IFERROR(G345*(IF('Inputs Yr 2'!$AJ345=CB$4,'Inputs Yr 2'!$AK345,IF('Inputs Yr 2'!$AL345=CB$4,'Inputs Yr 2'!$AM345,IF('Inputs Yr 2'!$AN345=CB$4,'Inputs Yr 2'!$AO345,0))))*(INDEX(avoidedcosttbl2,$H345,CB$2)+(($H345-ROUNDDOWN($H345,0))*(INDEX(avoidedcosttbl2,ROUNDUP($H345,0),CB$2)-(INDEX(avoidedcosttbl2,ROUNDDOWN($H345,0),CB$2)))))*'Inputs Yr 2'!P345*'Inputs Yr 2'!Q345*'Inputs Yr 2'!U345,"")</f>
        <v/>
      </c>
      <c r="CC345" s="195" t="str">
        <f>IFERROR(H345*(IF('Inputs Yr 2'!$AJ345=CC$4,'Inputs Yr 2'!$AK345,IF('Inputs Yr 2'!$AL345=CC$4,'Inputs Yr 2'!$AM345,IF('Inputs Yr 2'!$AN345=CC$4,'Inputs Yr 2'!$AO345,0))))*(INDEX(avoidedcosttbl2,$H345,CC$2)+(($H345-ROUNDDOWN($H345,0))*(INDEX(avoidedcosttbl2,ROUNDUP($H345,0),CC$2)-(INDEX(avoidedcosttbl2,ROUNDDOWN($H345,0),CC$2)))))*'Inputs Yr 2'!Q345*'Inputs Yr 2'!R345*'Inputs Yr 2'!V345,"")</f>
        <v/>
      </c>
      <c r="CD345" s="195" t="str">
        <f>IFERROR(I345*(IF('Inputs Yr 2'!$AJ345=CD$4,'Inputs Yr 2'!$AK345,IF('Inputs Yr 2'!$AL345=CD$4,'Inputs Yr 2'!$AM345,IF('Inputs Yr 2'!$AN345=CD$4,'Inputs Yr 2'!$AO345,0))))*(INDEX(avoidedcosttbl2,$H345,CD$2)+(($H345-ROUNDDOWN($H345,0))*(INDEX(avoidedcosttbl2,ROUNDUP($H345,0),CD$2)-(INDEX(avoidedcosttbl2,ROUNDDOWN($H345,0),CD$2)))))*'Inputs Yr 2'!R345*'Inputs Yr 2'!S345*'Inputs Yr 2'!W345,"")</f>
        <v/>
      </c>
      <c r="CE345" s="213" t="str">
        <f t="shared" si="191"/>
        <v/>
      </c>
      <c r="CF345" s="213" t="str">
        <f t="shared" si="192"/>
        <v/>
      </c>
      <c r="CG345" s="213" t="str">
        <f t="shared" si="193"/>
        <v/>
      </c>
      <c r="CH345" s="698">
        <f t="shared" si="194"/>
        <v>0</v>
      </c>
      <c r="CI345" s="79" t="str">
        <f>IFERROR(($G345*'Inputs Yr 2'!$P345*'Inputs Yr 2'!$Q345*(((INDEX(avoidedcosttbl2,$H345,CI$2)+(($H345-ROUNDDOWN($H345,0))*(INDEX(avoidedcosttbl2,ROUNDUP($H345,0),CI$2)-INDEX(avoidedcosttbl2,ROUNDDOWN($H345,0),CI$2))))*'Inputs Yr 2'!AS345))),"")</f>
        <v/>
      </c>
      <c r="CJ345" s="504" t="str">
        <f>IFERROR($G345*'Inputs Yr 2'!AT345*'Inputs Yr 2'!$P345*'Inputs Yr 2'!$Q345/((1+realdiscrt1)^-0.5),"")</f>
        <v/>
      </c>
      <c r="CK345" s="79" t="str">
        <f>IFERROR((O345*1000*(((INDEX(avoidedcosttbl2,$H345,CK$2)+(($H345-ROUNDDOWN($H345,0))*(INDEX(avoidedcosttbl2,ROUNDUP($H345,0),CK$2)-INDEX(avoidedcosttbl2,ROUNDDOWN($H345,0),CK$2))))*'Inputs Yr 2'!AU345))),"")</f>
        <v/>
      </c>
      <c r="CL345" s="504" t="str">
        <f>IFERROR(O345*1000*'Inputs Yr 2'!AV345/((1+realdiscrt1)^-0.5),"")</f>
        <v/>
      </c>
      <c r="CM345" s="79" t="str">
        <f>IFERROR((AB345*'Inputs Yr 2'!AW345*(((INDEX(avoidedcosttbl2,$H345,CM$2)+(($H345-ROUNDDOWN($H345,0))*(INDEX(avoidedcosttbl2,ROUNDUP($H345,0),CM$2)-INDEX(avoidedcosttbl2,ROUNDDOWN($H345,0),CM$2)))))))*10,"")</f>
        <v/>
      </c>
      <c r="CN345" s="504">
        <f>IFERROR(10*AB345*'Inputs Yr 2'!AX345/((1+realdiscrt1)^-0.5),"")</f>
        <v>0</v>
      </c>
      <c r="CO345" s="505">
        <f t="shared" si="195"/>
        <v>0</v>
      </c>
      <c r="CP345" s="230">
        <f t="shared" si="196"/>
        <v>0</v>
      </c>
      <c r="CQ345" s="199">
        <f>ROUND(IFERROR(IF(LEFT($A345,1)="C",'Avoided Costs'!$K$13,'Avoided Costs'!$K$12)+1,""),4)</f>
        <v>1.0720000000000001</v>
      </c>
      <c r="CR345" s="199">
        <f>ROUND(IFERROR(IF(LEFT($A345,1)="C",'Avoided Costs'!$L$13,'Avoided Costs'!$L$12)+1,""),4)</f>
        <v>1.04</v>
      </c>
      <c r="CS345" s="199">
        <f>ROUND(IFERROR(IF(LEFT($A345,1)="C",'Avoided Costs'!$M$13,'Avoided Costs'!$M$12)+1,""),4)</f>
        <v>1.0720000000000001</v>
      </c>
      <c r="CT345" s="199">
        <f>ROUND(IFERROR(IF(LEFT($A345,1)="C",'Avoided Costs'!$N$13,'Avoided Costs'!$N$12)+1,""),4)</f>
        <v>1.04</v>
      </c>
      <c r="CU345" s="199">
        <f>ROUND(IFERROR(IF(LEFT($A345,1)="C",'Avoided Costs'!$O$13,'Avoided Costs'!$O$12)+1,""),4)</f>
        <v>1.1120000000000001</v>
      </c>
      <c r="CV345" s="199">
        <f>ROUND(IFERROR(IF(LEFT($A345,1)="C",'Avoided Costs'!$P$13,'Avoided Costs'!$P$12)+1,""),4)</f>
        <v>1.095</v>
      </c>
      <c r="CW345" s="199">
        <f>ROUND(IFERROR(IF(LEFT($A345,1)="C",'Avoided Costs'!$Q$13,'Avoided Costs'!$Q$12)+1,""),4)</f>
        <v>1.1120000000000001</v>
      </c>
      <c r="CX345" s="200">
        <f>ROUND(IFERROR(IF(LEFT($A345,1)="C",'Avoided Costs'!$R$13,'Avoided Costs'!$R$12)+1,""),4)</f>
        <v>1.1120000000000001</v>
      </c>
    </row>
    <row r="346" spans="1:102" ht="12.75" customHeight="1">
      <c r="A346" s="91" t="str">
        <f>IF('Inputs Yr 2'!$B346=0,"",'Inputs Yr 2'!A346)</f>
        <v>C - Commercial &amp; Industrial</v>
      </c>
      <c r="B346" s="91" t="str">
        <f>IF('Inputs Yr 2'!$B346=0,"",'Inputs Yr 2'!B346)</f>
        <v>C2 - C&amp;I Retrofit</v>
      </c>
      <c r="C346" s="91" t="str">
        <f>IF('Inputs Yr 2'!$B346=0,"",'Inputs Yr 2'!C346)</f>
        <v xml:space="preserve">C2c - C&amp;I Multifamily Retrofit </v>
      </c>
      <c r="D346" s="91" t="str">
        <f>IF('Inputs Yr 2'!$B346=0,"",'Inputs Yr 2'!E346)</f>
        <v>Heating System Replacement, Furnace</v>
      </c>
      <c r="E346" s="93" t="str">
        <f>IF('Inputs Yr 2'!$B346=0,"",'Inputs Yr 2'!F346)</f>
        <v>G16C2c21</v>
      </c>
      <c r="F346" s="93" t="str">
        <f>IF('Inputs Yr 2'!$B346=0,"",'Inputs Yr 2'!G346)</f>
        <v>HVAC</v>
      </c>
      <c r="G346" s="95" t="str">
        <f>IF('Inputs Yr 2'!$H346&lt;&gt;0,('Inputs Yr 2'!H346),"")</f>
        <v/>
      </c>
      <c r="H346" s="94">
        <f>IFERROR('Inputs Yr 2'!I346,"")</f>
        <v>0</v>
      </c>
      <c r="I346" s="298" t="str">
        <f>IFERROR('Inputs Yr 2'!J346*'Inputs Yr 2'!P346*G346,"")</f>
        <v/>
      </c>
      <c r="J346" s="298" t="str">
        <f>IFERROR('Inputs Yr 2'!K346*G346,"")</f>
        <v/>
      </c>
      <c r="K346" s="298" t="str">
        <f t="shared" si="173"/>
        <v/>
      </c>
      <c r="L346" s="194" t="str">
        <f>IFERROR(('Inputs Yr 2'!W346*G346)/1000,"")</f>
        <v/>
      </c>
      <c r="M346" s="194" t="str">
        <f>IFERROR(L346*('Inputs Yr 2'!$Q346*'Inputs Yr 2'!$V346*'Inputs Yr 2'!$R346),"")</f>
        <v/>
      </c>
      <c r="N346" s="194" t="str">
        <f t="shared" si="174"/>
        <v/>
      </c>
      <c r="O346" s="194" t="str">
        <f>IFERROR(M346*'Inputs Yr 2'!P346,"")</f>
        <v/>
      </c>
      <c r="P346" s="194" t="str">
        <f t="shared" si="175"/>
        <v/>
      </c>
      <c r="Q346" s="194" t="str">
        <f>IFERROR($P346*'Inputs Yr 2'!AA346,"")</f>
        <v/>
      </c>
      <c r="R346" s="194" t="str">
        <f>IFERROR($P346*'Inputs Yr 2'!AB346,"")</f>
        <v/>
      </c>
      <c r="S346" s="194" t="str">
        <f>IFERROR($P346*'Inputs Yr 2'!AC346,"")</f>
        <v/>
      </c>
      <c r="T346" s="194" t="str">
        <f>IFERROR($P346*'Inputs Yr 2'!AD346,"")</f>
        <v/>
      </c>
      <c r="U346" s="194" t="str">
        <f>IFERROR(G346*'Inputs Yr 2'!$AE346*'Inputs Yr 2'!$P346*'Inputs Yr 2'!$Q346,"")</f>
        <v/>
      </c>
      <c r="V346" s="194" t="str">
        <f>IFERROR($G346*'Inputs Yr 2'!$AE346*'Inputs Yr 2'!$AG346*'Inputs Yr 2'!Q346*'Inputs Yr 2'!$S346,"")</f>
        <v/>
      </c>
      <c r="W346" s="194" t="str">
        <f>IFERROR($G346*'Inputs Yr 2'!$AE346*'Inputs Yr 2'!$AG346*'Inputs Yr 2'!P346*'Inputs Yr 2'!Q346*'Inputs Yr 2'!$S346,"")</f>
        <v/>
      </c>
      <c r="X346" s="194" t="str">
        <f>IFERROR($G346*'Inputs Yr 2'!$AE346*'Inputs Yr 2'!$AF346*'Inputs Yr 2'!Q346*'Inputs Yr 2'!$T346,"")</f>
        <v/>
      </c>
      <c r="Y346" s="194" t="str">
        <f>IFERROR($G346*'Inputs Yr 2'!$AE346*'Inputs Yr 2'!$AF346*'Inputs Yr 2'!P346*'Inputs Yr 2'!Q346*'Inputs Yr 2'!$T346,"")</f>
        <v/>
      </c>
      <c r="Z346" s="257">
        <f>IFERROR($G346*'Inputs Yr 2'!$Q346*'Inputs Yr 2'!$U346*(IF(IFERROR(SEARCH("NG", 'Inputs Yr 2'!$AJ346),0),'Inputs Yr 2'!$AK346,0)+IF(IFERROR(SEARCH("NG", 'Inputs Yr 2'!$AL346),0),'Inputs Yr 2'!$AM346,0)+IF(IFERROR(SEARCH("NG", 'Inputs Yr 2'!$AN346),0),'Inputs Yr 2'!$AO346,0)),0)</f>
        <v>0</v>
      </c>
      <c r="AA346" s="257">
        <f t="shared" si="176"/>
        <v>0</v>
      </c>
      <c r="AB346" s="257">
        <f>IFERROR(Z346*'Inputs Yr 2'!$P346,0)</f>
        <v>0</v>
      </c>
      <c r="AC346" s="257">
        <f t="shared" si="177"/>
        <v>0</v>
      </c>
      <c r="AD346" s="257">
        <f>IFERROR($G346*'Inputs Yr 2'!$Q346*'Inputs Yr 2'!$U346*(IF(IFERROR(SEARCH("Oil", 'Inputs Yr 2'!$AJ346), 0),'Inputs Yr 2'!$AK346,0)+IF(IFERROR(SEARCH("Oil", 'Inputs Yr 2'!$AL346), 0),'Inputs Yr 2'!$AM346,0)+IF(IFERROR(SEARCH("Oil", 'Inputs Yr 2'!$AN346), 0),'Inputs Yr 2'!$AO346,0)),0)</f>
        <v>0</v>
      </c>
      <c r="AE346" s="257">
        <f t="shared" si="178"/>
        <v>0</v>
      </c>
      <c r="AF346" s="257">
        <f>IFERROR(AD346*'Inputs Yr 2'!$P346,0)</f>
        <v>0</v>
      </c>
      <c r="AG346" s="257">
        <f t="shared" si="179"/>
        <v>0</v>
      </c>
      <c r="AH346" s="257">
        <f>IFERROR($G346*'Inputs Yr 2'!$Q346*'Inputs Yr 2'!$U346*(IF('Inputs Yr 2'!$AJ346=CD$4,'Inputs Yr 2'!$AK346,IF('Inputs Yr 2'!$AL346=CD$4,'Inputs Yr 2'!$AM346,IF('Inputs Yr 2'!$AN346=CD$4,'Inputs Yr 2'!$AO346,0)))),0)</f>
        <v>0</v>
      </c>
      <c r="AI346" s="257">
        <f t="shared" si="180"/>
        <v>0</v>
      </c>
      <c r="AJ346" s="257">
        <f>IFERROR(AH346*'Inputs Yr 2'!$P346,0)</f>
        <v>0</v>
      </c>
      <c r="AK346" s="257">
        <f t="shared" si="181"/>
        <v>0</v>
      </c>
      <c r="AL346" s="258">
        <f>IFERROR($G346*'Inputs Yr 2'!$P346*'Inputs Yr 2'!$Q346*'Inputs Yr 2'!AP346,0)</f>
        <v>0</v>
      </c>
      <c r="AM346" s="260">
        <f>IFERROR($G346*'Inputs Yr 2'!$P346*'Inputs Yr 2'!$Q346*'Inputs Yr 2'!AQ346,0)</f>
        <v>0</v>
      </c>
      <c r="AN346" s="258">
        <f>IFERROR($G346*'Inputs Yr 2'!$P346*'Inputs Yr 2'!$Q346*'Inputs Yr 2'!AR346,0)</f>
        <v>0</v>
      </c>
      <c r="AO346" s="257">
        <f t="shared" si="182"/>
        <v>0</v>
      </c>
      <c r="AP346" s="195" t="str">
        <f>IFERROR($CQ346*(INDEX(avoidedcosttbl2,$H346,AP$2)+(($H346-ROUNDDOWN($H346,0))*(INDEX(avoidedcosttbl2,ROUNDUP($H346,0),AP$2)-(INDEX(avoidedcosttbl2,ROUNDDOWN($H346,0),AP$2)))))*$O346*1000*'Inputs Yr 2'!AA346,"")</f>
        <v/>
      </c>
      <c r="AQ346" s="195" t="str">
        <f>IFERROR($CR346*(INDEX(avoidedcosttbl2,$H346,AQ$2)+(($H346-ROUNDDOWN($H346,0))*(INDEX(avoidedcosttbl2,ROUNDUP($H346,0),AQ$2)-(INDEX(avoidedcosttbl2,ROUNDDOWN($H346,0),AQ$2)))))*$O346*1000*'Inputs Yr 2'!AB346,"")</f>
        <v/>
      </c>
      <c r="AR346" s="195" t="str">
        <f>IFERROR($CS346*(INDEX(avoidedcosttbl2,$H346,AR$2)+(($H346-ROUNDDOWN($H346,0))*(INDEX(avoidedcosttbl2,ROUNDUP($H346,0),AR$2)-(INDEX(avoidedcosttbl2,ROUNDDOWN($H346,0),AR$2)))))*$O346*1000*'Inputs Yr 2'!AC346,"")</f>
        <v/>
      </c>
      <c r="AS346" s="195" t="str">
        <f>IFERROR($CT346*(INDEX(avoidedcosttbl2,$H346,AS$2)+(($H346-ROUNDDOWN($H346,0))*(INDEX(avoidedcosttbl2,ROUNDUP($H346,0),AS$2)-(INDEX(avoidedcosttbl2,ROUNDDOWN($H346,0),AS$2)))))*$O346*1000*'Inputs Yr 2'!AD346,"")</f>
        <v/>
      </c>
      <c r="AT346" s="196">
        <f t="shared" si="183"/>
        <v>0</v>
      </c>
      <c r="AU346" s="197" t="str">
        <f>IFERROR($CQ346*((INDEX(avoidedcosttbl2,$H346,AU$2))+(($H346-ROUNDDOWN($H346,0))*((INDEX(avoidedcosttbl2,ROUNDUP($H346,0),AU$2))-(INDEX(avoidedcosttbl2,ROUNDDOWN($H346,0),AU$2)))))*$O346*1000*'Inputs Yr 2'!AA346,"")</f>
        <v/>
      </c>
      <c r="AV346" s="197" t="str">
        <f>IFERROR($CR346*((INDEX(avoidedcosttbl2,$H346,AV$2))+(($H346-ROUNDDOWN($H346,0))*((INDEX(avoidedcosttbl2,ROUNDUP($H346,0),AV$2))-(INDEX(avoidedcosttbl2,ROUNDDOWN($H346,0),AV$2)))))*$O346*1000*'Inputs Yr 2'!AB346,"")</f>
        <v/>
      </c>
      <c r="AW346" s="197" t="str">
        <f>IFERROR($CS346*((INDEX(avoidedcosttbl2,$H346,AW$2))+(($H346-ROUNDDOWN($H346,0))*((INDEX(avoidedcosttbl2,ROUNDUP($H346,0),AW$2))-(INDEX(avoidedcosttbl2,ROUNDDOWN($H346,0),AW$2)))))*$O346*1000*'Inputs Yr 2'!AC346,"")</f>
        <v/>
      </c>
      <c r="AX346" s="197" t="str">
        <f>IFERROR($CT346*((INDEX(avoidedcosttbl2,$H346,AX$2))+(($H346-ROUNDDOWN($H346,0))*((INDEX(avoidedcosttbl2,ROUNDUP($H346,0),AX$2))-(INDEX(avoidedcosttbl2,ROUNDDOWN($H346,0),AX$2)))))*$O346*1000*'Inputs Yr 2'!AD346,"")</f>
        <v/>
      </c>
      <c r="AY346" s="197" t="str">
        <f>IFERROR(((INDEX(avoidedcosttbl2,$H346,AY$2))+(($H346-ROUNDDOWN($H346,0))*((INDEX(avoidedcosttbl2,ROUNDUP($H346,0),AY$2))-(INDEX(avoidedcosttbl2,ROUNDDOWN($H346,0),AY$2)))))*$O346*1000*('Inputs Yr 2'!AC346+'Inputs Yr 2'!AD346),"")</f>
        <v/>
      </c>
      <c r="AZ346" s="197" t="str">
        <f>IFERROR(((INDEX(avoidedcosttbl2,$H346,AZ$2))+(($H346-ROUNDDOWN($H346,0))*((INDEX(avoidedcosttbl2,ROUNDUP($H346,0),AZ$2))-(INDEX(avoidedcosttbl2,ROUNDDOWN($H346,0),AZ$2)))))*$O346*1000*('Inputs Yr 2'!AA346+'Inputs Yr 2'!AB346),"")</f>
        <v/>
      </c>
      <c r="BA346" s="198">
        <f t="shared" si="184"/>
        <v>0</v>
      </c>
      <c r="BB346" s="198">
        <f t="shared" si="185"/>
        <v>0</v>
      </c>
      <c r="BC346" s="195" t="str">
        <f t="shared" si="167"/>
        <v/>
      </c>
      <c r="BD346" s="195" t="str">
        <f t="shared" si="168"/>
        <v/>
      </c>
      <c r="BE346" s="195" t="str">
        <f t="shared" si="169"/>
        <v/>
      </c>
      <c r="BF346" s="195" t="str">
        <f t="shared" si="170"/>
        <v/>
      </c>
      <c r="BG346" s="195" t="str">
        <f t="shared" si="171"/>
        <v/>
      </c>
      <c r="BH346" s="196">
        <f t="shared" si="186"/>
        <v>0</v>
      </c>
      <c r="BI346" s="196">
        <f t="shared" si="187"/>
        <v>0</v>
      </c>
      <c r="BJ346" s="195" t="str">
        <f>IFERROR($G346*(IF('Inputs Yr 2'!$AJ346=BJ$4,'Inputs Yr 2'!$AK346,IF('Inputs Yr 2'!$AL346=BJ$4,'Inputs Yr 2'!$AM346,IF('Inputs Yr 2'!$AN346=BJ$4,'Inputs Yr 2'!$AO346,0))))*(INDEX(avoidedcosttbl2,$H346,BJ$2)+(($H346-ROUNDDOWN($H346,0))*(INDEX(avoidedcosttbl2,ROUNDUP($H346,0),BJ$2)-(INDEX(avoidedcosttbl2,ROUNDDOWN($H346,0),BJ$2)))))*'Inputs Yr 2'!P346*'Inputs Yr 2'!Q346*'Inputs Yr 2'!U346,"")</f>
        <v/>
      </c>
      <c r="BK346" s="195" t="str">
        <f>IFERROR($G346*(IF('Inputs Yr 2'!$AJ346=BK$4,'Inputs Yr 2'!$AK346,IF('Inputs Yr 2'!$AL346=BK$4,'Inputs Yr 2'!$AM346,IF('Inputs Yr 2'!$AN346=BK$4,'Inputs Yr 2'!$AO346,0))))*(INDEX(avoidedcosttbl2,$H346,BK$2)+(($H346-ROUNDDOWN($H346,0))*(INDEX(avoidedcosttbl2,ROUNDUP($H346,0),BK$2)-(INDEX(avoidedcosttbl2,ROUNDDOWN($H346,0),BK$2)))))*'Inputs Yr 2'!P346*'Inputs Yr 2'!Q346*'Inputs Yr 2'!U346,"")</f>
        <v/>
      </c>
      <c r="BL346" s="195" t="str">
        <f>IFERROR($G346*(IF('Inputs Yr 2'!$AJ346=BL$4,'Inputs Yr 2'!$AK346,IF('Inputs Yr 2'!$AL346=BL$4,'Inputs Yr 2'!$AM346,IF('Inputs Yr 2'!$AN346=BL$4,'Inputs Yr 2'!$AO346,0))))*(INDEX(avoidedcosttbl2,$H346,BL$2)+(($H346-ROUNDDOWN($H346,0))*(INDEX(avoidedcosttbl2,ROUNDUP($H346,0),BL$2)-(INDEX(avoidedcosttbl2,ROUNDDOWN($H346,0),BL$2)))))*'Inputs Yr 2'!P346*'Inputs Yr 2'!Q346*'Inputs Yr 2'!U346,"")</f>
        <v/>
      </c>
      <c r="BM346" s="195" t="str">
        <f>IFERROR($G346*(IF('Inputs Yr 2'!$AJ346=BM$4,'Inputs Yr 2'!$AK346,IF('Inputs Yr 2'!$AL346=BM$4,'Inputs Yr 2'!$AM346,IF('Inputs Yr 2'!$AN346=BM$4,'Inputs Yr 2'!$AO346,0))))*(INDEX(avoidedcosttbl2,$H346,BM$2)+(($H346-ROUNDDOWN($H346,0))*(INDEX(avoidedcosttbl2,ROUNDUP($H346,0),BM$2)-(INDEX(avoidedcosttbl2,ROUNDDOWN($H346,0),BM$2)))))*'Inputs Yr 2'!P346*'Inputs Yr 2'!Q346*'Inputs Yr 2'!U346,"")</f>
        <v/>
      </c>
      <c r="BN346" s="195" t="str">
        <f>IFERROR($G346*(IF('Inputs Yr 2'!$AJ346=BN$4,'Inputs Yr 2'!$AK346,IF('Inputs Yr 2'!$AL346=BN$4,'Inputs Yr 2'!$AM346,IF('Inputs Yr 2'!$AN346=BN$4,'Inputs Yr 2'!$AO346,0))))*(INDEX(avoidedcosttbl2,$H346,BN$2)+(($H346-ROUNDDOWN($H346,0))*(INDEX(avoidedcosttbl2,ROUNDUP($H346,0),BN$2)-(INDEX(avoidedcosttbl2,ROUNDDOWN($H346,0),BN$2)))))*'Inputs Yr 2'!P346*'Inputs Yr 2'!Q346*'Inputs Yr 2'!U346,"")</f>
        <v/>
      </c>
      <c r="BO346" s="195" t="str">
        <f>IFERROR($G346*(IF('Inputs Yr 2'!$AJ346=BO$4,'Inputs Yr 2'!$AK346,IF('Inputs Yr 2'!$AL346=BO$4,'Inputs Yr 2'!$AM346,IF('Inputs Yr 2'!$AN346=BO$4,'Inputs Yr 2'!$AO346,0))))*(INDEX(avoidedcosttbl2,$H346,BO$2)+(($H346-ROUNDDOWN($H346,0))*(INDEX(avoidedcosttbl2,ROUNDUP($H346,0),BO$2)-(INDEX(avoidedcosttbl2,ROUNDDOWN($H346,0),BO$2)))))*'Inputs Yr 2'!P346*'Inputs Yr 2'!Q346*'Inputs Yr 2'!U346,"")</f>
        <v/>
      </c>
      <c r="BP346" s="195" t="str">
        <f>IFERROR($G346*(IF('Inputs Yr 2'!$AJ346=BP$4,'Inputs Yr 2'!$AK346,IF('Inputs Yr 2'!$AL346=BP$4,'Inputs Yr 2'!$AM346,IF('Inputs Yr 2'!$AN346=BP$4,'Inputs Yr 2'!$AO346,0))))*(INDEX(avoidedcosttbl2,$H346,BP$2)+(($H346-ROUNDDOWN($H346,0))*(INDEX(avoidedcosttbl2,ROUNDUP($H346,0),BP$2)-(INDEX(avoidedcosttbl2,ROUNDDOWN($H346,0),BP$2)))))*'Inputs Yr 2'!P346*'Inputs Yr 2'!Q346*'Inputs Yr 2'!U346,"")</f>
        <v/>
      </c>
      <c r="BQ346" s="230">
        <f t="shared" si="188"/>
        <v>0</v>
      </c>
      <c r="BR346" s="197" t="str">
        <f t="shared" si="172"/>
        <v/>
      </c>
      <c r="BS346" s="197" t="str">
        <f>IFERROR(($G346*IF('Inputs Yr 2'!$AJ346=BM$4,'Inputs Yr 2'!$AK346,IF('Inputs Yr 2'!$AL346=BM$4,'Inputs Yr 2'!$AM346,IF('Inputs Yr 2'!$AN346=BM$4,'Inputs Yr 2'!$AO346,0))))*(INDEX(avoidedcosttbl2,$H346,BS$2)+(($H346-ROUNDDOWN($H346,0))*(INDEX(avoidedcosttbl2,ROUNDUP($H346,0),BS$2)-(INDEX(avoidedcosttbl2,ROUNDDOWN($H346,0),BS$2)))))*'Inputs Yr 2'!P346*'Inputs Yr 2'!Q346*'Inputs Yr 2'!U346,"")</f>
        <v/>
      </c>
      <c r="BT346" s="197" t="str">
        <f>IFERROR(($G346*IF('Inputs Yr 2'!$AJ346=BK$4,'Inputs Yr 2'!$AK346,IF('Inputs Yr 2'!$AL346=BK$4,'Inputs Yr 2'!$AM346,IF('Inputs Yr 2'!$AN346=BK$4,'Inputs Yr 2'!$AO346,0))))*(INDEX(avoidedcosttbl2,$H346,BT$2)+(($H346-ROUNDDOWN($H346,0))*(INDEX(avoidedcosttbl2,ROUNDUP($H346,0),BT$2)-(INDEX(avoidedcosttbl2,ROUNDDOWN($H346,0),BT$2)))))*'Inputs Yr 2'!P346*'Inputs Yr 2'!Q346*'Inputs Yr 2'!U346,"")</f>
        <v/>
      </c>
      <c r="BU346" s="197" t="str">
        <f>IFERROR(($G346*IF('Inputs Yr 2'!$AJ346=BL$4,'Inputs Yr 2'!$AK346,IF('Inputs Yr 2'!$AL346=BL$4,'Inputs Yr 2'!$AM346,IF('Inputs Yr 2'!$AN346=BL$4,'Inputs Yr 2'!$AO346,0))))*(INDEX(avoidedcosttbl2,$H346,BU$2)+(($H346-ROUNDDOWN($H346,0))*(INDEX(avoidedcosttbl2,ROUNDUP($H346,0),BU$2)-(INDEX(avoidedcosttbl2,ROUNDDOWN($H346,0),BU$2)))))*'Inputs Yr 2'!P346*'Inputs Yr 2'!Q346*'Inputs Yr 2'!U346,"")</f>
        <v/>
      </c>
      <c r="BV346" s="775" t="str">
        <f>IFERROR(($G346*IF('Inputs Yr 2'!$AJ346=BJ$4,'Inputs Yr 2'!$AK346,IF('Inputs Yr 2'!$AL346=BJ$4,'Inputs Yr 2'!$AM346,IF('Inputs Yr 2'!$AN346=BJ$4,'Inputs Yr 2'!$AO346,0))))*(INDEX(avoidedcosttbl2,$H346,BV$2)+(($H346-ROUNDDOWN($H346,0))*(INDEX(avoidedcosttbl2,ROUNDUP($H346,0),BV$2)-(INDEX(avoidedcosttbl2,ROUNDDOWN($H346,0),BV$2)))))*'Inputs Yr 2'!P346*'Inputs Yr 2'!Q346*'Inputs Yr 2'!U346,"")</f>
        <v/>
      </c>
      <c r="BW346" s="197" t="str">
        <f>IFERROR(($G346*IF('Inputs Yr 2'!$AJ346=BN$4,'Inputs Yr 2'!$AK346,IF('Inputs Yr 2'!$AL346=BN$4,'Inputs Yr 2'!$AM346,IF('Inputs Yr 2'!$AN346=BN$4,'Inputs Yr 2'!$AO346,0))))*(INDEX(avoidedcosttbl2,$H346,BW$2)+(($H346-ROUNDDOWN($H346,0))*(INDEX(avoidedcosttbl2,ROUNDUP($H346,0),BW$2)-(INDEX(avoidedcosttbl2,ROUNDDOWN($H346,0),BW$2)))))*'Inputs Yr 2'!P346*'Inputs Yr 2'!Q346*'Inputs Yr 2'!U346,"")</f>
        <v/>
      </c>
      <c r="BX346" s="197" t="str">
        <f>IFERROR(($G346*IF('Inputs Yr 2'!$AJ346=BO$4,'Inputs Yr 2'!$AK346,IF('Inputs Yr 2'!$AL346=BO$4,'Inputs Yr 2'!$AM346,IF('Inputs Yr 2'!$AN346=BO$4,'Inputs Yr 2'!$AO346,0))))*(INDEX(avoidedcosttbl2,$H346,BX$2)+(($H346-ROUNDDOWN($H346,0))*(INDEX(avoidedcosttbl2,ROUNDUP($H346,0),BX$2)-(INDEX(avoidedcosttbl2,ROUNDDOWN($H346,0),BX$2)))))*'Inputs Yr 2'!P346*'Inputs Yr 2'!Q346*'Inputs Yr 2'!U346,"")</f>
        <v/>
      </c>
      <c r="BY346" s="197" t="str">
        <f>IFERROR(($G346*IF('Inputs Yr 2'!$AJ346=BP$4,'Inputs Yr 2'!$AK346,IF('Inputs Yr 2'!$AL346=BP$4,'Inputs Yr 2'!$AM346,IF('Inputs Yr 2'!$AN346=BP$4,'Inputs Yr 2'!$AO346,0))))*(INDEX(avoidedcosttbl2,$H346,BY$2)+(($H346-ROUNDDOWN($H346,0))*(INDEX(avoidedcosttbl2,ROUNDUP($H346,0),BY$2)-(INDEX(avoidedcosttbl2,ROUNDDOWN($H346,0),BY$2)))))*'Inputs Yr 2'!P346*'Inputs Yr 2'!Q346*'Inputs Yr 2'!U346,"")</f>
        <v/>
      </c>
      <c r="BZ346" s="193">
        <f t="shared" si="189"/>
        <v>0</v>
      </c>
      <c r="CA346" s="193">
        <f t="shared" si="190"/>
        <v>0</v>
      </c>
      <c r="CB346" s="195" t="str">
        <f>IFERROR(G346*(IF('Inputs Yr 2'!$AJ346=CB$4,'Inputs Yr 2'!$AK346,IF('Inputs Yr 2'!$AL346=CB$4,'Inputs Yr 2'!$AM346,IF('Inputs Yr 2'!$AN346=CB$4,'Inputs Yr 2'!$AO346,0))))*(INDEX(avoidedcosttbl2,$H346,CB$2)+(($H346-ROUNDDOWN($H346,0))*(INDEX(avoidedcosttbl2,ROUNDUP($H346,0),CB$2)-(INDEX(avoidedcosttbl2,ROUNDDOWN($H346,0),CB$2)))))*'Inputs Yr 2'!P346*'Inputs Yr 2'!Q346*'Inputs Yr 2'!U346,"")</f>
        <v/>
      </c>
      <c r="CC346" s="195" t="str">
        <f>IFERROR(H346*(IF('Inputs Yr 2'!$AJ346=CC$4,'Inputs Yr 2'!$AK346,IF('Inputs Yr 2'!$AL346=CC$4,'Inputs Yr 2'!$AM346,IF('Inputs Yr 2'!$AN346=CC$4,'Inputs Yr 2'!$AO346,0))))*(INDEX(avoidedcosttbl2,$H346,CC$2)+(($H346-ROUNDDOWN($H346,0))*(INDEX(avoidedcosttbl2,ROUNDUP($H346,0),CC$2)-(INDEX(avoidedcosttbl2,ROUNDDOWN($H346,0),CC$2)))))*'Inputs Yr 2'!Q346*'Inputs Yr 2'!R346*'Inputs Yr 2'!V346,"")</f>
        <v/>
      </c>
      <c r="CD346" s="195" t="str">
        <f>IFERROR(I346*(IF('Inputs Yr 2'!$AJ346=CD$4,'Inputs Yr 2'!$AK346,IF('Inputs Yr 2'!$AL346=CD$4,'Inputs Yr 2'!$AM346,IF('Inputs Yr 2'!$AN346=CD$4,'Inputs Yr 2'!$AO346,0))))*(INDEX(avoidedcosttbl2,$H346,CD$2)+(($H346-ROUNDDOWN($H346,0))*(INDEX(avoidedcosttbl2,ROUNDUP($H346,0),CD$2)-(INDEX(avoidedcosttbl2,ROUNDDOWN($H346,0),CD$2)))))*'Inputs Yr 2'!R346*'Inputs Yr 2'!S346*'Inputs Yr 2'!W346,"")</f>
        <v/>
      </c>
      <c r="CE346" s="213" t="str">
        <f t="shared" si="191"/>
        <v/>
      </c>
      <c r="CF346" s="213" t="str">
        <f t="shared" si="192"/>
        <v/>
      </c>
      <c r="CG346" s="213" t="str">
        <f t="shared" si="193"/>
        <v/>
      </c>
      <c r="CH346" s="698">
        <f t="shared" si="194"/>
        <v>0</v>
      </c>
      <c r="CI346" s="79" t="str">
        <f>IFERROR(($G346*'Inputs Yr 2'!$P346*'Inputs Yr 2'!$Q346*(((INDEX(avoidedcosttbl2,$H346,CI$2)+(($H346-ROUNDDOWN($H346,0))*(INDEX(avoidedcosttbl2,ROUNDUP($H346,0),CI$2)-INDEX(avoidedcosttbl2,ROUNDDOWN($H346,0),CI$2))))*'Inputs Yr 2'!AS346))),"")</f>
        <v/>
      </c>
      <c r="CJ346" s="504" t="str">
        <f>IFERROR($G346*'Inputs Yr 2'!AT346*'Inputs Yr 2'!$P346*'Inputs Yr 2'!$Q346/((1+realdiscrt1)^-0.5),"")</f>
        <v/>
      </c>
      <c r="CK346" s="79" t="str">
        <f>IFERROR((O346*1000*(((INDEX(avoidedcosttbl2,$H346,CK$2)+(($H346-ROUNDDOWN($H346,0))*(INDEX(avoidedcosttbl2,ROUNDUP($H346,0),CK$2)-INDEX(avoidedcosttbl2,ROUNDDOWN($H346,0),CK$2))))*'Inputs Yr 2'!AU346))),"")</f>
        <v/>
      </c>
      <c r="CL346" s="504" t="str">
        <f>IFERROR(O346*1000*'Inputs Yr 2'!AV346/((1+realdiscrt1)^-0.5),"")</f>
        <v/>
      </c>
      <c r="CM346" s="79" t="str">
        <f>IFERROR((AB346*'Inputs Yr 2'!AW346*(((INDEX(avoidedcosttbl2,$H346,CM$2)+(($H346-ROUNDDOWN($H346,0))*(INDEX(avoidedcosttbl2,ROUNDUP($H346,0),CM$2)-INDEX(avoidedcosttbl2,ROUNDDOWN($H346,0),CM$2)))))))*10,"")</f>
        <v/>
      </c>
      <c r="CN346" s="504">
        <f>IFERROR(10*AB346*'Inputs Yr 2'!AX346/((1+realdiscrt1)^-0.5),"")</f>
        <v>0</v>
      </c>
      <c r="CO346" s="505">
        <f t="shared" si="195"/>
        <v>0</v>
      </c>
      <c r="CP346" s="230">
        <f t="shared" si="196"/>
        <v>0</v>
      </c>
      <c r="CQ346" s="199">
        <f>ROUND(IFERROR(IF(LEFT($A346,1)="C",'Avoided Costs'!$K$13,'Avoided Costs'!$K$12)+1,""),4)</f>
        <v>1.0720000000000001</v>
      </c>
      <c r="CR346" s="199">
        <f>ROUND(IFERROR(IF(LEFT($A346,1)="C",'Avoided Costs'!$L$13,'Avoided Costs'!$L$12)+1,""),4)</f>
        <v>1.04</v>
      </c>
      <c r="CS346" s="199">
        <f>ROUND(IFERROR(IF(LEFT($A346,1)="C",'Avoided Costs'!$M$13,'Avoided Costs'!$M$12)+1,""),4)</f>
        <v>1.0720000000000001</v>
      </c>
      <c r="CT346" s="199">
        <f>ROUND(IFERROR(IF(LEFT($A346,1)="C",'Avoided Costs'!$N$13,'Avoided Costs'!$N$12)+1,""),4)</f>
        <v>1.04</v>
      </c>
      <c r="CU346" s="199">
        <f>ROUND(IFERROR(IF(LEFT($A346,1)="C",'Avoided Costs'!$O$13,'Avoided Costs'!$O$12)+1,""),4)</f>
        <v>1.1120000000000001</v>
      </c>
      <c r="CV346" s="199">
        <f>ROUND(IFERROR(IF(LEFT($A346,1)="C",'Avoided Costs'!$P$13,'Avoided Costs'!$P$12)+1,""),4)</f>
        <v>1.095</v>
      </c>
      <c r="CW346" s="199">
        <f>ROUND(IFERROR(IF(LEFT($A346,1)="C",'Avoided Costs'!$Q$13,'Avoided Costs'!$Q$12)+1,""),4)</f>
        <v>1.1120000000000001</v>
      </c>
      <c r="CX346" s="200">
        <f>ROUND(IFERROR(IF(LEFT($A346,1)="C",'Avoided Costs'!$R$13,'Avoided Costs'!$R$12)+1,""),4)</f>
        <v>1.1120000000000001</v>
      </c>
    </row>
    <row r="347" spans="1:102" ht="12.75" customHeight="1">
      <c r="A347" s="91" t="str">
        <f>IF('Inputs Yr 2'!$B347=0,"",'Inputs Yr 2'!A347)</f>
        <v>C - Commercial &amp; Industrial</v>
      </c>
      <c r="B347" s="91" t="str">
        <f>IF('Inputs Yr 2'!$B347=0,"",'Inputs Yr 2'!B347)</f>
        <v>C2 - C&amp;I Retrofit</v>
      </c>
      <c r="C347" s="91" t="str">
        <f>IF('Inputs Yr 2'!$B347=0,"",'Inputs Yr 2'!C347)</f>
        <v xml:space="preserve">C2c - C&amp;I Multifamily Retrofit </v>
      </c>
      <c r="D347" s="91" t="str">
        <f>IF('Inputs Yr 2'!$B347=0,"",'Inputs Yr 2'!E347)</f>
        <v>Low Flow Showerhead with TSV, Gas</v>
      </c>
      <c r="E347" s="93" t="str">
        <f>IF('Inputs Yr 2'!$B347=0,"",'Inputs Yr 2'!F347)</f>
        <v>G16C2c22</v>
      </c>
      <c r="F347" s="93" t="str">
        <f>IF('Inputs Yr 2'!$B347=0,"",'Inputs Yr 2'!G347)</f>
        <v>Hot Water</v>
      </c>
      <c r="G347" s="95">
        <f>IF('Inputs Yr 2'!$H347&lt;&gt;0,('Inputs Yr 2'!H347),"")</f>
        <v>67</v>
      </c>
      <c r="H347" s="94">
        <f>IFERROR('Inputs Yr 2'!I347,"")</f>
        <v>7</v>
      </c>
      <c r="I347" s="298">
        <f>IFERROR('Inputs Yr 2'!J347*'Inputs Yr 2'!P347*G347,"")</f>
        <v>2254.5</v>
      </c>
      <c r="J347" s="298">
        <f>IFERROR('Inputs Yr 2'!K347*G347,"")</f>
        <v>2254.5</v>
      </c>
      <c r="K347" s="298">
        <f t="shared" si="173"/>
        <v>0</v>
      </c>
      <c r="L347" s="194">
        <f>IFERROR(('Inputs Yr 2'!W347*G347)/1000,"")</f>
        <v>0</v>
      </c>
      <c r="M347" s="194">
        <f>IFERROR(L347*('Inputs Yr 2'!$Q347*'Inputs Yr 2'!$V347*'Inputs Yr 2'!$R347),"")</f>
        <v>0</v>
      </c>
      <c r="N347" s="194">
        <f t="shared" si="174"/>
        <v>0</v>
      </c>
      <c r="O347" s="194">
        <f>IFERROR(M347*'Inputs Yr 2'!P347,"")</f>
        <v>0</v>
      </c>
      <c r="P347" s="194">
        <f t="shared" si="175"/>
        <v>0</v>
      </c>
      <c r="Q347" s="194">
        <f>IFERROR($P347*'Inputs Yr 2'!AA347,"")</f>
        <v>0</v>
      </c>
      <c r="R347" s="194">
        <f>IFERROR($P347*'Inputs Yr 2'!AB347,"")</f>
        <v>0</v>
      </c>
      <c r="S347" s="194">
        <f>IFERROR($P347*'Inputs Yr 2'!AC347,"")</f>
        <v>0</v>
      </c>
      <c r="T347" s="194">
        <f>IFERROR($P347*'Inputs Yr 2'!AD347,"")</f>
        <v>0</v>
      </c>
      <c r="U347" s="194">
        <f>IFERROR(G347*'Inputs Yr 2'!$AE347*'Inputs Yr 2'!$P347*'Inputs Yr 2'!$Q347,"")</f>
        <v>0</v>
      </c>
      <c r="V347" s="194">
        <f>IFERROR($G347*'Inputs Yr 2'!$AE347*'Inputs Yr 2'!$AG347*'Inputs Yr 2'!Q347*'Inputs Yr 2'!$S347,"")</f>
        <v>0</v>
      </c>
      <c r="W347" s="194">
        <f>IFERROR($G347*'Inputs Yr 2'!$AE347*'Inputs Yr 2'!$AG347*'Inputs Yr 2'!P347*'Inputs Yr 2'!Q347*'Inputs Yr 2'!$S347,"")</f>
        <v>0</v>
      </c>
      <c r="X347" s="194">
        <f>IFERROR($G347*'Inputs Yr 2'!$AE347*'Inputs Yr 2'!$AF347*'Inputs Yr 2'!Q347*'Inputs Yr 2'!$T347,"")</f>
        <v>0</v>
      </c>
      <c r="Y347" s="194">
        <f>IFERROR($G347*'Inputs Yr 2'!$AE347*'Inputs Yr 2'!$AF347*'Inputs Yr 2'!P347*'Inputs Yr 2'!Q347*'Inputs Yr 2'!$T347,"")</f>
        <v>0</v>
      </c>
      <c r="Z347" s="257">
        <f>IFERROR($G347*'Inputs Yr 2'!$Q347*'Inputs Yr 2'!$U347*(IF(IFERROR(SEARCH("NG", 'Inputs Yr 2'!$AJ347),0),'Inputs Yr 2'!$AK347,0)+IF(IFERROR(SEARCH("NG", 'Inputs Yr 2'!$AL347),0),'Inputs Yr 2'!$AM347,0)+IF(IFERROR(SEARCH("NG", 'Inputs Yr 2'!$AN347),0),'Inputs Yr 2'!$AO347,0)),0)</f>
        <v>111.22000000000001</v>
      </c>
      <c r="AA347" s="257">
        <f t="shared" si="176"/>
        <v>778.54000000000008</v>
      </c>
      <c r="AB347" s="257">
        <f>IFERROR(Z347*'Inputs Yr 2'!$P347,0)</f>
        <v>111.22000000000001</v>
      </c>
      <c r="AC347" s="257">
        <f t="shared" si="177"/>
        <v>778.54000000000008</v>
      </c>
      <c r="AD347" s="257">
        <f>IFERROR($G347*'Inputs Yr 2'!$Q347*'Inputs Yr 2'!$U347*(IF(IFERROR(SEARCH("Oil", 'Inputs Yr 2'!$AJ347), 0),'Inputs Yr 2'!$AK347,0)+IF(IFERROR(SEARCH("Oil", 'Inputs Yr 2'!$AL347), 0),'Inputs Yr 2'!$AM347,0)+IF(IFERROR(SEARCH("Oil", 'Inputs Yr 2'!$AN347), 0),'Inputs Yr 2'!$AO347,0)),0)</f>
        <v>0</v>
      </c>
      <c r="AE347" s="257">
        <f t="shared" si="178"/>
        <v>0</v>
      </c>
      <c r="AF347" s="257">
        <f>IFERROR(AD347*'Inputs Yr 2'!$P347,0)</f>
        <v>0</v>
      </c>
      <c r="AG347" s="257">
        <f t="shared" si="179"/>
        <v>0</v>
      </c>
      <c r="AH347" s="257">
        <f>IFERROR($G347*'Inputs Yr 2'!$Q347*'Inputs Yr 2'!$U347*(IF('Inputs Yr 2'!$AJ347=CD$4,'Inputs Yr 2'!$AK347,IF('Inputs Yr 2'!$AL347=CD$4,'Inputs Yr 2'!$AM347,IF('Inputs Yr 2'!$AN347=CD$4,'Inputs Yr 2'!$AO347,0)))),0)</f>
        <v>0</v>
      </c>
      <c r="AI347" s="257">
        <f t="shared" si="180"/>
        <v>0</v>
      </c>
      <c r="AJ347" s="257">
        <f>IFERROR(AH347*'Inputs Yr 2'!$P347,0)</f>
        <v>0</v>
      </c>
      <c r="AK347" s="257">
        <f t="shared" si="181"/>
        <v>0</v>
      </c>
      <c r="AL347" s="258">
        <f>IFERROR($G347*'Inputs Yr 2'!$P347*'Inputs Yr 2'!$Q347*'Inputs Yr 2'!AP347,0)</f>
        <v>182441</v>
      </c>
      <c r="AM347" s="260">
        <f>IFERROR($G347*'Inputs Yr 2'!$P347*'Inputs Yr 2'!$Q347*'Inputs Yr 2'!AQ347,0)</f>
        <v>0</v>
      </c>
      <c r="AN347" s="258">
        <f>IFERROR($G347*'Inputs Yr 2'!$P347*'Inputs Yr 2'!$Q347*'Inputs Yr 2'!AR347,0)</f>
        <v>0</v>
      </c>
      <c r="AO347" s="257">
        <f t="shared" si="182"/>
        <v>1277087</v>
      </c>
      <c r="AP347" s="195">
        <f>IFERROR($CQ347*(INDEX(avoidedcosttbl2,$H347,AP$2)+(($H347-ROUNDDOWN($H347,0))*(INDEX(avoidedcosttbl2,ROUNDUP($H347,0),AP$2)-(INDEX(avoidedcosttbl2,ROUNDDOWN($H347,0),AP$2)))))*$O347*1000*'Inputs Yr 2'!AA347,"")</f>
        <v>0</v>
      </c>
      <c r="AQ347" s="195">
        <f>IFERROR($CR347*(INDEX(avoidedcosttbl2,$H347,AQ$2)+(($H347-ROUNDDOWN($H347,0))*(INDEX(avoidedcosttbl2,ROUNDUP($H347,0),AQ$2)-(INDEX(avoidedcosttbl2,ROUNDDOWN($H347,0),AQ$2)))))*$O347*1000*'Inputs Yr 2'!AB347,"")</f>
        <v>0</v>
      </c>
      <c r="AR347" s="195">
        <f>IFERROR($CS347*(INDEX(avoidedcosttbl2,$H347,AR$2)+(($H347-ROUNDDOWN($H347,0))*(INDEX(avoidedcosttbl2,ROUNDUP($H347,0),AR$2)-(INDEX(avoidedcosttbl2,ROUNDDOWN($H347,0),AR$2)))))*$O347*1000*'Inputs Yr 2'!AC347,"")</f>
        <v>0</v>
      </c>
      <c r="AS347" s="195">
        <f>IFERROR($CT347*(INDEX(avoidedcosttbl2,$H347,AS$2)+(($H347-ROUNDDOWN($H347,0))*(INDEX(avoidedcosttbl2,ROUNDUP($H347,0),AS$2)-(INDEX(avoidedcosttbl2,ROUNDDOWN($H347,0),AS$2)))))*$O347*1000*'Inputs Yr 2'!AD347,"")</f>
        <v>0</v>
      </c>
      <c r="AT347" s="196">
        <f t="shared" si="183"/>
        <v>0</v>
      </c>
      <c r="AU347" s="197">
        <f>IFERROR($CQ347*((INDEX(avoidedcosttbl2,$H347,AU$2))+(($H347-ROUNDDOWN($H347,0))*((INDEX(avoidedcosttbl2,ROUNDUP($H347,0),AU$2))-(INDEX(avoidedcosttbl2,ROUNDDOWN($H347,0),AU$2)))))*$O347*1000*'Inputs Yr 2'!AA347,"")</f>
        <v>0</v>
      </c>
      <c r="AV347" s="197">
        <f>IFERROR($CR347*((INDEX(avoidedcosttbl2,$H347,AV$2))+(($H347-ROUNDDOWN($H347,0))*((INDEX(avoidedcosttbl2,ROUNDUP($H347,0),AV$2))-(INDEX(avoidedcosttbl2,ROUNDDOWN($H347,0),AV$2)))))*$O347*1000*'Inputs Yr 2'!AB347,"")</f>
        <v>0</v>
      </c>
      <c r="AW347" s="197">
        <f>IFERROR($CS347*((INDEX(avoidedcosttbl2,$H347,AW$2))+(($H347-ROUNDDOWN($H347,0))*((INDEX(avoidedcosttbl2,ROUNDUP($H347,0),AW$2))-(INDEX(avoidedcosttbl2,ROUNDDOWN($H347,0),AW$2)))))*$O347*1000*'Inputs Yr 2'!AC347,"")</f>
        <v>0</v>
      </c>
      <c r="AX347" s="197">
        <f>IFERROR($CT347*((INDEX(avoidedcosttbl2,$H347,AX$2))+(($H347-ROUNDDOWN($H347,0))*((INDEX(avoidedcosttbl2,ROUNDUP($H347,0),AX$2))-(INDEX(avoidedcosttbl2,ROUNDDOWN($H347,0),AX$2)))))*$O347*1000*'Inputs Yr 2'!AD347,"")</f>
        <v>0</v>
      </c>
      <c r="AY347" s="197">
        <f>IFERROR(((INDEX(avoidedcosttbl2,$H347,AY$2))+(($H347-ROUNDDOWN($H347,0))*((INDEX(avoidedcosttbl2,ROUNDUP($H347,0),AY$2))-(INDEX(avoidedcosttbl2,ROUNDDOWN($H347,0),AY$2)))))*$O347*1000*('Inputs Yr 2'!AC347+'Inputs Yr 2'!AD347),"")</f>
        <v>0</v>
      </c>
      <c r="AZ347" s="197">
        <f>IFERROR(((INDEX(avoidedcosttbl2,$H347,AZ$2))+(($H347-ROUNDDOWN($H347,0))*((INDEX(avoidedcosttbl2,ROUNDUP($H347,0),AZ$2))-(INDEX(avoidedcosttbl2,ROUNDDOWN($H347,0),AZ$2)))))*$O347*1000*('Inputs Yr 2'!AA347+'Inputs Yr 2'!AB347),"")</f>
        <v>0</v>
      </c>
      <c r="BA347" s="198">
        <f t="shared" si="184"/>
        <v>0</v>
      </c>
      <c r="BB347" s="198">
        <f t="shared" si="185"/>
        <v>0</v>
      </c>
      <c r="BC347" s="195">
        <f t="shared" si="167"/>
        <v>0</v>
      </c>
      <c r="BD347" s="195">
        <f t="shared" si="168"/>
        <v>0</v>
      </c>
      <c r="BE347" s="195">
        <f t="shared" si="169"/>
        <v>0</v>
      </c>
      <c r="BF347" s="195">
        <f t="shared" si="170"/>
        <v>0</v>
      </c>
      <c r="BG347" s="195">
        <f t="shared" si="171"/>
        <v>0</v>
      </c>
      <c r="BH347" s="196">
        <f t="shared" si="186"/>
        <v>0</v>
      </c>
      <c r="BI347" s="196">
        <f t="shared" si="187"/>
        <v>0</v>
      </c>
      <c r="BJ347" s="195">
        <f>IFERROR($G347*(IF('Inputs Yr 2'!$AJ347=BJ$4,'Inputs Yr 2'!$AK347,IF('Inputs Yr 2'!$AL347=BJ$4,'Inputs Yr 2'!$AM347,IF('Inputs Yr 2'!$AN347=BJ$4,'Inputs Yr 2'!$AO347,0))))*(INDEX(avoidedcosttbl2,$H347,BJ$2)+(($H347-ROUNDDOWN($H347,0))*(INDEX(avoidedcosttbl2,ROUNDUP($H347,0),BJ$2)-(INDEX(avoidedcosttbl2,ROUNDDOWN($H347,0),BJ$2)))))*'Inputs Yr 2'!P347*'Inputs Yr 2'!Q347*'Inputs Yr 2'!U347,"")</f>
        <v>0</v>
      </c>
      <c r="BK347" s="195">
        <f>IFERROR($G347*(IF('Inputs Yr 2'!$AJ347=BK$4,'Inputs Yr 2'!$AK347,IF('Inputs Yr 2'!$AL347=BK$4,'Inputs Yr 2'!$AM347,IF('Inputs Yr 2'!$AN347=BK$4,'Inputs Yr 2'!$AO347,0))))*(INDEX(avoidedcosttbl2,$H347,BK$2)+(($H347-ROUNDDOWN($H347,0))*(INDEX(avoidedcosttbl2,ROUNDUP($H347,0),BK$2)-(INDEX(avoidedcosttbl2,ROUNDDOWN($H347,0),BK$2)))))*'Inputs Yr 2'!P347*'Inputs Yr 2'!Q347*'Inputs Yr 2'!U347,"")</f>
        <v>6008.1244683603882</v>
      </c>
      <c r="BL347" s="195">
        <f>IFERROR($G347*(IF('Inputs Yr 2'!$AJ347=BL$4,'Inputs Yr 2'!$AK347,IF('Inputs Yr 2'!$AL347=BL$4,'Inputs Yr 2'!$AM347,IF('Inputs Yr 2'!$AN347=BL$4,'Inputs Yr 2'!$AO347,0))))*(INDEX(avoidedcosttbl2,$H347,BL$2)+(($H347-ROUNDDOWN($H347,0))*(INDEX(avoidedcosttbl2,ROUNDUP($H347,0),BL$2)-(INDEX(avoidedcosttbl2,ROUNDDOWN($H347,0),BL$2)))))*'Inputs Yr 2'!P347*'Inputs Yr 2'!Q347*'Inputs Yr 2'!U347,"")</f>
        <v>0</v>
      </c>
      <c r="BM347" s="195">
        <f>IFERROR($G347*(IF('Inputs Yr 2'!$AJ347=BM$4,'Inputs Yr 2'!$AK347,IF('Inputs Yr 2'!$AL347=BM$4,'Inputs Yr 2'!$AM347,IF('Inputs Yr 2'!$AN347=BM$4,'Inputs Yr 2'!$AO347,0))))*(INDEX(avoidedcosttbl2,$H347,BM$2)+(($H347-ROUNDDOWN($H347,0))*(INDEX(avoidedcosttbl2,ROUNDUP($H347,0),BM$2)-(INDEX(avoidedcosttbl2,ROUNDDOWN($H347,0),BM$2)))))*'Inputs Yr 2'!P347*'Inputs Yr 2'!Q347*'Inputs Yr 2'!U347,"")</f>
        <v>0</v>
      </c>
      <c r="BN347" s="195">
        <f>IFERROR($G347*(IF('Inputs Yr 2'!$AJ347=BN$4,'Inputs Yr 2'!$AK347,IF('Inputs Yr 2'!$AL347=BN$4,'Inputs Yr 2'!$AM347,IF('Inputs Yr 2'!$AN347=BN$4,'Inputs Yr 2'!$AO347,0))))*(INDEX(avoidedcosttbl2,$H347,BN$2)+(($H347-ROUNDDOWN($H347,0))*(INDEX(avoidedcosttbl2,ROUNDUP($H347,0),BN$2)-(INDEX(avoidedcosttbl2,ROUNDDOWN($H347,0),BN$2)))))*'Inputs Yr 2'!P347*'Inputs Yr 2'!Q347*'Inputs Yr 2'!U347,"")</f>
        <v>0</v>
      </c>
      <c r="BO347" s="195">
        <f>IFERROR($G347*(IF('Inputs Yr 2'!$AJ347=BO$4,'Inputs Yr 2'!$AK347,IF('Inputs Yr 2'!$AL347=BO$4,'Inputs Yr 2'!$AM347,IF('Inputs Yr 2'!$AN347=BO$4,'Inputs Yr 2'!$AO347,0))))*(INDEX(avoidedcosttbl2,$H347,BO$2)+(($H347-ROUNDDOWN($H347,0))*(INDEX(avoidedcosttbl2,ROUNDUP($H347,0),BO$2)-(INDEX(avoidedcosttbl2,ROUNDDOWN($H347,0),BO$2)))))*'Inputs Yr 2'!P347*'Inputs Yr 2'!Q347*'Inputs Yr 2'!U347,"")</f>
        <v>0</v>
      </c>
      <c r="BP347" s="195">
        <f>IFERROR($G347*(IF('Inputs Yr 2'!$AJ347=BP$4,'Inputs Yr 2'!$AK347,IF('Inputs Yr 2'!$AL347=BP$4,'Inputs Yr 2'!$AM347,IF('Inputs Yr 2'!$AN347=BP$4,'Inputs Yr 2'!$AO347,0))))*(INDEX(avoidedcosttbl2,$H347,BP$2)+(($H347-ROUNDDOWN($H347,0))*(INDEX(avoidedcosttbl2,ROUNDUP($H347,0),BP$2)-(INDEX(avoidedcosttbl2,ROUNDDOWN($H347,0),BP$2)))))*'Inputs Yr 2'!P347*'Inputs Yr 2'!Q347*'Inputs Yr 2'!U347,"")</f>
        <v>0</v>
      </c>
      <c r="BQ347" s="230">
        <f t="shared" si="188"/>
        <v>6008.1244683603882</v>
      </c>
      <c r="BR347" s="197">
        <f t="shared" si="172"/>
        <v>107.37914615585635</v>
      </c>
      <c r="BS347" s="197">
        <f>IFERROR(($G347*IF('Inputs Yr 2'!$AJ347=BM$4,'Inputs Yr 2'!$AK347,IF('Inputs Yr 2'!$AL347=BM$4,'Inputs Yr 2'!$AM347,IF('Inputs Yr 2'!$AN347=BM$4,'Inputs Yr 2'!$AO347,0))))*(INDEX(avoidedcosttbl2,$H347,BS$2)+(($H347-ROUNDDOWN($H347,0))*(INDEX(avoidedcosttbl2,ROUNDUP($H347,0),BS$2)-(INDEX(avoidedcosttbl2,ROUNDDOWN($H347,0),BS$2)))))*'Inputs Yr 2'!P347*'Inputs Yr 2'!Q347*'Inputs Yr 2'!U347,"")</f>
        <v>0</v>
      </c>
      <c r="BT347" s="197">
        <f>IFERROR(($G347*IF('Inputs Yr 2'!$AJ347=BK$4,'Inputs Yr 2'!$AK347,IF('Inputs Yr 2'!$AL347=BK$4,'Inputs Yr 2'!$AM347,IF('Inputs Yr 2'!$AN347=BK$4,'Inputs Yr 2'!$AO347,0))))*(INDEX(avoidedcosttbl2,$H347,BT$2)+(($H347-ROUNDDOWN($H347,0))*(INDEX(avoidedcosttbl2,ROUNDUP($H347,0),BT$2)-(INDEX(avoidedcosttbl2,ROUNDDOWN($H347,0),BT$2)))))*'Inputs Yr 2'!P347*'Inputs Yr 2'!Q347*'Inputs Yr 2'!U347,"")</f>
        <v>818.50848104600141</v>
      </c>
      <c r="BU347" s="197">
        <f>IFERROR(($G347*IF('Inputs Yr 2'!$AJ347=BL$4,'Inputs Yr 2'!$AK347,IF('Inputs Yr 2'!$AL347=BL$4,'Inputs Yr 2'!$AM347,IF('Inputs Yr 2'!$AN347=BL$4,'Inputs Yr 2'!$AO347,0))))*(INDEX(avoidedcosttbl2,$H347,BU$2)+(($H347-ROUNDDOWN($H347,0))*(INDEX(avoidedcosttbl2,ROUNDUP($H347,0),BU$2)-(INDEX(avoidedcosttbl2,ROUNDDOWN($H347,0),BU$2)))))*'Inputs Yr 2'!P347*'Inputs Yr 2'!Q347*'Inputs Yr 2'!U347,"")</f>
        <v>0</v>
      </c>
      <c r="BV347" s="775">
        <f>IFERROR(($G347*IF('Inputs Yr 2'!$AJ347=BJ$4,'Inputs Yr 2'!$AK347,IF('Inputs Yr 2'!$AL347=BJ$4,'Inputs Yr 2'!$AM347,IF('Inputs Yr 2'!$AN347=BJ$4,'Inputs Yr 2'!$AO347,0))))*(INDEX(avoidedcosttbl2,$H347,BV$2)+(($H347-ROUNDDOWN($H347,0))*(INDEX(avoidedcosttbl2,ROUNDUP($H347,0),BV$2)-(INDEX(avoidedcosttbl2,ROUNDDOWN($H347,0),BV$2)))))*'Inputs Yr 2'!P347*'Inputs Yr 2'!Q347*'Inputs Yr 2'!U347,"")</f>
        <v>0</v>
      </c>
      <c r="BW347" s="197">
        <f>IFERROR(($G347*IF('Inputs Yr 2'!$AJ347=BN$4,'Inputs Yr 2'!$AK347,IF('Inputs Yr 2'!$AL347=BN$4,'Inputs Yr 2'!$AM347,IF('Inputs Yr 2'!$AN347=BN$4,'Inputs Yr 2'!$AO347,0))))*(INDEX(avoidedcosttbl2,$H347,BW$2)+(($H347-ROUNDDOWN($H347,0))*(INDEX(avoidedcosttbl2,ROUNDUP($H347,0),BW$2)-(INDEX(avoidedcosttbl2,ROUNDDOWN($H347,0),BW$2)))))*'Inputs Yr 2'!P347*'Inputs Yr 2'!Q347*'Inputs Yr 2'!U347,"")</f>
        <v>0</v>
      </c>
      <c r="BX347" s="197">
        <f>IFERROR(($G347*IF('Inputs Yr 2'!$AJ347=BO$4,'Inputs Yr 2'!$AK347,IF('Inputs Yr 2'!$AL347=BO$4,'Inputs Yr 2'!$AM347,IF('Inputs Yr 2'!$AN347=BO$4,'Inputs Yr 2'!$AO347,0))))*(INDEX(avoidedcosttbl2,$H347,BX$2)+(($H347-ROUNDDOWN($H347,0))*(INDEX(avoidedcosttbl2,ROUNDUP($H347,0),BX$2)-(INDEX(avoidedcosttbl2,ROUNDDOWN($H347,0),BX$2)))))*'Inputs Yr 2'!P347*'Inputs Yr 2'!Q347*'Inputs Yr 2'!U347,"")</f>
        <v>0</v>
      </c>
      <c r="BY347" s="197">
        <f>IFERROR(($G347*IF('Inputs Yr 2'!$AJ347=BP$4,'Inputs Yr 2'!$AK347,IF('Inputs Yr 2'!$AL347=BP$4,'Inputs Yr 2'!$AM347,IF('Inputs Yr 2'!$AN347=BP$4,'Inputs Yr 2'!$AO347,0))))*(INDEX(avoidedcosttbl2,$H347,BY$2)+(($H347-ROUNDDOWN($H347,0))*(INDEX(avoidedcosttbl2,ROUNDUP($H347,0),BY$2)-(INDEX(avoidedcosttbl2,ROUNDDOWN($H347,0),BY$2)))))*'Inputs Yr 2'!P347*'Inputs Yr 2'!Q347*'Inputs Yr 2'!U347,"")</f>
        <v>0</v>
      </c>
      <c r="BZ347" s="193">
        <f t="shared" si="189"/>
        <v>925.88762720185775</v>
      </c>
      <c r="CA347" s="193">
        <f t="shared" si="190"/>
        <v>6934.012095562246</v>
      </c>
      <c r="CB347" s="195">
        <f>IFERROR(G347*(IF('Inputs Yr 2'!$AJ347=CB$4,'Inputs Yr 2'!$AK347,IF('Inputs Yr 2'!$AL347=CB$4,'Inputs Yr 2'!$AM347,IF('Inputs Yr 2'!$AN347=CB$4,'Inputs Yr 2'!$AO347,0))))*(INDEX(avoidedcosttbl2,$H347,CB$2)+(($H347-ROUNDDOWN($H347,0))*(INDEX(avoidedcosttbl2,ROUNDUP($H347,0),CB$2)-(INDEX(avoidedcosttbl2,ROUNDDOWN($H347,0),CB$2)))))*'Inputs Yr 2'!P347*'Inputs Yr 2'!Q347*'Inputs Yr 2'!U347,"")</f>
        <v>0</v>
      </c>
      <c r="CC347" s="195">
        <f>IFERROR(H347*(IF('Inputs Yr 2'!$AJ347=CC$4,'Inputs Yr 2'!$AK347,IF('Inputs Yr 2'!$AL347=CC$4,'Inputs Yr 2'!$AM347,IF('Inputs Yr 2'!$AN347=CC$4,'Inputs Yr 2'!$AO347,0))))*(INDEX(avoidedcosttbl2,$H347,CC$2)+(($H347-ROUNDDOWN($H347,0))*(INDEX(avoidedcosttbl2,ROUNDUP($H347,0),CC$2)-(INDEX(avoidedcosttbl2,ROUNDDOWN($H347,0),CC$2)))))*'Inputs Yr 2'!Q347*'Inputs Yr 2'!R347*'Inputs Yr 2'!V347,"")</f>
        <v>0</v>
      </c>
      <c r="CD347" s="195">
        <f>IFERROR(I347*(IF('Inputs Yr 2'!$AJ347=CD$4,'Inputs Yr 2'!$AK347,IF('Inputs Yr 2'!$AL347=CD$4,'Inputs Yr 2'!$AM347,IF('Inputs Yr 2'!$AN347=CD$4,'Inputs Yr 2'!$AO347,0))))*(INDEX(avoidedcosttbl2,$H347,CD$2)+(($H347-ROUNDDOWN($H347,0))*(INDEX(avoidedcosttbl2,ROUNDUP($H347,0),CD$2)-(INDEX(avoidedcosttbl2,ROUNDDOWN($H347,0),CD$2)))))*'Inputs Yr 2'!R347*'Inputs Yr 2'!S347*'Inputs Yr 2'!W347,"")</f>
        <v>0</v>
      </c>
      <c r="CE347" s="213">
        <f t="shared" si="191"/>
        <v>13624.472372245087</v>
      </c>
      <c r="CF347" s="213">
        <f t="shared" si="192"/>
        <v>0</v>
      </c>
      <c r="CG347" s="213">
        <f t="shared" si="193"/>
        <v>0</v>
      </c>
      <c r="CH347" s="698">
        <f t="shared" si="194"/>
        <v>20558.484467807335</v>
      </c>
      <c r="CI347" s="79">
        <f>IFERROR(($G347*'Inputs Yr 2'!$P347*'Inputs Yr 2'!$Q347*(((INDEX(avoidedcosttbl2,$H347,CI$2)+(($H347-ROUNDDOWN($H347,0))*(INDEX(avoidedcosttbl2,ROUNDUP($H347,0),CI$2)-INDEX(avoidedcosttbl2,ROUNDDOWN($H347,0),CI$2))))*'Inputs Yr 2'!AS347))),"")</f>
        <v>267.88235867102514</v>
      </c>
      <c r="CJ347" s="504">
        <f>IFERROR($G347*'Inputs Yr 2'!AT347*'Inputs Yr 2'!$P347*'Inputs Yr 2'!$Q347/((1+realdiscrt1)^-0.5),"")</f>
        <v>0</v>
      </c>
      <c r="CK347" s="79">
        <f>IFERROR((O347*1000*(((INDEX(avoidedcosttbl2,$H347,CK$2)+(($H347-ROUNDDOWN($H347,0))*(INDEX(avoidedcosttbl2,ROUNDUP($H347,0),CK$2)-INDEX(avoidedcosttbl2,ROUNDDOWN($H347,0),CK$2))))*'Inputs Yr 2'!AU347))),"")</f>
        <v>0</v>
      </c>
      <c r="CL347" s="504">
        <f>IFERROR(O347*1000*'Inputs Yr 2'!AV347/((1+realdiscrt1)^-0.5),"")</f>
        <v>0</v>
      </c>
      <c r="CM347" s="79">
        <f>IFERROR((AB347*'Inputs Yr 2'!AW347*(((INDEX(avoidedcosttbl2,$H347,CM$2)+(($H347-ROUNDDOWN($H347,0))*(INDEX(avoidedcosttbl2,ROUNDUP($H347,0),CM$2)-INDEX(avoidedcosttbl2,ROUNDDOWN($H347,0),CM$2)))))))*10,"")</f>
        <v>0</v>
      </c>
      <c r="CN347" s="504">
        <f>IFERROR(10*AB347*'Inputs Yr 2'!AX347/((1+realdiscrt1)^-0.5),"")</f>
        <v>0</v>
      </c>
      <c r="CO347" s="505">
        <f t="shared" si="195"/>
        <v>267.88235867102514</v>
      </c>
      <c r="CP347" s="230">
        <f t="shared" si="196"/>
        <v>20826.366826478359</v>
      </c>
      <c r="CQ347" s="199">
        <f>ROUND(IFERROR(IF(LEFT($A347,1)="C",'Avoided Costs'!$K$13,'Avoided Costs'!$K$12)+1,""),4)</f>
        <v>1.0720000000000001</v>
      </c>
      <c r="CR347" s="199">
        <f>ROUND(IFERROR(IF(LEFT($A347,1)="C",'Avoided Costs'!$L$13,'Avoided Costs'!$L$12)+1,""),4)</f>
        <v>1.04</v>
      </c>
      <c r="CS347" s="199">
        <f>ROUND(IFERROR(IF(LEFT($A347,1)="C",'Avoided Costs'!$M$13,'Avoided Costs'!$M$12)+1,""),4)</f>
        <v>1.0720000000000001</v>
      </c>
      <c r="CT347" s="199">
        <f>ROUND(IFERROR(IF(LEFT($A347,1)="C",'Avoided Costs'!$N$13,'Avoided Costs'!$N$12)+1,""),4)</f>
        <v>1.04</v>
      </c>
      <c r="CU347" s="199">
        <f>ROUND(IFERROR(IF(LEFT($A347,1)="C",'Avoided Costs'!$O$13,'Avoided Costs'!$O$12)+1,""),4)</f>
        <v>1.1120000000000001</v>
      </c>
      <c r="CV347" s="199">
        <f>ROUND(IFERROR(IF(LEFT($A347,1)="C",'Avoided Costs'!$P$13,'Avoided Costs'!$P$12)+1,""),4)</f>
        <v>1.095</v>
      </c>
      <c r="CW347" s="199">
        <f>ROUND(IFERROR(IF(LEFT($A347,1)="C",'Avoided Costs'!$Q$13,'Avoided Costs'!$Q$12)+1,""),4)</f>
        <v>1.1120000000000001</v>
      </c>
      <c r="CX347" s="200">
        <f>ROUND(IFERROR(IF(LEFT($A347,1)="C",'Avoided Costs'!$R$13,'Avoided Costs'!$R$12)+1,""),4)</f>
        <v>1.1120000000000001</v>
      </c>
    </row>
    <row r="348" spans="1:102" ht="12.75" customHeight="1">
      <c r="A348" s="91" t="str">
        <f>IF('Inputs Yr 2'!$B348=0,"",'Inputs Yr 2'!A348)</f>
        <v>C - Commercial &amp; Industrial</v>
      </c>
      <c r="B348" s="91" t="str">
        <f>IF('Inputs Yr 2'!$B348=0,"",'Inputs Yr 2'!B348)</f>
        <v>C2 - C&amp;I Retrofit</v>
      </c>
      <c r="C348" s="91" t="str">
        <f>IF('Inputs Yr 2'!$B348=0,"",'Inputs Yr 2'!C348)</f>
        <v xml:space="preserve">C2c - C&amp;I Multifamily Retrofit </v>
      </c>
      <c r="D348" s="91" t="str">
        <f>IF('Inputs Yr 2'!$B348=0,"",'Inputs Yr 2'!E348)</f>
        <v>Thermostatic Shut-off Valve, Gas</v>
      </c>
      <c r="E348" s="93" t="str">
        <f>IF('Inputs Yr 2'!$B348=0,"",'Inputs Yr 2'!F348)</f>
        <v>G16C2c23</v>
      </c>
      <c r="F348" s="93" t="str">
        <f>IF('Inputs Yr 2'!$B348=0,"",'Inputs Yr 2'!G348)</f>
        <v>Hot Water</v>
      </c>
      <c r="G348" s="95" t="str">
        <f>IF('Inputs Yr 2'!$H348&lt;&gt;0,('Inputs Yr 2'!H348),"")</f>
        <v/>
      </c>
      <c r="H348" s="94">
        <f>IFERROR('Inputs Yr 2'!I348,"")</f>
        <v>0</v>
      </c>
      <c r="I348" s="298" t="str">
        <f>IFERROR('Inputs Yr 2'!J348*'Inputs Yr 2'!P348*G348,"")</f>
        <v/>
      </c>
      <c r="J348" s="298" t="str">
        <f>IFERROR('Inputs Yr 2'!K348*G348,"")</f>
        <v/>
      </c>
      <c r="K348" s="298" t="str">
        <f t="shared" si="173"/>
        <v/>
      </c>
      <c r="L348" s="194" t="str">
        <f>IFERROR(('Inputs Yr 2'!W348*G348)/1000,"")</f>
        <v/>
      </c>
      <c r="M348" s="194" t="str">
        <f>IFERROR(L348*('Inputs Yr 2'!$Q348*'Inputs Yr 2'!$V348*'Inputs Yr 2'!$R348),"")</f>
        <v/>
      </c>
      <c r="N348" s="194" t="str">
        <f t="shared" si="174"/>
        <v/>
      </c>
      <c r="O348" s="194" t="str">
        <f>IFERROR(M348*'Inputs Yr 2'!P348,"")</f>
        <v/>
      </c>
      <c r="P348" s="194" t="str">
        <f t="shared" si="175"/>
        <v/>
      </c>
      <c r="Q348" s="194" t="str">
        <f>IFERROR($P348*'Inputs Yr 2'!AA348,"")</f>
        <v/>
      </c>
      <c r="R348" s="194" t="str">
        <f>IFERROR($P348*'Inputs Yr 2'!AB348,"")</f>
        <v/>
      </c>
      <c r="S348" s="194" t="str">
        <f>IFERROR($P348*'Inputs Yr 2'!AC348,"")</f>
        <v/>
      </c>
      <c r="T348" s="194" t="str">
        <f>IFERROR($P348*'Inputs Yr 2'!AD348,"")</f>
        <v/>
      </c>
      <c r="U348" s="194" t="str">
        <f>IFERROR(G348*'Inputs Yr 2'!$AE348*'Inputs Yr 2'!$P348*'Inputs Yr 2'!$Q348,"")</f>
        <v/>
      </c>
      <c r="V348" s="194" t="str">
        <f>IFERROR($G348*'Inputs Yr 2'!$AE348*'Inputs Yr 2'!$AG348*'Inputs Yr 2'!Q348*'Inputs Yr 2'!$S348,"")</f>
        <v/>
      </c>
      <c r="W348" s="194" t="str">
        <f>IFERROR($G348*'Inputs Yr 2'!$AE348*'Inputs Yr 2'!$AG348*'Inputs Yr 2'!P348*'Inputs Yr 2'!Q348*'Inputs Yr 2'!$S348,"")</f>
        <v/>
      </c>
      <c r="X348" s="194" t="str">
        <f>IFERROR($G348*'Inputs Yr 2'!$AE348*'Inputs Yr 2'!$AF348*'Inputs Yr 2'!Q348*'Inputs Yr 2'!$T348,"")</f>
        <v/>
      </c>
      <c r="Y348" s="194" t="str">
        <f>IFERROR($G348*'Inputs Yr 2'!$AE348*'Inputs Yr 2'!$AF348*'Inputs Yr 2'!P348*'Inputs Yr 2'!Q348*'Inputs Yr 2'!$T348,"")</f>
        <v/>
      </c>
      <c r="Z348" s="257">
        <f>IFERROR($G348*'Inputs Yr 2'!$Q348*'Inputs Yr 2'!$U348*(IF(IFERROR(SEARCH("NG", 'Inputs Yr 2'!$AJ348),0),'Inputs Yr 2'!$AK348,0)+IF(IFERROR(SEARCH("NG", 'Inputs Yr 2'!$AL348),0),'Inputs Yr 2'!$AM348,0)+IF(IFERROR(SEARCH("NG", 'Inputs Yr 2'!$AN348),0),'Inputs Yr 2'!$AO348,0)),0)</f>
        <v>0</v>
      </c>
      <c r="AA348" s="257">
        <f t="shared" si="176"/>
        <v>0</v>
      </c>
      <c r="AB348" s="257">
        <f>IFERROR(Z348*'Inputs Yr 2'!$P348,0)</f>
        <v>0</v>
      </c>
      <c r="AC348" s="257">
        <f t="shared" si="177"/>
        <v>0</v>
      </c>
      <c r="AD348" s="257">
        <f>IFERROR($G348*'Inputs Yr 2'!$Q348*'Inputs Yr 2'!$U348*(IF(IFERROR(SEARCH("Oil", 'Inputs Yr 2'!$AJ348), 0),'Inputs Yr 2'!$AK348,0)+IF(IFERROR(SEARCH("Oil", 'Inputs Yr 2'!$AL348), 0),'Inputs Yr 2'!$AM348,0)+IF(IFERROR(SEARCH("Oil", 'Inputs Yr 2'!$AN348), 0),'Inputs Yr 2'!$AO348,0)),0)</f>
        <v>0</v>
      </c>
      <c r="AE348" s="257">
        <f t="shared" si="178"/>
        <v>0</v>
      </c>
      <c r="AF348" s="257">
        <f>IFERROR(AD348*'Inputs Yr 2'!$P348,0)</f>
        <v>0</v>
      </c>
      <c r="AG348" s="257">
        <f t="shared" si="179"/>
        <v>0</v>
      </c>
      <c r="AH348" s="257">
        <f>IFERROR($G348*'Inputs Yr 2'!$Q348*'Inputs Yr 2'!$U348*(IF('Inputs Yr 2'!$AJ348=CD$4,'Inputs Yr 2'!$AK348,IF('Inputs Yr 2'!$AL348=CD$4,'Inputs Yr 2'!$AM348,IF('Inputs Yr 2'!$AN348=CD$4,'Inputs Yr 2'!$AO348,0)))),0)</f>
        <v>0</v>
      </c>
      <c r="AI348" s="257">
        <f t="shared" si="180"/>
        <v>0</v>
      </c>
      <c r="AJ348" s="257">
        <f>IFERROR(AH348*'Inputs Yr 2'!$P348,0)</f>
        <v>0</v>
      </c>
      <c r="AK348" s="257">
        <f t="shared" si="181"/>
        <v>0</v>
      </c>
      <c r="AL348" s="258">
        <f>IFERROR($G348*'Inputs Yr 2'!$P348*'Inputs Yr 2'!$Q348*'Inputs Yr 2'!AP348,0)</f>
        <v>0</v>
      </c>
      <c r="AM348" s="260">
        <f>IFERROR($G348*'Inputs Yr 2'!$P348*'Inputs Yr 2'!$Q348*'Inputs Yr 2'!AQ348,0)</f>
        <v>0</v>
      </c>
      <c r="AN348" s="258">
        <f>IFERROR($G348*'Inputs Yr 2'!$P348*'Inputs Yr 2'!$Q348*'Inputs Yr 2'!AR348,0)</f>
        <v>0</v>
      </c>
      <c r="AO348" s="257">
        <f t="shared" si="182"/>
        <v>0</v>
      </c>
      <c r="AP348" s="195" t="str">
        <f>IFERROR($CQ348*(INDEX(avoidedcosttbl2,$H348,AP$2)+(($H348-ROUNDDOWN($H348,0))*(INDEX(avoidedcosttbl2,ROUNDUP($H348,0),AP$2)-(INDEX(avoidedcosttbl2,ROUNDDOWN($H348,0),AP$2)))))*$O348*1000*'Inputs Yr 2'!AA348,"")</f>
        <v/>
      </c>
      <c r="AQ348" s="195" t="str">
        <f>IFERROR($CR348*(INDEX(avoidedcosttbl2,$H348,AQ$2)+(($H348-ROUNDDOWN($H348,0))*(INDEX(avoidedcosttbl2,ROUNDUP($H348,0),AQ$2)-(INDEX(avoidedcosttbl2,ROUNDDOWN($H348,0),AQ$2)))))*$O348*1000*'Inputs Yr 2'!AB348,"")</f>
        <v/>
      </c>
      <c r="AR348" s="195" t="str">
        <f>IFERROR($CS348*(INDEX(avoidedcosttbl2,$H348,AR$2)+(($H348-ROUNDDOWN($H348,0))*(INDEX(avoidedcosttbl2,ROUNDUP($H348,0),AR$2)-(INDEX(avoidedcosttbl2,ROUNDDOWN($H348,0),AR$2)))))*$O348*1000*'Inputs Yr 2'!AC348,"")</f>
        <v/>
      </c>
      <c r="AS348" s="195" t="str">
        <f>IFERROR($CT348*(INDEX(avoidedcosttbl2,$H348,AS$2)+(($H348-ROUNDDOWN($H348,0))*(INDEX(avoidedcosttbl2,ROUNDUP($H348,0),AS$2)-(INDEX(avoidedcosttbl2,ROUNDDOWN($H348,0),AS$2)))))*$O348*1000*'Inputs Yr 2'!AD348,"")</f>
        <v/>
      </c>
      <c r="AT348" s="196">
        <f t="shared" si="183"/>
        <v>0</v>
      </c>
      <c r="AU348" s="197" t="str">
        <f>IFERROR($CQ348*((INDEX(avoidedcosttbl2,$H348,AU$2))+(($H348-ROUNDDOWN($H348,0))*((INDEX(avoidedcosttbl2,ROUNDUP($H348,0),AU$2))-(INDEX(avoidedcosttbl2,ROUNDDOWN($H348,0),AU$2)))))*$O348*1000*'Inputs Yr 2'!AA348,"")</f>
        <v/>
      </c>
      <c r="AV348" s="197" t="str">
        <f>IFERROR($CR348*((INDEX(avoidedcosttbl2,$H348,AV$2))+(($H348-ROUNDDOWN($H348,0))*((INDEX(avoidedcosttbl2,ROUNDUP($H348,0),AV$2))-(INDEX(avoidedcosttbl2,ROUNDDOWN($H348,0),AV$2)))))*$O348*1000*'Inputs Yr 2'!AB348,"")</f>
        <v/>
      </c>
      <c r="AW348" s="197" t="str">
        <f>IFERROR($CS348*((INDEX(avoidedcosttbl2,$H348,AW$2))+(($H348-ROUNDDOWN($H348,0))*((INDEX(avoidedcosttbl2,ROUNDUP($H348,0),AW$2))-(INDEX(avoidedcosttbl2,ROUNDDOWN($H348,0),AW$2)))))*$O348*1000*'Inputs Yr 2'!AC348,"")</f>
        <v/>
      </c>
      <c r="AX348" s="197" t="str">
        <f>IFERROR($CT348*((INDEX(avoidedcosttbl2,$H348,AX$2))+(($H348-ROUNDDOWN($H348,0))*((INDEX(avoidedcosttbl2,ROUNDUP($H348,0),AX$2))-(INDEX(avoidedcosttbl2,ROUNDDOWN($H348,0),AX$2)))))*$O348*1000*'Inputs Yr 2'!AD348,"")</f>
        <v/>
      </c>
      <c r="AY348" s="197" t="str">
        <f>IFERROR(((INDEX(avoidedcosttbl2,$H348,AY$2))+(($H348-ROUNDDOWN($H348,0))*((INDEX(avoidedcosttbl2,ROUNDUP($H348,0),AY$2))-(INDEX(avoidedcosttbl2,ROUNDDOWN($H348,0),AY$2)))))*$O348*1000*('Inputs Yr 2'!AC348+'Inputs Yr 2'!AD348),"")</f>
        <v/>
      </c>
      <c r="AZ348" s="197" t="str">
        <f>IFERROR(((INDEX(avoidedcosttbl2,$H348,AZ$2))+(($H348-ROUNDDOWN($H348,0))*((INDEX(avoidedcosttbl2,ROUNDUP($H348,0),AZ$2))-(INDEX(avoidedcosttbl2,ROUNDDOWN($H348,0),AZ$2)))))*$O348*1000*('Inputs Yr 2'!AA348+'Inputs Yr 2'!AB348),"")</f>
        <v/>
      </c>
      <c r="BA348" s="198">
        <f t="shared" si="184"/>
        <v>0</v>
      </c>
      <c r="BB348" s="198">
        <f t="shared" si="185"/>
        <v>0</v>
      </c>
      <c r="BC348" s="195" t="str">
        <f t="shared" si="167"/>
        <v/>
      </c>
      <c r="BD348" s="195" t="str">
        <f t="shared" si="168"/>
        <v/>
      </c>
      <c r="BE348" s="195" t="str">
        <f t="shared" si="169"/>
        <v/>
      </c>
      <c r="BF348" s="195" t="str">
        <f t="shared" si="170"/>
        <v/>
      </c>
      <c r="BG348" s="195" t="str">
        <f t="shared" si="171"/>
        <v/>
      </c>
      <c r="BH348" s="196">
        <f t="shared" si="186"/>
        <v>0</v>
      </c>
      <c r="BI348" s="196">
        <f t="shared" si="187"/>
        <v>0</v>
      </c>
      <c r="BJ348" s="195" t="str">
        <f>IFERROR($G348*(IF('Inputs Yr 2'!$AJ348=BJ$4,'Inputs Yr 2'!$AK348,IF('Inputs Yr 2'!$AL348=BJ$4,'Inputs Yr 2'!$AM348,IF('Inputs Yr 2'!$AN348=BJ$4,'Inputs Yr 2'!$AO348,0))))*(INDEX(avoidedcosttbl2,$H348,BJ$2)+(($H348-ROUNDDOWN($H348,0))*(INDEX(avoidedcosttbl2,ROUNDUP($H348,0),BJ$2)-(INDEX(avoidedcosttbl2,ROUNDDOWN($H348,0),BJ$2)))))*'Inputs Yr 2'!P348*'Inputs Yr 2'!Q348*'Inputs Yr 2'!U348,"")</f>
        <v/>
      </c>
      <c r="BK348" s="195" t="str">
        <f>IFERROR($G348*(IF('Inputs Yr 2'!$AJ348=BK$4,'Inputs Yr 2'!$AK348,IF('Inputs Yr 2'!$AL348=BK$4,'Inputs Yr 2'!$AM348,IF('Inputs Yr 2'!$AN348=BK$4,'Inputs Yr 2'!$AO348,0))))*(INDEX(avoidedcosttbl2,$H348,BK$2)+(($H348-ROUNDDOWN($H348,0))*(INDEX(avoidedcosttbl2,ROUNDUP($H348,0),BK$2)-(INDEX(avoidedcosttbl2,ROUNDDOWN($H348,0),BK$2)))))*'Inputs Yr 2'!P348*'Inputs Yr 2'!Q348*'Inputs Yr 2'!U348,"")</f>
        <v/>
      </c>
      <c r="BL348" s="195" t="str">
        <f>IFERROR($G348*(IF('Inputs Yr 2'!$AJ348=BL$4,'Inputs Yr 2'!$AK348,IF('Inputs Yr 2'!$AL348=BL$4,'Inputs Yr 2'!$AM348,IF('Inputs Yr 2'!$AN348=BL$4,'Inputs Yr 2'!$AO348,0))))*(INDEX(avoidedcosttbl2,$H348,BL$2)+(($H348-ROUNDDOWN($H348,0))*(INDEX(avoidedcosttbl2,ROUNDUP($H348,0),BL$2)-(INDEX(avoidedcosttbl2,ROUNDDOWN($H348,0),BL$2)))))*'Inputs Yr 2'!P348*'Inputs Yr 2'!Q348*'Inputs Yr 2'!U348,"")</f>
        <v/>
      </c>
      <c r="BM348" s="195" t="str">
        <f>IFERROR($G348*(IF('Inputs Yr 2'!$AJ348=BM$4,'Inputs Yr 2'!$AK348,IF('Inputs Yr 2'!$AL348=BM$4,'Inputs Yr 2'!$AM348,IF('Inputs Yr 2'!$AN348=BM$4,'Inputs Yr 2'!$AO348,0))))*(INDEX(avoidedcosttbl2,$H348,BM$2)+(($H348-ROUNDDOWN($H348,0))*(INDEX(avoidedcosttbl2,ROUNDUP($H348,0),BM$2)-(INDEX(avoidedcosttbl2,ROUNDDOWN($H348,0),BM$2)))))*'Inputs Yr 2'!P348*'Inputs Yr 2'!Q348*'Inputs Yr 2'!U348,"")</f>
        <v/>
      </c>
      <c r="BN348" s="195" t="str">
        <f>IFERROR($G348*(IF('Inputs Yr 2'!$AJ348=BN$4,'Inputs Yr 2'!$AK348,IF('Inputs Yr 2'!$AL348=BN$4,'Inputs Yr 2'!$AM348,IF('Inputs Yr 2'!$AN348=BN$4,'Inputs Yr 2'!$AO348,0))))*(INDEX(avoidedcosttbl2,$H348,BN$2)+(($H348-ROUNDDOWN($H348,0))*(INDEX(avoidedcosttbl2,ROUNDUP($H348,0),BN$2)-(INDEX(avoidedcosttbl2,ROUNDDOWN($H348,0),BN$2)))))*'Inputs Yr 2'!P348*'Inputs Yr 2'!Q348*'Inputs Yr 2'!U348,"")</f>
        <v/>
      </c>
      <c r="BO348" s="195" t="str">
        <f>IFERROR($G348*(IF('Inputs Yr 2'!$AJ348=BO$4,'Inputs Yr 2'!$AK348,IF('Inputs Yr 2'!$AL348=BO$4,'Inputs Yr 2'!$AM348,IF('Inputs Yr 2'!$AN348=BO$4,'Inputs Yr 2'!$AO348,0))))*(INDEX(avoidedcosttbl2,$H348,BO$2)+(($H348-ROUNDDOWN($H348,0))*(INDEX(avoidedcosttbl2,ROUNDUP($H348,0),BO$2)-(INDEX(avoidedcosttbl2,ROUNDDOWN($H348,0),BO$2)))))*'Inputs Yr 2'!P348*'Inputs Yr 2'!Q348*'Inputs Yr 2'!U348,"")</f>
        <v/>
      </c>
      <c r="BP348" s="195" t="str">
        <f>IFERROR($G348*(IF('Inputs Yr 2'!$AJ348=BP$4,'Inputs Yr 2'!$AK348,IF('Inputs Yr 2'!$AL348=BP$4,'Inputs Yr 2'!$AM348,IF('Inputs Yr 2'!$AN348=BP$4,'Inputs Yr 2'!$AO348,0))))*(INDEX(avoidedcosttbl2,$H348,BP$2)+(($H348-ROUNDDOWN($H348,0))*(INDEX(avoidedcosttbl2,ROUNDUP($H348,0),BP$2)-(INDEX(avoidedcosttbl2,ROUNDDOWN($H348,0),BP$2)))))*'Inputs Yr 2'!P348*'Inputs Yr 2'!Q348*'Inputs Yr 2'!U348,"")</f>
        <v/>
      </c>
      <c r="BQ348" s="230">
        <f t="shared" si="188"/>
        <v>0</v>
      </c>
      <c r="BR348" s="197" t="str">
        <f t="shared" si="172"/>
        <v/>
      </c>
      <c r="BS348" s="197" t="str">
        <f>IFERROR(($G348*IF('Inputs Yr 2'!$AJ348=BM$4,'Inputs Yr 2'!$AK348,IF('Inputs Yr 2'!$AL348=BM$4,'Inputs Yr 2'!$AM348,IF('Inputs Yr 2'!$AN348=BM$4,'Inputs Yr 2'!$AO348,0))))*(INDEX(avoidedcosttbl2,$H348,BS$2)+(($H348-ROUNDDOWN($H348,0))*(INDEX(avoidedcosttbl2,ROUNDUP($H348,0),BS$2)-(INDEX(avoidedcosttbl2,ROUNDDOWN($H348,0),BS$2)))))*'Inputs Yr 2'!P348*'Inputs Yr 2'!Q348*'Inputs Yr 2'!U348,"")</f>
        <v/>
      </c>
      <c r="BT348" s="197" t="str">
        <f>IFERROR(($G348*IF('Inputs Yr 2'!$AJ348=BK$4,'Inputs Yr 2'!$AK348,IF('Inputs Yr 2'!$AL348=BK$4,'Inputs Yr 2'!$AM348,IF('Inputs Yr 2'!$AN348=BK$4,'Inputs Yr 2'!$AO348,0))))*(INDEX(avoidedcosttbl2,$H348,BT$2)+(($H348-ROUNDDOWN($H348,0))*(INDEX(avoidedcosttbl2,ROUNDUP($H348,0),BT$2)-(INDEX(avoidedcosttbl2,ROUNDDOWN($H348,0),BT$2)))))*'Inputs Yr 2'!P348*'Inputs Yr 2'!Q348*'Inputs Yr 2'!U348,"")</f>
        <v/>
      </c>
      <c r="BU348" s="197" t="str">
        <f>IFERROR(($G348*IF('Inputs Yr 2'!$AJ348=BL$4,'Inputs Yr 2'!$AK348,IF('Inputs Yr 2'!$AL348=BL$4,'Inputs Yr 2'!$AM348,IF('Inputs Yr 2'!$AN348=BL$4,'Inputs Yr 2'!$AO348,0))))*(INDEX(avoidedcosttbl2,$H348,BU$2)+(($H348-ROUNDDOWN($H348,0))*(INDEX(avoidedcosttbl2,ROUNDUP($H348,0),BU$2)-(INDEX(avoidedcosttbl2,ROUNDDOWN($H348,0),BU$2)))))*'Inputs Yr 2'!P348*'Inputs Yr 2'!Q348*'Inputs Yr 2'!U348,"")</f>
        <v/>
      </c>
      <c r="BV348" s="775" t="str">
        <f>IFERROR(($G348*IF('Inputs Yr 2'!$AJ348=BJ$4,'Inputs Yr 2'!$AK348,IF('Inputs Yr 2'!$AL348=BJ$4,'Inputs Yr 2'!$AM348,IF('Inputs Yr 2'!$AN348=BJ$4,'Inputs Yr 2'!$AO348,0))))*(INDEX(avoidedcosttbl2,$H348,BV$2)+(($H348-ROUNDDOWN($H348,0))*(INDEX(avoidedcosttbl2,ROUNDUP($H348,0),BV$2)-(INDEX(avoidedcosttbl2,ROUNDDOWN($H348,0),BV$2)))))*'Inputs Yr 2'!P348*'Inputs Yr 2'!Q348*'Inputs Yr 2'!U348,"")</f>
        <v/>
      </c>
      <c r="BW348" s="197" t="str">
        <f>IFERROR(($G348*IF('Inputs Yr 2'!$AJ348=BN$4,'Inputs Yr 2'!$AK348,IF('Inputs Yr 2'!$AL348=BN$4,'Inputs Yr 2'!$AM348,IF('Inputs Yr 2'!$AN348=BN$4,'Inputs Yr 2'!$AO348,0))))*(INDEX(avoidedcosttbl2,$H348,BW$2)+(($H348-ROUNDDOWN($H348,0))*(INDEX(avoidedcosttbl2,ROUNDUP($H348,0),BW$2)-(INDEX(avoidedcosttbl2,ROUNDDOWN($H348,0),BW$2)))))*'Inputs Yr 2'!P348*'Inputs Yr 2'!Q348*'Inputs Yr 2'!U348,"")</f>
        <v/>
      </c>
      <c r="BX348" s="197" t="str">
        <f>IFERROR(($G348*IF('Inputs Yr 2'!$AJ348=BO$4,'Inputs Yr 2'!$AK348,IF('Inputs Yr 2'!$AL348=BO$4,'Inputs Yr 2'!$AM348,IF('Inputs Yr 2'!$AN348=BO$4,'Inputs Yr 2'!$AO348,0))))*(INDEX(avoidedcosttbl2,$H348,BX$2)+(($H348-ROUNDDOWN($H348,0))*(INDEX(avoidedcosttbl2,ROUNDUP($H348,0),BX$2)-(INDEX(avoidedcosttbl2,ROUNDDOWN($H348,0),BX$2)))))*'Inputs Yr 2'!P348*'Inputs Yr 2'!Q348*'Inputs Yr 2'!U348,"")</f>
        <v/>
      </c>
      <c r="BY348" s="197" t="str">
        <f>IFERROR(($G348*IF('Inputs Yr 2'!$AJ348=BP$4,'Inputs Yr 2'!$AK348,IF('Inputs Yr 2'!$AL348=BP$4,'Inputs Yr 2'!$AM348,IF('Inputs Yr 2'!$AN348=BP$4,'Inputs Yr 2'!$AO348,0))))*(INDEX(avoidedcosttbl2,$H348,BY$2)+(($H348-ROUNDDOWN($H348,0))*(INDEX(avoidedcosttbl2,ROUNDUP($H348,0),BY$2)-(INDEX(avoidedcosttbl2,ROUNDDOWN($H348,0),BY$2)))))*'Inputs Yr 2'!P348*'Inputs Yr 2'!Q348*'Inputs Yr 2'!U348,"")</f>
        <v/>
      </c>
      <c r="BZ348" s="193">
        <f t="shared" si="189"/>
        <v>0</v>
      </c>
      <c r="CA348" s="193">
        <f t="shared" si="190"/>
        <v>0</v>
      </c>
      <c r="CB348" s="195" t="str">
        <f>IFERROR(G348*(IF('Inputs Yr 2'!$AJ348=CB$4,'Inputs Yr 2'!$AK348,IF('Inputs Yr 2'!$AL348=CB$4,'Inputs Yr 2'!$AM348,IF('Inputs Yr 2'!$AN348=CB$4,'Inputs Yr 2'!$AO348,0))))*(INDEX(avoidedcosttbl2,$H348,CB$2)+(($H348-ROUNDDOWN($H348,0))*(INDEX(avoidedcosttbl2,ROUNDUP($H348,0),CB$2)-(INDEX(avoidedcosttbl2,ROUNDDOWN($H348,0),CB$2)))))*'Inputs Yr 2'!P348*'Inputs Yr 2'!Q348*'Inputs Yr 2'!U348,"")</f>
        <v/>
      </c>
      <c r="CC348" s="195" t="str">
        <f>IFERROR(H348*(IF('Inputs Yr 2'!$AJ348=CC$4,'Inputs Yr 2'!$AK348,IF('Inputs Yr 2'!$AL348=CC$4,'Inputs Yr 2'!$AM348,IF('Inputs Yr 2'!$AN348=CC$4,'Inputs Yr 2'!$AO348,0))))*(INDEX(avoidedcosttbl2,$H348,CC$2)+(($H348-ROUNDDOWN($H348,0))*(INDEX(avoidedcosttbl2,ROUNDUP($H348,0),CC$2)-(INDEX(avoidedcosttbl2,ROUNDDOWN($H348,0),CC$2)))))*'Inputs Yr 2'!Q348*'Inputs Yr 2'!R348*'Inputs Yr 2'!V348,"")</f>
        <v/>
      </c>
      <c r="CD348" s="195" t="str">
        <f>IFERROR(I348*(IF('Inputs Yr 2'!$AJ348=CD$4,'Inputs Yr 2'!$AK348,IF('Inputs Yr 2'!$AL348=CD$4,'Inputs Yr 2'!$AM348,IF('Inputs Yr 2'!$AN348=CD$4,'Inputs Yr 2'!$AO348,0))))*(INDEX(avoidedcosttbl2,$H348,CD$2)+(($H348-ROUNDDOWN($H348,0))*(INDEX(avoidedcosttbl2,ROUNDUP($H348,0),CD$2)-(INDEX(avoidedcosttbl2,ROUNDDOWN($H348,0),CD$2)))))*'Inputs Yr 2'!R348*'Inputs Yr 2'!S348*'Inputs Yr 2'!W348,"")</f>
        <v/>
      </c>
      <c r="CE348" s="213" t="str">
        <f t="shared" si="191"/>
        <v/>
      </c>
      <c r="CF348" s="213" t="str">
        <f t="shared" si="192"/>
        <v/>
      </c>
      <c r="CG348" s="213" t="str">
        <f t="shared" si="193"/>
        <v/>
      </c>
      <c r="CH348" s="698">
        <f t="shared" si="194"/>
        <v>0</v>
      </c>
      <c r="CI348" s="79" t="str">
        <f>IFERROR(($G348*'Inputs Yr 2'!$P348*'Inputs Yr 2'!$Q348*(((INDEX(avoidedcosttbl2,$H348,CI$2)+(($H348-ROUNDDOWN($H348,0))*(INDEX(avoidedcosttbl2,ROUNDUP($H348,0),CI$2)-INDEX(avoidedcosttbl2,ROUNDDOWN($H348,0),CI$2))))*'Inputs Yr 2'!AS348))),"")</f>
        <v/>
      </c>
      <c r="CJ348" s="504" t="str">
        <f>IFERROR($G348*'Inputs Yr 2'!AT348*'Inputs Yr 2'!$P348*'Inputs Yr 2'!$Q348/((1+realdiscrt1)^-0.5),"")</f>
        <v/>
      </c>
      <c r="CK348" s="79" t="str">
        <f>IFERROR((O348*1000*(((INDEX(avoidedcosttbl2,$H348,CK$2)+(($H348-ROUNDDOWN($H348,0))*(INDEX(avoidedcosttbl2,ROUNDUP($H348,0),CK$2)-INDEX(avoidedcosttbl2,ROUNDDOWN($H348,0),CK$2))))*'Inputs Yr 2'!AU348))),"")</f>
        <v/>
      </c>
      <c r="CL348" s="504" t="str">
        <f>IFERROR(O348*1000*'Inputs Yr 2'!AV348/((1+realdiscrt1)^-0.5),"")</f>
        <v/>
      </c>
      <c r="CM348" s="79" t="str">
        <f>IFERROR((AB348*'Inputs Yr 2'!AW348*(((INDEX(avoidedcosttbl2,$H348,CM$2)+(($H348-ROUNDDOWN($H348,0))*(INDEX(avoidedcosttbl2,ROUNDUP($H348,0),CM$2)-INDEX(avoidedcosttbl2,ROUNDDOWN($H348,0),CM$2)))))))*10,"")</f>
        <v/>
      </c>
      <c r="CN348" s="504">
        <f>IFERROR(10*AB348*'Inputs Yr 2'!AX348/((1+realdiscrt1)^-0.5),"")</f>
        <v>0</v>
      </c>
      <c r="CO348" s="505">
        <f t="shared" si="195"/>
        <v>0</v>
      </c>
      <c r="CP348" s="230">
        <f t="shared" si="196"/>
        <v>0</v>
      </c>
      <c r="CQ348" s="199">
        <f>ROUND(IFERROR(IF(LEFT($A348,1)="C",'Avoided Costs'!$K$13,'Avoided Costs'!$K$12)+1,""),4)</f>
        <v>1.0720000000000001</v>
      </c>
      <c r="CR348" s="199">
        <f>ROUND(IFERROR(IF(LEFT($A348,1)="C",'Avoided Costs'!$L$13,'Avoided Costs'!$L$12)+1,""),4)</f>
        <v>1.04</v>
      </c>
      <c r="CS348" s="199">
        <f>ROUND(IFERROR(IF(LEFT($A348,1)="C",'Avoided Costs'!$M$13,'Avoided Costs'!$M$12)+1,""),4)</f>
        <v>1.0720000000000001</v>
      </c>
      <c r="CT348" s="199">
        <f>ROUND(IFERROR(IF(LEFT($A348,1)="C",'Avoided Costs'!$N$13,'Avoided Costs'!$N$12)+1,""),4)</f>
        <v>1.04</v>
      </c>
      <c r="CU348" s="199">
        <f>ROUND(IFERROR(IF(LEFT($A348,1)="C",'Avoided Costs'!$O$13,'Avoided Costs'!$O$12)+1,""),4)</f>
        <v>1.1120000000000001</v>
      </c>
      <c r="CV348" s="199">
        <f>ROUND(IFERROR(IF(LEFT($A348,1)="C",'Avoided Costs'!$P$13,'Avoided Costs'!$P$12)+1,""),4)</f>
        <v>1.095</v>
      </c>
      <c r="CW348" s="199">
        <f>ROUND(IFERROR(IF(LEFT($A348,1)="C",'Avoided Costs'!$Q$13,'Avoided Costs'!$Q$12)+1,""),4)</f>
        <v>1.1120000000000001</v>
      </c>
      <c r="CX348" s="200">
        <f>ROUND(IFERROR(IF(LEFT($A348,1)="C",'Avoided Costs'!$R$13,'Avoided Costs'!$R$12)+1,""),4)</f>
        <v>1.1120000000000001</v>
      </c>
    </row>
    <row r="349" spans="1:102" ht="12.75" customHeight="1">
      <c r="A349" s="91" t="str">
        <f>IF('Inputs Yr 2'!$B349=0,"",'Inputs Yr 2'!A349)</f>
        <v>C - Commercial &amp; Industrial</v>
      </c>
      <c r="B349" s="91" t="str">
        <f>IF('Inputs Yr 2'!$B349=0,"",'Inputs Yr 2'!B349)</f>
        <v>C2 - C&amp;I Retrofit</v>
      </c>
      <c r="C349" s="91" t="str">
        <f>IF('Inputs Yr 2'!$B349=0,"",'Inputs Yr 2'!C349)</f>
        <v xml:space="preserve">C2c - C&amp;I Multifamily Retrofit </v>
      </c>
      <c r="D349" s="91" t="str">
        <f>IF('Inputs Yr 2'!$B349=0,"",'Inputs Yr 2'!E349)</f>
        <v>Programmable Thermostat (also controls elec cooling)</v>
      </c>
      <c r="E349" s="93" t="str">
        <f>IF('Inputs Yr 2'!$B349=0,"",'Inputs Yr 2'!F349)</f>
        <v>G16C2c24</v>
      </c>
      <c r="F349" s="93" t="str">
        <f>IF('Inputs Yr 2'!$B349=0,"",'Inputs Yr 2'!G349)</f>
        <v>HVAC</v>
      </c>
      <c r="G349" s="95" t="str">
        <f>IF('Inputs Yr 2'!$H349&lt;&gt;0,('Inputs Yr 2'!H349),"")</f>
        <v/>
      </c>
      <c r="H349" s="94">
        <f>IFERROR('Inputs Yr 2'!I349,"")</f>
        <v>0</v>
      </c>
      <c r="I349" s="298" t="str">
        <f>IFERROR('Inputs Yr 2'!J349*'Inputs Yr 2'!P349*G349,"")</f>
        <v/>
      </c>
      <c r="J349" s="298" t="str">
        <f>IFERROR('Inputs Yr 2'!K349*G349,"")</f>
        <v/>
      </c>
      <c r="K349" s="298" t="str">
        <f t="shared" si="173"/>
        <v/>
      </c>
      <c r="L349" s="194" t="str">
        <f>IFERROR(('Inputs Yr 2'!W349*G349)/1000,"")</f>
        <v/>
      </c>
      <c r="M349" s="194" t="str">
        <f>IFERROR(L349*('Inputs Yr 2'!$Q349*'Inputs Yr 2'!$V349*'Inputs Yr 2'!$R349),"")</f>
        <v/>
      </c>
      <c r="N349" s="194" t="str">
        <f t="shared" si="174"/>
        <v/>
      </c>
      <c r="O349" s="194" t="str">
        <f>IFERROR(M349*'Inputs Yr 2'!P349,"")</f>
        <v/>
      </c>
      <c r="P349" s="194" t="str">
        <f t="shared" si="175"/>
        <v/>
      </c>
      <c r="Q349" s="194" t="str">
        <f>IFERROR($P349*'Inputs Yr 2'!AA349,"")</f>
        <v/>
      </c>
      <c r="R349" s="194" t="str">
        <f>IFERROR($P349*'Inputs Yr 2'!AB349,"")</f>
        <v/>
      </c>
      <c r="S349" s="194" t="str">
        <f>IFERROR($P349*'Inputs Yr 2'!AC349,"")</f>
        <v/>
      </c>
      <c r="T349" s="194" t="str">
        <f>IFERROR($P349*'Inputs Yr 2'!AD349,"")</f>
        <v/>
      </c>
      <c r="U349" s="194" t="str">
        <f>IFERROR(G349*'Inputs Yr 2'!$AE349*'Inputs Yr 2'!$P349*'Inputs Yr 2'!$Q349,"")</f>
        <v/>
      </c>
      <c r="V349" s="194" t="str">
        <f>IFERROR($G349*'Inputs Yr 2'!$AE349*'Inputs Yr 2'!$AG349*'Inputs Yr 2'!Q349*'Inputs Yr 2'!$S349,"")</f>
        <v/>
      </c>
      <c r="W349" s="194" t="str">
        <f>IFERROR($G349*'Inputs Yr 2'!$AE349*'Inputs Yr 2'!$AG349*'Inputs Yr 2'!P349*'Inputs Yr 2'!Q349*'Inputs Yr 2'!$S349,"")</f>
        <v/>
      </c>
      <c r="X349" s="194" t="str">
        <f>IFERROR($G349*'Inputs Yr 2'!$AE349*'Inputs Yr 2'!$AF349*'Inputs Yr 2'!Q349*'Inputs Yr 2'!$T349,"")</f>
        <v/>
      </c>
      <c r="Y349" s="194" t="str">
        <f>IFERROR($G349*'Inputs Yr 2'!$AE349*'Inputs Yr 2'!$AF349*'Inputs Yr 2'!P349*'Inputs Yr 2'!Q349*'Inputs Yr 2'!$T349,"")</f>
        <v/>
      </c>
      <c r="Z349" s="257">
        <f>IFERROR($G349*'Inputs Yr 2'!$Q349*'Inputs Yr 2'!$U349*(IF(IFERROR(SEARCH("NG", 'Inputs Yr 2'!$AJ349),0),'Inputs Yr 2'!$AK349,0)+IF(IFERROR(SEARCH("NG", 'Inputs Yr 2'!$AL349),0),'Inputs Yr 2'!$AM349,0)+IF(IFERROR(SEARCH("NG", 'Inputs Yr 2'!$AN349),0),'Inputs Yr 2'!$AO349,0)),0)</f>
        <v>0</v>
      </c>
      <c r="AA349" s="257">
        <f t="shared" si="176"/>
        <v>0</v>
      </c>
      <c r="AB349" s="257">
        <f>IFERROR(Z349*'Inputs Yr 2'!$P349,0)</f>
        <v>0</v>
      </c>
      <c r="AC349" s="257">
        <f t="shared" si="177"/>
        <v>0</v>
      </c>
      <c r="AD349" s="257">
        <f>IFERROR($G349*'Inputs Yr 2'!$Q349*'Inputs Yr 2'!$U349*(IF(IFERROR(SEARCH("Oil", 'Inputs Yr 2'!$AJ349), 0),'Inputs Yr 2'!$AK349,0)+IF(IFERROR(SEARCH("Oil", 'Inputs Yr 2'!$AL349), 0),'Inputs Yr 2'!$AM349,0)+IF(IFERROR(SEARCH("Oil", 'Inputs Yr 2'!$AN349), 0),'Inputs Yr 2'!$AO349,0)),0)</f>
        <v>0</v>
      </c>
      <c r="AE349" s="257">
        <f t="shared" si="178"/>
        <v>0</v>
      </c>
      <c r="AF349" s="257">
        <f>IFERROR(AD349*'Inputs Yr 2'!$P349,0)</f>
        <v>0</v>
      </c>
      <c r="AG349" s="257">
        <f t="shared" si="179"/>
        <v>0</v>
      </c>
      <c r="AH349" s="257">
        <f>IFERROR($G349*'Inputs Yr 2'!$Q349*'Inputs Yr 2'!$U349*(IF('Inputs Yr 2'!$AJ349=CD$4,'Inputs Yr 2'!$AK349,IF('Inputs Yr 2'!$AL349=CD$4,'Inputs Yr 2'!$AM349,IF('Inputs Yr 2'!$AN349=CD$4,'Inputs Yr 2'!$AO349,0)))),0)</f>
        <v>0</v>
      </c>
      <c r="AI349" s="257">
        <f t="shared" si="180"/>
        <v>0</v>
      </c>
      <c r="AJ349" s="257">
        <f>IFERROR(AH349*'Inputs Yr 2'!$P349,0)</f>
        <v>0</v>
      </c>
      <c r="AK349" s="257">
        <f t="shared" si="181"/>
        <v>0</v>
      </c>
      <c r="AL349" s="258">
        <f>IFERROR($G349*'Inputs Yr 2'!$P349*'Inputs Yr 2'!$Q349*'Inputs Yr 2'!AP349,0)</f>
        <v>0</v>
      </c>
      <c r="AM349" s="260">
        <f>IFERROR($G349*'Inputs Yr 2'!$P349*'Inputs Yr 2'!$Q349*'Inputs Yr 2'!AQ349,0)</f>
        <v>0</v>
      </c>
      <c r="AN349" s="258">
        <f>IFERROR($G349*'Inputs Yr 2'!$P349*'Inputs Yr 2'!$Q349*'Inputs Yr 2'!AR349,0)</f>
        <v>0</v>
      </c>
      <c r="AO349" s="257">
        <f t="shared" si="182"/>
        <v>0</v>
      </c>
      <c r="AP349" s="195" t="str">
        <f>IFERROR($CQ349*(INDEX(avoidedcosttbl2,$H349,AP$2)+(($H349-ROUNDDOWN($H349,0))*(INDEX(avoidedcosttbl2,ROUNDUP($H349,0),AP$2)-(INDEX(avoidedcosttbl2,ROUNDDOWN($H349,0),AP$2)))))*$O349*1000*'Inputs Yr 2'!AA349,"")</f>
        <v/>
      </c>
      <c r="AQ349" s="195" t="str">
        <f>IFERROR($CR349*(INDEX(avoidedcosttbl2,$H349,AQ$2)+(($H349-ROUNDDOWN($H349,0))*(INDEX(avoidedcosttbl2,ROUNDUP($H349,0),AQ$2)-(INDEX(avoidedcosttbl2,ROUNDDOWN($H349,0),AQ$2)))))*$O349*1000*'Inputs Yr 2'!AB349,"")</f>
        <v/>
      </c>
      <c r="AR349" s="195" t="str">
        <f>IFERROR($CS349*(INDEX(avoidedcosttbl2,$H349,AR$2)+(($H349-ROUNDDOWN($H349,0))*(INDEX(avoidedcosttbl2,ROUNDUP($H349,0),AR$2)-(INDEX(avoidedcosttbl2,ROUNDDOWN($H349,0),AR$2)))))*$O349*1000*'Inputs Yr 2'!AC349,"")</f>
        <v/>
      </c>
      <c r="AS349" s="195" t="str">
        <f>IFERROR($CT349*(INDEX(avoidedcosttbl2,$H349,AS$2)+(($H349-ROUNDDOWN($H349,0))*(INDEX(avoidedcosttbl2,ROUNDUP($H349,0),AS$2)-(INDEX(avoidedcosttbl2,ROUNDDOWN($H349,0),AS$2)))))*$O349*1000*'Inputs Yr 2'!AD349,"")</f>
        <v/>
      </c>
      <c r="AT349" s="196">
        <f t="shared" si="183"/>
        <v>0</v>
      </c>
      <c r="AU349" s="197" t="str">
        <f>IFERROR($CQ349*((INDEX(avoidedcosttbl2,$H349,AU$2))+(($H349-ROUNDDOWN($H349,0))*((INDEX(avoidedcosttbl2,ROUNDUP($H349,0),AU$2))-(INDEX(avoidedcosttbl2,ROUNDDOWN($H349,0),AU$2)))))*$O349*1000*'Inputs Yr 2'!AA349,"")</f>
        <v/>
      </c>
      <c r="AV349" s="197" t="str">
        <f>IFERROR($CR349*((INDEX(avoidedcosttbl2,$H349,AV$2))+(($H349-ROUNDDOWN($H349,0))*((INDEX(avoidedcosttbl2,ROUNDUP($H349,0),AV$2))-(INDEX(avoidedcosttbl2,ROUNDDOWN($H349,0),AV$2)))))*$O349*1000*'Inputs Yr 2'!AB349,"")</f>
        <v/>
      </c>
      <c r="AW349" s="197" t="str">
        <f>IFERROR($CS349*((INDEX(avoidedcosttbl2,$H349,AW$2))+(($H349-ROUNDDOWN($H349,0))*((INDEX(avoidedcosttbl2,ROUNDUP($H349,0),AW$2))-(INDEX(avoidedcosttbl2,ROUNDDOWN($H349,0),AW$2)))))*$O349*1000*'Inputs Yr 2'!AC349,"")</f>
        <v/>
      </c>
      <c r="AX349" s="197" t="str">
        <f>IFERROR($CT349*((INDEX(avoidedcosttbl2,$H349,AX$2))+(($H349-ROUNDDOWN($H349,0))*((INDEX(avoidedcosttbl2,ROUNDUP($H349,0),AX$2))-(INDEX(avoidedcosttbl2,ROUNDDOWN($H349,0),AX$2)))))*$O349*1000*'Inputs Yr 2'!AD349,"")</f>
        <v/>
      </c>
      <c r="AY349" s="197" t="str">
        <f>IFERROR(((INDEX(avoidedcosttbl2,$H349,AY$2))+(($H349-ROUNDDOWN($H349,0))*((INDEX(avoidedcosttbl2,ROUNDUP($H349,0),AY$2))-(INDEX(avoidedcosttbl2,ROUNDDOWN($H349,0),AY$2)))))*$O349*1000*('Inputs Yr 2'!AC349+'Inputs Yr 2'!AD349),"")</f>
        <v/>
      </c>
      <c r="AZ349" s="197" t="str">
        <f>IFERROR(((INDEX(avoidedcosttbl2,$H349,AZ$2))+(($H349-ROUNDDOWN($H349,0))*((INDEX(avoidedcosttbl2,ROUNDUP($H349,0),AZ$2))-(INDEX(avoidedcosttbl2,ROUNDDOWN($H349,0),AZ$2)))))*$O349*1000*('Inputs Yr 2'!AA349+'Inputs Yr 2'!AB349),"")</f>
        <v/>
      </c>
      <c r="BA349" s="198">
        <f t="shared" si="184"/>
        <v>0</v>
      </c>
      <c r="BB349" s="198">
        <f t="shared" si="185"/>
        <v>0</v>
      </c>
      <c r="BC349" s="195" t="str">
        <f t="shared" si="167"/>
        <v/>
      </c>
      <c r="BD349" s="195" t="str">
        <f t="shared" si="168"/>
        <v/>
      </c>
      <c r="BE349" s="195" t="str">
        <f t="shared" si="169"/>
        <v/>
      </c>
      <c r="BF349" s="195" t="str">
        <f t="shared" si="170"/>
        <v/>
      </c>
      <c r="BG349" s="195" t="str">
        <f t="shared" si="171"/>
        <v/>
      </c>
      <c r="BH349" s="196">
        <f t="shared" si="186"/>
        <v>0</v>
      </c>
      <c r="BI349" s="196">
        <f t="shared" si="187"/>
        <v>0</v>
      </c>
      <c r="BJ349" s="195" t="str">
        <f>IFERROR($G349*(IF('Inputs Yr 2'!$AJ349=BJ$4,'Inputs Yr 2'!$AK349,IF('Inputs Yr 2'!$AL349=BJ$4,'Inputs Yr 2'!$AM349,IF('Inputs Yr 2'!$AN349=BJ$4,'Inputs Yr 2'!$AO349,0))))*(INDEX(avoidedcosttbl2,$H349,BJ$2)+(($H349-ROUNDDOWN($H349,0))*(INDEX(avoidedcosttbl2,ROUNDUP($H349,0),BJ$2)-(INDEX(avoidedcosttbl2,ROUNDDOWN($H349,0),BJ$2)))))*'Inputs Yr 2'!P349*'Inputs Yr 2'!Q349*'Inputs Yr 2'!U349,"")</f>
        <v/>
      </c>
      <c r="BK349" s="195" t="str">
        <f>IFERROR($G349*(IF('Inputs Yr 2'!$AJ349=BK$4,'Inputs Yr 2'!$AK349,IF('Inputs Yr 2'!$AL349=BK$4,'Inputs Yr 2'!$AM349,IF('Inputs Yr 2'!$AN349=BK$4,'Inputs Yr 2'!$AO349,0))))*(INDEX(avoidedcosttbl2,$H349,BK$2)+(($H349-ROUNDDOWN($H349,0))*(INDEX(avoidedcosttbl2,ROUNDUP($H349,0),BK$2)-(INDEX(avoidedcosttbl2,ROUNDDOWN($H349,0),BK$2)))))*'Inputs Yr 2'!P349*'Inputs Yr 2'!Q349*'Inputs Yr 2'!U349,"")</f>
        <v/>
      </c>
      <c r="BL349" s="195" t="str">
        <f>IFERROR($G349*(IF('Inputs Yr 2'!$AJ349=BL$4,'Inputs Yr 2'!$AK349,IF('Inputs Yr 2'!$AL349=BL$4,'Inputs Yr 2'!$AM349,IF('Inputs Yr 2'!$AN349=BL$4,'Inputs Yr 2'!$AO349,0))))*(INDEX(avoidedcosttbl2,$H349,BL$2)+(($H349-ROUNDDOWN($H349,0))*(INDEX(avoidedcosttbl2,ROUNDUP($H349,0),BL$2)-(INDEX(avoidedcosttbl2,ROUNDDOWN($H349,0),BL$2)))))*'Inputs Yr 2'!P349*'Inputs Yr 2'!Q349*'Inputs Yr 2'!U349,"")</f>
        <v/>
      </c>
      <c r="BM349" s="195" t="str">
        <f>IFERROR($G349*(IF('Inputs Yr 2'!$AJ349=BM$4,'Inputs Yr 2'!$AK349,IF('Inputs Yr 2'!$AL349=BM$4,'Inputs Yr 2'!$AM349,IF('Inputs Yr 2'!$AN349=BM$4,'Inputs Yr 2'!$AO349,0))))*(INDEX(avoidedcosttbl2,$H349,BM$2)+(($H349-ROUNDDOWN($H349,0))*(INDEX(avoidedcosttbl2,ROUNDUP($H349,0),BM$2)-(INDEX(avoidedcosttbl2,ROUNDDOWN($H349,0),BM$2)))))*'Inputs Yr 2'!P349*'Inputs Yr 2'!Q349*'Inputs Yr 2'!U349,"")</f>
        <v/>
      </c>
      <c r="BN349" s="195" t="str">
        <f>IFERROR($G349*(IF('Inputs Yr 2'!$AJ349=BN$4,'Inputs Yr 2'!$AK349,IF('Inputs Yr 2'!$AL349=BN$4,'Inputs Yr 2'!$AM349,IF('Inputs Yr 2'!$AN349=BN$4,'Inputs Yr 2'!$AO349,0))))*(INDEX(avoidedcosttbl2,$H349,BN$2)+(($H349-ROUNDDOWN($H349,0))*(INDEX(avoidedcosttbl2,ROUNDUP($H349,0),BN$2)-(INDEX(avoidedcosttbl2,ROUNDDOWN($H349,0),BN$2)))))*'Inputs Yr 2'!P349*'Inputs Yr 2'!Q349*'Inputs Yr 2'!U349,"")</f>
        <v/>
      </c>
      <c r="BO349" s="195" t="str">
        <f>IFERROR($G349*(IF('Inputs Yr 2'!$AJ349=BO$4,'Inputs Yr 2'!$AK349,IF('Inputs Yr 2'!$AL349=BO$4,'Inputs Yr 2'!$AM349,IF('Inputs Yr 2'!$AN349=BO$4,'Inputs Yr 2'!$AO349,0))))*(INDEX(avoidedcosttbl2,$H349,BO$2)+(($H349-ROUNDDOWN($H349,0))*(INDEX(avoidedcosttbl2,ROUNDUP($H349,0),BO$2)-(INDEX(avoidedcosttbl2,ROUNDDOWN($H349,0),BO$2)))))*'Inputs Yr 2'!P349*'Inputs Yr 2'!Q349*'Inputs Yr 2'!U349,"")</f>
        <v/>
      </c>
      <c r="BP349" s="195" t="str">
        <f>IFERROR($G349*(IF('Inputs Yr 2'!$AJ349=BP$4,'Inputs Yr 2'!$AK349,IF('Inputs Yr 2'!$AL349=BP$4,'Inputs Yr 2'!$AM349,IF('Inputs Yr 2'!$AN349=BP$4,'Inputs Yr 2'!$AO349,0))))*(INDEX(avoidedcosttbl2,$H349,BP$2)+(($H349-ROUNDDOWN($H349,0))*(INDEX(avoidedcosttbl2,ROUNDUP($H349,0),BP$2)-(INDEX(avoidedcosttbl2,ROUNDDOWN($H349,0),BP$2)))))*'Inputs Yr 2'!P349*'Inputs Yr 2'!Q349*'Inputs Yr 2'!U349,"")</f>
        <v/>
      </c>
      <c r="BQ349" s="230">
        <f t="shared" si="188"/>
        <v>0</v>
      </c>
      <c r="BR349" s="197" t="str">
        <f t="shared" si="172"/>
        <v/>
      </c>
      <c r="BS349" s="197" t="str">
        <f>IFERROR(($G349*IF('Inputs Yr 2'!$AJ349=BM$4,'Inputs Yr 2'!$AK349,IF('Inputs Yr 2'!$AL349=BM$4,'Inputs Yr 2'!$AM349,IF('Inputs Yr 2'!$AN349=BM$4,'Inputs Yr 2'!$AO349,0))))*(INDEX(avoidedcosttbl2,$H349,BS$2)+(($H349-ROUNDDOWN($H349,0))*(INDEX(avoidedcosttbl2,ROUNDUP($H349,0),BS$2)-(INDEX(avoidedcosttbl2,ROUNDDOWN($H349,0),BS$2)))))*'Inputs Yr 2'!P349*'Inputs Yr 2'!Q349*'Inputs Yr 2'!U349,"")</f>
        <v/>
      </c>
      <c r="BT349" s="197" t="str">
        <f>IFERROR(($G349*IF('Inputs Yr 2'!$AJ349=BK$4,'Inputs Yr 2'!$AK349,IF('Inputs Yr 2'!$AL349=BK$4,'Inputs Yr 2'!$AM349,IF('Inputs Yr 2'!$AN349=BK$4,'Inputs Yr 2'!$AO349,0))))*(INDEX(avoidedcosttbl2,$H349,BT$2)+(($H349-ROUNDDOWN($H349,0))*(INDEX(avoidedcosttbl2,ROUNDUP($H349,0),BT$2)-(INDEX(avoidedcosttbl2,ROUNDDOWN($H349,0),BT$2)))))*'Inputs Yr 2'!P349*'Inputs Yr 2'!Q349*'Inputs Yr 2'!U349,"")</f>
        <v/>
      </c>
      <c r="BU349" s="197" t="str">
        <f>IFERROR(($G349*IF('Inputs Yr 2'!$AJ349=BL$4,'Inputs Yr 2'!$AK349,IF('Inputs Yr 2'!$AL349=BL$4,'Inputs Yr 2'!$AM349,IF('Inputs Yr 2'!$AN349=BL$4,'Inputs Yr 2'!$AO349,0))))*(INDEX(avoidedcosttbl2,$H349,BU$2)+(($H349-ROUNDDOWN($H349,0))*(INDEX(avoidedcosttbl2,ROUNDUP($H349,0),BU$2)-(INDEX(avoidedcosttbl2,ROUNDDOWN($H349,0),BU$2)))))*'Inputs Yr 2'!P349*'Inputs Yr 2'!Q349*'Inputs Yr 2'!U349,"")</f>
        <v/>
      </c>
      <c r="BV349" s="775" t="str">
        <f>IFERROR(($G349*IF('Inputs Yr 2'!$AJ349=BJ$4,'Inputs Yr 2'!$AK349,IF('Inputs Yr 2'!$AL349=BJ$4,'Inputs Yr 2'!$AM349,IF('Inputs Yr 2'!$AN349=BJ$4,'Inputs Yr 2'!$AO349,0))))*(INDEX(avoidedcosttbl2,$H349,BV$2)+(($H349-ROUNDDOWN($H349,0))*(INDEX(avoidedcosttbl2,ROUNDUP($H349,0),BV$2)-(INDEX(avoidedcosttbl2,ROUNDDOWN($H349,0),BV$2)))))*'Inputs Yr 2'!P349*'Inputs Yr 2'!Q349*'Inputs Yr 2'!U349,"")</f>
        <v/>
      </c>
      <c r="BW349" s="197" t="str">
        <f>IFERROR(($G349*IF('Inputs Yr 2'!$AJ349=BN$4,'Inputs Yr 2'!$AK349,IF('Inputs Yr 2'!$AL349=BN$4,'Inputs Yr 2'!$AM349,IF('Inputs Yr 2'!$AN349=BN$4,'Inputs Yr 2'!$AO349,0))))*(INDEX(avoidedcosttbl2,$H349,BW$2)+(($H349-ROUNDDOWN($H349,0))*(INDEX(avoidedcosttbl2,ROUNDUP($H349,0),BW$2)-(INDEX(avoidedcosttbl2,ROUNDDOWN($H349,0),BW$2)))))*'Inputs Yr 2'!P349*'Inputs Yr 2'!Q349*'Inputs Yr 2'!U349,"")</f>
        <v/>
      </c>
      <c r="BX349" s="197" t="str">
        <f>IFERROR(($G349*IF('Inputs Yr 2'!$AJ349=BO$4,'Inputs Yr 2'!$AK349,IF('Inputs Yr 2'!$AL349=BO$4,'Inputs Yr 2'!$AM349,IF('Inputs Yr 2'!$AN349=BO$4,'Inputs Yr 2'!$AO349,0))))*(INDEX(avoidedcosttbl2,$H349,BX$2)+(($H349-ROUNDDOWN($H349,0))*(INDEX(avoidedcosttbl2,ROUNDUP($H349,0),BX$2)-(INDEX(avoidedcosttbl2,ROUNDDOWN($H349,0),BX$2)))))*'Inputs Yr 2'!P349*'Inputs Yr 2'!Q349*'Inputs Yr 2'!U349,"")</f>
        <v/>
      </c>
      <c r="BY349" s="197" t="str">
        <f>IFERROR(($G349*IF('Inputs Yr 2'!$AJ349=BP$4,'Inputs Yr 2'!$AK349,IF('Inputs Yr 2'!$AL349=BP$4,'Inputs Yr 2'!$AM349,IF('Inputs Yr 2'!$AN349=BP$4,'Inputs Yr 2'!$AO349,0))))*(INDEX(avoidedcosttbl2,$H349,BY$2)+(($H349-ROUNDDOWN($H349,0))*(INDEX(avoidedcosttbl2,ROUNDUP($H349,0),BY$2)-(INDEX(avoidedcosttbl2,ROUNDDOWN($H349,0),BY$2)))))*'Inputs Yr 2'!P349*'Inputs Yr 2'!Q349*'Inputs Yr 2'!U349,"")</f>
        <v/>
      </c>
      <c r="BZ349" s="193">
        <f t="shared" si="189"/>
        <v>0</v>
      </c>
      <c r="CA349" s="193">
        <f t="shared" si="190"/>
        <v>0</v>
      </c>
      <c r="CB349" s="195" t="str">
        <f>IFERROR(G349*(IF('Inputs Yr 2'!$AJ349=CB$4,'Inputs Yr 2'!$AK349,IF('Inputs Yr 2'!$AL349=CB$4,'Inputs Yr 2'!$AM349,IF('Inputs Yr 2'!$AN349=CB$4,'Inputs Yr 2'!$AO349,0))))*(INDEX(avoidedcosttbl2,$H349,CB$2)+(($H349-ROUNDDOWN($H349,0))*(INDEX(avoidedcosttbl2,ROUNDUP($H349,0),CB$2)-(INDEX(avoidedcosttbl2,ROUNDDOWN($H349,0),CB$2)))))*'Inputs Yr 2'!P349*'Inputs Yr 2'!Q349*'Inputs Yr 2'!U349,"")</f>
        <v/>
      </c>
      <c r="CC349" s="195" t="str">
        <f>IFERROR(H349*(IF('Inputs Yr 2'!$AJ349=CC$4,'Inputs Yr 2'!$AK349,IF('Inputs Yr 2'!$AL349=CC$4,'Inputs Yr 2'!$AM349,IF('Inputs Yr 2'!$AN349=CC$4,'Inputs Yr 2'!$AO349,0))))*(INDEX(avoidedcosttbl2,$H349,CC$2)+(($H349-ROUNDDOWN($H349,0))*(INDEX(avoidedcosttbl2,ROUNDUP($H349,0),CC$2)-(INDEX(avoidedcosttbl2,ROUNDDOWN($H349,0),CC$2)))))*'Inputs Yr 2'!Q349*'Inputs Yr 2'!R349*'Inputs Yr 2'!V349,"")</f>
        <v/>
      </c>
      <c r="CD349" s="195" t="str">
        <f>IFERROR(I349*(IF('Inputs Yr 2'!$AJ349=CD$4,'Inputs Yr 2'!$AK349,IF('Inputs Yr 2'!$AL349=CD$4,'Inputs Yr 2'!$AM349,IF('Inputs Yr 2'!$AN349=CD$4,'Inputs Yr 2'!$AO349,0))))*(INDEX(avoidedcosttbl2,$H349,CD$2)+(($H349-ROUNDDOWN($H349,0))*(INDEX(avoidedcosttbl2,ROUNDUP($H349,0),CD$2)-(INDEX(avoidedcosttbl2,ROUNDDOWN($H349,0),CD$2)))))*'Inputs Yr 2'!R349*'Inputs Yr 2'!S349*'Inputs Yr 2'!W349,"")</f>
        <v/>
      </c>
      <c r="CE349" s="213" t="str">
        <f t="shared" si="191"/>
        <v/>
      </c>
      <c r="CF349" s="213" t="str">
        <f t="shared" si="192"/>
        <v/>
      </c>
      <c r="CG349" s="213" t="str">
        <f t="shared" si="193"/>
        <v/>
      </c>
      <c r="CH349" s="698">
        <f t="shared" si="194"/>
        <v>0</v>
      </c>
      <c r="CI349" s="79" t="str">
        <f>IFERROR(($G349*'Inputs Yr 2'!$P349*'Inputs Yr 2'!$Q349*(((INDEX(avoidedcosttbl2,$H349,CI$2)+(($H349-ROUNDDOWN($H349,0))*(INDEX(avoidedcosttbl2,ROUNDUP($H349,0),CI$2)-INDEX(avoidedcosttbl2,ROUNDDOWN($H349,0),CI$2))))*'Inputs Yr 2'!AS349))),"")</f>
        <v/>
      </c>
      <c r="CJ349" s="504" t="str">
        <f>IFERROR($G349*'Inputs Yr 2'!AT349*'Inputs Yr 2'!$P349*'Inputs Yr 2'!$Q349/((1+realdiscrt1)^-0.5),"")</f>
        <v/>
      </c>
      <c r="CK349" s="79" t="str">
        <f>IFERROR((O349*1000*(((INDEX(avoidedcosttbl2,$H349,CK$2)+(($H349-ROUNDDOWN($H349,0))*(INDEX(avoidedcosttbl2,ROUNDUP($H349,0),CK$2)-INDEX(avoidedcosttbl2,ROUNDDOWN($H349,0),CK$2))))*'Inputs Yr 2'!AU349))),"")</f>
        <v/>
      </c>
      <c r="CL349" s="504" t="str">
        <f>IFERROR(O349*1000*'Inputs Yr 2'!AV349/((1+realdiscrt1)^-0.5),"")</f>
        <v/>
      </c>
      <c r="CM349" s="79" t="str">
        <f>IFERROR((AB349*'Inputs Yr 2'!AW349*(((INDEX(avoidedcosttbl2,$H349,CM$2)+(($H349-ROUNDDOWN($H349,0))*(INDEX(avoidedcosttbl2,ROUNDUP($H349,0),CM$2)-INDEX(avoidedcosttbl2,ROUNDDOWN($H349,0),CM$2)))))))*10,"")</f>
        <v/>
      </c>
      <c r="CN349" s="504">
        <f>IFERROR(10*AB349*'Inputs Yr 2'!AX349/((1+realdiscrt1)^-0.5),"")</f>
        <v>0</v>
      </c>
      <c r="CO349" s="505">
        <f t="shared" si="195"/>
        <v>0</v>
      </c>
      <c r="CP349" s="230">
        <f t="shared" si="196"/>
        <v>0</v>
      </c>
      <c r="CQ349" s="199">
        <f>ROUND(IFERROR(IF(LEFT($A349,1)="C",'Avoided Costs'!$K$13,'Avoided Costs'!$K$12)+1,""),4)</f>
        <v>1.0720000000000001</v>
      </c>
      <c r="CR349" s="199">
        <f>ROUND(IFERROR(IF(LEFT($A349,1)="C",'Avoided Costs'!$L$13,'Avoided Costs'!$L$12)+1,""),4)</f>
        <v>1.04</v>
      </c>
      <c r="CS349" s="199">
        <f>ROUND(IFERROR(IF(LEFT($A349,1)="C",'Avoided Costs'!$M$13,'Avoided Costs'!$M$12)+1,""),4)</f>
        <v>1.0720000000000001</v>
      </c>
      <c r="CT349" s="199">
        <f>ROUND(IFERROR(IF(LEFT($A349,1)="C",'Avoided Costs'!$N$13,'Avoided Costs'!$N$12)+1,""),4)</f>
        <v>1.04</v>
      </c>
      <c r="CU349" s="199">
        <f>ROUND(IFERROR(IF(LEFT($A349,1)="C",'Avoided Costs'!$O$13,'Avoided Costs'!$O$12)+1,""),4)</f>
        <v>1.1120000000000001</v>
      </c>
      <c r="CV349" s="199">
        <f>ROUND(IFERROR(IF(LEFT($A349,1)="C",'Avoided Costs'!$P$13,'Avoided Costs'!$P$12)+1,""),4)</f>
        <v>1.095</v>
      </c>
      <c r="CW349" s="199">
        <f>ROUND(IFERROR(IF(LEFT($A349,1)="C",'Avoided Costs'!$Q$13,'Avoided Costs'!$Q$12)+1,""),4)</f>
        <v>1.1120000000000001</v>
      </c>
      <c r="CX349" s="200">
        <f>ROUND(IFERROR(IF(LEFT($A349,1)="C",'Avoided Costs'!$R$13,'Avoided Costs'!$R$12)+1,""),4)</f>
        <v>1.1120000000000001</v>
      </c>
    </row>
    <row r="350" spans="1:102" ht="12.75" customHeight="1">
      <c r="A350" s="91" t="str">
        <f>IF('Inputs Yr 2'!$B350=0,"",'Inputs Yr 2'!A350)</f>
        <v>C - Commercial &amp; Industrial</v>
      </c>
      <c r="B350" s="91" t="str">
        <f>IF('Inputs Yr 2'!$B350=0,"",'Inputs Yr 2'!B350)</f>
        <v>C2 - C&amp;I Retrofit</v>
      </c>
      <c r="C350" s="91" t="str">
        <f>IF('Inputs Yr 2'!$B350=0,"",'Inputs Yr 2'!C350)</f>
        <v xml:space="preserve">C2c - C&amp;I Multifamily Retrofit </v>
      </c>
      <c r="D350" s="91" t="str">
        <f>IF('Inputs Yr 2'!$B350=0,"",'Inputs Yr 2'!E350)</f>
        <v xml:space="preserve">Water Heating </v>
      </c>
      <c r="E350" s="93" t="str">
        <f>IF('Inputs Yr 2'!$B350=0,"",'Inputs Yr 2'!F350)</f>
        <v>G16C2c25</v>
      </c>
      <c r="F350" s="93" t="str">
        <f>IF('Inputs Yr 2'!$B350=0,"",'Inputs Yr 2'!G350)</f>
        <v>Hot Water</v>
      </c>
      <c r="G350" s="95" t="str">
        <f>IF('Inputs Yr 2'!$H350&lt;&gt;0,('Inputs Yr 2'!H350),"")</f>
        <v/>
      </c>
      <c r="H350" s="94">
        <f>IFERROR('Inputs Yr 2'!I350,"")</f>
        <v>0</v>
      </c>
      <c r="I350" s="298" t="str">
        <f>IFERROR('Inputs Yr 2'!J350*'Inputs Yr 2'!P350*G350,"")</f>
        <v/>
      </c>
      <c r="J350" s="298" t="str">
        <f>IFERROR('Inputs Yr 2'!K350*G350,"")</f>
        <v/>
      </c>
      <c r="K350" s="298" t="str">
        <f t="shared" si="173"/>
        <v/>
      </c>
      <c r="L350" s="194" t="str">
        <f>IFERROR(('Inputs Yr 2'!W350*G350)/1000,"")</f>
        <v/>
      </c>
      <c r="M350" s="194" t="str">
        <f>IFERROR(L350*('Inputs Yr 2'!$Q350*'Inputs Yr 2'!$V350*'Inputs Yr 2'!$R350),"")</f>
        <v/>
      </c>
      <c r="N350" s="194" t="str">
        <f t="shared" si="174"/>
        <v/>
      </c>
      <c r="O350" s="194" t="str">
        <f>IFERROR(M350*'Inputs Yr 2'!P350,"")</f>
        <v/>
      </c>
      <c r="P350" s="194" t="str">
        <f t="shared" si="175"/>
        <v/>
      </c>
      <c r="Q350" s="194" t="str">
        <f>IFERROR($P350*'Inputs Yr 2'!AA350,"")</f>
        <v/>
      </c>
      <c r="R350" s="194" t="str">
        <f>IFERROR($P350*'Inputs Yr 2'!AB350,"")</f>
        <v/>
      </c>
      <c r="S350" s="194" t="str">
        <f>IFERROR($P350*'Inputs Yr 2'!AC350,"")</f>
        <v/>
      </c>
      <c r="T350" s="194" t="str">
        <f>IFERROR($P350*'Inputs Yr 2'!AD350,"")</f>
        <v/>
      </c>
      <c r="U350" s="194" t="str">
        <f>IFERROR(G350*'Inputs Yr 2'!$AE350*'Inputs Yr 2'!$P350*'Inputs Yr 2'!$Q350,"")</f>
        <v/>
      </c>
      <c r="V350" s="194" t="str">
        <f>IFERROR($G350*'Inputs Yr 2'!$AE350*'Inputs Yr 2'!$AG350*'Inputs Yr 2'!Q350*'Inputs Yr 2'!$S350,"")</f>
        <v/>
      </c>
      <c r="W350" s="194" t="str">
        <f>IFERROR($G350*'Inputs Yr 2'!$AE350*'Inputs Yr 2'!$AG350*'Inputs Yr 2'!P350*'Inputs Yr 2'!Q350*'Inputs Yr 2'!$S350,"")</f>
        <v/>
      </c>
      <c r="X350" s="194" t="str">
        <f>IFERROR($G350*'Inputs Yr 2'!$AE350*'Inputs Yr 2'!$AF350*'Inputs Yr 2'!Q350*'Inputs Yr 2'!$T350,"")</f>
        <v/>
      </c>
      <c r="Y350" s="194" t="str">
        <f>IFERROR($G350*'Inputs Yr 2'!$AE350*'Inputs Yr 2'!$AF350*'Inputs Yr 2'!P350*'Inputs Yr 2'!Q350*'Inputs Yr 2'!$T350,"")</f>
        <v/>
      </c>
      <c r="Z350" s="257">
        <f>IFERROR($G350*'Inputs Yr 2'!$Q350*'Inputs Yr 2'!$U350*(IF(IFERROR(SEARCH("NG", 'Inputs Yr 2'!$AJ350),0),'Inputs Yr 2'!$AK350,0)+IF(IFERROR(SEARCH("NG", 'Inputs Yr 2'!$AL350),0),'Inputs Yr 2'!$AM350,0)+IF(IFERROR(SEARCH("NG", 'Inputs Yr 2'!$AN350),0),'Inputs Yr 2'!$AO350,0)),0)</f>
        <v>0</v>
      </c>
      <c r="AA350" s="257">
        <f t="shared" si="176"/>
        <v>0</v>
      </c>
      <c r="AB350" s="257">
        <f>IFERROR(Z350*'Inputs Yr 2'!$P350,0)</f>
        <v>0</v>
      </c>
      <c r="AC350" s="257">
        <f t="shared" si="177"/>
        <v>0</v>
      </c>
      <c r="AD350" s="257">
        <f>IFERROR($G350*'Inputs Yr 2'!$Q350*'Inputs Yr 2'!$U350*(IF(IFERROR(SEARCH("Oil", 'Inputs Yr 2'!$AJ350), 0),'Inputs Yr 2'!$AK350,0)+IF(IFERROR(SEARCH("Oil", 'Inputs Yr 2'!$AL350), 0),'Inputs Yr 2'!$AM350,0)+IF(IFERROR(SEARCH("Oil", 'Inputs Yr 2'!$AN350), 0),'Inputs Yr 2'!$AO350,0)),0)</f>
        <v>0</v>
      </c>
      <c r="AE350" s="257">
        <f t="shared" si="178"/>
        <v>0</v>
      </c>
      <c r="AF350" s="257">
        <f>IFERROR(AD350*'Inputs Yr 2'!$P350,0)</f>
        <v>0</v>
      </c>
      <c r="AG350" s="257">
        <f t="shared" si="179"/>
        <v>0</v>
      </c>
      <c r="AH350" s="257">
        <f>IFERROR($G350*'Inputs Yr 2'!$Q350*'Inputs Yr 2'!$U350*(IF('Inputs Yr 2'!$AJ350=CD$4,'Inputs Yr 2'!$AK350,IF('Inputs Yr 2'!$AL350=CD$4,'Inputs Yr 2'!$AM350,IF('Inputs Yr 2'!$AN350=CD$4,'Inputs Yr 2'!$AO350,0)))),0)</f>
        <v>0</v>
      </c>
      <c r="AI350" s="257">
        <f t="shared" si="180"/>
        <v>0</v>
      </c>
      <c r="AJ350" s="257">
        <f>IFERROR(AH350*'Inputs Yr 2'!$P350,0)</f>
        <v>0</v>
      </c>
      <c r="AK350" s="257">
        <f t="shared" si="181"/>
        <v>0</v>
      </c>
      <c r="AL350" s="258">
        <f>IFERROR($G350*'Inputs Yr 2'!$P350*'Inputs Yr 2'!$Q350*'Inputs Yr 2'!AP350,0)</f>
        <v>0</v>
      </c>
      <c r="AM350" s="260">
        <f>IFERROR($G350*'Inputs Yr 2'!$P350*'Inputs Yr 2'!$Q350*'Inputs Yr 2'!AQ350,0)</f>
        <v>0</v>
      </c>
      <c r="AN350" s="258">
        <f>IFERROR($G350*'Inputs Yr 2'!$P350*'Inputs Yr 2'!$Q350*'Inputs Yr 2'!AR350,0)</f>
        <v>0</v>
      </c>
      <c r="AO350" s="257">
        <f t="shared" si="182"/>
        <v>0</v>
      </c>
      <c r="AP350" s="195" t="str">
        <f>IFERROR($CQ350*(INDEX(avoidedcosttbl2,$H350,AP$2)+(($H350-ROUNDDOWN($H350,0))*(INDEX(avoidedcosttbl2,ROUNDUP($H350,0),AP$2)-(INDEX(avoidedcosttbl2,ROUNDDOWN($H350,0),AP$2)))))*$O350*1000*'Inputs Yr 2'!AA350,"")</f>
        <v/>
      </c>
      <c r="AQ350" s="195" t="str">
        <f>IFERROR($CR350*(INDEX(avoidedcosttbl2,$H350,AQ$2)+(($H350-ROUNDDOWN($H350,0))*(INDEX(avoidedcosttbl2,ROUNDUP($H350,0),AQ$2)-(INDEX(avoidedcosttbl2,ROUNDDOWN($H350,0),AQ$2)))))*$O350*1000*'Inputs Yr 2'!AB350,"")</f>
        <v/>
      </c>
      <c r="AR350" s="195" t="str">
        <f>IFERROR($CS350*(INDEX(avoidedcosttbl2,$H350,AR$2)+(($H350-ROUNDDOWN($H350,0))*(INDEX(avoidedcosttbl2,ROUNDUP($H350,0),AR$2)-(INDEX(avoidedcosttbl2,ROUNDDOWN($H350,0),AR$2)))))*$O350*1000*'Inputs Yr 2'!AC350,"")</f>
        <v/>
      </c>
      <c r="AS350" s="195" t="str">
        <f>IFERROR($CT350*(INDEX(avoidedcosttbl2,$H350,AS$2)+(($H350-ROUNDDOWN($H350,0))*(INDEX(avoidedcosttbl2,ROUNDUP($H350,0),AS$2)-(INDEX(avoidedcosttbl2,ROUNDDOWN($H350,0),AS$2)))))*$O350*1000*'Inputs Yr 2'!AD350,"")</f>
        <v/>
      </c>
      <c r="AT350" s="196">
        <f t="shared" si="183"/>
        <v>0</v>
      </c>
      <c r="AU350" s="197" t="str">
        <f>IFERROR($CQ350*((INDEX(avoidedcosttbl2,$H350,AU$2))+(($H350-ROUNDDOWN($H350,0))*((INDEX(avoidedcosttbl2,ROUNDUP($H350,0),AU$2))-(INDEX(avoidedcosttbl2,ROUNDDOWN($H350,0),AU$2)))))*$O350*1000*'Inputs Yr 2'!AA350,"")</f>
        <v/>
      </c>
      <c r="AV350" s="197" t="str">
        <f>IFERROR($CR350*((INDEX(avoidedcosttbl2,$H350,AV$2))+(($H350-ROUNDDOWN($H350,0))*((INDEX(avoidedcosttbl2,ROUNDUP($H350,0),AV$2))-(INDEX(avoidedcosttbl2,ROUNDDOWN($H350,0),AV$2)))))*$O350*1000*'Inputs Yr 2'!AB350,"")</f>
        <v/>
      </c>
      <c r="AW350" s="197" t="str">
        <f>IFERROR($CS350*((INDEX(avoidedcosttbl2,$H350,AW$2))+(($H350-ROUNDDOWN($H350,0))*((INDEX(avoidedcosttbl2,ROUNDUP($H350,0),AW$2))-(INDEX(avoidedcosttbl2,ROUNDDOWN($H350,0),AW$2)))))*$O350*1000*'Inputs Yr 2'!AC350,"")</f>
        <v/>
      </c>
      <c r="AX350" s="197" t="str">
        <f>IFERROR($CT350*((INDEX(avoidedcosttbl2,$H350,AX$2))+(($H350-ROUNDDOWN($H350,0))*((INDEX(avoidedcosttbl2,ROUNDUP($H350,0),AX$2))-(INDEX(avoidedcosttbl2,ROUNDDOWN($H350,0),AX$2)))))*$O350*1000*'Inputs Yr 2'!AD350,"")</f>
        <v/>
      </c>
      <c r="AY350" s="197" t="str">
        <f>IFERROR(((INDEX(avoidedcosttbl2,$H350,AY$2))+(($H350-ROUNDDOWN($H350,0))*((INDEX(avoidedcosttbl2,ROUNDUP($H350,0),AY$2))-(INDEX(avoidedcosttbl2,ROUNDDOWN($H350,0),AY$2)))))*$O350*1000*('Inputs Yr 2'!AC350+'Inputs Yr 2'!AD350),"")</f>
        <v/>
      </c>
      <c r="AZ350" s="197" t="str">
        <f>IFERROR(((INDEX(avoidedcosttbl2,$H350,AZ$2))+(($H350-ROUNDDOWN($H350,0))*((INDEX(avoidedcosttbl2,ROUNDUP($H350,0),AZ$2))-(INDEX(avoidedcosttbl2,ROUNDDOWN($H350,0),AZ$2)))))*$O350*1000*('Inputs Yr 2'!AA350+'Inputs Yr 2'!AB350),"")</f>
        <v/>
      </c>
      <c r="BA350" s="198">
        <f t="shared" si="184"/>
        <v>0</v>
      </c>
      <c r="BB350" s="198">
        <f t="shared" si="185"/>
        <v>0</v>
      </c>
      <c r="BC350" s="195" t="str">
        <f t="shared" si="167"/>
        <v/>
      </c>
      <c r="BD350" s="195" t="str">
        <f t="shared" si="168"/>
        <v/>
      </c>
      <c r="BE350" s="195" t="str">
        <f t="shared" si="169"/>
        <v/>
      </c>
      <c r="BF350" s="195" t="str">
        <f t="shared" si="170"/>
        <v/>
      </c>
      <c r="BG350" s="195" t="str">
        <f t="shared" si="171"/>
        <v/>
      </c>
      <c r="BH350" s="196">
        <f t="shared" si="186"/>
        <v>0</v>
      </c>
      <c r="BI350" s="196">
        <f t="shared" si="187"/>
        <v>0</v>
      </c>
      <c r="BJ350" s="195" t="str">
        <f>IFERROR($G350*(IF('Inputs Yr 2'!$AJ350=BJ$4,'Inputs Yr 2'!$AK350,IF('Inputs Yr 2'!$AL350=BJ$4,'Inputs Yr 2'!$AM350,IF('Inputs Yr 2'!$AN350=BJ$4,'Inputs Yr 2'!$AO350,0))))*(INDEX(avoidedcosttbl2,$H350,BJ$2)+(($H350-ROUNDDOWN($H350,0))*(INDEX(avoidedcosttbl2,ROUNDUP($H350,0),BJ$2)-(INDEX(avoidedcosttbl2,ROUNDDOWN($H350,0),BJ$2)))))*'Inputs Yr 2'!P350*'Inputs Yr 2'!Q350*'Inputs Yr 2'!U350,"")</f>
        <v/>
      </c>
      <c r="BK350" s="195" t="str">
        <f>IFERROR($G350*(IF('Inputs Yr 2'!$AJ350=BK$4,'Inputs Yr 2'!$AK350,IF('Inputs Yr 2'!$AL350=BK$4,'Inputs Yr 2'!$AM350,IF('Inputs Yr 2'!$AN350=BK$4,'Inputs Yr 2'!$AO350,0))))*(INDEX(avoidedcosttbl2,$H350,BK$2)+(($H350-ROUNDDOWN($H350,0))*(INDEX(avoidedcosttbl2,ROUNDUP($H350,0),BK$2)-(INDEX(avoidedcosttbl2,ROUNDDOWN($H350,0),BK$2)))))*'Inputs Yr 2'!P350*'Inputs Yr 2'!Q350*'Inputs Yr 2'!U350,"")</f>
        <v/>
      </c>
      <c r="BL350" s="195" t="str">
        <f>IFERROR($G350*(IF('Inputs Yr 2'!$AJ350=BL$4,'Inputs Yr 2'!$AK350,IF('Inputs Yr 2'!$AL350=BL$4,'Inputs Yr 2'!$AM350,IF('Inputs Yr 2'!$AN350=BL$4,'Inputs Yr 2'!$AO350,0))))*(INDEX(avoidedcosttbl2,$H350,BL$2)+(($H350-ROUNDDOWN($H350,0))*(INDEX(avoidedcosttbl2,ROUNDUP($H350,0),BL$2)-(INDEX(avoidedcosttbl2,ROUNDDOWN($H350,0),BL$2)))))*'Inputs Yr 2'!P350*'Inputs Yr 2'!Q350*'Inputs Yr 2'!U350,"")</f>
        <v/>
      </c>
      <c r="BM350" s="195" t="str">
        <f>IFERROR($G350*(IF('Inputs Yr 2'!$AJ350=BM$4,'Inputs Yr 2'!$AK350,IF('Inputs Yr 2'!$AL350=BM$4,'Inputs Yr 2'!$AM350,IF('Inputs Yr 2'!$AN350=BM$4,'Inputs Yr 2'!$AO350,0))))*(INDEX(avoidedcosttbl2,$H350,BM$2)+(($H350-ROUNDDOWN($H350,0))*(INDEX(avoidedcosttbl2,ROUNDUP($H350,0),BM$2)-(INDEX(avoidedcosttbl2,ROUNDDOWN($H350,0),BM$2)))))*'Inputs Yr 2'!P350*'Inputs Yr 2'!Q350*'Inputs Yr 2'!U350,"")</f>
        <v/>
      </c>
      <c r="BN350" s="195" t="str">
        <f>IFERROR($G350*(IF('Inputs Yr 2'!$AJ350=BN$4,'Inputs Yr 2'!$AK350,IF('Inputs Yr 2'!$AL350=BN$4,'Inputs Yr 2'!$AM350,IF('Inputs Yr 2'!$AN350=BN$4,'Inputs Yr 2'!$AO350,0))))*(INDEX(avoidedcosttbl2,$H350,BN$2)+(($H350-ROUNDDOWN($H350,0))*(INDEX(avoidedcosttbl2,ROUNDUP($H350,0),BN$2)-(INDEX(avoidedcosttbl2,ROUNDDOWN($H350,0),BN$2)))))*'Inputs Yr 2'!P350*'Inputs Yr 2'!Q350*'Inputs Yr 2'!U350,"")</f>
        <v/>
      </c>
      <c r="BO350" s="195" t="str">
        <f>IFERROR($G350*(IF('Inputs Yr 2'!$AJ350=BO$4,'Inputs Yr 2'!$AK350,IF('Inputs Yr 2'!$AL350=BO$4,'Inputs Yr 2'!$AM350,IF('Inputs Yr 2'!$AN350=BO$4,'Inputs Yr 2'!$AO350,0))))*(INDEX(avoidedcosttbl2,$H350,BO$2)+(($H350-ROUNDDOWN($H350,0))*(INDEX(avoidedcosttbl2,ROUNDUP($H350,0),BO$2)-(INDEX(avoidedcosttbl2,ROUNDDOWN($H350,0),BO$2)))))*'Inputs Yr 2'!P350*'Inputs Yr 2'!Q350*'Inputs Yr 2'!U350,"")</f>
        <v/>
      </c>
      <c r="BP350" s="195" t="str">
        <f>IFERROR($G350*(IF('Inputs Yr 2'!$AJ350=BP$4,'Inputs Yr 2'!$AK350,IF('Inputs Yr 2'!$AL350=BP$4,'Inputs Yr 2'!$AM350,IF('Inputs Yr 2'!$AN350=BP$4,'Inputs Yr 2'!$AO350,0))))*(INDEX(avoidedcosttbl2,$H350,BP$2)+(($H350-ROUNDDOWN($H350,0))*(INDEX(avoidedcosttbl2,ROUNDUP($H350,0),BP$2)-(INDEX(avoidedcosttbl2,ROUNDDOWN($H350,0),BP$2)))))*'Inputs Yr 2'!P350*'Inputs Yr 2'!Q350*'Inputs Yr 2'!U350,"")</f>
        <v/>
      </c>
      <c r="BQ350" s="230">
        <f t="shared" si="188"/>
        <v>0</v>
      </c>
      <c r="BR350" s="197" t="str">
        <f t="shared" si="172"/>
        <v/>
      </c>
      <c r="BS350" s="197" t="str">
        <f>IFERROR(($G350*IF('Inputs Yr 2'!$AJ350=BM$4,'Inputs Yr 2'!$AK350,IF('Inputs Yr 2'!$AL350=BM$4,'Inputs Yr 2'!$AM350,IF('Inputs Yr 2'!$AN350=BM$4,'Inputs Yr 2'!$AO350,0))))*(INDEX(avoidedcosttbl2,$H350,BS$2)+(($H350-ROUNDDOWN($H350,0))*(INDEX(avoidedcosttbl2,ROUNDUP($H350,0),BS$2)-(INDEX(avoidedcosttbl2,ROUNDDOWN($H350,0),BS$2)))))*'Inputs Yr 2'!P350*'Inputs Yr 2'!Q350*'Inputs Yr 2'!U350,"")</f>
        <v/>
      </c>
      <c r="BT350" s="197" t="str">
        <f>IFERROR(($G350*IF('Inputs Yr 2'!$AJ350=BK$4,'Inputs Yr 2'!$AK350,IF('Inputs Yr 2'!$AL350=BK$4,'Inputs Yr 2'!$AM350,IF('Inputs Yr 2'!$AN350=BK$4,'Inputs Yr 2'!$AO350,0))))*(INDEX(avoidedcosttbl2,$H350,BT$2)+(($H350-ROUNDDOWN($H350,0))*(INDEX(avoidedcosttbl2,ROUNDUP($H350,0),BT$2)-(INDEX(avoidedcosttbl2,ROUNDDOWN($H350,0),BT$2)))))*'Inputs Yr 2'!P350*'Inputs Yr 2'!Q350*'Inputs Yr 2'!U350,"")</f>
        <v/>
      </c>
      <c r="BU350" s="197" t="str">
        <f>IFERROR(($G350*IF('Inputs Yr 2'!$AJ350=BL$4,'Inputs Yr 2'!$AK350,IF('Inputs Yr 2'!$AL350=BL$4,'Inputs Yr 2'!$AM350,IF('Inputs Yr 2'!$AN350=BL$4,'Inputs Yr 2'!$AO350,0))))*(INDEX(avoidedcosttbl2,$H350,BU$2)+(($H350-ROUNDDOWN($H350,0))*(INDEX(avoidedcosttbl2,ROUNDUP($H350,0),BU$2)-(INDEX(avoidedcosttbl2,ROUNDDOWN($H350,0),BU$2)))))*'Inputs Yr 2'!P350*'Inputs Yr 2'!Q350*'Inputs Yr 2'!U350,"")</f>
        <v/>
      </c>
      <c r="BV350" s="775" t="str">
        <f>IFERROR(($G350*IF('Inputs Yr 2'!$AJ350=BJ$4,'Inputs Yr 2'!$AK350,IF('Inputs Yr 2'!$AL350=BJ$4,'Inputs Yr 2'!$AM350,IF('Inputs Yr 2'!$AN350=BJ$4,'Inputs Yr 2'!$AO350,0))))*(INDEX(avoidedcosttbl2,$H350,BV$2)+(($H350-ROUNDDOWN($H350,0))*(INDEX(avoidedcosttbl2,ROUNDUP($H350,0),BV$2)-(INDEX(avoidedcosttbl2,ROUNDDOWN($H350,0),BV$2)))))*'Inputs Yr 2'!P350*'Inputs Yr 2'!Q350*'Inputs Yr 2'!U350,"")</f>
        <v/>
      </c>
      <c r="BW350" s="197" t="str">
        <f>IFERROR(($G350*IF('Inputs Yr 2'!$AJ350=BN$4,'Inputs Yr 2'!$AK350,IF('Inputs Yr 2'!$AL350=BN$4,'Inputs Yr 2'!$AM350,IF('Inputs Yr 2'!$AN350=BN$4,'Inputs Yr 2'!$AO350,0))))*(INDEX(avoidedcosttbl2,$H350,BW$2)+(($H350-ROUNDDOWN($H350,0))*(INDEX(avoidedcosttbl2,ROUNDUP($H350,0),BW$2)-(INDEX(avoidedcosttbl2,ROUNDDOWN($H350,0),BW$2)))))*'Inputs Yr 2'!P350*'Inputs Yr 2'!Q350*'Inputs Yr 2'!U350,"")</f>
        <v/>
      </c>
      <c r="BX350" s="197" t="str">
        <f>IFERROR(($G350*IF('Inputs Yr 2'!$AJ350=BO$4,'Inputs Yr 2'!$AK350,IF('Inputs Yr 2'!$AL350=BO$4,'Inputs Yr 2'!$AM350,IF('Inputs Yr 2'!$AN350=BO$4,'Inputs Yr 2'!$AO350,0))))*(INDEX(avoidedcosttbl2,$H350,BX$2)+(($H350-ROUNDDOWN($H350,0))*(INDEX(avoidedcosttbl2,ROUNDUP($H350,0),BX$2)-(INDEX(avoidedcosttbl2,ROUNDDOWN($H350,0),BX$2)))))*'Inputs Yr 2'!P350*'Inputs Yr 2'!Q350*'Inputs Yr 2'!U350,"")</f>
        <v/>
      </c>
      <c r="BY350" s="197" t="str">
        <f>IFERROR(($G350*IF('Inputs Yr 2'!$AJ350=BP$4,'Inputs Yr 2'!$AK350,IF('Inputs Yr 2'!$AL350=BP$4,'Inputs Yr 2'!$AM350,IF('Inputs Yr 2'!$AN350=BP$4,'Inputs Yr 2'!$AO350,0))))*(INDEX(avoidedcosttbl2,$H350,BY$2)+(($H350-ROUNDDOWN($H350,0))*(INDEX(avoidedcosttbl2,ROUNDUP($H350,0),BY$2)-(INDEX(avoidedcosttbl2,ROUNDDOWN($H350,0),BY$2)))))*'Inputs Yr 2'!P350*'Inputs Yr 2'!Q350*'Inputs Yr 2'!U350,"")</f>
        <v/>
      </c>
      <c r="BZ350" s="193">
        <f t="shared" si="189"/>
        <v>0</v>
      </c>
      <c r="CA350" s="193">
        <f t="shared" si="190"/>
        <v>0</v>
      </c>
      <c r="CB350" s="195" t="str">
        <f>IFERROR(G350*(IF('Inputs Yr 2'!$AJ350=CB$4,'Inputs Yr 2'!$AK350,IF('Inputs Yr 2'!$AL350=CB$4,'Inputs Yr 2'!$AM350,IF('Inputs Yr 2'!$AN350=CB$4,'Inputs Yr 2'!$AO350,0))))*(INDEX(avoidedcosttbl2,$H350,CB$2)+(($H350-ROUNDDOWN($H350,0))*(INDEX(avoidedcosttbl2,ROUNDUP($H350,0),CB$2)-(INDEX(avoidedcosttbl2,ROUNDDOWN($H350,0),CB$2)))))*'Inputs Yr 2'!P350*'Inputs Yr 2'!Q350*'Inputs Yr 2'!U350,"")</f>
        <v/>
      </c>
      <c r="CC350" s="195" t="str">
        <f>IFERROR(H350*(IF('Inputs Yr 2'!$AJ350=CC$4,'Inputs Yr 2'!$AK350,IF('Inputs Yr 2'!$AL350=CC$4,'Inputs Yr 2'!$AM350,IF('Inputs Yr 2'!$AN350=CC$4,'Inputs Yr 2'!$AO350,0))))*(INDEX(avoidedcosttbl2,$H350,CC$2)+(($H350-ROUNDDOWN($H350,0))*(INDEX(avoidedcosttbl2,ROUNDUP($H350,0),CC$2)-(INDEX(avoidedcosttbl2,ROUNDDOWN($H350,0),CC$2)))))*'Inputs Yr 2'!Q350*'Inputs Yr 2'!R350*'Inputs Yr 2'!V350,"")</f>
        <v/>
      </c>
      <c r="CD350" s="195" t="str">
        <f>IFERROR(I350*(IF('Inputs Yr 2'!$AJ350=CD$4,'Inputs Yr 2'!$AK350,IF('Inputs Yr 2'!$AL350=CD$4,'Inputs Yr 2'!$AM350,IF('Inputs Yr 2'!$AN350=CD$4,'Inputs Yr 2'!$AO350,0))))*(INDEX(avoidedcosttbl2,$H350,CD$2)+(($H350-ROUNDDOWN($H350,0))*(INDEX(avoidedcosttbl2,ROUNDUP($H350,0),CD$2)-(INDEX(avoidedcosttbl2,ROUNDDOWN($H350,0),CD$2)))))*'Inputs Yr 2'!R350*'Inputs Yr 2'!S350*'Inputs Yr 2'!W350,"")</f>
        <v/>
      </c>
      <c r="CE350" s="213" t="str">
        <f t="shared" si="191"/>
        <v/>
      </c>
      <c r="CF350" s="213" t="str">
        <f t="shared" si="192"/>
        <v/>
      </c>
      <c r="CG350" s="213" t="str">
        <f t="shared" si="193"/>
        <v/>
      </c>
      <c r="CH350" s="698">
        <f t="shared" si="194"/>
        <v>0</v>
      </c>
      <c r="CI350" s="79" t="str">
        <f>IFERROR(($G350*'Inputs Yr 2'!$P350*'Inputs Yr 2'!$Q350*(((INDEX(avoidedcosttbl2,$H350,CI$2)+(($H350-ROUNDDOWN($H350,0))*(INDEX(avoidedcosttbl2,ROUNDUP($H350,0),CI$2)-INDEX(avoidedcosttbl2,ROUNDDOWN($H350,0),CI$2))))*'Inputs Yr 2'!AS350))),"")</f>
        <v/>
      </c>
      <c r="CJ350" s="504" t="str">
        <f>IFERROR($G350*'Inputs Yr 2'!AT350*'Inputs Yr 2'!$P350*'Inputs Yr 2'!$Q350/((1+realdiscrt1)^-0.5),"")</f>
        <v/>
      </c>
      <c r="CK350" s="79" t="str">
        <f>IFERROR((O350*1000*(((INDEX(avoidedcosttbl2,$H350,CK$2)+(($H350-ROUNDDOWN($H350,0))*(INDEX(avoidedcosttbl2,ROUNDUP($H350,0),CK$2)-INDEX(avoidedcosttbl2,ROUNDDOWN($H350,0),CK$2))))*'Inputs Yr 2'!AU350))),"")</f>
        <v/>
      </c>
      <c r="CL350" s="504" t="str">
        <f>IFERROR(O350*1000*'Inputs Yr 2'!AV350/((1+realdiscrt1)^-0.5),"")</f>
        <v/>
      </c>
      <c r="CM350" s="79" t="str">
        <f>IFERROR((AB350*'Inputs Yr 2'!AW350*(((INDEX(avoidedcosttbl2,$H350,CM$2)+(($H350-ROUNDDOWN($H350,0))*(INDEX(avoidedcosttbl2,ROUNDUP($H350,0),CM$2)-INDEX(avoidedcosttbl2,ROUNDDOWN($H350,0),CM$2)))))))*10,"")</f>
        <v/>
      </c>
      <c r="CN350" s="504">
        <f>IFERROR(10*AB350*'Inputs Yr 2'!AX350/((1+realdiscrt1)^-0.5),"")</f>
        <v>0</v>
      </c>
      <c r="CO350" s="505">
        <f t="shared" si="195"/>
        <v>0</v>
      </c>
      <c r="CP350" s="230">
        <f t="shared" si="196"/>
        <v>0</v>
      </c>
      <c r="CQ350" s="199">
        <f>ROUND(IFERROR(IF(LEFT($A350,1)="C",'Avoided Costs'!$K$13,'Avoided Costs'!$K$12)+1,""),4)</f>
        <v>1.0720000000000001</v>
      </c>
      <c r="CR350" s="199">
        <f>ROUND(IFERROR(IF(LEFT($A350,1)="C",'Avoided Costs'!$L$13,'Avoided Costs'!$L$12)+1,""),4)</f>
        <v>1.04</v>
      </c>
      <c r="CS350" s="199">
        <f>ROUND(IFERROR(IF(LEFT($A350,1)="C",'Avoided Costs'!$M$13,'Avoided Costs'!$M$12)+1,""),4)</f>
        <v>1.0720000000000001</v>
      </c>
      <c r="CT350" s="199">
        <f>ROUND(IFERROR(IF(LEFT($A350,1)="C",'Avoided Costs'!$N$13,'Avoided Costs'!$N$12)+1,""),4)</f>
        <v>1.04</v>
      </c>
      <c r="CU350" s="199">
        <f>ROUND(IFERROR(IF(LEFT($A350,1)="C",'Avoided Costs'!$O$13,'Avoided Costs'!$O$12)+1,""),4)</f>
        <v>1.1120000000000001</v>
      </c>
      <c r="CV350" s="199">
        <f>ROUND(IFERROR(IF(LEFT($A350,1)="C",'Avoided Costs'!$P$13,'Avoided Costs'!$P$12)+1,""),4)</f>
        <v>1.095</v>
      </c>
      <c r="CW350" s="199">
        <f>ROUND(IFERROR(IF(LEFT($A350,1)="C",'Avoided Costs'!$Q$13,'Avoided Costs'!$Q$12)+1,""),4)</f>
        <v>1.1120000000000001</v>
      </c>
      <c r="CX350" s="200">
        <f>ROUND(IFERROR(IF(LEFT($A350,1)="C",'Avoided Costs'!$R$13,'Avoided Costs'!$R$12)+1,""),4)</f>
        <v>1.1120000000000001</v>
      </c>
    </row>
    <row r="351" spans="1:102" s="128" customFormat="1" ht="12.75" customHeight="1">
      <c r="A351" s="91" t="str">
        <f>IF('Inputs Yr 2'!$B351=0,"",'Inputs Yr 2'!A351)</f>
        <v>C - Commercial &amp; Industrial</v>
      </c>
      <c r="B351" s="91" t="str">
        <f>IF('Inputs Yr 2'!$B351=0,"",'Inputs Yr 2'!B351)</f>
        <v>C2 - C&amp;I Retrofit</v>
      </c>
      <c r="C351" s="91" t="str">
        <f>IF('Inputs Yr 2'!$B351=0,"",'Inputs Yr 2'!C351)</f>
        <v xml:space="preserve">C2c - C&amp;I Multifamily Retrofit </v>
      </c>
      <c r="D351" s="91" t="str">
        <f>IF('Inputs Yr 2'!$B351=0,"",'Inputs Yr 2'!E351)</f>
        <v>Controls - Custom</v>
      </c>
      <c r="E351" s="93" t="str">
        <f>IF('Inputs Yr 2'!$B351=0,"",'Inputs Yr 2'!F351)</f>
        <v>G16C2c26</v>
      </c>
      <c r="F351" s="93" t="str">
        <f>IF('Inputs Yr 2'!$B351=0,"",'Inputs Yr 2'!G351)</f>
        <v>HVAC</v>
      </c>
      <c r="G351" s="95">
        <f>IF('Inputs Yr 2'!$H351&lt;&gt;0,('Inputs Yr 2'!H351),"")</f>
        <v>6</v>
      </c>
      <c r="H351" s="94">
        <f>IFERROR('Inputs Yr 2'!I351,"")</f>
        <v>15</v>
      </c>
      <c r="I351" s="298">
        <f>IFERROR('Inputs Yr 2'!J351*'Inputs Yr 2'!P351*G351,"")</f>
        <v>34200</v>
      </c>
      <c r="J351" s="298">
        <f>IFERROR('Inputs Yr 2'!K351*G351,"")</f>
        <v>25650</v>
      </c>
      <c r="K351" s="298">
        <f t="shared" si="173"/>
        <v>8550</v>
      </c>
      <c r="L351" s="194">
        <f>IFERROR(('Inputs Yr 2'!W351*G351)/1000,"")</f>
        <v>0</v>
      </c>
      <c r="M351" s="194">
        <f>IFERROR(L351*('Inputs Yr 2'!$Q351*'Inputs Yr 2'!$V351*'Inputs Yr 2'!$R351),"")</f>
        <v>0</v>
      </c>
      <c r="N351" s="194">
        <f t="shared" si="174"/>
        <v>0</v>
      </c>
      <c r="O351" s="194">
        <f>IFERROR(M351*'Inputs Yr 2'!P351,"")</f>
        <v>0</v>
      </c>
      <c r="P351" s="194">
        <f t="shared" si="175"/>
        <v>0</v>
      </c>
      <c r="Q351" s="194">
        <f>IFERROR($P351*'Inputs Yr 2'!AA351,"")</f>
        <v>0</v>
      </c>
      <c r="R351" s="194">
        <f>IFERROR($P351*'Inputs Yr 2'!AB351,"")</f>
        <v>0</v>
      </c>
      <c r="S351" s="194">
        <f>IFERROR($P351*'Inputs Yr 2'!AC351,"")</f>
        <v>0</v>
      </c>
      <c r="T351" s="194">
        <f>IFERROR($P351*'Inputs Yr 2'!AD351,"")</f>
        <v>0</v>
      </c>
      <c r="U351" s="194">
        <f>IFERROR(G351*'Inputs Yr 2'!$AE351*'Inputs Yr 2'!$P351*'Inputs Yr 2'!$Q351,"")</f>
        <v>0</v>
      </c>
      <c r="V351" s="194">
        <f>IFERROR($G351*'Inputs Yr 2'!$AE351*'Inputs Yr 2'!$AG351*'Inputs Yr 2'!Q351*'Inputs Yr 2'!$S351,"")</f>
        <v>0</v>
      </c>
      <c r="W351" s="194">
        <f>IFERROR($G351*'Inputs Yr 2'!$AE351*'Inputs Yr 2'!$AG351*'Inputs Yr 2'!P351*'Inputs Yr 2'!Q351*'Inputs Yr 2'!$S351,"")</f>
        <v>0</v>
      </c>
      <c r="X351" s="194">
        <f>IFERROR($G351*'Inputs Yr 2'!$AE351*'Inputs Yr 2'!$AF351*'Inputs Yr 2'!Q351*'Inputs Yr 2'!$T351,"")</f>
        <v>0</v>
      </c>
      <c r="Y351" s="194">
        <f>IFERROR($G351*'Inputs Yr 2'!$AE351*'Inputs Yr 2'!$AF351*'Inputs Yr 2'!P351*'Inputs Yr 2'!Q351*'Inputs Yr 2'!$T351,"")</f>
        <v>0</v>
      </c>
      <c r="Z351" s="257">
        <f>IFERROR($G351*'Inputs Yr 2'!$Q351*'Inputs Yr 2'!$U351*(IF(IFERROR(SEARCH("NG", 'Inputs Yr 2'!$AJ351),0),'Inputs Yr 2'!$AK351,0)+IF(IFERROR(SEARCH("NG", 'Inputs Yr 2'!$AL351),0),'Inputs Yr 2'!$AM351,0)+IF(IFERROR(SEARCH("NG", 'Inputs Yr 2'!$AN351),0),'Inputs Yr 2'!$AO351,0)),0)</f>
        <v>183.60599999999999</v>
      </c>
      <c r="AA351" s="257">
        <f t="shared" si="176"/>
        <v>2754.09</v>
      </c>
      <c r="AB351" s="257">
        <f>IFERROR(Z351*'Inputs Yr 2'!$P351,0)</f>
        <v>183.60599999999999</v>
      </c>
      <c r="AC351" s="257">
        <f t="shared" si="177"/>
        <v>2754.09</v>
      </c>
      <c r="AD351" s="257">
        <f>IFERROR($G351*'Inputs Yr 2'!$Q351*'Inputs Yr 2'!$U351*(IF(IFERROR(SEARCH("Oil", 'Inputs Yr 2'!$AJ351), 0),'Inputs Yr 2'!$AK351,0)+IF(IFERROR(SEARCH("Oil", 'Inputs Yr 2'!$AL351), 0),'Inputs Yr 2'!$AM351,0)+IF(IFERROR(SEARCH("Oil", 'Inputs Yr 2'!$AN351), 0),'Inputs Yr 2'!$AO351,0)),0)</f>
        <v>0</v>
      </c>
      <c r="AE351" s="257">
        <f t="shared" si="178"/>
        <v>0</v>
      </c>
      <c r="AF351" s="257">
        <f>IFERROR(AD351*'Inputs Yr 2'!$P351,0)</f>
        <v>0</v>
      </c>
      <c r="AG351" s="257">
        <f t="shared" si="179"/>
        <v>0</v>
      </c>
      <c r="AH351" s="257">
        <f>IFERROR($G351*'Inputs Yr 2'!$Q351*'Inputs Yr 2'!$U351*(IF('Inputs Yr 2'!$AJ351=CD$4,'Inputs Yr 2'!$AK351,IF('Inputs Yr 2'!$AL351=CD$4,'Inputs Yr 2'!$AM351,IF('Inputs Yr 2'!$AN351=CD$4,'Inputs Yr 2'!$AO351,0)))),0)</f>
        <v>0</v>
      </c>
      <c r="AI351" s="257">
        <f t="shared" si="180"/>
        <v>0</v>
      </c>
      <c r="AJ351" s="257">
        <f>IFERROR(AH351*'Inputs Yr 2'!$P351,0)</f>
        <v>0</v>
      </c>
      <c r="AK351" s="257">
        <f t="shared" si="181"/>
        <v>0</v>
      </c>
      <c r="AL351" s="258">
        <f>IFERROR($G351*'Inputs Yr 2'!$P351*'Inputs Yr 2'!$Q351*'Inputs Yr 2'!AP351,0)</f>
        <v>0</v>
      </c>
      <c r="AM351" s="260">
        <f>IFERROR($G351*'Inputs Yr 2'!$P351*'Inputs Yr 2'!$Q351*'Inputs Yr 2'!AQ351,0)</f>
        <v>0</v>
      </c>
      <c r="AN351" s="258">
        <f>IFERROR($G351*'Inputs Yr 2'!$P351*'Inputs Yr 2'!$Q351*'Inputs Yr 2'!AR351,0)</f>
        <v>0</v>
      </c>
      <c r="AO351" s="257">
        <f t="shared" si="182"/>
        <v>0</v>
      </c>
      <c r="AP351" s="195">
        <f>IFERROR($CQ351*(INDEX(avoidedcosttbl2,$H351,AP$2)+(($H351-ROUNDDOWN($H351,0))*(INDEX(avoidedcosttbl2,ROUNDUP($H351,0),AP$2)-(INDEX(avoidedcosttbl2,ROUNDDOWN($H351,0),AP$2)))))*$O351*1000*'Inputs Yr 2'!AA351,"")</f>
        <v>0</v>
      </c>
      <c r="AQ351" s="195">
        <f>IFERROR($CR351*(INDEX(avoidedcosttbl2,$H351,AQ$2)+(($H351-ROUNDDOWN($H351,0))*(INDEX(avoidedcosttbl2,ROUNDUP($H351,0),AQ$2)-(INDEX(avoidedcosttbl2,ROUNDDOWN($H351,0),AQ$2)))))*$O351*1000*'Inputs Yr 2'!AB351,"")</f>
        <v>0</v>
      </c>
      <c r="AR351" s="195">
        <f>IFERROR($CS351*(INDEX(avoidedcosttbl2,$H351,AR$2)+(($H351-ROUNDDOWN($H351,0))*(INDEX(avoidedcosttbl2,ROUNDUP($H351,0),AR$2)-(INDEX(avoidedcosttbl2,ROUNDDOWN($H351,0),AR$2)))))*$O351*1000*'Inputs Yr 2'!AC351,"")</f>
        <v>0</v>
      </c>
      <c r="AS351" s="195">
        <f>IFERROR($CT351*(INDEX(avoidedcosttbl2,$H351,AS$2)+(($H351-ROUNDDOWN($H351,0))*(INDEX(avoidedcosttbl2,ROUNDUP($H351,0),AS$2)-(INDEX(avoidedcosttbl2,ROUNDDOWN($H351,0),AS$2)))))*$O351*1000*'Inputs Yr 2'!AD351,"")</f>
        <v>0</v>
      </c>
      <c r="AT351" s="196">
        <f t="shared" si="183"/>
        <v>0</v>
      </c>
      <c r="AU351" s="197">
        <f>IFERROR($CQ351*((INDEX(avoidedcosttbl2,$H351,AU$2))+(($H351-ROUNDDOWN($H351,0))*((INDEX(avoidedcosttbl2,ROUNDUP($H351,0),AU$2))-(INDEX(avoidedcosttbl2,ROUNDDOWN($H351,0),AU$2)))))*$O351*1000*'Inputs Yr 2'!AA351,"")</f>
        <v>0</v>
      </c>
      <c r="AV351" s="197">
        <f>IFERROR($CR351*((INDEX(avoidedcosttbl2,$H351,AV$2))+(($H351-ROUNDDOWN($H351,0))*((INDEX(avoidedcosttbl2,ROUNDUP($H351,0),AV$2))-(INDEX(avoidedcosttbl2,ROUNDDOWN($H351,0),AV$2)))))*$O351*1000*'Inputs Yr 2'!AB351,"")</f>
        <v>0</v>
      </c>
      <c r="AW351" s="197">
        <f>IFERROR($CS351*((INDEX(avoidedcosttbl2,$H351,AW$2))+(($H351-ROUNDDOWN($H351,0))*((INDEX(avoidedcosttbl2,ROUNDUP($H351,0),AW$2))-(INDEX(avoidedcosttbl2,ROUNDDOWN($H351,0),AW$2)))))*$O351*1000*'Inputs Yr 2'!AC351,"")</f>
        <v>0</v>
      </c>
      <c r="AX351" s="197">
        <f>IFERROR($CT351*((INDEX(avoidedcosttbl2,$H351,AX$2))+(($H351-ROUNDDOWN($H351,0))*((INDEX(avoidedcosttbl2,ROUNDUP($H351,0),AX$2))-(INDEX(avoidedcosttbl2,ROUNDDOWN($H351,0),AX$2)))))*$O351*1000*'Inputs Yr 2'!AD351,"")</f>
        <v>0</v>
      </c>
      <c r="AY351" s="197">
        <f>IFERROR(((INDEX(avoidedcosttbl2,$H351,AY$2))+(($H351-ROUNDDOWN($H351,0))*((INDEX(avoidedcosttbl2,ROUNDUP($H351,0),AY$2))-(INDEX(avoidedcosttbl2,ROUNDDOWN($H351,0),AY$2)))))*$O351*1000*('Inputs Yr 2'!AC351+'Inputs Yr 2'!AD351),"")</f>
        <v>0</v>
      </c>
      <c r="AZ351" s="197">
        <f>IFERROR(((INDEX(avoidedcosttbl2,$H351,AZ$2))+(($H351-ROUNDDOWN($H351,0))*((INDEX(avoidedcosttbl2,ROUNDUP($H351,0),AZ$2))-(INDEX(avoidedcosttbl2,ROUNDDOWN($H351,0),AZ$2)))))*$O351*1000*('Inputs Yr 2'!AA351+'Inputs Yr 2'!AB351),"")</f>
        <v>0</v>
      </c>
      <c r="BA351" s="198">
        <f t="shared" si="184"/>
        <v>0</v>
      </c>
      <c r="BB351" s="198">
        <f t="shared" si="185"/>
        <v>0</v>
      </c>
      <c r="BC351" s="195">
        <f t="shared" si="167"/>
        <v>0</v>
      </c>
      <c r="BD351" s="195">
        <f t="shared" si="168"/>
        <v>0</v>
      </c>
      <c r="BE351" s="195">
        <f t="shared" si="169"/>
        <v>0</v>
      </c>
      <c r="BF351" s="195">
        <f t="shared" si="170"/>
        <v>0</v>
      </c>
      <c r="BG351" s="195">
        <f t="shared" si="171"/>
        <v>0</v>
      </c>
      <c r="BH351" s="196">
        <f t="shared" si="186"/>
        <v>0</v>
      </c>
      <c r="BI351" s="196">
        <f t="shared" si="187"/>
        <v>0</v>
      </c>
      <c r="BJ351" s="195">
        <f>IFERROR($G351*(IF('Inputs Yr 2'!$AJ351=BJ$4,'Inputs Yr 2'!$AK351,IF('Inputs Yr 2'!$AL351=BJ$4,'Inputs Yr 2'!$AM351,IF('Inputs Yr 2'!$AN351=BJ$4,'Inputs Yr 2'!$AO351,0))))*(INDEX(avoidedcosttbl2,$H351,BJ$2)+(($H351-ROUNDDOWN($H351,0))*(INDEX(avoidedcosttbl2,ROUNDUP($H351,0),BJ$2)-(INDEX(avoidedcosttbl2,ROUNDDOWN($H351,0),BJ$2)))))*'Inputs Yr 2'!P351*'Inputs Yr 2'!Q351*'Inputs Yr 2'!U351,"")</f>
        <v>0</v>
      </c>
      <c r="BK351" s="195">
        <f>IFERROR($G351*(IF('Inputs Yr 2'!$AJ351=BK$4,'Inputs Yr 2'!$AK351,IF('Inputs Yr 2'!$AL351=BK$4,'Inputs Yr 2'!$AM351,IF('Inputs Yr 2'!$AN351=BK$4,'Inputs Yr 2'!$AO351,0))))*(INDEX(avoidedcosttbl2,$H351,BK$2)+(($H351-ROUNDDOWN($H351,0))*(INDEX(avoidedcosttbl2,ROUNDUP($H351,0),BK$2)-(INDEX(avoidedcosttbl2,ROUNDDOWN($H351,0),BK$2)))))*'Inputs Yr 2'!P351*'Inputs Yr 2'!Q351*'Inputs Yr 2'!U351,"")</f>
        <v>0</v>
      </c>
      <c r="BL351" s="195">
        <f>IFERROR($G351*(IF('Inputs Yr 2'!$AJ351=BL$4,'Inputs Yr 2'!$AK351,IF('Inputs Yr 2'!$AL351=BL$4,'Inputs Yr 2'!$AM351,IF('Inputs Yr 2'!$AN351=BL$4,'Inputs Yr 2'!$AO351,0))))*(INDEX(avoidedcosttbl2,$H351,BL$2)+(($H351-ROUNDDOWN($H351,0))*(INDEX(avoidedcosttbl2,ROUNDUP($H351,0),BL$2)-(INDEX(avoidedcosttbl2,ROUNDDOWN($H351,0),BL$2)))))*'Inputs Yr 2'!P351*'Inputs Yr 2'!Q351*'Inputs Yr 2'!U351,"")</f>
        <v>23224.475982126856</v>
      </c>
      <c r="BM351" s="195">
        <f>IFERROR($G351*(IF('Inputs Yr 2'!$AJ351=BM$4,'Inputs Yr 2'!$AK351,IF('Inputs Yr 2'!$AL351=BM$4,'Inputs Yr 2'!$AM351,IF('Inputs Yr 2'!$AN351=BM$4,'Inputs Yr 2'!$AO351,0))))*(INDEX(avoidedcosttbl2,$H351,BM$2)+(($H351-ROUNDDOWN($H351,0))*(INDEX(avoidedcosttbl2,ROUNDUP($H351,0),BM$2)-(INDEX(avoidedcosttbl2,ROUNDDOWN($H351,0),BM$2)))))*'Inputs Yr 2'!P351*'Inputs Yr 2'!Q351*'Inputs Yr 2'!U351,"")</f>
        <v>0</v>
      </c>
      <c r="BN351" s="195">
        <f>IFERROR($G351*(IF('Inputs Yr 2'!$AJ351=BN$4,'Inputs Yr 2'!$AK351,IF('Inputs Yr 2'!$AL351=BN$4,'Inputs Yr 2'!$AM351,IF('Inputs Yr 2'!$AN351=BN$4,'Inputs Yr 2'!$AO351,0))))*(INDEX(avoidedcosttbl2,$H351,BN$2)+(($H351-ROUNDDOWN($H351,0))*(INDEX(avoidedcosttbl2,ROUNDUP($H351,0),BN$2)-(INDEX(avoidedcosttbl2,ROUNDDOWN($H351,0),BN$2)))))*'Inputs Yr 2'!P351*'Inputs Yr 2'!Q351*'Inputs Yr 2'!U351,"")</f>
        <v>0</v>
      </c>
      <c r="BO351" s="195">
        <f>IFERROR($G351*(IF('Inputs Yr 2'!$AJ351=BO$4,'Inputs Yr 2'!$AK351,IF('Inputs Yr 2'!$AL351=BO$4,'Inputs Yr 2'!$AM351,IF('Inputs Yr 2'!$AN351=BO$4,'Inputs Yr 2'!$AO351,0))))*(INDEX(avoidedcosttbl2,$H351,BO$2)+(($H351-ROUNDDOWN($H351,0))*(INDEX(avoidedcosttbl2,ROUNDUP($H351,0),BO$2)-(INDEX(avoidedcosttbl2,ROUNDDOWN($H351,0),BO$2)))))*'Inputs Yr 2'!P351*'Inputs Yr 2'!Q351*'Inputs Yr 2'!U351,"")</f>
        <v>0</v>
      </c>
      <c r="BP351" s="195">
        <f>IFERROR($G351*(IF('Inputs Yr 2'!$AJ351=BP$4,'Inputs Yr 2'!$AK351,IF('Inputs Yr 2'!$AL351=BP$4,'Inputs Yr 2'!$AM351,IF('Inputs Yr 2'!$AN351=BP$4,'Inputs Yr 2'!$AO351,0))))*(INDEX(avoidedcosttbl2,$H351,BP$2)+(($H351-ROUNDDOWN($H351,0))*(INDEX(avoidedcosttbl2,ROUNDUP($H351,0),BP$2)-(INDEX(avoidedcosttbl2,ROUNDDOWN($H351,0),BP$2)))))*'Inputs Yr 2'!P351*'Inputs Yr 2'!Q351*'Inputs Yr 2'!U351,"")</f>
        <v>0</v>
      </c>
      <c r="BQ351" s="230">
        <f t="shared" si="188"/>
        <v>23224.475982126856</v>
      </c>
      <c r="BR351" s="197">
        <f t="shared" si="172"/>
        <v>373.29460467535318</v>
      </c>
      <c r="BS351" s="197">
        <f>IFERROR(($G351*IF('Inputs Yr 2'!$AJ351=BM$4,'Inputs Yr 2'!$AK351,IF('Inputs Yr 2'!$AL351=BM$4,'Inputs Yr 2'!$AM351,IF('Inputs Yr 2'!$AN351=BM$4,'Inputs Yr 2'!$AO351,0))))*(INDEX(avoidedcosttbl2,$H351,BS$2)+(($H351-ROUNDDOWN($H351,0))*(INDEX(avoidedcosttbl2,ROUNDUP($H351,0),BS$2)-(INDEX(avoidedcosttbl2,ROUNDDOWN($H351,0),BS$2)))))*'Inputs Yr 2'!P351*'Inputs Yr 2'!Q351*'Inputs Yr 2'!U351,"")</f>
        <v>0</v>
      </c>
      <c r="BT351" s="197">
        <f>IFERROR(($G351*IF('Inputs Yr 2'!$AJ351=BK$4,'Inputs Yr 2'!$AK351,IF('Inputs Yr 2'!$AL351=BK$4,'Inputs Yr 2'!$AM351,IF('Inputs Yr 2'!$AN351=BK$4,'Inputs Yr 2'!$AO351,0))))*(INDEX(avoidedcosttbl2,$H351,BT$2)+(($H351-ROUNDDOWN($H351,0))*(INDEX(avoidedcosttbl2,ROUNDUP($H351,0),BT$2)-(INDEX(avoidedcosttbl2,ROUNDDOWN($H351,0),BT$2)))))*'Inputs Yr 2'!P351*'Inputs Yr 2'!Q351*'Inputs Yr 2'!U351,"")</f>
        <v>0</v>
      </c>
      <c r="BU351" s="197">
        <f>IFERROR(($G351*IF('Inputs Yr 2'!$AJ351=BL$4,'Inputs Yr 2'!$AK351,IF('Inputs Yr 2'!$AL351=BL$4,'Inputs Yr 2'!$AM351,IF('Inputs Yr 2'!$AN351=BL$4,'Inputs Yr 2'!$AO351,0))))*(INDEX(avoidedcosttbl2,$H351,BU$2)+(($H351-ROUNDDOWN($H351,0))*(INDEX(avoidedcosttbl2,ROUNDUP($H351,0),BU$2)-(INDEX(avoidedcosttbl2,ROUNDDOWN($H351,0),BU$2)))))*'Inputs Yr 2'!P351*'Inputs Yr 2'!Q351*'Inputs Yr 2'!U351,"")</f>
        <v>1421.513219424332</v>
      </c>
      <c r="BV351" s="775">
        <f>IFERROR(($G351*IF('Inputs Yr 2'!$AJ351=BJ$4,'Inputs Yr 2'!$AK351,IF('Inputs Yr 2'!$AL351=BJ$4,'Inputs Yr 2'!$AM351,IF('Inputs Yr 2'!$AN351=BJ$4,'Inputs Yr 2'!$AO351,0))))*(INDEX(avoidedcosttbl2,$H351,BV$2)+(($H351-ROUNDDOWN($H351,0))*(INDEX(avoidedcosttbl2,ROUNDUP($H351,0),BV$2)-(INDEX(avoidedcosttbl2,ROUNDDOWN($H351,0),BV$2)))))*'Inputs Yr 2'!P351*'Inputs Yr 2'!Q351*'Inputs Yr 2'!U351,"")</f>
        <v>0</v>
      </c>
      <c r="BW351" s="197">
        <f>IFERROR(($G351*IF('Inputs Yr 2'!$AJ351=BN$4,'Inputs Yr 2'!$AK351,IF('Inputs Yr 2'!$AL351=BN$4,'Inputs Yr 2'!$AM351,IF('Inputs Yr 2'!$AN351=BN$4,'Inputs Yr 2'!$AO351,0))))*(INDEX(avoidedcosttbl2,$H351,BW$2)+(($H351-ROUNDDOWN($H351,0))*(INDEX(avoidedcosttbl2,ROUNDUP($H351,0),BW$2)-(INDEX(avoidedcosttbl2,ROUNDDOWN($H351,0),BW$2)))))*'Inputs Yr 2'!P351*'Inputs Yr 2'!Q351*'Inputs Yr 2'!U351,"")</f>
        <v>0</v>
      </c>
      <c r="BX351" s="197">
        <f>IFERROR(($G351*IF('Inputs Yr 2'!$AJ351=BO$4,'Inputs Yr 2'!$AK351,IF('Inputs Yr 2'!$AL351=BO$4,'Inputs Yr 2'!$AM351,IF('Inputs Yr 2'!$AN351=BO$4,'Inputs Yr 2'!$AO351,0))))*(INDEX(avoidedcosttbl2,$H351,BX$2)+(($H351-ROUNDDOWN($H351,0))*(INDEX(avoidedcosttbl2,ROUNDUP($H351,0),BX$2)-(INDEX(avoidedcosttbl2,ROUNDDOWN($H351,0),BX$2)))))*'Inputs Yr 2'!P351*'Inputs Yr 2'!Q351*'Inputs Yr 2'!U351,"")</f>
        <v>0</v>
      </c>
      <c r="BY351" s="197">
        <f>IFERROR(($G351*IF('Inputs Yr 2'!$AJ351=BP$4,'Inputs Yr 2'!$AK351,IF('Inputs Yr 2'!$AL351=BP$4,'Inputs Yr 2'!$AM351,IF('Inputs Yr 2'!$AN351=BP$4,'Inputs Yr 2'!$AO351,0))))*(INDEX(avoidedcosttbl2,$H351,BY$2)+(($H351-ROUNDDOWN($H351,0))*(INDEX(avoidedcosttbl2,ROUNDUP($H351,0),BY$2)-(INDEX(avoidedcosttbl2,ROUNDDOWN($H351,0),BY$2)))))*'Inputs Yr 2'!P351*'Inputs Yr 2'!Q351*'Inputs Yr 2'!U351,"")</f>
        <v>0</v>
      </c>
      <c r="BZ351" s="193">
        <f t="shared" si="189"/>
        <v>1794.8078240996851</v>
      </c>
      <c r="CA351" s="193">
        <f t="shared" si="190"/>
        <v>25019.28380622654</v>
      </c>
      <c r="CB351" s="195">
        <f>IFERROR(G351*(IF('Inputs Yr 2'!$AJ351=CB$4,'Inputs Yr 2'!$AK351,IF('Inputs Yr 2'!$AL351=CB$4,'Inputs Yr 2'!$AM351,IF('Inputs Yr 2'!$AN351=CB$4,'Inputs Yr 2'!$AO351,0))))*(INDEX(avoidedcosttbl2,$H351,CB$2)+(($H351-ROUNDDOWN($H351,0))*(INDEX(avoidedcosttbl2,ROUNDUP($H351,0),CB$2)-(INDEX(avoidedcosttbl2,ROUNDDOWN($H351,0),CB$2)))))*'Inputs Yr 2'!P351*'Inputs Yr 2'!Q351*'Inputs Yr 2'!U351,"")</f>
        <v>0</v>
      </c>
      <c r="CC351" s="195">
        <f>IFERROR(H351*(IF('Inputs Yr 2'!$AJ351=CC$4,'Inputs Yr 2'!$AK351,IF('Inputs Yr 2'!$AL351=CC$4,'Inputs Yr 2'!$AM351,IF('Inputs Yr 2'!$AN351=CC$4,'Inputs Yr 2'!$AO351,0))))*(INDEX(avoidedcosttbl2,$H351,CC$2)+(($H351-ROUNDDOWN($H351,0))*(INDEX(avoidedcosttbl2,ROUNDUP($H351,0),CC$2)-(INDEX(avoidedcosttbl2,ROUNDDOWN($H351,0),CC$2)))))*'Inputs Yr 2'!Q351*'Inputs Yr 2'!R351*'Inputs Yr 2'!V351,"")</f>
        <v>0</v>
      </c>
      <c r="CD351" s="195">
        <f>IFERROR(I351*(IF('Inputs Yr 2'!$AJ351=CD$4,'Inputs Yr 2'!$AK351,IF('Inputs Yr 2'!$AL351=CD$4,'Inputs Yr 2'!$AM351,IF('Inputs Yr 2'!$AN351=CD$4,'Inputs Yr 2'!$AO351,0))))*(INDEX(avoidedcosttbl2,$H351,CD$2)+(($H351-ROUNDDOWN($H351,0))*(INDEX(avoidedcosttbl2,ROUNDUP($H351,0),CD$2)-(INDEX(avoidedcosttbl2,ROUNDDOWN($H351,0),CD$2)))))*'Inputs Yr 2'!R351*'Inputs Yr 2'!S351*'Inputs Yr 2'!W351,"")</f>
        <v>0</v>
      </c>
      <c r="CE351" s="213">
        <f t="shared" si="191"/>
        <v>0</v>
      </c>
      <c r="CF351" s="213">
        <f t="shared" si="192"/>
        <v>0</v>
      </c>
      <c r="CG351" s="213">
        <f t="shared" si="193"/>
        <v>0</v>
      </c>
      <c r="CH351" s="698">
        <f t="shared" si="194"/>
        <v>25019.28380622654</v>
      </c>
      <c r="CI351" s="79">
        <f>IFERROR(($G351*'Inputs Yr 2'!$P351*'Inputs Yr 2'!$Q351*(((INDEX(avoidedcosttbl2,$H351,CI$2)+(($H351-ROUNDDOWN($H351,0))*(INDEX(avoidedcosttbl2,ROUNDUP($H351,0),CI$2)-INDEX(avoidedcosttbl2,ROUNDDOWN($H351,0),CI$2))))*'Inputs Yr 2'!AS351))),"")</f>
        <v>0</v>
      </c>
      <c r="CJ351" s="504">
        <f>IFERROR($G351*'Inputs Yr 2'!AT351*'Inputs Yr 2'!$P351*'Inputs Yr 2'!$Q351/((1+realdiscrt1)^-0.5),"")</f>
        <v>0</v>
      </c>
      <c r="CK351" s="79">
        <f>IFERROR((O351*1000*(((INDEX(avoidedcosttbl2,$H351,CK$2)+(($H351-ROUNDDOWN($H351,0))*(INDEX(avoidedcosttbl2,ROUNDUP($H351,0),CK$2)-INDEX(avoidedcosttbl2,ROUNDDOWN($H351,0),CK$2))))*'Inputs Yr 2'!AU351))),"")</f>
        <v>0</v>
      </c>
      <c r="CL351" s="504">
        <f>IFERROR(O351*1000*'Inputs Yr 2'!AV351/((1+realdiscrt1)^-0.5),"")</f>
        <v>0</v>
      </c>
      <c r="CM351" s="79">
        <f>IFERROR((AB351*'Inputs Yr 2'!AW351*(((INDEX(avoidedcosttbl2,$H351,CM$2)+(($H351-ROUNDDOWN($H351,0))*(INDEX(avoidedcosttbl2,ROUNDUP($H351,0),CM$2)-INDEX(avoidedcosttbl2,ROUNDDOWN($H351,0),CM$2)))))))*10,"")</f>
        <v>0</v>
      </c>
      <c r="CN351" s="504">
        <f>IFERROR(10*AB351*'Inputs Yr 2'!AX351/((1+realdiscrt1)^-0.5),"")</f>
        <v>0</v>
      </c>
      <c r="CO351" s="505">
        <f t="shared" si="195"/>
        <v>0</v>
      </c>
      <c r="CP351" s="230">
        <f t="shared" si="196"/>
        <v>25019.28380622654</v>
      </c>
      <c r="CQ351" s="199">
        <f>ROUND(IFERROR(IF(LEFT($A351,1)="C",'Avoided Costs'!$K$13,'Avoided Costs'!$K$12)+1,""),4)</f>
        <v>1.0720000000000001</v>
      </c>
      <c r="CR351" s="199">
        <f>ROUND(IFERROR(IF(LEFT($A351,1)="C",'Avoided Costs'!$L$13,'Avoided Costs'!$L$12)+1,""),4)</f>
        <v>1.04</v>
      </c>
      <c r="CS351" s="199">
        <f>ROUND(IFERROR(IF(LEFT($A351,1)="C",'Avoided Costs'!$M$13,'Avoided Costs'!$M$12)+1,""),4)</f>
        <v>1.0720000000000001</v>
      </c>
      <c r="CT351" s="199">
        <f>ROUND(IFERROR(IF(LEFT($A351,1)="C",'Avoided Costs'!$N$13,'Avoided Costs'!$N$12)+1,""),4)</f>
        <v>1.04</v>
      </c>
      <c r="CU351" s="199">
        <f>ROUND(IFERROR(IF(LEFT($A351,1)="C",'Avoided Costs'!$O$13,'Avoided Costs'!$O$12)+1,""),4)</f>
        <v>1.1120000000000001</v>
      </c>
      <c r="CV351" s="199">
        <f>ROUND(IFERROR(IF(LEFT($A351,1)="C",'Avoided Costs'!$P$13,'Avoided Costs'!$P$12)+1,""),4)</f>
        <v>1.095</v>
      </c>
      <c r="CW351" s="199">
        <f>ROUND(IFERROR(IF(LEFT($A351,1)="C",'Avoided Costs'!$Q$13,'Avoided Costs'!$Q$12)+1,""),4)</f>
        <v>1.1120000000000001</v>
      </c>
      <c r="CX351" s="200">
        <f>ROUND(IFERROR(IF(LEFT($A351,1)="C",'Avoided Costs'!$R$13,'Avoided Costs'!$R$12)+1,""),4)</f>
        <v>1.1120000000000001</v>
      </c>
    </row>
    <row r="352" spans="1:102" s="128" customFormat="1" ht="12.75" customHeight="1">
      <c r="A352" s="91" t="str">
        <f>IF('Inputs Yr 2'!$B389=0,"",'Inputs Yr 2'!A389)</f>
        <v/>
      </c>
      <c r="B352" s="91" t="str">
        <f>IF('Inputs Yr 2'!$B389=0,"",'Inputs Yr 2'!B389)</f>
        <v/>
      </c>
      <c r="C352" s="91" t="str">
        <f>IF('Inputs Yr 2'!$B352=0,"",'Inputs Yr 2'!C352)</f>
        <v/>
      </c>
      <c r="D352" s="91" t="str">
        <f>IF('Inputs Yr 2'!$B352=0,"",'Inputs Yr 2'!E352)</f>
        <v/>
      </c>
      <c r="E352" s="93" t="str">
        <f>IF('Inputs Yr 2'!$B352=0,"",'Inputs Yr 2'!F352)</f>
        <v/>
      </c>
      <c r="F352" s="93" t="str">
        <f>IF('Inputs Yr 2'!$B352=0,"",'Inputs Yr 2'!G352)</f>
        <v/>
      </c>
      <c r="G352" s="95" t="str">
        <f>IF('Inputs Yr 2'!$H352&lt;&gt;0,('Inputs Yr 2'!H352),"")</f>
        <v/>
      </c>
      <c r="H352" s="94">
        <f>IFERROR('Inputs Yr 2'!I352,"")</f>
        <v>0</v>
      </c>
      <c r="I352" s="298" t="str">
        <f>IFERROR('Inputs Yr 2'!J352*'Inputs Yr 2'!P352*G352,"")</f>
        <v/>
      </c>
      <c r="J352" s="298" t="str">
        <f>IFERROR('Inputs Yr 2'!K352*G352,"")</f>
        <v/>
      </c>
      <c r="K352" s="298" t="str">
        <f t="shared" si="173"/>
        <v/>
      </c>
      <c r="L352" s="194" t="str">
        <f>IFERROR(('Inputs Yr 2'!W352*G352)/1000,"")</f>
        <v/>
      </c>
      <c r="M352" s="194" t="str">
        <f>IFERROR(L352*('Inputs Yr 2'!$Q352*'Inputs Yr 2'!$V352*'Inputs Yr 2'!$R352),"")</f>
        <v/>
      </c>
      <c r="N352" s="194" t="str">
        <f t="shared" si="174"/>
        <v/>
      </c>
      <c r="O352" s="194" t="str">
        <f>IFERROR(M352*'Inputs Yr 2'!P352,"")</f>
        <v/>
      </c>
      <c r="P352" s="194" t="str">
        <f t="shared" si="175"/>
        <v/>
      </c>
      <c r="Q352" s="194" t="str">
        <f>IFERROR($P352*'Inputs Yr 2'!AA352,"")</f>
        <v/>
      </c>
      <c r="R352" s="194" t="str">
        <f>IFERROR($P352*'Inputs Yr 2'!AB352,"")</f>
        <v/>
      </c>
      <c r="S352" s="194" t="str">
        <f>IFERROR($P352*'Inputs Yr 2'!AC352,"")</f>
        <v/>
      </c>
      <c r="T352" s="194" t="str">
        <f>IFERROR($P352*'Inputs Yr 2'!AD352,"")</f>
        <v/>
      </c>
      <c r="U352" s="194" t="str">
        <f>IFERROR(G352*'Inputs Yr 2'!$AE352*'Inputs Yr 2'!$P352*'Inputs Yr 2'!$Q352,"")</f>
        <v/>
      </c>
      <c r="V352" s="194" t="str">
        <f>IFERROR($G352*'Inputs Yr 2'!$AE352*'Inputs Yr 2'!$AG352*'Inputs Yr 2'!Q352*'Inputs Yr 2'!$S352,"")</f>
        <v/>
      </c>
      <c r="W352" s="194" t="str">
        <f>IFERROR($G352*'Inputs Yr 2'!$AE352*'Inputs Yr 2'!$AG352*'Inputs Yr 2'!P352*'Inputs Yr 2'!Q352*'Inputs Yr 2'!$S352,"")</f>
        <v/>
      </c>
      <c r="X352" s="194" t="str">
        <f>IFERROR($G352*'Inputs Yr 2'!$AE352*'Inputs Yr 2'!$AF352*'Inputs Yr 2'!Q352*'Inputs Yr 2'!$T352,"")</f>
        <v/>
      </c>
      <c r="Y352" s="194" t="str">
        <f>IFERROR($G352*'Inputs Yr 2'!$AE352*'Inputs Yr 2'!$AF352*'Inputs Yr 2'!P352*'Inputs Yr 2'!Q352*'Inputs Yr 2'!$T352,"")</f>
        <v/>
      </c>
      <c r="Z352" s="257">
        <f>IFERROR($G352*'Inputs Yr 2'!$Q352*'Inputs Yr 2'!$U352*(IF(IFERROR(SEARCH("NG", 'Inputs Yr 2'!$AJ352),0),'Inputs Yr 2'!$AK352,0)+IF(IFERROR(SEARCH("NG", 'Inputs Yr 2'!$AL352),0),'Inputs Yr 2'!$AM352,0)+IF(IFERROR(SEARCH("NG", 'Inputs Yr 2'!$AN352),0),'Inputs Yr 2'!$AO352,0)),0)</f>
        <v>0</v>
      </c>
      <c r="AA352" s="257">
        <f t="shared" si="176"/>
        <v>0</v>
      </c>
      <c r="AB352" s="257">
        <f>IFERROR(Z352*'Inputs Yr 2'!$P352,0)</f>
        <v>0</v>
      </c>
      <c r="AC352" s="257">
        <f t="shared" si="177"/>
        <v>0</v>
      </c>
      <c r="AD352" s="257">
        <f>IFERROR($G352*'Inputs Yr 2'!$Q352*'Inputs Yr 2'!$U352*(IF(IFERROR(SEARCH("Oil", 'Inputs Yr 2'!$AJ352), 0),'Inputs Yr 2'!$AK352,0)+IF(IFERROR(SEARCH("Oil", 'Inputs Yr 2'!$AL352), 0),'Inputs Yr 2'!$AM352,0)+IF(IFERROR(SEARCH("Oil", 'Inputs Yr 2'!$AN352), 0),'Inputs Yr 2'!$AO352,0)),0)</f>
        <v>0</v>
      </c>
      <c r="AE352" s="257">
        <f t="shared" si="178"/>
        <v>0</v>
      </c>
      <c r="AF352" s="257">
        <f>IFERROR(AD352*'Inputs Yr 2'!$P352,0)</f>
        <v>0</v>
      </c>
      <c r="AG352" s="257">
        <f t="shared" si="179"/>
        <v>0</v>
      </c>
      <c r="AH352" s="257">
        <f>IFERROR($G352*'Inputs Yr 2'!$Q352*'Inputs Yr 2'!$U352*(IF('Inputs Yr 2'!$AJ352=CD$4,'Inputs Yr 2'!$AK352,IF('Inputs Yr 2'!$AL352=CD$4,'Inputs Yr 2'!$AM352,IF('Inputs Yr 2'!$AN352=CD$4,'Inputs Yr 2'!$AO352,0)))),0)</f>
        <v>0</v>
      </c>
      <c r="AI352" s="257">
        <f t="shared" si="180"/>
        <v>0</v>
      </c>
      <c r="AJ352" s="257">
        <f>IFERROR(AH352*'Inputs Yr 2'!$P352,0)</f>
        <v>0</v>
      </c>
      <c r="AK352" s="257">
        <f t="shared" si="181"/>
        <v>0</v>
      </c>
      <c r="AL352" s="258">
        <f>IFERROR($G352*'Inputs Yr 2'!$P352*'Inputs Yr 2'!$Q352*'Inputs Yr 2'!AP352,0)</f>
        <v>0</v>
      </c>
      <c r="AM352" s="260">
        <f>IFERROR($G352*'Inputs Yr 2'!$P352*'Inputs Yr 2'!$Q352*'Inputs Yr 2'!AQ352,0)</f>
        <v>0</v>
      </c>
      <c r="AN352" s="258">
        <f>IFERROR($G352*'Inputs Yr 2'!$P352*'Inputs Yr 2'!$Q352*'Inputs Yr 2'!AR352,0)</f>
        <v>0</v>
      </c>
      <c r="AO352" s="257">
        <f t="shared" si="182"/>
        <v>0</v>
      </c>
      <c r="AP352" s="195" t="str">
        <f>IFERROR($CQ352*(INDEX(avoidedcosttbl2,$H352,AP$2)+(($H352-ROUNDDOWN($H352,0))*(INDEX(avoidedcosttbl2,ROUNDUP($H352,0),AP$2)-(INDEX(avoidedcosttbl2,ROUNDDOWN($H352,0),AP$2)))))*$O352*1000*'Inputs Yr 2'!AA352,"")</f>
        <v/>
      </c>
      <c r="AQ352" s="195" t="str">
        <f>IFERROR($CR352*(INDEX(avoidedcosttbl2,$H352,AQ$2)+(($H352-ROUNDDOWN($H352,0))*(INDEX(avoidedcosttbl2,ROUNDUP($H352,0),AQ$2)-(INDEX(avoidedcosttbl2,ROUNDDOWN($H352,0),AQ$2)))))*$O352*1000*'Inputs Yr 2'!AB352,"")</f>
        <v/>
      </c>
      <c r="AR352" s="195" t="str">
        <f>IFERROR($CS352*(INDEX(avoidedcosttbl2,$H352,AR$2)+(($H352-ROUNDDOWN($H352,0))*(INDEX(avoidedcosttbl2,ROUNDUP($H352,0),AR$2)-(INDEX(avoidedcosttbl2,ROUNDDOWN($H352,0),AR$2)))))*$O352*1000*'Inputs Yr 2'!AC352,"")</f>
        <v/>
      </c>
      <c r="AS352" s="195" t="str">
        <f>IFERROR($CT352*(INDEX(avoidedcosttbl2,$H352,AS$2)+(($H352-ROUNDDOWN($H352,0))*(INDEX(avoidedcosttbl2,ROUNDUP($H352,0),AS$2)-(INDEX(avoidedcosttbl2,ROUNDDOWN($H352,0),AS$2)))))*$O352*1000*'Inputs Yr 2'!AD352,"")</f>
        <v/>
      </c>
      <c r="AT352" s="196">
        <f t="shared" si="183"/>
        <v>0</v>
      </c>
      <c r="AU352" s="197" t="str">
        <f>IFERROR($CQ352*((INDEX(avoidedcosttbl2,$H352,AU$2))+(($H352-ROUNDDOWN($H352,0))*((INDEX(avoidedcosttbl2,ROUNDUP($H352,0),AU$2))-(INDEX(avoidedcosttbl2,ROUNDDOWN($H352,0),AU$2)))))*$O352*1000*'Inputs Yr 2'!AA352,"")</f>
        <v/>
      </c>
      <c r="AV352" s="197" t="str">
        <f>IFERROR($CR352*((INDEX(avoidedcosttbl2,$H352,AV$2))+(($H352-ROUNDDOWN($H352,0))*((INDEX(avoidedcosttbl2,ROUNDUP($H352,0),AV$2))-(INDEX(avoidedcosttbl2,ROUNDDOWN($H352,0),AV$2)))))*$O352*1000*'Inputs Yr 2'!AB352,"")</f>
        <v/>
      </c>
      <c r="AW352" s="197" t="str">
        <f>IFERROR($CS352*((INDEX(avoidedcosttbl2,$H352,AW$2))+(($H352-ROUNDDOWN($H352,0))*((INDEX(avoidedcosttbl2,ROUNDUP($H352,0),AW$2))-(INDEX(avoidedcosttbl2,ROUNDDOWN($H352,0),AW$2)))))*$O352*1000*'Inputs Yr 2'!AC352,"")</f>
        <v/>
      </c>
      <c r="AX352" s="197" t="str">
        <f>IFERROR($CT352*((INDEX(avoidedcosttbl2,$H352,AX$2))+(($H352-ROUNDDOWN($H352,0))*((INDEX(avoidedcosttbl2,ROUNDUP($H352,0),AX$2))-(INDEX(avoidedcosttbl2,ROUNDDOWN($H352,0),AX$2)))))*$O352*1000*'Inputs Yr 2'!AD352,"")</f>
        <v/>
      </c>
      <c r="AY352" s="197" t="str">
        <f>IFERROR(((INDEX(avoidedcosttbl2,$H352,AY$2))+(($H352-ROUNDDOWN($H352,0))*((INDEX(avoidedcosttbl2,ROUNDUP($H352,0),AY$2))-(INDEX(avoidedcosttbl2,ROUNDDOWN($H352,0),AY$2)))))*$O352*1000*('Inputs Yr 2'!AC352+'Inputs Yr 2'!AD352),"")</f>
        <v/>
      </c>
      <c r="AZ352" s="197" t="str">
        <f>IFERROR(((INDEX(avoidedcosttbl2,$H352,AZ$2))+(($H352-ROUNDDOWN($H352,0))*((INDEX(avoidedcosttbl2,ROUNDUP($H352,0),AZ$2))-(INDEX(avoidedcosttbl2,ROUNDDOWN($H352,0),AZ$2)))))*$O352*1000*('Inputs Yr 2'!AA352+'Inputs Yr 2'!AB352),"")</f>
        <v/>
      </c>
      <c r="BA352" s="198">
        <f t="shared" si="184"/>
        <v>0</v>
      </c>
      <c r="BB352" s="198">
        <f t="shared" si="185"/>
        <v>0</v>
      </c>
      <c r="BC352" s="195" t="str">
        <f t="shared" si="167"/>
        <v/>
      </c>
      <c r="BD352" s="195" t="str">
        <f t="shared" si="168"/>
        <v/>
      </c>
      <c r="BE352" s="195" t="str">
        <f t="shared" si="169"/>
        <v/>
      </c>
      <c r="BF352" s="195" t="str">
        <f t="shared" si="170"/>
        <v/>
      </c>
      <c r="BG352" s="195" t="str">
        <f t="shared" si="171"/>
        <v/>
      </c>
      <c r="BH352" s="196">
        <f t="shared" si="186"/>
        <v>0</v>
      </c>
      <c r="BI352" s="196">
        <f t="shared" si="187"/>
        <v>0</v>
      </c>
      <c r="BJ352" s="195" t="str">
        <f>IFERROR($G352*(IF('Inputs Yr 2'!$AJ352=BJ$4,'Inputs Yr 2'!$AK352,IF('Inputs Yr 2'!$AL352=BJ$4,'Inputs Yr 2'!$AM352,IF('Inputs Yr 2'!$AN352=BJ$4,'Inputs Yr 2'!$AO352,0))))*(INDEX(avoidedcosttbl2,$H352,BJ$2)+(($H352-ROUNDDOWN($H352,0))*(INDEX(avoidedcosttbl2,ROUNDUP($H352,0),BJ$2)-(INDEX(avoidedcosttbl2,ROUNDDOWN($H352,0),BJ$2)))))*'Inputs Yr 2'!P352*'Inputs Yr 2'!Q352*'Inputs Yr 2'!U352,"")</f>
        <v/>
      </c>
      <c r="BK352" s="195" t="str">
        <f>IFERROR($G352*(IF('Inputs Yr 2'!$AJ352=BK$4,'Inputs Yr 2'!$AK352,IF('Inputs Yr 2'!$AL352=BK$4,'Inputs Yr 2'!$AM352,IF('Inputs Yr 2'!$AN352=BK$4,'Inputs Yr 2'!$AO352,0))))*(INDEX(avoidedcosttbl2,$H352,BK$2)+(($H352-ROUNDDOWN($H352,0))*(INDEX(avoidedcosttbl2,ROUNDUP($H352,0),BK$2)-(INDEX(avoidedcosttbl2,ROUNDDOWN($H352,0),BK$2)))))*'Inputs Yr 2'!P352*'Inputs Yr 2'!Q352*'Inputs Yr 2'!U352,"")</f>
        <v/>
      </c>
      <c r="BL352" s="195" t="str">
        <f>IFERROR($G352*(IF('Inputs Yr 2'!$AJ352=BL$4,'Inputs Yr 2'!$AK352,IF('Inputs Yr 2'!$AL352=BL$4,'Inputs Yr 2'!$AM352,IF('Inputs Yr 2'!$AN352=BL$4,'Inputs Yr 2'!$AO352,0))))*(INDEX(avoidedcosttbl2,$H352,BL$2)+(($H352-ROUNDDOWN($H352,0))*(INDEX(avoidedcosttbl2,ROUNDUP($H352,0),BL$2)-(INDEX(avoidedcosttbl2,ROUNDDOWN($H352,0),BL$2)))))*'Inputs Yr 2'!P352*'Inputs Yr 2'!Q352*'Inputs Yr 2'!U352,"")</f>
        <v/>
      </c>
      <c r="BM352" s="195" t="str">
        <f>IFERROR($G352*(IF('Inputs Yr 2'!$AJ352=BM$4,'Inputs Yr 2'!$AK352,IF('Inputs Yr 2'!$AL352=BM$4,'Inputs Yr 2'!$AM352,IF('Inputs Yr 2'!$AN352=BM$4,'Inputs Yr 2'!$AO352,0))))*(INDEX(avoidedcosttbl2,$H352,BM$2)+(($H352-ROUNDDOWN($H352,0))*(INDEX(avoidedcosttbl2,ROUNDUP($H352,0),BM$2)-(INDEX(avoidedcosttbl2,ROUNDDOWN($H352,0),BM$2)))))*'Inputs Yr 2'!P352*'Inputs Yr 2'!Q352*'Inputs Yr 2'!U352,"")</f>
        <v/>
      </c>
      <c r="BN352" s="195" t="str">
        <f>IFERROR($G352*(IF('Inputs Yr 2'!$AJ352=BN$4,'Inputs Yr 2'!$AK352,IF('Inputs Yr 2'!$AL352=BN$4,'Inputs Yr 2'!$AM352,IF('Inputs Yr 2'!$AN352=BN$4,'Inputs Yr 2'!$AO352,0))))*(INDEX(avoidedcosttbl2,$H352,BN$2)+(($H352-ROUNDDOWN($H352,0))*(INDEX(avoidedcosttbl2,ROUNDUP($H352,0),BN$2)-(INDEX(avoidedcosttbl2,ROUNDDOWN($H352,0),BN$2)))))*'Inputs Yr 2'!P352*'Inputs Yr 2'!Q352*'Inputs Yr 2'!U352,"")</f>
        <v/>
      </c>
      <c r="BO352" s="195" t="str">
        <f>IFERROR($G352*(IF('Inputs Yr 2'!$AJ352=BO$4,'Inputs Yr 2'!$AK352,IF('Inputs Yr 2'!$AL352=BO$4,'Inputs Yr 2'!$AM352,IF('Inputs Yr 2'!$AN352=BO$4,'Inputs Yr 2'!$AO352,0))))*(INDEX(avoidedcosttbl2,$H352,BO$2)+(($H352-ROUNDDOWN($H352,0))*(INDEX(avoidedcosttbl2,ROUNDUP($H352,0),BO$2)-(INDEX(avoidedcosttbl2,ROUNDDOWN($H352,0),BO$2)))))*'Inputs Yr 2'!P352*'Inputs Yr 2'!Q352*'Inputs Yr 2'!U352,"")</f>
        <v/>
      </c>
      <c r="BP352" s="195" t="str">
        <f>IFERROR($G352*(IF('Inputs Yr 2'!$AJ352=BP$4,'Inputs Yr 2'!$AK352,IF('Inputs Yr 2'!$AL352=BP$4,'Inputs Yr 2'!$AM352,IF('Inputs Yr 2'!$AN352=BP$4,'Inputs Yr 2'!$AO352,0))))*(INDEX(avoidedcosttbl2,$H352,BP$2)+(($H352-ROUNDDOWN($H352,0))*(INDEX(avoidedcosttbl2,ROUNDUP($H352,0),BP$2)-(INDEX(avoidedcosttbl2,ROUNDDOWN($H352,0),BP$2)))))*'Inputs Yr 2'!P352*'Inputs Yr 2'!Q352*'Inputs Yr 2'!U352,"")</f>
        <v/>
      </c>
      <c r="BQ352" s="230">
        <f t="shared" si="188"/>
        <v>0</v>
      </c>
      <c r="BR352" s="197" t="str">
        <f t="shared" si="172"/>
        <v/>
      </c>
      <c r="BS352" s="197" t="str">
        <f>IFERROR(($G352*IF('Inputs Yr 2'!$AJ352=BM$4,'Inputs Yr 2'!$AK352,IF('Inputs Yr 2'!$AL352=BM$4,'Inputs Yr 2'!$AM352,IF('Inputs Yr 2'!$AN352=BM$4,'Inputs Yr 2'!$AO352,0))))*(INDEX(avoidedcosttbl2,$H352,BS$2)+(($H352-ROUNDDOWN($H352,0))*(INDEX(avoidedcosttbl2,ROUNDUP($H352,0),BS$2)-(INDEX(avoidedcosttbl2,ROUNDDOWN($H352,0),BS$2)))))*'Inputs Yr 2'!P352*'Inputs Yr 2'!Q352*'Inputs Yr 2'!U352,"")</f>
        <v/>
      </c>
      <c r="BT352" s="197" t="str">
        <f>IFERROR(($G352*IF('Inputs Yr 2'!$AJ352=BK$4,'Inputs Yr 2'!$AK352,IF('Inputs Yr 2'!$AL352=BK$4,'Inputs Yr 2'!$AM352,IF('Inputs Yr 2'!$AN352=BK$4,'Inputs Yr 2'!$AO352,0))))*(INDEX(avoidedcosttbl2,$H352,BT$2)+(($H352-ROUNDDOWN($H352,0))*(INDEX(avoidedcosttbl2,ROUNDUP($H352,0),BT$2)-(INDEX(avoidedcosttbl2,ROUNDDOWN($H352,0),BT$2)))))*'Inputs Yr 2'!P352*'Inputs Yr 2'!Q352*'Inputs Yr 2'!U352,"")</f>
        <v/>
      </c>
      <c r="BU352" s="197" t="str">
        <f>IFERROR(($G352*IF('Inputs Yr 2'!$AJ352=BL$4,'Inputs Yr 2'!$AK352,IF('Inputs Yr 2'!$AL352=BL$4,'Inputs Yr 2'!$AM352,IF('Inputs Yr 2'!$AN352=BL$4,'Inputs Yr 2'!$AO352,0))))*(INDEX(avoidedcosttbl2,$H352,BU$2)+(($H352-ROUNDDOWN($H352,0))*(INDEX(avoidedcosttbl2,ROUNDUP($H352,0),BU$2)-(INDEX(avoidedcosttbl2,ROUNDDOWN($H352,0),BU$2)))))*'Inputs Yr 2'!P352*'Inputs Yr 2'!Q352*'Inputs Yr 2'!U352,"")</f>
        <v/>
      </c>
      <c r="BV352" s="775" t="str">
        <f>IFERROR(($G352*IF('Inputs Yr 2'!$AJ352=BJ$4,'Inputs Yr 2'!$AK352,IF('Inputs Yr 2'!$AL352=BJ$4,'Inputs Yr 2'!$AM352,IF('Inputs Yr 2'!$AN352=BJ$4,'Inputs Yr 2'!$AO352,0))))*(INDEX(avoidedcosttbl2,$H352,BV$2)+(($H352-ROUNDDOWN($H352,0))*(INDEX(avoidedcosttbl2,ROUNDUP($H352,0),BV$2)-(INDEX(avoidedcosttbl2,ROUNDDOWN($H352,0),BV$2)))))*'Inputs Yr 2'!P352*'Inputs Yr 2'!Q352*'Inputs Yr 2'!U352,"")</f>
        <v/>
      </c>
      <c r="BW352" s="197" t="str">
        <f>IFERROR(($G352*IF('Inputs Yr 2'!$AJ352=BN$4,'Inputs Yr 2'!$AK352,IF('Inputs Yr 2'!$AL352=BN$4,'Inputs Yr 2'!$AM352,IF('Inputs Yr 2'!$AN352=BN$4,'Inputs Yr 2'!$AO352,0))))*(INDEX(avoidedcosttbl2,$H352,BW$2)+(($H352-ROUNDDOWN($H352,0))*(INDEX(avoidedcosttbl2,ROUNDUP($H352,0),BW$2)-(INDEX(avoidedcosttbl2,ROUNDDOWN($H352,0),BW$2)))))*'Inputs Yr 2'!P352*'Inputs Yr 2'!Q352*'Inputs Yr 2'!U352,"")</f>
        <v/>
      </c>
      <c r="BX352" s="197" t="str">
        <f>IFERROR(($G352*IF('Inputs Yr 2'!$AJ352=BO$4,'Inputs Yr 2'!$AK352,IF('Inputs Yr 2'!$AL352=BO$4,'Inputs Yr 2'!$AM352,IF('Inputs Yr 2'!$AN352=BO$4,'Inputs Yr 2'!$AO352,0))))*(INDEX(avoidedcosttbl2,$H352,BX$2)+(($H352-ROUNDDOWN($H352,0))*(INDEX(avoidedcosttbl2,ROUNDUP($H352,0),BX$2)-(INDEX(avoidedcosttbl2,ROUNDDOWN($H352,0),BX$2)))))*'Inputs Yr 2'!P352*'Inputs Yr 2'!Q352*'Inputs Yr 2'!U352,"")</f>
        <v/>
      </c>
      <c r="BY352" s="197" t="str">
        <f>IFERROR(($G352*IF('Inputs Yr 2'!$AJ352=BP$4,'Inputs Yr 2'!$AK352,IF('Inputs Yr 2'!$AL352=BP$4,'Inputs Yr 2'!$AM352,IF('Inputs Yr 2'!$AN352=BP$4,'Inputs Yr 2'!$AO352,0))))*(INDEX(avoidedcosttbl2,$H352,BY$2)+(($H352-ROUNDDOWN($H352,0))*(INDEX(avoidedcosttbl2,ROUNDUP($H352,0),BY$2)-(INDEX(avoidedcosttbl2,ROUNDDOWN($H352,0),BY$2)))))*'Inputs Yr 2'!P352*'Inputs Yr 2'!Q352*'Inputs Yr 2'!U352,"")</f>
        <v/>
      </c>
      <c r="BZ352" s="193">
        <f t="shared" si="189"/>
        <v>0</v>
      </c>
      <c r="CA352" s="193">
        <f t="shared" si="190"/>
        <v>0</v>
      </c>
      <c r="CB352" s="195" t="str">
        <f>IFERROR(G352*(IF('Inputs Yr 2'!$AJ352=CB$4,'Inputs Yr 2'!$AK352,IF('Inputs Yr 2'!$AL352=CB$4,'Inputs Yr 2'!$AM352,IF('Inputs Yr 2'!$AN352=CB$4,'Inputs Yr 2'!$AO352,0))))*(INDEX(avoidedcosttbl2,$H352,CB$2)+(($H352-ROUNDDOWN($H352,0))*(INDEX(avoidedcosttbl2,ROUNDUP($H352,0),CB$2)-(INDEX(avoidedcosttbl2,ROUNDDOWN($H352,0),CB$2)))))*'Inputs Yr 2'!P352*'Inputs Yr 2'!Q352*'Inputs Yr 2'!U352,"")</f>
        <v/>
      </c>
      <c r="CC352" s="195" t="str">
        <f>IFERROR(H352*(IF('Inputs Yr 2'!$AJ352=CC$4,'Inputs Yr 2'!$AK352,IF('Inputs Yr 2'!$AL352=CC$4,'Inputs Yr 2'!$AM352,IF('Inputs Yr 2'!$AN352=CC$4,'Inputs Yr 2'!$AO352,0))))*(INDEX(avoidedcosttbl2,$H352,CC$2)+(($H352-ROUNDDOWN($H352,0))*(INDEX(avoidedcosttbl2,ROUNDUP($H352,0),CC$2)-(INDEX(avoidedcosttbl2,ROUNDDOWN($H352,0),CC$2)))))*'Inputs Yr 2'!Q352*'Inputs Yr 2'!R352*'Inputs Yr 2'!V352,"")</f>
        <v/>
      </c>
      <c r="CD352" s="195" t="str">
        <f>IFERROR(I352*(IF('Inputs Yr 2'!$AJ352=CD$4,'Inputs Yr 2'!$AK352,IF('Inputs Yr 2'!$AL352=CD$4,'Inputs Yr 2'!$AM352,IF('Inputs Yr 2'!$AN352=CD$4,'Inputs Yr 2'!$AO352,0))))*(INDEX(avoidedcosttbl2,$H352,CD$2)+(($H352-ROUNDDOWN($H352,0))*(INDEX(avoidedcosttbl2,ROUNDUP($H352,0),CD$2)-(INDEX(avoidedcosttbl2,ROUNDDOWN($H352,0),CD$2)))))*'Inputs Yr 2'!R352*'Inputs Yr 2'!S352*'Inputs Yr 2'!W352,"")</f>
        <v/>
      </c>
      <c r="CE352" s="213" t="str">
        <f t="shared" si="191"/>
        <v/>
      </c>
      <c r="CF352" s="213" t="str">
        <f t="shared" si="192"/>
        <v/>
      </c>
      <c r="CG352" s="213" t="str">
        <f t="shared" si="193"/>
        <v/>
      </c>
      <c r="CH352" s="698">
        <f t="shared" si="194"/>
        <v>0</v>
      </c>
      <c r="CI352" s="79" t="str">
        <f>IFERROR(($G352*'Inputs Yr 2'!$P352*'Inputs Yr 2'!$Q352*(((INDEX(avoidedcosttbl2,$H352,CI$2)+(($H352-ROUNDDOWN($H352,0))*(INDEX(avoidedcosttbl2,ROUNDUP($H352,0),CI$2)-INDEX(avoidedcosttbl2,ROUNDDOWN($H352,0),CI$2))))*'Inputs Yr 2'!AS352))),"")</f>
        <v/>
      </c>
      <c r="CJ352" s="504" t="str">
        <f>IFERROR($G352*'Inputs Yr 2'!AT352*'Inputs Yr 2'!$P352*'Inputs Yr 2'!$Q352/((1+realdiscrt1)^-0.5),"")</f>
        <v/>
      </c>
      <c r="CK352" s="79" t="str">
        <f>IFERROR((O352*1000*(((INDEX(avoidedcosttbl2,$H352,CK$2)+(($H352-ROUNDDOWN($H352,0))*(INDEX(avoidedcosttbl2,ROUNDUP($H352,0),CK$2)-INDEX(avoidedcosttbl2,ROUNDDOWN($H352,0),CK$2))))*'Inputs Yr 2'!AU352))),"")</f>
        <v/>
      </c>
      <c r="CL352" s="504" t="str">
        <f>IFERROR(O352*1000*'Inputs Yr 2'!AV352/((1+realdiscrt1)^-0.5),"")</f>
        <v/>
      </c>
      <c r="CM352" s="79" t="str">
        <f>IFERROR((AB352*'Inputs Yr 2'!AW352*(((INDEX(avoidedcosttbl2,$H352,CM$2)+(($H352-ROUNDDOWN($H352,0))*(INDEX(avoidedcosttbl2,ROUNDUP($H352,0),CM$2)-INDEX(avoidedcosttbl2,ROUNDDOWN($H352,0),CM$2)))))))*10,"")</f>
        <v/>
      </c>
      <c r="CN352" s="504">
        <f>IFERROR(10*AB352*'Inputs Yr 2'!AX352/((1+realdiscrt1)^-0.5),"")</f>
        <v>0</v>
      </c>
      <c r="CO352" s="505">
        <f t="shared" si="195"/>
        <v>0</v>
      </c>
      <c r="CP352" s="230">
        <f t="shared" si="196"/>
        <v>0</v>
      </c>
      <c r="CQ352" s="199">
        <f>ROUND(IFERROR(IF(LEFT($A352,1)="C",'Avoided Costs'!$K$13,'Avoided Costs'!$K$12)+1,""),4)</f>
        <v>1.0720000000000001</v>
      </c>
      <c r="CR352" s="199">
        <f>ROUND(IFERROR(IF(LEFT($A352,1)="C",'Avoided Costs'!$L$13,'Avoided Costs'!$L$12)+1,""),4)</f>
        <v>1.04</v>
      </c>
      <c r="CS352" s="199">
        <f>ROUND(IFERROR(IF(LEFT($A352,1)="C",'Avoided Costs'!$M$13,'Avoided Costs'!$M$12)+1,""),4)</f>
        <v>1.0720000000000001</v>
      </c>
      <c r="CT352" s="199">
        <f>ROUND(IFERROR(IF(LEFT($A352,1)="C",'Avoided Costs'!$N$13,'Avoided Costs'!$N$12)+1,""),4)</f>
        <v>1.04</v>
      </c>
      <c r="CU352" s="199">
        <f>ROUND(IFERROR(IF(LEFT($A352,1)="C",'Avoided Costs'!$O$13,'Avoided Costs'!$O$12)+1,""),4)</f>
        <v>1.1120000000000001</v>
      </c>
      <c r="CV352" s="199">
        <f>ROUND(IFERROR(IF(LEFT($A352,1)="C",'Avoided Costs'!$P$13,'Avoided Costs'!$P$12)+1,""),4)</f>
        <v>1.095</v>
      </c>
      <c r="CW352" s="199">
        <f>ROUND(IFERROR(IF(LEFT($A352,1)="C",'Avoided Costs'!$Q$13,'Avoided Costs'!$Q$12)+1,""),4)</f>
        <v>1.1120000000000001</v>
      </c>
      <c r="CX352" s="200">
        <f>ROUND(IFERROR(IF(LEFT($A352,1)="C",'Avoided Costs'!$R$13,'Avoided Costs'!$R$12)+1,""),4)</f>
        <v>1.1120000000000001</v>
      </c>
    </row>
    <row r="353" spans="1:102" s="128" customFormat="1" ht="12.75" customHeight="1">
      <c r="A353" s="91" t="str">
        <f>IF('Inputs Yr 2'!$B390=0,"",'Inputs Yr 2'!A390)</f>
        <v/>
      </c>
      <c r="B353" s="91" t="str">
        <f>IF('Inputs Yr 2'!$B390=0,"",'Inputs Yr 2'!B390)</f>
        <v/>
      </c>
      <c r="C353" s="91" t="str">
        <f>IF('Inputs Yr 2'!$B353=0,"",'Inputs Yr 2'!C353)</f>
        <v/>
      </c>
      <c r="D353" s="91" t="str">
        <f>IF('Inputs Yr 2'!$B353=0,"",'Inputs Yr 2'!E353)</f>
        <v/>
      </c>
      <c r="E353" s="93" t="str">
        <f>IF('Inputs Yr 2'!$B353=0,"",'Inputs Yr 2'!F353)</f>
        <v/>
      </c>
      <c r="F353" s="93" t="str">
        <f>IF('Inputs Yr 2'!$B353=0,"",'Inputs Yr 2'!G353)</f>
        <v/>
      </c>
      <c r="G353" s="95" t="str">
        <f>IF('Inputs Yr 2'!$H353&lt;&gt;0,('Inputs Yr 2'!H353),"")</f>
        <v/>
      </c>
      <c r="H353" s="94">
        <f>IFERROR('Inputs Yr 2'!I353,"")</f>
        <v>0</v>
      </c>
      <c r="I353" s="298" t="str">
        <f>IFERROR('Inputs Yr 2'!J353*'Inputs Yr 2'!P353*G353,"")</f>
        <v/>
      </c>
      <c r="J353" s="298" t="str">
        <f>IFERROR('Inputs Yr 2'!K353*G353,"")</f>
        <v/>
      </c>
      <c r="K353" s="298" t="str">
        <f t="shared" si="173"/>
        <v/>
      </c>
      <c r="L353" s="194" t="str">
        <f>IFERROR(('Inputs Yr 2'!W353*G353)/1000,"")</f>
        <v/>
      </c>
      <c r="M353" s="194" t="str">
        <f>IFERROR(L353*('Inputs Yr 2'!$Q353*'Inputs Yr 2'!$V353*'Inputs Yr 2'!$R353),"")</f>
        <v/>
      </c>
      <c r="N353" s="194" t="str">
        <f t="shared" si="174"/>
        <v/>
      </c>
      <c r="O353" s="194" t="str">
        <f>IFERROR(M353*'Inputs Yr 2'!P353,"")</f>
        <v/>
      </c>
      <c r="P353" s="194" t="str">
        <f t="shared" si="175"/>
        <v/>
      </c>
      <c r="Q353" s="194" t="str">
        <f>IFERROR($P353*'Inputs Yr 2'!AA353,"")</f>
        <v/>
      </c>
      <c r="R353" s="194" t="str">
        <f>IFERROR($P353*'Inputs Yr 2'!AB353,"")</f>
        <v/>
      </c>
      <c r="S353" s="194" t="str">
        <f>IFERROR($P353*'Inputs Yr 2'!AC353,"")</f>
        <v/>
      </c>
      <c r="T353" s="194" t="str">
        <f>IFERROR($P353*'Inputs Yr 2'!AD353,"")</f>
        <v/>
      </c>
      <c r="U353" s="194" t="str">
        <f>IFERROR(G353*'Inputs Yr 2'!$AE353*'Inputs Yr 2'!$P353*'Inputs Yr 2'!$Q353,"")</f>
        <v/>
      </c>
      <c r="V353" s="194" t="str">
        <f>IFERROR($G353*'Inputs Yr 2'!$AE353*'Inputs Yr 2'!$AG353*'Inputs Yr 2'!Q353*'Inputs Yr 2'!$S353,"")</f>
        <v/>
      </c>
      <c r="W353" s="194" t="str">
        <f>IFERROR($G353*'Inputs Yr 2'!$AE353*'Inputs Yr 2'!$AG353*'Inputs Yr 2'!P353*'Inputs Yr 2'!Q353*'Inputs Yr 2'!$S353,"")</f>
        <v/>
      </c>
      <c r="X353" s="194" t="str">
        <f>IFERROR($G353*'Inputs Yr 2'!$AE353*'Inputs Yr 2'!$AF353*'Inputs Yr 2'!Q353*'Inputs Yr 2'!$T353,"")</f>
        <v/>
      </c>
      <c r="Y353" s="194" t="str">
        <f>IFERROR($G353*'Inputs Yr 2'!$AE353*'Inputs Yr 2'!$AF353*'Inputs Yr 2'!P353*'Inputs Yr 2'!Q353*'Inputs Yr 2'!$T353,"")</f>
        <v/>
      </c>
      <c r="Z353" s="257">
        <f>IFERROR($G353*'Inputs Yr 2'!$Q353*'Inputs Yr 2'!$U353*(IF(IFERROR(SEARCH("NG", 'Inputs Yr 2'!$AJ353),0),'Inputs Yr 2'!$AK353,0)+IF(IFERROR(SEARCH("NG", 'Inputs Yr 2'!$AL353),0),'Inputs Yr 2'!$AM353,0)+IF(IFERROR(SEARCH("NG", 'Inputs Yr 2'!$AN353),0),'Inputs Yr 2'!$AO353,0)),0)</f>
        <v>0</v>
      </c>
      <c r="AA353" s="257">
        <f t="shared" si="176"/>
        <v>0</v>
      </c>
      <c r="AB353" s="257">
        <f>IFERROR(Z353*'Inputs Yr 2'!$P353,0)</f>
        <v>0</v>
      </c>
      <c r="AC353" s="257">
        <f t="shared" si="177"/>
        <v>0</v>
      </c>
      <c r="AD353" s="257">
        <f>IFERROR($G353*'Inputs Yr 2'!$Q353*'Inputs Yr 2'!$U353*(IF(IFERROR(SEARCH("Oil", 'Inputs Yr 2'!$AJ353), 0),'Inputs Yr 2'!$AK353,0)+IF(IFERROR(SEARCH("Oil", 'Inputs Yr 2'!$AL353), 0),'Inputs Yr 2'!$AM353,0)+IF(IFERROR(SEARCH("Oil", 'Inputs Yr 2'!$AN353), 0),'Inputs Yr 2'!$AO353,0)),0)</f>
        <v>0</v>
      </c>
      <c r="AE353" s="257">
        <f t="shared" si="178"/>
        <v>0</v>
      </c>
      <c r="AF353" s="257">
        <f>IFERROR(AD353*'Inputs Yr 2'!$P353,0)</f>
        <v>0</v>
      </c>
      <c r="AG353" s="257">
        <f t="shared" si="179"/>
        <v>0</v>
      </c>
      <c r="AH353" s="257">
        <f>IFERROR($G353*'Inputs Yr 2'!$Q353*'Inputs Yr 2'!$U353*(IF('Inputs Yr 2'!$AJ353=CD$4,'Inputs Yr 2'!$AK353,IF('Inputs Yr 2'!$AL353=CD$4,'Inputs Yr 2'!$AM353,IF('Inputs Yr 2'!$AN353=CD$4,'Inputs Yr 2'!$AO353,0)))),0)</f>
        <v>0</v>
      </c>
      <c r="AI353" s="257">
        <f t="shared" si="180"/>
        <v>0</v>
      </c>
      <c r="AJ353" s="257">
        <f>IFERROR(AH353*'Inputs Yr 2'!$P353,0)</f>
        <v>0</v>
      </c>
      <c r="AK353" s="257">
        <f t="shared" si="181"/>
        <v>0</v>
      </c>
      <c r="AL353" s="258">
        <f>IFERROR($G353*'Inputs Yr 2'!$P353*'Inputs Yr 2'!$Q353*'Inputs Yr 2'!AP353,0)</f>
        <v>0</v>
      </c>
      <c r="AM353" s="260">
        <f>IFERROR($G353*'Inputs Yr 2'!$P353*'Inputs Yr 2'!$Q353*'Inputs Yr 2'!AQ353,0)</f>
        <v>0</v>
      </c>
      <c r="AN353" s="258">
        <f>IFERROR($G353*'Inputs Yr 2'!$P353*'Inputs Yr 2'!$Q353*'Inputs Yr 2'!AR353,0)</f>
        <v>0</v>
      </c>
      <c r="AO353" s="257">
        <f t="shared" si="182"/>
        <v>0</v>
      </c>
      <c r="AP353" s="195" t="str">
        <f>IFERROR($CQ353*(INDEX(avoidedcosttbl2,$H353,AP$2)+(($H353-ROUNDDOWN($H353,0))*(INDEX(avoidedcosttbl2,ROUNDUP($H353,0),AP$2)-(INDEX(avoidedcosttbl2,ROUNDDOWN($H353,0),AP$2)))))*$O353*1000*'Inputs Yr 2'!AA353,"")</f>
        <v/>
      </c>
      <c r="AQ353" s="195" t="str">
        <f>IFERROR($CR353*(INDEX(avoidedcosttbl2,$H353,AQ$2)+(($H353-ROUNDDOWN($H353,0))*(INDEX(avoidedcosttbl2,ROUNDUP($H353,0),AQ$2)-(INDEX(avoidedcosttbl2,ROUNDDOWN($H353,0),AQ$2)))))*$O353*1000*'Inputs Yr 2'!AB353,"")</f>
        <v/>
      </c>
      <c r="AR353" s="195" t="str">
        <f>IFERROR($CS353*(INDEX(avoidedcosttbl2,$H353,AR$2)+(($H353-ROUNDDOWN($H353,0))*(INDEX(avoidedcosttbl2,ROUNDUP($H353,0),AR$2)-(INDEX(avoidedcosttbl2,ROUNDDOWN($H353,0),AR$2)))))*$O353*1000*'Inputs Yr 2'!AC353,"")</f>
        <v/>
      </c>
      <c r="AS353" s="195" t="str">
        <f>IFERROR($CT353*(INDEX(avoidedcosttbl2,$H353,AS$2)+(($H353-ROUNDDOWN($H353,0))*(INDEX(avoidedcosttbl2,ROUNDUP($H353,0),AS$2)-(INDEX(avoidedcosttbl2,ROUNDDOWN($H353,0),AS$2)))))*$O353*1000*'Inputs Yr 2'!AD353,"")</f>
        <v/>
      </c>
      <c r="AT353" s="196">
        <f t="shared" si="183"/>
        <v>0</v>
      </c>
      <c r="AU353" s="197" t="str">
        <f>IFERROR($CQ353*((INDEX(avoidedcosttbl2,$H353,AU$2))+(($H353-ROUNDDOWN($H353,0))*((INDEX(avoidedcosttbl2,ROUNDUP($H353,0),AU$2))-(INDEX(avoidedcosttbl2,ROUNDDOWN($H353,0),AU$2)))))*$O353*1000*'Inputs Yr 2'!AA353,"")</f>
        <v/>
      </c>
      <c r="AV353" s="197" t="str">
        <f>IFERROR($CR353*((INDEX(avoidedcosttbl2,$H353,AV$2))+(($H353-ROUNDDOWN($H353,0))*((INDEX(avoidedcosttbl2,ROUNDUP($H353,0),AV$2))-(INDEX(avoidedcosttbl2,ROUNDDOWN($H353,0),AV$2)))))*$O353*1000*'Inputs Yr 2'!AB353,"")</f>
        <v/>
      </c>
      <c r="AW353" s="197" t="str">
        <f>IFERROR($CS353*((INDEX(avoidedcosttbl2,$H353,AW$2))+(($H353-ROUNDDOWN($H353,0))*((INDEX(avoidedcosttbl2,ROUNDUP($H353,0),AW$2))-(INDEX(avoidedcosttbl2,ROUNDDOWN($H353,0),AW$2)))))*$O353*1000*'Inputs Yr 2'!AC353,"")</f>
        <v/>
      </c>
      <c r="AX353" s="197" t="str">
        <f>IFERROR($CT353*((INDEX(avoidedcosttbl2,$H353,AX$2))+(($H353-ROUNDDOWN($H353,0))*((INDEX(avoidedcosttbl2,ROUNDUP($H353,0),AX$2))-(INDEX(avoidedcosttbl2,ROUNDDOWN($H353,0),AX$2)))))*$O353*1000*'Inputs Yr 2'!AD353,"")</f>
        <v/>
      </c>
      <c r="AY353" s="197" t="str">
        <f>IFERROR(((INDEX(avoidedcosttbl2,$H353,AY$2))+(($H353-ROUNDDOWN($H353,0))*((INDEX(avoidedcosttbl2,ROUNDUP($H353,0),AY$2))-(INDEX(avoidedcosttbl2,ROUNDDOWN($H353,0),AY$2)))))*$O353*1000*('Inputs Yr 2'!AC353+'Inputs Yr 2'!AD353),"")</f>
        <v/>
      </c>
      <c r="AZ353" s="197" t="str">
        <f>IFERROR(((INDEX(avoidedcosttbl2,$H353,AZ$2))+(($H353-ROUNDDOWN($H353,0))*((INDEX(avoidedcosttbl2,ROUNDUP($H353,0),AZ$2))-(INDEX(avoidedcosttbl2,ROUNDDOWN($H353,0),AZ$2)))))*$O353*1000*('Inputs Yr 2'!AA353+'Inputs Yr 2'!AB353),"")</f>
        <v/>
      </c>
      <c r="BA353" s="198">
        <f t="shared" si="184"/>
        <v>0</v>
      </c>
      <c r="BB353" s="198">
        <f t="shared" si="185"/>
        <v>0</v>
      </c>
      <c r="BC353" s="195" t="str">
        <f t="shared" si="167"/>
        <v/>
      </c>
      <c r="BD353" s="195" t="str">
        <f t="shared" si="168"/>
        <v/>
      </c>
      <c r="BE353" s="195" t="str">
        <f t="shared" si="169"/>
        <v/>
      </c>
      <c r="BF353" s="195" t="str">
        <f t="shared" si="170"/>
        <v/>
      </c>
      <c r="BG353" s="195" t="str">
        <f t="shared" si="171"/>
        <v/>
      </c>
      <c r="BH353" s="196">
        <f t="shared" si="186"/>
        <v>0</v>
      </c>
      <c r="BI353" s="196">
        <f t="shared" si="187"/>
        <v>0</v>
      </c>
      <c r="BJ353" s="195" t="str">
        <f>IFERROR($G353*(IF('Inputs Yr 2'!$AJ353=BJ$4,'Inputs Yr 2'!$AK353,IF('Inputs Yr 2'!$AL353=BJ$4,'Inputs Yr 2'!$AM353,IF('Inputs Yr 2'!$AN353=BJ$4,'Inputs Yr 2'!$AO353,0))))*(INDEX(avoidedcosttbl2,$H353,BJ$2)+(($H353-ROUNDDOWN($H353,0))*(INDEX(avoidedcosttbl2,ROUNDUP($H353,0),BJ$2)-(INDEX(avoidedcosttbl2,ROUNDDOWN($H353,0),BJ$2)))))*'Inputs Yr 2'!P353*'Inputs Yr 2'!Q353*'Inputs Yr 2'!U353,"")</f>
        <v/>
      </c>
      <c r="BK353" s="195" t="str">
        <f>IFERROR($G353*(IF('Inputs Yr 2'!$AJ353=BK$4,'Inputs Yr 2'!$AK353,IF('Inputs Yr 2'!$AL353=BK$4,'Inputs Yr 2'!$AM353,IF('Inputs Yr 2'!$AN353=BK$4,'Inputs Yr 2'!$AO353,0))))*(INDEX(avoidedcosttbl2,$H353,BK$2)+(($H353-ROUNDDOWN($H353,0))*(INDEX(avoidedcosttbl2,ROUNDUP($H353,0),BK$2)-(INDEX(avoidedcosttbl2,ROUNDDOWN($H353,0),BK$2)))))*'Inputs Yr 2'!P353*'Inputs Yr 2'!Q353*'Inputs Yr 2'!U353,"")</f>
        <v/>
      </c>
      <c r="BL353" s="195" t="str">
        <f>IFERROR($G353*(IF('Inputs Yr 2'!$AJ353=BL$4,'Inputs Yr 2'!$AK353,IF('Inputs Yr 2'!$AL353=BL$4,'Inputs Yr 2'!$AM353,IF('Inputs Yr 2'!$AN353=BL$4,'Inputs Yr 2'!$AO353,0))))*(INDEX(avoidedcosttbl2,$H353,BL$2)+(($H353-ROUNDDOWN($H353,0))*(INDEX(avoidedcosttbl2,ROUNDUP($H353,0),BL$2)-(INDEX(avoidedcosttbl2,ROUNDDOWN($H353,0),BL$2)))))*'Inputs Yr 2'!P353*'Inputs Yr 2'!Q353*'Inputs Yr 2'!U353,"")</f>
        <v/>
      </c>
      <c r="BM353" s="195" t="str">
        <f>IFERROR($G353*(IF('Inputs Yr 2'!$AJ353=BM$4,'Inputs Yr 2'!$AK353,IF('Inputs Yr 2'!$AL353=BM$4,'Inputs Yr 2'!$AM353,IF('Inputs Yr 2'!$AN353=BM$4,'Inputs Yr 2'!$AO353,0))))*(INDEX(avoidedcosttbl2,$H353,BM$2)+(($H353-ROUNDDOWN($H353,0))*(INDEX(avoidedcosttbl2,ROUNDUP($H353,0),BM$2)-(INDEX(avoidedcosttbl2,ROUNDDOWN($H353,0),BM$2)))))*'Inputs Yr 2'!P353*'Inputs Yr 2'!Q353*'Inputs Yr 2'!U353,"")</f>
        <v/>
      </c>
      <c r="BN353" s="195" t="str">
        <f>IFERROR($G353*(IF('Inputs Yr 2'!$AJ353=BN$4,'Inputs Yr 2'!$AK353,IF('Inputs Yr 2'!$AL353=BN$4,'Inputs Yr 2'!$AM353,IF('Inputs Yr 2'!$AN353=BN$4,'Inputs Yr 2'!$AO353,0))))*(INDEX(avoidedcosttbl2,$H353,BN$2)+(($H353-ROUNDDOWN($H353,0))*(INDEX(avoidedcosttbl2,ROUNDUP($H353,0),BN$2)-(INDEX(avoidedcosttbl2,ROUNDDOWN($H353,0),BN$2)))))*'Inputs Yr 2'!P353*'Inputs Yr 2'!Q353*'Inputs Yr 2'!U353,"")</f>
        <v/>
      </c>
      <c r="BO353" s="195" t="str">
        <f>IFERROR($G353*(IF('Inputs Yr 2'!$AJ353=BO$4,'Inputs Yr 2'!$AK353,IF('Inputs Yr 2'!$AL353=BO$4,'Inputs Yr 2'!$AM353,IF('Inputs Yr 2'!$AN353=BO$4,'Inputs Yr 2'!$AO353,0))))*(INDEX(avoidedcosttbl2,$H353,BO$2)+(($H353-ROUNDDOWN($H353,0))*(INDEX(avoidedcosttbl2,ROUNDUP($H353,0),BO$2)-(INDEX(avoidedcosttbl2,ROUNDDOWN($H353,0),BO$2)))))*'Inputs Yr 2'!P353*'Inputs Yr 2'!Q353*'Inputs Yr 2'!U353,"")</f>
        <v/>
      </c>
      <c r="BP353" s="195" t="str">
        <f>IFERROR($G353*(IF('Inputs Yr 2'!$AJ353=BP$4,'Inputs Yr 2'!$AK353,IF('Inputs Yr 2'!$AL353=BP$4,'Inputs Yr 2'!$AM353,IF('Inputs Yr 2'!$AN353=BP$4,'Inputs Yr 2'!$AO353,0))))*(INDEX(avoidedcosttbl2,$H353,BP$2)+(($H353-ROUNDDOWN($H353,0))*(INDEX(avoidedcosttbl2,ROUNDUP($H353,0),BP$2)-(INDEX(avoidedcosttbl2,ROUNDDOWN($H353,0),BP$2)))))*'Inputs Yr 2'!P353*'Inputs Yr 2'!Q353*'Inputs Yr 2'!U353,"")</f>
        <v/>
      </c>
      <c r="BQ353" s="230">
        <f t="shared" si="188"/>
        <v>0</v>
      </c>
      <c r="BR353" s="197" t="str">
        <f t="shared" si="172"/>
        <v/>
      </c>
      <c r="BS353" s="197" t="str">
        <f>IFERROR(($G353*IF('Inputs Yr 2'!$AJ353=BM$4,'Inputs Yr 2'!$AK353,IF('Inputs Yr 2'!$AL353=BM$4,'Inputs Yr 2'!$AM353,IF('Inputs Yr 2'!$AN353=BM$4,'Inputs Yr 2'!$AO353,0))))*(INDEX(avoidedcosttbl2,$H353,BS$2)+(($H353-ROUNDDOWN($H353,0))*(INDEX(avoidedcosttbl2,ROUNDUP($H353,0),BS$2)-(INDEX(avoidedcosttbl2,ROUNDDOWN($H353,0),BS$2)))))*'Inputs Yr 2'!P353*'Inputs Yr 2'!Q353*'Inputs Yr 2'!U353,"")</f>
        <v/>
      </c>
      <c r="BT353" s="197" t="str">
        <f>IFERROR(($G353*IF('Inputs Yr 2'!$AJ353=BK$4,'Inputs Yr 2'!$AK353,IF('Inputs Yr 2'!$AL353=BK$4,'Inputs Yr 2'!$AM353,IF('Inputs Yr 2'!$AN353=BK$4,'Inputs Yr 2'!$AO353,0))))*(INDEX(avoidedcosttbl2,$H353,BT$2)+(($H353-ROUNDDOWN($H353,0))*(INDEX(avoidedcosttbl2,ROUNDUP($H353,0),BT$2)-(INDEX(avoidedcosttbl2,ROUNDDOWN($H353,0),BT$2)))))*'Inputs Yr 2'!P353*'Inputs Yr 2'!Q353*'Inputs Yr 2'!U353,"")</f>
        <v/>
      </c>
      <c r="BU353" s="197" t="str">
        <f>IFERROR(($G353*IF('Inputs Yr 2'!$AJ353=BL$4,'Inputs Yr 2'!$AK353,IF('Inputs Yr 2'!$AL353=BL$4,'Inputs Yr 2'!$AM353,IF('Inputs Yr 2'!$AN353=BL$4,'Inputs Yr 2'!$AO353,0))))*(INDEX(avoidedcosttbl2,$H353,BU$2)+(($H353-ROUNDDOWN($H353,0))*(INDEX(avoidedcosttbl2,ROUNDUP($H353,0),BU$2)-(INDEX(avoidedcosttbl2,ROUNDDOWN($H353,0),BU$2)))))*'Inputs Yr 2'!P353*'Inputs Yr 2'!Q353*'Inputs Yr 2'!U353,"")</f>
        <v/>
      </c>
      <c r="BV353" s="775" t="str">
        <f>IFERROR(($G353*IF('Inputs Yr 2'!$AJ353=BJ$4,'Inputs Yr 2'!$AK353,IF('Inputs Yr 2'!$AL353=BJ$4,'Inputs Yr 2'!$AM353,IF('Inputs Yr 2'!$AN353=BJ$4,'Inputs Yr 2'!$AO353,0))))*(INDEX(avoidedcosttbl2,$H353,BV$2)+(($H353-ROUNDDOWN($H353,0))*(INDEX(avoidedcosttbl2,ROUNDUP($H353,0),BV$2)-(INDEX(avoidedcosttbl2,ROUNDDOWN($H353,0),BV$2)))))*'Inputs Yr 2'!P353*'Inputs Yr 2'!Q353*'Inputs Yr 2'!U353,"")</f>
        <v/>
      </c>
      <c r="BW353" s="197" t="str">
        <f>IFERROR(($G353*IF('Inputs Yr 2'!$AJ353=BN$4,'Inputs Yr 2'!$AK353,IF('Inputs Yr 2'!$AL353=BN$4,'Inputs Yr 2'!$AM353,IF('Inputs Yr 2'!$AN353=BN$4,'Inputs Yr 2'!$AO353,0))))*(INDEX(avoidedcosttbl2,$H353,BW$2)+(($H353-ROUNDDOWN($H353,0))*(INDEX(avoidedcosttbl2,ROUNDUP($H353,0),BW$2)-(INDEX(avoidedcosttbl2,ROUNDDOWN($H353,0),BW$2)))))*'Inputs Yr 2'!P353*'Inputs Yr 2'!Q353*'Inputs Yr 2'!U353,"")</f>
        <v/>
      </c>
      <c r="BX353" s="197" t="str">
        <f>IFERROR(($G353*IF('Inputs Yr 2'!$AJ353=BO$4,'Inputs Yr 2'!$AK353,IF('Inputs Yr 2'!$AL353=BO$4,'Inputs Yr 2'!$AM353,IF('Inputs Yr 2'!$AN353=BO$4,'Inputs Yr 2'!$AO353,0))))*(INDEX(avoidedcosttbl2,$H353,BX$2)+(($H353-ROUNDDOWN($H353,0))*(INDEX(avoidedcosttbl2,ROUNDUP($H353,0),BX$2)-(INDEX(avoidedcosttbl2,ROUNDDOWN($H353,0),BX$2)))))*'Inputs Yr 2'!P353*'Inputs Yr 2'!Q353*'Inputs Yr 2'!U353,"")</f>
        <v/>
      </c>
      <c r="BY353" s="197" t="str">
        <f>IFERROR(($G353*IF('Inputs Yr 2'!$AJ353=BP$4,'Inputs Yr 2'!$AK353,IF('Inputs Yr 2'!$AL353=BP$4,'Inputs Yr 2'!$AM353,IF('Inputs Yr 2'!$AN353=BP$4,'Inputs Yr 2'!$AO353,0))))*(INDEX(avoidedcosttbl2,$H353,BY$2)+(($H353-ROUNDDOWN($H353,0))*(INDEX(avoidedcosttbl2,ROUNDUP($H353,0),BY$2)-(INDEX(avoidedcosttbl2,ROUNDDOWN($H353,0),BY$2)))))*'Inputs Yr 2'!P353*'Inputs Yr 2'!Q353*'Inputs Yr 2'!U353,"")</f>
        <v/>
      </c>
      <c r="BZ353" s="193">
        <f t="shared" si="189"/>
        <v>0</v>
      </c>
      <c r="CA353" s="193">
        <f t="shared" si="190"/>
        <v>0</v>
      </c>
      <c r="CB353" s="195" t="str">
        <f>IFERROR(G353*(IF('Inputs Yr 2'!$AJ353=CB$4,'Inputs Yr 2'!$AK353,IF('Inputs Yr 2'!$AL353=CB$4,'Inputs Yr 2'!$AM353,IF('Inputs Yr 2'!$AN353=CB$4,'Inputs Yr 2'!$AO353,0))))*(INDEX(avoidedcosttbl2,$H353,CB$2)+(($H353-ROUNDDOWN($H353,0))*(INDEX(avoidedcosttbl2,ROUNDUP($H353,0),CB$2)-(INDEX(avoidedcosttbl2,ROUNDDOWN($H353,0),CB$2)))))*'Inputs Yr 2'!P353*'Inputs Yr 2'!Q353*'Inputs Yr 2'!U353,"")</f>
        <v/>
      </c>
      <c r="CC353" s="195" t="str">
        <f>IFERROR(H353*(IF('Inputs Yr 2'!$AJ353=CC$4,'Inputs Yr 2'!$AK353,IF('Inputs Yr 2'!$AL353=CC$4,'Inputs Yr 2'!$AM353,IF('Inputs Yr 2'!$AN353=CC$4,'Inputs Yr 2'!$AO353,0))))*(INDEX(avoidedcosttbl2,$H353,CC$2)+(($H353-ROUNDDOWN($H353,0))*(INDEX(avoidedcosttbl2,ROUNDUP($H353,0),CC$2)-(INDEX(avoidedcosttbl2,ROUNDDOWN($H353,0),CC$2)))))*'Inputs Yr 2'!Q353*'Inputs Yr 2'!R353*'Inputs Yr 2'!V353,"")</f>
        <v/>
      </c>
      <c r="CD353" s="195" t="str">
        <f>IFERROR(I353*(IF('Inputs Yr 2'!$AJ353=CD$4,'Inputs Yr 2'!$AK353,IF('Inputs Yr 2'!$AL353=CD$4,'Inputs Yr 2'!$AM353,IF('Inputs Yr 2'!$AN353=CD$4,'Inputs Yr 2'!$AO353,0))))*(INDEX(avoidedcosttbl2,$H353,CD$2)+(($H353-ROUNDDOWN($H353,0))*(INDEX(avoidedcosttbl2,ROUNDUP($H353,0),CD$2)-(INDEX(avoidedcosttbl2,ROUNDDOWN($H353,0),CD$2)))))*'Inputs Yr 2'!R353*'Inputs Yr 2'!S353*'Inputs Yr 2'!W353,"")</f>
        <v/>
      </c>
      <c r="CE353" s="213" t="str">
        <f t="shared" si="191"/>
        <v/>
      </c>
      <c r="CF353" s="213" t="str">
        <f t="shared" si="192"/>
        <v/>
      </c>
      <c r="CG353" s="213" t="str">
        <f t="shared" si="193"/>
        <v/>
      </c>
      <c r="CH353" s="698">
        <f t="shared" si="194"/>
        <v>0</v>
      </c>
      <c r="CI353" s="79" t="str">
        <f>IFERROR(($G353*'Inputs Yr 2'!$P353*'Inputs Yr 2'!$Q353*(((INDEX(avoidedcosttbl2,$H353,CI$2)+(($H353-ROUNDDOWN($H353,0))*(INDEX(avoidedcosttbl2,ROUNDUP($H353,0),CI$2)-INDEX(avoidedcosttbl2,ROUNDDOWN($H353,0),CI$2))))*'Inputs Yr 2'!AS353))),"")</f>
        <v/>
      </c>
      <c r="CJ353" s="504" t="str">
        <f>IFERROR($G353*'Inputs Yr 2'!AT353*'Inputs Yr 2'!$P353*'Inputs Yr 2'!$Q353/((1+realdiscrt1)^-0.5),"")</f>
        <v/>
      </c>
      <c r="CK353" s="79" t="str">
        <f>IFERROR((O353*1000*(((INDEX(avoidedcosttbl2,$H353,CK$2)+(($H353-ROUNDDOWN($H353,0))*(INDEX(avoidedcosttbl2,ROUNDUP($H353,0),CK$2)-INDEX(avoidedcosttbl2,ROUNDDOWN($H353,0),CK$2))))*'Inputs Yr 2'!AU353))),"")</f>
        <v/>
      </c>
      <c r="CL353" s="504" t="str">
        <f>IFERROR(O353*1000*'Inputs Yr 2'!AV353/((1+realdiscrt1)^-0.5),"")</f>
        <v/>
      </c>
      <c r="CM353" s="79" t="str">
        <f>IFERROR((AB353*'Inputs Yr 2'!AW353*(((INDEX(avoidedcosttbl2,$H353,CM$2)+(($H353-ROUNDDOWN($H353,0))*(INDEX(avoidedcosttbl2,ROUNDUP($H353,0),CM$2)-INDEX(avoidedcosttbl2,ROUNDDOWN($H353,0),CM$2)))))))*10,"")</f>
        <v/>
      </c>
      <c r="CN353" s="504">
        <f>IFERROR(10*AB353*'Inputs Yr 2'!AX353/((1+realdiscrt1)^-0.5),"")</f>
        <v>0</v>
      </c>
      <c r="CO353" s="505">
        <f t="shared" si="195"/>
        <v>0</v>
      </c>
      <c r="CP353" s="230">
        <f t="shared" si="196"/>
        <v>0</v>
      </c>
      <c r="CQ353" s="199">
        <f>ROUND(IFERROR(IF(LEFT($A353,1)="C",'Avoided Costs'!$K$13,'Avoided Costs'!$K$12)+1,""),4)</f>
        <v>1.0720000000000001</v>
      </c>
      <c r="CR353" s="199">
        <f>ROUND(IFERROR(IF(LEFT($A353,1)="C",'Avoided Costs'!$L$13,'Avoided Costs'!$L$12)+1,""),4)</f>
        <v>1.04</v>
      </c>
      <c r="CS353" s="199">
        <f>ROUND(IFERROR(IF(LEFT($A353,1)="C",'Avoided Costs'!$M$13,'Avoided Costs'!$M$12)+1,""),4)</f>
        <v>1.0720000000000001</v>
      </c>
      <c r="CT353" s="199">
        <f>ROUND(IFERROR(IF(LEFT($A353,1)="C",'Avoided Costs'!$N$13,'Avoided Costs'!$N$12)+1,""),4)</f>
        <v>1.04</v>
      </c>
      <c r="CU353" s="199">
        <f>ROUND(IFERROR(IF(LEFT($A353,1)="C",'Avoided Costs'!$O$13,'Avoided Costs'!$O$12)+1,""),4)</f>
        <v>1.1120000000000001</v>
      </c>
      <c r="CV353" s="199">
        <f>ROUND(IFERROR(IF(LEFT($A353,1)="C",'Avoided Costs'!$P$13,'Avoided Costs'!$P$12)+1,""),4)</f>
        <v>1.095</v>
      </c>
      <c r="CW353" s="199">
        <f>ROUND(IFERROR(IF(LEFT($A353,1)="C",'Avoided Costs'!$Q$13,'Avoided Costs'!$Q$12)+1,""),4)</f>
        <v>1.1120000000000001</v>
      </c>
      <c r="CX353" s="200">
        <f>ROUND(IFERROR(IF(LEFT($A353,1)="C",'Avoided Costs'!$R$13,'Avoided Costs'!$R$12)+1,""),4)</f>
        <v>1.1120000000000001</v>
      </c>
    </row>
    <row r="354" spans="1:102" s="128" customFormat="1" ht="12.75" customHeight="1">
      <c r="A354" s="91" t="str">
        <f>IF('Inputs Yr 2'!$B391=0,"",'Inputs Yr 2'!A391)</f>
        <v/>
      </c>
      <c r="B354" s="91" t="str">
        <f>IF('Inputs Yr 2'!$B391=0,"",'Inputs Yr 2'!B391)</f>
        <v/>
      </c>
      <c r="C354" s="91" t="str">
        <f>IF('Inputs Yr 2'!$B354=0,"",'Inputs Yr 2'!C354)</f>
        <v/>
      </c>
      <c r="D354" s="91" t="str">
        <f>IF('Inputs Yr 2'!$B354=0,"",'Inputs Yr 2'!E354)</f>
        <v/>
      </c>
      <c r="E354" s="93" t="str">
        <f>IF('Inputs Yr 2'!$B354=0,"",'Inputs Yr 2'!F354)</f>
        <v/>
      </c>
      <c r="F354" s="93" t="str">
        <f>IF('Inputs Yr 2'!$B354=0,"",'Inputs Yr 2'!G354)</f>
        <v/>
      </c>
      <c r="G354" s="95" t="str">
        <f>IF('Inputs Yr 2'!$H354&lt;&gt;0,('Inputs Yr 2'!H354),"")</f>
        <v/>
      </c>
      <c r="H354" s="94">
        <f>IFERROR('Inputs Yr 2'!I354,"")</f>
        <v>0</v>
      </c>
      <c r="I354" s="298" t="str">
        <f>IFERROR('Inputs Yr 2'!J354*'Inputs Yr 2'!P354*G354,"")</f>
        <v/>
      </c>
      <c r="J354" s="298" t="str">
        <f>IFERROR('Inputs Yr 2'!K354*G354,"")</f>
        <v/>
      </c>
      <c r="K354" s="298" t="str">
        <f t="shared" si="173"/>
        <v/>
      </c>
      <c r="L354" s="194" t="str">
        <f>IFERROR(('Inputs Yr 2'!W354*G354)/1000,"")</f>
        <v/>
      </c>
      <c r="M354" s="194" t="str">
        <f>IFERROR(L354*('Inputs Yr 2'!$Q354*'Inputs Yr 2'!$V354*'Inputs Yr 2'!$R354),"")</f>
        <v/>
      </c>
      <c r="N354" s="194" t="str">
        <f t="shared" si="174"/>
        <v/>
      </c>
      <c r="O354" s="194" t="str">
        <f>IFERROR(M354*'Inputs Yr 2'!P354,"")</f>
        <v/>
      </c>
      <c r="P354" s="194" t="str">
        <f t="shared" si="175"/>
        <v/>
      </c>
      <c r="Q354" s="194" t="str">
        <f>IFERROR($P354*'Inputs Yr 2'!AA354,"")</f>
        <v/>
      </c>
      <c r="R354" s="194" t="str">
        <f>IFERROR($P354*'Inputs Yr 2'!AB354,"")</f>
        <v/>
      </c>
      <c r="S354" s="194" t="str">
        <f>IFERROR($P354*'Inputs Yr 2'!AC354,"")</f>
        <v/>
      </c>
      <c r="T354" s="194" t="str">
        <f>IFERROR($P354*'Inputs Yr 2'!AD354,"")</f>
        <v/>
      </c>
      <c r="U354" s="194" t="str">
        <f>IFERROR(G354*'Inputs Yr 2'!$AE354*'Inputs Yr 2'!$P354*'Inputs Yr 2'!$Q354,"")</f>
        <v/>
      </c>
      <c r="V354" s="194" t="str">
        <f>IFERROR($G354*'Inputs Yr 2'!$AE354*'Inputs Yr 2'!$AG354*'Inputs Yr 2'!Q354*'Inputs Yr 2'!$S354,"")</f>
        <v/>
      </c>
      <c r="W354" s="194" t="str">
        <f>IFERROR($G354*'Inputs Yr 2'!$AE354*'Inputs Yr 2'!$AG354*'Inputs Yr 2'!P354*'Inputs Yr 2'!Q354*'Inputs Yr 2'!$S354,"")</f>
        <v/>
      </c>
      <c r="X354" s="194" t="str">
        <f>IFERROR($G354*'Inputs Yr 2'!$AE354*'Inputs Yr 2'!$AF354*'Inputs Yr 2'!Q354*'Inputs Yr 2'!$T354,"")</f>
        <v/>
      </c>
      <c r="Y354" s="194" t="str">
        <f>IFERROR($G354*'Inputs Yr 2'!$AE354*'Inputs Yr 2'!$AF354*'Inputs Yr 2'!P354*'Inputs Yr 2'!Q354*'Inputs Yr 2'!$T354,"")</f>
        <v/>
      </c>
      <c r="Z354" s="257">
        <f>IFERROR($G354*'Inputs Yr 2'!$Q354*'Inputs Yr 2'!$U354*(IF(IFERROR(SEARCH("NG", 'Inputs Yr 2'!$AJ354),0),'Inputs Yr 2'!$AK354,0)+IF(IFERROR(SEARCH("NG", 'Inputs Yr 2'!$AL354),0),'Inputs Yr 2'!$AM354,0)+IF(IFERROR(SEARCH("NG", 'Inputs Yr 2'!$AN354),0),'Inputs Yr 2'!$AO354,0)),0)</f>
        <v>0</v>
      </c>
      <c r="AA354" s="257">
        <f t="shared" si="176"/>
        <v>0</v>
      </c>
      <c r="AB354" s="257">
        <f>IFERROR(Z354*'Inputs Yr 2'!$P354,0)</f>
        <v>0</v>
      </c>
      <c r="AC354" s="257">
        <f t="shared" si="177"/>
        <v>0</v>
      </c>
      <c r="AD354" s="257">
        <f>IFERROR($G354*'Inputs Yr 2'!$Q354*'Inputs Yr 2'!$U354*(IF(IFERROR(SEARCH("Oil", 'Inputs Yr 2'!$AJ354), 0),'Inputs Yr 2'!$AK354,0)+IF(IFERROR(SEARCH("Oil", 'Inputs Yr 2'!$AL354), 0),'Inputs Yr 2'!$AM354,0)+IF(IFERROR(SEARCH("Oil", 'Inputs Yr 2'!$AN354), 0),'Inputs Yr 2'!$AO354,0)),0)</f>
        <v>0</v>
      </c>
      <c r="AE354" s="257">
        <f t="shared" si="178"/>
        <v>0</v>
      </c>
      <c r="AF354" s="257">
        <f>IFERROR(AD354*'Inputs Yr 2'!$P354,0)</f>
        <v>0</v>
      </c>
      <c r="AG354" s="257">
        <f t="shared" si="179"/>
        <v>0</v>
      </c>
      <c r="AH354" s="257">
        <f>IFERROR($G354*'Inputs Yr 2'!$Q354*'Inputs Yr 2'!$U354*(IF('Inputs Yr 2'!$AJ354=CD$4,'Inputs Yr 2'!$AK354,IF('Inputs Yr 2'!$AL354=CD$4,'Inputs Yr 2'!$AM354,IF('Inputs Yr 2'!$AN354=CD$4,'Inputs Yr 2'!$AO354,0)))),0)</f>
        <v>0</v>
      </c>
      <c r="AI354" s="257">
        <f t="shared" si="180"/>
        <v>0</v>
      </c>
      <c r="AJ354" s="257">
        <f>IFERROR(AH354*'Inputs Yr 2'!$P354,0)</f>
        <v>0</v>
      </c>
      <c r="AK354" s="257">
        <f t="shared" si="181"/>
        <v>0</v>
      </c>
      <c r="AL354" s="258">
        <f>IFERROR($G354*'Inputs Yr 2'!$P354*'Inputs Yr 2'!$Q354*'Inputs Yr 2'!AP354,0)</f>
        <v>0</v>
      </c>
      <c r="AM354" s="260">
        <f>IFERROR($G354*'Inputs Yr 2'!$P354*'Inputs Yr 2'!$Q354*'Inputs Yr 2'!AQ354,0)</f>
        <v>0</v>
      </c>
      <c r="AN354" s="258">
        <f>IFERROR($G354*'Inputs Yr 2'!$P354*'Inputs Yr 2'!$Q354*'Inputs Yr 2'!AR354,0)</f>
        <v>0</v>
      </c>
      <c r="AO354" s="257">
        <f t="shared" si="182"/>
        <v>0</v>
      </c>
      <c r="AP354" s="195" t="str">
        <f>IFERROR($CQ354*(INDEX(avoidedcosttbl2,$H354,AP$2)+(($H354-ROUNDDOWN($H354,0))*(INDEX(avoidedcosttbl2,ROUNDUP($H354,0),AP$2)-(INDEX(avoidedcosttbl2,ROUNDDOWN($H354,0),AP$2)))))*$O354*1000*'Inputs Yr 2'!AA354,"")</f>
        <v/>
      </c>
      <c r="AQ354" s="195" t="str">
        <f>IFERROR($CR354*(INDEX(avoidedcosttbl2,$H354,AQ$2)+(($H354-ROUNDDOWN($H354,0))*(INDEX(avoidedcosttbl2,ROUNDUP($H354,0),AQ$2)-(INDEX(avoidedcosttbl2,ROUNDDOWN($H354,0),AQ$2)))))*$O354*1000*'Inputs Yr 2'!AB354,"")</f>
        <v/>
      </c>
      <c r="AR354" s="195" t="str">
        <f>IFERROR($CS354*(INDEX(avoidedcosttbl2,$H354,AR$2)+(($H354-ROUNDDOWN($H354,0))*(INDEX(avoidedcosttbl2,ROUNDUP($H354,0),AR$2)-(INDEX(avoidedcosttbl2,ROUNDDOWN($H354,0),AR$2)))))*$O354*1000*'Inputs Yr 2'!AC354,"")</f>
        <v/>
      </c>
      <c r="AS354" s="195" t="str">
        <f>IFERROR($CT354*(INDEX(avoidedcosttbl2,$H354,AS$2)+(($H354-ROUNDDOWN($H354,0))*(INDEX(avoidedcosttbl2,ROUNDUP($H354,0),AS$2)-(INDEX(avoidedcosttbl2,ROUNDDOWN($H354,0),AS$2)))))*$O354*1000*'Inputs Yr 2'!AD354,"")</f>
        <v/>
      </c>
      <c r="AT354" s="196">
        <f t="shared" si="183"/>
        <v>0</v>
      </c>
      <c r="AU354" s="197" t="str">
        <f>IFERROR($CQ354*((INDEX(avoidedcosttbl2,$H354,AU$2))+(($H354-ROUNDDOWN($H354,0))*((INDEX(avoidedcosttbl2,ROUNDUP($H354,0),AU$2))-(INDEX(avoidedcosttbl2,ROUNDDOWN($H354,0),AU$2)))))*$O354*1000*'Inputs Yr 2'!AA354,"")</f>
        <v/>
      </c>
      <c r="AV354" s="197" t="str">
        <f>IFERROR($CR354*((INDEX(avoidedcosttbl2,$H354,AV$2))+(($H354-ROUNDDOWN($H354,0))*((INDEX(avoidedcosttbl2,ROUNDUP($H354,0),AV$2))-(INDEX(avoidedcosttbl2,ROUNDDOWN($H354,0),AV$2)))))*$O354*1000*'Inputs Yr 2'!AB354,"")</f>
        <v/>
      </c>
      <c r="AW354" s="197" t="str">
        <f>IFERROR($CS354*((INDEX(avoidedcosttbl2,$H354,AW$2))+(($H354-ROUNDDOWN($H354,0))*((INDEX(avoidedcosttbl2,ROUNDUP($H354,0),AW$2))-(INDEX(avoidedcosttbl2,ROUNDDOWN($H354,0),AW$2)))))*$O354*1000*'Inputs Yr 2'!AC354,"")</f>
        <v/>
      </c>
      <c r="AX354" s="197" t="str">
        <f>IFERROR($CT354*((INDEX(avoidedcosttbl2,$H354,AX$2))+(($H354-ROUNDDOWN($H354,0))*((INDEX(avoidedcosttbl2,ROUNDUP($H354,0),AX$2))-(INDEX(avoidedcosttbl2,ROUNDDOWN($H354,0),AX$2)))))*$O354*1000*'Inputs Yr 2'!AD354,"")</f>
        <v/>
      </c>
      <c r="AY354" s="197" t="str">
        <f>IFERROR(((INDEX(avoidedcosttbl2,$H354,AY$2))+(($H354-ROUNDDOWN($H354,0))*((INDEX(avoidedcosttbl2,ROUNDUP($H354,0),AY$2))-(INDEX(avoidedcosttbl2,ROUNDDOWN($H354,0),AY$2)))))*$O354*1000*('Inputs Yr 2'!AC354+'Inputs Yr 2'!AD354),"")</f>
        <v/>
      </c>
      <c r="AZ354" s="197" t="str">
        <f>IFERROR(((INDEX(avoidedcosttbl2,$H354,AZ$2))+(($H354-ROUNDDOWN($H354,0))*((INDEX(avoidedcosttbl2,ROUNDUP($H354,0),AZ$2))-(INDEX(avoidedcosttbl2,ROUNDDOWN($H354,0),AZ$2)))))*$O354*1000*('Inputs Yr 2'!AA354+'Inputs Yr 2'!AB354),"")</f>
        <v/>
      </c>
      <c r="BA354" s="198">
        <f t="shared" si="184"/>
        <v>0</v>
      </c>
      <c r="BB354" s="198">
        <f t="shared" si="185"/>
        <v>0</v>
      </c>
      <c r="BC354" s="195" t="str">
        <f t="shared" si="167"/>
        <v/>
      </c>
      <c r="BD354" s="195" t="str">
        <f t="shared" si="168"/>
        <v/>
      </c>
      <c r="BE354" s="195" t="str">
        <f t="shared" si="169"/>
        <v/>
      </c>
      <c r="BF354" s="195" t="str">
        <f t="shared" si="170"/>
        <v/>
      </c>
      <c r="BG354" s="195" t="str">
        <f t="shared" si="171"/>
        <v/>
      </c>
      <c r="BH354" s="196">
        <f t="shared" si="186"/>
        <v>0</v>
      </c>
      <c r="BI354" s="196">
        <f t="shared" si="187"/>
        <v>0</v>
      </c>
      <c r="BJ354" s="195" t="str">
        <f>IFERROR($G354*(IF('Inputs Yr 2'!$AJ354=BJ$4,'Inputs Yr 2'!$AK354,IF('Inputs Yr 2'!$AL354=BJ$4,'Inputs Yr 2'!$AM354,IF('Inputs Yr 2'!$AN354=BJ$4,'Inputs Yr 2'!$AO354,0))))*(INDEX(avoidedcosttbl2,$H354,BJ$2)+(($H354-ROUNDDOWN($H354,0))*(INDEX(avoidedcosttbl2,ROUNDUP($H354,0),BJ$2)-(INDEX(avoidedcosttbl2,ROUNDDOWN($H354,0),BJ$2)))))*'Inputs Yr 2'!P354*'Inputs Yr 2'!Q354*'Inputs Yr 2'!U354,"")</f>
        <v/>
      </c>
      <c r="BK354" s="195" t="str">
        <f>IFERROR($G354*(IF('Inputs Yr 2'!$AJ354=BK$4,'Inputs Yr 2'!$AK354,IF('Inputs Yr 2'!$AL354=BK$4,'Inputs Yr 2'!$AM354,IF('Inputs Yr 2'!$AN354=BK$4,'Inputs Yr 2'!$AO354,0))))*(INDEX(avoidedcosttbl2,$H354,BK$2)+(($H354-ROUNDDOWN($H354,0))*(INDEX(avoidedcosttbl2,ROUNDUP($H354,0),BK$2)-(INDEX(avoidedcosttbl2,ROUNDDOWN($H354,0),BK$2)))))*'Inputs Yr 2'!P354*'Inputs Yr 2'!Q354*'Inputs Yr 2'!U354,"")</f>
        <v/>
      </c>
      <c r="BL354" s="195" t="str">
        <f>IFERROR($G354*(IF('Inputs Yr 2'!$AJ354=BL$4,'Inputs Yr 2'!$AK354,IF('Inputs Yr 2'!$AL354=BL$4,'Inputs Yr 2'!$AM354,IF('Inputs Yr 2'!$AN354=BL$4,'Inputs Yr 2'!$AO354,0))))*(INDEX(avoidedcosttbl2,$H354,BL$2)+(($H354-ROUNDDOWN($H354,0))*(INDEX(avoidedcosttbl2,ROUNDUP($H354,0),BL$2)-(INDEX(avoidedcosttbl2,ROUNDDOWN($H354,0),BL$2)))))*'Inputs Yr 2'!P354*'Inputs Yr 2'!Q354*'Inputs Yr 2'!U354,"")</f>
        <v/>
      </c>
      <c r="BM354" s="195" t="str">
        <f>IFERROR($G354*(IF('Inputs Yr 2'!$AJ354=BM$4,'Inputs Yr 2'!$AK354,IF('Inputs Yr 2'!$AL354=BM$4,'Inputs Yr 2'!$AM354,IF('Inputs Yr 2'!$AN354=BM$4,'Inputs Yr 2'!$AO354,0))))*(INDEX(avoidedcosttbl2,$H354,BM$2)+(($H354-ROUNDDOWN($H354,0))*(INDEX(avoidedcosttbl2,ROUNDUP($H354,0),BM$2)-(INDEX(avoidedcosttbl2,ROUNDDOWN($H354,0),BM$2)))))*'Inputs Yr 2'!P354*'Inputs Yr 2'!Q354*'Inputs Yr 2'!U354,"")</f>
        <v/>
      </c>
      <c r="BN354" s="195" t="str">
        <f>IFERROR($G354*(IF('Inputs Yr 2'!$AJ354=BN$4,'Inputs Yr 2'!$AK354,IF('Inputs Yr 2'!$AL354=BN$4,'Inputs Yr 2'!$AM354,IF('Inputs Yr 2'!$AN354=BN$4,'Inputs Yr 2'!$AO354,0))))*(INDEX(avoidedcosttbl2,$H354,BN$2)+(($H354-ROUNDDOWN($H354,0))*(INDEX(avoidedcosttbl2,ROUNDUP($H354,0),BN$2)-(INDEX(avoidedcosttbl2,ROUNDDOWN($H354,0),BN$2)))))*'Inputs Yr 2'!P354*'Inputs Yr 2'!Q354*'Inputs Yr 2'!U354,"")</f>
        <v/>
      </c>
      <c r="BO354" s="195" t="str">
        <f>IFERROR($G354*(IF('Inputs Yr 2'!$AJ354=BO$4,'Inputs Yr 2'!$AK354,IF('Inputs Yr 2'!$AL354=BO$4,'Inputs Yr 2'!$AM354,IF('Inputs Yr 2'!$AN354=BO$4,'Inputs Yr 2'!$AO354,0))))*(INDEX(avoidedcosttbl2,$H354,BO$2)+(($H354-ROUNDDOWN($H354,0))*(INDEX(avoidedcosttbl2,ROUNDUP($H354,0),BO$2)-(INDEX(avoidedcosttbl2,ROUNDDOWN($H354,0),BO$2)))))*'Inputs Yr 2'!P354*'Inputs Yr 2'!Q354*'Inputs Yr 2'!U354,"")</f>
        <v/>
      </c>
      <c r="BP354" s="195" t="str">
        <f>IFERROR($G354*(IF('Inputs Yr 2'!$AJ354=BP$4,'Inputs Yr 2'!$AK354,IF('Inputs Yr 2'!$AL354=BP$4,'Inputs Yr 2'!$AM354,IF('Inputs Yr 2'!$AN354=BP$4,'Inputs Yr 2'!$AO354,0))))*(INDEX(avoidedcosttbl2,$H354,BP$2)+(($H354-ROUNDDOWN($H354,0))*(INDEX(avoidedcosttbl2,ROUNDUP($H354,0),BP$2)-(INDEX(avoidedcosttbl2,ROUNDDOWN($H354,0),BP$2)))))*'Inputs Yr 2'!P354*'Inputs Yr 2'!Q354*'Inputs Yr 2'!U354,"")</f>
        <v/>
      </c>
      <c r="BQ354" s="230">
        <f t="shared" si="188"/>
        <v>0</v>
      </c>
      <c r="BR354" s="197" t="str">
        <f t="shared" si="172"/>
        <v/>
      </c>
      <c r="BS354" s="197" t="str">
        <f>IFERROR(($G354*IF('Inputs Yr 2'!$AJ354=BM$4,'Inputs Yr 2'!$AK354,IF('Inputs Yr 2'!$AL354=BM$4,'Inputs Yr 2'!$AM354,IF('Inputs Yr 2'!$AN354=BM$4,'Inputs Yr 2'!$AO354,0))))*(INDEX(avoidedcosttbl2,$H354,BS$2)+(($H354-ROUNDDOWN($H354,0))*(INDEX(avoidedcosttbl2,ROUNDUP($H354,0),BS$2)-(INDEX(avoidedcosttbl2,ROUNDDOWN($H354,0),BS$2)))))*'Inputs Yr 2'!P354*'Inputs Yr 2'!Q354*'Inputs Yr 2'!U354,"")</f>
        <v/>
      </c>
      <c r="BT354" s="197" t="str">
        <f>IFERROR(($G354*IF('Inputs Yr 2'!$AJ354=BK$4,'Inputs Yr 2'!$AK354,IF('Inputs Yr 2'!$AL354=BK$4,'Inputs Yr 2'!$AM354,IF('Inputs Yr 2'!$AN354=BK$4,'Inputs Yr 2'!$AO354,0))))*(INDEX(avoidedcosttbl2,$H354,BT$2)+(($H354-ROUNDDOWN($H354,0))*(INDEX(avoidedcosttbl2,ROUNDUP($H354,0),BT$2)-(INDEX(avoidedcosttbl2,ROUNDDOWN($H354,0),BT$2)))))*'Inputs Yr 2'!P354*'Inputs Yr 2'!Q354*'Inputs Yr 2'!U354,"")</f>
        <v/>
      </c>
      <c r="BU354" s="197" t="str">
        <f>IFERROR(($G354*IF('Inputs Yr 2'!$AJ354=BL$4,'Inputs Yr 2'!$AK354,IF('Inputs Yr 2'!$AL354=BL$4,'Inputs Yr 2'!$AM354,IF('Inputs Yr 2'!$AN354=BL$4,'Inputs Yr 2'!$AO354,0))))*(INDEX(avoidedcosttbl2,$H354,BU$2)+(($H354-ROUNDDOWN($H354,0))*(INDEX(avoidedcosttbl2,ROUNDUP($H354,0),BU$2)-(INDEX(avoidedcosttbl2,ROUNDDOWN($H354,0),BU$2)))))*'Inputs Yr 2'!P354*'Inputs Yr 2'!Q354*'Inputs Yr 2'!U354,"")</f>
        <v/>
      </c>
      <c r="BV354" s="775" t="str">
        <f>IFERROR(($G354*IF('Inputs Yr 2'!$AJ354=BJ$4,'Inputs Yr 2'!$AK354,IF('Inputs Yr 2'!$AL354=BJ$4,'Inputs Yr 2'!$AM354,IF('Inputs Yr 2'!$AN354=BJ$4,'Inputs Yr 2'!$AO354,0))))*(INDEX(avoidedcosttbl2,$H354,BV$2)+(($H354-ROUNDDOWN($H354,0))*(INDEX(avoidedcosttbl2,ROUNDUP($H354,0),BV$2)-(INDEX(avoidedcosttbl2,ROUNDDOWN($H354,0),BV$2)))))*'Inputs Yr 2'!P354*'Inputs Yr 2'!Q354*'Inputs Yr 2'!U354,"")</f>
        <v/>
      </c>
      <c r="BW354" s="197" t="str">
        <f>IFERROR(($G354*IF('Inputs Yr 2'!$AJ354=BN$4,'Inputs Yr 2'!$AK354,IF('Inputs Yr 2'!$AL354=BN$4,'Inputs Yr 2'!$AM354,IF('Inputs Yr 2'!$AN354=BN$4,'Inputs Yr 2'!$AO354,0))))*(INDEX(avoidedcosttbl2,$H354,BW$2)+(($H354-ROUNDDOWN($H354,0))*(INDEX(avoidedcosttbl2,ROUNDUP($H354,0),BW$2)-(INDEX(avoidedcosttbl2,ROUNDDOWN($H354,0),BW$2)))))*'Inputs Yr 2'!P354*'Inputs Yr 2'!Q354*'Inputs Yr 2'!U354,"")</f>
        <v/>
      </c>
      <c r="BX354" s="197" t="str">
        <f>IFERROR(($G354*IF('Inputs Yr 2'!$AJ354=BO$4,'Inputs Yr 2'!$AK354,IF('Inputs Yr 2'!$AL354=BO$4,'Inputs Yr 2'!$AM354,IF('Inputs Yr 2'!$AN354=BO$4,'Inputs Yr 2'!$AO354,0))))*(INDEX(avoidedcosttbl2,$H354,BX$2)+(($H354-ROUNDDOWN($H354,0))*(INDEX(avoidedcosttbl2,ROUNDUP($H354,0),BX$2)-(INDEX(avoidedcosttbl2,ROUNDDOWN($H354,0),BX$2)))))*'Inputs Yr 2'!P354*'Inputs Yr 2'!Q354*'Inputs Yr 2'!U354,"")</f>
        <v/>
      </c>
      <c r="BY354" s="197" t="str">
        <f>IFERROR(($G354*IF('Inputs Yr 2'!$AJ354=BP$4,'Inputs Yr 2'!$AK354,IF('Inputs Yr 2'!$AL354=BP$4,'Inputs Yr 2'!$AM354,IF('Inputs Yr 2'!$AN354=BP$4,'Inputs Yr 2'!$AO354,0))))*(INDEX(avoidedcosttbl2,$H354,BY$2)+(($H354-ROUNDDOWN($H354,0))*(INDEX(avoidedcosttbl2,ROUNDUP($H354,0),BY$2)-(INDEX(avoidedcosttbl2,ROUNDDOWN($H354,0),BY$2)))))*'Inputs Yr 2'!P354*'Inputs Yr 2'!Q354*'Inputs Yr 2'!U354,"")</f>
        <v/>
      </c>
      <c r="BZ354" s="193">
        <f t="shared" si="189"/>
        <v>0</v>
      </c>
      <c r="CA354" s="193">
        <f t="shared" si="190"/>
        <v>0</v>
      </c>
      <c r="CB354" s="195" t="str">
        <f>IFERROR(G354*(IF('Inputs Yr 2'!$AJ354=CB$4,'Inputs Yr 2'!$AK354,IF('Inputs Yr 2'!$AL354=CB$4,'Inputs Yr 2'!$AM354,IF('Inputs Yr 2'!$AN354=CB$4,'Inputs Yr 2'!$AO354,0))))*(INDEX(avoidedcosttbl2,$H354,CB$2)+(($H354-ROUNDDOWN($H354,0))*(INDEX(avoidedcosttbl2,ROUNDUP($H354,0),CB$2)-(INDEX(avoidedcosttbl2,ROUNDDOWN($H354,0),CB$2)))))*'Inputs Yr 2'!P354*'Inputs Yr 2'!Q354*'Inputs Yr 2'!U354,"")</f>
        <v/>
      </c>
      <c r="CC354" s="195" t="str">
        <f>IFERROR(H354*(IF('Inputs Yr 2'!$AJ354=CC$4,'Inputs Yr 2'!$AK354,IF('Inputs Yr 2'!$AL354=CC$4,'Inputs Yr 2'!$AM354,IF('Inputs Yr 2'!$AN354=CC$4,'Inputs Yr 2'!$AO354,0))))*(INDEX(avoidedcosttbl2,$H354,CC$2)+(($H354-ROUNDDOWN($H354,0))*(INDEX(avoidedcosttbl2,ROUNDUP($H354,0),CC$2)-(INDEX(avoidedcosttbl2,ROUNDDOWN($H354,0),CC$2)))))*'Inputs Yr 2'!Q354*'Inputs Yr 2'!R354*'Inputs Yr 2'!V354,"")</f>
        <v/>
      </c>
      <c r="CD354" s="195" t="str">
        <f>IFERROR(I354*(IF('Inputs Yr 2'!$AJ354=CD$4,'Inputs Yr 2'!$AK354,IF('Inputs Yr 2'!$AL354=CD$4,'Inputs Yr 2'!$AM354,IF('Inputs Yr 2'!$AN354=CD$4,'Inputs Yr 2'!$AO354,0))))*(INDEX(avoidedcosttbl2,$H354,CD$2)+(($H354-ROUNDDOWN($H354,0))*(INDEX(avoidedcosttbl2,ROUNDUP($H354,0),CD$2)-(INDEX(avoidedcosttbl2,ROUNDDOWN($H354,0),CD$2)))))*'Inputs Yr 2'!R354*'Inputs Yr 2'!S354*'Inputs Yr 2'!W354,"")</f>
        <v/>
      </c>
      <c r="CE354" s="213" t="str">
        <f t="shared" si="191"/>
        <v/>
      </c>
      <c r="CF354" s="213" t="str">
        <f t="shared" si="192"/>
        <v/>
      </c>
      <c r="CG354" s="213" t="str">
        <f t="shared" si="193"/>
        <v/>
      </c>
      <c r="CH354" s="698">
        <f t="shared" si="194"/>
        <v>0</v>
      </c>
      <c r="CI354" s="79" t="str">
        <f>IFERROR(($G354*'Inputs Yr 2'!$P354*'Inputs Yr 2'!$Q354*(((INDEX(avoidedcosttbl2,$H354,CI$2)+(($H354-ROUNDDOWN($H354,0))*(INDEX(avoidedcosttbl2,ROUNDUP($H354,0),CI$2)-INDEX(avoidedcosttbl2,ROUNDDOWN($H354,0),CI$2))))*'Inputs Yr 2'!AS354))),"")</f>
        <v/>
      </c>
      <c r="CJ354" s="504" t="str">
        <f>IFERROR($G354*'Inputs Yr 2'!AT354*'Inputs Yr 2'!$P354*'Inputs Yr 2'!$Q354/((1+realdiscrt1)^-0.5),"")</f>
        <v/>
      </c>
      <c r="CK354" s="79" t="str">
        <f>IFERROR((O354*1000*(((INDEX(avoidedcosttbl2,$H354,CK$2)+(($H354-ROUNDDOWN($H354,0))*(INDEX(avoidedcosttbl2,ROUNDUP($H354,0),CK$2)-INDEX(avoidedcosttbl2,ROUNDDOWN($H354,0),CK$2))))*'Inputs Yr 2'!AU354))),"")</f>
        <v/>
      </c>
      <c r="CL354" s="504" t="str">
        <f>IFERROR(O354*1000*'Inputs Yr 2'!AV354/((1+realdiscrt1)^-0.5),"")</f>
        <v/>
      </c>
      <c r="CM354" s="79" t="str">
        <f>IFERROR((AB354*'Inputs Yr 2'!AW354*(((INDEX(avoidedcosttbl2,$H354,CM$2)+(($H354-ROUNDDOWN($H354,0))*(INDEX(avoidedcosttbl2,ROUNDUP($H354,0),CM$2)-INDEX(avoidedcosttbl2,ROUNDDOWN($H354,0),CM$2)))))))*10,"")</f>
        <v/>
      </c>
      <c r="CN354" s="504">
        <f>IFERROR(10*AB354*'Inputs Yr 2'!AX354/((1+realdiscrt1)^-0.5),"")</f>
        <v>0</v>
      </c>
      <c r="CO354" s="505">
        <f t="shared" si="195"/>
        <v>0</v>
      </c>
      <c r="CP354" s="230">
        <f t="shared" si="196"/>
        <v>0</v>
      </c>
      <c r="CQ354" s="199">
        <f>ROUND(IFERROR(IF(LEFT($A354,1)="C",'Avoided Costs'!$K$13,'Avoided Costs'!$K$12)+1,""),4)</f>
        <v>1.0720000000000001</v>
      </c>
      <c r="CR354" s="199">
        <f>ROUND(IFERROR(IF(LEFT($A354,1)="C",'Avoided Costs'!$L$13,'Avoided Costs'!$L$12)+1,""),4)</f>
        <v>1.04</v>
      </c>
      <c r="CS354" s="199">
        <f>ROUND(IFERROR(IF(LEFT($A354,1)="C",'Avoided Costs'!$M$13,'Avoided Costs'!$M$12)+1,""),4)</f>
        <v>1.0720000000000001</v>
      </c>
      <c r="CT354" s="199">
        <f>ROUND(IFERROR(IF(LEFT($A354,1)="C",'Avoided Costs'!$N$13,'Avoided Costs'!$N$12)+1,""),4)</f>
        <v>1.04</v>
      </c>
      <c r="CU354" s="199">
        <f>ROUND(IFERROR(IF(LEFT($A354,1)="C",'Avoided Costs'!$O$13,'Avoided Costs'!$O$12)+1,""),4)</f>
        <v>1.1120000000000001</v>
      </c>
      <c r="CV354" s="199">
        <f>ROUND(IFERROR(IF(LEFT($A354,1)="C",'Avoided Costs'!$P$13,'Avoided Costs'!$P$12)+1,""),4)</f>
        <v>1.095</v>
      </c>
      <c r="CW354" s="199">
        <f>ROUND(IFERROR(IF(LEFT($A354,1)="C",'Avoided Costs'!$Q$13,'Avoided Costs'!$Q$12)+1,""),4)</f>
        <v>1.1120000000000001</v>
      </c>
      <c r="CX354" s="200">
        <f>ROUND(IFERROR(IF(LEFT($A354,1)="C",'Avoided Costs'!$R$13,'Avoided Costs'!$R$12)+1,""),4)</f>
        <v>1.1120000000000001</v>
      </c>
    </row>
    <row r="355" spans="1:102" s="128" customFormat="1" ht="12.75" customHeight="1">
      <c r="A355" s="91" t="str">
        <f>IF('Inputs Yr 2'!$B392=0,"",'Inputs Yr 2'!A392)</f>
        <v/>
      </c>
      <c r="B355" s="91" t="str">
        <f>IF('Inputs Yr 2'!$B392=0,"",'Inputs Yr 2'!B392)</f>
        <v/>
      </c>
      <c r="C355" s="91" t="str">
        <f>IF('Inputs Yr 2'!$B355=0,"",'Inputs Yr 2'!C355)</f>
        <v/>
      </c>
      <c r="D355" s="91" t="str">
        <f>IF('Inputs Yr 2'!$B355=0,"",'Inputs Yr 2'!E355)</f>
        <v/>
      </c>
      <c r="E355" s="93" t="str">
        <f>IF('Inputs Yr 2'!$B355=0,"",'Inputs Yr 2'!F355)</f>
        <v/>
      </c>
      <c r="F355" s="93" t="str">
        <f>IF('Inputs Yr 2'!$B355=0,"",'Inputs Yr 2'!G355)</f>
        <v/>
      </c>
      <c r="G355" s="95" t="str">
        <f>IF('Inputs Yr 2'!$H355&lt;&gt;0,('Inputs Yr 2'!H355),"")</f>
        <v/>
      </c>
      <c r="H355" s="94">
        <f>IFERROR('Inputs Yr 2'!I355,"")</f>
        <v>0</v>
      </c>
      <c r="I355" s="298" t="str">
        <f>IFERROR('Inputs Yr 2'!J355*'Inputs Yr 2'!P355*G355,"")</f>
        <v/>
      </c>
      <c r="J355" s="298" t="str">
        <f>IFERROR('Inputs Yr 2'!K355*G355,"")</f>
        <v/>
      </c>
      <c r="K355" s="298" t="str">
        <f t="shared" si="173"/>
        <v/>
      </c>
      <c r="L355" s="194" t="str">
        <f>IFERROR(('Inputs Yr 2'!W355*G355)/1000,"")</f>
        <v/>
      </c>
      <c r="M355" s="194" t="str">
        <f>IFERROR(L355*('Inputs Yr 2'!$Q355*'Inputs Yr 2'!$V355*'Inputs Yr 2'!$R355),"")</f>
        <v/>
      </c>
      <c r="N355" s="194" t="str">
        <f t="shared" si="174"/>
        <v/>
      </c>
      <c r="O355" s="194" t="str">
        <f>IFERROR(M355*'Inputs Yr 2'!P355,"")</f>
        <v/>
      </c>
      <c r="P355" s="194" t="str">
        <f t="shared" si="175"/>
        <v/>
      </c>
      <c r="Q355" s="194" t="str">
        <f>IFERROR($P355*'Inputs Yr 2'!AA355,"")</f>
        <v/>
      </c>
      <c r="R355" s="194" t="str">
        <f>IFERROR($P355*'Inputs Yr 2'!AB355,"")</f>
        <v/>
      </c>
      <c r="S355" s="194" t="str">
        <f>IFERROR($P355*'Inputs Yr 2'!AC355,"")</f>
        <v/>
      </c>
      <c r="T355" s="194" t="str">
        <f>IFERROR($P355*'Inputs Yr 2'!AD355,"")</f>
        <v/>
      </c>
      <c r="U355" s="194" t="str">
        <f>IFERROR(G355*'Inputs Yr 2'!$AE355*'Inputs Yr 2'!$P355*'Inputs Yr 2'!$Q355,"")</f>
        <v/>
      </c>
      <c r="V355" s="194" t="str">
        <f>IFERROR($G355*'Inputs Yr 2'!$AE355*'Inputs Yr 2'!$AG355*'Inputs Yr 2'!Q355*'Inputs Yr 2'!$S355,"")</f>
        <v/>
      </c>
      <c r="W355" s="194" t="str">
        <f>IFERROR($G355*'Inputs Yr 2'!$AE355*'Inputs Yr 2'!$AG355*'Inputs Yr 2'!P355*'Inputs Yr 2'!Q355*'Inputs Yr 2'!$S355,"")</f>
        <v/>
      </c>
      <c r="X355" s="194" t="str">
        <f>IFERROR($G355*'Inputs Yr 2'!$AE355*'Inputs Yr 2'!$AF355*'Inputs Yr 2'!Q355*'Inputs Yr 2'!$T355,"")</f>
        <v/>
      </c>
      <c r="Y355" s="194" t="str">
        <f>IFERROR($G355*'Inputs Yr 2'!$AE355*'Inputs Yr 2'!$AF355*'Inputs Yr 2'!P355*'Inputs Yr 2'!Q355*'Inputs Yr 2'!$T355,"")</f>
        <v/>
      </c>
      <c r="Z355" s="257">
        <f>IFERROR($G355*'Inputs Yr 2'!$Q355*'Inputs Yr 2'!$U355*(IF(IFERROR(SEARCH("NG", 'Inputs Yr 2'!$AJ355),0),'Inputs Yr 2'!$AK355,0)+IF(IFERROR(SEARCH("NG", 'Inputs Yr 2'!$AL355),0),'Inputs Yr 2'!$AM355,0)+IF(IFERROR(SEARCH("NG", 'Inputs Yr 2'!$AN355),0),'Inputs Yr 2'!$AO355,0)),0)</f>
        <v>0</v>
      </c>
      <c r="AA355" s="257">
        <f t="shared" si="176"/>
        <v>0</v>
      </c>
      <c r="AB355" s="257">
        <f>IFERROR(Z355*'Inputs Yr 2'!$P355,0)</f>
        <v>0</v>
      </c>
      <c r="AC355" s="257">
        <f t="shared" si="177"/>
        <v>0</v>
      </c>
      <c r="AD355" s="257">
        <f>IFERROR($G355*'Inputs Yr 2'!$Q355*'Inputs Yr 2'!$U355*(IF(IFERROR(SEARCH("Oil", 'Inputs Yr 2'!$AJ355), 0),'Inputs Yr 2'!$AK355,0)+IF(IFERROR(SEARCH("Oil", 'Inputs Yr 2'!$AL355), 0),'Inputs Yr 2'!$AM355,0)+IF(IFERROR(SEARCH("Oil", 'Inputs Yr 2'!$AN355), 0),'Inputs Yr 2'!$AO355,0)),0)</f>
        <v>0</v>
      </c>
      <c r="AE355" s="257">
        <f t="shared" si="178"/>
        <v>0</v>
      </c>
      <c r="AF355" s="257">
        <f>IFERROR(AD355*'Inputs Yr 2'!$P355,0)</f>
        <v>0</v>
      </c>
      <c r="AG355" s="257">
        <f t="shared" si="179"/>
        <v>0</v>
      </c>
      <c r="AH355" s="257">
        <f>IFERROR($G355*'Inputs Yr 2'!$Q355*'Inputs Yr 2'!$U355*(IF('Inputs Yr 2'!$AJ355=CD$4,'Inputs Yr 2'!$AK355,IF('Inputs Yr 2'!$AL355=CD$4,'Inputs Yr 2'!$AM355,IF('Inputs Yr 2'!$AN355=CD$4,'Inputs Yr 2'!$AO355,0)))),0)</f>
        <v>0</v>
      </c>
      <c r="AI355" s="257">
        <f t="shared" si="180"/>
        <v>0</v>
      </c>
      <c r="AJ355" s="257">
        <f>IFERROR(AH355*'Inputs Yr 2'!$P355,0)</f>
        <v>0</v>
      </c>
      <c r="AK355" s="257">
        <f t="shared" si="181"/>
        <v>0</v>
      </c>
      <c r="AL355" s="258">
        <f>IFERROR($G355*'Inputs Yr 2'!$P355*'Inputs Yr 2'!$Q355*'Inputs Yr 2'!AP355,0)</f>
        <v>0</v>
      </c>
      <c r="AM355" s="260">
        <f>IFERROR($G355*'Inputs Yr 2'!$P355*'Inputs Yr 2'!$Q355*'Inputs Yr 2'!AQ355,0)</f>
        <v>0</v>
      </c>
      <c r="AN355" s="258">
        <f>IFERROR($G355*'Inputs Yr 2'!$P355*'Inputs Yr 2'!$Q355*'Inputs Yr 2'!AR355,0)</f>
        <v>0</v>
      </c>
      <c r="AO355" s="257">
        <f t="shared" si="182"/>
        <v>0</v>
      </c>
      <c r="AP355" s="195" t="str">
        <f>IFERROR($CQ355*(INDEX(avoidedcosttbl2,$H355,AP$2)+(($H355-ROUNDDOWN($H355,0))*(INDEX(avoidedcosttbl2,ROUNDUP($H355,0),AP$2)-(INDEX(avoidedcosttbl2,ROUNDDOWN($H355,0),AP$2)))))*$O355*1000*'Inputs Yr 2'!AA355,"")</f>
        <v/>
      </c>
      <c r="AQ355" s="195" t="str">
        <f>IFERROR($CR355*(INDEX(avoidedcosttbl2,$H355,AQ$2)+(($H355-ROUNDDOWN($H355,0))*(INDEX(avoidedcosttbl2,ROUNDUP($H355,0),AQ$2)-(INDEX(avoidedcosttbl2,ROUNDDOWN($H355,0),AQ$2)))))*$O355*1000*'Inputs Yr 2'!AB355,"")</f>
        <v/>
      </c>
      <c r="AR355" s="195" t="str">
        <f>IFERROR($CS355*(INDEX(avoidedcosttbl2,$H355,AR$2)+(($H355-ROUNDDOWN($H355,0))*(INDEX(avoidedcosttbl2,ROUNDUP($H355,0),AR$2)-(INDEX(avoidedcosttbl2,ROUNDDOWN($H355,0),AR$2)))))*$O355*1000*'Inputs Yr 2'!AC355,"")</f>
        <v/>
      </c>
      <c r="AS355" s="195" t="str">
        <f>IFERROR($CT355*(INDEX(avoidedcosttbl2,$H355,AS$2)+(($H355-ROUNDDOWN($H355,0))*(INDEX(avoidedcosttbl2,ROUNDUP($H355,0),AS$2)-(INDEX(avoidedcosttbl2,ROUNDDOWN($H355,0),AS$2)))))*$O355*1000*'Inputs Yr 2'!AD355,"")</f>
        <v/>
      </c>
      <c r="AT355" s="196">
        <f t="shared" si="183"/>
        <v>0</v>
      </c>
      <c r="AU355" s="197" t="str">
        <f>IFERROR($CQ355*((INDEX(avoidedcosttbl2,$H355,AU$2))+(($H355-ROUNDDOWN($H355,0))*((INDEX(avoidedcosttbl2,ROUNDUP($H355,0),AU$2))-(INDEX(avoidedcosttbl2,ROUNDDOWN($H355,0),AU$2)))))*$O355*1000*'Inputs Yr 2'!AA355,"")</f>
        <v/>
      </c>
      <c r="AV355" s="197" t="str">
        <f>IFERROR($CR355*((INDEX(avoidedcosttbl2,$H355,AV$2))+(($H355-ROUNDDOWN($H355,0))*((INDEX(avoidedcosttbl2,ROUNDUP($H355,0),AV$2))-(INDEX(avoidedcosttbl2,ROUNDDOWN($H355,0),AV$2)))))*$O355*1000*'Inputs Yr 2'!AB355,"")</f>
        <v/>
      </c>
      <c r="AW355" s="197" t="str">
        <f>IFERROR($CS355*((INDEX(avoidedcosttbl2,$H355,AW$2))+(($H355-ROUNDDOWN($H355,0))*((INDEX(avoidedcosttbl2,ROUNDUP($H355,0),AW$2))-(INDEX(avoidedcosttbl2,ROUNDDOWN($H355,0),AW$2)))))*$O355*1000*'Inputs Yr 2'!AC355,"")</f>
        <v/>
      </c>
      <c r="AX355" s="197" t="str">
        <f>IFERROR($CT355*((INDEX(avoidedcosttbl2,$H355,AX$2))+(($H355-ROUNDDOWN($H355,0))*((INDEX(avoidedcosttbl2,ROUNDUP($H355,0),AX$2))-(INDEX(avoidedcosttbl2,ROUNDDOWN($H355,0),AX$2)))))*$O355*1000*'Inputs Yr 2'!AD355,"")</f>
        <v/>
      </c>
      <c r="AY355" s="197" t="str">
        <f>IFERROR(((INDEX(avoidedcosttbl2,$H355,AY$2))+(($H355-ROUNDDOWN($H355,0))*((INDEX(avoidedcosttbl2,ROUNDUP($H355,0),AY$2))-(INDEX(avoidedcosttbl2,ROUNDDOWN($H355,0),AY$2)))))*$O355*1000*('Inputs Yr 2'!AC355+'Inputs Yr 2'!AD355),"")</f>
        <v/>
      </c>
      <c r="AZ355" s="197" t="str">
        <f>IFERROR(((INDEX(avoidedcosttbl2,$H355,AZ$2))+(($H355-ROUNDDOWN($H355,0))*((INDEX(avoidedcosttbl2,ROUNDUP($H355,0),AZ$2))-(INDEX(avoidedcosttbl2,ROUNDDOWN($H355,0),AZ$2)))))*$O355*1000*('Inputs Yr 2'!AA355+'Inputs Yr 2'!AB355),"")</f>
        <v/>
      </c>
      <c r="BA355" s="198">
        <f t="shared" si="184"/>
        <v>0</v>
      </c>
      <c r="BB355" s="198">
        <f t="shared" si="185"/>
        <v>0</v>
      </c>
      <c r="BC355" s="195" t="str">
        <f t="shared" si="167"/>
        <v/>
      </c>
      <c r="BD355" s="195" t="str">
        <f t="shared" si="168"/>
        <v/>
      </c>
      <c r="BE355" s="195" t="str">
        <f t="shared" si="169"/>
        <v/>
      </c>
      <c r="BF355" s="195" t="str">
        <f t="shared" si="170"/>
        <v/>
      </c>
      <c r="BG355" s="195" t="str">
        <f t="shared" si="171"/>
        <v/>
      </c>
      <c r="BH355" s="196">
        <f t="shared" si="186"/>
        <v>0</v>
      </c>
      <c r="BI355" s="196">
        <f t="shared" si="187"/>
        <v>0</v>
      </c>
      <c r="BJ355" s="195" t="str">
        <f>IFERROR($G355*(IF('Inputs Yr 2'!$AJ355=BJ$4,'Inputs Yr 2'!$AK355,IF('Inputs Yr 2'!$AL355=BJ$4,'Inputs Yr 2'!$AM355,IF('Inputs Yr 2'!$AN355=BJ$4,'Inputs Yr 2'!$AO355,0))))*(INDEX(avoidedcosttbl2,$H355,BJ$2)+(($H355-ROUNDDOWN($H355,0))*(INDEX(avoidedcosttbl2,ROUNDUP($H355,0),BJ$2)-(INDEX(avoidedcosttbl2,ROUNDDOWN($H355,0),BJ$2)))))*'Inputs Yr 2'!P355*'Inputs Yr 2'!Q355*'Inputs Yr 2'!U355,"")</f>
        <v/>
      </c>
      <c r="BK355" s="195" t="str">
        <f>IFERROR($G355*(IF('Inputs Yr 2'!$AJ355=BK$4,'Inputs Yr 2'!$AK355,IF('Inputs Yr 2'!$AL355=BK$4,'Inputs Yr 2'!$AM355,IF('Inputs Yr 2'!$AN355=BK$4,'Inputs Yr 2'!$AO355,0))))*(INDEX(avoidedcosttbl2,$H355,BK$2)+(($H355-ROUNDDOWN($H355,0))*(INDEX(avoidedcosttbl2,ROUNDUP($H355,0),BK$2)-(INDEX(avoidedcosttbl2,ROUNDDOWN($H355,0),BK$2)))))*'Inputs Yr 2'!P355*'Inputs Yr 2'!Q355*'Inputs Yr 2'!U355,"")</f>
        <v/>
      </c>
      <c r="BL355" s="195" t="str">
        <f>IFERROR($G355*(IF('Inputs Yr 2'!$AJ355=BL$4,'Inputs Yr 2'!$AK355,IF('Inputs Yr 2'!$AL355=BL$4,'Inputs Yr 2'!$AM355,IF('Inputs Yr 2'!$AN355=BL$4,'Inputs Yr 2'!$AO355,0))))*(INDEX(avoidedcosttbl2,$H355,BL$2)+(($H355-ROUNDDOWN($H355,0))*(INDEX(avoidedcosttbl2,ROUNDUP($H355,0),BL$2)-(INDEX(avoidedcosttbl2,ROUNDDOWN($H355,0),BL$2)))))*'Inputs Yr 2'!P355*'Inputs Yr 2'!Q355*'Inputs Yr 2'!U355,"")</f>
        <v/>
      </c>
      <c r="BM355" s="195" t="str">
        <f>IFERROR($G355*(IF('Inputs Yr 2'!$AJ355=BM$4,'Inputs Yr 2'!$AK355,IF('Inputs Yr 2'!$AL355=BM$4,'Inputs Yr 2'!$AM355,IF('Inputs Yr 2'!$AN355=BM$4,'Inputs Yr 2'!$AO355,0))))*(INDEX(avoidedcosttbl2,$H355,BM$2)+(($H355-ROUNDDOWN($H355,0))*(INDEX(avoidedcosttbl2,ROUNDUP($H355,0),BM$2)-(INDEX(avoidedcosttbl2,ROUNDDOWN($H355,0),BM$2)))))*'Inputs Yr 2'!P355*'Inputs Yr 2'!Q355*'Inputs Yr 2'!U355,"")</f>
        <v/>
      </c>
      <c r="BN355" s="195" t="str">
        <f>IFERROR($G355*(IF('Inputs Yr 2'!$AJ355=BN$4,'Inputs Yr 2'!$AK355,IF('Inputs Yr 2'!$AL355=BN$4,'Inputs Yr 2'!$AM355,IF('Inputs Yr 2'!$AN355=BN$4,'Inputs Yr 2'!$AO355,0))))*(INDEX(avoidedcosttbl2,$H355,BN$2)+(($H355-ROUNDDOWN($H355,0))*(INDEX(avoidedcosttbl2,ROUNDUP($H355,0),BN$2)-(INDEX(avoidedcosttbl2,ROUNDDOWN($H355,0),BN$2)))))*'Inputs Yr 2'!P355*'Inputs Yr 2'!Q355*'Inputs Yr 2'!U355,"")</f>
        <v/>
      </c>
      <c r="BO355" s="195" t="str">
        <f>IFERROR($G355*(IF('Inputs Yr 2'!$AJ355=BO$4,'Inputs Yr 2'!$AK355,IF('Inputs Yr 2'!$AL355=BO$4,'Inputs Yr 2'!$AM355,IF('Inputs Yr 2'!$AN355=BO$4,'Inputs Yr 2'!$AO355,0))))*(INDEX(avoidedcosttbl2,$H355,BO$2)+(($H355-ROUNDDOWN($H355,0))*(INDEX(avoidedcosttbl2,ROUNDUP($H355,0),BO$2)-(INDEX(avoidedcosttbl2,ROUNDDOWN($H355,0),BO$2)))))*'Inputs Yr 2'!P355*'Inputs Yr 2'!Q355*'Inputs Yr 2'!U355,"")</f>
        <v/>
      </c>
      <c r="BP355" s="195" t="str">
        <f>IFERROR($G355*(IF('Inputs Yr 2'!$AJ355=BP$4,'Inputs Yr 2'!$AK355,IF('Inputs Yr 2'!$AL355=BP$4,'Inputs Yr 2'!$AM355,IF('Inputs Yr 2'!$AN355=BP$4,'Inputs Yr 2'!$AO355,0))))*(INDEX(avoidedcosttbl2,$H355,BP$2)+(($H355-ROUNDDOWN($H355,0))*(INDEX(avoidedcosttbl2,ROUNDUP($H355,0),BP$2)-(INDEX(avoidedcosttbl2,ROUNDDOWN($H355,0),BP$2)))))*'Inputs Yr 2'!P355*'Inputs Yr 2'!Q355*'Inputs Yr 2'!U355,"")</f>
        <v/>
      </c>
      <c r="BQ355" s="230">
        <f t="shared" si="188"/>
        <v>0</v>
      </c>
      <c r="BR355" s="197" t="str">
        <f t="shared" si="172"/>
        <v/>
      </c>
      <c r="BS355" s="197" t="str">
        <f>IFERROR(($G355*IF('Inputs Yr 2'!$AJ355=BM$4,'Inputs Yr 2'!$AK355,IF('Inputs Yr 2'!$AL355=BM$4,'Inputs Yr 2'!$AM355,IF('Inputs Yr 2'!$AN355=BM$4,'Inputs Yr 2'!$AO355,0))))*(INDEX(avoidedcosttbl2,$H355,BS$2)+(($H355-ROUNDDOWN($H355,0))*(INDEX(avoidedcosttbl2,ROUNDUP($H355,0),BS$2)-(INDEX(avoidedcosttbl2,ROUNDDOWN($H355,0),BS$2)))))*'Inputs Yr 2'!P355*'Inputs Yr 2'!Q355*'Inputs Yr 2'!U355,"")</f>
        <v/>
      </c>
      <c r="BT355" s="197" t="str">
        <f>IFERROR(($G355*IF('Inputs Yr 2'!$AJ355=BK$4,'Inputs Yr 2'!$AK355,IF('Inputs Yr 2'!$AL355=BK$4,'Inputs Yr 2'!$AM355,IF('Inputs Yr 2'!$AN355=BK$4,'Inputs Yr 2'!$AO355,0))))*(INDEX(avoidedcosttbl2,$H355,BT$2)+(($H355-ROUNDDOWN($H355,0))*(INDEX(avoidedcosttbl2,ROUNDUP($H355,0),BT$2)-(INDEX(avoidedcosttbl2,ROUNDDOWN($H355,0),BT$2)))))*'Inputs Yr 2'!P355*'Inputs Yr 2'!Q355*'Inputs Yr 2'!U355,"")</f>
        <v/>
      </c>
      <c r="BU355" s="197" t="str">
        <f>IFERROR(($G355*IF('Inputs Yr 2'!$AJ355=BL$4,'Inputs Yr 2'!$AK355,IF('Inputs Yr 2'!$AL355=BL$4,'Inputs Yr 2'!$AM355,IF('Inputs Yr 2'!$AN355=BL$4,'Inputs Yr 2'!$AO355,0))))*(INDEX(avoidedcosttbl2,$H355,BU$2)+(($H355-ROUNDDOWN($H355,0))*(INDEX(avoidedcosttbl2,ROUNDUP($H355,0),BU$2)-(INDEX(avoidedcosttbl2,ROUNDDOWN($H355,0),BU$2)))))*'Inputs Yr 2'!P355*'Inputs Yr 2'!Q355*'Inputs Yr 2'!U355,"")</f>
        <v/>
      </c>
      <c r="BV355" s="775" t="str">
        <f>IFERROR(($G355*IF('Inputs Yr 2'!$AJ355=BJ$4,'Inputs Yr 2'!$AK355,IF('Inputs Yr 2'!$AL355=BJ$4,'Inputs Yr 2'!$AM355,IF('Inputs Yr 2'!$AN355=BJ$4,'Inputs Yr 2'!$AO355,0))))*(INDEX(avoidedcosttbl2,$H355,BV$2)+(($H355-ROUNDDOWN($H355,0))*(INDEX(avoidedcosttbl2,ROUNDUP($H355,0),BV$2)-(INDEX(avoidedcosttbl2,ROUNDDOWN($H355,0),BV$2)))))*'Inputs Yr 2'!P355*'Inputs Yr 2'!Q355*'Inputs Yr 2'!U355,"")</f>
        <v/>
      </c>
      <c r="BW355" s="197" t="str">
        <f>IFERROR(($G355*IF('Inputs Yr 2'!$AJ355=BN$4,'Inputs Yr 2'!$AK355,IF('Inputs Yr 2'!$AL355=BN$4,'Inputs Yr 2'!$AM355,IF('Inputs Yr 2'!$AN355=BN$4,'Inputs Yr 2'!$AO355,0))))*(INDEX(avoidedcosttbl2,$H355,BW$2)+(($H355-ROUNDDOWN($H355,0))*(INDEX(avoidedcosttbl2,ROUNDUP($H355,0),BW$2)-(INDEX(avoidedcosttbl2,ROUNDDOWN($H355,0),BW$2)))))*'Inputs Yr 2'!P355*'Inputs Yr 2'!Q355*'Inputs Yr 2'!U355,"")</f>
        <v/>
      </c>
      <c r="BX355" s="197" t="str">
        <f>IFERROR(($G355*IF('Inputs Yr 2'!$AJ355=BO$4,'Inputs Yr 2'!$AK355,IF('Inputs Yr 2'!$AL355=BO$4,'Inputs Yr 2'!$AM355,IF('Inputs Yr 2'!$AN355=BO$4,'Inputs Yr 2'!$AO355,0))))*(INDEX(avoidedcosttbl2,$H355,BX$2)+(($H355-ROUNDDOWN($H355,0))*(INDEX(avoidedcosttbl2,ROUNDUP($H355,0),BX$2)-(INDEX(avoidedcosttbl2,ROUNDDOWN($H355,0),BX$2)))))*'Inputs Yr 2'!P355*'Inputs Yr 2'!Q355*'Inputs Yr 2'!U355,"")</f>
        <v/>
      </c>
      <c r="BY355" s="197" t="str">
        <f>IFERROR(($G355*IF('Inputs Yr 2'!$AJ355=BP$4,'Inputs Yr 2'!$AK355,IF('Inputs Yr 2'!$AL355=BP$4,'Inputs Yr 2'!$AM355,IF('Inputs Yr 2'!$AN355=BP$4,'Inputs Yr 2'!$AO355,0))))*(INDEX(avoidedcosttbl2,$H355,BY$2)+(($H355-ROUNDDOWN($H355,0))*(INDEX(avoidedcosttbl2,ROUNDUP($H355,0),BY$2)-(INDEX(avoidedcosttbl2,ROUNDDOWN($H355,0),BY$2)))))*'Inputs Yr 2'!P355*'Inputs Yr 2'!Q355*'Inputs Yr 2'!U355,"")</f>
        <v/>
      </c>
      <c r="BZ355" s="193">
        <f t="shared" si="189"/>
        <v>0</v>
      </c>
      <c r="CA355" s="193">
        <f t="shared" si="190"/>
        <v>0</v>
      </c>
      <c r="CB355" s="195" t="str">
        <f>IFERROR(G355*(IF('Inputs Yr 2'!$AJ355=CB$4,'Inputs Yr 2'!$AK355,IF('Inputs Yr 2'!$AL355=CB$4,'Inputs Yr 2'!$AM355,IF('Inputs Yr 2'!$AN355=CB$4,'Inputs Yr 2'!$AO355,0))))*(INDEX(avoidedcosttbl2,$H355,CB$2)+(($H355-ROUNDDOWN($H355,0))*(INDEX(avoidedcosttbl2,ROUNDUP($H355,0),CB$2)-(INDEX(avoidedcosttbl2,ROUNDDOWN($H355,0),CB$2)))))*'Inputs Yr 2'!P355*'Inputs Yr 2'!Q355*'Inputs Yr 2'!U355,"")</f>
        <v/>
      </c>
      <c r="CC355" s="195" t="str">
        <f>IFERROR(H355*(IF('Inputs Yr 2'!$AJ355=CC$4,'Inputs Yr 2'!$AK355,IF('Inputs Yr 2'!$AL355=CC$4,'Inputs Yr 2'!$AM355,IF('Inputs Yr 2'!$AN355=CC$4,'Inputs Yr 2'!$AO355,0))))*(INDEX(avoidedcosttbl2,$H355,CC$2)+(($H355-ROUNDDOWN($H355,0))*(INDEX(avoidedcosttbl2,ROUNDUP($H355,0),CC$2)-(INDEX(avoidedcosttbl2,ROUNDDOWN($H355,0),CC$2)))))*'Inputs Yr 2'!Q355*'Inputs Yr 2'!R355*'Inputs Yr 2'!V355,"")</f>
        <v/>
      </c>
      <c r="CD355" s="195" t="str">
        <f>IFERROR(I355*(IF('Inputs Yr 2'!$AJ355=CD$4,'Inputs Yr 2'!$AK355,IF('Inputs Yr 2'!$AL355=CD$4,'Inputs Yr 2'!$AM355,IF('Inputs Yr 2'!$AN355=CD$4,'Inputs Yr 2'!$AO355,0))))*(INDEX(avoidedcosttbl2,$H355,CD$2)+(($H355-ROUNDDOWN($H355,0))*(INDEX(avoidedcosttbl2,ROUNDUP($H355,0),CD$2)-(INDEX(avoidedcosttbl2,ROUNDDOWN($H355,0),CD$2)))))*'Inputs Yr 2'!R355*'Inputs Yr 2'!S355*'Inputs Yr 2'!W355,"")</f>
        <v/>
      </c>
      <c r="CE355" s="213" t="str">
        <f t="shared" si="191"/>
        <v/>
      </c>
      <c r="CF355" s="213" t="str">
        <f t="shared" si="192"/>
        <v/>
      </c>
      <c r="CG355" s="213" t="str">
        <f t="shared" si="193"/>
        <v/>
      </c>
      <c r="CH355" s="698">
        <f t="shared" si="194"/>
        <v>0</v>
      </c>
      <c r="CI355" s="79" t="str">
        <f>IFERROR(($G355*'Inputs Yr 2'!$P355*'Inputs Yr 2'!$Q355*(((INDEX(avoidedcosttbl2,$H355,CI$2)+(($H355-ROUNDDOWN($H355,0))*(INDEX(avoidedcosttbl2,ROUNDUP($H355,0),CI$2)-INDEX(avoidedcosttbl2,ROUNDDOWN($H355,0),CI$2))))*'Inputs Yr 2'!AS355))),"")</f>
        <v/>
      </c>
      <c r="CJ355" s="504" t="str">
        <f>IFERROR($G355*'Inputs Yr 2'!AT355*'Inputs Yr 2'!$P355*'Inputs Yr 2'!$Q355/((1+realdiscrt1)^-0.5),"")</f>
        <v/>
      </c>
      <c r="CK355" s="79" t="str">
        <f>IFERROR((O355*1000*(((INDEX(avoidedcosttbl2,$H355,CK$2)+(($H355-ROUNDDOWN($H355,0))*(INDEX(avoidedcosttbl2,ROUNDUP($H355,0),CK$2)-INDEX(avoidedcosttbl2,ROUNDDOWN($H355,0),CK$2))))*'Inputs Yr 2'!AU355))),"")</f>
        <v/>
      </c>
      <c r="CL355" s="504" t="str">
        <f>IFERROR(O355*1000*'Inputs Yr 2'!AV355/((1+realdiscrt1)^-0.5),"")</f>
        <v/>
      </c>
      <c r="CM355" s="79" t="str">
        <f>IFERROR((AB355*'Inputs Yr 2'!AW355*(((INDEX(avoidedcosttbl2,$H355,CM$2)+(($H355-ROUNDDOWN($H355,0))*(INDEX(avoidedcosttbl2,ROUNDUP($H355,0),CM$2)-INDEX(avoidedcosttbl2,ROUNDDOWN($H355,0),CM$2)))))))*10,"")</f>
        <v/>
      </c>
      <c r="CN355" s="504">
        <f>IFERROR(10*AB355*'Inputs Yr 2'!AX355/((1+realdiscrt1)^-0.5),"")</f>
        <v>0</v>
      </c>
      <c r="CO355" s="505">
        <f t="shared" si="195"/>
        <v>0</v>
      </c>
      <c r="CP355" s="230">
        <f t="shared" si="196"/>
        <v>0</v>
      </c>
      <c r="CQ355" s="199">
        <f>ROUND(IFERROR(IF(LEFT($A355,1)="C",'Avoided Costs'!$K$13,'Avoided Costs'!$K$12)+1,""),4)</f>
        <v>1.0720000000000001</v>
      </c>
      <c r="CR355" s="199">
        <f>ROUND(IFERROR(IF(LEFT($A355,1)="C",'Avoided Costs'!$L$13,'Avoided Costs'!$L$12)+1,""),4)</f>
        <v>1.04</v>
      </c>
      <c r="CS355" s="199">
        <f>ROUND(IFERROR(IF(LEFT($A355,1)="C",'Avoided Costs'!$M$13,'Avoided Costs'!$M$12)+1,""),4)</f>
        <v>1.0720000000000001</v>
      </c>
      <c r="CT355" s="199">
        <f>ROUND(IFERROR(IF(LEFT($A355,1)="C",'Avoided Costs'!$N$13,'Avoided Costs'!$N$12)+1,""),4)</f>
        <v>1.04</v>
      </c>
      <c r="CU355" s="199">
        <f>ROUND(IFERROR(IF(LEFT($A355,1)="C",'Avoided Costs'!$O$13,'Avoided Costs'!$O$12)+1,""),4)</f>
        <v>1.1120000000000001</v>
      </c>
      <c r="CV355" s="199">
        <f>ROUND(IFERROR(IF(LEFT($A355,1)="C",'Avoided Costs'!$P$13,'Avoided Costs'!$P$12)+1,""),4)</f>
        <v>1.095</v>
      </c>
      <c r="CW355" s="199">
        <f>ROUND(IFERROR(IF(LEFT($A355,1)="C",'Avoided Costs'!$Q$13,'Avoided Costs'!$Q$12)+1,""),4)</f>
        <v>1.1120000000000001</v>
      </c>
      <c r="CX355" s="200">
        <f>ROUND(IFERROR(IF(LEFT($A355,1)="C",'Avoided Costs'!$R$13,'Avoided Costs'!$R$12)+1,""),4)</f>
        <v>1.1120000000000001</v>
      </c>
    </row>
    <row r="356" spans="1:102" s="128" customFormat="1" ht="12.75" customHeight="1">
      <c r="A356" s="91" t="str">
        <f>IF('Inputs Yr 2'!$B393=0,"",'Inputs Yr 2'!A393)</f>
        <v/>
      </c>
      <c r="B356" s="91" t="str">
        <f>IF('Inputs Yr 2'!$B393=0,"",'Inputs Yr 2'!B393)</f>
        <v/>
      </c>
      <c r="C356" s="91" t="str">
        <f>IF('Inputs Yr 2'!$B356=0,"",'Inputs Yr 2'!C356)</f>
        <v/>
      </c>
      <c r="D356" s="91" t="str">
        <f>IF('Inputs Yr 2'!$B356=0,"",'Inputs Yr 2'!E356)</f>
        <v/>
      </c>
      <c r="E356" s="93" t="str">
        <f>IF('Inputs Yr 2'!$B356=0,"",'Inputs Yr 2'!F356)</f>
        <v/>
      </c>
      <c r="F356" s="93" t="str">
        <f>IF('Inputs Yr 2'!$B356=0,"",'Inputs Yr 2'!G356)</f>
        <v/>
      </c>
      <c r="G356" s="95" t="str">
        <f>IF('Inputs Yr 2'!$H356&lt;&gt;0,('Inputs Yr 2'!H356),"")</f>
        <v/>
      </c>
      <c r="H356" s="94">
        <f>IFERROR('Inputs Yr 2'!I356,"")</f>
        <v>0</v>
      </c>
      <c r="I356" s="298" t="str">
        <f>IFERROR('Inputs Yr 2'!J356*'Inputs Yr 2'!P356*G356,"")</f>
        <v/>
      </c>
      <c r="J356" s="298" t="str">
        <f>IFERROR('Inputs Yr 2'!K356*G356,"")</f>
        <v/>
      </c>
      <c r="K356" s="298" t="str">
        <f t="shared" si="173"/>
        <v/>
      </c>
      <c r="L356" s="194" t="str">
        <f>IFERROR(('Inputs Yr 2'!W356*G356)/1000,"")</f>
        <v/>
      </c>
      <c r="M356" s="194" t="str">
        <f>IFERROR(L356*('Inputs Yr 2'!$Q356*'Inputs Yr 2'!$V356*'Inputs Yr 2'!$R356),"")</f>
        <v/>
      </c>
      <c r="N356" s="194" t="str">
        <f t="shared" si="174"/>
        <v/>
      </c>
      <c r="O356" s="194" t="str">
        <f>IFERROR(M356*'Inputs Yr 2'!P356,"")</f>
        <v/>
      </c>
      <c r="P356" s="194" t="str">
        <f t="shared" si="175"/>
        <v/>
      </c>
      <c r="Q356" s="194" t="str">
        <f>IFERROR($P356*'Inputs Yr 2'!AA356,"")</f>
        <v/>
      </c>
      <c r="R356" s="194" t="str">
        <f>IFERROR($P356*'Inputs Yr 2'!AB356,"")</f>
        <v/>
      </c>
      <c r="S356" s="194" t="str">
        <f>IFERROR($P356*'Inputs Yr 2'!AC356,"")</f>
        <v/>
      </c>
      <c r="T356" s="194" t="str">
        <f>IFERROR($P356*'Inputs Yr 2'!AD356,"")</f>
        <v/>
      </c>
      <c r="U356" s="194" t="str">
        <f>IFERROR(G356*'Inputs Yr 2'!$AE356*'Inputs Yr 2'!$P356*'Inputs Yr 2'!$Q356,"")</f>
        <v/>
      </c>
      <c r="V356" s="194" t="str">
        <f>IFERROR($G356*'Inputs Yr 2'!$AE356*'Inputs Yr 2'!$AG356*'Inputs Yr 2'!Q356*'Inputs Yr 2'!$S356,"")</f>
        <v/>
      </c>
      <c r="W356" s="194" t="str">
        <f>IFERROR($G356*'Inputs Yr 2'!$AE356*'Inputs Yr 2'!$AG356*'Inputs Yr 2'!P356*'Inputs Yr 2'!Q356*'Inputs Yr 2'!$S356,"")</f>
        <v/>
      </c>
      <c r="X356" s="194" t="str">
        <f>IFERROR($G356*'Inputs Yr 2'!$AE356*'Inputs Yr 2'!$AF356*'Inputs Yr 2'!Q356*'Inputs Yr 2'!$T356,"")</f>
        <v/>
      </c>
      <c r="Y356" s="194" t="str">
        <f>IFERROR($G356*'Inputs Yr 2'!$AE356*'Inputs Yr 2'!$AF356*'Inputs Yr 2'!P356*'Inputs Yr 2'!Q356*'Inputs Yr 2'!$T356,"")</f>
        <v/>
      </c>
      <c r="Z356" s="257">
        <f>IFERROR($G356*'Inputs Yr 2'!$Q356*'Inputs Yr 2'!$U356*(IF(IFERROR(SEARCH("NG", 'Inputs Yr 2'!$AJ356),0),'Inputs Yr 2'!$AK356,0)+IF(IFERROR(SEARCH("NG", 'Inputs Yr 2'!$AL356),0),'Inputs Yr 2'!$AM356,0)+IF(IFERROR(SEARCH("NG", 'Inputs Yr 2'!$AN356),0),'Inputs Yr 2'!$AO356,0)),0)</f>
        <v>0</v>
      </c>
      <c r="AA356" s="257">
        <f t="shared" si="176"/>
        <v>0</v>
      </c>
      <c r="AB356" s="257">
        <f>IFERROR(Z356*'Inputs Yr 2'!$P356,0)</f>
        <v>0</v>
      </c>
      <c r="AC356" s="257">
        <f t="shared" si="177"/>
        <v>0</v>
      </c>
      <c r="AD356" s="257">
        <f>IFERROR($G356*'Inputs Yr 2'!$Q356*'Inputs Yr 2'!$U356*(IF(IFERROR(SEARCH("Oil", 'Inputs Yr 2'!$AJ356), 0),'Inputs Yr 2'!$AK356,0)+IF(IFERROR(SEARCH("Oil", 'Inputs Yr 2'!$AL356), 0),'Inputs Yr 2'!$AM356,0)+IF(IFERROR(SEARCH("Oil", 'Inputs Yr 2'!$AN356), 0),'Inputs Yr 2'!$AO356,0)),0)</f>
        <v>0</v>
      </c>
      <c r="AE356" s="257">
        <f t="shared" si="178"/>
        <v>0</v>
      </c>
      <c r="AF356" s="257">
        <f>IFERROR(AD356*'Inputs Yr 2'!$P356,0)</f>
        <v>0</v>
      </c>
      <c r="AG356" s="257">
        <f t="shared" si="179"/>
        <v>0</v>
      </c>
      <c r="AH356" s="257">
        <f>IFERROR($G356*'Inputs Yr 2'!$Q356*'Inputs Yr 2'!$U356*(IF('Inputs Yr 2'!$AJ356=CD$4,'Inputs Yr 2'!$AK356,IF('Inputs Yr 2'!$AL356=CD$4,'Inputs Yr 2'!$AM356,IF('Inputs Yr 2'!$AN356=CD$4,'Inputs Yr 2'!$AO356,0)))),0)</f>
        <v>0</v>
      </c>
      <c r="AI356" s="257">
        <f t="shared" si="180"/>
        <v>0</v>
      </c>
      <c r="AJ356" s="257">
        <f>IFERROR(AH356*'Inputs Yr 2'!$P356,0)</f>
        <v>0</v>
      </c>
      <c r="AK356" s="257">
        <f t="shared" si="181"/>
        <v>0</v>
      </c>
      <c r="AL356" s="258">
        <f>IFERROR($G356*'Inputs Yr 2'!$P356*'Inputs Yr 2'!$Q356*'Inputs Yr 2'!AP356,0)</f>
        <v>0</v>
      </c>
      <c r="AM356" s="260">
        <f>IFERROR($G356*'Inputs Yr 2'!$P356*'Inputs Yr 2'!$Q356*'Inputs Yr 2'!AQ356,0)</f>
        <v>0</v>
      </c>
      <c r="AN356" s="258">
        <f>IFERROR($G356*'Inputs Yr 2'!$P356*'Inputs Yr 2'!$Q356*'Inputs Yr 2'!AR356,0)</f>
        <v>0</v>
      </c>
      <c r="AO356" s="257">
        <f t="shared" si="182"/>
        <v>0</v>
      </c>
      <c r="AP356" s="195" t="str">
        <f>IFERROR($CQ356*(INDEX(avoidedcosttbl2,$H356,AP$2)+(($H356-ROUNDDOWN($H356,0))*(INDEX(avoidedcosttbl2,ROUNDUP($H356,0),AP$2)-(INDEX(avoidedcosttbl2,ROUNDDOWN($H356,0),AP$2)))))*$O356*1000*'Inputs Yr 2'!AA356,"")</f>
        <v/>
      </c>
      <c r="AQ356" s="195" t="str">
        <f>IFERROR($CR356*(INDEX(avoidedcosttbl2,$H356,AQ$2)+(($H356-ROUNDDOWN($H356,0))*(INDEX(avoidedcosttbl2,ROUNDUP($H356,0),AQ$2)-(INDEX(avoidedcosttbl2,ROUNDDOWN($H356,0),AQ$2)))))*$O356*1000*'Inputs Yr 2'!AB356,"")</f>
        <v/>
      </c>
      <c r="AR356" s="195" t="str">
        <f>IFERROR($CS356*(INDEX(avoidedcosttbl2,$H356,AR$2)+(($H356-ROUNDDOWN($H356,0))*(INDEX(avoidedcosttbl2,ROUNDUP($H356,0),AR$2)-(INDEX(avoidedcosttbl2,ROUNDDOWN($H356,0),AR$2)))))*$O356*1000*'Inputs Yr 2'!AC356,"")</f>
        <v/>
      </c>
      <c r="AS356" s="195" t="str">
        <f>IFERROR($CT356*(INDEX(avoidedcosttbl2,$H356,AS$2)+(($H356-ROUNDDOWN($H356,0))*(INDEX(avoidedcosttbl2,ROUNDUP($H356,0),AS$2)-(INDEX(avoidedcosttbl2,ROUNDDOWN($H356,0),AS$2)))))*$O356*1000*'Inputs Yr 2'!AD356,"")</f>
        <v/>
      </c>
      <c r="AT356" s="196">
        <f t="shared" si="183"/>
        <v>0</v>
      </c>
      <c r="AU356" s="197" t="str">
        <f>IFERROR($CQ356*((INDEX(avoidedcosttbl2,$H356,AU$2))+(($H356-ROUNDDOWN($H356,0))*((INDEX(avoidedcosttbl2,ROUNDUP($H356,0),AU$2))-(INDEX(avoidedcosttbl2,ROUNDDOWN($H356,0),AU$2)))))*$O356*1000*'Inputs Yr 2'!AA356,"")</f>
        <v/>
      </c>
      <c r="AV356" s="197" t="str">
        <f>IFERROR($CR356*((INDEX(avoidedcosttbl2,$H356,AV$2))+(($H356-ROUNDDOWN($H356,0))*((INDEX(avoidedcosttbl2,ROUNDUP($H356,0),AV$2))-(INDEX(avoidedcosttbl2,ROUNDDOWN($H356,0),AV$2)))))*$O356*1000*'Inputs Yr 2'!AB356,"")</f>
        <v/>
      </c>
      <c r="AW356" s="197" t="str">
        <f>IFERROR($CS356*((INDEX(avoidedcosttbl2,$H356,AW$2))+(($H356-ROUNDDOWN($H356,0))*((INDEX(avoidedcosttbl2,ROUNDUP($H356,0),AW$2))-(INDEX(avoidedcosttbl2,ROUNDDOWN($H356,0),AW$2)))))*$O356*1000*'Inputs Yr 2'!AC356,"")</f>
        <v/>
      </c>
      <c r="AX356" s="197" t="str">
        <f>IFERROR($CT356*((INDEX(avoidedcosttbl2,$H356,AX$2))+(($H356-ROUNDDOWN($H356,0))*((INDEX(avoidedcosttbl2,ROUNDUP($H356,0),AX$2))-(INDEX(avoidedcosttbl2,ROUNDDOWN($H356,0),AX$2)))))*$O356*1000*'Inputs Yr 2'!AD356,"")</f>
        <v/>
      </c>
      <c r="AY356" s="197" t="str">
        <f>IFERROR(((INDEX(avoidedcosttbl2,$H356,AY$2))+(($H356-ROUNDDOWN($H356,0))*((INDEX(avoidedcosttbl2,ROUNDUP($H356,0),AY$2))-(INDEX(avoidedcosttbl2,ROUNDDOWN($H356,0),AY$2)))))*$O356*1000*('Inputs Yr 2'!AC356+'Inputs Yr 2'!AD356),"")</f>
        <v/>
      </c>
      <c r="AZ356" s="197" t="str">
        <f>IFERROR(((INDEX(avoidedcosttbl2,$H356,AZ$2))+(($H356-ROUNDDOWN($H356,0))*((INDEX(avoidedcosttbl2,ROUNDUP($H356,0),AZ$2))-(INDEX(avoidedcosttbl2,ROUNDDOWN($H356,0),AZ$2)))))*$O356*1000*('Inputs Yr 2'!AA356+'Inputs Yr 2'!AB356),"")</f>
        <v/>
      </c>
      <c r="BA356" s="198">
        <f t="shared" si="184"/>
        <v>0</v>
      </c>
      <c r="BB356" s="198">
        <f t="shared" si="185"/>
        <v>0</v>
      </c>
      <c r="BC356" s="195" t="str">
        <f t="shared" si="167"/>
        <v/>
      </c>
      <c r="BD356" s="195" t="str">
        <f t="shared" si="168"/>
        <v/>
      </c>
      <c r="BE356" s="195" t="str">
        <f t="shared" si="169"/>
        <v/>
      </c>
      <c r="BF356" s="195" t="str">
        <f t="shared" si="170"/>
        <v/>
      </c>
      <c r="BG356" s="195" t="str">
        <f t="shared" si="171"/>
        <v/>
      </c>
      <c r="BH356" s="196">
        <f t="shared" si="186"/>
        <v>0</v>
      </c>
      <c r="BI356" s="196">
        <f t="shared" si="187"/>
        <v>0</v>
      </c>
      <c r="BJ356" s="195" t="str">
        <f>IFERROR($G356*(IF('Inputs Yr 2'!$AJ356=BJ$4,'Inputs Yr 2'!$AK356,IF('Inputs Yr 2'!$AL356=BJ$4,'Inputs Yr 2'!$AM356,IF('Inputs Yr 2'!$AN356=BJ$4,'Inputs Yr 2'!$AO356,0))))*(INDEX(avoidedcosttbl2,$H356,BJ$2)+(($H356-ROUNDDOWN($H356,0))*(INDEX(avoidedcosttbl2,ROUNDUP($H356,0),BJ$2)-(INDEX(avoidedcosttbl2,ROUNDDOWN($H356,0),BJ$2)))))*'Inputs Yr 2'!P356*'Inputs Yr 2'!Q356*'Inputs Yr 2'!U356,"")</f>
        <v/>
      </c>
      <c r="BK356" s="195" t="str">
        <f>IFERROR($G356*(IF('Inputs Yr 2'!$AJ356=BK$4,'Inputs Yr 2'!$AK356,IF('Inputs Yr 2'!$AL356=BK$4,'Inputs Yr 2'!$AM356,IF('Inputs Yr 2'!$AN356=BK$4,'Inputs Yr 2'!$AO356,0))))*(INDEX(avoidedcosttbl2,$H356,BK$2)+(($H356-ROUNDDOWN($H356,0))*(INDEX(avoidedcosttbl2,ROUNDUP($H356,0),BK$2)-(INDEX(avoidedcosttbl2,ROUNDDOWN($H356,0),BK$2)))))*'Inputs Yr 2'!P356*'Inputs Yr 2'!Q356*'Inputs Yr 2'!U356,"")</f>
        <v/>
      </c>
      <c r="BL356" s="195" t="str">
        <f>IFERROR($G356*(IF('Inputs Yr 2'!$AJ356=BL$4,'Inputs Yr 2'!$AK356,IF('Inputs Yr 2'!$AL356=BL$4,'Inputs Yr 2'!$AM356,IF('Inputs Yr 2'!$AN356=BL$4,'Inputs Yr 2'!$AO356,0))))*(INDEX(avoidedcosttbl2,$H356,BL$2)+(($H356-ROUNDDOWN($H356,0))*(INDEX(avoidedcosttbl2,ROUNDUP($H356,0),BL$2)-(INDEX(avoidedcosttbl2,ROUNDDOWN($H356,0),BL$2)))))*'Inputs Yr 2'!P356*'Inputs Yr 2'!Q356*'Inputs Yr 2'!U356,"")</f>
        <v/>
      </c>
      <c r="BM356" s="195" t="str">
        <f>IFERROR($G356*(IF('Inputs Yr 2'!$AJ356=BM$4,'Inputs Yr 2'!$AK356,IF('Inputs Yr 2'!$AL356=BM$4,'Inputs Yr 2'!$AM356,IF('Inputs Yr 2'!$AN356=BM$4,'Inputs Yr 2'!$AO356,0))))*(INDEX(avoidedcosttbl2,$H356,BM$2)+(($H356-ROUNDDOWN($H356,0))*(INDEX(avoidedcosttbl2,ROUNDUP($H356,0),BM$2)-(INDEX(avoidedcosttbl2,ROUNDDOWN($H356,0),BM$2)))))*'Inputs Yr 2'!P356*'Inputs Yr 2'!Q356*'Inputs Yr 2'!U356,"")</f>
        <v/>
      </c>
      <c r="BN356" s="195" t="str">
        <f>IFERROR($G356*(IF('Inputs Yr 2'!$AJ356=BN$4,'Inputs Yr 2'!$AK356,IF('Inputs Yr 2'!$AL356=BN$4,'Inputs Yr 2'!$AM356,IF('Inputs Yr 2'!$AN356=BN$4,'Inputs Yr 2'!$AO356,0))))*(INDEX(avoidedcosttbl2,$H356,BN$2)+(($H356-ROUNDDOWN($H356,0))*(INDEX(avoidedcosttbl2,ROUNDUP($H356,0),BN$2)-(INDEX(avoidedcosttbl2,ROUNDDOWN($H356,0),BN$2)))))*'Inputs Yr 2'!P356*'Inputs Yr 2'!Q356*'Inputs Yr 2'!U356,"")</f>
        <v/>
      </c>
      <c r="BO356" s="195" t="str">
        <f>IFERROR($G356*(IF('Inputs Yr 2'!$AJ356=BO$4,'Inputs Yr 2'!$AK356,IF('Inputs Yr 2'!$AL356=BO$4,'Inputs Yr 2'!$AM356,IF('Inputs Yr 2'!$AN356=BO$4,'Inputs Yr 2'!$AO356,0))))*(INDEX(avoidedcosttbl2,$H356,BO$2)+(($H356-ROUNDDOWN($H356,0))*(INDEX(avoidedcosttbl2,ROUNDUP($H356,0),BO$2)-(INDEX(avoidedcosttbl2,ROUNDDOWN($H356,0),BO$2)))))*'Inputs Yr 2'!P356*'Inputs Yr 2'!Q356*'Inputs Yr 2'!U356,"")</f>
        <v/>
      </c>
      <c r="BP356" s="195" t="str">
        <f>IFERROR($G356*(IF('Inputs Yr 2'!$AJ356=BP$4,'Inputs Yr 2'!$AK356,IF('Inputs Yr 2'!$AL356=BP$4,'Inputs Yr 2'!$AM356,IF('Inputs Yr 2'!$AN356=BP$4,'Inputs Yr 2'!$AO356,0))))*(INDEX(avoidedcosttbl2,$H356,BP$2)+(($H356-ROUNDDOWN($H356,0))*(INDEX(avoidedcosttbl2,ROUNDUP($H356,0),BP$2)-(INDEX(avoidedcosttbl2,ROUNDDOWN($H356,0),BP$2)))))*'Inputs Yr 2'!P356*'Inputs Yr 2'!Q356*'Inputs Yr 2'!U356,"")</f>
        <v/>
      </c>
      <c r="BQ356" s="230">
        <f t="shared" si="188"/>
        <v>0</v>
      </c>
      <c r="BR356" s="197" t="str">
        <f t="shared" si="172"/>
        <v/>
      </c>
      <c r="BS356" s="197" t="str">
        <f>IFERROR(($G356*IF('Inputs Yr 2'!$AJ356=BM$4,'Inputs Yr 2'!$AK356,IF('Inputs Yr 2'!$AL356=BM$4,'Inputs Yr 2'!$AM356,IF('Inputs Yr 2'!$AN356=BM$4,'Inputs Yr 2'!$AO356,0))))*(INDEX(avoidedcosttbl2,$H356,BS$2)+(($H356-ROUNDDOWN($H356,0))*(INDEX(avoidedcosttbl2,ROUNDUP($H356,0),BS$2)-(INDEX(avoidedcosttbl2,ROUNDDOWN($H356,0),BS$2)))))*'Inputs Yr 2'!P356*'Inputs Yr 2'!Q356*'Inputs Yr 2'!U356,"")</f>
        <v/>
      </c>
      <c r="BT356" s="197" t="str">
        <f>IFERROR(($G356*IF('Inputs Yr 2'!$AJ356=BK$4,'Inputs Yr 2'!$AK356,IF('Inputs Yr 2'!$AL356=BK$4,'Inputs Yr 2'!$AM356,IF('Inputs Yr 2'!$AN356=BK$4,'Inputs Yr 2'!$AO356,0))))*(INDEX(avoidedcosttbl2,$H356,BT$2)+(($H356-ROUNDDOWN($H356,0))*(INDEX(avoidedcosttbl2,ROUNDUP($H356,0),BT$2)-(INDEX(avoidedcosttbl2,ROUNDDOWN($H356,0),BT$2)))))*'Inputs Yr 2'!P356*'Inputs Yr 2'!Q356*'Inputs Yr 2'!U356,"")</f>
        <v/>
      </c>
      <c r="BU356" s="197" t="str">
        <f>IFERROR(($G356*IF('Inputs Yr 2'!$AJ356=BL$4,'Inputs Yr 2'!$AK356,IF('Inputs Yr 2'!$AL356=BL$4,'Inputs Yr 2'!$AM356,IF('Inputs Yr 2'!$AN356=BL$4,'Inputs Yr 2'!$AO356,0))))*(INDEX(avoidedcosttbl2,$H356,BU$2)+(($H356-ROUNDDOWN($H356,0))*(INDEX(avoidedcosttbl2,ROUNDUP($H356,0),BU$2)-(INDEX(avoidedcosttbl2,ROUNDDOWN($H356,0),BU$2)))))*'Inputs Yr 2'!P356*'Inputs Yr 2'!Q356*'Inputs Yr 2'!U356,"")</f>
        <v/>
      </c>
      <c r="BV356" s="775" t="str">
        <f>IFERROR(($G356*IF('Inputs Yr 2'!$AJ356=BJ$4,'Inputs Yr 2'!$AK356,IF('Inputs Yr 2'!$AL356=BJ$4,'Inputs Yr 2'!$AM356,IF('Inputs Yr 2'!$AN356=BJ$4,'Inputs Yr 2'!$AO356,0))))*(INDEX(avoidedcosttbl2,$H356,BV$2)+(($H356-ROUNDDOWN($H356,0))*(INDEX(avoidedcosttbl2,ROUNDUP($H356,0),BV$2)-(INDEX(avoidedcosttbl2,ROUNDDOWN($H356,0),BV$2)))))*'Inputs Yr 2'!P356*'Inputs Yr 2'!Q356*'Inputs Yr 2'!U356,"")</f>
        <v/>
      </c>
      <c r="BW356" s="197" t="str">
        <f>IFERROR(($G356*IF('Inputs Yr 2'!$AJ356=BN$4,'Inputs Yr 2'!$AK356,IF('Inputs Yr 2'!$AL356=BN$4,'Inputs Yr 2'!$AM356,IF('Inputs Yr 2'!$AN356=BN$4,'Inputs Yr 2'!$AO356,0))))*(INDEX(avoidedcosttbl2,$H356,BW$2)+(($H356-ROUNDDOWN($H356,0))*(INDEX(avoidedcosttbl2,ROUNDUP($H356,0),BW$2)-(INDEX(avoidedcosttbl2,ROUNDDOWN($H356,0),BW$2)))))*'Inputs Yr 2'!P356*'Inputs Yr 2'!Q356*'Inputs Yr 2'!U356,"")</f>
        <v/>
      </c>
      <c r="BX356" s="197" t="str">
        <f>IFERROR(($G356*IF('Inputs Yr 2'!$AJ356=BO$4,'Inputs Yr 2'!$AK356,IF('Inputs Yr 2'!$AL356=BO$4,'Inputs Yr 2'!$AM356,IF('Inputs Yr 2'!$AN356=BO$4,'Inputs Yr 2'!$AO356,0))))*(INDEX(avoidedcosttbl2,$H356,BX$2)+(($H356-ROUNDDOWN($H356,0))*(INDEX(avoidedcosttbl2,ROUNDUP($H356,0),BX$2)-(INDEX(avoidedcosttbl2,ROUNDDOWN($H356,0),BX$2)))))*'Inputs Yr 2'!P356*'Inputs Yr 2'!Q356*'Inputs Yr 2'!U356,"")</f>
        <v/>
      </c>
      <c r="BY356" s="197" t="str">
        <f>IFERROR(($G356*IF('Inputs Yr 2'!$AJ356=BP$4,'Inputs Yr 2'!$AK356,IF('Inputs Yr 2'!$AL356=BP$4,'Inputs Yr 2'!$AM356,IF('Inputs Yr 2'!$AN356=BP$4,'Inputs Yr 2'!$AO356,0))))*(INDEX(avoidedcosttbl2,$H356,BY$2)+(($H356-ROUNDDOWN($H356,0))*(INDEX(avoidedcosttbl2,ROUNDUP($H356,0),BY$2)-(INDEX(avoidedcosttbl2,ROUNDDOWN($H356,0),BY$2)))))*'Inputs Yr 2'!P356*'Inputs Yr 2'!Q356*'Inputs Yr 2'!U356,"")</f>
        <v/>
      </c>
      <c r="BZ356" s="193">
        <f t="shared" si="189"/>
        <v>0</v>
      </c>
      <c r="CA356" s="193">
        <f t="shared" si="190"/>
        <v>0</v>
      </c>
      <c r="CB356" s="195" t="str">
        <f>IFERROR(G356*(IF('Inputs Yr 2'!$AJ356=CB$4,'Inputs Yr 2'!$AK356,IF('Inputs Yr 2'!$AL356=CB$4,'Inputs Yr 2'!$AM356,IF('Inputs Yr 2'!$AN356=CB$4,'Inputs Yr 2'!$AO356,0))))*(INDEX(avoidedcosttbl2,$H356,CB$2)+(($H356-ROUNDDOWN($H356,0))*(INDEX(avoidedcosttbl2,ROUNDUP($H356,0),CB$2)-(INDEX(avoidedcosttbl2,ROUNDDOWN($H356,0),CB$2)))))*'Inputs Yr 2'!P356*'Inputs Yr 2'!Q356*'Inputs Yr 2'!U356,"")</f>
        <v/>
      </c>
      <c r="CC356" s="195" t="str">
        <f>IFERROR(H356*(IF('Inputs Yr 2'!$AJ356=CC$4,'Inputs Yr 2'!$AK356,IF('Inputs Yr 2'!$AL356=CC$4,'Inputs Yr 2'!$AM356,IF('Inputs Yr 2'!$AN356=CC$4,'Inputs Yr 2'!$AO356,0))))*(INDEX(avoidedcosttbl2,$H356,CC$2)+(($H356-ROUNDDOWN($H356,0))*(INDEX(avoidedcosttbl2,ROUNDUP($H356,0),CC$2)-(INDEX(avoidedcosttbl2,ROUNDDOWN($H356,0),CC$2)))))*'Inputs Yr 2'!Q356*'Inputs Yr 2'!R356*'Inputs Yr 2'!V356,"")</f>
        <v/>
      </c>
      <c r="CD356" s="195" t="str">
        <f>IFERROR(I356*(IF('Inputs Yr 2'!$AJ356=CD$4,'Inputs Yr 2'!$AK356,IF('Inputs Yr 2'!$AL356=CD$4,'Inputs Yr 2'!$AM356,IF('Inputs Yr 2'!$AN356=CD$4,'Inputs Yr 2'!$AO356,0))))*(INDEX(avoidedcosttbl2,$H356,CD$2)+(($H356-ROUNDDOWN($H356,0))*(INDEX(avoidedcosttbl2,ROUNDUP($H356,0),CD$2)-(INDEX(avoidedcosttbl2,ROUNDDOWN($H356,0),CD$2)))))*'Inputs Yr 2'!R356*'Inputs Yr 2'!S356*'Inputs Yr 2'!W356,"")</f>
        <v/>
      </c>
      <c r="CE356" s="213" t="str">
        <f t="shared" si="191"/>
        <v/>
      </c>
      <c r="CF356" s="213" t="str">
        <f t="shared" si="192"/>
        <v/>
      </c>
      <c r="CG356" s="213" t="str">
        <f t="shared" si="193"/>
        <v/>
      </c>
      <c r="CH356" s="698">
        <f t="shared" si="194"/>
        <v>0</v>
      </c>
      <c r="CI356" s="79" t="str">
        <f>IFERROR(($G356*'Inputs Yr 2'!$P356*'Inputs Yr 2'!$Q356*(((INDEX(avoidedcosttbl2,$H356,CI$2)+(($H356-ROUNDDOWN($H356,0))*(INDEX(avoidedcosttbl2,ROUNDUP($H356,0),CI$2)-INDEX(avoidedcosttbl2,ROUNDDOWN($H356,0),CI$2))))*'Inputs Yr 2'!AS356))),"")</f>
        <v/>
      </c>
      <c r="CJ356" s="504" t="str">
        <f>IFERROR($G356*'Inputs Yr 2'!AT356*'Inputs Yr 2'!$P356*'Inputs Yr 2'!$Q356/((1+realdiscrt1)^-0.5),"")</f>
        <v/>
      </c>
      <c r="CK356" s="79" t="str">
        <f>IFERROR((O356*1000*(((INDEX(avoidedcosttbl2,$H356,CK$2)+(($H356-ROUNDDOWN($H356,0))*(INDEX(avoidedcosttbl2,ROUNDUP($H356,0),CK$2)-INDEX(avoidedcosttbl2,ROUNDDOWN($H356,0),CK$2))))*'Inputs Yr 2'!AU356))),"")</f>
        <v/>
      </c>
      <c r="CL356" s="504" t="str">
        <f>IFERROR(O356*1000*'Inputs Yr 2'!AV356/((1+realdiscrt1)^-0.5),"")</f>
        <v/>
      </c>
      <c r="CM356" s="79" t="str">
        <f>IFERROR((AB356*'Inputs Yr 2'!AW356*(((INDEX(avoidedcosttbl2,$H356,CM$2)+(($H356-ROUNDDOWN($H356,0))*(INDEX(avoidedcosttbl2,ROUNDUP($H356,0),CM$2)-INDEX(avoidedcosttbl2,ROUNDDOWN($H356,0),CM$2)))))))*10,"")</f>
        <v/>
      </c>
      <c r="CN356" s="504">
        <f>IFERROR(10*AB356*'Inputs Yr 2'!AX356/((1+realdiscrt1)^-0.5),"")</f>
        <v>0</v>
      </c>
      <c r="CO356" s="505">
        <f t="shared" si="195"/>
        <v>0</v>
      </c>
      <c r="CP356" s="230">
        <f t="shared" si="196"/>
        <v>0</v>
      </c>
      <c r="CQ356" s="199">
        <f>ROUND(IFERROR(IF(LEFT($A356,1)="C",'Avoided Costs'!$K$13,'Avoided Costs'!$K$12)+1,""),4)</f>
        <v>1.0720000000000001</v>
      </c>
      <c r="CR356" s="199">
        <f>ROUND(IFERROR(IF(LEFT($A356,1)="C",'Avoided Costs'!$L$13,'Avoided Costs'!$L$12)+1,""),4)</f>
        <v>1.04</v>
      </c>
      <c r="CS356" s="199">
        <f>ROUND(IFERROR(IF(LEFT($A356,1)="C",'Avoided Costs'!$M$13,'Avoided Costs'!$M$12)+1,""),4)</f>
        <v>1.0720000000000001</v>
      </c>
      <c r="CT356" s="199">
        <f>ROUND(IFERROR(IF(LEFT($A356,1)="C",'Avoided Costs'!$N$13,'Avoided Costs'!$N$12)+1,""),4)</f>
        <v>1.04</v>
      </c>
      <c r="CU356" s="199">
        <f>ROUND(IFERROR(IF(LEFT($A356,1)="C",'Avoided Costs'!$O$13,'Avoided Costs'!$O$12)+1,""),4)</f>
        <v>1.1120000000000001</v>
      </c>
      <c r="CV356" s="199">
        <f>ROUND(IFERROR(IF(LEFT($A356,1)="C",'Avoided Costs'!$P$13,'Avoided Costs'!$P$12)+1,""),4)</f>
        <v>1.095</v>
      </c>
      <c r="CW356" s="199">
        <f>ROUND(IFERROR(IF(LEFT($A356,1)="C",'Avoided Costs'!$Q$13,'Avoided Costs'!$Q$12)+1,""),4)</f>
        <v>1.1120000000000001</v>
      </c>
      <c r="CX356" s="200">
        <f>ROUND(IFERROR(IF(LEFT($A356,1)="C",'Avoided Costs'!$R$13,'Avoided Costs'!$R$12)+1,""),4)</f>
        <v>1.1120000000000001</v>
      </c>
    </row>
    <row r="357" spans="1:102" s="128" customFormat="1" ht="12.75" customHeight="1">
      <c r="A357" s="91" t="str">
        <f>IF('Inputs Yr 2'!$B394=0,"",'Inputs Yr 2'!A394)</f>
        <v/>
      </c>
      <c r="B357" s="91" t="str">
        <f>IF('Inputs Yr 2'!$B394=0,"",'Inputs Yr 2'!B394)</f>
        <v/>
      </c>
      <c r="C357" s="91" t="str">
        <f>IF('Inputs Yr 2'!$B357=0,"",'Inputs Yr 2'!C357)</f>
        <v/>
      </c>
      <c r="D357" s="91" t="str">
        <f>IF('Inputs Yr 2'!$B357=0,"",'Inputs Yr 2'!E357)</f>
        <v/>
      </c>
      <c r="E357" s="93" t="str">
        <f>IF('Inputs Yr 2'!$B357=0,"",'Inputs Yr 2'!F357)</f>
        <v/>
      </c>
      <c r="F357" s="93" t="str">
        <f>IF('Inputs Yr 2'!$B357=0,"",'Inputs Yr 2'!G357)</f>
        <v/>
      </c>
      <c r="G357" s="95" t="str">
        <f>IF('Inputs Yr 2'!$H357&lt;&gt;0,('Inputs Yr 2'!H357),"")</f>
        <v/>
      </c>
      <c r="H357" s="94">
        <f>IFERROR('Inputs Yr 2'!I357,"")</f>
        <v>0</v>
      </c>
      <c r="I357" s="298" t="str">
        <f>IFERROR('Inputs Yr 2'!J357*'Inputs Yr 2'!P357*G357,"")</f>
        <v/>
      </c>
      <c r="J357" s="298" t="str">
        <f>IFERROR('Inputs Yr 2'!K357*G357,"")</f>
        <v/>
      </c>
      <c r="K357" s="298" t="str">
        <f t="shared" si="173"/>
        <v/>
      </c>
      <c r="L357" s="194" t="str">
        <f>IFERROR(('Inputs Yr 2'!W357*G357)/1000,"")</f>
        <v/>
      </c>
      <c r="M357" s="194" t="str">
        <f>IFERROR(L357*('Inputs Yr 2'!$Q357*'Inputs Yr 2'!$V357*'Inputs Yr 2'!$R357),"")</f>
        <v/>
      </c>
      <c r="N357" s="194" t="str">
        <f t="shared" si="174"/>
        <v/>
      </c>
      <c r="O357" s="194" t="str">
        <f>IFERROR(M357*'Inputs Yr 2'!P357,"")</f>
        <v/>
      </c>
      <c r="P357" s="194" t="str">
        <f t="shared" si="175"/>
        <v/>
      </c>
      <c r="Q357" s="194" t="str">
        <f>IFERROR($P357*'Inputs Yr 2'!AA357,"")</f>
        <v/>
      </c>
      <c r="R357" s="194" t="str">
        <f>IFERROR($P357*'Inputs Yr 2'!AB357,"")</f>
        <v/>
      </c>
      <c r="S357" s="194" t="str">
        <f>IFERROR($P357*'Inputs Yr 2'!AC357,"")</f>
        <v/>
      </c>
      <c r="T357" s="194" t="str">
        <f>IFERROR($P357*'Inputs Yr 2'!AD357,"")</f>
        <v/>
      </c>
      <c r="U357" s="194" t="str">
        <f>IFERROR(G357*'Inputs Yr 2'!$AE357*'Inputs Yr 2'!$P357*'Inputs Yr 2'!$Q357,"")</f>
        <v/>
      </c>
      <c r="V357" s="194" t="str">
        <f>IFERROR($G357*'Inputs Yr 2'!$AE357*'Inputs Yr 2'!$AG357*'Inputs Yr 2'!Q357*'Inputs Yr 2'!$S357,"")</f>
        <v/>
      </c>
      <c r="W357" s="194" t="str">
        <f>IFERROR($G357*'Inputs Yr 2'!$AE357*'Inputs Yr 2'!$AG357*'Inputs Yr 2'!P357*'Inputs Yr 2'!Q357*'Inputs Yr 2'!$S357,"")</f>
        <v/>
      </c>
      <c r="X357" s="194" t="str">
        <f>IFERROR($G357*'Inputs Yr 2'!$AE357*'Inputs Yr 2'!$AF357*'Inputs Yr 2'!Q357*'Inputs Yr 2'!$T357,"")</f>
        <v/>
      </c>
      <c r="Y357" s="194" t="str">
        <f>IFERROR($G357*'Inputs Yr 2'!$AE357*'Inputs Yr 2'!$AF357*'Inputs Yr 2'!P357*'Inputs Yr 2'!Q357*'Inputs Yr 2'!$T357,"")</f>
        <v/>
      </c>
      <c r="Z357" s="257">
        <f>IFERROR($G357*'Inputs Yr 2'!$Q357*'Inputs Yr 2'!$U357*(IF(IFERROR(SEARCH("NG", 'Inputs Yr 2'!$AJ357),0),'Inputs Yr 2'!$AK357,0)+IF(IFERROR(SEARCH("NG", 'Inputs Yr 2'!$AL357),0),'Inputs Yr 2'!$AM357,0)+IF(IFERROR(SEARCH("NG", 'Inputs Yr 2'!$AN357),0),'Inputs Yr 2'!$AO357,0)),0)</f>
        <v>0</v>
      </c>
      <c r="AA357" s="257">
        <f t="shared" si="176"/>
        <v>0</v>
      </c>
      <c r="AB357" s="257">
        <f>IFERROR(Z357*'Inputs Yr 2'!$P357,0)</f>
        <v>0</v>
      </c>
      <c r="AC357" s="257">
        <f t="shared" si="177"/>
        <v>0</v>
      </c>
      <c r="AD357" s="257">
        <f>IFERROR($G357*'Inputs Yr 2'!$Q357*'Inputs Yr 2'!$U357*(IF(IFERROR(SEARCH("Oil", 'Inputs Yr 2'!$AJ357), 0),'Inputs Yr 2'!$AK357,0)+IF(IFERROR(SEARCH("Oil", 'Inputs Yr 2'!$AL357), 0),'Inputs Yr 2'!$AM357,0)+IF(IFERROR(SEARCH("Oil", 'Inputs Yr 2'!$AN357), 0),'Inputs Yr 2'!$AO357,0)),0)</f>
        <v>0</v>
      </c>
      <c r="AE357" s="257">
        <f t="shared" si="178"/>
        <v>0</v>
      </c>
      <c r="AF357" s="257">
        <f>IFERROR(AD357*'Inputs Yr 2'!$P357,0)</f>
        <v>0</v>
      </c>
      <c r="AG357" s="257">
        <f t="shared" si="179"/>
        <v>0</v>
      </c>
      <c r="AH357" s="257">
        <f>IFERROR($G357*'Inputs Yr 2'!$Q357*'Inputs Yr 2'!$U357*(IF('Inputs Yr 2'!$AJ357=CD$4,'Inputs Yr 2'!$AK357,IF('Inputs Yr 2'!$AL357=CD$4,'Inputs Yr 2'!$AM357,IF('Inputs Yr 2'!$AN357=CD$4,'Inputs Yr 2'!$AO357,0)))),0)</f>
        <v>0</v>
      </c>
      <c r="AI357" s="257">
        <f t="shared" si="180"/>
        <v>0</v>
      </c>
      <c r="AJ357" s="257">
        <f>IFERROR(AH357*'Inputs Yr 2'!$P357,0)</f>
        <v>0</v>
      </c>
      <c r="AK357" s="257">
        <f t="shared" si="181"/>
        <v>0</v>
      </c>
      <c r="AL357" s="258">
        <f>IFERROR($G357*'Inputs Yr 2'!$P357*'Inputs Yr 2'!$Q357*'Inputs Yr 2'!AP357,0)</f>
        <v>0</v>
      </c>
      <c r="AM357" s="260">
        <f>IFERROR($G357*'Inputs Yr 2'!$P357*'Inputs Yr 2'!$Q357*'Inputs Yr 2'!AQ357,0)</f>
        <v>0</v>
      </c>
      <c r="AN357" s="258">
        <f>IFERROR($G357*'Inputs Yr 2'!$P357*'Inputs Yr 2'!$Q357*'Inputs Yr 2'!AR357,0)</f>
        <v>0</v>
      </c>
      <c r="AO357" s="257">
        <f t="shared" si="182"/>
        <v>0</v>
      </c>
      <c r="AP357" s="195" t="str">
        <f>IFERROR($CQ357*(INDEX(avoidedcosttbl2,$H357,AP$2)+(($H357-ROUNDDOWN($H357,0))*(INDEX(avoidedcosttbl2,ROUNDUP($H357,0),AP$2)-(INDEX(avoidedcosttbl2,ROUNDDOWN($H357,0),AP$2)))))*$O357*1000*'Inputs Yr 2'!AA357,"")</f>
        <v/>
      </c>
      <c r="AQ357" s="195" t="str">
        <f>IFERROR($CR357*(INDEX(avoidedcosttbl2,$H357,AQ$2)+(($H357-ROUNDDOWN($H357,0))*(INDEX(avoidedcosttbl2,ROUNDUP($H357,0),AQ$2)-(INDEX(avoidedcosttbl2,ROUNDDOWN($H357,0),AQ$2)))))*$O357*1000*'Inputs Yr 2'!AB357,"")</f>
        <v/>
      </c>
      <c r="AR357" s="195" t="str">
        <f>IFERROR($CS357*(INDEX(avoidedcosttbl2,$H357,AR$2)+(($H357-ROUNDDOWN($H357,0))*(INDEX(avoidedcosttbl2,ROUNDUP($H357,0),AR$2)-(INDEX(avoidedcosttbl2,ROUNDDOWN($H357,0),AR$2)))))*$O357*1000*'Inputs Yr 2'!AC357,"")</f>
        <v/>
      </c>
      <c r="AS357" s="195" t="str">
        <f>IFERROR($CT357*(INDEX(avoidedcosttbl2,$H357,AS$2)+(($H357-ROUNDDOWN($H357,0))*(INDEX(avoidedcosttbl2,ROUNDUP($H357,0),AS$2)-(INDEX(avoidedcosttbl2,ROUNDDOWN($H357,0),AS$2)))))*$O357*1000*'Inputs Yr 2'!AD357,"")</f>
        <v/>
      </c>
      <c r="AT357" s="196">
        <f t="shared" si="183"/>
        <v>0</v>
      </c>
      <c r="AU357" s="197" t="str">
        <f>IFERROR($CQ357*((INDEX(avoidedcosttbl2,$H357,AU$2))+(($H357-ROUNDDOWN($H357,0))*((INDEX(avoidedcosttbl2,ROUNDUP($H357,0),AU$2))-(INDEX(avoidedcosttbl2,ROUNDDOWN($H357,0),AU$2)))))*$O357*1000*'Inputs Yr 2'!AA357,"")</f>
        <v/>
      </c>
      <c r="AV357" s="197" t="str">
        <f>IFERROR($CR357*((INDEX(avoidedcosttbl2,$H357,AV$2))+(($H357-ROUNDDOWN($H357,0))*((INDEX(avoidedcosttbl2,ROUNDUP($H357,0),AV$2))-(INDEX(avoidedcosttbl2,ROUNDDOWN($H357,0),AV$2)))))*$O357*1000*'Inputs Yr 2'!AB357,"")</f>
        <v/>
      </c>
      <c r="AW357" s="197" t="str">
        <f>IFERROR($CS357*((INDEX(avoidedcosttbl2,$H357,AW$2))+(($H357-ROUNDDOWN($H357,0))*((INDEX(avoidedcosttbl2,ROUNDUP($H357,0),AW$2))-(INDEX(avoidedcosttbl2,ROUNDDOWN($H357,0),AW$2)))))*$O357*1000*'Inputs Yr 2'!AC357,"")</f>
        <v/>
      </c>
      <c r="AX357" s="197" t="str">
        <f>IFERROR($CT357*((INDEX(avoidedcosttbl2,$H357,AX$2))+(($H357-ROUNDDOWN($H357,0))*((INDEX(avoidedcosttbl2,ROUNDUP($H357,0),AX$2))-(INDEX(avoidedcosttbl2,ROUNDDOWN($H357,0),AX$2)))))*$O357*1000*'Inputs Yr 2'!AD357,"")</f>
        <v/>
      </c>
      <c r="AY357" s="197" t="str">
        <f>IFERROR(((INDEX(avoidedcosttbl2,$H357,AY$2))+(($H357-ROUNDDOWN($H357,0))*((INDEX(avoidedcosttbl2,ROUNDUP($H357,0),AY$2))-(INDEX(avoidedcosttbl2,ROUNDDOWN($H357,0),AY$2)))))*$O357*1000*('Inputs Yr 2'!AC357+'Inputs Yr 2'!AD357),"")</f>
        <v/>
      </c>
      <c r="AZ357" s="197" t="str">
        <f>IFERROR(((INDEX(avoidedcosttbl2,$H357,AZ$2))+(($H357-ROUNDDOWN($H357,0))*((INDEX(avoidedcosttbl2,ROUNDUP($H357,0),AZ$2))-(INDEX(avoidedcosttbl2,ROUNDDOWN($H357,0),AZ$2)))))*$O357*1000*('Inputs Yr 2'!AA357+'Inputs Yr 2'!AB357),"")</f>
        <v/>
      </c>
      <c r="BA357" s="198">
        <f t="shared" si="184"/>
        <v>0</v>
      </c>
      <c r="BB357" s="198">
        <f t="shared" si="185"/>
        <v>0</v>
      </c>
      <c r="BC357" s="195" t="str">
        <f t="shared" si="167"/>
        <v/>
      </c>
      <c r="BD357" s="195" t="str">
        <f t="shared" si="168"/>
        <v/>
      </c>
      <c r="BE357" s="195" t="str">
        <f t="shared" si="169"/>
        <v/>
      </c>
      <c r="BF357" s="195" t="str">
        <f t="shared" si="170"/>
        <v/>
      </c>
      <c r="BG357" s="195" t="str">
        <f t="shared" si="171"/>
        <v/>
      </c>
      <c r="BH357" s="196">
        <f t="shared" si="186"/>
        <v>0</v>
      </c>
      <c r="BI357" s="196">
        <f t="shared" si="187"/>
        <v>0</v>
      </c>
      <c r="BJ357" s="195" t="str">
        <f>IFERROR($G357*(IF('Inputs Yr 2'!$AJ357=BJ$4,'Inputs Yr 2'!$AK357,IF('Inputs Yr 2'!$AL357=BJ$4,'Inputs Yr 2'!$AM357,IF('Inputs Yr 2'!$AN357=BJ$4,'Inputs Yr 2'!$AO357,0))))*(INDEX(avoidedcosttbl2,$H357,BJ$2)+(($H357-ROUNDDOWN($H357,0))*(INDEX(avoidedcosttbl2,ROUNDUP($H357,0),BJ$2)-(INDEX(avoidedcosttbl2,ROUNDDOWN($H357,0),BJ$2)))))*'Inputs Yr 2'!P357*'Inputs Yr 2'!Q357*'Inputs Yr 2'!U357,"")</f>
        <v/>
      </c>
      <c r="BK357" s="195" t="str">
        <f>IFERROR($G357*(IF('Inputs Yr 2'!$AJ357=BK$4,'Inputs Yr 2'!$AK357,IF('Inputs Yr 2'!$AL357=BK$4,'Inputs Yr 2'!$AM357,IF('Inputs Yr 2'!$AN357=BK$4,'Inputs Yr 2'!$AO357,0))))*(INDEX(avoidedcosttbl2,$H357,BK$2)+(($H357-ROUNDDOWN($H357,0))*(INDEX(avoidedcosttbl2,ROUNDUP($H357,0),BK$2)-(INDEX(avoidedcosttbl2,ROUNDDOWN($H357,0),BK$2)))))*'Inputs Yr 2'!P357*'Inputs Yr 2'!Q357*'Inputs Yr 2'!U357,"")</f>
        <v/>
      </c>
      <c r="BL357" s="195" t="str">
        <f>IFERROR($G357*(IF('Inputs Yr 2'!$AJ357=BL$4,'Inputs Yr 2'!$AK357,IF('Inputs Yr 2'!$AL357=BL$4,'Inputs Yr 2'!$AM357,IF('Inputs Yr 2'!$AN357=BL$4,'Inputs Yr 2'!$AO357,0))))*(INDEX(avoidedcosttbl2,$H357,BL$2)+(($H357-ROUNDDOWN($H357,0))*(INDEX(avoidedcosttbl2,ROUNDUP($H357,0),BL$2)-(INDEX(avoidedcosttbl2,ROUNDDOWN($H357,0),BL$2)))))*'Inputs Yr 2'!P357*'Inputs Yr 2'!Q357*'Inputs Yr 2'!U357,"")</f>
        <v/>
      </c>
      <c r="BM357" s="195" t="str">
        <f>IFERROR($G357*(IF('Inputs Yr 2'!$AJ357=BM$4,'Inputs Yr 2'!$AK357,IF('Inputs Yr 2'!$AL357=BM$4,'Inputs Yr 2'!$AM357,IF('Inputs Yr 2'!$AN357=BM$4,'Inputs Yr 2'!$AO357,0))))*(INDEX(avoidedcosttbl2,$H357,BM$2)+(($H357-ROUNDDOWN($H357,0))*(INDEX(avoidedcosttbl2,ROUNDUP($H357,0),BM$2)-(INDEX(avoidedcosttbl2,ROUNDDOWN($H357,0),BM$2)))))*'Inputs Yr 2'!P357*'Inputs Yr 2'!Q357*'Inputs Yr 2'!U357,"")</f>
        <v/>
      </c>
      <c r="BN357" s="195" t="str">
        <f>IFERROR($G357*(IF('Inputs Yr 2'!$AJ357=BN$4,'Inputs Yr 2'!$AK357,IF('Inputs Yr 2'!$AL357=BN$4,'Inputs Yr 2'!$AM357,IF('Inputs Yr 2'!$AN357=BN$4,'Inputs Yr 2'!$AO357,0))))*(INDEX(avoidedcosttbl2,$H357,BN$2)+(($H357-ROUNDDOWN($H357,0))*(INDEX(avoidedcosttbl2,ROUNDUP($H357,0),BN$2)-(INDEX(avoidedcosttbl2,ROUNDDOWN($H357,0),BN$2)))))*'Inputs Yr 2'!P357*'Inputs Yr 2'!Q357*'Inputs Yr 2'!U357,"")</f>
        <v/>
      </c>
      <c r="BO357" s="195" t="str">
        <f>IFERROR($G357*(IF('Inputs Yr 2'!$AJ357=BO$4,'Inputs Yr 2'!$AK357,IF('Inputs Yr 2'!$AL357=BO$4,'Inputs Yr 2'!$AM357,IF('Inputs Yr 2'!$AN357=BO$4,'Inputs Yr 2'!$AO357,0))))*(INDEX(avoidedcosttbl2,$H357,BO$2)+(($H357-ROUNDDOWN($H357,0))*(INDEX(avoidedcosttbl2,ROUNDUP($H357,0),BO$2)-(INDEX(avoidedcosttbl2,ROUNDDOWN($H357,0),BO$2)))))*'Inputs Yr 2'!P357*'Inputs Yr 2'!Q357*'Inputs Yr 2'!U357,"")</f>
        <v/>
      </c>
      <c r="BP357" s="195" t="str">
        <f>IFERROR($G357*(IF('Inputs Yr 2'!$AJ357=BP$4,'Inputs Yr 2'!$AK357,IF('Inputs Yr 2'!$AL357=BP$4,'Inputs Yr 2'!$AM357,IF('Inputs Yr 2'!$AN357=BP$4,'Inputs Yr 2'!$AO357,0))))*(INDEX(avoidedcosttbl2,$H357,BP$2)+(($H357-ROUNDDOWN($H357,0))*(INDEX(avoidedcosttbl2,ROUNDUP($H357,0),BP$2)-(INDEX(avoidedcosttbl2,ROUNDDOWN($H357,0),BP$2)))))*'Inputs Yr 2'!P357*'Inputs Yr 2'!Q357*'Inputs Yr 2'!U357,"")</f>
        <v/>
      </c>
      <c r="BQ357" s="230">
        <f t="shared" si="188"/>
        <v>0</v>
      </c>
      <c r="BR357" s="197" t="str">
        <f t="shared" si="172"/>
        <v/>
      </c>
      <c r="BS357" s="197" t="str">
        <f>IFERROR(($G357*IF('Inputs Yr 2'!$AJ357=BM$4,'Inputs Yr 2'!$AK357,IF('Inputs Yr 2'!$AL357=BM$4,'Inputs Yr 2'!$AM357,IF('Inputs Yr 2'!$AN357=BM$4,'Inputs Yr 2'!$AO357,0))))*(INDEX(avoidedcosttbl2,$H357,BS$2)+(($H357-ROUNDDOWN($H357,0))*(INDEX(avoidedcosttbl2,ROUNDUP($H357,0),BS$2)-(INDEX(avoidedcosttbl2,ROUNDDOWN($H357,0),BS$2)))))*'Inputs Yr 2'!P357*'Inputs Yr 2'!Q357*'Inputs Yr 2'!U357,"")</f>
        <v/>
      </c>
      <c r="BT357" s="197" t="str">
        <f>IFERROR(($G357*IF('Inputs Yr 2'!$AJ357=BK$4,'Inputs Yr 2'!$AK357,IF('Inputs Yr 2'!$AL357=BK$4,'Inputs Yr 2'!$AM357,IF('Inputs Yr 2'!$AN357=BK$4,'Inputs Yr 2'!$AO357,0))))*(INDEX(avoidedcosttbl2,$H357,BT$2)+(($H357-ROUNDDOWN($H357,0))*(INDEX(avoidedcosttbl2,ROUNDUP($H357,0),BT$2)-(INDEX(avoidedcosttbl2,ROUNDDOWN($H357,0),BT$2)))))*'Inputs Yr 2'!P357*'Inputs Yr 2'!Q357*'Inputs Yr 2'!U357,"")</f>
        <v/>
      </c>
      <c r="BU357" s="197" t="str">
        <f>IFERROR(($G357*IF('Inputs Yr 2'!$AJ357=BL$4,'Inputs Yr 2'!$AK357,IF('Inputs Yr 2'!$AL357=BL$4,'Inputs Yr 2'!$AM357,IF('Inputs Yr 2'!$AN357=BL$4,'Inputs Yr 2'!$AO357,0))))*(INDEX(avoidedcosttbl2,$H357,BU$2)+(($H357-ROUNDDOWN($H357,0))*(INDEX(avoidedcosttbl2,ROUNDUP($H357,0),BU$2)-(INDEX(avoidedcosttbl2,ROUNDDOWN($H357,0),BU$2)))))*'Inputs Yr 2'!P357*'Inputs Yr 2'!Q357*'Inputs Yr 2'!U357,"")</f>
        <v/>
      </c>
      <c r="BV357" s="775" t="str">
        <f>IFERROR(($G357*IF('Inputs Yr 2'!$AJ357=BJ$4,'Inputs Yr 2'!$AK357,IF('Inputs Yr 2'!$AL357=BJ$4,'Inputs Yr 2'!$AM357,IF('Inputs Yr 2'!$AN357=BJ$4,'Inputs Yr 2'!$AO357,0))))*(INDEX(avoidedcosttbl2,$H357,BV$2)+(($H357-ROUNDDOWN($H357,0))*(INDEX(avoidedcosttbl2,ROUNDUP($H357,0),BV$2)-(INDEX(avoidedcosttbl2,ROUNDDOWN($H357,0),BV$2)))))*'Inputs Yr 2'!P357*'Inputs Yr 2'!Q357*'Inputs Yr 2'!U357,"")</f>
        <v/>
      </c>
      <c r="BW357" s="197" t="str">
        <f>IFERROR(($G357*IF('Inputs Yr 2'!$AJ357=BN$4,'Inputs Yr 2'!$AK357,IF('Inputs Yr 2'!$AL357=BN$4,'Inputs Yr 2'!$AM357,IF('Inputs Yr 2'!$AN357=BN$4,'Inputs Yr 2'!$AO357,0))))*(INDEX(avoidedcosttbl2,$H357,BW$2)+(($H357-ROUNDDOWN($H357,0))*(INDEX(avoidedcosttbl2,ROUNDUP($H357,0),BW$2)-(INDEX(avoidedcosttbl2,ROUNDDOWN($H357,0),BW$2)))))*'Inputs Yr 2'!P357*'Inputs Yr 2'!Q357*'Inputs Yr 2'!U357,"")</f>
        <v/>
      </c>
      <c r="BX357" s="197" t="str">
        <f>IFERROR(($G357*IF('Inputs Yr 2'!$AJ357=BO$4,'Inputs Yr 2'!$AK357,IF('Inputs Yr 2'!$AL357=BO$4,'Inputs Yr 2'!$AM357,IF('Inputs Yr 2'!$AN357=BO$4,'Inputs Yr 2'!$AO357,0))))*(INDEX(avoidedcosttbl2,$H357,BX$2)+(($H357-ROUNDDOWN($H357,0))*(INDEX(avoidedcosttbl2,ROUNDUP($H357,0),BX$2)-(INDEX(avoidedcosttbl2,ROUNDDOWN($H357,0),BX$2)))))*'Inputs Yr 2'!P357*'Inputs Yr 2'!Q357*'Inputs Yr 2'!U357,"")</f>
        <v/>
      </c>
      <c r="BY357" s="197" t="str">
        <f>IFERROR(($G357*IF('Inputs Yr 2'!$AJ357=BP$4,'Inputs Yr 2'!$AK357,IF('Inputs Yr 2'!$AL357=BP$4,'Inputs Yr 2'!$AM357,IF('Inputs Yr 2'!$AN357=BP$4,'Inputs Yr 2'!$AO357,0))))*(INDEX(avoidedcosttbl2,$H357,BY$2)+(($H357-ROUNDDOWN($H357,0))*(INDEX(avoidedcosttbl2,ROUNDUP($H357,0),BY$2)-(INDEX(avoidedcosttbl2,ROUNDDOWN($H357,0),BY$2)))))*'Inputs Yr 2'!P357*'Inputs Yr 2'!Q357*'Inputs Yr 2'!U357,"")</f>
        <v/>
      </c>
      <c r="BZ357" s="193">
        <f t="shared" si="189"/>
        <v>0</v>
      </c>
      <c r="CA357" s="193">
        <f t="shared" si="190"/>
        <v>0</v>
      </c>
      <c r="CB357" s="195" t="str">
        <f>IFERROR(G357*(IF('Inputs Yr 2'!$AJ357=CB$4,'Inputs Yr 2'!$AK357,IF('Inputs Yr 2'!$AL357=CB$4,'Inputs Yr 2'!$AM357,IF('Inputs Yr 2'!$AN357=CB$4,'Inputs Yr 2'!$AO357,0))))*(INDEX(avoidedcosttbl2,$H357,CB$2)+(($H357-ROUNDDOWN($H357,0))*(INDEX(avoidedcosttbl2,ROUNDUP($H357,0),CB$2)-(INDEX(avoidedcosttbl2,ROUNDDOWN($H357,0),CB$2)))))*'Inputs Yr 2'!P357*'Inputs Yr 2'!Q357*'Inputs Yr 2'!U357,"")</f>
        <v/>
      </c>
      <c r="CC357" s="195" t="str">
        <f>IFERROR(H357*(IF('Inputs Yr 2'!$AJ357=CC$4,'Inputs Yr 2'!$AK357,IF('Inputs Yr 2'!$AL357=CC$4,'Inputs Yr 2'!$AM357,IF('Inputs Yr 2'!$AN357=CC$4,'Inputs Yr 2'!$AO357,0))))*(INDEX(avoidedcosttbl2,$H357,CC$2)+(($H357-ROUNDDOWN($H357,0))*(INDEX(avoidedcosttbl2,ROUNDUP($H357,0),CC$2)-(INDEX(avoidedcosttbl2,ROUNDDOWN($H357,0),CC$2)))))*'Inputs Yr 2'!Q357*'Inputs Yr 2'!R357*'Inputs Yr 2'!V357,"")</f>
        <v/>
      </c>
      <c r="CD357" s="195" t="str">
        <f>IFERROR(I357*(IF('Inputs Yr 2'!$AJ357=CD$4,'Inputs Yr 2'!$AK357,IF('Inputs Yr 2'!$AL357=CD$4,'Inputs Yr 2'!$AM357,IF('Inputs Yr 2'!$AN357=CD$4,'Inputs Yr 2'!$AO357,0))))*(INDEX(avoidedcosttbl2,$H357,CD$2)+(($H357-ROUNDDOWN($H357,0))*(INDEX(avoidedcosttbl2,ROUNDUP($H357,0),CD$2)-(INDEX(avoidedcosttbl2,ROUNDDOWN($H357,0),CD$2)))))*'Inputs Yr 2'!R357*'Inputs Yr 2'!S357*'Inputs Yr 2'!W357,"")</f>
        <v/>
      </c>
      <c r="CE357" s="213" t="str">
        <f t="shared" si="191"/>
        <v/>
      </c>
      <c r="CF357" s="213" t="str">
        <f t="shared" si="192"/>
        <v/>
      </c>
      <c r="CG357" s="213" t="str">
        <f t="shared" si="193"/>
        <v/>
      </c>
      <c r="CH357" s="698">
        <f t="shared" si="194"/>
        <v>0</v>
      </c>
      <c r="CI357" s="79" t="str">
        <f>IFERROR(($G357*'Inputs Yr 2'!$P357*'Inputs Yr 2'!$Q357*(((INDEX(avoidedcosttbl2,$H357,CI$2)+(($H357-ROUNDDOWN($H357,0))*(INDEX(avoidedcosttbl2,ROUNDUP($H357,0),CI$2)-INDEX(avoidedcosttbl2,ROUNDDOWN($H357,0),CI$2))))*'Inputs Yr 2'!AS357))),"")</f>
        <v/>
      </c>
      <c r="CJ357" s="504" t="str">
        <f>IFERROR($G357*'Inputs Yr 2'!AT357*'Inputs Yr 2'!$P357*'Inputs Yr 2'!$Q357/((1+realdiscrt1)^-0.5),"")</f>
        <v/>
      </c>
      <c r="CK357" s="79" t="str">
        <f>IFERROR((O357*1000*(((INDEX(avoidedcosttbl2,$H357,CK$2)+(($H357-ROUNDDOWN($H357,0))*(INDEX(avoidedcosttbl2,ROUNDUP($H357,0),CK$2)-INDEX(avoidedcosttbl2,ROUNDDOWN($H357,0),CK$2))))*'Inputs Yr 2'!AU357))),"")</f>
        <v/>
      </c>
      <c r="CL357" s="504" t="str">
        <f>IFERROR(O357*1000*'Inputs Yr 2'!AV357/((1+realdiscrt1)^-0.5),"")</f>
        <v/>
      </c>
      <c r="CM357" s="79" t="str">
        <f>IFERROR((AB357*'Inputs Yr 2'!AW357*(((INDEX(avoidedcosttbl2,$H357,CM$2)+(($H357-ROUNDDOWN($H357,0))*(INDEX(avoidedcosttbl2,ROUNDUP($H357,0),CM$2)-INDEX(avoidedcosttbl2,ROUNDDOWN($H357,0),CM$2)))))))*10,"")</f>
        <v/>
      </c>
      <c r="CN357" s="504">
        <f>IFERROR(10*AB357*'Inputs Yr 2'!AX357/((1+realdiscrt1)^-0.5),"")</f>
        <v>0</v>
      </c>
      <c r="CO357" s="505">
        <f t="shared" si="195"/>
        <v>0</v>
      </c>
      <c r="CP357" s="230">
        <f t="shared" si="196"/>
        <v>0</v>
      </c>
      <c r="CQ357" s="199">
        <f>ROUND(IFERROR(IF(LEFT($A357,1)="C",'Avoided Costs'!$K$13,'Avoided Costs'!$K$12)+1,""),4)</f>
        <v>1.0720000000000001</v>
      </c>
      <c r="CR357" s="199">
        <f>ROUND(IFERROR(IF(LEFT($A357,1)="C",'Avoided Costs'!$L$13,'Avoided Costs'!$L$12)+1,""),4)</f>
        <v>1.04</v>
      </c>
      <c r="CS357" s="199">
        <f>ROUND(IFERROR(IF(LEFT($A357,1)="C",'Avoided Costs'!$M$13,'Avoided Costs'!$M$12)+1,""),4)</f>
        <v>1.0720000000000001</v>
      </c>
      <c r="CT357" s="199">
        <f>ROUND(IFERROR(IF(LEFT($A357,1)="C",'Avoided Costs'!$N$13,'Avoided Costs'!$N$12)+1,""),4)</f>
        <v>1.04</v>
      </c>
      <c r="CU357" s="199">
        <f>ROUND(IFERROR(IF(LEFT($A357,1)="C",'Avoided Costs'!$O$13,'Avoided Costs'!$O$12)+1,""),4)</f>
        <v>1.1120000000000001</v>
      </c>
      <c r="CV357" s="199">
        <f>ROUND(IFERROR(IF(LEFT($A357,1)="C",'Avoided Costs'!$P$13,'Avoided Costs'!$P$12)+1,""),4)</f>
        <v>1.095</v>
      </c>
      <c r="CW357" s="199">
        <f>ROUND(IFERROR(IF(LEFT($A357,1)="C",'Avoided Costs'!$Q$13,'Avoided Costs'!$Q$12)+1,""),4)</f>
        <v>1.1120000000000001</v>
      </c>
      <c r="CX357" s="200">
        <f>ROUND(IFERROR(IF(LEFT($A357,1)="C",'Avoided Costs'!$R$13,'Avoided Costs'!$R$12)+1,""),4)</f>
        <v>1.1120000000000001</v>
      </c>
    </row>
    <row r="358" spans="1:102" s="128" customFormat="1" ht="12.75" customHeight="1">
      <c r="A358" s="91" t="str">
        <f>IF('Inputs Yr 2'!$B395=0,"",'Inputs Yr 2'!A395)</f>
        <v/>
      </c>
      <c r="B358" s="91" t="str">
        <f>IF('Inputs Yr 2'!$B395=0,"",'Inputs Yr 2'!B395)</f>
        <v/>
      </c>
      <c r="C358" s="91" t="str">
        <f>IF('Inputs Yr 2'!$B358=0,"",'Inputs Yr 2'!C358)</f>
        <v/>
      </c>
      <c r="D358" s="91" t="str">
        <f>IF('Inputs Yr 2'!$B358=0,"",'Inputs Yr 2'!E358)</f>
        <v/>
      </c>
      <c r="E358" s="93" t="str">
        <f>IF('Inputs Yr 2'!$B358=0,"",'Inputs Yr 2'!F358)</f>
        <v/>
      </c>
      <c r="F358" s="93" t="str">
        <f>IF('Inputs Yr 2'!$B358=0,"",'Inputs Yr 2'!G358)</f>
        <v/>
      </c>
      <c r="G358" s="95" t="str">
        <f>IF('Inputs Yr 2'!$H358&lt;&gt;0,('Inputs Yr 2'!H358),"")</f>
        <v/>
      </c>
      <c r="H358" s="94">
        <f>IFERROR('Inputs Yr 2'!I358,"")</f>
        <v>0</v>
      </c>
      <c r="I358" s="298" t="str">
        <f>IFERROR('Inputs Yr 2'!J358*'Inputs Yr 2'!P358*G358,"")</f>
        <v/>
      </c>
      <c r="J358" s="298" t="str">
        <f>IFERROR('Inputs Yr 2'!K358*G358,"")</f>
        <v/>
      </c>
      <c r="K358" s="298" t="str">
        <f t="shared" si="173"/>
        <v/>
      </c>
      <c r="L358" s="194" t="str">
        <f>IFERROR(('Inputs Yr 2'!W358*G358)/1000,"")</f>
        <v/>
      </c>
      <c r="M358" s="194" t="str">
        <f>IFERROR(L358*('Inputs Yr 2'!$Q358*'Inputs Yr 2'!$V358*'Inputs Yr 2'!$R358),"")</f>
        <v/>
      </c>
      <c r="N358" s="194" t="str">
        <f t="shared" si="174"/>
        <v/>
      </c>
      <c r="O358" s="194" t="str">
        <f>IFERROR(M358*'Inputs Yr 2'!P358,"")</f>
        <v/>
      </c>
      <c r="P358" s="194" t="str">
        <f t="shared" si="175"/>
        <v/>
      </c>
      <c r="Q358" s="194" t="str">
        <f>IFERROR($P358*'Inputs Yr 2'!AA358,"")</f>
        <v/>
      </c>
      <c r="R358" s="194" t="str">
        <f>IFERROR($P358*'Inputs Yr 2'!AB358,"")</f>
        <v/>
      </c>
      <c r="S358" s="194" t="str">
        <f>IFERROR($P358*'Inputs Yr 2'!AC358,"")</f>
        <v/>
      </c>
      <c r="T358" s="194" t="str">
        <f>IFERROR($P358*'Inputs Yr 2'!AD358,"")</f>
        <v/>
      </c>
      <c r="U358" s="194" t="str">
        <f>IFERROR(G358*'Inputs Yr 2'!$AE358*'Inputs Yr 2'!$P358*'Inputs Yr 2'!$Q358,"")</f>
        <v/>
      </c>
      <c r="V358" s="194" t="str">
        <f>IFERROR($G358*'Inputs Yr 2'!$AE358*'Inputs Yr 2'!$AG358*'Inputs Yr 2'!Q358*'Inputs Yr 2'!$S358,"")</f>
        <v/>
      </c>
      <c r="W358" s="194" t="str">
        <f>IFERROR($G358*'Inputs Yr 2'!$AE358*'Inputs Yr 2'!$AG358*'Inputs Yr 2'!P358*'Inputs Yr 2'!Q358*'Inputs Yr 2'!$S358,"")</f>
        <v/>
      </c>
      <c r="X358" s="194" t="str">
        <f>IFERROR($G358*'Inputs Yr 2'!$AE358*'Inputs Yr 2'!$AF358*'Inputs Yr 2'!Q358*'Inputs Yr 2'!$T358,"")</f>
        <v/>
      </c>
      <c r="Y358" s="194" t="str">
        <f>IFERROR($G358*'Inputs Yr 2'!$AE358*'Inputs Yr 2'!$AF358*'Inputs Yr 2'!P358*'Inputs Yr 2'!Q358*'Inputs Yr 2'!$T358,"")</f>
        <v/>
      </c>
      <c r="Z358" s="257">
        <f>IFERROR($G358*'Inputs Yr 2'!$Q358*'Inputs Yr 2'!$U358*(IF(IFERROR(SEARCH("NG", 'Inputs Yr 2'!$AJ358),0),'Inputs Yr 2'!$AK358,0)+IF(IFERROR(SEARCH("NG", 'Inputs Yr 2'!$AL358),0),'Inputs Yr 2'!$AM358,0)+IF(IFERROR(SEARCH("NG", 'Inputs Yr 2'!$AN358),0),'Inputs Yr 2'!$AO358,0)),0)</f>
        <v>0</v>
      </c>
      <c r="AA358" s="257">
        <f t="shared" si="176"/>
        <v>0</v>
      </c>
      <c r="AB358" s="257">
        <f>IFERROR(Z358*'Inputs Yr 2'!$P358,0)</f>
        <v>0</v>
      </c>
      <c r="AC358" s="257">
        <f t="shared" si="177"/>
        <v>0</v>
      </c>
      <c r="AD358" s="257">
        <f>IFERROR($G358*'Inputs Yr 2'!$Q358*'Inputs Yr 2'!$U358*(IF(IFERROR(SEARCH("Oil", 'Inputs Yr 2'!$AJ358), 0),'Inputs Yr 2'!$AK358,0)+IF(IFERROR(SEARCH("Oil", 'Inputs Yr 2'!$AL358), 0),'Inputs Yr 2'!$AM358,0)+IF(IFERROR(SEARCH("Oil", 'Inputs Yr 2'!$AN358), 0),'Inputs Yr 2'!$AO358,0)),0)</f>
        <v>0</v>
      </c>
      <c r="AE358" s="257">
        <f t="shared" si="178"/>
        <v>0</v>
      </c>
      <c r="AF358" s="257">
        <f>IFERROR(AD358*'Inputs Yr 2'!$P358,0)</f>
        <v>0</v>
      </c>
      <c r="AG358" s="257">
        <f t="shared" si="179"/>
        <v>0</v>
      </c>
      <c r="AH358" s="257">
        <f>IFERROR($G358*'Inputs Yr 2'!$Q358*'Inputs Yr 2'!$U358*(IF('Inputs Yr 2'!$AJ358=CD$4,'Inputs Yr 2'!$AK358,IF('Inputs Yr 2'!$AL358=CD$4,'Inputs Yr 2'!$AM358,IF('Inputs Yr 2'!$AN358=CD$4,'Inputs Yr 2'!$AO358,0)))),0)</f>
        <v>0</v>
      </c>
      <c r="AI358" s="257">
        <f t="shared" si="180"/>
        <v>0</v>
      </c>
      <c r="AJ358" s="257">
        <f>IFERROR(AH358*'Inputs Yr 2'!$P358,0)</f>
        <v>0</v>
      </c>
      <c r="AK358" s="257">
        <f t="shared" si="181"/>
        <v>0</v>
      </c>
      <c r="AL358" s="258">
        <f>IFERROR($G358*'Inputs Yr 2'!$P358*'Inputs Yr 2'!$Q358*'Inputs Yr 2'!AP358,0)</f>
        <v>0</v>
      </c>
      <c r="AM358" s="260">
        <f>IFERROR($G358*'Inputs Yr 2'!$P358*'Inputs Yr 2'!$Q358*'Inputs Yr 2'!AQ358,0)</f>
        <v>0</v>
      </c>
      <c r="AN358" s="258">
        <f>IFERROR($G358*'Inputs Yr 2'!$P358*'Inputs Yr 2'!$Q358*'Inputs Yr 2'!AR358,0)</f>
        <v>0</v>
      </c>
      <c r="AO358" s="257">
        <f t="shared" si="182"/>
        <v>0</v>
      </c>
      <c r="AP358" s="195" t="str">
        <f>IFERROR($CQ358*(INDEX(avoidedcosttbl2,$H358,AP$2)+(($H358-ROUNDDOWN($H358,0))*(INDEX(avoidedcosttbl2,ROUNDUP($H358,0),AP$2)-(INDEX(avoidedcosttbl2,ROUNDDOWN($H358,0),AP$2)))))*$O358*1000*'Inputs Yr 2'!AA358,"")</f>
        <v/>
      </c>
      <c r="AQ358" s="195" t="str">
        <f>IFERROR($CR358*(INDEX(avoidedcosttbl2,$H358,AQ$2)+(($H358-ROUNDDOWN($H358,0))*(INDEX(avoidedcosttbl2,ROUNDUP($H358,0),AQ$2)-(INDEX(avoidedcosttbl2,ROUNDDOWN($H358,0),AQ$2)))))*$O358*1000*'Inputs Yr 2'!AB358,"")</f>
        <v/>
      </c>
      <c r="AR358" s="195" t="str">
        <f>IFERROR($CS358*(INDEX(avoidedcosttbl2,$H358,AR$2)+(($H358-ROUNDDOWN($H358,0))*(INDEX(avoidedcosttbl2,ROUNDUP($H358,0),AR$2)-(INDEX(avoidedcosttbl2,ROUNDDOWN($H358,0),AR$2)))))*$O358*1000*'Inputs Yr 2'!AC358,"")</f>
        <v/>
      </c>
      <c r="AS358" s="195" t="str">
        <f>IFERROR($CT358*(INDEX(avoidedcosttbl2,$H358,AS$2)+(($H358-ROUNDDOWN($H358,0))*(INDEX(avoidedcosttbl2,ROUNDUP($H358,0),AS$2)-(INDEX(avoidedcosttbl2,ROUNDDOWN($H358,0),AS$2)))))*$O358*1000*'Inputs Yr 2'!AD358,"")</f>
        <v/>
      </c>
      <c r="AT358" s="196">
        <f t="shared" si="183"/>
        <v>0</v>
      </c>
      <c r="AU358" s="197" t="str">
        <f>IFERROR($CQ358*((INDEX(avoidedcosttbl2,$H358,AU$2))+(($H358-ROUNDDOWN($H358,0))*((INDEX(avoidedcosttbl2,ROUNDUP($H358,0),AU$2))-(INDEX(avoidedcosttbl2,ROUNDDOWN($H358,0),AU$2)))))*$O358*1000*'Inputs Yr 2'!AA358,"")</f>
        <v/>
      </c>
      <c r="AV358" s="197" t="str">
        <f>IFERROR($CR358*((INDEX(avoidedcosttbl2,$H358,AV$2))+(($H358-ROUNDDOWN($H358,0))*((INDEX(avoidedcosttbl2,ROUNDUP($H358,0),AV$2))-(INDEX(avoidedcosttbl2,ROUNDDOWN($H358,0),AV$2)))))*$O358*1000*'Inputs Yr 2'!AB358,"")</f>
        <v/>
      </c>
      <c r="AW358" s="197" t="str">
        <f>IFERROR($CS358*((INDEX(avoidedcosttbl2,$H358,AW$2))+(($H358-ROUNDDOWN($H358,0))*((INDEX(avoidedcosttbl2,ROUNDUP($H358,0),AW$2))-(INDEX(avoidedcosttbl2,ROUNDDOWN($H358,0),AW$2)))))*$O358*1000*'Inputs Yr 2'!AC358,"")</f>
        <v/>
      </c>
      <c r="AX358" s="197" t="str">
        <f>IFERROR($CT358*((INDEX(avoidedcosttbl2,$H358,AX$2))+(($H358-ROUNDDOWN($H358,0))*((INDEX(avoidedcosttbl2,ROUNDUP($H358,0),AX$2))-(INDEX(avoidedcosttbl2,ROUNDDOWN($H358,0),AX$2)))))*$O358*1000*'Inputs Yr 2'!AD358,"")</f>
        <v/>
      </c>
      <c r="AY358" s="197" t="str">
        <f>IFERROR(((INDEX(avoidedcosttbl2,$H358,AY$2))+(($H358-ROUNDDOWN($H358,0))*((INDEX(avoidedcosttbl2,ROUNDUP($H358,0),AY$2))-(INDEX(avoidedcosttbl2,ROUNDDOWN($H358,0),AY$2)))))*$O358*1000*('Inputs Yr 2'!AC358+'Inputs Yr 2'!AD358),"")</f>
        <v/>
      </c>
      <c r="AZ358" s="197" t="str">
        <f>IFERROR(((INDEX(avoidedcosttbl2,$H358,AZ$2))+(($H358-ROUNDDOWN($H358,0))*((INDEX(avoidedcosttbl2,ROUNDUP($H358,0),AZ$2))-(INDEX(avoidedcosttbl2,ROUNDDOWN($H358,0),AZ$2)))))*$O358*1000*('Inputs Yr 2'!AA358+'Inputs Yr 2'!AB358),"")</f>
        <v/>
      </c>
      <c r="BA358" s="198">
        <f t="shared" si="184"/>
        <v>0</v>
      </c>
      <c r="BB358" s="198">
        <f t="shared" si="185"/>
        <v>0</v>
      </c>
      <c r="BC358" s="195" t="str">
        <f t="shared" si="167"/>
        <v/>
      </c>
      <c r="BD358" s="195" t="str">
        <f t="shared" si="168"/>
        <v/>
      </c>
      <c r="BE358" s="195" t="str">
        <f t="shared" si="169"/>
        <v/>
      </c>
      <c r="BF358" s="195" t="str">
        <f t="shared" si="170"/>
        <v/>
      </c>
      <c r="BG358" s="195" t="str">
        <f t="shared" si="171"/>
        <v/>
      </c>
      <c r="BH358" s="196">
        <f t="shared" si="186"/>
        <v>0</v>
      </c>
      <c r="BI358" s="196">
        <f t="shared" si="187"/>
        <v>0</v>
      </c>
      <c r="BJ358" s="195" t="str">
        <f>IFERROR($G358*(IF('Inputs Yr 2'!$AJ358=BJ$4,'Inputs Yr 2'!$AK358,IF('Inputs Yr 2'!$AL358=BJ$4,'Inputs Yr 2'!$AM358,IF('Inputs Yr 2'!$AN358=BJ$4,'Inputs Yr 2'!$AO358,0))))*(INDEX(avoidedcosttbl2,$H358,BJ$2)+(($H358-ROUNDDOWN($H358,0))*(INDEX(avoidedcosttbl2,ROUNDUP($H358,0),BJ$2)-(INDEX(avoidedcosttbl2,ROUNDDOWN($H358,0),BJ$2)))))*'Inputs Yr 2'!P358*'Inputs Yr 2'!Q358*'Inputs Yr 2'!U358,"")</f>
        <v/>
      </c>
      <c r="BK358" s="195" t="str">
        <f>IFERROR($G358*(IF('Inputs Yr 2'!$AJ358=BK$4,'Inputs Yr 2'!$AK358,IF('Inputs Yr 2'!$AL358=BK$4,'Inputs Yr 2'!$AM358,IF('Inputs Yr 2'!$AN358=BK$4,'Inputs Yr 2'!$AO358,0))))*(INDEX(avoidedcosttbl2,$H358,BK$2)+(($H358-ROUNDDOWN($H358,0))*(INDEX(avoidedcosttbl2,ROUNDUP($H358,0),BK$2)-(INDEX(avoidedcosttbl2,ROUNDDOWN($H358,0),BK$2)))))*'Inputs Yr 2'!P358*'Inputs Yr 2'!Q358*'Inputs Yr 2'!U358,"")</f>
        <v/>
      </c>
      <c r="BL358" s="195" t="str">
        <f>IFERROR($G358*(IF('Inputs Yr 2'!$AJ358=BL$4,'Inputs Yr 2'!$AK358,IF('Inputs Yr 2'!$AL358=BL$4,'Inputs Yr 2'!$AM358,IF('Inputs Yr 2'!$AN358=BL$4,'Inputs Yr 2'!$AO358,0))))*(INDEX(avoidedcosttbl2,$H358,BL$2)+(($H358-ROUNDDOWN($H358,0))*(INDEX(avoidedcosttbl2,ROUNDUP($H358,0),BL$2)-(INDEX(avoidedcosttbl2,ROUNDDOWN($H358,0),BL$2)))))*'Inputs Yr 2'!P358*'Inputs Yr 2'!Q358*'Inputs Yr 2'!U358,"")</f>
        <v/>
      </c>
      <c r="BM358" s="195" t="str">
        <f>IFERROR($G358*(IF('Inputs Yr 2'!$AJ358=BM$4,'Inputs Yr 2'!$AK358,IF('Inputs Yr 2'!$AL358=BM$4,'Inputs Yr 2'!$AM358,IF('Inputs Yr 2'!$AN358=BM$4,'Inputs Yr 2'!$AO358,0))))*(INDEX(avoidedcosttbl2,$H358,BM$2)+(($H358-ROUNDDOWN($H358,0))*(INDEX(avoidedcosttbl2,ROUNDUP($H358,0),BM$2)-(INDEX(avoidedcosttbl2,ROUNDDOWN($H358,0),BM$2)))))*'Inputs Yr 2'!P358*'Inputs Yr 2'!Q358*'Inputs Yr 2'!U358,"")</f>
        <v/>
      </c>
      <c r="BN358" s="195" t="str">
        <f>IFERROR($G358*(IF('Inputs Yr 2'!$AJ358=BN$4,'Inputs Yr 2'!$AK358,IF('Inputs Yr 2'!$AL358=BN$4,'Inputs Yr 2'!$AM358,IF('Inputs Yr 2'!$AN358=BN$4,'Inputs Yr 2'!$AO358,0))))*(INDEX(avoidedcosttbl2,$H358,BN$2)+(($H358-ROUNDDOWN($H358,0))*(INDEX(avoidedcosttbl2,ROUNDUP($H358,0),BN$2)-(INDEX(avoidedcosttbl2,ROUNDDOWN($H358,0),BN$2)))))*'Inputs Yr 2'!P358*'Inputs Yr 2'!Q358*'Inputs Yr 2'!U358,"")</f>
        <v/>
      </c>
      <c r="BO358" s="195" t="str">
        <f>IFERROR($G358*(IF('Inputs Yr 2'!$AJ358=BO$4,'Inputs Yr 2'!$AK358,IF('Inputs Yr 2'!$AL358=BO$4,'Inputs Yr 2'!$AM358,IF('Inputs Yr 2'!$AN358=BO$4,'Inputs Yr 2'!$AO358,0))))*(INDEX(avoidedcosttbl2,$H358,BO$2)+(($H358-ROUNDDOWN($H358,0))*(INDEX(avoidedcosttbl2,ROUNDUP($H358,0),BO$2)-(INDEX(avoidedcosttbl2,ROUNDDOWN($H358,0),BO$2)))))*'Inputs Yr 2'!P358*'Inputs Yr 2'!Q358*'Inputs Yr 2'!U358,"")</f>
        <v/>
      </c>
      <c r="BP358" s="195" t="str">
        <f>IFERROR($G358*(IF('Inputs Yr 2'!$AJ358=BP$4,'Inputs Yr 2'!$AK358,IF('Inputs Yr 2'!$AL358=BP$4,'Inputs Yr 2'!$AM358,IF('Inputs Yr 2'!$AN358=BP$4,'Inputs Yr 2'!$AO358,0))))*(INDEX(avoidedcosttbl2,$H358,BP$2)+(($H358-ROUNDDOWN($H358,0))*(INDEX(avoidedcosttbl2,ROUNDUP($H358,0),BP$2)-(INDEX(avoidedcosttbl2,ROUNDDOWN($H358,0),BP$2)))))*'Inputs Yr 2'!P358*'Inputs Yr 2'!Q358*'Inputs Yr 2'!U358,"")</f>
        <v/>
      </c>
      <c r="BQ358" s="230">
        <f t="shared" si="188"/>
        <v>0</v>
      </c>
      <c r="BR358" s="197" t="str">
        <f t="shared" si="172"/>
        <v/>
      </c>
      <c r="BS358" s="197" t="str">
        <f>IFERROR(($G358*IF('Inputs Yr 2'!$AJ358=BM$4,'Inputs Yr 2'!$AK358,IF('Inputs Yr 2'!$AL358=BM$4,'Inputs Yr 2'!$AM358,IF('Inputs Yr 2'!$AN358=BM$4,'Inputs Yr 2'!$AO358,0))))*(INDEX(avoidedcosttbl2,$H358,BS$2)+(($H358-ROUNDDOWN($H358,0))*(INDEX(avoidedcosttbl2,ROUNDUP($H358,0),BS$2)-(INDEX(avoidedcosttbl2,ROUNDDOWN($H358,0),BS$2)))))*'Inputs Yr 2'!P358*'Inputs Yr 2'!Q358*'Inputs Yr 2'!U358,"")</f>
        <v/>
      </c>
      <c r="BT358" s="197" t="str">
        <f>IFERROR(($G358*IF('Inputs Yr 2'!$AJ358=BK$4,'Inputs Yr 2'!$AK358,IF('Inputs Yr 2'!$AL358=BK$4,'Inputs Yr 2'!$AM358,IF('Inputs Yr 2'!$AN358=BK$4,'Inputs Yr 2'!$AO358,0))))*(INDEX(avoidedcosttbl2,$H358,BT$2)+(($H358-ROUNDDOWN($H358,0))*(INDEX(avoidedcosttbl2,ROUNDUP($H358,0),BT$2)-(INDEX(avoidedcosttbl2,ROUNDDOWN($H358,0),BT$2)))))*'Inputs Yr 2'!P358*'Inputs Yr 2'!Q358*'Inputs Yr 2'!U358,"")</f>
        <v/>
      </c>
      <c r="BU358" s="197" t="str">
        <f>IFERROR(($G358*IF('Inputs Yr 2'!$AJ358=BL$4,'Inputs Yr 2'!$AK358,IF('Inputs Yr 2'!$AL358=BL$4,'Inputs Yr 2'!$AM358,IF('Inputs Yr 2'!$AN358=BL$4,'Inputs Yr 2'!$AO358,0))))*(INDEX(avoidedcosttbl2,$H358,BU$2)+(($H358-ROUNDDOWN($H358,0))*(INDEX(avoidedcosttbl2,ROUNDUP($H358,0),BU$2)-(INDEX(avoidedcosttbl2,ROUNDDOWN($H358,0),BU$2)))))*'Inputs Yr 2'!P358*'Inputs Yr 2'!Q358*'Inputs Yr 2'!U358,"")</f>
        <v/>
      </c>
      <c r="BV358" s="775" t="str">
        <f>IFERROR(($G358*IF('Inputs Yr 2'!$AJ358=BJ$4,'Inputs Yr 2'!$AK358,IF('Inputs Yr 2'!$AL358=BJ$4,'Inputs Yr 2'!$AM358,IF('Inputs Yr 2'!$AN358=BJ$4,'Inputs Yr 2'!$AO358,0))))*(INDEX(avoidedcosttbl2,$H358,BV$2)+(($H358-ROUNDDOWN($H358,0))*(INDEX(avoidedcosttbl2,ROUNDUP($H358,0),BV$2)-(INDEX(avoidedcosttbl2,ROUNDDOWN($H358,0),BV$2)))))*'Inputs Yr 2'!P358*'Inputs Yr 2'!Q358*'Inputs Yr 2'!U358,"")</f>
        <v/>
      </c>
      <c r="BW358" s="197" t="str">
        <f>IFERROR(($G358*IF('Inputs Yr 2'!$AJ358=BN$4,'Inputs Yr 2'!$AK358,IF('Inputs Yr 2'!$AL358=BN$4,'Inputs Yr 2'!$AM358,IF('Inputs Yr 2'!$AN358=BN$4,'Inputs Yr 2'!$AO358,0))))*(INDEX(avoidedcosttbl2,$H358,BW$2)+(($H358-ROUNDDOWN($H358,0))*(INDEX(avoidedcosttbl2,ROUNDUP($H358,0),BW$2)-(INDEX(avoidedcosttbl2,ROUNDDOWN($H358,0),BW$2)))))*'Inputs Yr 2'!P358*'Inputs Yr 2'!Q358*'Inputs Yr 2'!U358,"")</f>
        <v/>
      </c>
      <c r="BX358" s="197" t="str">
        <f>IFERROR(($G358*IF('Inputs Yr 2'!$AJ358=BO$4,'Inputs Yr 2'!$AK358,IF('Inputs Yr 2'!$AL358=BO$4,'Inputs Yr 2'!$AM358,IF('Inputs Yr 2'!$AN358=BO$4,'Inputs Yr 2'!$AO358,0))))*(INDEX(avoidedcosttbl2,$H358,BX$2)+(($H358-ROUNDDOWN($H358,0))*(INDEX(avoidedcosttbl2,ROUNDUP($H358,0),BX$2)-(INDEX(avoidedcosttbl2,ROUNDDOWN($H358,0),BX$2)))))*'Inputs Yr 2'!P358*'Inputs Yr 2'!Q358*'Inputs Yr 2'!U358,"")</f>
        <v/>
      </c>
      <c r="BY358" s="197" t="str">
        <f>IFERROR(($G358*IF('Inputs Yr 2'!$AJ358=BP$4,'Inputs Yr 2'!$AK358,IF('Inputs Yr 2'!$AL358=BP$4,'Inputs Yr 2'!$AM358,IF('Inputs Yr 2'!$AN358=BP$4,'Inputs Yr 2'!$AO358,0))))*(INDEX(avoidedcosttbl2,$H358,BY$2)+(($H358-ROUNDDOWN($H358,0))*(INDEX(avoidedcosttbl2,ROUNDUP($H358,0),BY$2)-(INDEX(avoidedcosttbl2,ROUNDDOWN($H358,0),BY$2)))))*'Inputs Yr 2'!P358*'Inputs Yr 2'!Q358*'Inputs Yr 2'!U358,"")</f>
        <v/>
      </c>
      <c r="BZ358" s="193">
        <f t="shared" si="189"/>
        <v>0</v>
      </c>
      <c r="CA358" s="193">
        <f t="shared" si="190"/>
        <v>0</v>
      </c>
      <c r="CB358" s="195" t="str">
        <f>IFERROR(G358*(IF('Inputs Yr 2'!$AJ358=CB$4,'Inputs Yr 2'!$AK358,IF('Inputs Yr 2'!$AL358=CB$4,'Inputs Yr 2'!$AM358,IF('Inputs Yr 2'!$AN358=CB$4,'Inputs Yr 2'!$AO358,0))))*(INDEX(avoidedcosttbl2,$H358,CB$2)+(($H358-ROUNDDOWN($H358,0))*(INDEX(avoidedcosttbl2,ROUNDUP($H358,0),CB$2)-(INDEX(avoidedcosttbl2,ROUNDDOWN($H358,0),CB$2)))))*'Inputs Yr 2'!P358*'Inputs Yr 2'!Q358*'Inputs Yr 2'!U358,"")</f>
        <v/>
      </c>
      <c r="CC358" s="195" t="str">
        <f>IFERROR(H358*(IF('Inputs Yr 2'!$AJ358=CC$4,'Inputs Yr 2'!$AK358,IF('Inputs Yr 2'!$AL358=CC$4,'Inputs Yr 2'!$AM358,IF('Inputs Yr 2'!$AN358=CC$4,'Inputs Yr 2'!$AO358,0))))*(INDEX(avoidedcosttbl2,$H358,CC$2)+(($H358-ROUNDDOWN($H358,0))*(INDEX(avoidedcosttbl2,ROUNDUP($H358,0),CC$2)-(INDEX(avoidedcosttbl2,ROUNDDOWN($H358,0),CC$2)))))*'Inputs Yr 2'!Q358*'Inputs Yr 2'!R358*'Inputs Yr 2'!V358,"")</f>
        <v/>
      </c>
      <c r="CD358" s="195" t="str">
        <f>IFERROR(I358*(IF('Inputs Yr 2'!$AJ358=CD$4,'Inputs Yr 2'!$AK358,IF('Inputs Yr 2'!$AL358=CD$4,'Inputs Yr 2'!$AM358,IF('Inputs Yr 2'!$AN358=CD$4,'Inputs Yr 2'!$AO358,0))))*(INDEX(avoidedcosttbl2,$H358,CD$2)+(($H358-ROUNDDOWN($H358,0))*(INDEX(avoidedcosttbl2,ROUNDUP($H358,0),CD$2)-(INDEX(avoidedcosttbl2,ROUNDDOWN($H358,0),CD$2)))))*'Inputs Yr 2'!R358*'Inputs Yr 2'!S358*'Inputs Yr 2'!W358,"")</f>
        <v/>
      </c>
      <c r="CE358" s="213" t="str">
        <f t="shared" si="191"/>
        <v/>
      </c>
      <c r="CF358" s="213" t="str">
        <f t="shared" si="192"/>
        <v/>
      </c>
      <c r="CG358" s="213" t="str">
        <f t="shared" si="193"/>
        <v/>
      </c>
      <c r="CH358" s="698">
        <f t="shared" si="194"/>
        <v>0</v>
      </c>
      <c r="CI358" s="79" t="str">
        <f>IFERROR(($G358*'Inputs Yr 2'!$P358*'Inputs Yr 2'!$Q358*(((INDEX(avoidedcosttbl2,$H358,CI$2)+(($H358-ROUNDDOWN($H358,0))*(INDEX(avoidedcosttbl2,ROUNDUP($H358,0),CI$2)-INDEX(avoidedcosttbl2,ROUNDDOWN($H358,0),CI$2))))*'Inputs Yr 2'!AS358))),"")</f>
        <v/>
      </c>
      <c r="CJ358" s="504" t="str">
        <f>IFERROR($G358*'Inputs Yr 2'!AT358*'Inputs Yr 2'!$P358*'Inputs Yr 2'!$Q358/((1+realdiscrt1)^-0.5),"")</f>
        <v/>
      </c>
      <c r="CK358" s="79" t="str">
        <f>IFERROR((O358*1000*(((INDEX(avoidedcosttbl2,$H358,CK$2)+(($H358-ROUNDDOWN($H358,0))*(INDEX(avoidedcosttbl2,ROUNDUP($H358,0),CK$2)-INDEX(avoidedcosttbl2,ROUNDDOWN($H358,0),CK$2))))*'Inputs Yr 2'!AU358))),"")</f>
        <v/>
      </c>
      <c r="CL358" s="504" t="str">
        <f>IFERROR(O358*1000*'Inputs Yr 2'!AV358/((1+realdiscrt1)^-0.5),"")</f>
        <v/>
      </c>
      <c r="CM358" s="79" t="str">
        <f>IFERROR((AB358*'Inputs Yr 2'!AW358*(((INDEX(avoidedcosttbl2,$H358,CM$2)+(($H358-ROUNDDOWN($H358,0))*(INDEX(avoidedcosttbl2,ROUNDUP($H358,0),CM$2)-INDEX(avoidedcosttbl2,ROUNDDOWN($H358,0),CM$2)))))))*10,"")</f>
        <v/>
      </c>
      <c r="CN358" s="504">
        <f>IFERROR(10*AB358*'Inputs Yr 2'!AX358/((1+realdiscrt1)^-0.5),"")</f>
        <v>0</v>
      </c>
      <c r="CO358" s="505">
        <f t="shared" si="195"/>
        <v>0</v>
      </c>
      <c r="CP358" s="230">
        <f t="shared" si="196"/>
        <v>0</v>
      </c>
      <c r="CQ358" s="199">
        <f>ROUND(IFERROR(IF(LEFT($A358,1)="C",'Avoided Costs'!$K$13,'Avoided Costs'!$K$12)+1,""),4)</f>
        <v>1.0720000000000001</v>
      </c>
      <c r="CR358" s="199">
        <f>ROUND(IFERROR(IF(LEFT($A358,1)="C",'Avoided Costs'!$L$13,'Avoided Costs'!$L$12)+1,""),4)</f>
        <v>1.04</v>
      </c>
      <c r="CS358" s="199">
        <f>ROUND(IFERROR(IF(LEFT($A358,1)="C",'Avoided Costs'!$M$13,'Avoided Costs'!$M$12)+1,""),4)</f>
        <v>1.0720000000000001</v>
      </c>
      <c r="CT358" s="199">
        <f>ROUND(IFERROR(IF(LEFT($A358,1)="C",'Avoided Costs'!$N$13,'Avoided Costs'!$N$12)+1,""),4)</f>
        <v>1.04</v>
      </c>
      <c r="CU358" s="199">
        <f>ROUND(IFERROR(IF(LEFT($A358,1)="C",'Avoided Costs'!$O$13,'Avoided Costs'!$O$12)+1,""),4)</f>
        <v>1.1120000000000001</v>
      </c>
      <c r="CV358" s="199">
        <f>ROUND(IFERROR(IF(LEFT($A358,1)="C",'Avoided Costs'!$P$13,'Avoided Costs'!$P$12)+1,""),4)</f>
        <v>1.095</v>
      </c>
      <c r="CW358" s="199">
        <f>ROUND(IFERROR(IF(LEFT($A358,1)="C",'Avoided Costs'!$Q$13,'Avoided Costs'!$Q$12)+1,""),4)</f>
        <v>1.1120000000000001</v>
      </c>
      <c r="CX358" s="200">
        <f>ROUND(IFERROR(IF(LEFT($A358,1)="C",'Avoided Costs'!$R$13,'Avoided Costs'!$R$12)+1,""),4)</f>
        <v>1.1120000000000001</v>
      </c>
    </row>
    <row r="359" spans="1:102" s="128" customFormat="1" ht="12.75" customHeight="1">
      <c r="A359" s="91" t="str">
        <f>IF('Inputs Yr 2'!$B396=0,"",'Inputs Yr 2'!A396)</f>
        <v/>
      </c>
      <c r="B359" s="91" t="str">
        <f>IF('Inputs Yr 2'!$B396=0,"",'Inputs Yr 2'!B396)</f>
        <v/>
      </c>
      <c r="C359" s="91" t="str">
        <f>IF('Inputs Yr 2'!$B359=0,"",'Inputs Yr 2'!C359)</f>
        <v/>
      </c>
      <c r="D359" s="91" t="str">
        <f>IF('Inputs Yr 2'!$B359=0,"",'Inputs Yr 2'!E359)</f>
        <v/>
      </c>
      <c r="E359" s="93" t="str">
        <f>IF('Inputs Yr 2'!$B359=0,"",'Inputs Yr 2'!F359)</f>
        <v/>
      </c>
      <c r="F359" s="93" t="str">
        <f>IF('Inputs Yr 2'!$B359=0,"",'Inputs Yr 2'!G359)</f>
        <v/>
      </c>
      <c r="G359" s="95" t="str">
        <f>IF('Inputs Yr 2'!$H359&lt;&gt;0,('Inputs Yr 2'!H359),"")</f>
        <v/>
      </c>
      <c r="H359" s="94">
        <f>IFERROR('Inputs Yr 2'!I359,"")</f>
        <v>0</v>
      </c>
      <c r="I359" s="298" t="str">
        <f>IFERROR('Inputs Yr 2'!J359*'Inputs Yr 2'!P359*G359,"")</f>
        <v/>
      </c>
      <c r="J359" s="298" t="str">
        <f>IFERROR('Inputs Yr 2'!K359*G359,"")</f>
        <v/>
      </c>
      <c r="K359" s="298" t="str">
        <f t="shared" si="173"/>
        <v/>
      </c>
      <c r="L359" s="194" t="str">
        <f>IFERROR(('Inputs Yr 2'!W359*G359)/1000,"")</f>
        <v/>
      </c>
      <c r="M359" s="194" t="str">
        <f>IFERROR(L359*('Inputs Yr 2'!$Q359*'Inputs Yr 2'!$V359*'Inputs Yr 2'!$R359),"")</f>
        <v/>
      </c>
      <c r="N359" s="194" t="str">
        <f t="shared" si="174"/>
        <v/>
      </c>
      <c r="O359" s="194" t="str">
        <f>IFERROR(M359*'Inputs Yr 2'!P359,"")</f>
        <v/>
      </c>
      <c r="P359" s="194" t="str">
        <f t="shared" si="175"/>
        <v/>
      </c>
      <c r="Q359" s="194" t="str">
        <f>IFERROR($P359*'Inputs Yr 2'!AA359,"")</f>
        <v/>
      </c>
      <c r="R359" s="194" t="str">
        <f>IFERROR($P359*'Inputs Yr 2'!AB359,"")</f>
        <v/>
      </c>
      <c r="S359" s="194" t="str">
        <f>IFERROR($P359*'Inputs Yr 2'!AC359,"")</f>
        <v/>
      </c>
      <c r="T359" s="194" t="str">
        <f>IFERROR($P359*'Inputs Yr 2'!AD359,"")</f>
        <v/>
      </c>
      <c r="U359" s="194" t="str">
        <f>IFERROR(G359*'Inputs Yr 2'!$AE359*'Inputs Yr 2'!$P359*'Inputs Yr 2'!$Q359,"")</f>
        <v/>
      </c>
      <c r="V359" s="194" t="str">
        <f>IFERROR($G359*'Inputs Yr 2'!$AE359*'Inputs Yr 2'!$AG359*'Inputs Yr 2'!Q359*'Inputs Yr 2'!$S359,"")</f>
        <v/>
      </c>
      <c r="W359" s="194" t="str">
        <f>IFERROR($G359*'Inputs Yr 2'!$AE359*'Inputs Yr 2'!$AG359*'Inputs Yr 2'!P359*'Inputs Yr 2'!Q359*'Inputs Yr 2'!$S359,"")</f>
        <v/>
      </c>
      <c r="X359" s="194" t="str">
        <f>IFERROR($G359*'Inputs Yr 2'!$AE359*'Inputs Yr 2'!$AF359*'Inputs Yr 2'!Q359*'Inputs Yr 2'!$T359,"")</f>
        <v/>
      </c>
      <c r="Y359" s="194" t="str">
        <f>IFERROR($G359*'Inputs Yr 2'!$AE359*'Inputs Yr 2'!$AF359*'Inputs Yr 2'!P359*'Inputs Yr 2'!Q359*'Inputs Yr 2'!$T359,"")</f>
        <v/>
      </c>
      <c r="Z359" s="257">
        <f>IFERROR($G359*'Inputs Yr 2'!$Q359*'Inputs Yr 2'!$U359*(IF(IFERROR(SEARCH("NG", 'Inputs Yr 2'!$AJ359),0),'Inputs Yr 2'!$AK359,0)+IF(IFERROR(SEARCH("NG", 'Inputs Yr 2'!$AL359),0),'Inputs Yr 2'!$AM359,0)+IF(IFERROR(SEARCH("NG", 'Inputs Yr 2'!$AN359),0),'Inputs Yr 2'!$AO359,0)),0)</f>
        <v>0</v>
      </c>
      <c r="AA359" s="257">
        <f t="shared" si="176"/>
        <v>0</v>
      </c>
      <c r="AB359" s="257">
        <f>IFERROR(Z359*'Inputs Yr 2'!$P359,0)</f>
        <v>0</v>
      </c>
      <c r="AC359" s="257">
        <f t="shared" si="177"/>
        <v>0</v>
      </c>
      <c r="AD359" s="257">
        <f>IFERROR($G359*'Inputs Yr 2'!$Q359*'Inputs Yr 2'!$U359*(IF(IFERROR(SEARCH("Oil", 'Inputs Yr 2'!$AJ359), 0),'Inputs Yr 2'!$AK359,0)+IF(IFERROR(SEARCH("Oil", 'Inputs Yr 2'!$AL359), 0),'Inputs Yr 2'!$AM359,0)+IF(IFERROR(SEARCH("Oil", 'Inputs Yr 2'!$AN359), 0),'Inputs Yr 2'!$AO359,0)),0)</f>
        <v>0</v>
      </c>
      <c r="AE359" s="257">
        <f t="shared" si="178"/>
        <v>0</v>
      </c>
      <c r="AF359" s="257">
        <f>IFERROR(AD359*'Inputs Yr 2'!$P359,0)</f>
        <v>0</v>
      </c>
      <c r="AG359" s="257">
        <f t="shared" si="179"/>
        <v>0</v>
      </c>
      <c r="AH359" s="257">
        <f>IFERROR($G359*'Inputs Yr 2'!$Q359*'Inputs Yr 2'!$U359*(IF('Inputs Yr 2'!$AJ359=CD$4,'Inputs Yr 2'!$AK359,IF('Inputs Yr 2'!$AL359=CD$4,'Inputs Yr 2'!$AM359,IF('Inputs Yr 2'!$AN359=CD$4,'Inputs Yr 2'!$AO359,0)))),0)</f>
        <v>0</v>
      </c>
      <c r="AI359" s="257">
        <f t="shared" si="180"/>
        <v>0</v>
      </c>
      <c r="AJ359" s="257">
        <f>IFERROR(AH359*'Inputs Yr 2'!$P359,0)</f>
        <v>0</v>
      </c>
      <c r="AK359" s="257">
        <f t="shared" si="181"/>
        <v>0</v>
      </c>
      <c r="AL359" s="258">
        <f>IFERROR($G359*'Inputs Yr 2'!$P359*'Inputs Yr 2'!$Q359*'Inputs Yr 2'!AP359,0)</f>
        <v>0</v>
      </c>
      <c r="AM359" s="260">
        <f>IFERROR($G359*'Inputs Yr 2'!$P359*'Inputs Yr 2'!$Q359*'Inputs Yr 2'!AQ359,0)</f>
        <v>0</v>
      </c>
      <c r="AN359" s="258">
        <f>IFERROR($G359*'Inputs Yr 2'!$P359*'Inputs Yr 2'!$Q359*'Inputs Yr 2'!AR359,0)</f>
        <v>0</v>
      </c>
      <c r="AO359" s="257">
        <f t="shared" si="182"/>
        <v>0</v>
      </c>
      <c r="AP359" s="195" t="str">
        <f>IFERROR($CQ359*(INDEX(avoidedcosttbl2,$H359,AP$2)+(($H359-ROUNDDOWN($H359,0))*(INDEX(avoidedcosttbl2,ROUNDUP($H359,0),AP$2)-(INDEX(avoidedcosttbl2,ROUNDDOWN($H359,0),AP$2)))))*$O359*1000*'Inputs Yr 2'!AA359,"")</f>
        <v/>
      </c>
      <c r="AQ359" s="195" t="str">
        <f>IFERROR($CR359*(INDEX(avoidedcosttbl2,$H359,AQ$2)+(($H359-ROUNDDOWN($H359,0))*(INDEX(avoidedcosttbl2,ROUNDUP($H359,0),AQ$2)-(INDEX(avoidedcosttbl2,ROUNDDOWN($H359,0),AQ$2)))))*$O359*1000*'Inputs Yr 2'!AB359,"")</f>
        <v/>
      </c>
      <c r="AR359" s="195" t="str">
        <f>IFERROR($CS359*(INDEX(avoidedcosttbl2,$H359,AR$2)+(($H359-ROUNDDOWN($H359,0))*(INDEX(avoidedcosttbl2,ROUNDUP($H359,0),AR$2)-(INDEX(avoidedcosttbl2,ROUNDDOWN($H359,0),AR$2)))))*$O359*1000*'Inputs Yr 2'!AC359,"")</f>
        <v/>
      </c>
      <c r="AS359" s="195" t="str">
        <f>IFERROR($CT359*(INDEX(avoidedcosttbl2,$H359,AS$2)+(($H359-ROUNDDOWN($H359,0))*(INDEX(avoidedcosttbl2,ROUNDUP($H359,0),AS$2)-(INDEX(avoidedcosttbl2,ROUNDDOWN($H359,0),AS$2)))))*$O359*1000*'Inputs Yr 2'!AD359,"")</f>
        <v/>
      </c>
      <c r="AT359" s="196">
        <f t="shared" si="183"/>
        <v>0</v>
      </c>
      <c r="AU359" s="197" t="str">
        <f>IFERROR($CQ359*((INDEX(avoidedcosttbl2,$H359,AU$2))+(($H359-ROUNDDOWN($H359,0))*((INDEX(avoidedcosttbl2,ROUNDUP($H359,0),AU$2))-(INDEX(avoidedcosttbl2,ROUNDDOWN($H359,0),AU$2)))))*$O359*1000*'Inputs Yr 2'!AA359,"")</f>
        <v/>
      </c>
      <c r="AV359" s="197" t="str">
        <f>IFERROR($CR359*((INDEX(avoidedcosttbl2,$H359,AV$2))+(($H359-ROUNDDOWN($H359,0))*((INDEX(avoidedcosttbl2,ROUNDUP($H359,0),AV$2))-(INDEX(avoidedcosttbl2,ROUNDDOWN($H359,0),AV$2)))))*$O359*1000*'Inputs Yr 2'!AB359,"")</f>
        <v/>
      </c>
      <c r="AW359" s="197" t="str">
        <f>IFERROR($CS359*((INDEX(avoidedcosttbl2,$H359,AW$2))+(($H359-ROUNDDOWN($H359,0))*((INDEX(avoidedcosttbl2,ROUNDUP($H359,0),AW$2))-(INDEX(avoidedcosttbl2,ROUNDDOWN($H359,0),AW$2)))))*$O359*1000*'Inputs Yr 2'!AC359,"")</f>
        <v/>
      </c>
      <c r="AX359" s="197" t="str">
        <f>IFERROR($CT359*((INDEX(avoidedcosttbl2,$H359,AX$2))+(($H359-ROUNDDOWN($H359,0))*((INDEX(avoidedcosttbl2,ROUNDUP($H359,0),AX$2))-(INDEX(avoidedcosttbl2,ROUNDDOWN($H359,0),AX$2)))))*$O359*1000*'Inputs Yr 2'!AD359,"")</f>
        <v/>
      </c>
      <c r="AY359" s="197" t="str">
        <f>IFERROR(((INDEX(avoidedcosttbl2,$H359,AY$2))+(($H359-ROUNDDOWN($H359,0))*((INDEX(avoidedcosttbl2,ROUNDUP($H359,0),AY$2))-(INDEX(avoidedcosttbl2,ROUNDDOWN($H359,0),AY$2)))))*$O359*1000*('Inputs Yr 2'!AC359+'Inputs Yr 2'!AD359),"")</f>
        <v/>
      </c>
      <c r="AZ359" s="197" t="str">
        <f>IFERROR(((INDEX(avoidedcosttbl2,$H359,AZ$2))+(($H359-ROUNDDOWN($H359,0))*((INDEX(avoidedcosttbl2,ROUNDUP($H359,0),AZ$2))-(INDEX(avoidedcosttbl2,ROUNDDOWN($H359,0),AZ$2)))))*$O359*1000*('Inputs Yr 2'!AA359+'Inputs Yr 2'!AB359),"")</f>
        <v/>
      </c>
      <c r="BA359" s="198">
        <f t="shared" si="184"/>
        <v>0</v>
      </c>
      <c r="BB359" s="198">
        <f t="shared" si="185"/>
        <v>0</v>
      </c>
      <c r="BC359" s="195" t="str">
        <f t="shared" si="167"/>
        <v/>
      </c>
      <c r="BD359" s="195" t="str">
        <f t="shared" si="168"/>
        <v/>
      </c>
      <c r="BE359" s="195" t="str">
        <f t="shared" si="169"/>
        <v/>
      </c>
      <c r="BF359" s="195" t="str">
        <f t="shared" si="170"/>
        <v/>
      </c>
      <c r="BG359" s="195" t="str">
        <f t="shared" si="171"/>
        <v/>
      </c>
      <c r="BH359" s="196">
        <f t="shared" si="186"/>
        <v>0</v>
      </c>
      <c r="BI359" s="196">
        <f t="shared" si="187"/>
        <v>0</v>
      </c>
      <c r="BJ359" s="195" t="str">
        <f>IFERROR($G359*(IF('Inputs Yr 2'!$AJ359=BJ$4,'Inputs Yr 2'!$AK359,IF('Inputs Yr 2'!$AL359=BJ$4,'Inputs Yr 2'!$AM359,IF('Inputs Yr 2'!$AN359=BJ$4,'Inputs Yr 2'!$AO359,0))))*(INDEX(avoidedcosttbl2,$H359,BJ$2)+(($H359-ROUNDDOWN($H359,0))*(INDEX(avoidedcosttbl2,ROUNDUP($H359,0),BJ$2)-(INDEX(avoidedcosttbl2,ROUNDDOWN($H359,0),BJ$2)))))*'Inputs Yr 2'!P359*'Inputs Yr 2'!Q359*'Inputs Yr 2'!U359,"")</f>
        <v/>
      </c>
      <c r="BK359" s="195" t="str">
        <f>IFERROR($G359*(IF('Inputs Yr 2'!$AJ359=BK$4,'Inputs Yr 2'!$AK359,IF('Inputs Yr 2'!$AL359=BK$4,'Inputs Yr 2'!$AM359,IF('Inputs Yr 2'!$AN359=BK$4,'Inputs Yr 2'!$AO359,0))))*(INDEX(avoidedcosttbl2,$H359,BK$2)+(($H359-ROUNDDOWN($H359,0))*(INDEX(avoidedcosttbl2,ROUNDUP($H359,0),BK$2)-(INDEX(avoidedcosttbl2,ROUNDDOWN($H359,0),BK$2)))))*'Inputs Yr 2'!P359*'Inputs Yr 2'!Q359*'Inputs Yr 2'!U359,"")</f>
        <v/>
      </c>
      <c r="BL359" s="195" t="str">
        <f>IFERROR($G359*(IF('Inputs Yr 2'!$AJ359=BL$4,'Inputs Yr 2'!$AK359,IF('Inputs Yr 2'!$AL359=BL$4,'Inputs Yr 2'!$AM359,IF('Inputs Yr 2'!$AN359=BL$4,'Inputs Yr 2'!$AO359,0))))*(INDEX(avoidedcosttbl2,$H359,BL$2)+(($H359-ROUNDDOWN($H359,0))*(INDEX(avoidedcosttbl2,ROUNDUP($H359,0),BL$2)-(INDEX(avoidedcosttbl2,ROUNDDOWN($H359,0),BL$2)))))*'Inputs Yr 2'!P359*'Inputs Yr 2'!Q359*'Inputs Yr 2'!U359,"")</f>
        <v/>
      </c>
      <c r="BM359" s="195" t="str">
        <f>IFERROR($G359*(IF('Inputs Yr 2'!$AJ359=BM$4,'Inputs Yr 2'!$AK359,IF('Inputs Yr 2'!$AL359=BM$4,'Inputs Yr 2'!$AM359,IF('Inputs Yr 2'!$AN359=BM$4,'Inputs Yr 2'!$AO359,0))))*(INDEX(avoidedcosttbl2,$H359,BM$2)+(($H359-ROUNDDOWN($H359,0))*(INDEX(avoidedcosttbl2,ROUNDUP($H359,0),BM$2)-(INDEX(avoidedcosttbl2,ROUNDDOWN($H359,0),BM$2)))))*'Inputs Yr 2'!P359*'Inputs Yr 2'!Q359*'Inputs Yr 2'!U359,"")</f>
        <v/>
      </c>
      <c r="BN359" s="195" t="str">
        <f>IFERROR($G359*(IF('Inputs Yr 2'!$AJ359=BN$4,'Inputs Yr 2'!$AK359,IF('Inputs Yr 2'!$AL359=BN$4,'Inputs Yr 2'!$AM359,IF('Inputs Yr 2'!$AN359=BN$4,'Inputs Yr 2'!$AO359,0))))*(INDEX(avoidedcosttbl2,$H359,BN$2)+(($H359-ROUNDDOWN($H359,0))*(INDEX(avoidedcosttbl2,ROUNDUP($H359,0),BN$2)-(INDEX(avoidedcosttbl2,ROUNDDOWN($H359,0),BN$2)))))*'Inputs Yr 2'!P359*'Inputs Yr 2'!Q359*'Inputs Yr 2'!U359,"")</f>
        <v/>
      </c>
      <c r="BO359" s="195" t="str">
        <f>IFERROR($G359*(IF('Inputs Yr 2'!$AJ359=BO$4,'Inputs Yr 2'!$AK359,IF('Inputs Yr 2'!$AL359=BO$4,'Inputs Yr 2'!$AM359,IF('Inputs Yr 2'!$AN359=BO$4,'Inputs Yr 2'!$AO359,0))))*(INDEX(avoidedcosttbl2,$H359,BO$2)+(($H359-ROUNDDOWN($H359,0))*(INDEX(avoidedcosttbl2,ROUNDUP($H359,0),BO$2)-(INDEX(avoidedcosttbl2,ROUNDDOWN($H359,0),BO$2)))))*'Inputs Yr 2'!P359*'Inputs Yr 2'!Q359*'Inputs Yr 2'!U359,"")</f>
        <v/>
      </c>
      <c r="BP359" s="195" t="str">
        <f>IFERROR($G359*(IF('Inputs Yr 2'!$AJ359=BP$4,'Inputs Yr 2'!$AK359,IF('Inputs Yr 2'!$AL359=BP$4,'Inputs Yr 2'!$AM359,IF('Inputs Yr 2'!$AN359=BP$4,'Inputs Yr 2'!$AO359,0))))*(INDEX(avoidedcosttbl2,$H359,BP$2)+(($H359-ROUNDDOWN($H359,0))*(INDEX(avoidedcosttbl2,ROUNDUP($H359,0),BP$2)-(INDEX(avoidedcosttbl2,ROUNDDOWN($H359,0),BP$2)))))*'Inputs Yr 2'!P359*'Inputs Yr 2'!Q359*'Inputs Yr 2'!U359,"")</f>
        <v/>
      </c>
      <c r="BQ359" s="230">
        <f t="shared" si="188"/>
        <v>0</v>
      </c>
      <c r="BR359" s="197" t="str">
        <f t="shared" si="172"/>
        <v/>
      </c>
      <c r="BS359" s="197" t="str">
        <f>IFERROR(($G359*IF('Inputs Yr 2'!$AJ359=BM$4,'Inputs Yr 2'!$AK359,IF('Inputs Yr 2'!$AL359=BM$4,'Inputs Yr 2'!$AM359,IF('Inputs Yr 2'!$AN359=BM$4,'Inputs Yr 2'!$AO359,0))))*(INDEX(avoidedcosttbl2,$H359,BS$2)+(($H359-ROUNDDOWN($H359,0))*(INDEX(avoidedcosttbl2,ROUNDUP($H359,0),BS$2)-(INDEX(avoidedcosttbl2,ROUNDDOWN($H359,0),BS$2)))))*'Inputs Yr 2'!P359*'Inputs Yr 2'!Q359*'Inputs Yr 2'!U359,"")</f>
        <v/>
      </c>
      <c r="BT359" s="197" t="str">
        <f>IFERROR(($G359*IF('Inputs Yr 2'!$AJ359=BK$4,'Inputs Yr 2'!$AK359,IF('Inputs Yr 2'!$AL359=BK$4,'Inputs Yr 2'!$AM359,IF('Inputs Yr 2'!$AN359=BK$4,'Inputs Yr 2'!$AO359,0))))*(INDEX(avoidedcosttbl2,$H359,BT$2)+(($H359-ROUNDDOWN($H359,0))*(INDEX(avoidedcosttbl2,ROUNDUP($H359,0),BT$2)-(INDEX(avoidedcosttbl2,ROUNDDOWN($H359,0),BT$2)))))*'Inputs Yr 2'!P359*'Inputs Yr 2'!Q359*'Inputs Yr 2'!U359,"")</f>
        <v/>
      </c>
      <c r="BU359" s="197" t="str">
        <f>IFERROR(($G359*IF('Inputs Yr 2'!$AJ359=BL$4,'Inputs Yr 2'!$AK359,IF('Inputs Yr 2'!$AL359=BL$4,'Inputs Yr 2'!$AM359,IF('Inputs Yr 2'!$AN359=BL$4,'Inputs Yr 2'!$AO359,0))))*(INDEX(avoidedcosttbl2,$H359,BU$2)+(($H359-ROUNDDOWN($H359,0))*(INDEX(avoidedcosttbl2,ROUNDUP($H359,0),BU$2)-(INDEX(avoidedcosttbl2,ROUNDDOWN($H359,0),BU$2)))))*'Inputs Yr 2'!P359*'Inputs Yr 2'!Q359*'Inputs Yr 2'!U359,"")</f>
        <v/>
      </c>
      <c r="BV359" s="775" t="str">
        <f>IFERROR(($G359*IF('Inputs Yr 2'!$AJ359=BJ$4,'Inputs Yr 2'!$AK359,IF('Inputs Yr 2'!$AL359=BJ$4,'Inputs Yr 2'!$AM359,IF('Inputs Yr 2'!$AN359=BJ$4,'Inputs Yr 2'!$AO359,0))))*(INDEX(avoidedcosttbl2,$H359,BV$2)+(($H359-ROUNDDOWN($H359,0))*(INDEX(avoidedcosttbl2,ROUNDUP($H359,0),BV$2)-(INDEX(avoidedcosttbl2,ROUNDDOWN($H359,0),BV$2)))))*'Inputs Yr 2'!P359*'Inputs Yr 2'!Q359*'Inputs Yr 2'!U359,"")</f>
        <v/>
      </c>
      <c r="BW359" s="197" t="str">
        <f>IFERROR(($G359*IF('Inputs Yr 2'!$AJ359=BN$4,'Inputs Yr 2'!$AK359,IF('Inputs Yr 2'!$AL359=BN$4,'Inputs Yr 2'!$AM359,IF('Inputs Yr 2'!$AN359=BN$4,'Inputs Yr 2'!$AO359,0))))*(INDEX(avoidedcosttbl2,$H359,BW$2)+(($H359-ROUNDDOWN($H359,0))*(INDEX(avoidedcosttbl2,ROUNDUP($H359,0),BW$2)-(INDEX(avoidedcosttbl2,ROUNDDOWN($H359,0),BW$2)))))*'Inputs Yr 2'!P359*'Inputs Yr 2'!Q359*'Inputs Yr 2'!U359,"")</f>
        <v/>
      </c>
      <c r="BX359" s="197" t="str">
        <f>IFERROR(($G359*IF('Inputs Yr 2'!$AJ359=BO$4,'Inputs Yr 2'!$AK359,IF('Inputs Yr 2'!$AL359=BO$4,'Inputs Yr 2'!$AM359,IF('Inputs Yr 2'!$AN359=BO$4,'Inputs Yr 2'!$AO359,0))))*(INDEX(avoidedcosttbl2,$H359,BX$2)+(($H359-ROUNDDOWN($H359,0))*(INDEX(avoidedcosttbl2,ROUNDUP($H359,0),BX$2)-(INDEX(avoidedcosttbl2,ROUNDDOWN($H359,0),BX$2)))))*'Inputs Yr 2'!P359*'Inputs Yr 2'!Q359*'Inputs Yr 2'!U359,"")</f>
        <v/>
      </c>
      <c r="BY359" s="197" t="str">
        <f>IFERROR(($G359*IF('Inputs Yr 2'!$AJ359=BP$4,'Inputs Yr 2'!$AK359,IF('Inputs Yr 2'!$AL359=BP$4,'Inputs Yr 2'!$AM359,IF('Inputs Yr 2'!$AN359=BP$4,'Inputs Yr 2'!$AO359,0))))*(INDEX(avoidedcosttbl2,$H359,BY$2)+(($H359-ROUNDDOWN($H359,0))*(INDEX(avoidedcosttbl2,ROUNDUP($H359,0),BY$2)-(INDEX(avoidedcosttbl2,ROUNDDOWN($H359,0),BY$2)))))*'Inputs Yr 2'!P359*'Inputs Yr 2'!Q359*'Inputs Yr 2'!U359,"")</f>
        <v/>
      </c>
      <c r="BZ359" s="193">
        <f t="shared" si="189"/>
        <v>0</v>
      </c>
      <c r="CA359" s="193">
        <f t="shared" si="190"/>
        <v>0</v>
      </c>
      <c r="CB359" s="195" t="str">
        <f>IFERROR(G359*(IF('Inputs Yr 2'!$AJ359=CB$4,'Inputs Yr 2'!$AK359,IF('Inputs Yr 2'!$AL359=CB$4,'Inputs Yr 2'!$AM359,IF('Inputs Yr 2'!$AN359=CB$4,'Inputs Yr 2'!$AO359,0))))*(INDEX(avoidedcosttbl2,$H359,CB$2)+(($H359-ROUNDDOWN($H359,0))*(INDEX(avoidedcosttbl2,ROUNDUP($H359,0),CB$2)-(INDEX(avoidedcosttbl2,ROUNDDOWN($H359,0),CB$2)))))*'Inputs Yr 2'!P359*'Inputs Yr 2'!Q359*'Inputs Yr 2'!U359,"")</f>
        <v/>
      </c>
      <c r="CC359" s="195" t="str">
        <f>IFERROR(H359*(IF('Inputs Yr 2'!$AJ359=CC$4,'Inputs Yr 2'!$AK359,IF('Inputs Yr 2'!$AL359=CC$4,'Inputs Yr 2'!$AM359,IF('Inputs Yr 2'!$AN359=CC$4,'Inputs Yr 2'!$AO359,0))))*(INDEX(avoidedcosttbl2,$H359,CC$2)+(($H359-ROUNDDOWN($H359,0))*(INDEX(avoidedcosttbl2,ROUNDUP($H359,0),CC$2)-(INDEX(avoidedcosttbl2,ROUNDDOWN($H359,0),CC$2)))))*'Inputs Yr 2'!Q359*'Inputs Yr 2'!R359*'Inputs Yr 2'!V359,"")</f>
        <v/>
      </c>
      <c r="CD359" s="195" t="str">
        <f>IFERROR(I359*(IF('Inputs Yr 2'!$AJ359=CD$4,'Inputs Yr 2'!$AK359,IF('Inputs Yr 2'!$AL359=CD$4,'Inputs Yr 2'!$AM359,IF('Inputs Yr 2'!$AN359=CD$4,'Inputs Yr 2'!$AO359,0))))*(INDEX(avoidedcosttbl2,$H359,CD$2)+(($H359-ROUNDDOWN($H359,0))*(INDEX(avoidedcosttbl2,ROUNDUP($H359,0),CD$2)-(INDEX(avoidedcosttbl2,ROUNDDOWN($H359,0),CD$2)))))*'Inputs Yr 2'!R359*'Inputs Yr 2'!S359*'Inputs Yr 2'!W359,"")</f>
        <v/>
      </c>
      <c r="CE359" s="213" t="str">
        <f t="shared" si="191"/>
        <v/>
      </c>
      <c r="CF359" s="213" t="str">
        <f t="shared" si="192"/>
        <v/>
      </c>
      <c r="CG359" s="213" t="str">
        <f t="shared" si="193"/>
        <v/>
      </c>
      <c r="CH359" s="698">
        <f t="shared" si="194"/>
        <v>0</v>
      </c>
      <c r="CI359" s="79" t="str">
        <f>IFERROR(($G359*'Inputs Yr 2'!$P359*'Inputs Yr 2'!$Q359*(((INDEX(avoidedcosttbl2,$H359,CI$2)+(($H359-ROUNDDOWN($H359,0))*(INDEX(avoidedcosttbl2,ROUNDUP($H359,0),CI$2)-INDEX(avoidedcosttbl2,ROUNDDOWN($H359,0),CI$2))))*'Inputs Yr 2'!AS359))),"")</f>
        <v/>
      </c>
      <c r="CJ359" s="504" t="str">
        <f>IFERROR($G359*'Inputs Yr 2'!AT359*'Inputs Yr 2'!$P359*'Inputs Yr 2'!$Q359/((1+realdiscrt1)^-0.5),"")</f>
        <v/>
      </c>
      <c r="CK359" s="79" t="str">
        <f>IFERROR((O359*1000*(((INDEX(avoidedcosttbl2,$H359,CK$2)+(($H359-ROUNDDOWN($H359,0))*(INDEX(avoidedcosttbl2,ROUNDUP($H359,0),CK$2)-INDEX(avoidedcosttbl2,ROUNDDOWN($H359,0),CK$2))))*'Inputs Yr 2'!AU359))),"")</f>
        <v/>
      </c>
      <c r="CL359" s="504" t="str">
        <f>IFERROR(O359*1000*'Inputs Yr 2'!AV359/((1+realdiscrt1)^-0.5),"")</f>
        <v/>
      </c>
      <c r="CM359" s="79" t="str">
        <f>IFERROR((AB359*'Inputs Yr 2'!AW359*(((INDEX(avoidedcosttbl2,$H359,CM$2)+(($H359-ROUNDDOWN($H359,0))*(INDEX(avoidedcosttbl2,ROUNDUP($H359,0),CM$2)-INDEX(avoidedcosttbl2,ROUNDDOWN($H359,0),CM$2)))))))*10,"")</f>
        <v/>
      </c>
      <c r="CN359" s="504">
        <f>IFERROR(10*AB359*'Inputs Yr 2'!AX359/((1+realdiscrt1)^-0.5),"")</f>
        <v>0</v>
      </c>
      <c r="CO359" s="505">
        <f t="shared" si="195"/>
        <v>0</v>
      </c>
      <c r="CP359" s="230">
        <f t="shared" si="196"/>
        <v>0</v>
      </c>
      <c r="CQ359" s="199">
        <f>ROUND(IFERROR(IF(LEFT($A359,1)="C",'Avoided Costs'!$K$13,'Avoided Costs'!$K$12)+1,""),4)</f>
        <v>1.0720000000000001</v>
      </c>
      <c r="CR359" s="199">
        <f>ROUND(IFERROR(IF(LEFT($A359,1)="C",'Avoided Costs'!$L$13,'Avoided Costs'!$L$12)+1,""),4)</f>
        <v>1.04</v>
      </c>
      <c r="CS359" s="199">
        <f>ROUND(IFERROR(IF(LEFT($A359,1)="C",'Avoided Costs'!$M$13,'Avoided Costs'!$M$12)+1,""),4)</f>
        <v>1.0720000000000001</v>
      </c>
      <c r="CT359" s="199">
        <f>ROUND(IFERROR(IF(LEFT($A359,1)="C",'Avoided Costs'!$N$13,'Avoided Costs'!$N$12)+1,""),4)</f>
        <v>1.04</v>
      </c>
      <c r="CU359" s="199">
        <f>ROUND(IFERROR(IF(LEFT($A359,1)="C",'Avoided Costs'!$O$13,'Avoided Costs'!$O$12)+1,""),4)</f>
        <v>1.1120000000000001</v>
      </c>
      <c r="CV359" s="199">
        <f>ROUND(IFERROR(IF(LEFT($A359,1)="C",'Avoided Costs'!$P$13,'Avoided Costs'!$P$12)+1,""),4)</f>
        <v>1.095</v>
      </c>
      <c r="CW359" s="199">
        <f>ROUND(IFERROR(IF(LEFT($A359,1)="C",'Avoided Costs'!$Q$13,'Avoided Costs'!$Q$12)+1,""),4)</f>
        <v>1.1120000000000001</v>
      </c>
      <c r="CX359" s="200">
        <f>ROUND(IFERROR(IF(LEFT($A359,1)="C",'Avoided Costs'!$R$13,'Avoided Costs'!$R$12)+1,""),4)</f>
        <v>1.1120000000000001</v>
      </c>
    </row>
    <row r="360" spans="1:102" s="128" customFormat="1" ht="12.75" customHeight="1">
      <c r="A360" s="91" t="str">
        <f>IF('Inputs Yr 2'!$B397=0,"",'Inputs Yr 2'!A397)</f>
        <v/>
      </c>
      <c r="B360" s="91" t="str">
        <f>IF('Inputs Yr 2'!$B397=0,"",'Inputs Yr 2'!B397)</f>
        <v/>
      </c>
      <c r="C360" s="91" t="str">
        <f>IF('Inputs Yr 2'!$B360=0,"",'Inputs Yr 2'!C360)</f>
        <v/>
      </c>
      <c r="D360" s="91" t="str">
        <f>IF('Inputs Yr 2'!$B360=0,"",'Inputs Yr 2'!E360)</f>
        <v/>
      </c>
      <c r="E360" s="93" t="str">
        <f>IF('Inputs Yr 2'!$B360=0,"",'Inputs Yr 2'!F360)</f>
        <v/>
      </c>
      <c r="F360" s="93" t="str">
        <f>IF('Inputs Yr 2'!$B360=0,"",'Inputs Yr 2'!G360)</f>
        <v/>
      </c>
      <c r="G360" s="95" t="str">
        <f>IF('Inputs Yr 2'!$H360&lt;&gt;0,('Inputs Yr 2'!H360),"")</f>
        <v/>
      </c>
      <c r="H360" s="94">
        <f>IFERROR('Inputs Yr 2'!I360,"")</f>
        <v>0</v>
      </c>
      <c r="I360" s="298" t="str">
        <f>IFERROR('Inputs Yr 2'!J360*'Inputs Yr 2'!P360*G360,"")</f>
        <v/>
      </c>
      <c r="J360" s="298" t="str">
        <f>IFERROR('Inputs Yr 2'!K360*G360,"")</f>
        <v/>
      </c>
      <c r="K360" s="298" t="str">
        <f t="shared" si="173"/>
        <v/>
      </c>
      <c r="L360" s="194" t="str">
        <f>IFERROR(('Inputs Yr 2'!W360*G360)/1000,"")</f>
        <v/>
      </c>
      <c r="M360" s="194" t="str">
        <f>IFERROR(L360*('Inputs Yr 2'!$Q360*'Inputs Yr 2'!$V360*'Inputs Yr 2'!$R360),"")</f>
        <v/>
      </c>
      <c r="N360" s="194" t="str">
        <f t="shared" si="174"/>
        <v/>
      </c>
      <c r="O360" s="194" t="str">
        <f>IFERROR(M360*'Inputs Yr 2'!P360,"")</f>
        <v/>
      </c>
      <c r="P360" s="194" t="str">
        <f t="shared" si="175"/>
        <v/>
      </c>
      <c r="Q360" s="194" t="str">
        <f>IFERROR($P360*'Inputs Yr 2'!AA360,"")</f>
        <v/>
      </c>
      <c r="R360" s="194" t="str">
        <f>IFERROR($P360*'Inputs Yr 2'!AB360,"")</f>
        <v/>
      </c>
      <c r="S360" s="194" t="str">
        <f>IFERROR($P360*'Inputs Yr 2'!AC360,"")</f>
        <v/>
      </c>
      <c r="T360" s="194" t="str">
        <f>IFERROR($P360*'Inputs Yr 2'!AD360,"")</f>
        <v/>
      </c>
      <c r="U360" s="194" t="str">
        <f>IFERROR(G360*'Inputs Yr 2'!$AE360*'Inputs Yr 2'!$P360*'Inputs Yr 2'!$Q360,"")</f>
        <v/>
      </c>
      <c r="V360" s="194" t="str">
        <f>IFERROR($G360*'Inputs Yr 2'!$AE360*'Inputs Yr 2'!$AG360*'Inputs Yr 2'!Q360*'Inputs Yr 2'!$S360,"")</f>
        <v/>
      </c>
      <c r="W360" s="194" t="str">
        <f>IFERROR($G360*'Inputs Yr 2'!$AE360*'Inputs Yr 2'!$AG360*'Inputs Yr 2'!P360*'Inputs Yr 2'!Q360*'Inputs Yr 2'!$S360,"")</f>
        <v/>
      </c>
      <c r="X360" s="194" t="str">
        <f>IFERROR($G360*'Inputs Yr 2'!$AE360*'Inputs Yr 2'!$AF360*'Inputs Yr 2'!Q360*'Inputs Yr 2'!$T360,"")</f>
        <v/>
      </c>
      <c r="Y360" s="194" t="str">
        <f>IFERROR($G360*'Inputs Yr 2'!$AE360*'Inputs Yr 2'!$AF360*'Inputs Yr 2'!P360*'Inputs Yr 2'!Q360*'Inputs Yr 2'!$T360,"")</f>
        <v/>
      </c>
      <c r="Z360" s="257">
        <f>IFERROR($G360*'Inputs Yr 2'!$Q360*'Inputs Yr 2'!$U360*(IF(IFERROR(SEARCH("NG", 'Inputs Yr 2'!$AJ360),0),'Inputs Yr 2'!$AK360,0)+IF(IFERROR(SEARCH("NG", 'Inputs Yr 2'!$AL360),0),'Inputs Yr 2'!$AM360,0)+IF(IFERROR(SEARCH("NG", 'Inputs Yr 2'!$AN360),0),'Inputs Yr 2'!$AO360,0)),0)</f>
        <v>0</v>
      </c>
      <c r="AA360" s="257">
        <f t="shared" si="176"/>
        <v>0</v>
      </c>
      <c r="AB360" s="257">
        <f>IFERROR(Z360*'Inputs Yr 2'!$P360,0)</f>
        <v>0</v>
      </c>
      <c r="AC360" s="257">
        <f t="shared" si="177"/>
        <v>0</v>
      </c>
      <c r="AD360" s="257">
        <f>IFERROR($G360*'Inputs Yr 2'!$Q360*'Inputs Yr 2'!$U360*(IF(IFERROR(SEARCH("Oil", 'Inputs Yr 2'!$AJ360), 0),'Inputs Yr 2'!$AK360,0)+IF(IFERROR(SEARCH("Oil", 'Inputs Yr 2'!$AL360), 0),'Inputs Yr 2'!$AM360,0)+IF(IFERROR(SEARCH("Oil", 'Inputs Yr 2'!$AN360), 0),'Inputs Yr 2'!$AO360,0)),0)</f>
        <v>0</v>
      </c>
      <c r="AE360" s="257">
        <f t="shared" si="178"/>
        <v>0</v>
      </c>
      <c r="AF360" s="257">
        <f>IFERROR(AD360*'Inputs Yr 2'!$P360,0)</f>
        <v>0</v>
      </c>
      <c r="AG360" s="257">
        <f t="shared" si="179"/>
        <v>0</v>
      </c>
      <c r="AH360" s="257">
        <f>IFERROR($G360*'Inputs Yr 2'!$Q360*'Inputs Yr 2'!$U360*(IF('Inputs Yr 2'!$AJ360=CD$4,'Inputs Yr 2'!$AK360,IF('Inputs Yr 2'!$AL360=CD$4,'Inputs Yr 2'!$AM360,IF('Inputs Yr 2'!$AN360=CD$4,'Inputs Yr 2'!$AO360,0)))),0)</f>
        <v>0</v>
      </c>
      <c r="AI360" s="257">
        <f t="shared" si="180"/>
        <v>0</v>
      </c>
      <c r="AJ360" s="257">
        <f>IFERROR(AH360*'Inputs Yr 2'!$P360,0)</f>
        <v>0</v>
      </c>
      <c r="AK360" s="257">
        <f t="shared" si="181"/>
        <v>0</v>
      </c>
      <c r="AL360" s="258">
        <f>IFERROR($G360*'Inputs Yr 2'!$P360*'Inputs Yr 2'!$Q360*'Inputs Yr 2'!AP360,0)</f>
        <v>0</v>
      </c>
      <c r="AM360" s="260">
        <f>IFERROR($G360*'Inputs Yr 2'!$P360*'Inputs Yr 2'!$Q360*'Inputs Yr 2'!AQ360,0)</f>
        <v>0</v>
      </c>
      <c r="AN360" s="258">
        <f>IFERROR($G360*'Inputs Yr 2'!$P360*'Inputs Yr 2'!$Q360*'Inputs Yr 2'!AR360,0)</f>
        <v>0</v>
      </c>
      <c r="AO360" s="257">
        <f t="shared" si="182"/>
        <v>0</v>
      </c>
      <c r="AP360" s="195" t="str">
        <f>IFERROR($CQ360*(INDEX(avoidedcosttbl2,$H360,AP$2)+(($H360-ROUNDDOWN($H360,0))*(INDEX(avoidedcosttbl2,ROUNDUP($H360,0),AP$2)-(INDEX(avoidedcosttbl2,ROUNDDOWN($H360,0),AP$2)))))*$O360*1000*'Inputs Yr 2'!AA360,"")</f>
        <v/>
      </c>
      <c r="AQ360" s="195" t="str">
        <f>IFERROR($CR360*(INDEX(avoidedcosttbl2,$H360,AQ$2)+(($H360-ROUNDDOWN($H360,0))*(INDEX(avoidedcosttbl2,ROUNDUP($H360,0),AQ$2)-(INDEX(avoidedcosttbl2,ROUNDDOWN($H360,0),AQ$2)))))*$O360*1000*'Inputs Yr 2'!AB360,"")</f>
        <v/>
      </c>
      <c r="AR360" s="195" t="str">
        <f>IFERROR($CS360*(INDEX(avoidedcosttbl2,$H360,AR$2)+(($H360-ROUNDDOWN($H360,0))*(INDEX(avoidedcosttbl2,ROUNDUP($H360,0),AR$2)-(INDEX(avoidedcosttbl2,ROUNDDOWN($H360,0),AR$2)))))*$O360*1000*'Inputs Yr 2'!AC360,"")</f>
        <v/>
      </c>
      <c r="AS360" s="195" t="str">
        <f>IFERROR($CT360*(INDEX(avoidedcosttbl2,$H360,AS$2)+(($H360-ROUNDDOWN($H360,0))*(INDEX(avoidedcosttbl2,ROUNDUP($H360,0),AS$2)-(INDEX(avoidedcosttbl2,ROUNDDOWN($H360,0),AS$2)))))*$O360*1000*'Inputs Yr 2'!AD360,"")</f>
        <v/>
      </c>
      <c r="AT360" s="196">
        <f t="shared" si="183"/>
        <v>0</v>
      </c>
      <c r="AU360" s="197" t="str">
        <f>IFERROR($CQ360*((INDEX(avoidedcosttbl2,$H360,AU$2))+(($H360-ROUNDDOWN($H360,0))*((INDEX(avoidedcosttbl2,ROUNDUP($H360,0),AU$2))-(INDEX(avoidedcosttbl2,ROUNDDOWN($H360,0),AU$2)))))*$O360*1000*'Inputs Yr 2'!AA360,"")</f>
        <v/>
      </c>
      <c r="AV360" s="197" t="str">
        <f>IFERROR($CR360*((INDEX(avoidedcosttbl2,$H360,AV$2))+(($H360-ROUNDDOWN($H360,0))*((INDEX(avoidedcosttbl2,ROUNDUP($H360,0),AV$2))-(INDEX(avoidedcosttbl2,ROUNDDOWN($H360,0),AV$2)))))*$O360*1000*'Inputs Yr 2'!AB360,"")</f>
        <v/>
      </c>
      <c r="AW360" s="197" t="str">
        <f>IFERROR($CS360*((INDEX(avoidedcosttbl2,$H360,AW$2))+(($H360-ROUNDDOWN($H360,0))*((INDEX(avoidedcosttbl2,ROUNDUP($H360,0),AW$2))-(INDEX(avoidedcosttbl2,ROUNDDOWN($H360,0),AW$2)))))*$O360*1000*'Inputs Yr 2'!AC360,"")</f>
        <v/>
      </c>
      <c r="AX360" s="197" t="str">
        <f>IFERROR($CT360*((INDEX(avoidedcosttbl2,$H360,AX$2))+(($H360-ROUNDDOWN($H360,0))*((INDEX(avoidedcosttbl2,ROUNDUP($H360,0),AX$2))-(INDEX(avoidedcosttbl2,ROUNDDOWN($H360,0),AX$2)))))*$O360*1000*'Inputs Yr 2'!AD360,"")</f>
        <v/>
      </c>
      <c r="AY360" s="197" t="str">
        <f>IFERROR(((INDEX(avoidedcosttbl2,$H360,AY$2))+(($H360-ROUNDDOWN($H360,0))*((INDEX(avoidedcosttbl2,ROUNDUP($H360,0),AY$2))-(INDEX(avoidedcosttbl2,ROUNDDOWN($H360,0),AY$2)))))*$O360*1000*('Inputs Yr 2'!AC360+'Inputs Yr 2'!AD360),"")</f>
        <v/>
      </c>
      <c r="AZ360" s="197" t="str">
        <f>IFERROR(((INDEX(avoidedcosttbl2,$H360,AZ$2))+(($H360-ROUNDDOWN($H360,0))*((INDEX(avoidedcosttbl2,ROUNDUP($H360,0),AZ$2))-(INDEX(avoidedcosttbl2,ROUNDDOWN($H360,0),AZ$2)))))*$O360*1000*('Inputs Yr 2'!AA360+'Inputs Yr 2'!AB360),"")</f>
        <v/>
      </c>
      <c r="BA360" s="198">
        <f t="shared" si="184"/>
        <v>0</v>
      </c>
      <c r="BB360" s="198">
        <f t="shared" si="185"/>
        <v>0</v>
      </c>
      <c r="BC360" s="195" t="str">
        <f t="shared" si="167"/>
        <v/>
      </c>
      <c r="BD360" s="195" t="str">
        <f t="shared" si="168"/>
        <v/>
      </c>
      <c r="BE360" s="195" t="str">
        <f t="shared" si="169"/>
        <v/>
      </c>
      <c r="BF360" s="195" t="str">
        <f t="shared" si="170"/>
        <v/>
      </c>
      <c r="BG360" s="195" t="str">
        <f t="shared" si="171"/>
        <v/>
      </c>
      <c r="BH360" s="196">
        <f t="shared" si="186"/>
        <v>0</v>
      </c>
      <c r="BI360" s="196">
        <f t="shared" si="187"/>
        <v>0</v>
      </c>
      <c r="BJ360" s="195" t="str">
        <f>IFERROR($G360*(IF('Inputs Yr 2'!$AJ360=BJ$4,'Inputs Yr 2'!$AK360,IF('Inputs Yr 2'!$AL360=BJ$4,'Inputs Yr 2'!$AM360,IF('Inputs Yr 2'!$AN360=BJ$4,'Inputs Yr 2'!$AO360,0))))*(INDEX(avoidedcosttbl2,$H360,BJ$2)+(($H360-ROUNDDOWN($H360,0))*(INDEX(avoidedcosttbl2,ROUNDUP($H360,0),BJ$2)-(INDEX(avoidedcosttbl2,ROUNDDOWN($H360,0),BJ$2)))))*'Inputs Yr 2'!P360*'Inputs Yr 2'!Q360*'Inputs Yr 2'!U360,"")</f>
        <v/>
      </c>
      <c r="BK360" s="195" t="str">
        <f>IFERROR($G360*(IF('Inputs Yr 2'!$AJ360=BK$4,'Inputs Yr 2'!$AK360,IF('Inputs Yr 2'!$AL360=BK$4,'Inputs Yr 2'!$AM360,IF('Inputs Yr 2'!$AN360=BK$4,'Inputs Yr 2'!$AO360,0))))*(INDEX(avoidedcosttbl2,$H360,BK$2)+(($H360-ROUNDDOWN($H360,0))*(INDEX(avoidedcosttbl2,ROUNDUP($H360,0),BK$2)-(INDEX(avoidedcosttbl2,ROUNDDOWN($H360,0),BK$2)))))*'Inputs Yr 2'!P360*'Inputs Yr 2'!Q360*'Inputs Yr 2'!U360,"")</f>
        <v/>
      </c>
      <c r="BL360" s="195" t="str">
        <f>IFERROR($G360*(IF('Inputs Yr 2'!$AJ360=BL$4,'Inputs Yr 2'!$AK360,IF('Inputs Yr 2'!$AL360=BL$4,'Inputs Yr 2'!$AM360,IF('Inputs Yr 2'!$AN360=BL$4,'Inputs Yr 2'!$AO360,0))))*(INDEX(avoidedcosttbl2,$H360,BL$2)+(($H360-ROUNDDOWN($H360,0))*(INDEX(avoidedcosttbl2,ROUNDUP($H360,0),BL$2)-(INDEX(avoidedcosttbl2,ROUNDDOWN($H360,0),BL$2)))))*'Inputs Yr 2'!P360*'Inputs Yr 2'!Q360*'Inputs Yr 2'!U360,"")</f>
        <v/>
      </c>
      <c r="BM360" s="195" t="str">
        <f>IFERROR($G360*(IF('Inputs Yr 2'!$AJ360=BM$4,'Inputs Yr 2'!$AK360,IF('Inputs Yr 2'!$AL360=BM$4,'Inputs Yr 2'!$AM360,IF('Inputs Yr 2'!$AN360=BM$4,'Inputs Yr 2'!$AO360,0))))*(INDEX(avoidedcosttbl2,$H360,BM$2)+(($H360-ROUNDDOWN($H360,0))*(INDEX(avoidedcosttbl2,ROUNDUP($H360,0),BM$2)-(INDEX(avoidedcosttbl2,ROUNDDOWN($H360,0),BM$2)))))*'Inputs Yr 2'!P360*'Inputs Yr 2'!Q360*'Inputs Yr 2'!U360,"")</f>
        <v/>
      </c>
      <c r="BN360" s="195" t="str">
        <f>IFERROR($G360*(IF('Inputs Yr 2'!$AJ360=BN$4,'Inputs Yr 2'!$AK360,IF('Inputs Yr 2'!$AL360=BN$4,'Inputs Yr 2'!$AM360,IF('Inputs Yr 2'!$AN360=BN$4,'Inputs Yr 2'!$AO360,0))))*(INDEX(avoidedcosttbl2,$H360,BN$2)+(($H360-ROUNDDOWN($H360,0))*(INDEX(avoidedcosttbl2,ROUNDUP($H360,0),BN$2)-(INDEX(avoidedcosttbl2,ROUNDDOWN($H360,0),BN$2)))))*'Inputs Yr 2'!P360*'Inputs Yr 2'!Q360*'Inputs Yr 2'!U360,"")</f>
        <v/>
      </c>
      <c r="BO360" s="195" t="str">
        <f>IFERROR($G360*(IF('Inputs Yr 2'!$AJ360=BO$4,'Inputs Yr 2'!$AK360,IF('Inputs Yr 2'!$AL360=BO$4,'Inputs Yr 2'!$AM360,IF('Inputs Yr 2'!$AN360=BO$4,'Inputs Yr 2'!$AO360,0))))*(INDEX(avoidedcosttbl2,$H360,BO$2)+(($H360-ROUNDDOWN($H360,0))*(INDEX(avoidedcosttbl2,ROUNDUP($H360,0),BO$2)-(INDEX(avoidedcosttbl2,ROUNDDOWN($H360,0),BO$2)))))*'Inputs Yr 2'!P360*'Inputs Yr 2'!Q360*'Inputs Yr 2'!U360,"")</f>
        <v/>
      </c>
      <c r="BP360" s="195" t="str">
        <f>IFERROR($G360*(IF('Inputs Yr 2'!$AJ360=BP$4,'Inputs Yr 2'!$AK360,IF('Inputs Yr 2'!$AL360=BP$4,'Inputs Yr 2'!$AM360,IF('Inputs Yr 2'!$AN360=BP$4,'Inputs Yr 2'!$AO360,0))))*(INDEX(avoidedcosttbl2,$H360,BP$2)+(($H360-ROUNDDOWN($H360,0))*(INDEX(avoidedcosttbl2,ROUNDUP($H360,0),BP$2)-(INDEX(avoidedcosttbl2,ROUNDDOWN($H360,0),BP$2)))))*'Inputs Yr 2'!P360*'Inputs Yr 2'!Q360*'Inputs Yr 2'!U360,"")</f>
        <v/>
      </c>
      <c r="BQ360" s="230">
        <f t="shared" si="188"/>
        <v>0</v>
      </c>
      <c r="BR360" s="197" t="str">
        <f t="shared" si="172"/>
        <v/>
      </c>
      <c r="BS360" s="197" t="str">
        <f>IFERROR(($G360*IF('Inputs Yr 2'!$AJ360=BM$4,'Inputs Yr 2'!$AK360,IF('Inputs Yr 2'!$AL360=BM$4,'Inputs Yr 2'!$AM360,IF('Inputs Yr 2'!$AN360=BM$4,'Inputs Yr 2'!$AO360,0))))*(INDEX(avoidedcosttbl2,$H360,BS$2)+(($H360-ROUNDDOWN($H360,0))*(INDEX(avoidedcosttbl2,ROUNDUP($H360,0),BS$2)-(INDEX(avoidedcosttbl2,ROUNDDOWN($H360,0),BS$2)))))*'Inputs Yr 2'!P360*'Inputs Yr 2'!Q360*'Inputs Yr 2'!U360,"")</f>
        <v/>
      </c>
      <c r="BT360" s="197" t="str">
        <f>IFERROR(($G360*IF('Inputs Yr 2'!$AJ360=BK$4,'Inputs Yr 2'!$AK360,IF('Inputs Yr 2'!$AL360=BK$4,'Inputs Yr 2'!$AM360,IF('Inputs Yr 2'!$AN360=BK$4,'Inputs Yr 2'!$AO360,0))))*(INDEX(avoidedcosttbl2,$H360,BT$2)+(($H360-ROUNDDOWN($H360,0))*(INDEX(avoidedcosttbl2,ROUNDUP($H360,0),BT$2)-(INDEX(avoidedcosttbl2,ROUNDDOWN($H360,0),BT$2)))))*'Inputs Yr 2'!P360*'Inputs Yr 2'!Q360*'Inputs Yr 2'!U360,"")</f>
        <v/>
      </c>
      <c r="BU360" s="197" t="str">
        <f>IFERROR(($G360*IF('Inputs Yr 2'!$AJ360=BL$4,'Inputs Yr 2'!$AK360,IF('Inputs Yr 2'!$AL360=BL$4,'Inputs Yr 2'!$AM360,IF('Inputs Yr 2'!$AN360=BL$4,'Inputs Yr 2'!$AO360,0))))*(INDEX(avoidedcosttbl2,$H360,BU$2)+(($H360-ROUNDDOWN($H360,0))*(INDEX(avoidedcosttbl2,ROUNDUP($H360,0),BU$2)-(INDEX(avoidedcosttbl2,ROUNDDOWN($H360,0),BU$2)))))*'Inputs Yr 2'!P360*'Inputs Yr 2'!Q360*'Inputs Yr 2'!U360,"")</f>
        <v/>
      </c>
      <c r="BV360" s="775" t="str">
        <f>IFERROR(($G360*IF('Inputs Yr 2'!$AJ360=BJ$4,'Inputs Yr 2'!$AK360,IF('Inputs Yr 2'!$AL360=BJ$4,'Inputs Yr 2'!$AM360,IF('Inputs Yr 2'!$AN360=BJ$4,'Inputs Yr 2'!$AO360,0))))*(INDEX(avoidedcosttbl2,$H360,BV$2)+(($H360-ROUNDDOWN($H360,0))*(INDEX(avoidedcosttbl2,ROUNDUP($H360,0),BV$2)-(INDEX(avoidedcosttbl2,ROUNDDOWN($H360,0),BV$2)))))*'Inputs Yr 2'!P360*'Inputs Yr 2'!Q360*'Inputs Yr 2'!U360,"")</f>
        <v/>
      </c>
      <c r="BW360" s="197" t="str">
        <f>IFERROR(($G360*IF('Inputs Yr 2'!$AJ360=BN$4,'Inputs Yr 2'!$AK360,IF('Inputs Yr 2'!$AL360=BN$4,'Inputs Yr 2'!$AM360,IF('Inputs Yr 2'!$AN360=BN$4,'Inputs Yr 2'!$AO360,0))))*(INDEX(avoidedcosttbl2,$H360,BW$2)+(($H360-ROUNDDOWN($H360,0))*(INDEX(avoidedcosttbl2,ROUNDUP($H360,0),BW$2)-(INDEX(avoidedcosttbl2,ROUNDDOWN($H360,0),BW$2)))))*'Inputs Yr 2'!P360*'Inputs Yr 2'!Q360*'Inputs Yr 2'!U360,"")</f>
        <v/>
      </c>
      <c r="BX360" s="197" t="str">
        <f>IFERROR(($G360*IF('Inputs Yr 2'!$AJ360=BO$4,'Inputs Yr 2'!$AK360,IF('Inputs Yr 2'!$AL360=BO$4,'Inputs Yr 2'!$AM360,IF('Inputs Yr 2'!$AN360=BO$4,'Inputs Yr 2'!$AO360,0))))*(INDEX(avoidedcosttbl2,$H360,BX$2)+(($H360-ROUNDDOWN($H360,0))*(INDEX(avoidedcosttbl2,ROUNDUP($H360,0),BX$2)-(INDEX(avoidedcosttbl2,ROUNDDOWN($H360,0),BX$2)))))*'Inputs Yr 2'!P360*'Inputs Yr 2'!Q360*'Inputs Yr 2'!U360,"")</f>
        <v/>
      </c>
      <c r="BY360" s="197" t="str">
        <f>IFERROR(($G360*IF('Inputs Yr 2'!$AJ360=BP$4,'Inputs Yr 2'!$AK360,IF('Inputs Yr 2'!$AL360=BP$4,'Inputs Yr 2'!$AM360,IF('Inputs Yr 2'!$AN360=BP$4,'Inputs Yr 2'!$AO360,0))))*(INDEX(avoidedcosttbl2,$H360,BY$2)+(($H360-ROUNDDOWN($H360,0))*(INDEX(avoidedcosttbl2,ROUNDUP($H360,0),BY$2)-(INDEX(avoidedcosttbl2,ROUNDDOWN($H360,0),BY$2)))))*'Inputs Yr 2'!P360*'Inputs Yr 2'!Q360*'Inputs Yr 2'!U360,"")</f>
        <v/>
      </c>
      <c r="BZ360" s="193">
        <f t="shared" si="189"/>
        <v>0</v>
      </c>
      <c r="CA360" s="193">
        <f t="shared" si="190"/>
        <v>0</v>
      </c>
      <c r="CB360" s="195" t="str">
        <f>IFERROR(G360*(IF('Inputs Yr 2'!$AJ360=CB$4,'Inputs Yr 2'!$AK360,IF('Inputs Yr 2'!$AL360=CB$4,'Inputs Yr 2'!$AM360,IF('Inputs Yr 2'!$AN360=CB$4,'Inputs Yr 2'!$AO360,0))))*(INDEX(avoidedcosttbl2,$H360,CB$2)+(($H360-ROUNDDOWN($H360,0))*(INDEX(avoidedcosttbl2,ROUNDUP($H360,0),CB$2)-(INDEX(avoidedcosttbl2,ROUNDDOWN($H360,0),CB$2)))))*'Inputs Yr 2'!P360*'Inputs Yr 2'!Q360*'Inputs Yr 2'!U360,"")</f>
        <v/>
      </c>
      <c r="CC360" s="195" t="str">
        <f>IFERROR(H360*(IF('Inputs Yr 2'!$AJ360=CC$4,'Inputs Yr 2'!$AK360,IF('Inputs Yr 2'!$AL360=CC$4,'Inputs Yr 2'!$AM360,IF('Inputs Yr 2'!$AN360=CC$4,'Inputs Yr 2'!$AO360,0))))*(INDEX(avoidedcosttbl2,$H360,CC$2)+(($H360-ROUNDDOWN($H360,0))*(INDEX(avoidedcosttbl2,ROUNDUP($H360,0),CC$2)-(INDEX(avoidedcosttbl2,ROUNDDOWN($H360,0),CC$2)))))*'Inputs Yr 2'!Q360*'Inputs Yr 2'!R360*'Inputs Yr 2'!V360,"")</f>
        <v/>
      </c>
      <c r="CD360" s="195" t="str">
        <f>IFERROR(I360*(IF('Inputs Yr 2'!$AJ360=CD$4,'Inputs Yr 2'!$AK360,IF('Inputs Yr 2'!$AL360=CD$4,'Inputs Yr 2'!$AM360,IF('Inputs Yr 2'!$AN360=CD$4,'Inputs Yr 2'!$AO360,0))))*(INDEX(avoidedcosttbl2,$H360,CD$2)+(($H360-ROUNDDOWN($H360,0))*(INDEX(avoidedcosttbl2,ROUNDUP($H360,0),CD$2)-(INDEX(avoidedcosttbl2,ROUNDDOWN($H360,0),CD$2)))))*'Inputs Yr 2'!R360*'Inputs Yr 2'!S360*'Inputs Yr 2'!W360,"")</f>
        <v/>
      </c>
      <c r="CE360" s="213" t="str">
        <f t="shared" si="191"/>
        <v/>
      </c>
      <c r="CF360" s="213" t="str">
        <f t="shared" si="192"/>
        <v/>
      </c>
      <c r="CG360" s="213" t="str">
        <f t="shared" si="193"/>
        <v/>
      </c>
      <c r="CH360" s="698">
        <f t="shared" si="194"/>
        <v>0</v>
      </c>
      <c r="CI360" s="79" t="str">
        <f>IFERROR(($G360*'Inputs Yr 2'!$P360*'Inputs Yr 2'!$Q360*(((INDEX(avoidedcosttbl2,$H360,CI$2)+(($H360-ROUNDDOWN($H360,0))*(INDEX(avoidedcosttbl2,ROUNDUP($H360,0),CI$2)-INDEX(avoidedcosttbl2,ROUNDDOWN($H360,0),CI$2))))*'Inputs Yr 2'!AS360))),"")</f>
        <v/>
      </c>
      <c r="CJ360" s="504" t="str">
        <f>IFERROR($G360*'Inputs Yr 2'!AT360*'Inputs Yr 2'!$P360*'Inputs Yr 2'!$Q360/((1+realdiscrt1)^-0.5),"")</f>
        <v/>
      </c>
      <c r="CK360" s="79" t="str">
        <f>IFERROR((O360*1000*(((INDEX(avoidedcosttbl2,$H360,CK$2)+(($H360-ROUNDDOWN($H360,0))*(INDEX(avoidedcosttbl2,ROUNDUP($H360,0),CK$2)-INDEX(avoidedcosttbl2,ROUNDDOWN($H360,0),CK$2))))*'Inputs Yr 2'!AU360))),"")</f>
        <v/>
      </c>
      <c r="CL360" s="504" t="str">
        <f>IFERROR(O360*1000*'Inputs Yr 2'!AV360/((1+realdiscrt1)^-0.5),"")</f>
        <v/>
      </c>
      <c r="CM360" s="79" t="str">
        <f>IFERROR((AB360*'Inputs Yr 2'!AW360*(((INDEX(avoidedcosttbl2,$H360,CM$2)+(($H360-ROUNDDOWN($H360,0))*(INDEX(avoidedcosttbl2,ROUNDUP($H360,0),CM$2)-INDEX(avoidedcosttbl2,ROUNDDOWN($H360,0),CM$2)))))))*10,"")</f>
        <v/>
      </c>
      <c r="CN360" s="504">
        <f>IFERROR(10*AB360*'Inputs Yr 2'!AX360/((1+realdiscrt1)^-0.5),"")</f>
        <v>0</v>
      </c>
      <c r="CO360" s="505">
        <f t="shared" si="195"/>
        <v>0</v>
      </c>
      <c r="CP360" s="230">
        <f t="shared" si="196"/>
        <v>0</v>
      </c>
      <c r="CQ360" s="199">
        <f>ROUND(IFERROR(IF(LEFT($A360,1)="C",'Avoided Costs'!$K$13,'Avoided Costs'!$K$12)+1,""),4)</f>
        <v>1.0720000000000001</v>
      </c>
      <c r="CR360" s="199">
        <f>ROUND(IFERROR(IF(LEFT($A360,1)="C",'Avoided Costs'!$L$13,'Avoided Costs'!$L$12)+1,""),4)</f>
        <v>1.04</v>
      </c>
      <c r="CS360" s="199">
        <f>ROUND(IFERROR(IF(LEFT($A360,1)="C",'Avoided Costs'!$M$13,'Avoided Costs'!$M$12)+1,""),4)</f>
        <v>1.0720000000000001</v>
      </c>
      <c r="CT360" s="199">
        <f>ROUND(IFERROR(IF(LEFT($A360,1)="C",'Avoided Costs'!$N$13,'Avoided Costs'!$N$12)+1,""),4)</f>
        <v>1.04</v>
      </c>
      <c r="CU360" s="199">
        <f>ROUND(IFERROR(IF(LEFT($A360,1)="C",'Avoided Costs'!$O$13,'Avoided Costs'!$O$12)+1,""),4)</f>
        <v>1.1120000000000001</v>
      </c>
      <c r="CV360" s="199">
        <f>ROUND(IFERROR(IF(LEFT($A360,1)="C",'Avoided Costs'!$P$13,'Avoided Costs'!$P$12)+1,""),4)</f>
        <v>1.095</v>
      </c>
      <c r="CW360" s="199">
        <f>ROUND(IFERROR(IF(LEFT($A360,1)="C",'Avoided Costs'!$Q$13,'Avoided Costs'!$Q$12)+1,""),4)</f>
        <v>1.1120000000000001</v>
      </c>
      <c r="CX360" s="200">
        <f>ROUND(IFERROR(IF(LEFT($A360,1)="C",'Avoided Costs'!$R$13,'Avoided Costs'!$R$12)+1,""),4)</f>
        <v>1.1120000000000001</v>
      </c>
    </row>
    <row r="361" spans="1:102" s="128" customFormat="1" ht="12.75" customHeight="1">
      <c r="A361" s="91" t="str">
        <f>IF('Inputs Yr 2'!$B398=0,"",'Inputs Yr 2'!A398)</f>
        <v/>
      </c>
      <c r="B361" s="91" t="str">
        <f>IF('Inputs Yr 2'!$B398=0,"",'Inputs Yr 2'!B398)</f>
        <v/>
      </c>
      <c r="C361" s="91" t="str">
        <f>IF('Inputs Yr 2'!$B361=0,"",'Inputs Yr 2'!C361)</f>
        <v/>
      </c>
      <c r="D361" s="91" t="str">
        <f>IF('Inputs Yr 2'!$B361=0,"",'Inputs Yr 2'!E361)</f>
        <v/>
      </c>
      <c r="E361" s="93" t="str">
        <f>IF('Inputs Yr 2'!$B361=0,"",'Inputs Yr 2'!F361)</f>
        <v/>
      </c>
      <c r="F361" s="93" t="str">
        <f>IF('Inputs Yr 2'!$B361=0,"",'Inputs Yr 2'!G361)</f>
        <v/>
      </c>
      <c r="G361" s="95" t="str">
        <f>IF('Inputs Yr 2'!$H361&lt;&gt;0,('Inputs Yr 2'!H361),"")</f>
        <v/>
      </c>
      <c r="H361" s="94">
        <f>IFERROR('Inputs Yr 2'!I361,"")</f>
        <v>0</v>
      </c>
      <c r="I361" s="298" t="str">
        <f>IFERROR('Inputs Yr 2'!J361*'Inputs Yr 2'!P361*G361,"")</f>
        <v/>
      </c>
      <c r="J361" s="298" t="str">
        <f>IFERROR('Inputs Yr 2'!K361*G361,"")</f>
        <v/>
      </c>
      <c r="K361" s="298" t="str">
        <f t="shared" si="173"/>
        <v/>
      </c>
      <c r="L361" s="194" t="str">
        <f>IFERROR(('Inputs Yr 2'!W361*G361)/1000,"")</f>
        <v/>
      </c>
      <c r="M361" s="194" t="str">
        <f>IFERROR(L361*('Inputs Yr 2'!$Q361*'Inputs Yr 2'!$V361*'Inputs Yr 2'!$R361),"")</f>
        <v/>
      </c>
      <c r="N361" s="194" t="str">
        <f t="shared" si="174"/>
        <v/>
      </c>
      <c r="O361" s="194" t="str">
        <f>IFERROR(M361*'Inputs Yr 2'!P361,"")</f>
        <v/>
      </c>
      <c r="P361" s="194" t="str">
        <f t="shared" si="175"/>
        <v/>
      </c>
      <c r="Q361" s="194" t="str">
        <f>IFERROR($P361*'Inputs Yr 2'!AA361,"")</f>
        <v/>
      </c>
      <c r="R361" s="194" t="str">
        <f>IFERROR($P361*'Inputs Yr 2'!AB361,"")</f>
        <v/>
      </c>
      <c r="S361" s="194" t="str">
        <f>IFERROR($P361*'Inputs Yr 2'!AC361,"")</f>
        <v/>
      </c>
      <c r="T361" s="194" t="str">
        <f>IFERROR($P361*'Inputs Yr 2'!AD361,"")</f>
        <v/>
      </c>
      <c r="U361" s="194" t="str">
        <f>IFERROR(G361*'Inputs Yr 2'!$AE361*'Inputs Yr 2'!$P361*'Inputs Yr 2'!$Q361,"")</f>
        <v/>
      </c>
      <c r="V361" s="194" t="str">
        <f>IFERROR($G361*'Inputs Yr 2'!$AE361*'Inputs Yr 2'!$AG361*'Inputs Yr 2'!Q361*'Inputs Yr 2'!$S361,"")</f>
        <v/>
      </c>
      <c r="W361" s="194" t="str">
        <f>IFERROR($G361*'Inputs Yr 2'!$AE361*'Inputs Yr 2'!$AG361*'Inputs Yr 2'!P361*'Inputs Yr 2'!Q361*'Inputs Yr 2'!$S361,"")</f>
        <v/>
      </c>
      <c r="X361" s="194" t="str">
        <f>IFERROR($G361*'Inputs Yr 2'!$AE361*'Inputs Yr 2'!$AF361*'Inputs Yr 2'!Q361*'Inputs Yr 2'!$T361,"")</f>
        <v/>
      </c>
      <c r="Y361" s="194" t="str">
        <f>IFERROR($G361*'Inputs Yr 2'!$AE361*'Inputs Yr 2'!$AF361*'Inputs Yr 2'!P361*'Inputs Yr 2'!Q361*'Inputs Yr 2'!$T361,"")</f>
        <v/>
      </c>
      <c r="Z361" s="257">
        <f>IFERROR($G361*'Inputs Yr 2'!$Q361*'Inputs Yr 2'!$U361*(IF(IFERROR(SEARCH("NG", 'Inputs Yr 2'!$AJ361),0),'Inputs Yr 2'!$AK361,0)+IF(IFERROR(SEARCH("NG", 'Inputs Yr 2'!$AL361),0),'Inputs Yr 2'!$AM361,0)+IF(IFERROR(SEARCH("NG", 'Inputs Yr 2'!$AN361),0),'Inputs Yr 2'!$AO361,0)),0)</f>
        <v>0</v>
      </c>
      <c r="AA361" s="257">
        <f t="shared" si="176"/>
        <v>0</v>
      </c>
      <c r="AB361" s="257">
        <f>IFERROR(Z361*'Inputs Yr 2'!$P361,0)</f>
        <v>0</v>
      </c>
      <c r="AC361" s="257">
        <f t="shared" si="177"/>
        <v>0</v>
      </c>
      <c r="AD361" s="257">
        <f>IFERROR($G361*'Inputs Yr 2'!$Q361*'Inputs Yr 2'!$U361*(IF(IFERROR(SEARCH("Oil", 'Inputs Yr 2'!$AJ361), 0),'Inputs Yr 2'!$AK361,0)+IF(IFERROR(SEARCH("Oil", 'Inputs Yr 2'!$AL361), 0),'Inputs Yr 2'!$AM361,0)+IF(IFERROR(SEARCH("Oil", 'Inputs Yr 2'!$AN361), 0),'Inputs Yr 2'!$AO361,0)),0)</f>
        <v>0</v>
      </c>
      <c r="AE361" s="257">
        <f t="shared" si="178"/>
        <v>0</v>
      </c>
      <c r="AF361" s="257">
        <f>IFERROR(AD361*'Inputs Yr 2'!$P361,0)</f>
        <v>0</v>
      </c>
      <c r="AG361" s="257">
        <f t="shared" si="179"/>
        <v>0</v>
      </c>
      <c r="AH361" s="257">
        <f>IFERROR($G361*'Inputs Yr 2'!$Q361*'Inputs Yr 2'!$U361*(IF('Inputs Yr 2'!$AJ361=CD$4,'Inputs Yr 2'!$AK361,IF('Inputs Yr 2'!$AL361=CD$4,'Inputs Yr 2'!$AM361,IF('Inputs Yr 2'!$AN361=CD$4,'Inputs Yr 2'!$AO361,0)))),0)</f>
        <v>0</v>
      </c>
      <c r="AI361" s="257">
        <f t="shared" si="180"/>
        <v>0</v>
      </c>
      <c r="AJ361" s="257">
        <f>IFERROR(AH361*'Inputs Yr 2'!$P361,0)</f>
        <v>0</v>
      </c>
      <c r="AK361" s="257">
        <f t="shared" si="181"/>
        <v>0</v>
      </c>
      <c r="AL361" s="258">
        <f>IFERROR($G361*'Inputs Yr 2'!$P361*'Inputs Yr 2'!$Q361*'Inputs Yr 2'!AP361,0)</f>
        <v>0</v>
      </c>
      <c r="AM361" s="260">
        <f>IFERROR($G361*'Inputs Yr 2'!$P361*'Inputs Yr 2'!$Q361*'Inputs Yr 2'!AQ361,0)</f>
        <v>0</v>
      </c>
      <c r="AN361" s="258">
        <f>IFERROR($G361*'Inputs Yr 2'!$P361*'Inputs Yr 2'!$Q361*'Inputs Yr 2'!AR361,0)</f>
        <v>0</v>
      </c>
      <c r="AO361" s="257">
        <f t="shared" si="182"/>
        <v>0</v>
      </c>
      <c r="AP361" s="195" t="str">
        <f>IFERROR($CQ361*(INDEX(avoidedcosttbl2,$H361,AP$2)+(($H361-ROUNDDOWN($H361,0))*(INDEX(avoidedcosttbl2,ROUNDUP($H361,0),AP$2)-(INDEX(avoidedcosttbl2,ROUNDDOWN($H361,0),AP$2)))))*$O361*1000*'Inputs Yr 2'!AA361,"")</f>
        <v/>
      </c>
      <c r="AQ361" s="195" t="str">
        <f>IFERROR($CR361*(INDEX(avoidedcosttbl2,$H361,AQ$2)+(($H361-ROUNDDOWN($H361,0))*(INDEX(avoidedcosttbl2,ROUNDUP($H361,0),AQ$2)-(INDEX(avoidedcosttbl2,ROUNDDOWN($H361,0),AQ$2)))))*$O361*1000*'Inputs Yr 2'!AB361,"")</f>
        <v/>
      </c>
      <c r="AR361" s="195" t="str">
        <f>IFERROR($CS361*(INDEX(avoidedcosttbl2,$H361,AR$2)+(($H361-ROUNDDOWN($H361,0))*(INDEX(avoidedcosttbl2,ROUNDUP($H361,0),AR$2)-(INDEX(avoidedcosttbl2,ROUNDDOWN($H361,0),AR$2)))))*$O361*1000*'Inputs Yr 2'!AC361,"")</f>
        <v/>
      </c>
      <c r="AS361" s="195" t="str">
        <f>IFERROR($CT361*(INDEX(avoidedcosttbl2,$H361,AS$2)+(($H361-ROUNDDOWN($H361,0))*(INDEX(avoidedcosttbl2,ROUNDUP($H361,0),AS$2)-(INDEX(avoidedcosttbl2,ROUNDDOWN($H361,0),AS$2)))))*$O361*1000*'Inputs Yr 2'!AD361,"")</f>
        <v/>
      </c>
      <c r="AT361" s="196">
        <f t="shared" si="183"/>
        <v>0</v>
      </c>
      <c r="AU361" s="197" t="str">
        <f>IFERROR($CQ361*((INDEX(avoidedcosttbl2,$H361,AU$2))+(($H361-ROUNDDOWN($H361,0))*((INDEX(avoidedcosttbl2,ROUNDUP($H361,0),AU$2))-(INDEX(avoidedcosttbl2,ROUNDDOWN($H361,0),AU$2)))))*$O361*1000*'Inputs Yr 2'!AA361,"")</f>
        <v/>
      </c>
      <c r="AV361" s="197" t="str">
        <f>IFERROR($CR361*((INDEX(avoidedcosttbl2,$H361,AV$2))+(($H361-ROUNDDOWN($H361,0))*((INDEX(avoidedcosttbl2,ROUNDUP($H361,0),AV$2))-(INDEX(avoidedcosttbl2,ROUNDDOWN($H361,0),AV$2)))))*$O361*1000*'Inputs Yr 2'!AB361,"")</f>
        <v/>
      </c>
      <c r="AW361" s="197" t="str">
        <f>IFERROR($CS361*((INDEX(avoidedcosttbl2,$H361,AW$2))+(($H361-ROUNDDOWN($H361,0))*((INDEX(avoidedcosttbl2,ROUNDUP($H361,0),AW$2))-(INDEX(avoidedcosttbl2,ROUNDDOWN($H361,0),AW$2)))))*$O361*1000*'Inputs Yr 2'!AC361,"")</f>
        <v/>
      </c>
      <c r="AX361" s="197" t="str">
        <f>IFERROR($CT361*((INDEX(avoidedcosttbl2,$H361,AX$2))+(($H361-ROUNDDOWN($H361,0))*((INDEX(avoidedcosttbl2,ROUNDUP($H361,0),AX$2))-(INDEX(avoidedcosttbl2,ROUNDDOWN($H361,0),AX$2)))))*$O361*1000*'Inputs Yr 2'!AD361,"")</f>
        <v/>
      </c>
      <c r="AY361" s="197" t="str">
        <f>IFERROR(((INDEX(avoidedcosttbl2,$H361,AY$2))+(($H361-ROUNDDOWN($H361,0))*((INDEX(avoidedcosttbl2,ROUNDUP($H361,0),AY$2))-(INDEX(avoidedcosttbl2,ROUNDDOWN($H361,0),AY$2)))))*$O361*1000*('Inputs Yr 2'!AC361+'Inputs Yr 2'!AD361),"")</f>
        <v/>
      </c>
      <c r="AZ361" s="197" t="str">
        <f>IFERROR(((INDEX(avoidedcosttbl2,$H361,AZ$2))+(($H361-ROUNDDOWN($H361,0))*((INDEX(avoidedcosttbl2,ROUNDUP($H361,0),AZ$2))-(INDEX(avoidedcosttbl2,ROUNDDOWN($H361,0),AZ$2)))))*$O361*1000*('Inputs Yr 2'!AA361+'Inputs Yr 2'!AB361),"")</f>
        <v/>
      </c>
      <c r="BA361" s="198">
        <f t="shared" si="184"/>
        <v>0</v>
      </c>
      <c r="BB361" s="198">
        <f t="shared" si="185"/>
        <v>0</v>
      </c>
      <c r="BC361" s="195" t="str">
        <f t="shared" si="167"/>
        <v/>
      </c>
      <c r="BD361" s="195" t="str">
        <f t="shared" si="168"/>
        <v/>
      </c>
      <c r="BE361" s="195" t="str">
        <f t="shared" si="169"/>
        <v/>
      </c>
      <c r="BF361" s="195" t="str">
        <f t="shared" si="170"/>
        <v/>
      </c>
      <c r="BG361" s="195" t="str">
        <f t="shared" si="171"/>
        <v/>
      </c>
      <c r="BH361" s="196">
        <f t="shared" si="186"/>
        <v>0</v>
      </c>
      <c r="BI361" s="196">
        <f t="shared" si="187"/>
        <v>0</v>
      </c>
      <c r="BJ361" s="195" t="str">
        <f>IFERROR($G361*(IF('Inputs Yr 2'!$AJ361=BJ$4,'Inputs Yr 2'!$AK361,IF('Inputs Yr 2'!$AL361=BJ$4,'Inputs Yr 2'!$AM361,IF('Inputs Yr 2'!$AN361=BJ$4,'Inputs Yr 2'!$AO361,0))))*(INDEX(avoidedcosttbl2,$H361,BJ$2)+(($H361-ROUNDDOWN($H361,0))*(INDEX(avoidedcosttbl2,ROUNDUP($H361,0),BJ$2)-(INDEX(avoidedcosttbl2,ROUNDDOWN($H361,0),BJ$2)))))*'Inputs Yr 2'!P361*'Inputs Yr 2'!Q361*'Inputs Yr 2'!U361,"")</f>
        <v/>
      </c>
      <c r="BK361" s="195" t="str">
        <f>IFERROR($G361*(IF('Inputs Yr 2'!$AJ361=BK$4,'Inputs Yr 2'!$AK361,IF('Inputs Yr 2'!$AL361=BK$4,'Inputs Yr 2'!$AM361,IF('Inputs Yr 2'!$AN361=BK$4,'Inputs Yr 2'!$AO361,0))))*(INDEX(avoidedcosttbl2,$H361,BK$2)+(($H361-ROUNDDOWN($H361,0))*(INDEX(avoidedcosttbl2,ROUNDUP($H361,0),BK$2)-(INDEX(avoidedcosttbl2,ROUNDDOWN($H361,0),BK$2)))))*'Inputs Yr 2'!P361*'Inputs Yr 2'!Q361*'Inputs Yr 2'!U361,"")</f>
        <v/>
      </c>
      <c r="BL361" s="195" t="str">
        <f>IFERROR($G361*(IF('Inputs Yr 2'!$AJ361=BL$4,'Inputs Yr 2'!$AK361,IF('Inputs Yr 2'!$AL361=BL$4,'Inputs Yr 2'!$AM361,IF('Inputs Yr 2'!$AN361=BL$4,'Inputs Yr 2'!$AO361,0))))*(INDEX(avoidedcosttbl2,$H361,BL$2)+(($H361-ROUNDDOWN($H361,0))*(INDEX(avoidedcosttbl2,ROUNDUP($H361,0),BL$2)-(INDEX(avoidedcosttbl2,ROUNDDOWN($H361,0),BL$2)))))*'Inputs Yr 2'!P361*'Inputs Yr 2'!Q361*'Inputs Yr 2'!U361,"")</f>
        <v/>
      </c>
      <c r="BM361" s="195" t="str">
        <f>IFERROR($G361*(IF('Inputs Yr 2'!$AJ361=BM$4,'Inputs Yr 2'!$AK361,IF('Inputs Yr 2'!$AL361=BM$4,'Inputs Yr 2'!$AM361,IF('Inputs Yr 2'!$AN361=BM$4,'Inputs Yr 2'!$AO361,0))))*(INDEX(avoidedcosttbl2,$H361,BM$2)+(($H361-ROUNDDOWN($H361,0))*(INDEX(avoidedcosttbl2,ROUNDUP($H361,0),BM$2)-(INDEX(avoidedcosttbl2,ROUNDDOWN($H361,0),BM$2)))))*'Inputs Yr 2'!P361*'Inputs Yr 2'!Q361*'Inputs Yr 2'!U361,"")</f>
        <v/>
      </c>
      <c r="BN361" s="195" t="str">
        <f>IFERROR($G361*(IF('Inputs Yr 2'!$AJ361=BN$4,'Inputs Yr 2'!$AK361,IF('Inputs Yr 2'!$AL361=BN$4,'Inputs Yr 2'!$AM361,IF('Inputs Yr 2'!$AN361=BN$4,'Inputs Yr 2'!$AO361,0))))*(INDEX(avoidedcosttbl2,$H361,BN$2)+(($H361-ROUNDDOWN($H361,0))*(INDEX(avoidedcosttbl2,ROUNDUP($H361,0),BN$2)-(INDEX(avoidedcosttbl2,ROUNDDOWN($H361,0),BN$2)))))*'Inputs Yr 2'!P361*'Inputs Yr 2'!Q361*'Inputs Yr 2'!U361,"")</f>
        <v/>
      </c>
      <c r="BO361" s="195" t="str">
        <f>IFERROR($G361*(IF('Inputs Yr 2'!$AJ361=BO$4,'Inputs Yr 2'!$AK361,IF('Inputs Yr 2'!$AL361=BO$4,'Inputs Yr 2'!$AM361,IF('Inputs Yr 2'!$AN361=BO$4,'Inputs Yr 2'!$AO361,0))))*(INDEX(avoidedcosttbl2,$H361,BO$2)+(($H361-ROUNDDOWN($H361,0))*(INDEX(avoidedcosttbl2,ROUNDUP($H361,0),BO$2)-(INDEX(avoidedcosttbl2,ROUNDDOWN($H361,0),BO$2)))))*'Inputs Yr 2'!P361*'Inputs Yr 2'!Q361*'Inputs Yr 2'!U361,"")</f>
        <v/>
      </c>
      <c r="BP361" s="195" t="str">
        <f>IFERROR($G361*(IF('Inputs Yr 2'!$AJ361=BP$4,'Inputs Yr 2'!$AK361,IF('Inputs Yr 2'!$AL361=BP$4,'Inputs Yr 2'!$AM361,IF('Inputs Yr 2'!$AN361=BP$4,'Inputs Yr 2'!$AO361,0))))*(INDEX(avoidedcosttbl2,$H361,BP$2)+(($H361-ROUNDDOWN($H361,0))*(INDEX(avoidedcosttbl2,ROUNDUP($H361,0),BP$2)-(INDEX(avoidedcosttbl2,ROUNDDOWN($H361,0),BP$2)))))*'Inputs Yr 2'!P361*'Inputs Yr 2'!Q361*'Inputs Yr 2'!U361,"")</f>
        <v/>
      </c>
      <c r="BQ361" s="230">
        <f t="shared" si="188"/>
        <v>0</v>
      </c>
      <c r="BR361" s="197" t="str">
        <f t="shared" si="172"/>
        <v/>
      </c>
      <c r="BS361" s="197" t="str">
        <f>IFERROR(($G361*IF('Inputs Yr 2'!$AJ361=BM$4,'Inputs Yr 2'!$AK361,IF('Inputs Yr 2'!$AL361=BM$4,'Inputs Yr 2'!$AM361,IF('Inputs Yr 2'!$AN361=BM$4,'Inputs Yr 2'!$AO361,0))))*(INDEX(avoidedcosttbl2,$H361,BS$2)+(($H361-ROUNDDOWN($H361,0))*(INDEX(avoidedcosttbl2,ROUNDUP($H361,0),BS$2)-(INDEX(avoidedcosttbl2,ROUNDDOWN($H361,0),BS$2)))))*'Inputs Yr 2'!P361*'Inputs Yr 2'!Q361*'Inputs Yr 2'!U361,"")</f>
        <v/>
      </c>
      <c r="BT361" s="197" t="str">
        <f>IFERROR(($G361*IF('Inputs Yr 2'!$AJ361=BK$4,'Inputs Yr 2'!$AK361,IF('Inputs Yr 2'!$AL361=BK$4,'Inputs Yr 2'!$AM361,IF('Inputs Yr 2'!$AN361=BK$4,'Inputs Yr 2'!$AO361,0))))*(INDEX(avoidedcosttbl2,$H361,BT$2)+(($H361-ROUNDDOWN($H361,0))*(INDEX(avoidedcosttbl2,ROUNDUP($H361,0),BT$2)-(INDEX(avoidedcosttbl2,ROUNDDOWN($H361,0),BT$2)))))*'Inputs Yr 2'!P361*'Inputs Yr 2'!Q361*'Inputs Yr 2'!U361,"")</f>
        <v/>
      </c>
      <c r="BU361" s="197" t="str">
        <f>IFERROR(($G361*IF('Inputs Yr 2'!$AJ361=BL$4,'Inputs Yr 2'!$AK361,IF('Inputs Yr 2'!$AL361=BL$4,'Inputs Yr 2'!$AM361,IF('Inputs Yr 2'!$AN361=BL$4,'Inputs Yr 2'!$AO361,0))))*(INDEX(avoidedcosttbl2,$H361,BU$2)+(($H361-ROUNDDOWN($H361,0))*(INDEX(avoidedcosttbl2,ROUNDUP($H361,0),BU$2)-(INDEX(avoidedcosttbl2,ROUNDDOWN($H361,0),BU$2)))))*'Inputs Yr 2'!P361*'Inputs Yr 2'!Q361*'Inputs Yr 2'!U361,"")</f>
        <v/>
      </c>
      <c r="BV361" s="775" t="str">
        <f>IFERROR(($G361*IF('Inputs Yr 2'!$AJ361=BJ$4,'Inputs Yr 2'!$AK361,IF('Inputs Yr 2'!$AL361=BJ$4,'Inputs Yr 2'!$AM361,IF('Inputs Yr 2'!$AN361=BJ$4,'Inputs Yr 2'!$AO361,0))))*(INDEX(avoidedcosttbl2,$H361,BV$2)+(($H361-ROUNDDOWN($H361,0))*(INDEX(avoidedcosttbl2,ROUNDUP($H361,0),BV$2)-(INDEX(avoidedcosttbl2,ROUNDDOWN($H361,0),BV$2)))))*'Inputs Yr 2'!P361*'Inputs Yr 2'!Q361*'Inputs Yr 2'!U361,"")</f>
        <v/>
      </c>
      <c r="BW361" s="197" t="str">
        <f>IFERROR(($G361*IF('Inputs Yr 2'!$AJ361=BN$4,'Inputs Yr 2'!$AK361,IF('Inputs Yr 2'!$AL361=BN$4,'Inputs Yr 2'!$AM361,IF('Inputs Yr 2'!$AN361=BN$4,'Inputs Yr 2'!$AO361,0))))*(INDEX(avoidedcosttbl2,$H361,BW$2)+(($H361-ROUNDDOWN($H361,0))*(INDEX(avoidedcosttbl2,ROUNDUP($H361,0),BW$2)-(INDEX(avoidedcosttbl2,ROUNDDOWN($H361,0),BW$2)))))*'Inputs Yr 2'!P361*'Inputs Yr 2'!Q361*'Inputs Yr 2'!U361,"")</f>
        <v/>
      </c>
      <c r="BX361" s="197" t="str">
        <f>IFERROR(($G361*IF('Inputs Yr 2'!$AJ361=BO$4,'Inputs Yr 2'!$AK361,IF('Inputs Yr 2'!$AL361=BO$4,'Inputs Yr 2'!$AM361,IF('Inputs Yr 2'!$AN361=BO$4,'Inputs Yr 2'!$AO361,0))))*(INDEX(avoidedcosttbl2,$H361,BX$2)+(($H361-ROUNDDOWN($H361,0))*(INDEX(avoidedcosttbl2,ROUNDUP($H361,0),BX$2)-(INDEX(avoidedcosttbl2,ROUNDDOWN($H361,0),BX$2)))))*'Inputs Yr 2'!P361*'Inputs Yr 2'!Q361*'Inputs Yr 2'!U361,"")</f>
        <v/>
      </c>
      <c r="BY361" s="197" t="str">
        <f>IFERROR(($G361*IF('Inputs Yr 2'!$AJ361=BP$4,'Inputs Yr 2'!$AK361,IF('Inputs Yr 2'!$AL361=BP$4,'Inputs Yr 2'!$AM361,IF('Inputs Yr 2'!$AN361=BP$4,'Inputs Yr 2'!$AO361,0))))*(INDEX(avoidedcosttbl2,$H361,BY$2)+(($H361-ROUNDDOWN($H361,0))*(INDEX(avoidedcosttbl2,ROUNDUP($H361,0),BY$2)-(INDEX(avoidedcosttbl2,ROUNDDOWN($H361,0),BY$2)))))*'Inputs Yr 2'!P361*'Inputs Yr 2'!Q361*'Inputs Yr 2'!U361,"")</f>
        <v/>
      </c>
      <c r="BZ361" s="193">
        <f t="shared" si="189"/>
        <v>0</v>
      </c>
      <c r="CA361" s="193">
        <f t="shared" si="190"/>
        <v>0</v>
      </c>
      <c r="CB361" s="195" t="str">
        <f>IFERROR(G361*(IF('Inputs Yr 2'!$AJ361=CB$4,'Inputs Yr 2'!$AK361,IF('Inputs Yr 2'!$AL361=CB$4,'Inputs Yr 2'!$AM361,IF('Inputs Yr 2'!$AN361=CB$4,'Inputs Yr 2'!$AO361,0))))*(INDEX(avoidedcosttbl2,$H361,CB$2)+(($H361-ROUNDDOWN($H361,0))*(INDEX(avoidedcosttbl2,ROUNDUP($H361,0),CB$2)-(INDEX(avoidedcosttbl2,ROUNDDOWN($H361,0),CB$2)))))*'Inputs Yr 2'!P361*'Inputs Yr 2'!Q361*'Inputs Yr 2'!U361,"")</f>
        <v/>
      </c>
      <c r="CC361" s="195" t="str">
        <f>IFERROR(H361*(IF('Inputs Yr 2'!$AJ361=CC$4,'Inputs Yr 2'!$AK361,IF('Inputs Yr 2'!$AL361=CC$4,'Inputs Yr 2'!$AM361,IF('Inputs Yr 2'!$AN361=CC$4,'Inputs Yr 2'!$AO361,0))))*(INDEX(avoidedcosttbl2,$H361,CC$2)+(($H361-ROUNDDOWN($H361,0))*(INDEX(avoidedcosttbl2,ROUNDUP($H361,0),CC$2)-(INDEX(avoidedcosttbl2,ROUNDDOWN($H361,0),CC$2)))))*'Inputs Yr 2'!Q361*'Inputs Yr 2'!R361*'Inputs Yr 2'!V361,"")</f>
        <v/>
      </c>
      <c r="CD361" s="195" t="str">
        <f>IFERROR(I361*(IF('Inputs Yr 2'!$AJ361=CD$4,'Inputs Yr 2'!$AK361,IF('Inputs Yr 2'!$AL361=CD$4,'Inputs Yr 2'!$AM361,IF('Inputs Yr 2'!$AN361=CD$4,'Inputs Yr 2'!$AO361,0))))*(INDEX(avoidedcosttbl2,$H361,CD$2)+(($H361-ROUNDDOWN($H361,0))*(INDEX(avoidedcosttbl2,ROUNDUP($H361,0),CD$2)-(INDEX(avoidedcosttbl2,ROUNDDOWN($H361,0),CD$2)))))*'Inputs Yr 2'!R361*'Inputs Yr 2'!S361*'Inputs Yr 2'!W361,"")</f>
        <v/>
      </c>
      <c r="CE361" s="213" t="str">
        <f t="shared" si="191"/>
        <v/>
      </c>
      <c r="CF361" s="213" t="str">
        <f t="shared" si="192"/>
        <v/>
      </c>
      <c r="CG361" s="213" t="str">
        <f t="shared" si="193"/>
        <v/>
      </c>
      <c r="CH361" s="698">
        <f t="shared" si="194"/>
        <v>0</v>
      </c>
      <c r="CI361" s="79" t="str">
        <f>IFERROR(($G361*'Inputs Yr 2'!$P361*'Inputs Yr 2'!$Q361*(((INDEX(avoidedcosttbl2,$H361,CI$2)+(($H361-ROUNDDOWN($H361,0))*(INDEX(avoidedcosttbl2,ROUNDUP($H361,0),CI$2)-INDEX(avoidedcosttbl2,ROUNDDOWN($H361,0),CI$2))))*'Inputs Yr 2'!AS361))),"")</f>
        <v/>
      </c>
      <c r="CJ361" s="504" t="str">
        <f>IFERROR($G361*'Inputs Yr 2'!AT361*'Inputs Yr 2'!$P361*'Inputs Yr 2'!$Q361/((1+realdiscrt1)^-0.5),"")</f>
        <v/>
      </c>
      <c r="CK361" s="79" t="str">
        <f>IFERROR((O361*1000*(((INDEX(avoidedcosttbl2,$H361,CK$2)+(($H361-ROUNDDOWN($H361,0))*(INDEX(avoidedcosttbl2,ROUNDUP($H361,0),CK$2)-INDEX(avoidedcosttbl2,ROUNDDOWN($H361,0),CK$2))))*'Inputs Yr 2'!AU361))),"")</f>
        <v/>
      </c>
      <c r="CL361" s="504" t="str">
        <f>IFERROR(O361*1000*'Inputs Yr 2'!AV361/((1+realdiscrt1)^-0.5),"")</f>
        <v/>
      </c>
      <c r="CM361" s="79" t="str">
        <f>IFERROR((AB361*'Inputs Yr 2'!AW361*(((INDEX(avoidedcosttbl2,$H361,CM$2)+(($H361-ROUNDDOWN($H361,0))*(INDEX(avoidedcosttbl2,ROUNDUP($H361,0),CM$2)-INDEX(avoidedcosttbl2,ROUNDDOWN($H361,0),CM$2)))))))*10,"")</f>
        <v/>
      </c>
      <c r="CN361" s="504">
        <f>IFERROR(10*AB361*'Inputs Yr 2'!AX361/((1+realdiscrt1)^-0.5),"")</f>
        <v>0</v>
      </c>
      <c r="CO361" s="505">
        <f t="shared" si="195"/>
        <v>0</v>
      </c>
      <c r="CP361" s="230">
        <f t="shared" si="196"/>
        <v>0</v>
      </c>
      <c r="CQ361" s="199">
        <f>ROUND(IFERROR(IF(LEFT($A361,1)="C",'Avoided Costs'!$K$13,'Avoided Costs'!$K$12)+1,""),4)</f>
        <v>1.0720000000000001</v>
      </c>
      <c r="CR361" s="199">
        <f>ROUND(IFERROR(IF(LEFT($A361,1)="C",'Avoided Costs'!$L$13,'Avoided Costs'!$L$12)+1,""),4)</f>
        <v>1.04</v>
      </c>
      <c r="CS361" s="199">
        <f>ROUND(IFERROR(IF(LEFT($A361,1)="C",'Avoided Costs'!$M$13,'Avoided Costs'!$M$12)+1,""),4)</f>
        <v>1.0720000000000001</v>
      </c>
      <c r="CT361" s="199">
        <f>ROUND(IFERROR(IF(LEFT($A361,1)="C",'Avoided Costs'!$N$13,'Avoided Costs'!$N$12)+1,""),4)</f>
        <v>1.04</v>
      </c>
      <c r="CU361" s="199">
        <f>ROUND(IFERROR(IF(LEFT($A361,1)="C",'Avoided Costs'!$O$13,'Avoided Costs'!$O$12)+1,""),4)</f>
        <v>1.1120000000000001</v>
      </c>
      <c r="CV361" s="199">
        <f>ROUND(IFERROR(IF(LEFT($A361,1)="C",'Avoided Costs'!$P$13,'Avoided Costs'!$P$12)+1,""),4)</f>
        <v>1.095</v>
      </c>
      <c r="CW361" s="199">
        <f>ROUND(IFERROR(IF(LEFT($A361,1)="C",'Avoided Costs'!$Q$13,'Avoided Costs'!$Q$12)+1,""),4)</f>
        <v>1.1120000000000001</v>
      </c>
      <c r="CX361" s="200">
        <f>ROUND(IFERROR(IF(LEFT($A361,1)="C",'Avoided Costs'!$R$13,'Avoided Costs'!$R$12)+1,""),4)</f>
        <v>1.1120000000000001</v>
      </c>
    </row>
    <row r="362" spans="1:102" s="128" customFormat="1" ht="12.75" customHeight="1">
      <c r="A362" s="91" t="str">
        <f>IF('Inputs Yr 2'!$B399=0,"",'Inputs Yr 2'!A399)</f>
        <v/>
      </c>
      <c r="B362" s="91" t="str">
        <f>IF('Inputs Yr 2'!$B399=0,"",'Inputs Yr 2'!B399)</f>
        <v/>
      </c>
      <c r="C362" s="91" t="str">
        <f>IF('Inputs Yr 2'!$B362=0,"",'Inputs Yr 2'!C362)</f>
        <v/>
      </c>
      <c r="D362" s="91" t="str">
        <f>IF('Inputs Yr 2'!$B362=0,"",'Inputs Yr 2'!E362)</f>
        <v/>
      </c>
      <c r="E362" s="93" t="str">
        <f>IF('Inputs Yr 2'!$B362=0,"",'Inputs Yr 2'!F362)</f>
        <v/>
      </c>
      <c r="F362" s="93" t="str">
        <f>IF('Inputs Yr 2'!$B362=0,"",'Inputs Yr 2'!G362)</f>
        <v/>
      </c>
      <c r="G362" s="95" t="str">
        <f>IF('Inputs Yr 2'!$H362&lt;&gt;0,('Inputs Yr 2'!H362),"")</f>
        <v/>
      </c>
      <c r="H362" s="94">
        <f>IFERROR('Inputs Yr 2'!I362,"")</f>
        <v>0</v>
      </c>
      <c r="I362" s="298" t="str">
        <f>IFERROR('Inputs Yr 2'!J362*'Inputs Yr 2'!P362*G362,"")</f>
        <v/>
      </c>
      <c r="J362" s="298" t="str">
        <f>IFERROR('Inputs Yr 2'!K362*G362,"")</f>
        <v/>
      </c>
      <c r="K362" s="298" t="str">
        <f t="shared" si="173"/>
        <v/>
      </c>
      <c r="L362" s="194" t="str">
        <f>IFERROR(('Inputs Yr 2'!W362*G362)/1000,"")</f>
        <v/>
      </c>
      <c r="M362" s="194" t="str">
        <f>IFERROR(L362*('Inputs Yr 2'!$Q362*'Inputs Yr 2'!$V362*'Inputs Yr 2'!$R362),"")</f>
        <v/>
      </c>
      <c r="N362" s="194" t="str">
        <f t="shared" si="174"/>
        <v/>
      </c>
      <c r="O362" s="194" t="str">
        <f>IFERROR(M362*'Inputs Yr 2'!P362,"")</f>
        <v/>
      </c>
      <c r="P362" s="194" t="str">
        <f t="shared" si="175"/>
        <v/>
      </c>
      <c r="Q362" s="194" t="str">
        <f>IFERROR($P362*'Inputs Yr 2'!AA362,"")</f>
        <v/>
      </c>
      <c r="R362" s="194" t="str">
        <f>IFERROR($P362*'Inputs Yr 2'!AB362,"")</f>
        <v/>
      </c>
      <c r="S362" s="194" t="str">
        <f>IFERROR($P362*'Inputs Yr 2'!AC362,"")</f>
        <v/>
      </c>
      <c r="T362" s="194" t="str">
        <f>IFERROR($P362*'Inputs Yr 2'!AD362,"")</f>
        <v/>
      </c>
      <c r="U362" s="194" t="str">
        <f>IFERROR(G362*'Inputs Yr 2'!$AE362*'Inputs Yr 2'!$P362*'Inputs Yr 2'!$Q362,"")</f>
        <v/>
      </c>
      <c r="V362" s="194" t="str">
        <f>IFERROR($G362*'Inputs Yr 2'!$AE362*'Inputs Yr 2'!$AG362*'Inputs Yr 2'!Q362*'Inputs Yr 2'!$S362,"")</f>
        <v/>
      </c>
      <c r="W362" s="194" t="str">
        <f>IFERROR($G362*'Inputs Yr 2'!$AE362*'Inputs Yr 2'!$AG362*'Inputs Yr 2'!P362*'Inputs Yr 2'!Q362*'Inputs Yr 2'!$S362,"")</f>
        <v/>
      </c>
      <c r="X362" s="194" t="str">
        <f>IFERROR($G362*'Inputs Yr 2'!$AE362*'Inputs Yr 2'!$AF362*'Inputs Yr 2'!Q362*'Inputs Yr 2'!$T362,"")</f>
        <v/>
      </c>
      <c r="Y362" s="194" t="str">
        <f>IFERROR($G362*'Inputs Yr 2'!$AE362*'Inputs Yr 2'!$AF362*'Inputs Yr 2'!P362*'Inputs Yr 2'!Q362*'Inputs Yr 2'!$T362,"")</f>
        <v/>
      </c>
      <c r="Z362" s="257">
        <f>IFERROR($G362*'Inputs Yr 2'!$Q362*'Inputs Yr 2'!$U362*(IF(IFERROR(SEARCH("NG", 'Inputs Yr 2'!$AJ362),0),'Inputs Yr 2'!$AK362,0)+IF(IFERROR(SEARCH("NG", 'Inputs Yr 2'!$AL362),0),'Inputs Yr 2'!$AM362,0)+IF(IFERROR(SEARCH("NG", 'Inputs Yr 2'!$AN362),0),'Inputs Yr 2'!$AO362,0)),0)</f>
        <v>0</v>
      </c>
      <c r="AA362" s="257">
        <f t="shared" si="176"/>
        <v>0</v>
      </c>
      <c r="AB362" s="257">
        <f>IFERROR(Z362*'Inputs Yr 2'!$P362,0)</f>
        <v>0</v>
      </c>
      <c r="AC362" s="257">
        <f t="shared" si="177"/>
        <v>0</v>
      </c>
      <c r="AD362" s="257">
        <f>IFERROR($G362*'Inputs Yr 2'!$Q362*'Inputs Yr 2'!$U362*(IF(IFERROR(SEARCH("Oil", 'Inputs Yr 2'!$AJ362), 0),'Inputs Yr 2'!$AK362,0)+IF(IFERROR(SEARCH("Oil", 'Inputs Yr 2'!$AL362), 0),'Inputs Yr 2'!$AM362,0)+IF(IFERROR(SEARCH("Oil", 'Inputs Yr 2'!$AN362), 0),'Inputs Yr 2'!$AO362,0)),0)</f>
        <v>0</v>
      </c>
      <c r="AE362" s="257">
        <f t="shared" si="178"/>
        <v>0</v>
      </c>
      <c r="AF362" s="257">
        <f>IFERROR(AD362*'Inputs Yr 2'!$P362,0)</f>
        <v>0</v>
      </c>
      <c r="AG362" s="257">
        <f t="shared" si="179"/>
        <v>0</v>
      </c>
      <c r="AH362" s="257">
        <f>IFERROR($G362*'Inputs Yr 2'!$Q362*'Inputs Yr 2'!$U362*(IF('Inputs Yr 2'!$AJ362=CD$4,'Inputs Yr 2'!$AK362,IF('Inputs Yr 2'!$AL362=CD$4,'Inputs Yr 2'!$AM362,IF('Inputs Yr 2'!$AN362=CD$4,'Inputs Yr 2'!$AO362,0)))),0)</f>
        <v>0</v>
      </c>
      <c r="AI362" s="257">
        <f t="shared" si="180"/>
        <v>0</v>
      </c>
      <c r="AJ362" s="257">
        <f>IFERROR(AH362*'Inputs Yr 2'!$P362,0)</f>
        <v>0</v>
      </c>
      <c r="AK362" s="257">
        <f t="shared" si="181"/>
        <v>0</v>
      </c>
      <c r="AL362" s="258">
        <f>IFERROR($G362*'Inputs Yr 2'!$P362*'Inputs Yr 2'!$Q362*'Inputs Yr 2'!AP362,0)</f>
        <v>0</v>
      </c>
      <c r="AM362" s="260">
        <f>IFERROR($G362*'Inputs Yr 2'!$P362*'Inputs Yr 2'!$Q362*'Inputs Yr 2'!AQ362,0)</f>
        <v>0</v>
      </c>
      <c r="AN362" s="258">
        <f>IFERROR($G362*'Inputs Yr 2'!$P362*'Inputs Yr 2'!$Q362*'Inputs Yr 2'!AR362,0)</f>
        <v>0</v>
      </c>
      <c r="AO362" s="257">
        <f t="shared" si="182"/>
        <v>0</v>
      </c>
      <c r="AP362" s="195" t="str">
        <f>IFERROR($CQ362*(INDEX(avoidedcosttbl2,$H362,AP$2)+(($H362-ROUNDDOWN($H362,0))*(INDEX(avoidedcosttbl2,ROUNDUP($H362,0),AP$2)-(INDEX(avoidedcosttbl2,ROUNDDOWN($H362,0),AP$2)))))*$O362*1000*'Inputs Yr 2'!AA362,"")</f>
        <v/>
      </c>
      <c r="AQ362" s="195" t="str">
        <f>IFERROR($CR362*(INDEX(avoidedcosttbl2,$H362,AQ$2)+(($H362-ROUNDDOWN($H362,0))*(INDEX(avoidedcosttbl2,ROUNDUP($H362,0),AQ$2)-(INDEX(avoidedcosttbl2,ROUNDDOWN($H362,0),AQ$2)))))*$O362*1000*'Inputs Yr 2'!AB362,"")</f>
        <v/>
      </c>
      <c r="AR362" s="195" t="str">
        <f>IFERROR($CS362*(INDEX(avoidedcosttbl2,$H362,AR$2)+(($H362-ROUNDDOWN($H362,0))*(INDEX(avoidedcosttbl2,ROUNDUP($H362,0),AR$2)-(INDEX(avoidedcosttbl2,ROUNDDOWN($H362,0),AR$2)))))*$O362*1000*'Inputs Yr 2'!AC362,"")</f>
        <v/>
      </c>
      <c r="AS362" s="195" t="str">
        <f>IFERROR($CT362*(INDEX(avoidedcosttbl2,$H362,AS$2)+(($H362-ROUNDDOWN($H362,0))*(INDEX(avoidedcosttbl2,ROUNDUP($H362,0),AS$2)-(INDEX(avoidedcosttbl2,ROUNDDOWN($H362,0),AS$2)))))*$O362*1000*'Inputs Yr 2'!AD362,"")</f>
        <v/>
      </c>
      <c r="AT362" s="196">
        <f t="shared" si="183"/>
        <v>0</v>
      </c>
      <c r="AU362" s="197" t="str">
        <f>IFERROR($CQ362*((INDEX(avoidedcosttbl2,$H362,AU$2))+(($H362-ROUNDDOWN($H362,0))*((INDEX(avoidedcosttbl2,ROUNDUP($H362,0),AU$2))-(INDEX(avoidedcosttbl2,ROUNDDOWN($H362,0),AU$2)))))*$O362*1000*'Inputs Yr 2'!AA362,"")</f>
        <v/>
      </c>
      <c r="AV362" s="197" t="str">
        <f>IFERROR($CR362*((INDEX(avoidedcosttbl2,$H362,AV$2))+(($H362-ROUNDDOWN($H362,0))*((INDEX(avoidedcosttbl2,ROUNDUP($H362,0),AV$2))-(INDEX(avoidedcosttbl2,ROUNDDOWN($H362,0),AV$2)))))*$O362*1000*'Inputs Yr 2'!AB362,"")</f>
        <v/>
      </c>
      <c r="AW362" s="197" t="str">
        <f>IFERROR($CS362*((INDEX(avoidedcosttbl2,$H362,AW$2))+(($H362-ROUNDDOWN($H362,0))*((INDEX(avoidedcosttbl2,ROUNDUP($H362,0),AW$2))-(INDEX(avoidedcosttbl2,ROUNDDOWN($H362,0),AW$2)))))*$O362*1000*'Inputs Yr 2'!AC362,"")</f>
        <v/>
      </c>
      <c r="AX362" s="197" t="str">
        <f>IFERROR($CT362*((INDEX(avoidedcosttbl2,$H362,AX$2))+(($H362-ROUNDDOWN($H362,0))*((INDEX(avoidedcosttbl2,ROUNDUP($H362,0),AX$2))-(INDEX(avoidedcosttbl2,ROUNDDOWN($H362,0),AX$2)))))*$O362*1000*'Inputs Yr 2'!AD362,"")</f>
        <v/>
      </c>
      <c r="AY362" s="197" t="str">
        <f>IFERROR(((INDEX(avoidedcosttbl2,$H362,AY$2))+(($H362-ROUNDDOWN($H362,0))*((INDEX(avoidedcosttbl2,ROUNDUP($H362,0),AY$2))-(INDEX(avoidedcosttbl2,ROUNDDOWN($H362,0),AY$2)))))*$O362*1000*('Inputs Yr 2'!AC362+'Inputs Yr 2'!AD362),"")</f>
        <v/>
      </c>
      <c r="AZ362" s="197" t="str">
        <f>IFERROR(((INDEX(avoidedcosttbl2,$H362,AZ$2))+(($H362-ROUNDDOWN($H362,0))*((INDEX(avoidedcosttbl2,ROUNDUP($H362,0),AZ$2))-(INDEX(avoidedcosttbl2,ROUNDDOWN($H362,0),AZ$2)))))*$O362*1000*('Inputs Yr 2'!AA362+'Inputs Yr 2'!AB362),"")</f>
        <v/>
      </c>
      <c r="BA362" s="198">
        <f t="shared" si="184"/>
        <v>0</v>
      </c>
      <c r="BB362" s="198">
        <f t="shared" si="185"/>
        <v>0</v>
      </c>
      <c r="BC362" s="195" t="str">
        <f t="shared" si="167"/>
        <v/>
      </c>
      <c r="BD362" s="195" t="str">
        <f t="shared" si="168"/>
        <v/>
      </c>
      <c r="BE362" s="195" t="str">
        <f t="shared" si="169"/>
        <v/>
      </c>
      <c r="BF362" s="195" t="str">
        <f t="shared" si="170"/>
        <v/>
      </c>
      <c r="BG362" s="195" t="str">
        <f t="shared" si="171"/>
        <v/>
      </c>
      <c r="BH362" s="196">
        <f t="shared" si="186"/>
        <v>0</v>
      </c>
      <c r="BI362" s="196">
        <f t="shared" si="187"/>
        <v>0</v>
      </c>
      <c r="BJ362" s="195" t="str">
        <f>IFERROR($G362*(IF('Inputs Yr 2'!$AJ362=BJ$4,'Inputs Yr 2'!$AK362,IF('Inputs Yr 2'!$AL362=BJ$4,'Inputs Yr 2'!$AM362,IF('Inputs Yr 2'!$AN362=BJ$4,'Inputs Yr 2'!$AO362,0))))*(INDEX(avoidedcosttbl2,$H362,BJ$2)+(($H362-ROUNDDOWN($H362,0))*(INDEX(avoidedcosttbl2,ROUNDUP($H362,0),BJ$2)-(INDEX(avoidedcosttbl2,ROUNDDOWN($H362,0),BJ$2)))))*'Inputs Yr 2'!P362*'Inputs Yr 2'!Q362*'Inputs Yr 2'!U362,"")</f>
        <v/>
      </c>
      <c r="BK362" s="195" t="str">
        <f>IFERROR($G362*(IF('Inputs Yr 2'!$AJ362=BK$4,'Inputs Yr 2'!$AK362,IF('Inputs Yr 2'!$AL362=BK$4,'Inputs Yr 2'!$AM362,IF('Inputs Yr 2'!$AN362=BK$4,'Inputs Yr 2'!$AO362,0))))*(INDEX(avoidedcosttbl2,$H362,BK$2)+(($H362-ROUNDDOWN($H362,0))*(INDEX(avoidedcosttbl2,ROUNDUP($H362,0),BK$2)-(INDEX(avoidedcosttbl2,ROUNDDOWN($H362,0),BK$2)))))*'Inputs Yr 2'!P362*'Inputs Yr 2'!Q362*'Inputs Yr 2'!U362,"")</f>
        <v/>
      </c>
      <c r="BL362" s="195" t="str">
        <f>IFERROR($G362*(IF('Inputs Yr 2'!$AJ362=BL$4,'Inputs Yr 2'!$AK362,IF('Inputs Yr 2'!$AL362=BL$4,'Inputs Yr 2'!$AM362,IF('Inputs Yr 2'!$AN362=BL$4,'Inputs Yr 2'!$AO362,0))))*(INDEX(avoidedcosttbl2,$H362,BL$2)+(($H362-ROUNDDOWN($H362,0))*(INDEX(avoidedcosttbl2,ROUNDUP($H362,0),BL$2)-(INDEX(avoidedcosttbl2,ROUNDDOWN($H362,0),BL$2)))))*'Inputs Yr 2'!P362*'Inputs Yr 2'!Q362*'Inputs Yr 2'!U362,"")</f>
        <v/>
      </c>
      <c r="BM362" s="195" t="str">
        <f>IFERROR($G362*(IF('Inputs Yr 2'!$AJ362=BM$4,'Inputs Yr 2'!$AK362,IF('Inputs Yr 2'!$AL362=BM$4,'Inputs Yr 2'!$AM362,IF('Inputs Yr 2'!$AN362=BM$4,'Inputs Yr 2'!$AO362,0))))*(INDEX(avoidedcosttbl2,$H362,BM$2)+(($H362-ROUNDDOWN($H362,0))*(INDEX(avoidedcosttbl2,ROUNDUP($H362,0),BM$2)-(INDEX(avoidedcosttbl2,ROUNDDOWN($H362,0),BM$2)))))*'Inputs Yr 2'!P362*'Inputs Yr 2'!Q362*'Inputs Yr 2'!U362,"")</f>
        <v/>
      </c>
      <c r="BN362" s="195" t="str">
        <f>IFERROR($G362*(IF('Inputs Yr 2'!$AJ362=BN$4,'Inputs Yr 2'!$AK362,IF('Inputs Yr 2'!$AL362=BN$4,'Inputs Yr 2'!$AM362,IF('Inputs Yr 2'!$AN362=BN$4,'Inputs Yr 2'!$AO362,0))))*(INDEX(avoidedcosttbl2,$H362,BN$2)+(($H362-ROUNDDOWN($H362,0))*(INDEX(avoidedcosttbl2,ROUNDUP($H362,0),BN$2)-(INDEX(avoidedcosttbl2,ROUNDDOWN($H362,0),BN$2)))))*'Inputs Yr 2'!P362*'Inputs Yr 2'!Q362*'Inputs Yr 2'!U362,"")</f>
        <v/>
      </c>
      <c r="BO362" s="195" t="str">
        <f>IFERROR($G362*(IF('Inputs Yr 2'!$AJ362=BO$4,'Inputs Yr 2'!$AK362,IF('Inputs Yr 2'!$AL362=BO$4,'Inputs Yr 2'!$AM362,IF('Inputs Yr 2'!$AN362=BO$4,'Inputs Yr 2'!$AO362,0))))*(INDEX(avoidedcosttbl2,$H362,BO$2)+(($H362-ROUNDDOWN($H362,0))*(INDEX(avoidedcosttbl2,ROUNDUP($H362,0),BO$2)-(INDEX(avoidedcosttbl2,ROUNDDOWN($H362,0),BO$2)))))*'Inputs Yr 2'!P362*'Inputs Yr 2'!Q362*'Inputs Yr 2'!U362,"")</f>
        <v/>
      </c>
      <c r="BP362" s="195" t="str">
        <f>IFERROR($G362*(IF('Inputs Yr 2'!$AJ362=BP$4,'Inputs Yr 2'!$AK362,IF('Inputs Yr 2'!$AL362=BP$4,'Inputs Yr 2'!$AM362,IF('Inputs Yr 2'!$AN362=BP$4,'Inputs Yr 2'!$AO362,0))))*(INDEX(avoidedcosttbl2,$H362,BP$2)+(($H362-ROUNDDOWN($H362,0))*(INDEX(avoidedcosttbl2,ROUNDUP($H362,0),BP$2)-(INDEX(avoidedcosttbl2,ROUNDDOWN($H362,0),BP$2)))))*'Inputs Yr 2'!P362*'Inputs Yr 2'!Q362*'Inputs Yr 2'!U362,"")</f>
        <v/>
      </c>
      <c r="BQ362" s="230">
        <f t="shared" si="188"/>
        <v>0</v>
      </c>
      <c r="BR362" s="197" t="str">
        <f t="shared" si="172"/>
        <v/>
      </c>
      <c r="BS362" s="197" t="str">
        <f>IFERROR(($G362*IF('Inputs Yr 2'!$AJ362=BM$4,'Inputs Yr 2'!$AK362,IF('Inputs Yr 2'!$AL362=BM$4,'Inputs Yr 2'!$AM362,IF('Inputs Yr 2'!$AN362=BM$4,'Inputs Yr 2'!$AO362,0))))*(INDEX(avoidedcosttbl2,$H362,BS$2)+(($H362-ROUNDDOWN($H362,0))*(INDEX(avoidedcosttbl2,ROUNDUP($H362,0),BS$2)-(INDEX(avoidedcosttbl2,ROUNDDOWN($H362,0),BS$2)))))*'Inputs Yr 2'!P362*'Inputs Yr 2'!Q362*'Inputs Yr 2'!U362,"")</f>
        <v/>
      </c>
      <c r="BT362" s="197" t="str">
        <f>IFERROR(($G362*IF('Inputs Yr 2'!$AJ362=BK$4,'Inputs Yr 2'!$AK362,IF('Inputs Yr 2'!$AL362=BK$4,'Inputs Yr 2'!$AM362,IF('Inputs Yr 2'!$AN362=BK$4,'Inputs Yr 2'!$AO362,0))))*(INDEX(avoidedcosttbl2,$H362,BT$2)+(($H362-ROUNDDOWN($H362,0))*(INDEX(avoidedcosttbl2,ROUNDUP($H362,0),BT$2)-(INDEX(avoidedcosttbl2,ROUNDDOWN($H362,0),BT$2)))))*'Inputs Yr 2'!P362*'Inputs Yr 2'!Q362*'Inputs Yr 2'!U362,"")</f>
        <v/>
      </c>
      <c r="BU362" s="197" t="str">
        <f>IFERROR(($G362*IF('Inputs Yr 2'!$AJ362=BL$4,'Inputs Yr 2'!$AK362,IF('Inputs Yr 2'!$AL362=BL$4,'Inputs Yr 2'!$AM362,IF('Inputs Yr 2'!$AN362=BL$4,'Inputs Yr 2'!$AO362,0))))*(INDEX(avoidedcosttbl2,$H362,BU$2)+(($H362-ROUNDDOWN($H362,0))*(INDEX(avoidedcosttbl2,ROUNDUP($H362,0),BU$2)-(INDEX(avoidedcosttbl2,ROUNDDOWN($H362,0),BU$2)))))*'Inputs Yr 2'!P362*'Inputs Yr 2'!Q362*'Inputs Yr 2'!U362,"")</f>
        <v/>
      </c>
      <c r="BV362" s="775" t="str">
        <f>IFERROR(($G362*IF('Inputs Yr 2'!$AJ362=BJ$4,'Inputs Yr 2'!$AK362,IF('Inputs Yr 2'!$AL362=BJ$4,'Inputs Yr 2'!$AM362,IF('Inputs Yr 2'!$AN362=BJ$4,'Inputs Yr 2'!$AO362,0))))*(INDEX(avoidedcosttbl2,$H362,BV$2)+(($H362-ROUNDDOWN($H362,0))*(INDEX(avoidedcosttbl2,ROUNDUP($H362,0),BV$2)-(INDEX(avoidedcosttbl2,ROUNDDOWN($H362,0),BV$2)))))*'Inputs Yr 2'!P362*'Inputs Yr 2'!Q362*'Inputs Yr 2'!U362,"")</f>
        <v/>
      </c>
      <c r="BW362" s="197" t="str">
        <f>IFERROR(($G362*IF('Inputs Yr 2'!$AJ362=BN$4,'Inputs Yr 2'!$AK362,IF('Inputs Yr 2'!$AL362=BN$4,'Inputs Yr 2'!$AM362,IF('Inputs Yr 2'!$AN362=BN$4,'Inputs Yr 2'!$AO362,0))))*(INDEX(avoidedcosttbl2,$H362,BW$2)+(($H362-ROUNDDOWN($H362,0))*(INDEX(avoidedcosttbl2,ROUNDUP($H362,0),BW$2)-(INDEX(avoidedcosttbl2,ROUNDDOWN($H362,0),BW$2)))))*'Inputs Yr 2'!P362*'Inputs Yr 2'!Q362*'Inputs Yr 2'!U362,"")</f>
        <v/>
      </c>
      <c r="BX362" s="197" t="str">
        <f>IFERROR(($G362*IF('Inputs Yr 2'!$AJ362=BO$4,'Inputs Yr 2'!$AK362,IF('Inputs Yr 2'!$AL362=BO$4,'Inputs Yr 2'!$AM362,IF('Inputs Yr 2'!$AN362=BO$4,'Inputs Yr 2'!$AO362,0))))*(INDEX(avoidedcosttbl2,$H362,BX$2)+(($H362-ROUNDDOWN($H362,0))*(INDEX(avoidedcosttbl2,ROUNDUP($H362,0),BX$2)-(INDEX(avoidedcosttbl2,ROUNDDOWN($H362,0),BX$2)))))*'Inputs Yr 2'!P362*'Inputs Yr 2'!Q362*'Inputs Yr 2'!U362,"")</f>
        <v/>
      </c>
      <c r="BY362" s="197" t="str">
        <f>IFERROR(($G362*IF('Inputs Yr 2'!$AJ362=BP$4,'Inputs Yr 2'!$AK362,IF('Inputs Yr 2'!$AL362=BP$4,'Inputs Yr 2'!$AM362,IF('Inputs Yr 2'!$AN362=BP$4,'Inputs Yr 2'!$AO362,0))))*(INDEX(avoidedcosttbl2,$H362,BY$2)+(($H362-ROUNDDOWN($H362,0))*(INDEX(avoidedcosttbl2,ROUNDUP($H362,0),BY$2)-(INDEX(avoidedcosttbl2,ROUNDDOWN($H362,0),BY$2)))))*'Inputs Yr 2'!P362*'Inputs Yr 2'!Q362*'Inputs Yr 2'!U362,"")</f>
        <v/>
      </c>
      <c r="BZ362" s="193">
        <f t="shared" si="189"/>
        <v>0</v>
      </c>
      <c r="CA362" s="193">
        <f t="shared" si="190"/>
        <v>0</v>
      </c>
      <c r="CB362" s="195" t="str">
        <f>IFERROR(G362*(IF('Inputs Yr 2'!$AJ362=CB$4,'Inputs Yr 2'!$AK362,IF('Inputs Yr 2'!$AL362=CB$4,'Inputs Yr 2'!$AM362,IF('Inputs Yr 2'!$AN362=CB$4,'Inputs Yr 2'!$AO362,0))))*(INDEX(avoidedcosttbl2,$H362,CB$2)+(($H362-ROUNDDOWN($H362,0))*(INDEX(avoidedcosttbl2,ROUNDUP($H362,0),CB$2)-(INDEX(avoidedcosttbl2,ROUNDDOWN($H362,0),CB$2)))))*'Inputs Yr 2'!P362*'Inputs Yr 2'!Q362*'Inputs Yr 2'!U362,"")</f>
        <v/>
      </c>
      <c r="CC362" s="195" t="str">
        <f>IFERROR(H362*(IF('Inputs Yr 2'!$AJ362=CC$4,'Inputs Yr 2'!$AK362,IF('Inputs Yr 2'!$AL362=CC$4,'Inputs Yr 2'!$AM362,IF('Inputs Yr 2'!$AN362=CC$4,'Inputs Yr 2'!$AO362,0))))*(INDEX(avoidedcosttbl2,$H362,CC$2)+(($H362-ROUNDDOWN($H362,0))*(INDEX(avoidedcosttbl2,ROUNDUP($H362,0),CC$2)-(INDEX(avoidedcosttbl2,ROUNDDOWN($H362,0),CC$2)))))*'Inputs Yr 2'!Q362*'Inputs Yr 2'!R362*'Inputs Yr 2'!V362,"")</f>
        <v/>
      </c>
      <c r="CD362" s="195" t="str">
        <f>IFERROR(I362*(IF('Inputs Yr 2'!$AJ362=CD$4,'Inputs Yr 2'!$AK362,IF('Inputs Yr 2'!$AL362=CD$4,'Inputs Yr 2'!$AM362,IF('Inputs Yr 2'!$AN362=CD$4,'Inputs Yr 2'!$AO362,0))))*(INDEX(avoidedcosttbl2,$H362,CD$2)+(($H362-ROUNDDOWN($H362,0))*(INDEX(avoidedcosttbl2,ROUNDUP($H362,0),CD$2)-(INDEX(avoidedcosttbl2,ROUNDDOWN($H362,0),CD$2)))))*'Inputs Yr 2'!R362*'Inputs Yr 2'!S362*'Inputs Yr 2'!W362,"")</f>
        <v/>
      </c>
      <c r="CE362" s="213" t="str">
        <f t="shared" si="191"/>
        <v/>
      </c>
      <c r="CF362" s="213" t="str">
        <f t="shared" si="192"/>
        <v/>
      </c>
      <c r="CG362" s="213" t="str">
        <f t="shared" si="193"/>
        <v/>
      </c>
      <c r="CH362" s="698">
        <f t="shared" si="194"/>
        <v>0</v>
      </c>
      <c r="CI362" s="79" t="str">
        <f>IFERROR(($G362*'Inputs Yr 2'!$P362*'Inputs Yr 2'!$Q362*(((INDEX(avoidedcosttbl2,$H362,CI$2)+(($H362-ROUNDDOWN($H362,0))*(INDEX(avoidedcosttbl2,ROUNDUP($H362,0),CI$2)-INDEX(avoidedcosttbl2,ROUNDDOWN($H362,0),CI$2))))*'Inputs Yr 2'!AS362))),"")</f>
        <v/>
      </c>
      <c r="CJ362" s="504" t="str">
        <f>IFERROR($G362*'Inputs Yr 2'!AT362*'Inputs Yr 2'!$P362*'Inputs Yr 2'!$Q362/((1+realdiscrt1)^-0.5),"")</f>
        <v/>
      </c>
      <c r="CK362" s="79" t="str">
        <f>IFERROR((O362*1000*(((INDEX(avoidedcosttbl2,$H362,CK$2)+(($H362-ROUNDDOWN($H362,0))*(INDEX(avoidedcosttbl2,ROUNDUP($H362,0),CK$2)-INDEX(avoidedcosttbl2,ROUNDDOWN($H362,0),CK$2))))*'Inputs Yr 2'!AU362))),"")</f>
        <v/>
      </c>
      <c r="CL362" s="504" t="str">
        <f>IFERROR(O362*1000*'Inputs Yr 2'!AV362/((1+realdiscrt1)^-0.5),"")</f>
        <v/>
      </c>
      <c r="CM362" s="79" t="str">
        <f>IFERROR((AB362*'Inputs Yr 2'!AW362*(((INDEX(avoidedcosttbl2,$H362,CM$2)+(($H362-ROUNDDOWN($H362,0))*(INDEX(avoidedcosttbl2,ROUNDUP($H362,0),CM$2)-INDEX(avoidedcosttbl2,ROUNDDOWN($H362,0),CM$2)))))))*10,"")</f>
        <v/>
      </c>
      <c r="CN362" s="504">
        <f>IFERROR(10*AB362*'Inputs Yr 2'!AX362/((1+realdiscrt1)^-0.5),"")</f>
        <v>0</v>
      </c>
      <c r="CO362" s="505">
        <f t="shared" si="195"/>
        <v>0</v>
      </c>
      <c r="CP362" s="230">
        <f t="shared" si="196"/>
        <v>0</v>
      </c>
      <c r="CQ362" s="199">
        <f>ROUND(IFERROR(IF(LEFT($A362,1)="C",'Avoided Costs'!$K$13,'Avoided Costs'!$K$12)+1,""),4)</f>
        <v>1.0720000000000001</v>
      </c>
      <c r="CR362" s="199">
        <f>ROUND(IFERROR(IF(LEFT($A362,1)="C",'Avoided Costs'!$L$13,'Avoided Costs'!$L$12)+1,""),4)</f>
        <v>1.04</v>
      </c>
      <c r="CS362" s="199">
        <f>ROUND(IFERROR(IF(LEFT($A362,1)="C",'Avoided Costs'!$M$13,'Avoided Costs'!$M$12)+1,""),4)</f>
        <v>1.0720000000000001</v>
      </c>
      <c r="CT362" s="199">
        <f>ROUND(IFERROR(IF(LEFT($A362,1)="C",'Avoided Costs'!$N$13,'Avoided Costs'!$N$12)+1,""),4)</f>
        <v>1.04</v>
      </c>
      <c r="CU362" s="199">
        <f>ROUND(IFERROR(IF(LEFT($A362,1)="C",'Avoided Costs'!$O$13,'Avoided Costs'!$O$12)+1,""),4)</f>
        <v>1.1120000000000001</v>
      </c>
      <c r="CV362" s="199">
        <f>ROUND(IFERROR(IF(LEFT($A362,1)="C",'Avoided Costs'!$P$13,'Avoided Costs'!$P$12)+1,""),4)</f>
        <v>1.095</v>
      </c>
      <c r="CW362" s="199">
        <f>ROUND(IFERROR(IF(LEFT($A362,1)="C",'Avoided Costs'!$Q$13,'Avoided Costs'!$Q$12)+1,""),4)</f>
        <v>1.1120000000000001</v>
      </c>
      <c r="CX362" s="200">
        <f>ROUND(IFERROR(IF(LEFT($A362,1)="C",'Avoided Costs'!$R$13,'Avoided Costs'!$R$12)+1,""),4)</f>
        <v>1.1120000000000001</v>
      </c>
    </row>
    <row r="363" spans="1:102" s="128" customFormat="1" ht="12.75" customHeight="1">
      <c r="A363" s="91" t="str">
        <f>IF('Inputs Yr 2'!$B400=0,"",'Inputs Yr 2'!A400)</f>
        <v/>
      </c>
      <c r="B363" s="91" t="str">
        <f>IF('Inputs Yr 2'!$B400=0,"",'Inputs Yr 2'!B400)</f>
        <v/>
      </c>
      <c r="C363" s="91" t="str">
        <f>IF('Inputs Yr 2'!$B363=0,"",'Inputs Yr 2'!C363)</f>
        <v/>
      </c>
      <c r="D363" s="91" t="str">
        <f>IF('Inputs Yr 2'!$B363=0,"",'Inputs Yr 2'!E363)</f>
        <v/>
      </c>
      <c r="E363" s="93" t="str">
        <f>IF('Inputs Yr 2'!$B363=0,"",'Inputs Yr 2'!F363)</f>
        <v/>
      </c>
      <c r="F363" s="93" t="str">
        <f>IF('Inputs Yr 2'!$B363=0,"",'Inputs Yr 2'!G363)</f>
        <v/>
      </c>
      <c r="G363" s="95" t="str">
        <f>IF('Inputs Yr 2'!$H363&lt;&gt;0,('Inputs Yr 2'!H363),"")</f>
        <v/>
      </c>
      <c r="H363" s="94">
        <f>IFERROR('Inputs Yr 2'!I363,"")</f>
        <v>0</v>
      </c>
      <c r="I363" s="298" t="str">
        <f>IFERROR('Inputs Yr 2'!J363*'Inputs Yr 2'!P363*G363,"")</f>
        <v/>
      </c>
      <c r="J363" s="298" t="str">
        <f>IFERROR('Inputs Yr 2'!K363*G363,"")</f>
        <v/>
      </c>
      <c r="K363" s="298" t="str">
        <f t="shared" si="173"/>
        <v/>
      </c>
      <c r="L363" s="194" t="str">
        <f>IFERROR(('Inputs Yr 2'!W363*G363)/1000,"")</f>
        <v/>
      </c>
      <c r="M363" s="194" t="str">
        <f>IFERROR(L363*('Inputs Yr 2'!$Q363*'Inputs Yr 2'!$V363*'Inputs Yr 2'!$R363),"")</f>
        <v/>
      </c>
      <c r="N363" s="194" t="str">
        <f t="shared" si="174"/>
        <v/>
      </c>
      <c r="O363" s="194" t="str">
        <f>IFERROR(M363*'Inputs Yr 2'!P363,"")</f>
        <v/>
      </c>
      <c r="P363" s="194" t="str">
        <f t="shared" si="175"/>
        <v/>
      </c>
      <c r="Q363" s="194" t="str">
        <f>IFERROR($P363*'Inputs Yr 2'!AA363,"")</f>
        <v/>
      </c>
      <c r="R363" s="194" t="str">
        <f>IFERROR($P363*'Inputs Yr 2'!AB363,"")</f>
        <v/>
      </c>
      <c r="S363" s="194" t="str">
        <f>IFERROR($P363*'Inputs Yr 2'!AC363,"")</f>
        <v/>
      </c>
      <c r="T363" s="194" t="str">
        <f>IFERROR($P363*'Inputs Yr 2'!AD363,"")</f>
        <v/>
      </c>
      <c r="U363" s="194" t="str">
        <f>IFERROR(G363*'Inputs Yr 2'!$AE363*'Inputs Yr 2'!$P363*'Inputs Yr 2'!$Q363,"")</f>
        <v/>
      </c>
      <c r="V363" s="194" t="str">
        <f>IFERROR($G363*'Inputs Yr 2'!$AE363*'Inputs Yr 2'!$AG363*'Inputs Yr 2'!Q363*'Inputs Yr 2'!$S363,"")</f>
        <v/>
      </c>
      <c r="W363" s="194" t="str">
        <f>IFERROR($G363*'Inputs Yr 2'!$AE363*'Inputs Yr 2'!$AG363*'Inputs Yr 2'!P363*'Inputs Yr 2'!Q363*'Inputs Yr 2'!$S363,"")</f>
        <v/>
      </c>
      <c r="X363" s="194" t="str">
        <f>IFERROR($G363*'Inputs Yr 2'!$AE363*'Inputs Yr 2'!$AF363*'Inputs Yr 2'!Q363*'Inputs Yr 2'!$T363,"")</f>
        <v/>
      </c>
      <c r="Y363" s="194" t="str">
        <f>IFERROR($G363*'Inputs Yr 2'!$AE363*'Inputs Yr 2'!$AF363*'Inputs Yr 2'!P363*'Inputs Yr 2'!Q363*'Inputs Yr 2'!$T363,"")</f>
        <v/>
      </c>
      <c r="Z363" s="257">
        <f>IFERROR($G363*'Inputs Yr 2'!$Q363*'Inputs Yr 2'!$U363*(IF(IFERROR(SEARCH("NG", 'Inputs Yr 2'!$AJ363),0),'Inputs Yr 2'!$AK363,0)+IF(IFERROR(SEARCH("NG", 'Inputs Yr 2'!$AL363),0),'Inputs Yr 2'!$AM363,0)+IF(IFERROR(SEARCH("NG", 'Inputs Yr 2'!$AN363),0),'Inputs Yr 2'!$AO363,0)),0)</f>
        <v>0</v>
      </c>
      <c r="AA363" s="257">
        <f t="shared" si="176"/>
        <v>0</v>
      </c>
      <c r="AB363" s="257">
        <f>IFERROR(Z363*'Inputs Yr 2'!$P363,0)</f>
        <v>0</v>
      </c>
      <c r="AC363" s="257">
        <f t="shared" si="177"/>
        <v>0</v>
      </c>
      <c r="AD363" s="257">
        <f>IFERROR($G363*'Inputs Yr 2'!$Q363*'Inputs Yr 2'!$U363*(IF(IFERROR(SEARCH("Oil", 'Inputs Yr 2'!$AJ363), 0),'Inputs Yr 2'!$AK363,0)+IF(IFERROR(SEARCH("Oil", 'Inputs Yr 2'!$AL363), 0),'Inputs Yr 2'!$AM363,0)+IF(IFERROR(SEARCH("Oil", 'Inputs Yr 2'!$AN363), 0),'Inputs Yr 2'!$AO363,0)),0)</f>
        <v>0</v>
      </c>
      <c r="AE363" s="257">
        <f t="shared" si="178"/>
        <v>0</v>
      </c>
      <c r="AF363" s="257">
        <f>IFERROR(AD363*'Inputs Yr 2'!$P363,0)</f>
        <v>0</v>
      </c>
      <c r="AG363" s="257">
        <f t="shared" si="179"/>
        <v>0</v>
      </c>
      <c r="AH363" s="257">
        <f>IFERROR($G363*'Inputs Yr 2'!$Q363*'Inputs Yr 2'!$U363*(IF('Inputs Yr 2'!$AJ363=CD$4,'Inputs Yr 2'!$AK363,IF('Inputs Yr 2'!$AL363=CD$4,'Inputs Yr 2'!$AM363,IF('Inputs Yr 2'!$AN363=CD$4,'Inputs Yr 2'!$AO363,0)))),0)</f>
        <v>0</v>
      </c>
      <c r="AI363" s="257">
        <f t="shared" si="180"/>
        <v>0</v>
      </c>
      <c r="AJ363" s="257">
        <f>IFERROR(AH363*'Inputs Yr 2'!$P363,0)</f>
        <v>0</v>
      </c>
      <c r="AK363" s="257">
        <f t="shared" si="181"/>
        <v>0</v>
      </c>
      <c r="AL363" s="258">
        <f>IFERROR($G363*'Inputs Yr 2'!$P363*'Inputs Yr 2'!$Q363*'Inputs Yr 2'!AP363,0)</f>
        <v>0</v>
      </c>
      <c r="AM363" s="260">
        <f>IFERROR($G363*'Inputs Yr 2'!$P363*'Inputs Yr 2'!$Q363*'Inputs Yr 2'!AQ363,0)</f>
        <v>0</v>
      </c>
      <c r="AN363" s="258">
        <f>IFERROR($G363*'Inputs Yr 2'!$P363*'Inputs Yr 2'!$Q363*'Inputs Yr 2'!AR363,0)</f>
        <v>0</v>
      </c>
      <c r="AO363" s="257">
        <f t="shared" si="182"/>
        <v>0</v>
      </c>
      <c r="AP363" s="195" t="str">
        <f>IFERROR($CQ363*(INDEX(avoidedcosttbl2,$H363,AP$2)+(($H363-ROUNDDOWN($H363,0))*(INDEX(avoidedcosttbl2,ROUNDUP($H363,0),AP$2)-(INDEX(avoidedcosttbl2,ROUNDDOWN($H363,0),AP$2)))))*$O363*1000*'Inputs Yr 2'!AA363,"")</f>
        <v/>
      </c>
      <c r="AQ363" s="195" t="str">
        <f>IFERROR($CR363*(INDEX(avoidedcosttbl2,$H363,AQ$2)+(($H363-ROUNDDOWN($H363,0))*(INDEX(avoidedcosttbl2,ROUNDUP($H363,0),AQ$2)-(INDEX(avoidedcosttbl2,ROUNDDOWN($H363,0),AQ$2)))))*$O363*1000*'Inputs Yr 2'!AB363,"")</f>
        <v/>
      </c>
      <c r="AR363" s="195" t="str">
        <f>IFERROR($CS363*(INDEX(avoidedcosttbl2,$H363,AR$2)+(($H363-ROUNDDOWN($H363,0))*(INDEX(avoidedcosttbl2,ROUNDUP($H363,0),AR$2)-(INDEX(avoidedcosttbl2,ROUNDDOWN($H363,0),AR$2)))))*$O363*1000*'Inputs Yr 2'!AC363,"")</f>
        <v/>
      </c>
      <c r="AS363" s="195" t="str">
        <f>IFERROR($CT363*(INDEX(avoidedcosttbl2,$H363,AS$2)+(($H363-ROUNDDOWN($H363,0))*(INDEX(avoidedcosttbl2,ROUNDUP($H363,0),AS$2)-(INDEX(avoidedcosttbl2,ROUNDDOWN($H363,0),AS$2)))))*$O363*1000*'Inputs Yr 2'!AD363,"")</f>
        <v/>
      </c>
      <c r="AT363" s="196">
        <f t="shared" si="183"/>
        <v>0</v>
      </c>
      <c r="AU363" s="197" t="str">
        <f>IFERROR($CQ363*((INDEX(avoidedcosttbl2,$H363,AU$2))+(($H363-ROUNDDOWN($H363,0))*((INDEX(avoidedcosttbl2,ROUNDUP($H363,0),AU$2))-(INDEX(avoidedcosttbl2,ROUNDDOWN($H363,0),AU$2)))))*$O363*1000*'Inputs Yr 2'!AA363,"")</f>
        <v/>
      </c>
      <c r="AV363" s="197" t="str">
        <f>IFERROR($CR363*((INDEX(avoidedcosttbl2,$H363,AV$2))+(($H363-ROUNDDOWN($H363,0))*((INDEX(avoidedcosttbl2,ROUNDUP($H363,0),AV$2))-(INDEX(avoidedcosttbl2,ROUNDDOWN($H363,0),AV$2)))))*$O363*1000*'Inputs Yr 2'!AB363,"")</f>
        <v/>
      </c>
      <c r="AW363" s="197" t="str">
        <f>IFERROR($CS363*((INDEX(avoidedcosttbl2,$H363,AW$2))+(($H363-ROUNDDOWN($H363,0))*((INDEX(avoidedcosttbl2,ROUNDUP($H363,0),AW$2))-(INDEX(avoidedcosttbl2,ROUNDDOWN($H363,0),AW$2)))))*$O363*1000*'Inputs Yr 2'!AC363,"")</f>
        <v/>
      </c>
      <c r="AX363" s="197" t="str">
        <f>IFERROR($CT363*((INDEX(avoidedcosttbl2,$H363,AX$2))+(($H363-ROUNDDOWN($H363,0))*((INDEX(avoidedcosttbl2,ROUNDUP($H363,0),AX$2))-(INDEX(avoidedcosttbl2,ROUNDDOWN($H363,0),AX$2)))))*$O363*1000*'Inputs Yr 2'!AD363,"")</f>
        <v/>
      </c>
      <c r="AY363" s="197" t="str">
        <f>IFERROR(((INDEX(avoidedcosttbl2,$H363,AY$2))+(($H363-ROUNDDOWN($H363,0))*((INDEX(avoidedcosttbl2,ROUNDUP($H363,0),AY$2))-(INDEX(avoidedcosttbl2,ROUNDDOWN($H363,0),AY$2)))))*$O363*1000*('Inputs Yr 2'!AC363+'Inputs Yr 2'!AD363),"")</f>
        <v/>
      </c>
      <c r="AZ363" s="197" t="str">
        <f>IFERROR(((INDEX(avoidedcosttbl2,$H363,AZ$2))+(($H363-ROUNDDOWN($H363,0))*((INDEX(avoidedcosttbl2,ROUNDUP($H363,0),AZ$2))-(INDEX(avoidedcosttbl2,ROUNDDOWN($H363,0),AZ$2)))))*$O363*1000*('Inputs Yr 2'!AA363+'Inputs Yr 2'!AB363),"")</f>
        <v/>
      </c>
      <c r="BA363" s="198">
        <f t="shared" si="184"/>
        <v>0</v>
      </c>
      <c r="BB363" s="198">
        <f t="shared" si="185"/>
        <v>0</v>
      </c>
      <c r="BC363" s="195" t="str">
        <f t="shared" si="167"/>
        <v/>
      </c>
      <c r="BD363" s="195" t="str">
        <f t="shared" si="168"/>
        <v/>
      </c>
      <c r="BE363" s="195" t="str">
        <f t="shared" si="169"/>
        <v/>
      </c>
      <c r="BF363" s="195" t="str">
        <f t="shared" si="170"/>
        <v/>
      </c>
      <c r="BG363" s="195" t="str">
        <f t="shared" si="171"/>
        <v/>
      </c>
      <c r="BH363" s="196">
        <f t="shared" si="186"/>
        <v>0</v>
      </c>
      <c r="BI363" s="196">
        <f t="shared" si="187"/>
        <v>0</v>
      </c>
      <c r="BJ363" s="195" t="str">
        <f>IFERROR($G363*(IF('Inputs Yr 2'!$AJ363=BJ$4,'Inputs Yr 2'!$AK363,IF('Inputs Yr 2'!$AL363=BJ$4,'Inputs Yr 2'!$AM363,IF('Inputs Yr 2'!$AN363=BJ$4,'Inputs Yr 2'!$AO363,0))))*(INDEX(avoidedcosttbl2,$H363,BJ$2)+(($H363-ROUNDDOWN($H363,0))*(INDEX(avoidedcosttbl2,ROUNDUP($H363,0),BJ$2)-(INDEX(avoidedcosttbl2,ROUNDDOWN($H363,0),BJ$2)))))*'Inputs Yr 2'!P363*'Inputs Yr 2'!Q363*'Inputs Yr 2'!U363,"")</f>
        <v/>
      </c>
      <c r="BK363" s="195" t="str">
        <f>IFERROR($G363*(IF('Inputs Yr 2'!$AJ363=BK$4,'Inputs Yr 2'!$AK363,IF('Inputs Yr 2'!$AL363=BK$4,'Inputs Yr 2'!$AM363,IF('Inputs Yr 2'!$AN363=BK$4,'Inputs Yr 2'!$AO363,0))))*(INDEX(avoidedcosttbl2,$H363,BK$2)+(($H363-ROUNDDOWN($H363,0))*(INDEX(avoidedcosttbl2,ROUNDUP($H363,0),BK$2)-(INDEX(avoidedcosttbl2,ROUNDDOWN($H363,0),BK$2)))))*'Inputs Yr 2'!P363*'Inputs Yr 2'!Q363*'Inputs Yr 2'!U363,"")</f>
        <v/>
      </c>
      <c r="BL363" s="195" t="str">
        <f>IFERROR($G363*(IF('Inputs Yr 2'!$AJ363=BL$4,'Inputs Yr 2'!$AK363,IF('Inputs Yr 2'!$AL363=BL$4,'Inputs Yr 2'!$AM363,IF('Inputs Yr 2'!$AN363=BL$4,'Inputs Yr 2'!$AO363,0))))*(INDEX(avoidedcosttbl2,$H363,BL$2)+(($H363-ROUNDDOWN($H363,0))*(INDEX(avoidedcosttbl2,ROUNDUP($H363,0),BL$2)-(INDEX(avoidedcosttbl2,ROUNDDOWN($H363,0),BL$2)))))*'Inputs Yr 2'!P363*'Inputs Yr 2'!Q363*'Inputs Yr 2'!U363,"")</f>
        <v/>
      </c>
      <c r="BM363" s="195" t="str">
        <f>IFERROR($G363*(IF('Inputs Yr 2'!$AJ363=BM$4,'Inputs Yr 2'!$AK363,IF('Inputs Yr 2'!$AL363=BM$4,'Inputs Yr 2'!$AM363,IF('Inputs Yr 2'!$AN363=BM$4,'Inputs Yr 2'!$AO363,0))))*(INDEX(avoidedcosttbl2,$H363,BM$2)+(($H363-ROUNDDOWN($H363,0))*(INDEX(avoidedcosttbl2,ROUNDUP($H363,0),BM$2)-(INDEX(avoidedcosttbl2,ROUNDDOWN($H363,0),BM$2)))))*'Inputs Yr 2'!P363*'Inputs Yr 2'!Q363*'Inputs Yr 2'!U363,"")</f>
        <v/>
      </c>
      <c r="BN363" s="195" t="str">
        <f>IFERROR($G363*(IF('Inputs Yr 2'!$AJ363=BN$4,'Inputs Yr 2'!$AK363,IF('Inputs Yr 2'!$AL363=BN$4,'Inputs Yr 2'!$AM363,IF('Inputs Yr 2'!$AN363=BN$4,'Inputs Yr 2'!$AO363,0))))*(INDEX(avoidedcosttbl2,$H363,BN$2)+(($H363-ROUNDDOWN($H363,0))*(INDEX(avoidedcosttbl2,ROUNDUP($H363,0),BN$2)-(INDEX(avoidedcosttbl2,ROUNDDOWN($H363,0),BN$2)))))*'Inputs Yr 2'!P363*'Inputs Yr 2'!Q363*'Inputs Yr 2'!U363,"")</f>
        <v/>
      </c>
      <c r="BO363" s="195" t="str">
        <f>IFERROR($G363*(IF('Inputs Yr 2'!$AJ363=BO$4,'Inputs Yr 2'!$AK363,IF('Inputs Yr 2'!$AL363=BO$4,'Inputs Yr 2'!$AM363,IF('Inputs Yr 2'!$AN363=BO$4,'Inputs Yr 2'!$AO363,0))))*(INDEX(avoidedcosttbl2,$H363,BO$2)+(($H363-ROUNDDOWN($H363,0))*(INDEX(avoidedcosttbl2,ROUNDUP($H363,0),BO$2)-(INDEX(avoidedcosttbl2,ROUNDDOWN($H363,0),BO$2)))))*'Inputs Yr 2'!P363*'Inputs Yr 2'!Q363*'Inputs Yr 2'!U363,"")</f>
        <v/>
      </c>
      <c r="BP363" s="195" t="str">
        <f>IFERROR($G363*(IF('Inputs Yr 2'!$AJ363=BP$4,'Inputs Yr 2'!$AK363,IF('Inputs Yr 2'!$AL363=BP$4,'Inputs Yr 2'!$AM363,IF('Inputs Yr 2'!$AN363=BP$4,'Inputs Yr 2'!$AO363,0))))*(INDEX(avoidedcosttbl2,$H363,BP$2)+(($H363-ROUNDDOWN($H363,0))*(INDEX(avoidedcosttbl2,ROUNDUP($H363,0),BP$2)-(INDEX(avoidedcosttbl2,ROUNDDOWN($H363,0),BP$2)))))*'Inputs Yr 2'!P363*'Inputs Yr 2'!Q363*'Inputs Yr 2'!U363,"")</f>
        <v/>
      </c>
      <c r="BQ363" s="230">
        <f t="shared" si="188"/>
        <v>0</v>
      </c>
      <c r="BR363" s="197" t="str">
        <f t="shared" si="172"/>
        <v/>
      </c>
      <c r="BS363" s="197" t="str">
        <f>IFERROR(($G363*IF('Inputs Yr 2'!$AJ363=BM$4,'Inputs Yr 2'!$AK363,IF('Inputs Yr 2'!$AL363=BM$4,'Inputs Yr 2'!$AM363,IF('Inputs Yr 2'!$AN363=BM$4,'Inputs Yr 2'!$AO363,0))))*(INDEX(avoidedcosttbl2,$H363,BS$2)+(($H363-ROUNDDOWN($H363,0))*(INDEX(avoidedcosttbl2,ROUNDUP($H363,0),BS$2)-(INDEX(avoidedcosttbl2,ROUNDDOWN($H363,0),BS$2)))))*'Inputs Yr 2'!P363*'Inputs Yr 2'!Q363*'Inputs Yr 2'!U363,"")</f>
        <v/>
      </c>
      <c r="BT363" s="197" t="str">
        <f>IFERROR(($G363*IF('Inputs Yr 2'!$AJ363=BK$4,'Inputs Yr 2'!$AK363,IF('Inputs Yr 2'!$AL363=BK$4,'Inputs Yr 2'!$AM363,IF('Inputs Yr 2'!$AN363=BK$4,'Inputs Yr 2'!$AO363,0))))*(INDEX(avoidedcosttbl2,$H363,BT$2)+(($H363-ROUNDDOWN($H363,0))*(INDEX(avoidedcosttbl2,ROUNDUP($H363,0),BT$2)-(INDEX(avoidedcosttbl2,ROUNDDOWN($H363,0),BT$2)))))*'Inputs Yr 2'!P363*'Inputs Yr 2'!Q363*'Inputs Yr 2'!U363,"")</f>
        <v/>
      </c>
      <c r="BU363" s="197" t="str">
        <f>IFERROR(($G363*IF('Inputs Yr 2'!$AJ363=BL$4,'Inputs Yr 2'!$AK363,IF('Inputs Yr 2'!$AL363=BL$4,'Inputs Yr 2'!$AM363,IF('Inputs Yr 2'!$AN363=BL$4,'Inputs Yr 2'!$AO363,0))))*(INDEX(avoidedcosttbl2,$H363,BU$2)+(($H363-ROUNDDOWN($H363,0))*(INDEX(avoidedcosttbl2,ROUNDUP($H363,0),BU$2)-(INDEX(avoidedcosttbl2,ROUNDDOWN($H363,0),BU$2)))))*'Inputs Yr 2'!P363*'Inputs Yr 2'!Q363*'Inputs Yr 2'!U363,"")</f>
        <v/>
      </c>
      <c r="BV363" s="775" t="str">
        <f>IFERROR(($G363*IF('Inputs Yr 2'!$AJ363=BJ$4,'Inputs Yr 2'!$AK363,IF('Inputs Yr 2'!$AL363=BJ$4,'Inputs Yr 2'!$AM363,IF('Inputs Yr 2'!$AN363=BJ$4,'Inputs Yr 2'!$AO363,0))))*(INDEX(avoidedcosttbl2,$H363,BV$2)+(($H363-ROUNDDOWN($H363,0))*(INDEX(avoidedcosttbl2,ROUNDUP($H363,0),BV$2)-(INDEX(avoidedcosttbl2,ROUNDDOWN($H363,0),BV$2)))))*'Inputs Yr 2'!P363*'Inputs Yr 2'!Q363*'Inputs Yr 2'!U363,"")</f>
        <v/>
      </c>
      <c r="BW363" s="197" t="str">
        <f>IFERROR(($G363*IF('Inputs Yr 2'!$AJ363=BN$4,'Inputs Yr 2'!$AK363,IF('Inputs Yr 2'!$AL363=BN$4,'Inputs Yr 2'!$AM363,IF('Inputs Yr 2'!$AN363=BN$4,'Inputs Yr 2'!$AO363,0))))*(INDEX(avoidedcosttbl2,$H363,BW$2)+(($H363-ROUNDDOWN($H363,0))*(INDEX(avoidedcosttbl2,ROUNDUP($H363,0),BW$2)-(INDEX(avoidedcosttbl2,ROUNDDOWN($H363,0),BW$2)))))*'Inputs Yr 2'!P363*'Inputs Yr 2'!Q363*'Inputs Yr 2'!U363,"")</f>
        <v/>
      </c>
      <c r="BX363" s="197" t="str">
        <f>IFERROR(($G363*IF('Inputs Yr 2'!$AJ363=BO$4,'Inputs Yr 2'!$AK363,IF('Inputs Yr 2'!$AL363=BO$4,'Inputs Yr 2'!$AM363,IF('Inputs Yr 2'!$AN363=BO$4,'Inputs Yr 2'!$AO363,0))))*(INDEX(avoidedcosttbl2,$H363,BX$2)+(($H363-ROUNDDOWN($H363,0))*(INDEX(avoidedcosttbl2,ROUNDUP($H363,0),BX$2)-(INDEX(avoidedcosttbl2,ROUNDDOWN($H363,0),BX$2)))))*'Inputs Yr 2'!P363*'Inputs Yr 2'!Q363*'Inputs Yr 2'!U363,"")</f>
        <v/>
      </c>
      <c r="BY363" s="197" t="str">
        <f>IFERROR(($G363*IF('Inputs Yr 2'!$AJ363=BP$4,'Inputs Yr 2'!$AK363,IF('Inputs Yr 2'!$AL363=BP$4,'Inputs Yr 2'!$AM363,IF('Inputs Yr 2'!$AN363=BP$4,'Inputs Yr 2'!$AO363,0))))*(INDEX(avoidedcosttbl2,$H363,BY$2)+(($H363-ROUNDDOWN($H363,0))*(INDEX(avoidedcosttbl2,ROUNDUP($H363,0),BY$2)-(INDEX(avoidedcosttbl2,ROUNDDOWN($H363,0),BY$2)))))*'Inputs Yr 2'!P363*'Inputs Yr 2'!Q363*'Inputs Yr 2'!U363,"")</f>
        <v/>
      </c>
      <c r="BZ363" s="193">
        <f t="shared" si="189"/>
        <v>0</v>
      </c>
      <c r="CA363" s="193">
        <f t="shared" si="190"/>
        <v>0</v>
      </c>
      <c r="CB363" s="195" t="str">
        <f>IFERROR(G363*(IF('Inputs Yr 2'!$AJ363=CB$4,'Inputs Yr 2'!$AK363,IF('Inputs Yr 2'!$AL363=CB$4,'Inputs Yr 2'!$AM363,IF('Inputs Yr 2'!$AN363=CB$4,'Inputs Yr 2'!$AO363,0))))*(INDEX(avoidedcosttbl2,$H363,CB$2)+(($H363-ROUNDDOWN($H363,0))*(INDEX(avoidedcosttbl2,ROUNDUP($H363,0),CB$2)-(INDEX(avoidedcosttbl2,ROUNDDOWN($H363,0),CB$2)))))*'Inputs Yr 2'!P363*'Inputs Yr 2'!Q363*'Inputs Yr 2'!U363,"")</f>
        <v/>
      </c>
      <c r="CC363" s="195" t="str">
        <f>IFERROR(H363*(IF('Inputs Yr 2'!$AJ363=CC$4,'Inputs Yr 2'!$AK363,IF('Inputs Yr 2'!$AL363=CC$4,'Inputs Yr 2'!$AM363,IF('Inputs Yr 2'!$AN363=CC$4,'Inputs Yr 2'!$AO363,0))))*(INDEX(avoidedcosttbl2,$H363,CC$2)+(($H363-ROUNDDOWN($H363,0))*(INDEX(avoidedcosttbl2,ROUNDUP($H363,0),CC$2)-(INDEX(avoidedcosttbl2,ROUNDDOWN($H363,0),CC$2)))))*'Inputs Yr 2'!Q363*'Inputs Yr 2'!R363*'Inputs Yr 2'!V363,"")</f>
        <v/>
      </c>
      <c r="CD363" s="195" t="str">
        <f>IFERROR(I363*(IF('Inputs Yr 2'!$AJ363=CD$4,'Inputs Yr 2'!$AK363,IF('Inputs Yr 2'!$AL363=CD$4,'Inputs Yr 2'!$AM363,IF('Inputs Yr 2'!$AN363=CD$4,'Inputs Yr 2'!$AO363,0))))*(INDEX(avoidedcosttbl2,$H363,CD$2)+(($H363-ROUNDDOWN($H363,0))*(INDEX(avoidedcosttbl2,ROUNDUP($H363,0),CD$2)-(INDEX(avoidedcosttbl2,ROUNDDOWN($H363,0),CD$2)))))*'Inputs Yr 2'!R363*'Inputs Yr 2'!S363*'Inputs Yr 2'!W363,"")</f>
        <v/>
      </c>
      <c r="CE363" s="213" t="str">
        <f t="shared" si="191"/>
        <v/>
      </c>
      <c r="CF363" s="213" t="str">
        <f t="shared" si="192"/>
        <v/>
      </c>
      <c r="CG363" s="213" t="str">
        <f t="shared" si="193"/>
        <v/>
      </c>
      <c r="CH363" s="698">
        <f t="shared" si="194"/>
        <v>0</v>
      </c>
      <c r="CI363" s="79" t="str">
        <f>IFERROR(($G363*'Inputs Yr 2'!$P363*'Inputs Yr 2'!$Q363*(((INDEX(avoidedcosttbl2,$H363,CI$2)+(($H363-ROUNDDOWN($H363,0))*(INDEX(avoidedcosttbl2,ROUNDUP($H363,0),CI$2)-INDEX(avoidedcosttbl2,ROUNDDOWN($H363,0),CI$2))))*'Inputs Yr 2'!AS363))),"")</f>
        <v/>
      </c>
      <c r="CJ363" s="504" t="str">
        <f>IFERROR($G363*'Inputs Yr 2'!AT363*'Inputs Yr 2'!$P363*'Inputs Yr 2'!$Q363/((1+realdiscrt1)^-0.5),"")</f>
        <v/>
      </c>
      <c r="CK363" s="79" t="str">
        <f>IFERROR((O363*1000*(((INDEX(avoidedcosttbl2,$H363,CK$2)+(($H363-ROUNDDOWN($H363,0))*(INDEX(avoidedcosttbl2,ROUNDUP($H363,0),CK$2)-INDEX(avoidedcosttbl2,ROUNDDOWN($H363,0),CK$2))))*'Inputs Yr 2'!AU363))),"")</f>
        <v/>
      </c>
      <c r="CL363" s="504" t="str">
        <f>IFERROR(O363*1000*'Inputs Yr 2'!AV363/((1+realdiscrt1)^-0.5),"")</f>
        <v/>
      </c>
      <c r="CM363" s="79" t="str">
        <f>IFERROR((AB363*'Inputs Yr 2'!AW363*(((INDEX(avoidedcosttbl2,$H363,CM$2)+(($H363-ROUNDDOWN($H363,0))*(INDEX(avoidedcosttbl2,ROUNDUP($H363,0),CM$2)-INDEX(avoidedcosttbl2,ROUNDDOWN($H363,0),CM$2)))))))*10,"")</f>
        <v/>
      </c>
      <c r="CN363" s="504">
        <f>IFERROR(10*AB363*'Inputs Yr 2'!AX363/((1+realdiscrt1)^-0.5),"")</f>
        <v>0</v>
      </c>
      <c r="CO363" s="505">
        <f t="shared" si="195"/>
        <v>0</v>
      </c>
      <c r="CP363" s="230">
        <f t="shared" si="196"/>
        <v>0</v>
      </c>
      <c r="CQ363" s="199">
        <f>ROUND(IFERROR(IF(LEFT($A363,1)="C",'Avoided Costs'!$K$13,'Avoided Costs'!$K$12)+1,""),4)</f>
        <v>1.0720000000000001</v>
      </c>
      <c r="CR363" s="199">
        <f>ROUND(IFERROR(IF(LEFT($A363,1)="C",'Avoided Costs'!$L$13,'Avoided Costs'!$L$12)+1,""),4)</f>
        <v>1.04</v>
      </c>
      <c r="CS363" s="199">
        <f>ROUND(IFERROR(IF(LEFT($A363,1)="C",'Avoided Costs'!$M$13,'Avoided Costs'!$M$12)+1,""),4)</f>
        <v>1.0720000000000001</v>
      </c>
      <c r="CT363" s="199">
        <f>ROUND(IFERROR(IF(LEFT($A363,1)="C",'Avoided Costs'!$N$13,'Avoided Costs'!$N$12)+1,""),4)</f>
        <v>1.04</v>
      </c>
      <c r="CU363" s="199">
        <f>ROUND(IFERROR(IF(LEFT($A363,1)="C",'Avoided Costs'!$O$13,'Avoided Costs'!$O$12)+1,""),4)</f>
        <v>1.1120000000000001</v>
      </c>
      <c r="CV363" s="199">
        <f>ROUND(IFERROR(IF(LEFT($A363,1)="C",'Avoided Costs'!$P$13,'Avoided Costs'!$P$12)+1,""),4)</f>
        <v>1.095</v>
      </c>
      <c r="CW363" s="199">
        <f>ROUND(IFERROR(IF(LEFT($A363,1)="C",'Avoided Costs'!$Q$13,'Avoided Costs'!$Q$12)+1,""),4)</f>
        <v>1.1120000000000001</v>
      </c>
      <c r="CX363" s="200">
        <f>ROUND(IFERROR(IF(LEFT($A363,1)="C",'Avoided Costs'!$R$13,'Avoided Costs'!$R$12)+1,""),4)</f>
        <v>1.1120000000000001</v>
      </c>
    </row>
    <row r="364" spans="1:102" s="128" customFormat="1" ht="12.75" customHeight="1">
      <c r="A364" s="91" t="str">
        <f>IF('Inputs Yr 2'!$B401=0,"",'Inputs Yr 2'!A401)</f>
        <v/>
      </c>
      <c r="B364" s="91" t="str">
        <f>IF('Inputs Yr 2'!$B401=0,"",'Inputs Yr 2'!B401)</f>
        <v/>
      </c>
      <c r="C364" s="91" t="str">
        <f>IF('Inputs Yr 2'!$B364=0,"",'Inputs Yr 2'!C364)</f>
        <v/>
      </c>
      <c r="D364" s="91" t="str">
        <f>IF('Inputs Yr 2'!$B364=0,"",'Inputs Yr 2'!E364)</f>
        <v/>
      </c>
      <c r="E364" s="93" t="str">
        <f>IF('Inputs Yr 2'!$B364=0,"",'Inputs Yr 2'!F364)</f>
        <v/>
      </c>
      <c r="F364" s="93" t="str">
        <f>IF('Inputs Yr 2'!$B364=0,"",'Inputs Yr 2'!G364)</f>
        <v/>
      </c>
      <c r="G364" s="95" t="str">
        <f>IF('Inputs Yr 2'!$H364&lt;&gt;0,('Inputs Yr 2'!H364),"")</f>
        <v/>
      </c>
      <c r="H364" s="94">
        <f>IFERROR('Inputs Yr 2'!I364,"")</f>
        <v>0</v>
      </c>
      <c r="I364" s="298" t="str">
        <f>IFERROR('Inputs Yr 2'!J364*'Inputs Yr 2'!P364*G364,"")</f>
        <v/>
      </c>
      <c r="J364" s="298" t="str">
        <f>IFERROR('Inputs Yr 2'!K364*G364,"")</f>
        <v/>
      </c>
      <c r="K364" s="298" t="str">
        <f t="shared" si="173"/>
        <v/>
      </c>
      <c r="L364" s="194" t="str">
        <f>IFERROR(('Inputs Yr 2'!W364*G364)/1000,"")</f>
        <v/>
      </c>
      <c r="M364" s="194" t="str">
        <f>IFERROR(L364*('Inputs Yr 2'!$Q364*'Inputs Yr 2'!$V364*'Inputs Yr 2'!$R364),"")</f>
        <v/>
      </c>
      <c r="N364" s="194" t="str">
        <f t="shared" si="174"/>
        <v/>
      </c>
      <c r="O364" s="194" t="str">
        <f>IFERROR(M364*'Inputs Yr 2'!P364,"")</f>
        <v/>
      </c>
      <c r="P364" s="194" t="str">
        <f t="shared" si="175"/>
        <v/>
      </c>
      <c r="Q364" s="194" t="str">
        <f>IFERROR($P364*'Inputs Yr 2'!AA364,"")</f>
        <v/>
      </c>
      <c r="R364" s="194" t="str">
        <f>IFERROR($P364*'Inputs Yr 2'!AB364,"")</f>
        <v/>
      </c>
      <c r="S364" s="194" t="str">
        <f>IFERROR($P364*'Inputs Yr 2'!AC364,"")</f>
        <v/>
      </c>
      <c r="T364" s="194" t="str">
        <f>IFERROR($P364*'Inputs Yr 2'!AD364,"")</f>
        <v/>
      </c>
      <c r="U364" s="194" t="str">
        <f>IFERROR(G364*'Inputs Yr 2'!$AE364*'Inputs Yr 2'!$P364*'Inputs Yr 2'!$Q364,"")</f>
        <v/>
      </c>
      <c r="V364" s="194" t="str">
        <f>IFERROR($G364*'Inputs Yr 2'!$AE364*'Inputs Yr 2'!$AG364*'Inputs Yr 2'!Q364*'Inputs Yr 2'!$S364,"")</f>
        <v/>
      </c>
      <c r="W364" s="194" t="str">
        <f>IFERROR($G364*'Inputs Yr 2'!$AE364*'Inputs Yr 2'!$AG364*'Inputs Yr 2'!P364*'Inputs Yr 2'!Q364*'Inputs Yr 2'!$S364,"")</f>
        <v/>
      </c>
      <c r="X364" s="194" t="str">
        <f>IFERROR($G364*'Inputs Yr 2'!$AE364*'Inputs Yr 2'!$AF364*'Inputs Yr 2'!Q364*'Inputs Yr 2'!$T364,"")</f>
        <v/>
      </c>
      <c r="Y364" s="194" t="str">
        <f>IFERROR($G364*'Inputs Yr 2'!$AE364*'Inputs Yr 2'!$AF364*'Inputs Yr 2'!P364*'Inputs Yr 2'!Q364*'Inputs Yr 2'!$T364,"")</f>
        <v/>
      </c>
      <c r="Z364" s="257">
        <f>IFERROR($G364*'Inputs Yr 2'!$Q364*'Inputs Yr 2'!$U364*(IF(IFERROR(SEARCH("NG", 'Inputs Yr 2'!$AJ364),0),'Inputs Yr 2'!$AK364,0)+IF(IFERROR(SEARCH("NG", 'Inputs Yr 2'!$AL364),0),'Inputs Yr 2'!$AM364,0)+IF(IFERROR(SEARCH("NG", 'Inputs Yr 2'!$AN364),0),'Inputs Yr 2'!$AO364,0)),0)</f>
        <v>0</v>
      </c>
      <c r="AA364" s="257">
        <f t="shared" si="176"/>
        <v>0</v>
      </c>
      <c r="AB364" s="257">
        <f>IFERROR(Z364*'Inputs Yr 2'!$P364,0)</f>
        <v>0</v>
      </c>
      <c r="AC364" s="257">
        <f t="shared" si="177"/>
        <v>0</v>
      </c>
      <c r="AD364" s="257">
        <f>IFERROR($G364*'Inputs Yr 2'!$Q364*'Inputs Yr 2'!$U364*(IF(IFERROR(SEARCH("Oil", 'Inputs Yr 2'!$AJ364), 0),'Inputs Yr 2'!$AK364,0)+IF(IFERROR(SEARCH("Oil", 'Inputs Yr 2'!$AL364), 0),'Inputs Yr 2'!$AM364,0)+IF(IFERROR(SEARCH("Oil", 'Inputs Yr 2'!$AN364), 0),'Inputs Yr 2'!$AO364,0)),0)</f>
        <v>0</v>
      </c>
      <c r="AE364" s="257">
        <f t="shared" si="178"/>
        <v>0</v>
      </c>
      <c r="AF364" s="257">
        <f>IFERROR(AD364*'Inputs Yr 2'!$P364,0)</f>
        <v>0</v>
      </c>
      <c r="AG364" s="257">
        <f t="shared" si="179"/>
        <v>0</v>
      </c>
      <c r="AH364" s="257">
        <f>IFERROR($G364*'Inputs Yr 2'!$Q364*'Inputs Yr 2'!$U364*(IF('Inputs Yr 2'!$AJ364=CD$4,'Inputs Yr 2'!$AK364,IF('Inputs Yr 2'!$AL364=CD$4,'Inputs Yr 2'!$AM364,IF('Inputs Yr 2'!$AN364=CD$4,'Inputs Yr 2'!$AO364,0)))),0)</f>
        <v>0</v>
      </c>
      <c r="AI364" s="257">
        <f t="shared" si="180"/>
        <v>0</v>
      </c>
      <c r="AJ364" s="257">
        <f>IFERROR(AH364*'Inputs Yr 2'!$P364,0)</f>
        <v>0</v>
      </c>
      <c r="AK364" s="257">
        <f t="shared" si="181"/>
        <v>0</v>
      </c>
      <c r="AL364" s="258">
        <f>IFERROR($G364*'Inputs Yr 2'!$P364*'Inputs Yr 2'!$Q364*'Inputs Yr 2'!AP364,0)</f>
        <v>0</v>
      </c>
      <c r="AM364" s="260">
        <f>IFERROR($G364*'Inputs Yr 2'!$P364*'Inputs Yr 2'!$Q364*'Inputs Yr 2'!AQ364,0)</f>
        <v>0</v>
      </c>
      <c r="AN364" s="258">
        <f>IFERROR($G364*'Inputs Yr 2'!$P364*'Inputs Yr 2'!$Q364*'Inputs Yr 2'!AR364,0)</f>
        <v>0</v>
      </c>
      <c r="AO364" s="257">
        <f t="shared" si="182"/>
        <v>0</v>
      </c>
      <c r="AP364" s="195" t="str">
        <f>IFERROR($CQ364*(INDEX(avoidedcosttbl2,$H364,AP$2)+(($H364-ROUNDDOWN($H364,0))*(INDEX(avoidedcosttbl2,ROUNDUP($H364,0),AP$2)-(INDEX(avoidedcosttbl2,ROUNDDOWN($H364,0),AP$2)))))*$O364*1000*'Inputs Yr 2'!AA364,"")</f>
        <v/>
      </c>
      <c r="AQ364" s="195" t="str">
        <f>IFERROR($CR364*(INDEX(avoidedcosttbl2,$H364,AQ$2)+(($H364-ROUNDDOWN($H364,0))*(INDEX(avoidedcosttbl2,ROUNDUP($H364,0),AQ$2)-(INDEX(avoidedcosttbl2,ROUNDDOWN($H364,0),AQ$2)))))*$O364*1000*'Inputs Yr 2'!AB364,"")</f>
        <v/>
      </c>
      <c r="AR364" s="195" t="str">
        <f>IFERROR($CS364*(INDEX(avoidedcosttbl2,$H364,AR$2)+(($H364-ROUNDDOWN($H364,0))*(INDEX(avoidedcosttbl2,ROUNDUP($H364,0),AR$2)-(INDEX(avoidedcosttbl2,ROUNDDOWN($H364,0),AR$2)))))*$O364*1000*'Inputs Yr 2'!AC364,"")</f>
        <v/>
      </c>
      <c r="AS364" s="195" t="str">
        <f>IFERROR($CT364*(INDEX(avoidedcosttbl2,$H364,AS$2)+(($H364-ROUNDDOWN($H364,0))*(INDEX(avoidedcosttbl2,ROUNDUP($H364,0),AS$2)-(INDEX(avoidedcosttbl2,ROUNDDOWN($H364,0),AS$2)))))*$O364*1000*'Inputs Yr 2'!AD364,"")</f>
        <v/>
      </c>
      <c r="AT364" s="196">
        <f t="shared" si="183"/>
        <v>0</v>
      </c>
      <c r="AU364" s="197" t="str">
        <f>IFERROR($CQ364*((INDEX(avoidedcosttbl2,$H364,AU$2))+(($H364-ROUNDDOWN($H364,0))*((INDEX(avoidedcosttbl2,ROUNDUP($H364,0),AU$2))-(INDEX(avoidedcosttbl2,ROUNDDOWN($H364,0),AU$2)))))*$O364*1000*'Inputs Yr 2'!AA364,"")</f>
        <v/>
      </c>
      <c r="AV364" s="197" t="str">
        <f>IFERROR($CR364*((INDEX(avoidedcosttbl2,$H364,AV$2))+(($H364-ROUNDDOWN($H364,0))*((INDEX(avoidedcosttbl2,ROUNDUP($H364,0),AV$2))-(INDEX(avoidedcosttbl2,ROUNDDOWN($H364,0),AV$2)))))*$O364*1000*'Inputs Yr 2'!AB364,"")</f>
        <v/>
      </c>
      <c r="AW364" s="197" t="str">
        <f>IFERROR($CS364*((INDEX(avoidedcosttbl2,$H364,AW$2))+(($H364-ROUNDDOWN($H364,0))*((INDEX(avoidedcosttbl2,ROUNDUP($H364,0),AW$2))-(INDEX(avoidedcosttbl2,ROUNDDOWN($H364,0),AW$2)))))*$O364*1000*'Inputs Yr 2'!AC364,"")</f>
        <v/>
      </c>
      <c r="AX364" s="197" t="str">
        <f>IFERROR($CT364*((INDEX(avoidedcosttbl2,$H364,AX$2))+(($H364-ROUNDDOWN($H364,0))*((INDEX(avoidedcosttbl2,ROUNDUP($H364,0),AX$2))-(INDEX(avoidedcosttbl2,ROUNDDOWN($H364,0),AX$2)))))*$O364*1000*'Inputs Yr 2'!AD364,"")</f>
        <v/>
      </c>
      <c r="AY364" s="197" t="str">
        <f>IFERROR(((INDEX(avoidedcosttbl2,$H364,AY$2))+(($H364-ROUNDDOWN($H364,0))*((INDEX(avoidedcosttbl2,ROUNDUP($H364,0),AY$2))-(INDEX(avoidedcosttbl2,ROUNDDOWN($H364,0),AY$2)))))*$O364*1000*('Inputs Yr 2'!AC364+'Inputs Yr 2'!AD364),"")</f>
        <v/>
      </c>
      <c r="AZ364" s="197" t="str">
        <f>IFERROR(((INDEX(avoidedcosttbl2,$H364,AZ$2))+(($H364-ROUNDDOWN($H364,0))*((INDEX(avoidedcosttbl2,ROUNDUP($H364,0),AZ$2))-(INDEX(avoidedcosttbl2,ROUNDDOWN($H364,0),AZ$2)))))*$O364*1000*('Inputs Yr 2'!AA364+'Inputs Yr 2'!AB364),"")</f>
        <v/>
      </c>
      <c r="BA364" s="198">
        <f t="shared" si="184"/>
        <v>0</v>
      </c>
      <c r="BB364" s="198">
        <f t="shared" si="185"/>
        <v>0</v>
      </c>
      <c r="BC364" s="195" t="str">
        <f t="shared" si="167"/>
        <v/>
      </c>
      <c r="BD364" s="195" t="str">
        <f t="shared" si="168"/>
        <v/>
      </c>
      <c r="BE364" s="195" t="str">
        <f t="shared" si="169"/>
        <v/>
      </c>
      <c r="BF364" s="195" t="str">
        <f t="shared" si="170"/>
        <v/>
      </c>
      <c r="BG364" s="195" t="str">
        <f t="shared" si="171"/>
        <v/>
      </c>
      <c r="BH364" s="196">
        <f t="shared" si="186"/>
        <v>0</v>
      </c>
      <c r="BI364" s="196">
        <f t="shared" si="187"/>
        <v>0</v>
      </c>
      <c r="BJ364" s="195" t="str">
        <f>IFERROR($G364*(IF('Inputs Yr 2'!$AJ364=BJ$4,'Inputs Yr 2'!$AK364,IF('Inputs Yr 2'!$AL364=BJ$4,'Inputs Yr 2'!$AM364,IF('Inputs Yr 2'!$AN364=BJ$4,'Inputs Yr 2'!$AO364,0))))*(INDEX(avoidedcosttbl2,$H364,BJ$2)+(($H364-ROUNDDOWN($H364,0))*(INDEX(avoidedcosttbl2,ROUNDUP($H364,0),BJ$2)-(INDEX(avoidedcosttbl2,ROUNDDOWN($H364,0),BJ$2)))))*'Inputs Yr 2'!P364*'Inputs Yr 2'!Q364*'Inputs Yr 2'!U364,"")</f>
        <v/>
      </c>
      <c r="BK364" s="195" t="str">
        <f>IFERROR($G364*(IF('Inputs Yr 2'!$AJ364=BK$4,'Inputs Yr 2'!$AK364,IF('Inputs Yr 2'!$AL364=BK$4,'Inputs Yr 2'!$AM364,IF('Inputs Yr 2'!$AN364=BK$4,'Inputs Yr 2'!$AO364,0))))*(INDEX(avoidedcosttbl2,$H364,BK$2)+(($H364-ROUNDDOWN($H364,0))*(INDEX(avoidedcosttbl2,ROUNDUP($H364,0),BK$2)-(INDEX(avoidedcosttbl2,ROUNDDOWN($H364,0),BK$2)))))*'Inputs Yr 2'!P364*'Inputs Yr 2'!Q364*'Inputs Yr 2'!U364,"")</f>
        <v/>
      </c>
      <c r="BL364" s="195" t="str">
        <f>IFERROR($G364*(IF('Inputs Yr 2'!$AJ364=BL$4,'Inputs Yr 2'!$AK364,IF('Inputs Yr 2'!$AL364=BL$4,'Inputs Yr 2'!$AM364,IF('Inputs Yr 2'!$AN364=BL$4,'Inputs Yr 2'!$AO364,0))))*(INDEX(avoidedcosttbl2,$H364,BL$2)+(($H364-ROUNDDOWN($H364,0))*(INDEX(avoidedcosttbl2,ROUNDUP($H364,0),BL$2)-(INDEX(avoidedcosttbl2,ROUNDDOWN($H364,0),BL$2)))))*'Inputs Yr 2'!P364*'Inputs Yr 2'!Q364*'Inputs Yr 2'!U364,"")</f>
        <v/>
      </c>
      <c r="BM364" s="195" t="str">
        <f>IFERROR($G364*(IF('Inputs Yr 2'!$AJ364=BM$4,'Inputs Yr 2'!$AK364,IF('Inputs Yr 2'!$AL364=BM$4,'Inputs Yr 2'!$AM364,IF('Inputs Yr 2'!$AN364=BM$4,'Inputs Yr 2'!$AO364,0))))*(INDEX(avoidedcosttbl2,$H364,BM$2)+(($H364-ROUNDDOWN($H364,0))*(INDEX(avoidedcosttbl2,ROUNDUP($H364,0),BM$2)-(INDEX(avoidedcosttbl2,ROUNDDOWN($H364,0),BM$2)))))*'Inputs Yr 2'!P364*'Inputs Yr 2'!Q364*'Inputs Yr 2'!U364,"")</f>
        <v/>
      </c>
      <c r="BN364" s="195" t="str">
        <f>IFERROR($G364*(IF('Inputs Yr 2'!$AJ364=BN$4,'Inputs Yr 2'!$AK364,IF('Inputs Yr 2'!$AL364=BN$4,'Inputs Yr 2'!$AM364,IF('Inputs Yr 2'!$AN364=BN$4,'Inputs Yr 2'!$AO364,0))))*(INDEX(avoidedcosttbl2,$H364,BN$2)+(($H364-ROUNDDOWN($H364,0))*(INDEX(avoidedcosttbl2,ROUNDUP($H364,0),BN$2)-(INDEX(avoidedcosttbl2,ROUNDDOWN($H364,0),BN$2)))))*'Inputs Yr 2'!P364*'Inputs Yr 2'!Q364*'Inputs Yr 2'!U364,"")</f>
        <v/>
      </c>
      <c r="BO364" s="195" t="str">
        <f>IFERROR($G364*(IF('Inputs Yr 2'!$AJ364=BO$4,'Inputs Yr 2'!$AK364,IF('Inputs Yr 2'!$AL364=BO$4,'Inputs Yr 2'!$AM364,IF('Inputs Yr 2'!$AN364=BO$4,'Inputs Yr 2'!$AO364,0))))*(INDEX(avoidedcosttbl2,$H364,BO$2)+(($H364-ROUNDDOWN($H364,0))*(INDEX(avoidedcosttbl2,ROUNDUP($H364,0),BO$2)-(INDEX(avoidedcosttbl2,ROUNDDOWN($H364,0),BO$2)))))*'Inputs Yr 2'!P364*'Inputs Yr 2'!Q364*'Inputs Yr 2'!U364,"")</f>
        <v/>
      </c>
      <c r="BP364" s="195" t="str">
        <f>IFERROR($G364*(IF('Inputs Yr 2'!$AJ364=BP$4,'Inputs Yr 2'!$AK364,IF('Inputs Yr 2'!$AL364=BP$4,'Inputs Yr 2'!$AM364,IF('Inputs Yr 2'!$AN364=BP$4,'Inputs Yr 2'!$AO364,0))))*(INDEX(avoidedcosttbl2,$H364,BP$2)+(($H364-ROUNDDOWN($H364,0))*(INDEX(avoidedcosttbl2,ROUNDUP($H364,0),BP$2)-(INDEX(avoidedcosttbl2,ROUNDDOWN($H364,0),BP$2)))))*'Inputs Yr 2'!P364*'Inputs Yr 2'!Q364*'Inputs Yr 2'!U364,"")</f>
        <v/>
      </c>
      <c r="BQ364" s="230">
        <f t="shared" si="188"/>
        <v>0</v>
      </c>
      <c r="BR364" s="197" t="str">
        <f t="shared" si="172"/>
        <v/>
      </c>
      <c r="BS364" s="197" t="str">
        <f>IFERROR(($G364*IF('Inputs Yr 2'!$AJ364=BM$4,'Inputs Yr 2'!$AK364,IF('Inputs Yr 2'!$AL364=BM$4,'Inputs Yr 2'!$AM364,IF('Inputs Yr 2'!$AN364=BM$4,'Inputs Yr 2'!$AO364,0))))*(INDEX(avoidedcosttbl2,$H364,BS$2)+(($H364-ROUNDDOWN($H364,0))*(INDEX(avoidedcosttbl2,ROUNDUP($H364,0),BS$2)-(INDEX(avoidedcosttbl2,ROUNDDOWN($H364,0),BS$2)))))*'Inputs Yr 2'!P364*'Inputs Yr 2'!Q364*'Inputs Yr 2'!U364,"")</f>
        <v/>
      </c>
      <c r="BT364" s="197" t="str">
        <f>IFERROR(($G364*IF('Inputs Yr 2'!$AJ364=BK$4,'Inputs Yr 2'!$AK364,IF('Inputs Yr 2'!$AL364=BK$4,'Inputs Yr 2'!$AM364,IF('Inputs Yr 2'!$AN364=BK$4,'Inputs Yr 2'!$AO364,0))))*(INDEX(avoidedcosttbl2,$H364,BT$2)+(($H364-ROUNDDOWN($H364,0))*(INDEX(avoidedcosttbl2,ROUNDUP($H364,0),BT$2)-(INDEX(avoidedcosttbl2,ROUNDDOWN($H364,0),BT$2)))))*'Inputs Yr 2'!P364*'Inputs Yr 2'!Q364*'Inputs Yr 2'!U364,"")</f>
        <v/>
      </c>
      <c r="BU364" s="197" t="str">
        <f>IFERROR(($G364*IF('Inputs Yr 2'!$AJ364=BL$4,'Inputs Yr 2'!$AK364,IF('Inputs Yr 2'!$AL364=BL$4,'Inputs Yr 2'!$AM364,IF('Inputs Yr 2'!$AN364=BL$4,'Inputs Yr 2'!$AO364,0))))*(INDEX(avoidedcosttbl2,$H364,BU$2)+(($H364-ROUNDDOWN($H364,0))*(INDEX(avoidedcosttbl2,ROUNDUP($H364,0),BU$2)-(INDEX(avoidedcosttbl2,ROUNDDOWN($H364,0),BU$2)))))*'Inputs Yr 2'!P364*'Inputs Yr 2'!Q364*'Inputs Yr 2'!U364,"")</f>
        <v/>
      </c>
      <c r="BV364" s="775" t="str">
        <f>IFERROR(($G364*IF('Inputs Yr 2'!$AJ364=BJ$4,'Inputs Yr 2'!$AK364,IF('Inputs Yr 2'!$AL364=BJ$4,'Inputs Yr 2'!$AM364,IF('Inputs Yr 2'!$AN364=BJ$4,'Inputs Yr 2'!$AO364,0))))*(INDEX(avoidedcosttbl2,$H364,BV$2)+(($H364-ROUNDDOWN($H364,0))*(INDEX(avoidedcosttbl2,ROUNDUP($H364,0),BV$2)-(INDEX(avoidedcosttbl2,ROUNDDOWN($H364,0),BV$2)))))*'Inputs Yr 2'!P364*'Inputs Yr 2'!Q364*'Inputs Yr 2'!U364,"")</f>
        <v/>
      </c>
      <c r="BW364" s="197" t="str">
        <f>IFERROR(($G364*IF('Inputs Yr 2'!$AJ364=BN$4,'Inputs Yr 2'!$AK364,IF('Inputs Yr 2'!$AL364=BN$4,'Inputs Yr 2'!$AM364,IF('Inputs Yr 2'!$AN364=BN$4,'Inputs Yr 2'!$AO364,0))))*(INDEX(avoidedcosttbl2,$H364,BW$2)+(($H364-ROUNDDOWN($H364,0))*(INDEX(avoidedcosttbl2,ROUNDUP($H364,0),BW$2)-(INDEX(avoidedcosttbl2,ROUNDDOWN($H364,0),BW$2)))))*'Inputs Yr 2'!P364*'Inputs Yr 2'!Q364*'Inputs Yr 2'!U364,"")</f>
        <v/>
      </c>
      <c r="BX364" s="197" t="str">
        <f>IFERROR(($G364*IF('Inputs Yr 2'!$AJ364=BO$4,'Inputs Yr 2'!$AK364,IF('Inputs Yr 2'!$AL364=BO$4,'Inputs Yr 2'!$AM364,IF('Inputs Yr 2'!$AN364=BO$4,'Inputs Yr 2'!$AO364,0))))*(INDEX(avoidedcosttbl2,$H364,BX$2)+(($H364-ROUNDDOWN($H364,0))*(INDEX(avoidedcosttbl2,ROUNDUP($H364,0),BX$2)-(INDEX(avoidedcosttbl2,ROUNDDOWN($H364,0),BX$2)))))*'Inputs Yr 2'!P364*'Inputs Yr 2'!Q364*'Inputs Yr 2'!U364,"")</f>
        <v/>
      </c>
      <c r="BY364" s="197" t="str">
        <f>IFERROR(($G364*IF('Inputs Yr 2'!$AJ364=BP$4,'Inputs Yr 2'!$AK364,IF('Inputs Yr 2'!$AL364=BP$4,'Inputs Yr 2'!$AM364,IF('Inputs Yr 2'!$AN364=BP$4,'Inputs Yr 2'!$AO364,0))))*(INDEX(avoidedcosttbl2,$H364,BY$2)+(($H364-ROUNDDOWN($H364,0))*(INDEX(avoidedcosttbl2,ROUNDUP($H364,0),BY$2)-(INDEX(avoidedcosttbl2,ROUNDDOWN($H364,0),BY$2)))))*'Inputs Yr 2'!P364*'Inputs Yr 2'!Q364*'Inputs Yr 2'!U364,"")</f>
        <v/>
      </c>
      <c r="BZ364" s="193">
        <f t="shared" si="189"/>
        <v>0</v>
      </c>
      <c r="CA364" s="193">
        <f t="shared" si="190"/>
        <v>0</v>
      </c>
      <c r="CB364" s="195" t="str">
        <f>IFERROR(G364*(IF('Inputs Yr 2'!$AJ364=CB$4,'Inputs Yr 2'!$AK364,IF('Inputs Yr 2'!$AL364=CB$4,'Inputs Yr 2'!$AM364,IF('Inputs Yr 2'!$AN364=CB$4,'Inputs Yr 2'!$AO364,0))))*(INDEX(avoidedcosttbl2,$H364,CB$2)+(($H364-ROUNDDOWN($H364,0))*(INDEX(avoidedcosttbl2,ROUNDUP($H364,0),CB$2)-(INDEX(avoidedcosttbl2,ROUNDDOWN($H364,0),CB$2)))))*'Inputs Yr 2'!P364*'Inputs Yr 2'!Q364*'Inputs Yr 2'!U364,"")</f>
        <v/>
      </c>
      <c r="CC364" s="195" t="str">
        <f>IFERROR(H364*(IF('Inputs Yr 2'!$AJ364=CC$4,'Inputs Yr 2'!$AK364,IF('Inputs Yr 2'!$AL364=CC$4,'Inputs Yr 2'!$AM364,IF('Inputs Yr 2'!$AN364=CC$4,'Inputs Yr 2'!$AO364,0))))*(INDEX(avoidedcosttbl2,$H364,CC$2)+(($H364-ROUNDDOWN($H364,0))*(INDEX(avoidedcosttbl2,ROUNDUP($H364,0),CC$2)-(INDEX(avoidedcosttbl2,ROUNDDOWN($H364,0),CC$2)))))*'Inputs Yr 2'!Q364*'Inputs Yr 2'!R364*'Inputs Yr 2'!V364,"")</f>
        <v/>
      </c>
      <c r="CD364" s="195" t="str">
        <f>IFERROR(I364*(IF('Inputs Yr 2'!$AJ364=CD$4,'Inputs Yr 2'!$AK364,IF('Inputs Yr 2'!$AL364=CD$4,'Inputs Yr 2'!$AM364,IF('Inputs Yr 2'!$AN364=CD$4,'Inputs Yr 2'!$AO364,0))))*(INDEX(avoidedcosttbl2,$H364,CD$2)+(($H364-ROUNDDOWN($H364,0))*(INDEX(avoidedcosttbl2,ROUNDUP($H364,0),CD$2)-(INDEX(avoidedcosttbl2,ROUNDDOWN($H364,0),CD$2)))))*'Inputs Yr 2'!R364*'Inputs Yr 2'!S364*'Inputs Yr 2'!W364,"")</f>
        <v/>
      </c>
      <c r="CE364" s="213" t="str">
        <f t="shared" si="191"/>
        <v/>
      </c>
      <c r="CF364" s="213" t="str">
        <f t="shared" si="192"/>
        <v/>
      </c>
      <c r="CG364" s="213" t="str">
        <f t="shared" si="193"/>
        <v/>
      </c>
      <c r="CH364" s="698">
        <f t="shared" si="194"/>
        <v>0</v>
      </c>
      <c r="CI364" s="79" t="str">
        <f>IFERROR(($G364*'Inputs Yr 2'!$P364*'Inputs Yr 2'!$Q364*(((INDEX(avoidedcosttbl2,$H364,CI$2)+(($H364-ROUNDDOWN($H364,0))*(INDEX(avoidedcosttbl2,ROUNDUP($H364,0),CI$2)-INDEX(avoidedcosttbl2,ROUNDDOWN($H364,0),CI$2))))*'Inputs Yr 2'!AS364))),"")</f>
        <v/>
      </c>
      <c r="CJ364" s="504" t="str">
        <f>IFERROR($G364*'Inputs Yr 2'!AT364*'Inputs Yr 2'!$P364*'Inputs Yr 2'!$Q364/((1+realdiscrt1)^-0.5),"")</f>
        <v/>
      </c>
      <c r="CK364" s="79" t="str">
        <f>IFERROR((O364*1000*(((INDEX(avoidedcosttbl2,$H364,CK$2)+(($H364-ROUNDDOWN($H364,0))*(INDEX(avoidedcosttbl2,ROUNDUP($H364,0),CK$2)-INDEX(avoidedcosttbl2,ROUNDDOWN($H364,0),CK$2))))*'Inputs Yr 2'!AU364))),"")</f>
        <v/>
      </c>
      <c r="CL364" s="504" t="str">
        <f>IFERROR(O364*1000*'Inputs Yr 2'!AV364/((1+realdiscrt1)^-0.5),"")</f>
        <v/>
      </c>
      <c r="CM364" s="79" t="str">
        <f>IFERROR((AB364*'Inputs Yr 2'!AW364*(((INDEX(avoidedcosttbl2,$H364,CM$2)+(($H364-ROUNDDOWN($H364,0))*(INDEX(avoidedcosttbl2,ROUNDUP($H364,0),CM$2)-INDEX(avoidedcosttbl2,ROUNDDOWN($H364,0),CM$2)))))))*10,"")</f>
        <v/>
      </c>
      <c r="CN364" s="504">
        <f>IFERROR(10*AB364*'Inputs Yr 2'!AX364/((1+realdiscrt1)^-0.5),"")</f>
        <v>0</v>
      </c>
      <c r="CO364" s="505">
        <f t="shared" si="195"/>
        <v>0</v>
      </c>
      <c r="CP364" s="230">
        <f t="shared" si="196"/>
        <v>0</v>
      </c>
      <c r="CQ364" s="199">
        <f>ROUND(IFERROR(IF(LEFT($A364,1)="C",'Avoided Costs'!$K$13,'Avoided Costs'!$K$12)+1,""),4)</f>
        <v>1.0720000000000001</v>
      </c>
      <c r="CR364" s="199">
        <f>ROUND(IFERROR(IF(LEFT($A364,1)="C",'Avoided Costs'!$L$13,'Avoided Costs'!$L$12)+1,""),4)</f>
        <v>1.04</v>
      </c>
      <c r="CS364" s="199">
        <f>ROUND(IFERROR(IF(LEFT($A364,1)="C",'Avoided Costs'!$M$13,'Avoided Costs'!$M$12)+1,""),4)</f>
        <v>1.0720000000000001</v>
      </c>
      <c r="CT364" s="199">
        <f>ROUND(IFERROR(IF(LEFT($A364,1)="C",'Avoided Costs'!$N$13,'Avoided Costs'!$N$12)+1,""),4)</f>
        <v>1.04</v>
      </c>
      <c r="CU364" s="199">
        <f>ROUND(IFERROR(IF(LEFT($A364,1)="C",'Avoided Costs'!$O$13,'Avoided Costs'!$O$12)+1,""),4)</f>
        <v>1.1120000000000001</v>
      </c>
      <c r="CV364" s="199">
        <f>ROUND(IFERROR(IF(LEFT($A364,1)="C",'Avoided Costs'!$P$13,'Avoided Costs'!$P$12)+1,""),4)</f>
        <v>1.095</v>
      </c>
      <c r="CW364" s="199">
        <f>ROUND(IFERROR(IF(LEFT($A364,1)="C",'Avoided Costs'!$Q$13,'Avoided Costs'!$Q$12)+1,""),4)</f>
        <v>1.1120000000000001</v>
      </c>
      <c r="CX364" s="200">
        <f>ROUND(IFERROR(IF(LEFT($A364,1)="C",'Avoided Costs'!$R$13,'Avoided Costs'!$R$12)+1,""),4)</f>
        <v>1.1120000000000001</v>
      </c>
    </row>
    <row r="365" spans="1:102" s="128" customFormat="1" ht="12.75" customHeight="1">
      <c r="A365" s="91" t="str">
        <f>IF('Inputs Yr 2'!$B402=0,"",'Inputs Yr 2'!A402)</f>
        <v/>
      </c>
      <c r="B365" s="91" t="str">
        <f>IF('Inputs Yr 2'!$B402=0,"",'Inputs Yr 2'!B402)</f>
        <v/>
      </c>
      <c r="C365" s="91" t="str">
        <f>IF('Inputs Yr 2'!$B366=0,"",'Inputs Yr 2'!C366)</f>
        <v/>
      </c>
      <c r="D365" s="91" t="str">
        <f>IF('Inputs Yr 2'!$B366=0,"",'Inputs Yr 2'!E366)</f>
        <v/>
      </c>
      <c r="E365" s="93" t="str">
        <f>IF('Inputs Yr 2'!$B366=0,"",'Inputs Yr 2'!F366)</f>
        <v/>
      </c>
      <c r="F365" s="93" t="str">
        <f>IF('Inputs Yr 2'!$B366=0,"",'Inputs Yr 2'!G366)</f>
        <v/>
      </c>
      <c r="G365" s="95" t="str">
        <f>IF('Inputs Yr 2'!$H366&lt;&gt;0,('Inputs Yr 2'!H366),"")</f>
        <v/>
      </c>
      <c r="H365" s="94">
        <f>IFERROR('Inputs Yr 2'!I366,"")</f>
        <v>0</v>
      </c>
      <c r="I365" s="298" t="str">
        <f>IFERROR('Inputs Yr 2'!J366*'Inputs Yr 2'!P366*G365,"")</f>
        <v/>
      </c>
      <c r="J365" s="298" t="str">
        <f>IFERROR('Inputs Yr 2'!K366*G365,"")</f>
        <v/>
      </c>
      <c r="K365" s="298" t="str">
        <f t="shared" ref="K365:K383" si="197">IFERROR(I365-J365,"")</f>
        <v/>
      </c>
      <c r="L365" s="194" t="str">
        <f>IFERROR(('Inputs Yr 2'!W366*G365)/1000,"")</f>
        <v/>
      </c>
      <c r="M365" s="194" t="str">
        <f>IFERROR(L365*('Inputs Yr 2'!$Q366*'Inputs Yr 2'!$V366*'Inputs Yr 2'!$R366),"")</f>
        <v/>
      </c>
      <c r="N365" s="194" t="str">
        <f t="shared" ref="N365:N383" si="198">IFERROR(M365*$H365,"")</f>
        <v/>
      </c>
      <c r="O365" s="194" t="str">
        <f>IFERROR(M365*'Inputs Yr 2'!P366,"")</f>
        <v/>
      </c>
      <c r="P365" s="194" t="str">
        <f t="shared" ref="P365:P383" si="199">IFERROR(O365*$H365,"")</f>
        <v/>
      </c>
      <c r="Q365" s="194" t="str">
        <f>IFERROR($P365*'Inputs Yr 2'!AA366,"")</f>
        <v/>
      </c>
      <c r="R365" s="194" t="str">
        <f>IFERROR($P365*'Inputs Yr 2'!AB366,"")</f>
        <v/>
      </c>
      <c r="S365" s="194" t="str">
        <f>IFERROR($P365*'Inputs Yr 2'!AC366,"")</f>
        <v/>
      </c>
      <c r="T365" s="194" t="str">
        <f>IFERROR($P365*'Inputs Yr 2'!AD366,"")</f>
        <v/>
      </c>
      <c r="U365" s="194" t="str">
        <f>IFERROR(G365*'Inputs Yr 2'!$AE366*'Inputs Yr 2'!$P366*'Inputs Yr 2'!$Q366,"")</f>
        <v/>
      </c>
      <c r="V365" s="194" t="str">
        <f>IFERROR($G365*'Inputs Yr 2'!$AE366*'Inputs Yr 2'!$AG366*'Inputs Yr 2'!Q366*'Inputs Yr 2'!$S366,"")</f>
        <v/>
      </c>
      <c r="W365" s="194" t="str">
        <f>IFERROR($G365*'Inputs Yr 2'!$AE366*'Inputs Yr 2'!$AG366*'Inputs Yr 2'!P366*'Inputs Yr 2'!Q366*'Inputs Yr 2'!$S366,"")</f>
        <v/>
      </c>
      <c r="X365" s="194" t="str">
        <f>IFERROR($G365*'Inputs Yr 2'!$AE366*'Inputs Yr 2'!$AF366*'Inputs Yr 2'!Q366*'Inputs Yr 2'!$T366,"")</f>
        <v/>
      </c>
      <c r="Y365" s="194" t="str">
        <f>IFERROR($G365*'Inputs Yr 2'!$AE366*'Inputs Yr 2'!$AF366*'Inputs Yr 2'!P366*'Inputs Yr 2'!Q366*'Inputs Yr 2'!$T366,"")</f>
        <v/>
      </c>
      <c r="Z365" s="257">
        <f>IFERROR($G365*'Inputs Yr 2'!$Q366*'Inputs Yr 2'!$U366*(IF(IFERROR(SEARCH("NG", 'Inputs Yr 2'!$AJ366),0),'Inputs Yr 2'!$AK366,0)+IF(IFERROR(SEARCH("NG", 'Inputs Yr 2'!$AL366),0),'Inputs Yr 2'!$AM366,0)+IF(IFERROR(SEARCH("NG", 'Inputs Yr 2'!$AN366),0),'Inputs Yr 2'!$AO366,0)),0)</f>
        <v>0</v>
      </c>
      <c r="AA365" s="257">
        <f t="shared" ref="AA365:AA383" si="200">IFERROR(Z365*$H365,0)</f>
        <v>0</v>
      </c>
      <c r="AB365" s="257">
        <f>IFERROR(Z365*'Inputs Yr 2'!$P366,0)</f>
        <v>0</v>
      </c>
      <c r="AC365" s="257">
        <f t="shared" ref="AC365:AC383" si="201">IFERROR(AB365*$H365,0)</f>
        <v>0</v>
      </c>
      <c r="AD365" s="257">
        <f>IFERROR($G365*'Inputs Yr 2'!$Q366*'Inputs Yr 2'!$U366*(IF(IFERROR(SEARCH("Oil", 'Inputs Yr 2'!$AJ366), 0),'Inputs Yr 2'!$AK366,0)+IF(IFERROR(SEARCH("Oil", 'Inputs Yr 2'!$AL366), 0),'Inputs Yr 2'!$AM366,0)+IF(IFERROR(SEARCH("Oil", 'Inputs Yr 2'!$AN366), 0),'Inputs Yr 2'!$AO366,0)),0)</f>
        <v>0</v>
      </c>
      <c r="AE365" s="257">
        <f t="shared" ref="AE365:AE383" si="202">IFERROR(AD365*$H365,0)</f>
        <v>0</v>
      </c>
      <c r="AF365" s="257">
        <f>IFERROR(AD365*'Inputs Yr 2'!$P366,0)</f>
        <v>0</v>
      </c>
      <c r="AG365" s="257">
        <f t="shared" ref="AG365:AG383" si="203">IFERROR(AF365*$H365,0)</f>
        <v>0</v>
      </c>
      <c r="AH365" s="257">
        <f>IFERROR($G365*'Inputs Yr 2'!$Q366*'Inputs Yr 2'!$U366*(IF('Inputs Yr 2'!$AJ366=CD$4,'Inputs Yr 2'!$AK366,IF('Inputs Yr 2'!$AL366=CD$4,'Inputs Yr 2'!$AM366,IF('Inputs Yr 2'!$AN366=CD$4,'Inputs Yr 2'!$AO366,0)))),0)</f>
        <v>0</v>
      </c>
      <c r="AI365" s="257">
        <f t="shared" ref="AI365:AI383" si="204">IFERROR(AH365*$H365,0)</f>
        <v>0</v>
      </c>
      <c r="AJ365" s="257">
        <f>IFERROR(AH365*'Inputs Yr 2'!$P366,0)</f>
        <v>0</v>
      </c>
      <c r="AK365" s="257">
        <f t="shared" ref="AK365:AK383" si="205">IFERROR(AJ365*$H365,0)</f>
        <v>0</v>
      </c>
      <c r="AL365" s="258">
        <f>IFERROR($G365*'Inputs Yr 2'!$P366*'Inputs Yr 2'!$Q366*'Inputs Yr 2'!AP366,0)</f>
        <v>0</v>
      </c>
      <c r="AM365" s="260">
        <f>IFERROR($G365*'Inputs Yr 2'!$P366*'Inputs Yr 2'!$Q366*'Inputs Yr 2'!AQ366,0)</f>
        <v>0</v>
      </c>
      <c r="AN365" s="258">
        <f>IFERROR($G365*'Inputs Yr 2'!$P366*'Inputs Yr 2'!$Q366*'Inputs Yr 2'!AR366,0)</f>
        <v>0</v>
      </c>
      <c r="AO365" s="257">
        <f t="shared" ref="AO365:AO383" si="206">IFERROR(SUM(AL365:AM365)*$H365,0)</f>
        <v>0</v>
      </c>
      <c r="AP365" s="195" t="str">
        <f>IFERROR($CQ365*(INDEX(avoidedcosttbl2,$H365,AP$2)+(($H365-ROUNDDOWN($H365,0))*(INDEX(avoidedcosttbl2,ROUNDUP($H365,0),AP$2)-(INDEX(avoidedcosttbl2,ROUNDDOWN($H365,0),AP$2)))))*$O365*1000*'Inputs Yr 2'!AA366,"")</f>
        <v/>
      </c>
      <c r="AQ365" s="195" t="str">
        <f>IFERROR($CR365*(INDEX(avoidedcosttbl2,$H365,AQ$2)+(($H365-ROUNDDOWN($H365,0))*(INDEX(avoidedcosttbl2,ROUNDUP($H365,0),AQ$2)-(INDEX(avoidedcosttbl2,ROUNDDOWN($H365,0),AQ$2)))))*$O365*1000*'Inputs Yr 2'!AB366,"")</f>
        <v/>
      </c>
      <c r="AR365" s="195" t="str">
        <f>IFERROR($CS365*(INDEX(avoidedcosttbl2,$H365,AR$2)+(($H365-ROUNDDOWN($H365,0))*(INDEX(avoidedcosttbl2,ROUNDUP($H365,0),AR$2)-(INDEX(avoidedcosttbl2,ROUNDDOWN($H365,0),AR$2)))))*$O365*1000*'Inputs Yr 2'!AC366,"")</f>
        <v/>
      </c>
      <c r="AS365" s="195" t="str">
        <f>IFERROR($CT365*(INDEX(avoidedcosttbl2,$H365,AS$2)+(($H365-ROUNDDOWN($H365,0))*(INDEX(avoidedcosttbl2,ROUNDUP($H365,0),AS$2)-(INDEX(avoidedcosttbl2,ROUNDDOWN($H365,0),AS$2)))))*$O365*1000*'Inputs Yr 2'!AD366,"")</f>
        <v/>
      </c>
      <c r="AT365" s="196">
        <f t="shared" ref="AT365:AT383" si="207">IFERROR(SUM(AP365:AS365),"")</f>
        <v>0</v>
      </c>
      <c r="AU365" s="197" t="str">
        <f>IFERROR($CQ365*((INDEX(avoidedcosttbl2,$H365,AU$2))+(($H365-ROUNDDOWN($H365,0))*((INDEX(avoidedcosttbl2,ROUNDUP($H365,0),AU$2))-(INDEX(avoidedcosttbl2,ROUNDDOWN($H365,0),AU$2)))))*$O365*1000*'Inputs Yr 2'!AA366,"")</f>
        <v/>
      </c>
      <c r="AV365" s="197" t="str">
        <f>IFERROR($CR365*((INDEX(avoidedcosttbl2,$H365,AV$2))+(($H365-ROUNDDOWN($H365,0))*((INDEX(avoidedcosttbl2,ROUNDUP($H365,0),AV$2))-(INDEX(avoidedcosttbl2,ROUNDDOWN($H365,0),AV$2)))))*$O365*1000*'Inputs Yr 2'!AB366,"")</f>
        <v/>
      </c>
      <c r="AW365" s="197" t="str">
        <f>IFERROR($CS365*((INDEX(avoidedcosttbl2,$H365,AW$2))+(($H365-ROUNDDOWN($H365,0))*((INDEX(avoidedcosttbl2,ROUNDUP($H365,0),AW$2))-(INDEX(avoidedcosttbl2,ROUNDDOWN($H365,0),AW$2)))))*$O365*1000*'Inputs Yr 2'!AC366,"")</f>
        <v/>
      </c>
      <c r="AX365" s="197" t="str">
        <f>IFERROR($CT365*((INDEX(avoidedcosttbl2,$H365,AX$2))+(($H365-ROUNDDOWN($H365,0))*((INDEX(avoidedcosttbl2,ROUNDUP($H365,0),AX$2))-(INDEX(avoidedcosttbl2,ROUNDDOWN($H365,0),AX$2)))))*$O365*1000*'Inputs Yr 2'!AD366,"")</f>
        <v/>
      </c>
      <c r="AY365" s="197" t="str">
        <f>IFERROR(((INDEX(avoidedcosttbl2,$H365,AY$2))+(($H365-ROUNDDOWN($H365,0))*((INDEX(avoidedcosttbl2,ROUNDUP($H365,0),AY$2))-(INDEX(avoidedcosttbl2,ROUNDDOWN($H365,0),AY$2)))))*$O365*1000*('Inputs Yr 2'!AC366+'Inputs Yr 2'!AD366),"")</f>
        <v/>
      </c>
      <c r="AZ365" s="197" t="str">
        <f>IFERROR(((INDEX(avoidedcosttbl2,$H365,AZ$2))+(($H365-ROUNDDOWN($H365,0))*((INDEX(avoidedcosttbl2,ROUNDUP($H365,0),AZ$2))-(INDEX(avoidedcosttbl2,ROUNDDOWN($H365,0),AZ$2)))))*$O365*1000*('Inputs Yr 2'!AA366+'Inputs Yr 2'!AB366),"")</f>
        <v/>
      </c>
      <c r="BA365" s="198">
        <f t="shared" ref="BA365:BA383" si="208">IFERROR(SUM(AU365:AZ365),"")</f>
        <v>0</v>
      </c>
      <c r="BB365" s="198">
        <f t="shared" ref="BB365:BB383" si="209">IFERROR(SUM(AT365,BA365),"")</f>
        <v>0</v>
      </c>
      <c r="BC365" s="195" t="str">
        <f t="shared" ref="BC365:BC383" si="210">IFERROR($CU365*(INDEX(avoidedcosttbl2,$H365,BC$2)+(($H365-ROUNDDOWN($H365,0))*(INDEX(avoidedcosttbl2,ROUNDUP($H365,0),BC$2)-(INDEX(avoidedcosttbl2,ROUNDDOWN($H365,0),BC$2)))))*$Y365,"")</f>
        <v/>
      </c>
      <c r="BD365" s="195" t="str">
        <f t="shared" ref="BD365:BD383" si="211">IFERROR($CV365*(INDEX(avoidedcosttbl2,$H365,BD$2)+(($H365-ROUNDDOWN($H365,0))*(INDEX(avoidedcosttbl2,ROUNDUP($H365,0),BD$2)-(INDEX(avoidedcosttbl2,ROUNDDOWN($H365,0),BD$2)))))*$W365,"")</f>
        <v/>
      </c>
      <c r="BE365" s="195" t="str">
        <f t="shared" ref="BE365:BE383" si="212">IFERROR($CU365*(INDEX(avoidedcosttbl2,$H365,BE$2)+(($H365-ROUNDDOWN($H365,0))*(INDEX(avoidedcosttbl2,ROUNDUP($H365,0),BE$2)-(INDEX(avoidedcosttbl2,ROUNDDOWN($H365,0),BE$2)))))*$Y365,"")</f>
        <v/>
      </c>
      <c r="BF365" s="195" t="str">
        <f t="shared" ref="BF365:BF383" si="213">IFERROR($CW365*(INDEX(avoidedcosttbl2,$H365,BF$2)+(($H365-ROUNDDOWN($H365,0))*(INDEX(avoidedcosttbl2,ROUNDUP($H365,0),BF$2)-(INDEX(avoidedcosttbl2,ROUNDDOWN($H365,0),BF$2)))))*$Y365,"")</f>
        <v/>
      </c>
      <c r="BG365" s="195" t="str">
        <f t="shared" ref="BG365:BG383" si="214">IFERROR($CX365*(INDEX(avoidedcosttbl2,$H365,BG$2)+(($H365-ROUNDDOWN($H365,0))*(INDEX(avoidedcosttbl2,ROUNDUP($H365,0),BG$2)-(INDEX(avoidedcosttbl2,ROUNDDOWN($H365,0),BG$2)))))*$Y365,"")</f>
        <v/>
      </c>
      <c r="BH365" s="196">
        <f t="shared" ref="BH365:BH383" si="215">IFERROR(SUM(BC365:BG365),"")</f>
        <v>0</v>
      </c>
      <c r="BI365" s="196">
        <f t="shared" ref="BI365:BI383" si="216">IFERROR(BB365+BH365,"")</f>
        <v>0</v>
      </c>
      <c r="BJ365" s="195" t="str">
        <f>IFERROR($G365*(IF('Inputs Yr 2'!$AJ366=BJ$4,'Inputs Yr 2'!$AK366,IF('Inputs Yr 2'!$AL366=BJ$4,'Inputs Yr 2'!$AM366,IF('Inputs Yr 2'!$AN366=BJ$4,'Inputs Yr 2'!$AO366,0))))*(INDEX(avoidedcosttbl2,$H365,BJ$2)+(($H365-ROUNDDOWN($H365,0))*(INDEX(avoidedcosttbl2,ROUNDUP($H365,0),BJ$2)-(INDEX(avoidedcosttbl2,ROUNDDOWN($H365,0),BJ$2)))))*'Inputs Yr 2'!P366*'Inputs Yr 2'!Q366*'Inputs Yr 2'!U366,"")</f>
        <v/>
      </c>
      <c r="BK365" s="195" t="str">
        <f>IFERROR($G365*(IF('Inputs Yr 2'!$AJ366=BK$4,'Inputs Yr 2'!$AK366,IF('Inputs Yr 2'!$AL366=BK$4,'Inputs Yr 2'!$AM366,IF('Inputs Yr 2'!$AN366=BK$4,'Inputs Yr 2'!$AO366,0))))*(INDEX(avoidedcosttbl2,$H365,BK$2)+(($H365-ROUNDDOWN($H365,0))*(INDEX(avoidedcosttbl2,ROUNDUP($H365,0),BK$2)-(INDEX(avoidedcosttbl2,ROUNDDOWN($H365,0),BK$2)))))*'Inputs Yr 2'!P366*'Inputs Yr 2'!Q366*'Inputs Yr 2'!U366,"")</f>
        <v/>
      </c>
      <c r="BL365" s="195" t="str">
        <f>IFERROR($G365*(IF('Inputs Yr 2'!$AJ366=BL$4,'Inputs Yr 2'!$AK366,IF('Inputs Yr 2'!$AL366=BL$4,'Inputs Yr 2'!$AM366,IF('Inputs Yr 2'!$AN366=BL$4,'Inputs Yr 2'!$AO366,0))))*(INDEX(avoidedcosttbl2,$H365,BL$2)+(($H365-ROUNDDOWN($H365,0))*(INDEX(avoidedcosttbl2,ROUNDUP($H365,0),BL$2)-(INDEX(avoidedcosttbl2,ROUNDDOWN($H365,0),BL$2)))))*'Inputs Yr 2'!P366*'Inputs Yr 2'!Q366*'Inputs Yr 2'!U366,"")</f>
        <v/>
      </c>
      <c r="BM365" s="195" t="str">
        <f>IFERROR($G365*(IF('Inputs Yr 2'!$AJ366=BM$4,'Inputs Yr 2'!$AK366,IF('Inputs Yr 2'!$AL366=BM$4,'Inputs Yr 2'!$AM366,IF('Inputs Yr 2'!$AN366=BM$4,'Inputs Yr 2'!$AO366,0))))*(INDEX(avoidedcosttbl2,$H365,BM$2)+(($H365-ROUNDDOWN($H365,0))*(INDEX(avoidedcosttbl2,ROUNDUP($H365,0),BM$2)-(INDEX(avoidedcosttbl2,ROUNDDOWN($H365,0),BM$2)))))*'Inputs Yr 2'!P366*'Inputs Yr 2'!Q366*'Inputs Yr 2'!U366,"")</f>
        <v/>
      </c>
      <c r="BN365" s="195" t="str">
        <f>IFERROR($G365*(IF('Inputs Yr 2'!$AJ366=BN$4,'Inputs Yr 2'!$AK366,IF('Inputs Yr 2'!$AL366=BN$4,'Inputs Yr 2'!$AM366,IF('Inputs Yr 2'!$AN366=BN$4,'Inputs Yr 2'!$AO366,0))))*(INDEX(avoidedcosttbl2,$H365,BN$2)+(($H365-ROUNDDOWN($H365,0))*(INDEX(avoidedcosttbl2,ROUNDUP($H365,0),BN$2)-(INDEX(avoidedcosttbl2,ROUNDDOWN($H365,0),BN$2)))))*'Inputs Yr 2'!P366*'Inputs Yr 2'!Q366*'Inputs Yr 2'!U366,"")</f>
        <v/>
      </c>
      <c r="BO365" s="195" t="str">
        <f>IFERROR($G365*(IF('Inputs Yr 2'!$AJ366=BO$4,'Inputs Yr 2'!$AK366,IF('Inputs Yr 2'!$AL366=BO$4,'Inputs Yr 2'!$AM366,IF('Inputs Yr 2'!$AN366=BO$4,'Inputs Yr 2'!$AO366,0))))*(INDEX(avoidedcosttbl2,$H365,BO$2)+(($H365-ROUNDDOWN($H365,0))*(INDEX(avoidedcosttbl2,ROUNDUP($H365,0),BO$2)-(INDEX(avoidedcosttbl2,ROUNDDOWN($H365,0),BO$2)))))*'Inputs Yr 2'!P366*'Inputs Yr 2'!Q366*'Inputs Yr 2'!U366,"")</f>
        <v/>
      </c>
      <c r="BP365" s="195" t="str">
        <f>IFERROR($G365*(IF('Inputs Yr 2'!$AJ366=BP$4,'Inputs Yr 2'!$AK366,IF('Inputs Yr 2'!$AL366=BP$4,'Inputs Yr 2'!$AM366,IF('Inputs Yr 2'!$AN366=BP$4,'Inputs Yr 2'!$AO366,0))))*(INDEX(avoidedcosttbl2,$H365,BP$2)+(($H365-ROUNDDOWN($H365,0))*(INDEX(avoidedcosttbl2,ROUNDUP($H365,0),BP$2)-(INDEX(avoidedcosttbl2,ROUNDDOWN($H365,0),BP$2)))))*'Inputs Yr 2'!P366*'Inputs Yr 2'!Q366*'Inputs Yr 2'!U366,"")</f>
        <v/>
      </c>
      <c r="BQ365" s="230">
        <f t="shared" ref="BQ365:BQ383" si="217">IFERROR(SUM(BJ365:BP365),"")</f>
        <v>0</v>
      </c>
      <c r="BR365" s="197" t="str">
        <f t="shared" ref="BR365:BR383" si="218">IFERROR($AB365*((INDEX(avoidedcosttbl2,$H365,BR$2))+(($H365-ROUNDDOWN($H365,0))*((INDEX(avoidedcosttbl2,ROUNDUP($H365,0),BR$2))-(INDEX(avoidedcosttbl2,ROUNDDOWN($H365,0),BR$2))))),"")</f>
        <v/>
      </c>
      <c r="BS365" s="197" t="str">
        <f>IFERROR(($G365*IF('Inputs Yr 2'!$AJ366=BM$4,'Inputs Yr 2'!$AK366,IF('Inputs Yr 2'!$AL366=BM$4,'Inputs Yr 2'!$AM366,IF('Inputs Yr 2'!$AN366=BM$4,'Inputs Yr 2'!$AO366,0))))*(INDEX(avoidedcosttbl2,$H365,BS$2)+(($H365-ROUNDDOWN($H365,0))*(INDEX(avoidedcosttbl2,ROUNDUP($H365,0),BS$2)-(INDEX(avoidedcosttbl2,ROUNDDOWN($H365,0),BS$2)))))*'Inputs Yr 2'!P366*'Inputs Yr 2'!Q366*'Inputs Yr 2'!U366,"")</f>
        <v/>
      </c>
      <c r="BT365" s="197" t="str">
        <f>IFERROR(($G365*IF('Inputs Yr 2'!$AJ366=BK$4,'Inputs Yr 2'!$AK366,IF('Inputs Yr 2'!$AL366=BK$4,'Inputs Yr 2'!$AM366,IF('Inputs Yr 2'!$AN366=BK$4,'Inputs Yr 2'!$AO366,0))))*(INDEX(avoidedcosttbl2,$H365,BT$2)+(($H365-ROUNDDOWN($H365,0))*(INDEX(avoidedcosttbl2,ROUNDUP($H365,0),BT$2)-(INDEX(avoidedcosttbl2,ROUNDDOWN($H365,0),BT$2)))))*'Inputs Yr 2'!P366*'Inputs Yr 2'!Q366*'Inputs Yr 2'!U366,"")</f>
        <v/>
      </c>
      <c r="BU365" s="197" t="str">
        <f>IFERROR(($G365*IF('Inputs Yr 2'!$AJ366=BL$4,'Inputs Yr 2'!$AK366,IF('Inputs Yr 2'!$AL366=BL$4,'Inputs Yr 2'!$AM366,IF('Inputs Yr 2'!$AN366=BL$4,'Inputs Yr 2'!$AO366,0))))*(INDEX(avoidedcosttbl2,$H365,BU$2)+(($H365-ROUNDDOWN($H365,0))*(INDEX(avoidedcosttbl2,ROUNDUP($H365,0),BU$2)-(INDEX(avoidedcosttbl2,ROUNDDOWN($H365,0),BU$2)))))*'Inputs Yr 2'!P366*'Inputs Yr 2'!Q366*'Inputs Yr 2'!U366,"")</f>
        <v/>
      </c>
      <c r="BV365" s="775" t="str">
        <f>IFERROR(($G365*IF('Inputs Yr 2'!$AJ366=BJ$4,'Inputs Yr 2'!$AK366,IF('Inputs Yr 2'!$AL366=BJ$4,'Inputs Yr 2'!$AM366,IF('Inputs Yr 2'!$AN366=BJ$4,'Inputs Yr 2'!$AO366,0))))*(INDEX(avoidedcosttbl2,$H365,BV$2)+(($H365-ROUNDDOWN($H365,0))*(INDEX(avoidedcosttbl2,ROUNDUP($H365,0),BV$2)-(INDEX(avoidedcosttbl2,ROUNDDOWN($H365,0),BV$2)))))*'Inputs Yr 2'!P366*'Inputs Yr 2'!Q366*'Inputs Yr 2'!U366,"")</f>
        <v/>
      </c>
      <c r="BW365" s="197" t="str">
        <f>IFERROR(($G365*IF('Inputs Yr 2'!$AJ366=BN$4,'Inputs Yr 2'!$AK366,IF('Inputs Yr 2'!$AL366=BN$4,'Inputs Yr 2'!$AM366,IF('Inputs Yr 2'!$AN366=BN$4,'Inputs Yr 2'!$AO366,0))))*(INDEX(avoidedcosttbl2,$H365,BW$2)+(($H365-ROUNDDOWN($H365,0))*(INDEX(avoidedcosttbl2,ROUNDUP($H365,0),BW$2)-(INDEX(avoidedcosttbl2,ROUNDDOWN($H365,0),BW$2)))))*'Inputs Yr 2'!P366*'Inputs Yr 2'!Q366*'Inputs Yr 2'!U366,"")</f>
        <v/>
      </c>
      <c r="BX365" s="197" t="str">
        <f>IFERROR(($G365*IF('Inputs Yr 2'!$AJ366=BO$4,'Inputs Yr 2'!$AK366,IF('Inputs Yr 2'!$AL366=BO$4,'Inputs Yr 2'!$AM366,IF('Inputs Yr 2'!$AN366=BO$4,'Inputs Yr 2'!$AO366,0))))*(INDEX(avoidedcosttbl2,$H365,BX$2)+(($H365-ROUNDDOWN($H365,0))*(INDEX(avoidedcosttbl2,ROUNDUP($H365,0),BX$2)-(INDEX(avoidedcosttbl2,ROUNDDOWN($H365,0),BX$2)))))*'Inputs Yr 2'!P366*'Inputs Yr 2'!Q366*'Inputs Yr 2'!U366,"")</f>
        <v/>
      </c>
      <c r="BY365" s="197" t="str">
        <f>IFERROR(($G365*IF('Inputs Yr 2'!$AJ366=BP$4,'Inputs Yr 2'!$AK366,IF('Inputs Yr 2'!$AL366=BP$4,'Inputs Yr 2'!$AM366,IF('Inputs Yr 2'!$AN366=BP$4,'Inputs Yr 2'!$AO366,0))))*(INDEX(avoidedcosttbl2,$H365,BY$2)+(($H365-ROUNDDOWN($H365,0))*(INDEX(avoidedcosttbl2,ROUNDUP($H365,0),BY$2)-(INDEX(avoidedcosttbl2,ROUNDDOWN($H365,0),BY$2)))))*'Inputs Yr 2'!P366*'Inputs Yr 2'!Q366*'Inputs Yr 2'!U366,"")</f>
        <v/>
      </c>
      <c r="BZ365" s="193">
        <f t="shared" ref="BZ365:BZ383" si="219">IFERROR(SUM(BR365:BY365),"")</f>
        <v>0</v>
      </c>
      <c r="CA365" s="193">
        <f t="shared" ref="CA365:CA383" si="220">IFERROR(BQ365+BZ365,"")</f>
        <v>0</v>
      </c>
      <c r="CB365" s="195" t="str">
        <f>IFERROR(G365*(IF('Inputs Yr 2'!$AJ366=CB$4,'Inputs Yr 2'!$AK366,IF('Inputs Yr 2'!$AL366=CB$4,'Inputs Yr 2'!$AM366,IF('Inputs Yr 2'!$AN366=CB$4,'Inputs Yr 2'!$AO366,0))))*(INDEX(avoidedcosttbl2,$H365,CB$2)+(($H365-ROUNDDOWN($H365,0))*(INDEX(avoidedcosttbl2,ROUNDUP($H365,0),CB$2)-(INDEX(avoidedcosttbl2,ROUNDDOWN($H365,0),CB$2)))))*'Inputs Yr 2'!P366*'Inputs Yr 2'!Q366*'Inputs Yr 2'!U366,"")</f>
        <v/>
      </c>
      <c r="CC365" s="195" t="str">
        <f>IFERROR(H365*(IF('Inputs Yr 2'!$AJ366=CC$4,'Inputs Yr 2'!$AK366,IF('Inputs Yr 2'!$AL366=CC$4,'Inputs Yr 2'!$AM366,IF('Inputs Yr 2'!$AN366=CC$4,'Inputs Yr 2'!$AO366,0))))*(INDEX(avoidedcosttbl2,$H365,CC$2)+(($H365-ROUNDDOWN($H365,0))*(INDEX(avoidedcosttbl2,ROUNDUP($H365,0),CC$2)-(INDEX(avoidedcosttbl2,ROUNDDOWN($H365,0),CC$2)))))*'Inputs Yr 2'!Q366*'Inputs Yr 2'!R366*'Inputs Yr 2'!V366,"")</f>
        <v/>
      </c>
      <c r="CD365" s="195" t="str">
        <f>IFERROR(I365*(IF('Inputs Yr 2'!$AJ366=CD$4,'Inputs Yr 2'!$AK366,IF('Inputs Yr 2'!$AL366=CD$4,'Inputs Yr 2'!$AM366,IF('Inputs Yr 2'!$AN366=CD$4,'Inputs Yr 2'!$AO366,0))))*(INDEX(avoidedcosttbl2,$H365,CD$2)+(($H365-ROUNDDOWN($H365,0))*(INDEX(avoidedcosttbl2,ROUNDUP($H365,0),CD$2)-(INDEX(avoidedcosttbl2,ROUNDDOWN($H365,0),CD$2)))))*'Inputs Yr 2'!R366*'Inputs Yr 2'!S366*'Inputs Yr 2'!W366,"")</f>
        <v/>
      </c>
      <c r="CE365" s="213" t="str">
        <f t="shared" ref="CE365:CE383" si="221">IFERROR(AL365*(INDEX(avoidedcosttbl2,$H365,CE$2)+(($H365-ROUNDDOWN($H365,0))*(INDEX(avoidedcosttbl2,ROUNDUP($H365,0),CE$2)-(INDEX(avoidedcosttbl2,ROUNDDOWN($H365,0),CE$2))))),"")</f>
        <v/>
      </c>
      <c r="CF365" s="213" t="str">
        <f t="shared" ref="CF365:CF383" si="222">IFERROR(AM365*(INDEX(avoidedcosttbl2,$H365,CF$2)+(($H365-ROUNDDOWN($H365,0))*(INDEX(avoidedcosttbl2,ROUNDUP($H365,0),CF$2)-(INDEX(avoidedcosttbl2,ROUNDDOWN($H365,0),CF$2))))),"")</f>
        <v/>
      </c>
      <c r="CG365" s="213" t="str">
        <f t="shared" ref="CG365:CG383" si="223">IFERROR(AN365*(INDEX(avoidedcosttbl2,$H365,CG$2)+(($H365-ROUNDDOWN($H365,0))*(INDEX(avoidedcosttbl2,ROUNDUP($H365,0),CG$2)-(INDEX(avoidedcosttbl2,ROUNDDOWN($H365,0),CG$2))))),"")</f>
        <v/>
      </c>
      <c r="CH365" s="698">
        <f t="shared" ref="CH365:CH383" si="224">IFERROR(SUM(CA365:CG365),"")</f>
        <v>0</v>
      </c>
      <c r="CI365" s="79" t="str">
        <f>IFERROR(($G365*'Inputs Yr 2'!$P366*'Inputs Yr 2'!$Q366*(((INDEX(avoidedcosttbl2,$H365,CI$2)+(($H365-ROUNDDOWN($H365,0))*(INDEX(avoidedcosttbl2,ROUNDUP($H365,0),CI$2)-INDEX(avoidedcosttbl2,ROUNDDOWN($H365,0),CI$2))))*'Inputs Yr 2'!AS366))),"")</f>
        <v/>
      </c>
      <c r="CJ365" s="504" t="str">
        <f>IFERROR($G365*'Inputs Yr 2'!AT366*'Inputs Yr 2'!$P366*'Inputs Yr 2'!$Q366/((1+realdiscrt1)^-0.5),"")</f>
        <v/>
      </c>
      <c r="CK365" s="79" t="str">
        <f>IFERROR((O365*1000*(((INDEX(avoidedcosttbl2,$H365,CK$2)+(($H365-ROUNDDOWN($H365,0))*(INDEX(avoidedcosttbl2,ROUNDUP($H365,0),CK$2)-INDEX(avoidedcosttbl2,ROUNDDOWN($H365,0),CK$2))))*'Inputs Yr 2'!AU366))),"")</f>
        <v/>
      </c>
      <c r="CL365" s="504" t="str">
        <f>IFERROR(O365*1000*'Inputs Yr 2'!AV366/((1+realdiscrt1)^-0.5),"")</f>
        <v/>
      </c>
      <c r="CM365" s="79" t="str">
        <f>IFERROR((AB365*'Inputs Yr 2'!AW366*(((INDEX(avoidedcosttbl2,$H365,CM$2)+(($H365-ROUNDDOWN($H365,0))*(INDEX(avoidedcosttbl2,ROUNDUP($H365,0),CM$2)-INDEX(avoidedcosttbl2,ROUNDDOWN($H365,0),CM$2)))))))*10,"")</f>
        <v/>
      </c>
      <c r="CN365" s="504">
        <f>IFERROR(10*AB365*'Inputs Yr 2'!AX366/((1+realdiscrt1)^-0.5),"")</f>
        <v>0</v>
      </c>
      <c r="CO365" s="505">
        <f t="shared" ref="CO365:CO383" si="225">SUM(CI365:CN365)</f>
        <v>0</v>
      </c>
      <c r="CP365" s="230">
        <f t="shared" ref="CP365:CP383" si="226">IFERROR(CO365+CH365+BI365,"")</f>
        <v>0</v>
      </c>
      <c r="CQ365" s="199">
        <f>ROUND(IFERROR(IF(LEFT($A365,1)="C",'Avoided Costs'!$K$13,'Avoided Costs'!$K$12)+1,""),4)</f>
        <v>1.0720000000000001</v>
      </c>
      <c r="CR365" s="199">
        <f>ROUND(IFERROR(IF(LEFT($A365,1)="C",'Avoided Costs'!$L$13,'Avoided Costs'!$L$12)+1,""),4)</f>
        <v>1.04</v>
      </c>
      <c r="CS365" s="199">
        <f>ROUND(IFERROR(IF(LEFT($A365,1)="C",'Avoided Costs'!$M$13,'Avoided Costs'!$M$12)+1,""),4)</f>
        <v>1.0720000000000001</v>
      </c>
      <c r="CT365" s="199">
        <f>ROUND(IFERROR(IF(LEFT($A365,1)="C",'Avoided Costs'!$N$13,'Avoided Costs'!$N$12)+1,""),4)</f>
        <v>1.04</v>
      </c>
      <c r="CU365" s="199">
        <f>ROUND(IFERROR(IF(LEFT($A365,1)="C",'Avoided Costs'!$O$13,'Avoided Costs'!$O$12)+1,""),4)</f>
        <v>1.1120000000000001</v>
      </c>
      <c r="CV365" s="199">
        <f>ROUND(IFERROR(IF(LEFT($A365,1)="C",'Avoided Costs'!$P$13,'Avoided Costs'!$P$12)+1,""),4)</f>
        <v>1.095</v>
      </c>
      <c r="CW365" s="199">
        <f>ROUND(IFERROR(IF(LEFT($A365,1)="C",'Avoided Costs'!$Q$13,'Avoided Costs'!$Q$12)+1,""),4)</f>
        <v>1.1120000000000001</v>
      </c>
      <c r="CX365" s="200">
        <f>ROUND(IFERROR(IF(LEFT($A365,1)="C",'Avoided Costs'!$R$13,'Avoided Costs'!$R$12)+1,""),4)</f>
        <v>1.1120000000000001</v>
      </c>
    </row>
    <row r="366" spans="1:102" s="128" customFormat="1" ht="12.75" customHeight="1">
      <c r="A366" s="91" t="str">
        <f>IF('Inputs Yr 2'!$B403=0,"",'Inputs Yr 2'!A403)</f>
        <v/>
      </c>
      <c r="B366" s="91" t="str">
        <f>IF('Inputs Yr 2'!$B403=0,"",'Inputs Yr 2'!B403)</f>
        <v/>
      </c>
      <c r="C366" s="91" t="str">
        <f>IF('Inputs Yr 2'!$B367=0,"",'Inputs Yr 2'!C367)</f>
        <v/>
      </c>
      <c r="D366" s="91" t="str">
        <f>IF('Inputs Yr 2'!$B367=0,"",'Inputs Yr 2'!E367)</f>
        <v/>
      </c>
      <c r="E366" s="93" t="str">
        <f>IF('Inputs Yr 2'!$B367=0,"",'Inputs Yr 2'!F367)</f>
        <v/>
      </c>
      <c r="F366" s="93" t="str">
        <f>IF('Inputs Yr 2'!$B367=0,"",'Inputs Yr 2'!G367)</f>
        <v/>
      </c>
      <c r="G366" s="95" t="str">
        <f>IF('Inputs Yr 2'!$H367&lt;&gt;0,('Inputs Yr 2'!H367),"")</f>
        <v/>
      </c>
      <c r="H366" s="94">
        <f>IFERROR('Inputs Yr 2'!I367,"")</f>
        <v>0</v>
      </c>
      <c r="I366" s="298" t="str">
        <f>IFERROR('Inputs Yr 2'!J367*'Inputs Yr 2'!P367*G366,"")</f>
        <v/>
      </c>
      <c r="J366" s="298" t="str">
        <f>IFERROR('Inputs Yr 2'!K367*G366,"")</f>
        <v/>
      </c>
      <c r="K366" s="298" t="str">
        <f t="shared" si="197"/>
        <v/>
      </c>
      <c r="L366" s="194" t="str">
        <f>IFERROR(('Inputs Yr 2'!W367*G366)/1000,"")</f>
        <v/>
      </c>
      <c r="M366" s="194" t="str">
        <f>IFERROR(L366*('Inputs Yr 2'!$Q367*'Inputs Yr 2'!$V367*'Inputs Yr 2'!$R367),"")</f>
        <v/>
      </c>
      <c r="N366" s="194" t="str">
        <f t="shared" si="198"/>
        <v/>
      </c>
      <c r="O366" s="194" t="str">
        <f>IFERROR(M366*'Inputs Yr 2'!P367,"")</f>
        <v/>
      </c>
      <c r="P366" s="194" t="str">
        <f t="shared" si="199"/>
        <v/>
      </c>
      <c r="Q366" s="194" t="str">
        <f>IFERROR($P366*'Inputs Yr 2'!AA367,"")</f>
        <v/>
      </c>
      <c r="R366" s="194" t="str">
        <f>IFERROR($P366*'Inputs Yr 2'!AB367,"")</f>
        <v/>
      </c>
      <c r="S366" s="194" t="str">
        <f>IFERROR($P366*'Inputs Yr 2'!AC367,"")</f>
        <v/>
      </c>
      <c r="T366" s="194" t="str">
        <f>IFERROR($P366*'Inputs Yr 2'!AD367,"")</f>
        <v/>
      </c>
      <c r="U366" s="194" t="str">
        <f>IFERROR(G366*'Inputs Yr 2'!$AE367*'Inputs Yr 2'!$P367*'Inputs Yr 2'!$Q367,"")</f>
        <v/>
      </c>
      <c r="V366" s="194" t="str">
        <f>IFERROR($G366*'Inputs Yr 2'!$AE367*'Inputs Yr 2'!$AG367*'Inputs Yr 2'!Q367*'Inputs Yr 2'!$S367,"")</f>
        <v/>
      </c>
      <c r="W366" s="194" t="str">
        <f>IFERROR($G366*'Inputs Yr 2'!$AE367*'Inputs Yr 2'!$AG367*'Inputs Yr 2'!P367*'Inputs Yr 2'!Q367*'Inputs Yr 2'!$S367,"")</f>
        <v/>
      </c>
      <c r="X366" s="194" t="str">
        <f>IFERROR($G366*'Inputs Yr 2'!$AE367*'Inputs Yr 2'!$AF367*'Inputs Yr 2'!Q367*'Inputs Yr 2'!$T367,"")</f>
        <v/>
      </c>
      <c r="Y366" s="194" t="str">
        <f>IFERROR($G366*'Inputs Yr 2'!$AE367*'Inputs Yr 2'!$AF367*'Inputs Yr 2'!P367*'Inputs Yr 2'!Q367*'Inputs Yr 2'!$T367,"")</f>
        <v/>
      </c>
      <c r="Z366" s="257">
        <f>IFERROR($G366*'Inputs Yr 2'!$Q367*'Inputs Yr 2'!$U367*(IF(IFERROR(SEARCH("NG", 'Inputs Yr 2'!$AJ367),0),'Inputs Yr 2'!$AK367,0)+IF(IFERROR(SEARCH("NG", 'Inputs Yr 2'!$AL367),0),'Inputs Yr 2'!$AM367,0)+IF(IFERROR(SEARCH("NG", 'Inputs Yr 2'!$AN367),0),'Inputs Yr 2'!$AO367,0)),0)</f>
        <v>0</v>
      </c>
      <c r="AA366" s="257">
        <f t="shared" si="200"/>
        <v>0</v>
      </c>
      <c r="AB366" s="257">
        <f>IFERROR(Z366*'Inputs Yr 2'!$P367,0)</f>
        <v>0</v>
      </c>
      <c r="AC366" s="257">
        <f t="shared" si="201"/>
        <v>0</v>
      </c>
      <c r="AD366" s="257">
        <f>IFERROR($G366*'Inputs Yr 2'!$Q367*'Inputs Yr 2'!$U367*(IF(IFERROR(SEARCH("Oil", 'Inputs Yr 2'!$AJ367), 0),'Inputs Yr 2'!$AK367,0)+IF(IFERROR(SEARCH("Oil", 'Inputs Yr 2'!$AL367), 0),'Inputs Yr 2'!$AM367,0)+IF(IFERROR(SEARCH("Oil", 'Inputs Yr 2'!$AN367), 0),'Inputs Yr 2'!$AO367,0)),0)</f>
        <v>0</v>
      </c>
      <c r="AE366" s="257">
        <f t="shared" si="202"/>
        <v>0</v>
      </c>
      <c r="AF366" s="257">
        <f>IFERROR(AD366*'Inputs Yr 2'!$P367,0)</f>
        <v>0</v>
      </c>
      <c r="AG366" s="257">
        <f t="shared" si="203"/>
        <v>0</v>
      </c>
      <c r="AH366" s="257">
        <f>IFERROR($G366*'Inputs Yr 2'!$Q367*'Inputs Yr 2'!$U367*(IF('Inputs Yr 2'!$AJ367=CD$4,'Inputs Yr 2'!$AK367,IF('Inputs Yr 2'!$AL367=CD$4,'Inputs Yr 2'!$AM367,IF('Inputs Yr 2'!$AN367=CD$4,'Inputs Yr 2'!$AO367,0)))),0)</f>
        <v>0</v>
      </c>
      <c r="AI366" s="257">
        <f t="shared" si="204"/>
        <v>0</v>
      </c>
      <c r="AJ366" s="257">
        <f>IFERROR(AH366*'Inputs Yr 2'!$P367,0)</f>
        <v>0</v>
      </c>
      <c r="AK366" s="257">
        <f t="shared" si="205"/>
        <v>0</v>
      </c>
      <c r="AL366" s="258">
        <f>IFERROR($G366*'Inputs Yr 2'!$P367*'Inputs Yr 2'!$Q367*'Inputs Yr 2'!AP367,0)</f>
        <v>0</v>
      </c>
      <c r="AM366" s="260">
        <f>IFERROR($G366*'Inputs Yr 2'!$P367*'Inputs Yr 2'!$Q367*'Inputs Yr 2'!AQ367,0)</f>
        <v>0</v>
      </c>
      <c r="AN366" s="258">
        <f>IFERROR($G366*'Inputs Yr 2'!$P367*'Inputs Yr 2'!$Q367*'Inputs Yr 2'!AR367,0)</f>
        <v>0</v>
      </c>
      <c r="AO366" s="257">
        <f t="shared" si="206"/>
        <v>0</v>
      </c>
      <c r="AP366" s="195" t="str">
        <f>IFERROR($CQ366*(INDEX(avoidedcosttbl2,$H366,AP$2)+(($H366-ROUNDDOWN($H366,0))*(INDEX(avoidedcosttbl2,ROUNDUP($H366,0),AP$2)-(INDEX(avoidedcosttbl2,ROUNDDOWN($H366,0),AP$2)))))*$O366*1000*'Inputs Yr 2'!AA367,"")</f>
        <v/>
      </c>
      <c r="AQ366" s="195" t="str">
        <f>IFERROR($CR366*(INDEX(avoidedcosttbl2,$H366,AQ$2)+(($H366-ROUNDDOWN($H366,0))*(INDEX(avoidedcosttbl2,ROUNDUP($H366,0),AQ$2)-(INDEX(avoidedcosttbl2,ROUNDDOWN($H366,0),AQ$2)))))*$O366*1000*'Inputs Yr 2'!AB367,"")</f>
        <v/>
      </c>
      <c r="AR366" s="195" t="str">
        <f>IFERROR($CS366*(INDEX(avoidedcosttbl2,$H366,AR$2)+(($H366-ROUNDDOWN($H366,0))*(INDEX(avoidedcosttbl2,ROUNDUP($H366,0),AR$2)-(INDEX(avoidedcosttbl2,ROUNDDOWN($H366,0),AR$2)))))*$O366*1000*'Inputs Yr 2'!AC367,"")</f>
        <v/>
      </c>
      <c r="AS366" s="195" t="str">
        <f>IFERROR($CT366*(INDEX(avoidedcosttbl2,$H366,AS$2)+(($H366-ROUNDDOWN($H366,0))*(INDEX(avoidedcosttbl2,ROUNDUP($H366,0),AS$2)-(INDEX(avoidedcosttbl2,ROUNDDOWN($H366,0),AS$2)))))*$O366*1000*'Inputs Yr 2'!AD367,"")</f>
        <v/>
      </c>
      <c r="AT366" s="196">
        <f t="shared" si="207"/>
        <v>0</v>
      </c>
      <c r="AU366" s="197" t="str">
        <f>IFERROR($CQ366*((INDEX(avoidedcosttbl2,$H366,AU$2))+(($H366-ROUNDDOWN($H366,0))*((INDEX(avoidedcosttbl2,ROUNDUP($H366,0),AU$2))-(INDEX(avoidedcosttbl2,ROUNDDOWN($H366,0),AU$2)))))*$O366*1000*'Inputs Yr 2'!AA367,"")</f>
        <v/>
      </c>
      <c r="AV366" s="197" t="str">
        <f>IFERROR($CR366*((INDEX(avoidedcosttbl2,$H366,AV$2))+(($H366-ROUNDDOWN($H366,0))*((INDEX(avoidedcosttbl2,ROUNDUP($H366,0),AV$2))-(INDEX(avoidedcosttbl2,ROUNDDOWN($H366,0),AV$2)))))*$O366*1000*'Inputs Yr 2'!AB367,"")</f>
        <v/>
      </c>
      <c r="AW366" s="197" t="str">
        <f>IFERROR($CS366*((INDEX(avoidedcosttbl2,$H366,AW$2))+(($H366-ROUNDDOWN($H366,0))*((INDEX(avoidedcosttbl2,ROUNDUP($H366,0),AW$2))-(INDEX(avoidedcosttbl2,ROUNDDOWN($H366,0),AW$2)))))*$O366*1000*'Inputs Yr 2'!AC367,"")</f>
        <v/>
      </c>
      <c r="AX366" s="197" t="str">
        <f>IFERROR($CT366*((INDEX(avoidedcosttbl2,$H366,AX$2))+(($H366-ROUNDDOWN($H366,0))*((INDEX(avoidedcosttbl2,ROUNDUP($H366,0),AX$2))-(INDEX(avoidedcosttbl2,ROUNDDOWN($H366,0),AX$2)))))*$O366*1000*'Inputs Yr 2'!AD367,"")</f>
        <v/>
      </c>
      <c r="AY366" s="197" t="str">
        <f>IFERROR(((INDEX(avoidedcosttbl2,$H366,AY$2))+(($H366-ROUNDDOWN($H366,0))*((INDEX(avoidedcosttbl2,ROUNDUP($H366,0),AY$2))-(INDEX(avoidedcosttbl2,ROUNDDOWN($H366,0),AY$2)))))*$O366*1000*('Inputs Yr 2'!AC367+'Inputs Yr 2'!AD367),"")</f>
        <v/>
      </c>
      <c r="AZ366" s="197" t="str">
        <f>IFERROR(((INDEX(avoidedcosttbl2,$H366,AZ$2))+(($H366-ROUNDDOWN($H366,0))*((INDEX(avoidedcosttbl2,ROUNDUP($H366,0),AZ$2))-(INDEX(avoidedcosttbl2,ROUNDDOWN($H366,0),AZ$2)))))*$O366*1000*('Inputs Yr 2'!AA367+'Inputs Yr 2'!AB367),"")</f>
        <v/>
      </c>
      <c r="BA366" s="198">
        <f t="shared" si="208"/>
        <v>0</v>
      </c>
      <c r="BB366" s="198">
        <f t="shared" si="209"/>
        <v>0</v>
      </c>
      <c r="BC366" s="195" t="str">
        <f t="shared" si="210"/>
        <v/>
      </c>
      <c r="BD366" s="195" t="str">
        <f t="shared" si="211"/>
        <v/>
      </c>
      <c r="BE366" s="195" t="str">
        <f t="shared" si="212"/>
        <v/>
      </c>
      <c r="BF366" s="195" t="str">
        <f t="shared" si="213"/>
        <v/>
      </c>
      <c r="BG366" s="195" t="str">
        <f t="shared" si="214"/>
        <v/>
      </c>
      <c r="BH366" s="196">
        <f t="shared" si="215"/>
        <v>0</v>
      </c>
      <c r="BI366" s="196">
        <f t="shared" si="216"/>
        <v>0</v>
      </c>
      <c r="BJ366" s="195" t="str">
        <f>IFERROR($G366*(IF('Inputs Yr 2'!$AJ367=BJ$4,'Inputs Yr 2'!$AK367,IF('Inputs Yr 2'!$AL367=BJ$4,'Inputs Yr 2'!$AM367,IF('Inputs Yr 2'!$AN367=BJ$4,'Inputs Yr 2'!$AO367,0))))*(INDEX(avoidedcosttbl2,$H366,BJ$2)+(($H366-ROUNDDOWN($H366,0))*(INDEX(avoidedcosttbl2,ROUNDUP($H366,0),BJ$2)-(INDEX(avoidedcosttbl2,ROUNDDOWN($H366,0),BJ$2)))))*'Inputs Yr 2'!P367*'Inputs Yr 2'!Q367*'Inputs Yr 2'!U367,"")</f>
        <v/>
      </c>
      <c r="BK366" s="195" t="str">
        <f>IFERROR($G366*(IF('Inputs Yr 2'!$AJ367=BK$4,'Inputs Yr 2'!$AK367,IF('Inputs Yr 2'!$AL367=BK$4,'Inputs Yr 2'!$AM367,IF('Inputs Yr 2'!$AN367=BK$4,'Inputs Yr 2'!$AO367,0))))*(INDEX(avoidedcosttbl2,$H366,BK$2)+(($H366-ROUNDDOWN($H366,0))*(INDEX(avoidedcosttbl2,ROUNDUP($H366,0),BK$2)-(INDEX(avoidedcosttbl2,ROUNDDOWN($H366,0),BK$2)))))*'Inputs Yr 2'!P367*'Inputs Yr 2'!Q367*'Inputs Yr 2'!U367,"")</f>
        <v/>
      </c>
      <c r="BL366" s="195" t="str">
        <f>IFERROR($G366*(IF('Inputs Yr 2'!$AJ367=BL$4,'Inputs Yr 2'!$AK367,IF('Inputs Yr 2'!$AL367=BL$4,'Inputs Yr 2'!$AM367,IF('Inputs Yr 2'!$AN367=BL$4,'Inputs Yr 2'!$AO367,0))))*(INDEX(avoidedcosttbl2,$H366,BL$2)+(($H366-ROUNDDOWN($H366,0))*(INDEX(avoidedcosttbl2,ROUNDUP($H366,0),BL$2)-(INDEX(avoidedcosttbl2,ROUNDDOWN($H366,0),BL$2)))))*'Inputs Yr 2'!P367*'Inputs Yr 2'!Q367*'Inputs Yr 2'!U367,"")</f>
        <v/>
      </c>
      <c r="BM366" s="195" t="str">
        <f>IFERROR($G366*(IF('Inputs Yr 2'!$AJ367=BM$4,'Inputs Yr 2'!$AK367,IF('Inputs Yr 2'!$AL367=BM$4,'Inputs Yr 2'!$AM367,IF('Inputs Yr 2'!$AN367=BM$4,'Inputs Yr 2'!$AO367,0))))*(INDEX(avoidedcosttbl2,$H366,BM$2)+(($H366-ROUNDDOWN($H366,0))*(INDEX(avoidedcosttbl2,ROUNDUP($H366,0),BM$2)-(INDEX(avoidedcosttbl2,ROUNDDOWN($H366,0),BM$2)))))*'Inputs Yr 2'!P367*'Inputs Yr 2'!Q367*'Inputs Yr 2'!U367,"")</f>
        <v/>
      </c>
      <c r="BN366" s="195" t="str">
        <f>IFERROR($G366*(IF('Inputs Yr 2'!$AJ367=BN$4,'Inputs Yr 2'!$AK367,IF('Inputs Yr 2'!$AL367=BN$4,'Inputs Yr 2'!$AM367,IF('Inputs Yr 2'!$AN367=BN$4,'Inputs Yr 2'!$AO367,0))))*(INDEX(avoidedcosttbl2,$H366,BN$2)+(($H366-ROUNDDOWN($H366,0))*(INDEX(avoidedcosttbl2,ROUNDUP($H366,0),BN$2)-(INDEX(avoidedcosttbl2,ROUNDDOWN($H366,0),BN$2)))))*'Inputs Yr 2'!P367*'Inputs Yr 2'!Q367*'Inputs Yr 2'!U367,"")</f>
        <v/>
      </c>
      <c r="BO366" s="195" t="str">
        <f>IFERROR($G366*(IF('Inputs Yr 2'!$AJ367=BO$4,'Inputs Yr 2'!$AK367,IF('Inputs Yr 2'!$AL367=BO$4,'Inputs Yr 2'!$AM367,IF('Inputs Yr 2'!$AN367=BO$4,'Inputs Yr 2'!$AO367,0))))*(INDEX(avoidedcosttbl2,$H366,BO$2)+(($H366-ROUNDDOWN($H366,0))*(INDEX(avoidedcosttbl2,ROUNDUP($H366,0),BO$2)-(INDEX(avoidedcosttbl2,ROUNDDOWN($H366,0),BO$2)))))*'Inputs Yr 2'!P367*'Inputs Yr 2'!Q367*'Inputs Yr 2'!U367,"")</f>
        <v/>
      </c>
      <c r="BP366" s="195" t="str">
        <f>IFERROR($G366*(IF('Inputs Yr 2'!$AJ367=BP$4,'Inputs Yr 2'!$AK367,IF('Inputs Yr 2'!$AL367=BP$4,'Inputs Yr 2'!$AM367,IF('Inputs Yr 2'!$AN367=BP$4,'Inputs Yr 2'!$AO367,0))))*(INDEX(avoidedcosttbl2,$H366,BP$2)+(($H366-ROUNDDOWN($H366,0))*(INDEX(avoidedcosttbl2,ROUNDUP($H366,0),BP$2)-(INDEX(avoidedcosttbl2,ROUNDDOWN($H366,0),BP$2)))))*'Inputs Yr 2'!P367*'Inputs Yr 2'!Q367*'Inputs Yr 2'!U367,"")</f>
        <v/>
      </c>
      <c r="BQ366" s="230">
        <f t="shared" si="217"/>
        <v>0</v>
      </c>
      <c r="BR366" s="197" t="str">
        <f t="shared" si="218"/>
        <v/>
      </c>
      <c r="BS366" s="197" t="str">
        <f>IFERROR(($G366*IF('Inputs Yr 2'!$AJ367=BM$4,'Inputs Yr 2'!$AK367,IF('Inputs Yr 2'!$AL367=BM$4,'Inputs Yr 2'!$AM367,IF('Inputs Yr 2'!$AN367=BM$4,'Inputs Yr 2'!$AO367,0))))*(INDEX(avoidedcosttbl2,$H366,BS$2)+(($H366-ROUNDDOWN($H366,0))*(INDEX(avoidedcosttbl2,ROUNDUP($H366,0),BS$2)-(INDEX(avoidedcosttbl2,ROUNDDOWN($H366,0),BS$2)))))*'Inputs Yr 2'!P367*'Inputs Yr 2'!Q367*'Inputs Yr 2'!U367,"")</f>
        <v/>
      </c>
      <c r="BT366" s="197" t="str">
        <f>IFERROR(($G366*IF('Inputs Yr 2'!$AJ367=BK$4,'Inputs Yr 2'!$AK367,IF('Inputs Yr 2'!$AL367=BK$4,'Inputs Yr 2'!$AM367,IF('Inputs Yr 2'!$AN367=BK$4,'Inputs Yr 2'!$AO367,0))))*(INDEX(avoidedcosttbl2,$H366,BT$2)+(($H366-ROUNDDOWN($H366,0))*(INDEX(avoidedcosttbl2,ROUNDUP($H366,0),BT$2)-(INDEX(avoidedcosttbl2,ROUNDDOWN($H366,0),BT$2)))))*'Inputs Yr 2'!P367*'Inputs Yr 2'!Q367*'Inputs Yr 2'!U367,"")</f>
        <v/>
      </c>
      <c r="BU366" s="197" t="str">
        <f>IFERROR(($G366*IF('Inputs Yr 2'!$AJ367=BL$4,'Inputs Yr 2'!$AK367,IF('Inputs Yr 2'!$AL367=BL$4,'Inputs Yr 2'!$AM367,IF('Inputs Yr 2'!$AN367=BL$4,'Inputs Yr 2'!$AO367,0))))*(INDEX(avoidedcosttbl2,$H366,BU$2)+(($H366-ROUNDDOWN($H366,0))*(INDEX(avoidedcosttbl2,ROUNDUP($H366,0),BU$2)-(INDEX(avoidedcosttbl2,ROUNDDOWN($H366,0),BU$2)))))*'Inputs Yr 2'!P367*'Inputs Yr 2'!Q367*'Inputs Yr 2'!U367,"")</f>
        <v/>
      </c>
      <c r="BV366" s="775" t="str">
        <f>IFERROR(($G366*IF('Inputs Yr 2'!$AJ367=BJ$4,'Inputs Yr 2'!$AK367,IF('Inputs Yr 2'!$AL367=BJ$4,'Inputs Yr 2'!$AM367,IF('Inputs Yr 2'!$AN367=BJ$4,'Inputs Yr 2'!$AO367,0))))*(INDEX(avoidedcosttbl2,$H366,BV$2)+(($H366-ROUNDDOWN($H366,0))*(INDEX(avoidedcosttbl2,ROUNDUP($H366,0),BV$2)-(INDEX(avoidedcosttbl2,ROUNDDOWN($H366,0),BV$2)))))*'Inputs Yr 2'!P367*'Inputs Yr 2'!Q367*'Inputs Yr 2'!U367,"")</f>
        <v/>
      </c>
      <c r="BW366" s="197" t="str">
        <f>IFERROR(($G366*IF('Inputs Yr 2'!$AJ367=BN$4,'Inputs Yr 2'!$AK367,IF('Inputs Yr 2'!$AL367=BN$4,'Inputs Yr 2'!$AM367,IF('Inputs Yr 2'!$AN367=BN$4,'Inputs Yr 2'!$AO367,0))))*(INDEX(avoidedcosttbl2,$H366,BW$2)+(($H366-ROUNDDOWN($H366,0))*(INDEX(avoidedcosttbl2,ROUNDUP($H366,0),BW$2)-(INDEX(avoidedcosttbl2,ROUNDDOWN($H366,0),BW$2)))))*'Inputs Yr 2'!P367*'Inputs Yr 2'!Q367*'Inputs Yr 2'!U367,"")</f>
        <v/>
      </c>
      <c r="BX366" s="197" t="str">
        <f>IFERROR(($G366*IF('Inputs Yr 2'!$AJ367=BO$4,'Inputs Yr 2'!$AK367,IF('Inputs Yr 2'!$AL367=BO$4,'Inputs Yr 2'!$AM367,IF('Inputs Yr 2'!$AN367=BO$4,'Inputs Yr 2'!$AO367,0))))*(INDEX(avoidedcosttbl2,$H366,BX$2)+(($H366-ROUNDDOWN($H366,0))*(INDEX(avoidedcosttbl2,ROUNDUP($H366,0),BX$2)-(INDEX(avoidedcosttbl2,ROUNDDOWN($H366,0),BX$2)))))*'Inputs Yr 2'!P367*'Inputs Yr 2'!Q367*'Inputs Yr 2'!U367,"")</f>
        <v/>
      </c>
      <c r="BY366" s="197" t="str">
        <f>IFERROR(($G366*IF('Inputs Yr 2'!$AJ367=BP$4,'Inputs Yr 2'!$AK367,IF('Inputs Yr 2'!$AL367=BP$4,'Inputs Yr 2'!$AM367,IF('Inputs Yr 2'!$AN367=BP$4,'Inputs Yr 2'!$AO367,0))))*(INDEX(avoidedcosttbl2,$H366,BY$2)+(($H366-ROUNDDOWN($H366,0))*(INDEX(avoidedcosttbl2,ROUNDUP($H366,0),BY$2)-(INDEX(avoidedcosttbl2,ROUNDDOWN($H366,0),BY$2)))))*'Inputs Yr 2'!P367*'Inputs Yr 2'!Q367*'Inputs Yr 2'!U367,"")</f>
        <v/>
      </c>
      <c r="BZ366" s="193">
        <f t="shared" si="219"/>
        <v>0</v>
      </c>
      <c r="CA366" s="193">
        <f t="shared" si="220"/>
        <v>0</v>
      </c>
      <c r="CB366" s="195" t="str">
        <f>IFERROR(G366*(IF('Inputs Yr 2'!$AJ367=CB$4,'Inputs Yr 2'!$AK367,IF('Inputs Yr 2'!$AL367=CB$4,'Inputs Yr 2'!$AM367,IF('Inputs Yr 2'!$AN367=CB$4,'Inputs Yr 2'!$AO367,0))))*(INDEX(avoidedcosttbl2,$H366,CB$2)+(($H366-ROUNDDOWN($H366,0))*(INDEX(avoidedcosttbl2,ROUNDUP($H366,0),CB$2)-(INDEX(avoidedcosttbl2,ROUNDDOWN($H366,0),CB$2)))))*'Inputs Yr 2'!P367*'Inputs Yr 2'!Q367*'Inputs Yr 2'!U367,"")</f>
        <v/>
      </c>
      <c r="CC366" s="195" t="str">
        <f>IFERROR(H366*(IF('Inputs Yr 2'!$AJ367=CC$4,'Inputs Yr 2'!$AK367,IF('Inputs Yr 2'!$AL367=CC$4,'Inputs Yr 2'!$AM367,IF('Inputs Yr 2'!$AN367=CC$4,'Inputs Yr 2'!$AO367,0))))*(INDEX(avoidedcosttbl2,$H366,CC$2)+(($H366-ROUNDDOWN($H366,0))*(INDEX(avoidedcosttbl2,ROUNDUP($H366,0),CC$2)-(INDEX(avoidedcosttbl2,ROUNDDOWN($H366,0),CC$2)))))*'Inputs Yr 2'!Q367*'Inputs Yr 2'!R367*'Inputs Yr 2'!V367,"")</f>
        <v/>
      </c>
      <c r="CD366" s="195" t="str">
        <f>IFERROR(I366*(IF('Inputs Yr 2'!$AJ367=CD$4,'Inputs Yr 2'!$AK367,IF('Inputs Yr 2'!$AL367=CD$4,'Inputs Yr 2'!$AM367,IF('Inputs Yr 2'!$AN367=CD$4,'Inputs Yr 2'!$AO367,0))))*(INDEX(avoidedcosttbl2,$H366,CD$2)+(($H366-ROUNDDOWN($H366,0))*(INDEX(avoidedcosttbl2,ROUNDUP($H366,0),CD$2)-(INDEX(avoidedcosttbl2,ROUNDDOWN($H366,0),CD$2)))))*'Inputs Yr 2'!R367*'Inputs Yr 2'!S367*'Inputs Yr 2'!W367,"")</f>
        <v/>
      </c>
      <c r="CE366" s="213" t="str">
        <f t="shared" si="221"/>
        <v/>
      </c>
      <c r="CF366" s="213" t="str">
        <f t="shared" si="222"/>
        <v/>
      </c>
      <c r="CG366" s="213" t="str">
        <f t="shared" si="223"/>
        <v/>
      </c>
      <c r="CH366" s="698">
        <f t="shared" si="224"/>
        <v>0</v>
      </c>
      <c r="CI366" s="79" t="str">
        <f>IFERROR(($G366*'Inputs Yr 2'!$P367*'Inputs Yr 2'!$Q367*(((INDEX(avoidedcosttbl2,$H366,CI$2)+(($H366-ROUNDDOWN($H366,0))*(INDEX(avoidedcosttbl2,ROUNDUP($H366,0),CI$2)-INDEX(avoidedcosttbl2,ROUNDDOWN($H366,0),CI$2))))*'Inputs Yr 2'!AS367))),"")</f>
        <v/>
      </c>
      <c r="CJ366" s="504" t="str">
        <f>IFERROR($G366*'Inputs Yr 2'!AT367*'Inputs Yr 2'!$P367*'Inputs Yr 2'!$Q367/((1+realdiscrt1)^-0.5),"")</f>
        <v/>
      </c>
      <c r="CK366" s="79" t="str">
        <f>IFERROR((O366*1000*(((INDEX(avoidedcosttbl2,$H366,CK$2)+(($H366-ROUNDDOWN($H366,0))*(INDEX(avoidedcosttbl2,ROUNDUP($H366,0),CK$2)-INDEX(avoidedcosttbl2,ROUNDDOWN($H366,0),CK$2))))*'Inputs Yr 2'!AU367))),"")</f>
        <v/>
      </c>
      <c r="CL366" s="504" t="str">
        <f>IFERROR(O366*1000*'Inputs Yr 2'!AV367/((1+realdiscrt1)^-0.5),"")</f>
        <v/>
      </c>
      <c r="CM366" s="79" t="str">
        <f>IFERROR((AB366*'Inputs Yr 2'!AW367*(((INDEX(avoidedcosttbl2,$H366,CM$2)+(($H366-ROUNDDOWN($H366,0))*(INDEX(avoidedcosttbl2,ROUNDUP($H366,0),CM$2)-INDEX(avoidedcosttbl2,ROUNDDOWN($H366,0),CM$2)))))))*10,"")</f>
        <v/>
      </c>
      <c r="CN366" s="504">
        <f>IFERROR(10*AB366*'Inputs Yr 2'!AX367/((1+realdiscrt1)^-0.5),"")</f>
        <v>0</v>
      </c>
      <c r="CO366" s="505">
        <f t="shared" si="225"/>
        <v>0</v>
      </c>
      <c r="CP366" s="230">
        <f t="shared" si="226"/>
        <v>0</v>
      </c>
      <c r="CQ366" s="199">
        <f>ROUND(IFERROR(IF(LEFT($A366,1)="C",'Avoided Costs'!$K$13,'Avoided Costs'!$K$12)+1,""),4)</f>
        <v>1.0720000000000001</v>
      </c>
      <c r="CR366" s="199">
        <f>ROUND(IFERROR(IF(LEFT($A366,1)="C",'Avoided Costs'!$L$13,'Avoided Costs'!$L$12)+1,""),4)</f>
        <v>1.04</v>
      </c>
      <c r="CS366" s="199">
        <f>ROUND(IFERROR(IF(LEFT($A366,1)="C",'Avoided Costs'!$M$13,'Avoided Costs'!$M$12)+1,""),4)</f>
        <v>1.0720000000000001</v>
      </c>
      <c r="CT366" s="199">
        <f>ROUND(IFERROR(IF(LEFT($A366,1)="C",'Avoided Costs'!$N$13,'Avoided Costs'!$N$12)+1,""),4)</f>
        <v>1.04</v>
      </c>
      <c r="CU366" s="199">
        <f>ROUND(IFERROR(IF(LEFT($A366,1)="C",'Avoided Costs'!$O$13,'Avoided Costs'!$O$12)+1,""),4)</f>
        <v>1.1120000000000001</v>
      </c>
      <c r="CV366" s="199">
        <f>ROUND(IFERROR(IF(LEFT($A366,1)="C",'Avoided Costs'!$P$13,'Avoided Costs'!$P$12)+1,""),4)</f>
        <v>1.095</v>
      </c>
      <c r="CW366" s="199">
        <f>ROUND(IFERROR(IF(LEFT($A366,1)="C",'Avoided Costs'!$Q$13,'Avoided Costs'!$Q$12)+1,""),4)</f>
        <v>1.1120000000000001</v>
      </c>
      <c r="CX366" s="200">
        <f>ROUND(IFERROR(IF(LEFT($A366,1)="C",'Avoided Costs'!$R$13,'Avoided Costs'!$R$12)+1,""),4)</f>
        <v>1.1120000000000001</v>
      </c>
    </row>
    <row r="367" spans="1:102" s="128" customFormat="1" ht="12.75" customHeight="1">
      <c r="A367" s="91" t="str">
        <f>IF('Inputs Yr 2'!$B404=0,"",'Inputs Yr 2'!A404)</f>
        <v/>
      </c>
      <c r="B367" s="91" t="str">
        <f>IF('Inputs Yr 2'!$B404=0,"",'Inputs Yr 2'!B404)</f>
        <v/>
      </c>
      <c r="C367" s="91" t="str">
        <f>IF('Inputs Yr 2'!$B368=0,"",'Inputs Yr 2'!C368)</f>
        <v/>
      </c>
      <c r="D367" s="91" t="str">
        <f>IF('Inputs Yr 2'!$B368=0,"",'Inputs Yr 2'!E368)</f>
        <v/>
      </c>
      <c r="E367" s="93" t="str">
        <f>IF('Inputs Yr 2'!$B368=0,"",'Inputs Yr 2'!F368)</f>
        <v/>
      </c>
      <c r="F367" s="93" t="str">
        <f>IF('Inputs Yr 2'!$B368=0,"",'Inputs Yr 2'!G368)</f>
        <v/>
      </c>
      <c r="G367" s="95" t="str">
        <f>IF('Inputs Yr 2'!$H368&lt;&gt;0,('Inputs Yr 2'!H368),"")</f>
        <v/>
      </c>
      <c r="H367" s="94">
        <f>IFERROR('Inputs Yr 2'!I368,"")</f>
        <v>0</v>
      </c>
      <c r="I367" s="298" t="str">
        <f>IFERROR('Inputs Yr 2'!J368*'Inputs Yr 2'!P368*G367,"")</f>
        <v/>
      </c>
      <c r="J367" s="298" t="str">
        <f>IFERROR('Inputs Yr 2'!K368*G367,"")</f>
        <v/>
      </c>
      <c r="K367" s="298" t="str">
        <f t="shared" si="197"/>
        <v/>
      </c>
      <c r="L367" s="194" t="str">
        <f>IFERROR(('Inputs Yr 2'!W368*G367)/1000,"")</f>
        <v/>
      </c>
      <c r="M367" s="194" t="str">
        <f>IFERROR(L367*('Inputs Yr 2'!$Q368*'Inputs Yr 2'!$V368*'Inputs Yr 2'!$R368),"")</f>
        <v/>
      </c>
      <c r="N367" s="194" t="str">
        <f t="shared" si="198"/>
        <v/>
      </c>
      <c r="O367" s="194" t="str">
        <f>IFERROR(M367*'Inputs Yr 2'!P368,"")</f>
        <v/>
      </c>
      <c r="P367" s="194" t="str">
        <f t="shared" si="199"/>
        <v/>
      </c>
      <c r="Q367" s="194" t="str">
        <f>IFERROR($P367*'Inputs Yr 2'!AA368,"")</f>
        <v/>
      </c>
      <c r="R367" s="194" t="str">
        <f>IFERROR($P367*'Inputs Yr 2'!AB368,"")</f>
        <v/>
      </c>
      <c r="S367" s="194" t="str">
        <f>IFERROR($P367*'Inputs Yr 2'!AC368,"")</f>
        <v/>
      </c>
      <c r="T367" s="194" t="str">
        <f>IFERROR($P367*'Inputs Yr 2'!AD368,"")</f>
        <v/>
      </c>
      <c r="U367" s="194" t="str">
        <f>IFERROR(G367*'Inputs Yr 2'!$AE368*'Inputs Yr 2'!$P368*'Inputs Yr 2'!$Q368,"")</f>
        <v/>
      </c>
      <c r="V367" s="194" t="str">
        <f>IFERROR($G367*'Inputs Yr 2'!$AE368*'Inputs Yr 2'!$AG368*'Inputs Yr 2'!Q368*'Inputs Yr 2'!$S368,"")</f>
        <v/>
      </c>
      <c r="W367" s="194" t="str">
        <f>IFERROR($G367*'Inputs Yr 2'!$AE368*'Inputs Yr 2'!$AG368*'Inputs Yr 2'!P368*'Inputs Yr 2'!Q368*'Inputs Yr 2'!$S368,"")</f>
        <v/>
      </c>
      <c r="X367" s="194" t="str">
        <f>IFERROR($G367*'Inputs Yr 2'!$AE368*'Inputs Yr 2'!$AF368*'Inputs Yr 2'!Q368*'Inputs Yr 2'!$T368,"")</f>
        <v/>
      </c>
      <c r="Y367" s="194" t="str">
        <f>IFERROR($G367*'Inputs Yr 2'!$AE368*'Inputs Yr 2'!$AF368*'Inputs Yr 2'!P368*'Inputs Yr 2'!Q368*'Inputs Yr 2'!$T368,"")</f>
        <v/>
      </c>
      <c r="Z367" s="257">
        <f>IFERROR($G367*'Inputs Yr 2'!$Q368*'Inputs Yr 2'!$U368*(IF(IFERROR(SEARCH("NG", 'Inputs Yr 2'!$AJ368),0),'Inputs Yr 2'!$AK368,0)+IF(IFERROR(SEARCH("NG", 'Inputs Yr 2'!$AL368),0),'Inputs Yr 2'!$AM368,0)+IF(IFERROR(SEARCH("NG", 'Inputs Yr 2'!$AN368),0),'Inputs Yr 2'!$AO368,0)),0)</f>
        <v>0</v>
      </c>
      <c r="AA367" s="257">
        <f t="shared" si="200"/>
        <v>0</v>
      </c>
      <c r="AB367" s="257">
        <f>IFERROR(Z367*'Inputs Yr 2'!$P368,0)</f>
        <v>0</v>
      </c>
      <c r="AC367" s="257">
        <f t="shared" si="201"/>
        <v>0</v>
      </c>
      <c r="AD367" s="257">
        <f>IFERROR($G367*'Inputs Yr 2'!$Q368*'Inputs Yr 2'!$U368*(IF(IFERROR(SEARCH("Oil", 'Inputs Yr 2'!$AJ368), 0),'Inputs Yr 2'!$AK368,0)+IF(IFERROR(SEARCH("Oil", 'Inputs Yr 2'!$AL368), 0),'Inputs Yr 2'!$AM368,0)+IF(IFERROR(SEARCH("Oil", 'Inputs Yr 2'!$AN368), 0),'Inputs Yr 2'!$AO368,0)),0)</f>
        <v>0</v>
      </c>
      <c r="AE367" s="257">
        <f t="shared" si="202"/>
        <v>0</v>
      </c>
      <c r="AF367" s="257">
        <f>IFERROR(AD367*'Inputs Yr 2'!$P368,0)</f>
        <v>0</v>
      </c>
      <c r="AG367" s="257">
        <f t="shared" si="203"/>
        <v>0</v>
      </c>
      <c r="AH367" s="257">
        <f>IFERROR($G367*'Inputs Yr 2'!$Q368*'Inputs Yr 2'!$U368*(IF('Inputs Yr 2'!$AJ368=CD$4,'Inputs Yr 2'!$AK368,IF('Inputs Yr 2'!$AL368=CD$4,'Inputs Yr 2'!$AM368,IF('Inputs Yr 2'!$AN368=CD$4,'Inputs Yr 2'!$AO368,0)))),0)</f>
        <v>0</v>
      </c>
      <c r="AI367" s="257">
        <f t="shared" si="204"/>
        <v>0</v>
      </c>
      <c r="AJ367" s="257">
        <f>IFERROR(AH367*'Inputs Yr 2'!$P368,0)</f>
        <v>0</v>
      </c>
      <c r="AK367" s="257">
        <f t="shared" si="205"/>
        <v>0</v>
      </c>
      <c r="AL367" s="258">
        <f>IFERROR($G367*'Inputs Yr 2'!$P368*'Inputs Yr 2'!$Q368*'Inputs Yr 2'!AP368,0)</f>
        <v>0</v>
      </c>
      <c r="AM367" s="260">
        <f>IFERROR($G367*'Inputs Yr 2'!$P368*'Inputs Yr 2'!$Q368*'Inputs Yr 2'!AQ368,0)</f>
        <v>0</v>
      </c>
      <c r="AN367" s="258">
        <f>IFERROR($G367*'Inputs Yr 2'!$P368*'Inputs Yr 2'!$Q368*'Inputs Yr 2'!AR368,0)</f>
        <v>0</v>
      </c>
      <c r="AO367" s="257">
        <f t="shared" si="206"/>
        <v>0</v>
      </c>
      <c r="AP367" s="195" t="str">
        <f>IFERROR($CQ367*(INDEX(avoidedcosttbl2,$H367,AP$2)+(($H367-ROUNDDOWN($H367,0))*(INDEX(avoidedcosttbl2,ROUNDUP($H367,0),AP$2)-(INDEX(avoidedcosttbl2,ROUNDDOWN($H367,0),AP$2)))))*$O367*1000*'Inputs Yr 2'!AA368,"")</f>
        <v/>
      </c>
      <c r="AQ367" s="195" t="str">
        <f>IFERROR($CR367*(INDEX(avoidedcosttbl2,$H367,AQ$2)+(($H367-ROUNDDOWN($H367,0))*(INDEX(avoidedcosttbl2,ROUNDUP($H367,0),AQ$2)-(INDEX(avoidedcosttbl2,ROUNDDOWN($H367,0),AQ$2)))))*$O367*1000*'Inputs Yr 2'!AB368,"")</f>
        <v/>
      </c>
      <c r="AR367" s="195" t="str">
        <f>IFERROR($CS367*(INDEX(avoidedcosttbl2,$H367,AR$2)+(($H367-ROUNDDOWN($H367,0))*(INDEX(avoidedcosttbl2,ROUNDUP($H367,0),AR$2)-(INDEX(avoidedcosttbl2,ROUNDDOWN($H367,0),AR$2)))))*$O367*1000*'Inputs Yr 2'!AC368,"")</f>
        <v/>
      </c>
      <c r="AS367" s="195" t="str">
        <f>IFERROR($CT367*(INDEX(avoidedcosttbl2,$H367,AS$2)+(($H367-ROUNDDOWN($H367,0))*(INDEX(avoidedcosttbl2,ROUNDUP($H367,0),AS$2)-(INDEX(avoidedcosttbl2,ROUNDDOWN($H367,0),AS$2)))))*$O367*1000*'Inputs Yr 2'!AD368,"")</f>
        <v/>
      </c>
      <c r="AT367" s="196">
        <f t="shared" si="207"/>
        <v>0</v>
      </c>
      <c r="AU367" s="197" t="str">
        <f>IFERROR($CQ367*((INDEX(avoidedcosttbl2,$H367,AU$2))+(($H367-ROUNDDOWN($H367,0))*((INDEX(avoidedcosttbl2,ROUNDUP($H367,0),AU$2))-(INDEX(avoidedcosttbl2,ROUNDDOWN($H367,0),AU$2)))))*$O367*1000*'Inputs Yr 2'!AA368,"")</f>
        <v/>
      </c>
      <c r="AV367" s="197" t="str">
        <f>IFERROR($CR367*((INDEX(avoidedcosttbl2,$H367,AV$2))+(($H367-ROUNDDOWN($H367,0))*((INDEX(avoidedcosttbl2,ROUNDUP($H367,0),AV$2))-(INDEX(avoidedcosttbl2,ROUNDDOWN($H367,0),AV$2)))))*$O367*1000*'Inputs Yr 2'!AB368,"")</f>
        <v/>
      </c>
      <c r="AW367" s="197" t="str">
        <f>IFERROR($CS367*((INDEX(avoidedcosttbl2,$H367,AW$2))+(($H367-ROUNDDOWN($H367,0))*((INDEX(avoidedcosttbl2,ROUNDUP($H367,0),AW$2))-(INDEX(avoidedcosttbl2,ROUNDDOWN($H367,0),AW$2)))))*$O367*1000*'Inputs Yr 2'!AC368,"")</f>
        <v/>
      </c>
      <c r="AX367" s="197" t="str">
        <f>IFERROR($CT367*((INDEX(avoidedcosttbl2,$H367,AX$2))+(($H367-ROUNDDOWN($H367,0))*((INDEX(avoidedcosttbl2,ROUNDUP($H367,0),AX$2))-(INDEX(avoidedcosttbl2,ROUNDDOWN($H367,0),AX$2)))))*$O367*1000*'Inputs Yr 2'!AD368,"")</f>
        <v/>
      </c>
      <c r="AY367" s="197" t="str">
        <f>IFERROR(((INDEX(avoidedcosttbl2,$H367,AY$2))+(($H367-ROUNDDOWN($H367,0))*((INDEX(avoidedcosttbl2,ROUNDUP($H367,0),AY$2))-(INDEX(avoidedcosttbl2,ROUNDDOWN($H367,0),AY$2)))))*$O367*1000*('Inputs Yr 2'!AC368+'Inputs Yr 2'!AD368),"")</f>
        <v/>
      </c>
      <c r="AZ367" s="197" t="str">
        <f>IFERROR(((INDEX(avoidedcosttbl2,$H367,AZ$2))+(($H367-ROUNDDOWN($H367,0))*((INDEX(avoidedcosttbl2,ROUNDUP($H367,0),AZ$2))-(INDEX(avoidedcosttbl2,ROUNDDOWN($H367,0),AZ$2)))))*$O367*1000*('Inputs Yr 2'!AA368+'Inputs Yr 2'!AB368),"")</f>
        <v/>
      </c>
      <c r="BA367" s="198">
        <f t="shared" si="208"/>
        <v>0</v>
      </c>
      <c r="BB367" s="198">
        <f t="shared" si="209"/>
        <v>0</v>
      </c>
      <c r="BC367" s="195" t="str">
        <f t="shared" si="210"/>
        <v/>
      </c>
      <c r="BD367" s="195" t="str">
        <f t="shared" si="211"/>
        <v/>
      </c>
      <c r="BE367" s="195" t="str">
        <f t="shared" si="212"/>
        <v/>
      </c>
      <c r="BF367" s="195" t="str">
        <f t="shared" si="213"/>
        <v/>
      </c>
      <c r="BG367" s="195" t="str">
        <f t="shared" si="214"/>
        <v/>
      </c>
      <c r="BH367" s="196">
        <f t="shared" si="215"/>
        <v>0</v>
      </c>
      <c r="BI367" s="196">
        <f t="shared" si="216"/>
        <v>0</v>
      </c>
      <c r="BJ367" s="195" t="str">
        <f>IFERROR($G367*(IF('Inputs Yr 2'!$AJ368=BJ$4,'Inputs Yr 2'!$AK368,IF('Inputs Yr 2'!$AL368=BJ$4,'Inputs Yr 2'!$AM368,IF('Inputs Yr 2'!$AN368=BJ$4,'Inputs Yr 2'!$AO368,0))))*(INDEX(avoidedcosttbl2,$H367,BJ$2)+(($H367-ROUNDDOWN($H367,0))*(INDEX(avoidedcosttbl2,ROUNDUP($H367,0),BJ$2)-(INDEX(avoidedcosttbl2,ROUNDDOWN($H367,0),BJ$2)))))*'Inputs Yr 2'!P368*'Inputs Yr 2'!Q368*'Inputs Yr 2'!U368,"")</f>
        <v/>
      </c>
      <c r="BK367" s="195" t="str">
        <f>IFERROR($G367*(IF('Inputs Yr 2'!$AJ368=BK$4,'Inputs Yr 2'!$AK368,IF('Inputs Yr 2'!$AL368=BK$4,'Inputs Yr 2'!$AM368,IF('Inputs Yr 2'!$AN368=BK$4,'Inputs Yr 2'!$AO368,0))))*(INDEX(avoidedcosttbl2,$H367,BK$2)+(($H367-ROUNDDOWN($H367,0))*(INDEX(avoidedcosttbl2,ROUNDUP($H367,0),BK$2)-(INDEX(avoidedcosttbl2,ROUNDDOWN($H367,0),BK$2)))))*'Inputs Yr 2'!P368*'Inputs Yr 2'!Q368*'Inputs Yr 2'!U368,"")</f>
        <v/>
      </c>
      <c r="BL367" s="195" t="str">
        <f>IFERROR($G367*(IF('Inputs Yr 2'!$AJ368=BL$4,'Inputs Yr 2'!$AK368,IF('Inputs Yr 2'!$AL368=BL$4,'Inputs Yr 2'!$AM368,IF('Inputs Yr 2'!$AN368=BL$4,'Inputs Yr 2'!$AO368,0))))*(INDEX(avoidedcosttbl2,$H367,BL$2)+(($H367-ROUNDDOWN($H367,0))*(INDEX(avoidedcosttbl2,ROUNDUP($H367,0),BL$2)-(INDEX(avoidedcosttbl2,ROUNDDOWN($H367,0),BL$2)))))*'Inputs Yr 2'!P368*'Inputs Yr 2'!Q368*'Inputs Yr 2'!U368,"")</f>
        <v/>
      </c>
      <c r="BM367" s="195" t="str">
        <f>IFERROR($G367*(IF('Inputs Yr 2'!$AJ368=BM$4,'Inputs Yr 2'!$AK368,IF('Inputs Yr 2'!$AL368=BM$4,'Inputs Yr 2'!$AM368,IF('Inputs Yr 2'!$AN368=BM$4,'Inputs Yr 2'!$AO368,0))))*(INDEX(avoidedcosttbl2,$H367,BM$2)+(($H367-ROUNDDOWN($H367,0))*(INDEX(avoidedcosttbl2,ROUNDUP($H367,0),BM$2)-(INDEX(avoidedcosttbl2,ROUNDDOWN($H367,0),BM$2)))))*'Inputs Yr 2'!P368*'Inputs Yr 2'!Q368*'Inputs Yr 2'!U368,"")</f>
        <v/>
      </c>
      <c r="BN367" s="195" t="str">
        <f>IFERROR($G367*(IF('Inputs Yr 2'!$AJ368=BN$4,'Inputs Yr 2'!$AK368,IF('Inputs Yr 2'!$AL368=BN$4,'Inputs Yr 2'!$AM368,IF('Inputs Yr 2'!$AN368=BN$4,'Inputs Yr 2'!$AO368,0))))*(INDEX(avoidedcosttbl2,$H367,BN$2)+(($H367-ROUNDDOWN($H367,0))*(INDEX(avoidedcosttbl2,ROUNDUP($H367,0),BN$2)-(INDEX(avoidedcosttbl2,ROUNDDOWN($H367,0),BN$2)))))*'Inputs Yr 2'!P368*'Inputs Yr 2'!Q368*'Inputs Yr 2'!U368,"")</f>
        <v/>
      </c>
      <c r="BO367" s="195" t="str">
        <f>IFERROR($G367*(IF('Inputs Yr 2'!$AJ368=BO$4,'Inputs Yr 2'!$AK368,IF('Inputs Yr 2'!$AL368=BO$4,'Inputs Yr 2'!$AM368,IF('Inputs Yr 2'!$AN368=BO$4,'Inputs Yr 2'!$AO368,0))))*(INDEX(avoidedcosttbl2,$H367,BO$2)+(($H367-ROUNDDOWN($H367,0))*(INDEX(avoidedcosttbl2,ROUNDUP($H367,0),BO$2)-(INDEX(avoidedcosttbl2,ROUNDDOWN($H367,0),BO$2)))))*'Inputs Yr 2'!P368*'Inputs Yr 2'!Q368*'Inputs Yr 2'!U368,"")</f>
        <v/>
      </c>
      <c r="BP367" s="195" t="str">
        <f>IFERROR($G367*(IF('Inputs Yr 2'!$AJ368=BP$4,'Inputs Yr 2'!$AK368,IF('Inputs Yr 2'!$AL368=BP$4,'Inputs Yr 2'!$AM368,IF('Inputs Yr 2'!$AN368=BP$4,'Inputs Yr 2'!$AO368,0))))*(INDEX(avoidedcosttbl2,$H367,BP$2)+(($H367-ROUNDDOWN($H367,0))*(INDEX(avoidedcosttbl2,ROUNDUP($H367,0),BP$2)-(INDEX(avoidedcosttbl2,ROUNDDOWN($H367,0),BP$2)))))*'Inputs Yr 2'!P368*'Inputs Yr 2'!Q368*'Inputs Yr 2'!U368,"")</f>
        <v/>
      </c>
      <c r="BQ367" s="230">
        <f t="shared" si="217"/>
        <v>0</v>
      </c>
      <c r="BR367" s="197" t="str">
        <f t="shared" si="218"/>
        <v/>
      </c>
      <c r="BS367" s="197" t="str">
        <f>IFERROR(($G367*IF('Inputs Yr 2'!$AJ368=BM$4,'Inputs Yr 2'!$AK368,IF('Inputs Yr 2'!$AL368=BM$4,'Inputs Yr 2'!$AM368,IF('Inputs Yr 2'!$AN368=BM$4,'Inputs Yr 2'!$AO368,0))))*(INDEX(avoidedcosttbl2,$H367,BS$2)+(($H367-ROUNDDOWN($H367,0))*(INDEX(avoidedcosttbl2,ROUNDUP($H367,0),BS$2)-(INDEX(avoidedcosttbl2,ROUNDDOWN($H367,0),BS$2)))))*'Inputs Yr 2'!P368*'Inputs Yr 2'!Q368*'Inputs Yr 2'!U368,"")</f>
        <v/>
      </c>
      <c r="BT367" s="197" t="str">
        <f>IFERROR(($G367*IF('Inputs Yr 2'!$AJ368=BK$4,'Inputs Yr 2'!$AK368,IF('Inputs Yr 2'!$AL368=BK$4,'Inputs Yr 2'!$AM368,IF('Inputs Yr 2'!$AN368=BK$4,'Inputs Yr 2'!$AO368,0))))*(INDEX(avoidedcosttbl2,$H367,BT$2)+(($H367-ROUNDDOWN($H367,0))*(INDEX(avoidedcosttbl2,ROUNDUP($H367,0),BT$2)-(INDEX(avoidedcosttbl2,ROUNDDOWN($H367,0),BT$2)))))*'Inputs Yr 2'!P368*'Inputs Yr 2'!Q368*'Inputs Yr 2'!U368,"")</f>
        <v/>
      </c>
      <c r="BU367" s="197" t="str">
        <f>IFERROR(($G367*IF('Inputs Yr 2'!$AJ368=BL$4,'Inputs Yr 2'!$AK368,IF('Inputs Yr 2'!$AL368=BL$4,'Inputs Yr 2'!$AM368,IF('Inputs Yr 2'!$AN368=BL$4,'Inputs Yr 2'!$AO368,0))))*(INDEX(avoidedcosttbl2,$H367,BU$2)+(($H367-ROUNDDOWN($H367,0))*(INDEX(avoidedcosttbl2,ROUNDUP($H367,0),BU$2)-(INDEX(avoidedcosttbl2,ROUNDDOWN($H367,0),BU$2)))))*'Inputs Yr 2'!P368*'Inputs Yr 2'!Q368*'Inputs Yr 2'!U368,"")</f>
        <v/>
      </c>
      <c r="BV367" s="775" t="str">
        <f>IFERROR(($G367*IF('Inputs Yr 2'!$AJ368=BJ$4,'Inputs Yr 2'!$AK368,IF('Inputs Yr 2'!$AL368=BJ$4,'Inputs Yr 2'!$AM368,IF('Inputs Yr 2'!$AN368=BJ$4,'Inputs Yr 2'!$AO368,0))))*(INDEX(avoidedcosttbl2,$H367,BV$2)+(($H367-ROUNDDOWN($H367,0))*(INDEX(avoidedcosttbl2,ROUNDUP($H367,0),BV$2)-(INDEX(avoidedcosttbl2,ROUNDDOWN($H367,0),BV$2)))))*'Inputs Yr 2'!P368*'Inputs Yr 2'!Q368*'Inputs Yr 2'!U368,"")</f>
        <v/>
      </c>
      <c r="BW367" s="197" t="str">
        <f>IFERROR(($G367*IF('Inputs Yr 2'!$AJ368=BN$4,'Inputs Yr 2'!$AK368,IF('Inputs Yr 2'!$AL368=BN$4,'Inputs Yr 2'!$AM368,IF('Inputs Yr 2'!$AN368=BN$4,'Inputs Yr 2'!$AO368,0))))*(INDEX(avoidedcosttbl2,$H367,BW$2)+(($H367-ROUNDDOWN($H367,0))*(INDEX(avoidedcosttbl2,ROUNDUP($H367,0),BW$2)-(INDEX(avoidedcosttbl2,ROUNDDOWN($H367,0),BW$2)))))*'Inputs Yr 2'!P368*'Inputs Yr 2'!Q368*'Inputs Yr 2'!U368,"")</f>
        <v/>
      </c>
      <c r="BX367" s="197" t="str">
        <f>IFERROR(($G367*IF('Inputs Yr 2'!$AJ368=BO$4,'Inputs Yr 2'!$AK368,IF('Inputs Yr 2'!$AL368=BO$4,'Inputs Yr 2'!$AM368,IF('Inputs Yr 2'!$AN368=BO$4,'Inputs Yr 2'!$AO368,0))))*(INDEX(avoidedcosttbl2,$H367,BX$2)+(($H367-ROUNDDOWN($H367,0))*(INDEX(avoidedcosttbl2,ROUNDUP($H367,0),BX$2)-(INDEX(avoidedcosttbl2,ROUNDDOWN($H367,0),BX$2)))))*'Inputs Yr 2'!P368*'Inputs Yr 2'!Q368*'Inputs Yr 2'!U368,"")</f>
        <v/>
      </c>
      <c r="BY367" s="197" t="str">
        <f>IFERROR(($G367*IF('Inputs Yr 2'!$AJ368=BP$4,'Inputs Yr 2'!$AK368,IF('Inputs Yr 2'!$AL368=BP$4,'Inputs Yr 2'!$AM368,IF('Inputs Yr 2'!$AN368=BP$4,'Inputs Yr 2'!$AO368,0))))*(INDEX(avoidedcosttbl2,$H367,BY$2)+(($H367-ROUNDDOWN($H367,0))*(INDEX(avoidedcosttbl2,ROUNDUP($H367,0),BY$2)-(INDEX(avoidedcosttbl2,ROUNDDOWN($H367,0),BY$2)))))*'Inputs Yr 2'!P368*'Inputs Yr 2'!Q368*'Inputs Yr 2'!U368,"")</f>
        <v/>
      </c>
      <c r="BZ367" s="193">
        <f t="shared" si="219"/>
        <v>0</v>
      </c>
      <c r="CA367" s="193">
        <f t="shared" si="220"/>
        <v>0</v>
      </c>
      <c r="CB367" s="195" t="str">
        <f>IFERROR(G367*(IF('Inputs Yr 2'!$AJ368=CB$4,'Inputs Yr 2'!$AK368,IF('Inputs Yr 2'!$AL368=CB$4,'Inputs Yr 2'!$AM368,IF('Inputs Yr 2'!$AN368=CB$4,'Inputs Yr 2'!$AO368,0))))*(INDEX(avoidedcosttbl2,$H367,CB$2)+(($H367-ROUNDDOWN($H367,0))*(INDEX(avoidedcosttbl2,ROUNDUP($H367,0),CB$2)-(INDEX(avoidedcosttbl2,ROUNDDOWN($H367,0),CB$2)))))*'Inputs Yr 2'!P368*'Inputs Yr 2'!Q368*'Inputs Yr 2'!U368,"")</f>
        <v/>
      </c>
      <c r="CC367" s="195" t="str">
        <f>IFERROR(H367*(IF('Inputs Yr 2'!$AJ368=CC$4,'Inputs Yr 2'!$AK368,IF('Inputs Yr 2'!$AL368=CC$4,'Inputs Yr 2'!$AM368,IF('Inputs Yr 2'!$AN368=CC$4,'Inputs Yr 2'!$AO368,0))))*(INDEX(avoidedcosttbl2,$H367,CC$2)+(($H367-ROUNDDOWN($H367,0))*(INDEX(avoidedcosttbl2,ROUNDUP($H367,0),CC$2)-(INDEX(avoidedcosttbl2,ROUNDDOWN($H367,0),CC$2)))))*'Inputs Yr 2'!Q368*'Inputs Yr 2'!R368*'Inputs Yr 2'!V368,"")</f>
        <v/>
      </c>
      <c r="CD367" s="195" t="str">
        <f>IFERROR(I367*(IF('Inputs Yr 2'!$AJ368=CD$4,'Inputs Yr 2'!$AK368,IF('Inputs Yr 2'!$AL368=CD$4,'Inputs Yr 2'!$AM368,IF('Inputs Yr 2'!$AN368=CD$4,'Inputs Yr 2'!$AO368,0))))*(INDEX(avoidedcosttbl2,$H367,CD$2)+(($H367-ROUNDDOWN($H367,0))*(INDEX(avoidedcosttbl2,ROUNDUP($H367,0),CD$2)-(INDEX(avoidedcosttbl2,ROUNDDOWN($H367,0),CD$2)))))*'Inputs Yr 2'!R368*'Inputs Yr 2'!S368*'Inputs Yr 2'!W368,"")</f>
        <v/>
      </c>
      <c r="CE367" s="213" t="str">
        <f t="shared" si="221"/>
        <v/>
      </c>
      <c r="CF367" s="213" t="str">
        <f t="shared" si="222"/>
        <v/>
      </c>
      <c r="CG367" s="213" t="str">
        <f t="shared" si="223"/>
        <v/>
      </c>
      <c r="CH367" s="698">
        <f t="shared" si="224"/>
        <v>0</v>
      </c>
      <c r="CI367" s="79" t="str">
        <f>IFERROR(($G367*'Inputs Yr 2'!$P368*'Inputs Yr 2'!$Q368*(((INDEX(avoidedcosttbl2,$H367,CI$2)+(($H367-ROUNDDOWN($H367,0))*(INDEX(avoidedcosttbl2,ROUNDUP($H367,0),CI$2)-INDEX(avoidedcosttbl2,ROUNDDOWN($H367,0),CI$2))))*'Inputs Yr 2'!AS368))),"")</f>
        <v/>
      </c>
      <c r="CJ367" s="504" t="str">
        <f>IFERROR($G367*'Inputs Yr 2'!AT368*'Inputs Yr 2'!$P368*'Inputs Yr 2'!$Q368/((1+realdiscrt1)^-0.5),"")</f>
        <v/>
      </c>
      <c r="CK367" s="79" t="str">
        <f>IFERROR((O367*1000*(((INDEX(avoidedcosttbl2,$H367,CK$2)+(($H367-ROUNDDOWN($H367,0))*(INDEX(avoidedcosttbl2,ROUNDUP($H367,0),CK$2)-INDEX(avoidedcosttbl2,ROUNDDOWN($H367,0),CK$2))))*'Inputs Yr 2'!AU368))),"")</f>
        <v/>
      </c>
      <c r="CL367" s="504" t="str">
        <f>IFERROR(O367*1000*'Inputs Yr 2'!AV368/((1+realdiscrt1)^-0.5),"")</f>
        <v/>
      </c>
      <c r="CM367" s="79" t="str">
        <f>IFERROR((AB367*'Inputs Yr 2'!AW368*(((INDEX(avoidedcosttbl2,$H367,CM$2)+(($H367-ROUNDDOWN($H367,0))*(INDEX(avoidedcosttbl2,ROUNDUP($H367,0),CM$2)-INDEX(avoidedcosttbl2,ROUNDDOWN($H367,0),CM$2)))))))*10,"")</f>
        <v/>
      </c>
      <c r="CN367" s="504">
        <f>IFERROR(10*AB367*'Inputs Yr 2'!AX368/((1+realdiscrt1)^-0.5),"")</f>
        <v>0</v>
      </c>
      <c r="CO367" s="505">
        <f t="shared" si="225"/>
        <v>0</v>
      </c>
      <c r="CP367" s="230">
        <f t="shared" si="226"/>
        <v>0</v>
      </c>
      <c r="CQ367" s="199">
        <f>ROUND(IFERROR(IF(LEFT($A367,1)="C",'Avoided Costs'!$K$13,'Avoided Costs'!$K$12)+1,""),4)</f>
        <v>1.0720000000000001</v>
      </c>
      <c r="CR367" s="199">
        <f>ROUND(IFERROR(IF(LEFT($A367,1)="C",'Avoided Costs'!$L$13,'Avoided Costs'!$L$12)+1,""),4)</f>
        <v>1.04</v>
      </c>
      <c r="CS367" s="199">
        <f>ROUND(IFERROR(IF(LEFT($A367,1)="C",'Avoided Costs'!$M$13,'Avoided Costs'!$M$12)+1,""),4)</f>
        <v>1.0720000000000001</v>
      </c>
      <c r="CT367" s="199">
        <f>ROUND(IFERROR(IF(LEFT($A367,1)="C",'Avoided Costs'!$N$13,'Avoided Costs'!$N$12)+1,""),4)</f>
        <v>1.04</v>
      </c>
      <c r="CU367" s="199">
        <f>ROUND(IFERROR(IF(LEFT($A367,1)="C",'Avoided Costs'!$O$13,'Avoided Costs'!$O$12)+1,""),4)</f>
        <v>1.1120000000000001</v>
      </c>
      <c r="CV367" s="199">
        <f>ROUND(IFERROR(IF(LEFT($A367,1)="C",'Avoided Costs'!$P$13,'Avoided Costs'!$P$12)+1,""),4)</f>
        <v>1.095</v>
      </c>
      <c r="CW367" s="199">
        <f>ROUND(IFERROR(IF(LEFT($A367,1)="C",'Avoided Costs'!$Q$13,'Avoided Costs'!$Q$12)+1,""),4)</f>
        <v>1.1120000000000001</v>
      </c>
      <c r="CX367" s="200">
        <f>ROUND(IFERROR(IF(LEFT($A367,1)="C",'Avoided Costs'!$R$13,'Avoided Costs'!$R$12)+1,""),4)</f>
        <v>1.1120000000000001</v>
      </c>
    </row>
    <row r="368" spans="1:102" s="128" customFormat="1" ht="12.75" customHeight="1">
      <c r="A368" s="91" t="str">
        <f>IF('Inputs Yr 2'!$B405=0,"",'Inputs Yr 2'!A405)</f>
        <v/>
      </c>
      <c r="B368" s="91" t="str">
        <f>IF('Inputs Yr 2'!$B405=0,"",'Inputs Yr 2'!B405)</f>
        <v/>
      </c>
      <c r="C368" s="91" t="str">
        <f>IF('Inputs Yr 2'!$B369=0,"",'Inputs Yr 2'!C369)</f>
        <v/>
      </c>
      <c r="D368" s="91" t="str">
        <f>IF('Inputs Yr 2'!$B369=0,"",'Inputs Yr 2'!E369)</f>
        <v/>
      </c>
      <c r="E368" s="93" t="str">
        <f>IF('Inputs Yr 2'!$B369=0,"",'Inputs Yr 2'!F369)</f>
        <v/>
      </c>
      <c r="F368" s="93" t="str">
        <f>IF('Inputs Yr 2'!$B369=0,"",'Inputs Yr 2'!G369)</f>
        <v/>
      </c>
      <c r="G368" s="95" t="str">
        <f>IF('Inputs Yr 2'!$H369&lt;&gt;0,('Inputs Yr 2'!H369),"")</f>
        <v/>
      </c>
      <c r="H368" s="94">
        <f>IFERROR('Inputs Yr 2'!I369,"")</f>
        <v>0</v>
      </c>
      <c r="I368" s="298" t="str">
        <f>IFERROR('Inputs Yr 2'!J369*'Inputs Yr 2'!P369*G368,"")</f>
        <v/>
      </c>
      <c r="J368" s="298" t="str">
        <f>IFERROR('Inputs Yr 2'!K369*G368,"")</f>
        <v/>
      </c>
      <c r="K368" s="298" t="str">
        <f t="shared" si="197"/>
        <v/>
      </c>
      <c r="L368" s="194" t="str">
        <f>IFERROR(('Inputs Yr 2'!W369*G368)/1000,"")</f>
        <v/>
      </c>
      <c r="M368" s="194" t="str">
        <f>IFERROR(L368*('Inputs Yr 2'!$Q369*'Inputs Yr 2'!$V369*'Inputs Yr 2'!$R369),"")</f>
        <v/>
      </c>
      <c r="N368" s="194" t="str">
        <f t="shared" si="198"/>
        <v/>
      </c>
      <c r="O368" s="194" t="str">
        <f>IFERROR(M368*'Inputs Yr 2'!P369,"")</f>
        <v/>
      </c>
      <c r="P368" s="194" t="str">
        <f t="shared" si="199"/>
        <v/>
      </c>
      <c r="Q368" s="194" t="str">
        <f>IFERROR($P368*'Inputs Yr 2'!AA369,"")</f>
        <v/>
      </c>
      <c r="R368" s="194" t="str">
        <f>IFERROR($P368*'Inputs Yr 2'!AB369,"")</f>
        <v/>
      </c>
      <c r="S368" s="194" t="str">
        <f>IFERROR($P368*'Inputs Yr 2'!AC369,"")</f>
        <v/>
      </c>
      <c r="T368" s="194" t="str">
        <f>IFERROR($P368*'Inputs Yr 2'!AD369,"")</f>
        <v/>
      </c>
      <c r="U368" s="194" t="str">
        <f>IFERROR(G368*'Inputs Yr 2'!$AE369*'Inputs Yr 2'!$P369*'Inputs Yr 2'!$Q369,"")</f>
        <v/>
      </c>
      <c r="V368" s="194" t="str">
        <f>IFERROR($G368*'Inputs Yr 2'!$AE369*'Inputs Yr 2'!$AG369*'Inputs Yr 2'!Q369*'Inputs Yr 2'!$S369,"")</f>
        <v/>
      </c>
      <c r="W368" s="194" t="str">
        <f>IFERROR($G368*'Inputs Yr 2'!$AE369*'Inputs Yr 2'!$AG369*'Inputs Yr 2'!P369*'Inputs Yr 2'!Q369*'Inputs Yr 2'!$S369,"")</f>
        <v/>
      </c>
      <c r="X368" s="194" t="str">
        <f>IFERROR($G368*'Inputs Yr 2'!$AE369*'Inputs Yr 2'!$AF369*'Inputs Yr 2'!Q369*'Inputs Yr 2'!$T369,"")</f>
        <v/>
      </c>
      <c r="Y368" s="194" t="str">
        <f>IFERROR($G368*'Inputs Yr 2'!$AE369*'Inputs Yr 2'!$AF369*'Inputs Yr 2'!P369*'Inputs Yr 2'!Q369*'Inputs Yr 2'!$T369,"")</f>
        <v/>
      </c>
      <c r="Z368" s="257">
        <f>IFERROR($G368*'Inputs Yr 2'!$Q369*'Inputs Yr 2'!$U369*(IF(IFERROR(SEARCH("NG", 'Inputs Yr 2'!$AJ369),0),'Inputs Yr 2'!$AK369,0)+IF(IFERROR(SEARCH("NG", 'Inputs Yr 2'!$AL369),0),'Inputs Yr 2'!$AM369,0)+IF(IFERROR(SEARCH("NG", 'Inputs Yr 2'!$AN369),0),'Inputs Yr 2'!$AO369,0)),0)</f>
        <v>0</v>
      </c>
      <c r="AA368" s="257">
        <f t="shared" si="200"/>
        <v>0</v>
      </c>
      <c r="AB368" s="257">
        <f>IFERROR(Z368*'Inputs Yr 2'!$P369,0)</f>
        <v>0</v>
      </c>
      <c r="AC368" s="257">
        <f t="shared" si="201"/>
        <v>0</v>
      </c>
      <c r="AD368" s="257">
        <f>IFERROR($G368*'Inputs Yr 2'!$Q369*'Inputs Yr 2'!$U369*(IF(IFERROR(SEARCH("Oil", 'Inputs Yr 2'!$AJ369), 0),'Inputs Yr 2'!$AK369,0)+IF(IFERROR(SEARCH("Oil", 'Inputs Yr 2'!$AL369), 0),'Inputs Yr 2'!$AM369,0)+IF(IFERROR(SEARCH("Oil", 'Inputs Yr 2'!$AN369), 0),'Inputs Yr 2'!$AO369,0)),0)</f>
        <v>0</v>
      </c>
      <c r="AE368" s="257">
        <f t="shared" si="202"/>
        <v>0</v>
      </c>
      <c r="AF368" s="257">
        <f>IFERROR(AD368*'Inputs Yr 2'!$P369,0)</f>
        <v>0</v>
      </c>
      <c r="AG368" s="257">
        <f t="shared" si="203"/>
        <v>0</v>
      </c>
      <c r="AH368" s="257">
        <f>IFERROR($G368*'Inputs Yr 2'!$Q369*'Inputs Yr 2'!$U369*(IF('Inputs Yr 2'!$AJ369=CD$4,'Inputs Yr 2'!$AK369,IF('Inputs Yr 2'!$AL369=CD$4,'Inputs Yr 2'!$AM369,IF('Inputs Yr 2'!$AN369=CD$4,'Inputs Yr 2'!$AO369,0)))),0)</f>
        <v>0</v>
      </c>
      <c r="AI368" s="257">
        <f t="shared" si="204"/>
        <v>0</v>
      </c>
      <c r="AJ368" s="257">
        <f>IFERROR(AH368*'Inputs Yr 2'!$P369,0)</f>
        <v>0</v>
      </c>
      <c r="AK368" s="257">
        <f t="shared" si="205"/>
        <v>0</v>
      </c>
      <c r="AL368" s="258">
        <f>IFERROR($G368*'Inputs Yr 2'!$P369*'Inputs Yr 2'!$Q369*'Inputs Yr 2'!AP369,0)</f>
        <v>0</v>
      </c>
      <c r="AM368" s="260">
        <f>IFERROR($G368*'Inputs Yr 2'!$P369*'Inputs Yr 2'!$Q369*'Inputs Yr 2'!AQ369,0)</f>
        <v>0</v>
      </c>
      <c r="AN368" s="258">
        <f>IFERROR($G368*'Inputs Yr 2'!$P369*'Inputs Yr 2'!$Q369*'Inputs Yr 2'!AR369,0)</f>
        <v>0</v>
      </c>
      <c r="AO368" s="257">
        <f t="shared" si="206"/>
        <v>0</v>
      </c>
      <c r="AP368" s="195" t="str">
        <f>IFERROR($CQ368*(INDEX(avoidedcosttbl2,$H368,AP$2)+(($H368-ROUNDDOWN($H368,0))*(INDEX(avoidedcosttbl2,ROUNDUP($H368,0),AP$2)-(INDEX(avoidedcosttbl2,ROUNDDOWN($H368,0),AP$2)))))*$O368*1000*'Inputs Yr 2'!AA369,"")</f>
        <v/>
      </c>
      <c r="AQ368" s="195" t="str">
        <f>IFERROR($CR368*(INDEX(avoidedcosttbl2,$H368,AQ$2)+(($H368-ROUNDDOWN($H368,0))*(INDEX(avoidedcosttbl2,ROUNDUP($H368,0),AQ$2)-(INDEX(avoidedcosttbl2,ROUNDDOWN($H368,0),AQ$2)))))*$O368*1000*'Inputs Yr 2'!AB369,"")</f>
        <v/>
      </c>
      <c r="AR368" s="195" t="str">
        <f>IFERROR($CS368*(INDEX(avoidedcosttbl2,$H368,AR$2)+(($H368-ROUNDDOWN($H368,0))*(INDEX(avoidedcosttbl2,ROUNDUP($H368,0),AR$2)-(INDEX(avoidedcosttbl2,ROUNDDOWN($H368,0),AR$2)))))*$O368*1000*'Inputs Yr 2'!AC369,"")</f>
        <v/>
      </c>
      <c r="AS368" s="195" t="str">
        <f>IFERROR($CT368*(INDEX(avoidedcosttbl2,$H368,AS$2)+(($H368-ROUNDDOWN($H368,0))*(INDEX(avoidedcosttbl2,ROUNDUP($H368,0),AS$2)-(INDEX(avoidedcosttbl2,ROUNDDOWN($H368,0),AS$2)))))*$O368*1000*'Inputs Yr 2'!AD369,"")</f>
        <v/>
      </c>
      <c r="AT368" s="196">
        <f t="shared" si="207"/>
        <v>0</v>
      </c>
      <c r="AU368" s="197" t="str">
        <f>IFERROR($CQ368*((INDEX(avoidedcosttbl2,$H368,AU$2))+(($H368-ROUNDDOWN($H368,0))*((INDEX(avoidedcosttbl2,ROUNDUP($H368,0),AU$2))-(INDEX(avoidedcosttbl2,ROUNDDOWN($H368,0),AU$2)))))*$O368*1000*'Inputs Yr 2'!AA369,"")</f>
        <v/>
      </c>
      <c r="AV368" s="197" t="str">
        <f>IFERROR($CR368*((INDEX(avoidedcosttbl2,$H368,AV$2))+(($H368-ROUNDDOWN($H368,0))*((INDEX(avoidedcosttbl2,ROUNDUP($H368,0),AV$2))-(INDEX(avoidedcosttbl2,ROUNDDOWN($H368,0),AV$2)))))*$O368*1000*'Inputs Yr 2'!AB369,"")</f>
        <v/>
      </c>
      <c r="AW368" s="197" t="str">
        <f>IFERROR($CS368*((INDEX(avoidedcosttbl2,$H368,AW$2))+(($H368-ROUNDDOWN($H368,0))*((INDEX(avoidedcosttbl2,ROUNDUP($H368,0),AW$2))-(INDEX(avoidedcosttbl2,ROUNDDOWN($H368,0),AW$2)))))*$O368*1000*'Inputs Yr 2'!AC369,"")</f>
        <v/>
      </c>
      <c r="AX368" s="197" t="str">
        <f>IFERROR($CT368*((INDEX(avoidedcosttbl2,$H368,AX$2))+(($H368-ROUNDDOWN($H368,0))*((INDEX(avoidedcosttbl2,ROUNDUP($H368,0),AX$2))-(INDEX(avoidedcosttbl2,ROUNDDOWN($H368,0),AX$2)))))*$O368*1000*'Inputs Yr 2'!AD369,"")</f>
        <v/>
      </c>
      <c r="AY368" s="197" t="str">
        <f>IFERROR(((INDEX(avoidedcosttbl2,$H368,AY$2))+(($H368-ROUNDDOWN($H368,0))*((INDEX(avoidedcosttbl2,ROUNDUP($H368,0),AY$2))-(INDEX(avoidedcosttbl2,ROUNDDOWN($H368,0),AY$2)))))*$O368*1000*('Inputs Yr 2'!AC369+'Inputs Yr 2'!AD369),"")</f>
        <v/>
      </c>
      <c r="AZ368" s="197" t="str">
        <f>IFERROR(((INDEX(avoidedcosttbl2,$H368,AZ$2))+(($H368-ROUNDDOWN($H368,0))*((INDEX(avoidedcosttbl2,ROUNDUP($H368,0),AZ$2))-(INDEX(avoidedcosttbl2,ROUNDDOWN($H368,0),AZ$2)))))*$O368*1000*('Inputs Yr 2'!AA369+'Inputs Yr 2'!AB369),"")</f>
        <v/>
      </c>
      <c r="BA368" s="198">
        <f t="shared" si="208"/>
        <v>0</v>
      </c>
      <c r="BB368" s="198">
        <f t="shared" si="209"/>
        <v>0</v>
      </c>
      <c r="BC368" s="195" t="str">
        <f t="shared" si="210"/>
        <v/>
      </c>
      <c r="BD368" s="195" t="str">
        <f t="shared" si="211"/>
        <v/>
      </c>
      <c r="BE368" s="195" t="str">
        <f t="shared" si="212"/>
        <v/>
      </c>
      <c r="BF368" s="195" t="str">
        <f t="shared" si="213"/>
        <v/>
      </c>
      <c r="BG368" s="195" t="str">
        <f t="shared" si="214"/>
        <v/>
      </c>
      <c r="BH368" s="196">
        <f t="shared" si="215"/>
        <v>0</v>
      </c>
      <c r="BI368" s="196">
        <f t="shared" si="216"/>
        <v>0</v>
      </c>
      <c r="BJ368" s="195" t="str">
        <f>IFERROR($G368*(IF('Inputs Yr 2'!$AJ369=BJ$4,'Inputs Yr 2'!$AK369,IF('Inputs Yr 2'!$AL369=BJ$4,'Inputs Yr 2'!$AM369,IF('Inputs Yr 2'!$AN369=BJ$4,'Inputs Yr 2'!$AO369,0))))*(INDEX(avoidedcosttbl2,$H368,BJ$2)+(($H368-ROUNDDOWN($H368,0))*(INDEX(avoidedcosttbl2,ROUNDUP($H368,0),BJ$2)-(INDEX(avoidedcosttbl2,ROUNDDOWN($H368,0),BJ$2)))))*'Inputs Yr 2'!P369*'Inputs Yr 2'!Q369*'Inputs Yr 2'!U369,"")</f>
        <v/>
      </c>
      <c r="BK368" s="195" t="str">
        <f>IFERROR($G368*(IF('Inputs Yr 2'!$AJ369=BK$4,'Inputs Yr 2'!$AK369,IF('Inputs Yr 2'!$AL369=BK$4,'Inputs Yr 2'!$AM369,IF('Inputs Yr 2'!$AN369=BK$4,'Inputs Yr 2'!$AO369,0))))*(INDEX(avoidedcosttbl2,$H368,BK$2)+(($H368-ROUNDDOWN($H368,0))*(INDEX(avoidedcosttbl2,ROUNDUP($H368,0),BK$2)-(INDEX(avoidedcosttbl2,ROUNDDOWN($H368,0),BK$2)))))*'Inputs Yr 2'!P369*'Inputs Yr 2'!Q369*'Inputs Yr 2'!U369,"")</f>
        <v/>
      </c>
      <c r="BL368" s="195" t="str">
        <f>IFERROR($G368*(IF('Inputs Yr 2'!$AJ369=BL$4,'Inputs Yr 2'!$AK369,IF('Inputs Yr 2'!$AL369=BL$4,'Inputs Yr 2'!$AM369,IF('Inputs Yr 2'!$AN369=BL$4,'Inputs Yr 2'!$AO369,0))))*(INDEX(avoidedcosttbl2,$H368,BL$2)+(($H368-ROUNDDOWN($H368,0))*(INDEX(avoidedcosttbl2,ROUNDUP($H368,0),BL$2)-(INDEX(avoidedcosttbl2,ROUNDDOWN($H368,0),BL$2)))))*'Inputs Yr 2'!P369*'Inputs Yr 2'!Q369*'Inputs Yr 2'!U369,"")</f>
        <v/>
      </c>
      <c r="BM368" s="195" t="str">
        <f>IFERROR($G368*(IF('Inputs Yr 2'!$AJ369=BM$4,'Inputs Yr 2'!$AK369,IF('Inputs Yr 2'!$AL369=BM$4,'Inputs Yr 2'!$AM369,IF('Inputs Yr 2'!$AN369=BM$4,'Inputs Yr 2'!$AO369,0))))*(INDEX(avoidedcosttbl2,$H368,BM$2)+(($H368-ROUNDDOWN($H368,0))*(INDEX(avoidedcosttbl2,ROUNDUP($H368,0),BM$2)-(INDEX(avoidedcosttbl2,ROUNDDOWN($H368,0),BM$2)))))*'Inputs Yr 2'!P369*'Inputs Yr 2'!Q369*'Inputs Yr 2'!U369,"")</f>
        <v/>
      </c>
      <c r="BN368" s="195" t="str">
        <f>IFERROR($G368*(IF('Inputs Yr 2'!$AJ369=BN$4,'Inputs Yr 2'!$AK369,IF('Inputs Yr 2'!$AL369=BN$4,'Inputs Yr 2'!$AM369,IF('Inputs Yr 2'!$AN369=BN$4,'Inputs Yr 2'!$AO369,0))))*(INDEX(avoidedcosttbl2,$H368,BN$2)+(($H368-ROUNDDOWN($H368,0))*(INDEX(avoidedcosttbl2,ROUNDUP($H368,0),BN$2)-(INDEX(avoidedcosttbl2,ROUNDDOWN($H368,0),BN$2)))))*'Inputs Yr 2'!P369*'Inputs Yr 2'!Q369*'Inputs Yr 2'!U369,"")</f>
        <v/>
      </c>
      <c r="BO368" s="195" t="str">
        <f>IFERROR($G368*(IF('Inputs Yr 2'!$AJ369=BO$4,'Inputs Yr 2'!$AK369,IF('Inputs Yr 2'!$AL369=BO$4,'Inputs Yr 2'!$AM369,IF('Inputs Yr 2'!$AN369=BO$4,'Inputs Yr 2'!$AO369,0))))*(INDEX(avoidedcosttbl2,$H368,BO$2)+(($H368-ROUNDDOWN($H368,0))*(INDEX(avoidedcosttbl2,ROUNDUP($H368,0),BO$2)-(INDEX(avoidedcosttbl2,ROUNDDOWN($H368,0),BO$2)))))*'Inputs Yr 2'!P369*'Inputs Yr 2'!Q369*'Inputs Yr 2'!U369,"")</f>
        <v/>
      </c>
      <c r="BP368" s="195" t="str">
        <f>IFERROR($G368*(IF('Inputs Yr 2'!$AJ369=BP$4,'Inputs Yr 2'!$AK369,IF('Inputs Yr 2'!$AL369=BP$4,'Inputs Yr 2'!$AM369,IF('Inputs Yr 2'!$AN369=BP$4,'Inputs Yr 2'!$AO369,0))))*(INDEX(avoidedcosttbl2,$H368,BP$2)+(($H368-ROUNDDOWN($H368,0))*(INDEX(avoidedcosttbl2,ROUNDUP($H368,0),BP$2)-(INDEX(avoidedcosttbl2,ROUNDDOWN($H368,0),BP$2)))))*'Inputs Yr 2'!P369*'Inputs Yr 2'!Q369*'Inputs Yr 2'!U369,"")</f>
        <v/>
      </c>
      <c r="BQ368" s="230">
        <f t="shared" si="217"/>
        <v>0</v>
      </c>
      <c r="BR368" s="197" t="str">
        <f t="shared" si="218"/>
        <v/>
      </c>
      <c r="BS368" s="197" t="str">
        <f>IFERROR(($G368*IF('Inputs Yr 2'!$AJ369=BM$4,'Inputs Yr 2'!$AK369,IF('Inputs Yr 2'!$AL369=BM$4,'Inputs Yr 2'!$AM369,IF('Inputs Yr 2'!$AN369=BM$4,'Inputs Yr 2'!$AO369,0))))*(INDEX(avoidedcosttbl2,$H368,BS$2)+(($H368-ROUNDDOWN($H368,0))*(INDEX(avoidedcosttbl2,ROUNDUP($H368,0),BS$2)-(INDEX(avoidedcosttbl2,ROUNDDOWN($H368,0),BS$2)))))*'Inputs Yr 2'!P369*'Inputs Yr 2'!Q369*'Inputs Yr 2'!U369,"")</f>
        <v/>
      </c>
      <c r="BT368" s="197" t="str">
        <f>IFERROR(($G368*IF('Inputs Yr 2'!$AJ369=BK$4,'Inputs Yr 2'!$AK369,IF('Inputs Yr 2'!$AL369=BK$4,'Inputs Yr 2'!$AM369,IF('Inputs Yr 2'!$AN369=BK$4,'Inputs Yr 2'!$AO369,0))))*(INDEX(avoidedcosttbl2,$H368,BT$2)+(($H368-ROUNDDOWN($H368,0))*(INDEX(avoidedcosttbl2,ROUNDUP($H368,0),BT$2)-(INDEX(avoidedcosttbl2,ROUNDDOWN($H368,0),BT$2)))))*'Inputs Yr 2'!P369*'Inputs Yr 2'!Q369*'Inputs Yr 2'!U369,"")</f>
        <v/>
      </c>
      <c r="BU368" s="197" t="str">
        <f>IFERROR(($G368*IF('Inputs Yr 2'!$AJ369=BL$4,'Inputs Yr 2'!$AK369,IF('Inputs Yr 2'!$AL369=BL$4,'Inputs Yr 2'!$AM369,IF('Inputs Yr 2'!$AN369=BL$4,'Inputs Yr 2'!$AO369,0))))*(INDEX(avoidedcosttbl2,$H368,BU$2)+(($H368-ROUNDDOWN($H368,0))*(INDEX(avoidedcosttbl2,ROUNDUP($H368,0),BU$2)-(INDEX(avoidedcosttbl2,ROUNDDOWN($H368,0),BU$2)))))*'Inputs Yr 2'!P369*'Inputs Yr 2'!Q369*'Inputs Yr 2'!U369,"")</f>
        <v/>
      </c>
      <c r="BV368" s="775" t="str">
        <f>IFERROR(($G368*IF('Inputs Yr 2'!$AJ369=BJ$4,'Inputs Yr 2'!$AK369,IF('Inputs Yr 2'!$AL369=BJ$4,'Inputs Yr 2'!$AM369,IF('Inputs Yr 2'!$AN369=BJ$4,'Inputs Yr 2'!$AO369,0))))*(INDEX(avoidedcosttbl2,$H368,BV$2)+(($H368-ROUNDDOWN($H368,0))*(INDEX(avoidedcosttbl2,ROUNDUP($H368,0),BV$2)-(INDEX(avoidedcosttbl2,ROUNDDOWN($H368,0),BV$2)))))*'Inputs Yr 2'!P369*'Inputs Yr 2'!Q369*'Inputs Yr 2'!U369,"")</f>
        <v/>
      </c>
      <c r="BW368" s="197" t="str">
        <f>IFERROR(($G368*IF('Inputs Yr 2'!$AJ369=BN$4,'Inputs Yr 2'!$AK369,IF('Inputs Yr 2'!$AL369=BN$4,'Inputs Yr 2'!$AM369,IF('Inputs Yr 2'!$AN369=BN$4,'Inputs Yr 2'!$AO369,0))))*(INDEX(avoidedcosttbl2,$H368,BW$2)+(($H368-ROUNDDOWN($H368,0))*(INDEX(avoidedcosttbl2,ROUNDUP($H368,0),BW$2)-(INDEX(avoidedcosttbl2,ROUNDDOWN($H368,0),BW$2)))))*'Inputs Yr 2'!P369*'Inputs Yr 2'!Q369*'Inputs Yr 2'!U369,"")</f>
        <v/>
      </c>
      <c r="BX368" s="197" t="str">
        <f>IFERROR(($G368*IF('Inputs Yr 2'!$AJ369=BO$4,'Inputs Yr 2'!$AK369,IF('Inputs Yr 2'!$AL369=BO$4,'Inputs Yr 2'!$AM369,IF('Inputs Yr 2'!$AN369=BO$4,'Inputs Yr 2'!$AO369,0))))*(INDEX(avoidedcosttbl2,$H368,BX$2)+(($H368-ROUNDDOWN($H368,0))*(INDEX(avoidedcosttbl2,ROUNDUP($H368,0),BX$2)-(INDEX(avoidedcosttbl2,ROUNDDOWN($H368,0),BX$2)))))*'Inputs Yr 2'!P369*'Inputs Yr 2'!Q369*'Inputs Yr 2'!U369,"")</f>
        <v/>
      </c>
      <c r="BY368" s="197" t="str">
        <f>IFERROR(($G368*IF('Inputs Yr 2'!$AJ369=BP$4,'Inputs Yr 2'!$AK369,IF('Inputs Yr 2'!$AL369=BP$4,'Inputs Yr 2'!$AM369,IF('Inputs Yr 2'!$AN369=BP$4,'Inputs Yr 2'!$AO369,0))))*(INDEX(avoidedcosttbl2,$H368,BY$2)+(($H368-ROUNDDOWN($H368,0))*(INDEX(avoidedcosttbl2,ROUNDUP($H368,0),BY$2)-(INDEX(avoidedcosttbl2,ROUNDDOWN($H368,0),BY$2)))))*'Inputs Yr 2'!P369*'Inputs Yr 2'!Q369*'Inputs Yr 2'!U369,"")</f>
        <v/>
      </c>
      <c r="BZ368" s="193">
        <f t="shared" si="219"/>
        <v>0</v>
      </c>
      <c r="CA368" s="193">
        <f t="shared" si="220"/>
        <v>0</v>
      </c>
      <c r="CB368" s="195" t="str">
        <f>IFERROR(G368*(IF('Inputs Yr 2'!$AJ369=CB$4,'Inputs Yr 2'!$AK369,IF('Inputs Yr 2'!$AL369=CB$4,'Inputs Yr 2'!$AM369,IF('Inputs Yr 2'!$AN369=CB$4,'Inputs Yr 2'!$AO369,0))))*(INDEX(avoidedcosttbl2,$H368,CB$2)+(($H368-ROUNDDOWN($H368,0))*(INDEX(avoidedcosttbl2,ROUNDUP($H368,0),CB$2)-(INDEX(avoidedcosttbl2,ROUNDDOWN($H368,0),CB$2)))))*'Inputs Yr 2'!P369*'Inputs Yr 2'!Q369*'Inputs Yr 2'!U369,"")</f>
        <v/>
      </c>
      <c r="CC368" s="195" t="str">
        <f>IFERROR(H368*(IF('Inputs Yr 2'!$AJ369=CC$4,'Inputs Yr 2'!$AK369,IF('Inputs Yr 2'!$AL369=CC$4,'Inputs Yr 2'!$AM369,IF('Inputs Yr 2'!$AN369=CC$4,'Inputs Yr 2'!$AO369,0))))*(INDEX(avoidedcosttbl2,$H368,CC$2)+(($H368-ROUNDDOWN($H368,0))*(INDEX(avoidedcosttbl2,ROUNDUP($H368,0),CC$2)-(INDEX(avoidedcosttbl2,ROUNDDOWN($H368,0),CC$2)))))*'Inputs Yr 2'!Q369*'Inputs Yr 2'!R369*'Inputs Yr 2'!V369,"")</f>
        <v/>
      </c>
      <c r="CD368" s="195" t="str">
        <f>IFERROR(I368*(IF('Inputs Yr 2'!$AJ369=CD$4,'Inputs Yr 2'!$AK369,IF('Inputs Yr 2'!$AL369=CD$4,'Inputs Yr 2'!$AM369,IF('Inputs Yr 2'!$AN369=CD$4,'Inputs Yr 2'!$AO369,0))))*(INDEX(avoidedcosttbl2,$H368,CD$2)+(($H368-ROUNDDOWN($H368,0))*(INDEX(avoidedcosttbl2,ROUNDUP($H368,0),CD$2)-(INDEX(avoidedcosttbl2,ROUNDDOWN($H368,0),CD$2)))))*'Inputs Yr 2'!R369*'Inputs Yr 2'!S369*'Inputs Yr 2'!W369,"")</f>
        <v/>
      </c>
      <c r="CE368" s="213" t="str">
        <f t="shared" si="221"/>
        <v/>
      </c>
      <c r="CF368" s="213" t="str">
        <f t="shared" si="222"/>
        <v/>
      </c>
      <c r="CG368" s="213" t="str">
        <f t="shared" si="223"/>
        <v/>
      </c>
      <c r="CH368" s="698">
        <f t="shared" si="224"/>
        <v>0</v>
      </c>
      <c r="CI368" s="79" t="str">
        <f>IFERROR(($G368*'Inputs Yr 2'!$P369*'Inputs Yr 2'!$Q369*(((INDEX(avoidedcosttbl2,$H368,CI$2)+(($H368-ROUNDDOWN($H368,0))*(INDEX(avoidedcosttbl2,ROUNDUP($H368,0),CI$2)-INDEX(avoidedcosttbl2,ROUNDDOWN($H368,0),CI$2))))*'Inputs Yr 2'!AS369))),"")</f>
        <v/>
      </c>
      <c r="CJ368" s="504" t="str">
        <f>IFERROR($G368*'Inputs Yr 2'!AT369*'Inputs Yr 2'!$P369*'Inputs Yr 2'!$Q369/((1+realdiscrt1)^-0.5),"")</f>
        <v/>
      </c>
      <c r="CK368" s="79" t="str">
        <f>IFERROR((O368*1000*(((INDEX(avoidedcosttbl2,$H368,CK$2)+(($H368-ROUNDDOWN($H368,0))*(INDEX(avoidedcosttbl2,ROUNDUP($H368,0),CK$2)-INDEX(avoidedcosttbl2,ROUNDDOWN($H368,0),CK$2))))*'Inputs Yr 2'!AU369))),"")</f>
        <v/>
      </c>
      <c r="CL368" s="504" t="str">
        <f>IFERROR(O368*1000*'Inputs Yr 2'!AV369/((1+realdiscrt1)^-0.5),"")</f>
        <v/>
      </c>
      <c r="CM368" s="79" t="str">
        <f>IFERROR((AB368*'Inputs Yr 2'!AW369*(((INDEX(avoidedcosttbl2,$H368,CM$2)+(($H368-ROUNDDOWN($H368,0))*(INDEX(avoidedcosttbl2,ROUNDUP($H368,0),CM$2)-INDEX(avoidedcosttbl2,ROUNDDOWN($H368,0),CM$2)))))))*10,"")</f>
        <v/>
      </c>
      <c r="CN368" s="504">
        <f>IFERROR(10*AB368*'Inputs Yr 2'!AX369/((1+realdiscrt1)^-0.5),"")</f>
        <v>0</v>
      </c>
      <c r="CO368" s="505">
        <f t="shared" si="225"/>
        <v>0</v>
      </c>
      <c r="CP368" s="230">
        <f t="shared" si="226"/>
        <v>0</v>
      </c>
      <c r="CQ368" s="199">
        <f>ROUND(IFERROR(IF(LEFT($A368,1)="C",'Avoided Costs'!$K$13,'Avoided Costs'!$K$12)+1,""),4)</f>
        <v>1.0720000000000001</v>
      </c>
      <c r="CR368" s="199">
        <f>ROUND(IFERROR(IF(LEFT($A368,1)="C",'Avoided Costs'!$L$13,'Avoided Costs'!$L$12)+1,""),4)</f>
        <v>1.04</v>
      </c>
      <c r="CS368" s="199">
        <f>ROUND(IFERROR(IF(LEFT($A368,1)="C",'Avoided Costs'!$M$13,'Avoided Costs'!$M$12)+1,""),4)</f>
        <v>1.0720000000000001</v>
      </c>
      <c r="CT368" s="199">
        <f>ROUND(IFERROR(IF(LEFT($A368,1)="C",'Avoided Costs'!$N$13,'Avoided Costs'!$N$12)+1,""),4)</f>
        <v>1.04</v>
      </c>
      <c r="CU368" s="199">
        <f>ROUND(IFERROR(IF(LEFT($A368,1)="C",'Avoided Costs'!$O$13,'Avoided Costs'!$O$12)+1,""),4)</f>
        <v>1.1120000000000001</v>
      </c>
      <c r="CV368" s="199">
        <f>ROUND(IFERROR(IF(LEFT($A368,1)="C",'Avoided Costs'!$P$13,'Avoided Costs'!$P$12)+1,""),4)</f>
        <v>1.095</v>
      </c>
      <c r="CW368" s="199">
        <f>ROUND(IFERROR(IF(LEFT($A368,1)="C",'Avoided Costs'!$Q$13,'Avoided Costs'!$Q$12)+1,""),4)</f>
        <v>1.1120000000000001</v>
      </c>
      <c r="CX368" s="200">
        <f>ROUND(IFERROR(IF(LEFT($A368,1)="C",'Avoided Costs'!$R$13,'Avoided Costs'!$R$12)+1,""),4)</f>
        <v>1.1120000000000001</v>
      </c>
    </row>
    <row r="369" spans="1:102" s="128" customFormat="1" ht="12.75" customHeight="1">
      <c r="A369" s="91" t="str">
        <f>IF('Inputs Yr 2'!$B406=0,"",'Inputs Yr 2'!A406)</f>
        <v/>
      </c>
      <c r="B369" s="91" t="str">
        <f>IF('Inputs Yr 2'!$B406=0,"",'Inputs Yr 2'!B406)</f>
        <v/>
      </c>
      <c r="C369" s="91" t="str">
        <f>IF('Inputs Yr 2'!$B370=0,"",'Inputs Yr 2'!C370)</f>
        <v/>
      </c>
      <c r="D369" s="91" t="str">
        <f>IF('Inputs Yr 2'!$B370=0,"",'Inputs Yr 2'!E370)</f>
        <v/>
      </c>
      <c r="E369" s="93" t="str">
        <f>IF('Inputs Yr 2'!$B370=0,"",'Inputs Yr 2'!F370)</f>
        <v/>
      </c>
      <c r="F369" s="93" t="str">
        <f>IF('Inputs Yr 2'!$B370=0,"",'Inputs Yr 2'!G370)</f>
        <v/>
      </c>
      <c r="G369" s="95" t="str">
        <f>IF('Inputs Yr 2'!$H370&lt;&gt;0,('Inputs Yr 2'!H370),"")</f>
        <v/>
      </c>
      <c r="H369" s="94">
        <f>IFERROR('Inputs Yr 2'!I370,"")</f>
        <v>0</v>
      </c>
      <c r="I369" s="298" t="str">
        <f>IFERROR('Inputs Yr 2'!J370*'Inputs Yr 2'!P370*G369,"")</f>
        <v/>
      </c>
      <c r="J369" s="298" t="str">
        <f>IFERROR('Inputs Yr 2'!K370*G369,"")</f>
        <v/>
      </c>
      <c r="K369" s="298" t="str">
        <f t="shared" si="197"/>
        <v/>
      </c>
      <c r="L369" s="194" t="str">
        <f>IFERROR(('Inputs Yr 2'!W370*G369)/1000,"")</f>
        <v/>
      </c>
      <c r="M369" s="194" t="str">
        <f>IFERROR(L369*('Inputs Yr 2'!$Q370*'Inputs Yr 2'!$V370*'Inputs Yr 2'!$R370),"")</f>
        <v/>
      </c>
      <c r="N369" s="194" t="str">
        <f t="shared" si="198"/>
        <v/>
      </c>
      <c r="O369" s="194" t="str">
        <f>IFERROR(M369*'Inputs Yr 2'!P370,"")</f>
        <v/>
      </c>
      <c r="P369" s="194" t="str">
        <f t="shared" si="199"/>
        <v/>
      </c>
      <c r="Q369" s="194" t="str">
        <f>IFERROR($P369*'Inputs Yr 2'!AA370,"")</f>
        <v/>
      </c>
      <c r="R369" s="194" t="str">
        <f>IFERROR($P369*'Inputs Yr 2'!AB370,"")</f>
        <v/>
      </c>
      <c r="S369" s="194" t="str">
        <f>IFERROR($P369*'Inputs Yr 2'!AC370,"")</f>
        <v/>
      </c>
      <c r="T369" s="194" t="str">
        <f>IFERROR($P369*'Inputs Yr 2'!AD370,"")</f>
        <v/>
      </c>
      <c r="U369" s="194" t="str">
        <f>IFERROR(G369*'Inputs Yr 2'!$AE370*'Inputs Yr 2'!$P370*'Inputs Yr 2'!$Q370,"")</f>
        <v/>
      </c>
      <c r="V369" s="194" t="str">
        <f>IFERROR($G369*'Inputs Yr 2'!$AE370*'Inputs Yr 2'!$AG370*'Inputs Yr 2'!Q370*'Inputs Yr 2'!$S370,"")</f>
        <v/>
      </c>
      <c r="W369" s="194" t="str">
        <f>IFERROR($G369*'Inputs Yr 2'!$AE370*'Inputs Yr 2'!$AG370*'Inputs Yr 2'!P370*'Inputs Yr 2'!Q370*'Inputs Yr 2'!$S370,"")</f>
        <v/>
      </c>
      <c r="X369" s="194" t="str">
        <f>IFERROR($G369*'Inputs Yr 2'!$AE370*'Inputs Yr 2'!$AF370*'Inputs Yr 2'!Q370*'Inputs Yr 2'!$T370,"")</f>
        <v/>
      </c>
      <c r="Y369" s="194" t="str">
        <f>IFERROR($G369*'Inputs Yr 2'!$AE370*'Inputs Yr 2'!$AF370*'Inputs Yr 2'!P370*'Inputs Yr 2'!Q370*'Inputs Yr 2'!$T370,"")</f>
        <v/>
      </c>
      <c r="Z369" s="257">
        <f>IFERROR($G369*'Inputs Yr 2'!$Q370*'Inputs Yr 2'!$U370*(IF(IFERROR(SEARCH("NG", 'Inputs Yr 2'!$AJ370),0),'Inputs Yr 2'!$AK370,0)+IF(IFERROR(SEARCH("NG", 'Inputs Yr 2'!$AL370),0),'Inputs Yr 2'!$AM370,0)+IF(IFERROR(SEARCH("NG", 'Inputs Yr 2'!$AN370),0),'Inputs Yr 2'!$AO370,0)),0)</f>
        <v>0</v>
      </c>
      <c r="AA369" s="257">
        <f t="shared" si="200"/>
        <v>0</v>
      </c>
      <c r="AB369" s="257">
        <f>IFERROR(Z369*'Inputs Yr 2'!$P370,0)</f>
        <v>0</v>
      </c>
      <c r="AC369" s="257">
        <f t="shared" si="201"/>
        <v>0</v>
      </c>
      <c r="AD369" s="257">
        <f>IFERROR($G369*'Inputs Yr 2'!$Q370*'Inputs Yr 2'!$U370*(IF(IFERROR(SEARCH("Oil", 'Inputs Yr 2'!$AJ370), 0),'Inputs Yr 2'!$AK370,0)+IF(IFERROR(SEARCH("Oil", 'Inputs Yr 2'!$AL370), 0),'Inputs Yr 2'!$AM370,0)+IF(IFERROR(SEARCH("Oil", 'Inputs Yr 2'!$AN370), 0),'Inputs Yr 2'!$AO370,0)),0)</f>
        <v>0</v>
      </c>
      <c r="AE369" s="257">
        <f t="shared" si="202"/>
        <v>0</v>
      </c>
      <c r="AF369" s="257">
        <f>IFERROR(AD369*'Inputs Yr 2'!$P370,0)</f>
        <v>0</v>
      </c>
      <c r="AG369" s="257">
        <f t="shared" si="203"/>
        <v>0</v>
      </c>
      <c r="AH369" s="257">
        <f>IFERROR($G369*'Inputs Yr 2'!$Q370*'Inputs Yr 2'!$U370*(IF('Inputs Yr 2'!$AJ370=CD$4,'Inputs Yr 2'!$AK370,IF('Inputs Yr 2'!$AL370=CD$4,'Inputs Yr 2'!$AM370,IF('Inputs Yr 2'!$AN370=CD$4,'Inputs Yr 2'!$AO370,0)))),0)</f>
        <v>0</v>
      </c>
      <c r="AI369" s="257">
        <f t="shared" si="204"/>
        <v>0</v>
      </c>
      <c r="AJ369" s="257">
        <f>IFERROR(AH369*'Inputs Yr 2'!$P370,0)</f>
        <v>0</v>
      </c>
      <c r="AK369" s="257">
        <f t="shared" si="205"/>
        <v>0</v>
      </c>
      <c r="AL369" s="258">
        <f>IFERROR($G369*'Inputs Yr 2'!$P370*'Inputs Yr 2'!$Q370*'Inputs Yr 2'!AP370,0)</f>
        <v>0</v>
      </c>
      <c r="AM369" s="260">
        <f>IFERROR($G369*'Inputs Yr 2'!$P370*'Inputs Yr 2'!$Q370*'Inputs Yr 2'!AQ370,0)</f>
        <v>0</v>
      </c>
      <c r="AN369" s="258">
        <f>IFERROR($G369*'Inputs Yr 2'!$P370*'Inputs Yr 2'!$Q370*'Inputs Yr 2'!AR370,0)</f>
        <v>0</v>
      </c>
      <c r="AO369" s="257">
        <f t="shared" si="206"/>
        <v>0</v>
      </c>
      <c r="AP369" s="195" t="str">
        <f>IFERROR($CQ369*(INDEX(avoidedcosttbl2,$H369,AP$2)+(($H369-ROUNDDOWN($H369,0))*(INDEX(avoidedcosttbl2,ROUNDUP($H369,0),AP$2)-(INDEX(avoidedcosttbl2,ROUNDDOWN($H369,0),AP$2)))))*$O369*1000*'Inputs Yr 2'!AA370,"")</f>
        <v/>
      </c>
      <c r="AQ369" s="195" t="str">
        <f>IFERROR($CR369*(INDEX(avoidedcosttbl2,$H369,AQ$2)+(($H369-ROUNDDOWN($H369,0))*(INDEX(avoidedcosttbl2,ROUNDUP($H369,0),AQ$2)-(INDEX(avoidedcosttbl2,ROUNDDOWN($H369,0),AQ$2)))))*$O369*1000*'Inputs Yr 2'!AB370,"")</f>
        <v/>
      </c>
      <c r="AR369" s="195" t="str">
        <f>IFERROR($CS369*(INDEX(avoidedcosttbl2,$H369,AR$2)+(($H369-ROUNDDOWN($H369,0))*(INDEX(avoidedcosttbl2,ROUNDUP($H369,0),AR$2)-(INDEX(avoidedcosttbl2,ROUNDDOWN($H369,0),AR$2)))))*$O369*1000*'Inputs Yr 2'!AC370,"")</f>
        <v/>
      </c>
      <c r="AS369" s="195" t="str">
        <f>IFERROR($CT369*(INDEX(avoidedcosttbl2,$H369,AS$2)+(($H369-ROUNDDOWN($H369,0))*(INDEX(avoidedcosttbl2,ROUNDUP($H369,0),AS$2)-(INDEX(avoidedcosttbl2,ROUNDDOWN($H369,0),AS$2)))))*$O369*1000*'Inputs Yr 2'!AD370,"")</f>
        <v/>
      </c>
      <c r="AT369" s="196">
        <f t="shared" si="207"/>
        <v>0</v>
      </c>
      <c r="AU369" s="197" t="str">
        <f>IFERROR($CQ369*((INDEX(avoidedcosttbl2,$H369,AU$2))+(($H369-ROUNDDOWN($H369,0))*((INDEX(avoidedcosttbl2,ROUNDUP($H369,0),AU$2))-(INDEX(avoidedcosttbl2,ROUNDDOWN($H369,0),AU$2)))))*$O369*1000*'Inputs Yr 2'!AA370,"")</f>
        <v/>
      </c>
      <c r="AV369" s="197" t="str">
        <f>IFERROR($CR369*((INDEX(avoidedcosttbl2,$H369,AV$2))+(($H369-ROUNDDOWN($H369,0))*((INDEX(avoidedcosttbl2,ROUNDUP($H369,0),AV$2))-(INDEX(avoidedcosttbl2,ROUNDDOWN($H369,0),AV$2)))))*$O369*1000*'Inputs Yr 2'!AB370,"")</f>
        <v/>
      </c>
      <c r="AW369" s="197" t="str">
        <f>IFERROR($CS369*((INDEX(avoidedcosttbl2,$H369,AW$2))+(($H369-ROUNDDOWN($H369,0))*((INDEX(avoidedcosttbl2,ROUNDUP($H369,0),AW$2))-(INDEX(avoidedcosttbl2,ROUNDDOWN($H369,0),AW$2)))))*$O369*1000*'Inputs Yr 2'!AC370,"")</f>
        <v/>
      </c>
      <c r="AX369" s="197" t="str">
        <f>IFERROR($CT369*((INDEX(avoidedcosttbl2,$H369,AX$2))+(($H369-ROUNDDOWN($H369,0))*((INDEX(avoidedcosttbl2,ROUNDUP($H369,0),AX$2))-(INDEX(avoidedcosttbl2,ROUNDDOWN($H369,0),AX$2)))))*$O369*1000*'Inputs Yr 2'!AD370,"")</f>
        <v/>
      </c>
      <c r="AY369" s="197" t="str">
        <f>IFERROR(((INDEX(avoidedcosttbl2,$H369,AY$2))+(($H369-ROUNDDOWN($H369,0))*((INDEX(avoidedcosttbl2,ROUNDUP($H369,0),AY$2))-(INDEX(avoidedcosttbl2,ROUNDDOWN($H369,0),AY$2)))))*$O369*1000*('Inputs Yr 2'!AC370+'Inputs Yr 2'!AD370),"")</f>
        <v/>
      </c>
      <c r="AZ369" s="197" t="str">
        <f>IFERROR(((INDEX(avoidedcosttbl2,$H369,AZ$2))+(($H369-ROUNDDOWN($H369,0))*((INDEX(avoidedcosttbl2,ROUNDUP($H369,0),AZ$2))-(INDEX(avoidedcosttbl2,ROUNDDOWN($H369,0),AZ$2)))))*$O369*1000*('Inputs Yr 2'!AA370+'Inputs Yr 2'!AB370),"")</f>
        <v/>
      </c>
      <c r="BA369" s="198">
        <f t="shared" si="208"/>
        <v>0</v>
      </c>
      <c r="BB369" s="198">
        <f t="shared" si="209"/>
        <v>0</v>
      </c>
      <c r="BC369" s="195" t="str">
        <f t="shared" si="210"/>
        <v/>
      </c>
      <c r="BD369" s="195" t="str">
        <f t="shared" si="211"/>
        <v/>
      </c>
      <c r="BE369" s="195" t="str">
        <f t="shared" si="212"/>
        <v/>
      </c>
      <c r="BF369" s="195" t="str">
        <f t="shared" si="213"/>
        <v/>
      </c>
      <c r="BG369" s="195" t="str">
        <f t="shared" si="214"/>
        <v/>
      </c>
      <c r="BH369" s="196">
        <f t="shared" si="215"/>
        <v>0</v>
      </c>
      <c r="BI369" s="196">
        <f t="shared" si="216"/>
        <v>0</v>
      </c>
      <c r="BJ369" s="195" t="str">
        <f>IFERROR($G369*(IF('Inputs Yr 2'!$AJ370=BJ$4,'Inputs Yr 2'!$AK370,IF('Inputs Yr 2'!$AL370=BJ$4,'Inputs Yr 2'!$AM370,IF('Inputs Yr 2'!$AN370=BJ$4,'Inputs Yr 2'!$AO370,0))))*(INDEX(avoidedcosttbl2,$H369,BJ$2)+(($H369-ROUNDDOWN($H369,0))*(INDEX(avoidedcosttbl2,ROUNDUP($H369,0),BJ$2)-(INDEX(avoidedcosttbl2,ROUNDDOWN($H369,0),BJ$2)))))*'Inputs Yr 2'!P370*'Inputs Yr 2'!Q370*'Inputs Yr 2'!U370,"")</f>
        <v/>
      </c>
      <c r="BK369" s="195" t="str">
        <f>IFERROR($G369*(IF('Inputs Yr 2'!$AJ370=BK$4,'Inputs Yr 2'!$AK370,IF('Inputs Yr 2'!$AL370=BK$4,'Inputs Yr 2'!$AM370,IF('Inputs Yr 2'!$AN370=BK$4,'Inputs Yr 2'!$AO370,0))))*(INDEX(avoidedcosttbl2,$H369,BK$2)+(($H369-ROUNDDOWN($H369,0))*(INDEX(avoidedcosttbl2,ROUNDUP($H369,0),BK$2)-(INDEX(avoidedcosttbl2,ROUNDDOWN($H369,0),BK$2)))))*'Inputs Yr 2'!P370*'Inputs Yr 2'!Q370*'Inputs Yr 2'!U370,"")</f>
        <v/>
      </c>
      <c r="BL369" s="195" t="str">
        <f>IFERROR($G369*(IF('Inputs Yr 2'!$AJ370=BL$4,'Inputs Yr 2'!$AK370,IF('Inputs Yr 2'!$AL370=BL$4,'Inputs Yr 2'!$AM370,IF('Inputs Yr 2'!$AN370=BL$4,'Inputs Yr 2'!$AO370,0))))*(INDEX(avoidedcosttbl2,$H369,BL$2)+(($H369-ROUNDDOWN($H369,0))*(INDEX(avoidedcosttbl2,ROUNDUP($H369,0),BL$2)-(INDEX(avoidedcosttbl2,ROUNDDOWN($H369,0),BL$2)))))*'Inputs Yr 2'!P370*'Inputs Yr 2'!Q370*'Inputs Yr 2'!U370,"")</f>
        <v/>
      </c>
      <c r="BM369" s="195" t="str">
        <f>IFERROR($G369*(IF('Inputs Yr 2'!$AJ370=BM$4,'Inputs Yr 2'!$AK370,IF('Inputs Yr 2'!$AL370=BM$4,'Inputs Yr 2'!$AM370,IF('Inputs Yr 2'!$AN370=BM$4,'Inputs Yr 2'!$AO370,0))))*(INDEX(avoidedcosttbl2,$H369,BM$2)+(($H369-ROUNDDOWN($H369,0))*(INDEX(avoidedcosttbl2,ROUNDUP($H369,0),BM$2)-(INDEX(avoidedcosttbl2,ROUNDDOWN($H369,0),BM$2)))))*'Inputs Yr 2'!P370*'Inputs Yr 2'!Q370*'Inputs Yr 2'!U370,"")</f>
        <v/>
      </c>
      <c r="BN369" s="195" t="str">
        <f>IFERROR($G369*(IF('Inputs Yr 2'!$AJ370=BN$4,'Inputs Yr 2'!$AK370,IF('Inputs Yr 2'!$AL370=BN$4,'Inputs Yr 2'!$AM370,IF('Inputs Yr 2'!$AN370=BN$4,'Inputs Yr 2'!$AO370,0))))*(INDEX(avoidedcosttbl2,$H369,BN$2)+(($H369-ROUNDDOWN($H369,0))*(INDEX(avoidedcosttbl2,ROUNDUP($H369,0),BN$2)-(INDEX(avoidedcosttbl2,ROUNDDOWN($H369,0),BN$2)))))*'Inputs Yr 2'!P370*'Inputs Yr 2'!Q370*'Inputs Yr 2'!U370,"")</f>
        <v/>
      </c>
      <c r="BO369" s="195" t="str">
        <f>IFERROR($G369*(IF('Inputs Yr 2'!$AJ370=BO$4,'Inputs Yr 2'!$AK370,IF('Inputs Yr 2'!$AL370=BO$4,'Inputs Yr 2'!$AM370,IF('Inputs Yr 2'!$AN370=BO$4,'Inputs Yr 2'!$AO370,0))))*(INDEX(avoidedcosttbl2,$H369,BO$2)+(($H369-ROUNDDOWN($H369,0))*(INDEX(avoidedcosttbl2,ROUNDUP($H369,0),BO$2)-(INDEX(avoidedcosttbl2,ROUNDDOWN($H369,0),BO$2)))))*'Inputs Yr 2'!P370*'Inputs Yr 2'!Q370*'Inputs Yr 2'!U370,"")</f>
        <v/>
      </c>
      <c r="BP369" s="195" t="str">
        <f>IFERROR($G369*(IF('Inputs Yr 2'!$AJ370=BP$4,'Inputs Yr 2'!$AK370,IF('Inputs Yr 2'!$AL370=BP$4,'Inputs Yr 2'!$AM370,IF('Inputs Yr 2'!$AN370=BP$4,'Inputs Yr 2'!$AO370,0))))*(INDEX(avoidedcosttbl2,$H369,BP$2)+(($H369-ROUNDDOWN($H369,0))*(INDEX(avoidedcosttbl2,ROUNDUP($H369,0),BP$2)-(INDEX(avoidedcosttbl2,ROUNDDOWN($H369,0),BP$2)))))*'Inputs Yr 2'!P370*'Inputs Yr 2'!Q370*'Inputs Yr 2'!U370,"")</f>
        <v/>
      </c>
      <c r="BQ369" s="230">
        <f t="shared" si="217"/>
        <v>0</v>
      </c>
      <c r="BR369" s="197" t="str">
        <f t="shared" si="218"/>
        <v/>
      </c>
      <c r="BS369" s="197" t="str">
        <f>IFERROR(($G369*IF('Inputs Yr 2'!$AJ370=BM$4,'Inputs Yr 2'!$AK370,IF('Inputs Yr 2'!$AL370=BM$4,'Inputs Yr 2'!$AM370,IF('Inputs Yr 2'!$AN370=BM$4,'Inputs Yr 2'!$AO370,0))))*(INDEX(avoidedcosttbl2,$H369,BS$2)+(($H369-ROUNDDOWN($H369,0))*(INDEX(avoidedcosttbl2,ROUNDUP($H369,0),BS$2)-(INDEX(avoidedcosttbl2,ROUNDDOWN($H369,0),BS$2)))))*'Inputs Yr 2'!P370*'Inputs Yr 2'!Q370*'Inputs Yr 2'!U370,"")</f>
        <v/>
      </c>
      <c r="BT369" s="197" t="str">
        <f>IFERROR(($G369*IF('Inputs Yr 2'!$AJ370=BK$4,'Inputs Yr 2'!$AK370,IF('Inputs Yr 2'!$AL370=BK$4,'Inputs Yr 2'!$AM370,IF('Inputs Yr 2'!$AN370=BK$4,'Inputs Yr 2'!$AO370,0))))*(INDEX(avoidedcosttbl2,$H369,BT$2)+(($H369-ROUNDDOWN($H369,0))*(INDEX(avoidedcosttbl2,ROUNDUP($H369,0),BT$2)-(INDEX(avoidedcosttbl2,ROUNDDOWN($H369,0),BT$2)))))*'Inputs Yr 2'!P370*'Inputs Yr 2'!Q370*'Inputs Yr 2'!U370,"")</f>
        <v/>
      </c>
      <c r="BU369" s="197" t="str">
        <f>IFERROR(($G369*IF('Inputs Yr 2'!$AJ370=BL$4,'Inputs Yr 2'!$AK370,IF('Inputs Yr 2'!$AL370=BL$4,'Inputs Yr 2'!$AM370,IF('Inputs Yr 2'!$AN370=BL$4,'Inputs Yr 2'!$AO370,0))))*(INDEX(avoidedcosttbl2,$H369,BU$2)+(($H369-ROUNDDOWN($H369,0))*(INDEX(avoidedcosttbl2,ROUNDUP($H369,0),BU$2)-(INDEX(avoidedcosttbl2,ROUNDDOWN($H369,0),BU$2)))))*'Inputs Yr 2'!P370*'Inputs Yr 2'!Q370*'Inputs Yr 2'!U370,"")</f>
        <v/>
      </c>
      <c r="BV369" s="775" t="str">
        <f>IFERROR(($G369*IF('Inputs Yr 2'!$AJ370=BJ$4,'Inputs Yr 2'!$AK370,IF('Inputs Yr 2'!$AL370=BJ$4,'Inputs Yr 2'!$AM370,IF('Inputs Yr 2'!$AN370=BJ$4,'Inputs Yr 2'!$AO370,0))))*(INDEX(avoidedcosttbl2,$H369,BV$2)+(($H369-ROUNDDOWN($H369,0))*(INDEX(avoidedcosttbl2,ROUNDUP($H369,0),BV$2)-(INDEX(avoidedcosttbl2,ROUNDDOWN($H369,0),BV$2)))))*'Inputs Yr 2'!P370*'Inputs Yr 2'!Q370*'Inputs Yr 2'!U370,"")</f>
        <v/>
      </c>
      <c r="BW369" s="197" t="str">
        <f>IFERROR(($G369*IF('Inputs Yr 2'!$AJ370=BN$4,'Inputs Yr 2'!$AK370,IF('Inputs Yr 2'!$AL370=BN$4,'Inputs Yr 2'!$AM370,IF('Inputs Yr 2'!$AN370=BN$4,'Inputs Yr 2'!$AO370,0))))*(INDEX(avoidedcosttbl2,$H369,BW$2)+(($H369-ROUNDDOWN($H369,0))*(INDEX(avoidedcosttbl2,ROUNDUP($H369,0),BW$2)-(INDEX(avoidedcosttbl2,ROUNDDOWN($H369,0),BW$2)))))*'Inputs Yr 2'!P370*'Inputs Yr 2'!Q370*'Inputs Yr 2'!U370,"")</f>
        <v/>
      </c>
      <c r="BX369" s="197" t="str">
        <f>IFERROR(($G369*IF('Inputs Yr 2'!$AJ370=BO$4,'Inputs Yr 2'!$AK370,IF('Inputs Yr 2'!$AL370=BO$4,'Inputs Yr 2'!$AM370,IF('Inputs Yr 2'!$AN370=BO$4,'Inputs Yr 2'!$AO370,0))))*(INDEX(avoidedcosttbl2,$H369,BX$2)+(($H369-ROUNDDOWN($H369,0))*(INDEX(avoidedcosttbl2,ROUNDUP($H369,0),BX$2)-(INDEX(avoidedcosttbl2,ROUNDDOWN($H369,0),BX$2)))))*'Inputs Yr 2'!P370*'Inputs Yr 2'!Q370*'Inputs Yr 2'!U370,"")</f>
        <v/>
      </c>
      <c r="BY369" s="197" t="str">
        <f>IFERROR(($G369*IF('Inputs Yr 2'!$AJ370=BP$4,'Inputs Yr 2'!$AK370,IF('Inputs Yr 2'!$AL370=BP$4,'Inputs Yr 2'!$AM370,IF('Inputs Yr 2'!$AN370=BP$4,'Inputs Yr 2'!$AO370,0))))*(INDEX(avoidedcosttbl2,$H369,BY$2)+(($H369-ROUNDDOWN($H369,0))*(INDEX(avoidedcosttbl2,ROUNDUP($H369,0),BY$2)-(INDEX(avoidedcosttbl2,ROUNDDOWN($H369,0),BY$2)))))*'Inputs Yr 2'!P370*'Inputs Yr 2'!Q370*'Inputs Yr 2'!U370,"")</f>
        <v/>
      </c>
      <c r="BZ369" s="193">
        <f t="shared" si="219"/>
        <v>0</v>
      </c>
      <c r="CA369" s="193">
        <f t="shared" si="220"/>
        <v>0</v>
      </c>
      <c r="CB369" s="195" t="str">
        <f>IFERROR(G369*(IF('Inputs Yr 2'!$AJ370=CB$4,'Inputs Yr 2'!$AK370,IF('Inputs Yr 2'!$AL370=CB$4,'Inputs Yr 2'!$AM370,IF('Inputs Yr 2'!$AN370=CB$4,'Inputs Yr 2'!$AO370,0))))*(INDEX(avoidedcosttbl2,$H369,CB$2)+(($H369-ROUNDDOWN($H369,0))*(INDEX(avoidedcosttbl2,ROUNDUP($H369,0),CB$2)-(INDEX(avoidedcosttbl2,ROUNDDOWN($H369,0),CB$2)))))*'Inputs Yr 2'!P370*'Inputs Yr 2'!Q370*'Inputs Yr 2'!U370,"")</f>
        <v/>
      </c>
      <c r="CC369" s="195" t="str">
        <f>IFERROR(H369*(IF('Inputs Yr 2'!$AJ370=CC$4,'Inputs Yr 2'!$AK370,IF('Inputs Yr 2'!$AL370=CC$4,'Inputs Yr 2'!$AM370,IF('Inputs Yr 2'!$AN370=CC$4,'Inputs Yr 2'!$AO370,0))))*(INDEX(avoidedcosttbl2,$H369,CC$2)+(($H369-ROUNDDOWN($H369,0))*(INDEX(avoidedcosttbl2,ROUNDUP($H369,0),CC$2)-(INDEX(avoidedcosttbl2,ROUNDDOWN($H369,0),CC$2)))))*'Inputs Yr 2'!Q370*'Inputs Yr 2'!R370*'Inputs Yr 2'!V370,"")</f>
        <v/>
      </c>
      <c r="CD369" s="195" t="str">
        <f>IFERROR(I369*(IF('Inputs Yr 2'!$AJ370=CD$4,'Inputs Yr 2'!$AK370,IF('Inputs Yr 2'!$AL370=CD$4,'Inputs Yr 2'!$AM370,IF('Inputs Yr 2'!$AN370=CD$4,'Inputs Yr 2'!$AO370,0))))*(INDEX(avoidedcosttbl2,$H369,CD$2)+(($H369-ROUNDDOWN($H369,0))*(INDEX(avoidedcosttbl2,ROUNDUP($H369,0),CD$2)-(INDEX(avoidedcosttbl2,ROUNDDOWN($H369,0),CD$2)))))*'Inputs Yr 2'!R370*'Inputs Yr 2'!S370*'Inputs Yr 2'!W370,"")</f>
        <v/>
      </c>
      <c r="CE369" s="213" t="str">
        <f t="shared" si="221"/>
        <v/>
      </c>
      <c r="CF369" s="213" t="str">
        <f t="shared" si="222"/>
        <v/>
      </c>
      <c r="CG369" s="213" t="str">
        <f t="shared" si="223"/>
        <v/>
      </c>
      <c r="CH369" s="698">
        <f t="shared" si="224"/>
        <v>0</v>
      </c>
      <c r="CI369" s="79" t="str">
        <f>IFERROR(($G369*'Inputs Yr 2'!$P370*'Inputs Yr 2'!$Q370*(((INDEX(avoidedcosttbl2,$H369,CI$2)+(($H369-ROUNDDOWN($H369,0))*(INDEX(avoidedcosttbl2,ROUNDUP($H369,0),CI$2)-INDEX(avoidedcosttbl2,ROUNDDOWN($H369,0),CI$2))))*'Inputs Yr 2'!AS370))),"")</f>
        <v/>
      </c>
      <c r="CJ369" s="504" t="str">
        <f>IFERROR($G369*'Inputs Yr 2'!AT370*'Inputs Yr 2'!$P370*'Inputs Yr 2'!$Q370/((1+realdiscrt1)^-0.5),"")</f>
        <v/>
      </c>
      <c r="CK369" s="79" t="str">
        <f>IFERROR((O369*1000*(((INDEX(avoidedcosttbl2,$H369,CK$2)+(($H369-ROUNDDOWN($H369,0))*(INDEX(avoidedcosttbl2,ROUNDUP($H369,0),CK$2)-INDEX(avoidedcosttbl2,ROUNDDOWN($H369,0),CK$2))))*'Inputs Yr 2'!AU370))),"")</f>
        <v/>
      </c>
      <c r="CL369" s="504" t="str">
        <f>IFERROR(O369*1000*'Inputs Yr 2'!AV370/((1+realdiscrt1)^-0.5),"")</f>
        <v/>
      </c>
      <c r="CM369" s="79" t="str">
        <f>IFERROR((AB369*'Inputs Yr 2'!AW370*(((INDEX(avoidedcosttbl2,$H369,CM$2)+(($H369-ROUNDDOWN($H369,0))*(INDEX(avoidedcosttbl2,ROUNDUP($H369,0),CM$2)-INDEX(avoidedcosttbl2,ROUNDDOWN($H369,0),CM$2)))))))*10,"")</f>
        <v/>
      </c>
      <c r="CN369" s="504">
        <f>IFERROR(10*AB369*'Inputs Yr 2'!AX370/((1+realdiscrt1)^-0.5),"")</f>
        <v>0</v>
      </c>
      <c r="CO369" s="505">
        <f t="shared" si="225"/>
        <v>0</v>
      </c>
      <c r="CP369" s="230">
        <f t="shared" si="226"/>
        <v>0</v>
      </c>
      <c r="CQ369" s="199">
        <f>ROUND(IFERROR(IF(LEFT($A369,1)="C",'Avoided Costs'!$K$13,'Avoided Costs'!$K$12)+1,""),4)</f>
        <v>1.0720000000000001</v>
      </c>
      <c r="CR369" s="199">
        <f>ROUND(IFERROR(IF(LEFT($A369,1)="C",'Avoided Costs'!$L$13,'Avoided Costs'!$L$12)+1,""),4)</f>
        <v>1.04</v>
      </c>
      <c r="CS369" s="199">
        <f>ROUND(IFERROR(IF(LEFT($A369,1)="C",'Avoided Costs'!$M$13,'Avoided Costs'!$M$12)+1,""),4)</f>
        <v>1.0720000000000001</v>
      </c>
      <c r="CT369" s="199">
        <f>ROUND(IFERROR(IF(LEFT($A369,1)="C",'Avoided Costs'!$N$13,'Avoided Costs'!$N$12)+1,""),4)</f>
        <v>1.04</v>
      </c>
      <c r="CU369" s="199">
        <f>ROUND(IFERROR(IF(LEFT($A369,1)="C",'Avoided Costs'!$O$13,'Avoided Costs'!$O$12)+1,""),4)</f>
        <v>1.1120000000000001</v>
      </c>
      <c r="CV369" s="199">
        <f>ROUND(IFERROR(IF(LEFT($A369,1)="C",'Avoided Costs'!$P$13,'Avoided Costs'!$P$12)+1,""),4)</f>
        <v>1.095</v>
      </c>
      <c r="CW369" s="199">
        <f>ROUND(IFERROR(IF(LEFT($A369,1)="C",'Avoided Costs'!$Q$13,'Avoided Costs'!$Q$12)+1,""),4)</f>
        <v>1.1120000000000001</v>
      </c>
      <c r="CX369" s="200">
        <f>ROUND(IFERROR(IF(LEFT($A369,1)="C",'Avoided Costs'!$R$13,'Avoided Costs'!$R$12)+1,""),4)</f>
        <v>1.1120000000000001</v>
      </c>
    </row>
    <row r="370" spans="1:102" s="128" customFormat="1" ht="12.75" customHeight="1">
      <c r="A370" s="91" t="str">
        <f>IF('Inputs Yr 2'!$B407=0,"",'Inputs Yr 2'!A407)</f>
        <v/>
      </c>
      <c r="B370" s="91" t="str">
        <f>IF('Inputs Yr 2'!$B407=0,"",'Inputs Yr 2'!B407)</f>
        <v/>
      </c>
      <c r="C370" s="91" t="str">
        <f>IF('Inputs Yr 2'!$B371=0,"",'Inputs Yr 2'!C371)</f>
        <v/>
      </c>
      <c r="D370" s="91" t="str">
        <f>IF('Inputs Yr 2'!$B371=0,"",'Inputs Yr 2'!E371)</f>
        <v/>
      </c>
      <c r="E370" s="93" t="str">
        <f>IF('Inputs Yr 2'!$B371=0,"",'Inputs Yr 2'!F371)</f>
        <v/>
      </c>
      <c r="F370" s="93" t="str">
        <f>IF('Inputs Yr 2'!$B371=0,"",'Inputs Yr 2'!G371)</f>
        <v/>
      </c>
      <c r="G370" s="95" t="str">
        <f>IF('Inputs Yr 2'!$H371&lt;&gt;0,('Inputs Yr 2'!H371),"")</f>
        <v/>
      </c>
      <c r="H370" s="94">
        <f>IFERROR('Inputs Yr 2'!I371,"")</f>
        <v>0</v>
      </c>
      <c r="I370" s="298" t="str">
        <f>IFERROR('Inputs Yr 2'!J371*'Inputs Yr 2'!P371*G370,"")</f>
        <v/>
      </c>
      <c r="J370" s="298" t="str">
        <f>IFERROR('Inputs Yr 2'!K371*G370,"")</f>
        <v/>
      </c>
      <c r="K370" s="298" t="str">
        <f t="shared" si="197"/>
        <v/>
      </c>
      <c r="L370" s="194" t="str">
        <f>IFERROR(('Inputs Yr 2'!W371*G370)/1000,"")</f>
        <v/>
      </c>
      <c r="M370" s="194" t="str">
        <f>IFERROR(L370*('Inputs Yr 2'!$Q371*'Inputs Yr 2'!$V371*'Inputs Yr 2'!$R371),"")</f>
        <v/>
      </c>
      <c r="N370" s="194" t="str">
        <f t="shared" si="198"/>
        <v/>
      </c>
      <c r="O370" s="194" t="str">
        <f>IFERROR(M370*'Inputs Yr 2'!P371,"")</f>
        <v/>
      </c>
      <c r="P370" s="194" t="str">
        <f t="shared" si="199"/>
        <v/>
      </c>
      <c r="Q370" s="194" t="str">
        <f>IFERROR($P370*'Inputs Yr 2'!AA371,"")</f>
        <v/>
      </c>
      <c r="R370" s="194" t="str">
        <f>IFERROR($P370*'Inputs Yr 2'!AB371,"")</f>
        <v/>
      </c>
      <c r="S370" s="194" t="str">
        <f>IFERROR($P370*'Inputs Yr 2'!AC371,"")</f>
        <v/>
      </c>
      <c r="T370" s="194" t="str">
        <f>IFERROR($P370*'Inputs Yr 2'!AD371,"")</f>
        <v/>
      </c>
      <c r="U370" s="194" t="str">
        <f>IFERROR(G370*'Inputs Yr 2'!$AE371*'Inputs Yr 2'!$P371*'Inputs Yr 2'!$Q371,"")</f>
        <v/>
      </c>
      <c r="V370" s="194" t="str">
        <f>IFERROR($G370*'Inputs Yr 2'!$AE371*'Inputs Yr 2'!$AG371*'Inputs Yr 2'!Q371*'Inputs Yr 2'!$S371,"")</f>
        <v/>
      </c>
      <c r="W370" s="194" t="str">
        <f>IFERROR($G370*'Inputs Yr 2'!$AE371*'Inputs Yr 2'!$AG371*'Inputs Yr 2'!P371*'Inputs Yr 2'!Q371*'Inputs Yr 2'!$S371,"")</f>
        <v/>
      </c>
      <c r="X370" s="194" t="str">
        <f>IFERROR($G370*'Inputs Yr 2'!$AE371*'Inputs Yr 2'!$AF371*'Inputs Yr 2'!Q371*'Inputs Yr 2'!$T371,"")</f>
        <v/>
      </c>
      <c r="Y370" s="194" t="str">
        <f>IFERROR($G370*'Inputs Yr 2'!$AE371*'Inputs Yr 2'!$AF371*'Inputs Yr 2'!P371*'Inputs Yr 2'!Q371*'Inputs Yr 2'!$T371,"")</f>
        <v/>
      </c>
      <c r="Z370" s="257">
        <f>IFERROR($G370*'Inputs Yr 2'!$Q371*'Inputs Yr 2'!$U371*(IF(IFERROR(SEARCH("NG", 'Inputs Yr 2'!$AJ371),0),'Inputs Yr 2'!$AK371,0)+IF(IFERROR(SEARCH("NG", 'Inputs Yr 2'!$AL371),0),'Inputs Yr 2'!$AM371,0)+IF(IFERROR(SEARCH("NG", 'Inputs Yr 2'!$AN371),0),'Inputs Yr 2'!$AO371,0)),0)</f>
        <v>0</v>
      </c>
      <c r="AA370" s="257">
        <f t="shared" si="200"/>
        <v>0</v>
      </c>
      <c r="AB370" s="257">
        <f>IFERROR(Z370*'Inputs Yr 2'!$P371,0)</f>
        <v>0</v>
      </c>
      <c r="AC370" s="257">
        <f t="shared" si="201"/>
        <v>0</v>
      </c>
      <c r="AD370" s="257">
        <f>IFERROR($G370*'Inputs Yr 2'!$Q371*'Inputs Yr 2'!$U371*(IF(IFERROR(SEARCH("Oil", 'Inputs Yr 2'!$AJ371), 0),'Inputs Yr 2'!$AK371,0)+IF(IFERROR(SEARCH("Oil", 'Inputs Yr 2'!$AL371), 0),'Inputs Yr 2'!$AM371,0)+IF(IFERROR(SEARCH("Oil", 'Inputs Yr 2'!$AN371), 0),'Inputs Yr 2'!$AO371,0)),0)</f>
        <v>0</v>
      </c>
      <c r="AE370" s="257">
        <f t="shared" si="202"/>
        <v>0</v>
      </c>
      <c r="AF370" s="257">
        <f>IFERROR(AD370*'Inputs Yr 2'!$P371,0)</f>
        <v>0</v>
      </c>
      <c r="AG370" s="257">
        <f t="shared" si="203"/>
        <v>0</v>
      </c>
      <c r="AH370" s="257">
        <f>IFERROR($G370*'Inputs Yr 2'!$Q371*'Inputs Yr 2'!$U371*(IF('Inputs Yr 2'!$AJ371=CD$4,'Inputs Yr 2'!$AK371,IF('Inputs Yr 2'!$AL371=CD$4,'Inputs Yr 2'!$AM371,IF('Inputs Yr 2'!$AN371=CD$4,'Inputs Yr 2'!$AO371,0)))),0)</f>
        <v>0</v>
      </c>
      <c r="AI370" s="257">
        <f t="shared" si="204"/>
        <v>0</v>
      </c>
      <c r="AJ370" s="257">
        <f>IFERROR(AH370*'Inputs Yr 2'!$P371,0)</f>
        <v>0</v>
      </c>
      <c r="AK370" s="257">
        <f t="shared" si="205"/>
        <v>0</v>
      </c>
      <c r="AL370" s="258">
        <f>IFERROR($G370*'Inputs Yr 2'!$P371*'Inputs Yr 2'!$Q371*'Inputs Yr 2'!AP371,0)</f>
        <v>0</v>
      </c>
      <c r="AM370" s="260">
        <f>IFERROR($G370*'Inputs Yr 2'!$P371*'Inputs Yr 2'!$Q371*'Inputs Yr 2'!AQ371,0)</f>
        <v>0</v>
      </c>
      <c r="AN370" s="258">
        <f>IFERROR($G370*'Inputs Yr 2'!$P371*'Inputs Yr 2'!$Q371*'Inputs Yr 2'!AR371,0)</f>
        <v>0</v>
      </c>
      <c r="AO370" s="257">
        <f t="shared" si="206"/>
        <v>0</v>
      </c>
      <c r="AP370" s="195" t="str">
        <f>IFERROR($CQ370*(INDEX(avoidedcosttbl2,$H370,AP$2)+(($H370-ROUNDDOWN($H370,0))*(INDEX(avoidedcosttbl2,ROUNDUP($H370,0),AP$2)-(INDEX(avoidedcosttbl2,ROUNDDOWN($H370,0),AP$2)))))*$O370*1000*'Inputs Yr 2'!AA371,"")</f>
        <v/>
      </c>
      <c r="AQ370" s="195" t="str">
        <f>IFERROR($CR370*(INDEX(avoidedcosttbl2,$H370,AQ$2)+(($H370-ROUNDDOWN($H370,0))*(INDEX(avoidedcosttbl2,ROUNDUP($H370,0),AQ$2)-(INDEX(avoidedcosttbl2,ROUNDDOWN($H370,0),AQ$2)))))*$O370*1000*'Inputs Yr 2'!AB371,"")</f>
        <v/>
      </c>
      <c r="AR370" s="195" t="str">
        <f>IFERROR($CS370*(INDEX(avoidedcosttbl2,$H370,AR$2)+(($H370-ROUNDDOWN($H370,0))*(INDEX(avoidedcosttbl2,ROUNDUP($H370,0),AR$2)-(INDEX(avoidedcosttbl2,ROUNDDOWN($H370,0),AR$2)))))*$O370*1000*'Inputs Yr 2'!AC371,"")</f>
        <v/>
      </c>
      <c r="AS370" s="195" t="str">
        <f>IFERROR($CT370*(INDEX(avoidedcosttbl2,$H370,AS$2)+(($H370-ROUNDDOWN($H370,0))*(INDEX(avoidedcosttbl2,ROUNDUP($H370,0),AS$2)-(INDEX(avoidedcosttbl2,ROUNDDOWN($H370,0),AS$2)))))*$O370*1000*'Inputs Yr 2'!AD371,"")</f>
        <v/>
      </c>
      <c r="AT370" s="196">
        <f t="shared" si="207"/>
        <v>0</v>
      </c>
      <c r="AU370" s="197" t="str">
        <f>IFERROR($CQ370*((INDEX(avoidedcosttbl2,$H370,AU$2))+(($H370-ROUNDDOWN($H370,0))*((INDEX(avoidedcosttbl2,ROUNDUP($H370,0),AU$2))-(INDEX(avoidedcosttbl2,ROUNDDOWN($H370,0),AU$2)))))*$O370*1000*'Inputs Yr 2'!AA371,"")</f>
        <v/>
      </c>
      <c r="AV370" s="197" t="str">
        <f>IFERROR($CR370*((INDEX(avoidedcosttbl2,$H370,AV$2))+(($H370-ROUNDDOWN($H370,0))*((INDEX(avoidedcosttbl2,ROUNDUP($H370,0),AV$2))-(INDEX(avoidedcosttbl2,ROUNDDOWN($H370,0),AV$2)))))*$O370*1000*'Inputs Yr 2'!AB371,"")</f>
        <v/>
      </c>
      <c r="AW370" s="197" t="str">
        <f>IFERROR($CS370*((INDEX(avoidedcosttbl2,$H370,AW$2))+(($H370-ROUNDDOWN($H370,0))*((INDEX(avoidedcosttbl2,ROUNDUP($H370,0),AW$2))-(INDEX(avoidedcosttbl2,ROUNDDOWN($H370,0),AW$2)))))*$O370*1000*'Inputs Yr 2'!AC371,"")</f>
        <v/>
      </c>
      <c r="AX370" s="197" t="str">
        <f>IFERROR($CT370*((INDEX(avoidedcosttbl2,$H370,AX$2))+(($H370-ROUNDDOWN($H370,0))*((INDEX(avoidedcosttbl2,ROUNDUP($H370,0),AX$2))-(INDEX(avoidedcosttbl2,ROUNDDOWN($H370,0),AX$2)))))*$O370*1000*'Inputs Yr 2'!AD371,"")</f>
        <v/>
      </c>
      <c r="AY370" s="197" t="str">
        <f>IFERROR(((INDEX(avoidedcosttbl2,$H370,AY$2))+(($H370-ROUNDDOWN($H370,0))*((INDEX(avoidedcosttbl2,ROUNDUP($H370,0),AY$2))-(INDEX(avoidedcosttbl2,ROUNDDOWN($H370,0),AY$2)))))*$O370*1000*('Inputs Yr 2'!AC371+'Inputs Yr 2'!AD371),"")</f>
        <v/>
      </c>
      <c r="AZ370" s="197" t="str">
        <f>IFERROR(((INDEX(avoidedcosttbl2,$H370,AZ$2))+(($H370-ROUNDDOWN($H370,0))*((INDEX(avoidedcosttbl2,ROUNDUP($H370,0),AZ$2))-(INDEX(avoidedcosttbl2,ROUNDDOWN($H370,0),AZ$2)))))*$O370*1000*('Inputs Yr 2'!AA371+'Inputs Yr 2'!AB371),"")</f>
        <v/>
      </c>
      <c r="BA370" s="198">
        <f t="shared" si="208"/>
        <v>0</v>
      </c>
      <c r="BB370" s="198">
        <f t="shared" si="209"/>
        <v>0</v>
      </c>
      <c r="BC370" s="195" t="str">
        <f t="shared" si="210"/>
        <v/>
      </c>
      <c r="BD370" s="195" t="str">
        <f t="shared" si="211"/>
        <v/>
      </c>
      <c r="BE370" s="195" t="str">
        <f t="shared" si="212"/>
        <v/>
      </c>
      <c r="BF370" s="195" t="str">
        <f t="shared" si="213"/>
        <v/>
      </c>
      <c r="BG370" s="195" t="str">
        <f t="shared" si="214"/>
        <v/>
      </c>
      <c r="BH370" s="196">
        <f t="shared" si="215"/>
        <v>0</v>
      </c>
      <c r="BI370" s="196">
        <f t="shared" si="216"/>
        <v>0</v>
      </c>
      <c r="BJ370" s="195" t="str">
        <f>IFERROR($G370*(IF('Inputs Yr 2'!$AJ371=BJ$4,'Inputs Yr 2'!$AK371,IF('Inputs Yr 2'!$AL371=BJ$4,'Inputs Yr 2'!$AM371,IF('Inputs Yr 2'!$AN371=BJ$4,'Inputs Yr 2'!$AO371,0))))*(INDEX(avoidedcosttbl2,$H370,BJ$2)+(($H370-ROUNDDOWN($H370,0))*(INDEX(avoidedcosttbl2,ROUNDUP($H370,0),BJ$2)-(INDEX(avoidedcosttbl2,ROUNDDOWN($H370,0),BJ$2)))))*'Inputs Yr 2'!P371*'Inputs Yr 2'!Q371*'Inputs Yr 2'!U371,"")</f>
        <v/>
      </c>
      <c r="BK370" s="195" t="str">
        <f>IFERROR($G370*(IF('Inputs Yr 2'!$AJ371=BK$4,'Inputs Yr 2'!$AK371,IF('Inputs Yr 2'!$AL371=BK$4,'Inputs Yr 2'!$AM371,IF('Inputs Yr 2'!$AN371=BK$4,'Inputs Yr 2'!$AO371,0))))*(INDEX(avoidedcosttbl2,$H370,BK$2)+(($H370-ROUNDDOWN($H370,0))*(INDEX(avoidedcosttbl2,ROUNDUP($H370,0),BK$2)-(INDEX(avoidedcosttbl2,ROUNDDOWN($H370,0),BK$2)))))*'Inputs Yr 2'!P371*'Inputs Yr 2'!Q371*'Inputs Yr 2'!U371,"")</f>
        <v/>
      </c>
      <c r="BL370" s="195" t="str">
        <f>IFERROR($G370*(IF('Inputs Yr 2'!$AJ371=BL$4,'Inputs Yr 2'!$AK371,IF('Inputs Yr 2'!$AL371=BL$4,'Inputs Yr 2'!$AM371,IF('Inputs Yr 2'!$AN371=BL$4,'Inputs Yr 2'!$AO371,0))))*(INDEX(avoidedcosttbl2,$H370,BL$2)+(($H370-ROUNDDOWN($H370,0))*(INDEX(avoidedcosttbl2,ROUNDUP($H370,0),BL$2)-(INDEX(avoidedcosttbl2,ROUNDDOWN($H370,0),BL$2)))))*'Inputs Yr 2'!P371*'Inputs Yr 2'!Q371*'Inputs Yr 2'!U371,"")</f>
        <v/>
      </c>
      <c r="BM370" s="195" t="str">
        <f>IFERROR($G370*(IF('Inputs Yr 2'!$AJ371=BM$4,'Inputs Yr 2'!$AK371,IF('Inputs Yr 2'!$AL371=BM$4,'Inputs Yr 2'!$AM371,IF('Inputs Yr 2'!$AN371=BM$4,'Inputs Yr 2'!$AO371,0))))*(INDEX(avoidedcosttbl2,$H370,BM$2)+(($H370-ROUNDDOWN($H370,0))*(INDEX(avoidedcosttbl2,ROUNDUP($H370,0),BM$2)-(INDEX(avoidedcosttbl2,ROUNDDOWN($H370,0),BM$2)))))*'Inputs Yr 2'!P371*'Inputs Yr 2'!Q371*'Inputs Yr 2'!U371,"")</f>
        <v/>
      </c>
      <c r="BN370" s="195" t="str">
        <f>IFERROR($G370*(IF('Inputs Yr 2'!$AJ371=BN$4,'Inputs Yr 2'!$AK371,IF('Inputs Yr 2'!$AL371=BN$4,'Inputs Yr 2'!$AM371,IF('Inputs Yr 2'!$AN371=BN$4,'Inputs Yr 2'!$AO371,0))))*(INDEX(avoidedcosttbl2,$H370,BN$2)+(($H370-ROUNDDOWN($H370,0))*(INDEX(avoidedcosttbl2,ROUNDUP($H370,0),BN$2)-(INDEX(avoidedcosttbl2,ROUNDDOWN($H370,0),BN$2)))))*'Inputs Yr 2'!P371*'Inputs Yr 2'!Q371*'Inputs Yr 2'!U371,"")</f>
        <v/>
      </c>
      <c r="BO370" s="195" t="str">
        <f>IFERROR($G370*(IF('Inputs Yr 2'!$AJ371=BO$4,'Inputs Yr 2'!$AK371,IF('Inputs Yr 2'!$AL371=BO$4,'Inputs Yr 2'!$AM371,IF('Inputs Yr 2'!$AN371=BO$4,'Inputs Yr 2'!$AO371,0))))*(INDEX(avoidedcosttbl2,$H370,BO$2)+(($H370-ROUNDDOWN($H370,0))*(INDEX(avoidedcosttbl2,ROUNDUP($H370,0),BO$2)-(INDEX(avoidedcosttbl2,ROUNDDOWN($H370,0),BO$2)))))*'Inputs Yr 2'!P371*'Inputs Yr 2'!Q371*'Inputs Yr 2'!U371,"")</f>
        <v/>
      </c>
      <c r="BP370" s="195" t="str">
        <f>IFERROR($G370*(IF('Inputs Yr 2'!$AJ371=BP$4,'Inputs Yr 2'!$AK371,IF('Inputs Yr 2'!$AL371=BP$4,'Inputs Yr 2'!$AM371,IF('Inputs Yr 2'!$AN371=BP$4,'Inputs Yr 2'!$AO371,0))))*(INDEX(avoidedcosttbl2,$H370,BP$2)+(($H370-ROUNDDOWN($H370,0))*(INDEX(avoidedcosttbl2,ROUNDUP($H370,0),BP$2)-(INDEX(avoidedcosttbl2,ROUNDDOWN($H370,0),BP$2)))))*'Inputs Yr 2'!P371*'Inputs Yr 2'!Q371*'Inputs Yr 2'!U371,"")</f>
        <v/>
      </c>
      <c r="BQ370" s="230">
        <f t="shared" si="217"/>
        <v>0</v>
      </c>
      <c r="BR370" s="197" t="str">
        <f t="shared" si="218"/>
        <v/>
      </c>
      <c r="BS370" s="197" t="str">
        <f>IFERROR(($G370*IF('Inputs Yr 2'!$AJ371=BM$4,'Inputs Yr 2'!$AK371,IF('Inputs Yr 2'!$AL371=BM$4,'Inputs Yr 2'!$AM371,IF('Inputs Yr 2'!$AN371=BM$4,'Inputs Yr 2'!$AO371,0))))*(INDEX(avoidedcosttbl2,$H370,BS$2)+(($H370-ROUNDDOWN($H370,0))*(INDEX(avoidedcosttbl2,ROUNDUP($H370,0),BS$2)-(INDEX(avoidedcosttbl2,ROUNDDOWN($H370,0),BS$2)))))*'Inputs Yr 2'!P371*'Inputs Yr 2'!Q371*'Inputs Yr 2'!U371,"")</f>
        <v/>
      </c>
      <c r="BT370" s="197" t="str">
        <f>IFERROR(($G370*IF('Inputs Yr 2'!$AJ371=BK$4,'Inputs Yr 2'!$AK371,IF('Inputs Yr 2'!$AL371=BK$4,'Inputs Yr 2'!$AM371,IF('Inputs Yr 2'!$AN371=BK$4,'Inputs Yr 2'!$AO371,0))))*(INDEX(avoidedcosttbl2,$H370,BT$2)+(($H370-ROUNDDOWN($H370,0))*(INDEX(avoidedcosttbl2,ROUNDUP($H370,0),BT$2)-(INDEX(avoidedcosttbl2,ROUNDDOWN($H370,0),BT$2)))))*'Inputs Yr 2'!P371*'Inputs Yr 2'!Q371*'Inputs Yr 2'!U371,"")</f>
        <v/>
      </c>
      <c r="BU370" s="197" t="str">
        <f>IFERROR(($G370*IF('Inputs Yr 2'!$AJ371=BL$4,'Inputs Yr 2'!$AK371,IF('Inputs Yr 2'!$AL371=BL$4,'Inputs Yr 2'!$AM371,IF('Inputs Yr 2'!$AN371=BL$4,'Inputs Yr 2'!$AO371,0))))*(INDEX(avoidedcosttbl2,$H370,BU$2)+(($H370-ROUNDDOWN($H370,0))*(INDEX(avoidedcosttbl2,ROUNDUP($H370,0),BU$2)-(INDEX(avoidedcosttbl2,ROUNDDOWN($H370,0),BU$2)))))*'Inputs Yr 2'!P371*'Inputs Yr 2'!Q371*'Inputs Yr 2'!U371,"")</f>
        <v/>
      </c>
      <c r="BV370" s="775" t="str">
        <f>IFERROR(($G370*IF('Inputs Yr 2'!$AJ371=BJ$4,'Inputs Yr 2'!$AK371,IF('Inputs Yr 2'!$AL371=BJ$4,'Inputs Yr 2'!$AM371,IF('Inputs Yr 2'!$AN371=BJ$4,'Inputs Yr 2'!$AO371,0))))*(INDEX(avoidedcosttbl2,$H370,BV$2)+(($H370-ROUNDDOWN($H370,0))*(INDEX(avoidedcosttbl2,ROUNDUP($H370,0),BV$2)-(INDEX(avoidedcosttbl2,ROUNDDOWN($H370,0),BV$2)))))*'Inputs Yr 2'!P371*'Inputs Yr 2'!Q371*'Inputs Yr 2'!U371,"")</f>
        <v/>
      </c>
      <c r="BW370" s="197" t="str">
        <f>IFERROR(($G370*IF('Inputs Yr 2'!$AJ371=BN$4,'Inputs Yr 2'!$AK371,IF('Inputs Yr 2'!$AL371=BN$4,'Inputs Yr 2'!$AM371,IF('Inputs Yr 2'!$AN371=BN$4,'Inputs Yr 2'!$AO371,0))))*(INDEX(avoidedcosttbl2,$H370,BW$2)+(($H370-ROUNDDOWN($H370,0))*(INDEX(avoidedcosttbl2,ROUNDUP($H370,0),BW$2)-(INDEX(avoidedcosttbl2,ROUNDDOWN($H370,0),BW$2)))))*'Inputs Yr 2'!P371*'Inputs Yr 2'!Q371*'Inputs Yr 2'!U371,"")</f>
        <v/>
      </c>
      <c r="BX370" s="197" t="str">
        <f>IFERROR(($G370*IF('Inputs Yr 2'!$AJ371=BO$4,'Inputs Yr 2'!$AK371,IF('Inputs Yr 2'!$AL371=BO$4,'Inputs Yr 2'!$AM371,IF('Inputs Yr 2'!$AN371=BO$4,'Inputs Yr 2'!$AO371,0))))*(INDEX(avoidedcosttbl2,$H370,BX$2)+(($H370-ROUNDDOWN($H370,0))*(INDEX(avoidedcosttbl2,ROUNDUP($H370,0),BX$2)-(INDEX(avoidedcosttbl2,ROUNDDOWN($H370,0),BX$2)))))*'Inputs Yr 2'!P371*'Inputs Yr 2'!Q371*'Inputs Yr 2'!U371,"")</f>
        <v/>
      </c>
      <c r="BY370" s="197" t="str">
        <f>IFERROR(($G370*IF('Inputs Yr 2'!$AJ371=BP$4,'Inputs Yr 2'!$AK371,IF('Inputs Yr 2'!$AL371=BP$4,'Inputs Yr 2'!$AM371,IF('Inputs Yr 2'!$AN371=BP$4,'Inputs Yr 2'!$AO371,0))))*(INDEX(avoidedcosttbl2,$H370,BY$2)+(($H370-ROUNDDOWN($H370,0))*(INDEX(avoidedcosttbl2,ROUNDUP($H370,0),BY$2)-(INDEX(avoidedcosttbl2,ROUNDDOWN($H370,0),BY$2)))))*'Inputs Yr 2'!P371*'Inputs Yr 2'!Q371*'Inputs Yr 2'!U371,"")</f>
        <v/>
      </c>
      <c r="BZ370" s="193">
        <f t="shared" si="219"/>
        <v>0</v>
      </c>
      <c r="CA370" s="193">
        <f t="shared" si="220"/>
        <v>0</v>
      </c>
      <c r="CB370" s="195" t="str">
        <f>IFERROR(G370*(IF('Inputs Yr 2'!$AJ371=CB$4,'Inputs Yr 2'!$AK371,IF('Inputs Yr 2'!$AL371=CB$4,'Inputs Yr 2'!$AM371,IF('Inputs Yr 2'!$AN371=CB$4,'Inputs Yr 2'!$AO371,0))))*(INDEX(avoidedcosttbl2,$H370,CB$2)+(($H370-ROUNDDOWN($H370,0))*(INDEX(avoidedcosttbl2,ROUNDUP($H370,0),CB$2)-(INDEX(avoidedcosttbl2,ROUNDDOWN($H370,0),CB$2)))))*'Inputs Yr 2'!P371*'Inputs Yr 2'!Q371*'Inputs Yr 2'!U371,"")</f>
        <v/>
      </c>
      <c r="CC370" s="195" t="str">
        <f>IFERROR(H370*(IF('Inputs Yr 2'!$AJ371=CC$4,'Inputs Yr 2'!$AK371,IF('Inputs Yr 2'!$AL371=CC$4,'Inputs Yr 2'!$AM371,IF('Inputs Yr 2'!$AN371=CC$4,'Inputs Yr 2'!$AO371,0))))*(INDEX(avoidedcosttbl2,$H370,CC$2)+(($H370-ROUNDDOWN($H370,0))*(INDEX(avoidedcosttbl2,ROUNDUP($H370,0),CC$2)-(INDEX(avoidedcosttbl2,ROUNDDOWN($H370,0),CC$2)))))*'Inputs Yr 2'!Q371*'Inputs Yr 2'!R371*'Inputs Yr 2'!V371,"")</f>
        <v/>
      </c>
      <c r="CD370" s="195" t="str">
        <f>IFERROR(I370*(IF('Inputs Yr 2'!$AJ371=CD$4,'Inputs Yr 2'!$AK371,IF('Inputs Yr 2'!$AL371=CD$4,'Inputs Yr 2'!$AM371,IF('Inputs Yr 2'!$AN371=CD$4,'Inputs Yr 2'!$AO371,0))))*(INDEX(avoidedcosttbl2,$H370,CD$2)+(($H370-ROUNDDOWN($H370,0))*(INDEX(avoidedcosttbl2,ROUNDUP($H370,0),CD$2)-(INDEX(avoidedcosttbl2,ROUNDDOWN($H370,0),CD$2)))))*'Inputs Yr 2'!R371*'Inputs Yr 2'!S371*'Inputs Yr 2'!W371,"")</f>
        <v/>
      </c>
      <c r="CE370" s="213" t="str">
        <f t="shared" si="221"/>
        <v/>
      </c>
      <c r="CF370" s="213" t="str">
        <f t="shared" si="222"/>
        <v/>
      </c>
      <c r="CG370" s="213" t="str">
        <f t="shared" si="223"/>
        <v/>
      </c>
      <c r="CH370" s="698">
        <f t="shared" si="224"/>
        <v>0</v>
      </c>
      <c r="CI370" s="79" t="str">
        <f>IFERROR(($G370*'Inputs Yr 2'!$P371*'Inputs Yr 2'!$Q371*(((INDEX(avoidedcosttbl2,$H370,CI$2)+(($H370-ROUNDDOWN($H370,0))*(INDEX(avoidedcosttbl2,ROUNDUP($H370,0),CI$2)-INDEX(avoidedcosttbl2,ROUNDDOWN($H370,0),CI$2))))*'Inputs Yr 2'!AS371))),"")</f>
        <v/>
      </c>
      <c r="CJ370" s="504" t="str">
        <f>IFERROR($G370*'Inputs Yr 2'!AT371*'Inputs Yr 2'!$P371*'Inputs Yr 2'!$Q371/((1+realdiscrt1)^-0.5),"")</f>
        <v/>
      </c>
      <c r="CK370" s="79" t="str">
        <f>IFERROR((O370*1000*(((INDEX(avoidedcosttbl2,$H370,CK$2)+(($H370-ROUNDDOWN($H370,0))*(INDEX(avoidedcosttbl2,ROUNDUP($H370,0),CK$2)-INDEX(avoidedcosttbl2,ROUNDDOWN($H370,0),CK$2))))*'Inputs Yr 2'!AU371))),"")</f>
        <v/>
      </c>
      <c r="CL370" s="504" t="str">
        <f>IFERROR(O370*1000*'Inputs Yr 2'!AV371/((1+realdiscrt1)^-0.5),"")</f>
        <v/>
      </c>
      <c r="CM370" s="79" t="str">
        <f>IFERROR((AB370*'Inputs Yr 2'!AW371*(((INDEX(avoidedcosttbl2,$H370,CM$2)+(($H370-ROUNDDOWN($H370,0))*(INDEX(avoidedcosttbl2,ROUNDUP($H370,0),CM$2)-INDEX(avoidedcosttbl2,ROUNDDOWN($H370,0),CM$2)))))))*10,"")</f>
        <v/>
      </c>
      <c r="CN370" s="504">
        <f>IFERROR(10*AB370*'Inputs Yr 2'!AX371/((1+realdiscrt1)^-0.5),"")</f>
        <v>0</v>
      </c>
      <c r="CO370" s="505">
        <f t="shared" si="225"/>
        <v>0</v>
      </c>
      <c r="CP370" s="230">
        <f t="shared" si="226"/>
        <v>0</v>
      </c>
      <c r="CQ370" s="199">
        <f>ROUND(IFERROR(IF(LEFT($A370,1)="C",'Avoided Costs'!$K$13,'Avoided Costs'!$K$12)+1,""),4)</f>
        <v>1.0720000000000001</v>
      </c>
      <c r="CR370" s="199">
        <f>ROUND(IFERROR(IF(LEFT($A370,1)="C",'Avoided Costs'!$L$13,'Avoided Costs'!$L$12)+1,""),4)</f>
        <v>1.04</v>
      </c>
      <c r="CS370" s="199">
        <f>ROUND(IFERROR(IF(LEFT($A370,1)="C",'Avoided Costs'!$M$13,'Avoided Costs'!$M$12)+1,""),4)</f>
        <v>1.0720000000000001</v>
      </c>
      <c r="CT370" s="199">
        <f>ROUND(IFERROR(IF(LEFT($A370,1)="C",'Avoided Costs'!$N$13,'Avoided Costs'!$N$12)+1,""),4)</f>
        <v>1.04</v>
      </c>
      <c r="CU370" s="199">
        <f>ROUND(IFERROR(IF(LEFT($A370,1)="C",'Avoided Costs'!$O$13,'Avoided Costs'!$O$12)+1,""),4)</f>
        <v>1.1120000000000001</v>
      </c>
      <c r="CV370" s="199">
        <f>ROUND(IFERROR(IF(LEFT($A370,1)="C",'Avoided Costs'!$P$13,'Avoided Costs'!$P$12)+1,""),4)</f>
        <v>1.095</v>
      </c>
      <c r="CW370" s="199">
        <f>ROUND(IFERROR(IF(LEFT($A370,1)="C",'Avoided Costs'!$Q$13,'Avoided Costs'!$Q$12)+1,""),4)</f>
        <v>1.1120000000000001</v>
      </c>
      <c r="CX370" s="200">
        <f>ROUND(IFERROR(IF(LEFT($A370,1)="C",'Avoided Costs'!$R$13,'Avoided Costs'!$R$12)+1,""),4)</f>
        <v>1.1120000000000001</v>
      </c>
    </row>
    <row r="371" spans="1:102" s="128" customFormat="1" ht="12.75" customHeight="1">
      <c r="A371" s="91" t="str">
        <f>IF('Inputs Yr 2'!$B408=0,"",'Inputs Yr 2'!A408)</f>
        <v/>
      </c>
      <c r="B371" s="91" t="str">
        <f>IF('Inputs Yr 2'!$B408=0,"",'Inputs Yr 2'!B408)</f>
        <v/>
      </c>
      <c r="C371" s="91" t="str">
        <f>IF('Inputs Yr 2'!$B372=0,"",'Inputs Yr 2'!C372)</f>
        <v/>
      </c>
      <c r="D371" s="91" t="str">
        <f>IF('Inputs Yr 2'!$B372=0,"",'Inputs Yr 2'!E372)</f>
        <v/>
      </c>
      <c r="E371" s="93" t="str">
        <f>IF('Inputs Yr 2'!$B372=0,"",'Inputs Yr 2'!F372)</f>
        <v/>
      </c>
      <c r="F371" s="93" t="str">
        <f>IF('Inputs Yr 2'!$B372=0,"",'Inputs Yr 2'!G372)</f>
        <v/>
      </c>
      <c r="G371" s="95" t="str">
        <f>IF('Inputs Yr 2'!$H372&lt;&gt;0,('Inputs Yr 2'!H372),"")</f>
        <v/>
      </c>
      <c r="H371" s="94">
        <f>IFERROR('Inputs Yr 2'!I372,"")</f>
        <v>0</v>
      </c>
      <c r="I371" s="298" t="str">
        <f>IFERROR('Inputs Yr 2'!J372*'Inputs Yr 2'!P372*G371,"")</f>
        <v/>
      </c>
      <c r="J371" s="298" t="str">
        <f>IFERROR('Inputs Yr 2'!K372*G371,"")</f>
        <v/>
      </c>
      <c r="K371" s="298" t="str">
        <f t="shared" si="197"/>
        <v/>
      </c>
      <c r="L371" s="194" t="str">
        <f>IFERROR(('Inputs Yr 2'!W372*G371)/1000,"")</f>
        <v/>
      </c>
      <c r="M371" s="194" t="str">
        <f>IFERROR(L371*('Inputs Yr 2'!$Q372*'Inputs Yr 2'!$V372*'Inputs Yr 2'!$R372),"")</f>
        <v/>
      </c>
      <c r="N371" s="194" t="str">
        <f t="shared" si="198"/>
        <v/>
      </c>
      <c r="O371" s="194" t="str">
        <f>IFERROR(M371*'Inputs Yr 2'!P372,"")</f>
        <v/>
      </c>
      <c r="P371" s="194" t="str">
        <f t="shared" si="199"/>
        <v/>
      </c>
      <c r="Q371" s="194" t="str">
        <f>IFERROR($P371*'Inputs Yr 2'!AA372,"")</f>
        <v/>
      </c>
      <c r="R371" s="194" t="str">
        <f>IFERROR($P371*'Inputs Yr 2'!AB372,"")</f>
        <v/>
      </c>
      <c r="S371" s="194" t="str">
        <f>IFERROR($P371*'Inputs Yr 2'!AC372,"")</f>
        <v/>
      </c>
      <c r="T371" s="194" t="str">
        <f>IFERROR($P371*'Inputs Yr 2'!AD372,"")</f>
        <v/>
      </c>
      <c r="U371" s="194" t="str">
        <f>IFERROR(G371*'Inputs Yr 2'!$AE372*'Inputs Yr 2'!$P372*'Inputs Yr 2'!$Q372,"")</f>
        <v/>
      </c>
      <c r="V371" s="194" t="str">
        <f>IFERROR($G371*'Inputs Yr 2'!$AE372*'Inputs Yr 2'!$AG372*'Inputs Yr 2'!Q372*'Inputs Yr 2'!$S372,"")</f>
        <v/>
      </c>
      <c r="W371" s="194" t="str">
        <f>IFERROR($G371*'Inputs Yr 2'!$AE372*'Inputs Yr 2'!$AG372*'Inputs Yr 2'!P372*'Inputs Yr 2'!Q372*'Inputs Yr 2'!$S372,"")</f>
        <v/>
      </c>
      <c r="X371" s="194" t="str">
        <f>IFERROR($G371*'Inputs Yr 2'!$AE372*'Inputs Yr 2'!$AF372*'Inputs Yr 2'!Q372*'Inputs Yr 2'!$T372,"")</f>
        <v/>
      </c>
      <c r="Y371" s="194" t="str">
        <f>IFERROR($G371*'Inputs Yr 2'!$AE372*'Inputs Yr 2'!$AF372*'Inputs Yr 2'!P372*'Inputs Yr 2'!Q372*'Inputs Yr 2'!$T372,"")</f>
        <v/>
      </c>
      <c r="Z371" s="257">
        <f>IFERROR($G371*'Inputs Yr 2'!$Q372*'Inputs Yr 2'!$U372*(IF(IFERROR(SEARCH("NG", 'Inputs Yr 2'!$AJ372),0),'Inputs Yr 2'!$AK372,0)+IF(IFERROR(SEARCH("NG", 'Inputs Yr 2'!$AL372),0),'Inputs Yr 2'!$AM372,0)+IF(IFERROR(SEARCH("NG", 'Inputs Yr 2'!$AN372),0),'Inputs Yr 2'!$AO372,0)),0)</f>
        <v>0</v>
      </c>
      <c r="AA371" s="257">
        <f t="shared" si="200"/>
        <v>0</v>
      </c>
      <c r="AB371" s="257">
        <f>IFERROR(Z371*'Inputs Yr 2'!$P372,0)</f>
        <v>0</v>
      </c>
      <c r="AC371" s="257">
        <f t="shared" si="201"/>
        <v>0</v>
      </c>
      <c r="AD371" s="257">
        <f>IFERROR($G371*'Inputs Yr 2'!$Q372*'Inputs Yr 2'!$U372*(IF(IFERROR(SEARCH("Oil", 'Inputs Yr 2'!$AJ372), 0),'Inputs Yr 2'!$AK372,0)+IF(IFERROR(SEARCH("Oil", 'Inputs Yr 2'!$AL372), 0),'Inputs Yr 2'!$AM372,0)+IF(IFERROR(SEARCH("Oil", 'Inputs Yr 2'!$AN372), 0),'Inputs Yr 2'!$AO372,0)),0)</f>
        <v>0</v>
      </c>
      <c r="AE371" s="257">
        <f t="shared" si="202"/>
        <v>0</v>
      </c>
      <c r="AF371" s="257">
        <f>IFERROR(AD371*'Inputs Yr 2'!$P372,0)</f>
        <v>0</v>
      </c>
      <c r="AG371" s="257">
        <f t="shared" si="203"/>
        <v>0</v>
      </c>
      <c r="AH371" s="257">
        <f>IFERROR($G371*'Inputs Yr 2'!$Q372*'Inputs Yr 2'!$U372*(IF('Inputs Yr 2'!$AJ372=CD$4,'Inputs Yr 2'!$AK372,IF('Inputs Yr 2'!$AL372=CD$4,'Inputs Yr 2'!$AM372,IF('Inputs Yr 2'!$AN372=CD$4,'Inputs Yr 2'!$AO372,0)))),0)</f>
        <v>0</v>
      </c>
      <c r="AI371" s="257">
        <f t="shared" si="204"/>
        <v>0</v>
      </c>
      <c r="AJ371" s="257">
        <f>IFERROR(AH371*'Inputs Yr 2'!$P372,0)</f>
        <v>0</v>
      </c>
      <c r="AK371" s="257">
        <f t="shared" si="205"/>
        <v>0</v>
      </c>
      <c r="AL371" s="258">
        <f>IFERROR($G371*'Inputs Yr 2'!$P372*'Inputs Yr 2'!$Q372*'Inputs Yr 2'!AP372,0)</f>
        <v>0</v>
      </c>
      <c r="AM371" s="260">
        <f>IFERROR($G371*'Inputs Yr 2'!$P372*'Inputs Yr 2'!$Q372*'Inputs Yr 2'!AQ372,0)</f>
        <v>0</v>
      </c>
      <c r="AN371" s="258">
        <f>IFERROR($G371*'Inputs Yr 2'!$P372*'Inputs Yr 2'!$Q372*'Inputs Yr 2'!AR372,0)</f>
        <v>0</v>
      </c>
      <c r="AO371" s="257">
        <f t="shared" si="206"/>
        <v>0</v>
      </c>
      <c r="AP371" s="195" t="str">
        <f>IFERROR($CQ371*(INDEX(avoidedcosttbl2,$H371,AP$2)+(($H371-ROUNDDOWN($H371,0))*(INDEX(avoidedcosttbl2,ROUNDUP($H371,0),AP$2)-(INDEX(avoidedcosttbl2,ROUNDDOWN($H371,0),AP$2)))))*$O371*1000*'Inputs Yr 2'!AA372,"")</f>
        <v/>
      </c>
      <c r="AQ371" s="195" t="str">
        <f>IFERROR($CR371*(INDEX(avoidedcosttbl2,$H371,AQ$2)+(($H371-ROUNDDOWN($H371,0))*(INDEX(avoidedcosttbl2,ROUNDUP($H371,0),AQ$2)-(INDEX(avoidedcosttbl2,ROUNDDOWN($H371,0),AQ$2)))))*$O371*1000*'Inputs Yr 2'!AB372,"")</f>
        <v/>
      </c>
      <c r="AR371" s="195" t="str">
        <f>IFERROR($CS371*(INDEX(avoidedcosttbl2,$H371,AR$2)+(($H371-ROUNDDOWN($H371,0))*(INDEX(avoidedcosttbl2,ROUNDUP($H371,0),AR$2)-(INDEX(avoidedcosttbl2,ROUNDDOWN($H371,0),AR$2)))))*$O371*1000*'Inputs Yr 2'!AC372,"")</f>
        <v/>
      </c>
      <c r="AS371" s="195" t="str">
        <f>IFERROR($CT371*(INDEX(avoidedcosttbl2,$H371,AS$2)+(($H371-ROUNDDOWN($H371,0))*(INDEX(avoidedcosttbl2,ROUNDUP($H371,0),AS$2)-(INDEX(avoidedcosttbl2,ROUNDDOWN($H371,0),AS$2)))))*$O371*1000*'Inputs Yr 2'!AD372,"")</f>
        <v/>
      </c>
      <c r="AT371" s="196">
        <f t="shared" si="207"/>
        <v>0</v>
      </c>
      <c r="AU371" s="197" t="str">
        <f>IFERROR($CQ371*((INDEX(avoidedcosttbl2,$H371,AU$2))+(($H371-ROUNDDOWN($H371,0))*((INDEX(avoidedcosttbl2,ROUNDUP($H371,0),AU$2))-(INDEX(avoidedcosttbl2,ROUNDDOWN($H371,0),AU$2)))))*$O371*1000*'Inputs Yr 2'!AA372,"")</f>
        <v/>
      </c>
      <c r="AV371" s="197" t="str">
        <f>IFERROR($CR371*((INDEX(avoidedcosttbl2,$H371,AV$2))+(($H371-ROUNDDOWN($H371,0))*((INDEX(avoidedcosttbl2,ROUNDUP($H371,0),AV$2))-(INDEX(avoidedcosttbl2,ROUNDDOWN($H371,0),AV$2)))))*$O371*1000*'Inputs Yr 2'!AB372,"")</f>
        <v/>
      </c>
      <c r="AW371" s="197" t="str">
        <f>IFERROR($CS371*((INDEX(avoidedcosttbl2,$H371,AW$2))+(($H371-ROUNDDOWN($H371,0))*((INDEX(avoidedcosttbl2,ROUNDUP($H371,0),AW$2))-(INDEX(avoidedcosttbl2,ROUNDDOWN($H371,0),AW$2)))))*$O371*1000*'Inputs Yr 2'!AC372,"")</f>
        <v/>
      </c>
      <c r="AX371" s="197" t="str">
        <f>IFERROR($CT371*((INDEX(avoidedcosttbl2,$H371,AX$2))+(($H371-ROUNDDOWN($H371,0))*((INDEX(avoidedcosttbl2,ROUNDUP($H371,0),AX$2))-(INDEX(avoidedcosttbl2,ROUNDDOWN($H371,0),AX$2)))))*$O371*1000*'Inputs Yr 2'!AD372,"")</f>
        <v/>
      </c>
      <c r="AY371" s="197" t="str">
        <f>IFERROR(((INDEX(avoidedcosttbl2,$H371,AY$2))+(($H371-ROUNDDOWN($H371,0))*((INDEX(avoidedcosttbl2,ROUNDUP($H371,0),AY$2))-(INDEX(avoidedcosttbl2,ROUNDDOWN($H371,0),AY$2)))))*$O371*1000*('Inputs Yr 2'!AC372+'Inputs Yr 2'!AD372),"")</f>
        <v/>
      </c>
      <c r="AZ371" s="197" t="str">
        <f>IFERROR(((INDEX(avoidedcosttbl2,$H371,AZ$2))+(($H371-ROUNDDOWN($H371,0))*((INDEX(avoidedcosttbl2,ROUNDUP($H371,0),AZ$2))-(INDEX(avoidedcosttbl2,ROUNDDOWN($H371,0),AZ$2)))))*$O371*1000*('Inputs Yr 2'!AA372+'Inputs Yr 2'!AB372),"")</f>
        <v/>
      </c>
      <c r="BA371" s="198">
        <f t="shared" si="208"/>
        <v>0</v>
      </c>
      <c r="BB371" s="198">
        <f t="shared" si="209"/>
        <v>0</v>
      </c>
      <c r="BC371" s="195" t="str">
        <f t="shared" si="210"/>
        <v/>
      </c>
      <c r="BD371" s="195" t="str">
        <f t="shared" si="211"/>
        <v/>
      </c>
      <c r="BE371" s="195" t="str">
        <f t="shared" si="212"/>
        <v/>
      </c>
      <c r="BF371" s="195" t="str">
        <f t="shared" si="213"/>
        <v/>
      </c>
      <c r="BG371" s="195" t="str">
        <f t="shared" si="214"/>
        <v/>
      </c>
      <c r="BH371" s="196">
        <f t="shared" si="215"/>
        <v>0</v>
      </c>
      <c r="BI371" s="196">
        <f t="shared" si="216"/>
        <v>0</v>
      </c>
      <c r="BJ371" s="195" t="str">
        <f>IFERROR($G371*(IF('Inputs Yr 2'!$AJ372=BJ$4,'Inputs Yr 2'!$AK372,IF('Inputs Yr 2'!$AL372=BJ$4,'Inputs Yr 2'!$AM372,IF('Inputs Yr 2'!$AN372=BJ$4,'Inputs Yr 2'!$AO372,0))))*(INDEX(avoidedcosttbl2,$H371,BJ$2)+(($H371-ROUNDDOWN($H371,0))*(INDEX(avoidedcosttbl2,ROUNDUP($H371,0),BJ$2)-(INDEX(avoidedcosttbl2,ROUNDDOWN($H371,0),BJ$2)))))*'Inputs Yr 2'!P372*'Inputs Yr 2'!Q372*'Inputs Yr 2'!U372,"")</f>
        <v/>
      </c>
      <c r="BK371" s="195" t="str">
        <f>IFERROR($G371*(IF('Inputs Yr 2'!$AJ372=BK$4,'Inputs Yr 2'!$AK372,IF('Inputs Yr 2'!$AL372=BK$4,'Inputs Yr 2'!$AM372,IF('Inputs Yr 2'!$AN372=BK$4,'Inputs Yr 2'!$AO372,0))))*(INDEX(avoidedcosttbl2,$H371,BK$2)+(($H371-ROUNDDOWN($H371,0))*(INDEX(avoidedcosttbl2,ROUNDUP($H371,0),BK$2)-(INDEX(avoidedcosttbl2,ROUNDDOWN($H371,0),BK$2)))))*'Inputs Yr 2'!P372*'Inputs Yr 2'!Q372*'Inputs Yr 2'!U372,"")</f>
        <v/>
      </c>
      <c r="BL371" s="195" t="str">
        <f>IFERROR($G371*(IF('Inputs Yr 2'!$AJ372=BL$4,'Inputs Yr 2'!$AK372,IF('Inputs Yr 2'!$AL372=BL$4,'Inputs Yr 2'!$AM372,IF('Inputs Yr 2'!$AN372=BL$4,'Inputs Yr 2'!$AO372,0))))*(INDEX(avoidedcosttbl2,$H371,BL$2)+(($H371-ROUNDDOWN($H371,0))*(INDEX(avoidedcosttbl2,ROUNDUP($H371,0),BL$2)-(INDEX(avoidedcosttbl2,ROUNDDOWN($H371,0),BL$2)))))*'Inputs Yr 2'!P372*'Inputs Yr 2'!Q372*'Inputs Yr 2'!U372,"")</f>
        <v/>
      </c>
      <c r="BM371" s="195" t="str">
        <f>IFERROR($G371*(IF('Inputs Yr 2'!$AJ372=BM$4,'Inputs Yr 2'!$AK372,IF('Inputs Yr 2'!$AL372=BM$4,'Inputs Yr 2'!$AM372,IF('Inputs Yr 2'!$AN372=BM$4,'Inputs Yr 2'!$AO372,0))))*(INDEX(avoidedcosttbl2,$H371,BM$2)+(($H371-ROUNDDOWN($H371,0))*(INDEX(avoidedcosttbl2,ROUNDUP($H371,0),BM$2)-(INDEX(avoidedcosttbl2,ROUNDDOWN($H371,0),BM$2)))))*'Inputs Yr 2'!P372*'Inputs Yr 2'!Q372*'Inputs Yr 2'!U372,"")</f>
        <v/>
      </c>
      <c r="BN371" s="195" t="str">
        <f>IFERROR($G371*(IF('Inputs Yr 2'!$AJ372=BN$4,'Inputs Yr 2'!$AK372,IF('Inputs Yr 2'!$AL372=BN$4,'Inputs Yr 2'!$AM372,IF('Inputs Yr 2'!$AN372=BN$4,'Inputs Yr 2'!$AO372,0))))*(INDEX(avoidedcosttbl2,$H371,BN$2)+(($H371-ROUNDDOWN($H371,0))*(INDEX(avoidedcosttbl2,ROUNDUP($H371,0),BN$2)-(INDEX(avoidedcosttbl2,ROUNDDOWN($H371,0),BN$2)))))*'Inputs Yr 2'!P372*'Inputs Yr 2'!Q372*'Inputs Yr 2'!U372,"")</f>
        <v/>
      </c>
      <c r="BO371" s="195" t="str">
        <f>IFERROR($G371*(IF('Inputs Yr 2'!$AJ372=BO$4,'Inputs Yr 2'!$AK372,IF('Inputs Yr 2'!$AL372=BO$4,'Inputs Yr 2'!$AM372,IF('Inputs Yr 2'!$AN372=BO$4,'Inputs Yr 2'!$AO372,0))))*(INDEX(avoidedcosttbl2,$H371,BO$2)+(($H371-ROUNDDOWN($H371,0))*(INDEX(avoidedcosttbl2,ROUNDUP($H371,0),BO$2)-(INDEX(avoidedcosttbl2,ROUNDDOWN($H371,0),BO$2)))))*'Inputs Yr 2'!P372*'Inputs Yr 2'!Q372*'Inputs Yr 2'!U372,"")</f>
        <v/>
      </c>
      <c r="BP371" s="195" t="str">
        <f>IFERROR($G371*(IF('Inputs Yr 2'!$AJ372=BP$4,'Inputs Yr 2'!$AK372,IF('Inputs Yr 2'!$AL372=BP$4,'Inputs Yr 2'!$AM372,IF('Inputs Yr 2'!$AN372=BP$4,'Inputs Yr 2'!$AO372,0))))*(INDEX(avoidedcosttbl2,$H371,BP$2)+(($H371-ROUNDDOWN($H371,0))*(INDEX(avoidedcosttbl2,ROUNDUP($H371,0),BP$2)-(INDEX(avoidedcosttbl2,ROUNDDOWN($H371,0),BP$2)))))*'Inputs Yr 2'!P372*'Inputs Yr 2'!Q372*'Inputs Yr 2'!U372,"")</f>
        <v/>
      </c>
      <c r="BQ371" s="230">
        <f t="shared" si="217"/>
        <v>0</v>
      </c>
      <c r="BR371" s="197" t="str">
        <f t="shared" si="218"/>
        <v/>
      </c>
      <c r="BS371" s="197" t="str">
        <f>IFERROR(($G371*IF('Inputs Yr 2'!$AJ372=BM$4,'Inputs Yr 2'!$AK372,IF('Inputs Yr 2'!$AL372=BM$4,'Inputs Yr 2'!$AM372,IF('Inputs Yr 2'!$AN372=BM$4,'Inputs Yr 2'!$AO372,0))))*(INDEX(avoidedcosttbl2,$H371,BS$2)+(($H371-ROUNDDOWN($H371,0))*(INDEX(avoidedcosttbl2,ROUNDUP($H371,0),BS$2)-(INDEX(avoidedcosttbl2,ROUNDDOWN($H371,0),BS$2)))))*'Inputs Yr 2'!P372*'Inputs Yr 2'!Q372*'Inputs Yr 2'!U372,"")</f>
        <v/>
      </c>
      <c r="BT371" s="197" t="str">
        <f>IFERROR(($G371*IF('Inputs Yr 2'!$AJ372=BK$4,'Inputs Yr 2'!$AK372,IF('Inputs Yr 2'!$AL372=BK$4,'Inputs Yr 2'!$AM372,IF('Inputs Yr 2'!$AN372=BK$4,'Inputs Yr 2'!$AO372,0))))*(INDEX(avoidedcosttbl2,$H371,BT$2)+(($H371-ROUNDDOWN($H371,0))*(INDEX(avoidedcosttbl2,ROUNDUP($H371,0),BT$2)-(INDEX(avoidedcosttbl2,ROUNDDOWN($H371,0),BT$2)))))*'Inputs Yr 2'!P372*'Inputs Yr 2'!Q372*'Inputs Yr 2'!U372,"")</f>
        <v/>
      </c>
      <c r="BU371" s="197" t="str">
        <f>IFERROR(($G371*IF('Inputs Yr 2'!$AJ372=BL$4,'Inputs Yr 2'!$AK372,IF('Inputs Yr 2'!$AL372=BL$4,'Inputs Yr 2'!$AM372,IF('Inputs Yr 2'!$AN372=BL$4,'Inputs Yr 2'!$AO372,0))))*(INDEX(avoidedcosttbl2,$H371,BU$2)+(($H371-ROUNDDOWN($H371,0))*(INDEX(avoidedcosttbl2,ROUNDUP($H371,0),BU$2)-(INDEX(avoidedcosttbl2,ROUNDDOWN($H371,0),BU$2)))))*'Inputs Yr 2'!P372*'Inputs Yr 2'!Q372*'Inputs Yr 2'!U372,"")</f>
        <v/>
      </c>
      <c r="BV371" s="775" t="str">
        <f>IFERROR(($G371*IF('Inputs Yr 2'!$AJ372=BJ$4,'Inputs Yr 2'!$AK372,IF('Inputs Yr 2'!$AL372=BJ$4,'Inputs Yr 2'!$AM372,IF('Inputs Yr 2'!$AN372=BJ$4,'Inputs Yr 2'!$AO372,0))))*(INDEX(avoidedcosttbl2,$H371,BV$2)+(($H371-ROUNDDOWN($H371,0))*(INDEX(avoidedcosttbl2,ROUNDUP($H371,0),BV$2)-(INDEX(avoidedcosttbl2,ROUNDDOWN($H371,0),BV$2)))))*'Inputs Yr 2'!P372*'Inputs Yr 2'!Q372*'Inputs Yr 2'!U372,"")</f>
        <v/>
      </c>
      <c r="BW371" s="197" t="str">
        <f>IFERROR(($G371*IF('Inputs Yr 2'!$AJ372=BN$4,'Inputs Yr 2'!$AK372,IF('Inputs Yr 2'!$AL372=BN$4,'Inputs Yr 2'!$AM372,IF('Inputs Yr 2'!$AN372=BN$4,'Inputs Yr 2'!$AO372,0))))*(INDEX(avoidedcosttbl2,$H371,BW$2)+(($H371-ROUNDDOWN($H371,0))*(INDEX(avoidedcosttbl2,ROUNDUP($H371,0),BW$2)-(INDEX(avoidedcosttbl2,ROUNDDOWN($H371,0),BW$2)))))*'Inputs Yr 2'!P372*'Inputs Yr 2'!Q372*'Inputs Yr 2'!U372,"")</f>
        <v/>
      </c>
      <c r="BX371" s="197" t="str">
        <f>IFERROR(($G371*IF('Inputs Yr 2'!$AJ372=BO$4,'Inputs Yr 2'!$AK372,IF('Inputs Yr 2'!$AL372=BO$4,'Inputs Yr 2'!$AM372,IF('Inputs Yr 2'!$AN372=BO$4,'Inputs Yr 2'!$AO372,0))))*(INDEX(avoidedcosttbl2,$H371,BX$2)+(($H371-ROUNDDOWN($H371,0))*(INDEX(avoidedcosttbl2,ROUNDUP($H371,0),BX$2)-(INDEX(avoidedcosttbl2,ROUNDDOWN($H371,0),BX$2)))))*'Inputs Yr 2'!P372*'Inputs Yr 2'!Q372*'Inputs Yr 2'!U372,"")</f>
        <v/>
      </c>
      <c r="BY371" s="197" t="str">
        <f>IFERROR(($G371*IF('Inputs Yr 2'!$AJ372=BP$4,'Inputs Yr 2'!$AK372,IF('Inputs Yr 2'!$AL372=BP$4,'Inputs Yr 2'!$AM372,IF('Inputs Yr 2'!$AN372=BP$4,'Inputs Yr 2'!$AO372,0))))*(INDEX(avoidedcosttbl2,$H371,BY$2)+(($H371-ROUNDDOWN($H371,0))*(INDEX(avoidedcosttbl2,ROUNDUP($H371,0),BY$2)-(INDEX(avoidedcosttbl2,ROUNDDOWN($H371,0),BY$2)))))*'Inputs Yr 2'!P372*'Inputs Yr 2'!Q372*'Inputs Yr 2'!U372,"")</f>
        <v/>
      </c>
      <c r="BZ371" s="193">
        <f t="shared" si="219"/>
        <v>0</v>
      </c>
      <c r="CA371" s="193">
        <f t="shared" si="220"/>
        <v>0</v>
      </c>
      <c r="CB371" s="195" t="str">
        <f>IFERROR(G371*(IF('Inputs Yr 2'!$AJ372=CB$4,'Inputs Yr 2'!$AK372,IF('Inputs Yr 2'!$AL372=CB$4,'Inputs Yr 2'!$AM372,IF('Inputs Yr 2'!$AN372=CB$4,'Inputs Yr 2'!$AO372,0))))*(INDEX(avoidedcosttbl2,$H371,CB$2)+(($H371-ROUNDDOWN($H371,0))*(INDEX(avoidedcosttbl2,ROUNDUP($H371,0),CB$2)-(INDEX(avoidedcosttbl2,ROUNDDOWN($H371,0),CB$2)))))*'Inputs Yr 2'!P372*'Inputs Yr 2'!Q372*'Inputs Yr 2'!U372,"")</f>
        <v/>
      </c>
      <c r="CC371" s="195" t="str">
        <f>IFERROR(H371*(IF('Inputs Yr 2'!$AJ372=CC$4,'Inputs Yr 2'!$AK372,IF('Inputs Yr 2'!$AL372=CC$4,'Inputs Yr 2'!$AM372,IF('Inputs Yr 2'!$AN372=CC$4,'Inputs Yr 2'!$AO372,0))))*(INDEX(avoidedcosttbl2,$H371,CC$2)+(($H371-ROUNDDOWN($H371,0))*(INDEX(avoidedcosttbl2,ROUNDUP($H371,0),CC$2)-(INDEX(avoidedcosttbl2,ROUNDDOWN($H371,0),CC$2)))))*'Inputs Yr 2'!Q372*'Inputs Yr 2'!R372*'Inputs Yr 2'!V372,"")</f>
        <v/>
      </c>
      <c r="CD371" s="195" t="str">
        <f>IFERROR(I371*(IF('Inputs Yr 2'!$AJ372=CD$4,'Inputs Yr 2'!$AK372,IF('Inputs Yr 2'!$AL372=CD$4,'Inputs Yr 2'!$AM372,IF('Inputs Yr 2'!$AN372=CD$4,'Inputs Yr 2'!$AO372,0))))*(INDEX(avoidedcosttbl2,$H371,CD$2)+(($H371-ROUNDDOWN($H371,0))*(INDEX(avoidedcosttbl2,ROUNDUP($H371,0),CD$2)-(INDEX(avoidedcosttbl2,ROUNDDOWN($H371,0),CD$2)))))*'Inputs Yr 2'!R372*'Inputs Yr 2'!S372*'Inputs Yr 2'!W372,"")</f>
        <v/>
      </c>
      <c r="CE371" s="213" t="str">
        <f t="shared" si="221"/>
        <v/>
      </c>
      <c r="CF371" s="213" t="str">
        <f t="shared" si="222"/>
        <v/>
      </c>
      <c r="CG371" s="213" t="str">
        <f t="shared" si="223"/>
        <v/>
      </c>
      <c r="CH371" s="698">
        <f t="shared" si="224"/>
        <v>0</v>
      </c>
      <c r="CI371" s="79" t="str">
        <f>IFERROR(($G371*'Inputs Yr 2'!$P372*'Inputs Yr 2'!$Q372*(((INDEX(avoidedcosttbl2,$H371,CI$2)+(($H371-ROUNDDOWN($H371,0))*(INDEX(avoidedcosttbl2,ROUNDUP($H371,0),CI$2)-INDEX(avoidedcosttbl2,ROUNDDOWN($H371,0),CI$2))))*'Inputs Yr 2'!AS372))),"")</f>
        <v/>
      </c>
      <c r="CJ371" s="504" t="str">
        <f>IFERROR($G371*'Inputs Yr 2'!AT372*'Inputs Yr 2'!$P372*'Inputs Yr 2'!$Q372/((1+realdiscrt1)^-0.5),"")</f>
        <v/>
      </c>
      <c r="CK371" s="79" t="str">
        <f>IFERROR((O371*1000*(((INDEX(avoidedcosttbl2,$H371,CK$2)+(($H371-ROUNDDOWN($H371,0))*(INDEX(avoidedcosttbl2,ROUNDUP($H371,0),CK$2)-INDEX(avoidedcosttbl2,ROUNDDOWN($H371,0),CK$2))))*'Inputs Yr 2'!AU372))),"")</f>
        <v/>
      </c>
      <c r="CL371" s="504" t="str">
        <f>IFERROR(O371*1000*'Inputs Yr 2'!AV372/((1+realdiscrt1)^-0.5),"")</f>
        <v/>
      </c>
      <c r="CM371" s="79" t="str">
        <f>IFERROR((AB371*'Inputs Yr 2'!AW372*(((INDEX(avoidedcosttbl2,$H371,CM$2)+(($H371-ROUNDDOWN($H371,0))*(INDEX(avoidedcosttbl2,ROUNDUP($H371,0),CM$2)-INDEX(avoidedcosttbl2,ROUNDDOWN($H371,0),CM$2)))))))*10,"")</f>
        <v/>
      </c>
      <c r="CN371" s="504">
        <f>IFERROR(10*AB371*'Inputs Yr 2'!AX372/((1+realdiscrt1)^-0.5),"")</f>
        <v>0</v>
      </c>
      <c r="CO371" s="505">
        <f t="shared" si="225"/>
        <v>0</v>
      </c>
      <c r="CP371" s="230">
        <f t="shared" si="226"/>
        <v>0</v>
      </c>
      <c r="CQ371" s="199">
        <f>ROUND(IFERROR(IF(LEFT($A371,1)="C",'Avoided Costs'!$K$13,'Avoided Costs'!$K$12)+1,""),4)</f>
        <v>1.0720000000000001</v>
      </c>
      <c r="CR371" s="199">
        <f>ROUND(IFERROR(IF(LEFT($A371,1)="C",'Avoided Costs'!$L$13,'Avoided Costs'!$L$12)+1,""),4)</f>
        <v>1.04</v>
      </c>
      <c r="CS371" s="199">
        <f>ROUND(IFERROR(IF(LEFT($A371,1)="C",'Avoided Costs'!$M$13,'Avoided Costs'!$M$12)+1,""),4)</f>
        <v>1.0720000000000001</v>
      </c>
      <c r="CT371" s="199">
        <f>ROUND(IFERROR(IF(LEFT($A371,1)="C",'Avoided Costs'!$N$13,'Avoided Costs'!$N$12)+1,""),4)</f>
        <v>1.04</v>
      </c>
      <c r="CU371" s="199">
        <f>ROUND(IFERROR(IF(LEFT($A371,1)="C",'Avoided Costs'!$O$13,'Avoided Costs'!$O$12)+1,""),4)</f>
        <v>1.1120000000000001</v>
      </c>
      <c r="CV371" s="199">
        <f>ROUND(IFERROR(IF(LEFT($A371,1)="C",'Avoided Costs'!$P$13,'Avoided Costs'!$P$12)+1,""),4)</f>
        <v>1.095</v>
      </c>
      <c r="CW371" s="199">
        <f>ROUND(IFERROR(IF(LEFT($A371,1)="C",'Avoided Costs'!$Q$13,'Avoided Costs'!$Q$12)+1,""),4)</f>
        <v>1.1120000000000001</v>
      </c>
      <c r="CX371" s="200">
        <f>ROUND(IFERROR(IF(LEFT($A371,1)="C",'Avoided Costs'!$R$13,'Avoided Costs'!$R$12)+1,""),4)</f>
        <v>1.1120000000000001</v>
      </c>
    </row>
    <row r="372" spans="1:102" s="128" customFormat="1" ht="12.75" customHeight="1">
      <c r="A372" s="91" t="str">
        <f>IF('Inputs Yr 2'!$B409=0,"",'Inputs Yr 2'!A409)</f>
        <v/>
      </c>
      <c r="B372" s="91" t="str">
        <f>IF('Inputs Yr 2'!$B409=0,"",'Inputs Yr 2'!B409)</f>
        <v/>
      </c>
      <c r="C372" s="91" t="str">
        <f>IF('Inputs Yr 2'!$B373=0,"",'Inputs Yr 2'!C373)</f>
        <v/>
      </c>
      <c r="D372" s="91" t="str">
        <f>IF('Inputs Yr 2'!$B373=0,"",'Inputs Yr 2'!E373)</f>
        <v/>
      </c>
      <c r="E372" s="93" t="str">
        <f>IF('Inputs Yr 2'!$B373=0,"",'Inputs Yr 2'!F373)</f>
        <v/>
      </c>
      <c r="F372" s="93" t="str">
        <f>IF('Inputs Yr 2'!$B373=0,"",'Inputs Yr 2'!G373)</f>
        <v/>
      </c>
      <c r="G372" s="95" t="str">
        <f>IF('Inputs Yr 2'!$H373&lt;&gt;0,('Inputs Yr 2'!H373),"")</f>
        <v/>
      </c>
      <c r="H372" s="94">
        <f>IFERROR('Inputs Yr 2'!I373,"")</f>
        <v>0</v>
      </c>
      <c r="I372" s="298" t="str">
        <f>IFERROR('Inputs Yr 2'!J373*'Inputs Yr 2'!P373*G372,"")</f>
        <v/>
      </c>
      <c r="J372" s="298" t="str">
        <f>IFERROR('Inputs Yr 2'!K373*G372,"")</f>
        <v/>
      </c>
      <c r="K372" s="298" t="str">
        <f t="shared" si="197"/>
        <v/>
      </c>
      <c r="L372" s="194" t="str">
        <f>IFERROR(('Inputs Yr 2'!W373*G372)/1000,"")</f>
        <v/>
      </c>
      <c r="M372" s="194" t="str">
        <f>IFERROR(L372*('Inputs Yr 2'!$Q373*'Inputs Yr 2'!$V373*'Inputs Yr 2'!$R373),"")</f>
        <v/>
      </c>
      <c r="N372" s="194" t="str">
        <f t="shared" si="198"/>
        <v/>
      </c>
      <c r="O372" s="194" t="str">
        <f>IFERROR(M372*'Inputs Yr 2'!P373,"")</f>
        <v/>
      </c>
      <c r="P372" s="194" t="str">
        <f t="shared" si="199"/>
        <v/>
      </c>
      <c r="Q372" s="194" t="str">
        <f>IFERROR($P372*'Inputs Yr 2'!AA373,"")</f>
        <v/>
      </c>
      <c r="R372" s="194" t="str">
        <f>IFERROR($P372*'Inputs Yr 2'!AB373,"")</f>
        <v/>
      </c>
      <c r="S372" s="194" t="str">
        <f>IFERROR($P372*'Inputs Yr 2'!AC373,"")</f>
        <v/>
      </c>
      <c r="T372" s="194" t="str">
        <f>IFERROR($P372*'Inputs Yr 2'!AD373,"")</f>
        <v/>
      </c>
      <c r="U372" s="194" t="str">
        <f>IFERROR(G372*'Inputs Yr 2'!$AE373*'Inputs Yr 2'!$P373*'Inputs Yr 2'!$Q373,"")</f>
        <v/>
      </c>
      <c r="V372" s="194" t="str">
        <f>IFERROR($G372*'Inputs Yr 2'!$AE373*'Inputs Yr 2'!$AG373*'Inputs Yr 2'!Q373*'Inputs Yr 2'!$S373,"")</f>
        <v/>
      </c>
      <c r="W372" s="194" t="str">
        <f>IFERROR($G372*'Inputs Yr 2'!$AE373*'Inputs Yr 2'!$AG373*'Inputs Yr 2'!P373*'Inputs Yr 2'!Q373*'Inputs Yr 2'!$S373,"")</f>
        <v/>
      </c>
      <c r="X372" s="194" t="str">
        <f>IFERROR($G372*'Inputs Yr 2'!$AE373*'Inputs Yr 2'!$AF373*'Inputs Yr 2'!Q373*'Inputs Yr 2'!$T373,"")</f>
        <v/>
      </c>
      <c r="Y372" s="194" t="str">
        <f>IFERROR($G372*'Inputs Yr 2'!$AE373*'Inputs Yr 2'!$AF373*'Inputs Yr 2'!P373*'Inputs Yr 2'!Q373*'Inputs Yr 2'!$T373,"")</f>
        <v/>
      </c>
      <c r="Z372" s="257">
        <f>IFERROR($G372*'Inputs Yr 2'!$Q373*'Inputs Yr 2'!$U373*(IF(IFERROR(SEARCH("NG", 'Inputs Yr 2'!$AJ373),0),'Inputs Yr 2'!$AK373,0)+IF(IFERROR(SEARCH("NG", 'Inputs Yr 2'!$AL373),0),'Inputs Yr 2'!$AM373,0)+IF(IFERROR(SEARCH("NG", 'Inputs Yr 2'!$AN373),0),'Inputs Yr 2'!$AO373,0)),0)</f>
        <v>0</v>
      </c>
      <c r="AA372" s="257">
        <f t="shared" si="200"/>
        <v>0</v>
      </c>
      <c r="AB372" s="257">
        <f>IFERROR(Z372*'Inputs Yr 2'!$P373,0)</f>
        <v>0</v>
      </c>
      <c r="AC372" s="257">
        <f t="shared" si="201"/>
        <v>0</v>
      </c>
      <c r="AD372" s="257">
        <f>IFERROR($G372*'Inputs Yr 2'!$Q373*'Inputs Yr 2'!$U373*(IF(IFERROR(SEARCH("Oil", 'Inputs Yr 2'!$AJ373), 0),'Inputs Yr 2'!$AK373,0)+IF(IFERROR(SEARCH("Oil", 'Inputs Yr 2'!$AL373), 0),'Inputs Yr 2'!$AM373,0)+IF(IFERROR(SEARCH("Oil", 'Inputs Yr 2'!$AN373), 0),'Inputs Yr 2'!$AO373,0)),0)</f>
        <v>0</v>
      </c>
      <c r="AE372" s="257">
        <f t="shared" si="202"/>
        <v>0</v>
      </c>
      <c r="AF372" s="257">
        <f>IFERROR(AD372*'Inputs Yr 2'!$P373,0)</f>
        <v>0</v>
      </c>
      <c r="AG372" s="257">
        <f t="shared" si="203"/>
        <v>0</v>
      </c>
      <c r="AH372" s="257">
        <f>IFERROR($G372*'Inputs Yr 2'!$Q373*'Inputs Yr 2'!$U373*(IF('Inputs Yr 2'!$AJ373=CD$4,'Inputs Yr 2'!$AK373,IF('Inputs Yr 2'!$AL373=CD$4,'Inputs Yr 2'!$AM373,IF('Inputs Yr 2'!$AN373=CD$4,'Inputs Yr 2'!$AO373,0)))),0)</f>
        <v>0</v>
      </c>
      <c r="AI372" s="257">
        <f t="shared" si="204"/>
        <v>0</v>
      </c>
      <c r="AJ372" s="257">
        <f>IFERROR(AH372*'Inputs Yr 2'!$P373,0)</f>
        <v>0</v>
      </c>
      <c r="AK372" s="257">
        <f t="shared" si="205"/>
        <v>0</v>
      </c>
      <c r="AL372" s="258">
        <f>IFERROR($G372*'Inputs Yr 2'!$P373*'Inputs Yr 2'!$Q373*'Inputs Yr 2'!AP373,0)</f>
        <v>0</v>
      </c>
      <c r="AM372" s="260">
        <f>IFERROR($G372*'Inputs Yr 2'!$P373*'Inputs Yr 2'!$Q373*'Inputs Yr 2'!AQ373,0)</f>
        <v>0</v>
      </c>
      <c r="AN372" s="258">
        <f>IFERROR($G372*'Inputs Yr 2'!$P373*'Inputs Yr 2'!$Q373*'Inputs Yr 2'!AR373,0)</f>
        <v>0</v>
      </c>
      <c r="AO372" s="257">
        <f t="shared" si="206"/>
        <v>0</v>
      </c>
      <c r="AP372" s="195" t="str">
        <f>IFERROR($CQ372*(INDEX(avoidedcosttbl2,$H372,AP$2)+(($H372-ROUNDDOWN($H372,0))*(INDEX(avoidedcosttbl2,ROUNDUP($H372,0),AP$2)-(INDEX(avoidedcosttbl2,ROUNDDOWN($H372,0),AP$2)))))*$O372*1000*'Inputs Yr 2'!AA373,"")</f>
        <v/>
      </c>
      <c r="AQ372" s="195" t="str">
        <f>IFERROR($CR372*(INDEX(avoidedcosttbl2,$H372,AQ$2)+(($H372-ROUNDDOWN($H372,0))*(INDEX(avoidedcosttbl2,ROUNDUP($H372,0),AQ$2)-(INDEX(avoidedcosttbl2,ROUNDDOWN($H372,0),AQ$2)))))*$O372*1000*'Inputs Yr 2'!AB373,"")</f>
        <v/>
      </c>
      <c r="AR372" s="195" t="str">
        <f>IFERROR($CS372*(INDEX(avoidedcosttbl2,$H372,AR$2)+(($H372-ROUNDDOWN($H372,0))*(INDEX(avoidedcosttbl2,ROUNDUP($H372,0),AR$2)-(INDEX(avoidedcosttbl2,ROUNDDOWN($H372,0),AR$2)))))*$O372*1000*'Inputs Yr 2'!AC373,"")</f>
        <v/>
      </c>
      <c r="AS372" s="195" t="str">
        <f>IFERROR($CT372*(INDEX(avoidedcosttbl2,$H372,AS$2)+(($H372-ROUNDDOWN($H372,0))*(INDEX(avoidedcosttbl2,ROUNDUP($H372,0),AS$2)-(INDEX(avoidedcosttbl2,ROUNDDOWN($H372,0),AS$2)))))*$O372*1000*'Inputs Yr 2'!AD373,"")</f>
        <v/>
      </c>
      <c r="AT372" s="196">
        <f t="shared" si="207"/>
        <v>0</v>
      </c>
      <c r="AU372" s="197" t="str">
        <f>IFERROR($CQ372*((INDEX(avoidedcosttbl2,$H372,AU$2))+(($H372-ROUNDDOWN($H372,0))*((INDEX(avoidedcosttbl2,ROUNDUP($H372,0),AU$2))-(INDEX(avoidedcosttbl2,ROUNDDOWN($H372,0),AU$2)))))*$O372*1000*'Inputs Yr 2'!AA373,"")</f>
        <v/>
      </c>
      <c r="AV372" s="197" t="str">
        <f>IFERROR($CR372*((INDEX(avoidedcosttbl2,$H372,AV$2))+(($H372-ROUNDDOWN($H372,0))*((INDEX(avoidedcosttbl2,ROUNDUP($H372,0),AV$2))-(INDEX(avoidedcosttbl2,ROUNDDOWN($H372,0),AV$2)))))*$O372*1000*'Inputs Yr 2'!AB373,"")</f>
        <v/>
      </c>
      <c r="AW372" s="197" t="str">
        <f>IFERROR($CS372*((INDEX(avoidedcosttbl2,$H372,AW$2))+(($H372-ROUNDDOWN($H372,0))*((INDEX(avoidedcosttbl2,ROUNDUP($H372,0),AW$2))-(INDEX(avoidedcosttbl2,ROUNDDOWN($H372,0),AW$2)))))*$O372*1000*'Inputs Yr 2'!AC373,"")</f>
        <v/>
      </c>
      <c r="AX372" s="197" t="str">
        <f>IFERROR($CT372*((INDEX(avoidedcosttbl2,$H372,AX$2))+(($H372-ROUNDDOWN($H372,0))*((INDEX(avoidedcosttbl2,ROUNDUP($H372,0),AX$2))-(INDEX(avoidedcosttbl2,ROUNDDOWN($H372,0),AX$2)))))*$O372*1000*'Inputs Yr 2'!AD373,"")</f>
        <v/>
      </c>
      <c r="AY372" s="197" t="str">
        <f>IFERROR(((INDEX(avoidedcosttbl2,$H372,AY$2))+(($H372-ROUNDDOWN($H372,0))*((INDEX(avoidedcosttbl2,ROUNDUP($H372,0),AY$2))-(INDEX(avoidedcosttbl2,ROUNDDOWN($H372,0),AY$2)))))*$O372*1000*('Inputs Yr 2'!AC373+'Inputs Yr 2'!AD373),"")</f>
        <v/>
      </c>
      <c r="AZ372" s="197" t="str">
        <f>IFERROR(((INDEX(avoidedcosttbl2,$H372,AZ$2))+(($H372-ROUNDDOWN($H372,0))*((INDEX(avoidedcosttbl2,ROUNDUP($H372,0),AZ$2))-(INDEX(avoidedcosttbl2,ROUNDDOWN($H372,0),AZ$2)))))*$O372*1000*('Inputs Yr 2'!AA373+'Inputs Yr 2'!AB373),"")</f>
        <v/>
      </c>
      <c r="BA372" s="198">
        <f t="shared" si="208"/>
        <v>0</v>
      </c>
      <c r="BB372" s="198">
        <f t="shared" si="209"/>
        <v>0</v>
      </c>
      <c r="BC372" s="195" t="str">
        <f t="shared" si="210"/>
        <v/>
      </c>
      <c r="BD372" s="195" t="str">
        <f t="shared" si="211"/>
        <v/>
      </c>
      <c r="BE372" s="195" t="str">
        <f t="shared" si="212"/>
        <v/>
      </c>
      <c r="BF372" s="195" t="str">
        <f t="shared" si="213"/>
        <v/>
      </c>
      <c r="BG372" s="195" t="str">
        <f t="shared" si="214"/>
        <v/>
      </c>
      <c r="BH372" s="196">
        <f t="shared" si="215"/>
        <v>0</v>
      </c>
      <c r="BI372" s="196">
        <f t="shared" si="216"/>
        <v>0</v>
      </c>
      <c r="BJ372" s="195" t="str">
        <f>IFERROR($G372*(IF('Inputs Yr 2'!$AJ373=BJ$4,'Inputs Yr 2'!$AK373,IF('Inputs Yr 2'!$AL373=BJ$4,'Inputs Yr 2'!$AM373,IF('Inputs Yr 2'!$AN373=BJ$4,'Inputs Yr 2'!$AO373,0))))*(INDEX(avoidedcosttbl2,$H372,BJ$2)+(($H372-ROUNDDOWN($H372,0))*(INDEX(avoidedcosttbl2,ROUNDUP($H372,0),BJ$2)-(INDEX(avoidedcosttbl2,ROUNDDOWN($H372,0),BJ$2)))))*'Inputs Yr 2'!P373*'Inputs Yr 2'!Q373*'Inputs Yr 2'!U373,"")</f>
        <v/>
      </c>
      <c r="BK372" s="195" t="str">
        <f>IFERROR($G372*(IF('Inputs Yr 2'!$AJ373=BK$4,'Inputs Yr 2'!$AK373,IF('Inputs Yr 2'!$AL373=BK$4,'Inputs Yr 2'!$AM373,IF('Inputs Yr 2'!$AN373=BK$4,'Inputs Yr 2'!$AO373,0))))*(INDEX(avoidedcosttbl2,$H372,BK$2)+(($H372-ROUNDDOWN($H372,0))*(INDEX(avoidedcosttbl2,ROUNDUP($H372,0),BK$2)-(INDEX(avoidedcosttbl2,ROUNDDOWN($H372,0),BK$2)))))*'Inputs Yr 2'!P373*'Inputs Yr 2'!Q373*'Inputs Yr 2'!U373,"")</f>
        <v/>
      </c>
      <c r="BL372" s="195" t="str">
        <f>IFERROR($G372*(IF('Inputs Yr 2'!$AJ373=BL$4,'Inputs Yr 2'!$AK373,IF('Inputs Yr 2'!$AL373=BL$4,'Inputs Yr 2'!$AM373,IF('Inputs Yr 2'!$AN373=BL$4,'Inputs Yr 2'!$AO373,0))))*(INDEX(avoidedcosttbl2,$H372,BL$2)+(($H372-ROUNDDOWN($H372,0))*(INDEX(avoidedcosttbl2,ROUNDUP($H372,0),BL$2)-(INDEX(avoidedcosttbl2,ROUNDDOWN($H372,0),BL$2)))))*'Inputs Yr 2'!P373*'Inputs Yr 2'!Q373*'Inputs Yr 2'!U373,"")</f>
        <v/>
      </c>
      <c r="BM372" s="195" t="str">
        <f>IFERROR($G372*(IF('Inputs Yr 2'!$AJ373=BM$4,'Inputs Yr 2'!$AK373,IF('Inputs Yr 2'!$AL373=BM$4,'Inputs Yr 2'!$AM373,IF('Inputs Yr 2'!$AN373=BM$4,'Inputs Yr 2'!$AO373,0))))*(INDEX(avoidedcosttbl2,$H372,BM$2)+(($H372-ROUNDDOWN($H372,0))*(INDEX(avoidedcosttbl2,ROUNDUP($H372,0),BM$2)-(INDEX(avoidedcosttbl2,ROUNDDOWN($H372,0),BM$2)))))*'Inputs Yr 2'!P373*'Inputs Yr 2'!Q373*'Inputs Yr 2'!U373,"")</f>
        <v/>
      </c>
      <c r="BN372" s="195" t="str">
        <f>IFERROR($G372*(IF('Inputs Yr 2'!$AJ373=BN$4,'Inputs Yr 2'!$AK373,IF('Inputs Yr 2'!$AL373=BN$4,'Inputs Yr 2'!$AM373,IF('Inputs Yr 2'!$AN373=BN$4,'Inputs Yr 2'!$AO373,0))))*(INDEX(avoidedcosttbl2,$H372,BN$2)+(($H372-ROUNDDOWN($H372,0))*(INDEX(avoidedcosttbl2,ROUNDUP($H372,0),BN$2)-(INDEX(avoidedcosttbl2,ROUNDDOWN($H372,0),BN$2)))))*'Inputs Yr 2'!P373*'Inputs Yr 2'!Q373*'Inputs Yr 2'!U373,"")</f>
        <v/>
      </c>
      <c r="BO372" s="195" t="str">
        <f>IFERROR($G372*(IF('Inputs Yr 2'!$AJ373=BO$4,'Inputs Yr 2'!$AK373,IF('Inputs Yr 2'!$AL373=BO$4,'Inputs Yr 2'!$AM373,IF('Inputs Yr 2'!$AN373=BO$4,'Inputs Yr 2'!$AO373,0))))*(INDEX(avoidedcosttbl2,$H372,BO$2)+(($H372-ROUNDDOWN($H372,0))*(INDEX(avoidedcosttbl2,ROUNDUP($H372,0),BO$2)-(INDEX(avoidedcosttbl2,ROUNDDOWN($H372,0),BO$2)))))*'Inputs Yr 2'!P373*'Inputs Yr 2'!Q373*'Inputs Yr 2'!U373,"")</f>
        <v/>
      </c>
      <c r="BP372" s="195" t="str">
        <f>IFERROR($G372*(IF('Inputs Yr 2'!$AJ373=BP$4,'Inputs Yr 2'!$AK373,IF('Inputs Yr 2'!$AL373=BP$4,'Inputs Yr 2'!$AM373,IF('Inputs Yr 2'!$AN373=BP$4,'Inputs Yr 2'!$AO373,0))))*(INDEX(avoidedcosttbl2,$H372,BP$2)+(($H372-ROUNDDOWN($H372,0))*(INDEX(avoidedcosttbl2,ROUNDUP($H372,0),BP$2)-(INDEX(avoidedcosttbl2,ROUNDDOWN($H372,0),BP$2)))))*'Inputs Yr 2'!P373*'Inputs Yr 2'!Q373*'Inputs Yr 2'!U373,"")</f>
        <v/>
      </c>
      <c r="BQ372" s="230">
        <f t="shared" si="217"/>
        <v>0</v>
      </c>
      <c r="BR372" s="197" t="str">
        <f t="shared" si="218"/>
        <v/>
      </c>
      <c r="BS372" s="197" t="str">
        <f>IFERROR(($G372*IF('Inputs Yr 2'!$AJ373=BM$4,'Inputs Yr 2'!$AK373,IF('Inputs Yr 2'!$AL373=BM$4,'Inputs Yr 2'!$AM373,IF('Inputs Yr 2'!$AN373=BM$4,'Inputs Yr 2'!$AO373,0))))*(INDEX(avoidedcosttbl2,$H372,BS$2)+(($H372-ROUNDDOWN($H372,0))*(INDEX(avoidedcosttbl2,ROUNDUP($H372,0),BS$2)-(INDEX(avoidedcosttbl2,ROUNDDOWN($H372,0),BS$2)))))*'Inputs Yr 2'!P373*'Inputs Yr 2'!Q373*'Inputs Yr 2'!U373,"")</f>
        <v/>
      </c>
      <c r="BT372" s="197" t="str">
        <f>IFERROR(($G372*IF('Inputs Yr 2'!$AJ373=BK$4,'Inputs Yr 2'!$AK373,IF('Inputs Yr 2'!$AL373=BK$4,'Inputs Yr 2'!$AM373,IF('Inputs Yr 2'!$AN373=BK$4,'Inputs Yr 2'!$AO373,0))))*(INDEX(avoidedcosttbl2,$H372,BT$2)+(($H372-ROUNDDOWN($H372,0))*(INDEX(avoidedcosttbl2,ROUNDUP($H372,0),BT$2)-(INDEX(avoidedcosttbl2,ROUNDDOWN($H372,0),BT$2)))))*'Inputs Yr 2'!P373*'Inputs Yr 2'!Q373*'Inputs Yr 2'!U373,"")</f>
        <v/>
      </c>
      <c r="BU372" s="197" t="str">
        <f>IFERROR(($G372*IF('Inputs Yr 2'!$AJ373=BL$4,'Inputs Yr 2'!$AK373,IF('Inputs Yr 2'!$AL373=BL$4,'Inputs Yr 2'!$AM373,IF('Inputs Yr 2'!$AN373=BL$4,'Inputs Yr 2'!$AO373,0))))*(INDEX(avoidedcosttbl2,$H372,BU$2)+(($H372-ROUNDDOWN($H372,0))*(INDEX(avoidedcosttbl2,ROUNDUP($H372,0),BU$2)-(INDEX(avoidedcosttbl2,ROUNDDOWN($H372,0),BU$2)))))*'Inputs Yr 2'!P373*'Inputs Yr 2'!Q373*'Inputs Yr 2'!U373,"")</f>
        <v/>
      </c>
      <c r="BV372" s="775" t="str">
        <f>IFERROR(($G372*IF('Inputs Yr 2'!$AJ373=BJ$4,'Inputs Yr 2'!$AK373,IF('Inputs Yr 2'!$AL373=BJ$4,'Inputs Yr 2'!$AM373,IF('Inputs Yr 2'!$AN373=BJ$4,'Inputs Yr 2'!$AO373,0))))*(INDEX(avoidedcosttbl2,$H372,BV$2)+(($H372-ROUNDDOWN($H372,0))*(INDEX(avoidedcosttbl2,ROUNDUP($H372,0),BV$2)-(INDEX(avoidedcosttbl2,ROUNDDOWN($H372,0),BV$2)))))*'Inputs Yr 2'!P373*'Inputs Yr 2'!Q373*'Inputs Yr 2'!U373,"")</f>
        <v/>
      </c>
      <c r="BW372" s="197" t="str">
        <f>IFERROR(($G372*IF('Inputs Yr 2'!$AJ373=BN$4,'Inputs Yr 2'!$AK373,IF('Inputs Yr 2'!$AL373=BN$4,'Inputs Yr 2'!$AM373,IF('Inputs Yr 2'!$AN373=BN$4,'Inputs Yr 2'!$AO373,0))))*(INDEX(avoidedcosttbl2,$H372,BW$2)+(($H372-ROUNDDOWN($H372,0))*(INDEX(avoidedcosttbl2,ROUNDUP($H372,0),BW$2)-(INDEX(avoidedcosttbl2,ROUNDDOWN($H372,0),BW$2)))))*'Inputs Yr 2'!P373*'Inputs Yr 2'!Q373*'Inputs Yr 2'!U373,"")</f>
        <v/>
      </c>
      <c r="BX372" s="197" t="str">
        <f>IFERROR(($G372*IF('Inputs Yr 2'!$AJ373=BO$4,'Inputs Yr 2'!$AK373,IF('Inputs Yr 2'!$AL373=BO$4,'Inputs Yr 2'!$AM373,IF('Inputs Yr 2'!$AN373=BO$4,'Inputs Yr 2'!$AO373,0))))*(INDEX(avoidedcosttbl2,$H372,BX$2)+(($H372-ROUNDDOWN($H372,0))*(INDEX(avoidedcosttbl2,ROUNDUP($H372,0),BX$2)-(INDEX(avoidedcosttbl2,ROUNDDOWN($H372,0),BX$2)))))*'Inputs Yr 2'!P373*'Inputs Yr 2'!Q373*'Inputs Yr 2'!U373,"")</f>
        <v/>
      </c>
      <c r="BY372" s="197" t="str">
        <f>IFERROR(($G372*IF('Inputs Yr 2'!$AJ373=BP$4,'Inputs Yr 2'!$AK373,IF('Inputs Yr 2'!$AL373=BP$4,'Inputs Yr 2'!$AM373,IF('Inputs Yr 2'!$AN373=BP$4,'Inputs Yr 2'!$AO373,0))))*(INDEX(avoidedcosttbl2,$H372,BY$2)+(($H372-ROUNDDOWN($H372,0))*(INDEX(avoidedcosttbl2,ROUNDUP($H372,0),BY$2)-(INDEX(avoidedcosttbl2,ROUNDDOWN($H372,0),BY$2)))))*'Inputs Yr 2'!P373*'Inputs Yr 2'!Q373*'Inputs Yr 2'!U373,"")</f>
        <v/>
      </c>
      <c r="BZ372" s="193">
        <f t="shared" si="219"/>
        <v>0</v>
      </c>
      <c r="CA372" s="193">
        <f t="shared" si="220"/>
        <v>0</v>
      </c>
      <c r="CB372" s="195" t="str">
        <f>IFERROR(G372*(IF('Inputs Yr 2'!$AJ373=CB$4,'Inputs Yr 2'!$AK373,IF('Inputs Yr 2'!$AL373=CB$4,'Inputs Yr 2'!$AM373,IF('Inputs Yr 2'!$AN373=CB$4,'Inputs Yr 2'!$AO373,0))))*(INDEX(avoidedcosttbl2,$H372,CB$2)+(($H372-ROUNDDOWN($H372,0))*(INDEX(avoidedcosttbl2,ROUNDUP($H372,0),CB$2)-(INDEX(avoidedcosttbl2,ROUNDDOWN($H372,0),CB$2)))))*'Inputs Yr 2'!P373*'Inputs Yr 2'!Q373*'Inputs Yr 2'!U373,"")</f>
        <v/>
      </c>
      <c r="CC372" s="195" t="str">
        <f>IFERROR(H372*(IF('Inputs Yr 2'!$AJ373=CC$4,'Inputs Yr 2'!$AK373,IF('Inputs Yr 2'!$AL373=CC$4,'Inputs Yr 2'!$AM373,IF('Inputs Yr 2'!$AN373=CC$4,'Inputs Yr 2'!$AO373,0))))*(INDEX(avoidedcosttbl2,$H372,CC$2)+(($H372-ROUNDDOWN($H372,0))*(INDEX(avoidedcosttbl2,ROUNDUP($H372,0),CC$2)-(INDEX(avoidedcosttbl2,ROUNDDOWN($H372,0),CC$2)))))*'Inputs Yr 2'!Q373*'Inputs Yr 2'!R373*'Inputs Yr 2'!V373,"")</f>
        <v/>
      </c>
      <c r="CD372" s="195" t="str">
        <f>IFERROR(I372*(IF('Inputs Yr 2'!$AJ373=CD$4,'Inputs Yr 2'!$AK373,IF('Inputs Yr 2'!$AL373=CD$4,'Inputs Yr 2'!$AM373,IF('Inputs Yr 2'!$AN373=CD$4,'Inputs Yr 2'!$AO373,0))))*(INDEX(avoidedcosttbl2,$H372,CD$2)+(($H372-ROUNDDOWN($H372,0))*(INDEX(avoidedcosttbl2,ROUNDUP($H372,0),CD$2)-(INDEX(avoidedcosttbl2,ROUNDDOWN($H372,0),CD$2)))))*'Inputs Yr 2'!R373*'Inputs Yr 2'!S373*'Inputs Yr 2'!W373,"")</f>
        <v/>
      </c>
      <c r="CE372" s="213" t="str">
        <f t="shared" si="221"/>
        <v/>
      </c>
      <c r="CF372" s="213" t="str">
        <f t="shared" si="222"/>
        <v/>
      </c>
      <c r="CG372" s="213" t="str">
        <f t="shared" si="223"/>
        <v/>
      </c>
      <c r="CH372" s="698">
        <f t="shared" si="224"/>
        <v>0</v>
      </c>
      <c r="CI372" s="79" t="str">
        <f>IFERROR(($G372*'Inputs Yr 2'!$P373*'Inputs Yr 2'!$Q373*(((INDEX(avoidedcosttbl2,$H372,CI$2)+(($H372-ROUNDDOWN($H372,0))*(INDEX(avoidedcosttbl2,ROUNDUP($H372,0),CI$2)-INDEX(avoidedcosttbl2,ROUNDDOWN($H372,0),CI$2))))*'Inputs Yr 2'!AS373))),"")</f>
        <v/>
      </c>
      <c r="CJ372" s="504" t="str">
        <f>IFERROR($G372*'Inputs Yr 2'!AT373*'Inputs Yr 2'!$P373*'Inputs Yr 2'!$Q373/((1+realdiscrt1)^-0.5),"")</f>
        <v/>
      </c>
      <c r="CK372" s="79" t="str">
        <f>IFERROR((O372*1000*(((INDEX(avoidedcosttbl2,$H372,CK$2)+(($H372-ROUNDDOWN($H372,0))*(INDEX(avoidedcosttbl2,ROUNDUP($H372,0),CK$2)-INDEX(avoidedcosttbl2,ROUNDDOWN($H372,0),CK$2))))*'Inputs Yr 2'!AU373))),"")</f>
        <v/>
      </c>
      <c r="CL372" s="504" t="str">
        <f>IFERROR(O372*1000*'Inputs Yr 2'!AV373/((1+realdiscrt1)^-0.5),"")</f>
        <v/>
      </c>
      <c r="CM372" s="79" t="str">
        <f>IFERROR((AB372*'Inputs Yr 2'!AW373*(((INDEX(avoidedcosttbl2,$H372,CM$2)+(($H372-ROUNDDOWN($H372,0))*(INDEX(avoidedcosttbl2,ROUNDUP($H372,0),CM$2)-INDEX(avoidedcosttbl2,ROUNDDOWN($H372,0),CM$2)))))))*10,"")</f>
        <v/>
      </c>
      <c r="CN372" s="504">
        <f>IFERROR(10*AB372*'Inputs Yr 2'!AX373/((1+realdiscrt1)^-0.5),"")</f>
        <v>0</v>
      </c>
      <c r="CO372" s="505">
        <f t="shared" si="225"/>
        <v>0</v>
      </c>
      <c r="CP372" s="230">
        <f t="shared" si="226"/>
        <v>0</v>
      </c>
      <c r="CQ372" s="199">
        <f>ROUND(IFERROR(IF(LEFT($A372,1)="C",'Avoided Costs'!$K$13,'Avoided Costs'!$K$12)+1,""),4)</f>
        <v>1.0720000000000001</v>
      </c>
      <c r="CR372" s="199">
        <f>ROUND(IFERROR(IF(LEFT($A372,1)="C",'Avoided Costs'!$L$13,'Avoided Costs'!$L$12)+1,""),4)</f>
        <v>1.04</v>
      </c>
      <c r="CS372" s="199">
        <f>ROUND(IFERROR(IF(LEFT($A372,1)="C",'Avoided Costs'!$M$13,'Avoided Costs'!$M$12)+1,""),4)</f>
        <v>1.0720000000000001</v>
      </c>
      <c r="CT372" s="199">
        <f>ROUND(IFERROR(IF(LEFT($A372,1)="C",'Avoided Costs'!$N$13,'Avoided Costs'!$N$12)+1,""),4)</f>
        <v>1.04</v>
      </c>
      <c r="CU372" s="199">
        <f>ROUND(IFERROR(IF(LEFT($A372,1)="C",'Avoided Costs'!$O$13,'Avoided Costs'!$O$12)+1,""),4)</f>
        <v>1.1120000000000001</v>
      </c>
      <c r="CV372" s="199">
        <f>ROUND(IFERROR(IF(LEFT($A372,1)="C",'Avoided Costs'!$P$13,'Avoided Costs'!$P$12)+1,""),4)</f>
        <v>1.095</v>
      </c>
      <c r="CW372" s="199">
        <f>ROUND(IFERROR(IF(LEFT($A372,1)="C",'Avoided Costs'!$Q$13,'Avoided Costs'!$Q$12)+1,""),4)</f>
        <v>1.1120000000000001</v>
      </c>
      <c r="CX372" s="200">
        <f>ROUND(IFERROR(IF(LEFT($A372,1)="C",'Avoided Costs'!$R$13,'Avoided Costs'!$R$12)+1,""),4)</f>
        <v>1.1120000000000001</v>
      </c>
    </row>
    <row r="373" spans="1:102" s="128" customFormat="1" ht="12.75" customHeight="1">
      <c r="A373" s="91" t="str">
        <f>IF('Inputs Yr 2'!$B410=0,"",'Inputs Yr 2'!A410)</f>
        <v/>
      </c>
      <c r="B373" s="91" t="str">
        <f>IF('Inputs Yr 2'!$B410=0,"",'Inputs Yr 2'!B410)</f>
        <v/>
      </c>
      <c r="C373" s="91" t="str">
        <f>IF('Inputs Yr 2'!$B374=0,"",'Inputs Yr 2'!C374)</f>
        <v/>
      </c>
      <c r="D373" s="91" t="str">
        <f>IF('Inputs Yr 2'!$B374=0,"",'Inputs Yr 2'!E374)</f>
        <v/>
      </c>
      <c r="E373" s="93" t="str">
        <f>IF('Inputs Yr 2'!$B374=0,"",'Inputs Yr 2'!F374)</f>
        <v/>
      </c>
      <c r="F373" s="93" t="str">
        <f>IF('Inputs Yr 2'!$B374=0,"",'Inputs Yr 2'!G374)</f>
        <v/>
      </c>
      <c r="G373" s="95" t="str">
        <f>IF('Inputs Yr 2'!$H374&lt;&gt;0,('Inputs Yr 2'!H374),"")</f>
        <v/>
      </c>
      <c r="H373" s="94">
        <f>IFERROR('Inputs Yr 2'!I374,"")</f>
        <v>0</v>
      </c>
      <c r="I373" s="298" t="str">
        <f>IFERROR('Inputs Yr 2'!J374*'Inputs Yr 2'!P374*G373,"")</f>
        <v/>
      </c>
      <c r="J373" s="298" t="str">
        <f>IFERROR('Inputs Yr 2'!K374*G373,"")</f>
        <v/>
      </c>
      <c r="K373" s="298" t="str">
        <f t="shared" si="197"/>
        <v/>
      </c>
      <c r="L373" s="194" t="str">
        <f>IFERROR(('Inputs Yr 2'!W374*G373)/1000,"")</f>
        <v/>
      </c>
      <c r="M373" s="194" t="str">
        <f>IFERROR(L373*('Inputs Yr 2'!$Q374*'Inputs Yr 2'!$V374*'Inputs Yr 2'!$R374),"")</f>
        <v/>
      </c>
      <c r="N373" s="194" t="str">
        <f t="shared" si="198"/>
        <v/>
      </c>
      <c r="O373" s="194" t="str">
        <f>IFERROR(M373*'Inputs Yr 2'!P374,"")</f>
        <v/>
      </c>
      <c r="P373" s="194" t="str">
        <f t="shared" si="199"/>
        <v/>
      </c>
      <c r="Q373" s="194" t="str">
        <f>IFERROR($P373*'Inputs Yr 2'!AA374,"")</f>
        <v/>
      </c>
      <c r="R373" s="194" t="str">
        <f>IFERROR($P373*'Inputs Yr 2'!AB374,"")</f>
        <v/>
      </c>
      <c r="S373" s="194" t="str">
        <f>IFERROR($P373*'Inputs Yr 2'!AC374,"")</f>
        <v/>
      </c>
      <c r="T373" s="194" t="str">
        <f>IFERROR($P373*'Inputs Yr 2'!AD374,"")</f>
        <v/>
      </c>
      <c r="U373" s="194" t="str">
        <f>IFERROR(G373*'Inputs Yr 2'!$AE374*'Inputs Yr 2'!$P374*'Inputs Yr 2'!$Q374,"")</f>
        <v/>
      </c>
      <c r="V373" s="194" t="str">
        <f>IFERROR($G373*'Inputs Yr 2'!$AE374*'Inputs Yr 2'!$AG374*'Inputs Yr 2'!Q374*'Inputs Yr 2'!$S374,"")</f>
        <v/>
      </c>
      <c r="W373" s="194" t="str">
        <f>IFERROR($G373*'Inputs Yr 2'!$AE374*'Inputs Yr 2'!$AG374*'Inputs Yr 2'!P374*'Inputs Yr 2'!Q374*'Inputs Yr 2'!$S374,"")</f>
        <v/>
      </c>
      <c r="X373" s="194" t="str">
        <f>IFERROR($G373*'Inputs Yr 2'!$AE374*'Inputs Yr 2'!$AF374*'Inputs Yr 2'!Q374*'Inputs Yr 2'!$T374,"")</f>
        <v/>
      </c>
      <c r="Y373" s="194" t="str">
        <f>IFERROR($G373*'Inputs Yr 2'!$AE374*'Inputs Yr 2'!$AF374*'Inputs Yr 2'!P374*'Inputs Yr 2'!Q374*'Inputs Yr 2'!$T374,"")</f>
        <v/>
      </c>
      <c r="Z373" s="257">
        <f>IFERROR($G373*'Inputs Yr 2'!$Q374*'Inputs Yr 2'!$U374*(IF(IFERROR(SEARCH("NG", 'Inputs Yr 2'!$AJ374),0),'Inputs Yr 2'!$AK374,0)+IF(IFERROR(SEARCH("NG", 'Inputs Yr 2'!$AL374),0),'Inputs Yr 2'!$AM374,0)+IF(IFERROR(SEARCH("NG", 'Inputs Yr 2'!$AN374),0),'Inputs Yr 2'!$AO374,0)),0)</f>
        <v>0</v>
      </c>
      <c r="AA373" s="257">
        <f t="shared" si="200"/>
        <v>0</v>
      </c>
      <c r="AB373" s="257">
        <f>IFERROR(Z373*'Inputs Yr 2'!$P374,0)</f>
        <v>0</v>
      </c>
      <c r="AC373" s="257">
        <f t="shared" si="201"/>
        <v>0</v>
      </c>
      <c r="AD373" s="257">
        <f>IFERROR($G373*'Inputs Yr 2'!$Q374*'Inputs Yr 2'!$U374*(IF(IFERROR(SEARCH("Oil", 'Inputs Yr 2'!$AJ374), 0),'Inputs Yr 2'!$AK374,0)+IF(IFERROR(SEARCH("Oil", 'Inputs Yr 2'!$AL374), 0),'Inputs Yr 2'!$AM374,0)+IF(IFERROR(SEARCH("Oil", 'Inputs Yr 2'!$AN374), 0),'Inputs Yr 2'!$AO374,0)),0)</f>
        <v>0</v>
      </c>
      <c r="AE373" s="257">
        <f t="shared" si="202"/>
        <v>0</v>
      </c>
      <c r="AF373" s="257">
        <f>IFERROR(AD373*'Inputs Yr 2'!$P374,0)</f>
        <v>0</v>
      </c>
      <c r="AG373" s="257">
        <f t="shared" si="203"/>
        <v>0</v>
      </c>
      <c r="AH373" s="257">
        <f>IFERROR($G373*'Inputs Yr 2'!$Q374*'Inputs Yr 2'!$U374*(IF('Inputs Yr 2'!$AJ374=CD$4,'Inputs Yr 2'!$AK374,IF('Inputs Yr 2'!$AL374=CD$4,'Inputs Yr 2'!$AM374,IF('Inputs Yr 2'!$AN374=CD$4,'Inputs Yr 2'!$AO374,0)))),0)</f>
        <v>0</v>
      </c>
      <c r="AI373" s="257">
        <f t="shared" si="204"/>
        <v>0</v>
      </c>
      <c r="AJ373" s="257">
        <f>IFERROR(AH373*'Inputs Yr 2'!$P374,0)</f>
        <v>0</v>
      </c>
      <c r="AK373" s="257">
        <f t="shared" si="205"/>
        <v>0</v>
      </c>
      <c r="AL373" s="258">
        <f>IFERROR($G373*'Inputs Yr 2'!$P374*'Inputs Yr 2'!$Q374*'Inputs Yr 2'!AP374,0)</f>
        <v>0</v>
      </c>
      <c r="AM373" s="260">
        <f>IFERROR($G373*'Inputs Yr 2'!$P374*'Inputs Yr 2'!$Q374*'Inputs Yr 2'!AQ374,0)</f>
        <v>0</v>
      </c>
      <c r="AN373" s="258">
        <f>IFERROR($G373*'Inputs Yr 2'!$P374*'Inputs Yr 2'!$Q374*'Inputs Yr 2'!AR374,0)</f>
        <v>0</v>
      </c>
      <c r="AO373" s="257">
        <f t="shared" si="206"/>
        <v>0</v>
      </c>
      <c r="AP373" s="195" t="str">
        <f>IFERROR($CQ373*(INDEX(avoidedcosttbl2,$H373,AP$2)+(($H373-ROUNDDOWN($H373,0))*(INDEX(avoidedcosttbl2,ROUNDUP($H373,0),AP$2)-(INDEX(avoidedcosttbl2,ROUNDDOWN($H373,0),AP$2)))))*$O373*1000*'Inputs Yr 2'!AA374,"")</f>
        <v/>
      </c>
      <c r="AQ373" s="195" t="str">
        <f>IFERROR($CR373*(INDEX(avoidedcosttbl2,$H373,AQ$2)+(($H373-ROUNDDOWN($H373,0))*(INDEX(avoidedcosttbl2,ROUNDUP($H373,0),AQ$2)-(INDEX(avoidedcosttbl2,ROUNDDOWN($H373,0),AQ$2)))))*$O373*1000*'Inputs Yr 2'!AB374,"")</f>
        <v/>
      </c>
      <c r="AR373" s="195" t="str">
        <f>IFERROR($CS373*(INDEX(avoidedcosttbl2,$H373,AR$2)+(($H373-ROUNDDOWN($H373,0))*(INDEX(avoidedcosttbl2,ROUNDUP($H373,0),AR$2)-(INDEX(avoidedcosttbl2,ROUNDDOWN($H373,0),AR$2)))))*$O373*1000*'Inputs Yr 2'!AC374,"")</f>
        <v/>
      </c>
      <c r="AS373" s="195" t="str">
        <f>IFERROR($CT373*(INDEX(avoidedcosttbl2,$H373,AS$2)+(($H373-ROUNDDOWN($H373,0))*(INDEX(avoidedcosttbl2,ROUNDUP($H373,0),AS$2)-(INDEX(avoidedcosttbl2,ROUNDDOWN($H373,0),AS$2)))))*$O373*1000*'Inputs Yr 2'!AD374,"")</f>
        <v/>
      </c>
      <c r="AT373" s="196">
        <f t="shared" si="207"/>
        <v>0</v>
      </c>
      <c r="AU373" s="197" t="str">
        <f>IFERROR($CQ373*((INDEX(avoidedcosttbl2,$H373,AU$2))+(($H373-ROUNDDOWN($H373,0))*((INDEX(avoidedcosttbl2,ROUNDUP($H373,0),AU$2))-(INDEX(avoidedcosttbl2,ROUNDDOWN($H373,0),AU$2)))))*$O373*1000*'Inputs Yr 2'!AA374,"")</f>
        <v/>
      </c>
      <c r="AV373" s="197" t="str">
        <f>IFERROR($CR373*((INDEX(avoidedcosttbl2,$H373,AV$2))+(($H373-ROUNDDOWN($H373,0))*((INDEX(avoidedcosttbl2,ROUNDUP($H373,0),AV$2))-(INDEX(avoidedcosttbl2,ROUNDDOWN($H373,0),AV$2)))))*$O373*1000*'Inputs Yr 2'!AB374,"")</f>
        <v/>
      </c>
      <c r="AW373" s="197" t="str">
        <f>IFERROR($CS373*((INDEX(avoidedcosttbl2,$H373,AW$2))+(($H373-ROUNDDOWN($H373,0))*((INDEX(avoidedcosttbl2,ROUNDUP($H373,0),AW$2))-(INDEX(avoidedcosttbl2,ROUNDDOWN($H373,0),AW$2)))))*$O373*1000*'Inputs Yr 2'!AC374,"")</f>
        <v/>
      </c>
      <c r="AX373" s="197" t="str">
        <f>IFERROR($CT373*((INDEX(avoidedcosttbl2,$H373,AX$2))+(($H373-ROUNDDOWN($H373,0))*((INDEX(avoidedcosttbl2,ROUNDUP($H373,0),AX$2))-(INDEX(avoidedcosttbl2,ROUNDDOWN($H373,0),AX$2)))))*$O373*1000*'Inputs Yr 2'!AD374,"")</f>
        <v/>
      </c>
      <c r="AY373" s="197" t="str">
        <f>IFERROR(((INDEX(avoidedcosttbl2,$H373,AY$2))+(($H373-ROUNDDOWN($H373,0))*((INDEX(avoidedcosttbl2,ROUNDUP($H373,0),AY$2))-(INDEX(avoidedcosttbl2,ROUNDDOWN($H373,0),AY$2)))))*$O373*1000*('Inputs Yr 2'!AC374+'Inputs Yr 2'!AD374),"")</f>
        <v/>
      </c>
      <c r="AZ373" s="197" t="str">
        <f>IFERROR(((INDEX(avoidedcosttbl2,$H373,AZ$2))+(($H373-ROUNDDOWN($H373,0))*((INDEX(avoidedcosttbl2,ROUNDUP($H373,0),AZ$2))-(INDEX(avoidedcosttbl2,ROUNDDOWN($H373,0),AZ$2)))))*$O373*1000*('Inputs Yr 2'!AA374+'Inputs Yr 2'!AB374),"")</f>
        <v/>
      </c>
      <c r="BA373" s="198">
        <f t="shared" si="208"/>
        <v>0</v>
      </c>
      <c r="BB373" s="198">
        <f t="shared" si="209"/>
        <v>0</v>
      </c>
      <c r="BC373" s="195" t="str">
        <f t="shared" si="210"/>
        <v/>
      </c>
      <c r="BD373" s="195" t="str">
        <f t="shared" si="211"/>
        <v/>
      </c>
      <c r="BE373" s="195" t="str">
        <f t="shared" si="212"/>
        <v/>
      </c>
      <c r="BF373" s="195" t="str">
        <f t="shared" si="213"/>
        <v/>
      </c>
      <c r="BG373" s="195" t="str">
        <f t="shared" si="214"/>
        <v/>
      </c>
      <c r="BH373" s="196">
        <f t="shared" si="215"/>
        <v>0</v>
      </c>
      <c r="BI373" s="196">
        <f t="shared" si="216"/>
        <v>0</v>
      </c>
      <c r="BJ373" s="195" t="str">
        <f>IFERROR($G373*(IF('Inputs Yr 2'!$AJ374=BJ$4,'Inputs Yr 2'!$AK374,IF('Inputs Yr 2'!$AL374=BJ$4,'Inputs Yr 2'!$AM374,IF('Inputs Yr 2'!$AN374=BJ$4,'Inputs Yr 2'!$AO374,0))))*(INDEX(avoidedcosttbl2,$H373,BJ$2)+(($H373-ROUNDDOWN($H373,0))*(INDEX(avoidedcosttbl2,ROUNDUP($H373,0),BJ$2)-(INDEX(avoidedcosttbl2,ROUNDDOWN($H373,0),BJ$2)))))*'Inputs Yr 2'!P374*'Inputs Yr 2'!Q374*'Inputs Yr 2'!U374,"")</f>
        <v/>
      </c>
      <c r="BK373" s="195" t="str">
        <f>IFERROR($G373*(IF('Inputs Yr 2'!$AJ374=BK$4,'Inputs Yr 2'!$AK374,IF('Inputs Yr 2'!$AL374=BK$4,'Inputs Yr 2'!$AM374,IF('Inputs Yr 2'!$AN374=BK$4,'Inputs Yr 2'!$AO374,0))))*(INDEX(avoidedcosttbl2,$H373,BK$2)+(($H373-ROUNDDOWN($H373,0))*(INDEX(avoidedcosttbl2,ROUNDUP($H373,0),BK$2)-(INDEX(avoidedcosttbl2,ROUNDDOWN($H373,0),BK$2)))))*'Inputs Yr 2'!P374*'Inputs Yr 2'!Q374*'Inputs Yr 2'!U374,"")</f>
        <v/>
      </c>
      <c r="BL373" s="195" t="str">
        <f>IFERROR($G373*(IF('Inputs Yr 2'!$AJ374=BL$4,'Inputs Yr 2'!$AK374,IF('Inputs Yr 2'!$AL374=BL$4,'Inputs Yr 2'!$AM374,IF('Inputs Yr 2'!$AN374=BL$4,'Inputs Yr 2'!$AO374,0))))*(INDEX(avoidedcosttbl2,$H373,BL$2)+(($H373-ROUNDDOWN($H373,0))*(INDEX(avoidedcosttbl2,ROUNDUP($H373,0),BL$2)-(INDEX(avoidedcosttbl2,ROUNDDOWN($H373,0),BL$2)))))*'Inputs Yr 2'!P374*'Inputs Yr 2'!Q374*'Inputs Yr 2'!U374,"")</f>
        <v/>
      </c>
      <c r="BM373" s="195" t="str">
        <f>IFERROR($G373*(IF('Inputs Yr 2'!$AJ374=BM$4,'Inputs Yr 2'!$AK374,IF('Inputs Yr 2'!$AL374=BM$4,'Inputs Yr 2'!$AM374,IF('Inputs Yr 2'!$AN374=BM$4,'Inputs Yr 2'!$AO374,0))))*(INDEX(avoidedcosttbl2,$H373,BM$2)+(($H373-ROUNDDOWN($H373,0))*(INDEX(avoidedcosttbl2,ROUNDUP($H373,0),BM$2)-(INDEX(avoidedcosttbl2,ROUNDDOWN($H373,0),BM$2)))))*'Inputs Yr 2'!P374*'Inputs Yr 2'!Q374*'Inputs Yr 2'!U374,"")</f>
        <v/>
      </c>
      <c r="BN373" s="195" t="str">
        <f>IFERROR($G373*(IF('Inputs Yr 2'!$AJ374=BN$4,'Inputs Yr 2'!$AK374,IF('Inputs Yr 2'!$AL374=BN$4,'Inputs Yr 2'!$AM374,IF('Inputs Yr 2'!$AN374=BN$4,'Inputs Yr 2'!$AO374,0))))*(INDEX(avoidedcosttbl2,$H373,BN$2)+(($H373-ROUNDDOWN($H373,0))*(INDEX(avoidedcosttbl2,ROUNDUP($H373,0),BN$2)-(INDEX(avoidedcosttbl2,ROUNDDOWN($H373,0),BN$2)))))*'Inputs Yr 2'!P374*'Inputs Yr 2'!Q374*'Inputs Yr 2'!U374,"")</f>
        <v/>
      </c>
      <c r="BO373" s="195" t="str">
        <f>IFERROR($G373*(IF('Inputs Yr 2'!$AJ374=BO$4,'Inputs Yr 2'!$AK374,IF('Inputs Yr 2'!$AL374=BO$4,'Inputs Yr 2'!$AM374,IF('Inputs Yr 2'!$AN374=BO$4,'Inputs Yr 2'!$AO374,0))))*(INDEX(avoidedcosttbl2,$H373,BO$2)+(($H373-ROUNDDOWN($H373,0))*(INDEX(avoidedcosttbl2,ROUNDUP($H373,0),BO$2)-(INDEX(avoidedcosttbl2,ROUNDDOWN($H373,0),BO$2)))))*'Inputs Yr 2'!P374*'Inputs Yr 2'!Q374*'Inputs Yr 2'!U374,"")</f>
        <v/>
      </c>
      <c r="BP373" s="195" t="str">
        <f>IFERROR($G373*(IF('Inputs Yr 2'!$AJ374=BP$4,'Inputs Yr 2'!$AK374,IF('Inputs Yr 2'!$AL374=BP$4,'Inputs Yr 2'!$AM374,IF('Inputs Yr 2'!$AN374=BP$4,'Inputs Yr 2'!$AO374,0))))*(INDEX(avoidedcosttbl2,$H373,BP$2)+(($H373-ROUNDDOWN($H373,0))*(INDEX(avoidedcosttbl2,ROUNDUP($H373,0),BP$2)-(INDEX(avoidedcosttbl2,ROUNDDOWN($H373,0),BP$2)))))*'Inputs Yr 2'!P374*'Inputs Yr 2'!Q374*'Inputs Yr 2'!U374,"")</f>
        <v/>
      </c>
      <c r="BQ373" s="230">
        <f t="shared" si="217"/>
        <v>0</v>
      </c>
      <c r="BR373" s="197" t="str">
        <f t="shared" si="218"/>
        <v/>
      </c>
      <c r="BS373" s="197" t="str">
        <f>IFERROR(($G373*IF('Inputs Yr 2'!$AJ374=BM$4,'Inputs Yr 2'!$AK374,IF('Inputs Yr 2'!$AL374=BM$4,'Inputs Yr 2'!$AM374,IF('Inputs Yr 2'!$AN374=BM$4,'Inputs Yr 2'!$AO374,0))))*(INDEX(avoidedcosttbl2,$H373,BS$2)+(($H373-ROUNDDOWN($H373,0))*(INDEX(avoidedcosttbl2,ROUNDUP($H373,0),BS$2)-(INDEX(avoidedcosttbl2,ROUNDDOWN($H373,0),BS$2)))))*'Inputs Yr 2'!P374*'Inputs Yr 2'!Q374*'Inputs Yr 2'!U374,"")</f>
        <v/>
      </c>
      <c r="BT373" s="197" t="str">
        <f>IFERROR(($G373*IF('Inputs Yr 2'!$AJ374=BK$4,'Inputs Yr 2'!$AK374,IF('Inputs Yr 2'!$AL374=BK$4,'Inputs Yr 2'!$AM374,IF('Inputs Yr 2'!$AN374=BK$4,'Inputs Yr 2'!$AO374,0))))*(INDEX(avoidedcosttbl2,$H373,BT$2)+(($H373-ROUNDDOWN($H373,0))*(INDEX(avoidedcosttbl2,ROUNDUP($H373,0),BT$2)-(INDEX(avoidedcosttbl2,ROUNDDOWN($H373,0),BT$2)))))*'Inputs Yr 2'!P374*'Inputs Yr 2'!Q374*'Inputs Yr 2'!U374,"")</f>
        <v/>
      </c>
      <c r="BU373" s="197" t="str">
        <f>IFERROR(($G373*IF('Inputs Yr 2'!$AJ374=BL$4,'Inputs Yr 2'!$AK374,IF('Inputs Yr 2'!$AL374=BL$4,'Inputs Yr 2'!$AM374,IF('Inputs Yr 2'!$AN374=BL$4,'Inputs Yr 2'!$AO374,0))))*(INDEX(avoidedcosttbl2,$H373,BU$2)+(($H373-ROUNDDOWN($H373,0))*(INDEX(avoidedcosttbl2,ROUNDUP($H373,0),BU$2)-(INDEX(avoidedcosttbl2,ROUNDDOWN($H373,0),BU$2)))))*'Inputs Yr 2'!P374*'Inputs Yr 2'!Q374*'Inputs Yr 2'!U374,"")</f>
        <v/>
      </c>
      <c r="BV373" s="775" t="str">
        <f>IFERROR(($G373*IF('Inputs Yr 2'!$AJ374=BJ$4,'Inputs Yr 2'!$AK374,IF('Inputs Yr 2'!$AL374=BJ$4,'Inputs Yr 2'!$AM374,IF('Inputs Yr 2'!$AN374=BJ$4,'Inputs Yr 2'!$AO374,0))))*(INDEX(avoidedcosttbl2,$H373,BV$2)+(($H373-ROUNDDOWN($H373,0))*(INDEX(avoidedcosttbl2,ROUNDUP($H373,0),BV$2)-(INDEX(avoidedcosttbl2,ROUNDDOWN($H373,0),BV$2)))))*'Inputs Yr 2'!P374*'Inputs Yr 2'!Q374*'Inputs Yr 2'!U374,"")</f>
        <v/>
      </c>
      <c r="BW373" s="197" t="str">
        <f>IFERROR(($G373*IF('Inputs Yr 2'!$AJ374=BN$4,'Inputs Yr 2'!$AK374,IF('Inputs Yr 2'!$AL374=BN$4,'Inputs Yr 2'!$AM374,IF('Inputs Yr 2'!$AN374=BN$4,'Inputs Yr 2'!$AO374,0))))*(INDEX(avoidedcosttbl2,$H373,BW$2)+(($H373-ROUNDDOWN($H373,0))*(INDEX(avoidedcosttbl2,ROUNDUP($H373,0),BW$2)-(INDEX(avoidedcosttbl2,ROUNDDOWN($H373,0),BW$2)))))*'Inputs Yr 2'!P374*'Inputs Yr 2'!Q374*'Inputs Yr 2'!U374,"")</f>
        <v/>
      </c>
      <c r="BX373" s="197" t="str">
        <f>IFERROR(($G373*IF('Inputs Yr 2'!$AJ374=BO$4,'Inputs Yr 2'!$AK374,IF('Inputs Yr 2'!$AL374=BO$4,'Inputs Yr 2'!$AM374,IF('Inputs Yr 2'!$AN374=BO$4,'Inputs Yr 2'!$AO374,0))))*(INDEX(avoidedcosttbl2,$H373,BX$2)+(($H373-ROUNDDOWN($H373,0))*(INDEX(avoidedcosttbl2,ROUNDUP($H373,0),BX$2)-(INDEX(avoidedcosttbl2,ROUNDDOWN($H373,0),BX$2)))))*'Inputs Yr 2'!P374*'Inputs Yr 2'!Q374*'Inputs Yr 2'!U374,"")</f>
        <v/>
      </c>
      <c r="BY373" s="197" t="str">
        <f>IFERROR(($G373*IF('Inputs Yr 2'!$AJ374=BP$4,'Inputs Yr 2'!$AK374,IF('Inputs Yr 2'!$AL374=BP$4,'Inputs Yr 2'!$AM374,IF('Inputs Yr 2'!$AN374=BP$4,'Inputs Yr 2'!$AO374,0))))*(INDEX(avoidedcosttbl2,$H373,BY$2)+(($H373-ROUNDDOWN($H373,0))*(INDEX(avoidedcosttbl2,ROUNDUP($H373,0),BY$2)-(INDEX(avoidedcosttbl2,ROUNDDOWN($H373,0),BY$2)))))*'Inputs Yr 2'!P374*'Inputs Yr 2'!Q374*'Inputs Yr 2'!U374,"")</f>
        <v/>
      </c>
      <c r="BZ373" s="193">
        <f t="shared" si="219"/>
        <v>0</v>
      </c>
      <c r="CA373" s="193">
        <f t="shared" si="220"/>
        <v>0</v>
      </c>
      <c r="CB373" s="195" t="str">
        <f>IFERROR(G373*(IF('Inputs Yr 2'!$AJ374=CB$4,'Inputs Yr 2'!$AK374,IF('Inputs Yr 2'!$AL374=CB$4,'Inputs Yr 2'!$AM374,IF('Inputs Yr 2'!$AN374=CB$4,'Inputs Yr 2'!$AO374,0))))*(INDEX(avoidedcosttbl2,$H373,CB$2)+(($H373-ROUNDDOWN($H373,0))*(INDEX(avoidedcosttbl2,ROUNDUP($H373,0),CB$2)-(INDEX(avoidedcosttbl2,ROUNDDOWN($H373,0),CB$2)))))*'Inputs Yr 2'!P374*'Inputs Yr 2'!Q374*'Inputs Yr 2'!U374,"")</f>
        <v/>
      </c>
      <c r="CC373" s="195" t="str">
        <f>IFERROR(H373*(IF('Inputs Yr 2'!$AJ374=CC$4,'Inputs Yr 2'!$AK374,IF('Inputs Yr 2'!$AL374=CC$4,'Inputs Yr 2'!$AM374,IF('Inputs Yr 2'!$AN374=CC$4,'Inputs Yr 2'!$AO374,0))))*(INDEX(avoidedcosttbl2,$H373,CC$2)+(($H373-ROUNDDOWN($H373,0))*(INDEX(avoidedcosttbl2,ROUNDUP($H373,0),CC$2)-(INDEX(avoidedcosttbl2,ROUNDDOWN($H373,0),CC$2)))))*'Inputs Yr 2'!Q374*'Inputs Yr 2'!R374*'Inputs Yr 2'!V374,"")</f>
        <v/>
      </c>
      <c r="CD373" s="195" t="str">
        <f>IFERROR(I373*(IF('Inputs Yr 2'!$AJ374=CD$4,'Inputs Yr 2'!$AK374,IF('Inputs Yr 2'!$AL374=CD$4,'Inputs Yr 2'!$AM374,IF('Inputs Yr 2'!$AN374=CD$4,'Inputs Yr 2'!$AO374,0))))*(INDEX(avoidedcosttbl2,$H373,CD$2)+(($H373-ROUNDDOWN($H373,0))*(INDEX(avoidedcosttbl2,ROUNDUP($H373,0),CD$2)-(INDEX(avoidedcosttbl2,ROUNDDOWN($H373,0),CD$2)))))*'Inputs Yr 2'!R374*'Inputs Yr 2'!S374*'Inputs Yr 2'!W374,"")</f>
        <v/>
      </c>
      <c r="CE373" s="213" t="str">
        <f t="shared" si="221"/>
        <v/>
      </c>
      <c r="CF373" s="213" t="str">
        <f t="shared" si="222"/>
        <v/>
      </c>
      <c r="CG373" s="213" t="str">
        <f t="shared" si="223"/>
        <v/>
      </c>
      <c r="CH373" s="698">
        <f t="shared" si="224"/>
        <v>0</v>
      </c>
      <c r="CI373" s="79" t="str">
        <f>IFERROR(($G373*'Inputs Yr 2'!$P374*'Inputs Yr 2'!$Q374*(((INDEX(avoidedcosttbl2,$H373,CI$2)+(($H373-ROUNDDOWN($H373,0))*(INDEX(avoidedcosttbl2,ROUNDUP($H373,0),CI$2)-INDEX(avoidedcosttbl2,ROUNDDOWN($H373,0),CI$2))))*'Inputs Yr 2'!AS374))),"")</f>
        <v/>
      </c>
      <c r="CJ373" s="504" t="str">
        <f>IFERROR($G373*'Inputs Yr 2'!AT374*'Inputs Yr 2'!$P374*'Inputs Yr 2'!$Q374/((1+realdiscrt1)^-0.5),"")</f>
        <v/>
      </c>
      <c r="CK373" s="79" t="str">
        <f>IFERROR((O373*1000*(((INDEX(avoidedcosttbl2,$H373,CK$2)+(($H373-ROUNDDOWN($H373,0))*(INDEX(avoidedcosttbl2,ROUNDUP($H373,0),CK$2)-INDEX(avoidedcosttbl2,ROUNDDOWN($H373,0),CK$2))))*'Inputs Yr 2'!AU374))),"")</f>
        <v/>
      </c>
      <c r="CL373" s="504" t="str">
        <f>IFERROR(O373*1000*'Inputs Yr 2'!AV374/((1+realdiscrt1)^-0.5),"")</f>
        <v/>
      </c>
      <c r="CM373" s="79" t="str">
        <f>IFERROR((AB373*'Inputs Yr 2'!AW374*(((INDEX(avoidedcosttbl2,$H373,CM$2)+(($H373-ROUNDDOWN($H373,0))*(INDEX(avoidedcosttbl2,ROUNDUP($H373,0),CM$2)-INDEX(avoidedcosttbl2,ROUNDDOWN($H373,0),CM$2)))))))*10,"")</f>
        <v/>
      </c>
      <c r="CN373" s="504">
        <f>IFERROR(10*AB373*'Inputs Yr 2'!AX374/((1+realdiscrt1)^-0.5),"")</f>
        <v>0</v>
      </c>
      <c r="CO373" s="505">
        <f t="shared" si="225"/>
        <v>0</v>
      </c>
      <c r="CP373" s="230">
        <f t="shared" si="226"/>
        <v>0</v>
      </c>
      <c r="CQ373" s="199">
        <f>ROUND(IFERROR(IF(LEFT($A373,1)="C",'Avoided Costs'!$K$13,'Avoided Costs'!$K$12)+1,""),4)</f>
        <v>1.0720000000000001</v>
      </c>
      <c r="CR373" s="199">
        <f>ROUND(IFERROR(IF(LEFT($A373,1)="C",'Avoided Costs'!$L$13,'Avoided Costs'!$L$12)+1,""),4)</f>
        <v>1.04</v>
      </c>
      <c r="CS373" s="199">
        <f>ROUND(IFERROR(IF(LEFT($A373,1)="C",'Avoided Costs'!$M$13,'Avoided Costs'!$M$12)+1,""),4)</f>
        <v>1.0720000000000001</v>
      </c>
      <c r="CT373" s="199">
        <f>ROUND(IFERROR(IF(LEFT($A373,1)="C",'Avoided Costs'!$N$13,'Avoided Costs'!$N$12)+1,""),4)</f>
        <v>1.04</v>
      </c>
      <c r="CU373" s="199">
        <f>ROUND(IFERROR(IF(LEFT($A373,1)="C",'Avoided Costs'!$O$13,'Avoided Costs'!$O$12)+1,""),4)</f>
        <v>1.1120000000000001</v>
      </c>
      <c r="CV373" s="199">
        <f>ROUND(IFERROR(IF(LEFT($A373,1)="C",'Avoided Costs'!$P$13,'Avoided Costs'!$P$12)+1,""),4)</f>
        <v>1.095</v>
      </c>
      <c r="CW373" s="199">
        <f>ROUND(IFERROR(IF(LEFT($A373,1)="C",'Avoided Costs'!$Q$13,'Avoided Costs'!$Q$12)+1,""),4)</f>
        <v>1.1120000000000001</v>
      </c>
      <c r="CX373" s="200">
        <f>ROUND(IFERROR(IF(LEFT($A373,1)="C",'Avoided Costs'!$R$13,'Avoided Costs'!$R$12)+1,""),4)</f>
        <v>1.1120000000000001</v>
      </c>
    </row>
    <row r="374" spans="1:102" s="128" customFormat="1" ht="12.75" customHeight="1">
      <c r="A374" s="91" t="str">
        <f>IF('Inputs Yr 2'!$B411=0,"",'Inputs Yr 2'!A411)</f>
        <v/>
      </c>
      <c r="B374" s="91" t="str">
        <f>IF('Inputs Yr 2'!$B411=0,"",'Inputs Yr 2'!B411)</f>
        <v/>
      </c>
      <c r="C374" s="91" t="str">
        <f>IF('Inputs Yr 2'!$B375=0,"",'Inputs Yr 2'!C375)</f>
        <v/>
      </c>
      <c r="D374" s="91" t="str">
        <f>IF('Inputs Yr 2'!$B375=0,"",'Inputs Yr 2'!E375)</f>
        <v/>
      </c>
      <c r="E374" s="93" t="str">
        <f>IF('Inputs Yr 2'!$B375=0,"",'Inputs Yr 2'!F375)</f>
        <v/>
      </c>
      <c r="F374" s="93" t="str">
        <f>IF('Inputs Yr 2'!$B375=0,"",'Inputs Yr 2'!G375)</f>
        <v/>
      </c>
      <c r="G374" s="95" t="str">
        <f>IF('Inputs Yr 2'!$H375&lt;&gt;0,('Inputs Yr 2'!H375),"")</f>
        <v/>
      </c>
      <c r="H374" s="94">
        <f>IFERROR('Inputs Yr 2'!I375,"")</f>
        <v>0</v>
      </c>
      <c r="I374" s="298" t="str">
        <f>IFERROR('Inputs Yr 2'!J375*'Inputs Yr 2'!P375*G374,"")</f>
        <v/>
      </c>
      <c r="J374" s="298" t="str">
        <f>IFERROR('Inputs Yr 2'!K375*G374,"")</f>
        <v/>
      </c>
      <c r="K374" s="298" t="str">
        <f t="shared" si="197"/>
        <v/>
      </c>
      <c r="L374" s="194" t="str">
        <f>IFERROR(('Inputs Yr 2'!W375*G374)/1000,"")</f>
        <v/>
      </c>
      <c r="M374" s="194" t="str">
        <f>IFERROR(L374*('Inputs Yr 2'!$Q375*'Inputs Yr 2'!$V375*'Inputs Yr 2'!$R375),"")</f>
        <v/>
      </c>
      <c r="N374" s="194" t="str">
        <f t="shared" si="198"/>
        <v/>
      </c>
      <c r="O374" s="194" t="str">
        <f>IFERROR(M374*'Inputs Yr 2'!P375,"")</f>
        <v/>
      </c>
      <c r="P374" s="194" t="str">
        <f t="shared" si="199"/>
        <v/>
      </c>
      <c r="Q374" s="194" t="str">
        <f>IFERROR($P374*'Inputs Yr 2'!AA375,"")</f>
        <v/>
      </c>
      <c r="R374" s="194" t="str">
        <f>IFERROR($P374*'Inputs Yr 2'!AB375,"")</f>
        <v/>
      </c>
      <c r="S374" s="194" t="str">
        <f>IFERROR($P374*'Inputs Yr 2'!AC375,"")</f>
        <v/>
      </c>
      <c r="T374" s="194" t="str">
        <f>IFERROR($P374*'Inputs Yr 2'!AD375,"")</f>
        <v/>
      </c>
      <c r="U374" s="194" t="str">
        <f>IFERROR(G374*'Inputs Yr 2'!$AE375*'Inputs Yr 2'!$P375*'Inputs Yr 2'!$Q375,"")</f>
        <v/>
      </c>
      <c r="V374" s="194" t="str">
        <f>IFERROR($G374*'Inputs Yr 2'!$AE375*'Inputs Yr 2'!$AG375*'Inputs Yr 2'!Q375*'Inputs Yr 2'!$S375,"")</f>
        <v/>
      </c>
      <c r="W374" s="194" t="str">
        <f>IFERROR($G374*'Inputs Yr 2'!$AE375*'Inputs Yr 2'!$AG375*'Inputs Yr 2'!P375*'Inputs Yr 2'!Q375*'Inputs Yr 2'!$S375,"")</f>
        <v/>
      </c>
      <c r="X374" s="194" t="str">
        <f>IFERROR($G374*'Inputs Yr 2'!$AE375*'Inputs Yr 2'!$AF375*'Inputs Yr 2'!Q375*'Inputs Yr 2'!$T375,"")</f>
        <v/>
      </c>
      <c r="Y374" s="194" t="str">
        <f>IFERROR($G374*'Inputs Yr 2'!$AE375*'Inputs Yr 2'!$AF375*'Inputs Yr 2'!P375*'Inputs Yr 2'!Q375*'Inputs Yr 2'!$T375,"")</f>
        <v/>
      </c>
      <c r="Z374" s="257">
        <f>IFERROR($G374*'Inputs Yr 2'!$Q375*'Inputs Yr 2'!$U375*(IF(IFERROR(SEARCH("NG", 'Inputs Yr 2'!$AJ375),0),'Inputs Yr 2'!$AK375,0)+IF(IFERROR(SEARCH("NG", 'Inputs Yr 2'!$AL375),0),'Inputs Yr 2'!$AM375,0)+IF(IFERROR(SEARCH("NG", 'Inputs Yr 2'!$AN375),0),'Inputs Yr 2'!$AO375,0)),0)</f>
        <v>0</v>
      </c>
      <c r="AA374" s="257">
        <f t="shared" si="200"/>
        <v>0</v>
      </c>
      <c r="AB374" s="257">
        <f>IFERROR(Z374*'Inputs Yr 2'!$P375,0)</f>
        <v>0</v>
      </c>
      <c r="AC374" s="257">
        <f t="shared" si="201"/>
        <v>0</v>
      </c>
      <c r="AD374" s="257">
        <f>IFERROR($G374*'Inputs Yr 2'!$Q375*'Inputs Yr 2'!$U375*(IF(IFERROR(SEARCH("Oil", 'Inputs Yr 2'!$AJ375), 0),'Inputs Yr 2'!$AK375,0)+IF(IFERROR(SEARCH("Oil", 'Inputs Yr 2'!$AL375), 0),'Inputs Yr 2'!$AM375,0)+IF(IFERROR(SEARCH("Oil", 'Inputs Yr 2'!$AN375), 0),'Inputs Yr 2'!$AO375,0)),0)</f>
        <v>0</v>
      </c>
      <c r="AE374" s="257">
        <f t="shared" si="202"/>
        <v>0</v>
      </c>
      <c r="AF374" s="257">
        <f>IFERROR(AD374*'Inputs Yr 2'!$P375,0)</f>
        <v>0</v>
      </c>
      <c r="AG374" s="257">
        <f t="shared" si="203"/>
        <v>0</v>
      </c>
      <c r="AH374" s="257">
        <f>IFERROR($G374*'Inputs Yr 2'!$Q375*'Inputs Yr 2'!$U375*(IF('Inputs Yr 2'!$AJ375=CD$4,'Inputs Yr 2'!$AK375,IF('Inputs Yr 2'!$AL375=CD$4,'Inputs Yr 2'!$AM375,IF('Inputs Yr 2'!$AN375=CD$4,'Inputs Yr 2'!$AO375,0)))),0)</f>
        <v>0</v>
      </c>
      <c r="AI374" s="257">
        <f t="shared" si="204"/>
        <v>0</v>
      </c>
      <c r="AJ374" s="257">
        <f>IFERROR(AH374*'Inputs Yr 2'!$P375,0)</f>
        <v>0</v>
      </c>
      <c r="AK374" s="257">
        <f t="shared" si="205"/>
        <v>0</v>
      </c>
      <c r="AL374" s="258">
        <f>IFERROR($G374*'Inputs Yr 2'!$P375*'Inputs Yr 2'!$Q375*'Inputs Yr 2'!AP375,0)</f>
        <v>0</v>
      </c>
      <c r="AM374" s="260">
        <f>IFERROR($G374*'Inputs Yr 2'!$P375*'Inputs Yr 2'!$Q375*'Inputs Yr 2'!AQ375,0)</f>
        <v>0</v>
      </c>
      <c r="AN374" s="258">
        <f>IFERROR($G374*'Inputs Yr 2'!$P375*'Inputs Yr 2'!$Q375*'Inputs Yr 2'!AR375,0)</f>
        <v>0</v>
      </c>
      <c r="AO374" s="257">
        <f t="shared" si="206"/>
        <v>0</v>
      </c>
      <c r="AP374" s="195" t="str">
        <f>IFERROR($CQ374*(INDEX(avoidedcosttbl2,$H374,AP$2)+(($H374-ROUNDDOWN($H374,0))*(INDEX(avoidedcosttbl2,ROUNDUP($H374,0),AP$2)-(INDEX(avoidedcosttbl2,ROUNDDOWN($H374,0),AP$2)))))*$O374*1000*'Inputs Yr 2'!AA375,"")</f>
        <v/>
      </c>
      <c r="AQ374" s="195" t="str">
        <f>IFERROR($CR374*(INDEX(avoidedcosttbl2,$H374,AQ$2)+(($H374-ROUNDDOWN($H374,0))*(INDEX(avoidedcosttbl2,ROUNDUP($H374,0),AQ$2)-(INDEX(avoidedcosttbl2,ROUNDDOWN($H374,0),AQ$2)))))*$O374*1000*'Inputs Yr 2'!AB375,"")</f>
        <v/>
      </c>
      <c r="AR374" s="195" t="str">
        <f>IFERROR($CS374*(INDEX(avoidedcosttbl2,$H374,AR$2)+(($H374-ROUNDDOWN($H374,0))*(INDEX(avoidedcosttbl2,ROUNDUP($H374,0),AR$2)-(INDEX(avoidedcosttbl2,ROUNDDOWN($H374,0),AR$2)))))*$O374*1000*'Inputs Yr 2'!AC375,"")</f>
        <v/>
      </c>
      <c r="AS374" s="195" t="str">
        <f>IFERROR($CT374*(INDEX(avoidedcosttbl2,$H374,AS$2)+(($H374-ROUNDDOWN($H374,0))*(INDEX(avoidedcosttbl2,ROUNDUP($H374,0),AS$2)-(INDEX(avoidedcosttbl2,ROUNDDOWN($H374,0),AS$2)))))*$O374*1000*'Inputs Yr 2'!AD375,"")</f>
        <v/>
      </c>
      <c r="AT374" s="196">
        <f t="shared" si="207"/>
        <v>0</v>
      </c>
      <c r="AU374" s="197" t="str">
        <f>IFERROR($CQ374*((INDEX(avoidedcosttbl2,$H374,AU$2))+(($H374-ROUNDDOWN($H374,0))*((INDEX(avoidedcosttbl2,ROUNDUP($H374,0),AU$2))-(INDEX(avoidedcosttbl2,ROUNDDOWN($H374,0),AU$2)))))*$O374*1000*'Inputs Yr 2'!AA375,"")</f>
        <v/>
      </c>
      <c r="AV374" s="197" t="str">
        <f>IFERROR($CR374*((INDEX(avoidedcosttbl2,$H374,AV$2))+(($H374-ROUNDDOWN($H374,0))*((INDEX(avoidedcosttbl2,ROUNDUP($H374,0),AV$2))-(INDEX(avoidedcosttbl2,ROUNDDOWN($H374,0),AV$2)))))*$O374*1000*'Inputs Yr 2'!AB375,"")</f>
        <v/>
      </c>
      <c r="AW374" s="197" t="str">
        <f>IFERROR($CS374*((INDEX(avoidedcosttbl2,$H374,AW$2))+(($H374-ROUNDDOWN($H374,0))*((INDEX(avoidedcosttbl2,ROUNDUP($H374,0),AW$2))-(INDEX(avoidedcosttbl2,ROUNDDOWN($H374,0),AW$2)))))*$O374*1000*'Inputs Yr 2'!AC375,"")</f>
        <v/>
      </c>
      <c r="AX374" s="197" t="str">
        <f>IFERROR($CT374*((INDEX(avoidedcosttbl2,$H374,AX$2))+(($H374-ROUNDDOWN($H374,0))*((INDEX(avoidedcosttbl2,ROUNDUP($H374,0),AX$2))-(INDEX(avoidedcosttbl2,ROUNDDOWN($H374,0),AX$2)))))*$O374*1000*'Inputs Yr 2'!AD375,"")</f>
        <v/>
      </c>
      <c r="AY374" s="197" t="str">
        <f>IFERROR(((INDEX(avoidedcosttbl2,$H374,AY$2))+(($H374-ROUNDDOWN($H374,0))*((INDEX(avoidedcosttbl2,ROUNDUP($H374,0),AY$2))-(INDEX(avoidedcosttbl2,ROUNDDOWN($H374,0),AY$2)))))*$O374*1000*('Inputs Yr 2'!AC375+'Inputs Yr 2'!AD375),"")</f>
        <v/>
      </c>
      <c r="AZ374" s="197" t="str">
        <f>IFERROR(((INDEX(avoidedcosttbl2,$H374,AZ$2))+(($H374-ROUNDDOWN($H374,0))*((INDEX(avoidedcosttbl2,ROUNDUP($H374,0),AZ$2))-(INDEX(avoidedcosttbl2,ROUNDDOWN($H374,0),AZ$2)))))*$O374*1000*('Inputs Yr 2'!AA375+'Inputs Yr 2'!AB375),"")</f>
        <v/>
      </c>
      <c r="BA374" s="198">
        <f t="shared" si="208"/>
        <v>0</v>
      </c>
      <c r="BB374" s="198">
        <f t="shared" si="209"/>
        <v>0</v>
      </c>
      <c r="BC374" s="195" t="str">
        <f t="shared" si="210"/>
        <v/>
      </c>
      <c r="BD374" s="195" t="str">
        <f t="shared" si="211"/>
        <v/>
      </c>
      <c r="BE374" s="195" t="str">
        <f t="shared" si="212"/>
        <v/>
      </c>
      <c r="BF374" s="195" t="str">
        <f t="shared" si="213"/>
        <v/>
      </c>
      <c r="BG374" s="195" t="str">
        <f t="shared" si="214"/>
        <v/>
      </c>
      <c r="BH374" s="196">
        <f t="shared" si="215"/>
        <v>0</v>
      </c>
      <c r="BI374" s="196">
        <f t="shared" si="216"/>
        <v>0</v>
      </c>
      <c r="BJ374" s="195" t="str">
        <f>IFERROR($G374*(IF('Inputs Yr 2'!$AJ375=BJ$4,'Inputs Yr 2'!$AK375,IF('Inputs Yr 2'!$AL375=BJ$4,'Inputs Yr 2'!$AM375,IF('Inputs Yr 2'!$AN375=BJ$4,'Inputs Yr 2'!$AO375,0))))*(INDEX(avoidedcosttbl2,$H374,BJ$2)+(($H374-ROUNDDOWN($H374,0))*(INDEX(avoidedcosttbl2,ROUNDUP($H374,0),BJ$2)-(INDEX(avoidedcosttbl2,ROUNDDOWN($H374,0),BJ$2)))))*'Inputs Yr 2'!P375*'Inputs Yr 2'!Q375*'Inputs Yr 2'!U375,"")</f>
        <v/>
      </c>
      <c r="BK374" s="195" t="str">
        <f>IFERROR($G374*(IF('Inputs Yr 2'!$AJ375=BK$4,'Inputs Yr 2'!$AK375,IF('Inputs Yr 2'!$AL375=BK$4,'Inputs Yr 2'!$AM375,IF('Inputs Yr 2'!$AN375=BK$4,'Inputs Yr 2'!$AO375,0))))*(INDEX(avoidedcosttbl2,$H374,BK$2)+(($H374-ROUNDDOWN($H374,0))*(INDEX(avoidedcosttbl2,ROUNDUP($H374,0),BK$2)-(INDEX(avoidedcosttbl2,ROUNDDOWN($H374,0),BK$2)))))*'Inputs Yr 2'!P375*'Inputs Yr 2'!Q375*'Inputs Yr 2'!U375,"")</f>
        <v/>
      </c>
      <c r="BL374" s="195" t="str">
        <f>IFERROR($G374*(IF('Inputs Yr 2'!$AJ375=BL$4,'Inputs Yr 2'!$AK375,IF('Inputs Yr 2'!$AL375=BL$4,'Inputs Yr 2'!$AM375,IF('Inputs Yr 2'!$AN375=BL$4,'Inputs Yr 2'!$AO375,0))))*(INDEX(avoidedcosttbl2,$H374,BL$2)+(($H374-ROUNDDOWN($H374,0))*(INDEX(avoidedcosttbl2,ROUNDUP($H374,0),BL$2)-(INDEX(avoidedcosttbl2,ROUNDDOWN($H374,0),BL$2)))))*'Inputs Yr 2'!P375*'Inputs Yr 2'!Q375*'Inputs Yr 2'!U375,"")</f>
        <v/>
      </c>
      <c r="BM374" s="195" t="str">
        <f>IFERROR($G374*(IF('Inputs Yr 2'!$AJ375=BM$4,'Inputs Yr 2'!$AK375,IF('Inputs Yr 2'!$AL375=BM$4,'Inputs Yr 2'!$AM375,IF('Inputs Yr 2'!$AN375=BM$4,'Inputs Yr 2'!$AO375,0))))*(INDEX(avoidedcosttbl2,$H374,BM$2)+(($H374-ROUNDDOWN($H374,0))*(INDEX(avoidedcosttbl2,ROUNDUP($H374,0),BM$2)-(INDEX(avoidedcosttbl2,ROUNDDOWN($H374,0),BM$2)))))*'Inputs Yr 2'!P375*'Inputs Yr 2'!Q375*'Inputs Yr 2'!U375,"")</f>
        <v/>
      </c>
      <c r="BN374" s="195" t="str">
        <f>IFERROR($G374*(IF('Inputs Yr 2'!$AJ375=BN$4,'Inputs Yr 2'!$AK375,IF('Inputs Yr 2'!$AL375=BN$4,'Inputs Yr 2'!$AM375,IF('Inputs Yr 2'!$AN375=BN$4,'Inputs Yr 2'!$AO375,0))))*(INDEX(avoidedcosttbl2,$H374,BN$2)+(($H374-ROUNDDOWN($H374,0))*(INDEX(avoidedcosttbl2,ROUNDUP($H374,0),BN$2)-(INDEX(avoidedcosttbl2,ROUNDDOWN($H374,0),BN$2)))))*'Inputs Yr 2'!P375*'Inputs Yr 2'!Q375*'Inputs Yr 2'!U375,"")</f>
        <v/>
      </c>
      <c r="BO374" s="195" t="str">
        <f>IFERROR($G374*(IF('Inputs Yr 2'!$AJ375=BO$4,'Inputs Yr 2'!$AK375,IF('Inputs Yr 2'!$AL375=BO$4,'Inputs Yr 2'!$AM375,IF('Inputs Yr 2'!$AN375=BO$4,'Inputs Yr 2'!$AO375,0))))*(INDEX(avoidedcosttbl2,$H374,BO$2)+(($H374-ROUNDDOWN($H374,0))*(INDEX(avoidedcosttbl2,ROUNDUP($H374,0),BO$2)-(INDEX(avoidedcosttbl2,ROUNDDOWN($H374,0),BO$2)))))*'Inputs Yr 2'!P375*'Inputs Yr 2'!Q375*'Inputs Yr 2'!U375,"")</f>
        <v/>
      </c>
      <c r="BP374" s="195" t="str">
        <f>IFERROR($G374*(IF('Inputs Yr 2'!$AJ375=BP$4,'Inputs Yr 2'!$AK375,IF('Inputs Yr 2'!$AL375=BP$4,'Inputs Yr 2'!$AM375,IF('Inputs Yr 2'!$AN375=BP$4,'Inputs Yr 2'!$AO375,0))))*(INDEX(avoidedcosttbl2,$H374,BP$2)+(($H374-ROUNDDOWN($H374,0))*(INDEX(avoidedcosttbl2,ROUNDUP($H374,0),BP$2)-(INDEX(avoidedcosttbl2,ROUNDDOWN($H374,0),BP$2)))))*'Inputs Yr 2'!P375*'Inputs Yr 2'!Q375*'Inputs Yr 2'!U375,"")</f>
        <v/>
      </c>
      <c r="BQ374" s="230">
        <f t="shared" si="217"/>
        <v>0</v>
      </c>
      <c r="BR374" s="197" t="str">
        <f t="shared" si="218"/>
        <v/>
      </c>
      <c r="BS374" s="197" t="str">
        <f>IFERROR(($G374*IF('Inputs Yr 2'!$AJ375=BM$4,'Inputs Yr 2'!$AK375,IF('Inputs Yr 2'!$AL375=BM$4,'Inputs Yr 2'!$AM375,IF('Inputs Yr 2'!$AN375=BM$4,'Inputs Yr 2'!$AO375,0))))*(INDEX(avoidedcosttbl2,$H374,BS$2)+(($H374-ROUNDDOWN($H374,0))*(INDEX(avoidedcosttbl2,ROUNDUP($H374,0),BS$2)-(INDEX(avoidedcosttbl2,ROUNDDOWN($H374,0),BS$2)))))*'Inputs Yr 2'!P375*'Inputs Yr 2'!Q375*'Inputs Yr 2'!U375,"")</f>
        <v/>
      </c>
      <c r="BT374" s="197" t="str">
        <f>IFERROR(($G374*IF('Inputs Yr 2'!$AJ375=BK$4,'Inputs Yr 2'!$AK375,IF('Inputs Yr 2'!$AL375=BK$4,'Inputs Yr 2'!$AM375,IF('Inputs Yr 2'!$AN375=BK$4,'Inputs Yr 2'!$AO375,0))))*(INDEX(avoidedcosttbl2,$H374,BT$2)+(($H374-ROUNDDOWN($H374,0))*(INDEX(avoidedcosttbl2,ROUNDUP($H374,0),BT$2)-(INDEX(avoidedcosttbl2,ROUNDDOWN($H374,0),BT$2)))))*'Inputs Yr 2'!P375*'Inputs Yr 2'!Q375*'Inputs Yr 2'!U375,"")</f>
        <v/>
      </c>
      <c r="BU374" s="197" t="str">
        <f>IFERROR(($G374*IF('Inputs Yr 2'!$AJ375=BL$4,'Inputs Yr 2'!$AK375,IF('Inputs Yr 2'!$AL375=BL$4,'Inputs Yr 2'!$AM375,IF('Inputs Yr 2'!$AN375=BL$4,'Inputs Yr 2'!$AO375,0))))*(INDEX(avoidedcosttbl2,$H374,BU$2)+(($H374-ROUNDDOWN($H374,0))*(INDEX(avoidedcosttbl2,ROUNDUP($H374,0),BU$2)-(INDEX(avoidedcosttbl2,ROUNDDOWN($H374,0),BU$2)))))*'Inputs Yr 2'!P375*'Inputs Yr 2'!Q375*'Inputs Yr 2'!U375,"")</f>
        <v/>
      </c>
      <c r="BV374" s="775" t="str">
        <f>IFERROR(($G374*IF('Inputs Yr 2'!$AJ375=BJ$4,'Inputs Yr 2'!$AK375,IF('Inputs Yr 2'!$AL375=BJ$4,'Inputs Yr 2'!$AM375,IF('Inputs Yr 2'!$AN375=BJ$4,'Inputs Yr 2'!$AO375,0))))*(INDEX(avoidedcosttbl2,$H374,BV$2)+(($H374-ROUNDDOWN($H374,0))*(INDEX(avoidedcosttbl2,ROUNDUP($H374,0),BV$2)-(INDEX(avoidedcosttbl2,ROUNDDOWN($H374,0),BV$2)))))*'Inputs Yr 2'!P375*'Inputs Yr 2'!Q375*'Inputs Yr 2'!U375,"")</f>
        <v/>
      </c>
      <c r="BW374" s="197" t="str">
        <f>IFERROR(($G374*IF('Inputs Yr 2'!$AJ375=BN$4,'Inputs Yr 2'!$AK375,IF('Inputs Yr 2'!$AL375=BN$4,'Inputs Yr 2'!$AM375,IF('Inputs Yr 2'!$AN375=BN$4,'Inputs Yr 2'!$AO375,0))))*(INDEX(avoidedcosttbl2,$H374,BW$2)+(($H374-ROUNDDOWN($H374,0))*(INDEX(avoidedcosttbl2,ROUNDUP($H374,0),BW$2)-(INDEX(avoidedcosttbl2,ROUNDDOWN($H374,0),BW$2)))))*'Inputs Yr 2'!P375*'Inputs Yr 2'!Q375*'Inputs Yr 2'!U375,"")</f>
        <v/>
      </c>
      <c r="BX374" s="197" t="str">
        <f>IFERROR(($G374*IF('Inputs Yr 2'!$AJ375=BO$4,'Inputs Yr 2'!$AK375,IF('Inputs Yr 2'!$AL375=BO$4,'Inputs Yr 2'!$AM375,IF('Inputs Yr 2'!$AN375=BO$4,'Inputs Yr 2'!$AO375,0))))*(INDEX(avoidedcosttbl2,$H374,BX$2)+(($H374-ROUNDDOWN($H374,0))*(INDEX(avoidedcosttbl2,ROUNDUP($H374,0),BX$2)-(INDEX(avoidedcosttbl2,ROUNDDOWN($H374,0),BX$2)))))*'Inputs Yr 2'!P375*'Inputs Yr 2'!Q375*'Inputs Yr 2'!U375,"")</f>
        <v/>
      </c>
      <c r="BY374" s="197" t="str">
        <f>IFERROR(($G374*IF('Inputs Yr 2'!$AJ375=BP$4,'Inputs Yr 2'!$AK375,IF('Inputs Yr 2'!$AL375=BP$4,'Inputs Yr 2'!$AM375,IF('Inputs Yr 2'!$AN375=BP$4,'Inputs Yr 2'!$AO375,0))))*(INDEX(avoidedcosttbl2,$H374,BY$2)+(($H374-ROUNDDOWN($H374,0))*(INDEX(avoidedcosttbl2,ROUNDUP($H374,0),BY$2)-(INDEX(avoidedcosttbl2,ROUNDDOWN($H374,0),BY$2)))))*'Inputs Yr 2'!P375*'Inputs Yr 2'!Q375*'Inputs Yr 2'!U375,"")</f>
        <v/>
      </c>
      <c r="BZ374" s="193">
        <f t="shared" si="219"/>
        <v>0</v>
      </c>
      <c r="CA374" s="193">
        <f t="shared" si="220"/>
        <v>0</v>
      </c>
      <c r="CB374" s="195" t="str">
        <f>IFERROR(G374*(IF('Inputs Yr 2'!$AJ375=CB$4,'Inputs Yr 2'!$AK375,IF('Inputs Yr 2'!$AL375=CB$4,'Inputs Yr 2'!$AM375,IF('Inputs Yr 2'!$AN375=CB$4,'Inputs Yr 2'!$AO375,0))))*(INDEX(avoidedcosttbl2,$H374,CB$2)+(($H374-ROUNDDOWN($H374,0))*(INDEX(avoidedcosttbl2,ROUNDUP($H374,0),CB$2)-(INDEX(avoidedcosttbl2,ROUNDDOWN($H374,0),CB$2)))))*'Inputs Yr 2'!P375*'Inputs Yr 2'!Q375*'Inputs Yr 2'!U375,"")</f>
        <v/>
      </c>
      <c r="CC374" s="195" t="str">
        <f>IFERROR(H374*(IF('Inputs Yr 2'!$AJ375=CC$4,'Inputs Yr 2'!$AK375,IF('Inputs Yr 2'!$AL375=CC$4,'Inputs Yr 2'!$AM375,IF('Inputs Yr 2'!$AN375=CC$4,'Inputs Yr 2'!$AO375,0))))*(INDEX(avoidedcosttbl2,$H374,CC$2)+(($H374-ROUNDDOWN($H374,0))*(INDEX(avoidedcosttbl2,ROUNDUP($H374,0),CC$2)-(INDEX(avoidedcosttbl2,ROUNDDOWN($H374,0),CC$2)))))*'Inputs Yr 2'!Q375*'Inputs Yr 2'!R375*'Inputs Yr 2'!V375,"")</f>
        <v/>
      </c>
      <c r="CD374" s="195" t="str">
        <f>IFERROR(I374*(IF('Inputs Yr 2'!$AJ375=CD$4,'Inputs Yr 2'!$AK375,IF('Inputs Yr 2'!$AL375=CD$4,'Inputs Yr 2'!$AM375,IF('Inputs Yr 2'!$AN375=CD$4,'Inputs Yr 2'!$AO375,0))))*(INDEX(avoidedcosttbl2,$H374,CD$2)+(($H374-ROUNDDOWN($H374,0))*(INDEX(avoidedcosttbl2,ROUNDUP($H374,0),CD$2)-(INDEX(avoidedcosttbl2,ROUNDDOWN($H374,0),CD$2)))))*'Inputs Yr 2'!R375*'Inputs Yr 2'!S375*'Inputs Yr 2'!W375,"")</f>
        <v/>
      </c>
      <c r="CE374" s="213" t="str">
        <f t="shared" si="221"/>
        <v/>
      </c>
      <c r="CF374" s="213" t="str">
        <f t="shared" si="222"/>
        <v/>
      </c>
      <c r="CG374" s="213" t="str">
        <f t="shared" si="223"/>
        <v/>
      </c>
      <c r="CH374" s="698">
        <f t="shared" si="224"/>
        <v>0</v>
      </c>
      <c r="CI374" s="79" t="str">
        <f>IFERROR(($G374*'Inputs Yr 2'!$P375*'Inputs Yr 2'!$Q375*(((INDEX(avoidedcosttbl2,$H374,CI$2)+(($H374-ROUNDDOWN($H374,0))*(INDEX(avoidedcosttbl2,ROUNDUP($H374,0),CI$2)-INDEX(avoidedcosttbl2,ROUNDDOWN($H374,0),CI$2))))*'Inputs Yr 2'!AS375))),"")</f>
        <v/>
      </c>
      <c r="CJ374" s="504" t="str">
        <f>IFERROR($G374*'Inputs Yr 2'!AT375*'Inputs Yr 2'!$P375*'Inputs Yr 2'!$Q375/((1+realdiscrt1)^-0.5),"")</f>
        <v/>
      </c>
      <c r="CK374" s="79" t="str">
        <f>IFERROR((O374*1000*(((INDEX(avoidedcosttbl2,$H374,CK$2)+(($H374-ROUNDDOWN($H374,0))*(INDEX(avoidedcosttbl2,ROUNDUP($H374,0),CK$2)-INDEX(avoidedcosttbl2,ROUNDDOWN($H374,0),CK$2))))*'Inputs Yr 2'!AU375))),"")</f>
        <v/>
      </c>
      <c r="CL374" s="504" t="str">
        <f>IFERROR(O374*1000*'Inputs Yr 2'!AV375/((1+realdiscrt1)^-0.5),"")</f>
        <v/>
      </c>
      <c r="CM374" s="79" t="str">
        <f>IFERROR((AB374*'Inputs Yr 2'!AW375*(((INDEX(avoidedcosttbl2,$H374,CM$2)+(($H374-ROUNDDOWN($H374,0))*(INDEX(avoidedcosttbl2,ROUNDUP($H374,0),CM$2)-INDEX(avoidedcosttbl2,ROUNDDOWN($H374,0),CM$2)))))))*10,"")</f>
        <v/>
      </c>
      <c r="CN374" s="504">
        <f>IFERROR(10*AB374*'Inputs Yr 2'!AX375/((1+realdiscrt1)^-0.5),"")</f>
        <v>0</v>
      </c>
      <c r="CO374" s="505">
        <f t="shared" si="225"/>
        <v>0</v>
      </c>
      <c r="CP374" s="230">
        <f t="shared" si="226"/>
        <v>0</v>
      </c>
      <c r="CQ374" s="199">
        <f>ROUND(IFERROR(IF(LEFT($A374,1)="C",'Avoided Costs'!$K$13,'Avoided Costs'!$K$12)+1,""),4)</f>
        <v>1.0720000000000001</v>
      </c>
      <c r="CR374" s="199">
        <f>ROUND(IFERROR(IF(LEFT($A374,1)="C",'Avoided Costs'!$L$13,'Avoided Costs'!$L$12)+1,""),4)</f>
        <v>1.04</v>
      </c>
      <c r="CS374" s="199">
        <f>ROUND(IFERROR(IF(LEFT($A374,1)="C",'Avoided Costs'!$M$13,'Avoided Costs'!$M$12)+1,""),4)</f>
        <v>1.0720000000000001</v>
      </c>
      <c r="CT374" s="199">
        <f>ROUND(IFERROR(IF(LEFT($A374,1)="C",'Avoided Costs'!$N$13,'Avoided Costs'!$N$12)+1,""),4)</f>
        <v>1.04</v>
      </c>
      <c r="CU374" s="199">
        <f>ROUND(IFERROR(IF(LEFT($A374,1)="C",'Avoided Costs'!$O$13,'Avoided Costs'!$O$12)+1,""),4)</f>
        <v>1.1120000000000001</v>
      </c>
      <c r="CV374" s="199">
        <f>ROUND(IFERROR(IF(LEFT($A374,1)="C",'Avoided Costs'!$P$13,'Avoided Costs'!$P$12)+1,""),4)</f>
        <v>1.095</v>
      </c>
      <c r="CW374" s="199">
        <f>ROUND(IFERROR(IF(LEFT($A374,1)="C",'Avoided Costs'!$Q$13,'Avoided Costs'!$Q$12)+1,""),4)</f>
        <v>1.1120000000000001</v>
      </c>
      <c r="CX374" s="200">
        <f>ROUND(IFERROR(IF(LEFT($A374,1)="C",'Avoided Costs'!$R$13,'Avoided Costs'!$R$12)+1,""),4)</f>
        <v>1.1120000000000001</v>
      </c>
    </row>
    <row r="375" spans="1:102" s="128" customFormat="1" ht="12.75" customHeight="1">
      <c r="A375" s="91" t="str">
        <f>IF('Inputs Yr 2'!$B412=0,"",'Inputs Yr 2'!A412)</f>
        <v/>
      </c>
      <c r="B375" s="91" t="str">
        <f>IF('Inputs Yr 2'!$B412=0,"",'Inputs Yr 2'!B412)</f>
        <v/>
      </c>
      <c r="C375" s="91" t="str">
        <f>IF('Inputs Yr 2'!$B376=0,"",'Inputs Yr 2'!C376)</f>
        <v/>
      </c>
      <c r="D375" s="91" t="str">
        <f>IF('Inputs Yr 2'!$B376=0,"",'Inputs Yr 2'!E376)</f>
        <v/>
      </c>
      <c r="E375" s="93" t="str">
        <f>IF('Inputs Yr 2'!$B376=0,"",'Inputs Yr 2'!F376)</f>
        <v/>
      </c>
      <c r="F375" s="93" t="str">
        <f>IF('Inputs Yr 2'!$B376=0,"",'Inputs Yr 2'!G376)</f>
        <v/>
      </c>
      <c r="G375" s="95" t="str">
        <f>IF('Inputs Yr 2'!$H376&lt;&gt;0,('Inputs Yr 2'!H376),"")</f>
        <v/>
      </c>
      <c r="H375" s="94">
        <f>IFERROR('Inputs Yr 2'!I376,"")</f>
        <v>0</v>
      </c>
      <c r="I375" s="298" t="str">
        <f>IFERROR('Inputs Yr 2'!J376*'Inputs Yr 2'!P376*G375,"")</f>
        <v/>
      </c>
      <c r="J375" s="298" t="str">
        <f>IFERROR('Inputs Yr 2'!K376*G375,"")</f>
        <v/>
      </c>
      <c r="K375" s="298" t="str">
        <f t="shared" si="197"/>
        <v/>
      </c>
      <c r="L375" s="194" t="str">
        <f>IFERROR(('Inputs Yr 2'!W376*G375)/1000,"")</f>
        <v/>
      </c>
      <c r="M375" s="194" t="str">
        <f>IFERROR(L375*('Inputs Yr 2'!$Q376*'Inputs Yr 2'!$V376*'Inputs Yr 2'!$R376),"")</f>
        <v/>
      </c>
      <c r="N375" s="194" t="str">
        <f t="shared" si="198"/>
        <v/>
      </c>
      <c r="O375" s="194" t="str">
        <f>IFERROR(M375*'Inputs Yr 2'!P376,"")</f>
        <v/>
      </c>
      <c r="P375" s="194" t="str">
        <f t="shared" si="199"/>
        <v/>
      </c>
      <c r="Q375" s="194" t="str">
        <f>IFERROR($P375*'Inputs Yr 2'!AA376,"")</f>
        <v/>
      </c>
      <c r="R375" s="194" t="str">
        <f>IFERROR($P375*'Inputs Yr 2'!AB376,"")</f>
        <v/>
      </c>
      <c r="S375" s="194" t="str">
        <f>IFERROR($P375*'Inputs Yr 2'!AC376,"")</f>
        <v/>
      </c>
      <c r="T375" s="194" t="str">
        <f>IFERROR($P375*'Inputs Yr 2'!AD376,"")</f>
        <v/>
      </c>
      <c r="U375" s="194" t="str">
        <f>IFERROR(G375*'Inputs Yr 2'!$AE376*'Inputs Yr 2'!$P376*'Inputs Yr 2'!$Q376,"")</f>
        <v/>
      </c>
      <c r="V375" s="194" t="str">
        <f>IFERROR($G375*'Inputs Yr 2'!$AE376*'Inputs Yr 2'!$AG376*'Inputs Yr 2'!Q376*'Inputs Yr 2'!$S376,"")</f>
        <v/>
      </c>
      <c r="W375" s="194" t="str">
        <f>IFERROR($G375*'Inputs Yr 2'!$AE376*'Inputs Yr 2'!$AG376*'Inputs Yr 2'!P376*'Inputs Yr 2'!Q376*'Inputs Yr 2'!$S376,"")</f>
        <v/>
      </c>
      <c r="X375" s="194" t="str">
        <f>IFERROR($G375*'Inputs Yr 2'!$AE376*'Inputs Yr 2'!$AF376*'Inputs Yr 2'!Q376*'Inputs Yr 2'!$T376,"")</f>
        <v/>
      </c>
      <c r="Y375" s="194" t="str">
        <f>IFERROR($G375*'Inputs Yr 2'!$AE376*'Inputs Yr 2'!$AF376*'Inputs Yr 2'!P376*'Inputs Yr 2'!Q376*'Inputs Yr 2'!$T376,"")</f>
        <v/>
      </c>
      <c r="Z375" s="257">
        <f>IFERROR($G375*'Inputs Yr 2'!$Q376*'Inputs Yr 2'!$U376*(IF(IFERROR(SEARCH("NG", 'Inputs Yr 2'!$AJ376),0),'Inputs Yr 2'!$AK376,0)+IF(IFERROR(SEARCH("NG", 'Inputs Yr 2'!$AL376),0),'Inputs Yr 2'!$AM376,0)+IF(IFERROR(SEARCH("NG", 'Inputs Yr 2'!$AN376),0),'Inputs Yr 2'!$AO376,0)),0)</f>
        <v>0</v>
      </c>
      <c r="AA375" s="257">
        <f t="shared" si="200"/>
        <v>0</v>
      </c>
      <c r="AB375" s="257">
        <f>IFERROR(Z375*'Inputs Yr 2'!$P376,0)</f>
        <v>0</v>
      </c>
      <c r="AC375" s="257">
        <f t="shared" si="201"/>
        <v>0</v>
      </c>
      <c r="AD375" s="257">
        <f>IFERROR($G375*'Inputs Yr 2'!$Q376*'Inputs Yr 2'!$U376*(IF(IFERROR(SEARCH("Oil", 'Inputs Yr 2'!$AJ376), 0),'Inputs Yr 2'!$AK376,0)+IF(IFERROR(SEARCH("Oil", 'Inputs Yr 2'!$AL376), 0),'Inputs Yr 2'!$AM376,0)+IF(IFERROR(SEARCH("Oil", 'Inputs Yr 2'!$AN376), 0),'Inputs Yr 2'!$AO376,0)),0)</f>
        <v>0</v>
      </c>
      <c r="AE375" s="257">
        <f t="shared" si="202"/>
        <v>0</v>
      </c>
      <c r="AF375" s="257">
        <f>IFERROR(AD375*'Inputs Yr 2'!$P376,0)</f>
        <v>0</v>
      </c>
      <c r="AG375" s="257">
        <f t="shared" si="203"/>
        <v>0</v>
      </c>
      <c r="AH375" s="257">
        <f>IFERROR($G375*'Inputs Yr 2'!$Q376*'Inputs Yr 2'!$U376*(IF('Inputs Yr 2'!$AJ376=CD$4,'Inputs Yr 2'!$AK376,IF('Inputs Yr 2'!$AL376=CD$4,'Inputs Yr 2'!$AM376,IF('Inputs Yr 2'!$AN376=CD$4,'Inputs Yr 2'!$AO376,0)))),0)</f>
        <v>0</v>
      </c>
      <c r="AI375" s="257">
        <f t="shared" si="204"/>
        <v>0</v>
      </c>
      <c r="AJ375" s="257">
        <f>IFERROR(AH375*'Inputs Yr 2'!$P376,0)</f>
        <v>0</v>
      </c>
      <c r="AK375" s="257">
        <f t="shared" si="205"/>
        <v>0</v>
      </c>
      <c r="AL375" s="258">
        <f>IFERROR($G375*'Inputs Yr 2'!$P376*'Inputs Yr 2'!$Q376*'Inputs Yr 2'!AP376,0)</f>
        <v>0</v>
      </c>
      <c r="AM375" s="260">
        <f>IFERROR($G375*'Inputs Yr 2'!$P376*'Inputs Yr 2'!$Q376*'Inputs Yr 2'!AQ376,0)</f>
        <v>0</v>
      </c>
      <c r="AN375" s="258">
        <f>IFERROR($G375*'Inputs Yr 2'!$P376*'Inputs Yr 2'!$Q376*'Inputs Yr 2'!AR376,0)</f>
        <v>0</v>
      </c>
      <c r="AO375" s="257">
        <f t="shared" si="206"/>
        <v>0</v>
      </c>
      <c r="AP375" s="195" t="str">
        <f>IFERROR($CQ375*(INDEX(avoidedcosttbl2,$H375,AP$2)+(($H375-ROUNDDOWN($H375,0))*(INDEX(avoidedcosttbl2,ROUNDUP($H375,0),AP$2)-(INDEX(avoidedcosttbl2,ROUNDDOWN($H375,0),AP$2)))))*$O375*1000*'Inputs Yr 2'!AA376,"")</f>
        <v/>
      </c>
      <c r="AQ375" s="195" t="str">
        <f>IFERROR($CR375*(INDEX(avoidedcosttbl2,$H375,AQ$2)+(($H375-ROUNDDOWN($H375,0))*(INDEX(avoidedcosttbl2,ROUNDUP($H375,0),AQ$2)-(INDEX(avoidedcosttbl2,ROUNDDOWN($H375,0),AQ$2)))))*$O375*1000*'Inputs Yr 2'!AB376,"")</f>
        <v/>
      </c>
      <c r="AR375" s="195" t="str">
        <f>IFERROR($CS375*(INDEX(avoidedcosttbl2,$H375,AR$2)+(($H375-ROUNDDOWN($H375,0))*(INDEX(avoidedcosttbl2,ROUNDUP($H375,0),AR$2)-(INDEX(avoidedcosttbl2,ROUNDDOWN($H375,0),AR$2)))))*$O375*1000*'Inputs Yr 2'!AC376,"")</f>
        <v/>
      </c>
      <c r="AS375" s="195" t="str">
        <f>IFERROR($CT375*(INDEX(avoidedcosttbl2,$H375,AS$2)+(($H375-ROUNDDOWN($H375,0))*(INDEX(avoidedcosttbl2,ROUNDUP($H375,0),AS$2)-(INDEX(avoidedcosttbl2,ROUNDDOWN($H375,0),AS$2)))))*$O375*1000*'Inputs Yr 2'!AD376,"")</f>
        <v/>
      </c>
      <c r="AT375" s="196">
        <f t="shared" si="207"/>
        <v>0</v>
      </c>
      <c r="AU375" s="197" t="str">
        <f>IFERROR($CQ375*((INDEX(avoidedcosttbl2,$H375,AU$2))+(($H375-ROUNDDOWN($H375,0))*((INDEX(avoidedcosttbl2,ROUNDUP($H375,0),AU$2))-(INDEX(avoidedcosttbl2,ROUNDDOWN($H375,0),AU$2)))))*$O375*1000*'Inputs Yr 2'!AA376,"")</f>
        <v/>
      </c>
      <c r="AV375" s="197" t="str">
        <f>IFERROR($CR375*((INDEX(avoidedcosttbl2,$H375,AV$2))+(($H375-ROUNDDOWN($H375,0))*((INDEX(avoidedcosttbl2,ROUNDUP($H375,0),AV$2))-(INDEX(avoidedcosttbl2,ROUNDDOWN($H375,0),AV$2)))))*$O375*1000*'Inputs Yr 2'!AB376,"")</f>
        <v/>
      </c>
      <c r="AW375" s="197" t="str">
        <f>IFERROR($CS375*((INDEX(avoidedcosttbl2,$H375,AW$2))+(($H375-ROUNDDOWN($H375,0))*((INDEX(avoidedcosttbl2,ROUNDUP($H375,0),AW$2))-(INDEX(avoidedcosttbl2,ROUNDDOWN($H375,0),AW$2)))))*$O375*1000*'Inputs Yr 2'!AC376,"")</f>
        <v/>
      </c>
      <c r="AX375" s="197" t="str">
        <f>IFERROR($CT375*((INDEX(avoidedcosttbl2,$H375,AX$2))+(($H375-ROUNDDOWN($H375,0))*((INDEX(avoidedcosttbl2,ROUNDUP($H375,0),AX$2))-(INDEX(avoidedcosttbl2,ROUNDDOWN($H375,0),AX$2)))))*$O375*1000*'Inputs Yr 2'!AD376,"")</f>
        <v/>
      </c>
      <c r="AY375" s="197" t="str">
        <f>IFERROR(((INDEX(avoidedcosttbl2,$H375,AY$2))+(($H375-ROUNDDOWN($H375,0))*((INDEX(avoidedcosttbl2,ROUNDUP($H375,0),AY$2))-(INDEX(avoidedcosttbl2,ROUNDDOWN($H375,0),AY$2)))))*$O375*1000*('Inputs Yr 2'!AC376+'Inputs Yr 2'!AD376),"")</f>
        <v/>
      </c>
      <c r="AZ375" s="197" t="str">
        <f>IFERROR(((INDEX(avoidedcosttbl2,$H375,AZ$2))+(($H375-ROUNDDOWN($H375,0))*((INDEX(avoidedcosttbl2,ROUNDUP($H375,0),AZ$2))-(INDEX(avoidedcosttbl2,ROUNDDOWN($H375,0),AZ$2)))))*$O375*1000*('Inputs Yr 2'!AA376+'Inputs Yr 2'!AB376),"")</f>
        <v/>
      </c>
      <c r="BA375" s="198">
        <f t="shared" si="208"/>
        <v>0</v>
      </c>
      <c r="BB375" s="198">
        <f t="shared" si="209"/>
        <v>0</v>
      </c>
      <c r="BC375" s="195" t="str">
        <f t="shared" si="210"/>
        <v/>
      </c>
      <c r="BD375" s="195" t="str">
        <f t="shared" si="211"/>
        <v/>
      </c>
      <c r="BE375" s="195" t="str">
        <f t="shared" si="212"/>
        <v/>
      </c>
      <c r="BF375" s="195" t="str">
        <f t="shared" si="213"/>
        <v/>
      </c>
      <c r="BG375" s="195" t="str">
        <f t="shared" si="214"/>
        <v/>
      </c>
      <c r="BH375" s="196">
        <f t="shared" si="215"/>
        <v>0</v>
      </c>
      <c r="BI375" s="196">
        <f t="shared" si="216"/>
        <v>0</v>
      </c>
      <c r="BJ375" s="195" t="str">
        <f>IFERROR($G375*(IF('Inputs Yr 2'!$AJ376=BJ$4,'Inputs Yr 2'!$AK376,IF('Inputs Yr 2'!$AL376=BJ$4,'Inputs Yr 2'!$AM376,IF('Inputs Yr 2'!$AN376=BJ$4,'Inputs Yr 2'!$AO376,0))))*(INDEX(avoidedcosttbl2,$H375,BJ$2)+(($H375-ROUNDDOWN($H375,0))*(INDEX(avoidedcosttbl2,ROUNDUP($H375,0),BJ$2)-(INDEX(avoidedcosttbl2,ROUNDDOWN($H375,0),BJ$2)))))*'Inputs Yr 2'!P376*'Inputs Yr 2'!Q376*'Inputs Yr 2'!U376,"")</f>
        <v/>
      </c>
      <c r="BK375" s="195" t="str">
        <f>IFERROR($G375*(IF('Inputs Yr 2'!$AJ376=BK$4,'Inputs Yr 2'!$AK376,IF('Inputs Yr 2'!$AL376=BK$4,'Inputs Yr 2'!$AM376,IF('Inputs Yr 2'!$AN376=BK$4,'Inputs Yr 2'!$AO376,0))))*(INDEX(avoidedcosttbl2,$H375,BK$2)+(($H375-ROUNDDOWN($H375,0))*(INDEX(avoidedcosttbl2,ROUNDUP($H375,0),BK$2)-(INDEX(avoidedcosttbl2,ROUNDDOWN($H375,0),BK$2)))))*'Inputs Yr 2'!P376*'Inputs Yr 2'!Q376*'Inputs Yr 2'!U376,"")</f>
        <v/>
      </c>
      <c r="BL375" s="195" t="str">
        <f>IFERROR($G375*(IF('Inputs Yr 2'!$AJ376=BL$4,'Inputs Yr 2'!$AK376,IF('Inputs Yr 2'!$AL376=BL$4,'Inputs Yr 2'!$AM376,IF('Inputs Yr 2'!$AN376=BL$4,'Inputs Yr 2'!$AO376,0))))*(INDEX(avoidedcosttbl2,$H375,BL$2)+(($H375-ROUNDDOWN($H375,0))*(INDEX(avoidedcosttbl2,ROUNDUP($H375,0),BL$2)-(INDEX(avoidedcosttbl2,ROUNDDOWN($H375,0),BL$2)))))*'Inputs Yr 2'!P376*'Inputs Yr 2'!Q376*'Inputs Yr 2'!U376,"")</f>
        <v/>
      </c>
      <c r="BM375" s="195" t="str">
        <f>IFERROR($G375*(IF('Inputs Yr 2'!$AJ376=BM$4,'Inputs Yr 2'!$AK376,IF('Inputs Yr 2'!$AL376=BM$4,'Inputs Yr 2'!$AM376,IF('Inputs Yr 2'!$AN376=BM$4,'Inputs Yr 2'!$AO376,0))))*(INDEX(avoidedcosttbl2,$H375,BM$2)+(($H375-ROUNDDOWN($H375,0))*(INDEX(avoidedcosttbl2,ROUNDUP($H375,0),BM$2)-(INDEX(avoidedcosttbl2,ROUNDDOWN($H375,0),BM$2)))))*'Inputs Yr 2'!P376*'Inputs Yr 2'!Q376*'Inputs Yr 2'!U376,"")</f>
        <v/>
      </c>
      <c r="BN375" s="195" t="str">
        <f>IFERROR($G375*(IF('Inputs Yr 2'!$AJ376=BN$4,'Inputs Yr 2'!$AK376,IF('Inputs Yr 2'!$AL376=BN$4,'Inputs Yr 2'!$AM376,IF('Inputs Yr 2'!$AN376=BN$4,'Inputs Yr 2'!$AO376,0))))*(INDEX(avoidedcosttbl2,$H375,BN$2)+(($H375-ROUNDDOWN($H375,0))*(INDEX(avoidedcosttbl2,ROUNDUP($H375,0),BN$2)-(INDEX(avoidedcosttbl2,ROUNDDOWN($H375,0),BN$2)))))*'Inputs Yr 2'!P376*'Inputs Yr 2'!Q376*'Inputs Yr 2'!U376,"")</f>
        <v/>
      </c>
      <c r="BO375" s="195" t="str">
        <f>IFERROR($G375*(IF('Inputs Yr 2'!$AJ376=BO$4,'Inputs Yr 2'!$AK376,IF('Inputs Yr 2'!$AL376=BO$4,'Inputs Yr 2'!$AM376,IF('Inputs Yr 2'!$AN376=BO$4,'Inputs Yr 2'!$AO376,0))))*(INDEX(avoidedcosttbl2,$H375,BO$2)+(($H375-ROUNDDOWN($H375,0))*(INDEX(avoidedcosttbl2,ROUNDUP($H375,0),BO$2)-(INDEX(avoidedcosttbl2,ROUNDDOWN($H375,0),BO$2)))))*'Inputs Yr 2'!P376*'Inputs Yr 2'!Q376*'Inputs Yr 2'!U376,"")</f>
        <v/>
      </c>
      <c r="BP375" s="195" t="str">
        <f>IFERROR($G375*(IF('Inputs Yr 2'!$AJ376=BP$4,'Inputs Yr 2'!$AK376,IF('Inputs Yr 2'!$AL376=BP$4,'Inputs Yr 2'!$AM376,IF('Inputs Yr 2'!$AN376=BP$4,'Inputs Yr 2'!$AO376,0))))*(INDEX(avoidedcosttbl2,$H375,BP$2)+(($H375-ROUNDDOWN($H375,0))*(INDEX(avoidedcosttbl2,ROUNDUP($H375,0),BP$2)-(INDEX(avoidedcosttbl2,ROUNDDOWN($H375,0),BP$2)))))*'Inputs Yr 2'!P376*'Inputs Yr 2'!Q376*'Inputs Yr 2'!U376,"")</f>
        <v/>
      </c>
      <c r="BQ375" s="230">
        <f t="shared" si="217"/>
        <v>0</v>
      </c>
      <c r="BR375" s="197" t="str">
        <f t="shared" si="218"/>
        <v/>
      </c>
      <c r="BS375" s="197" t="str">
        <f>IFERROR(($G375*IF('Inputs Yr 2'!$AJ376=BM$4,'Inputs Yr 2'!$AK376,IF('Inputs Yr 2'!$AL376=BM$4,'Inputs Yr 2'!$AM376,IF('Inputs Yr 2'!$AN376=BM$4,'Inputs Yr 2'!$AO376,0))))*(INDEX(avoidedcosttbl2,$H375,BS$2)+(($H375-ROUNDDOWN($H375,0))*(INDEX(avoidedcosttbl2,ROUNDUP($H375,0),BS$2)-(INDEX(avoidedcosttbl2,ROUNDDOWN($H375,0),BS$2)))))*'Inputs Yr 2'!P376*'Inputs Yr 2'!Q376*'Inputs Yr 2'!U376,"")</f>
        <v/>
      </c>
      <c r="BT375" s="197" t="str">
        <f>IFERROR(($G375*IF('Inputs Yr 2'!$AJ376=BK$4,'Inputs Yr 2'!$AK376,IF('Inputs Yr 2'!$AL376=BK$4,'Inputs Yr 2'!$AM376,IF('Inputs Yr 2'!$AN376=BK$4,'Inputs Yr 2'!$AO376,0))))*(INDEX(avoidedcosttbl2,$H375,BT$2)+(($H375-ROUNDDOWN($H375,0))*(INDEX(avoidedcosttbl2,ROUNDUP($H375,0),BT$2)-(INDEX(avoidedcosttbl2,ROUNDDOWN($H375,0),BT$2)))))*'Inputs Yr 2'!P376*'Inputs Yr 2'!Q376*'Inputs Yr 2'!U376,"")</f>
        <v/>
      </c>
      <c r="BU375" s="197" t="str">
        <f>IFERROR(($G375*IF('Inputs Yr 2'!$AJ376=BL$4,'Inputs Yr 2'!$AK376,IF('Inputs Yr 2'!$AL376=BL$4,'Inputs Yr 2'!$AM376,IF('Inputs Yr 2'!$AN376=BL$4,'Inputs Yr 2'!$AO376,0))))*(INDEX(avoidedcosttbl2,$H375,BU$2)+(($H375-ROUNDDOWN($H375,0))*(INDEX(avoidedcosttbl2,ROUNDUP($H375,0),BU$2)-(INDEX(avoidedcosttbl2,ROUNDDOWN($H375,0),BU$2)))))*'Inputs Yr 2'!P376*'Inputs Yr 2'!Q376*'Inputs Yr 2'!U376,"")</f>
        <v/>
      </c>
      <c r="BV375" s="775" t="str">
        <f>IFERROR(($G375*IF('Inputs Yr 2'!$AJ376=BJ$4,'Inputs Yr 2'!$AK376,IF('Inputs Yr 2'!$AL376=BJ$4,'Inputs Yr 2'!$AM376,IF('Inputs Yr 2'!$AN376=BJ$4,'Inputs Yr 2'!$AO376,0))))*(INDEX(avoidedcosttbl2,$H375,BV$2)+(($H375-ROUNDDOWN($H375,0))*(INDEX(avoidedcosttbl2,ROUNDUP($H375,0),BV$2)-(INDEX(avoidedcosttbl2,ROUNDDOWN($H375,0),BV$2)))))*'Inputs Yr 2'!P376*'Inputs Yr 2'!Q376*'Inputs Yr 2'!U376,"")</f>
        <v/>
      </c>
      <c r="BW375" s="197" t="str">
        <f>IFERROR(($G375*IF('Inputs Yr 2'!$AJ376=BN$4,'Inputs Yr 2'!$AK376,IF('Inputs Yr 2'!$AL376=BN$4,'Inputs Yr 2'!$AM376,IF('Inputs Yr 2'!$AN376=BN$4,'Inputs Yr 2'!$AO376,0))))*(INDEX(avoidedcosttbl2,$H375,BW$2)+(($H375-ROUNDDOWN($H375,0))*(INDEX(avoidedcosttbl2,ROUNDUP($H375,0),BW$2)-(INDEX(avoidedcosttbl2,ROUNDDOWN($H375,0),BW$2)))))*'Inputs Yr 2'!P376*'Inputs Yr 2'!Q376*'Inputs Yr 2'!U376,"")</f>
        <v/>
      </c>
      <c r="BX375" s="197" t="str">
        <f>IFERROR(($G375*IF('Inputs Yr 2'!$AJ376=BO$4,'Inputs Yr 2'!$AK376,IF('Inputs Yr 2'!$AL376=BO$4,'Inputs Yr 2'!$AM376,IF('Inputs Yr 2'!$AN376=BO$4,'Inputs Yr 2'!$AO376,0))))*(INDEX(avoidedcosttbl2,$H375,BX$2)+(($H375-ROUNDDOWN($H375,0))*(INDEX(avoidedcosttbl2,ROUNDUP($H375,0),BX$2)-(INDEX(avoidedcosttbl2,ROUNDDOWN($H375,0),BX$2)))))*'Inputs Yr 2'!P376*'Inputs Yr 2'!Q376*'Inputs Yr 2'!U376,"")</f>
        <v/>
      </c>
      <c r="BY375" s="197" t="str">
        <f>IFERROR(($G375*IF('Inputs Yr 2'!$AJ376=BP$4,'Inputs Yr 2'!$AK376,IF('Inputs Yr 2'!$AL376=BP$4,'Inputs Yr 2'!$AM376,IF('Inputs Yr 2'!$AN376=BP$4,'Inputs Yr 2'!$AO376,0))))*(INDEX(avoidedcosttbl2,$H375,BY$2)+(($H375-ROUNDDOWN($H375,0))*(INDEX(avoidedcosttbl2,ROUNDUP($H375,0),BY$2)-(INDEX(avoidedcosttbl2,ROUNDDOWN($H375,0),BY$2)))))*'Inputs Yr 2'!P376*'Inputs Yr 2'!Q376*'Inputs Yr 2'!U376,"")</f>
        <v/>
      </c>
      <c r="BZ375" s="193">
        <f t="shared" si="219"/>
        <v>0</v>
      </c>
      <c r="CA375" s="193">
        <f t="shared" si="220"/>
        <v>0</v>
      </c>
      <c r="CB375" s="195" t="str">
        <f>IFERROR(G375*(IF('Inputs Yr 2'!$AJ376=CB$4,'Inputs Yr 2'!$AK376,IF('Inputs Yr 2'!$AL376=CB$4,'Inputs Yr 2'!$AM376,IF('Inputs Yr 2'!$AN376=CB$4,'Inputs Yr 2'!$AO376,0))))*(INDEX(avoidedcosttbl2,$H375,CB$2)+(($H375-ROUNDDOWN($H375,0))*(INDEX(avoidedcosttbl2,ROUNDUP($H375,0),CB$2)-(INDEX(avoidedcosttbl2,ROUNDDOWN($H375,0),CB$2)))))*'Inputs Yr 2'!P376*'Inputs Yr 2'!Q376*'Inputs Yr 2'!U376,"")</f>
        <v/>
      </c>
      <c r="CC375" s="195" t="str">
        <f>IFERROR(H375*(IF('Inputs Yr 2'!$AJ376=CC$4,'Inputs Yr 2'!$AK376,IF('Inputs Yr 2'!$AL376=CC$4,'Inputs Yr 2'!$AM376,IF('Inputs Yr 2'!$AN376=CC$4,'Inputs Yr 2'!$AO376,0))))*(INDEX(avoidedcosttbl2,$H375,CC$2)+(($H375-ROUNDDOWN($H375,0))*(INDEX(avoidedcosttbl2,ROUNDUP($H375,0),CC$2)-(INDEX(avoidedcosttbl2,ROUNDDOWN($H375,0),CC$2)))))*'Inputs Yr 2'!Q376*'Inputs Yr 2'!R376*'Inputs Yr 2'!V376,"")</f>
        <v/>
      </c>
      <c r="CD375" s="195" t="str">
        <f>IFERROR(I375*(IF('Inputs Yr 2'!$AJ376=CD$4,'Inputs Yr 2'!$AK376,IF('Inputs Yr 2'!$AL376=CD$4,'Inputs Yr 2'!$AM376,IF('Inputs Yr 2'!$AN376=CD$4,'Inputs Yr 2'!$AO376,0))))*(INDEX(avoidedcosttbl2,$H375,CD$2)+(($H375-ROUNDDOWN($H375,0))*(INDEX(avoidedcosttbl2,ROUNDUP($H375,0),CD$2)-(INDEX(avoidedcosttbl2,ROUNDDOWN($H375,0),CD$2)))))*'Inputs Yr 2'!R376*'Inputs Yr 2'!S376*'Inputs Yr 2'!W376,"")</f>
        <v/>
      </c>
      <c r="CE375" s="213" t="str">
        <f t="shared" si="221"/>
        <v/>
      </c>
      <c r="CF375" s="213" t="str">
        <f t="shared" si="222"/>
        <v/>
      </c>
      <c r="CG375" s="213" t="str">
        <f t="shared" si="223"/>
        <v/>
      </c>
      <c r="CH375" s="698">
        <f t="shared" si="224"/>
        <v>0</v>
      </c>
      <c r="CI375" s="79" t="str">
        <f>IFERROR(($G375*'Inputs Yr 2'!$P376*'Inputs Yr 2'!$Q376*(((INDEX(avoidedcosttbl2,$H375,CI$2)+(($H375-ROUNDDOWN($H375,0))*(INDEX(avoidedcosttbl2,ROUNDUP($H375,0),CI$2)-INDEX(avoidedcosttbl2,ROUNDDOWN($H375,0),CI$2))))*'Inputs Yr 2'!AS376))),"")</f>
        <v/>
      </c>
      <c r="CJ375" s="504" t="str">
        <f>IFERROR($G375*'Inputs Yr 2'!AT376*'Inputs Yr 2'!$P376*'Inputs Yr 2'!$Q376/((1+realdiscrt1)^-0.5),"")</f>
        <v/>
      </c>
      <c r="CK375" s="79" t="str">
        <f>IFERROR((O375*1000*(((INDEX(avoidedcosttbl2,$H375,CK$2)+(($H375-ROUNDDOWN($H375,0))*(INDEX(avoidedcosttbl2,ROUNDUP($H375,0),CK$2)-INDEX(avoidedcosttbl2,ROUNDDOWN($H375,0),CK$2))))*'Inputs Yr 2'!AU376))),"")</f>
        <v/>
      </c>
      <c r="CL375" s="504" t="str">
        <f>IFERROR(O375*1000*'Inputs Yr 2'!AV376/((1+realdiscrt1)^-0.5),"")</f>
        <v/>
      </c>
      <c r="CM375" s="79" t="str">
        <f>IFERROR((AB375*'Inputs Yr 2'!AW376*(((INDEX(avoidedcosttbl2,$H375,CM$2)+(($H375-ROUNDDOWN($H375,0))*(INDEX(avoidedcosttbl2,ROUNDUP($H375,0),CM$2)-INDEX(avoidedcosttbl2,ROUNDDOWN($H375,0),CM$2)))))))*10,"")</f>
        <v/>
      </c>
      <c r="CN375" s="504">
        <f>IFERROR(10*AB375*'Inputs Yr 2'!AX376/((1+realdiscrt1)^-0.5),"")</f>
        <v>0</v>
      </c>
      <c r="CO375" s="505">
        <f t="shared" si="225"/>
        <v>0</v>
      </c>
      <c r="CP375" s="230">
        <f t="shared" si="226"/>
        <v>0</v>
      </c>
      <c r="CQ375" s="199">
        <f>ROUND(IFERROR(IF(LEFT($A375,1)="C",'Avoided Costs'!$K$13,'Avoided Costs'!$K$12)+1,""),4)</f>
        <v>1.0720000000000001</v>
      </c>
      <c r="CR375" s="199">
        <f>ROUND(IFERROR(IF(LEFT($A375,1)="C",'Avoided Costs'!$L$13,'Avoided Costs'!$L$12)+1,""),4)</f>
        <v>1.04</v>
      </c>
      <c r="CS375" s="199">
        <f>ROUND(IFERROR(IF(LEFT($A375,1)="C",'Avoided Costs'!$M$13,'Avoided Costs'!$M$12)+1,""),4)</f>
        <v>1.0720000000000001</v>
      </c>
      <c r="CT375" s="199">
        <f>ROUND(IFERROR(IF(LEFT($A375,1)="C",'Avoided Costs'!$N$13,'Avoided Costs'!$N$12)+1,""),4)</f>
        <v>1.04</v>
      </c>
      <c r="CU375" s="199">
        <f>ROUND(IFERROR(IF(LEFT($A375,1)="C",'Avoided Costs'!$O$13,'Avoided Costs'!$O$12)+1,""),4)</f>
        <v>1.1120000000000001</v>
      </c>
      <c r="CV375" s="199">
        <f>ROUND(IFERROR(IF(LEFT($A375,1)="C",'Avoided Costs'!$P$13,'Avoided Costs'!$P$12)+1,""),4)</f>
        <v>1.095</v>
      </c>
      <c r="CW375" s="199">
        <f>ROUND(IFERROR(IF(LEFT($A375,1)="C",'Avoided Costs'!$Q$13,'Avoided Costs'!$Q$12)+1,""),4)</f>
        <v>1.1120000000000001</v>
      </c>
      <c r="CX375" s="200">
        <f>ROUND(IFERROR(IF(LEFT($A375,1)="C",'Avoided Costs'!$R$13,'Avoided Costs'!$R$12)+1,""),4)</f>
        <v>1.1120000000000001</v>
      </c>
    </row>
    <row r="376" spans="1:102" s="128" customFormat="1" ht="12.75" customHeight="1">
      <c r="A376" s="91" t="str">
        <f>IF('Inputs Yr 2'!$B413=0,"",'Inputs Yr 2'!A413)</f>
        <v/>
      </c>
      <c r="B376" s="91" t="str">
        <f>IF('Inputs Yr 2'!$B413=0,"",'Inputs Yr 2'!B413)</f>
        <v/>
      </c>
      <c r="C376" s="91" t="str">
        <f>IF('Inputs Yr 2'!$B377=0,"",'Inputs Yr 2'!C377)</f>
        <v/>
      </c>
      <c r="D376" s="91" t="str">
        <f>IF('Inputs Yr 2'!$B377=0,"",'Inputs Yr 2'!E377)</f>
        <v/>
      </c>
      <c r="E376" s="93" t="str">
        <f>IF('Inputs Yr 2'!$B377=0,"",'Inputs Yr 2'!F377)</f>
        <v/>
      </c>
      <c r="F376" s="93" t="str">
        <f>IF('Inputs Yr 2'!$B377=0,"",'Inputs Yr 2'!G377)</f>
        <v/>
      </c>
      <c r="G376" s="95" t="str">
        <f>IF('Inputs Yr 2'!$H377&lt;&gt;0,('Inputs Yr 2'!H377),"")</f>
        <v/>
      </c>
      <c r="H376" s="94">
        <f>IFERROR('Inputs Yr 2'!I377,"")</f>
        <v>0</v>
      </c>
      <c r="I376" s="298" t="str">
        <f>IFERROR('Inputs Yr 2'!J377*'Inputs Yr 2'!P377*G376,"")</f>
        <v/>
      </c>
      <c r="J376" s="298" t="str">
        <f>IFERROR('Inputs Yr 2'!K377*G376,"")</f>
        <v/>
      </c>
      <c r="K376" s="298" t="str">
        <f t="shared" si="197"/>
        <v/>
      </c>
      <c r="L376" s="194" t="str">
        <f>IFERROR(('Inputs Yr 2'!W377*G376)/1000,"")</f>
        <v/>
      </c>
      <c r="M376" s="194" t="str">
        <f>IFERROR(L376*('Inputs Yr 2'!$Q377*'Inputs Yr 2'!$V377*'Inputs Yr 2'!$R377),"")</f>
        <v/>
      </c>
      <c r="N376" s="194" t="str">
        <f t="shared" si="198"/>
        <v/>
      </c>
      <c r="O376" s="194" t="str">
        <f>IFERROR(M376*'Inputs Yr 2'!P377,"")</f>
        <v/>
      </c>
      <c r="P376" s="194" t="str">
        <f t="shared" si="199"/>
        <v/>
      </c>
      <c r="Q376" s="194" t="str">
        <f>IFERROR($P376*'Inputs Yr 2'!AA377,"")</f>
        <v/>
      </c>
      <c r="R376" s="194" t="str">
        <f>IFERROR($P376*'Inputs Yr 2'!AB377,"")</f>
        <v/>
      </c>
      <c r="S376" s="194" t="str">
        <f>IFERROR($P376*'Inputs Yr 2'!AC377,"")</f>
        <v/>
      </c>
      <c r="T376" s="194" t="str">
        <f>IFERROR($P376*'Inputs Yr 2'!AD377,"")</f>
        <v/>
      </c>
      <c r="U376" s="194" t="str">
        <f>IFERROR(G376*'Inputs Yr 2'!$AE377*'Inputs Yr 2'!$P377*'Inputs Yr 2'!$Q377,"")</f>
        <v/>
      </c>
      <c r="V376" s="194" t="str">
        <f>IFERROR($G376*'Inputs Yr 2'!$AE377*'Inputs Yr 2'!$AG377*'Inputs Yr 2'!Q377*'Inputs Yr 2'!$S377,"")</f>
        <v/>
      </c>
      <c r="W376" s="194" t="str">
        <f>IFERROR($G376*'Inputs Yr 2'!$AE377*'Inputs Yr 2'!$AG377*'Inputs Yr 2'!P377*'Inputs Yr 2'!Q377*'Inputs Yr 2'!$S377,"")</f>
        <v/>
      </c>
      <c r="X376" s="194" t="str">
        <f>IFERROR($G376*'Inputs Yr 2'!$AE377*'Inputs Yr 2'!$AF377*'Inputs Yr 2'!Q377*'Inputs Yr 2'!$T377,"")</f>
        <v/>
      </c>
      <c r="Y376" s="194" t="str">
        <f>IFERROR($G376*'Inputs Yr 2'!$AE377*'Inputs Yr 2'!$AF377*'Inputs Yr 2'!P377*'Inputs Yr 2'!Q377*'Inputs Yr 2'!$T377,"")</f>
        <v/>
      </c>
      <c r="Z376" s="257">
        <f>IFERROR($G376*'Inputs Yr 2'!$Q377*'Inputs Yr 2'!$U377*(IF(IFERROR(SEARCH("NG", 'Inputs Yr 2'!$AJ377),0),'Inputs Yr 2'!$AK377,0)+IF(IFERROR(SEARCH("NG", 'Inputs Yr 2'!$AL377),0),'Inputs Yr 2'!$AM377,0)+IF(IFERROR(SEARCH("NG", 'Inputs Yr 2'!$AN377),0),'Inputs Yr 2'!$AO377,0)),0)</f>
        <v>0</v>
      </c>
      <c r="AA376" s="257">
        <f t="shared" si="200"/>
        <v>0</v>
      </c>
      <c r="AB376" s="257">
        <f>IFERROR(Z376*'Inputs Yr 2'!$P377,0)</f>
        <v>0</v>
      </c>
      <c r="AC376" s="257">
        <f t="shared" si="201"/>
        <v>0</v>
      </c>
      <c r="AD376" s="257">
        <f>IFERROR($G376*'Inputs Yr 2'!$Q377*'Inputs Yr 2'!$U377*(IF(IFERROR(SEARCH("Oil", 'Inputs Yr 2'!$AJ377), 0),'Inputs Yr 2'!$AK377,0)+IF(IFERROR(SEARCH("Oil", 'Inputs Yr 2'!$AL377), 0),'Inputs Yr 2'!$AM377,0)+IF(IFERROR(SEARCH("Oil", 'Inputs Yr 2'!$AN377), 0),'Inputs Yr 2'!$AO377,0)),0)</f>
        <v>0</v>
      </c>
      <c r="AE376" s="257">
        <f t="shared" si="202"/>
        <v>0</v>
      </c>
      <c r="AF376" s="257">
        <f>IFERROR(AD376*'Inputs Yr 2'!$P377,0)</f>
        <v>0</v>
      </c>
      <c r="AG376" s="257">
        <f t="shared" si="203"/>
        <v>0</v>
      </c>
      <c r="AH376" s="257">
        <f>IFERROR($G376*'Inputs Yr 2'!$Q377*'Inputs Yr 2'!$U377*(IF('Inputs Yr 2'!$AJ377=CD$4,'Inputs Yr 2'!$AK377,IF('Inputs Yr 2'!$AL377=CD$4,'Inputs Yr 2'!$AM377,IF('Inputs Yr 2'!$AN377=CD$4,'Inputs Yr 2'!$AO377,0)))),0)</f>
        <v>0</v>
      </c>
      <c r="AI376" s="257">
        <f t="shared" si="204"/>
        <v>0</v>
      </c>
      <c r="AJ376" s="257">
        <f>IFERROR(AH376*'Inputs Yr 2'!$P377,0)</f>
        <v>0</v>
      </c>
      <c r="AK376" s="257">
        <f t="shared" si="205"/>
        <v>0</v>
      </c>
      <c r="AL376" s="258">
        <f>IFERROR($G376*'Inputs Yr 2'!$P377*'Inputs Yr 2'!$Q377*'Inputs Yr 2'!AP377,0)</f>
        <v>0</v>
      </c>
      <c r="AM376" s="260">
        <f>IFERROR($G376*'Inputs Yr 2'!$P377*'Inputs Yr 2'!$Q377*'Inputs Yr 2'!AQ377,0)</f>
        <v>0</v>
      </c>
      <c r="AN376" s="258">
        <f>IFERROR($G376*'Inputs Yr 2'!$P377*'Inputs Yr 2'!$Q377*'Inputs Yr 2'!AR377,0)</f>
        <v>0</v>
      </c>
      <c r="AO376" s="257">
        <f t="shared" si="206"/>
        <v>0</v>
      </c>
      <c r="AP376" s="195" t="str">
        <f>IFERROR($CQ376*(INDEX(avoidedcosttbl2,$H376,AP$2)+(($H376-ROUNDDOWN($H376,0))*(INDEX(avoidedcosttbl2,ROUNDUP($H376,0),AP$2)-(INDEX(avoidedcosttbl2,ROUNDDOWN($H376,0),AP$2)))))*$O376*1000*'Inputs Yr 2'!AA377,"")</f>
        <v/>
      </c>
      <c r="AQ376" s="195" t="str">
        <f>IFERROR($CR376*(INDEX(avoidedcosttbl2,$H376,AQ$2)+(($H376-ROUNDDOWN($H376,0))*(INDEX(avoidedcosttbl2,ROUNDUP($H376,0),AQ$2)-(INDEX(avoidedcosttbl2,ROUNDDOWN($H376,0),AQ$2)))))*$O376*1000*'Inputs Yr 2'!AB377,"")</f>
        <v/>
      </c>
      <c r="AR376" s="195" t="str">
        <f>IFERROR($CS376*(INDEX(avoidedcosttbl2,$H376,AR$2)+(($H376-ROUNDDOWN($H376,0))*(INDEX(avoidedcosttbl2,ROUNDUP($H376,0),AR$2)-(INDEX(avoidedcosttbl2,ROUNDDOWN($H376,0),AR$2)))))*$O376*1000*'Inputs Yr 2'!AC377,"")</f>
        <v/>
      </c>
      <c r="AS376" s="195" t="str">
        <f>IFERROR($CT376*(INDEX(avoidedcosttbl2,$H376,AS$2)+(($H376-ROUNDDOWN($H376,0))*(INDEX(avoidedcosttbl2,ROUNDUP($H376,0),AS$2)-(INDEX(avoidedcosttbl2,ROUNDDOWN($H376,0),AS$2)))))*$O376*1000*'Inputs Yr 2'!AD377,"")</f>
        <v/>
      </c>
      <c r="AT376" s="196">
        <f t="shared" si="207"/>
        <v>0</v>
      </c>
      <c r="AU376" s="197" t="str">
        <f>IFERROR($CQ376*((INDEX(avoidedcosttbl2,$H376,AU$2))+(($H376-ROUNDDOWN($H376,0))*((INDEX(avoidedcosttbl2,ROUNDUP($H376,0),AU$2))-(INDEX(avoidedcosttbl2,ROUNDDOWN($H376,0),AU$2)))))*$O376*1000*'Inputs Yr 2'!AA377,"")</f>
        <v/>
      </c>
      <c r="AV376" s="197" t="str">
        <f>IFERROR($CR376*((INDEX(avoidedcosttbl2,$H376,AV$2))+(($H376-ROUNDDOWN($H376,0))*((INDEX(avoidedcosttbl2,ROUNDUP($H376,0),AV$2))-(INDEX(avoidedcosttbl2,ROUNDDOWN($H376,0),AV$2)))))*$O376*1000*'Inputs Yr 2'!AB377,"")</f>
        <v/>
      </c>
      <c r="AW376" s="197" t="str">
        <f>IFERROR($CS376*((INDEX(avoidedcosttbl2,$H376,AW$2))+(($H376-ROUNDDOWN($H376,0))*((INDEX(avoidedcosttbl2,ROUNDUP($H376,0),AW$2))-(INDEX(avoidedcosttbl2,ROUNDDOWN($H376,0),AW$2)))))*$O376*1000*'Inputs Yr 2'!AC377,"")</f>
        <v/>
      </c>
      <c r="AX376" s="197" t="str">
        <f>IFERROR($CT376*((INDEX(avoidedcosttbl2,$H376,AX$2))+(($H376-ROUNDDOWN($H376,0))*((INDEX(avoidedcosttbl2,ROUNDUP($H376,0),AX$2))-(INDEX(avoidedcosttbl2,ROUNDDOWN($H376,0),AX$2)))))*$O376*1000*'Inputs Yr 2'!AD377,"")</f>
        <v/>
      </c>
      <c r="AY376" s="197" t="str">
        <f>IFERROR(((INDEX(avoidedcosttbl2,$H376,AY$2))+(($H376-ROUNDDOWN($H376,0))*((INDEX(avoidedcosttbl2,ROUNDUP($H376,0),AY$2))-(INDEX(avoidedcosttbl2,ROUNDDOWN($H376,0),AY$2)))))*$O376*1000*('Inputs Yr 2'!AC377+'Inputs Yr 2'!AD377),"")</f>
        <v/>
      </c>
      <c r="AZ376" s="197" t="str">
        <f>IFERROR(((INDEX(avoidedcosttbl2,$H376,AZ$2))+(($H376-ROUNDDOWN($H376,0))*((INDEX(avoidedcosttbl2,ROUNDUP($H376,0),AZ$2))-(INDEX(avoidedcosttbl2,ROUNDDOWN($H376,0),AZ$2)))))*$O376*1000*('Inputs Yr 2'!AA377+'Inputs Yr 2'!AB377),"")</f>
        <v/>
      </c>
      <c r="BA376" s="198">
        <f t="shared" si="208"/>
        <v>0</v>
      </c>
      <c r="BB376" s="198">
        <f t="shared" si="209"/>
        <v>0</v>
      </c>
      <c r="BC376" s="195" t="str">
        <f t="shared" si="210"/>
        <v/>
      </c>
      <c r="BD376" s="195" t="str">
        <f t="shared" si="211"/>
        <v/>
      </c>
      <c r="BE376" s="195" t="str">
        <f t="shared" si="212"/>
        <v/>
      </c>
      <c r="BF376" s="195" t="str">
        <f t="shared" si="213"/>
        <v/>
      </c>
      <c r="BG376" s="195" t="str">
        <f t="shared" si="214"/>
        <v/>
      </c>
      <c r="BH376" s="196">
        <f t="shared" si="215"/>
        <v>0</v>
      </c>
      <c r="BI376" s="196">
        <f t="shared" si="216"/>
        <v>0</v>
      </c>
      <c r="BJ376" s="195" t="str">
        <f>IFERROR($G376*(IF('Inputs Yr 2'!$AJ377=BJ$4,'Inputs Yr 2'!$AK377,IF('Inputs Yr 2'!$AL377=BJ$4,'Inputs Yr 2'!$AM377,IF('Inputs Yr 2'!$AN377=BJ$4,'Inputs Yr 2'!$AO377,0))))*(INDEX(avoidedcosttbl2,$H376,BJ$2)+(($H376-ROUNDDOWN($H376,0))*(INDEX(avoidedcosttbl2,ROUNDUP($H376,0),BJ$2)-(INDEX(avoidedcosttbl2,ROUNDDOWN($H376,0),BJ$2)))))*'Inputs Yr 2'!P377*'Inputs Yr 2'!Q377*'Inputs Yr 2'!U377,"")</f>
        <v/>
      </c>
      <c r="BK376" s="195" t="str">
        <f>IFERROR($G376*(IF('Inputs Yr 2'!$AJ377=BK$4,'Inputs Yr 2'!$AK377,IF('Inputs Yr 2'!$AL377=BK$4,'Inputs Yr 2'!$AM377,IF('Inputs Yr 2'!$AN377=BK$4,'Inputs Yr 2'!$AO377,0))))*(INDEX(avoidedcosttbl2,$H376,BK$2)+(($H376-ROUNDDOWN($H376,0))*(INDEX(avoidedcosttbl2,ROUNDUP($H376,0),BK$2)-(INDEX(avoidedcosttbl2,ROUNDDOWN($H376,0),BK$2)))))*'Inputs Yr 2'!P377*'Inputs Yr 2'!Q377*'Inputs Yr 2'!U377,"")</f>
        <v/>
      </c>
      <c r="BL376" s="195" t="str">
        <f>IFERROR($G376*(IF('Inputs Yr 2'!$AJ377=BL$4,'Inputs Yr 2'!$AK377,IF('Inputs Yr 2'!$AL377=BL$4,'Inputs Yr 2'!$AM377,IF('Inputs Yr 2'!$AN377=BL$4,'Inputs Yr 2'!$AO377,0))))*(INDEX(avoidedcosttbl2,$H376,BL$2)+(($H376-ROUNDDOWN($H376,0))*(INDEX(avoidedcosttbl2,ROUNDUP($H376,0),BL$2)-(INDEX(avoidedcosttbl2,ROUNDDOWN($H376,0),BL$2)))))*'Inputs Yr 2'!P377*'Inputs Yr 2'!Q377*'Inputs Yr 2'!U377,"")</f>
        <v/>
      </c>
      <c r="BM376" s="195" t="str">
        <f>IFERROR($G376*(IF('Inputs Yr 2'!$AJ377=BM$4,'Inputs Yr 2'!$AK377,IF('Inputs Yr 2'!$AL377=BM$4,'Inputs Yr 2'!$AM377,IF('Inputs Yr 2'!$AN377=BM$4,'Inputs Yr 2'!$AO377,0))))*(INDEX(avoidedcosttbl2,$H376,BM$2)+(($H376-ROUNDDOWN($H376,0))*(INDEX(avoidedcosttbl2,ROUNDUP($H376,0),BM$2)-(INDEX(avoidedcosttbl2,ROUNDDOWN($H376,0),BM$2)))))*'Inputs Yr 2'!P377*'Inputs Yr 2'!Q377*'Inputs Yr 2'!U377,"")</f>
        <v/>
      </c>
      <c r="BN376" s="195" t="str">
        <f>IFERROR($G376*(IF('Inputs Yr 2'!$AJ377=BN$4,'Inputs Yr 2'!$AK377,IF('Inputs Yr 2'!$AL377=BN$4,'Inputs Yr 2'!$AM377,IF('Inputs Yr 2'!$AN377=BN$4,'Inputs Yr 2'!$AO377,0))))*(INDEX(avoidedcosttbl2,$H376,BN$2)+(($H376-ROUNDDOWN($H376,0))*(INDEX(avoidedcosttbl2,ROUNDUP($H376,0),BN$2)-(INDEX(avoidedcosttbl2,ROUNDDOWN($H376,0),BN$2)))))*'Inputs Yr 2'!P377*'Inputs Yr 2'!Q377*'Inputs Yr 2'!U377,"")</f>
        <v/>
      </c>
      <c r="BO376" s="195" t="str">
        <f>IFERROR($G376*(IF('Inputs Yr 2'!$AJ377=BO$4,'Inputs Yr 2'!$AK377,IF('Inputs Yr 2'!$AL377=BO$4,'Inputs Yr 2'!$AM377,IF('Inputs Yr 2'!$AN377=BO$4,'Inputs Yr 2'!$AO377,0))))*(INDEX(avoidedcosttbl2,$H376,BO$2)+(($H376-ROUNDDOWN($H376,0))*(INDEX(avoidedcosttbl2,ROUNDUP($H376,0),BO$2)-(INDEX(avoidedcosttbl2,ROUNDDOWN($H376,0),BO$2)))))*'Inputs Yr 2'!P377*'Inputs Yr 2'!Q377*'Inputs Yr 2'!U377,"")</f>
        <v/>
      </c>
      <c r="BP376" s="195" t="str">
        <f>IFERROR($G376*(IF('Inputs Yr 2'!$AJ377=BP$4,'Inputs Yr 2'!$AK377,IF('Inputs Yr 2'!$AL377=BP$4,'Inputs Yr 2'!$AM377,IF('Inputs Yr 2'!$AN377=BP$4,'Inputs Yr 2'!$AO377,0))))*(INDEX(avoidedcosttbl2,$H376,BP$2)+(($H376-ROUNDDOWN($H376,0))*(INDEX(avoidedcosttbl2,ROUNDUP($H376,0),BP$2)-(INDEX(avoidedcosttbl2,ROUNDDOWN($H376,0),BP$2)))))*'Inputs Yr 2'!P377*'Inputs Yr 2'!Q377*'Inputs Yr 2'!U377,"")</f>
        <v/>
      </c>
      <c r="BQ376" s="230">
        <f t="shared" si="217"/>
        <v>0</v>
      </c>
      <c r="BR376" s="197" t="str">
        <f t="shared" si="218"/>
        <v/>
      </c>
      <c r="BS376" s="197" t="str">
        <f>IFERROR(($G376*IF('Inputs Yr 2'!$AJ377=BM$4,'Inputs Yr 2'!$AK377,IF('Inputs Yr 2'!$AL377=BM$4,'Inputs Yr 2'!$AM377,IF('Inputs Yr 2'!$AN377=BM$4,'Inputs Yr 2'!$AO377,0))))*(INDEX(avoidedcosttbl2,$H376,BS$2)+(($H376-ROUNDDOWN($H376,0))*(INDEX(avoidedcosttbl2,ROUNDUP($H376,0),BS$2)-(INDEX(avoidedcosttbl2,ROUNDDOWN($H376,0),BS$2)))))*'Inputs Yr 2'!P377*'Inputs Yr 2'!Q377*'Inputs Yr 2'!U377,"")</f>
        <v/>
      </c>
      <c r="BT376" s="197" t="str">
        <f>IFERROR(($G376*IF('Inputs Yr 2'!$AJ377=BK$4,'Inputs Yr 2'!$AK377,IF('Inputs Yr 2'!$AL377=BK$4,'Inputs Yr 2'!$AM377,IF('Inputs Yr 2'!$AN377=BK$4,'Inputs Yr 2'!$AO377,0))))*(INDEX(avoidedcosttbl2,$H376,BT$2)+(($H376-ROUNDDOWN($H376,0))*(INDEX(avoidedcosttbl2,ROUNDUP($H376,0),BT$2)-(INDEX(avoidedcosttbl2,ROUNDDOWN($H376,0),BT$2)))))*'Inputs Yr 2'!P377*'Inputs Yr 2'!Q377*'Inputs Yr 2'!U377,"")</f>
        <v/>
      </c>
      <c r="BU376" s="197" t="str">
        <f>IFERROR(($G376*IF('Inputs Yr 2'!$AJ377=BL$4,'Inputs Yr 2'!$AK377,IF('Inputs Yr 2'!$AL377=BL$4,'Inputs Yr 2'!$AM377,IF('Inputs Yr 2'!$AN377=BL$4,'Inputs Yr 2'!$AO377,0))))*(INDEX(avoidedcosttbl2,$H376,BU$2)+(($H376-ROUNDDOWN($H376,0))*(INDEX(avoidedcosttbl2,ROUNDUP($H376,0),BU$2)-(INDEX(avoidedcosttbl2,ROUNDDOWN($H376,0),BU$2)))))*'Inputs Yr 2'!P377*'Inputs Yr 2'!Q377*'Inputs Yr 2'!U377,"")</f>
        <v/>
      </c>
      <c r="BV376" s="775" t="str">
        <f>IFERROR(($G376*IF('Inputs Yr 2'!$AJ377=BJ$4,'Inputs Yr 2'!$AK377,IF('Inputs Yr 2'!$AL377=BJ$4,'Inputs Yr 2'!$AM377,IF('Inputs Yr 2'!$AN377=BJ$4,'Inputs Yr 2'!$AO377,0))))*(INDEX(avoidedcosttbl2,$H376,BV$2)+(($H376-ROUNDDOWN($H376,0))*(INDEX(avoidedcosttbl2,ROUNDUP($H376,0),BV$2)-(INDEX(avoidedcosttbl2,ROUNDDOWN($H376,0),BV$2)))))*'Inputs Yr 2'!P377*'Inputs Yr 2'!Q377*'Inputs Yr 2'!U377,"")</f>
        <v/>
      </c>
      <c r="BW376" s="197" t="str">
        <f>IFERROR(($G376*IF('Inputs Yr 2'!$AJ377=BN$4,'Inputs Yr 2'!$AK377,IF('Inputs Yr 2'!$AL377=BN$4,'Inputs Yr 2'!$AM377,IF('Inputs Yr 2'!$AN377=BN$4,'Inputs Yr 2'!$AO377,0))))*(INDEX(avoidedcosttbl2,$H376,BW$2)+(($H376-ROUNDDOWN($H376,0))*(INDEX(avoidedcosttbl2,ROUNDUP($H376,0),BW$2)-(INDEX(avoidedcosttbl2,ROUNDDOWN($H376,0),BW$2)))))*'Inputs Yr 2'!P377*'Inputs Yr 2'!Q377*'Inputs Yr 2'!U377,"")</f>
        <v/>
      </c>
      <c r="BX376" s="197" t="str">
        <f>IFERROR(($G376*IF('Inputs Yr 2'!$AJ377=BO$4,'Inputs Yr 2'!$AK377,IF('Inputs Yr 2'!$AL377=BO$4,'Inputs Yr 2'!$AM377,IF('Inputs Yr 2'!$AN377=BO$4,'Inputs Yr 2'!$AO377,0))))*(INDEX(avoidedcosttbl2,$H376,BX$2)+(($H376-ROUNDDOWN($H376,0))*(INDEX(avoidedcosttbl2,ROUNDUP($H376,0),BX$2)-(INDEX(avoidedcosttbl2,ROUNDDOWN($H376,0),BX$2)))))*'Inputs Yr 2'!P377*'Inputs Yr 2'!Q377*'Inputs Yr 2'!U377,"")</f>
        <v/>
      </c>
      <c r="BY376" s="197" t="str">
        <f>IFERROR(($G376*IF('Inputs Yr 2'!$AJ377=BP$4,'Inputs Yr 2'!$AK377,IF('Inputs Yr 2'!$AL377=BP$4,'Inputs Yr 2'!$AM377,IF('Inputs Yr 2'!$AN377=BP$4,'Inputs Yr 2'!$AO377,0))))*(INDEX(avoidedcosttbl2,$H376,BY$2)+(($H376-ROUNDDOWN($H376,0))*(INDEX(avoidedcosttbl2,ROUNDUP($H376,0),BY$2)-(INDEX(avoidedcosttbl2,ROUNDDOWN($H376,0),BY$2)))))*'Inputs Yr 2'!P377*'Inputs Yr 2'!Q377*'Inputs Yr 2'!U377,"")</f>
        <v/>
      </c>
      <c r="BZ376" s="193">
        <f t="shared" si="219"/>
        <v>0</v>
      </c>
      <c r="CA376" s="193">
        <f t="shared" si="220"/>
        <v>0</v>
      </c>
      <c r="CB376" s="195" t="str">
        <f>IFERROR(G376*(IF('Inputs Yr 2'!$AJ377=CB$4,'Inputs Yr 2'!$AK377,IF('Inputs Yr 2'!$AL377=CB$4,'Inputs Yr 2'!$AM377,IF('Inputs Yr 2'!$AN377=CB$4,'Inputs Yr 2'!$AO377,0))))*(INDEX(avoidedcosttbl2,$H376,CB$2)+(($H376-ROUNDDOWN($H376,0))*(INDEX(avoidedcosttbl2,ROUNDUP($H376,0),CB$2)-(INDEX(avoidedcosttbl2,ROUNDDOWN($H376,0),CB$2)))))*'Inputs Yr 2'!P377*'Inputs Yr 2'!Q377*'Inputs Yr 2'!U377,"")</f>
        <v/>
      </c>
      <c r="CC376" s="195" t="str">
        <f>IFERROR(H376*(IF('Inputs Yr 2'!$AJ377=CC$4,'Inputs Yr 2'!$AK377,IF('Inputs Yr 2'!$AL377=CC$4,'Inputs Yr 2'!$AM377,IF('Inputs Yr 2'!$AN377=CC$4,'Inputs Yr 2'!$AO377,0))))*(INDEX(avoidedcosttbl2,$H376,CC$2)+(($H376-ROUNDDOWN($H376,0))*(INDEX(avoidedcosttbl2,ROUNDUP($H376,0),CC$2)-(INDEX(avoidedcosttbl2,ROUNDDOWN($H376,0),CC$2)))))*'Inputs Yr 2'!Q377*'Inputs Yr 2'!R377*'Inputs Yr 2'!V377,"")</f>
        <v/>
      </c>
      <c r="CD376" s="195" t="str">
        <f>IFERROR(I376*(IF('Inputs Yr 2'!$AJ377=CD$4,'Inputs Yr 2'!$AK377,IF('Inputs Yr 2'!$AL377=CD$4,'Inputs Yr 2'!$AM377,IF('Inputs Yr 2'!$AN377=CD$4,'Inputs Yr 2'!$AO377,0))))*(INDEX(avoidedcosttbl2,$H376,CD$2)+(($H376-ROUNDDOWN($H376,0))*(INDEX(avoidedcosttbl2,ROUNDUP($H376,0),CD$2)-(INDEX(avoidedcosttbl2,ROUNDDOWN($H376,0),CD$2)))))*'Inputs Yr 2'!R377*'Inputs Yr 2'!S377*'Inputs Yr 2'!W377,"")</f>
        <v/>
      </c>
      <c r="CE376" s="213" t="str">
        <f t="shared" si="221"/>
        <v/>
      </c>
      <c r="CF376" s="213" t="str">
        <f t="shared" si="222"/>
        <v/>
      </c>
      <c r="CG376" s="213" t="str">
        <f t="shared" si="223"/>
        <v/>
      </c>
      <c r="CH376" s="698">
        <f t="shared" si="224"/>
        <v>0</v>
      </c>
      <c r="CI376" s="79" t="str">
        <f>IFERROR(($G376*'Inputs Yr 2'!$P377*'Inputs Yr 2'!$Q377*(((INDEX(avoidedcosttbl2,$H376,CI$2)+(($H376-ROUNDDOWN($H376,0))*(INDEX(avoidedcosttbl2,ROUNDUP($H376,0),CI$2)-INDEX(avoidedcosttbl2,ROUNDDOWN($H376,0),CI$2))))*'Inputs Yr 2'!AS377))),"")</f>
        <v/>
      </c>
      <c r="CJ376" s="504" t="str">
        <f>IFERROR($G376*'Inputs Yr 2'!AT377*'Inputs Yr 2'!$P377*'Inputs Yr 2'!$Q377/((1+realdiscrt1)^-0.5),"")</f>
        <v/>
      </c>
      <c r="CK376" s="79" t="str">
        <f>IFERROR((O376*1000*(((INDEX(avoidedcosttbl2,$H376,CK$2)+(($H376-ROUNDDOWN($H376,0))*(INDEX(avoidedcosttbl2,ROUNDUP($H376,0),CK$2)-INDEX(avoidedcosttbl2,ROUNDDOWN($H376,0),CK$2))))*'Inputs Yr 2'!AU377))),"")</f>
        <v/>
      </c>
      <c r="CL376" s="504" t="str">
        <f>IFERROR(O376*1000*'Inputs Yr 2'!AV377/((1+realdiscrt1)^-0.5),"")</f>
        <v/>
      </c>
      <c r="CM376" s="79" t="str">
        <f>IFERROR((AB376*'Inputs Yr 2'!AW377*(((INDEX(avoidedcosttbl2,$H376,CM$2)+(($H376-ROUNDDOWN($H376,0))*(INDEX(avoidedcosttbl2,ROUNDUP($H376,0),CM$2)-INDEX(avoidedcosttbl2,ROUNDDOWN($H376,0),CM$2)))))))*10,"")</f>
        <v/>
      </c>
      <c r="CN376" s="504">
        <f>IFERROR(10*AB376*'Inputs Yr 2'!AX377/((1+realdiscrt1)^-0.5),"")</f>
        <v>0</v>
      </c>
      <c r="CO376" s="505">
        <f t="shared" si="225"/>
        <v>0</v>
      </c>
      <c r="CP376" s="230">
        <f t="shared" si="226"/>
        <v>0</v>
      </c>
      <c r="CQ376" s="199">
        <f>ROUND(IFERROR(IF(LEFT($A376,1)="C",'Avoided Costs'!$K$13,'Avoided Costs'!$K$12)+1,""),4)</f>
        <v>1.0720000000000001</v>
      </c>
      <c r="CR376" s="199">
        <f>ROUND(IFERROR(IF(LEFT($A376,1)="C",'Avoided Costs'!$L$13,'Avoided Costs'!$L$12)+1,""),4)</f>
        <v>1.04</v>
      </c>
      <c r="CS376" s="199">
        <f>ROUND(IFERROR(IF(LEFT($A376,1)="C",'Avoided Costs'!$M$13,'Avoided Costs'!$M$12)+1,""),4)</f>
        <v>1.0720000000000001</v>
      </c>
      <c r="CT376" s="199">
        <f>ROUND(IFERROR(IF(LEFT($A376,1)="C",'Avoided Costs'!$N$13,'Avoided Costs'!$N$12)+1,""),4)</f>
        <v>1.04</v>
      </c>
      <c r="CU376" s="199">
        <f>ROUND(IFERROR(IF(LEFT($A376,1)="C",'Avoided Costs'!$O$13,'Avoided Costs'!$O$12)+1,""),4)</f>
        <v>1.1120000000000001</v>
      </c>
      <c r="CV376" s="199">
        <f>ROUND(IFERROR(IF(LEFT($A376,1)="C",'Avoided Costs'!$P$13,'Avoided Costs'!$P$12)+1,""),4)</f>
        <v>1.095</v>
      </c>
      <c r="CW376" s="199">
        <f>ROUND(IFERROR(IF(LEFT($A376,1)="C",'Avoided Costs'!$Q$13,'Avoided Costs'!$Q$12)+1,""),4)</f>
        <v>1.1120000000000001</v>
      </c>
      <c r="CX376" s="200">
        <f>ROUND(IFERROR(IF(LEFT($A376,1)="C",'Avoided Costs'!$R$13,'Avoided Costs'!$R$12)+1,""),4)</f>
        <v>1.1120000000000001</v>
      </c>
    </row>
    <row r="377" spans="1:102" s="128" customFormat="1" ht="12.75" customHeight="1">
      <c r="A377" s="91" t="str">
        <f>IF('Inputs Yr 2'!$B414=0,"",'Inputs Yr 2'!A414)</f>
        <v/>
      </c>
      <c r="B377" s="91" t="str">
        <f>IF('Inputs Yr 2'!$B414=0,"",'Inputs Yr 2'!B414)</f>
        <v/>
      </c>
      <c r="C377" s="91" t="str">
        <f>IF('Inputs Yr 2'!$B378=0,"",'Inputs Yr 2'!C378)</f>
        <v/>
      </c>
      <c r="D377" s="91" t="str">
        <f>IF('Inputs Yr 2'!$B378=0,"",'Inputs Yr 2'!E378)</f>
        <v/>
      </c>
      <c r="E377" s="93" t="str">
        <f>IF('Inputs Yr 2'!$B378=0,"",'Inputs Yr 2'!F378)</f>
        <v/>
      </c>
      <c r="F377" s="93" t="str">
        <f>IF('Inputs Yr 2'!$B378=0,"",'Inputs Yr 2'!G378)</f>
        <v/>
      </c>
      <c r="G377" s="95" t="str">
        <f>IF('Inputs Yr 2'!$H378&lt;&gt;0,('Inputs Yr 2'!H378),"")</f>
        <v/>
      </c>
      <c r="H377" s="94">
        <f>IFERROR('Inputs Yr 2'!I378,"")</f>
        <v>0</v>
      </c>
      <c r="I377" s="298" t="str">
        <f>IFERROR('Inputs Yr 2'!J378*'Inputs Yr 2'!P378*G377,"")</f>
        <v/>
      </c>
      <c r="J377" s="298" t="str">
        <f>IFERROR('Inputs Yr 2'!K378*G377,"")</f>
        <v/>
      </c>
      <c r="K377" s="298" t="str">
        <f t="shared" si="197"/>
        <v/>
      </c>
      <c r="L377" s="194" t="str">
        <f>IFERROR(('Inputs Yr 2'!W378*G377)/1000,"")</f>
        <v/>
      </c>
      <c r="M377" s="194" t="str">
        <f>IFERROR(L377*('Inputs Yr 2'!$Q378*'Inputs Yr 2'!$V378*'Inputs Yr 2'!$R378),"")</f>
        <v/>
      </c>
      <c r="N377" s="194" t="str">
        <f t="shared" si="198"/>
        <v/>
      </c>
      <c r="O377" s="194" t="str">
        <f>IFERROR(M377*'Inputs Yr 2'!P378,"")</f>
        <v/>
      </c>
      <c r="P377" s="194" t="str">
        <f t="shared" si="199"/>
        <v/>
      </c>
      <c r="Q377" s="194" t="str">
        <f>IFERROR($P377*'Inputs Yr 2'!AA378,"")</f>
        <v/>
      </c>
      <c r="R377" s="194" t="str">
        <f>IFERROR($P377*'Inputs Yr 2'!AB378,"")</f>
        <v/>
      </c>
      <c r="S377" s="194" t="str">
        <f>IFERROR($P377*'Inputs Yr 2'!AC378,"")</f>
        <v/>
      </c>
      <c r="T377" s="194" t="str">
        <f>IFERROR($P377*'Inputs Yr 2'!AD378,"")</f>
        <v/>
      </c>
      <c r="U377" s="194" t="str">
        <f>IFERROR(G377*'Inputs Yr 2'!$AE378*'Inputs Yr 2'!$P378*'Inputs Yr 2'!$Q378,"")</f>
        <v/>
      </c>
      <c r="V377" s="194" t="str">
        <f>IFERROR($G377*'Inputs Yr 2'!$AE378*'Inputs Yr 2'!$AG378*'Inputs Yr 2'!Q378*'Inputs Yr 2'!$S378,"")</f>
        <v/>
      </c>
      <c r="W377" s="194" t="str">
        <f>IFERROR($G377*'Inputs Yr 2'!$AE378*'Inputs Yr 2'!$AG378*'Inputs Yr 2'!P378*'Inputs Yr 2'!Q378*'Inputs Yr 2'!$S378,"")</f>
        <v/>
      </c>
      <c r="X377" s="194" t="str">
        <f>IFERROR($G377*'Inputs Yr 2'!$AE378*'Inputs Yr 2'!$AF378*'Inputs Yr 2'!Q378*'Inputs Yr 2'!$T378,"")</f>
        <v/>
      </c>
      <c r="Y377" s="194" t="str">
        <f>IFERROR($G377*'Inputs Yr 2'!$AE378*'Inputs Yr 2'!$AF378*'Inputs Yr 2'!P378*'Inputs Yr 2'!Q378*'Inputs Yr 2'!$T378,"")</f>
        <v/>
      </c>
      <c r="Z377" s="257">
        <f>IFERROR($G377*'Inputs Yr 2'!$Q378*'Inputs Yr 2'!$U378*(IF(IFERROR(SEARCH("NG", 'Inputs Yr 2'!$AJ378),0),'Inputs Yr 2'!$AK378,0)+IF(IFERROR(SEARCH("NG", 'Inputs Yr 2'!$AL378),0),'Inputs Yr 2'!$AM378,0)+IF(IFERROR(SEARCH("NG", 'Inputs Yr 2'!$AN378),0),'Inputs Yr 2'!$AO378,0)),0)</f>
        <v>0</v>
      </c>
      <c r="AA377" s="257">
        <f t="shared" si="200"/>
        <v>0</v>
      </c>
      <c r="AB377" s="257">
        <f>IFERROR(Z377*'Inputs Yr 2'!$P378,0)</f>
        <v>0</v>
      </c>
      <c r="AC377" s="257">
        <f t="shared" si="201"/>
        <v>0</v>
      </c>
      <c r="AD377" s="257">
        <f>IFERROR($G377*'Inputs Yr 2'!$Q378*'Inputs Yr 2'!$U378*(IF(IFERROR(SEARCH("Oil", 'Inputs Yr 2'!$AJ378), 0),'Inputs Yr 2'!$AK378,0)+IF(IFERROR(SEARCH("Oil", 'Inputs Yr 2'!$AL378), 0),'Inputs Yr 2'!$AM378,0)+IF(IFERROR(SEARCH("Oil", 'Inputs Yr 2'!$AN378), 0),'Inputs Yr 2'!$AO378,0)),0)</f>
        <v>0</v>
      </c>
      <c r="AE377" s="257">
        <f t="shared" si="202"/>
        <v>0</v>
      </c>
      <c r="AF377" s="257">
        <f>IFERROR(AD377*'Inputs Yr 2'!$P378,0)</f>
        <v>0</v>
      </c>
      <c r="AG377" s="257">
        <f t="shared" si="203"/>
        <v>0</v>
      </c>
      <c r="AH377" s="257">
        <f>IFERROR($G377*'Inputs Yr 2'!$Q378*'Inputs Yr 2'!$U378*(IF('Inputs Yr 2'!$AJ378=CD$4,'Inputs Yr 2'!$AK378,IF('Inputs Yr 2'!$AL378=CD$4,'Inputs Yr 2'!$AM378,IF('Inputs Yr 2'!$AN378=CD$4,'Inputs Yr 2'!$AO378,0)))),0)</f>
        <v>0</v>
      </c>
      <c r="AI377" s="257">
        <f t="shared" si="204"/>
        <v>0</v>
      </c>
      <c r="AJ377" s="257">
        <f>IFERROR(AH377*'Inputs Yr 2'!$P378,0)</f>
        <v>0</v>
      </c>
      <c r="AK377" s="257">
        <f t="shared" si="205"/>
        <v>0</v>
      </c>
      <c r="AL377" s="258">
        <f>IFERROR($G377*'Inputs Yr 2'!$P378*'Inputs Yr 2'!$Q378*'Inputs Yr 2'!AP378,0)</f>
        <v>0</v>
      </c>
      <c r="AM377" s="260">
        <f>IFERROR($G377*'Inputs Yr 2'!$P378*'Inputs Yr 2'!$Q378*'Inputs Yr 2'!AQ378,0)</f>
        <v>0</v>
      </c>
      <c r="AN377" s="258">
        <f>IFERROR($G377*'Inputs Yr 2'!$P378*'Inputs Yr 2'!$Q378*'Inputs Yr 2'!AR378,0)</f>
        <v>0</v>
      </c>
      <c r="AO377" s="257">
        <f t="shared" si="206"/>
        <v>0</v>
      </c>
      <c r="AP377" s="195" t="str">
        <f>IFERROR($CQ377*(INDEX(avoidedcosttbl2,$H377,AP$2)+(($H377-ROUNDDOWN($H377,0))*(INDEX(avoidedcosttbl2,ROUNDUP($H377,0),AP$2)-(INDEX(avoidedcosttbl2,ROUNDDOWN($H377,0),AP$2)))))*$O377*1000*'Inputs Yr 2'!AA378,"")</f>
        <v/>
      </c>
      <c r="AQ377" s="195" t="str">
        <f>IFERROR($CR377*(INDEX(avoidedcosttbl2,$H377,AQ$2)+(($H377-ROUNDDOWN($H377,0))*(INDEX(avoidedcosttbl2,ROUNDUP($H377,0),AQ$2)-(INDEX(avoidedcosttbl2,ROUNDDOWN($H377,0),AQ$2)))))*$O377*1000*'Inputs Yr 2'!AB378,"")</f>
        <v/>
      </c>
      <c r="AR377" s="195" t="str">
        <f>IFERROR($CS377*(INDEX(avoidedcosttbl2,$H377,AR$2)+(($H377-ROUNDDOWN($H377,0))*(INDEX(avoidedcosttbl2,ROUNDUP($H377,0),AR$2)-(INDEX(avoidedcosttbl2,ROUNDDOWN($H377,0),AR$2)))))*$O377*1000*'Inputs Yr 2'!AC378,"")</f>
        <v/>
      </c>
      <c r="AS377" s="195" t="str">
        <f>IFERROR($CT377*(INDEX(avoidedcosttbl2,$H377,AS$2)+(($H377-ROUNDDOWN($H377,0))*(INDEX(avoidedcosttbl2,ROUNDUP($H377,0),AS$2)-(INDEX(avoidedcosttbl2,ROUNDDOWN($H377,0),AS$2)))))*$O377*1000*'Inputs Yr 2'!AD378,"")</f>
        <v/>
      </c>
      <c r="AT377" s="196">
        <f t="shared" si="207"/>
        <v>0</v>
      </c>
      <c r="AU377" s="197" t="str">
        <f>IFERROR($CQ377*((INDEX(avoidedcosttbl2,$H377,AU$2))+(($H377-ROUNDDOWN($H377,0))*((INDEX(avoidedcosttbl2,ROUNDUP($H377,0),AU$2))-(INDEX(avoidedcosttbl2,ROUNDDOWN($H377,0),AU$2)))))*$O377*1000*'Inputs Yr 2'!AA378,"")</f>
        <v/>
      </c>
      <c r="AV377" s="197" t="str">
        <f>IFERROR($CR377*((INDEX(avoidedcosttbl2,$H377,AV$2))+(($H377-ROUNDDOWN($H377,0))*((INDEX(avoidedcosttbl2,ROUNDUP($H377,0),AV$2))-(INDEX(avoidedcosttbl2,ROUNDDOWN($H377,0),AV$2)))))*$O377*1000*'Inputs Yr 2'!AB378,"")</f>
        <v/>
      </c>
      <c r="AW377" s="197" t="str">
        <f>IFERROR($CS377*((INDEX(avoidedcosttbl2,$H377,AW$2))+(($H377-ROUNDDOWN($H377,0))*((INDEX(avoidedcosttbl2,ROUNDUP($H377,0),AW$2))-(INDEX(avoidedcosttbl2,ROUNDDOWN($H377,0),AW$2)))))*$O377*1000*'Inputs Yr 2'!AC378,"")</f>
        <v/>
      </c>
      <c r="AX377" s="197" t="str">
        <f>IFERROR($CT377*((INDEX(avoidedcosttbl2,$H377,AX$2))+(($H377-ROUNDDOWN($H377,0))*((INDEX(avoidedcosttbl2,ROUNDUP($H377,0),AX$2))-(INDEX(avoidedcosttbl2,ROUNDDOWN($H377,0),AX$2)))))*$O377*1000*'Inputs Yr 2'!AD378,"")</f>
        <v/>
      </c>
      <c r="AY377" s="197" t="str">
        <f>IFERROR(((INDEX(avoidedcosttbl2,$H377,AY$2))+(($H377-ROUNDDOWN($H377,0))*((INDEX(avoidedcosttbl2,ROUNDUP($H377,0),AY$2))-(INDEX(avoidedcosttbl2,ROUNDDOWN($H377,0),AY$2)))))*$O377*1000*('Inputs Yr 2'!AC378+'Inputs Yr 2'!AD378),"")</f>
        <v/>
      </c>
      <c r="AZ377" s="197" t="str">
        <f>IFERROR(((INDEX(avoidedcosttbl2,$H377,AZ$2))+(($H377-ROUNDDOWN($H377,0))*((INDEX(avoidedcosttbl2,ROUNDUP($H377,0),AZ$2))-(INDEX(avoidedcosttbl2,ROUNDDOWN($H377,0),AZ$2)))))*$O377*1000*('Inputs Yr 2'!AA378+'Inputs Yr 2'!AB378),"")</f>
        <v/>
      </c>
      <c r="BA377" s="198">
        <f t="shared" si="208"/>
        <v>0</v>
      </c>
      <c r="BB377" s="198">
        <f t="shared" si="209"/>
        <v>0</v>
      </c>
      <c r="BC377" s="195" t="str">
        <f t="shared" si="210"/>
        <v/>
      </c>
      <c r="BD377" s="195" t="str">
        <f t="shared" si="211"/>
        <v/>
      </c>
      <c r="BE377" s="195" t="str">
        <f t="shared" si="212"/>
        <v/>
      </c>
      <c r="BF377" s="195" t="str">
        <f t="shared" si="213"/>
        <v/>
      </c>
      <c r="BG377" s="195" t="str">
        <f t="shared" si="214"/>
        <v/>
      </c>
      <c r="BH377" s="196">
        <f t="shared" si="215"/>
        <v>0</v>
      </c>
      <c r="BI377" s="196">
        <f t="shared" si="216"/>
        <v>0</v>
      </c>
      <c r="BJ377" s="195" t="str">
        <f>IFERROR($G377*(IF('Inputs Yr 2'!$AJ378=BJ$4,'Inputs Yr 2'!$AK378,IF('Inputs Yr 2'!$AL378=BJ$4,'Inputs Yr 2'!$AM378,IF('Inputs Yr 2'!$AN378=BJ$4,'Inputs Yr 2'!$AO378,0))))*(INDEX(avoidedcosttbl2,$H377,BJ$2)+(($H377-ROUNDDOWN($H377,0))*(INDEX(avoidedcosttbl2,ROUNDUP($H377,0),BJ$2)-(INDEX(avoidedcosttbl2,ROUNDDOWN($H377,0),BJ$2)))))*'Inputs Yr 2'!P378*'Inputs Yr 2'!Q378*'Inputs Yr 2'!U378,"")</f>
        <v/>
      </c>
      <c r="BK377" s="195" t="str">
        <f>IFERROR($G377*(IF('Inputs Yr 2'!$AJ378=BK$4,'Inputs Yr 2'!$AK378,IF('Inputs Yr 2'!$AL378=BK$4,'Inputs Yr 2'!$AM378,IF('Inputs Yr 2'!$AN378=BK$4,'Inputs Yr 2'!$AO378,0))))*(INDEX(avoidedcosttbl2,$H377,BK$2)+(($H377-ROUNDDOWN($H377,0))*(INDEX(avoidedcosttbl2,ROUNDUP($H377,0),BK$2)-(INDEX(avoidedcosttbl2,ROUNDDOWN($H377,0),BK$2)))))*'Inputs Yr 2'!P378*'Inputs Yr 2'!Q378*'Inputs Yr 2'!U378,"")</f>
        <v/>
      </c>
      <c r="BL377" s="195" t="str">
        <f>IFERROR($G377*(IF('Inputs Yr 2'!$AJ378=BL$4,'Inputs Yr 2'!$AK378,IF('Inputs Yr 2'!$AL378=BL$4,'Inputs Yr 2'!$AM378,IF('Inputs Yr 2'!$AN378=BL$4,'Inputs Yr 2'!$AO378,0))))*(INDEX(avoidedcosttbl2,$H377,BL$2)+(($H377-ROUNDDOWN($H377,0))*(INDEX(avoidedcosttbl2,ROUNDUP($H377,0),BL$2)-(INDEX(avoidedcosttbl2,ROUNDDOWN($H377,0),BL$2)))))*'Inputs Yr 2'!P378*'Inputs Yr 2'!Q378*'Inputs Yr 2'!U378,"")</f>
        <v/>
      </c>
      <c r="BM377" s="195" t="str">
        <f>IFERROR($G377*(IF('Inputs Yr 2'!$AJ378=BM$4,'Inputs Yr 2'!$AK378,IF('Inputs Yr 2'!$AL378=BM$4,'Inputs Yr 2'!$AM378,IF('Inputs Yr 2'!$AN378=BM$4,'Inputs Yr 2'!$AO378,0))))*(INDEX(avoidedcosttbl2,$H377,BM$2)+(($H377-ROUNDDOWN($H377,0))*(INDEX(avoidedcosttbl2,ROUNDUP($H377,0),BM$2)-(INDEX(avoidedcosttbl2,ROUNDDOWN($H377,0),BM$2)))))*'Inputs Yr 2'!P378*'Inputs Yr 2'!Q378*'Inputs Yr 2'!U378,"")</f>
        <v/>
      </c>
      <c r="BN377" s="195" t="str">
        <f>IFERROR($G377*(IF('Inputs Yr 2'!$AJ378=BN$4,'Inputs Yr 2'!$AK378,IF('Inputs Yr 2'!$AL378=BN$4,'Inputs Yr 2'!$AM378,IF('Inputs Yr 2'!$AN378=BN$4,'Inputs Yr 2'!$AO378,0))))*(INDEX(avoidedcosttbl2,$H377,BN$2)+(($H377-ROUNDDOWN($H377,0))*(INDEX(avoidedcosttbl2,ROUNDUP($H377,0),BN$2)-(INDEX(avoidedcosttbl2,ROUNDDOWN($H377,0),BN$2)))))*'Inputs Yr 2'!P378*'Inputs Yr 2'!Q378*'Inputs Yr 2'!U378,"")</f>
        <v/>
      </c>
      <c r="BO377" s="195" t="str">
        <f>IFERROR($G377*(IF('Inputs Yr 2'!$AJ378=BO$4,'Inputs Yr 2'!$AK378,IF('Inputs Yr 2'!$AL378=BO$4,'Inputs Yr 2'!$AM378,IF('Inputs Yr 2'!$AN378=BO$4,'Inputs Yr 2'!$AO378,0))))*(INDEX(avoidedcosttbl2,$H377,BO$2)+(($H377-ROUNDDOWN($H377,0))*(INDEX(avoidedcosttbl2,ROUNDUP($H377,0),BO$2)-(INDEX(avoidedcosttbl2,ROUNDDOWN($H377,0),BO$2)))))*'Inputs Yr 2'!P378*'Inputs Yr 2'!Q378*'Inputs Yr 2'!U378,"")</f>
        <v/>
      </c>
      <c r="BP377" s="195" t="str">
        <f>IFERROR($G377*(IF('Inputs Yr 2'!$AJ378=BP$4,'Inputs Yr 2'!$AK378,IF('Inputs Yr 2'!$AL378=BP$4,'Inputs Yr 2'!$AM378,IF('Inputs Yr 2'!$AN378=BP$4,'Inputs Yr 2'!$AO378,0))))*(INDEX(avoidedcosttbl2,$H377,BP$2)+(($H377-ROUNDDOWN($H377,0))*(INDEX(avoidedcosttbl2,ROUNDUP($H377,0),BP$2)-(INDEX(avoidedcosttbl2,ROUNDDOWN($H377,0),BP$2)))))*'Inputs Yr 2'!P378*'Inputs Yr 2'!Q378*'Inputs Yr 2'!U378,"")</f>
        <v/>
      </c>
      <c r="BQ377" s="230">
        <f t="shared" si="217"/>
        <v>0</v>
      </c>
      <c r="BR377" s="197" t="str">
        <f t="shared" si="218"/>
        <v/>
      </c>
      <c r="BS377" s="197" t="str">
        <f>IFERROR(($G377*IF('Inputs Yr 2'!$AJ378=BM$4,'Inputs Yr 2'!$AK378,IF('Inputs Yr 2'!$AL378=BM$4,'Inputs Yr 2'!$AM378,IF('Inputs Yr 2'!$AN378=BM$4,'Inputs Yr 2'!$AO378,0))))*(INDEX(avoidedcosttbl2,$H377,BS$2)+(($H377-ROUNDDOWN($H377,0))*(INDEX(avoidedcosttbl2,ROUNDUP($H377,0),BS$2)-(INDEX(avoidedcosttbl2,ROUNDDOWN($H377,0),BS$2)))))*'Inputs Yr 2'!P378*'Inputs Yr 2'!Q378*'Inputs Yr 2'!U378,"")</f>
        <v/>
      </c>
      <c r="BT377" s="197" t="str">
        <f>IFERROR(($G377*IF('Inputs Yr 2'!$AJ378=BK$4,'Inputs Yr 2'!$AK378,IF('Inputs Yr 2'!$AL378=BK$4,'Inputs Yr 2'!$AM378,IF('Inputs Yr 2'!$AN378=BK$4,'Inputs Yr 2'!$AO378,0))))*(INDEX(avoidedcosttbl2,$H377,BT$2)+(($H377-ROUNDDOWN($H377,0))*(INDEX(avoidedcosttbl2,ROUNDUP($H377,0),BT$2)-(INDEX(avoidedcosttbl2,ROUNDDOWN($H377,0),BT$2)))))*'Inputs Yr 2'!P378*'Inputs Yr 2'!Q378*'Inputs Yr 2'!U378,"")</f>
        <v/>
      </c>
      <c r="BU377" s="197" t="str">
        <f>IFERROR(($G377*IF('Inputs Yr 2'!$AJ378=BL$4,'Inputs Yr 2'!$AK378,IF('Inputs Yr 2'!$AL378=BL$4,'Inputs Yr 2'!$AM378,IF('Inputs Yr 2'!$AN378=BL$4,'Inputs Yr 2'!$AO378,0))))*(INDEX(avoidedcosttbl2,$H377,BU$2)+(($H377-ROUNDDOWN($H377,0))*(INDEX(avoidedcosttbl2,ROUNDUP($H377,0),BU$2)-(INDEX(avoidedcosttbl2,ROUNDDOWN($H377,0),BU$2)))))*'Inputs Yr 2'!P378*'Inputs Yr 2'!Q378*'Inputs Yr 2'!U378,"")</f>
        <v/>
      </c>
      <c r="BV377" s="775" t="str">
        <f>IFERROR(($G377*IF('Inputs Yr 2'!$AJ378=BJ$4,'Inputs Yr 2'!$AK378,IF('Inputs Yr 2'!$AL378=BJ$4,'Inputs Yr 2'!$AM378,IF('Inputs Yr 2'!$AN378=BJ$4,'Inputs Yr 2'!$AO378,0))))*(INDEX(avoidedcosttbl2,$H377,BV$2)+(($H377-ROUNDDOWN($H377,0))*(INDEX(avoidedcosttbl2,ROUNDUP($H377,0),BV$2)-(INDEX(avoidedcosttbl2,ROUNDDOWN($H377,0),BV$2)))))*'Inputs Yr 2'!P378*'Inputs Yr 2'!Q378*'Inputs Yr 2'!U378,"")</f>
        <v/>
      </c>
      <c r="BW377" s="197" t="str">
        <f>IFERROR(($G377*IF('Inputs Yr 2'!$AJ378=BN$4,'Inputs Yr 2'!$AK378,IF('Inputs Yr 2'!$AL378=BN$4,'Inputs Yr 2'!$AM378,IF('Inputs Yr 2'!$AN378=BN$4,'Inputs Yr 2'!$AO378,0))))*(INDEX(avoidedcosttbl2,$H377,BW$2)+(($H377-ROUNDDOWN($H377,0))*(INDEX(avoidedcosttbl2,ROUNDUP($H377,0),BW$2)-(INDEX(avoidedcosttbl2,ROUNDDOWN($H377,0),BW$2)))))*'Inputs Yr 2'!P378*'Inputs Yr 2'!Q378*'Inputs Yr 2'!U378,"")</f>
        <v/>
      </c>
      <c r="BX377" s="197" t="str">
        <f>IFERROR(($G377*IF('Inputs Yr 2'!$AJ378=BO$4,'Inputs Yr 2'!$AK378,IF('Inputs Yr 2'!$AL378=BO$4,'Inputs Yr 2'!$AM378,IF('Inputs Yr 2'!$AN378=BO$4,'Inputs Yr 2'!$AO378,0))))*(INDEX(avoidedcosttbl2,$H377,BX$2)+(($H377-ROUNDDOWN($H377,0))*(INDEX(avoidedcosttbl2,ROUNDUP($H377,0),BX$2)-(INDEX(avoidedcosttbl2,ROUNDDOWN($H377,0),BX$2)))))*'Inputs Yr 2'!P378*'Inputs Yr 2'!Q378*'Inputs Yr 2'!U378,"")</f>
        <v/>
      </c>
      <c r="BY377" s="197" t="str">
        <f>IFERROR(($G377*IF('Inputs Yr 2'!$AJ378=BP$4,'Inputs Yr 2'!$AK378,IF('Inputs Yr 2'!$AL378=BP$4,'Inputs Yr 2'!$AM378,IF('Inputs Yr 2'!$AN378=BP$4,'Inputs Yr 2'!$AO378,0))))*(INDEX(avoidedcosttbl2,$H377,BY$2)+(($H377-ROUNDDOWN($H377,0))*(INDEX(avoidedcosttbl2,ROUNDUP($H377,0),BY$2)-(INDEX(avoidedcosttbl2,ROUNDDOWN($H377,0),BY$2)))))*'Inputs Yr 2'!P378*'Inputs Yr 2'!Q378*'Inputs Yr 2'!U378,"")</f>
        <v/>
      </c>
      <c r="BZ377" s="193">
        <f t="shared" si="219"/>
        <v>0</v>
      </c>
      <c r="CA377" s="193">
        <f t="shared" si="220"/>
        <v>0</v>
      </c>
      <c r="CB377" s="195" t="str">
        <f>IFERROR(G377*(IF('Inputs Yr 2'!$AJ378=CB$4,'Inputs Yr 2'!$AK378,IF('Inputs Yr 2'!$AL378=CB$4,'Inputs Yr 2'!$AM378,IF('Inputs Yr 2'!$AN378=CB$4,'Inputs Yr 2'!$AO378,0))))*(INDEX(avoidedcosttbl2,$H377,CB$2)+(($H377-ROUNDDOWN($H377,0))*(INDEX(avoidedcosttbl2,ROUNDUP($H377,0),CB$2)-(INDEX(avoidedcosttbl2,ROUNDDOWN($H377,0),CB$2)))))*'Inputs Yr 2'!P378*'Inputs Yr 2'!Q378*'Inputs Yr 2'!U378,"")</f>
        <v/>
      </c>
      <c r="CC377" s="195" t="str">
        <f>IFERROR(H377*(IF('Inputs Yr 2'!$AJ378=CC$4,'Inputs Yr 2'!$AK378,IF('Inputs Yr 2'!$AL378=CC$4,'Inputs Yr 2'!$AM378,IF('Inputs Yr 2'!$AN378=CC$4,'Inputs Yr 2'!$AO378,0))))*(INDEX(avoidedcosttbl2,$H377,CC$2)+(($H377-ROUNDDOWN($H377,0))*(INDEX(avoidedcosttbl2,ROUNDUP($H377,0),CC$2)-(INDEX(avoidedcosttbl2,ROUNDDOWN($H377,0),CC$2)))))*'Inputs Yr 2'!Q378*'Inputs Yr 2'!R378*'Inputs Yr 2'!V378,"")</f>
        <v/>
      </c>
      <c r="CD377" s="195" t="str">
        <f>IFERROR(I377*(IF('Inputs Yr 2'!$AJ378=CD$4,'Inputs Yr 2'!$AK378,IF('Inputs Yr 2'!$AL378=CD$4,'Inputs Yr 2'!$AM378,IF('Inputs Yr 2'!$AN378=CD$4,'Inputs Yr 2'!$AO378,0))))*(INDEX(avoidedcosttbl2,$H377,CD$2)+(($H377-ROUNDDOWN($H377,0))*(INDEX(avoidedcosttbl2,ROUNDUP($H377,0),CD$2)-(INDEX(avoidedcosttbl2,ROUNDDOWN($H377,0),CD$2)))))*'Inputs Yr 2'!R378*'Inputs Yr 2'!S378*'Inputs Yr 2'!W378,"")</f>
        <v/>
      </c>
      <c r="CE377" s="213" t="str">
        <f t="shared" si="221"/>
        <v/>
      </c>
      <c r="CF377" s="213" t="str">
        <f t="shared" si="222"/>
        <v/>
      </c>
      <c r="CG377" s="213" t="str">
        <f t="shared" si="223"/>
        <v/>
      </c>
      <c r="CH377" s="698">
        <f t="shared" si="224"/>
        <v>0</v>
      </c>
      <c r="CI377" s="79" t="str">
        <f>IFERROR(($G377*'Inputs Yr 2'!$P378*'Inputs Yr 2'!$Q378*(((INDEX(avoidedcosttbl2,$H377,CI$2)+(($H377-ROUNDDOWN($H377,0))*(INDEX(avoidedcosttbl2,ROUNDUP($H377,0),CI$2)-INDEX(avoidedcosttbl2,ROUNDDOWN($H377,0),CI$2))))*'Inputs Yr 2'!AS378))),"")</f>
        <v/>
      </c>
      <c r="CJ377" s="504" t="str">
        <f>IFERROR($G377*'Inputs Yr 2'!AT378*'Inputs Yr 2'!$P378*'Inputs Yr 2'!$Q378/((1+realdiscrt1)^-0.5),"")</f>
        <v/>
      </c>
      <c r="CK377" s="79" t="str">
        <f>IFERROR((O377*1000*(((INDEX(avoidedcosttbl2,$H377,CK$2)+(($H377-ROUNDDOWN($H377,0))*(INDEX(avoidedcosttbl2,ROUNDUP($H377,0),CK$2)-INDEX(avoidedcosttbl2,ROUNDDOWN($H377,0),CK$2))))*'Inputs Yr 2'!AU378))),"")</f>
        <v/>
      </c>
      <c r="CL377" s="504" t="str">
        <f>IFERROR(O377*1000*'Inputs Yr 2'!AV378/((1+realdiscrt1)^-0.5),"")</f>
        <v/>
      </c>
      <c r="CM377" s="79" t="str">
        <f>IFERROR((AB377*'Inputs Yr 2'!AW378*(((INDEX(avoidedcosttbl2,$H377,CM$2)+(($H377-ROUNDDOWN($H377,0))*(INDEX(avoidedcosttbl2,ROUNDUP($H377,0),CM$2)-INDEX(avoidedcosttbl2,ROUNDDOWN($H377,0),CM$2)))))))*10,"")</f>
        <v/>
      </c>
      <c r="CN377" s="504">
        <f>IFERROR(10*AB377*'Inputs Yr 2'!AX378/((1+realdiscrt1)^-0.5),"")</f>
        <v>0</v>
      </c>
      <c r="CO377" s="505">
        <f t="shared" si="225"/>
        <v>0</v>
      </c>
      <c r="CP377" s="230">
        <f t="shared" si="226"/>
        <v>0</v>
      </c>
      <c r="CQ377" s="199">
        <f>ROUND(IFERROR(IF(LEFT($A377,1)="C",'Avoided Costs'!$K$13,'Avoided Costs'!$K$12)+1,""),4)</f>
        <v>1.0720000000000001</v>
      </c>
      <c r="CR377" s="199">
        <f>ROUND(IFERROR(IF(LEFT($A377,1)="C",'Avoided Costs'!$L$13,'Avoided Costs'!$L$12)+1,""),4)</f>
        <v>1.04</v>
      </c>
      <c r="CS377" s="199">
        <f>ROUND(IFERROR(IF(LEFT($A377,1)="C",'Avoided Costs'!$M$13,'Avoided Costs'!$M$12)+1,""),4)</f>
        <v>1.0720000000000001</v>
      </c>
      <c r="CT377" s="199">
        <f>ROUND(IFERROR(IF(LEFT($A377,1)="C",'Avoided Costs'!$N$13,'Avoided Costs'!$N$12)+1,""),4)</f>
        <v>1.04</v>
      </c>
      <c r="CU377" s="199">
        <f>ROUND(IFERROR(IF(LEFT($A377,1)="C",'Avoided Costs'!$O$13,'Avoided Costs'!$O$12)+1,""),4)</f>
        <v>1.1120000000000001</v>
      </c>
      <c r="CV377" s="199">
        <f>ROUND(IFERROR(IF(LEFT($A377,1)="C",'Avoided Costs'!$P$13,'Avoided Costs'!$P$12)+1,""),4)</f>
        <v>1.095</v>
      </c>
      <c r="CW377" s="199">
        <f>ROUND(IFERROR(IF(LEFT($A377,1)="C",'Avoided Costs'!$Q$13,'Avoided Costs'!$Q$12)+1,""),4)</f>
        <v>1.1120000000000001</v>
      </c>
      <c r="CX377" s="200">
        <f>ROUND(IFERROR(IF(LEFT($A377,1)="C",'Avoided Costs'!$R$13,'Avoided Costs'!$R$12)+1,""),4)</f>
        <v>1.1120000000000001</v>
      </c>
    </row>
    <row r="378" spans="1:102" s="128" customFormat="1" ht="12.75" customHeight="1">
      <c r="A378" s="91" t="str">
        <f>IF('Inputs Yr 2'!$B415=0,"",'Inputs Yr 2'!A415)</f>
        <v/>
      </c>
      <c r="B378" s="91" t="str">
        <f>IF('Inputs Yr 2'!$B415=0,"",'Inputs Yr 2'!B415)</f>
        <v/>
      </c>
      <c r="C378" s="91" t="str">
        <f>IF('Inputs Yr 2'!$B379=0,"",'Inputs Yr 2'!C379)</f>
        <v/>
      </c>
      <c r="D378" s="91" t="str">
        <f>IF('Inputs Yr 2'!$B379=0,"",'Inputs Yr 2'!E379)</f>
        <v/>
      </c>
      <c r="E378" s="93" t="str">
        <f>IF('Inputs Yr 2'!$B379=0,"",'Inputs Yr 2'!F379)</f>
        <v/>
      </c>
      <c r="F378" s="93" t="str">
        <f>IF('Inputs Yr 2'!$B379=0,"",'Inputs Yr 2'!G379)</f>
        <v/>
      </c>
      <c r="G378" s="95" t="str">
        <f>IF('Inputs Yr 2'!$H379&lt;&gt;0,('Inputs Yr 2'!H379),"")</f>
        <v/>
      </c>
      <c r="H378" s="94">
        <f>IFERROR('Inputs Yr 2'!I379,"")</f>
        <v>0</v>
      </c>
      <c r="I378" s="298" t="str">
        <f>IFERROR('Inputs Yr 2'!J379*'Inputs Yr 2'!P379*G378,"")</f>
        <v/>
      </c>
      <c r="J378" s="298" t="str">
        <f>IFERROR('Inputs Yr 2'!K379*G378,"")</f>
        <v/>
      </c>
      <c r="K378" s="298" t="str">
        <f t="shared" si="197"/>
        <v/>
      </c>
      <c r="L378" s="194" t="str">
        <f>IFERROR(('Inputs Yr 2'!W379*G378)/1000,"")</f>
        <v/>
      </c>
      <c r="M378" s="194" t="str">
        <f>IFERROR(L378*('Inputs Yr 2'!$Q379*'Inputs Yr 2'!$V379*'Inputs Yr 2'!$R379),"")</f>
        <v/>
      </c>
      <c r="N378" s="194" t="str">
        <f t="shared" si="198"/>
        <v/>
      </c>
      <c r="O378" s="194" t="str">
        <f>IFERROR(M378*'Inputs Yr 2'!P379,"")</f>
        <v/>
      </c>
      <c r="P378" s="194" t="str">
        <f t="shared" si="199"/>
        <v/>
      </c>
      <c r="Q378" s="194" t="str">
        <f>IFERROR($P378*'Inputs Yr 2'!AA379,"")</f>
        <v/>
      </c>
      <c r="R378" s="194" t="str">
        <f>IFERROR($P378*'Inputs Yr 2'!AB379,"")</f>
        <v/>
      </c>
      <c r="S378" s="194" t="str">
        <f>IFERROR($P378*'Inputs Yr 2'!AC379,"")</f>
        <v/>
      </c>
      <c r="T378" s="194" t="str">
        <f>IFERROR($P378*'Inputs Yr 2'!AD379,"")</f>
        <v/>
      </c>
      <c r="U378" s="194" t="str">
        <f>IFERROR(G378*'Inputs Yr 2'!$AE379*'Inputs Yr 2'!$P379*'Inputs Yr 2'!$Q379,"")</f>
        <v/>
      </c>
      <c r="V378" s="194" t="str">
        <f>IFERROR($G378*'Inputs Yr 2'!$AE379*'Inputs Yr 2'!$AG379*'Inputs Yr 2'!Q379*'Inputs Yr 2'!$S379,"")</f>
        <v/>
      </c>
      <c r="W378" s="194" t="str">
        <f>IFERROR($G378*'Inputs Yr 2'!$AE379*'Inputs Yr 2'!$AG379*'Inputs Yr 2'!P379*'Inputs Yr 2'!Q379*'Inputs Yr 2'!$S379,"")</f>
        <v/>
      </c>
      <c r="X378" s="194" t="str">
        <f>IFERROR($G378*'Inputs Yr 2'!$AE379*'Inputs Yr 2'!$AF379*'Inputs Yr 2'!Q379*'Inputs Yr 2'!$T379,"")</f>
        <v/>
      </c>
      <c r="Y378" s="194" t="str">
        <f>IFERROR($G378*'Inputs Yr 2'!$AE379*'Inputs Yr 2'!$AF379*'Inputs Yr 2'!P379*'Inputs Yr 2'!Q379*'Inputs Yr 2'!$T379,"")</f>
        <v/>
      </c>
      <c r="Z378" s="257">
        <f>IFERROR($G378*'Inputs Yr 2'!$Q379*'Inputs Yr 2'!$U379*(IF(IFERROR(SEARCH("NG", 'Inputs Yr 2'!$AJ379),0),'Inputs Yr 2'!$AK379,0)+IF(IFERROR(SEARCH("NG", 'Inputs Yr 2'!$AL379),0),'Inputs Yr 2'!$AM379,0)+IF(IFERROR(SEARCH("NG", 'Inputs Yr 2'!$AN379),0),'Inputs Yr 2'!$AO379,0)),0)</f>
        <v>0</v>
      </c>
      <c r="AA378" s="257">
        <f t="shared" si="200"/>
        <v>0</v>
      </c>
      <c r="AB378" s="257">
        <f>IFERROR(Z378*'Inputs Yr 2'!$P379,0)</f>
        <v>0</v>
      </c>
      <c r="AC378" s="257">
        <f t="shared" si="201"/>
        <v>0</v>
      </c>
      <c r="AD378" s="257">
        <f>IFERROR($G378*'Inputs Yr 2'!$Q379*'Inputs Yr 2'!$U379*(IF(IFERROR(SEARCH("Oil", 'Inputs Yr 2'!$AJ379), 0),'Inputs Yr 2'!$AK379,0)+IF(IFERROR(SEARCH("Oil", 'Inputs Yr 2'!$AL379), 0),'Inputs Yr 2'!$AM379,0)+IF(IFERROR(SEARCH("Oil", 'Inputs Yr 2'!$AN379), 0),'Inputs Yr 2'!$AO379,0)),0)</f>
        <v>0</v>
      </c>
      <c r="AE378" s="257">
        <f t="shared" si="202"/>
        <v>0</v>
      </c>
      <c r="AF378" s="257">
        <f>IFERROR(AD378*'Inputs Yr 2'!$P379,0)</f>
        <v>0</v>
      </c>
      <c r="AG378" s="257">
        <f t="shared" si="203"/>
        <v>0</v>
      </c>
      <c r="AH378" s="257">
        <f>IFERROR($G378*'Inputs Yr 2'!$Q379*'Inputs Yr 2'!$U379*(IF('Inputs Yr 2'!$AJ379=CD$4,'Inputs Yr 2'!$AK379,IF('Inputs Yr 2'!$AL379=CD$4,'Inputs Yr 2'!$AM379,IF('Inputs Yr 2'!$AN379=CD$4,'Inputs Yr 2'!$AO379,0)))),0)</f>
        <v>0</v>
      </c>
      <c r="AI378" s="257">
        <f t="shared" si="204"/>
        <v>0</v>
      </c>
      <c r="AJ378" s="257">
        <f>IFERROR(AH378*'Inputs Yr 2'!$P379,0)</f>
        <v>0</v>
      </c>
      <c r="AK378" s="257">
        <f t="shared" si="205"/>
        <v>0</v>
      </c>
      <c r="AL378" s="258">
        <f>IFERROR($G378*'Inputs Yr 2'!$P379*'Inputs Yr 2'!$Q379*'Inputs Yr 2'!AP379,0)</f>
        <v>0</v>
      </c>
      <c r="AM378" s="260">
        <f>IFERROR($G378*'Inputs Yr 2'!$P379*'Inputs Yr 2'!$Q379*'Inputs Yr 2'!AQ379,0)</f>
        <v>0</v>
      </c>
      <c r="AN378" s="258">
        <f>IFERROR($G378*'Inputs Yr 2'!$P379*'Inputs Yr 2'!$Q379*'Inputs Yr 2'!AR379,0)</f>
        <v>0</v>
      </c>
      <c r="AO378" s="257">
        <f t="shared" si="206"/>
        <v>0</v>
      </c>
      <c r="AP378" s="195" t="str">
        <f>IFERROR($CQ378*(INDEX(avoidedcosttbl2,$H378,AP$2)+(($H378-ROUNDDOWN($H378,0))*(INDEX(avoidedcosttbl2,ROUNDUP($H378,0),AP$2)-(INDEX(avoidedcosttbl2,ROUNDDOWN($H378,0),AP$2)))))*$O378*1000*'Inputs Yr 2'!AA379,"")</f>
        <v/>
      </c>
      <c r="AQ378" s="195" t="str">
        <f>IFERROR($CR378*(INDEX(avoidedcosttbl2,$H378,AQ$2)+(($H378-ROUNDDOWN($H378,0))*(INDEX(avoidedcosttbl2,ROUNDUP($H378,0),AQ$2)-(INDEX(avoidedcosttbl2,ROUNDDOWN($H378,0),AQ$2)))))*$O378*1000*'Inputs Yr 2'!AB379,"")</f>
        <v/>
      </c>
      <c r="AR378" s="195" t="str">
        <f>IFERROR($CS378*(INDEX(avoidedcosttbl2,$H378,AR$2)+(($H378-ROUNDDOWN($H378,0))*(INDEX(avoidedcosttbl2,ROUNDUP($H378,0),AR$2)-(INDEX(avoidedcosttbl2,ROUNDDOWN($H378,0),AR$2)))))*$O378*1000*'Inputs Yr 2'!AC379,"")</f>
        <v/>
      </c>
      <c r="AS378" s="195" t="str">
        <f>IFERROR($CT378*(INDEX(avoidedcosttbl2,$H378,AS$2)+(($H378-ROUNDDOWN($H378,0))*(INDEX(avoidedcosttbl2,ROUNDUP($H378,0),AS$2)-(INDEX(avoidedcosttbl2,ROUNDDOWN($H378,0),AS$2)))))*$O378*1000*'Inputs Yr 2'!AD379,"")</f>
        <v/>
      </c>
      <c r="AT378" s="196">
        <f t="shared" si="207"/>
        <v>0</v>
      </c>
      <c r="AU378" s="197" t="str">
        <f>IFERROR($CQ378*((INDEX(avoidedcosttbl2,$H378,AU$2))+(($H378-ROUNDDOWN($H378,0))*((INDEX(avoidedcosttbl2,ROUNDUP($H378,0),AU$2))-(INDEX(avoidedcosttbl2,ROUNDDOWN($H378,0),AU$2)))))*$O378*1000*'Inputs Yr 2'!AA379,"")</f>
        <v/>
      </c>
      <c r="AV378" s="197" t="str">
        <f>IFERROR($CR378*((INDEX(avoidedcosttbl2,$H378,AV$2))+(($H378-ROUNDDOWN($H378,0))*((INDEX(avoidedcosttbl2,ROUNDUP($H378,0),AV$2))-(INDEX(avoidedcosttbl2,ROUNDDOWN($H378,0),AV$2)))))*$O378*1000*'Inputs Yr 2'!AB379,"")</f>
        <v/>
      </c>
      <c r="AW378" s="197" t="str">
        <f>IFERROR($CS378*((INDEX(avoidedcosttbl2,$H378,AW$2))+(($H378-ROUNDDOWN($H378,0))*((INDEX(avoidedcosttbl2,ROUNDUP($H378,0),AW$2))-(INDEX(avoidedcosttbl2,ROUNDDOWN($H378,0),AW$2)))))*$O378*1000*'Inputs Yr 2'!AC379,"")</f>
        <v/>
      </c>
      <c r="AX378" s="197" t="str">
        <f>IFERROR($CT378*((INDEX(avoidedcosttbl2,$H378,AX$2))+(($H378-ROUNDDOWN($H378,0))*((INDEX(avoidedcosttbl2,ROUNDUP($H378,0),AX$2))-(INDEX(avoidedcosttbl2,ROUNDDOWN($H378,0),AX$2)))))*$O378*1000*'Inputs Yr 2'!AD379,"")</f>
        <v/>
      </c>
      <c r="AY378" s="197" t="str">
        <f>IFERROR(((INDEX(avoidedcosttbl2,$H378,AY$2))+(($H378-ROUNDDOWN($H378,0))*((INDEX(avoidedcosttbl2,ROUNDUP($H378,0),AY$2))-(INDEX(avoidedcosttbl2,ROUNDDOWN($H378,0),AY$2)))))*$O378*1000*('Inputs Yr 2'!AC379+'Inputs Yr 2'!AD379),"")</f>
        <v/>
      </c>
      <c r="AZ378" s="197" t="str">
        <f>IFERROR(((INDEX(avoidedcosttbl2,$H378,AZ$2))+(($H378-ROUNDDOWN($H378,0))*((INDEX(avoidedcosttbl2,ROUNDUP($H378,0),AZ$2))-(INDEX(avoidedcosttbl2,ROUNDDOWN($H378,0),AZ$2)))))*$O378*1000*('Inputs Yr 2'!AA379+'Inputs Yr 2'!AB379),"")</f>
        <v/>
      </c>
      <c r="BA378" s="198">
        <f t="shared" si="208"/>
        <v>0</v>
      </c>
      <c r="BB378" s="198">
        <f t="shared" si="209"/>
        <v>0</v>
      </c>
      <c r="BC378" s="195" t="str">
        <f t="shared" si="210"/>
        <v/>
      </c>
      <c r="BD378" s="195" t="str">
        <f t="shared" si="211"/>
        <v/>
      </c>
      <c r="BE378" s="195" t="str">
        <f t="shared" si="212"/>
        <v/>
      </c>
      <c r="BF378" s="195" t="str">
        <f t="shared" si="213"/>
        <v/>
      </c>
      <c r="BG378" s="195" t="str">
        <f t="shared" si="214"/>
        <v/>
      </c>
      <c r="BH378" s="196">
        <f t="shared" si="215"/>
        <v>0</v>
      </c>
      <c r="BI378" s="196">
        <f t="shared" si="216"/>
        <v>0</v>
      </c>
      <c r="BJ378" s="195" t="str">
        <f>IFERROR($G378*(IF('Inputs Yr 2'!$AJ379=BJ$4,'Inputs Yr 2'!$AK379,IF('Inputs Yr 2'!$AL379=BJ$4,'Inputs Yr 2'!$AM379,IF('Inputs Yr 2'!$AN379=BJ$4,'Inputs Yr 2'!$AO379,0))))*(INDEX(avoidedcosttbl2,$H378,BJ$2)+(($H378-ROUNDDOWN($H378,0))*(INDEX(avoidedcosttbl2,ROUNDUP($H378,0),BJ$2)-(INDEX(avoidedcosttbl2,ROUNDDOWN($H378,0),BJ$2)))))*'Inputs Yr 2'!P379*'Inputs Yr 2'!Q379*'Inputs Yr 2'!U379,"")</f>
        <v/>
      </c>
      <c r="BK378" s="195" t="str">
        <f>IFERROR($G378*(IF('Inputs Yr 2'!$AJ379=BK$4,'Inputs Yr 2'!$AK379,IF('Inputs Yr 2'!$AL379=BK$4,'Inputs Yr 2'!$AM379,IF('Inputs Yr 2'!$AN379=BK$4,'Inputs Yr 2'!$AO379,0))))*(INDEX(avoidedcosttbl2,$H378,BK$2)+(($H378-ROUNDDOWN($H378,0))*(INDEX(avoidedcosttbl2,ROUNDUP($H378,0),BK$2)-(INDEX(avoidedcosttbl2,ROUNDDOWN($H378,0),BK$2)))))*'Inputs Yr 2'!P379*'Inputs Yr 2'!Q379*'Inputs Yr 2'!U379,"")</f>
        <v/>
      </c>
      <c r="BL378" s="195" t="str">
        <f>IFERROR($G378*(IF('Inputs Yr 2'!$AJ379=BL$4,'Inputs Yr 2'!$AK379,IF('Inputs Yr 2'!$AL379=BL$4,'Inputs Yr 2'!$AM379,IF('Inputs Yr 2'!$AN379=BL$4,'Inputs Yr 2'!$AO379,0))))*(INDEX(avoidedcosttbl2,$H378,BL$2)+(($H378-ROUNDDOWN($H378,0))*(INDEX(avoidedcosttbl2,ROUNDUP($H378,0),BL$2)-(INDEX(avoidedcosttbl2,ROUNDDOWN($H378,0),BL$2)))))*'Inputs Yr 2'!P379*'Inputs Yr 2'!Q379*'Inputs Yr 2'!U379,"")</f>
        <v/>
      </c>
      <c r="BM378" s="195" t="str">
        <f>IFERROR($G378*(IF('Inputs Yr 2'!$AJ379=BM$4,'Inputs Yr 2'!$AK379,IF('Inputs Yr 2'!$AL379=BM$4,'Inputs Yr 2'!$AM379,IF('Inputs Yr 2'!$AN379=BM$4,'Inputs Yr 2'!$AO379,0))))*(INDEX(avoidedcosttbl2,$H378,BM$2)+(($H378-ROUNDDOWN($H378,0))*(INDEX(avoidedcosttbl2,ROUNDUP($H378,0),BM$2)-(INDEX(avoidedcosttbl2,ROUNDDOWN($H378,0),BM$2)))))*'Inputs Yr 2'!P379*'Inputs Yr 2'!Q379*'Inputs Yr 2'!U379,"")</f>
        <v/>
      </c>
      <c r="BN378" s="195" t="str">
        <f>IFERROR($G378*(IF('Inputs Yr 2'!$AJ379=BN$4,'Inputs Yr 2'!$AK379,IF('Inputs Yr 2'!$AL379=BN$4,'Inputs Yr 2'!$AM379,IF('Inputs Yr 2'!$AN379=BN$4,'Inputs Yr 2'!$AO379,0))))*(INDEX(avoidedcosttbl2,$H378,BN$2)+(($H378-ROUNDDOWN($H378,0))*(INDEX(avoidedcosttbl2,ROUNDUP($H378,0),BN$2)-(INDEX(avoidedcosttbl2,ROUNDDOWN($H378,0),BN$2)))))*'Inputs Yr 2'!P379*'Inputs Yr 2'!Q379*'Inputs Yr 2'!U379,"")</f>
        <v/>
      </c>
      <c r="BO378" s="195" t="str">
        <f>IFERROR($G378*(IF('Inputs Yr 2'!$AJ379=BO$4,'Inputs Yr 2'!$AK379,IF('Inputs Yr 2'!$AL379=BO$4,'Inputs Yr 2'!$AM379,IF('Inputs Yr 2'!$AN379=BO$4,'Inputs Yr 2'!$AO379,0))))*(INDEX(avoidedcosttbl2,$H378,BO$2)+(($H378-ROUNDDOWN($H378,0))*(INDEX(avoidedcosttbl2,ROUNDUP($H378,0),BO$2)-(INDEX(avoidedcosttbl2,ROUNDDOWN($H378,0),BO$2)))))*'Inputs Yr 2'!P379*'Inputs Yr 2'!Q379*'Inputs Yr 2'!U379,"")</f>
        <v/>
      </c>
      <c r="BP378" s="195" t="str">
        <f>IFERROR($G378*(IF('Inputs Yr 2'!$AJ379=BP$4,'Inputs Yr 2'!$AK379,IF('Inputs Yr 2'!$AL379=BP$4,'Inputs Yr 2'!$AM379,IF('Inputs Yr 2'!$AN379=BP$4,'Inputs Yr 2'!$AO379,0))))*(INDEX(avoidedcosttbl2,$H378,BP$2)+(($H378-ROUNDDOWN($H378,0))*(INDEX(avoidedcosttbl2,ROUNDUP($H378,0),BP$2)-(INDEX(avoidedcosttbl2,ROUNDDOWN($H378,0),BP$2)))))*'Inputs Yr 2'!P379*'Inputs Yr 2'!Q379*'Inputs Yr 2'!U379,"")</f>
        <v/>
      </c>
      <c r="BQ378" s="230">
        <f t="shared" si="217"/>
        <v>0</v>
      </c>
      <c r="BR378" s="197" t="str">
        <f t="shared" si="218"/>
        <v/>
      </c>
      <c r="BS378" s="197" t="str">
        <f>IFERROR(($G378*IF('Inputs Yr 2'!$AJ379=BM$4,'Inputs Yr 2'!$AK379,IF('Inputs Yr 2'!$AL379=BM$4,'Inputs Yr 2'!$AM379,IF('Inputs Yr 2'!$AN379=BM$4,'Inputs Yr 2'!$AO379,0))))*(INDEX(avoidedcosttbl2,$H378,BS$2)+(($H378-ROUNDDOWN($H378,0))*(INDEX(avoidedcosttbl2,ROUNDUP($H378,0),BS$2)-(INDEX(avoidedcosttbl2,ROUNDDOWN($H378,0),BS$2)))))*'Inputs Yr 2'!P379*'Inputs Yr 2'!Q379*'Inputs Yr 2'!U379,"")</f>
        <v/>
      </c>
      <c r="BT378" s="197" t="str">
        <f>IFERROR(($G378*IF('Inputs Yr 2'!$AJ379=BK$4,'Inputs Yr 2'!$AK379,IF('Inputs Yr 2'!$AL379=BK$4,'Inputs Yr 2'!$AM379,IF('Inputs Yr 2'!$AN379=BK$4,'Inputs Yr 2'!$AO379,0))))*(INDEX(avoidedcosttbl2,$H378,BT$2)+(($H378-ROUNDDOWN($H378,0))*(INDEX(avoidedcosttbl2,ROUNDUP($H378,0),BT$2)-(INDEX(avoidedcosttbl2,ROUNDDOWN($H378,0),BT$2)))))*'Inputs Yr 2'!P379*'Inputs Yr 2'!Q379*'Inputs Yr 2'!U379,"")</f>
        <v/>
      </c>
      <c r="BU378" s="197" t="str">
        <f>IFERROR(($G378*IF('Inputs Yr 2'!$AJ379=BL$4,'Inputs Yr 2'!$AK379,IF('Inputs Yr 2'!$AL379=BL$4,'Inputs Yr 2'!$AM379,IF('Inputs Yr 2'!$AN379=BL$4,'Inputs Yr 2'!$AO379,0))))*(INDEX(avoidedcosttbl2,$H378,BU$2)+(($H378-ROUNDDOWN($H378,0))*(INDEX(avoidedcosttbl2,ROUNDUP($H378,0),BU$2)-(INDEX(avoidedcosttbl2,ROUNDDOWN($H378,0),BU$2)))))*'Inputs Yr 2'!P379*'Inputs Yr 2'!Q379*'Inputs Yr 2'!U379,"")</f>
        <v/>
      </c>
      <c r="BV378" s="775" t="str">
        <f>IFERROR(($G378*IF('Inputs Yr 2'!$AJ379=BJ$4,'Inputs Yr 2'!$AK379,IF('Inputs Yr 2'!$AL379=BJ$4,'Inputs Yr 2'!$AM379,IF('Inputs Yr 2'!$AN379=BJ$4,'Inputs Yr 2'!$AO379,0))))*(INDEX(avoidedcosttbl2,$H378,BV$2)+(($H378-ROUNDDOWN($H378,0))*(INDEX(avoidedcosttbl2,ROUNDUP($H378,0),BV$2)-(INDEX(avoidedcosttbl2,ROUNDDOWN($H378,0),BV$2)))))*'Inputs Yr 2'!P379*'Inputs Yr 2'!Q379*'Inputs Yr 2'!U379,"")</f>
        <v/>
      </c>
      <c r="BW378" s="197" t="str">
        <f>IFERROR(($G378*IF('Inputs Yr 2'!$AJ379=BN$4,'Inputs Yr 2'!$AK379,IF('Inputs Yr 2'!$AL379=BN$4,'Inputs Yr 2'!$AM379,IF('Inputs Yr 2'!$AN379=BN$4,'Inputs Yr 2'!$AO379,0))))*(INDEX(avoidedcosttbl2,$H378,BW$2)+(($H378-ROUNDDOWN($H378,0))*(INDEX(avoidedcosttbl2,ROUNDUP($H378,0),BW$2)-(INDEX(avoidedcosttbl2,ROUNDDOWN($H378,0),BW$2)))))*'Inputs Yr 2'!P379*'Inputs Yr 2'!Q379*'Inputs Yr 2'!U379,"")</f>
        <v/>
      </c>
      <c r="BX378" s="197" t="str">
        <f>IFERROR(($G378*IF('Inputs Yr 2'!$AJ379=BO$4,'Inputs Yr 2'!$AK379,IF('Inputs Yr 2'!$AL379=BO$4,'Inputs Yr 2'!$AM379,IF('Inputs Yr 2'!$AN379=BO$4,'Inputs Yr 2'!$AO379,0))))*(INDEX(avoidedcosttbl2,$H378,BX$2)+(($H378-ROUNDDOWN($H378,0))*(INDEX(avoidedcosttbl2,ROUNDUP($H378,0),BX$2)-(INDEX(avoidedcosttbl2,ROUNDDOWN($H378,0),BX$2)))))*'Inputs Yr 2'!P379*'Inputs Yr 2'!Q379*'Inputs Yr 2'!U379,"")</f>
        <v/>
      </c>
      <c r="BY378" s="197" t="str">
        <f>IFERROR(($G378*IF('Inputs Yr 2'!$AJ379=BP$4,'Inputs Yr 2'!$AK379,IF('Inputs Yr 2'!$AL379=BP$4,'Inputs Yr 2'!$AM379,IF('Inputs Yr 2'!$AN379=BP$4,'Inputs Yr 2'!$AO379,0))))*(INDEX(avoidedcosttbl2,$H378,BY$2)+(($H378-ROUNDDOWN($H378,0))*(INDEX(avoidedcosttbl2,ROUNDUP($H378,0),BY$2)-(INDEX(avoidedcosttbl2,ROUNDDOWN($H378,0),BY$2)))))*'Inputs Yr 2'!P379*'Inputs Yr 2'!Q379*'Inputs Yr 2'!U379,"")</f>
        <v/>
      </c>
      <c r="BZ378" s="193">
        <f t="shared" si="219"/>
        <v>0</v>
      </c>
      <c r="CA378" s="193">
        <f t="shared" si="220"/>
        <v>0</v>
      </c>
      <c r="CB378" s="195" t="str">
        <f>IFERROR(G378*(IF('Inputs Yr 2'!$AJ379=CB$4,'Inputs Yr 2'!$AK379,IF('Inputs Yr 2'!$AL379=CB$4,'Inputs Yr 2'!$AM379,IF('Inputs Yr 2'!$AN379=CB$4,'Inputs Yr 2'!$AO379,0))))*(INDEX(avoidedcosttbl2,$H378,CB$2)+(($H378-ROUNDDOWN($H378,0))*(INDEX(avoidedcosttbl2,ROUNDUP($H378,0),CB$2)-(INDEX(avoidedcosttbl2,ROUNDDOWN($H378,0),CB$2)))))*'Inputs Yr 2'!P379*'Inputs Yr 2'!Q379*'Inputs Yr 2'!U379,"")</f>
        <v/>
      </c>
      <c r="CC378" s="195" t="str">
        <f>IFERROR(H378*(IF('Inputs Yr 2'!$AJ379=CC$4,'Inputs Yr 2'!$AK379,IF('Inputs Yr 2'!$AL379=CC$4,'Inputs Yr 2'!$AM379,IF('Inputs Yr 2'!$AN379=CC$4,'Inputs Yr 2'!$AO379,0))))*(INDEX(avoidedcosttbl2,$H378,CC$2)+(($H378-ROUNDDOWN($H378,0))*(INDEX(avoidedcosttbl2,ROUNDUP($H378,0),CC$2)-(INDEX(avoidedcosttbl2,ROUNDDOWN($H378,0),CC$2)))))*'Inputs Yr 2'!Q379*'Inputs Yr 2'!R379*'Inputs Yr 2'!V379,"")</f>
        <v/>
      </c>
      <c r="CD378" s="195" t="str">
        <f>IFERROR(I378*(IF('Inputs Yr 2'!$AJ379=CD$4,'Inputs Yr 2'!$AK379,IF('Inputs Yr 2'!$AL379=CD$4,'Inputs Yr 2'!$AM379,IF('Inputs Yr 2'!$AN379=CD$4,'Inputs Yr 2'!$AO379,0))))*(INDEX(avoidedcosttbl2,$H378,CD$2)+(($H378-ROUNDDOWN($H378,0))*(INDEX(avoidedcosttbl2,ROUNDUP($H378,0),CD$2)-(INDEX(avoidedcosttbl2,ROUNDDOWN($H378,0),CD$2)))))*'Inputs Yr 2'!R379*'Inputs Yr 2'!S379*'Inputs Yr 2'!W379,"")</f>
        <v/>
      </c>
      <c r="CE378" s="213" t="str">
        <f t="shared" si="221"/>
        <v/>
      </c>
      <c r="CF378" s="213" t="str">
        <f t="shared" si="222"/>
        <v/>
      </c>
      <c r="CG378" s="213" t="str">
        <f t="shared" si="223"/>
        <v/>
      </c>
      <c r="CH378" s="698">
        <f t="shared" si="224"/>
        <v>0</v>
      </c>
      <c r="CI378" s="79" t="str">
        <f>IFERROR(($G378*'Inputs Yr 2'!$P379*'Inputs Yr 2'!$Q379*(((INDEX(avoidedcosttbl2,$H378,CI$2)+(($H378-ROUNDDOWN($H378,0))*(INDEX(avoidedcosttbl2,ROUNDUP($H378,0),CI$2)-INDEX(avoidedcosttbl2,ROUNDDOWN($H378,0),CI$2))))*'Inputs Yr 2'!AS379))),"")</f>
        <v/>
      </c>
      <c r="CJ378" s="504" t="str">
        <f>IFERROR($G378*'Inputs Yr 2'!AT379*'Inputs Yr 2'!$P379*'Inputs Yr 2'!$Q379/((1+realdiscrt1)^-0.5),"")</f>
        <v/>
      </c>
      <c r="CK378" s="79" t="str">
        <f>IFERROR((O378*1000*(((INDEX(avoidedcosttbl2,$H378,CK$2)+(($H378-ROUNDDOWN($H378,0))*(INDEX(avoidedcosttbl2,ROUNDUP($H378,0),CK$2)-INDEX(avoidedcosttbl2,ROUNDDOWN($H378,0),CK$2))))*'Inputs Yr 2'!AU379))),"")</f>
        <v/>
      </c>
      <c r="CL378" s="504" t="str">
        <f>IFERROR(O378*1000*'Inputs Yr 2'!AV379/((1+realdiscrt1)^-0.5),"")</f>
        <v/>
      </c>
      <c r="CM378" s="79" t="str">
        <f>IFERROR((AB378*'Inputs Yr 2'!AW379*(((INDEX(avoidedcosttbl2,$H378,CM$2)+(($H378-ROUNDDOWN($H378,0))*(INDEX(avoidedcosttbl2,ROUNDUP($H378,0),CM$2)-INDEX(avoidedcosttbl2,ROUNDDOWN($H378,0),CM$2)))))))*10,"")</f>
        <v/>
      </c>
      <c r="CN378" s="504">
        <f>IFERROR(10*AB378*'Inputs Yr 2'!AX379/((1+realdiscrt1)^-0.5),"")</f>
        <v>0</v>
      </c>
      <c r="CO378" s="505">
        <f t="shared" si="225"/>
        <v>0</v>
      </c>
      <c r="CP378" s="230">
        <f t="shared" si="226"/>
        <v>0</v>
      </c>
      <c r="CQ378" s="199">
        <f>ROUND(IFERROR(IF(LEFT($A378,1)="C",'Avoided Costs'!$K$13,'Avoided Costs'!$K$12)+1,""),4)</f>
        <v>1.0720000000000001</v>
      </c>
      <c r="CR378" s="199">
        <f>ROUND(IFERROR(IF(LEFT($A378,1)="C",'Avoided Costs'!$L$13,'Avoided Costs'!$L$12)+1,""),4)</f>
        <v>1.04</v>
      </c>
      <c r="CS378" s="199">
        <f>ROUND(IFERROR(IF(LEFT($A378,1)="C",'Avoided Costs'!$M$13,'Avoided Costs'!$M$12)+1,""),4)</f>
        <v>1.0720000000000001</v>
      </c>
      <c r="CT378" s="199">
        <f>ROUND(IFERROR(IF(LEFT($A378,1)="C",'Avoided Costs'!$N$13,'Avoided Costs'!$N$12)+1,""),4)</f>
        <v>1.04</v>
      </c>
      <c r="CU378" s="199">
        <f>ROUND(IFERROR(IF(LEFT($A378,1)="C",'Avoided Costs'!$O$13,'Avoided Costs'!$O$12)+1,""),4)</f>
        <v>1.1120000000000001</v>
      </c>
      <c r="CV378" s="199">
        <f>ROUND(IFERROR(IF(LEFT($A378,1)="C",'Avoided Costs'!$P$13,'Avoided Costs'!$P$12)+1,""),4)</f>
        <v>1.095</v>
      </c>
      <c r="CW378" s="199">
        <f>ROUND(IFERROR(IF(LEFT($A378,1)="C",'Avoided Costs'!$Q$13,'Avoided Costs'!$Q$12)+1,""),4)</f>
        <v>1.1120000000000001</v>
      </c>
      <c r="CX378" s="200">
        <f>ROUND(IFERROR(IF(LEFT($A378,1)="C",'Avoided Costs'!$R$13,'Avoided Costs'!$R$12)+1,""),4)</f>
        <v>1.1120000000000001</v>
      </c>
    </row>
    <row r="379" spans="1:102" s="128" customFormat="1" ht="12.75" customHeight="1">
      <c r="A379" s="91" t="str">
        <f>IF('Inputs Yr 2'!$B416=0,"",'Inputs Yr 2'!A416)</f>
        <v/>
      </c>
      <c r="B379" s="91" t="str">
        <f>IF('Inputs Yr 2'!$B416=0,"",'Inputs Yr 2'!B416)</f>
        <v/>
      </c>
      <c r="C379" s="91" t="str">
        <f>IF('Inputs Yr 2'!$B380=0,"",'Inputs Yr 2'!C380)</f>
        <v/>
      </c>
      <c r="D379" s="91" t="str">
        <f>IF('Inputs Yr 2'!$B380=0,"",'Inputs Yr 2'!E380)</f>
        <v/>
      </c>
      <c r="E379" s="93" t="str">
        <f>IF('Inputs Yr 2'!$B380=0,"",'Inputs Yr 2'!F380)</f>
        <v/>
      </c>
      <c r="F379" s="93" t="str">
        <f>IF('Inputs Yr 2'!$B380=0,"",'Inputs Yr 2'!G380)</f>
        <v/>
      </c>
      <c r="G379" s="95" t="str">
        <f>IF('Inputs Yr 2'!$H380&lt;&gt;0,('Inputs Yr 2'!H380),"")</f>
        <v/>
      </c>
      <c r="H379" s="94">
        <f>IFERROR('Inputs Yr 2'!I380,"")</f>
        <v>0</v>
      </c>
      <c r="I379" s="298" t="str">
        <f>IFERROR('Inputs Yr 2'!J380*'Inputs Yr 2'!P380*G379,"")</f>
        <v/>
      </c>
      <c r="J379" s="298" t="str">
        <f>IFERROR('Inputs Yr 2'!K380*G379,"")</f>
        <v/>
      </c>
      <c r="K379" s="298" t="str">
        <f t="shared" si="197"/>
        <v/>
      </c>
      <c r="L379" s="194" t="str">
        <f>IFERROR(('Inputs Yr 2'!W380*G379)/1000,"")</f>
        <v/>
      </c>
      <c r="M379" s="194" t="str">
        <f>IFERROR(L379*('Inputs Yr 2'!$Q380*'Inputs Yr 2'!$V380*'Inputs Yr 2'!$R380),"")</f>
        <v/>
      </c>
      <c r="N379" s="194" t="str">
        <f t="shared" si="198"/>
        <v/>
      </c>
      <c r="O379" s="194" t="str">
        <f>IFERROR(M379*'Inputs Yr 2'!P380,"")</f>
        <v/>
      </c>
      <c r="P379" s="194" t="str">
        <f t="shared" si="199"/>
        <v/>
      </c>
      <c r="Q379" s="194" t="str">
        <f>IFERROR($P379*'Inputs Yr 2'!AA380,"")</f>
        <v/>
      </c>
      <c r="R379" s="194" t="str">
        <f>IFERROR($P379*'Inputs Yr 2'!AB380,"")</f>
        <v/>
      </c>
      <c r="S379" s="194" t="str">
        <f>IFERROR($P379*'Inputs Yr 2'!AC380,"")</f>
        <v/>
      </c>
      <c r="T379" s="194" t="str">
        <f>IFERROR($P379*'Inputs Yr 2'!AD380,"")</f>
        <v/>
      </c>
      <c r="U379" s="194" t="str">
        <f>IFERROR(G379*'Inputs Yr 2'!$AE380*'Inputs Yr 2'!$P380*'Inputs Yr 2'!$Q380,"")</f>
        <v/>
      </c>
      <c r="V379" s="194" t="str">
        <f>IFERROR($G379*'Inputs Yr 2'!$AE380*'Inputs Yr 2'!$AG380*'Inputs Yr 2'!Q380*'Inputs Yr 2'!$S380,"")</f>
        <v/>
      </c>
      <c r="W379" s="194" t="str">
        <f>IFERROR($G379*'Inputs Yr 2'!$AE380*'Inputs Yr 2'!$AG380*'Inputs Yr 2'!P380*'Inputs Yr 2'!Q380*'Inputs Yr 2'!$S380,"")</f>
        <v/>
      </c>
      <c r="X379" s="194" t="str">
        <f>IFERROR($G379*'Inputs Yr 2'!$AE380*'Inputs Yr 2'!$AF380*'Inputs Yr 2'!Q380*'Inputs Yr 2'!$T380,"")</f>
        <v/>
      </c>
      <c r="Y379" s="194" t="str">
        <f>IFERROR($G379*'Inputs Yr 2'!$AE380*'Inputs Yr 2'!$AF380*'Inputs Yr 2'!P380*'Inputs Yr 2'!Q380*'Inputs Yr 2'!$T380,"")</f>
        <v/>
      </c>
      <c r="Z379" s="257">
        <f>IFERROR($G379*'Inputs Yr 2'!$Q380*'Inputs Yr 2'!$U380*(IF(IFERROR(SEARCH("NG", 'Inputs Yr 2'!$AJ380),0),'Inputs Yr 2'!$AK380,0)+IF(IFERROR(SEARCH("NG", 'Inputs Yr 2'!$AL380),0),'Inputs Yr 2'!$AM380,0)+IF(IFERROR(SEARCH("NG", 'Inputs Yr 2'!$AN380),0),'Inputs Yr 2'!$AO380,0)),0)</f>
        <v>0</v>
      </c>
      <c r="AA379" s="257">
        <f t="shared" si="200"/>
        <v>0</v>
      </c>
      <c r="AB379" s="257">
        <f>IFERROR(Z379*'Inputs Yr 2'!$P380,0)</f>
        <v>0</v>
      </c>
      <c r="AC379" s="257">
        <f t="shared" si="201"/>
        <v>0</v>
      </c>
      <c r="AD379" s="257">
        <f>IFERROR($G379*'Inputs Yr 2'!$Q380*'Inputs Yr 2'!$U380*(IF(IFERROR(SEARCH("Oil", 'Inputs Yr 2'!$AJ380), 0),'Inputs Yr 2'!$AK380,0)+IF(IFERROR(SEARCH("Oil", 'Inputs Yr 2'!$AL380), 0),'Inputs Yr 2'!$AM380,0)+IF(IFERROR(SEARCH("Oil", 'Inputs Yr 2'!$AN380), 0),'Inputs Yr 2'!$AO380,0)),0)</f>
        <v>0</v>
      </c>
      <c r="AE379" s="257">
        <f t="shared" si="202"/>
        <v>0</v>
      </c>
      <c r="AF379" s="257">
        <f>IFERROR(AD379*'Inputs Yr 2'!$P380,0)</f>
        <v>0</v>
      </c>
      <c r="AG379" s="257">
        <f t="shared" si="203"/>
        <v>0</v>
      </c>
      <c r="AH379" s="257">
        <f>IFERROR($G379*'Inputs Yr 2'!$Q380*'Inputs Yr 2'!$U380*(IF('Inputs Yr 2'!$AJ380=CD$4,'Inputs Yr 2'!$AK380,IF('Inputs Yr 2'!$AL380=CD$4,'Inputs Yr 2'!$AM380,IF('Inputs Yr 2'!$AN380=CD$4,'Inputs Yr 2'!$AO380,0)))),0)</f>
        <v>0</v>
      </c>
      <c r="AI379" s="257">
        <f t="shared" si="204"/>
        <v>0</v>
      </c>
      <c r="AJ379" s="257">
        <f>IFERROR(AH379*'Inputs Yr 2'!$P380,0)</f>
        <v>0</v>
      </c>
      <c r="AK379" s="257">
        <f t="shared" si="205"/>
        <v>0</v>
      </c>
      <c r="AL379" s="258">
        <f>IFERROR($G379*'Inputs Yr 2'!$P380*'Inputs Yr 2'!$Q380*'Inputs Yr 2'!AP380,0)</f>
        <v>0</v>
      </c>
      <c r="AM379" s="260">
        <f>IFERROR($G379*'Inputs Yr 2'!$P380*'Inputs Yr 2'!$Q380*'Inputs Yr 2'!AQ380,0)</f>
        <v>0</v>
      </c>
      <c r="AN379" s="258">
        <f>IFERROR($G379*'Inputs Yr 2'!$P380*'Inputs Yr 2'!$Q380*'Inputs Yr 2'!AR380,0)</f>
        <v>0</v>
      </c>
      <c r="AO379" s="257">
        <f t="shared" si="206"/>
        <v>0</v>
      </c>
      <c r="AP379" s="195" t="str">
        <f>IFERROR($CQ379*(INDEX(avoidedcosttbl2,$H379,AP$2)+(($H379-ROUNDDOWN($H379,0))*(INDEX(avoidedcosttbl2,ROUNDUP($H379,0),AP$2)-(INDEX(avoidedcosttbl2,ROUNDDOWN($H379,0),AP$2)))))*$O379*1000*'Inputs Yr 2'!AA380,"")</f>
        <v/>
      </c>
      <c r="AQ379" s="195" t="str">
        <f>IFERROR($CR379*(INDEX(avoidedcosttbl2,$H379,AQ$2)+(($H379-ROUNDDOWN($H379,0))*(INDEX(avoidedcosttbl2,ROUNDUP($H379,0),AQ$2)-(INDEX(avoidedcosttbl2,ROUNDDOWN($H379,0),AQ$2)))))*$O379*1000*'Inputs Yr 2'!AB380,"")</f>
        <v/>
      </c>
      <c r="AR379" s="195" t="str">
        <f>IFERROR($CS379*(INDEX(avoidedcosttbl2,$H379,AR$2)+(($H379-ROUNDDOWN($H379,0))*(INDEX(avoidedcosttbl2,ROUNDUP($H379,0),AR$2)-(INDEX(avoidedcosttbl2,ROUNDDOWN($H379,0),AR$2)))))*$O379*1000*'Inputs Yr 2'!AC380,"")</f>
        <v/>
      </c>
      <c r="AS379" s="195" t="str">
        <f>IFERROR($CT379*(INDEX(avoidedcosttbl2,$H379,AS$2)+(($H379-ROUNDDOWN($H379,0))*(INDEX(avoidedcosttbl2,ROUNDUP($H379,0),AS$2)-(INDEX(avoidedcosttbl2,ROUNDDOWN($H379,0),AS$2)))))*$O379*1000*'Inputs Yr 2'!AD380,"")</f>
        <v/>
      </c>
      <c r="AT379" s="196">
        <f t="shared" si="207"/>
        <v>0</v>
      </c>
      <c r="AU379" s="197" t="str">
        <f>IFERROR($CQ379*((INDEX(avoidedcosttbl2,$H379,AU$2))+(($H379-ROUNDDOWN($H379,0))*((INDEX(avoidedcosttbl2,ROUNDUP($H379,0),AU$2))-(INDEX(avoidedcosttbl2,ROUNDDOWN($H379,0),AU$2)))))*$O379*1000*'Inputs Yr 2'!AA380,"")</f>
        <v/>
      </c>
      <c r="AV379" s="197" t="str">
        <f>IFERROR($CR379*((INDEX(avoidedcosttbl2,$H379,AV$2))+(($H379-ROUNDDOWN($H379,0))*((INDEX(avoidedcosttbl2,ROUNDUP($H379,0),AV$2))-(INDEX(avoidedcosttbl2,ROUNDDOWN($H379,0),AV$2)))))*$O379*1000*'Inputs Yr 2'!AB380,"")</f>
        <v/>
      </c>
      <c r="AW379" s="197" t="str">
        <f>IFERROR($CS379*((INDEX(avoidedcosttbl2,$H379,AW$2))+(($H379-ROUNDDOWN($H379,0))*((INDEX(avoidedcosttbl2,ROUNDUP($H379,0),AW$2))-(INDEX(avoidedcosttbl2,ROUNDDOWN($H379,0),AW$2)))))*$O379*1000*'Inputs Yr 2'!AC380,"")</f>
        <v/>
      </c>
      <c r="AX379" s="197" t="str">
        <f>IFERROR($CT379*((INDEX(avoidedcosttbl2,$H379,AX$2))+(($H379-ROUNDDOWN($H379,0))*((INDEX(avoidedcosttbl2,ROUNDUP($H379,0),AX$2))-(INDEX(avoidedcosttbl2,ROUNDDOWN($H379,0),AX$2)))))*$O379*1000*'Inputs Yr 2'!AD380,"")</f>
        <v/>
      </c>
      <c r="AY379" s="197" t="str">
        <f>IFERROR(((INDEX(avoidedcosttbl2,$H379,AY$2))+(($H379-ROUNDDOWN($H379,0))*((INDEX(avoidedcosttbl2,ROUNDUP($H379,0),AY$2))-(INDEX(avoidedcosttbl2,ROUNDDOWN($H379,0),AY$2)))))*$O379*1000*('Inputs Yr 2'!AC380+'Inputs Yr 2'!AD380),"")</f>
        <v/>
      </c>
      <c r="AZ379" s="197" t="str">
        <f>IFERROR(((INDEX(avoidedcosttbl2,$H379,AZ$2))+(($H379-ROUNDDOWN($H379,0))*((INDEX(avoidedcosttbl2,ROUNDUP($H379,0),AZ$2))-(INDEX(avoidedcosttbl2,ROUNDDOWN($H379,0),AZ$2)))))*$O379*1000*('Inputs Yr 2'!AA380+'Inputs Yr 2'!AB380),"")</f>
        <v/>
      </c>
      <c r="BA379" s="198">
        <f t="shared" si="208"/>
        <v>0</v>
      </c>
      <c r="BB379" s="198">
        <f t="shared" si="209"/>
        <v>0</v>
      </c>
      <c r="BC379" s="195" t="str">
        <f t="shared" si="210"/>
        <v/>
      </c>
      <c r="BD379" s="195" t="str">
        <f t="shared" si="211"/>
        <v/>
      </c>
      <c r="BE379" s="195" t="str">
        <f t="shared" si="212"/>
        <v/>
      </c>
      <c r="BF379" s="195" t="str">
        <f t="shared" si="213"/>
        <v/>
      </c>
      <c r="BG379" s="195" t="str">
        <f t="shared" si="214"/>
        <v/>
      </c>
      <c r="BH379" s="196">
        <f t="shared" si="215"/>
        <v>0</v>
      </c>
      <c r="BI379" s="196">
        <f t="shared" si="216"/>
        <v>0</v>
      </c>
      <c r="BJ379" s="195" t="str">
        <f>IFERROR($G379*(IF('Inputs Yr 2'!$AJ380=BJ$4,'Inputs Yr 2'!$AK380,IF('Inputs Yr 2'!$AL380=BJ$4,'Inputs Yr 2'!$AM380,IF('Inputs Yr 2'!$AN380=BJ$4,'Inputs Yr 2'!$AO380,0))))*(INDEX(avoidedcosttbl2,$H379,BJ$2)+(($H379-ROUNDDOWN($H379,0))*(INDEX(avoidedcosttbl2,ROUNDUP($H379,0),BJ$2)-(INDEX(avoidedcosttbl2,ROUNDDOWN($H379,0),BJ$2)))))*'Inputs Yr 2'!P380*'Inputs Yr 2'!Q380*'Inputs Yr 2'!U380,"")</f>
        <v/>
      </c>
      <c r="BK379" s="195" t="str">
        <f>IFERROR($G379*(IF('Inputs Yr 2'!$AJ380=BK$4,'Inputs Yr 2'!$AK380,IF('Inputs Yr 2'!$AL380=BK$4,'Inputs Yr 2'!$AM380,IF('Inputs Yr 2'!$AN380=BK$4,'Inputs Yr 2'!$AO380,0))))*(INDEX(avoidedcosttbl2,$H379,BK$2)+(($H379-ROUNDDOWN($H379,0))*(INDEX(avoidedcosttbl2,ROUNDUP($H379,0),BK$2)-(INDEX(avoidedcosttbl2,ROUNDDOWN($H379,0),BK$2)))))*'Inputs Yr 2'!P380*'Inputs Yr 2'!Q380*'Inputs Yr 2'!U380,"")</f>
        <v/>
      </c>
      <c r="BL379" s="195" t="str">
        <f>IFERROR($G379*(IF('Inputs Yr 2'!$AJ380=BL$4,'Inputs Yr 2'!$AK380,IF('Inputs Yr 2'!$AL380=BL$4,'Inputs Yr 2'!$AM380,IF('Inputs Yr 2'!$AN380=BL$4,'Inputs Yr 2'!$AO380,0))))*(INDEX(avoidedcosttbl2,$H379,BL$2)+(($H379-ROUNDDOWN($H379,0))*(INDEX(avoidedcosttbl2,ROUNDUP($H379,0),BL$2)-(INDEX(avoidedcosttbl2,ROUNDDOWN($H379,0),BL$2)))))*'Inputs Yr 2'!P380*'Inputs Yr 2'!Q380*'Inputs Yr 2'!U380,"")</f>
        <v/>
      </c>
      <c r="BM379" s="195" t="str">
        <f>IFERROR($G379*(IF('Inputs Yr 2'!$AJ380=BM$4,'Inputs Yr 2'!$AK380,IF('Inputs Yr 2'!$AL380=BM$4,'Inputs Yr 2'!$AM380,IF('Inputs Yr 2'!$AN380=BM$4,'Inputs Yr 2'!$AO380,0))))*(INDEX(avoidedcosttbl2,$H379,BM$2)+(($H379-ROUNDDOWN($H379,0))*(INDEX(avoidedcosttbl2,ROUNDUP($H379,0),BM$2)-(INDEX(avoidedcosttbl2,ROUNDDOWN($H379,0),BM$2)))))*'Inputs Yr 2'!P380*'Inputs Yr 2'!Q380*'Inputs Yr 2'!U380,"")</f>
        <v/>
      </c>
      <c r="BN379" s="195" t="str">
        <f>IFERROR($G379*(IF('Inputs Yr 2'!$AJ380=BN$4,'Inputs Yr 2'!$AK380,IF('Inputs Yr 2'!$AL380=BN$4,'Inputs Yr 2'!$AM380,IF('Inputs Yr 2'!$AN380=BN$4,'Inputs Yr 2'!$AO380,0))))*(INDEX(avoidedcosttbl2,$H379,BN$2)+(($H379-ROUNDDOWN($H379,0))*(INDEX(avoidedcosttbl2,ROUNDUP($H379,0),BN$2)-(INDEX(avoidedcosttbl2,ROUNDDOWN($H379,0),BN$2)))))*'Inputs Yr 2'!P380*'Inputs Yr 2'!Q380*'Inputs Yr 2'!U380,"")</f>
        <v/>
      </c>
      <c r="BO379" s="195" t="str">
        <f>IFERROR($G379*(IF('Inputs Yr 2'!$AJ380=BO$4,'Inputs Yr 2'!$AK380,IF('Inputs Yr 2'!$AL380=BO$4,'Inputs Yr 2'!$AM380,IF('Inputs Yr 2'!$AN380=BO$4,'Inputs Yr 2'!$AO380,0))))*(INDEX(avoidedcosttbl2,$H379,BO$2)+(($H379-ROUNDDOWN($H379,0))*(INDEX(avoidedcosttbl2,ROUNDUP($H379,0),BO$2)-(INDEX(avoidedcosttbl2,ROUNDDOWN($H379,0),BO$2)))))*'Inputs Yr 2'!P380*'Inputs Yr 2'!Q380*'Inputs Yr 2'!U380,"")</f>
        <v/>
      </c>
      <c r="BP379" s="195" t="str">
        <f>IFERROR($G379*(IF('Inputs Yr 2'!$AJ380=BP$4,'Inputs Yr 2'!$AK380,IF('Inputs Yr 2'!$AL380=BP$4,'Inputs Yr 2'!$AM380,IF('Inputs Yr 2'!$AN380=BP$4,'Inputs Yr 2'!$AO380,0))))*(INDEX(avoidedcosttbl2,$H379,BP$2)+(($H379-ROUNDDOWN($H379,0))*(INDEX(avoidedcosttbl2,ROUNDUP($H379,0),BP$2)-(INDEX(avoidedcosttbl2,ROUNDDOWN($H379,0),BP$2)))))*'Inputs Yr 2'!P380*'Inputs Yr 2'!Q380*'Inputs Yr 2'!U380,"")</f>
        <v/>
      </c>
      <c r="BQ379" s="230">
        <f t="shared" si="217"/>
        <v>0</v>
      </c>
      <c r="BR379" s="197" t="str">
        <f t="shared" si="218"/>
        <v/>
      </c>
      <c r="BS379" s="197" t="str">
        <f>IFERROR(($G379*IF('Inputs Yr 2'!$AJ380=BM$4,'Inputs Yr 2'!$AK380,IF('Inputs Yr 2'!$AL380=BM$4,'Inputs Yr 2'!$AM380,IF('Inputs Yr 2'!$AN380=BM$4,'Inputs Yr 2'!$AO380,0))))*(INDEX(avoidedcosttbl2,$H379,BS$2)+(($H379-ROUNDDOWN($H379,0))*(INDEX(avoidedcosttbl2,ROUNDUP($H379,0),BS$2)-(INDEX(avoidedcosttbl2,ROUNDDOWN($H379,0),BS$2)))))*'Inputs Yr 2'!P380*'Inputs Yr 2'!Q380*'Inputs Yr 2'!U380,"")</f>
        <v/>
      </c>
      <c r="BT379" s="197" t="str">
        <f>IFERROR(($G379*IF('Inputs Yr 2'!$AJ380=BK$4,'Inputs Yr 2'!$AK380,IF('Inputs Yr 2'!$AL380=BK$4,'Inputs Yr 2'!$AM380,IF('Inputs Yr 2'!$AN380=BK$4,'Inputs Yr 2'!$AO380,0))))*(INDEX(avoidedcosttbl2,$H379,BT$2)+(($H379-ROUNDDOWN($H379,0))*(INDEX(avoidedcosttbl2,ROUNDUP($H379,0),BT$2)-(INDEX(avoidedcosttbl2,ROUNDDOWN($H379,0),BT$2)))))*'Inputs Yr 2'!P380*'Inputs Yr 2'!Q380*'Inputs Yr 2'!U380,"")</f>
        <v/>
      </c>
      <c r="BU379" s="197" t="str">
        <f>IFERROR(($G379*IF('Inputs Yr 2'!$AJ380=BL$4,'Inputs Yr 2'!$AK380,IF('Inputs Yr 2'!$AL380=BL$4,'Inputs Yr 2'!$AM380,IF('Inputs Yr 2'!$AN380=BL$4,'Inputs Yr 2'!$AO380,0))))*(INDEX(avoidedcosttbl2,$H379,BU$2)+(($H379-ROUNDDOWN($H379,0))*(INDEX(avoidedcosttbl2,ROUNDUP($H379,0),BU$2)-(INDEX(avoidedcosttbl2,ROUNDDOWN($H379,0),BU$2)))))*'Inputs Yr 2'!P380*'Inputs Yr 2'!Q380*'Inputs Yr 2'!U380,"")</f>
        <v/>
      </c>
      <c r="BV379" s="775" t="str">
        <f>IFERROR(($G379*IF('Inputs Yr 2'!$AJ380=BJ$4,'Inputs Yr 2'!$AK380,IF('Inputs Yr 2'!$AL380=BJ$4,'Inputs Yr 2'!$AM380,IF('Inputs Yr 2'!$AN380=BJ$4,'Inputs Yr 2'!$AO380,0))))*(INDEX(avoidedcosttbl2,$H379,BV$2)+(($H379-ROUNDDOWN($H379,0))*(INDEX(avoidedcosttbl2,ROUNDUP($H379,0),BV$2)-(INDEX(avoidedcosttbl2,ROUNDDOWN($H379,0),BV$2)))))*'Inputs Yr 2'!P380*'Inputs Yr 2'!Q380*'Inputs Yr 2'!U380,"")</f>
        <v/>
      </c>
      <c r="BW379" s="197" t="str">
        <f>IFERROR(($G379*IF('Inputs Yr 2'!$AJ380=BN$4,'Inputs Yr 2'!$AK380,IF('Inputs Yr 2'!$AL380=BN$4,'Inputs Yr 2'!$AM380,IF('Inputs Yr 2'!$AN380=BN$4,'Inputs Yr 2'!$AO380,0))))*(INDEX(avoidedcosttbl2,$H379,BW$2)+(($H379-ROUNDDOWN($H379,0))*(INDEX(avoidedcosttbl2,ROUNDUP($H379,0),BW$2)-(INDEX(avoidedcosttbl2,ROUNDDOWN($H379,0),BW$2)))))*'Inputs Yr 2'!P380*'Inputs Yr 2'!Q380*'Inputs Yr 2'!U380,"")</f>
        <v/>
      </c>
      <c r="BX379" s="197" t="str">
        <f>IFERROR(($G379*IF('Inputs Yr 2'!$AJ380=BO$4,'Inputs Yr 2'!$AK380,IF('Inputs Yr 2'!$AL380=BO$4,'Inputs Yr 2'!$AM380,IF('Inputs Yr 2'!$AN380=BO$4,'Inputs Yr 2'!$AO380,0))))*(INDEX(avoidedcosttbl2,$H379,BX$2)+(($H379-ROUNDDOWN($H379,0))*(INDEX(avoidedcosttbl2,ROUNDUP($H379,0),BX$2)-(INDEX(avoidedcosttbl2,ROUNDDOWN($H379,0),BX$2)))))*'Inputs Yr 2'!P380*'Inputs Yr 2'!Q380*'Inputs Yr 2'!U380,"")</f>
        <v/>
      </c>
      <c r="BY379" s="197" t="str">
        <f>IFERROR(($G379*IF('Inputs Yr 2'!$AJ380=BP$4,'Inputs Yr 2'!$AK380,IF('Inputs Yr 2'!$AL380=BP$4,'Inputs Yr 2'!$AM380,IF('Inputs Yr 2'!$AN380=BP$4,'Inputs Yr 2'!$AO380,0))))*(INDEX(avoidedcosttbl2,$H379,BY$2)+(($H379-ROUNDDOWN($H379,0))*(INDEX(avoidedcosttbl2,ROUNDUP($H379,0),BY$2)-(INDEX(avoidedcosttbl2,ROUNDDOWN($H379,0),BY$2)))))*'Inputs Yr 2'!P380*'Inputs Yr 2'!Q380*'Inputs Yr 2'!U380,"")</f>
        <v/>
      </c>
      <c r="BZ379" s="193">
        <f t="shared" si="219"/>
        <v>0</v>
      </c>
      <c r="CA379" s="193">
        <f t="shared" si="220"/>
        <v>0</v>
      </c>
      <c r="CB379" s="195" t="str">
        <f>IFERROR(G379*(IF('Inputs Yr 2'!$AJ380=CB$4,'Inputs Yr 2'!$AK380,IF('Inputs Yr 2'!$AL380=CB$4,'Inputs Yr 2'!$AM380,IF('Inputs Yr 2'!$AN380=CB$4,'Inputs Yr 2'!$AO380,0))))*(INDEX(avoidedcosttbl2,$H379,CB$2)+(($H379-ROUNDDOWN($H379,0))*(INDEX(avoidedcosttbl2,ROUNDUP($H379,0),CB$2)-(INDEX(avoidedcosttbl2,ROUNDDOWN($H379,0),CB$2)))))*'Inputs Yr 2'!P380*'Inputs Yr 2'!Q380*'Inputs Yr 2'!U380,"")</f>
        <v/>
      </c>
      <c r="CC379" s="195" t="str">
        <f>IFERROR(H379*(IF('Inputs Yr 2'!$AJ380=CC$4,'Inputs Yr 2'!$AK380,IF('Inputs Yr 2'!$AL380=CC$4,'Inputs Yr 2'!$AM380,IF('Inputs Yr 2'!$AN380=CC$4,'Inputs Yr 2'!$AO380,0))))*(INDEX(avoidedcosttbl2,$H379,CC$2)+(($H379-ROUNDDOWN($H379,0))*(INDEX(avoidedcosttbl2,ROUNDUP($H379,0),CC$2)-(INDEX(avoidedcosttbl2,ROUNDDOWN($H379,0),CC$2)))))*'Inputs Yr 2'!Q380*'Inputs Yr 2'!R380*'Inputs Yr 2'!V380,"")</f>
        <v/>
      </c>
      <c r="CD379" s="195" t="str">
        <f>IFERROR(I379*(IF('Inputs Yr 2'!$AJ380=CD$4,'Inputs Yr 2'!$AK380,IF('Inputs Yr 2'!$AL380=CD$4,'Inputs Yr 2'!$AM380,IF('Inputs Yr 2'!$AN380=CD$4,'Inputs Yr 2'!$AO380,0))))*(INDEX(avoidedcosttbl2,$H379,CD$2)+(($H379-ROUNDDOWN($H379,0))*(INDEX(avoidedcosttbl2,ROUNDUP($H379,0),CD$2)-(INDEX(avoidedcosttbl2,ROUNDDOWN($H379,0),CD$2)))))*'Inputs Yr 2'!R380*'Inputs Yr 2'!S380*'Inputs Yr 2'!W380,"")</f>
        <v/>
      </c>
      <c r="CE379" s="213" t="str">
        <f t="shared" si="221"/>
        <v/>
      </c>
      <c r="CF379" s="213" t="str">
        <f t="shared" si="222"/>
        <v/>
      </c>
      <c r="CG379" s="213" t="str">
        <f t="shared" si="223"/>
        <v/>
      </c>
      <c r="CH379" s="698">
        <f t="shared" si="224"/>
        <v>0</v>
      </c>
      <c r="CI379" s="79" t="str">
        <f>IFERROR(($G379*'Inputs Yr 2'!$P380*'Inputs Yr 2'!$Q380*(((INDEX(avoidedcosttbl2,$H379,CI$2)+(($H379-ROUNDDOWN($H379,0))*(INDEX(avoidedcosttbl2,ROUNDUP($H379,0),CI$2)-INDEX(avoidedcosttbl2,ROUNDDOWN($H379,0),CI$2))))*'Inputs Yr 2'!AS380))),"")</f>
        <v/>
      </c>
      <c r="CJ379" s="504" t="str">
        <f>IFERROR($G379*'Inputs Yr 2'!AT380*'Inputs Yr 2'!$P380*'Inputs Yr 2'!$Q380/((1+realdiscrt1)^-0.5),"")</f>
        <v/>
      </c>
      <c r="CK379" s="79" t="str">
        <f>IFERROR((O379*1000*(((INDEX(avoidedcosttbl2,$H379,CK$2)+(($H379-ROUNDDOWN($H379,0))*(INDEX(avoidedcosttbl2,ROUNDUP($H379,0),CK$2)-INDEX(avoidedcosttbl2,ROUNDDOWN($H379,0),CK$2))))*'Inputs Yr 2'!AU380))),"")</f>
        <v/>
      </c>
      <c r="CL379" s="504" t="str">
        <f>IFERROR(O379*1000*'Inputs Yr 2'!AV380/((1+realdiscrt1)^-0.5),"")</f>
        <v/>
      </c>
      <c r="CM379" s="79" t="str">
        <f>IFERROR((AB379*'Inputs Yr 2'!AW380*(((INDEX(avoidedcosttbl2,$H379,CM$2)+(($H379-ROUNDDOWN($H379,0))*(INDEX(avoidedcosttbl2,ROUNDUP($H379,0),CM$2)-INDEX(avoidedcosttbl2,ROUNDDOWN($H379,0),CM$2)))))))*10,"")</f>
        <v/>
      </c>
      <c r="CN379" s="504">
        <f>IFERROR(10*AB379*'Inputs Yr 2'!AX380/((1+realdiscrt1)^-0.5),"")</f>
        <v>0</v>
      </c>
      <c r="CO379" s="505">
        <f t="shared" si="225"/>
        <v>0</v>
      </c>
      <c r="CP379" s="230">
        <f t="shared" si="226"/>
        <v>0</v>
      </c>
      <c r="CQ379" s="199">
        <f>ROUND(IFERROR(IF(LEFT($A379,1)="C",'Avoided Costs'!$K$13,'Avoided Costs'!$K$12)+1,""),4)</f>
        <v>1.0720000000000001</v>
      </c>
      <c r="CR379" s="199">
        <f>ROUND(IFERROR(IF(LEFT($A379,1)="C",'Avoided Costs'!$L$13,'Avoided Costs'!$L$12)+1,""),4)</f>
        <v>1.04</v>
      </c>
      <c r="CS379" s="199">
        <f>ROUND(IFERROR(IF(LEFT($A379,1)="C",'Avoided Costs'!$M$13,'Avoided Costs'!$M$12)+1,""),4)</f>
        <v>1.0720000000000001</v>
      </c>
      <c r="CT379" s="199">
        <f>ROUND(IFERROR(IF(LEFT($A379,1)="C",'Avoided Costs'!$N$13,'Avoided Costs'!$N$12)+1,""),4)</f>
        <v>1.04</v>
      </c>
      <c r="CU379" s="199">
        <f>ROUND(IFERROR(IF(LEFT($A379,1)="C",'Avoided Costs'!$O$13,'Avoided Costs'!$O$12)+1,""),4)</f>
        <v>1.1120000000000001</v>
      </c>
      <c r="CV379" s="199">
        <f>ROUND(IFERROR(IF(LEFT($A379,1)="C",'Avoided Costs'!$P$13,'Avoided Costs'!$P$12)+1,""),4)</f>
        <v>1.095</v>
      </c>
      <c r="CW379" s="199">
        <f>ROUND(IFERROR(IF(LEFT($A379,1)="C",'Avoided Costs'!$Q$13,'Avoided Costs'!$Q$12)+1,""),4)</f>
        <v>1.1120000000000001</v>
      </c>
      <c r="CX379" s="200">
        <f>ROUND(IFERROR(IF(LEFT($A379,1)="C",'Avoided Costs'!$R$13,'Avoided Costs'!$R$12)+1,""),4)</f>
        <v>1.1120000000000001</v>
      </c>
    </row>
    <row r="380" spans="1:102" s="128" customFormat="1" ht="12.75" customHeight="1">
      <c r="A380" s="91" t="str">
        <f>IF('Inputs Yr 2'!$B417=0,"",'Inputs Yr 2'!A417)</f>
        <v/>
      </c>
      <c r="B380" s="91" t="str">
        <f>IF('Inputs Yr 2'!$B417=0,"",'Inputs Yr 2'!B417)</f>
        <v/>
      </c>
      <c r="C380" s="91" t="str">
        <f>IF('Inputs Yr 2'!$B381=0,"",'Inputs Yr 2'!C381)</f>
        <v/>
      </c>
      <c r="D380" s="91" t="str">
        <f>IF('Inputs Yr 2'!$B381=0,"",'Inputs Yr 2'!E381)</f>
        <v/>
      </c>
      <c r="E380" s="93" t="str">
        <f>IF('Inputs Yr 2'!$B381=0,"",'Inputs Yr 2'!F381)</f>
        <v/>
      </c>
      <c r="F380" s="93" t="str">
        <f>IF('Inputs Yr 2'!$B381=0,"",'Inputs Yr 2'!G381)</f>
        <v/>
      </c>
      <c r="G380" s="95" t="str">
        <f>IF('Inputs Yr 2'!$H381&lt;&gt;0,('Inputs Yr 2'!H381),"")</f>
        <v/>
      </c>
      <c r="H380" s="94">
        <f>IFERROR('Inputs Yr 2'!I381,"")</f>
        <v>0</v>
      </c>
      <c r="I380" s="298" t="str">
        <f>IFERROR('Inputs Yr 2'!J381*'Inputs Yr 2'!P381*G380,"")</f>
        <v/>
      </c>
      <c r="J380" s="298" t="str">
        <f>IFERROR('Inputs Yr 2'!K381*G380,"")</f>
        <v/>
      </c>
      <c r="K380" s="298" t="str">
        <f t="shared" si="197"/>
        <v/>
      </c>
      <c r="L380" s="194" t="str">
        <f>IFERROR(('Inputs Yr 2'!W381*G380)/1000,"")</f>
        <v/>
      </c>
      <c r="M380" s="194" t="str">
        <f>IFERROR(L380*('Inputs Yr 2'!$Q381*'Inputs Yr 2'!$V381*'Inputs Yr 2'!$R381),"")</f>
        <v/>
      </c>
      <c r="N380" s="194" t="str">
        <f t="shared" si="198"/>
        <v/>
      </c>
      <c r="O380" s="194" t="str">
        <f>IFERROR(M380*'Inputs Yr 2'!P381,"")</f>
        <v/>
      </c>
      <c r="P380" s="194" t="str">
        <f t="shared" si="199"/>
        <v/>
      </c>
      <c r="Q380" s="194" t="str">
        <f>IFERROR($P380*'Inputs Yr 2'!AA381,"")</f>
        <v/>
      </c>
      <c r="R380" s="194" t="str">
        <f>IFERROR($P380*'Inputs Yr 2'!AB381,"")</f>
        <v/>
      </c>
      <c r="S380" s="194" t="str">
        <f>IFERROR($P380*'Inputs Yr 2'!AC381,"")</f>
        <v/>
      </c>
      <c r="T380" s="194" t="str">
        <f>IFERROR($P380*'Inputs Yr 2'!AD381,"")</f>
        <v/>
      </c>
      <c r="U380" s="194" t="str">
        <f>IFERROR(G380*'Inputs Yr 2'!$AE381*'Inputs Yr 2'!$P381*'Inputs Yr 2'!$Q381,"")</f>
        <v/>
      </c>
      <c r="V380" s="194" t="str">
        <f>IFERROR($G380*'Inputs Yr 2'!$AE381*'Inputs Yr 2'!$AG381*'Inputs Yr 2'!Q381*'Inputs Yr 2'!$S381,"")</f>
        <v/>
      </c>
      <c r="W380" s="194" t="str">
        <f>IFERROR($G380*'Inputs Yr 2'!$AE381*'Inputs Yr 2'!$AG381*'Inputs Yr 2'!P381*'Inputs Yr 2'!Q381*'Inputs Yr 2'!$S381,"")</f>
        <v/>
      </c>
      <c r="X380" s="194" t="str">
        <f>IFERROR($G380*'Inputs Yr 2'!$AE381*'Inputs Yr 2'!$AF381*'Inputs Yr 2'!Q381*'Inputs Yr 2'!$T381,"")</f>
        <v/>
      </c>
      <c r="Y380" s="194" t="str">
        <f>IFERROR($G380*'Inputs Yr 2'!$AE381*'Inputs Yr 2'!$AF381*'Inputs Yr 2'!P381*'Inputs Yr 2'!Q381*'Inputs Yr 2'!$T381,"")</f>
        <v/>
      </c>
      <c r="Z380" s="257">
        <f>IFERROR($G380*'Inputs Yr 2'!$Q381*'Inputs Yr 2'!$U381*(IF(IFERROR(SEARCH("NG", 'Inputs Yr 2'!$AJ381),0),'Inputs Yr 2'!$AK381,0)+IF(IFERROR(SEARCH("NG", 'Inputs Yr 2'!$AL381),0),'Inputs Yr 2'!$AM381,0)+IF(IFERROR(SEARCH("NG", 'Inputs Yr 2'!$AN381),0),'Inputs Yr 2'!$AO381,0)),0)</f>
        <v>0</v>
      </c>
      <c r="AA380" s="257">
        <f t="shared" si="200"/>
        <v>0</v>
      </c>
      <c r="AB380" s="257">
        <f>IFERROR(Z380*'Inputs Yr 2'!$P381,0)</f>
        <v>0</v>
      </c>
      <c r="AC380" s="257">
        <f t="shared" si="201"/>
        <v>0</v>
      </c>
      <c r="AD380" s="257">
        <f>IFERROR($G380*'Inputs Yr 2'!$Q381*'Inputs Yr 2'!$U381*(IF(IFERROR(SEARCH("Oil", 'Inputs Yr 2'!$AJ381), 0),'Inputs Yr 2'!$AK381,0)+IF(IFERROR(SEARCH("Oil", 'Inputs Yr 2'!$AL381), 0),'Inputs Yr 2'!$AM381,0)+IF(IFERROR(SEARCH("Oil", 'Inputs Yr 2'!$AN381), 0),'Inputs Yr 2'!$AO381,0)),0)</f>
        <v>0</v>
      </c>
      <c r="AE380" s="257">
        <f t="shared" si="202"/>
        <v>0</v>
      </c>
      <c r="AF380" s="257">
        <f>IFERROR(AD380*'Inputs Yr 2'!$P381,0)</f>
        <v>0</v>
      </c>
      <c r="AG380" s="257">
        <f t="shared" si="203"/>
        <v>0</v>
      </c>
      <c r="AH380" s="257">
        <f>IFERROR($G380*'Inputs Yr 2'!$Q381*'Inputs Yr 2'!$U381*(IF('Inputs Yr 2'!$AJ381=CD$4,'Inputs Yr 2'!$AK381,IF('Inputs Yr 2'!$AL381=CD$4,'Inputs Yr 2'!$AM381,IF('Inputs Yr 2'!$AN381=CD$4,'Inputs Yr 2'!$AO381,0)))),0)</f>
        <v>0</v>
      </c>
      <c r="AI380" s="257">
        <f t="shared" si="204"/>
        <v>0</v>
      </c>
      <c r="AJ380" s="257">
        <f>IFERROR(AH380*'Inputs Yr 2'!$P381,0)</f>
        <v>0</v>
      </c>
      <c r="AK380" s="257">
        <f t="shared" si="205"/>
        <v>0</v>
      </c>
      <c r="AL380" s="258">
        <f>IFERROR($G380*'Inputs Yr 2'!$P381*'Inputs Yr 2'!$Q381*'Inputs Yr 2'!AP381,0)</f>
        <v>0</v>
      </c>
      <c r="AM380" s="260">
        <f>IFERROR($G380*'Inputs Yr 2'!$P381*'Inputs Yr 2'!$Q381*'Inputs Yr 2'!AQ381,0)</f>
        <v>0</v>
      </c>
      <c r="AN380" s="258">
        <f>IFERROR($G380*'Inputs Yr 2'!$P381*'Inputs Yr 2'!$Q381*'Inputs Yr 2'!AR381,0)</f>
        <v>0</v>
      </c>
      <c r="AO380" s="257">
        <f t="shared" si="206"/>
        <v>0</v>
      </c>
      <c r="AP380" s="195" t="str">
        <f>IFERROR($CQ380*(INDEX(avoidedcosttbl2,$H380,AP$2)+(($H380-ROUNDDOWN($H380,0))*(INDEX(avoidedcosttbl2,ROUNDUP($H380,0),AP$2)-(INDEX(avoidedcosttbl2,ROUNDDOWN($H380,0),AP$2)))))*$O380*1000*'Inputs Yr 2'!AA381,"")</f>
        <v/>
      </c>
      <c r="AQ380" s="195" t="str">
        <f>IFERROR($CR380*(INDEX(avoidedcosttbl2,$H380,AQ$2)+(($H380-ROUNDDOWN($H380,0))*(INDEX(avoidedcosttbl2,ROUNDUP($H380,0),AQ$2)-(INDEX(avoidedcosttbl2,ROUNDDOWN($H380,0),AQ$2)))))*$O380*1000*'Inputs Yr 2'!AB381,"")</f>
        <v/>
      </c>
      <c r="AR380" s="195" t="str">
        <f>IFERROR($CS380*(INDEX(avoidedcosttbl2,$H380,AR$2)+(($H380-ROUNDDOWN($H380,0))*(INDEX(avoidedcosttbl2,ROUNDUP($H380,0),AR$2)-(INDEX(avoidedcosttbl2,ROUNDDOWN($H380,0),AR$2)))))*$O380*1000*'Inputs Yr 2'!AC381,"")</f>
        <v/>
      </c>
      <c r="AS380" s="195" t="str">
        <f>IFERROR($CT380*(INDEX(avoidedcosttbl2,$H380,AS$2)+(($H380-ROUNDDOWN($H380,0))*(INDEX(avoidedcosttbl2,ROUNDUP($H380,0),AS$2)-(INDEX(avoidedcosttbl2,ROUNDDOWN($H380,0),AS$2)))))*$O380*1000*'Inputs Yr 2'!AD381,"")</f>
        <v/>
      </c>
      <c r="AT380" s="196">
        <f t="shared" si="207"/>
        <v>0</v>
      </c>
      <c r="AU380" s="197" t="str">
        <f>IFERROR($CQ380*((INDEX(avoidedcosttbl2,$H380,AU$2))+(($H380-ROUNDDOWN($H380,0))*((INDEX(avoidedcosttbl2,ROUNDUP($H380,0),AU$2))-(INDEX(avoidedcosttbl2,ROUNDDOWN($H380,0),AU$2)))))*$O380*1000*'Inputs Yr 2'!AA381,"")</f>
        <v/>
      </c>
      <c r="AV380" s="197" t="str">
        <f>IFERROR($CR380*((INDEX(avoidedcosttbl2,$H380,AV$2))+(($H380-ROUNDDOWN($H380,0))*((INDEX(avoidedcosttbl2,ROUNDUP($H380,0),AV$2))-(INDEX(avoidedcosttbl2,ROUNDDOWN($H380,0),AV$2)))))*$O380*1000*'Inputs Yr 2'!AB381,"")</f>
        <v/>
      </c>
      <c r="AW380" s="197" t="str">
        <f>IFERROR($CS380*((INDEX(avoidedcosttbl2,$H380,AW$2))+(($H380-ROUNDDOWN($H380,0))*((INDEX(avoidedcosttbl2,ROUNDUP($H380,0),AW$2))-(INDEX(avoidedcosttbl2,ROUNDDOWN($H380,0),AW$2)))))*$O380*1000*'Inputs Yr 2'!AC381,"")</f>
        <v/>
      </c>
      <c r="AX380" s="197" t="str">
        <f>IFERROR($CT380*((INDEX(avoidedcosttbl2,$H380,AX$2))+(($H380-ROUNDDOWN($H380,0))*((INDEX(avoidedcosttbl2,ROUNDUP($H380,0),AX$2))-(INDEX(avoidedcosttbl2,ROUNDDOWN($H380,0),AX$2)))))*$O380*1000*'Inputs Yr 2'!AD381,"")</f>
        <v/>
      </c>
      <c r="AY380" s="197" t="str">
        <f>IFERROR(((INDEX(avoidedcosttbl2,$H380,AY$2))+(($H380-ROUNDDOWN($H380,0))*((INDEX(avoidedcosttbl2,ROUNDUP($H380,0),AY$2))-(INDEX(avoidedcosttbl2,ROUNDDOWN($H380,0),AY$2)))))*$O380*1000*('Inputs Yr 2'!AC381+'Inputs Yr 2'!AD381),"")</f>
        <v/>
      </c>
      <c r="AZ380" s="197" t="str">
        <f>IFERROR(((INDEX(avoidedcosttbl2,$H380,AZ$2))+(($H380-ROUNDDOWN($H380,0))*((INDEX(avoidedcosttbl2,ROUNDUP($H380,0),AZ$2))-(INDEX(avoidedcosttbl2,ROUNDDOWN($H380,0),AZ$2)))))*$O380*1000*('Inputs Yr 2'!AA381+'Inputs Yr 2'!AB381),"")</f>
        <v/>
      </c>
      <c r="BA380" s="198">
        <f t="shared" si="208"/>
        <v>0</v>
      </c>
      <c r="BB380" s="198">
        <f t="shared" si="209"/>
        <v>0</v>
      </c>
      <c r="BC380" s="195" t="str">
        <f t="shared" si="210"/>
        <v/>
      </c>
      <c r="BD380" s="195" t="str">
        <f t="shared" si="211"/>
        <v/>
      </c>
      <c r="BE380" s="195" t="str">
        <f t="shared" si="212"/>
        <v/>
      </c>
      <c r="BF380" s="195" t="str">
        <f t="shared" si="213"/>
        <v/>
      </c>
      <c r="BG380" s="195" t="str">
        <f t="shared" si="214"/>
        <v/>
      </c>
      <c r="BH380" s="196">
        <f t="shared" si="215"/>
        <v>0</v>
      </c>
      <c r="BI380" s="196">
        <f t="shared" si="216"/>
        <v>0</v>
      </c>
      <c r="BJ380" s="195" t="str">
        <f>IFERROR($G380*(IF('Inputs Yr 2'!$AJ381=BJ$4,'Inputs Yr 2'!$AK381,IF('Inputs Yr 2'!$AL381=BJ$4,'Inputs Yr 2'!$AM381,IF('Inputs Yr 2'!$AN381=BJ$4,'Inputs Yr 2'!$AO381,0))))*(INDEX(avoidedcosttbl2,$H380,BJ$2)+(($H380-ROUNDDOWN($H380,0))*(INDEX(avoidedcosttbl2,ROUNDUP($H380,0),BJ$2)-(INDEX(avoidedcosttbl2,ROUNDDOWN($H380,0),BJ$2)))))*'Inputs Yr 2'!P381*'Inputs Yr 2'!Q381*'Inputs Yr 2'!U381,"")</f>
        <v/>
      </c>
      <c r="BK380" s="195" t="str">
        <f>IFERROR($G380*(IF('Inputs Yr 2'!$AJ381=BK$4,'Inputs Yr 2'!$AK381,IF('Inputs Yr 2'!$AL381=BK$4,'Inputs Yr 2'!$AM381,IF('Inputs Yr 2'!$AN381=BK$4,'Inputs Yr 2'!$AO381,0))))*(INDEX(avoidedcosttbl2,$H380,BK$2)+(($H380-ROUNDDOWN($H380,0))*(INDEX(avoidedcosttbl2,ROUNDUP($H380,0),BK$2)-(INDEX(avoidedcosttbl2,ROUNDDOWN($H380,0),BK$2)))))*'Inputs Yr 2'!P381*'Inputs Yr 2'!Q381*'Inputs Yr 2'!U381,"")</f>
        <v/>
      </c>
      <c r="BL380" s="195" t="str">
        <f>IFERROR($G380*(IF('Inputs Yr 2'!$AJ381=BL$4,'Inputs Yr 2'!$AK381,IF('Inputs Yr 2'!$AL381=BL$4,'Inputs Yr 2'!$AM381,IF('Inputs Yr 2'!$AN381=BL$4,'Inputs Yr 2'!$AO381,0))))*(INDEX(avoidedcosttbl2,$H380,BL$2)+(($H380-ROUNDDOWN($H380,0))*(INDEX(avoidedcosttbl2,ROUNDUP($H380,0),BL$2)-(INDEX(avoidedcosttbl2,ROUNDDOWN($H380,0),BL$2)))))*'Inputs Yr 2'!P381*'Inputs Yr 2'!Q381*'Inputs Yr 2'!U381,"")</f>
        <v/>
      </c>
      <c r="BM380" s="195" t="str">
        <f>IFERROR($G380*(IF('Inputs Yr 2'!$AJ381=BM$4,'Inputs Yr 2'!$AK381,IF('Inputs Yr 2'!$AL381=BM$4,'Inputs Yr 2'!$AM381,IF('Inputs Yr 2'!$AN381=BM$4,'Inputs Yr 2'!$AO381,0))))*(INDEX(avoidedcosttbl2,$H380,BM$2)+(($H380-ROUNDDOWN($H380,0))*(INDEX(avoidedcosttbl2,ROUNDUP($H380,0),BM$2)-(INDEX(avoidedcosttbl2,ROUNDDOWN($H380,0),BM$2)))))*'Inputs Yr 2'!P381*'Inputs Yr 2'!Q381*'Inputs Yr 2'!U381,"")</f>
        <v/>
      </c>
      <c r="BN380" s="195" t="str">
        <f>IFERROR($G380*(IF('Inputs Yr 2'!$AJ381=BN$4,'Inputs Yr 2'!$AK381,IF('Inputs Yr 2'!$AL381=BN$4,'Inputs Yr 2'!$AM381,IF('Inputs Yr 2'!$AN381=BN$4,'Inputs Yr 2'!$AO381,0))))*(INDEX(avoidedcosttbl2,$H380,BN$2)+(($H380-ROUNDDOWN($H380,0))*(INDEX(avoidedcosttbl2,ROUNDUP($H380,0),BN$2)-(INDEX(avoidedcosttbl2,ROUNDDOWN($H380,0),BN$2)))))*'Inputs Yr 2'!P381*'Inputs Yr 2'!Q381*'Inputs Yr 2'!U381,"")</f>
        <v/>
      </c>
      <c r="BO380" s="195" t="str">
        <f>IFERROR($G380*(IF('Inputs Yr 2'!$AJ381=BO$4,'Inputs Yr 2'!$AK381,IF('Inputs Yr 2'!$AL381=BO$4,'Inputs Yr 2'!$AM381,IF('Inputs Yr 2'!$AN381=BO$4,'Inputs Yr 2'!$AO381,0))))*(INDEX(avoidedcosttbl2,$H380,BO$2)+(($H380-ROUNDDOWN($H380,0))*(INDEX(avoidedcosttbl2,ROUNDUP($H380,0),BO$2)-(INDEX(avoidedcosttbl2,ROUNDDOWN($H380,0),BO$2)))))*'Inputs Yr 2'!P381*'Inputs Yr 2'!Q381*'Inputs Yr 2'!U381,"")</f>
        <v/>
      </c>
      <c r="BP380" s="195" t="str">
        <f>IFERROR($G380*(IF('Inputs Yr 2'!$AJ381=BP$4,'Inputs Yr 2'!$AK381,IF('Inputs Yr 2'!$AL381=BP$4,'Inputs Yr 2'!$AM381,IF('Inputs Yr 2'!$AN381=BP$4,'Inputs Yr 2'!$AO381,0))))*(INDEX(avoidedcosttbl2,$H380,BP$2)+(($H380-ROUNDDOWN($H380,0))*(INDEX(avoidedcosttbl2,ROUNDUP($H380,0),BP$2)-(INDEX(avoidedcosttbl2,ROUNDDOWN($H380,0),BP$2)))))*'Inputs Yr 2'!P381*'Inputs Yr 2'!Q381*'Inputs Yr 2'!U381,"")</f>
        <v/>
      </c>
      <c r="BQ380" s="230">
        <f t="shared" si="217"/>
        <v>0</v>
      </c>
      <c r="BR380" s="197" t="str">
        <f t="shared" si="218"/>
        <v/>
      </c>
      <c r="BS380" s="197" t="str">
        <f>IFERROR(($G380*IF('Inputs Yr 2'!$AJ381=BM$4,'Inputs Yr 2'!$AK381,IF('Inputs Yr 2'!$AL381=BM$4,'Inputs Yr 2'!$AM381,IF('Inputs Yr 2'!$AN381=BM$4,'Inputs Yr 2'!$AO381,0))))*(INDEX(avoidedcosttbl2,$H380,BS$2)+(($H380-ROUNDDOWN($H380,0))*(INDEX(avoidedcosttbl2,ROUNDUP($H380,0),BS$2)-(INDEX(avoidedcosttbl2,ROUNDDOWN($H380,0),BS$2)))))*'Inputs Yr 2'!P381*'Inputs Yr 2'!Q381*'Inputs Yr 2'!U381,"")</f>
        <v/>
      </c>
      <c r="BT380" s="197" t="str">
        <f>IFERROR(($G380*IF('Inputs Yr 2'!$AJ381=BK$4,'Inputs Yr 2'!$AK381,IF('Inputs Yr 2'!$AL381=BK$4,'Inputs Yr 2'!$AM381,IF('Inputs Yr 2'!$AN381=BK$4,'Inputs Yr 2'!$AO381,0))))*(INDEX(avoidedcosttbl2,$H380,BT$2)+(($H380-ROUNDDOWN($H380,0))*(INDEX(avoidedcosttbl2,ROUNDUP($H380,0),BT$2)-(INDEX(avoidedcosttbl2,ROUNDDOWN($H380,0),BT$2)))))*'Inputs Yr 2'!P381*'Inputs Yr 2'!Q381*'Inputs Yr 2'!U381,"")</f>
        <v/>
      </c>
      <c r="BU380" s="197" t="str">
        <f>IFERROR(($G380*IF('Inputs Yr 2'!$AJ381=BL$4,'Inputs Yr 2'!$AK381,IF('Inputs Yr 2'!$AL381=BL$4,'Inputs Yr 2'!$AM381,IF('Inputs Yr 2'!$AN381=BL$4,'Inputs Yr 2'!$AO381,0))))*(INDEX(avoidedcosttbl2,$H380,BU$2)+(($H380-ROUNDDOWN($H380,0))*(INDEX(avoidedcosttbl2,ROUNDUP($H380,0),BU$2)-(INDEX(avoidedcosttbl2,ROUNDDOWN($H380,0),BU$2)))))*'Inputs Yr 2'!P381*'Inputs Yr 2'!Q381*'Inputs Yr 2'!U381,"")</f>
        <v/>
      </c>
      <c r="BV380" s="775" t="str">
        <f>IFERROR(($G380*IF('Inputs Yr 2'!$AJ381=BJ$4,'Inputs Yr 2'!$AK381,IF('Inputs Yr 2'!$AL381=BJ$4,'Inputs Yr 2'!$AM381,IF('Inputs Yr 2'!$AN381=BJ$4,'Inputs Yr 2'!$AO381,0))))*(INDEX(avoidedcosttbl2,$H380,BV$2)+(($H380-ROUNDDOWN($H380,0))*(INDEX(avoidedcosttbl2,ROUNDUP($H380,0),BV$2)-(INDEX(avoidedcosttbl2,ROUNDDOWN($H380,0),BV$2)))))*'Inputs Yr 2'!P381*'Inputs Yr 2'!Q381*'Inputs Yr 2'!U381,"")</f>
        <v/>
      </c>
      <c r="BW380" s="197" t="str">
        <f>IFERROR(($G380*IF('Inputs Yr 2'!$AJ381=BN$4,'Inputs Yr 2'!$AK381,IF('Inputs Yr 2'!$AL381=BN$4,'Inputs Yr 2'!$AM381,IF('Inputs Yr 2'!$AN381=BN$4,'Inputs Yr 2'!$AO381,0))))*(INDEX(avoidedcosttbl2,$H380,BW$2)+(($H380-ROUNDDOWN($H380,0))*(INDEX(avoidedcosttbl2,ROUNDUP($H380,0),BW$2)-(INDEX(avoidedcosttbl2,ROUNDDOWN($H380,0),BW$2)))))*'Inputs Yr 2'!P381*'Inputs Yr 2'!Q381*'Inputs Yr 2'!U381,"")</f>
        <v/>
      </c>
      <c r="BX380" s="197" t="str">
        <f>IFERROR(($G380*IF('Inputs Yr 2'!$AJ381=BO$4,'Inputs Yr 2'!$AK381,IF('Inputs Yr 2'!$AL381=BO$4,'Inputs Yr 2'!$AM381,IF('Inputs Yr 2'!$AN381=BO$4,'Inputs Yr 2'!$AO381,0))))*(INDEX(avoidedcosttbl2,$H380,BX$2)+(($H380-ROUNDDOWN($H380,0))*(INDEX(avoidedcosttbl2,ROUNDUP($H380,0),BX$2)-(INDEX(avoidedcosttbl2,ROUNDDOWN($H380,0),BX$2)))))*'Inputs Yr 2'!P381*'Inputs Yr 2'!Q381*'Inputs Yr 2'!U381,"")</f>
        <v/>
      </c>
      <c r="BY380" s="197" t="str">
        <f>IFERROR(($G380*IF('Inputs Yr 2'!$AJ381=BP$4,'Inputs Yr 2'!$AK381,IF('Inputs Yr 2'!$AL381=BP$4,'Inputs Yr 2'!$AM381,IF('Inputs Yr 2'!$AN381=BP$4,'Inputs Yr 2'!$AO381,0))))*(INDEX(avoidedcosttbl2,$H380,BY$2)+(($H380-ROUNDDOWN($H380,0))*(INDEX(avoidedcosttbl2,ROUNDUP($H380,0),BY$2)-(INDEX(avoidedcosttbl2,ROUNDDOWN($H380,0),BY$2)))))*'Inputs Yr 2'!P381*'Inputs Yr 2'!Q381*'Inputs Yr 2'!U381,"")</f>
        <v/>
      </c>
      <c r="BZ380" s="193">
        <f t="shared" si="219"/>
        <v>0</v>
      </c>
      <c r="CA380" s="193">
        <f t="shared" si="220"/>
        <v>0</v>
      </c>
      <c r="CB380" s="195" t="str">
        <f>IFERROR(G380*(IF('Inputs Yr 2'!$AJ381=CB$4,'Inputs Yr 2'!$AK381,IF('Inputs Yr 2'!$AL381=CB$4,'Inputs Yr 2'!$AM381,IF('Inputs Yr 2'!$AN381=CB$4,'Inputs Yr 2'!$AO381,0))))*(INDEX(avoidedcosttbl2,$H380,CB$2)+(($H380-ROUNDDOWN($H380,0))*(INDEX(avoidedcosttbl2,ROUNDUP($H380,0),CB$2)-(INDEX(avoidedcosttbl2,ROUNDDOWN($H380,0),CB$2)))))*'Inputs Yr 2'!P381*'Inputs Yr 2'!Q381*'Inputs Yr 2'!U381,"")</f>
        <v/>
      </c>
      <c r="CC380" s="195" t="str">
        <f>IFERROR(H380*(IF('Inputs Yr 2'!$AJ381=CC$4,'Inputs Yr 2'!$AK381,IF('Inputs Yr 2'!$AL381=CC$4,'Inputs Yr 2'!$AM381,IF('Inputs Yr 2'!$AN381=CC$4,'Inputs Yr 2'!$AO381,0))))*(INDEX(avoidedcosttbl2,$H380,CC$2)+(($H380-ROUNDDOWN($H380,0))*(INDEX(avoidedcosttbl2,ROUNDUP($H380,0),CC$2)-(INDEX(avoidedcosttbl2,ROUNDDOWN($H380,0),CC$2)))))*'Inputs Yr 2'!Q381*'Inputs Yr 2'!R381*'Inputs Yr 2'!V381,"")</f>
        <v/>
      </c>
      <c r="CD380" s="195" t="str">
        <f>IFERROR(I380*(IF('Inputs Yr 2'!$AJ381=CD$4,'Inputs Yr 2'!$AK381,IF('Inputs Yr 2'!$AL381=CD$4,'Inputs Yr 2'!$AM381,IF('Inputs Yr 2'!$AN381=CD$4,'Inputs Yr 2'!$AO381,0))))*(INDEX(avoidedcosttbl2,$H380,CD$2)+(($H380-ROUNDDOWN($H380,0))*(INDEX(avoidedcosttbl2,ROUNDUP($H380,0),CD$2)-(INDEX(avoidedcosttbl2,ROUNDDOWN($H380,0),CD$2)))))*'Inputs Yr 2'!R381*'Inputs Yr 2'!S381*'Inputs Yr 2'!W381,"")</f>
        <v/>
      </c>
      <c r="CE380" s="213" t="str">
        <f t="shared" si="221"/>
        <v/>
      </c>
      <c r="CF380" s="213" t="str">
        <f t="shared" si="222"/>
        <v/>
      </c>
      <c r="CG380" s="213" t="str">
        <f t="shared" si="223"/>
        <v/>
      </c>
      <c r="CH380" s="698">
        <f t="shared" si="224"/>
        <v>0</v>
      </c>
      <c r="CI380" s="79" t="str">
        <f>IFERROR(($G380*'Inputs Yr 2'!$P381*'Inputs Yr 2'!$Q381*(((INDEX(avoidedcosttbl2,$H380,CI$2)+(($H380-ROUNDDOWN($H380,0))*(INDEX(avoidedcosttbl2,ROUNDUP($H380,0),CI$2)-INDEX(avoidedcosttbl2,ROUNDDOWN($H380,0),CI$2))))*'Inputs Yr 2'!AS381))),"")</f>
        <v/>
      </c>
      <c r="CJ380" s="504" t="str">
        <f>IFERROR($G380*'Inputs Yr 2'!AT381*'Inputs Yr 2'!$P381*'Inputs Yr 2'!$Q381/((1+realdiscrt1)^-0.5),"")</f>
        <v/>
      </c>
      <c r="CK380" s="79" t="str">
        <f>IFERROR((O380*1000*(((INDEX(avoidedcosttbl2,$H380,CK$2)+(($H380-ROUNDDOWN($H380,0))*(INDEX(avoidedcosttbl2,ROUNDUP($H380,0),CK$2)-INDEX(avoidedcosttbl2,ROUNDDOWN($H380,0),CK$2))))*'Inputs Yr 2'!AU381))),"")</f>
        <v/>
      </c>
      <c r="CL380" s="504" t="str">
        <f>IFERROR(O380*1000*'Inputs Yr 2'!AV381/((1+realdiscrt1)^-0.5),"")</f>
        <v/>
      </c>
      <c r="CM380" s="79" t="str">
        <f>IFERROR((AB380*'Inputs Yr 2'!AW381*(((INDEX(avoidedcosttbl2,$H380,CM$2)+(($H380-ROUNDDOWN($H380,0))*(INDEX(avoidedcosttbl2,ROUNDUP($H380,0),CM$2)-INDEX(avoidedcosttbl2,ROUNDDOWN($H380,0),CM$2)))))))*10,"")</f>
        <v/>
      </c>
      <c r="CN380" s="504">
        <f>IFERROR(10*AB380*'Inputs Yr 2'!AX381/((1+realdiscrt1)^-0.5),"")</f>
        <v>0</v>
      </c>
      <c r="CO380" s="505">
        <f t="shared" si="225"/>
        <v>0</v>
      </c>
      <c r="CP380" s="230">
        <f t="shared" si="226"/>
        <v>0</v>
      </c>
      <c r="CQ380" s="199">
        <f>ROUND(IFERROR(IF(LEFT($A380,1)="C",'Avoided Costs'!$K$13,'Avoided Costs'!$K$12)+1,""),4)</f>
        <v>1.0720000000000001</v>
      </c>
      <c r="CR380" s="199">
        <f>ROUND(IFERROR(IF(LEFT($A380,1)="C",'Avoided Costs'!$L$13,'Avoided Costs'!$L$12)+1,""),4)</f>
        <v>1.04</v>
      </c>
      <c r="CS380" s="199">
        <f>ROUND(IFERROR(IF(LEFT($A380,1)="C",'Avoided Costs'!$M$13,'Avoided Costs'!$M$12)+1,""),4)</f>
        <v>1.0720000000000001</v>
      </c>
      <c r="CT380" s="199">
        <f>ROUND(IFERROR(IF(LEFT($A380,1)="C",'Avoided Costs'!$N$13,'Avoided Costs'!$N$12)+1,""),4)</f>
        <v>1.04</v>
      </c>
      <c r="CU380" s="199">
        <f>ROUND(IFERROR(IF(LEFT($A380,1)="C",'Avoided Costs'!$O$13,'Avoided Costs'!$O$12)+1,""),4)</f>
        <v>1.1120000000000001</v>
      </c>
      <c r="CV380" s="199">
        <f>ROUND(IFERROR(IF(LEFT($A380,1)="C",'Avoided Costs'!$P$13,'Avoided Costs'!$P$12)+1,""),4)</f>
        <v>1.095</v>
      </c>
      <c r="CW380" s="199">
        <f>ROUND(IFERROR(IF(LEFT($A380,1)="C",'Avoided Costs'!$Q$13,'Avoided Costs'!$Q$12)+1,""),4)</f>
        <v>1.1120000000000001</v>
      </c>
      <c r="CX380" s="200">
        <f>ROUND(IFERROR(IF(LEFT($A380,1)="C",'Avoided Costs'!$R$13,'Avoided Costs'!$R$12)+1,""),4)</f>
        <v>1.1120000000000001</v>
      </c>
    </row>
    <row r="381" spans="1:102" s="128" customFormat="1" ht="12.75" customHeight="1">
      <c r="A381" s="91" t="str">
        <f>IF('Inputs Yr 2'!$B418=0,"",'Inputs Yr 2'!A418)</f>
        <v/>
      </c>
      <c r="B381" s="91" t="str">
        <f>IF('Inputs Yr 2'!$B418=0,"",'Inputs Yr 2'!B418)</f>
        <v/>
      </c>
      <c r="C381" s="91" t="str">
        <f>IF('Inputs Yr 2'!$B382=0,"",'Inputs Yr 2'!C382)</f>
        <v/>
      </c>
      <c r="D381" s="91" t="str">
        <f>IF('Inputs Yr 2'!$B382=0,"",'Inputs Yr 2'!E382)</f>
        <v/>
      </c>
      <c r="E381" s="93" t="str">
        <f>IF('Inputs Yr 2'!$B382=0,"",'Inputs Yr 2'!F382)</f>
        <v/>
      </c>
      <c r="F381" s="93" t="str">
        <f>IF('Inputs Yr 2'!$B382=0,"",'Inputs Yr 2'!G382)</f>
        <v/>
      </c>
      <c r="G381" s="95" t="str">
        <f>IF('Inputs Yr 2'!$H382&lt;&gt;0,('Inputs Yr 2'!H382),"")</f>
        <v/>
      </c>
      <c r="H381" s="94">
        <f>IFERROR('Inputs Yr 2'!I382,"")</f>
        <v>0</v>
      </c>
      <c r="I381" s="298" t="str">
        <f>IFERROR('Inputs Yr 2'!J382*'Inputs Yr 2'!P382*G381,"")</f>
        <v/>
      </c>
      <c r="J381" s="298" t="str">
        <f>IFERROR('Inputs Yr 2'!K382*G381,"")</f>
        <v/>
      </c>
      <c r="K381" s="298" t="str">
        <f t="shared" si="197"/>
        <v/>
      </c>
      <c r="L381" s="194" t="str">
        <f>IFERROR(('Inputs Yr 2'!W382*G381)/1000,"")</f>
        <v/>
      </c>
      <c r="M381" s="194" t="str">
        <f>IFERROR(L381*('Inputs Yr 2'!$Q382*'Inputs Yr 2'!$V382*'Inputs Yr 2'!$R382),"")</f>
        <v/>
      </c>
      <c r="N381" s="194" t="str">
        <f t="shared" si="198"/>
        <v/>
      </c>
      <c r="O381" s="194" t="str">
        <f>IFERROR(M381*'Inputs Yr 2'!P382,"")</f>
        <v/>
      </c>
      <c r="P381" s="194" t="str">
        <f t="shared" si="199"/>
        <v/>
      </c>
      <c r="Q381" s="194" t="str">
        <f>IFERROR($P381*'Inputs Yr 2'!AA382,"")</f>
        <v/>
      </c>
      <c r="R381" s="194" t="str">
        <f>IFERROR($P381*'Inputs Yr 2'!AB382,"")</f>
        <v/>
      </c>
      <c r="S381" s="194" t="str">
        <f>IFERROR($P381*'Inputs Yr 2'!AC382,"")</f>
        <v/>
      </c>
      <c r="T381" s="194" t="str">
        <f>IFERROR($P381*'Inputs Yr 2'!AD382,"")</f>
        <v/>
      </c>
      <c r="U381" s="194" t="str">
        <f>IFERROR(G381*'Inputs Yr 2'!$AE382*'Inputs Yr 2'!$P382*'Inputs Yr 2'!$Q382,"")</f>
        <v/>
      </c>
      <c r="V381" s="194" t="str">
        <f>IFERROR($G381*'Inputs Yr 2'!$AE382*'Inputs Yr 2'!$AG382*'Inputs Yr 2'!Q382*'Inputs Yr 2'!$S382,"")</f>
        <v/>
      </c>
      <c r="W381" s="194" t="str">
        <f>IFERROR($G381*'Inputs Yr 2'!$AE382*'Inputs Yr 2'!$AG382*'Inputs Yr 2'!P382*'Inputs Yr 2'!Q382*'Inputs Yr 2'!$S382,"")</f>
        <v/>
      </c>
      <c r="X381" s="194" t="str">
        <f>IFERROR($G381*'Inputs Yr 2'!$AE382*'Inputs Yr 2'!$AF382*'Inputs Yr 2'!Q382*'Inputs Yr 2'!$T382,"")</f>
        <v/>
      </c>
      <c r="Y381" s="194" t="str">
        <f>IFERROR($G381*'Inputs Yr 2'!$AE382*'Inputs Yr 2'!$AF382*'Inputs Yr 2'!P382*'Inputs Yr 2'!Q382*'Inputs Yr 2'!$T382,"")</f>
        <v/>
      </c>
      <c r="Z381" s="257">
        <f>IFERROR($G381*'Inputs Yr 2'!$Q382*'Inputs Yr 2'!$U382*(IF(IFERROR(SEARCH("NG", 'Inputs Yr 2'!$AJ382),0),'Inputs Yr 2'!$AK382,0)+IF(IFERROR(SEARCH("NG", 'Inputs Yr 2'!$AL382),0),'Inputs Yr 2'!$AM382,0)+IF(IFERROR(SEARCH("NG", 'Inputs Yr 2'!$AN382),0),'Inputs Yr 2'!$AO382,0)),0)</f>
        <v>0</v>
      </c>
      <c r="AA381" s="257">
        <f t="shared" si="200"/>
        <v>0</v>
      </c>
      <c r="AB381" s="257">
        <f>IFERROR(Z381*'Inputs Yr 2'!$P382,0)</f>
        <v>0</v>
      </c>
      <c r="AC381" s="257">
        <f t="shared" si="201"/>
        <v>0</v>
      </c>
      <c r="AD381" s="257">
        <f>IFERROR($G381*'Inputs Yr 2'!$Q382*'Inputs Yr 2'!$U382*(IF(IFERROR(SEARCH("Oil", 'Inputs Yr 2'!$AJ382), 0),'Inputs Yr 2'!$AK382,0)+IF(IFERROR(SEARCH("Oil", 'Inputs Yr 2'!$AL382), 0),'Inputs Yr 2'!$AM382,0)+IF(IFERROR(SEARCH("Oil", 'Inputs Yr 2'!$AN382), 0),'Inputs Yr 2'!$AO382,0)),0)</f>
        <v>0</v>
      </c>
      <c r="AE381" s="257">
        <f t="shared" si="202"/>
        <v>0</v>
      </c>
      <c r="AF381" s="257">
        <f>IFERROR(AD381*'Inputs Yr 2'!$P382,0)</f>
        <v>0</v>
      </c>
      <c r="AG381" s="257">
        <f t="shared" si="203"/>
        <v>0</v>
      </c>
      <c r="AH381" s="257">
        <f>IFERROR($G381*'Inputs Yr 2'!$Q382*'Inputs Yr 2'!$U382*(IF('Inputs Yr 2'!$AJ382=CD$4,'Inputs Yr 2'!$AK382,IF('Inputs Yr 2'!$AL382=CD$4,'Inputs Yr 2'!$AM382,IF('Inputs Yr 2'!$AN382=CD$4,'Inputs Yr 2'!$AO382,0)))),0)</f>
        <v>0</v>
      </c>
      <c r="AI381" s="257">
        <f t="shared" si="204"/>
        <v>0</v>
      </c>
      <c r="AJ381" s="257">
        <f>IFERROR(AH381*'Inputs Yr 2'!$P382,0)</f>
        <v>0</v>
      </c>
      <c r="AK381" s="257">
        <f t="shared" si="205"/>
        <v>0</v>
      </c>
      <c r="AL381" s="258">
        <f>IFERROR($G381*'Inputs Yr 2'!$P382*'Inputs Yr 2'!$Q382*'Inputs Yr 2'!AP382,0)</f>
        <v>0</v>
      </c>
      <c r="AM381" s="260">
        <f>IFERROR($G381*'Inputs Yr 2'!$P382*'Inputs Yr 2'!$Q382*'Inputs Yr 2'!AQ382,0)</f>
        <v>0</v>
      </c>
      <c r="AN381" s="258">
        <f>IFERROR($G381*'Inputs Yr 2'!$P382*'Inputs Yr 2'!$Q382*'Inputs Yr 2'!AR382,0)</f>
        <v>0</v>
      </c>
      <c r="AO381" s="257">
        <f t="shared" si="206"/>
        <v>0</v>
      </c>
      <c r="AP381" s="195" t="str">
        <f>IFERROR($CQ381*(INDEX(avoidedcosttbl2,$H381,AP$2)+(($H381-ROUNDDOWN($H381,0))*(INDEX(avoidedcosttbl2,ROUNDUP($H381,0),AP$2)-(INDEX(avoidedcosttbl2,ROUNDDOWN($H381,0),AP$2)))))*$O381*1000*'Inputs Yr 2'!AA382,"")</f>
        <v/>
      </c>
      <c r="AQ381" s="195" t="str">
        <f>IFERROR($CR381*(INDEX(avoidedcosttbl2,$H381,AQ$2)+(($H381-ROUNDDOWN($H381,0))*(INDEX(avoidedcosttbl2,ROUNDUP($H381,0),AQ$2)-(INDEX(avoidedcosttbl2,ROUNDDOWN($H381,0),AQ$2)))))*$O381*1000*'Inputs Yr 2'!AB382,"")</f>
        <v/>
      </c>
      <c r="AR381" s="195" t="str">
        <f>IFERROR($CS381*(INDEX(avoidedcosttbl2,$H381,AR$2)+(($H381-ROUNDDOWN($H381,0))*(INDEX(avoidedcosttbl2,ROUNDUP($H381,0),AR$2)-(INDEX(avoidedcosttbl2,ROUNDDOWN($H381,0),AR$2)))))*$O381*1000*'Inputs Yr 2'!AC382,"")</f>
        <v/>
      </c>
      <c r="AS381" s="195" t="str">
        <f>IFERROR($CT381*(INDEX(avoidedcosttbl2,$H381,AS$2)+(($H381-ROUNDDOWN($H381,0))*(INDEX(avoidedcosttbl2,ROUNDUP($H381,0),AS$2)-(INDEX(avoidedcosttbl2,ROUNDDOWN($H381,0),AS$2)))))*$O381*1000*'Inputs Yr 2'!AD382,"")</f>
        <v/>
      </c>
      <c r="AT381" s="196">
        <f t="shared" si="207"/>
        <v>0</v>
      </c>
      <c r="AU381" s="197" t="str">
        <f>IFERROR($CQ381*((INDEX(avoidedcosttbl2,$H381,AU$2))+(($H381-ROUNDDOWN($H381,0))*((INDEX(avoidedcosttbl2,ROUNDUP($H381,0),AU$2))-(INDEX(avoidedcosttbl2,ROUNDDOWN($H381,0),AU$2)))))*$O381*1000*'Inputs Yr 2'!AA382,"")</f>
        <v/>
      </c>
      <c r="AV381" s="197" t="str">
        <f>IFERROR($CR381*((INDEX(avoidedcosttbl2,$H381,AV$2))+(($H381-ROUNDDOWN($H381,0))*((INDEX(avoidedcosttbl2,ROUNDUP($H381,0),AV$2))-(INDEX(avoidedcosttbl2,ROUNDDOWN($H381,0),AV$2)))))*$O381*1000*'Inputs Yr 2'!AB382,"")</f>
        <v/>
      </c>
      <c r="AW381" s="197" t="str">
        <f>IFERROR($CS381*((INDEX(avoidedcosttbl2,$H381,AW$2))+(($H381-ROUNDDOWN($H381,0))*((INDEX(avoidedcosttbl2,ROUNDUP($H381,0),AW$2))-(INDEX(avoidedcosttbl2,ROUNDDOWN($H381,0),AW$2)))))*$O381*1000*'Inputs Yr 2'!AC382,"")</f>
        <v/>
      </c>
      <c r="AX381" s="197" t="str">
        <f>IFERROR($CT381*((INDEX(avoidedcosttbl2,$H381,AX$2))+(($H381-ROUNDDOWN($H381,0))*((INDEX(avoidedcosttbl2,ROUNDUP($H381,0),AX$2))-(INDEX(avoidedcosttbl2,ROUNDDOWN($H381,0),AX$2)))))*$O381*1000*'Inputs Yr 2'!AD382,"")</f>
        <v/>
      </c>
      <c r="AY381" s="197" t="str">
        <f>IFERROR(((INDEX(avoidedcosttbl2,$H381,AY$2))+(($H381-ROUNDDOWN($H381,0))*((INDEX(avoidedcosttbl2,ROUNDUP($H381,0),AY$2))-(INDEX(avoidedcosttbl2,ROUNDDOWN($H381,0),AY$2)))))*$O381*1000*('Inputs Yr 2'!AC382+'Inputs Yr 2'!AD382),"")</f>
        <v/>
      </c>
      <c r="AZ381" s="197" t="str">
        <f>IFERROR(((INDEX(avoidedcosttbl2,$H381,AZ$2))+(($H381-ROUNDDOWN($H381,0))*((INDEX(avoidedcosttbl2,ROUNDUP($H381,0),AZ$2))-(INDEX(avoidedcosttbl2,ROUNDDOWN($H381,0),AZ$2)))))*$O381*1000*('Inputs Yr 2'!AA382+'Inputs Yr 2'!AB382),"")</f>
        <v/>
      </c>
      <c r="BA381" s="198">
        <f t="shared" si="208"/>
        <v>0</v>
      </c>
      <c r="BB381" s="198">
        <f t="shared" si="209"/>
        <v>0</v>
      </c>
      <c r="BC381" s="195" t="str">
        <f t="shared" si="210"/>
        <v/>
      </c>
      <c r="BD381" s="195" t="str">
        <f t="shared" si="211"/>
        <v/>
      </c>
      <c r="BE381" s="195" t="str">
        <f t="shared" si="212"/>
        <v/>
      </c>
      <c r="BF381" s="195" t="str">
        <f t="shared" si="213"/>
        <v/>
      </c>
      <c r="BG381" s="195" t="str">
        <f t="shared" si="214"/>
        <v/>
      </c>
      <c r="BH381" s="196">
        <f t="shared" si="215"/>
        <v>0</v>
      </c>
      <c r="BI381" s="196">
        <f t="shared" si="216"/>
        <v>0</v>
      </c>
      <c r="BJ381" s="195" t="str">
        <f>IFERROR($G381*(IF('Inputs Yr 2'!$AJ382=BJ$4,'Inputs Yr 2'!$AK382,IF('Inputs Yr 2'!$AL382=BJ$4,'Inputs Yr 2'!$AM382,IF('Inputs Yr 2'!$AN382=BJ$4,'Inputs Yr 2'!$AO382,0))))*(INDEX(avoidedcosttbl2,$H381,BJ$2)+(($H381-ROUNDDOWN($H381,0))*(INDEX(avoidedcosttbl2,ROUNDUP($H381,0),BJ$2)-(INDEX(avoidedcosttbl2,ROUNDDOWN($H381,0),BJ$2)))))*'Inputs Yr 2'!P382*'Inputs Yr 2'!Q382*'Inputs Yr 2'!U382,"")</f>
        <v/>
      </c>
      <c r="BK381" s="195" t="str">
        <f>IFERROR($G381*(IF('Inputs Yr 2'!$AJ382=BK$4,'Inputs Yr 2'!$AK382,IF('Inputs Yr 2'!$AL382=BK$4,'Inputs Yr 2'!$AM382,IF('Inputs Yr 2'!$AN382=BK$4,'Inputs Yr 2'!$AO382,0))))*(INDEX(avoidedcosttbl2,$H381,BK$2)+(($H381-ROUNDDOWN($H381,0))*(INDEX(avoidedcosttbl2,ROUNDUP($H381,0),BK$2)-(INDEX(avoidedcosttbl2,ROUNDDOWN($H381,0),BK$2)))))*'Inputs Yr 2'!P382*'Inputs Yr 2'!Q382*'Inputs Yr 2'!U382,"")</f>
        <v/>
      </c>
      <c r="BL381" s="195" t="str">
        <f>IFERROR($G381*(IF('Inputs Yr 2'!$AJ382=BL$4,'Inputs Yr 2'!$AK382,IF('Inputs Yr 2'!$AL382=BL$4,'Inputs Yr 2'!$AM382,IF('Inputs Yr 2'!$AN382=BL$4,'Inputs Yr 2'!$AO382,0))))*(INDEX(avoidedcosttbl2,$H381,BL$2)+(($H381-ROUNDDOWN($H381,0))*(INDEX(avoidedcosttbl2,ROUNDUP($H381,0),BL$2)-(INDEX(avoidedcosttbl2,ROUNDDOWN($H381,0),BL$2)))))*'Inputs Yr 2'!P382*'Inputs Yr 2'!Q382*'Inputs Yr 2'!U382,"")</f>
        <v/>
      </c>
      <c r="BM381" s="195" t="str">
        <f>IFERROR($G381*(IF('Inputs Yr 2'!$AJ382=BM$4,'Inputs Yr 2'!$AK382,IF('Inputs Yr 2'!$AL382=BM$4,'Inputs Yr 2'!$AM382,IF('Inputs Yr 2'!$AN382=BM$4,'Inputs Yr 2'!$AO382,0))))*(INDEX(avoidedcosttbl2,$H381,BM$2)+(($H381-ROUNDDOWN($H381,0))*(INDEX(avoidedcosttbl2,ROUNDUP($H381,0),BM$2)-(INDEX(avoidedcosttbl2,ROUNDDOWN($H381,0),BM$2)))))*'Inputs Yr 2'!P382*'Inputs Yr 2'!Q382*'Inputs Yr 2'!U382,"")</f>
        <v/>
      </c>
      <c r="BN381" s="195" t="str">
        <f>IFERROR($G381*(IF('Inputs Yr 2'!$AJ382=BN$4,'Inputs Yr 2'!$AK382,IF('Inputs Yr 2'!$AL382=BN$4,'Inputs Yr 2'!$AM382,IF('Inputs Yr 2'!$AN382=BN$4,'Inputs Yr 2'!$AO382,0))))*(INDEX(avoidedcosttbl2,$H381,BN$2)+(($H381-ROUNDDOWN($H381,0))*(INDEX(avoidedcosttbl2,ROUNDUP($H381,0),BN$2)-(INDEX(avoidedcosttbl2,ROUNDDOWN($H381,0),BN$2)))))*'Inputs Yr 2'!P382*'Inputs Yr 2'!Q382*'Inputs Yr 2'!U382,"")</f>
        <v/>
      </c>
      <c r="BO381" s="195" t="str">
        <f>IFERROR($G381*(IF('Inputs Yr 2'!$AJ382=BO$4,'Inputs Yr 2'!$AK382,IF('Inputs Yr 2'!$AL382=BO$4,'Inputs Yr 2'!$AM382,IF('Inputs Yr 2'!$AN382=BO$4,'Inputs Yr 2'!$AO382,0))))*(INDEX(avoidedcosttbl2,$H381,BO$2)+(($H381-ROUNDDOWN($H381,0))*(INDEX(avoidedcosttbl2,ROUNDUP($H381,0),BO$2)-(INDEX(avoidedcosttbl2,ROUNDDOWN($H381,0),BO$2)))))*'Inputs Yr 2'!P382*'Inputs Yr 2'!Q382*'Inputs Yr 2'!U382,"")</f>
        <v/>
      </c>
      <c r="BP381" s="195" t="str">
        <f>IFERROR($G381*(IF('Inputs Yr 2'!$AJ382=BP$4,'Inputs Yr 2'!$AK382,IF('Inputs Yr 2'!$AL382=BP$4,'Inputs Yr 2'!$AM382,IF('Inputs Yr 2'!$AN382=BP$4,'Inputs Yr 2'!$AO382,0))))*(INDEX(avoidedcosttbl2,$H381,BP$2)+(($H381-ROUNDDOWN($H381,0))*(INDEX(avoidedcosttbl2,ROUNDUP($H381,0),BP$2)-(INDEX(avoidedcosttbl2,ROUNDDOWN($H381,0),BP$2)))))*'Inputs Yr 2'!P382*'Inputs Yr 2'!Q382*'Inputs Yr 2'!U382,"")</f>
        <v/>
      </c>
      <c r="BQ381" s="230">
        <f t="shared" si="217"/>
        <v>0</v>
      </c>
      <c r="BR381" s="197" t="str">
        <f t="shared" si="218"/>
        <v/>
      </c>
      <c r="BS381" s="197" t="str">
        <f>IFERROR(($G381*IF('Inputs Yr 2'!$AJ382=BM$4,'Inputs Yr 2'!$AK382,IF('Inputs Yr 2'!$AL382=BM$4,'Inputs Yr 2'!$AM382,IF('Inputs Yr 2'!$AN382=BM$4,'Inputs Yr 2'!$AO382,0))))*(INDEX(avoidedcosttbl2,$H381,BS$2)+(($H381-ROUNDDOWN($H381,0))*(INDEX(avoidedcosttbl2,ROUNDUP($H381,0),BS$2)-(INDEX(avoidedcosttbl2,ROUNDDOWN($H381,0),BS$2)))))*'Inputs Yr 2'!P382*'Inputs Yr 2'!Q382*'Inputs Yr 2'!U382,"")</f>
        <v/>
      </c>
      <c r="BT381" s="197" t="str">
        <f>IFERROR(($G381*IF('Inputs Yr 2'!$AJ382=BK$4,'Inputs Yr 2'!$AK382,IF('Inputs Yr 2'!$AL382=BK$4,'Inputs Yr 2'!$AM382,IF('Inputs Yr 2'!$AN382=BK$4,'Inputs Yr 2'!$AO382,0))))*(INDEX(avoidedcosttbl2,$H381,BT$2)+(($H381-ROUNDDOWN($H381,0))*(INDEX(avoidedcosttbl2,ROUNDUP($H381,0),BT$2)-(INDEX(avoidedcosttbl2,ROUNDDOWN($H381,0),BT$2)))))*'Inputs Yr 2'!P382*'Inputs Yr 2'!Q382*'Inputs Yr 2'!U382,"")</f>
        <v/>
      </c>
      <c r="BU381" s="197" t="str">
        <f>IFERROR(($G381*IF('Inputs Yr 2'!$AJ382=BL$4,'Inputs Yr 2'!$AK382,IF('Inputs Yr 2'!$AL382=BL$4,'Inputs Yr 2'!$AM382,IF('Inputs Yr 2'!$AN382=BL$4,'Inputs Yr 2'!$AO382,0))))*(INDEX(avoidedcosttbl2,$H381,BU$2)+(($H381-ROUNDDOWN($H381,0))*(INDEX(avoidedcosttbl2,ROUNDUP($H381,0),BU$2)-(INDEX(avoidedcosttbl2,ROUNDDOWN($H381,0),BU$2)))))*'Inputs Yr 2'!P382*'Inputs Yr 2'!Q382*'Inputs Yr 2'!U382,"")</f>
        <v/>
      </c>
      <c r="BV381" s="775" t="str">
        <f>IFERROR(($G381*IF('Inputs Yr 2'!$AJ382=BJ$4,'Inputs Yr 2'!$AK382,IF('Inputs Yr 2'!$AL382=BJ$4,'Inputs Yr 2'!$AM382,IF('Inputs Yr 2'!$AN382=BJ$4,'Inputs Yr 2'!$AO382,0))))*(INDEX(avoidedcosttbl2,$H381,BV$2)+(($H381-ROUNDDOWN($H381,0))*(INDEX(avoidedcosttbl2,ROUNDUP($H381,0),BV$2)-(INDEX(avoidedcosttbl2,ROUNDDOWN($H381,0),BV$2)))))*'Inputs Yr 2'!P382*'Inputs Yr 2'!Q382*'Inputs Yr 2'!U382,"")</f>
        <v/>
      </c>
      <c r="BW381" s="197" t="str">
        <f>IFERROR(($G381*IF('Inputs Yr 2'!$AJ382=BN$4,'Inputs Yr 2'!$AK382,IF('Inputs Yr 2'!$AL382=BN$4,'Inputs Yr 2'!$AM382,IF('Inputs Yr 2'!$AN382=BN$4,'Inputs Yr 2'!$AO382,0))))*(INDEX(avoidedcosttbl2,$H381,BW$2)+(($H381-ROUNDDOWN($H381,0))*(INDEX(avoidedcosttbl2,ROUNDUP($H381,0),BW$2)-(INDEX(avoidedcosttbl2,ROUNDDOWN($H381,0),BW$2)))))*'Inputs Yr 2'!P382*'Inputs Yr 2'!Q382*'Inputs Yr 2'!U382,"")</f>
        <v/>
      </c>
      <c r="BX381" s="197" t="str">
        <f>IFERROR(($G381*IF('Inputs Yr 2'!$AJ382=BO$4,'Inputs Yr 2'!$AK382,IF('Inputs Yr 2'!$AL382=BO$4,'Inputs Yr 2'!$AM382,IF('Inputs Yr 2'!$AN382=BO$4,'Inputs Yr 2'!$AO382,0))))*(INDEX(avoidedcosttbl2,$H381,BX$2)+(($H381-ROUNDDOWN($H381,0))*(INDEX(avoidedcosttbl2,ROUNDUP($H381,0),BX$2)-(INDEX(avoidedcosttbl2,ROUNDDOWN($H381,0),BX$2)))))*'Inputs Yr 2'!P382*'Inputs Yr 2'!Q382*'Inputs Yr 2'!U382,"")</f>
        <v/>
      </c>
      <c r="BY381" s="197" t="str">
        <f>IFERROR(($G381*IF('Inputs Yr 2'!$AJ382=BP$4,'Inputs Yr 2'!$AK382,IF('Inputs Yr 2'!$AL382=BP$4,'Inputs Yr 2'!$AM382,IF('Inputs Yr 2'!$AN382=BP$4,'Inputs Yr 2'!$AO382,0))))*(INDEX(avoidedcosttbl2,$H381,BY$2)+(($H381-ROUNDDOWN($H381,0))*(INDEX(avoidedcosttbl2,ROUNDUP($H381,0),BY$2)-(INDEX(avoidedcosttbl2,ROUNDDOWN($H381,0),BY$2)))))*'Inputs Yr 2'!P382*'Inputs Yr 2'!Q382*'Inputs Yr 2'!U382,"")</f>
        <v/>
      </c>
      <c r="BZ381" s="193">
        <f t="shared" si="219"/>
        <v>0</v>
      </c>
      <c r="CA381" s="193">
        <f t="shared" si="220"/>
        <v>0</v>
      </c>
      <c r="CB381" s="195" t="str">
        <f>IFERROR(G381*(IF('Inputs Yr 2'!$AJ382=CB$4,'Inputs Yr 2'!$AK382,IF('Inputs Yr 2'!$AL382=CB$4,'Inputs Yr 2'!$AM382,IF('Inputs Yr 2'!$AN382=CB$4,'Inputs Yr 2'!$AO382,0))))*(INDEX(avoidedcosttbl2,$H381,CB$2)+(($H381-ROUNDDOWN($H381,0))*(INDEX(avoidedcosttbl2,ROUNDUP($H381,0),CB$2)-(INDEX(avoidedcosttbl2,ROUNDDOWN($H381,0),CB$2)))))*'Inputs Yr 2'!P382*'Inputs Yr 2'!Q382*'Inputs Yr 2'!U382,"")</f>
        <v/>
      </c>
      <c r="CC381" s="195" t="str">
        <f>IFERROR(H381*(IF('Inputs Yr 2'!$AJ382=CC$4,'Inputs Yr 2'!$AK382,IF('Inputs Yr 2'!$AL382=CC$4,'Inputs Yr 2'!$AM382,IF('Inputs Yr 2'!$AN382=CC$4,'Inputs Yr 2'!$AO382,0))))*(INDEX(avoidedcosttbl2,$H381,CC$2)+(($H381-ROUNDDOWN($H381,0))*(INDEX(avoidedcosttbl2,ROUNDUP($H381,0),CC$2)-(INDEX(avoidedcosttbl2,ROUNDDOWN($H381,0),CC$2)))))*'Inputs Yr 2'!Q382*'Inputs Yr 2'!R382*'Inputs Yr 2'!V382,"")</f>
        <v/>
      </c>
      <c r="CD381" s="195" t="str">
        <f>IFERROR(I381*(IF('Inputs Yr 2'!$AJ382=CD$4,'Inputs Yr 2'!$AK382,IF('Inputs Yr 2'!$AL382=CD$4,'Inputs Yr 2'!$AM382,IF('Inputs Yr 2'!$AN382=CD$4,'Inputs Yr 2'!$AO382,0))))*(INDEX(avoidedcosttbl2,$H381,CD$2)+(($H381-ROUNDDOWN($H381,0))*(INDEX(avoidedcosttbl2,ROUNDUP($H381,0),CD$2)-(INDEX(avoidedcosttbl2,ROUNDDOWN($H381,0),CD$2)))))*'Inputs Yr 2'!R382*'Inputs Yr 2'!S382*'Inputs Yr 2'!W382,"")</f>
        <v/>
      </c>
      <c r="CE381" s="213" t="str">
        <f t="shared" si="221"/>
        <v/>
      </c>
      <c r="CF381" s="213" t="str">
        <f t="shared" si="222"/>
        <v/>
      </c>
      <c r="CG381" s="213" t="str">
        <f t="shared" si="223"/>
        <v/>
      </c>
      <c r="CH381" s="698">
        <f t="shared" si="224"/>
        <v>0</v>
      </c>
      <c r="CI381" s="79" t="str">
        <f>IFERROR(($G381*'Inputs Yr 2'!$P382*'Inputs Yr 2'!$Q382*(((INDEX(avoidedcosttbl2,$H381,CI$2)+(($H381-ROUNDDOWN($H381,0))*(INDEX(avoidedcosttbl2,ROUNDUP($H381,0),CI$2)-INDEX(avoidedcosttbl2,ROUNDDOWN($H381,0),CI$2))))*'Inputs Yr 2'!AS382))),"")</f>
        <v/>
      </c>
      <c r="CJ381" s="504" t="str">
        <f>IFERROR($G381*'Inputs Yr 2'!AT382*'Inputs Yr 2'!$P382*'Inputs Yr 2'!$Q382/((1+realdiscrt1)^-0.5),"")</f>
        <v/>
      </c>
      <c r="CK381" s="79" t="str">
        <f>IFERROR((O381*1000*(((INDEX(avoidedcosttbl2,$H381,CK$2)+(($H381-ROUNDDOWN($H381,0))*(INDEX(avoidedcosttbl2,ROUNDUP($H381,0),CK$2)-INDEX(avoidedcosttbl2,ROUNDDOWN($H381,0),CK$2))))*'Inputs Yr 2'!AU382))),"")</f>
        <v/>
      </c>
      <c r="CL381" s="504" t="str">
        <f>IFERROR(O381*1000*'Inputs Yr 2'!AV382/((1+realdiscrt1)^-0.5),"")</f>
        <v/>
      </c>
      <c r="CM381" s="79" t="str">
        <f>IFERROR((AB381*'Inputs Yr 2'!AW382*(((INDEX(avoidedcosttbl2,$H381,CM$2)+(($H381-ROUNDDOWN($H381,0))*(INDEX(avoidedcosttbl2,ROUNDUP($H381,0),CM$2)-INDEX(avoidedcosttbl2,ROUNDDOWN($H381,0),CM$2)))))))*10,"")</f>
        <v/>
      </c>
      <c r="CN381" s="504">
        <f>IFERROR(10*AB381*'Inputs Yr 2'!AX382/((1+realdiscrt1)^-0.5),"")</f>
        <v>0</v>
      </c>
      <c r="CO381" s="505">
        <f t="shared" si="225"/>
        <v>0</v>
      </c>
      <c r="CP381" s="230">
        <f t="shared" si="226"/>
        <v>0</v>
      </c>
      <c r="CQ381" s="199">
        <f>ROUND(IFERROR(IF(LEFT($A381,1)="C",'Avoided Costs'!$K$13,'Avoided Costs'!$K$12)+1,""),4)</f>
        <v>1.0720000000000001</v>
      </c>
      <c r="CR381" s="199">
        <f>ROUND(IFERROR(IF(LEFT($A381,1)="C",'Avoided Costs'!$L$13,'Avoided Costs'!$L$12)+1,""),4)</f>
        <v>1.04</v>
      </c>
      <c r="CS381" s="199">
        <f>ROUND(IFERROR(IF(LEFT($A381,1)="C",'Avoided Costs'!$M$13,'Avoided Costs'!$M$12)+1,""),4)</f>
        <v>1.0720000000000001</v>
      </c>
      <c r="CT381" s="199">
        <f>ROUND(IFERROR(IF(LEFT($A381,1)="C",'Avoided Costs'!$N$13,'Avoided Costs'!$N$12)+1,""),4)</f>
        <v>1.04</v>
      </c>
      <c r="CU381" s="199">
        <f>ROUND(IFERROR(IF(LEFT($A381,1)="C",'Avoided Costs'!$O$13,'Avoided Costs'!$O$12)+1,""),4)</f>
        <v>1.1120000000000001</v>
      </c>
      <c r="CV381" s="199">
        <f>ROUND(IFERROR(IF(LEFT($A381,1)="C",'Avoided Costs'!$P$13,'Avoided Costs'!$P$12)+1,""),4)</f>
        <v>1.095</v>
      </c>
      <c r="CW381" s="199">
        <f>ROUND(IFERROR(IF(LEFT($A381,1)="C",'Avoided Costs'!$Q$13,'Avoided Costs'!$Q$12)+1,""),4)</f>
        <v>1.1120000000000001</v>
      </c>
      <c r="CX381" s="200">
        <f>ROUND(IFERROR(IF(LEFT($A381,1)="C",'Avoided Costs'!$R$13,'Avoided Costs'!$R$12)+1,""),4)</f>
        <v>1.1120000000000001</v>
      </c>
    </row>
    <row r="382" spans="1:102" s="128" customFormat="1" ht="12.75" customHeight="1">
      <c r="A382" s="91" t="str">
        <f>IF('Inputs Yr 2'!$B419=0,"",'Inputs Yr 2'!A419)</f>
        <v/>
      </c>
      <c r="B382" s="91" t="str">
        <f>IF('Inputs Yr 2'!$B419=0,"",'Inputs Yr 2'!B419)</f>
        <v/>
      </c>
      <c r="C382" s="91" t="str">
        <f>IF('Inputs Yr 2'!$B383=0,"",'Inputs Yr 2'!C383)</f>
        <v/>
      </c>
      <c r="D382" s="91" t="str">
        <f>IF('Inputs Yr 2'!$B383=0,"",'Inputs Yr 2'!E383)</f>
        <v/>
      </c>
      <c r="E382" s="93" t="str">
        <f>IF('Inputs Yr 2'!$B383=0,"",'Inputs Yr 2'!F383)</f>
        <v/>
      </c>
      <c r="F382" s="93" t="str">
        <f>IF('Inputs Yr 2'!$B383=0,"",'Inputs Yr 2'!G383)</f>
        <v/>
      </c>
      <c r="G382" s="95" t="str">
        <f>IF('Inputs Yr 2'!$H383&lt;&gt;0,('Inputs Yr 2'!H383),"")</f>
        <v/>
      </c>
      <c r="H382" s="94">
        <f>IFERROR('Inputs Yr 2'!I383,"")</f>
        <v>0</v>
      </c>
      <c r="I382" s="298" t="str">
        <f>IFERROR('Inputs Yr 2'!J383*'Inputs Yr 2'!P383*G382,"")</f>
        <v/>
      </c>
      <c r="J382" s="298" t="str">
        <f>IFERROR('Inputs Yr 2'!K383*G382,"")</f>
        <v/>
      </c>
      <c r="K382" s="298" t="str">
        <f t="shared" si="197"/>
        <v/>
      </c>
      <c r="L382" s="194" t="str">
        <f>IFERROR(('Inputs Yr 2'!W383*G382)/1000,"")</f>
        <v/>
      </c>
      <c r="M382" s="194" t="str">
        <f>IFERROR(L382*('Inputs Yr 2'!$Q383*'Inputs Yr 2'!$V383*'Inputs Yr 2'!$R383),"")</f>
        <v/>
      </c>
      <c r="N382" s="194" t="str">
        <f t="shared" si="198"/>
        <v/>
      </c>
      <c r="O382" s="194" t="str">
        <f>IFERROR(M382*'Inputs Yr 2'!P383,"")</f>
        <v/>
      </c>
      <c r="P382" s="194" t="str">
        <f t="shared" si="199"/>
        <v/>
      </c>
      <c r="Q382" s="194" t="str">
        <f>IFERROR($P382*'Inputs Yr 2'!AA383,"")</f>
        <v/>
      </c>
      <c r="R382" s="194" t="str">
        <f>IFERROR($P382*'Inputs Yr 2'!AB383,"")</f>
        <v/>
      </c>
      <c r="S382" s="194" t="str">
        <f>IFERROR($P382*'Inputs Yr 2'!AC383,"")</f>
        <v/>
      </c>
      <c r="T382" s="194" t="str">
        <f>IFERROR($P382*'Inputs Yr 2'!AD383,"")</f>
        <v/>
      </c>
      <c r="U382" s="194" t="str">
        <f>IFERROR(G382*'Inputs Yr 2'!$AE383*'Inputs Yr 2'!$P383*'Inputs Yr 2'!$Q383,"")</f>
        <v/>
      </c>
      <c r="V382" s="194" t="str">
        <f>IFERROR($G382*'Inputs Yr 2'!$AE383*'Inputs Yr 2'!$AG383*'Inputs Yr 2'!Q383*'Inputs Yr 2'!$S383,"")</f>
        <v/>
      </c>
      <c r="W382" s="194" t="str">
        <f>IFERROR($G382*'Inputs Yr 2'!$AE383*'Inputs Yr 2'!$AG383*'Inputs Yr 2'!P383*'Inputs Yr 2'!Q383*'Inputs Yr 2'!$S383,"")</f>
        <v/>
      </c>
      <c r="X382" s="194" t="str">
        <f>IFERROR($G382*'Inputs Yr 2'!$AE383*'Inputs Yr 2'!$AF383*'Inputs Yr 2'!Q383*'Inputs Yr 2'!$T383,"")</f>
        <v/>
      </c>
      <c r="Y382" s="194" t="str">
        <f>IFERROR($G382*'Inputs Yr 2'!$AE383*'Inputs Yr 2'!$AF383*'Inputs Yr 2'!P383*'Inputs Yr 2'!Q383*'Inputs Yr 2'!$T383,"")</f>
        <v/>
      </c>
      <c r="Z382" s="257">
        <f>IFERROR($G382*'Inputs Yr 2'!$Q383*'Inputs Yr 2'!$U383*(IF(IFERROR(SEARCH("NG", 'Inputs Yr 2'!$AJ383),0),'Inputs Yr 2'!$AK383,0)+IF(IFERROR(SEARCH("NG", 'Inputs Yr 2'!$AL383),0),'Inputs Yr 2'!$AM383,0)+IF(IFERROR(SEARCH("NG", 'Inputs Yr 2'!$AN383),0),'Inputs Yr 2'!$AO383,0)),0)</f>
        <v>0</v>
      </c>
      <c r="AA382" s="257">
        <f t="shared" si="200"/>
        <v>0</v>
      </c>
      <c r="AB382" s="257">
        <f>IFERROR(Z382*'Inputs Yr 2'!$P383,0)</f>
        <v>0</v>
      </c>
      <c r="AC382" s="257">
        <f t="shared" si="201"/>
        <v>0</v>
      </c>
      <c r="AD382" s="257">
        <f>IFERROR($G382*'Inputs Yr 2'!$Q383*'Inputs Yr 2'!$U383*(IF(IFERROR(SEARCH("Oil", 'Inputs Yr 2'!$AJ383), 0),'Inputs Yr 2'!$AK383,0)+IF(IFERROR(SEARCH("Oil", 'Inputs Yr 2'!$AL383), 0),'Inputs Yr 2'!$AM383,0)+IF(IFERROR(SEARCH("Oil", 'Inputs Yr 2'!$AN383), 0),'Inputs Yr 2'!$AO383,0)),0)</f>
        <v>0</v>
      </c>
      <c r="AE382" s="257">
        <f t="shared" si="202"/>
        <v>0</v>
      </c>
      <c r="AF382" s="257">
        <f>IFERROR(AD382*'Inputs Yr 2'!$P383,0)</f>
        <v>0</v>
      </c>
      <c r="AG382" s="257">
        <f t="shared" si="203"/>
        <v>0</v>
      </c>
      <c r="AH382" s="257">
        <f>IFERROR($G382*'Inputs Yr 2'!$Q383*'Inputs Yr 2'!$U383*(IF('Inputs Yr 2'!$AJ383=CD$4,'Inputs Yr 2'!$AK383,IF('Inputs Yr 2'!$AL383=CD$4,'Inputs Yr 2'!$AM383,IF('Inputs Yr 2'!$AN383=CD$4,'Inputs Yr 2'!$AO383,0)))),0)</f>
        <v>0</v>
      </c>
      <c r="AI382" s="257">
        <f t="shared" si="204"/>
        <v>0</v>
      </c>
      <c r="AJ382" s="257">
        <f>IFERROR(AH382*'Inputs Yr 2'!$P383,0)</f>
        <v>0</v>
      </c>
      <c r="AK382" s="257">
        <f t="shared" si="205"/>
        <v>0</v>
      </c>
      <c r="AL382" s="258">
        <f>IFERROR($G382*'Inputs Yr 2'!$P383*'Inputs Yr 2'!$Q383*'Inputs Yr 2'!AP383,0)</f>
        <v>0</v>
      </c>
      <c r="AM382" s="260">
        <f>IFERROR($G382*'Inputs Yr 2'!$P383*'Inputs Yr 2'!$Q383*'Inputs Yr 2'!AQ383,0)</f>
        <v>0</v>
      </c>
      <c r="AN382" s="258">
        <f>IFERROR($G382*'Inputs Yr 2'!$P383*'Inputs Yr 2'!$Q383*'Inputs Yr 2'!AR383,0)</f>
        <v>0</v>
      </c>
      <c r="AO382" s="257">
        <f t="shared" si="206"/>
        <v>0</v>
      </c>
      <c r="AP382" s="195" t="str">
        <f>IFERROR($CQ382*(INDEX(avoidedcosttbl2,$H382,AP$2)+(($H382-ROUNDDOWN($H382,0))*(INDEX(avoidedcosttbl2,ROUNDUP($H382,0),AP$2)-(INDEX(avoidedcosttbl2,ROUNDDOWN($H382,0),AP$2)))))*$O382*1000*'Inputs Yr 2'!AA383,"")</f>
        <v/>
      </c>
      <c r="AQ382" s="195" t="str">
        <f>IFERROR($CR382*(INDEX(avoidedcosttbl2,$H382,AQ$2)+(($H382-ROUNDDOWN($H382,0))*(INDEX(avoidedcosttbl2,ROUNDUP($H382,0),AQ$2)-(INDEX(avoidedcosttbl2,ROUNDDOWN($H382,0),AQ$2)))))*$O382*1000*'Inputs Yr 2'!AB383,"")</f>
        <v/>
      </c>
      <c r="AR382" s="195" t="str">
        <f>IFERROR($CS382*(INDEX(avoidedcosttbl2,$H382,AR$2)+(($H382-ROUNDDOWN($H382,0))*(INDEX(avoidedcosttbl2,ROUNDUP($H382,0),AR$2)-(INDEX(avoidedcosttbl2,ROUNDDOWN($H382,0),AR$2)))))*$O382*1000*'Inputs Yr 2'!AC383,"")</f>
        <v/>
      </c>
      <c r="AS382" s="195" t="str">
        <f>IFERROR($CT382*(INDEX(avoidedcosttbl2,$H382,AS$2)+(($H382-ROUNDDOWN($H382,0))*(INDEX(avoidedcosttbl2,ROUNDUP($H382,0),AS$2)-(INDEX(avoidedcosttbl2,ROUNDDOWN($H382,0),AS$2)))))*$O382*1000*'Inputs Yr 2'!AD383,"")</f>
        <v/>
      </c>
      <c r="AT382" s="196">
        <f t="shared" si="207"/>
        <v>0</v>
      </c>
      <c r="AU382" s="197" t="str">
        <f>IFERROR($CQ382*((INDEX(avoidedcosttbl2,$H382,AU$2))+(($H382-ROUNDDOWN($H382,0))*((INDEX(avoidedcosttbl2,ROUNDUP($H382,0),AU$2))-(INDEX(avoidedcosttbl2,ROUNDDOWN($H382,0),AU$2)))))*$O382*1000*'Inputs Yr 2'!AA383,"")</f>
        <v/>
      </c>
      <c r="AV382" s="197" t="str">
        <f>IFERROR($CR382*((INDEX(avoidedcosttbl2,$H382,AV$2))+(($H382-ROUNDDOWN($H382,0))*((INDEX(avoidedcosttbl2,ROUNDUP($H382,0),AV$2))-(INDEX(avoidedcosttbl2,ROUNDDOWN($H382,0),AV$2)))))*$O382*1000*'Inputs Yr 2'!AB383,"")</f>
        <v/>
      </c>
      <c r="AW382" s="197" t="str">
        <f>IFERROR($CS382*((INDEX(avoidedcosttbl2,$H382,AW$2))+(($H382-ROUNDDOWN($H382,0))*((INDEX(avoidedcosttbl2,ROUNDUP($H382,0),AW$2))-(INDEX(avoidedcosttbl2,ROUNDDOWN($H382,0),AW$2)))))*$O382*1000*'Inputs Yr 2'!AC383,"")</f>
        <v/>
      </c>
      <c r="AX382" s="197" t="str">
        <f>IFERROR($CT382*((INDEX(avoidedcosttbl2,$H382,AX$2))+(($H382-ROUNDDOWN($H382,0))*((INDEX(avoidedcosttbl2,ROUNDUP($H382,0),AX$2))-(INDEX(avoidedcosttbl2,ROUNDDOWN($H382,0),AX$2)))))*$O382*1000*'Inputs Yr 2'!AD383,"")</f>
        <v/>
      </c>
      <c r="AY382" s="197" t="str">
        <f>IFERROR(((INDEX(avoidedcosttbl2,$H382,AY$2))+(($H382-ROUNDDOWN($H382,0))*((INDEX(avoidedcosttbl2,ROUNDUP($H382,0),AY$2))-(INDEX(avoidedcosttbl2,ROUNDDOWN($H382,0),AY$2)))))*$O382*1000*('Inputs Yr 2'!AC383+'Inputs Yr 2'!AD383),"")</f>
        <v/>
      </c>
      <c r="AZ382" s="197" t="str">
        <f>IFERROR(((INDEX(avoidedcosttbl2,$H382,AZ$2))+(($H382-ROUNDDOWN($H382,0))*((INDEX(avoidedcosttbl2,ROUNDUP($H382,0),AZ$2))-(INDEX(avoidedcosttbl2,ROUNDDOWN($H382,0),AZ$2)))))*$O382*1000*('Inputs Yr 2'!AA383+'Inputs Yr 2'!AB383),"")</f>
        <v/>
      </c>
      <c r="BA382" s="198">
        <f t="shared" si="208"/>
        <v>0</v>
      </c>
      <c r="BB382" s="198">
        <f t="shared" si="209"/>
        <v>0</v>
      </c>
      <c r="BC382" s="195" t="str">
        <f t="shared" si="210"/>
        <v/>
      </c>
      <c r="BD382" s="195" t="str">
        <f t="shared" si="211"/>
        <v/>
      </c>
      <c r="BE382" s="195" t="str">
        <f t="shared" si="212"/>
        <v/>
      </c>
      <c r="BF382" s="195" t="str">
        <f t="shared" si="213"/>
        <v/>
      </c>
      <c r="BG382" s="195" t="str">
        <f t="shared" si="214"/>
        <v/>
      </c>
      <c r="BH382" s="196">
        <f t="shared" si="215"/>
        <v>0</v>
      </c>
      <c r="BI382" s="196">
        <f t="shared" si="216"/>
        <v>0</v>
      </c>
      <c r="BJ382" s="195" t="str">
        <f>IFERROR($G382*(IF('Inputs Yr 2'!$AJ383=BJ$4,'Inputs Yr 2'!$AK383,IF('Inputs Yr 2'!$AL383=BJ$4,'Inputs Yr 2'!$AM383,IF('Inputs Yr 2'!$AN383=BJ$4,'Inputs Yr 2'!$AO383,0))))*(INDEX(avoidedcosttbl2,$H382,BJ$2)+(($H382-ROUNDDOWN($H382,0))*(INDEX(avoidedcosttbl2,ROUNDUP($H382,0),BJ$2)-(INDEX(avoidedcosttbl2,ROUNDDOWN($H382,0),BJ$2)))))*'Inputs Yr 2'!P383*'Inputs Yr 2'!Q383*'Inputs Yr 2'!U383,"")</f>
        <v/>
      </c>
      <c r="BK382" s="195" t="str">
        <f>IFERROR($G382*(IF('Inputs Yr 2'!$AJ383=BK$4,'Inputs Yr 2'!$AK383,IF('Inputs Yr 2'!$AL383=BK$4,'Inputs Yr 2'!$AM383,IF('Inputs Yr 2'!$AN383=BK$4,'Inputs Yr 2'!$AO383,0))))*(INDEX(avoidedcosttbl2,$H382,BK$2)+(($H382-ROUNDDOWN($H382,0))*(INDEX(avoidedcosttbl2,ROUNDUP($H382,0),BK$2)-(INDEX(avoidedcosttbl2,ROUNDDOWN($H382,0),BK$2)))))*'Inputs Yr 2'!P383*'Inputs Yr 2'!Q383*'Inputs Yr 2'!U383,"")</f>
        <v/>
      </c>
      <c r="BL382" s="195" t="str">
        <f>IFERROR($G382*(IF('Inputs Yr 2'!$AJ383=BL$4,'Inputs Yr 2'!$AK383,IF('Inputs Yr 2'!$AL383=BL$4,'Inputs Yr 2'!$AM383,IF('Inputs Yr 2'!$AN383=BL$4,'Inputs Yr 2'!$AO383,0))))*(INDEX(avoidedcosttbl2,$H382,BL$2)+(($H382-ROUNDDOWN($H382,0))*(INDEX(avoidedcosttbl2,ROUNDUP($H382,0),BL$2)-(INDEX(avoidedcosttbl2,ROUNDDOWN($H382,0),BL$2)))))*'Inputs Yr 2'!P383*'Inputs Yr 2'!Q383*'Inputs Yr 2'!U383,"")</f>
        <v/>
      </c>
      <c r="BM382" s="195" t="str">
        <f>IFERROR($G382*(IF('Inputs Yr 2'!$AJ383=BM$4,'Inputs Yr 2'!$AK383,IF('Inputs Yr 2'!$AL383=BM$4,'Inputs Yr 2'!$AM383,IF('Inputs Yr 2'!$AN383=BM$4,'Inputs Yr 2'!$AO383,0))))*(INDEX(avoidedcosttbl2,$H382,BM$2)+(($H382-ROUNDDOWN($H382,0))*(INDEX(avoidedcosttbl2,ROUNDUP($H382,0),BM$2)-(INDEX(avoidedcosttbl2,ROUNDDOWN($H382,0),BM$2)))))*'Inputs Yr 2'!P383*'Inputs Yr 2'!Q383*'Inputs Yr 2'!U383,"")</f>
        <v/>
      </c>
      <c r="BN382" s="195" t="str">
        <f>IFERROR($G382*(IF('Inputs Yr 2'!$AJ383=BN$4,'Inputs Yr 2'!$AK383,IF('Inputs Yr 2'!$AL383=BN$4,'Inputs Yr 2'!$AM383,IF('Inputs Yr 2'!$AN383=BN$4,'Inputs Yr 2'!$AO383,0))))*(INDEX(avoidedcosttbl2,$H382,BN$2)+(($H382-ROUNDDOWN($H382,0))*(INDEX(avoidedcosttbl2,ROUNDUP($H382,0),BN$2)-(INDEX(avoidedcosttbl2,ROUNDDOWN($H382,0),BN$2)))))*'Inputs Yr 2'!P383*'Inputs Yr 2'!Q383*'Inputs Yr 2'!U383,"")</f>
        <v/>
      </c>
      <c r="BO382" s="195" t="str">
        <f>IFERROR($G382*(IF('Inputs Yr 2'!$AJ383=BO$4,'Inputs Yr 2'!$AK383,IF('Inputs Yr 2'!$AL383=BO$4,'Inputs Yr 2'!$AM383,IF('Inputs Yr 2'!$AN383=BO$4,'Inputs Yr 2'!$AO383,0))))*(INDEX(avoidedcosttbl2,$H382,BO$2)+(($H382-ROUNDDOWN($H382,0))*(INDEX(avoidedcosttbl2,ROUNDUP($H382,0),BO$2)-(INDEX(avoidedcosttbl2,ROUNDDOWN($H382,0),BO$2)))))*'Inputs Yr 2'!P383*'Inputs Yr 2'!Q383*'Inputs Yr 2'!U383,"")</f>
        <v/>
      </c>
      <c r="BP382" s="195" t="str">
        <f>IFERROR($G382*(IF('Inputs Yr 2'!$AJ383=BP$4,'Inputs Yr 2'!$AK383,IF('Inputs Yr 2'!$AL383=BP$4,'Inputs Yr 2'!$AM383,IF('Inputs Yr 2'!$AN383=BP$4,'Inputs Yr 2'!$AO383,0))))*(INDEX(avoidedcosttbl2,$H382,BP$2)+(($H382-ROUNDDOWN($H382,0))*(INDEX(avoidedcosttbl2,ROUNDUP($H382,0),BP$2)-(INDEX(avoidedcosttbl2,ROUNDDOWN($H382,0),BP$2)))))*'Inputs Yr 2'!P383*'Inputs Yr 2'!Q383*'Inputs Yr 2'!U383,"")</f>
        <v/>
      </c>
      <c r="BQ382" s="230">
        <f t="shared" si="217"/>
        <v>0</v>
      </c>
      <c r="BR382" s="197" t="str">
        <f t="shared" si="218"/>
        <v/>
      </c>
      <c r="BS382" s="197" t="str">
        <f>IFERROR(($G382*IF('Inputs Yr 2'!$AJ383=BM$4,'Inputs Yr 2'!$AK383,IF('Inputs Yr 2'!$AL383=BM$4,'Inputs Yr 2'!$AM383,IF('Inputs Yr 2'!$AN383=BM$4,'Inputs Yr 2'!$AO383,0))))*(INDEX(avoidedcosttbl2,$H382,BS$2)+(($H382-ROUNDDOWN($H382,0))*(INDEX(avoidedcosttbl2,ROUNDUP($H382,0),BS$2)-(INDEX(avoidedcosttbl2,ROUNDDOWN($H382,0),BS$2)))))*'Inputs Yr 2'!P383*'Inputs Yr 2'!Q383*'Inputs Yr 2'!U383,"")</f>
        <v/>
      </c>
      <c r="BT382" s="197" t="str">
        <f>IFERROR(($G382*IF('Inputs Yr 2'!$AJ383=BK$4,'Inputs Yr 2'!$AK383,IF('Inputs Yr 2'!$AL383=BK$4,'Inputs Yr 2'!$AM383,IF('Inputs Yr 2'!$AN383=BK$4,'Inputs Yr 2'!$AO383,0))))*(INDEX(avoidedcosttbl2,$H382,BT$2)+(($H382-ROUNDDOWN($H382,0))*(INDEX(avoidedcosttbl2,ROUNDUP($H382,0),BT$2)-(INDEX(avoidedcosttbl2,ROUNDDOWN($H382,0),BT$2)))))*'Inputs Yr 2'!P383*'Inputs Yr 2'!Q383*'Inputs Yr 2'!U383,"")</f>
        <v/>
      </c>
      <c r="BU382" s="197" t="str">
        <f>IFERROR(($G382*IF('Inputs Yr 2'!$AJ383=BL$4,'Inputs Yr 2'!$AK383,IF('Inputs Yr 2'!$AL383=BL$4,'Inputs Yr 2'!$AM383,IF('Inputs Yr 2'!$AN383=BL$4,'Inputs Yr 2'!$AO383,0))))*(INDEX(avoidedcosttbl2,$H382,BU$2)+(($H382-ROUNDDOWN($H382,0))*(INDEX(avoidedcosttbl2,ROUNDUP($H382,0),BU$2)-(INDEX(avoidedcosttbl2,ROUNDDOWN($H382,0),BU$2)))))*'Inputs Yr 2'!P383*'Inputs Yr 2'!Q383*'Inputs Yr 2'!U383,"")</f>
        <v/>
      </c>
      <c r="BV382" s="775" t="str">
        <f>IFERROR(($G382*IF('Inputs Yr 2'!$AJ383=BJ$4,'Inputs Yr 2'!$AK383,IF('Inputs Yr 2'!$AL383=BJ$4,'Inputs Yr 2'!$AM383,IF('Inputs Yr 2'!$AN383=BJ$4,'Inputs Yr 2'!$AO383,0))))*(INDEX(avoidedcosttbl2,$H382,BV$2)+(($H382-ROUNDDOWN($H382,0))*(INDEX(avoidedcosttbl2,ROUNDUP($H382,0),BV$2)-(INDEX(avoidedcosttbl2,ROUNDDOWN($H382,0),BV$2)))))*'Inputs Yr 2'!P383*'Inputs Yr 2'!Q383*'Inputs Yr 2'!U383,"")</f>
        <v/>
      </c>
      <c r="BW382" s="197" t="str">
        <f>IFERROR(($G382*IF('Inputs Yr 2'!$AJ383=BN$4,'Inputs Yr 2'!$AK383,IF('Inputs Yr 2'!$AL383=BN$4,'Inputs Yr 2'!$AM383,IF('Inputs Yr 2'!$AN383=BN$4,'Inputs Yr 2'!$AO383,0))))*(INDEX(avoidedcosttbl2,$H382,BW$2)+(($H382-ROUNDDOWN($H382,0))*(INDEX(avoidedcosttbl2,ROUNDUP($H382,0),BW$2)-(INDEX(avoidedcosttbl2,ROUNDDOWN($H382,0),BW$2)))))*'Inputs Yr 2'!P383*'Inputs Yr 2'!Q383*'Inputs Yr 2'!U383,"")</f>
        <v/>
      </c>
      <c r="BX382" s="197" t="str">
        <f>IFERROR(($G382*IF('Inputs Yr 2'!$AJ383=BO$4,'Inputs Yr 2'!$AK383,IF('Inputs Yr 2'!$AL383=BO$4,'Inputs Yr 2'!$AM383,IF('Inputs Yr 2'!$AN383=BO$4,'Inputs Yr 2'!$AO383,0))))*(INDEX(avoidedcosttbl2,$H382,BX$2)+(($H382-ROUNDDOWN($H382,0))*(INDEX(avoidedcosttbl2,ROUNDUP($H382,0),BX$2)-(INDEX(avoidedcosttbl2,ROUNDDOWN($H382,0),BX$2)))))*'Inputs Yr 2'!P383*'Inputs Yr 2'!Q383*'Inputs Yr 2'!U383,"")</f>
        <v/>
      </c>
      <c r="BY382" s="197" t="str">
        <f>IFERROR(($G382*IF('Inputs Yr 2'!$AJ383=BP$4,'Inputs Yr 2'!$AK383,IF('Inputs Yr 2'!$AL383=BP$4,'Inputs Yr 2'!$AM383,IF('Inputs Yr 2'!$AN383=BP$4,'Inputs Yr 2'!$AO383,0))))*(INDEX(avoidedcosttbl2,$H382,BY$2)+(($H382-ROUNDDOWN($H382,0))*(INDEX(avoidedcosttbl2,ROUNDUP($H382,0),BY$2)-(INDEX(avoidedcosttbl2,ROUNDDOWN($H382,0),BY$2)))))*'Inputs Yr 2'!P383*'Inputs Yr 2'!Q383*'Inputs Yr 2'!U383,"")</f>
        <v/>
      </c>
      <c r="BZ382" s="193">
        <f t="shared" si="219"/>
        <v>0</v>
      </c>
      <c r="CA382" s="193">
        <f t="shared" si="220"/>
        <v>0</v>
      </c>
      <c r="CB382" s="195" t="str">
        <f>IFERROR(G382*(IF('Inputs Yr 2'!$AJ383=CB$4,'Inputs Yr 2'!$AK383,IF('Inputs Yr 2'!$AL383=CB$4,'Inputs Yr 2'!$AM383,IF('Inputs Yr 2'!$AN383=CB$4,'Inputs Yr 2'!$AO383,0))))*(INDEX(avoidedcosttbl2,$H382,CB$2)+(($H382-ROUNDDOWN($H382,0))*(INDEX(avoidedcosttbl2,ROUNDUP($H382,0),CB$2)-(INDEX(avoidedcosttbl2,ROUNDDOWN($H382,0),CB$2)))))*'Inputs Yr 2'!P383*'Inputs Yr 2'!Q383*'Inputs Yr 2'!U383,"")</f>
        <v/>
      </c>
      <c r="CC382" s="195" t="str">
        <f>IFERROR(H382*(IF('Inputs Yr 2'!$AJ383=CC$4,'Inputs Yr 2'!$AK383,IF('Inputs Yr 2'!$AL383=CC$4,'Inputs Yr 2'!$AM383,IF('Inputs Yr 2'!$AN383=CC$4,'Inputs Yr 2'!$AO383,0))))*(INDEX(avoidedcosttbl2,$H382,CC$2)+(($H382-ROUNDDOWN($H382,0))*(INDEX(avoidedcosttbl2,ROUNDUP($H382,0),CC$2)-(INDEX(avoidedcosttbl2,ROUNDDOWN($H382,0),CC$2)))))*'Inputs Yr 2'!Q383*'Inputs Yr 2'!R383*'Inputs Yr 2'!V383,"")</f>
        <v/>
      </c>
      <c r="CD382" s="195" t="str">
        <f>IFERROR(I382*(IF('Inputs Yr 2'!$AJ383=CD$4,'Inputs Yr 2'!$AK383,IF('Inputs Yr 2'!$AL383=CD$4,'Inputs Yr 2'!$AM383,IF('Inputs Yr 2'!$AN383=CD$4,'Inputs Yr 2'!$AO383,0))))*(INDEX(avoidedcosttbl2,$H382,CD$2)+(($H382-ROUNDDOWN($H382,0))*(INDEX(avoidedcosttbl2,ROUNDUP($H382,0),CD$2)-(INDEX(avoidedcosttbl2,ROUNDDOWN($H382,0),CD$2)))))*'Inputs Yr 2'!R383*'Inputs Yr 2'!S383*'Inputs Yr 2'!W383,"")</f>
        <v/>
      </c>
      <c r="CE382" s="213" t="str">
        <f t="shared" si="221"/>
        <v/>
      </c>
      <c r="CF382" s="213" t="str">
        <f t="shared" si="222"/>
        <v/>
      </c>
      <c r="CG382" s="213" t="str">
        <f t="shared" si="223"/>
        <v/>
      </c>
      <c r="CH382" s="698">
        <f t="shared" si="224"/>
        <v>0</v>
      </c>
      <c r="CI382" s="79" t="str">
        <f>IFERROR(($G382*'Inputs Yr 2'!$P383*'Inputs Yr 2'!$Q383*(((INDEX(avoidedcosttbl2,$H382,CI$2)+(($H382-ROUNDDOWN($H382,0))*(INDEX(avoidedcosttbl2,ROUNDUP($H382,0),CI$2)-INDEX(avoidedcosttbl2,ROUNDDOWN($H382,0),CI$2))))*'Inputs Yr 2'!AS383))),"")</f>
        <v/>
      </c>
      <c r="CJ382" s="504" t="str">
        <f>IFERROR($G382*'Inputs Yr 2'!AT383*'Inputs Yr 2'!$P383*'Inputs Yr 2'!$Q383/((1+realdiscrt1)^-0.5),"")</f>
        <v/>
      </c>
      <c r="CK382" s="79" t="str">
        <f>IFERROR((O382*1000*(((INDEX(avoidedcosttbl2,$H382,CK$2)+(($H382-ROUNDDOWN($H382,0))*(INDEX(avoidedcosttbl2,ROUNDUP($H382,0),CK$2)-INDEX(avoidedcosttbl2,ROUNDDOWN($H382,0),CK$2))))*'Inputs Yr 2'!AU383))),"")</f>
        <v/>
      </c>
      <c r="CL382" s="504" t="str">
        <f>IFERROR(O382*1000*'Inputs Yr 2'!AV383/((1+realdiscrt1)^-0.5),"")</f>
        <v/>
      </c>
      <c r="CM382" s="79" t="str">
        <f>IFERROR((AB382*'Inputs Yr 2'!AW383*(((INDEX(avoidedcosttbl2,$H382,CM$2)+(($H382-ROUNDDOWN($H382,0))*(INDEX(avoidedcosttbl2,ROUNDUP($H382,0),CM$2)-INDEX(avoidedcosttbl2,ROUNDDOWN($H382,0),CM$2)))))))*10,"")</f>
        <v/>
      </c>
      <c r="CN382" s="504">
        <f>IFERROR(10*AB382*'Inputs Yr 2'!AX383/((1+realdiscrt1)^-0.5),"")</f>
        <v>0</v>
      </c>
      <c r="CO382" s="505">
        <f t="shared" si="225"/>
        <v>0</v>
      </c>
      <c r="CP382" s="230">
        <f t="shared" si="226"/>
        <v>0</v>
      </c>
      <c r="CQ382" s="199">
        <f>ROUND(IFERROR(IF(LEFT($A382,1)="C",'Avoided Costs'!$K$13,'Avoided Costs'!$K$12)+1,""),4)</f>
        <v>1.0720000000000001</v>
      </c>
      <c r="CR382" s="199">
        <f>ROUND(IFERROR(IF(LEFT($A382,1)="C",'Avoided Costs'!$L$13,'Avoided Costs'!$L$12)+1,""),4)</f>
        <v>1.04</v>
      </c>
      <c r="CS382" s="199">
        <f>ROUND(IFERROR(IF(LEFT($A382,1)="C",'Avoided Costs'!$M$13,'Avoided Costs'!$M$12)+1,""),4)</f>
        <v>1.0720000000000001</v>
      </c>
      <c r="CT382" s="199">
        <f>ROUND(IFERROR(IF(LEFT($A382,1)="C",'Avoided Costs'!$N$13,'Avoided Costs'!$N$12)+1,""),4)</f>
        <v>1.04</v>
      </c>
      <c r="CU382" s="199">
        <f>ROUND(IFERROR(IF(LEFT($A382,1)="C",'Avoided Costs'!$O$13,'Avoided Costs'!$O$12)+1,""),4)</f>
        <v>1.1120000000000001</v>
      </c>
      <c r="CV382" s="199">
        <f>ROUND(IFERROR(IF(LEFT($A382,1)="C",'Avoided Costs'!$P$13,'Avoided Costs'!$P$12)+1,""),4)</f>
        <v>1.095</v>
      </c>
      <c r="CW382" s="199">
        <f>ROUND(IFERROR(IF(LEFT($A382,1)="C",'Avoided Costs'!$Q$13,'Avoided Costs'!$Q$12)+1,""),4)</f>
        <v>1.1120000000000001</v>
      </c>
      <c r="CX382" s="200">
        <f>ROUND(IFERROR(IF(LEFT($A382,1)="C",'Avoided Costs'!$R$13,'Avoided Costs'!$R$12)+1,""),4)</f>
        <v>1.1120000000000001</v>
      </c>
    </row>
    <row r="383" spans="1:102" s="128" customFormat="1" ht="12.75" customHeight="1">
      <c r="A383" s="91" t="str">
        <f>IF('Inputs Yr 2'!$B420=0,"",'Inputs Yr 2'!A420)</f>
        <v/>
      </c>
      <c r="B383" s="91" t="str">
        <f>IF('Inputs Yr 2'!$B420=0,"",'Inputs Yr 2'!B420)</f>
        <v/>
      </c>
      <c r="C383" s="91" t="str">
        <f>IF('Inputs Yr 2'!$B384=0,"",'Inputs Yr 2'!C384)</f>
        <v/>
      </c>
      <c r="D383" s="91" t="str">
        <f>IF('Inputs Yr 2'!$B384=0,"",'Inputs Yr 2'!E384)</f>
        <v/>
      </c>
      <c r="E383" s="93" t="str">
        <f>IF('Inputs Yr 2'!$B384=0,"",'Inputs Yr 2'!F384)</f>
        <v/>
      </c>
      <c r="F383" s="93" t="str">
        <f>IF('Inputs Yr 2'!$B384=0,"",'Inputs Yr 2'!G384)</f>
        <v/>
      </c>
      <c r="G383" s="95" t="str">
        <f>IF('Inputs Yr 2'!$H384&lt;&gt;0,('Inputs Yr 2'!H384),"")</f>
        <v/>
      </c>
      <c r="H383" s="94">
        <f>IFERROR('Inputs Yr 2'!I384,"")</f>
        <v>0</v>
      </c>
      <c r="I383" s="298" t="str">
        <f>IFERROR('Inputs Yr 2'!J384*'Inputs Yr 2'!P384*G383,"")</f>
        <v/>
      </c>
      <c r="J383" s="298" t="str">
        <f>IFERROR('Inputs Yr 2'!K384*G383,"")</f>
        <v/>
      </c>
      <c r="K383" s="298" t="str">
        <f t="shared" si="197"/>
        <v/>
      </c>
      <c r="L383" s="194" t="str">
        <f>IFERROR(('Inputs Yr 2'!W384*G383)/1000,"")</f>
        <v/>
      </c>
      <c r="M383" s="194" t="str">
        <f>IFERROR(L383*('Inputs Yr 2'!$Q384*'Inputs Yr 2'!$V384*'Inputs Yr 2'!$R384),"")</f>
        <v/>
      </c>
      <c r="N383" s="194" t="str">
        <f t="shared" si="198"/>
        <v/>
      </c>
      <c r="O383" s="194" t="str">
        <f>IFERROR(M383*'Inputs Yr 2'!P384,"")</f>
        <v/>
      </c>
      <c r="P383" s="194" t="str">
        <f t="shared" si="199"/>
        <v/>
      </c>
      <c r="Q383" s="194" t="str">
        <f>IFERROR($P383*'Inputs Yr 2'!AA384,"")</f>
        <v/>
      </c>
      <c r="R383" s="194" t="str">
        <f>IFERROR($P383*'Inputs Yr 2'!AB384,"")</f>
        <v/>
      </c>
      <c r="S383" s="194" t="str">
        <f>IFERROR($P383*'Inputs Yr 2'!AC384,"")</f>
        <v/>
      </c>
      <c r="T383" s="194" t="str">
        <f>IFERROR($P383*'Inputs Yr 2'!AD384,"")</f>
        <v/>
      </c>
      <c r="U383" s="194" t="str">
        <f>IFERROR(G383*'Inputs Yr 2'!$AE384*'Inputs Yr 2'!$P384*'Inputs Yr 2'!$Q384,"")</f>
        <v/>
      </c>
      <c r="V383" s="194" t="str">
        <f>IFERROR($G383*'Inputs Yr 2'!$AE384*'Inputs Yr 2'!$AG384*'Inputs Yr 2'!Q384*'Inputs Yr 2'!$S384,"")</f>
        <v/>
      </c>
      <c r="W383" s="194" t="str">
        <f>IFERROR($G383*'Inputs Yr 2'!$AE384*'Inputs Yr 2'!$AG384*'Inputs Yr 2'!P384*'Inputs Yr 2'!Q384*'Inputs Yr 2'!$S384,"")</f>
        <v/>
      </c>
      <c r="X383" s="194" t="str">
        <f>IFERROR($G383*'Inputs Yr 2'!$AE384*'Inputs Yr 2'!$AF384*'Inputs Yr 2'!Q384*'Inputs Yr 2'!$T384,"")</f>
        <v/>
      </c>
      <c r="Y383" s="194" t="str">
        <f>IFERROR($G383*'Inputs Yr 2'!$AE384*'Inputs Yr 2'!$AF384*'Inputs Yr 2'!P384*'Inputs Yr 2'!Q384*'Inputs Yr 2'!$T384,"")</f>
        <v/>
      </c>
      <c r="Z383" s="257">
        <f>IFERROR($G383*'Inputs Yr 2'!$Q384*'Inputs Yr 2'!$U384*(IF(IFERROR(SEARCH("NG", 'Inputs Yr 2'!$AJ384),0),'Inputs Yr 2'!$AK384,0)+IF(IFERROR(SEARCH("NG", 'Inputs Yr 2'!$AL384),0),'Inputs Yr 2'!$AM384,0)+IF(IFERROR(SEARCH("NG", 'Inputs Yr 2'!$AN384),0),'Inputs Yr 2'!$AO384,0)),0)</f>
        <v>0</v>
      </c>
      <c r="AA383" s="257">
        <f t="shared" si="200"/>
        <v>0</v>
      </c>
      <c r="AB383" s="257">
        <f>IFERROR(Z383*'Inputs Yr 2'!$P384,0)</f>
        <v>0</v>
      </c>
      <c r="AC383" s="257">
        <f t="shared" si="201"/>
        <v>0</v>
      </c>
      <c r="AD383" s="257">
        <f>IFERROR($G383*'Inputs Yr 2'!$Q384*'Inputs Yr 2'!$U384*(IF(IFERROR(SEARCH("Oil", 'Inputs Yr 2'!$AJ384), 0),'Inputs Yr 2'!$AK384,0)+IF(IFERROR(SEARCH("Oil", 'Inputs Yr 2'!$AL384), 0),'Inputs Yr 2'!$AM384,0)+IF(IFERROR(SEARCH("Oil", 'Inputs Yr 2'!$AN384), 0),'Inputs Yr 2'!$AO384,0)),0)</f>
        <v>0</v>
      </c>
      <c r="AE383" s="257">
        <f t="shared" si="202"/>
        <v>0</v>
      </c>
      <c r="AF383" s="257">
        <f>IFERROR(AD383*'Inputs Yr 2'!$P384,0)</f>
        <v>0</v>
      </c>
      <c r="AG383" s="257">
        <f t="shared" si="203"/>
        <v>0</v>
      </c>
      <c r="AH383" s="257">
        <f>IFERROR($G383*'Inputs Yr 2'!$Q384*'Inputs Yr 2'!$U384*(IF('Inputs Yr 2'!$AJ384=CD$4,'Inputs Yr 2'!$AK384,IF('Inputs Yr 2'!$AL384=CD$4,'Inputs Yr 2'!$AM384,IF('Inputs Yr 2'!$AN384=CD$4,'Inputs Yr 2'!$AO384,0)))),0)</f>
        <v>0</v>
      </c>
      <c r="AI383" s="257">
        <f t="shared" si="204"/>
        <v>0</v>
      </c>
      <c r="AJ383" s="257">
        <f>IFERROR(AH383*'Inputs Yr 2'!$P384,0)</f>
        <v>0</v>
      </c>
      <c r="AK383" s="257">
        <f t="shared" si="205"/>
        <v>0</v>
      </c>
      <c r="AL383" s="258">
        <f>IFERROR($G383*'Inputs Yr 2'!$P384*'Inputs Yr 2'!$Q384*'Inputs Yr 2'!AP384,0)</f>
        <v>0</v>
      </c>
      <c r="AM383" s="260">
        <f>IFERROR($G383*'Inputs Yr 2'!$P384*'Inputs Yr 2'!$Q384*'Inputs Yr 2'!AQ384,0)</f>
        <v>0</v>
      </c>
      <c r="AN383" s="258">
        <f>IFERROR($G383*'Inputs Yr 2'!$P384*'Inputs Yr 2'!$Q384*'Inputs Yr 2'!AR384,0)</f>
        <v>0</v>
      </c>
      <c r="AO383" s="257">
        <f t="shared" si="206"/>
        <v>0</v>
      </c>
      <c r="AP383" s="195" t="str">
        <f>IFERROR($CQ383*(INDEX(avoidedcosttbl2,$H383,AP$2)+(($H383-ROUNDDOWN($H383,0))*(INDEX(avoidedcosttbl2,ROUNDUP($H383,0),AP$2)-(INDEX(avoidedcosttbl2,ROUNDDOWN($H383,0),AP$2)))))*$O383*1000*'Inputs Yr 2'!AA384,"")</f>
        <v/>
      </c>
      <c r="AQ383" s="195" t="str">
        <f>IFERROR($CR383*(INDEX(avoidedcosttbl2,$H383,AQ$2)+(($H383-ROUNDDOWN($H383,0))*(INDEX(avoidedcosttbl2,ROUNDUP($H383,0),AQ$2)-(INDEX(avoidedcosttbl2,ROUNDDOWN($H383,0),AQ$2)))))*$O383*1000*'Inputs Yr 2'!AB384,"")</f>
        <v/>
      </c>
      <c r="AR383" s="195" t="str">
        <f>IFERROR($CS383*(INDEX(avoidedcosttbl2,$H383,AR$2)+(($H383-ROUNDDOWN($H383,0))*(INDEX(avoidedcosttbl2,ROUNDUP($H383,0),AR$2)-(INDEX(avoidedcosttbl2,ROUNDDOWN($H383,0),AR$2)))))*$O383*1000*'Inputs Yr 2'!AC384,"")</f>
        <v/>
      </c>
      <c r="AS383" s="195" t="str">
        <f>IFERROR($CT383*(INDEX(avoidedcosttbl2,$H383,AS$2)+(($H383-ROUNDDOWN($H383,0))*(INDEX(avoidedcosttbl2,ROUNDUP($H383,0),AS$2)-(INDEX(avoidedcosttbl2,ROUNDDOWN($H383,0),AS$2)))))*$O383*1000*'Inputs Yr 2'!AD384,"")</f>
        <v/>
      </c>
      <c r="AT383" s="196">
        <f t="shared" si="207"/>
        <v>0</v>
      </c>
      <c r="AU383" s="197" t="str">
        <f>IFERROR($CQ383*((INDEX(avoidedcosttbl2,$H383,AU$2))+(($H383-ROUNDDOWN($H383,0))*((INDEX(avoidedcosttbl2,ROUNDUP($H383,0),AU$2))-(INDEX(avoidedcosttbl2,ROUNDDOWN($H383,0),AU$2)))))*$O383*1000*'Inputs Yr 2'!AA384,"")</f>
        <v/>
      </c>
      <c r="AV383" s="197" t="str">
        <f>IFERROR($CR383*((INDEX(avoidedcosttbl2,$H383,AV$2))+(($H383-ROUNDDOWN($H383,0))*((INDEX(avoidedcosttbl2,ROUNDUP($H383,0),AV$2))-(INDEX(avoidedcosttbl2,ROUNDDOWN($H383,0),AV$2)))))*$O383*1000*'Inputs Yr 2'!AB384,"")</f>
        <v/>
      </c>
      <c r="AW383" s="197" t="str">
        <f>IFERROR($CS383*((INDEX(avoidedcosttbl2,$H383,AW$2))+(($H383-ROUNDDOWN($H383,0))*((INDEX(avoidedcosttbl2,ROUNDUP($H383,0),AW$2))-(INDEX(avoidedcosttbl2,ROUNDDOWN($H383,0),AW$2)))))*$O383*1000*'Inputs Yr 2'!AC384,"")</f>
        <v/>
      </c>
      <c r="AX383" s="197" t="str">
        <f>IFERROR($CT383*((INDEX(avoidedcosttbl2,$H383,AX$2))+(($H383-ROUNDDOWN($H383,0))*((INDEX(avoidedcosttbl2,ROUNDUP($H383,0),AX$2))-(INDEX(avoidedcosttbl2,ROUNDDOWN($H383,0),AX$2)))))*$O383*1000*'Inputs Yr 2'!AD384,"")</f>
        <v/>
      </c>
      <c r="AY383" s="197" t="str">
        <f>IFERROR(((INDEX(avoidedcosttbl2,$H383,AY$2))+(($H383-ROUNDDOWN($H383,0))*((INDEX(avoidedcosttbl2,ROUNDUP($H383,0),AY$2))-(INDEX(avoidedcosttbl2,ROUNDDOWN($H383,0),AY$2)))))*$O383*1000*('Inputs Yr 2'!AC384+'Inputs Yr 2'!AD384),"")</f>
        <v/>
      </c>
      <c r="AZ383" s="197" t="str">
        <f>IFERROR(((INDEX(avoidedcosttbl2,$H383,AZ$2))+(($H383-ROUNDDOWN($H383,0))*((INDEX(avoidedcosttbl2,ROUNDUP($H383,0),AZ$2))-(INDEX(avoidedcosttbl2,ROUNDDOWN($H383,0),AZ$2)))))*$O383*1000*('Inputs Yr 2'!AA384+'Inputs Yr 2'!AB384),"")</f>
        <v/>
      </c>
      <c r="BA383" s="198">
        <f t="shared" si="208"/>
        <v>0</v>
      </c>
      <c r="BB383" s="198">
        <f t="shared" si="209"/>
        <v>0</v>
      </c>
      <c r="BC383" s="195" t="str">
        <f t="shared" si="210"/>
        <v/>
      </c>
      <c r="BD383" s="195" t="str">
        <f t="shared" si="211"/>
        <v/>
      </c>
      <c r="BE383" s="195" t="str">
        <f t="shared" si="212"/>
        <v/>
      </c>
      <c r="BF383" s="195" t="str">
        <f t="shared" si="213"/>
        <v/>
      </c>
      <c r="BG383" s="195" t="str">
        <f t="shared" si="214"/>
        <v/>
      </c>
      <c r="BH383" s="196">
        <f t="shared" si="215"/>
        <v>0</v>
      </c>
      <c r="BI383" s="196">
        <f t="shared" si="216"/>
        <v>0</v>
      </c>
      <c r="BJ383" s="195" t="str">
        <f>IFERROR($G383*(IF('Inputs Yr 2'!$AJ384=BJ$4,'Inputs Yr 2'!$AK384,IF('Inputs Yr 2'!$AL384=BJ$4,'Inputs Yr 2'!$AM384,IF('Inputs Yr 2'!$AN384=BJ$4,'Inputs Yr 2'!$AO384,0))))*(INDEX(avoidedcosttbl2,$H383,BJ$2)+(($H383-ROUNDDOWN($H383,0))*(INDEX(avoidedcosttbl2,ROUNDUP($H383,0),BJ$2)-(INDEX(avoidedcosttbl2,ROUNDDOWN($H383,0),BJ$2)))))*'Inputs Yr 2'!P384*'Inputs Yr 2'!Q384*'Inputs Yr 2'!U384,"")</f>
        <v/>
      </c>
      <c r="BK383" s="195" t="str">
        <f>IFERROR($G383*(IF('Inputs Yr 2'!$AJ384=BK$4,'Inputs Yr 2'!$AK384,IF('Inputs Yr 2'!$AL384=BK$4,'Inputs Yr 2'!$AM384,IF('Inputs Yr 2'!$AN384=BK$4,'Inputs Yr 2'!$AO384,0))))*(INDEX(avoidedcosttbl2,$H383,BK$2)+(($H383-ROUNDDOWN($H383,0))*(INDEX(avoidedcosttbl2,ROUNDUP($H383,0),BK$2)-(INDEX(avoidedcosttbl2,ROUNDDOWN($H383,0),BK$2)))))*'Inputs Yr 2'!P384*'Inputs Yr 2'!Q384*'Inputs Yr 2'!U384,"")</f>
        <v/>
      </c>
      <c r="BL383" s="195" t="str">
        <f>IFERROR($G383*(IF('Inputs Yr 2'!$AJ384=BL$4,'Inputs Yr 2'!$AK384,IF('Inputs Yr 2'!$AL384=BL$4,'Inputs Yr 2'!$AM384,IF('Inputs Yr 2'!$AN384=BL$4,'Inputs Yr 2'!$AO384,0))))*(INDEX(avoidedcosttbl2,$H383,BL$2)+(($H383-ROUNDDOWN($H383,0))*(INDEX(avoidedcosttbl2,ROUNDUP($H383,0),BL$2)-(INDEX(avoidedcosttbl2,ROUNDDOWN($H383,0),BL$2)))))*'Inputs Yr 2'!P384*'Inputs Yr 2'!Q384*'Inputs Yr 2'!U384,"")</f>
        <v/>
      </c>
      <c r="BM383" s="195" t="str">
        <f>IFERROR($G383*(IF('Inputs Yr 2'!$AJ384=BM$4,'Inputs Yr 2'!$AK384,IF('Inputs Yr 2'!$AL384=BM$4,'Inputs Yr 2'!$AM384,IF('Inputs Yr 2'!$AN384=BM$4,'Inputs Yr 2'!$AO384,0))))*(INDEX(avoidedcosttbl2,$H383,BM$2)+(($H383-ROUNDDOWN($H383,0))*(INDEX(avoidedcosttbl2,ROUNDUP($H383,0),BM$2)-(INDEX(avoidedcosttbl2,ROUNDDOWN($H383,0),BM$2)))))*'Inputs Yr 2'!P384*'Inputs Yr 2'!Q384*'Inputs Yr 2'!U384,"")</f>
        <v/>
      </c>
      <c r="BN383" s="195" t="str">
        <f>IFERROR($G383*(IF('Inputs Yr 2'!$AJ384=BN$4,'Inputs Yr 2'!$AK384,IF('Inputs Yr 2'!$AL384=BN$4,'Inputs Yr 2'!$AM384,IF('Inputs Yr 2'!$AN384=BN$4,'Inputs Yr 2'!$AO384,0))))*(INDEX(avoidedcosttbl2,$H383,BN$2)+(($H383-ROUNDDOWN($H383,0))*(INDEX(avoidedcosttbl2,ROUNDUP($H383,0),BN$2)-(INDEX(avoidedcosttbl2,ROUNDDOWN($H383,0),BN$2)))))*'Inputs Yr 2'!P384*'Inputs Yr 2'!Q384*'Inputs Yr 2'!U384,"")</f>
        <v/>
      </c>
      <c r="BO383" s="195" t="str">
        <f>IFERROR($G383*(IF('Inputs Yr 2'!$AJ384=BO$4,'Inputs Yr 2'!$AK384,IF('Inputs Yr 2'!$AL384=BO$4,'Inputs Yr 2'!$AM384,IF('Inputs Yr 2'!$AN384=BO$4,'Inputs Yr 2'!$AO384,0))))*(INDEX(avoidedcosttbl2,$H383,BO$2)+(($H383-ROUNDDOWN($H383,0))*(INDEX(avoidedcosttbl2,ROUNDUP($H383,0),BO$2)-(INDEX(avoidedcosttbl2,ROUNDDOWN($H383,0),BO$2)))))*'Inputs Yr 2'!P384*'Inputs Yr 2'!Q384*'Inputs Yr 2'!U384,"")</f>
        <v/>
      </c>
      <c r="BP383" s="195" t="str">
        <f>IFERROR($G383*(IF('Inputs Yr 2'!$AJ384=BP$4,'Inputs Yr 2'!$AK384,IF('Inputs Yr 2'!$AL384=BP$4,'Inputs Yr 2'!$AM384,IF('Inputs Yr 2'!$AN384=BP$4,'Inputs Yr 2'!$AO384,0))))*(INDEX(avoidedcosttbl2,$H383,BP$2)+(($H383-ROUNDDOWN($H383,0))*(INDEX(avoidedcosttbl2,ROUNDUP($H383,0),BP$2)-(INDEX(avoidedcosttbl2,ROUNDDOWN($H383,0),BP$2)))))*'Inputs Yr 2'!P384*'Inputs Yr 2'!Q384*'Inputs Yr 2'!U384,"")</f>
        <v/>
      </c>
      <c r="BQ383" s="230">
        <f t="shared" si="217"/>
        <v>0</v>
      </c>
      <c r="BR383" s="197" t="str">
        <f t="shared" si="218"/>
        <v/>
      </c>
      <c r="BS383" s="197" t="str">
        <f>IFERROR(($G383*IF('Inputs Yr 2'!$AJ384=BM$4,'Inputs Yr 2'!$AK384,IF('Inputs Yr 2'!$AL384=BM$4,'Inputs Yr 2'!$AM384,IF('Inputs Yr 2'!$AN384=BM$4,'Inputs Yr 2'!$AO384,0))))*(INDEX(avoidedcosttbl2,$H383,BS$2)+(($H383-ROUNDDOWN($H383,0))*(INDEX(avoidedcosttbl2,ROUNDUP($H383,0),BS$2)-(INDEX(avoidedcosttbl2,ROUNDDOWN($H383,0),BS$2)))))*'Inputs Yr 2'!P384*'Inputs Yr 2'!Q384*'Inputs Yr 2'!U384,"")</f>
        <v/>
      </c>
      <c r="BT383" s="197" t="str">
        <f>IFERROR(($G383*IF('Inputs Yr 2'!$AJ384=BK$4,'Inputs Yr 2'!$AK384,IF('Inputs Yr 2'!$AL384=BK$4,'Inputs Yr 2'!$AM384,IF('Inputs Yr 2'!$AN384=BK$4,'Inputs Yr 2'!$AO384,0))))*(INDEX(avoidedcosttbl2,$H383,BT$2)+(($H383-ROUNDDOWN($H383,0))*(INDEX(avoidedcosttbl2,ROUNDUP($H383,0),BT$2)-(INDEX(avoidedcosttbl2,ROUNDDOWN($H383,0),BT$2)))))*'Inputs Yr 2'!P384*'Inputs Yr 2'!Q384*'Inputs Yr 2'!U384,"")</f>
        <v/>
      </c>
      <c r="BU383" s="197" t="str">
        <f>IFERROR(($G383*IF('Inputs Yr 2'!$AJ384=BL$4,'Inputs Yr 2'!$AK384,IF('Inputs Yr 2'!$AL384=BL$4,'Inputs Yr 2'!$AM384,IF('Inputs Yr 2'!$AN384=BL$4,'Inputs Yr 2'!$AO384,0))))*(INDEX(avoidedcosttbl2,$H383,BU$2)+(($H383-ROUNDDOWN($H383,0))*(INDEX(avoidedcosttbl2,ROUNDUP($H383,0),BU$2)-(INDEX(avoidedcosttbl2,ROUNDDOWN($H383,0),BU$2)))))*'Inputs Yr 2'!P384*'Inputs Yr 2'!Q384*'Inputs Yr 2'!U384,"")</f>
        <v/>
      </c>
      <c r="BV383" s="775" t="str">
        <f>IFERROR(($G383*IF('Inputs Yr 2'!$AJ384=BJ$4,'Inputs Yr 2'!$AK384,IF('Inputs Yr 2'!$AL384=BJ$4,'Inputs Yr 2'!$AM384,IF('Inputs Yr 2'!$AN384=BJ$4,'Inputs Yr 2'!$AO384,0))))*(INDEX(avoidedcosttbl2,$H383,BV$2)+(($H383-ROUNDDOWN($H383,0))*(INDEX(avoidedcosttbl2,ROUNDUP($H383,0),BV$2)-(INDEX(avoidedcosttbl2,ROUNDDOWN($H383,0),BV$2)))))*'Inputs Yr 2'!P384*'Inputs Yr 2'!Q384*'Inputs Yr 2'!U384,"")</f>
        <v/>
      </c>
      <c r="BW383" s="197" t="str">
        <f>IFERROR(($G383*IF('Inputs Yr 2'!$AJ384=BN$4,'Inputs Yr 2'!$AK384,IF('Inputs Yr 2'!$AL384=BN$4,'Inputs Yr 2'!$AM384,IF('Inputs Yr 2'!$AN384=BN$4,'Inputs Yr 2'!$AO384,0))))*(INDEX(avoidedcosttbl2,$H383,BW$2)+(($H383-ROUNDDOWN($H383,0))*(INDEX(avoidedcosttbl2,ROUNDUP($H383,0),BW$2)-(INDEX(avoidedcosttbl2,ROUNDDOWN($H383,0),BW$2)))))*'Inputs Yr 2'!P384*'Inputs Yr 2'!Q384*'Inputs Yr 2'!U384,"")</f>
        <v/>
      </c>
      <c r="BX383" s="197" t="str">
        <f>IFERROR(($G383*IF('Inputs Yr 2'!$AJ384=BO$4,'Inputs Yr 2'!$AK384,IF('Inputs Yr 2'!$AL384=BO$4,'Inputs Yr 2'!$AM384,IF('Inputs Yr 2'!$AN384=BO$4,'Inputs Yr 2'!$AO384,0))))*(INDEX(avoidedcosttbl2,$H383,BX$2)+(($H383-ROUNDDOWN($H383,0))*(INDEX(avoidedcosttbl2,ROUNDUP($H383,0),BX$2)-(INDEX(avoidedcosttbl2,ROUNDDOWN($H383,0),BX$2)))))*'Inputs Yr 2'!P384*'Inputs Yr 2'!Q384*'Inputs Yr 2'!U384,"")</f>
        <v/>
      </c>
      <c r="BY383" s="197" t="str">
        <f>IFERROR(($G383*IF('Inputs Yr 2'!$AJ384=BP$4,'Inputs Yr 2'!$AK384,IF('Inputs Yr 2'!$AL384=BP$4,'Inputs Yr 2'!$AM384,IF('Inputs Yr 2'!$AN384=BP$4,'Inputs Yr 2'!$AO384,0))))*(INDEX(avoidedcosttbl2,$H383,BY$2)+(($H383-ROUNDDOWN($H383,0))*(INDEX(avoidedcosttbl2,ROUNDUP($H383,0),BY$2)-(INDEX(avoidedcosttbl2,ROUNDDOWN($H383,0),BY$2)))))*'Inputs Yr 2'!P384*'Inputs Yr 2'!Q384*'Inputs Yr 2'!U384,"")</f>
        <v/>
      </c>
      <c r="BZ383" s="193">
        <f t="shared" si="219"/>
        <v>0</v>
      </c>
      <c r="CA383" s="193">
        <f t="shared" si="220"/>
        <v>0</v>
      </c>
      <c r="CB383" s="195" t="str">
        <f>IFERROR(G383*(IF('Inputs Yr 2'!$AJ384=CB$4,'Inputs Yr 2'!$AK384,IF('Inputs Yr 2'!$AL384=CB$4,'Inputs Yr 2'!$AM384,IF('Inputs Yr 2'!$AN384=CB$4,'Inputs Yr 2'!$AO384,0))))*(INDEX(avoidedcosttbl2,$H383,CB$2)+(($H383-ROUNDDOWN($H383,0))*(INDEX(avoidedcosttbl2,ROUNDUP($H383,0),CB$2)-(INDEX(avoidedcosttbl2,ROUNDDOWN($H383,0),CB$2)))))*'Inputs Yr 2'!P384*'Inputs Yr 2'!Q384*'Inputs Yr 2'!U384,"")</f>
        <v/>
      </c>
      <c r="CC383" s="195" t="str">
        <f>IFERROR(H383*(IF('Inputs Yr 2'!$AJ384=CC$4,'Inputs Yr 2'!$AK384,IF('Inputs Yr 2'!$AL384=CC$4,'Inputs Yr 2'!$AM384,IF('Inputs Yr 2'!$AN384=CC$4,'Inputs Yr 2'!$AO384,0))))*(INDEX(avoidedcosttbl2,$H383,CC$2)+(($H383-ROUNDDOWN($H383,0))*(INDEX(avoidedcosttbl2,ROUNDUP($H383,0),CC$2)-(INDEX(avoidedcosttbl2,ROUNDDOWN($H383,0),CC$2)))))*'Inputs Yr 2'!Q384*'Inputs Yr 2'!R384*'Inputs Yr 2'!V384,"")</f>
        <v/>
      </c>
      <c r="CD383" s="195" t="str">
        <f>IFERROR(I383*(IF('Inputs Yr 2'!$AJ384=CD$4,'Inputs Yr 2'!$AK384,IF('Inputs Yr 2'!$AL384=CD$4,'Inputs Yr 2'!$AM384,IF('Inputs Yr 2'!$AN384=CD$4,'Inputs Yr 2'!$AO384,0))))*(INDEX(avoidedcosttbl2,$H383,CD$2)+(($H383-ROUNDDOWN($H383,0))*(INDEX(avoidedcosttbl2,ROUNDUP($H383,0),CD$2)-(INDEX(avoidedcosttbl2,ROUNDDOWN($H383,0),CD$2)))))*'Inputs Yr 2'!R384*'Inputs Yr 2'!S384*'Inputs Yr 2'!W384,"")</f>
        <v/>
      </c>
      <c r="CE383" s="213" t="str">
        <f t="shared" si="221"/>
        <v/>
      </c>
      <c r="CF383" s="213" t="str">
        <f t="shared" si="222"/>
        <v/>
      </c>
      <c r="CG383" s="213" t="str">
        <f t="shared" si="223"/>
        <v/>
      </c>
      <c r="CH383" s="698">
        <f t="shared" si="224"/>
        <v>0</v>
      </c>
      <c r="CI383" s="79" t="str">
        <f>IFERROR(($G383*'Inputs Yr 2'!$P384*'Inputs Yr 2'!$Q384*(((INDEX(avoidedcosttbl2,$H383,CI$2)+(($H383-ROUNDDOWN($H383,0))*(INDEX(avoidedcosttbl2,ROUNDUP($H383,0),CI$2)-INDEX(avoidedcosttbl2,ROUNDDOWN($H383,0),CI$2))))*'Inputs Yr 2'!AS384))),"")</f>
        <v/>
      </c>
      <c r="CJ383" s="504" t="str">
        <f>IFERROR($G383*'Inputs Yr 2'!AT384*'Inputs Yr 2'!$P384*'Inputs Yr 2'!$Q384/((1+realdiscrt1)^-0.5),"")</f>
        <v/>
      </c>
      <c r="CK383" s="79" t="str">
        <f>IFERROR((O383*1000*(((INDEX(avoidedcosttbl2,$H383,CK$2)+(($H383-ROUNDDOWN($H383,0))*(INDEX(avoidedcosttbl2,ROUNDUP($H383,0),CK$2)-INDEX(avoidedcosttbl2,ROUNDDOWN($H383,0),CK$2))))*'Inputs Yr 2'!AU384))),"")</f>
        <v/>
      </c>
      <c r="CL383" s="504" t="str">
        <f>IFERROR(O383*1000*'Inputs Yr 2'!AV384/((1+realdiscrt1)^-0.5),"")</f>
        <v/>
      </c>
      <c r="CM383" s="79" t="str">
        <f>IFERROR((AB383*'Inputs Yr 2'!AW384*(((INDEX(avoidedcosttbl2,$H383,CM$2)+(($H383-ROUNDDOWN($H383,0))*(INDEX(avoidedcosttbl2,ROUNDUP($H383,0),CM$2)-INDEX(avoidedcosttbl2,ROUNDDOWN($H383,0),CM$2)))))))*10,"")</f>
        <v/>
      </c>
      <c r="CN383" s="504">
        <f>IFERROR(10*AB383*'Inputs Yr 2'!AX384/((1+realdiscrt1)^-0.5),"")</f>
        <v>0</v>
      </c>
      <c r="CO383" s="505">
        <f t="shared" si="225"/>
        <v>0</v>
      </c>
      <c r="CP383" s="230">
        <f t="shared" si="226"/>
        <v>0</v>
      </c>
      <c r="CQ383" s="199">
        <f>ROUND(IFERROR(IF(LEFT($A383,1)="C",'Avoided Costs'!$K$13,'Avoided Costs'!$K$12)+1,""),4)</f>
        <v>1.0720000000000001</v>
      </c>
      <c r="CR383" s="199">
        <f>ROUND(IFERROR(IF(LEFT($A383,1)="C",'Avoided Costs'!$L$13,'Avoided Costs'!$L$12)+1,""),4)</f>
        <v>1.04</v>
      </c>
      <c r="CS383" s="199">
        <f>ROUND(IFERROR(IF(LEFT($A383,1)="C",'Avoided Costs'!$M$13,'Avoided Costs'!$M$12)+1,""),4)</f>
        <v>1.0720000000000001</v>
      </c>
      <c r="CT383" s="199">
        <f>ROUND(IFERROR(IF(LEFT($A383,1)="C",'Avoided Costs'!$N$13,'Avoided Costs'!$N$12)+1,""),4)</f>
        <v>1.04</v>
      </c>
      <c r="CU383" s="199">
        <f>ROUND(IFERROR(IF(LEFT($A383,1)="C",'Avoided Costs'!$O$13,'Avoided Costs'!$O$12)+1,""),4)</f>
        <v>1.1120000000000001</v>
      </c>
      <c r="CV383" s="199">
        <f>ROUND(IFERROR(IF(LEFT($A383,1)="C",'Avoided Costs'!$P$13,'Avoided Costs'!$P$12)+1,""),4)</f>
        <v>1.095</v>
      </c>
      <c r="CW383" s="199">
        <f>ROUND(IFERROR(IF(LEFT($A383,1)="C",'Avoided Costs'!$Q$13,'Avoided Costs'!$Q$12)+1,""),4)</f>
        <v>1.1120000000000001</v>
      </c>
      <c r="CX383" s="200">
        <f>ROUND(IFERROR(IF(LEFT($A383,1)="C",'Avoided Costs'!$R$13,'Avoided Costs'!$R$12)+1,""),4)</f>
        <v>1.1120000000000001</v>
      </c>
    </row>
    <row r="384" spans="1:102" ht="12.75" customHeight="1">
      <c r="A384" s="91" t="str">
        <f>IF('Inputs Yr 2'!$B421=0,"",'Inputs Yr 2'!A421)</f>
        <v/>
      </c>
      <c r="B384" s="91" t="str">
        <f>IF('Inputs Yr 2'!$B421=0,"",'Inputs Yr 2'!B421)</f>
        <v/>
      </c>
      <c r="C384" s="91" t="str">
        <f>IF('Inputs Yr 2'!$B421=0,"",'Inputs Yr 2'!C421)</f>
        <v/>
      </c>
      <c r="D384" s="91" t="str">
        <f>IF('Inputs Yr 2'!$B421=0,"",'Inputs Yr 2'!E421)</f>
        <v/>
      </c>
      <c r="E384" s="93" t="str">
        <f>IF('Inputs Yr 2'!$B421=0,"",'Inputs Yr 2'!F421)</f>
        <v/>
      </c>
      <c r="F384" s="93" t="str">
        <f>IF('Inputs Yr 2'!$B421=0,"",'Inputs Yr 2'!G421)</f>
        <v/>
      </c>
      <c r="G384" s="95" t="str">
        <f>IF('Inputs Yr 2'!$H421&lt;&gt;0,('Inputs Yr 2'!H421),"")</f>
        <v/>
      </c>
      <c r="H384" s="94">
        <f>IFERROR('Inputs Yr 2'!I421,"")</f>
        <v>0</v>
      </c>
      <c r="I384" s="298" t="str">
        <f>IFERROR('Inputs Yr 2'!J421*'Inputs Yr 2'!P421*G384,"")</f>
        <v/>
      </c>
      <c r="J384" s="298" t="str">
        <f>IFERROR('Inputs Yr 2'!K421*G384,"")</f>
        <v/>
      </c>
      <c r="K384" s="298" t="str">
        <f t="shared" ref="K384:K385" si="227">IFERROR(I384-J384,"")</f>
        <v/>
      </c>
      <c r="L384" s="194" t="str">
        <f>IFERROR(('Inputs Yr 2'!W421*G384)/1000,"")</f>
        <v/>
      </c>
      <c r="M384" s="194" t="str">
        <f>IFERROR(L384*('Inputs Yr 2'!$Q421*'Inputs Yr 2'!$V421*'Inputs Yr 2'!$R421),"")</f>
        <v/>
      </c>
      <c r="N384" s="194" t="str">
        <f t="shared" ref="N384:N385" si="228">IFERROR(M384*$H384,"")</f>
        <v/>
      </c>
      <c r="O384" s="194" t="str">
        <f>IFERROR(M384*'Inputs Yr 2'!P421,"")</f>
        <v/>
      </c>
      <c r="P384" s="194" t="str">
        <f t="shared" ref="P384:P385" si="229">IFERROR(O384*$H384,"")</f>
        <v/>
      </c>
      <c r="Q384" s="194" t="str">
        <f>IFERROR($P384*'Inputs Yr 2'!AA421,"")</f>
        <v/>
      </c>
      <c r="R384" s="194" t="str">
        <f>IFERROR($P384*'Inputs Yr 2'!AB421,"")</f>
        <v/>
      </c>
      <c r="S384" s="194" t="str">
        <f>IFERROR($P384*'Inputs Yr 2'!AC421,"")</f>
        <v/>
      </c>
      <c r="T384" s="194" t="str">
        <f>IFERROR($P384*'Inputs Yr 2'!AD421,"")</f>
        <v/>
      </c>
      <c r="U384" s="194" t="str">
        <f>IFERROR(G384*'Inputs Yr 2'!$AE421*'Inputs Yr 2'!$P421*'Inputs Yr 2'!$Q421,"")</f>
        <v/>
      </c>
      <c r="V384" s="194" t="str">
        <f>IFERROR($G384*'Inputs Yr 2'!$AE421*'Inputs Yr 2'!$AG421*'Inputs Yr 2'!Q421*'Inputs Yr 2'!$S421,"")</f>
        <v/>
      </c>
      <c r="W384" s="194" t="str">
        <f>IFERROR($G384*'Inputs Yr 2'!$AE421*'Inputs Yr 2'!$AG421*'Inputs Yr 2'!P421*'Inputs Yr 2'!Q421*'Inputs Yr 2'!$S421,"")</f>
        <v/>
      </c>
      <c r="X384" s="194" t="str">
        <f>IFERROR($G384*'Inputs Yr 2'!$AE421*'Inputs Yr 2'!$AF421*'Inputs Yr 2'!Q421*'Inputs Yr 2'!$T421,"")</f>
        <v/>
      </c>
      <c r="Y384" s="194" t="str">
        <f>IFERROR($G384*'Inputs Yr 2'!$AE421*'Inputs Yr 2'!$AF421*'Inputs Yr 2'!P421*'Inputs Yr 2'!Q421*'Inputs Yr 2'!$T421,"")</f>
        <v/>
      </c>
      <c r="Z384" s="257">
        <f>IFERROR($G384*'Inputs Yr 2'!$Q421*'Inputs Yr 2'!$U421*(IF(IFERROR(SEARCH("NG", 'Inputs Yr 2'!$AJ421),0),'Inputs Yr 2'!$AK421,0)+IF(IFERROR(SEARCH("NG", 'Inputs Yr 2'!$AL421),0),'Inputs Yr 2'!$AM421,0)+IF(IFERROR(SEARCH("NG", 'Inputs Yr 2'!$AN421),0),'Inputs Yr 2'!$AO421,0)),0)</f>
        <v>0</v>
      </c>
      <c r="AA384" s="257">
        <f t="shared" ref="AA384:AA385" si="230">IFERROR(Z384*$H384,0)</f>
        <v>0</v>
      </c>
      <c r="AB384" s="257">
        <f>IFERROR(Z384*'Inputs Yr 2'!$P421,0)</f>
        <v>0</v>
      </c>
      <c r="AC384" s="257">
        <f t="shared" ref="AC384:AC385" si="231">IFERROR(AB384*$H384,0)</f>
        <v>0</v>
      </c>
      <c r="AD384" s="257">
        <f>IFERROR($G384*'Inputs Yr 2'!$Q421*'Inputs Yr 2'!$U421*(IF(IFERROR(SEARCH("Oil", 'Inputs Yr 2'!$AJ421), 0),'Inputs Yr 2'!$AK421,0)+IF(IFERROR(SEARCH("Oil", 'Inputs Yr 2'!$AL421), 0),'Inputs Yr 2'!$AM421,0)+IF(IFERROR(SEARCH("Oil", 'Inputs Yr 2'!$AN421), 0),'Inputs Yr 2'!$AO421,0)),0)</f>
        <v>0</v>
      </c>
      <c r="AE384" s="257">
        <f t="shared" ref="AE384:AE385" si="232">IFERROR(AD384*$H384,0)</f>
        <v>0</v>
      </c>
      <c r="AF384" s="257">
        <f>IFERROR(AD384*'Inputs Yr 2'!$P421,0)</f>
        <v>0</v>
      </c>
      <c r="AG384" s="257">
        <f t="shared" ref="AG384:AG385" si="233">IFERROR(AF384*$H384,0)</f>
        <v>0</v>
      </c>
      <c r="AH384" s="257">
        <f>IFERROR($G384*'Inputs Yr 2'!$Q421*'Inputs Yr 2'!$U421*(IF('Inputs Yr 2'!$AJ421=CD$4,'Inputs Yr 2'!$AK421,IF('Inputs Yr 2'!$AL421=CD$4,'Inputs Yr 2'!$AM421,IF('Inputs Yr 2'!$AN421=CD$4,'Inputs Yr 2'!$AO421,0)))),0)</f>
        <v>0</v>
      </c>
      <c r="AI384" s="257">
        <f t="shared" ref="AI384:AI385" si="234">IFERROR(AH384*$H384,0)</f>
        <v>0</v>
      </c>
      <c r="AJ384" s="257">
        <f>IFERROR(AH384*'Inputs Yr 2'!$P421,0)</f>
        <v>0</v>
      </c>
      <c r="AK384" s="257">
        <f t="shared" ref="AK384:AK385" si="235">IFERROR(AJ384*$H384,0)</f>
        <v>0</v>
      </c>
      <c r="AL384" s="258">
        <f>IFERROR($G384*'Inputs Yr 2'!$P421*'Inputs Yr 2'!$Q421*'Inputs Yr 2'!AP421,0)</f>
        <v>0</v>
      </c>
      <c r="AM384" s="260">
        <f>IFERROR($G384*'Inputs Yr 2'!$P421*'Inputs Yr 2'!$Q421*'Inputs Yr 2'!AQ421,0)</f>
        <v>0</v>
      </c>
      <c r="AN384" s="258">
        <f>IFERROR($G384*'Inputs Yr 2'!$P421*'Inputs Yr 2'!$Q421*'Inputs Yr 2'!AR421,0)</f>
        <v>0</v>
      </c>
      <c r="AO384" s="257">
        <f t="shared" ref="AO384:AO385" si="236">IFERROR(SUM(AL384:AM384)*$H384,0)</f>
        <v>0</v>
      </c>
      <c r="AP384" s="195" t="str">
        <f>IFERROR($CQ384*(INDEX(avoidedcosttbl2,$H384,AP$2)+(($H384-ROUNDDOWN($H384,0))*(INDEX(avoidedcosttbl2,ROUNDUP($H384,0),AP$2)-(INDEX(avoidedcosttbl2,ROUNDDOWN($H384,0),AP$2)))))*$O384*1000*'Inputs Yr 2'!AA421,"")</f>
        <v/>
      </c>
      <c r="AQ384" s="195" t="str">
        <f>IFERROR($CR384*(INDEX(avoidedcosttbl2,$H384,AQ$2)+(($H384-ROUNDDOWN($H384,0))*(INDEX(avoidedcosttbl2,ROUNDUP($H384,0),AQ$2)-(INDEX(avoidedcosttbl2,ROUNDDOWN($H384,0),AQ$2)))))*$O384*1000*'Inputs Yr 2'!AB421,"")</f>
        <v/>
      </c>
      <c r="AR384" s="195" t="str">
        <f>IFERROR($CS384*(INDEX(avoidedcosttbl2,$H384,AR$2)+(($H384-ROUNDDOWN($H384,0))*(INDEX(avoidedcosttbl2,ROUNDUP($H384,0),AR$2)-(INDEX(avoidedcosttbl2,ROUNDDOWN($H384,0),AR$2)))))*$O384*1000*'Inputs Yr 2'!AC421,"")</f>
        <v/>
      </c>
      <c r="AS384" s="195" t="str">
        <f>IFERROR($CT384*(INDEX(avoidedcosttbl2,$H384,AS$2)+(($H384-ROUNDDOWN($H384,0))*(INDEX(avoidedcosttbl2,ROUNDUP($H384,0),AS$2)-(INDEX(avoidedcosttbl2,ROUNDDOWN($H384,0),AS$2)))))*$O384*1000*'Inputs Yr 2'!AD421,"")</f>
        <v/>
      </c>
      <c r="AT384" s="196">
        <f t="shared" ref="AT384:AT385" si="237">IFERROR(SUM(AP384:AS384),"")</f>
        <v>0</v>
      </c>
      <c r="AU384" s="197" t="str">
        <f>IFERROR($CQ384*((INDEX(avoidedcosttbl2,$H384,AU$2))+(($H384-ROUNDDOWN($H384,0))*((INDEX(avoidedcosttbl2,ROUNDUP($H384,0),AU$2))-(INDEX(avoidedcosttbl2,ROUNDDOWN($H384,0),AU$2)))))*$O384*1000*'Inputs Yr 2'!AA421,"")</f>
        <v/>
      </c>
      <c r="AV384" s="197" t="str">
        <f>IFERROR($CR384*((INDEX(avoidedcosttbl2,$H384,AV$2))+(($H384-ROUNDDOWN($H384,0))*((INDEX(avoidedcosttbl2,ROUNDUP($H384,0),AV$2))-(INDEX(avoidedcosttbl2,ROUNDDOWN($H384,0),AV$2)))))*$O384*1000*'Inputs Yr 2'!AB421,"")</f>
        <v/>
      </c>
      <c r="AW384" s="197" t="str">
        <f>IFERROR($CS384*((INDEX(avoidedcosttbl2,$H384,AW$2))+(($H384-ROUNDDOWN($H384,0))*((INDEX(avoidedcosttbl2,ROUNDUP($H384,0),AW$2))-(INDEX(avoidedcosttbl2,ROUNDDOWN($H384,0),AW$2)))))*$O384*1000*'Inputs Yr 2'!AC421,"")</f>
        <v/>
      </c>
      <c r="AX384" s="197" t="str">
        <f>IFERROR($CT384*((INDEX(avoidedcosttbl2,$H384,AX$2))+(($H384-ROUNDDOWN($H384,0))*((INDEX(avoidedcosttbl2,ROUNDUP($H384,0),AX$2))-(INDEX(avoidedcosttbl2,ROUNDDOWN($H384,0),AX$2)))))*$O384*1000*'Inputs Yr 2'!AD421,"")</f>
        <v/>
      </c>
      <c r="AY384" s="197" t="str">
        <f>IFERROR(((INDEX(avoidedcosttbl2,$H384,AY$2))+(($H384-ROUNDDOWN($H384,0))*((INDEX(avoidedcosttbl2,ROUNDUP($H384,0),AY$2))-(INDEX(avoidedcosttbl2,ROUNDDOWN($H384,0),AY$2)))))*$O384*1000*('Inputs Yr 2'!AC421+'Inputs Yr 2'!AD421),"")</f>
        <v/>
      </c>
      <c r="AZ384" s="197" t="str">
        <f>IFERROR(((INDEX(avoidedcosttbl2,$H384,AZ$2))+(($H384-ROUNDDOWN($H384,0))*((INDEX(avoidedcosttbl2,ROUNDUP($H384,0),AZ$2))-(INDEX(avoidedcosttbl2,ROUNDDOWN($H384,0),AZ$2)))))*$O384*1000*('Inputs Yr 2'!AA421+'Inputs Yr 2'!AB421),"")</f>
        <v/>
      </c>
      <c r="BA384" s="198">
        <f t="shared" ref="BA384:BA385" si="238">IFERROR(SUM(AU384:AZ384),"")</f>
        <v>0</v>
      </c>
      <c r="BB384" s="198">
        <f t="shared" ref="BB384:BB385" si="239">IFERROR(SUM(AT384,BA384),"")</f>
        <v>0</v>
      </c>
      <c r="BC384" s="195" t="str">
        <f t="shared" ref="BC384:BC393" si="240">IFERROR($CU384*(INDEX(avoidedcosttbl2,$H384,BC$2)+(($H384-ROUNDDOWN($H384,0))*(INDEX(avoidedcosttbl2,ROUNDUP($H384,0),BC$2)-(INDEX(avoidedcosttbl2,ROUNDDOWN($H384,0),BC$2)))))*$Y384,"")</f>
        <v/>
      </c>
      <c r="BD384" s="195" t="str">
        <f t="shared" ref="BD384:BD393" si="241">IFERROR($CV384*(INDEX(avoidedcosttbl2,$H384,BD$2)+(($H384-ROUNDDOWN($H384,0))*(INDEX(avoidedcosttbl2,ROUNDUP($H384,0),BD$2)-(INDEX(avoidedcosttbl2,ROUNDDOWN($H384,0),BD$2)))))*$W384,"")</f>
        <v/>
      </c>
      <c r="BE384" s="195" t="str">
        <f t="shared" ref="BE384:BE393" si="242">IFERROR($CU384*(INDEX(avoidedcosttbl2,$H384,BE$2)+(($H384-ROUNDDOWN($H384,0))*(INDEX(avoidedcosttbl2,ROUNDUP($H384,0),BE$2)-(INDEX(avoidedcosttbl2,ROUNDDOWN($H384,0),BE$2)))))*$Y384,"")</f>
        <v/>
      </c>
      <c r="BF384" s="195" t="str">
        <f t="shared" ref="BF384:BF393" si="243">IFERROR($CW384*(INDEX(avoidedcosttbl2,$H384,BF$2)+(($H384-ROUNDDOWN($H384,0))*(INDEX(avoidedcosttbl2,ROUNDUP($H384,0),BF$2)-(INDEX(avoidedcosttbl2,ROUNDDOWN($H384,0),BF$2)))))*$Y384,"")</f>
        <v/>
      </c>
      <c r="BG384" s="195" t="str">
        <f t="shared" ref="BG384:BG393" si="244">IFERROR($CX384*(INDEX(avoidedcosttbl2,$H384,BG$2)+(($H384-ROUNDDOWN($H384,0))*(INDEX(avoidedcosttbl2,ROUNDUP($H384,0),BG$2)-(INDEX(avoidedcosttbl2,ROUNDDOWN($H384,0),BG$2)))))*$Y384,"")</f>
        <v/>
      </c>
      <c r="BH384" s="196">
        <f t="shared" ref="BH384:BH385" si="245">IFERROR(SUM(BC384:BG384),"")</f>
        <v>0</v>
      </c>
      <c r="BI384" s="196">
        <f t="shared" ref="BI384:BI385" si="246">IFERROR(BB384+BH384,"")</f>
        <v>0</v>
      </c>
      <c r="BJ384" s="195" t="str">
        <f>IFERROR($G384*(IF('Inputs Yr 2'!$AJ421=BJ$4,'Inputs Yr 2'!$AK421,IF('Inputs Yr 2'!$AL421=BJ$4,'Inputs Yr 2'!$AM421,IF('Inputs Yr 2'!$AN421=BJ$4,'Inputs Yr 2'!$AO421,0))))*(INDEX(avoidedcosttbl2,$H384,BJ$2)+(($H384-ROUNDDOWN($H384,0))*(INDEX(avoidedcosttbl2,ROUNDUP($H384,0),BJ$2)-(INDEX(avoidedcosttbl2,ROUNDDOWN($H384,0),BJ$2)))))*'Inputs Yr 2'!P421*'Inputs Yr 2'!Q421*'Inputs Yr 2'!U421,"")</f>
        <v/>
      </c>
      <c r="BK384" s="195" t="str">
        <f>IFERROR($G384*(IF('Inputs Yr 2'!$AJ421=BK$4,'Inputs Yr 2'!$AK421,IF('Inputs Yr 2'!$AL421=BK$4,'Inputs Yr 2'!$AM421,IF('Inputs Yr 2'!$AN421=BK$4,'Inputs Yr 2'!$AO421,0))))*(INDEX(avoidedcosttbl2,$H384,BK$2)+(($H384-ROUNDDOWN($H384,0))*(INDEX(avoidedcosttbl2,ROUNDUP($H384,0),BK$2)-(INDEX(avoidedcosttbl2,ROUNDDOWN($H384,0),BK$2)))))*'Inputs Yr 2'!P421*'Inputs Yr 2'!Q421*'Inputs Yr 2'!U421,"")</f>
        <v/>
      </c>
      <c r="BL384" s="195" t="str">
        <f>IFERROR($G384*(IF('Inputs Yr 2'!$AJ421=BL$4,'Inputs Yr 2'!$AK421,IF('Inputs Yr 2'!$AL421=BL$4,'Inputs Yr 2'!$AM421,IF('Inputs Yr 2'!$AN421=BL$4,'Inputs Yr 2'!$AO421,0))))*(INDEX(avoidedcosttbl2,$H384,BL$2)+(($H384-ROUNDDOWN($H384,0))*(INDEX(avoidedcosttbl2,ROUNDUP($H384,0),BL$2)-(INDEX(avoidedcosttbl2,ROUNDDOWN($H384,0),BL$2)))))*'Inputs Yr 2'!P421*'Inputs Yr 2'!Q421*'Inputs Yr 2'!U421,"")</f>
        <v/>
      </c>
      <c r="BM384" s="195" t="str">
        <f>IFERROR($G384*(IF('Inputs Yr 2'!$AJ421=BM$4,'Inputs Yr 2'!$AK421,IF('Inputs Yr 2'!$AL421=BM$4,'Inputs Yr 2'!$AM421,IF('Inputs Yr 2'!$AN421=BM$4,'Inputs Yr 2'!$AO421,0))))*(INDEX(avoidedcosttbl2,$H384,BM$2)+(($H384-ROUNDDOWN($H384,0))*(INDEX(avoidedcosttbl2,ROUNDUP($H384,0),BM$2)-(INDEX(avoidedcosttbl2,ROUNDDOWN($H384,0),BM$2)))))*'Inputs Yr 2'!P421*'Inputs Yr 2'!Q421*'Inputs Yr 2'!U421,"")</f>
        <v/>
      </c>
      <c r="BN384" s="195" t="str">
        <f>IFERROR($G384*(IF('Inputs Yr 2'!$AJ421=BN$4,'Inputs Yr 2'!$AK421,IF('Inputs Yr 2'!$AL421=BN$4,'Inputs Yr 2'!$AM421,IF('Inputs Yr 2'!$AN421=BN$4,'Inputs Yr 2'!$AO421,0))))*(INDEX(avoidedcosttbl2,$H384,BN$2)+(($H384-ROUNDDOWN($H384,0))*(INDEX(avoidedcosttbl2,ROUNDUP($H384,0),BN$2)-(INDEX(avoidedcosttbl2,ROUNDDOWN($H384,0),BN$2)))))*'Inputs Yr 2'!P421*'Inputs Yr 2'!Q421*'Inputs Yr 2'!U421,"")</f>
        <v/>
      </c>
      <c r="BO384" s="195" t="str">
        <f>IFERROR($G384*(IF('Inputs Yr 2'!$AJ421=BO$4,'Inputs Yr 2'!$AK421,IF('Inputs Yr 2'!$AL421=BO$4,'Inputs Yr 2'!$AM421,IF('Inputs Yr 2'!$AN421=BO$4,'Inputs Yr 2'!$AO421,0))))*(INDEX(avoidedcosttbl2,$H384,BO$2)+(($H384-ROUNDDOWN($H384,0))*(INDEX(avoidedcosttbl2,ROUNDUP($H384,0),BO$2)-(INDEX(avoidedcosttbl2,ROUNDDOWN($H384,0),BO$2)))))*'Inputs Yr 2'!P421*'Inputs Yr 2'!Q421*'Inputs Yr 2'!U421,"")</f>
        <v/>
      </c>
      <c r="BP384" s="195" t="str">
        <f>IFERROR($G384*(IF('Inputs Yr 2'!$AJ421=BP$4,'Inputs Yr 2'!$AK421,IF('Inputs Yr 2'!$AL421=BP$4,'Inputs Yr 2'!$AM421,IF('Inputs Yr 2'!$AN421=BP$4,'Inputs Yr 2'!$AO421,0))))*(INDEX(avoidedcosttbl2,$H384,BP$2)+(($H384-ROUNDDOWN($H384,0))*(INDEX(avoidedcosttbl2,ROUNDUP($H384,0),BP$2)-(INDEX(avoidedcosttbl2,ROUNDDOWN($H384,0),BP$2)))))*'Inputs Yr 2'!P421*'Inputs Yr 2'!Q421*'Inputs Yr 2'!U421,"")</f>
        <v/>
      </c>
      <c r="BQ384" s="230">
        <f t="shared" ref="BQ384:BQ385" si="247">IFERROR(SUM(BJ384:BP384),"")</f>
        <v>0</v>
      </c>
      <c r="BR384" s="197" t="str">
        <f t="shared" ref="BR384:BR393" si="248">IFERROR($AB384*((INDEX(avoidedcosttbl2,$H384,BR$2))+(($H384-ROUNDDOWN($H384,0))*((INDEX(avoidedcosttbl2,ROUNDUP($H384,0),BR$2))-(INDEX(avoidedcosttbl2,ROUNDDOWN($H384,0),BR$2))))),"")</f>
        <v/>
      </c>
      <c r="BS384" s="197" t="str">
        <f>IFERROR(($G384*IF('Inputs Yr 2'!$AJ421=BM$4,'Inputs Yr 2'!$AK421,IF('Inputs Yr 2'!$AL421=BM$4,'Inputs Yr 2'!$AM421,IF('Inputs Yr 2'!$AN421=BM$4,'Inputs Yr 2'!$AO421,0))))*(INDEX(avoidedcosttbl2,$H384,BS$2)+(($H384-ROUNDDOWN($H384,0))*(INDEX(avoidedcosttbl2,ROUNDUP($H384,0),BS$2)-(INDEX(avoidedcosttbl2,ROUNDDOWN($H384,0),BS$2)))))*'Inputs Yr 2'!P421*'Inputs Yr 2'!Q421*'Inputs Yr 2'!U421,"")</f>
        <v/>
      </c>
      <c r="BT384" s="197" t="str">
        <f>IFERROR(($G384*IF('Inputs Yr 2'!$AJ421=BK$4,'Inputs Yr 2'!$AK421,IF('Inputs Yr 2'!$AL421=BK$4,'Inputs Yr 2'!$AM421,IF('Inputs Yr 2'!$AN421=BK$4,'Inputs Yr 2'!$AO421,0))))*(INDEX(avoidedcosttbl2,$H384,BT$2)+(($H384-ROUNDDOWN($H384,0))*(INDEX(avoidedcosttbl2,ROUNDUP($H384,0),BT$2)-(INDEX(avoidedcosttbl2,ROUNDDOWN($H384,0),BT$2)))))*'Inputs Yr 2'!P421*'Inputs Yr 2'!Q421*'Inputs Yr 2'!U421,"")</f>
        <v/>
      </c>
      <c r="BU384" s="197" t="str">
        <f>IFERROR(($G384*IF('Inputs Yr 2'!$AJ421=BL$4,'Inputs Yr 2'!$AK421,IF('Inputs Yr 2'!$AL421=BL$4,'Inputs Yr 2'!$AM421,IF('Inputs Yr 2'!$AN421=BL$4,'Inputs Yr 2'!$AO421,0))))*(INDEX(avoidedcosttbl2,$H384,BU$2)+(($H384-ROUNDDOWN($H384,0))*(INDEX(avoidedcosttbl2,ROUNDUP($H384,0),BU$2)-(INDEX(avoidedcosttbl2,ROUNDDOWN($H384,0),BU$2)))))*'Inputs Yr 2'!P421*'Inputs Yr 2'!Q421*'Inputs Yr 2'!U421,"")</f>
        <v/>
      </c>
      <c r="BV384" s="775" t="str">
        <f>IFERROR(($G384*IF('Inputs Yr 2'!$AJ421=BJ$4,'Inputs Yr 2'!$AK421,IF('Inputs Yr 2'!$AL421=BJ$4,'Inputs Yr 2'!$AM421,IF('Inputs Yr 2'!$AN421=BJ$4,'Inputs Yr 2'!$AO421,0))))*(INDEX(avoidedcosttbl2,$H384,BV$2)+(($H384-ROUNDDOWN($H384,0))*(INDEX(avoidedcosttbl2,ROUNDUP($H384,0),BV$2)-(INDEX(avoidedcosttbl2,ROUNDDOWN($H384,0),BV$2)))))*'Inputs Yr 2'!P421*'Inputs Yr 2'!Q421*'Inputs Yr 2'!U421,"")</f>
        <v/>
      </c>
      <c r="BW384" s="197" t="str">
        <f>IFERROR(($G384*IF('Inputs Yr 2'!$AJ421=BN$4,'Inputs Yr 2'!$AK421,IF('Inputs Yr 2'!$AL421=BN$4,'Inputs Yr 2'!$AM421,IF('Inputs Yr 2'!$AN421=BN$4,'Inputs Yr 2'!$AO421,0))))*(INDEX(avoidedcosttbl2,$H384,BW$2)+(($H384-ROUNDDOWN($H384,0))*(INDEX(avoidedcosttbl2,ROUNDUP($H384,0),BW$2)-(INDEX(avoidedcosttbl2,ROUNDDOWN($H384,0),BW$2)))))*'Inputs Yr 2'!P421*'Inputs Yr 2'!Q421*'Inputs Yr 2'!U421,"")</f>
        <v/>
      </c>
      <c r="BX384" s="197" t="str">
        <f>IFERROR(($G384*IF('Inputs Yr 2'!$AJ421=BO$4,'Inputs Yr 2'!$AK421,IF('Inputs Yr 2'!$AL421=BO$4,'Inputs Yr 2'!$AM421,IF('Inputs Yr 2'!$AN421=BO$4,'Inputs Yr 2'!$AO421,0))))*(INDEX(avoidedcosttbl2,$H384,BX$2)+(($H384-ROUNDDOWN($H384,0))*(INDEX(avoidedcosttbl2,ROUNDUP($H384,0),BX$2)-(INDEX(avoidedcosttbl2,ROUNDDOWN($H384,0),BX$2)))))*'Inputs Yr 2'!P421*'Inputs Yr 2'!Q421*'Inputs Yr 2'!U421,"")</f>
        <v/>
      </c>
      <c r="BY384" s="197" t="str">
        <f>IFERROR(($G384*IF('Inputs Yr 2'!$AJ421=BP$4,'Inputs Yr 2'!$AK421,IF('Inputs Yr 2'!$AL421=BP$4,'Inputs Yr 2'!$AM421,IF('Inputs Yr 2'!$AN421=BP$4,'Inputs Yr 2'!$AO421,0))))*(INDEX(avoidedcosttbl2,$H384,BY$2)+(($H384-ROUNDDOWN($H384,0))*(INDEX(avoidedcosttbl2,ROUNDUP($H384,0),BY$2)-(INDEX(avoidedcosttbl2,ROUNDDOWN($H384,0),BY$2)))))*'Inputs Yr 2'!P421*'Inputs Yr 2'!Q421*'Inputs Yr 2'!U421,"")</f>
        <v/>
      </c>
      <c r="BZ384" s="193">
        <f t="shared" ref="BZ384:BZ385" si="249">IFERROR(SUM(BR384:BY384),"")</f>
        <v>0</v>
      </c>
      <c r="CA384" s="193">
        <f t="shared" ref="CA384:CA385" si="250">IFERROR(BQ384+BZ384,"")</f>
        <v>0</v>
      </c>
      <c r="CB384" s="195" t="str">
        <f>IFERROR(G384*(IF('Inputs Yr 2'!$AJ421=CB$4,'Inputs Yr 2'!$AK421,IF('Inputs Yr 2'!$AL421=CB$4,'Inputs Yr 2'!$AM421,IF('Inputs Yr 2'!$AN421=CB$4,'Inputs Yr 2'!$AO421,0))))*(INDEX(avoidedcosttbl2,$H384,CB$2)+(($H384-ROUNDDOWN($H384,0))*(INDEX(avoidedcosttbl2,ROUNDUP($H384,0),CB$2)-(INDEX(avoidedcosttbl2,ROUNDDOWN($H384,0),CB$2)))))*'Inputs Yr 2'!P421*'Inputs Yr 2'!Q421*'Inputs Yr 2'!U421,"")</f>
        <v/>
      </c>
      <c r="CC384" s="195" t="str">
        <f>IFERROR(H384*(IF('Inputs Yr 2'!$AJ421=CC$4,'Inputs Yr 2'!$AK421,IF('Inputs Yr 2'!$AL421=CC$4,'Inputs Yr 2'!$AM421,IF('Inputs Yr 2'!$AN421=CC$4,'Inputs Yr 2'!$AO421,0))))*(INDEX(avoidedcosttbl2,$H384,CC$2)+(($H384-ROUNDDOWN($H384,0))*(INDEX(avoidedcosttbl2,ROUNDUP($H384,0),CC$2)-(INDEX(avoidedcosttbl2,ROUNDDOWN($H384,0),CC$2)))))*'Inputs Yr 2'!Q421*'Inputs Yr 2'!R421*'Inputs Yr 2'!V421,"")</f>
        <v/>
      </c>
      <c r="CD384" s="195" t="str">
        <f>IFERROR(I384*(IF('Inputs Yr 2'!$AJ421=CD$4,'Inputs Yr 2'!$AK421,IF('Inputs Yr 2'!$AL421=CD$4,'Inputs Yr 2'!$AM421,IF('Inputs Yr 2'!$AN421=CD$4,'Inputs Yr 2'!$AO421,0))))*(INDEX(avoidedcosttbl2,$H384,CD$2)+(($H384-ROUNDDOWN($H384,0))*(INDEX(avoidedcosttbl2,ROUNDUP($H384,0),CD$2)-(INDEX(avoidedcosttbl2,ROUNDDOWN($H384,0),CD$2)))))*'Inputs Yr 2'!R421*'Inputs Yr 2'!S421*'Inputs Yr 2'!W421,"")</f>
        <v/>
      </c>
      <c r="CE384" s="213" t="str">
        <f t="shared" ref="CE384:CE393" si="251">IFERROR(AL384*(INDEX(avoidedcosttbl2,$H384,CE$2)+(($H384-ROUNDDOWN($H384,0))*(INDEX(avoidedcosttbl2,ROUNDUP($H384,0),CE$2)-(INDEX(avoidedcosttbl2,ROUNDDOWN($H384,0),CE$2))))),"")</f>
        <v/>
      </c>
      <c r="CF384" s="213" t="str">
        <f t="shared" ref="CF384:CF393" si="252">IFERROR(AM384*(INDEX(avoidedcosttbl2,$H384,CF$2)+(($H384-ROUNDDOWN($H384,0))*(INDEX(avoidedcosttbl2,ROUNDUP($H384,0),CF$2)-(INDEX(avoidedcosttbl2,ROUNDDOWN($H384,0),CF$2))))),"")</f>
        <v/>
      </c>
      <c r="CG384" s="213" t="str">
        <f t="shared" ref="CG384:CG393" si="253">IFERROR(AN384*(INDEX(avoidedcosttbl2,$H384,CG$2)+(($H384-ROUNDDOWN($H384,0))*(INDEX(avoidedcosttbl2,ROUNDUP($H384,0),CG$2)-(INDEX(avoidedcosttbl2,ROUNDDOWN($H384,0),CG$2))))),"")</f>
        <v/>
      </c>
      <c r="CH384" s="698">
        <f t="shared" ref="CH384:CH385" si="254">IFERROR(SUM(CA384:CG384),"")</f>
        <v>0</v>
      </c>
      <c r="CI384" s="79" t="str">
        <f>IFERROR(($G384*'Inputs Yr 2'!$P421*'Inputs Yr 2'!$Q421*(((INDEX(avoidedcosttbl2,$H384,CI$2)+(($H384-ROUNDDOWN($H384,0))*(INDEX(avoidedcosttbl2,ROUNDUP($H384,0),CI$2)-INDEX(avoidedcosttbl2,ROUNDDOWN($H384,0),CI$2))))*'Inputs Yr 2'!AS421))),"")</f>
        <v/>
      </c>
      <c r="CJ384" s="504" t="str">
        <f>IFERROR($G384*'Inputs Yr 2'!AT421*'Inputs Yr 2'!$P421*'Inputs Yr 2'!$Q421/((1+realdiscrt1)^-0.5),"")</f>
        <v/>
      </c>
      <c r="CK384" s="79" t="str">
        <f>IFERROR((O384*1000*(((INDEX(avoidedcosttbl2,$H384,CK$2)+(($H384-ROUNDDOWN($H384,0))*(INDEX(avoidedcosttbl2,ROUNDUP($H384,0),CK$2)-INDEX(avoidedcosttbl2,ROUNDDOWN($H384,0),CK$2))))*'Inputs Yr 2'!AU421))),"")</f>
        <v/>
      </c>
      <c r="CL384" s="504" t="str">
        <f>IFERROR(O384*1000*'Inputs Yr 2'!AV421/((1+realdiscrt1)^-0.5),"")</f>
        <v/>
      </c>
      <c r="CM384" s="79" t="str">
        <f>IFERROR((AB384*'Inputs Yr 2'!AW421*(((INDEX(avoidedcosttbl2,$H384,CM$2)+(($H384-ROUNDDOWN($H384,0))*(INDEX(avoidedcosttbl2,ROUNDUP($H384,0),CM$2)-INDEX(avoidedcosttbl2,ROUNDDOWN($H384,0),CM$2)))))))*10,"")</f>
        <v/>
      </c>
      <c r="CN384" s="504">
        <f>IFERROR(10*AB384*'Inputs Yr 2'!AX421/((1+realdiscrt1)^-0.5),"")</f>
        <v>0</v>
      </c>
      <c r="CO384" s="505">
        <f t="shared" ref="CO384:CO385" si="255">SUM(CI384:CN384)</f>
        <v>0</v>
      </c>
      <c r="CP384" s="230">
        <f t="shared" ref="CP384:CP385" si="256">IFERROR(CO384+CH384+BI384,"")</f>
        <v>0</v>
      </c>
      <c r="CQ384" s="199">
        <f>ROUND(IFERROR(IF(LEFT($A384,1)="C",'Avoided Costs'!$K$13,'Avoided Costs'!$K$12)+1,""),4)</f>
        <v>1.0720000000000001</v>
      </c>
      <c r="CR384" s="199">
        <f>ROUND(IFERROR(IF(LEFT($A384,1)="C",'Avoided Costs'!$L$13,'Avoided Costs'!$L$12)+1,""),4)</f>
        <v>1.04</v>
      </c>
      <c r="CS384" s="199">
        <f>ROUND(IFERROR(IF(LEFT($A384,1)="C",'Avoided Costs'!$M$13,'Avoided Costs'!$M$12)+1,""),4)</f>
        <v>1.0720000000000001</v>
      </c>
      <c r="CT384" s="199">
        <f>ROUND(IFERROR(IF(LEFT($A384,1)="C",'Avoided Costs'!$N$13,'Avoided Costs'!$N$12)+1,""),4)</f>
        <v>1.04</v>
      </c>
      <c r="CU384" s="199">
        <f>ROUND(IFERROR(IF(LEFT($A384,1)="C",'Avoided Costs'!$O$13,'Avoided Costs'!$O$12)+1,""),4)</f>
        <v>1.1120000000000001</v>
      </c>
      <c r="CV384" s="199">
        <f>ROUND(IFERROR(IF(LEFT($A384,1)="C",'Avoided Costs'!$P$13,'Avoided Costs'!$P$12)+1,""),4)</f>
        <v>1.095</v>
      </c>
      <c r="CW384" s="199">
        <f>ROUND(IFERROR(IF(LEFT($A384,1)="C",'Avoided Costs'!$Q$13,'Avoided Costs'!$Q$12)+1,""),4)</f>
        <v>1.1120000000000001</v>
      </c>
      <c r="CX384" s="200">
        <f>ROUND(IFERROR(IF(LEFT($A384,1)="C",'Avoided Costs'!$R$13,'Avoided Costs'!$R$12)+1,""),4)</f>
        <v>1.1120000000000001</v>
      </c>
    </row>
    <row r="385" spans="1:102" ht="12.75" customHeight="1">
      <c r="A385" s="91" t="str">
        <f>IF('Inputs Yr 2'!$B422=0,"",'Inputs Yr 2'!A422)</f>
        <v/>
      </c>
      <c r="B385" s="91" t="str">
        <f>IF('Inputs Yr 2'!$B422=0,"",'Inputs Yr 2'!B422)</f>
        <v/>
      </c>
      <c r="C385" s="91" t="str">
        <f>IF('Inputs Yr 2'!$B422=0,"",'Inputs Yr 2'!C422)</f>
        <v/>
      </c>
      <c r="D385" s="91" t="str">
        <f>IF('Inputs Yr 2'!$B422=0,"",'Inputs Yr 2'!E422)</f>
        <v/>
      </c>
      <c r="E385" s="93" t="str">
        <f>IF('Inputs Yr 2'!$B422=0,"",'Inputs Yr 2'!F422)</f>
        <v/>
      </c>
      <c r="F385" s="93" t="str">
        <f>IF('Inputs Yr 2'!$B422=0,"",'Inputs Yr 2'!G422)</f>
        <v/>
      </c>
      <c r="G385" s="95" t="str">
        <f>IF('Inputs Yr 2'!$H422&lt;&gt;0,('Inputs Yr 2'!H422),"")</f>
        <v/>
      </c>
      <c r="H385" s="94">
        <f>IFERROR('Inputs Yr 2'!I422,"")</f>
        <v>0</v>
      </c>
      <c r="I385" s="298" t="str">
        <f>IFERROR('Inputs Yr 2'!J422*'Inputs Yr 2'!P422*G385,"")</f>
        <v/>
      </c>
      <c r="J385" s="298" t="str">
        <f>IFERROR('Inputs Yr 2'!K422*G385,"")</f>
        <v/>
      </c>
      <c r="K385" s="298" t="str">
        <f t="shared" si="227"/>
        <v/>
      </c>
      <c r="L385" s="194" t="str">
        <f>IFERROR(('Inputs Yr 2'!W422*G385)/1000,"")</f>
        <v/>
      </c>
      <c r="M385" s="194" t="str">
        <f>IFERROR(L385*('Inputs Yr 2'!$Q422*'Inputs Yr 2'!$V422*'Inputs Yr 2'!$R422),"")</f>
        <v/>
      </c>
      <c r="N385" s="194" t="str">
        <f t="shared" si="228"/>
        <v/>
      </c>
      <c r="O385" s="194" t="str">
        <f>IFERROR(M385*'Inputs Yr 2'!P422,"")</f>
        <v/>
      </c>
      <c r="P385" s="194" t="str">
        <f t="shared" si="229"/>
        <v/>
      </c>
      <c r="Q385" s="194" t="str">
        <f>IFERROR($P385*'Inputs Yr 2'!AA422,"")</f>
        <v/>
      </c>
      <c r="R385" s="194" t="str">
        <f>IFERROR($P385*'Inputs Yr 2'!AB422,"")</f>
        <v/>
      </c>
      <c r="S385" s="194" t="str">
        <f>IFERROR($P385*'Inputs Yr 2'!AC422,"")</f>
        <v/>
      </c>
      <c r="T385" s="194" t="str">
        <f>IFERROR($P385*'Inputs Yr 2'!AD422,"")</f>
        <v/>
      </c>
      <c r="U385" s="194" t="str">
        <f>IFERROR(G385*'Inputs Yr 2'!$AE422*'Inputs Yr 2'!$P422*'Inputs Yr 2'!$Q422,"")</f>
        <v/>
      </c>
      <c r="V385" s="194" t="str">
        <f>IFERROR($G385*'Inputs Yr 2'!$AE422*'Inputs Yr 2'!$AG422*'Inputs Yr 2'!Q422*'Inputs Yr 2'!$S422,"")</f>
        <v/>
      </c>
      <c r="W385" s="194" t="str">
        <f>IFERROR($G385*'Inputs Yr 2'!$AE422*'Inputs Yr 2'!$AG422*'Inputs Yr 2'!P422*'Inputs Yr 2'!Q422*'Inputs Yr 2'!$S422,"")</f>
        <v/>
      </c>
      <c r="X385" s="194" t="str">
        <f>IFERROR($G385*'Inputs Yr 2'!$AE422*'Inputs Yr 2'!$AF422*'Inputs Yr 2'!Q422*'Inputs Yr 2'!$T422,"")</f>
        <v/>
      </c>
      <c r="Y385" s="194" t="str">
        <f>IFERROR($G385*'Inputs Yr 2'!$AE422*'Inputs Yr 2'!$AF422*'Inputs Yr 2'!P422*'Inputs Yr 2'!Q422*'Inputs Yr 2'!$T422,"")</f>
        <v/>
      </c>
      <c r="Z385" s="257">
        <f>IFERROR($G385*'Inputs Yr 2'!$Q422*'Inputs Yr 2'!$U422*(IF(IFERROR(SEARCH("NG", 'Inputs Yr 2'!$AJ422),0),'Inputs Yr 2'!$AK422,0)+IF(IFERROR(SEARCH("NG", 'Inputs Yr 2'!$AL422),0),'Inputs Yr 2'!$AM422,0)+IF(IFERROR(SEARCH("NG", 'Inputs Yr 2'!$AN422),0),'Inputs Yr 2'!$AO422,0)),0)</f>
        <v>0</v>
      </c>
      <c r="AA385" s="257">
        <f t="shared" si="230"/>
        <v>0</v>
      </c>
      <c r="AB385" s="257">
        <f>IFERROR(Z385*'Inputs Yr 2'!$P422,0)</f>
        <v>0</v>
      </c>
      <c r="AC385" s="257">
        <f t="shared" si="231"/>
        <v>0</v>
      </c>
      <c r="AD385" s="257">
        <f>IFERROR($G385*'Inputs Yr 2'!$Q422*'Inputs Yr 2'!$U422*(IF(IFERROR(SEARCH("Oil", 'Inputs Yr 2'!$AJ422), 0),'Inputs Yr 2'!$AK422,0)+IF(IFERROR(SEARCH("Oil", 'Inputs Yr 2'!$AL422), 0),'Inputs Yr 2'!$AM422,0)+IF(IFERROR(SEARCH("Oil", 'Inputs Yr 2'!$AN422), 0),'Inputs Yr 2'!$AO422,0)),0)</f>
        <v>0</v>
      </c>
      <c r="AE385" s="257">
        <f t="shared" si="232"/>
        <v>0</v>
      </c>
      <c r="AF385" s="257">
        <f>IFERROR(AD385*'Inputs Yr 2'!$P422,0)</f>
        <v>0</v>
      </c>
      <c r="AG385" s="257">
        <f t="shared" si="233"/>
        <v>0</v>
      </c>
      <c r="AH385" s="257">
        <f>IFERROR($G385*'Inputs Yr 2'!$Q422*'Inputs Yr 2'!$U422*(IF('Inputs Yr 2'!$AJ422=CD$4,'Inputs Yr 2'!$AK422,IF('Inputs Yr 2'!$AL422=CD$4,'Inputs Yr 2'!$AM422,IF('Inputs Yr 2'!$AN422=CD$4,'Inputs Yr 2'!$AO422,0)))),0)</f>
        <v>0</v>
      </c>
      <c r="AI385" s="257">
        <f t="shared" si="234"/>
        <v>0</v>
      </c>
      <c r="AJ385" s="257">
        <f>IFERROR(AH385*'Inputs Yr 2'!$P422,0)</f>
        <v>0</v>
      </c>
      <c r="AK385" s="257">
        <f t="shared" si="235"/>
        <v>0</v>
      </c>
      <c r="AL385" s="258">
        <f>IFERROR($G385*'Inputs Yr 2'!$P422*'Inputs Yr 2'!$Q422*'Inputs Yr 2'!AP422,0)</f>
        <v>0</v>
      </c>
      <c r="AM385" s="260">
        <f>IFERROR($G385*'Inputs Yr 2'!$P422*'Inputs Yr 2'!$Q422*'Inputs Yr 2'!AQ422,0)</f>
        <v>0</v>
      </c>
      <c r="AN385" s="258">
        <f>IFERROR($G385*'Inputs Yr 2'!$P422*'Inputs Yr 2'!$Q422*'Inputs Yr 2'!AR422,0)</f>
        <v>0</v>
      </c>
      <c r="AO385" s="257">
        <f t="shared" si="236"/>
        <v>0</v>
      </c>
      <c r="AP385" s="195" t="str">
        <f>IFERROR($CQ385*(INDEX(avoidedcosttbl2,$H385,AP$2)+(($H385-ROUNDDOWN($H385,0))*(INDEX(avoidedcosttbl2,ROUNDUP($H385,0),AP$2)-(INDEX(avoidedcosttbl2,ROUNDDOWN($H385,0),AP$2)))))*$O385*1000*'Inputs Yr 2'!AA422,"")</f>
        <v/>
      </c>
      <c r="AQ385" s="195" t="str">
        <f>IFERROR($CR385*(INDEX(avoidedcosttbl2,$H385,AQ$2)+(($H385-ROUNDDOWN($H385,0))*(INDEX(avoidedcosttbl2,ROUNDUP($H385,0),AQ$2)-(INDEX(avoidedcosttbl2,ROUNDDOWN($H385,0),AQ$2)))))*$O385*1000*'Inputs Yr 2'!AB422,"")</f>
        <v/>
      </c>
      <c r="AR385" s="195" t="str">
        <f>IFERROR($CS385*(INDEX(avoidedcosttbl2,$H385,AR$2)+(($H385-ROUNDDOWN($H385,0))*(INDEX(avoidedcosttbl2,ROUNDUP($H385,0),AR$2)-(INDEX(avoidedcosttbl2,ROUNDDOWN($H385,0),AR$2)))))*$O385*1000*'Inputs Yr 2'!AC422,"")</f>
        <v/>
      </c>
      <c r="AS385" s="195" t="str">
        <f>IFERROR($CT385*(INDEX(avoidedcosttbl2,$H385,AS$2)+(($H385-ROUNDDOWN($H385,0))*(INDEX(avoidedcosttbl2,ROUNDUP($H385,0),AS$2)-(INDEX(avoidedcosttbl2,ROUNDDOWN($H385,0),AS$2)))))*$O385*1000*'Inputs Yr 2'!AD422,"")</f>
        <v/>
      </c>
      <c r="AT385" s="196">
        <f t="shared" si="237"/>
        <v>0</v>
      </c>
      <c r="AU385" s="197" t="str">
        <f>IFERROR($CQ385*((INDEX(avoidedcosttbl2,$H385,AU$2))+(($H385-ROUNDDOWN($H385,0))*((INDEX(avoidedcosttbl2,ROUNDUP($H385,0),AU$2))-(INDEX(avoidedcosttbl2,ROUNDDOWN($H385,0),AU$2)))))*$O385*1000*'Inputs Yr 2'!AA422,"")</f>
        <v/>
      </c>
      <c r="AV385" s="197" t="str">
        <f>IFERROR($CR385*((INDEX(avoidedcosttbl2,$H385,AV$2))+(($H385-ROUNDDOWN($H385,0))*((INDEX(avoidedcosttbl2,ROUNDUP($H385,0),AV$2))-(INDEX(avoidedcosttbl2,ROUNDDOWN($H385,0),AV$2)))))*$O385*1000*'Inputs Yr 2'!AB422,"")</f>
        <v/>
      </c>
      <c r="AW385" s="197" t="str">
        <f>IFERROR($CS385*((INDEX(avoidedcosttbl2,$H385,AW$2))+(($H385-ROUNDDOWN($H385,0))*((INDEX(avoidedcosttbl2,ROUNDUP($H385,0),AW$2))-(INDEX(avoidedcosttbl2,ROUNDDOWN($H385,0),AW$2)))))*$O385*1000*'Inputs Yr 2'!AC422,"")</f>
        <v/>
      </c>
      <c r="AX385" s="197" t="str">
        <f>IFERROR($CT385*((INDEX(avoidedcosttbl2,$H385,AX$2))+(($H385-ROUNDDOWN($H385,0))*((INDEX(avoidedcosttbl2,ROUNDUP($H385,0),AX$2))-(INDEX(avoidedcosttbl2,ROUNDDOWN($H385,0),AX$2)))))*$O385*1000*'Inputs Yr 2'!AD422,"")</f>
        <v/>
      </c>
      <c r="AY385" s="197" t="str">
        <f>IFERROR(((INDEX(avoidedcosttbl2,$H385,AY$2))+(($H385-ROUNDDOWN($H385,0))*((INDEX(avoidedcosttbl2,ROUNDUP($H385,0),AY$2))-(INDEX(avoidedcosttbl2,ROUNDDOWN($H385,0),AY$2)))))*$O385*1000*('Inputs Yr 2'!AC422+'Inputs Yr 2'!AD422),"")</f>
        <v/>
      </c>
      <c r="AZ385" s="197" t="str">
        <f>IFERROR(((INDEX(avoidedcosttbl2,$H385,AZ$2))+(($H385-ROUNDDOWN($H385,0))*((INDEX(avoidedcosttbl2,ROUNDUP($H385,0),AZ$2))-(INDEX(avoidedcosttbl2,ROUNDDOWN($H385,0),AZ$2)))))*$O385*1000*('Inputs Yr 2'!AA422+'Inputs Yr 2'!AB422),"")</f>
        <v/>
      </c>
      <c r="BA385" s="198">
        <f t="shared" si="238"/>
        <v>0</v>
      </c>
      <c r="BB385" s="198">
        <f t="shared" si="239"/>
        <v>0</v>
      </c>
      <c r="BC385" s="195" t="str">
        <f t="shared" si="240"/>
        <v/>
      </c>
      <c r="BD385" s="195" t="str">
        <f t="shared" si="241"/>
        <v/>
      </c>
      <c r="BE385" s="195" t="str">
        <f t="shared" si="242"/>
        <v/>
      </c>
      <c r="BF385" s="195" t="str">
        <f t="shared" si="243"/>
        <v/>
      </c>
      <c r="BG385" s="195" t="str">
        <f t="shared" si="244"/>
        <v/>
      </c>
      <c r="BH385" s="196">
        <f t="shared" si="245"/>
        <v>0</v>
      </c>
      <c r="BI385" s="196">
        <f t="shared" si="246"/>
        <v>0</v>
      </c>
      <c r="BJ385" s="195" t="str">
        <f>IFERROR($G385*(IF('Inputs Yr 2'!$AJ422=BJ$4,'Inputs Yr 2'!$AK422,IF('Inputs Yr 2'!$AL422=BJ$4,'Inputs Yr 2'!$AM422,IF('Inputs Yr 2'!$AN422=BJ$4,'Inputs Yr 2'!$AO422,0))))*(INDEX(avoidedcosttbl2,$H385,BJ$2)+(($H385-ROUNDDOWN($H385,0))*(INDEX(avoidedcosttbl2,ROUNDUP($H385,0),BJ$2)-(INDEX(avoidedcosttbl2,ROUNDDOWN($H385,0),BJ$2)))))*'Inputs Yr 2'!P422*'Inputs Yr 2'!Q422*'Inputs Yr 2'!U422,"")</f>
        <v/>
      </c>
      <c r="BK385" s="195" t="str">
        <f>IFERROR($G385*(IF('Inputs Yr 2'!$AJ422=BK$4,'Inputs Yr 2'!$AK422,IF('Inputs Yr 2'!$AL422=BK$4,'Inputs Yr 2'!$AM422,IF('Inputs Yr 2'!$AN422=BK$4,'Inputs Yr 2'!$AO422,0))))*(INDEX(avoidedcosttbl2,$H385,BK$2)+(($H385-ROUNDDOWN($H385,0))*(INDEX(avoidedcosttbl2,ROUNDUP($H385,0),BK$2)-(INDEX(avoidedcosttbl2,ROUNDDOWN($H385,0),BK$2)))))*'Inputs Yr 2'!P422*'Inputs Yr 2'!Q422*'Inputs Yr 2'!U422,"")</f>
        <v/>
      </c>
      <c r="BL385" s="195" t="str">
        <f>IFERROR($G385*(IF('Inputs Yr 2'!$AJ422=BL$4,'Inputs Yr 2'!$AK422,IF('Inputs Yr 2'!$AL422=BL$4,'Inputs Yr 2'!$AM422,IF('Inputs Yr 2'!$AN422=BL$4,'Inputs Yr 2'!$AO422,0))))*(INDEX(avoidedcosttbl2,$H385,BL$2)+(($H385-ROUNDDOWN($H385,0))*(INDEX(avoidedcosttbl2,ROUNDUP($H385,0),BL$2)-(INDEX(avoidedcosttbl2,ROUNDDOWN($H385,0),BL$2)))))*'Inputs Yr 2'!P422*'Inputs Yr 2'!Q422*'Inputs Yr 2'!U422,"")</f>
        <v/>
      </c>
      <c r="BM385" s="195" t="str">
        <f>IFERROR($G385*(IF('Inputs Yr 2'!$AJ422=BM$4,'Inputs Yr 2'!$AK422,IF('Inputs Yr 2'!$AL422=BM$4,'Inputs Yr 2'!$AM422,IF('Inputs Yr 2'!$AN422=BM$4,'Inputs Yr 2'!$AO422,0))))*(INDEX(avoidedcosttbl2,$H385,BM$2)+(($H385-ROUNDDOWN($H385,0))*(INDEX(avoidedcosttbl2,ROUNDUP($H385,0),BM$2)-(INDEX(avoidedcosttbl2,ROUNDDOWN($H385,0),BM$2)))))*'Inputs Yr 2'!P422*'Inputs Yr 2'!Q422*'Inputs Yr 2'!U422,"")</f>
        <v/>
      </c>
      <c r="BN385" s="195" t="str">
        <f>IFERROR($G385*(IF('Inputs Yr 2'!$AJ422=BN$4,'Inputs Yr 2'!$AK422,IF('Inputs Yr 2'!$AL422=BN$4,'Inputs Yr 2'!$AM422,IF('Inputs Yr 2'!$AN422=BN$4,'Inputs Yr 2'!$AO422,0))))*(INDEX(avoidedcosttbl2,$H385,BN$2)+(($H385-ROUNDDOWN($H385,0))*(INDEX(avoidedcosttbl2,ROUNDUP($H385,0),BN$2)-(INDEX(avoidedcosttbl2,ROUNDDOWN($H385,0),BN$2)))))*'Inputs Yr 2'!P422*'Inputs Yr 2'!Q422*'Inputs Yr 2'!U422,"")</f>
        <v/>
      </c>
      <c r="BO385" s="195" t="str">
        <f>IFERROR($G385*(IF('Inputs Yr 2'!$AJ422=BO$4,'Inputs Yr 2'!$AK422,IF('Inputs Yr 2'!$AL422=BO$4,'Inputs Yr 2'!$AM422,IF('Inputs Yr 2'!$AN422=BO$4,'Inputs Yr 2'!$AO422,0))))*(INDEX(avoidedcosttbl2,$H385,BO$2)+(($H385-ROUNDDOWN($H385,0))*(INDEX(avoidedcosttbl2,ROUNDUP($H385,0),BO$2)-(INDEX(avoidedcosttbl2,ROUNDDOWN($H385,0),BO$2)))))*'Inputs Yr 2'!P422*'Inputs Yr 2'!Q422*'Inputs Yr 2'!U422,"")</f>
        <v/>
      </c>
      <c r="BP385" s="195" t="str">
        <f>IFERROR($G385*(IF('Inputs Yr 2'!$AJ422=BP$4,'Inputs Yr 2'!$AK422,IF('Inputs Yr 2'!$AL422=BP$4,'Inputs Yr 2'!$AM422,IF('Inputs Yr 2'!$AN422=BP$4,'Inputs Yr 2'!$AO422,0))))*(INDEX(avoidedcosttbl2,$H385,BP$2)+(($H385-ROUNDDOWN($H385,0))*(INDEX(avoidedcosttbl2,ROUNDUP($H385,0),BP$2)-(INDEX(avoidedcosttbl2,ROUNDDOWN($H385,0),BP$2)))))*'Inputs Yr 2'!P422*'Inputs Yr 2'!Q422*'Inputs Yr 2'!U422,"")</f>
        <v/>
      </c>
      <c r="BQ385" s="230">
        <f t="shared" si="247"/>
        <v>0</v>
      </c>
      <c r="BR385" s="197" t="str">
        <f t="shared" si="248"/>
        <v/>
      </c>
      <c r="BS385" s="197" t="str">
        <f>IFERROR(($G385*IF('Inputs Yr 2'!$AJ422=BM$4,'Inputs Yr 2'!$AK422,IF('Inputs Yr 2'!$AL422=BM$4,'Inputs Yr 2'!$AM422,IF('Inputs Yr 2'!$AN422=BM$4,'Inputs Yr 2'!$AO422,0))))*(INDEX(avoidedcosttbl2,$H385,BS$2)+(($H385-ROUNDDOWN($H385,0))*(INDEX(avoidedcosttbl2,ROUNDUP($H385,0),BS$2)-(INDEX(avoidedcosttbl2,ROUNDDOWN($H385,0),BS$2)))))*'Inputs Yr 2'!P422*'Inputs Yr 2'!Q422*'Inputs Yr 2'!U422,"")</f>
        <v/>
      </c>
      <c r="BT385" s="197" t="str">
        <f>IFERROR(($G385*IF('Inputs Yr 2'!$AJ422=BK$4,'Inputs Yr 2'!$AK422,IF('Inputs Yr 2'!$AL422=BK$4,'Inputs Yr 2'!$AM422,IF('Inputs Yr 2'!$AN422=BK$4,'Inputs Yr 2'!$AO422,0))))*(INDEX(avoidedcosttbl2,$H385,BT$2)+(($H385-ROUNDDOWN($H385,0))*(INDEX(avoidedcosttbl2,ROUNDUP($H385,0),BT$2)-(INDEX(avoidedcosttbl2,ROUNDDOWN($H385,0),BT$2)))))*'Inputs Yr 2'!P422*'Inputs Yr 2'!Q422*'Inputs Yr 2'!U422,"")</f>
        <v/>
      </c>
      <c r="BU385" s="197" t="str">
        <f>IFERROR(($G385*IF('Inputs Yr 2'!$AJ422=BL$4,'Inputs Yr 2'!$AK422,IF('Inputs Yr 2'!$AL422=BL$4,'Inputs Yr 2'!$AM422,IF('Inputs Yr 2'!$AN422=BL$4,'Inputs Yr 2'!$AO422,0))))*(INDEX(avoidedcosttbl2,$H385,BU$2)+(($H385-ROUNDDOWN($H385,0))*(INDEX(avoidedcosttbl2,ROUNDUP($H385,0),BU$2)-(INDEX(avoidedcosttbl2,ROUNDDOWN($H385,0),BU$2)))))*'Inputs Yr 2'!P422*'Inputs Yr 2'!Q422*'Inputs Yr 2'!U422,"")</f>
        <v/>
      </c>
      <c r="BV385" s="775" t="str">
        <f>IFERROR(($G385*IF('Inputs Yr 2'!$AJ422=BJ$4,'Inputs Yr 2'!$AK422,IF('Inputs Yr 2'!$AL422=BJ$4,'Inputs Yr 2'!$AM422,IF('Inputs Yr 2'!$AN422=BJ$4,'Inputs Yr 2'!$AO422,0))))*(INDEX(avoidedcosttbl2,$H385,BV$2)+(($H385-ROUNDDOWN($H385,0))*(INDEX(avoidedcosttbl2,ROUNDUP($H385,0),BV$2)-(INDEX(avoidedcosttbl2,ROUNDDOWN($H385,0),BV$2)))))*'Inputs Yr 2'!P422*'Inputs Yr 2'!Q422*'Inputs Yr 2'!U422,"")</f>
        <v/>
      </c>
      <c r="BW385" s="197" t="str">
        <f>IFERROR(($G385*IF('Inputs Yr 2'!$AJ422=BN$4,'Inputs Yr 2'!$AK422,IF('Inputs Yr 2'!$AL422=BN$4,'Inputs Yr 2'!$AM422,IF('Inputs Yr 2'!$AN422=BN$4,'Inputs Yr 2'!$AO422,0))))*(INDEX(avoidedcosttbl2,$H385,BW$2)+(($H385-ROUNDDOWN($H385,0))*(INDEX(avoidedcosttbl2,ROUNDUP($H385,0),BW$2)-(INDEX(avoidedcosttbl2,ROUNDDOWN($H385,0),BW$2)))))*'Inputs Yr 2'!P422*'Inputs Yr 2'!Q422*'Inputs Yr 2'!U422,"")</f>
        <v/>
      </c>
      <c r="BX385" s="197" t="str">
        <f>IFERROR(($G385*IF('Inputs Yr 2'!$AJ422=BO$4,'Inputs Yr 2'!$AK422,IF('Inputs Yr 2'!$AL422=BO$4,'Inputs Yr 2'!$AM422,IF('Inputs Yr 2'!$AN422=BO$4,'Inputs Yr 2'!$AO422,0))))*(INDEX(avoidedcosttbl2,$H385,BX$2)+(($H385-ROUNDDOWN($H385,0))*(INDEX(avoidedcosttbl2,ROUNDUP($H385,0),BX$2)-(INDEX(avoidedcosttbl2,ROUNDDOWN($H385,0),BX$2)))))*'Inputs Yr 2'!P422*'Inputs Yr 2'!Q422*'Inputs Yr 2'!U422,"")</f>
        <v/>
      </c>
      <c r="BY385" s="197" t="str">
        <f>IFERROR(($G385*IF('Inputs Yr 2'!$AJ422=BP$4,'Inputs Yr 2'!$AK422,IF('Inputs Yr 2'!$AL422=BP$4,'Inputs Yr 2'!$AM422,IF('Inputs Yr 2'!$AN422=BP$4,'Inputs Yr 2'!$AO422,0))))*(INDEX(avoidedcosttbl2,$H385,BY$2)+(($H385-ROUNDDOWN($H385,0))*(INDEX(avoidedcosttbl2,ROUNDUP($H385,0),BY$2)-(INDEX(avoidedcosttbl2,ROUNDDOWN($H385,0),BY$2)))))*'Inputs Yr 2'!P422*'Inputs Yr 2'!Q422*'Inputs Yr 2'!U422,"")</f>
        <v/>
      </c>
      <c r="BZ385" s="193">
        <f t="shared" si="249"/>
        <v>0</v>
      </c>
      <c r="CA385" s="193">
        <f t="shared" si="250"/>
        <v>0</v>
      </c>
      <c r="CB385" s="195" t="str">
        <f>IFERROR(G385*(IF('Inputs Yr 2'!$AJ422=CB$4,'Inputs Yr 2'!$AK422,IF('Inputs Yr 2'!$AL422=CB$4,'Inputs Yr 2'!$AM422,IF('Inputs Yr 2'!$AN422=CB$4,'Inputs Yr 2'!$AO422,0))))*(INDEX(avoidedcosttbl2,$H385,CB$2)+(($H385-ROUNDDOWN($H385,0))*(INDEX(avoidedcosttbl2,ROUNDUP($H385,0),CB$2)-(INDEX(avoidedcosttbl2,ROUNDDOWN($H385,0),CB$2)))))*'Inputs Yr 2'!P422*'Inputs Yr 2'!Q422*'Inputs Yr 2'!U422,"")</f>
        <v/>
      </c>
      <c r="CC385" s="195" t="str">
        <f>IFERROR(H385*(IF('Inputs Yr 2'!$AJ422=CC$4,'Inputs Yr 2'!$AK422,IF('Inputs Yr 2'!$AL422=CC$4,'Inputs Yr 2'!$AM422,IF('Inputs Yr 2'!$AN422=CC$4,'Inputs Yr 2'!$AO422,0))))*(INDEX(avoidedcosttbl2,$H385,CC$2)+(($H385-ROUNDDOWN($H385,0))*(INDEX(avoidedcosttbl2,ROUNDUP($H385,0),CC$2)-(INDEX(avoidedcosttbl2,ROUNDDOWN($H385,0),CC$2)))))*'Inputs Yr 2'!Q422*'Inputs Yr 2'!R422*'Inputs Yr 2'!V422,"")</f>
        <v/>
      </c>
      <c r="CD385" s="195" t="str">
        <f>IFERROR(I385*(IF('Inputs Yr 2'!$AJ422=CD$4,'Inputs Yr 2'!$AK422,IF('Inputs Yr 2'!$AL422=CD$4,'Inputs Yr 2'!$AM422,IF('Inputs Yr 2'!$AN422=CD$4,'Inputs Yr 2'!$AO422,0))))*(INDEX(avoidedcosttbl2,$H385,CD$2)+(($H385-ROUNDDOWN($H385,0))*(INDEX(avoidedcosttbl2,ROUNDUP($H385,0),CD$2)-(INDEX(avoidedcosttbl2,ROUNDDOWN($H385,0),CD$2)))))*'Inputs Yr 2'!R422*'Inputs Yr 2'!S422*'Inputs Yr 2'!W422,"")</f>
        <v/>
      </c>
      <c r="CE385" s="213" t="str">
        <f t="shared" si="251"/>
        <v/>
      </c>
      <c r="CF385" s="213" t="str">
        <f t="shared" si="252"/>
        <v/>
      </c>
      <c r="CG385" s="213" t="str">
        <f t="shared" si="253"/>
        <v/>
      </c>
      <c r="CH385" s="698">
        <f t="shared" si="254"/>
        <v>0</v>
      </c>
      <c r="CI385" s="79" t="str">
        <f>IFERROR(($G385*'Inputs Yr 2'!$P422*'Inputs Yr 2'!$Q422*(((INDEX(avoidedcosttbl2,$H385,CI$2)+(($H385-ROUNDDOWN($H385,0))*(INDEX(avoidedcosttbl2,ROUNDUP($H385,0),CI$2)-INDEX(avoidedcosttbl2,ROUNDDOWN($H385,0),CI$2))))*'Inputs Yr 2'!AS422))),"")</f>
        <v/>
      </c>
      <c r="CJ385" s="504" t="str">
        <f>IFERROR($G385*'Inputs Yr 2'!AT422*'Inputs Yr 2'!$P422*'Inputs Yr 2'!$Q422/((1+realdiscrt1)^-0.5),"")</f>
        <v/>
      </c>
      <c r="CK385" s="79" t="str">
        <f>IFERROR((O385*1000*(((INDEX(avoidedcosttbl2,$H385,CK$2)+(($H385-ROUNDDOWN($H385,0))*(INDEX(avoidedcosttbl2,ROUNDUP($H385,0),CK$2)-INDEX(avoidedcosttbl2,ROUNDDOWN($H385,0),CK$2))))*'Inputs Yr 2'!AU422))),"")</f>
        <v/>
      </c>
      <c r="CL385" s="504" t="str">
        <f>IFERROR(O385*1000*'Inputs Yr 2'!AV422/((1+realdiscrt1)^-0.5),"")</f>
        <v/>
      </c>
      <c r="CM385" s="79" t="str">
        <f>IFERROR((AB385*'Inputs Yr 2'!AW422*(((INDEX(avoidedcosttbl2,$H385,CM$2)+(($H385-ROUNDDOWN($H385,0))*(INDEX(avoidedcosttbl2,ROUNDUP($H385,0),CM$2)-INDEX(avoidedcosttbl2,ROUNDDOWN($H385,0),CM$2)))))))*10,"")</f>
        <v/>
      </c>
      <c r="CN385" s="504">
        <f>IFERROR(10*AB385*'Inputs Yr 2'!AX422/((1+realdiscrt1)^-0.5),"")</f>
        <v>0</v>
      </c>
      <c r="CO385" s="505">
        <f t="shared" si="255"/>
        <v>0</v>
      </c>
      <c r="CP385" s="230">
        <f t="shared" si="256"/>
        <v>0</v>
      </c>
      <c r="CQ385" s="199">
        <f>ROUND(IFERROR(IF(LEFT($A385,1)="C",'Avoided Costs'!$K$13,'Avoided Costs'!$K$12)+1,""),4)</f>
        <v>1.0720000000000001</v>
      </c>
      <c r="CR385" s="199">
        <f>ROUND(IFERROR(IF(LEFT($A385,1)="C",'Avoided Costs'!$L$13,'Avoided Costs'!$L$12)+1,""),4)</f>
        <v>1.04</v>
      </c>
      <c r="CS385" s="199">
        <f>ROUND(IFERROR(IF(LEFT($A385,1)="C",'Avoided Costs'!$M$13,'Avoided Costs'!$M$12)+1,""),4)</f>
        <v>1.0720000000000001</v>
      </c>
      <c r="CT385" s="199">
        <f>ROUND(IFERROR(IF(LEFT($A385,1)="C",'Avoided Costs'!$N$13,'Avoided Costs'!$N$12)+1,""),4)</f>
        <v>1.04</v>
      </c>
      <c r="CU385" s="199">
        <f>ROUND(IFERROR(IF(LEFT($A385,1)="C",'Avoided Costs'!$O$13,'Avoided Costs'!$O$12)+1,""),4)</f>
        <v>1.1120000000000001</v>
      </c>
      <c r="CV385" s="199">
        <f>ROUND(IFERROR(IF(LEFT($A385,1)="C",'Avoided Costs'!$P$13,'Avoided Costs'!$P$12)+1,""),4)</f>
        <v>1.095</v>
      </c>
      <c r="CW385" s="199">
        <f>ROUND(IFERROR(IF(LEFT($A385,1)="C",'Avoided Costs'!$Q$13,'Avoided Costs'!$Q$12)+1,""),4)</f>
        <v>1.1120000000000001</v>
      </c>
      <c r="CX385" s="200">
        <f>ROUND(IFERROR(IF(LEFT($A385,1)="C",'Avoided Costs'!$R$13,'Avoided Costs'!$R$12)+1,""),4)</f>
        <v>1.1120000000000001</v>
      </c>
    </row>
    <row r="386" spans="1:102" ht="12.75" customHeight="1">
      <c r="A386" s="91" t="str">
        <f>IF('Inputs Yr 2'!$B384=0,"",'Inputs Yr 2'!A384)</f>
        <v/>
      </c>
      <c r="B386" s="91" t="str">
        <f>IF('Inputs Yr 2'!$B384=0,"",'Inputs Yr 2'!B384)</f>
        <v/>
      </c>
      <c r="C386" s="91" t="str">
        <f>IF('Inputs Yr 2'!$B384=0,"",'Inputs Yr 2'!C384)</f>
        <v/>
      </c>
      <c r="D386" s="91" t="str">
        <f>IF('Inputs Yr 2'!$B384=0,"",'Inputs Yr 2'!E384)</f>
        <v/>
      </c>
      <c r="E386" s="93" t="str">
        <f>IF('Inputs Yr 2'!$B384=0,"",'Inputs Yr 2'!F384)</f>
        <v/>
      </c>
      <c r="F386" s="93" t="str">
        <f>IF('Inputs Yr 2'!$B384=0,"",'Inputs Yr 2'!G384)</f>
        <v/>
      </c>
      <c r="G386" s="95" t="str">
        <f>IF('Inputs Yr 2'!$H384&lt;&gt;0,('Inputs Yr 2'!H384),"")</f>
        <v/>
      </c>
      <c r="H386" s="94">
        <f>IFERROR('Inputs Yr 2'!I384,"")</f>
        <v>0</v>
      </c>
      <c r="I386" s="298" t="str">
        <f>IFERROR('Inputs Yr 2'!J384*'Inputs Yr 2'!P384*G386,"")</f>
        <v/>
      </c>
      <c r="J386" s="298" t="str">
        <f>IFERROR('Inputs Yr 2'!K384*G386,"")</f>
        <v/>
      </c>
      <c r="K386" s="298" t="str">
        <f t="shared" ref="K386:K389" si="257">IFERROR(I386-J386,"")</f>
        <v/>
      </c>
      <c r="L386" s="194" t="str">
        <f>IFERROR(('Inputs Yr 2'!W384*G386)/1000,"")</f>
        <v/>
      </c>
      <c r="M386" s="194" t="str">
        <f>IFERROR(L386*('Inputs Yr 2'!$Q384*'Inputs Yr 2'!$V384*'Inputs Yr 2'!$R384),"")</f>
        <v/>
      </c>
      <c r="N386" s="194" t="str">
        <f t="shared" ref="N386:N389" si="258">IFERROR(M386*$H386,"")</f>
        <v/>
      </c>
      <c r="O386" s="194" t="str">
        <f>IFERROR(M386*'Inputs Yr 2'!P384,"")</f>
        <v/>
      </c>
      <c r="P386" s="194" t="str">
        <f t="shared" ref="P386:P389" si="259">IFERROR(O386*$H386,"")</f>
        <v/>
      </c>
      <c r="Q386" s="194" t="str">
        <f>IFERROR($P386*'Inputs Yr 2'!AA384,"")</f>
        <v/>
      </c>
      <c r="R386" s="194" t="str">
        <f>IFERROR($P386*'Inputs Yr 2'!AB384,"")</f>
        <v/>
      </c>
      <c r="S386" s="194" t="str">
        <f>IFERROR($P386*'Inputs Yr 2'!AC384,"")</f>
        <v/>
      </c>
      <c r="T386" s="194" t="str">
        <f>IFERROR($P386*'Inputs Yr 2'!AD384,"")</f>
        <v/>
      </c>
      <c r="U386" s="194" t="str">
        <f>IFERROR(G386*'Inputs Yr 2'!$AE384*'Inputs Yr 2'!$P384*'Inputs Yr 2'!$Q384,"")</f>
        <v/>
      </c>
      <c r="V386" s="194" t="str">
        <f>IFERROR($G386*'Inputs Yr 2'!$AE384*'Inputs Yr 2'!$AG384*'Inputs Yr 2'!Q384*'Inputs Yr 2'!$S384,"")</f>
        <v/>
      </c>
      <c r="W386" s="194" t="str">
        <f>IFERROR($G386*'Inputs Yr 2'!$AE384*'Inputs Yr 2'!$AG384*'Inputs Yr 2'!P384*'Inputs Yr 2'!Q384*'Inputs Yr 2'!$S384,"")</f>
        <v/>
      </c>
      <c r="X386" s="194" t="str">
        <f>IFERROR($G386*'Inputs Yr 2'!$AE384*'Inputs Yr 2'!$AF384*'Inputs Yr 2'!Q384*'Inputs Yr 2'!$T384,"")</f>
        <v/>
      </c>
      <c r="Y386" s="194" t="str">
        <f>IFERROR($G386*'Inputs Yr 2'!$AE384*'Inputs Yr 2'!$AF384*'Inputs Yr 2'!P384*'Inputs Yr 2'!Q384*'Inputs Yr 2'!$T384,"")</f>
        <v/>
      </c>
      <c r="Z386" s="257">
        <f>IFERROR($G386*'Inputs Yr 2'!$Q384*'Inputs Yr 2'!$U384*(IF(IFERROR(SEARCH("NG", 'Inputs Yr 2'!$AJ384),0),'Inputs Yr 2'!$AK384,0)+IF(IFERROR(SEARCH("NG", 'Inputs Yr 2'!$AL384),0),'Inputs Yr 2'!$AM384,0)+IF(IFERROR(SEARCH("NG", 'Inputs Yr 2'!$AN384),0),'Inputs Yr 2'!$AO384,0)),0)</f>
        <v>0</v>
      </c>
      <c r="AA386" s="257">
        <f t="shared" ref="AA386:AA389" si="260">IFERROR(Z386*$H386,0)</f>
        <v>0</v>
      </c>
      <c r="AB386" s="257">
        <f>IFERROR(Z386*'Inputs Yr 2'!$P384,0)</f>
        <v>0</v>
      </c>
      <c r="AC386" s="257">
        <f t="shared" ref="AC386:AC389" si="261">IFERROR(AB386*$H386,0)</f>
        <v>0</v>
      </c>
      <c r="AD386" s="257">
        <f>IFERROR($G386*'Inputs Yr 2'!$Q384*'Inputs Yr 2'!$U384*(IF(IFERROR(SEARCH("Oil", 'Inputs Yr 2'!$AJ384), 0),'Inputs Yr 2'!$AK384,0)+IF(IFERROR(SEARCH("Oil", 'Inputs Yr 2'!$AL384), 0),'Inputs Yr 2'!$AM384,0)+IF(IFERROR(SEARCH("Oil", 'Inputs Yr 2'!$AN384), 0),'Inputs Yr 2'!$AO384,0)),0)</f>
        <v>0</v>
      </c>
      <c r="AE386" s="257">
        <f t="shared" ref="AE386:AE389" si="262">IFERROR(AD386*$H386,0)</f>
        <v>0</v>
      </c>
      <c r="AF386" s="257">
        <f>IFERROR(AD386*'Inputs Yr 2'!$P384,0)</f>
        <v>0</v>
      </c>
      <c r="AG386" s="257">
        <f t="shared" ref="AG386:AG389" si="263">IFERROR(AF386*$H386,0)</f>
        <v>0</v>
      </c>
      <c r="AH386" s="257">
        <f>IFERROR($G386*'Inputs Yr 2'!$Q384*'Inputs Yr 2'!$U384*(IF('Inputs Yr 2'!$AJ384=CD$4,'Inputs Yr 2'!$AK384,IF('Inputs Yr 2'!$AL384=CD$4,'Inputs Yr 2'!$AM384,IF('Inputs Yr 2'!$AN384=CD$4,'Inputs Yr 2'!$AO384,0)))),0)</f>
        <v>0</v>
      </c>
      <c r="AI386" s="257">
        <f t="shared" ref="AI386:AI389" si="264">IFERROR(AH386*$H386,0)</f>
        <v>0</v>
      </c>
      <c r="AJ386" s="257">
        <f>IFERROR(AH386*'Inputs Yr 2'!$P384,0)</f>
        <v>0</v>
      </c>
      <c r="AK386" s="257">
        <f t="shared" ref="AK386:AK389" si="265">IFERROR(AJ386*$H386,0)</f>
        <v>0</v>
      </c>
      <c r="AL386" s="258">
        <f>IFERROR($G386*'Inputs Yr 2'!$P384*'Inputs Yr 2'!$Q384*'Inputs Yr 2'!AP384,0)</f>
        <v>0</v>
      </c>
      <c r="AM386" s="260">
        <f>IFERROR($G386*'Inputs Yr 2'!$P384*'Inputs Yr 2'!$Q384*'Inputs Yr 2'!AQ384,0)</f>
        <v>0</v>
      </c>
      <c r="AN386" s="258">
        <f>IFERROR($G386*'Inputs Yr 2'!$P384*'Inputs Yr 2'!$Q384*'Inputs Yr 2'!AR384,0)</f>
        <v>0</v>
      </c>
      <c r="AO386" s="257">
        <f t="shared" ref="AO386:AO389" si="266">IFERROR(SUM(AL386:AM386)*$H386,0)</f>
        <v>0</v>
      </c>
      <c r="AP386" s="195" t="str">
        <f>IFERROR($CQ386*(INDEX(avoidedcosttbl2,$H386,AP$2)+(($H386-ROUNDDOWN($H386,0))*(INDEX(avoidedcosttbl2,ROUNDUP($H386,0),AP$2)-(INDEX(avoidedcosttbl2,ROUNDDOWN($H386,0),AP$2)))))*$O386*1000*'Inputs Yr 2'!AA384,"")</f>
        <v/>
      </c>
      <c r="AQ386" s="195" t="str">
        <f>IFERROR($CR386*(INDEX(avoidedcosttbl2,$H386,AQ$2)+(($H386-ROUNDDOWN($H386,0))*(INDEX(avoidedcosttbl2,ROUNDUP($H386,0),AQ$2)-(INDEX(avoidedcosttbl2,ROUNDDOWN($H386,0),AQ$2)))))*$O386*1000*'Inputs Yr 2'!AB384,"")</f>
        <v/>
      </c>
      <c r="AR386" s="195" t="str">
        <f>IFERROR($CS386*(INDEX(avoidedcosttbl2,$H386,AR$2)+(($H386-ROUNDDOWN($H386,0))*(INDEX(avoidedcosttbl2,ROUNDUP($H386,0),AR$2)-(INDEX(avoidedcosttbl2,ROUNDDOWN($H386,0),AR$2)))))*$O386*1000*'Inputs Yr 2'!AC384,"")</f>
        <v/>
      </c>
      <c r="AS386" s="195" t="str">
        <f>IFERROR($CT386*(INDEX(avoidedcosttbl2,$H386,AS$2)+(($H386-ROUNDDOWN($H386,0))*(INDEX(avoidedcosttbl2,ROUNDUP($H386,0),AS$2)-(INDEX(avoidedcosttbl2,ROUNDDOWN($H386,0),AS$2)))))*$O386*1000*'Inputs Yr 2'!AD384,"")</f>
        <v/>
      </c>
      <c r="AT386" s="196">
        <f t="shared" ref="AT386:AT389" si="267">IFERROR(SUM(AP386:AS386),"")</f>
        <v>0</v>
      </c>
      <c r="AU386" s="197" t="str">
        <f>IFERROR($CQ386*((INDEX(avoidedcosttbl2,$H386,AU$2))+(($H386-ROUNDDOWN($H386,0))*((INDEX(avoidedcosttbl2,ROUNDUP($H386,0),AU$2))-(INDEX(avoidedcosttbl2,ROUNDDOWN($H386,0),AU$2)))))*$O386*1000*'Inputs Yr 2'!AA384,"")</f>
        <v/>
      </c>
      <c r="AV386" s="197" t="str">
        <f>IFERROR($CR386*((INDEX(avoidedcosttbl2,$H386,AV$2))+(($H386-ROUNDDOWN($H386,0))*((INDEX(avoidedcosttbl2,ROUNDUP($H386,0),AV$2))-(INDEX(avoidedcosttbl2,ROUNDDOWN($H386,0),AV$2)))))*$O386*1000*'Inputs Yr 2'!AB384,"")</f>
        <v/>
      </c>
      <c r="AW386" s="197" t="str">
        <f>IFERROR($CS386*((INDEX(avoidedcosttbl2,$H386,AW$2))+(($H386-ROUNDDOWN($H386,0))*((INDEX(avoidedcosttbl2,ROUNDUP($H386,0),AW$2))-(INDEX(avoidedcosttbl2,ROUNDDOWN($H386,0),AW$2)))))*$O386*1000*'Inputs Yr 2'!AC384,"")</f>
        <v/>
      </c>
      <c r="AX386" s="197" t="str">
        <f>IFERROR($CT386*((INDEX(avoidedcosttbl2,$H386,AX$2))+(($H386-ROUNDDOWN($H386,0))*((INDEX(avoidedcosttbl2,ROUNDUP($H386,0),AX$2))-(INDEX(avoidedcosttbl2,ROUNDDOWN($H386,0),AX$2)))))*$O386*1000*'Inputs Yr 2'!AD384,"")</f>
        <v/>
      </c>
      <c r="AY386" s="197" t="str">
        <f>IFERROR(((INDEX(avoidedcosttbl2,$H386,AY$2))+(($H386-ROUNDDOWN($H386,0))*((INDEX(avoidedcosttbl2,ROUNDUP($H386,0),AY$2))-(INDEX(avoidedcosttbl2,ROUNDDOWN($H386,0),AY$2)))))*$O386*1000*('Inputs Yr 2'!AC384+'Inputs Yr 2'!AD384),"")</f>
        <v/>
      </c>
      <c r="AZ386" s="197" t="str">
        <f>IFERROR(((INDEX(avoidedcosttbl2,$H386,AZ$2))+(($H386-ROUNDDOWN($H386,0))*((INDEX(avoidedcosttbl2,ROUNDUP($H386,0),AZ$2))-(INDEX(avoidedcosttbl2,ROUNDDOWN($H386,0),AZ$2)))))*$O386*1000*('Inputs Yr 2'!AA384+'Inputs Yr 2'!AB384),"")</f>
        <v/>
      </c>
      <c r="BA386" s="198">
        <f t="shared" ref="BA386:BA389" si="268">IFERROR(SUM(AU386:AZ386),"")</f>
        <v>0</v>
      </c>
      <c r="BB386" s="198">
        <f t="shared" ref="BB386:BB389" si="269">IFERROR(SUM(AT386,BA386),"")</f>
        <v>0</v>
      </c>
      <c r="BC386" s="195" t="str">
        <f t="shared" si="240"/>
        <v/>
      </c>
      <c r="BD386" s="195" t="str">
        <f t="shared" si="241"/>
        <v/>
      </c>
      <c r="BE386" s="195" t="str">
        <f t="shared" si="242"/>
        <v/>
      </c>
      <c r="BF386" s="195" t="str">
        <f t="shared" si="243"/>
        <v/>
      </c>
      <c r="BG386" s="195" t="str">
        <f t="shared" si="244"/>
        <v/>
      </c>
      <c r="BH386" s="196">
        <f t="shared" ref="BH386:BH389" si="270">IFERROR(SUM(BC386:BG386),"")</f>
        <v>0</v>
      </c>
      <c r="BI386" s="196">
        <f t="shared" ref="BI386:BI389" si="271">IFERROR(BB386+BH386,"")</f>
        <v>0</v>
      </c>
      <c r="BJ386" s="195" t="str">
        <f>IFERROR($G386*(IF('Inputs Yr 2'!$AJ384=BJ$4,'Inputs Yr 2'!$AK384,IF('Inputs Yr 2'!$AL384=BJ$4,'Inputs Yr 2'!$AM384,IF('Inputs Yr 2'!$AN384=BJ$4,'Inputs Yr 2'!$AO384,0))))*(INDEX(avoidedcosttbl2,$H386,BJ$2)+(($H386-ROUNDDOWN($H386,0))*(INDEX(avoidedcosttbl2,ROUNDUP($H386,0),BJ$2)-(INDEX(avoidedcosttbl2,ROUNDDOWN($H386,0),BJ$2)))))*'Inputs Yr 2'!P384*'Inputs Yr 2'!Q384*'Inputs Yr 2'!U384,"")</f>
        <v/>
      </c>
      <c r="BK386" s="195" t="str">
        <f>IFERROR($G386*(IF('Inputs Yr 2'!$AJ384=BK$4,'Inputs Yr 2'!$AK384,IF('Inputs Yr 2'!$AL384=BK$4,'Inputs Yr 2'!$AM384,IF('Inputs Yr 2'!$AN384=BK$4,'Inputs Yr 2'!$AO384,0))))*(INDEX(avoidedcosttbl2,$H386,BK$2)+(($H386-ROUNDDOWN($H386,0))*(INDEX(avoidedcosttbl2,ROUNDUP($H386,0),BK$2)-(INDEX(avoidedcosttbl2,ROUNDDOWN($H386,0),BK$2)))))*'Inputs Yr 2'!P384*'Inputs Yr 2'!Q384*'Inputs Yr 2'!U384,"")</f>
        <v/>
      </c>
      <c r="BL386" s="195" t="str">
        <f>IFERROR($G386*(IF('Inputs Yr 2'!$AJ384=BL$4,'Inputs Yr 2'!$AK384,IF('Inputs Yr 2'!$AL384=BL$4,'Inputs Yr 2'!$AM384,IF('Inputs Yr 2'!$AN384=BL$4,'Inputs Yr 2'!$AO384,0))))*(INDEX(avoidedcosttbl2,$H386,BL$2)+(($H386-ROUNDDOWN($H386,0))*(INDEX(avoidedcosttbl2,ROUNDUP($H386,0),BL$2)-(INDEX(avoidedcosttbl2,ROUNDDOWN($H386,0),BL$2)))))*'Inputs Yr 2'!P384*'Inputs Yr 2'!Q384*'Inputs Yr 2'!U384,"")</f>
        <v/>
      </c>
      <c r="BM386" s="195" t="str">
        <f>IFERROR($G386*(IF('Inputs Yr 2'!$AJ384=BM$4,'Inputs Yr 2'!$AK384,IF('Inputs Yr 2'!$AL384=BM$4,'Inputs Yr 2'!$AM384,IF('Inputs Yr 2'!$AN384=BM$4,'Inputs Yr 2'!$AO384,0))))*(INDEX(avoidedcosttbl2,$H386,BM$2)+(($H386-ROUNDDOWN($H386,0))*(INDEX(avoidedcosttbl2,ROUNDUP($H386,0),BM$2)-(INDEX(avoidedcosttbl2,ROUNDDOWN($H386,0),BM$2)))))*'Inputs Yr 2'!P384*'Inputs Yr 2'!Q384*'Inputs Yr 2'!U384,"")</f>
        <v/>
      </c>
      <c r="BN386" s="195" t="str">
        <f>IFERROR($G386*(IF('Inputs Yr 2'!$AJ384=BN$4,'Inputs Yr 2'!$AK384,IF('Inputs Yr 2'!$AL384=BN$4,'Inputs Yr 2'!$AM384,IF('Inputs Yr 2'!$AN384=BN$4,'Inputs Yr 2'!$AO384,0))))*(INDEX(avoidedcosttbl2,$H386,BN$2)+(($H386-ROUNDDOWN($H386,0))*(INDEX(avoidedcosttbl2,ROUNDUP($H386,0),BN$2)-(INDEX(avoidedcosttbl2,ROUNDDOWN($H386,0),BN$2)))))*'Inputs Yr 2'!P384*'Inputs Yr 2'!Q384*'Inputs Yr 2'!U384,"")</f>
        <v/>
      </c>
      <c r="BO386" s="195" t="str">
        <f>IFERROR($G386*(IF('Inputs Yr 2'!$AJ384=BO$4,'Inputs Yr 2'!$AK384,IF('Inputs Yr 2'!$AL384=BO$4,'Inputs Yr 2'!$AM384,IF('Inputs Yr 2'!$AN384=BO$4,'Inputs Yr 2'!$AO384,0))))*(INDEX(avoidedcosttbl2,$H386,BO$2)+(($H386-ROUNDDOWN($H386,0))*(INDEX(avoidedcosttbl2,ROUNDUP($H386,0),BO$2)-(INDEX(avoidedcosttbl2,ROUNDDOWN($H386,0),BO$2)))))*'Inputs Yr 2'!P384*'Inputs Yr 2'!Q384*'Inputs Yr 2'!U384,"")</f>
        <v/>
      </c>
      <c r="BP386" s="195" t="str">
        <f>IFERROR($G386*(IF('Inputs Yr 2'!$AJ384=BP$4,'Inputs Yr 2'!$AK384,IF('Inputs Yr 2'!$AL384=BP$4,'Inputs Yr 2'!$AM384,IF('Inputs Yr 2'!$AN384=BP$4,'Inputs Yr 2'!$AO384,0))))*(INDEX(avoidedcosttbl2,$H386,BP$2)+(($H386-ROUNDDOWN($H386,0))*(INDEX(avoidedcosttbl2,ROUNDUP($H386,0),BP$2)-(INDEX(avoidedcosttbl2,ROUNDDOWN($H386,0),BP$2)))))*'Inputs Yr 2'!P384*'Inputs Yr 2'!Q384*'Inputs Yr 2'!U384,"")</f>
        <v/>
      </c>
      <c r="BQ386" s="230">
        <f t="shared" ref="BQ386:BQ389" si="272">IFERROR(SUM(BJ386:BP386),"")</f>
        <v>0</v>
      </c>
      <c r="BR386" s="197" t="str">
        <f t="shared" si="248"/>
        <v/>
      </c>
      <c r="BS386" s="197" t="str">
        <f>IFERROR(($G386*IF('Inputs Yr 2'!$AJ384=BM$4,'Inputs Yr 2'!$AK384,IF('Inputs Yr 2'!$AL384=BM$4,'Inputs Yr 2'!$AM384,IF('Inputs Yr 2'!$AN384=BM$4,'Inputs Yr 2'!$AO384,0))))*(INDEX(avoidedcosttbl2,$H386,BS$2)+(($H386-ROUNDDOWN($H386,0))*(INDEX(avoidedcosttbl2,ROUNDUP($H386,0),BS$2)-(INDEX(avoidedcosttbl2,ROUNDDOWN($H386,0),BS$2)))))*'Inputs Yr 2'!P384*'Inputs Yr 2'!Q384*'Inputs Yr 2'!U384,"")</f>
        <v/>
      </c>
      <c r="BT386" s="197" t="str">
        <f>IFERROR(($G386*IF('Inputs Yr 2'!$AJ384=BK$4,'Inputs Yr 2'!$AK384,IF('Inputs Yr 2'!$AL384=BK$4,'Inputs Yr 2'!$AM384,IF('Inputs Yr 2'!$AN384=BK$4,'Inputs Yr 2'!$AO384,0))))*(INDEX(avoidedcosttbl2,$H386,BT$2)+(($H386-ROUNDDOWN($H386,0))*(INDEX(avoidedcosttbl2,ROUNDUP($H386,0),BT$2)-(INDEX(avoidedcosttbl2,ROUNDDOWN($H386,0),BT$2)))))*'Inputs Yr 2'!P384*'Inputs Yr 2'!Q384*'Inputs Yr 2'!U384,"")</f>
        <v/>
      </c>
      <c r="BU386" s="197" t="str">
        <f>IFERROR(($G386*IF('Inputs Yr 2'!$AJ384=BL$4,'Inputs Yr 2'!$AK384,IF('Inputs Yr 2'!$AL384=BL$4,'Inputs Yr 2'!$AM384,IF('Inputs Yr 2'!$AN384=BL$4,'Inputs Yr 2'!$AO384,0))))*(INDEX(avoidedcosttbl2,$H386,BU$2)+(($H386-ROUNDDOWN($H386,0))*(INDEX(avoidedcosttbl2,ROUNDUP($H386,0),BU$2)-(INDEX(avoidedcosttbl2,ROUNDDOWN($H386,0),BU$2)))))*'Inputs Yr 2'!P384*'Inputs Yr 2'!Q384*'Inputs Yr 2'!U384,"")</f>
        <v/>
      </c>
      <c r="BV386" s="775" t="str">
        <f>IFERROR(($G386*IF('Inputs Yr 2'!$AJ384=BJ$4,'Inputs Yr 2'!$AK384,IF('Inputs Yr 2'!$AL384=BJ$4,'Inputs Yr 2'!$AM384,IF('Inputs Yr 2'!$AN384=BJ$4,'Inputs Yr 2'!$AO384,0))))*(INDEX(avoidedcosttbl2,$H386,BV$2)+(($H386-ROUNDDOWN($H386,0))*(INDEX(avoidedcosttbl2,ROUNDUP($H386,0),BV$2)-(INDEX(avoidedcosttbl2,ROUNDDOWN($H386,0),BV$2)))))*'Inputs Yr 2'!P384*'Inputs Yr 2'!Q384*'Inputs Yr 2'!U384,"")</f>
        <v/>
      </c>
      <c r="BW386" s="197" t="str">
        <f>IFERROR(($G386*IF('Inputs Yr 2'!$AJ384=BN$4,'Inputs Yr 2'!$AK384,IF('Inputs Yr 2'!$AL384=BN$4,'Inputs Yr 2'!$AM384,IF('Inputs Yr 2'!$AN384=BN$4,'Inputs Yr 2'!$AO384,0))))*(INDEX(avoidedcosttbl2,$H386,BW$2)+(($H386-ROUNDDOWN($H386,0))*(INDEX(avoidedcosttbl2,ROUNDUP($H386,0),BW$2)-(INDEX(avoidedcosttbl2,ROUNDDOWN($H386,0),BW$2)))))*'Inputs Yr 2'!P384*'Inputs Yr 2'!Q384*'Inputs Yr 2'!U384,"")</f>
        <v/>
      </c>
      <c r="BX386" s="197" t="str">
        <f>IFERROR(($G386*IF('Inputs Yr 2'!$AJ384=BO$4,'Inputs Yr 2'!$AK384,IF('Inputs Yr 2'!$AL384=BO$4,'Inputs Yr 2'!$AM384,IF('Inputs Yr 2'!$AN384=BO$4,'Inputs Yr 2'!$AO384,0))))*(INDEX(avoidedcosttbl2,$H386,BX$2)+(($H386-ROUNDDOWN($H386,0))*(INDEX(avoidedcosttbl2,ROUNDUP($H386,0),BX$2)-(INDEX(avoidedcosttbl2,ROUNDDOWN($H386,0),BX$2)))))*'Inputs Yr 2'!P384*'Inputs Yr 2'!Q384*'Inputs Yr 2'!U384,"")</f>
        <v/>
      </c>
      <c r="BY386" s="197" t="str">
        <f>IFERROR(($G386*IF('Inputs Yr 2'!$AJ384=BP$4,'Inputs Yr 2'!$AK384,IF('Inputs Yr 2'!$AL384=BP$4,'Inputs Yr 2'!$AM384,IF('Inputs Yr 2'!$AN384=BP$4,'Inputs Yr 2'!$AO384,0))))*(INDEX(avoidedcosttbl2,$H386,BY$2)+(($H386-ROUNDDOWN($H386,0))*(INDEX(avoidedcosttbl2,ROUNDUP($H386,0),BY$2)-(INDEX(avoidedcosttbl2,ROUNDDOWN($H386,0),BY$2)))))*'Inputs Yr 2'!P384*'Inputs Yr 2'!Q384*'Inputs Yr 2'!U384,"")</f>
        <v/>
      </c>
      <c r="BZ386" s="193">
        <f t="shared" ref="BZ386:BZ389" si="273">IFERROR(SUM(BR386:BY386),"")</f>
        <v>0</v>
      </c>
      <c r="CA386" s="193">
        <f t="shared" ref="CA386:CA389" si="274">IFERROR(BQ386+BZ386,"")</f>
        <v>0</v>
      </c>
      <c r="CB386" s="195" t="str">
        <f>IFERROR(G386*(IF('Inputs Yr 2'!$AJ384=CB$4,'Inputs Yr 2'!$AK384,IF('Inputs Yr 2'!$AL384=CB$4,'Inputs Yr 2'!$AM384,IF('Inputs Yr 2'!$AN384=CB$4,'Inputs Yr 2'!$AO384,0))))*(INDEX(avoidedcosttbl2,$H386,CB$2)+(($H386-ROUNDDOWN($H386,0))*(INDEX(avoidedcosttbl2,ROUNDUP($H386,0),CB$2)-(INDEX(avoidedcosttbl2,ROUNDDOWN($H386,0),CB$2)))))*'Inputs Yr 2'!P384*'Inputs Yr 2'!Q384*'Inputs Yr 2'!U384,"")</f>
        <v/>
      </c>
      <c r="CC386" s="195" t="str">
        <f>IFERROR(H386*(IF('Inputs Yr 2'!$AJ384=CC$4,'Inputs Yr 2'!$AK384,IF('Inputs Yr 2'!$AL384=CC$4,'Inputs Yr 2'!$AM384,IF('Inputs Yr 2'!$AN384=CC$4,'Inputs Yr 2'!$AO384,0))))*(INDEX(avoidedcosttbl2,$H386,CC$2)+(($H386-ROUNDDOWN($H386,0))*(INDEX(avoidedcosttbl2,ROUNDUP($H386,0),CC$2)-(INDEX(avoidedcosttbl2,ROUNDDOWN($H386,0),CC$2)))))*'Inputs Yr 2'!Q384*'Inputs Yr 2'!R384*'Inputs Yr 2'!V384,"")</f>
        <v/>
      </c>
      <c r="CD386" s="195" t="str">
        <f>IFERROR(I386*(IF('Inputs Yr 2'!$AJ384=CD$4,'Inputs Yr 2'!$AK384,IF('Inputs Yr 2'!$AL384=CD$4,'Inputs Yr 2'!$AM384,IF('Inputs Yr 2'!$AN384=CD$4,'Inputs Yr 2'!$AO384,0))))*(INDEX(avoidedcosttbl2,$H386,CD$2)+(($H386-ROUNDDOWN($H386,0))*(INDEX(avoidedcosttbl2,ROUNDUP($H386,0),CD$2)-(INDEX(avoidedcosttbl2,ROUNDDOWN($H386,0),CD$2)))))*'Inputs Yr 2'!R384*'Inputs Yr 2'!S384*'Inputs Yr 2'!W384,"")</f>
        <v/>
      </c>
      <c r="CE386" s="213" t="str">
        <f t="shared" si="251"/>
        <v/>
      </c>
      <c r="CF386" s="213" t="str">
        <f t="shared" si="252"/>
        <v/>
      </c>
      <c r="CG386" s="213" t="str">
        <f t="shared" si="253"/>
        <v/>
      </c>
      <c r="CH386" s="698">
        <f t="shared" ref="CH386:CH389" si="275">IFERROR(SUM(CA386:CG386),"")</f>
        <v>0</v>
      </c>
      <c r="CI386" s="79" t="str">
        <f>IFERROR(($G386*'Inputs Yr 2'!$P384*'Inputs Yr 2'!$Q384*(((INDEX(avoidedcosttbl2,$H386,CI$2)+(($H386-ROUNDDOWN($H386,0))*(INDEX(avoidedcosttbl2,ROUNDUP($H386,0),CI$2)-INDEX(avoidedcosttbl2,ROUNDDOWN($H386,0),CI$2))))*'Inputs Yr 2'!AS384))),"")</f>
        <v/>
      </c>
      <c r="CJ386" s="504" t="str">
        <f>IFERROR($G386*'Inputs Yr 2'!AT384*'Inputs Yr 2'!$P384*'Inputs Yr 2'!$Q384/((1+realdiscrt1)^-0.5),"")</f>
        <v/>
      </c>
      <c r="CK386" s="79" t="str">
        <f>IFERROR((O386*1000*(((INDEX(avoidedcosttbl2,$H386,CK$2)+(($H386-ROUNDDOWN($H386,0))*(INDEX(avoidedcosttbl2,ROUNDUP($H386,0),CK$2)-INDEX(avoidedcosttbl2,ROUNDDOWN($H386,0),CK$2))))*'Inputs Yr 2'!AU384))),"")</f>
        <v/>
      </c>
      <c r="CL386" s="504" t="str">
        <f>IFERROR(O386*1000*'Inputs Yr 2'!AV384/((1+realdiscrt1)^-0.5),"")</f>
        <v/>
      </c>
      <c r="CM386" s="79" t="str">
        <f>IFERROR((AB386*'Inputs Yr 2'!AW384*(((INDEX(avoidedcosttbl2,$H386,CM$2)+(($H386-ROUNDDOWN($H386,0))*(INDEX(avoidedcosttbl2,ROUNDUP($H386,0),CM$2)-INDEX(avoidedcosttbl2,ROUNDDOWN($H386,0),CM$2)))))))*10,"")</f>
        <v/>
      </c>
      <c r="CN386" s="504">
        <f>IFERROR(10*AB386*'Inputs Yr 2'!AX384/((1+realdiscrt1)^-0.5),"")</f>
        <v>0</v>
      </c>
      <c r="CO386" s="505">
        <f t="shared" ref="CO386:CO389" si="276">SUM(CI386:CN386)</f>
        <v>0</v>
      </c>
      <c r="CP386" s="230">
        <f t="shared" ref="CP386:CP389" si="277">IFERROR(CO386+CH386+BI386,"")</f>
        <v>0</v>
      </c>
      <c r="CQ386" s="199">
        <f>ROUND(IFERROR(IF(LEFT($A386,1)="C",'Avoided Costs'!$K$13,'Avoided Costs'!$K$12)+1,""),4)</f>
        <v>1.0720000000000001</v>
      </c>
      <c r="CR386" s="199">
        <f>ROUND(IFERROR(IF(LEFT($A386,1)="C",'Avoided Costs'!$L$13,'Avoided Costs'!$L$12)+1,""),4)</f>
        <v>1.04</v>
      </c>
      <c r="CS386" s="199">
        <f>ROUND(IFERROR(IF(LEFT($A386,1)="C",'Avoided Costs'!$M$13,'Avoided Costs'!$M$12)+1,""),4)</f>
        <v>1.0720000000000001</v>
      </c>
      <c r="CT386" s="199">
        <f>ROUND(IFERROR(IF(LEFT($A386,1)="C",'Avoided Costs'!$N$13,'Avoided Costs'!$N$12)+1,""),4)</f>
        <v>1.04</v>
      </c>
      <c r="CU386" s="199">
        <f>ROUND(IFERROR(IF(LEFT($A386,1)="C",'Avoided Costs'!$O$13,'Avoided Costs'!$O$12)+1,""),4)</f>
        <v>1.1120000000000001</v>
      </c>
      <c r="CV386" s="199">
        <f>ROUND(IFERROR(IF(LEFT($A386,1)="C",'Avoided Costs'!$P$13,'Avoided Costs'!$P$12)+1,""),4)</f>
        <v>1.095</v>
      </c>
      <c r="CW386" s="199">
        <f>ROUND(IFERROR(IF(LEFT($A386,1)="C",'Avoided Costs'!$Q$13,'Avoided Costs'!$Q$12)+1,""),4)</f>
        <v>1.1120000000000001</v>
      </c>
      <c r="CX386" s="200">
        <f>ROUND(IFERROR(IF(LEFT($A386,1)="C",'Avoided Costs'!$R$13,'Avoided Costs'!$R$12)+1,""),4)</f>
        <v>1.1120000000000001</v>
      </c>
    </row>
    <row r="387" spans="1:102" ht="12.75" customHeight="1">
      <c r="A387" s="91" t="str">
        <f>IF('Inputs Yr 2'!$B385=0,"",'Inputs Yr 2'!A385)</f>
        <v/>
      </c>
      <c r="B387" s="91" t="str">
        <f>IF('Inputs Yr 2'!$B385=0,"",'Inputs Yr 2'!B385)</f>
        <v/>
      </c>
      <c r="C387" s="91" t="str">
        <f>IF('Inputs Yr 2'!$B385=0,"",'Inputs Yr 2'!C385)</f>
        <v/>
      </c>
      <c r="D387" s="91" t="str">
        <f>IF('Inputs Yr 2'!$B385=0,"",'Inputs Yr 2'!E385)</f>
        <v/>
      </c>
      <c r="E387" s="93" t="str">
        <f>IF('Inputs Yr 2'!$B385=0,"",'Inputs Yr 2'!F385)</f>
        <v/>
      </c>
      <c r="F387" s="93" t="str">
        <f>IF('Inputs Yr 2'!$B385=0,"",'Inputs Yr 2'!G385)</f>
        <v/>
      </c>
      <c r="G387" s="95" t="str">
        <f>IF('Inputs Yr 2'!$H385&lt;&gt;0,('Inputs Yr 2'!H385),"")</f>
        <v/>
      </c>
      <c r="H387" s="94">
        <f>IFERROR('Inputs Yr 2'!I385,"")</f>
        <v>0</v>
      </c>
      <c r="I387" s="298" t="str">
        <f>IFERROR('Inputs Yr 2'!J385*'Inputs Yr 2'!P385*G387,"")</f>
        <v/>
      </c>
      <c r="J387" s="298" t="str">
        <f>IFERROR('Inputs Yr 2'!K385*G387,"")</f>
        <v/>
      </c>
      <c r="K387" s="298" t="str">
        <f t="shared" si="257"/>
        <v/>
      </c>
      <c r="L387" s="194" t="str">
        <f>IFERROR(('Inputs Yr 2'!W385*G387)/1000,"")</f>
        <v/>
      </c>
      <c r="M387" s="194" t="str">
        <f>IFERROR(L387*('Inputs Yr 2'!$Q385*'Inputs Yr 2'!$V385*'Inputs Yr 2'!$R385),"")</f>
        <v/>
      </c>
      <c r="N387" s="194" t="str">
        <f t="shared" si="258"/>
        <v/>
      </c>
      <c r="O387" s="194" t="str">
        <f>IFERROR(M387*'Inputs Yr 2'!P385,"")</f>
        <v/>
      </c>
      <c r="P387" s="194" t="str">
        <f t="shared" si="259"/>
        <v/>
      </c>
      <c r="Q387" s="194" t="str">
        <f>IFERROR($P387*'Inputs Yr 2'!AA385,"")</f>
        <v/>
      </c>
      <c r="R387" s="194" t="str">
        <f>IFERROR($P387*'Inputs Yr 2'!AB385,"")</f>
        <v/>
      </c>
      <c r="S387" s="194" t="str">
        <f>IFERROR($P387*'Inputs Yr 2'!AC385,"")</f>
        <v/>
      </c>
      <c r="T387" s="194" t="str">
        <f>IFERROR($P387*'Inputs Yr 2'!AD385,"")</f>
        <v/>
      </c>
      <c r="U387" s="194" t="str">
        <f>IFERROR(G387*'Inputs Yr 2'!$AE385*'Inputs Yr 2'!$P385*'Inputs Yr 2'!$Q385,"")</f>
        <v/>
      </c>
      <c r="V387" s="194" t="str">
        <f>IFERROR($G387*'Inputs Yr 2'!$AE385*'Inputs Yr 2'!$AG385*'Inputs Yr 2'!Q385*'Inputs Yr 2'!$S385,"")</f>
        <v/>
      </c>
      <c r="W387" s="194" t="str">
        <f>IFERROR($G387*'Inputs Yr 2'!$AE385*'Inputs Yr 2'!$AG385*'Inputs Yr 2'!P385*'Inputs Yr 2'!Q385*'Inputs Yr 2'!$S385,"")</f>
        <v/>
      </c>
      <c r="X387" s="194" t="str">
        <f>IFERROR($G387*'Inputs Yr 2'!$AE385*'Inputs Yr 2'!$AF385*'Inputs Yr 2'!Q385*'Inputs Yr 2'!$T385,"")</f>
        <v/>
      </c>
      <c r="Y387" s="194" t="str">
        <f>IFERROR($G387*'Inputs Yr 2'!$AE385*'Inputs Yr 2'!$AF385*'Inputs Yr 2'!P385*'Inputs Yr 2'!Q385*'Inputs Yr 2'!$T385,"")</f>
        <v/>
      </c>
      <c r="Z387" s="257">
        <f>IFERROR($G387*'Inputs Yr 2'!$Q385*'Inputs Yr 2'!$U385*(IF(IFERROR(SEARCH("NG", 'Inputs Yr 2'!$AJ385),0),'Inputs Yr 2'!$AK385,0)+IF(IFERROR(SEARCH("NG", 'Inputs Yr 2'!$AL385),0),'Inputs Yr 2'!$AM385,0)+IF(IFERROR(SEARCH("NG", 'Inputs Yr 2'!$AN385),0),'Inputs Yr 2'!$AO385,0)),0)</f>
        <v>0</v>
      </c>
      <c r="AA387" s="257">
        <f t="shared" si="260"/>
        <v>0</v>
      </c>
      <c r="AB387" s="257">
        <f>IFERROR(Z387*'Inputs Yr 2'!$P385,0)</f>
        <v>0</v>
      </c>
      <c r="AC387" s="257">
        <f t="shared" si="261"/>
        <v>0</v>
      </c>
      <c r="AD387" s="257">
        <f>IFERROR($G387*'Inputs Yr 2'!$Q385*'Inputs Yr 2'!$U385*(IF(IFERROR(SEARCH("Oil", 'Inputs Yr 2'!$AJ385), 0),'Inputs Yr 2'!$AK385,0)+IF(IFERROR(SEARCH("Oil", 'Inputs Yr 2'!$AL385), 0),'Inputs Yr 2'!$AM385,0)+IF(IFERROR(SEARCH("Oil", 'Inputs Yr 2'!$AN385), 0),'Inputs Yr 2'!$AO385,0)),0)</f>
        <v>0</v>
      </c>
      <c r="AE387" s="257">
        <f t="shared" si="262"/>
        <v>0</v>
      </c>
      <c r="AF387" s="257">
        <f>IFERROR(AD387*'Inputs Yr 2'!$P385,0)</f>
        <v>0</v>
      </c>
      <c r="AG387" s="257">
        <f t="shared" si="263"/>
        <v>0</v>
      </c>
      <c r="AH387" s="257">
        <f>IFERROR($G387*'Inputs Yr 2'!$Q385*'Inputs Yr 2'!$U385*(IF('Inputs Yr 2'!$AJ385=CD$4,'Inputs Yr 2'!$AK385,IF('Inputs Yr 2'!$AL385=CD$4,'Inputs Yr 2'!$AM385,IF('Inputs Yr 2'!$AN385=CD$4,'Inputs Yr 2'!$AO385,0)))),0)</f>
        <v>0</v>
      </c>
      <c r="AI387" s="257">
        <f t="shared" si="264"/>
        <v>0</v>
      </c>
      <c r="AJ387" s="257">
        <f>IFERROR(AH387*'Inputs Yr 2'!$P385,0)</f>
        <v>0</v>
      </c>
      <c r="AK387" s="257">
        <f t="shared" si="265"/>
        <v>0</v>
      </c>
      <c r="AL387" s="258">
        <f>IFERROR($G387*'Inputs Yr 2'!$P385*'Inputs Yr 2'!$Q385*'Inputs Yr 2'!AP385,0)</f>
        <v>0</v>
      </c>
      <c r="AM387" s="260">
        <f>IFERROR($G387*'Inputs Yr 2'!$P385*'Inputs Yr 2'!$Q385*'Inputs Yr 2'!AQ385,0)</f>
        <v>0</v>
      </c>
      <c r="AN387" s="258">
        <f>IFERROR($G387*'Inputs Yr 2'!$P385*'Inputs Yr 2'!$Q385*'Inputs Yr 2'!AR385,0)</f>
        <v>0</v>
      </c>
      <c r="AO387" s="257">
        <f t="shared" si="266"/>
        <v>0</v>
      </c>
      <c r="AP387" s="195" t="str">
        <f>IFERROR($CQ387*(INDEX(avoidedcosttbl2,$H387,AP$2)+(($H387-ROUNDDOWN($H387,0))*(INDEX(avoidedcosttbl2,ROUNDUP($H387,0),AP$2)-(INDEX(avoidedcosttbl2,ROUNDDOWN($H387,0),AP$2)))))*$O387*1000*'Inputs Yr 2'!AA385,"")</f>
        <v/>
      </c>
      <c r="AQ387" s="195" t="str">
        <f>IFERROR($CR387*(INDEX(avoidedcosttbl2,$H387,AQ$2)+(($H387-ROUNDDOWN($H387,0))*(INDEX(avoidedcosttbl2,ROUNDUP($H387,0),AQ$2)-(INDEX(avoidedcosttbl2,ROUNDDOWN($H387,0),AQ$2)))))*$O387*1000*'Inputs Yr 2'!AB385,"")</f>
        <v/>
      </c>
      <c r="AR387" s="195" t="str">
        <f>IFERROR($CS387*(INDEX(avoidedcosttbl2,$H387,AR$2)+(($H387-ROUNDDOWN($H387,0))*(INDEX(avoidedcosttbl2,ROUNDUP($H387,0),AR$2)-(INDEX(avoidedcosttbl2,ROUNDDOWN($H387,0),AR$2)))))*$O387*1000*'Inputs Yr 2'!AC385,"")</f>
        <v/>
      </c>
      <c r="AS387" s="195" t="str">
        <f>IFERROR($CT387*(INDEX(avoidedcosttbl2,$H387,AS$2)+(($H387-ROUNDDOWN($H387,0))*(INDEX(avoidedcosttbl2,ROUNDUP($H387,0),AS$2)-(INDEX(avoidedcosttbl2,ROUNDDOWN($H387,0),AS$2)))))*$O387*1000*'Inputs Yr 2'!AD385,"")</f>
        <v/>
      </c>
      <c r="AT387" s="196">
        <f t="shared" si="267"/>
        <v>0</v>
      </c>
      <c r="AU387" s="197" t="str">
        <f>IFERROR($CQ387*((INDEX(avoidedcosttbl2,$H387,AU$2))+(($H387-ROUNDDOWN($H387,0))*((INDEX(avoidedcosttbl2,ROUNDUP($H387,0),AU$2))-(INDEX(avoidedcosttbl2,ROUNDDOWN($H387,0),AU$2)))))*$O387*1000*'Inputs Yr 2'!AA385,"")</f>
        <v/>
      </c>
      <c r="AV387" s="197" t="str">
        <f>IFERROR($CR387*((INDEX(avoidedcosttbl2,$H387,AV$2))+(($H387-ROUNDDOWN($H387,0))*((INDEX(avoidedcosttbl2,ROUNDUP($H387,0),AV$2))-(INDEX(avoidedcosttbl2,ROUNDDOWN($H387,0),AV$2)))))*$O387*1000*'Inputs Yr 2'!AB385,"")</f>
        <v/>
      </c>
      <c r="AW387" s="197" t="str">
        <f>IFERROR($CS387*((INDEX(avoidedcosttbl2,$H387,AW$2))+(($H387-ROUNDDOWN($H387,0))*((INDEX(avoidedcosttbl2,ROUNDUP($H387,0),AW$2))-(INDEX(avoidedcosttbl2,ROUNDDOWN($H387,0),AW$2)))))*$O387*1000*'Inputs Yr 2'!AC385,"")</f>
        <v/>
      </c>
      <c r="AX387" s="197" t="str">
        <f>IFERROR($CT387*((INDEX(avoidedcosttbl2,$H387,AX$2))+(($H387-ROUNDDOWN($H387,0))*((INDEX(avoidedcosttbl2,ROUNDUP($H387,0),AX$2))-(INDEX(avoidedcosttbl2,ROUNDDOWN($H387,0),AX$2)))))*$O387*1000*'Inputs Yr 2'!AD385,"")</f>
        <v/>
      </c>
      <c r="AY387" s="197" t="str">
        <f>IFERROR(((INDEX(avoidedcosttbl2,$H387,AY$2))+(($H387-ROUNDDOWN($H387,0))*((INDEX(avoidedcosttbl2,ROUNDUP($H387,0),AY$2))-(INDEX(avoidedcosttbl2,ROUNDDOWN($H387,0),AY$2)))))*$O387*1000*('Inputs Yr 2'!AC385+'Inputs Yr 2'!AD385),"")</f>
        <v/>
      </c>
      <c r="AZ387" s="197" t="str">
        <f>IFERROR(((INDEX(avoidedcosttbl2,$H387,AZ$2))+(($H387-ROUNDDOWN($H387,0))*((INDEX(avoidedcosttbl2,ROUNDUP($H387,0),AZ$2))-(INDEX(avoidedcosttbl2,ROUNDDOWN($H387,0),AZ$2)))))*$O387*1000*('Inputs Yr 2'!AA385+'Inputs Yr 2'!AB385),"")</f>
        <v/>
      </c>
      <c r="BA387" s="198">
        <f t="shared" si="268"/>
        <v>0</v>
      </c>
      <c r="BB387" s="198">
        <f t="shared" si="269"/>
        <v>0</v>
      </c>
      <c r="BC387" s="195" t="str">
        <f t="shared" si="240"/>
        <v/>
      </c>
      <c r="BD387" s="195" t="str">
        <f t="shared" si="241"/>
        <v/>
      </c>
      <c r="BE387" s="195" t="str">
        <f t="shared" si="242"/>
        <v/>
      </c>
      <c r="BF387" s="195" t="str">
        <f t="shared" si="243"/>
        <v/>
      </c>
      <c r="BG387" s="195" t="str">
        <f t="shared" si="244"/>
        <v/>
      </c>
      <c r="BH387" s="196">
        <f t="shared" si="270"/>
        <v>0</v>
      </c>
      <c r="BI387" s="196">
        <f t="shared" si="271"/>
        <v>0</v>
      </c>
      <c r="BJ387" s="195" t="str">
        <f>IFERROR($G387*(IF('Inputs Yr 2'!$AJ385=BJ$4,'Inputs Yr 2'!$AK385,IF('Inputs Yr 2'!$AL385=BJ$4,'Inputs Yr 2'!$AM385,IF('Inputs Yr 2'!$AN385=BJ$4,'Inputs Yr 2'!$AO385,0))))*(INDEX(avoidedcosttbl2,$H387,BJ$2)+(($H387-ROUNDDOWN($H387,0))*(INDEX(avoidedcosttbl2,ROUNDUP($H387,0),BJ$2)-(INDEX(avoidedcosttbl2,ROUNDDOWN($H387,0),BJ$2)))))*'Inputs Yr 2'!P385*'Inputs Yr 2'!Q385*'Inputs Yr 2'!U385,"")</f>
        <v/>
      </c>
      <c r="BK387" s="195" t="str">
        <f>IFERROR($G387*(IF('Inputs Yr 2'!$AJ385=BK$4,'Inputs Yr 2'!$AK385,IF('Inputs Yr 2'!$AL385=BK$4,'Inputs Yr 2'!$AM385,IF('Inputs Yr 2'!$AN385=BK$4,'Inputs Yr 2'!$AO385,0))))*(INDEX(avoidedcosttbl2,$H387,BK$2)+(($H387-ROUNDDOWN($H387,0))*(INDEX(avoidedcosttbl2,ROUNDUP($H387,0),BK$2)-(INDEX(avoidedcosttbl2,ROUNDDOWN($H387,0),BK$2)))))*'Inputs Yr 2'!P385*'Inputs Yr 2'!Q385*'Inputs Yr 2'!U385,"")</f>
        <v/>
      </c>
      <c r="BL387" s="195" t="str">
        <f>IFERROR($G387*(IF('Inputs Yr 2'!$AJ385=BL$4,'Inputs Yr 2'!$AK385,IF('Inputs Yr 2'!$AL385=BL$4,'Inputs Yr 2'!$AM385,IF('Inputs Yr 2'!$AN385=BL$4,'Inputs Yr 2'!$AO385,0))))*(INDEX(avoidedcosttbl2,$H387,BL$2)+(($H387-ROUNDDOWN($H387,0))*(INDEX(avoidedcosttbl2,ROUNDUP($H387,0),BL$2)-(INDEX(avoidedcosttbl2,ROUNDDOWN($H387,0),BL$2)))))*'Inputs Yr 2'!P385*'Inputs Yr 2'!Q385*'Inputs Yr 2'!U385,"")</f>
        <v/>
      </c>
      <c r="BM387" s="195" t="str">
        <f>IFERROR($G387*(IF('Inputs Yr 2'!$AJ385=BM$4,'Inputs Yr 2'!$AK385,IF('Inputs Yr 2'!$AL385=BM$4,'Inputs Yr 2'!$AM385,IF('Inputs Yr 2'!$AN385=BM$4,'Inputs Yr 2'!$AO385,0))))*(INDEX(avoidedcosttbl2,$H387,BM$2)+(($H387-ROUNDDOWN($H387,0))*(INDEX(avoidedcosttbl2,ROUNDUP($H387,0),BM$2)-(INDEX(avoidedcosttbl2,ROUNDDOWN($H387,0),BM$2)))))*'Inputs Yr 2'!P385*'Inputs Yr 2'!Q385*'Inputs Yr 2'!U385,"")</f>
        <v/>
      </c>
      <c r="BN387" s="195" t="str">
        <f>IFERROR($G387*(IF('Inputs Yr 2'!$AJ385=BN$4,'Inputs Yr 2'!$AK385,IF('Inputs Yr 2'!$AL385=BN$4,'Inputs Yr 2'!$AM385,IF('Inputs Yr 2'!$AN385=BN$4,'Inputs Yr 2'!$AO385,0))))*(INDEX(avoidedcosttbl2,$H387,BN$2)+(($H387-ROUNDDOWN($H387,0))*(INDEX(avoidedcosttbl2,ROUNDUP($H387,0),BN$2)-(INDEX(avoidedcosttbl2,ROUNDDOWN($H387,0),BN$2)))))*'Inputs Yr 2'!P385*'Inputs Yr 2'!Q385*'Inputs Yr 2'!U385,"")</f>
        <v/>
      </c>
      <c r="BO387" s="195" t="str">
        <f>IFERROR($G387*(IF('Inputs Yr 2'!$AJ385=BO$4,'Inputs Yr 2'!$AK385,IF('Inputs Yr 2'!$AL385=BO$4,'Inputs Yr 2'!$AM385,IF('Inputs Yr 2'!$AN385=BO$4,'Inputs Yr 2'!$AO385,0))))*(INDEX(avoidedcosttbl2,$H387,BO$2)+(($H387-ROUNDDOWN($H387,0))*(INDEX(avoidedcosttbl2,ROUNDUP($H387,0),BO$2)-(INDEX(avoidedcosttbl2,ROUNDDOWN($H387,0),BO$2)))))*'Inputs Yr 2'!P385*'Inputs Yr 2'!Q385*'Inputs Yr 2'!U385,"")</f>
        <v/>
      </c>
      <c r="BP387" s="195" t="str">
        <f>IFERROR($G387*(IF('Inputs Yr 2'!$AJ385=BP$4,'Inputs Yr 2'!$AK385,IF('Inputs Yr 2'!$AL385=BP$4,'Inputs Yr 2'!$AM385,IF('Inputs Yr 2'!$AN385=BP$4,'Inputs Yr 2'!$AO385,0))))*(INDEX(avoidedcosttbl2,$H387,BP$2)+(($H387-ROUNDDOWN($H387,0))*(INDEX(avoidedcosttbl2,ROUNDUP($H387,0),BP$2)-(INDEX(avoidedcosttbl2,ROUNDDOWN($H387,0),BP$2)))))*'Inputs Yr 2'!P385*'Inputs Yr 2'!Q385*'Inputs Yr 2'!U385,"")</f>
        <v/>
      </c>
      <c r="BQ387" s="230">
        <f t="shared" si="272"/>
        <v>0</v>
      </c>
      <c r="BR387" s="197" t="str">
        <f t="shared" si="248"/>
        <v/>
      </c>
      <c r="BS387" s="197" t="str">
        <f>IFERROR(($G387*IF('Inputs Yr 2'!$AJ385=BM$4,'Inputs Yr 2'!$AK385,IF('Inputs Yr 2'!$AL385=BM$4,'Inputs Yr 2'!$AM385,IF('Inputs Yr 2'!$AN385=BM$4,'Inputs Yr 2'!$AO385,0))))*(INDEX(avoidedcosttbl2,$H387,BS$2)+(($H387-ROUNDDOWN($H387,0))*(INDEX(avoidedcosttbl2,ROUNDUP($H387,0),BS$2)-(INDEX(avoidedcosttbl2,ROUNDDOWN($H387,0),BS$2)))))*'Inputs Yr 2'!P385*'Inputs Yr 2'!Q385*'Inputs Yr 2'!U385,"")</f>
        <v/>
      </c>
      <c r="BT387" s="197" t="str">
        <f>IFERROR(($G387*IF('Inputs Yr 2'!$AJ385=BK$4,'Inputs Yr 2'!$AK385,IF('Inputs Yr 2'!$AL385=BK$4,'Inputs Yr 2'!$AM385,IF('Inputs Yr 2'!$AN385=BK$4,'Inputs Yr 2'!$AO385,0))))*(INDEX(avoidedcosttbl2,$H387,BT$2)+(($H387-ROUNDDOWN($H387,0))*(INDEX(avoidedcosttbl2,ROUNDUP($H387,0),BT$2)-(INDEX(avoidedcosttbl2,ROUNDDOWN($H387,0),BT$2)))))*'Inputs Yr 2'!P385*'Inputs Yr 2'!Q385*'Inputs Yr 2'!U385,"")</f>
        <v/>
      </c>
      <c r="BU387" s="197" t="str">
        <f>IFERROR(($G387*IF('Inputs Yr 2'!$AJ385=BL$4,'Inputs Yr 2'!$AK385,IF('Inputs Yr 2'!$AL385=BL$4,'Inputs Yr 2'!$AM385,IF('Inputs Yr 2'!$AN385=BL$4,'Inputs Yr 2'!$AO385,0))))*(INDEX(avoidedcosttbl2,$H387,BU$2)+(($H387-ROUNDDOWN($H387,0))*(INDEX(avoidedcosttbl2,ROUNDUP($H387,0),BU$2)-(INDEX(avoidedcosttbl2,ROUNDDOWN($H387,0),BU$2)))))*'Inputs Yr 2'!P385*'Inputs Yr 2'!Q385*'Inputs Yr 2'!U385,"")</f>
        <v/>
      </c>
      <c r="BV387" s="775" t="str">
        <f>IFERROR(($G387*IF('Inputs Yr 2'!$AJ385=BJ$4,'Inputs Yr 2'!$AK385,IF('Inputs Yr 2'!$AL385=BJ$4,'Inputs Yr 2'!$AM385,IF('Inputs Yr 2'!$AN385=BJ$4,'Inputs Yr 2'!$AO385,0))))*(INDEX(avoidedcosttbl2,$H387,BV$2)+(($H387-ROUNDDOWN($H387,0))*(INDEX(avoidedcosttbl2,ROUNDUP($H387,0),BV$2)-(INDEX(avoidedcosttbl2,ROUNDDOWN($H387,0),BV$2)))))*'Inputs Yr 2'!P385*'Inputs Yr 2'!Q385*'Inputs Yr 2'!U385,"")</f>
        <v/>
      </c>
      <c r="BW387" s="197" t="str">
        <f>IFERROR(($G387*IF('Inputs Yr 2'!$AJ385=BN$4,'Inputs Yr 2'!$AK385,IF('Inputs Yr 2'!$AL385=BN$4,'Inputs Yr 2'!$AM385,IF('Inputs Yr 2'!$AN385=BN$4,'Inputs Yr 2'!$AO385,0))))*(INDEX(avoidedcosttbl2,$H387,BW$2)+(($H387-ROUNDDOWN($H387,0))*(INDEX(avoidedcosttbl2,ROUNDUP($H387,0),BW$2)-(INDEX(avoidedcosttbl2,ROUNDDOWN($H387,0),BW$2)))))*'Inputs Yr 2'!P385*'Inputs Yr 2'!Q385*'Inputs Yr 2'!U385,"")</f>
        <v/>
      </c>
      <c r="BX387" s="197" t="str">
        <f>IFERROR(($G387*IF('Inputs Yr 2'!$AJ385=BO$4,'Inputs Yr 2'!$AK385,IF('Inputs Yr 2'!$AL385=BO$4,'Inputs Yr 2'!$AM385,IF('Inputs Yr 2'!$AN385=BO$4,'Inputs Yr 2'!$AO385,0))))*(INDEX(avoidedcosttbl2,$H387,BX$2)+(($H387-ROUNDDOWN($H387,0))*(INDEX(avoidedcosttbl2,ROUNDUP($H387,0),BX$2)-(INDEX(avoidedcosttbl2,ROUNDDOWN($H387,0),BX$2)))))*'Inputs Yr 2'!P385*'Inputs Yr 2'!Q385*'Inputs Yr 2'!U385,"")</f>
        <v/>
      </c>
      <c r="BY387" s="197" t="str">
        <f>IFERROR(($G387*IF('Inputs Yr 2'!$AJ385=BP$4,'Inputs Yr 2'!$AK385,IF('Inputs Yr 2'!$AL385=BP$4,'Inputs Yr 2'!$AM385,IF('Inputs Yr 2'!$AN385=BP$4,'Inputs Yr 2'!$AO385,0))))*(INDEX(avoidedcosttbl2,$H387,BY$2)+(($H387-ROUNDDOWN($H387,0))*(INDEX(avoidedcosttbl2,ROUNDUP($H387,0),BY$2)-(INDEX(avoidedcosttbl2,ROUNDDOWN($H387,0),BY$2)))))*'Inputs Yr 2'!P385*'Inputs Yr 2'!Q385*'Inputs Yr 2'!U385,"")</f>
        <v/>
      </c>
      <c r="BZ387" s="193">
        <f t="shared" si="273"/>
        <v>0</v>
      </c>
      <c r="CA387" s="193">
        <f t="shared" si="274"/>
        <v>0</v>
      </c>
      <c r="CB387" s="195" t="str">
        <f>IFERROR(G387*(IF('Inputs Yr 2'!$AJ385=CB$4,'Inputs Yr 2'!$AK385,IF('Inputs Yr 2'!$AL385=CB$4,'Inputs Yr 2'!$AM385,IF('Inputs Yr 2'!$AN385=CB$4,'Inputs Yr 2'!$AO385,0))))*(INDEX(avoidedcosttbl2,$H387,CB$2)+(($H387-ROUNDDOWN($H387,0))*(INDEX(avoidedcosttbl2,ROUNDUP($H387,0),CB$2)-(INDEX(avoidedcosttbl2,ROUNDDOWN($H387,0),CB$2)))))*'Inputs Yr 2'!P385*'Inputs Yr 2'!Q385*'Inputs Yr 2'!U385,"")</f>
        <v/>
      </c>
      <c r="CC387" s="195" t="str">
        <f>IFERROR(H387*(IF('Inputs Yr 2'!$AJ385=CC$4,'Inputs Yr 2'!$AK385,IF('Inputs Yr 2'!$AL385=CC$4,'Inputs Yr 2'!$AM385,IF('Inputs Yr 2'!$AN385=CC$4,'Inputs Yr 2'!$AO385,0))))*(INDEX(avoidedcosttbl2,$H387,CC$2)+(($H387-ROUNDDOWN($H387,0))*(INDEX(avoidedcosttbl2,ROUNDUP($H387,0),CC$2)-(INDEX(avoidedcosttbl2,ROUNDDOWN($H387,0),CC$2)))))*'Inputs Yr 2'!Q385*'Inputs Yr 2'!R385*'Inputs Yr 2'!V385,"")</f>
        <v/>
      </c>
      <c r="CD387" s="195" t="str">
        <f>IFERROR(I387*(IF('Inputs Yr 2'!$AJ385=CD$4,'Inputs Yr 2'!$AK385,IF('Inputs Yr 2'!$AL385=CD$4,'Inputs Yr 2'!$AM385,IF('Inputs Yr 2'!$AN385=CD$4,'Inputs Yr 2'!$AO385,0))))*(INDEX(avoidedcosttbl2,$H387,CD$2)+(($H387-ROUNDDOWN($H387,0))*(INDEX(avoidedcosttbl2,ROUNDUP($H387,0),CD$2)-(INDEX(avoidedcosttbl2,ROUNDDOWN($H387,0),CD$2)))))*'Inputs Yr 2'!R385*'Inputs Yr 2'!S385*'Inputs Yr 2'!W385,"")</f>
        <v/>
      </c>
      <c r="CE387" s="213" t="str">
        <f t="shared" si="251"/>
        <v/>
      </c>
      <c r="CF387" s="213" t="str">
        <f t="shared" si="252"/>
        <v/>
      </c>
      <c r="CG387" s="213" t="str">
        <f t="shared" si="253"/>
        <v/>
      </c>
      <c r="CH387" s="698">
        <f t="shared" si="275"/>
        <v>0</v>
      </c>
      <c r="CI387" s="79" t="str">
        <f>IFERROR(($G387*'Inputs Yr 2'!$P385*'Inputs Yr 2'!$Q385*(((INDEX(avoidedcosttbl2,$H387,CI$2)+(($H387-ROUNDDOWN($H387,0))*(INDEX(avoidedcosttbl2,ROUNDUP($H387,0),CI$2)-INDEX(avoidedcosttbl2,ROUNDDOWN($H387,0),CI$2))))*'Inputs Yr 2'!AS385))),"")</f>
        <v/>
      </c>
      <c r="CJ387" s="504" t="str">
        <f>IFERROR($G387*'Inputs Yr 2'!AT385*'Inputs Yr 2'!$P385*'Inputs Yr 2'!$Q385/((1+realdiscrt1)^-0.5),"")</f>
        <v/>
      </c>
      <c r="CK387" s="79" t="str">
        <f>IFERROR((O387*1000*(((INDEX(avoidedcosttbl2,$H387,CK$2)+(($H387-ROUNDDOWN($H387,0))*(INDEX(avoidedcosttbl2,ROUNDUP($H387,0),CK$2)-INDEX(avoidedcosttbl2,ROUNDDOWN($H387,0),CK$2))))*'Inputs Yr 2'!AU385))),"")</f>
        <v/>
      </c>
      <c r="CL387" s="504" t="str">
        <f>IFERROR(O387*1000*'Inputs Yr 2'!AV385/((1+realdiscrt1)^-0.5),"")</f>
        <v/>
      </c>
      <c r="CM387" s="79" t="str">
        <f>IFERROR((AB387*'Inputs Yr 2'!AW385*(((INDEX(avoidedcosttbl2,$H387,CM$2)+(($H387-ROUNDDOWN($H387,0))*(INDEX(avoidedcosttbl2,ROUNDUP($H387,0),CM$2)-INDEX(avoidedcosttbl2,ROUNDDOWN($H387,0),CM$2)))))))*10,"")</f>
        <v/>
      </c>
      <c r="CN387" s="504">
        <f>IFERROR(10*AB387*'Inputs Yr 2'!AX385/((1+realdiscrt1)^-0.5),"")</f>
        <v>0</v>
      </c>
      <c r="CO387" s="505">
        <f t="shared" si="276"/>
        <v>0</v>
      </c>
      <c r="CP387" s="230">
        <f t="shared" si="277"/>
        <v>0</v>
      </c>
      <c r="CQ387" s="199">
        <f>ROUND(IFERROR(IF(LEFT($A387,1)="C",'Avoided Costs'!$K$13,'Avoided Costs'!$K$12)+1,""),4)</f>
        <v>1.0720000000000001</v>
      </c>
      <c r="CR387" s="199">
        <f>ROUND(IFERROR(IF(LEFT($A387,1)="C",'Avoided Costs'!$L$13,'Avoided Costs'!$L$12)+1,""),4)</f>
        <v>1.04</v>
      </c>
      <c r="CS387" s="199">
        <f>ROUND(IFERROR(IF(LEFT($A387,1)="C",'Avoided Costs'!$M$13,'Avoided Costs'!$M$12)+1,""),4)</f>
        <v>1.0720000000000001</v>
      </c>
      <c r="CT387" s="199">
        <f>ROUND(IFERROR(IF(LEFT($A387,1)="C",'Avoided Costs'!$N$13,'Avoided Costs'!$N$12)+1,""),4)</f>
        <v>1.04</v>
      </c>
      <c r="CU387" s="199">
        <f>ROUND(IFERROR(IF(LEFT($A387,1)="C",'Avoided Costs'!$O$13,'Avoided Costs'!$O$12)+1,""),4)</f>
        <v>1.1120000000000001</v>
      </c>
      <c r="CV387" s="199">
        <f>ROUND(IFERROR(IF(LEFT($A387,1)="C",'Avoided Costs'!$P$13,'Avoided Costs'!$P$12)+1,""),4)</f>
        <v>1.095</v>
      </c>
      <c r="CW387" s="199">
        <f>ROUND(IFERROR(IF(LEFT($A387,1)="C",'Avoided Costs'!$Q$13,'Avoided Costs'!$Q$12)+1,""),4)</f>
        <v>1.1120000000000001</v>
      </c>
      <c r="CX387" s="200">
        <f>ROUND(IFERROR(IF(LEFT($A387,1)="C",'Avoided Costs'!$R$13,'Avoided Costs'!$R$12)+1,""),4)</f>
        <v>1.1120000000000001</v>
      </c>
    </row>
    <row r="388" spans="1:102" ht="12.75" customHeight="1">
      <c r="A388" s="91" t="str">
        <f>IF('Inputs Yr 2'!$B386=0,"",'Inputs Yr 2'!A386)</f>
        <v/>
      </c>
      <c r="B388" s="91" t="str">
        <f>IF('Inputs Yr 2'!$B386=0,"",'Inputs Yr 2'!B386)</f>
        <v/>
      </c>
      <c r="C388" s="91" t="str">
        <f>IF('Inputs Yr 2'!$B386=0,"",'Inputs Yr 2'!C386)</f>
        <v/>
      </c>
      <c r="D388" s="91" t="str">
        <f>IF('Inputs Yr 2'!$B386=0,"",'Inputs Yr 2'!E386)</f>
        <v/>
      </c>
      <c r="E388" s="93" t="str">
        <f>IF('Inputs Yr 2'!$B386=0,"",'Inputs Yr 2'!F386)</f>
        <v/>
      </c>
      <c r="F388" s="93" t="str">
        <f>IF('Inputs Yr 2'!$B386=0,"",'Inputs Yr 2'!G386)</f>
        <v/>
      </c>
      <c r="G388" s="95" t="str">
        <f>IF('Inputs Yr 2'!$H386&lt;&gt;0,('Inputs Yr 2'!H386),"")</f>
        <v/>
      </c>
      <c r="H388" s="94">
        <f>IFERROR('Inputs Yr 2'!I386,"")</f>
        <v>0</v>
      </c>
      <c r="I388" s="298" t="str">
        <f>IFERROR('Inputs Yr 2'!J386*'Inputs Yr 2'!P386*G388,"")</f>
        <v/>
      </c>
      <c r="J388" s="298" t="str">
        <f>IFERROR('Inputs Yr 2'!K386*G388,"")</f>
        <v/>
      </c>
      <c r="K388" s="298" t="str">
        <f t="shared" si="257"/>
        <v/>
      </c>
      <c r="L388" s="194" t="str">
        <f>IFERROR(('Inputs Yr 2'!W386*G388)/1000,"")</f>
        <v/>
      </c>
      <c r="M388" s="194" t="str">
        <f>IFERROR(L388*('Inputs Yr 2'!$Q386*'Inputs Yr 2'!$V386*'Inputs Yr 2'!$R386),"")</f>
        <v/>
      </c>
      <c r="N388" s="194" t="str">
        <f t="shared" si="258"/>
        <v/>
      </c>
      <c r="O388" s="194" t="str">
        <f>IFERROR(M388*'Inputs Yr 2'!P386,"")</f>
        <v/>
      </c>
      <c r="P388" s="194" t="str">
        <f t="shared" si="259"/>
        <v/>
      </c>
      <c r="Q388" s="194" t="str">
        <f>IFERROR($P388*'Inputs Yr 2'!AA386,"")</f>
        <v/>
      </c>
      <c r="R388" s="194" t="str">
        <f>IFERROR($P388*'Inputs Yr 2'!AB386,"")</f>
        <v/>
      </c>
      <c r="S388" s="194" t="str">
        <f>IFERROR($P388*'Inputs Yr 2'!AC386,"")</f>
        <v/>
      </c>
      <c r="T388" s="194" t="str">
        <f>IFERROR($P388*'Inputs Yr 2'!AD386,"")</f>
        <v/>
      </c>
      <c r="U388" s="194" t="str">
        <f>IFERROR(G388*'Inputs Yr 2'!$AE386*'Inputs Yr 2'!$P386*'Inputs Yr 2'!$Q386,"")</f>
        <v/>
      </c>
      <c r="V388" s="194" t="str">
        <f>IFERROR($G388*'Inputs Yr 2'!$AE386*'Inputs Yr 2'!$AG386*'Inputs Yr 2'!Q386*'Inputs Yr 2'!$S386,"")</f>
        <v/>
      </c>
      <c r="W388" s="194" t="str">
        <f>IFERROR($G388*'Inputs Yr 2'!$AE386*'Inputs Yr 2'!$AG386*'Inputs Yr 2'!P386*'Inputs Yr 2'!Q386*'Inputs Yr 2'!$S386,"")</f>
        <v/>
      </c>
      <c r="X388" s="194" t="str">
        <f>IFERROR($G388*'Inputs Yr 2'!$AE386*'Inputs Yr 2'!$AF386*'Inputs Yr 2'!Q386*'Inputs Yr 2'!$T386,"")</f>
        <v/>
      </c>
      <c r="Y388" s="194" t="str">
        <f>IFERROR($G388*'Inputs Yr 2'!$AE386*'Inputs Yr 2'!$AF386*'Inputs Yr 2'!P386*'Inputs Yr 2'!Q386*'Inputs Yr 2'!$T386,"")</f>
        <v/>
      </c>
      <c r="Z388" s="257">
        <f>IFERROR($G388*'Inputs Yr 2'!$Q386*'Inputs Yr 2'!$U386*(IF(IFERROR(SEARCH("NG", 'Inputs Yr 2'!$AJ386),0),'Inputs Yr 2'!$AK386,0)+IF(IFERROR(SEARCH("NG", 'Inputs Yr 2'!$AL386),0),'Inputs Yr 2'!$AM386,0)+IF(IFERROR(SEARCH("NG", 'Inputs Yr 2'!$AN386),0),'Inputs Yr 2'!$AO386,0)),0)</f>
        <v>0</v>
      </c>
      <c r="AA388" s="257">
        <f t="shared" si="260"/>
        <v>0</v>
      </c>
      <c r="AB388" s="257">
        <f>IFERROR(Z388*'Inputs Yr 2'!$P386,0)</f>
        <v>0</v>
      </c>
      <c r="AC388" s="257">
        <f t="shared" si="261"/>
        <v>0</v>
      </c>
      <c r="AD388" s="257">
        <f>IFERROR($G388*'Inputs Yr 2'!$Q386*'Inputs Yr 2'!$U386*(IF(IFERROR(SEARCH("Oil", 'Inputs Yr 2'!$AJ386), 0),'Inputs Yr 2'!$AK386,0)+IF(IFERROR(SEARCH("Oil", 'Inputs Yr 2'!$AL386), 0),'Inputs Yr 2'!$AM386,0)+IF(IFERROR(SEARCH("Oil", 'Inputs Yr 2'!$AN386), 0),'Inputs Yr 2'!$AO386,0)),0)</f>
        <v>0</v>
      </c>
      <c r="AE388" s="257">
        <f t="shared" si="262"/>
        <v>0</v>
      </c>
      <c r="AF388" s="257">
        <f>IFERROR(AD388*'Inputs Yr 2'!$P386,0)</f>
        <v>0</v>
      </c>
      <c r="AG388" s="257">
        <f t="shared" si="263"/>
        <v>0</v>
      </c>
      <c r="AH388" s="257">
        <f>IFERROR($G388*'Inputs Yr 2'!$Q386*'Inputs Yr 2'!$U386*(IF('Inputs Yr 2'!$AJ386=CD$4,'Inputs Yr 2'!$AK386,IF('Inputs Yr 2'!$AL386=CD$4,'Inputs Yr 2'!$AM386,IF('Inputs Yr 2'!$AN386=CD$4,'Inputs Yr 2'!$AO386,0)))),0)</f>
        <v>0</v>
      </c>
      <c r="AI388" s="257">
        <f t="shared" si="264"/>
        <v>0</v>
      </c>
      <c r="AJ388" s="257">
        <f>IFERROR(AH388*'Inputs Yr 2'!$P386,0)</f>
        <v>0</v>
      </c>
      <c r="AK388" s="257">
        <f t="shared" si="265"/>
        <v>0</v>
      </c>
      <c r="AL388" s="258">
        <f>IFERROR($G388*'Inputs Yr 2'!$P386*'Inputs Yr 2'!$Q386*'Inputs Yr 2'!AP386,0)</f>
        <v>0</v>
      </c>
      <c r="AM388" s="260">
        <f>IFERROR($G388*'Inputs Yr 2'!$P386*'Inputs Yr 2'!$Q386*'Inputs Yr 2'!AQ386,0)</f>
        <v>0</v>
      </c>
      <c r="AN388" s="258">
        <f>IFERROR($G388*'Inputs Yr 2'!$P386*'Inputs Yr 2'!$Q386*'Inputs Yr 2'!AR386,0)</f>
        <v>0</v>
      </c>
      <c r="AO388" s="257">
        <f t="shared" si="266"/>
        <v>0</v>
      </c>
      <c r="AP388" s="195" t="str">
        <f>IFERROR($CQ388*(INDEX(avoidedcosttbl2,$H388,AP$2)+(($H388-ROUNDDOWN($H388,0))*(INDEX(avoidedcosttbl2,ROUNDUP($H388,0),AP$2)-(INDEX(avoidedcosttbl2,ROUNDDOWN($H388,0),AP$2)))))*$O388*1000*'Inputs Yr 2'!AA386,"")</f>
        <v/>
      </c>
      <c r="AQ388" s="195" t="str">
        <f>IFERROR($CR388*(INDEX(avoidedcosttbl2,$H388,AQ$2)+(($H388-ROUNDDOWN($H388,0))*(INDEX(avoidedcosttbl2,ROUNDUP($H388,0),AQ$2)-(INDEX(avoidedcosttbl2,ROUNDDOWN($H388,0),AQ$2)))))*$O388*1000*'Inputs Yr 2'!AB386,"")</f>
        <v/>
      </c>
      <c r="AR388" s="195" t="str">
        <f>IFERROR($CS388*(INDEX(avoidedcosttbl2,$H388,AR$2)+(($H388-ROUNDDOWN($H388,0))*(INDEX(avoidedcosttbl2,ROUNDUP($H388,0),AR$2)-(INDEX(avoidedcosttbl2,ROUNDDOWN($H388,0),AR$2)))))*$O388*1000*'Inputs Yr 2'!AC386,"")</f>
        <v/>
      </c>
      <c r="AS388" s="195" t="str">
        <f>IFERROR($CT388*(INDEX(avoidedcosttbl2,$H388,AS$2)+(($H388-ROUNDDOWN($H388,0))*(INDEX(avoidedcosttbl2,ROUNDUP($H388,0),AS$2)-(INDEX(avoidedcosttbl2,ROUNDDOWN($H388,0),AS$2)))))*$O388*1000*'Inputs Yr 2'!AD386,"")</f>
        <v/>
      </c>
      <c r="AT388" s="196">
        <f t="shared" si="267"/>
        <v>0</v>
      </c>
      <c r="AU388" s="197" t="str">
        <f>IFERROR($CQ388*((INDEX(avoidedcosttbl2,$H388,AU$2))+(($H388-ROUNDDOWN($H388,0))*((INDEX(avoidedcosttbl2,ROUNDUP($H388,0),AU$2))-(INDEX(avoidedcosttbl2,ROUNDDOWN($H388,0),AU$2)))))*$O388*1000*'Inputs Yr 2'!AA386,"")</f>
        <v/>
      </c>
      <c r="AV388" s="197" t="str">
        <f>IFERROR($CR388*((INDEX(avoidedcosttbl2,$H388,AV$2))+(($H388-ROUNDDOWN($H388,0))*((INDEX(avoidedcosttbl2,ROUNDUP($H388,0),AV$2))-(INDEX(avoidedcosttbl2,ROUNDDOWN($H388,0),AV$2)))))*$O388*1000*'Inputs Yr 2'!AB386,"")</f>
        <v/>
      </c>
      <c r="AW388" s="197" t="str">
        <f>IFERROR($CS388*((INDEX(avoidedcosttbl2,$H388,AW$2))+(($H388-ROUNDDOWN($H388,0))*((INDEX(avoidedcosttbl2,ROUNDUP($H388,0),AW$2))-(INDEX(avoidedcosttbl2,ROUNDDOWN($H388,0),AW$2)))))*$O388*1000*'Inputs Yr 2'!AC386,"")</f>
        <v/>
      </c>
      <c r="AX388" s="197" t="str">
        <f>IFERROR($CT388*((INDEX(avoidedcosttbl2,$H388,AX$2))+(($H388-ROUNDDOWN($H388,0))*((INDEX(avoidedcosttbl2,ROUNDUP($H388,0),AX$2))-(INDEX(avoidedcosttbl2,ROUNDDOWN($H388,0),AX$2)))))*$O388*1000*'Inputs Yr 2'!AD386,"")</f>
        <v/>
      </c>
      <c r="AY388" s="197" t="str">
        <f>IFERROR(((INDEX(avoidedcosttbl2,$H388,AY$2))+(($H388-ROUNDDOWN($H388,0))*((INDEX(avoidedcosttbl2,ROUNDUP($H388,0),AY$2))-(INDEX(avoidedcosttbl2,ROUNDDOWN($H388,0),AY$2)))))*$O388*1000*('Inputs Yr 2'!AC386+'Inputs Yr 2'!AD386),"")</f>
        <v/>
      </c>
      <c r="AZ388" s="197" t="str">
        <f>IFERROR(((INDEX(avoidedcosttbl2,$H388,AZ$2))+(($H388-ROUNDDOWN($H388,0))*((INDEX(avoidedcosttbl2,ROUNDUP($H388,0),AZ$2))-(INDEX(avoidedcosttbl2,ROUNDDOWN($H388,0),AZ$2)))))*$O388*1000*('Inputs Yr 2'!AA386+'Inputs Yr 2'!AB386),"")</f>
        <v/>
      </c>
      <c r="BA388" s="198">
        <f t="shared" si="268"/>
        <v>0</v>
      </c>
      <c r="BB388" s="198">
        <f t="shared" si="269"/>
        <v>0</v>
      </c>
      <c r="BC388" s="195" t="str">
        <f t="shared" si="240"/>
        <v/>
      </c>
      <c r="BD388" s="195" t="str">
        <f t="shared" si="241"/>
        <v/>
      </c>
      <c r="BE388" s="195" t="str">
        <f t="shared" si="242"/>
        <v/>
      </c>
      <c r="BF388" s="195" t="str">
        <f t="shared" si="243"/>
        <v/>
      </c>
      <c r="BG388" s="195" t="str">
        <f t="shared" si="244"/>
        <v/>
      </c>
      <c r="BH388" s="196">
        <f t="shared" si="270"/>
        <v>0</v>
      </c>
      <c r="BI388" s="196">
        <f t="shared" si="271"/>
        <v>0</v>
      </c>
      <c r="BJ388" s="195" t="str">
        <f>IFERROR($G388*(IF('Inputs Yr 2'!$AJ386=BJ$4,'Inputs Yr 2'!$AK386,IF('Inputs Yr 2'!$AL386=BJ$4,'Inputs Yr 2'!$AM386,IF('Inputs Yr 2'!$AN386=BJ$4,'Inputs Yr 2'!$AO386,0))))*(INDEX(avoidedcosttbl2,$H388,BJ$2)+(($H388-ROUNDDOWN($H388,0))*(INDEX(avoidedcosttbl2,ROUNDUP($H388,0),BJ$2)-(INDEX(avoidedcosttbl2,ROUNDDOWN($H388,0),BJ$2)))))*'Inputs Yr 2'!P386*'Inputs Yr 2'!Q386*'Inputs Yr 2'!U386,"")</f>
        <v/>
      </c>
      <c r="BK388" s="195" t="str">
        <f>IFERROR($G388*(IF('Inputs Yr 2'!$AJ386=BK$4,'Inputs Yr 2'!$AK386,IF('Inputs Yr 2'!$AL386=BK$4,'Inputs Yr 2'!$AM386,IF('Inputs Yr 2'!$AN386=BK$4,'Inputs Yr 2'!$AO386,0))))*(INDEX(avoidedcosttbl2,$H388,BK$2)+(($H388-ROUNDDOWN($H388,0))*(INDEX(avoidedcosttbl2,ROUNDUP($H388,0),BK$2)-(INDEX(avoidedcosttbl2,ROUNDDOWN($H388,0),BK$2)))))*'Inputs Yr 2'!P386*'Inputs Yr 2'!Q386*'Inputs Yr 2'!U386,"")</f>
        <v/>
      </c>
      <c r="BL388" s="195" t="str">
        <f>IFERROR($G388*(IF('Inputs Yr 2'!$AJ386=BL$4,'Inputs Yr 2'!$AK386,IF('Inputs Yr 2'!$AL386=BL$4,'Inputs Yr 2'!$AM386,IF('Inputs Yr 2'!$AN386=BL$4,'Inputs Yr 2'!$AO386,0))))*(INDEX(avoidedcosttbl2,$H388,BL$2)+(($H388-ROUNDDOWN($H388,0))*(INDEX(avoidedcosttbl2,ROUNDUP($H388,0),BL$2)-(INDEX(avoidedcosttbl2,ROUNDDOWN($H388,0),BL$2)))))*'Inputs Yr 2'!P386*'Inputs Yr 2'!Q386*'Inputs Yr 2'!U386,"")</f>
        <v/>
      </c>
      <c r="BM388" s="195" t="str">
        <f>IFERROR($G388*(IF('Inputs Yr 2'!$AJ386=BM$4,'Inputs Yr 2'!$AK386,IF('Inputs Yr 2'!$AL386=BM$4,'Inputs Yr 2'!$AM386,IF('Inputs Yr 2'!$AN386=BM$4,'Inputs Yr 2'!$AO386,0))))*(INDEX(avoidedcosttbl2,$H388,BM$2)+(($H388-ROUNDDOWN($H388,0))*(INDEX(avoidedcosttbl2,ROUNDUP($H388,0),BM$2)-(INDEX(avoidedcosttbl2,ROUNDDOWN($H388,0),BM$2)))))*'Inputs Yr 2'!P386*'Inputs Yr 2'!Q386*'Inputs Yr 2'!U386,"")</f>
        <v/>
      </c>
      <c r="BN388" s="195" t="str">
        <f>IFERROR($G388*(IF('Inputs Yr 2'!$AJ386=BN$4,'Inputs Yr 2'!$AK386,IF('Inputs Yr 2'!$AL386=BN$4,'Inputs Yr 2'!$AM386,IF('Inputs Yr 2'!$AN386=BN$4,'Inputs Yr 2'!$AO386,0))))*(INDEX(avoidedcosttbl2,$H388,BN$2)+(($H388-ROUNDDOWN($H388,0))*(INDEX(avoidedcosttbl2,ROUNDUP($H388,0),BN$2)-(INDEX(avoidedcosttbl2,ROUNDDOWN($H388,0),BN$2)))))*'Inputs Yr 2'!P386*'Inputs Yr 2'!Q386*'Inputs Yr 2'!U386,"")</f>
        <v/>
      </c>
      <c r="BO388" s="195" t="str">
        <f>IFERROR($G388*(IF('Inputs Yr 2'!$AJ386=BO$4,'Inputs Yr 2'!$AK386,IF('Inputs Yr 2'!$AL386=BO$4,'Inputs Yr 2'!$AM386,IF('Inputs Yr 2'!$AN386=BO$4,'Inputs Yr 2'!$AO386,0))))*(INDEX(avoidedcosttbl2,$H388,BO$2)+(($H388-ROUNDDOWN($H388,0))*(INDEX(avoidedcosttbl2,ROUNDUP($H388,0),BO$2)-(INDEX(avoidedcosttbl2,ROUNDDOWN($H388,0),BO$2)))))*'Inputs Yr 2'!P386*'Inputs Yr 2'!Q386*'Inputs Yr 2'!U386,"")</f>
        <v/>
      </c>
      <c r="BP388" s="195" t="str">
        <f>IFERROR($G388*(IF('Inputs Yr 2'!$AJ386=BP$4,'Inputs Yr 2'!$AK386,IF('Inputs Yr 2'!$AL386=BP$4,'Inputs Yr 2'!$AM386,IF('Inputs Yr 2'!$AN386=BP$4,'Inputs Yr 2'!$AO386,0))))*(INDEX(avoidedcosttbl2,$H388,BP$2)+(($H388-ROUNDDOWN($H388,0))*(INDEX(avoidedcosttbl2,ROUNDUP($H388,0),BP$2)-(INDEX(avoidedcosttbl2,ROUNDDOWN($H388,0),BP$2)))))*'Inputs Yr 2'!P386*'Inputs Yr 2'!Q386*'Inputs Yr 2'!U386,"")</f>
        <v/>
      </c>
      <c r="BQ388" s="230">
        <f t="shared" si="272"/>
        <v>0</v>
      </c>
      <c r="BR388" s="197" t="str">
        <f t="shared" si="248"/>
        <v/>
      </c>
      <c r="BS388" s="197" t="str">
        <f>IFERROR(($G388*IF('Inputs Yr 2'!$AJ386=BM$4,'Inputs Yr 2'!$AK386,IF('Inputs Yr 2'!$AL386=BM$4,'Inputs Yr 2'!$AM386,IF('Inputs Yr 2'!$AN386=BM$4,'Inputs Yr 2'!$AO386,0))))*(INDEX(avoidedcosttbl2,$H388,BS$2)+(($H388-ROUNDDOWN($H388,0))*(INDEX(avoidedcosttbl2,ROUNDUP($H388,0),BS$2)-(INDEX(avoidedcosttbl2,ROUNDDOWN($H388,0),BS$2)))))*'Inputs Yr 2'!P386*'Inputs Yr 2'!Q386*'Inputs Yr 2'!U386,"")</f>
        <v/>
      </c>
      <c r="BT388" s="197" t="str">
        <f>IFERROR(($G388*IF('Inputs Yr 2'!$AJ386=BK$4,'Inputs Yr 2'!$AK386,IF('Inputs Yr 2'!$AL386=BK$4,'Inputs Yr 2'!$AM386,IF('Inputs Yr 2'!$AN386=BK$4,'Inputs Yr 2'!$AO386,0))))*(INDEX(avoidedcosttbl2,$H388,BT$2)+(($H388-ROUNDDOWN($H388,0))*(INDEX(avoidedcosttbl2,ROUNDUP($H388,0),BT$2)-(INDEX(avoidedcosttbl2,ROUNDDOWN($H388,0),BT$2)))))*'Inputs Yr 2'!P386*'Inputs Yr 2'!Q386*'Inputs Yr 2'!U386,"")</f>
        <v/>
      </c>
      <c r="BU388" s="197" t="str">
        <f>IFERROR(($G388*IF('Inputs Yr 2'!$AJ386=BL$4,'Inputs Yr 2'!$AK386,IF('Inputs Yr 2'!$AL386=BL$4,'Inputs Yr 2'!$AM386,IF('Inputs Yr 2'!$AN386=BL$4,'Inputs Yr 2'!$AO386,0))))*(INDEX(avoidedcosttbl2,$H388,BU$2)+(($H388-ROUNDDOWN($H388,0))*(INDEX(avoidedcosttbl2,ROUNDUP($H388,0),BU$2)-(INDEX(avoidedcosttbl2,ROUNDDOWN($H388,0),BU$2)))))*'Inputs Yr 2'!P386*'Inputs Yr 2'!Q386*'Inputs Yr 2'!U386,"")</f>
        <v/>
      </c>
      <c r="BV388" s="775" t="str">
        <f>IFERROR(($G388*IF('Inputs Yr 2'!$AJ386=BJ$4,'Inputs Yr 2'!$AK386,IF('Inputs Yr 2'!$AL386=BJ$4,'Inputs Yr 2'!$AM386,IF('Inputs Yr 2'!$AN386=BJ$4,'Inputs Yr 2'!$AO386,0))))*(INDEX(avoidedcosttbl2,$H388,BV$2)+(($H388-ROUNDDOWN($H388,0))*(INDEX(avoidedcosttbl2,ROUNDUP($H388,0),BV$2)-(INDEX(avoidedcosttbl2,ROUNDDOWN($H388,0),BV$2)))))*'Inputs Yr 2'!P386*'Inputs Yr 2'!Q386*'Inputs Yr 2'!U386,"")</f>
        <v/>
      </c>
      <c r="BW388" s="197" t="str">
        <f>IFERROR(($G388*IF('Inputs Yr 2'!$AJ386=BN$4,'Inputs Yr 2'!$AK386,IF('Inputs Yr 2'!$AL386=BN$4,'Inputs Yr 2'!$AM386,IF('Inputs Yr 2'!$AN386=BN$4,'Inputs Yr 2'!$AO386,0))))*(INDEX(avoidedcosttbl2,$H388,BW$2)+(($H388-ROUNDDOWN($H388,0))*(INDEX(avoidedcosttbl2,ROUNDUP($H388,0),BW$2)-(INDEX(avoidedcosttbl2,ROUNDDOWN($H388,0),BW$2)))))*'Inputs Yr 2'!P386*'Inputs Yr 2'!Q386*'Inputs Yr 2'!U386,"")</f>
        <v/>
      </c>
      <c r="BX388" s="197" t="str">
        <f>IFERROR(($G388*IF('Inputs Yr 2'!$AJ386=BO$4,'Inputs Yr 2'!$AK386,IF('Inputs Yr 2'!$AL386=BO$4,'Inputs Yr 2'!$AM386,IF('Inputs Yr 2'!$AN386=BO$4,'Inputs Yr 2'!$AO386,0))))*(INDEX(avoidedcosttbl2,$H388,BX$2)+(($H388-ROUNDDOWN($H388,0))*(INDEX(avoidedcosttbl2,ROUNDUP($H388,0),BX$2)-(INDEX(avoidedcosttbl2,ROUNDDOWN($H388,0),BX$2)))))*'Inputs Yr 2'!P386*'Inputs Yr 2'!Q386*'Inputs Yr 2'!U386,"")</f>
        <v/>
      </c>
      <c r="BY388" s="197" t="str">
        <f>IFERROR(($G388*IF('Inputs Yr 2'!$AJ386=BP$4,'Inputs Yr 2'!$AK386,IF('Inputs Yr 2'!$AL386=BP$4,'Inputs Yr 2'!$AM386,IF('Inputs Yr 2'!$AN386=BP$4,'Inputs Yr 2'!$AO386,0))))*(INDEX(avoidedcosttbl2,$H388,BY$2)+(($H388-ROUNDDOWN($H388,0))*(INDEX(avoidedcosttbl2,ROUNDUP($H388,0),BY$2)-(INDEX(avoidedcosttbl2,ROUNDDOWN($H388,0),BY$2)))))*'Inputs Yr 2'!P386*'Inputs Yr 2'!Q386*'Inputs Yr 2'!U386,"")</f>
        <v/>
      </c>
      <c r="BZ388" s="193">
        <f t="shared" si="273"/>
        <v>0</v>
      </c>
      <c r="CA388" s="193">
        <f t="shared" si="274"/>
        <v>0</v>
      </c>
      <c r="CB388" s="195" t="str">
        <f>IFERROR(G388*(IF('Inputs Yr 2'!$AJ386=CB$4,'Inputs Yr 2'!$AK386,IF('Inputs Yr 2'!$AL386=CB$4,'Inputs Yr 2'!$AM386,IF('Inputs Yr 2'!$AN386=CB$4,'Inputs Yr 2'!$AO386,0))))*(INDEX(avoidedcosttbl2,$H388,CB$2)+(($H388-ROUNDDOWN($H388,0))*(INDEX(avoidedcosttbl2,ROUNDUP($H388,0),CB$2)-(INDEX(avoidedcosttbl2,ROUNDDOWN($H388,0),CB$2)))))*'Inputs Yr 2'!P386*'Inputs Yr 2'!Q386*'Inputs Yr 2'!U386,"")</f>
        <v/>
      </c>
      <c r="CC388" s="195" t="str">
        <f>IFERROR(H388*(IF('Inputs Yr 2'!$AJ386=CC$4,'Inputs Yr 2'!$AK386,IF('Inputs Yr 2'!$AL386=CC$4,'Inputs Yr 2'!$AM386,IF('Inputs Yr 2'!$AN386=CC$4,'Inputs Yr 2'!$AO386,0))))*(INDEX(avoidedcosttbl2,$H388,CC$2)+(($H388-ROUNDDOWN($H388,0))*(INDEX(avoidedcosttbl2,ROUNDUP($H388,0),CC$2)-(INDEX(avoidedcosttbl2,ROUNDDOWN($H388,0),CC$2)))))*'Inputs Yr 2'!Q386*'Inputs Yr 2'!R386*'Inputs Yr 2'!V386,"")</f>
        <v/>
      </c>
      <c r="CD388" s="195" t="str">
        <f>IFERROR(I388*(IF('Inputs Yr 2'!$AJ386=CD$4,'Inputs Yr 2'!$AK386,IF('Inputs Yr 2'!$AL386=CD$4,'Inputs Yr 2'!$AM386,IF('Inputs Yr 2'!$AN386=CD$4,'Inputs Yr 2'!$AO386,0))))*(INDEX(avoidedcosttbl2,$H388,CD$2)+(($H388-ROUNDDOWN($H388,0))*(INDEX(avoidedcosttbl2,ROUNDUP($H388,0),CD$2)-(INDEX(avoidedcosttbl2,ROUNDDOWN($H388,0),CD$2)))))*'Inputs Yr 2'!R386*'Inputs Yr 2'!S386*'Inputs Yr 2'!W386,"")</f>
        <v/>
      </c>
      <c r="CE388" s="213" t="str">
        <f t="shared" si="251"/>
        <v/>
      </c>
      <c r="CF388" s="213" t="str">
        <f t="shared" si="252"/>
        <v/>
      </c>
      <c r="CG388" s="213" t="str">
        <f t="shared" si="253"/>
        <v/>
      </c>
      <c r="CH388" s="698">
        <f t="shared" si="275"/>
        <v>0</v>
      </c>
      <c r="CI388" s="79" t="str">
        <f>IFERROR(($G388*'Inputs Yr 2'!$P386*'Inputs Yr 2'!$Q386*(((INDEX(avoidedcosttbl2,$H388,CI$2)+(($H388-ROUNDDOWN($H388,0))*(INDEX(avoidedcosttbl2,ROUNDUP($H388,0),CI$2)-INDEX(avoidedcosttbl2,ROUNDDOWN($H388,0),CI$2))))*'Inputs Yr 2'!AS386))),"")</f>
        <v/>
      </c>
      <c r="CJ388" s="504" t="str">
        <f>IFERROR($G388*'Inputs Yr 2'!AT386*'Inputs Yr 2'!$P386*'Inputs Yr 2'!$Q386/((1+realdiscrt1)^-0.5),"")</f>
        <v/>
      </c>
      <c r="CK388" s="79" t="str">
        <f>IFERROR((O388*1000*(((INDEX(avoidedcosttbl2,$H388,CK$2)+(($H388-ROUNDDOWN($H388,0))*(INDEX(avoidedcosttbl2,ROUNDUP($H388,0),CK$2)-INDEX(avoidedcosttbl2,ROUNDDOWN($H388,0),CK$2))))*'Inputs Yr 2'!AU386))),"")</f>
        <v/>
      </c>
      <c r="CL388" s="504" t="str">
        <f>IFERROR(O388*1000*'Inputs Yr 2'!AV386/((1+realdiscrt1)^-0.5),"")</f>
        <v/>
      </c>
      <c r="CM388" s="79" t="str">
        <f>IFERROR((AB388*'Inputs Yr 2'!AW386*(((INDEX(avoidedcosttbl2,$H388,CM$2)+(($H388-ROUNDDOWN($H388,0))*(INDEX(avoidedcosttbl2,ROUNDUP($H388,0),CM$2)-INDEX(avoidedcosttbl2,ROUNDDOWN($H388,0),CM$2)))))))*10,"")</f>
        <v/>
      </c>
      <c r="CN388" s="504">
        <f>IFERROR(10*AB388*'Inputs Yr 2'!AX386/((1+realdiscrt1)^-0.5),"")</f>
        <v>0</v>
      </c>
      <c r="CO388" s="505">
        <f t="shared" si="276"/>
        <v>0</v>
      </c>
      <c r="CP388" s="230">
        <f t="shared" si="277"/>
        <v>0</v>
      </c>
      <c r="CQ388" s="199">
        <f>ROUND(IFERROR(IF(LEFT($A388,1)="C",'Avoided Costs'!$K$13,'Avoided Costs'!$K$12)+1,""),4)</f>
        <v>1.0720000000000001</v>
      </c>
      <c r="CR388" s="199">
        <f>ROUND(IFERROR(IF(LEFT($A388,1)="C",'Avoided Costs'!$L$13,'Avoided Costs'!$L$12)+1,""),4)</f>
        <v>1.04</v>
      </c>
      <c r="CS388" s="199">
        <f>ROUND(IFERROR(IF(LEFT($A388,1)="C",'Avoided Costs'!$M$13,'Avoided Costs'!$M$12)+1,""),4)</f>
        <v>1.0720000000000001</v>
      </c>
      <c r="CT388" s="199">
        <f>ROUND(IFERROR(IF(LEFT($A388,1)="C",'Avoided Costs'!$N$13,'Avoided Costs'!$N$12)+1,""),4)</f>
        <v>1.04</v>
      </c>
      <c r="CU388" s="199">
        <f>ROUND(IFERROR(IF(LEFT($A388,1)="C",'Avoided Costs'!$O$13,'Avoided Costs'!$O$12)+1,""),4)</f>
        <v>1.1120000000000001</v>
      </c>
      <c r="CV388" s="199">
        <f>ROUND(IFERROR(IF(LEFT($A388,1)="C",'Avoided Costs'!$P$13,'Avoided Costs'!$P$12)+1,""),4)</f>
        <v>1.095</v>
      </c>
      <c r="CW388" s="199">
        <f>ROUND(IFERROR(IF(LEFT($A388,1)="C",'Avoided Costs'!$Q$13,'Avoided Costs'!$Q$12)+1,""),4)</f>
        <v>1.1120000000000001</v>
      </c>
      <c r="CX388" s="200">
        <f>ROUND(IFERROR(IF(LEFT($A388,1)="C",'Avoided Costs'!$R$13,'Avoided Costs'!$R$12)+1,""),4)</f>
        <v>1.1120000000000001</v>
      </c>
    </row>
    <row r="389" spans="1:102" ht="12.75" customHeight="1">
      <c r="A389" s="91" t="str">
        <f>IF('Inputs Yr 2'!$B387=0,"",'Inputs Yr 2'!A387)</f>
        <v/>
      </c>
      <c r="B389" s="91" t="str">
        <f>IF('Inputs Yr 2'!$B387=0,"",'Inputs Yr 2'!B387)</f>
        <v/>
      </c>
      <c r="C389" s="91" t="str">
        <f>IF('Inputs Yr 2'!$B387=0,"",'Inputs Yr 2'!C387)</f>
        <v/>
      </c>
      <c r="D389" s="91" t="str">
        <f>IF('Inputs Yr 2'!$B387=0,"",'Inputs Yr 2'!E387)</f>
        <v/>
      </c>
      <c r="E389" s="93" t="str">
        <f>IF('Inputs Yr 2'!$B387=0,"",'Inputs Yr 2'!F387)</f>
        <v/>
      </c>
      <c r="F389" s="93" t="str">
        <f>IF('Inputs Yr 2'!$B387=0,"",'Inputs Yr 2'!G387)</f>
        <v/>
      </c>
      <c r="G389" s="95" t="str">
        <f>IF('Inputs Yr 2'!$H387&lt;&gt;0,('Inputs Yr 2'!H387),"")</f>
        <v/>
      </c>
      <c r="H389" s="94">
        <f>IFERROR('Inputs Yr 2'!I387,"")</f>
        <v>0</v>
      </c>
      <c r="I389" s="298" t="str">
        <f>IFERROR('Inputs Yr 2'!J387*'Inputs Yr 2'!P387*G389,"")</f>
        <v/>
      </c>
      <c r="J389" s="298" t="str">
        <f>IFERROR('Inputs Yr 2'!K387*G389,"")</f>
        <v/>
      </c>
      <c r="K389" s="298" t="str">
        <f t="shared" si="257"/>
        <v/>
      </c>
      <c r="L389" s="194" t="str">
        <f>IFERROR(('Inputs Yr 2'!W387*G389)/1000,"")</f>
        <v/>
      </c>
      <c r="M389" s="194" t="str">
        <f>IFERROR(L389*('Inputs Yr 2'!$Q387*'Inputs Yr 2'!$V387*'Inputs Yr 2'!$R387),"")</f>
        <v/>
      </c>
      <c r="N389" s="194" t="str">
        <f t="shared" si="258"/>
        <v/>
      </c>
      <c r="O389" s="194" t="str">
        <f>IFERROR(M389*'Inputs Yr 2'!P387,"")</f>
        <v/>
      </c>
      <c r="P389" s="194" t="str">
        <f t="shared" si="259"/>
        <v/>
      </c>
      <c r="Q389" s="194" t="str">
        <f>IFERROR($P389*'Inputs Yr 2'!AA387,"")</f>
        <v/>
      </c>
      <c r="R389" s="194" t="str">
        <f>IFERROR($P389*'Inputs Yr 2'!AB387,"")</f>
        <v/>
      </c>
      <c r="S389" s="194" t="str">
        <f>IFERROR($P389*'Inputs Yr 2'!AC387,"")</f>
        <v/>
      </c>
      <c r="T389" s="194" t="str">
        <f>IFERROR($P389*'Inputs Yr 2'!AD387,"")</f>
        <v/>
      </c>
      <c r="U389" s="194" t="str">
        <f>IFERROR(G389*'Inputs Yr 2'!$AE387*'Inputs Yr 2'!$P387*'Inputs Yr 2'!$Q387,"")</f>
        <v/>
      </c>
      <c r="V389" s="194" t="str">
        <f>IFERROR($G389*'Inputs Yr 2'!$AE387*'Inputs Yr 2'!$AG387*'Inputs Yr 2'!Q387*'Inputs Yr 2'!$S387,"")</f>
        <v/>
      </c>
      <c r="W389" s="194" t="str">
        <f>IFERROR($G389*'Inputs Yr 2'!$AE387*'Inputs Yr 2'!$AG387*'Inputs Yr 2'!P387*'Inputs Yr 2'!Q387*'Inputs Yr 2'!$S387,"")</f>
        <v/>
      </c>
      <c r="X389" s="194" t="str">
        <f>IFERROR($G389*'Inputs Yr 2'!$AE387*'Inputs Yr 2'!$AF387*'Inputs Yr 2'!Q387*'Inputs Yr 2'!$T387,"")</f>
        <v/>
      </c>
      <c r="Y389" s="194" t="str">
        <f>IFERROR($G389*'Inputs Yr 2'!$AE387*'Inputs Yr 2'!$AF387*'Inputs Yr 2'!P387*'Inputs Yr 2'!Q387*'Inputs Yr 2'!$T387,"")</f>
        <v/>
      </c>
      <c r="Z389" s="257">
        <f>IFERROR($G389*'Inputs Yr 2'!$Q387*'Inputs Yr 2'!$U387*(IF(IFERROR(SEARCH("NG", 'Inputs Yr 2'!$AJ387),0),'Inputs Yr 2'!$AK387,0)+IF(IFERROR(SEARCH("NG", 'Inputs Yr 2'!$AL387),0),'Inputs Yr 2'!$AM387,0)+IF(IFERROR(SEARCH("NG", 'Inputs Yr 2'!$AN387),0),'Inputs Yr 2'!$AO387,0)),0)</f>
        <v>0</v>
      </c>
      <c r="AA389" s="257">
        <f t="shared" si="260"/>
        <v>0</v>
      </c>
      <c r="AB389" s="257">
        <f>IFERROR(Z389*'Inputs Yr 2'!$P387,0)</f>
        <v>0</v>
      </c>
      <c r="AC389" s="257">
        <f t="shared" si="261"/>
        <v>0</v>
      </c>
      <c r="AD389" s="257">
        <f>IFERROR($G389*'Inputs Yr 2'!$Q387*'Inputs Yr 2'!$U387*(IF(IFERROR(SEARCH("Oil", 'Inputs Yr 2'!$AJ387), 0),'Inputs Yr 2'!$AK387,0)+IF(IFERROR(SEARCH("Oil", 'Inputs Yr 2'!$AL387), 0),'Inputs Yr 2'!$AM387,0)+IF(IFERROR(SEARCH("Oil", 'Inputs Yr 2'!$AN387), 0),'Inputs Yr 2'!$AO387,0)),0)</f>
        <v>0</v>
      </c>
      <c r="AE389" s="257">
        <f t="shared" si="262"/>
        <v>0</v>
      </c>
      <c r="AF389" s="257">
        <f>IFERROR(AD389*'Inputs Yr 2'!$P387,0)</f>
        <v>0</v>
      </c>
      <c r="AG389" s="257">
        <f t="shared" si="263"/>
        <v>0</v>
      </c>
      <c r="AH389" s="257">
        <f>IFERROR($G389*'Inputs Yr 2'!$Q387*'Inputs Yr 2'!$U387*(IF('Inputs Yr 2'!$AJ387=CD$4,'Inputs Yr 2'!$AK387,IF('Inputs Yr 2'!$AL387=CD$4,'Inputs Yr 2'!$AM387,IF('Inputs Yr 2'!$AN387=CD$4,'Inputs Yr 2'!$AO387,0)))),0)</f>
        <v>0</v>
      </c>
      <c r="AI389" s="257">
        <f t="shared" si="264"/>
        <v>0</v>
      </c>
      <c r="AJ389" s="257">
        <f>IFERROR(AH389*'Inputs Yr 2'!$P387,0)</f>
        <v>0</v>
      </c>
      <c r="AK389" s="257">
        <f t="shared" si="265"/>
        <v>0</v>
      </c>
      <c r="AL389" s="258">
        <f>IFERROR($G389*'Inputs Yr 2'!$P387*'Inputs Yr 2'!$Q387*'Inputs Yr 2'!AP387,0)</f>
        <v>0</v>
      </c>
      <c r="AM389" s="260">
        <f>IFERROR($G389*'Inputs Yr 2'!$P387*'Inputs Yr 2'!$Q387*'Inputs Yr 2'!AQ387,0)</f>
        <v>0</v>
      </c>
      <c r="AN389" s="258">
        <f>IFERROR($G389*'Inputs Yr 2'!$P387*'Inputs Yr 2'!$Q387*'Inputs Yr 2'!AR387,0)</f>
        <v>0</v>
      </c>
      <c r="AO389" s="257">
        <f t="shared" si="266"/>
        <v>0</v>
      </c>
      <c r="AP389" s="195" t="str">
        <f>IFERROR($CQ389*(INDEX(avoidedcosttbl2,$H389,AP$2)+(($H389-ROUNDDOWN($H389,0))*(INDEX(avoidedcosttbl2,ROUNDUP($H389,0),AP$2)-(INDEX(avoidedcosttbl2,ROUNDDOWN($H389,0),AP$2)))))*$O389*1000*'Inputs Yr 2'!AA387,"")</f>
        <v/>
      </c>
      <c r="AQ389" s="195" t="str">
        <f>IFERROR($CR389*(INDEX(avoidedcosttbl2,$H389,AQ$2)+(($H389-ROUNDDOWN($H389,0))*(INDEX(avoidedcosttbl2,ROUNDUP($H389,0),AQ$2)-(INDEX(avoidedcosttbl2,ROUNDDOWN($H389,0),AQ$2)))))*$O389*1000*'Inputs Yr 2'!AB387,"")</f>
        <v/>
      </c>
      <c r="AR389" s="195" t="str">
        <f>IFERROR($CS389*(INDEX(avoidedcosttbl2,$H389,AR$2)+(($H389-ROUNDDOWN($H389,0))*(INDEX(avoidedcosttbl2,ROUNDUP($H389,0),AR$2)-(INDEX(avoidedcosttbl2,ROUNDDOWN($H389,0),AR$2)))))*$O389*1000*'Inputs Yr 2'!AC387,"")</f>
        <v/>
      </c>
      <c r="AS389" s="195" t="str">
        <f>IFERROR($CT389*(INDEX(avoidedcosttbl2,$H389,AS$2)+(($H389-ROUNDDOWN($H389,0))*(INDEX(avoidedcosttbl2,ROUNDUP($H389,0),AS$2)-(INDEX(avoidedcosttbl2,ROUNDDOWN($H389,0),AS$2)))))*$O389*1000*'Inputs Yr 2'!AD387,"")</f>
        <v/>
      </c>
      <c r="AT389" s="196">
        <f t="shared" si="267"/>
        <v>0</v>
      </c>
      <c r="AU389" s="197" t="str">
        <f>IFERROR($CQ389*((INDEX(avoidedcosttbl2,$H389,AU$2))+(($H389-ROUNDDOWN($H389,0))*((INDEX(avoidedcosttbl2,ROUNDUP($H389,0),AU$2))-(INDEX(avoidedcosttbl2,ROUNDDOWN($H389,0),AU$2)))))*$O389*1000*'Inputs Yr 2'!AA387,"")</f>
        <v/>
      </c>
      <c r="AV389" s="197" t="str">
        <f>IFERROR($CR389*((INDEX(avoidedcosttbl2,$H389,AV$2))+(($H389-ROUNDDOWN($H389,0))*((INDEX(avoidedcosttbl2,ROUNDUP($H389,0),AV$2))-(INDEX(avoidedcosttbl2,ROUNDDOWN($H389,0),AV$2)))))*$O389*1000*'Inputs Yr 2'!AB387,"")</f>
        <v/>
      </c>
      <c r="AW389" s="197" t="str">
        <f>IFERROR($CS389*((INDEX(avoidedcosttbl2,$H389,AW$2))+(($H389-ROUNDDOWN($H389,0))*((INDEX(avoidedcosttbl2,ROUNDUP($H389,0),AW$2))-(INDEX(avoidedcosttbl2,ROUNDDOWN($H389,0),AW$2)))))*$O389*1000*'Inputs Yr 2'!AC387,"")</f>
        <v/>
      </c>
      <c r="AX389" s="197" t="str">
        <f>IFERROR($CT389*((INDEX(avoidedcosttbl2,$H389,AX$2))+(($H389-ROUNDDOWN($H389,0))*((INDEX(avoidedcosttbl2,ROUNDUP($H389,0),AX$2))-(INDEX(avoidedcosttbl2,ROUNDDOWN($H389,0),AX$2)))))*$O389*1000*'Inputs Yr 2'!AD387,"")</f>
        <v/>
      </c>
      <c r="AY389" s="197" t="str">
        <f>IFERROR(((INDEX(avoidedcosttbl2,$H389,AY$2))+(($H389-ROUNDDOWN($H389,0))*((INDEX(avoidedcosttbl2,ROUNDUP($H389,0),AY$2))-(INDEX(avoidedcosttbl2,ROUNDDOWN($H389,0),AY$2)))))*$O389*1000*('Inputs Yr 2'!AC387+'Inputs Yr 2'!AD387),"")</f>
        <v/>
      </c>
      <c r="AZ389" s="197" t="str">
        <f>IFERROR(((INDEX(avoidedcosttbl2,$H389,AZ$2))+(($H389-ROUNDDOWN($H389,0))*((INDEX(avoidedcosttbl2,ROUNDUP($H389,0),AZ$2))-(INDEX(avoidedcosttbl2,ROUNDDOWN($H389,0),AZ$2)))))*$O389*1000*('Inputs Yr 2'!AA387+'Inputs Yr 2'!AB387),"")</f>
        <v/>
      </c>
      <c r="BA389" s="198">
        <f t="shared" si="268"/>
        <v>0</v>
      </c>
      <c r="BB389" s="198">
        <f t="shared" si="269"/>
        <v>0</v>
      </c>
      <c r="BC389" s="195" t="str">
        <f t="shared" si="240"/>
        <v/>
      </c>
      <c r="BD389" s="195" t="str">
        <f t="shared" si="241"/>
        <v/>
      </c>
      <c r="BE389" s="195" t="str">
        <f t="shared" si="242"/>
        <v/>
      </c>
      <c r="BF389" s="195" t="str">
        <f t="shared" si="243"/>
        <v/>
      </c>
      <c r="BG389" s="195" t="str">
        <f t="shared" si="244"/>
        <v/>
      </c>
      <c r="BH389" s="196">
        <f t="shared" si="270"/>
        <v>0</v>
      </c>
      <c r="BI389" s="196">
        <f t="shared" si="271"/>
        <v>0</v>
      </c>
      <c r="BJ389" s="195" t="str">
        <f>IFERROR($G389*(IF('Inputs Yr 2'!$AJ387=BJ$4,'Inputs Yr 2'!$AK387,IF('Inputs Yr 2'!$AL387=BJ$4,'Inputs Yr 2'!$AM387,IF('Inputs Yr 2'!$AN387=BJ$4,'Inputs Yr 2'!$AO387,0))))*(INDEX(avoidedcosttbl2,$H389,BJ$2)+(($H389-ROUNDDOWN($H389,0))*(INDEX(avoidedcosttbl2,ROUNDUP($H389,0),BJ$2)-(INDEX(avoidedcosttbl2,ROUNDDOWN($H389,0),BJ$2)))))*'Inputs Yr 2'!P387*'Inputs Yr 2'!Q387*'Inputs Yr 2'!U387,"")</f>
        <v/>
      </c>
      <c r="BK389" s="195" t="str">
        <f>IFERROR($G389*(IF('Inputs Yr 2'!$AJ387=BK$4,'Inputs Yr 2'!$AK387,IF('Inputs Yr 2'!$AL387=BK$4,'Inputs Yr 2'!$AM387,IF('Inputs Yr 2'!$AN387=BK$4,'Inputs Yr 2'!$AO387,0))))*(INDEX(avoidedcosttbl2,$H389,BK$2)+(($H389-ROUNDDOWN($H389,0))*(INDEX(avoidedcosttbl2,ROUNDUP($H389,0),BK$2)-(INDEX(avoidedcosttbl2,ROUNDDOWN($H389,0),BK$2)))))*'Inputs Yr 2'!P387*'Inputs Yr 2'!Q387*'Inputs Yr 2'!U387,"")</f>
        <v/>
      </c>
      <c r="BL389" s="195" t="str">
        <f>IFERROR($G389*(IF('Inputs Yr 2'!$AJ387=BL$4,'Inputs Yr 2'!$AK387,IF('Inputs Yr 2'!$AL387=BL$4,'Inputs Yr 2'!$AM387,IF('Inputs Yr 2'!$AN387=BL$4,'Inputs Yr 2'!$AO387,0))))*(INDEX(avoidedcosttbl2,$H389,BL$2)+(($H389-ROUNDDOWN($H389,0))*(INDEX(avoidedcosttbl2,ROUNDUP($H389,0),BL$2)-(INDEX(avoidedcosttbl2,ROUNDDOWN($H389,0),BL$2)))))*'Inputs Yr 2'!P387*'Inputs Yr 2'!Q387*'Inputs Yr 2'!U387,"")</f>
        <v/>
      </c>
      <c r="BM389" s="195" t="str">
        <f>IFERROR($G389*(IF('Inputs Yr 2'!$AJ387=BM$4,'Inputs Yr 2'!$AK387,IF('Inputs Yr 2'!$AL387=BM$4,'Inputs Yr 2'!$AM387,IF('Inputs Yr 2'!$AN387=BM$4,'Inputs Yr 2'!$AO387,0))))*(INDEX(avoidedcosttbl2,$H389,BM$2)+(($H389-ROUNDDOWN($H389,0))*(INDEX(avoidedcosttbl2,ROUNDUP($H389,0),BM$2)-(INDEX(avoidedcosttbl2,ROUNDDOWN($H389,0),BM$2)))))*'Inputs Yr 2'!P387*'Inputs Yr 2'!Q387*'Inputs Yr 2'!U387,"")</f>
        <v/>
      </c>
      <c r="BN389" s="195" t="str">
        <f>IFERROR($G389*(IF('Inputs Yr 2'!$AJ387=BN$4,'Inputs Yr 2'!$AK387,IF('Inputs Yr 2'!$AL387=BN$4,'Inputs Yr 2'!$AM387,IF('Inputs Yr 2'!$AN387=BN$4,'Inputs Yr 2'!$AO387,0))))*(INDEX(avoidedcosttbl2,$H389,BN$2)+(($H389-ROUNDDOWN($H389,0))*(INDEX(avoidedcosttbl2,ROUNDUP($H389,0),BN$2)-(INDEX(avoidedcosttbl2,ROUNDDOWN($H389,0),BN$2)))))*'Inputs Yr 2'!P387*'Inputs Yr 2'!Q387*'Inputs Yr 2'!U387,"")</f>
        <v/>
      </c>
      <c r="BO389" s="195" t="str">
        <f>IFERROR($G389*(IF('Inputs Yr 2'!$AJ387=BO$4,'Inputs Yr 2'!$AK387,IF('Inputs Yr 2'!$AL387=BO$4,'Inputs Yr 2'!$AM387,IF('Inputs Yr 2'!$AN387=BO$4,'Inputs Yr 2'!$AO387,0))))*(INDEX(avoidedcosttbl2,$H389,BO$2)+(($H389-ROUNDDOWN($H389,0))*(INDEX(avoidedcosttbl2,ROUNDUP($H389,0),BO$2)-(INDEX(avoidedcosttbl2,ROUNDDOWN($H389,0),BO$2)))))*'Inputs Yr 2'!P387*'Inputs Yr 2'!Q387*'Inputs Yr 2'!U387,"")</f>
        <v/>
      </c>
      <c r="BP389" s="195" t="str">
        <f>IFERROR($G389*(IF('Inputs Yr 2'!$AJ387=BP$4,'Inputs Yr 2'!$AK387,IF('Inputs Yr 2'!$AL387=BP$4,'Inputs Yr 2'!$AM387,IF('Inputs Yr 2'!$AN387=BP$4,'Inputs Yr 2'!$AO387,0))))*(INDEX(avoidedcosttbl2,$H389,BP$2)+(($H389-ROUNDDOWN($H389,0))*(INDEX(avoidedcosttbl2,ROUNDUP($H389,0),BP$2)-(INDEX(avoidedcosttbl2,ROUNDDOWN($H389,0),BP$2)))))*'Inputs Yr 2'!P387*'Inputs Yr 2'!Q387*'Inputs Yr 2'!U387,"")</f>
        <v/>
      </c>
      <c r="BQ389" s="230">
        <f t="shared" si="272"/>
        <v>0</v>
      </c>
      <c r="BR389" s="197" t="str">
        <f t="shared" si="248"/>
        <v/>
      </c>
      <c r="BS389" s="197" t="str">
        <f>IFERROR(($G389*IF('Inputs Yr 2'!$AJ387=BM$4,'Inputs Yr 2'!$AK387,IF('Inputs Yr 2'!$AL387=BM$4,'Inputs Yr 2'!$AM387,IF('Inputs Yr 2'!$AN387=BM$4,'Inputs Yr 2'!$AO387,0))))*(INDEX(avoidedcosttbl2,$H389,BS$2)+(($H389-ROUNDDOWN($H389,0))*(INDEX(avoidedcosttbl2,ROUNDUP($H389,0),BS$2)-(INDEX(avoidedcosttbl2,ROUNDDOWN($H389,0),BS$2)))))*'Inputs Yr 2'!P387*'Inputs Yr 2'!Q387*'Inputs Yr 2'!U387,"")</f>
        <v/>
      </c>
      <c r="BT389" s="197" t="str">
        <f>IFERROR(($G389*IF('Inputs Yr 2'!$AJ387=BK$4,'Inputs Yr 2'!$AK387,IF('Inputs Yr 2'!$AL387=BK$4,'Inputs Yr 2'!$AM387,IF('Inputs Yr 2'!$AN387=BK$4,'Inputs Yr 2'!$AO387,0))))*(INDEX(avoidedcosttbl2,$H389,BT$2)+(($H389-ROUNDDOWN($H389,0))*(INDEX(avoidedcosttbl2,ROUNDUP($H389,0),BT$2)-(INDEX(avoidedcosttbl2,ROUNDDOWN($H389,0),BT$2)))))*'Inputs Yr 2'!P387*'Inputs Yr 2'!Q387*'Inputs Yr 2'!U387,"")</f>
        <v/>
      </c>
      <c r="BU389" s="197" t="str">
        <f>IFERROR(($G389*IF('Inputs Yr 2'!$AJ387=BL$4,'Inputs Yr 2'!$AK387,IF('Inputs Yr 2'!$AL387=BL$4,'Inputs Yr 2'!$AM387,IF('Inputs Yr 2'!$AN387=BL$4,'Inputs Yr 2'!$AO387,0))))*(INDEX(avoidedcosttbl2,$H389,BU$2)+(($H389-ROUNDDOWN($H389,0))*(INDEX(avoidedcosttbl2,ROUNDUP($H389,0),BU$2)-(INDEX(avoidedcosttbl2,ROUNDDOWN($H389,0),BU$2)))))*'Inputs Yr 2'!P387*'Inputs Yr 2'!Q387*'Inputs Yr 2'!U387,"")</f>
        <v/>
      </c>
      <c r="BV389" s="775" t="str">
        <f>IFERROR(($G389*IF('Inputs Yr 2'!$AJ387=BJ$4,'Inputs Yr 2'!$AK387,IF('Inputs Yr 2'!$AL387=BJ$4,'Inputs Yr 2'!$AM387,IF('Inputs Yr 2'!$AN387=BJ$4,'Inputs Yr 2'!$AO387,0))))*(INDEX(avoidedcosttbl2,$H389,BV$2)+(($H389-ROUNDDOWN($H389,0))*(INDEX(avoidedcosttbl2,ROUNDUP($H389,0),BV$2)-(INDEX(avoidedcosttbl2,ROUNDDOWN($H389,0),BV$2)))))*'Inputs Yr 2'!P387*'Inputs Yr 2'!Q387*'Inputs Yr 2'!U387,"")</f>
        <v/>
      </c>
      <c r="BW389" s="197" t="str">
        <f>IFERROR(($G389*IF('Inputs Yr 2'!$AJ387=BN$4,'Inputs Yr 2'!$AK387,IF('Inputs Yr 2'!$AL387=BN$4,'Inputs Yr 2'!$AM387,IF('Inputs Yr 2'!$AN387=BN$4,'Inputs Yr 2'!$AO387,0))))*(INDEX(avoidedcosttbl2,$H389,BW$2)+(($H389-ROUNDDOWN($H389,0))*(INDEX(avoidedcosttbl2,ROUNDUP($H389,0),BW$2)-(INDEX(avoidedcosttbl2,ROUNDDOWN($H389,0),BW$2)))))*'Inputs Yr 2'!P387*'Inputs Yr 2'!Q387*'Inputs Yr 2'!U387,"")</f>
        <v/>
      </c>
      <c r="BX389" s="197" t="str">
        <f>IFERROR(($G389*IF('Inputs Yr 2'!$AJ387=BO$4,'Inputs Yr 2'!$AK387,IF('Inputs Yr 2'!$AL387=BO$4,'Inputs Yr 2'!$AM387,IF('Inputs Yr 2'!$AN387=BO$4,'Inputs Yr 2'!$AO387,0))))*(INDEX(avoidedcosttbl2,$H389,BX$2)+(($H389-ROUNDDOWN($H389,0))*(INDEX(avoidedcosttbl2,ROUNDUP($H389,0),BX$2)-(INDEX(avoidedcosttbl2,ROUNDDOWN($H389,0),BX$2)))))*'Inputs Yr 2'!P387*'Inputs Yr 2'!Q387*'Inputs Yr 2'!U387,"")</f>
        <v/>
      </c>
      <c r="BY389" s="197" t="str">
        <f>IFERROR(($G389*IF('Inputs Yr 2'!$AJ387=BP$4,'Inputs Yr 2'!$AK387,IF('Inputs Yr 2'!$AL387=BP$4,'Inputs Yr 2'!$AM387,IF('Inputs Yr 2'!$AN387=BP$4,'Inputs Yr 2'!$AO387,0))))*(INDEX(avoidedcosttbl2,$H389,BY$2)+(($H389-ROUNDDOWN($H389,0))*(INDEX(avoidedcosttbl2,ROUNDUP($H389,0),BY$2)-(INDEX(avoidedcosttbl2,ROUNDDOWN($H389,0),BY$2)))))*'Inputs Yr 2'!P387*'Inputs Yr 2'!Q387*'Inputs Yr 2'!U387,"")</f>
        <v/>
      </c>
      <c r="BZ389" s="193">
        <f t="shared" si="273"/>
        <v>0</v>
      </c>
      <c r="CA389" s="193">
        <f t="shared" si="274"/>
        <v>0</v>
      </c>
      <c r="CB389" s="195" t="str">
        <f>IFERROR(G389*(IF('Inputs Yr 2'!$AJ387=CB$4,'Inputs Yr 2'!$AK387,IF('Inputs Yr 2'!$AL387=CB$4,'Inputs Yr 2'!$AM387,IF('Inputs Yr 2'!$AN387=CB$4,'Inputs Yr 2'!$AO387,0))))*(INDEX(avoidedcosttbl2,$H389,CB$2)+(($H389-ROUNDDOWN($H389,0))*(INDEX(avoidedcosttbl2,ROUNDUP($H389,0),CB$2)-(INDEX(avoidedcosttbl2,ROUNDDOWN($H389,0),CB$2)))))*'Inputs Yr 2'!P387*'Inputs Yr 2'!Q387*'Inputs Yr 2'!U387,"")</f>
        <v/>
      </c>
      <c r="CC389" s="195" t="str">
        <f>IFERROR(H389*(IF('Inputs Yr 2'!$AJ387=CC$4,'Inputs Yr 2'!$AK387,IF('Inputs Yr 2'!$AL387=CC$4,'Inputs Yr 2'!$AM387,IF('Inputs Yr 2'!$AN387=CC$4,'Inputs Yr 2'!$AO387,0))))*(INDEX(avoidedcosttbl2,$H389,CC$2)+(($H389-ROUNDDOWN($H389,0))*(INDEX(avoidedcosttbl2,ROUNDUP($H389,0),CC$2)-(INDEX(avoidedcosttbl2,ROUNDDOWN($H389,0),CC$2)))))*'Inputs Yr 2'!Q387*'Inputs Yr 2'!R387*'Inputs Yr 2'!V387,"")</f>
        <v/>
      </c>
      <c r="CD389" s="195" t="str">
        <f>IFERROR(I389*(IF('Inputs Yr 2'!$AJ387=CD$4,'Inputs Yr 2'!$AK387,IF('Inputs Yr 2'!$AL387=CD$4,'Inputs Yr 2'!$AM387,IF('Inputs Yr 2'!$AN387=CD$4,'Inputs Yr 2'!$AO387,0))))*(INDEX(avoidedcosttbl2,$H389,CD$2)+(($H389-ROUNDDOWN($H389,0))*(INDEX(avoidedcosttbl2,ROUNDUP($H389,0),CD$2)-(INDEX(avoidedcosttbl2,ROUNDDOWN($H389,0),CD$2)))))*'Inputs Yr 2'!R387*'Inputs Yr 2'!S387*'Inputs Yr 2'!W387,"")</f>
        <v/>
      </c>
      <c r="CE389" s="213" t="str">
        <f t="shared" si="251"/>
        <v/>
      </c>
      <c r="CF389" s="213" t="str">
        <f t="shared" si="252"/>
        <v/>
      </c>
      <c r="CG389" s="213" t="str">
        <f t="shared" si="253"/>
        <v/>
      </c>
      <c r="CH389" s="698">
        <f t="shared" si="275"/>
        <v>0</v>
      </c>
      <c r="CI389" s="79" t="str">
        <f>IFERROR(($G389*'Inputs Yr 2'!$P387*'Inputs Yr 2'!$Q387*(((INDEX(avoidedcosttbl2,$H389,CI$2)+(($H389-ROUNDDOWN($H389,0))*(INDEX(avoidedcosttbl2,ROUNDUP($H389,0),CI$2)-INDEX(avoidedcosttbl2,ROUNDDOWN($H389,0),CI$2))))*'Inputs Yr 2'!AS387))),"")</f>
        <v/>
      </c>
      <c r="CJ389" s="504" t="str">
        <f>IFERROR($G389*'Inputs Yr 2'!AT387*'Inputs Yr 2'!$P387*'Inputs Yr 2'!$Q387/((1+realdiscrt1)^-0.5),"")</f>
        <v/>
      </c>
      <c r="CK389" s="79" t="str">
        <f>IFERROR((O389*1000*(((INDEX(avoidedcosttbl2,$H389,CK$2)+(($H389-ROUNDDOWN($H389,0))*(INDEX(avoidedcosttbl2,ROUNDUP($H389,0),CK$2)-INDEX(avoidedcosttbl2,ROUNDDOWN($H389,0),CK$2))))*'Inputs Yr 2'!AU387))),"")</f>
        <v/>
      </c>
      <c r="CL389" s="504" t="str">
        <f>IFERROR(O389*1000*'Inputs Yr 2'!AV387/((1+realdiscrt1)^-0.5),"")</f>
        <v/>
      </c>
      <c r="CM389" s="79" t="str">
        <f>IFERROR((AB389*'Inputs Yr 2'!AW387*(((INDEX(avoidedcosttbl2,$H389,CM$2)+(($H389-ROUNDDOWN($H389,0))*(INDEX(avoidedcosttbl2,ROUNDUP($H389,0),CM$2)-INDEX(avoidedcosttbl2,ROUNDDOWN($H389,0),CM$2)))))))*10,"")</f>
        <v/>
      </c>
      <c r="CN389" s="504">
        <f>IFERROR(10*AB389*'Inputs Yr 2'!AX387/((1+realdiscrt1)^-0.5),"")</f>
        <v>0</v>
      </c>
      <c r="CO389" s="505">
        <f t="shared" si="276"/>
        <v>0</v>
      </c>
      <c r="CP389" s="230">
        <f t="shared" si="277"/>
        <v>0</v>
      </c>
      <c r="CQ389" s="199">
        <f>ROUND(IFERROR(IF(LEFT($A389,1)="C",'Avoided Costs'!$K$13,'Avoided Costs'!$K$12)+1,""),4)</f>
        <v>1.0720000000000001</v>
      </c>
      <c r="CR389" s="199">
        <f>ROUND(IFERROR(IF(LEFT($A389,1)="C",'Avoided Costs'!$L$13,'Avoided Costs'!$L$12)+1,""),4)</f>
        <v>1.04</v>
      </c>
      <c r="CS389" s="199">
        <f>ROUND(IFERROR(IF(LEFT($A389,1)="C",'Avoided Costs'!$M$13,'Avoided Costs'!$M$12)+1,""),4)</f>
        <v>1.0720000000000001</v>
      </c>
      <c r="CT389" s="199">
        <f>ROUND(IFERROR(IF(LEFT($A389,1)="C",'Avoided Costs'!$N$13,'Avoided Costs'!$N$12)+1,""),4)</f>
        <v>1.04</v>
      </c>
      <c r="CU389" s="199">
        <f>ROUND(IFERROR(IF(LEFT($A389,1)="C",'Avoided Costs'!$O$13,'Avoided Costs'!$O$12)+1,""),4)</f>
        <v>1.1120000000000001</v>
      </c>
      <c r="CV389" s="199">
        <f>ROUND(IFERROR(IF(LEFT($A389,1)="C",'Avoided Costs'!$P$13,'Avoided Costs'!$P$12)+1,""),4)</f>
        <v>1.095</v>
      </c>
      <c r="CW389" s="199">
        <f>ROUND(IFERROR(IF(LEFT($A389,1)="C",'Avoided Costs'!$Q$13,'Avoided Costs'!$Q$12)+1,""),4)</f>
        <v>1.1120000000000001</v>
      </c>
      <c r="CX389" s="200">
        <f>ROUND(IFERROR(IF(LEFT($A389,1)="C",'Avoided Costs'!$R$13,'Avoided Costs'!$R$12)+1,""),4)</f>
        <v>1.1120000000000001</v>
      </c>
    </row>
    <row r="390" spans="1:102" ht="12.75" customHeight="1">
      <c r="A390" s="91" t="str">
        <f>IF('Inputs Yr 2'!$B388=0,"",'Inputs Yr 2'!A388)</f>
        <v/>
      </c>
      <c r="B390" s="91" t="str">
        <f>IF('Inputs Yr 2'!$B388=0,"",'Inputs Yr 2'!B388)</f>
        <v/>
      </c>
      <c r="C390" s="91" t="str">
        <f>IF('Inputs Yr 2'!$B388=0,"",'Inputs Yr 2'!C388)</f>
        <v/>
      </c>
      <c r="D390" s="91" t="str">
        <f>IF('Inputs Yr 2'!$B388=0,"",'Inputs Yr 2'!E388)</f>
        <v/>
      </c>
      <c r="E390" s="93" t="str">
        <f>IF('Inputs Yr 2'!$B388=0,"",'Inputs Yr 2'!F388)</f>
        <v/>
      </c>
      <c r="F390" s="93" t="str">
        <f>IF('Inputs Yr 2'!$B388=0,"",'Inputs Yr 2'!G388)</f>
        <v/>
      </c>
      <c r="G390" s="95" t="str">
        <f>IF('Inputs Yr 2'!$H388&lt;&gt;0,('Inputs Yr 2'!H388),"")</f>
        <v/>
      </c>
      <c r="H390" s="94">
        <f>IFERROR('Inputs Yr 2'!I388,"")</f>
        <v>0</v>
      </c>
      <c r="I390" s="298" t="str">
        <f>IFERROR('Inputs Yr 2'!J388*'Inputs Yr 2'!P388*G390,"")</f>
        <v/>
      </c>
      <c r="J390" s="298" t="str">
        <f>IFERROR('Inputs Yr 2'!K388*G390,"")</f>
        <v/>
      </c>
      <c r="K390" s="298" t="str">
        <f t="shared" ref="K390:K393" si="278">IFERROR(I390-J390,"")</f>
        <v/>
      </c>
      <c r="L390" s="194" t="str">
        <f>IFERROR(('Inputs Yr 2'!W388*G390)/1000,"")</f>
        <v/>
      </c>
      <c r="M390" s="194" t="str">
        <f>IFERROR(L390*('Inputs Yr 2'!$Q388*'Inputs Yr 2'!$V388*'Inputs Yr 2'!$R388),"")</f>
        <v/>
      </c>
      <c r="N390" s="194" t="str">
        <f t="shared" ref="N390:N393" si="279">IFERROR(M390*$H390,"")</f>
        <v/>
      </c>
      <c r="O390" s="194" t="str">
        <f>IFERROR(M390*'Inputs Yr 2'!P388,"")</f>
        <v/>
      </c>
      <c r="P390" s="194" t="str">
        <f t="shared" ref="P390:P393" si="280">IFERROR(O390*$H390,"")</f>
        <v/>
      </c>
      <c r="Q390" s="194" t="str">
        <f>IFERROR($P390*'Inputs Yr 2'!AA388,"")</f>
        <v/>
      </c>
      <c r="R390" s="194" t="str">
        <f>IFERROR($P390*'Inputs Yr 2'!AB388,"")</f>
        <v/>
      </c>
      <c r="S390" s="194" t="str">
        <f>IFERROR($P390*'Inputs Yr 2'!AC388,"")</f>
        <v/>
      </c>
      <c r="T390" s="194" t="str">
        <f>IFERROR($P390*'Inputs Yr 2'!AD388,"")</f>
        <v/>
      </c>
      <c r="U390" s="194" t="str">
        <f>IFERROR(G390*'Inputs Yr 2'!$AE388*'Inputs Yr 2'!$P388*'Inputs Yr 2'!$Q388,"")</f>
        <v/>
      </c>
      <c r="V390" s="194" t="str">
        <f>IFERROR($G390*'Inputs Yr 2'!$AE388*'Inputs Yr 2'!$AG388*'Inputs Yr 2'!Q388*'Inputs Yr 2'!$S388,"")</f>
        <v/>
      </c>
      <c r="W390" s="194" t="str">
        <f>IFERROR($G390*'Inputs Yr 2'!$AE388*'Inputs Yr 2'!$AG388*'Inputs Yr 2'!P388*'Inputs Yr 2'!Q388*'Inputs Yr 2'!$S388,"")</f>
        <v/>
      </c>
      <c r="X390" s="194" t="str">
        <f>IFERROR($G390*'Inputs Yr 2'!$AE388*'Inputs Yr 2'!$AF388*'Inputs Yr 2'!Q388*'Inputs Yr 2'!$T388,"")</f>
        <v/>
      </c>
      <c r="Y390" s="194" t="str">
        <f>IFERROR($G390*'Inputs Yr 2'!$AE388*'Inputs Yr 2'!$AF388*'Inputs Yr 2'!P388*'Inputs Yr 2'!Q388*'Inputs Yr 2'!$T388,"")</f>
        <v/>
      </c>
      <c r="Z390" s="257">
        <f>IFERROR($G390*'Inputs Yr 2'!$Q388*'Inputs Yr 2'!$U388*(IF(IFERROR(SEARCH("NG", 'Inputs Yr 2'!$AJ388),0),'Inputs Yr 2'!$AK388,0)+IF(IFERROR(SEARCH("NG", 'Inputs Yr 2'!$AL388),0),'Inputs Yr 2'!$AM388,0)+IF(IFERROR(SEARCH("NG", 'Inputs Yr 2'!$AN388),0),'Inputs Yr 2'!$AO388,0)),0)</f>
        <v>0</v>
      </c>
      <c r="AA390" s="257">
        <f t="shared" ref="AA390:AA393" si="281">IFERROR(Z390*$H390,0)</f>
        <v>0</v>
      </c>
      <c r="AB390" s="257">
        <f>IFERROR(Z390*'Inputs Yr 2'!$P388,0)</f>
        <v>0</v>
      </c>
      <c r="AC390" s="257">
        <f t="shared" ref="AC390:AC393" si="282">IFERROR(AB390*$H390,0)</f>
        <v>0</v>
      </c>
      <c r="AD390" s="257">
        <f>IFERROR($G390*'Inputs Yr 2'!$Q388*'Inputs Yr 2'!$U388*(IF(IFERROR(SEARCH("Oil", 'Inputs Yr 2'!$AJ388), 0),'Inputs Yr 2'!$AK388,0)+IF(IFERROR(SEARCH("Oil", 'Inputs Yr 2'!$AL388), 0),'Inputs Yr 2'!$AM388,0)+IF(IFERROR(SEARCH("Oil", 'Inputs Yr 2'!$AN388), 0),'Inputs Yr 2'!$AO388,0)),0)</f>
        <v>0</v>
      </c>
      <c r="AE390" s="257">
        <f t="shared" ref="AE390:AE393" si="283">IFERROR(AD390*$H390,0)</f>
        <v>0</v>
      </c>
      <c r="AF390" s="257">
        <f>IFERROR(AD390*'Inputs Yr 2'!$P388,0)</f>
        <v>0</v>
      </c>
      <c r="AG390" s="257">
        <f t="shared" ref="AG390:AG393" si="284">IFERROR(AF390*$H390,0)</f>
        <v>0</v>
      </c>
      <c r="AH390" s="257">
        <f>IFERROR($G390*'Inputs Yr 2'!$Q388*'Inputs Yr 2'!$U388*(IF('Inputs Yr 2'!$AJ388=CD$4,'Inputs Yr 2'!$AK388,IF('Inputs Yr 2'!$AL388=CD$4,'Inputs Yr 2'!$AM388,IF('Inputs Yr 2'!$AN388=CD$4,'Inputs Yr 2'!$AO388,0)))),0)</f>
        <v>0</v>
      </c>
      <c r="AI390" s="257">
        <f t="shared" ref="AI390:AI393" si="285">IFERROR(AH390*$H390,0)</f>
        <v>0</v>
      </c>
      <c r="AJ390" s="257">
        <f>IFERROR(AH390*'Inputs Yr 2'!$P388,0)</f>
        <v>0</v>
      </c>
      <c r="AK390" s="257">
        <f t="shared" ref="AK390:AK393" si="286">IFERROR(AJ390*$H390,0)</f>
        <v>0</v>
      </c>
      <c r="AL390" s="258">
        <f>IFERROR($G390*'Inputs Yr 2'!$P388*'Inputs Yr 2'!$Q388*'Inputs Yr 2'!AP388,0)</f>
        <v>0</v>
      </c>
      <c r="AM390" s="260">
        <f>IFERROR($G390*'Inputs Yr 2'!$P388*'Inputs Yr 2'!$Q388*'Inputs Yr 2'!AQ388,0)</f>
        <v>0</v>
      </c>
      <c r="AN390" s="258">
        <f>IFERROR($G390*'Inputs Yr 2'!$P388*'Inputs Yr 2'!$Q388*'Inputs Yr 2'!AR388,0)</f>
        <v>0</v>
      </c>
      <c r="AO390" s="257">
        <f t="shared" ref="AO390:AO393" si="287">IFERROR(SUM(AL390:AM390)*$H390,0)</f>
        <v>0</v>
      </c>
      <c r="AP390" s="195" t="str">
        <f>IFERROR($CQ390*(INDEX(avoidedcosttbl2,$H390,AP$2)+(($H390-ROUNDDOWN($H390,0))*(INDEX(avoidedcosttbl2,ROUNDUP($H390,0),AP$2)-(INDEX(avoidedcosttbl2,ROUNDDOWN($H390,0),AP$2)))))*$O390*1000*'Inputs Yr 2'!AA388,"")</f>
        <v/>
      </c>
      <c r="AQ390" s="195" t="str">
        <f>IFERROR($CR390*(INDEX(avoidedcosttbl2,$H390,AQ$2)+(($H390-ROUNDDOWN($H390,0))*(INDEX(avoidedcosttbl2,ROUNDUP($H390,0),AQ$2)-(INDEX(avoidedcosttbl2,ROUNDDOWN($H390,0),AQ$2)))))*$O390*1000*'Inputs Yr 2'!AB388,"")</f>
        <v/>
      </c>
      <c r="AR390" s="195" t="str">
        <f>IFERROR($CS390*(INDEX(avoidedcosttbl2,$H390,AR$2)+(($H390-ROUNDDOWN($H390,0))*(INDEX(avoidedcosttbl2,ROUNDUP($H390,0),AR$2)-(INDEX(avoidedcosttbl2,ROUNDDOWN($H390,0),AR$2)))))*$O390*1000*'Inputs Yr 2'!AC388,"")</f>
        <v/>
      </c>
      <c r="AS390" s="195" t="str">
        <f>IFERROR($CT390*(INDEX(avoidedcosttbl2,$H390,AS$2)+(($H390-ROUNDDOWN($H390,0))*(INDEX(avoidedcosttbl2,ROUNDUP($H390,0),AS$2)-(INDEX(avoidedcosttbl2,ROUNDDOWN($H390,0),AS$2)))))*$O390*1000*'Inputs Yr 2'!AD388,"")</f>
        <v/>
      </c>
      <c r="AT390" s="196">
        <f t="shared" ref="AT390:AT393" si="288">IFERROR(SUM(AP390:AS390),"")</f>
        <v>0</v>
      </c>
      <c r="AU390" s="197" t="str">
        <f>IFERROR($CQ390*((INDEX(avoidedcosttbl2,$H390,AU$2))+(($H390-ROUNDDOWN($H390,0))*((INDEX(avoidedcosttbl2,ROUNDUP($H390,0),AU$2))-(INDEX(avoidedcosttbl2,ROUNDDOWN($H390,0),AU$2)))))*$O390*1000*'Inputs Yr 2'!AA388,"")</f>
        <v/>
      </c>
      <c r="AV390" s="197" t="str">
        <f>IFERROR($CR390*((INDEX(avoidedcosttbl2,$H390,AV$2))+(($H390-ROUNDDOWN($H390,0))*((INDEX(avoidedcosttbl2,ROUNDUP($H390,0),AV$2))-(INDEX(avoidedcosttbl2,ROUNDDOWN($H390,0),AV$2)))))*$O390*1000*'Inputs Yr 2'!AB388,"")</f>
        <v/>
      </c>
      <c r="AW390" s="197" t="str">
        <f>IFERROR($CS390*((INDEX(avoidedcosttbl2,$H390,AW$2))+(($H390-ROUNDDOWN($H390,0))*((INDEX(avoidedcosttbl2,ROUNDUP($H390,0),AW$2))-(INDEX(avoidedcosttbl2,ROUNDDOWN($H390,0),AW$2)))))*$O390*1000*'Inputs Yr 2'!AC388,"")</f>
        <v/>
      </c>
      <c r="AX390" s="197" t="str">
        <f>IFERROR($CT390*((INDEX(avoidedcosttbl2,$H390,AX$2))+(($H390-ROUNDDOWN($H390,0))*((INDEX(avoidedcosttbl2,ROUNDUP($H390,0),AX$2))-(INDEX(avoidedcosttbl2,ROUNDDOWN($H390,0),AX$2)))))*$O390*1000*'Inputs Yr 2'!AD388,"")</f>
        <v/>
      </c>
      <c r="AY390" s="197" t="str">
        <f>IFERROR(((INDEX(avoidedcosttbl2,$H390,AY$2))+(($H390-ROUNDDOWN($H390,0))*((INDEX(avoidedcosttbl2,ROUNDUP($H390,0),AY$2))-(INDEX(avoidedcosttbl2,ROUNDDOWN($H390,0),AY$2)))))*$O390*1000*('Inputs Yr 2'!AC388+'Inputs Yr 2'!AD388),"")</f>
        <v/>
      </c>
      <c r="AZ390" s="197" t="str">
        <f>IFERROR(((INDEX(avoidedcosttbl2,$H390,AZ$2))+(($H390-ROUNDDOWN($H390,0))*((INDEX(avoidedcosttbl2,ROUNDUP($H390,0),AZ$2))-(INDEX(avoidedcosttbl2,ROUNDDOWN($H390,0),AZ$2)))))*$O390*1000*('Inputs Yr 2'!AA388+'Inputs Yr 2'!AB388),"")</f>
        <v/>
      </c>
      <c r="BA390" s="198">
        <f t="shared" ref="BA390:BA393" si="289">IFERROR(SUM(AU390:AZ390),"")</f>
        <v>0</v>
      </c>
      <c r="BB390" s="198">
        <f t="shared" ref="BB390:BB393" si="290">IFERROR(SUM(AT390,BA390),"")</f>
        <v>0</v>
      </c>
      <c r="BC390" s="195" t="str">
        <f t="shared" si="240"/>
        <v/>
      </c>
      <c r="BD390" s="195" t="str">
        <f t="shared" si="241"/>
        <v/>
      </c>
      <c r="BE390" s="195" t="str">
        <f t="shared" si="242"/>
        <v/>
      </c>
      <c r="BF390" s="195" t="str">
        <f t="shared" si="243"/>
        <v/>
      </c>
      <c r="BG390" s="195" t="str">
        <f t="shared" si="244"/>
        <v/>
      </c>
      <c r="BH390" s="196">
        <f t="shared" ref="BH390:BH393" si="291">IFERROR(SUM(BC390:BG390),"")</f>
        <v>0</v>
      </c>
      <c r="BI390" s="196">
        <f t="shared" ref="BI390:BI393" si="292">IFERROR(BB390+BH390,"")</f>
        <v>0</v>
      </c>
      <c r="BJ390" s="195" t="str">
        <f>IFERROR($G390*(IF('Inputs Yr 2'!$AJ388=BJ$4,'Inputs Yr 2'!$AK388,IF('Inputs Yr 2'!$AL388=BJ$4,'Inputs Yr 2'!$AM388,IF('Inputs Yr 2'!$AN388=BJ$4,'Inputs Yr 2'!$AO388,0))))*(INDEX(avoidedcosttbl2,$H390,BJ$2)+(($H390-ROUNDDOWN($H390,0))*(INDEX(avoidedcosttbl2,ROUNDUP($H390,0),BJ$2)-(INDEX(avoidedcosttbl2,ROUNDDOWN($H390,0),BJ$2)))))*'Inputs Yr 2'!P388*'Inputs Yr 2'!Q388*'Inputs Yr 2'!U388,"")</f>
        <v/>
      </c>
      <c r="BK390" s="195" t="str">
        <f>IFERROR($G390*(IF('Inputs Yr 2'!$AJ388=BK$4,'Inputs Yr 2'!$AK388,IF('Inputs Yr 2'!$AL388=BK$4,'Inputs Yr 2'!$AM388,IF('Inputs Yr 2'!$AN388=BK$4,'Inputs Yr 2'!$AO388,0))))*(INDEX(avoidedcosttbl2,$H390,BK$2)+(($H390-ROUNDDOWN($H390,0))*(INDEX(avoidedcosttbl2,ROUNDUP($H390,0),BK$2)-(INDEX(avoidedcosttbl2,ROUNDDOWN($H390,0),BK$2)))))*'Inputs Yr 2'!P388*'Inputs Yr 2'!Q388*'Inputs Yr 2'!U388,"")</f>
        <v/>
      </c>
      <c r="BL390" s="195" t="str">
        <f>IFERROR($G390*(IF('Inputs Yr 2'!$AJ388=BL$4,'Inputs Yr 2'!$AK388,IF('Inputs Yr 2'!$AL388=BL$4,'Inputs Yr 2'!$AM388,IF('Inputs Yr 2'!$AN388=BL$4,'Inputs Yr 2'!$AO388,0))))*(INDEX(avoidedcosttbl2,$H390,BL$2)+(($H390-ROUNDDOWN($H390,0))*(INDEX(avoidedcosttbl2,ROUNDUP($H390,0),BL$2)-(INDEX(avoidedcosttbl2,ROUNDDOWN($H390,0),BL$2)))))*'Inputs Yr 2'!P388*'Inputs Yr 2'!Q388*'Inputs Yr 2'!U388,"")</f>
        <v/>
      </c>
      <c r="BM390" s="195" t="str">
        <f>IFERROR($G390*(IF('Inputs Yr 2'!$AJ388=BM$4,'Inputs Yr 2'!$AK388,IF('Inputs Yr 2'!$AL388=BM$4,'Inputs Yr 2'!$AM388,IF('Inputs Yr 2'!$AN388=BM$4,'Inputs Yr 2'!$AO388,0))))*(INDEX(avoidedcosttbl2,$H390,BM$2)+(($H390-ROUNDDOWN($H390,0))*(INDEX(avoidedcosttbl2,ROUNDUP($H390,0),BM$2)-(INDEX(avoidedcosttbl2,ROUNDDOWN($H390,0),BM$2)))))*'Inputs Yr 2'!P388*'Inputs Yr 2'!Q388*'Inputs Yr 2'!U388,"")</f>
        <v/>
      </c>
      <c r="BN390" s="195" t="str">
        <f>IFERROR($G390*(IF('Inputs Yr 2'!$AJ388=BN$4,'Inputs Yr 2'!$AK388,IF('Inputs Yr 2'!$AL388=BN$4,'Inputs Yr 2'!$AM388,IF('Inputs Yr 2'!$AN388=BN$4,'Inputs Yr 2'!$AO388,0))))*(INDEX(avoidedcosttbl2,$H390,BN$2)+(($H390-ROUNDDOWN($H390,0))*(INDEX(avoidedcosttbl2,ROUNDUP($H390,0),BN$2)-(INDEX(avoidedcosttbl2,ROUNDDOWN($H390,0),BN$2)))))*'Inputs Yr 2'!P388*'Inputs Yr 2'!Q388*'Inputs Yr 2'!U388,"")</f>
        <v/>
      </c>
      <c r="BO390" s="195" t="str">
        <f>IFERROR($G390*(IF('Inputs Yr 2'!$AJ388=BO$4,'Inputs Yr 2'!$AK388,IF('Inputs Yr 2'!$AL388=BO$4,'Inputs Yr 2'!$AM388,IF('Inputs Yr 2'!$AN388=BO$4,'Inputs Yr 2'!$AO388,0))))*(INDEX(avoidedcosttbl2,$H390,BO$2)+(($H390-ROUNDDOWN($H390,0))*(INDEX(avoidedcosttbl2,ROUNDUP($H390,0),BO$2)-(INDEX(avoidedcosttbl2,ROUNDDOWN($H390,0),BO$2)))))*'Inputs Yr 2'!P388*'Inputs Yr 2'!Q388*'Inputs Yr 2'!U388,"")</f>
        <v/>
      </c>
      <c r="BP390" s="195" t="str">
        <f>IFERROR($G390*(IF('Inputs Yr 2'!$AJ388=BP$4,'Inputs Yr 2'!$AK388,IF('Inputs Yr 2'!$AL388=BP$4,'Inputs Yr 2'!$AM388,IF('Inputs Yr 2'!$AN388=BP$4,'Inputs Yr 2'!$AO388,0))))*(INDEX(avoidedcosttbl2,$H390,BP$2)+(($H390-ROUNDDOWN($H390,0))*(INDEX(avoidedcosttbl2,ROUNDUP($H390,0),BP$2)-(INDEX(avoidedcosttbl2,ROUNDDOWN($H390,0),BP$2)))))*'Inputs Yr 2'!P388*'Inputs Yr 2'!Q388*'Inputs Yr 2'!U388,"")</f>
        <v/>
      </c>
      <c r="BQ390" s="230">
        <f t="shared" ref="BQ390:BQ393" si="293">IFERROR(SUM(BJ390:BP390),"")</f>
        <v>0</v>
      </c>
      <c r="BR390" s="197" t="str">
        <f t="shared" si="248"/>
        <v/>
      </c>
      <c r="BS390" s="197" t="str">
        <f>IFERROR(($G390*IF('Inputs Yr 2'!$AJ388=BM$4,'Inputs Yr 2'!$AK388,IF('Inputs Yr 2'!$AL388=BM$4,'Inputs Yr 2'!$AM388,IF('Inputs Yr 2'!$AN388=BM$4,'Inputs Yr 2'!$AO388,0))))*(INDEX(avoidedcosttbl2,$H390,BS$2)+(($H390-ROUNDDOWN($H390,0))*(INDEX(avoidedcosttbl2,ROUNDUP($H390,0),BS$2)-(INDEX(avoidedcosttbl2,ROUNDDOWN($H390,0),BS$2)))))*'Inputs Yr 2'!P388*'Inputs Yr 2'!Q388*'Inputs Yr 2'!U388,"")</f>
        <v/>
      </c>
      <c r="BT390" s="197" t="str">
        <f>IFERROR(($G390*IF('Inputs Yr 2'!$AJ388=BK$4,'Inputs Yr 2'!$AK388,IF('Inputs Yr 2'!$AL388=BK$4,'Inputs Yr 2'!$AM388,IF('Inputs Yr 2'!$AN388=BK$4,'Inputs Yr 2'!$AO388,0))))*(INDEX(avoidedcosttbl2,$H390,BT$2)+(($H390-ROUNDDOWN($H390,0))*(INDEX(avoidedcosttbl2,ROUNDUP($H390,0),BT$2)-(INDEX(avoidedcosttbl2,ROUNDDOWN($H390,0),BT$2)))))*'Inputs Yr 2'!P388*'Inputs Yr 2'!Q388*'Inputs Yr 2'!U388,"")</f>
        <v/>
      </c>
      <c r="BU390" s="197" t="str">
        <f>IFERROR(($G390*IF('Inputs Yr 2'!$AJ388=BL$4,'Inputs Yr 2'!$AK388,IF('Inputs Yr 2'!$AL388=BL$4,'Inputs Yr 2'!$AM388,IF('Inputs Yr 2'!$AN388=BL$4,'Inputs Yr 2'!$AO388,0))))*(INDEX(avoidedcosttbl2,$H390,BU$2)+(($H390-ROUNDDOWN($H390,0))*(INDEX(avoidedcosttbl2,ROUNDUP($H390,0),BU$2)-(INDEX(avoidedcosttbl2,ROUNDDOWN($H390,0),BU$2)))))*'Inputs Yr 2'!P388*'Inputs Yr 2'!Q388*'Inputs Yr 2'!U388,"")</f>
        <v/>
      </c>
      <c r="BV390" s="775" t="str">
        <f>IFERROR(($G390*IF('Inputs Yr 2'!$AJ388=BJ$4,'Inputs Yr 2'!$AK388,IF('Inputs Yr 2'!$AL388=BJ$4,'Inputs Yr 2'!$AM388,IF('Inputs Yr 2'!$AN388=BJ$4,'Inputs Yr 2'!$AO388,0))))*(INDEX(avoidedcosttbl2,$H390,BV$2)+(($H390-ROUNDDOWN($H390,0))*(INDEX(avoidedcosttbl2,ROUNDUP($H390,0),BV$2)-(INDEX(avoidedcosttbl2,ROUNDDOWN($H390,0),BV$2)))))*'Inputs Yr 2'!P388*'Inputs Yr 2'!Q388*'Inputs Yr 2'!U388,"")</f>
        <v/>
      </c>
      <c r="BW390" s="197" t="str">
        <f>IFERROR(($G390*IF('Inputs Yr 2'!$AJ388=BN$4,'Inputs Yr 2'!$AK388,IF('Inputs Yr 2'!$AL388=BN$4,'Inputs Yr 2'!$AM388,IF('Inputs Yr 2'!$AN388=BN$4,'Inputs Yr 2'!$AO388,0))))*(INDEX(avoidedcosttbl2,$H390,BW$2)+(($H390-ROUNDDOWN($H390,0))*(INDEX(avoidedcosttbl2,ROUNDUP($H390,0),BW$2)-(INDEX(avoidedcosttbl2,ROUNDDOWN($H390,0),BW$2)))))*'Inputs Yr 2'!P388*'Inputs Yr 2'!Q388*'Inputs Yr 2'!U388,"")</f>
        <v/>
      </c>
      <c r="BX390" s="197" t="str">
        <f>IFERROR(($G390*IF('Inputs Yr 2'!$AJ388=BO$4,'Inputs Yr 2'!$AK388,IF('Inputs Yr 2'!$AL388=BO$4,'Inputs Yr 2'!$AM388,IF('Inputs Yr 2'!$AN388=BO$4,'Inputs Yr 2'!$AO388,0))))*(INDEX(avoidedcosttbl2,$H390,BX$2)+(($H390-ROUNDDOWN($H390,0))*(INDEX(avoidedcosttbl2,ROUNDUP($H390,0),BX$2)-(INDEX(avoidedcosttbl2,ROUNDDOWN($H390,0),BX$2)))))*'Inputs Yr 2'!P388*'Inputs Yr 2'!Q388*'Inputs Yr 2'!U388,"")</f>
        <v/>
      </c>
      <c r="BY390" s="197" t="str">
        <f>IFERROR(($G390*IF('Inputs Yr 2'!$AJ388=BP$4,'Inputs Yr 2'!$AK388,IF('Inputs Yr 2'!$AL388=BP$4,'Inputs Yr 2'!$AM388,IF('Inputs Yr 2'!$AN388=BP$4,'Inputs Yr 2'!$AO388,0))))*(INDEX(avoidedcosttbl2,$H390,BY$2)+(($H390-ROUNDDOWN($H390,0))*(INDEX(avoidedcosttbl2,ROUNDUP($H390,0),BY$2)-(INDEX(avoidedcosttbl2,ROUNDDOWN($H390,0),BY$2)))))*'Inputs Yr 2'!P388*'Inputs Yr 2'!Q388*'Inputs Yr 2'!U388,"")</f>
        <v/>
      </c>
      <c r="BZ390" s="193">
        <f t="shared" ref="BZ390:BZ393" si="294">IFERROR(SUM(BR390:BY390),"")</f>
        <v>0</v>
      </c>
      <c r="CA390" s="193">
        <f t="shared" ref="CA390:CA393" si="295">IFERROR(BQ390+BZ390,"")</f>
        <v>0</v>
      </c>
      <c r="CB390" s="195" t="str">
        <f>IFERROR(G390*(IF('Inputs Yr 2'!$AJ388=CB$4,'Inputs Yr 2'!$AK388,IF('Inputs Yr 2'!$AL388=CB$4,'Inputs Yr 2'!$AM388,IF('Inputs Yr 2'!$AN388=CB$4,'Inputs Yr 2'!$AO388,0))))*(INDEX(avoidedcosttbl2,$H390,CB$2)+(($H390-ROUNDDOWN($H390,0))*(INDEX(avoidedcosttbl2,ROUNDUP($H390,0),CB$2)-(INDEX(avoidedcosttbl2,ROUNDDOWN($H390,0),CB$2)))))*'Inputs Yr 2'!P388*'Inputs Yr 2'!Q388*'Inputs Yr 2'!U388,"")</f>
        <v/>
      </c>
      <c r="CC390" s="195" t="str">
        <f>IFERROR(H390*(IF('Inputs Yr 2'!$AJ388=CC$4,'Inputs Yr 2'!$AK388,IF('Inputs Yr 2'!$AL388=CC$4,'Inputs Yr 2'!$AM388,IF('Inputs Yr 2'!$AN388=CC$4,'Inputs Yr 2'!$AO388,0))))*(INDEX(avoidedcosttbl2,$H390,CC$2)+(($H390-ROUNDDOWN($H390,0))*(INDEX(avoidedcosttbl2,ROUNDUP($H390,0),CC$2)-(INDEX(avoidedcosttbl2,ROUNDDOWN($H390,0),CC$2)))))*'Inputs Yr 2'!Q388*'Inputs Yr 2'!R388*'Inputs Yr 2'!V388,"")</f>
        <v/>
      </c>
      <c r="CD390" s="195" t="str">
        <f>IFERROR(I390*(IF('Inputs Yr 2'!$AJ388=CD$4,'Inputs Yr 2'!$AK388,IF('Inputs Yr 2'!$AL388=CD$4,'Inputs Yr 2'!$AM388,IF('Inputs Yr 2'!$AN388=CD$4,'Inputs Yr 2'!$AO388,0))))*(INDEX(avoidedcosttbl2,$H390,CD$2)+(($H390-ROUNDDOWN($H390,0))*(INDEX(avoidedcosttbl2,ROUNDUP($H390,0),CD$2)-(INDEX(avoidedcosttbl2,ROUNDDOWN($H390,0),CD$2)))))*'Inputs Yr 2'!R388*'Inputs Yr 2'!S388*'Inputs Yr 2'!W388,"")</f>
        <v/>
      </c>
      <c r="CE390" s="213" t="str">
        <f t="shared" si="251"/>
        <v/>
      </c>
      <c r="CF390" s="213" t="str">
        <f t="shared" si="252"/>
        <v/>
      </c>
      <c r="CG390" s="213" t="str">
        <f t="shared" si="253"/>
        <v/>
      </c>
      <c r="CH390" s="698">
        <f t="shared" ref="CH390:CH393" si="296">IFERROR(SUM(CA390:CG390),"")</f>
        <v>0</v>
      </c>
      <c r="CI390" s="79" t="str">
        <f>IFERROR(($G390*'Inputs Yr 2'!$P388*'Inputs Yr 2'!$Q388*(((INDEX(avoidedcosttbl2,$H390,CI$2)+(($H390-ROUNDDOWN($H390,0))*(INDEX(avoidedcosttbl2,ROUNDUP($H390,0),CI$2)-INDEX(avoidedcosttbl2,ROUNDDOWN($H390,0),CI$2))))*'Inputs Yr 2'!AS388))),"")</f>
        <v/>
      </c>
      <c r="CJ390" s="504" t="str">
        <f>IFERROR($G390*'Inputs Yr 2'!AT388*'Inputs Yr 2'!$P388*'Inputs Yr 2'!$Q388/((1+realdiscrt1)^-0.5),"")</f>
        <v/>
      </c>
      <c r="CK390" s="79" t="str">
        <f>IFERROR((O390*1000*(((INDEX(avoidedcosttbl2,$H390,CK$2)+(($H390-ROUNDDOWN($H390,0))*(INDEX(avoidedcosttbl2,ROUNDUP($H390,0),CK$2)-INDEX(avoidedcosttbl2,ROUNDDOWN($H390,0),CK$2))))*'Inputs Yr 2'!AU388))),"")</f>
        <v/>
      </c>
      <c r="CL390" s="504" t="str">
        <f>IFERROR(O390*1000*'Inputs Yr 2'!AV388/((1+realdiscrt1)^-0.5),"")</f>
        <v/>
      </c>
      <c r="CM390" s="79" t="str">
        <f>IFERROR((AB390*'Inputs Yr 2'!AW388*(((INDEX(avoidedcosttbl2,$H390,CM$2)+(($H390-ROUNDDOWN($H390,0))*(INDEX(avoidedcosttbl2,ROUNDUP($H390,0),CM$2)-INDEX(avoidedcosttbl2,ROUNDDOWN($H390,0),CM$2)))))))*10,"")</f>
        <v/>
      </c>
      <c r="CN390" s="504">
        <f>IFERROR(10*AB390*'Inputs Yr 2'!AX388/((1+realdiscrt1)^-0.5),"")</f>
        <v>0</v>
      </c>
      <c r="CO390" s="505">
        <f t="shared" ref="CO390:CO393" si="297">SUM(CI390:CN390)</f>
        <v>0</v>
      </c>
      <c r="CP390" s="230">
        <f t="shared" ref="CP390:CP393" si="298">IFERROR(CO390+CH390+BI390,"")</f>
        <v>0</v>
      </c>
      <c r="CQ390" s="199">
        <f>ROUND(IFERROR(IF(LEFT($A390,1)="C",'Avoided Costs'!$K$13,'Avoided Costs'!$K$12)+1,""),4)</f>
        <v>1.0720000000000001</v>
      </c>
      <c r="CR390" s="199">
        <f>ROUND(IFERROR(IF(LEFT($A390,1)="C",'Avoided Costs'!$L$13,'Avoided Costs'!$L$12)+1,""),4)</f>
        <v>1.04</v>
      </c>
      <c r="CS390" s="199">
        <f>ROUND(IFERROR(IF(LEFT($A390,1)="C",'Avoided Costs'!$M$13,'Avoided Costs'!$M$12)+1,""),4)</f>
        <v>1.0720000000000001</v>
      </c>
      <c r="CT390" s="199">
        <f>ROUND(IFERROR(IF(LEFT($A390,1)="C",'Avoided Costs'!$N$13,'Avoided Costs'!$N$12)+1,""),4)</f>
        <v>1.04</v>
      </c>
      <c r="CU390" s="199">
        <f>ROUND(IFERROR(IF(LEFT($A390,1)="C",'Avoided Costs'!$O$13,'Avoided Costs'!$O$12)+1,""),4)</f>
        <v>1.1120000000000001</v>
      </c>
      <c r="CV390" s="199">
        <f>ROUND(IFERROR(IF(LEFT($A390,1)="C",'Avoided Costs'!$P$13,'Avoided Costs'!$P$12)+1,""),4)</f>
        <v>1.095</v>
      </c>
      <c r="CW390" s="199">
        <f>ROUND(IFERROR(IF(LEFT($A390,1)="C",'Avoided Costs'!$Q$13,'Avoided Costs'!$Q$12)+1,""),4)</f>
        <v>1.1120000000000001</v>
      </c>
      <c r="CX390" s="200">
        <f>ROUND(IFERROR(IF(LEFT($A390,1)="C",'Avoided Costs'!$R$13,'Avoided Costs'!$R$12)+1,""),4)</f>
        <v>1.1120000000000001</v>
      </c>
    </row>
    <row r="391" spans="1:102" ht="12.75" customHeight="1">
      <c r="A391" s="91" t="str">
        <f>IF('Inputs Yr 2'!$B389=0,"",'Inputs Yr 2'!A389)</f>
        <v/>
      </c>
      <c r="B391" s="91" t="str">
        <f>IF('Inputs Yr 2'!$B389=0,"",'Inputs Yr 2'!B389)</f>
        <v/>
      </c>
      <c r="C391" s="91" t="str">
        <f>IF('Inputs Yr 2'!$B389=0,"",'Inputs Yr 2'!C389)</f>
        <v/>
      </c>
      <c r="D391" s="91" t="str">
        <f>IF('Inputs Yr 2'!$B389=0,"",'Inputs Yr 2'!E389)</f>
        <v/>
      </c>
      <c r="E391" s="93" t="str">
        <f>IF('Inputs Yr 2'!$B389=0,"",'Inputs Yr 2'!F389)</f>
        <v/>
      </c>
      <c r="F391" s="93" t="str">
        <f>IF('Inputs Yr 2'!$B389=0,"",'Inputs Yr 2'!G389)</f>
        <v/>
      </c>
      <c r="G391" s="95" t="str">
        <f>IF('Inputs Yr 2'!$H389&lt;&gt;0,('Inputs Yr 2'!H389),"")</f>
        <v/>
      </c>
      <c r="H391" s="94">
        <f>IFERROR('Inputs Yr 2'!I389,"")</f>
        <v>0</v>
      </c>
      <c r="I391" s="298" t="str">
        <f>IFERROR('Inputs Yr 2'!J389*'Inputs Yr 2'!P389*G391,"")</f>
        <v/>
      </c>
      <c r="J391" s="298" t="str">
        <f>IFERROR('Inputs Yr 2'!K389*G391,"")</f>
        <v/>
      </c>
      <c r="K391" s="298" t="str">
        <f t="shared" si="278"/>
        <v/>
      </c>
      <c r="L391" s="194" t="str">
        <f>IFERROR(('Inputs Yr 2'!W389*G391)/1000,"")</f>
        <v/>
      </c>
      <c r="M391" s="194" t="str">
        <f>IFERROR(L391*('Inputs Yr 2'!$Q389*'Inputs Yr 2'!$V389*'Inputs Yr 2'!$R389),"")</f>
        <v/>
      </c>
      <c r="N391" s="194" t="str">
        <f t="shared" si="279"/>
        <v/>
      </c>
      <c r="O391" s="194" t="str">
        <f>IFERROR(M391*'Inputs Yr 2'!P389,"")</f>
        <v/>
      </c>
      <c r="P391" s="194" t="str">
        <f t="shared" si="280"/>
        <v/>
      </c>
      <c r="Q391" s="194" t="str">
        <f>IFERROR($P391*'Inputs Yr 2'!AA389,"")</f>
        <v/>
      </c>
      <c r="R391" s="194" t="str">
        <f>IFERROR($P391*'Inputs Yr 2'!AB389,"")</f>
        <v/>
      </c>
      <c r="S391" s="194" t="str">
        <f>IFERROR($P391*'Inputs Yr 2'!AC389,"")</f>
        <v/>
      </c>
      <c r="T391" s="194" t="str">
        <f>IFERROR($P391*'Inputs Yr 2'!AD389,"")</f>
        <v/>
      </c>
      <c r="U391" s="194" t="str">
        <f>IFERROR(G391*'Inputs Yr 2'!$AE389*'Inputs Yr 2'!$P389*'Inputs Yr 2'!$Q389,"")</f>
        <v/>
      </c>
      <c r="V391" s="194" t="str">
        <f>IFERROR($G391*'Inputs Yr 2'!$AE389*'Inputs Yr 2'!$AG389*'Inputs Yr 2'!Q389*'Inputs Yr 2'!$S389,"")</f>
        <v/>
      </c>
      <c r="W391" s="194" t="str">
        <f>IFERROR($G391*'Inputs Yr 2'!$AE389*'Inputs Yr 2'!$AG389*'Inputs Yr 2'!P389*'Inputs Yr 2'!Q389*'Inputs Yr 2'!$S389,"")</f>
        <v/>
      </c>
      <c r="X391" s="194" t="str">
        <f>IFERROR($G391*'Inputs Yr 2'!$AE389*'Inputs Yr 2'!$AF389*'Inputs Yr 2'!Q389*'Inputs Yr 2'!$T389,"")</f>
        <v/>
      </c>
      <c r="Y391" s="194" t="str">
        <f>IFERROR($G391*'Inputs Yr 2'!$AE389*'Inputs Yr 2'!$AF389*'Inputs Yr 2'!P389*'Inputs Yr 2'!Q389*'Inputs Yr 2'!$T389,"")</f>
        <v/>
      </c>
      <c r="Z391" s="257">
        <f>IFERROR($G391*'Inputs Yr 2'!$Q389*'Inputs Yr 2'!$U389*(IF(IFERROR(SEARCH("NG", 'Inputs Yr 2'!$AJ389),0),'Inputs Yr 2'!$AK389,0)+IF(IFERROR(SEARCH("NG", 'Inputs Yr 2'!$AL389),0),'Inputs Yr 2'!$AM389,0)+IF(IFERROR(SEARCH("NG", 'Inputs Yr 2'!$AN389),0),'Inputs Yr 2'!$AO389,0)),0)</f>
        <v>0</v>
      </c>
      <c r="AA391" s="257">
        <f t="shared" si="281"/>
        <v>0</v>
      </c>
      <c r="AB391" s="257">
        <f>IFERROR(Z391*'Inputs Yr 2'!$P389,0)</f>
        <v>0</v>
      </c>
      <c r="AC391" s="257">
        <f t="shared" si="282"/>
        <v>0</v>
      </c>
      <c r="AD391" s="257">
        <f>IFERROR($G391*'Inputs Yr 2'!$Q389*'Inputs Yr 2'!$U389*(IF(IFERROR(SEARCH("Oil", 'Inputs Yr 2'!$AJ389), 0),'Inputs Yr 2'!$AK389,0)+IF(IFERROR(SEARCH("Oil", 'Inputs Yr 2'!$AL389), 0),'Inputs Yr 2'!$AM389,0)+IF(IFERROR(SEARCH("Oil", 'Inputs Yr 2'!$AN389), 0),'Inputs Yr 2'!$AO389,0)),0)</f>
        <v>0</v>
      </c>
      <c r="AE391" s="257">
        <f t="shared" si="283"/>
        <v>0</v>
      </c>
      <c r="AF391" s="257">
        <f>IFERROR(AD391*'Inputs Yr 2'!$P389,0)</f>
        <v>0</v>
      </c>
      <c r="AG391" s="257">
        <f t="shared" si="284"/>
        <v>0</v>
      </c>
      <c r="AH391" s="257">
        <f>IFERROR($G391*'Inputs Yr 2'!$Q389*'Inputs Yr 2'!$U389*(IF('Inputs Yr 2'!$AJ389=CD$4,'Inputs Yr 2'!$AK389,IF('Inputs Yr 2'!$AL389=CD$4,'Inputs Yr 2'!$AM389,IF('Inputs Yr 2'!$AN389=CD$4,'Inputs Yr 2'!$AO389,0)))),0)</f>
        <v>0</v>
      </c>
      <c r="AI391" s="257">
        <f t="shared" si="285"/>
        <v>0</v>
      </c>
      <c r="AJ391" s="257">
        <f>IFERROR(AH391*'Inputs Yr 2'!$P389,0)</f>
        <v>0</v>
      </c>
      <c r="AK391" s="257">
        <f t="shared" si="286"/>
        <v>0</v>
      </c>
      <c r="AL391" s="258">
        <f>IFERROR($G391*'Inputs Yr 2'!$P389*'Inputs Yr 2'!$Q389*'Inputs Yr 2'!AP389,0)</f>
        <v>0</v>
      </c>
      <c r="AM391" s="260">
        <f>IFERROR($G391*'Inputs Yr 2'!$P389*'Inputs Yr 2'!$Q389*'Inputs Yr 2'!AQ389,0)</f>
        <v>0</v>
      </c>
      <c r="AN391" s="258">
        <f>IFERROR($G391*'Inputs Yr 2'!$P389*'Inputs Yr 2'!$Q389*'Inputs Yr 2'!AR389,0)</f>
        <v>0</v>
      </c>
      <c r="AO391" s="257">
        <f t="shared" si="287"/>
        <v>0</v>
      </c>
      <c r="AP391" s="195" t="str">
        <f>IFERROR($CQ391*(INDEX(avoidedcosttbl2,$H391,AP$2)+(($H391-ROUNDDOWN($H391,0))*(INDEX(avoidedcosttbl2,ROUNDUP($H391,0),AP$2)-(INDEX(avoidedcosttbl2,ROUNDDOWN($H391,0),AP$2)))))*$O391*1000*'Inputs Yr 2'!AA389,"")</f>
        <v/>
      </c>
      <c r="AQ391" s="195" t="str">
        <f>IFERROR($CR391*(INDEX(avoidedcosttbl2,$H391,AQ$2)+(($H391-ROUNDDOWN($H391,0))*(INDEX(avoidedcosttbl2,ROUNDUP($H391,0),AQ$2)-(INDEX(avoidedcosttbl2,ROUNDDOWN($H391,0),AQ$2)))))*$O391*1000*'Inputs Yr 2'!AB389,"")</f>
        <v/>
      </c>
      <c r="AR391" s="195" t="str">
        <f>IFERROR($CS391*(INDEX(avoidedcosttbl2,$H391,AR$2)+(($H391-ROUNDDOWN($H391,0))*(INDEX(avoidedcosttbl2,ROUNDUP($H391,0),AR$2)-(INDEX(avoidedcosttbl2,ROUNDDOWN($H391,0),AR$2)))))*$O391*1000*'Inputs Yr 2'!AC389,"")</f>
        <v/>
      </c>
      <c r="AS391" s="195" t="str">
        <f>IFERROR($CT391*(INDEX(avoidedcosttbl2,$H391,AS$2)+(($H391-ROUNDDOWN($H391,0))*(INDEX(avoidedcosttbl2,ROUNDUP($H391,0),AS$2)-(INDEX(avoidedcosttbl2,ROUNDDOWN($H391,0),AS$2)))))*$O391*1000*'Inputs Yr 2'!AD389,"")</f>
        <v/>
      </c>
      <c r="AT391" s="196">
        <f t="shared" si="288"/>
        <v>0</v>
      </c>
      <c r="AU391" s="197" t="str">
        <f>IFERROR($CQ391*((INDEX(avoidedcosttbl2,$H391,AU$2))+(($H391-ROUNDDOWN($H391,0))*((INDEX(avoidedcosttbl2,ROUNDUP($H391,0),AU$2))-(INDEX(avoidedcosttbl2,ROUNDDOWN($H391,0),AU$2)))))*$O391*1000*'Inputs Yr 2'!AA389,"")</f>
        <v/>
      </c>
      <c r="AV391" s="197" t="str">
        <f>IFERROR($CR391*((INDEX(avoidedcosttbl2,$H391,AV$2))+(($H391-ROUNDDOWN($H391,0))*((INDEX(avoidedcosttbl2,ROUNDUP($H391,0),AV$2))-(INDEX(avoidedcosttbl2,ROUNDDOWN($H391,0),AV$2)))))*$O391*1000*'Inputs Yr 2'!AB389,"")</f>
        <v/>
      </c>
      <c r="AW391" s="197" t="str">
        <f>IFERROR($CS391*((INDEX(avoidedcosttbl2,$H391,AW$2))+(($H391-ROUNDDOWN($H391,0))*((INDEX(avoidedcosttbl2,ROUNDUP($H391,0),AW$2))-(INDEX(avoidedcosttbl2,ROUNDDOWN($H391,0),AW$2)))))*$O391*1000*'Inputs Yr 2'!AC389,"")</f>
        <v/>
      </c>
      <c r="AX391" s="197" t="str">
        <f>IFERROR($CT391*((INDEX(avoidedcosttbl2,$H391,AX$2))+(($H391-ROUNDDOWN($H391,0))*((INDEX(avoidedcosttbl2,ROUNDUP($H391,0),AX$2))-(INDEX(avoidedcosttbl2,ROUNDDOWN($H391,0),AX$2)))))*$O391*1000*'Inputs Yr 2'!AD389,"")</f>
        <v/>
      </c>
      <c r="AY391" s="197" t="str">
        <f>IFERROR(((INDEX(avoidedcosttbl2,$H391,AY$2))+(($H391-ROUNDDOWN($H391,0))*((INDEX(avoidedcosttbl2,ROUNDUP($H391,0),AY$2))-(INDEX(avoidedcosttbl2,ROUNDDOWN($H391,0),AY$2)))))*$O391*1000*('Inputs Yr 2'!AC389+'Inputs Yr 2'!AD389),"")</f>
        <v/>
      </c>
      <c r="AZ391" s="197" t="str">
        <f>IFERROR(((INDEX(avoidedcosttbl2,$H391,AZ$2))+(($H391-ROUNDDOWN($H391,0))*((INDEX(avoidedcosttbl2,ROUNDUP($H391,0),AZ$2))-(INDEX(avoidedcosttbl2,ROUNDDOWN($H391,0),AZ$2)))))*$O391*1000*('Inputs Yr 2'!AA389+'Inputs Yr 2'!AB389),"")</f>
        <v/>
      </c>
      <c r="BA391" s="198">
        <f t="shared" si="289"/>
        <v>0</v>
      </c>
      <c r="BB391" s="198">
        <f t="shared" si="290"/>
        <v>0</v>
      </c>
      <c r="BC391" s="195" t="str">
        <f t="shared" si="240"/>
        <v/>
      </c>
      <c r="BD391" s="195" t="str">
        <f t="shared" si="241"/>
        <v/>
      </c>
      <c r="BE391" s="195" t="str">
        <f t="shared" si="242"/>
        <v/>
      </c>
      <c r="BF391" s="195" t="str">
        <f t="shared" si="243"/>
        <v/>
      </c>
      <c r="BG391" s="195" t="str">
        <f t="shared" si="244"/>
        <v/>
      </c>
      <c r="BH391" s="196">
        <f t="shared" si="291"/>
        <v>0</v>
      </c>
      <c r="BI391" s="196">
        <f t="shared" si="292"/>
        <v>0</v>
      </c>
      <c r="BJ391" s="195" t="str">
        <f>IFERROR($G391*(IF('Inputs Yr 2'!$AJ389=BJ$4,'Inputs Yr 2'!$AK389,IF('Inputs Yr 2'!$AL389=BJ$4,'Inputs Yr 2'!$AM389,IF('Inputs Yr 2'!$AN389=BJ$4,'Inputs Yr 2'!$AO389,0))))*(INDEX(avoidedcosttbl2,$H391,BJ$2)+(($H391-ROUNDDOWN($H391,0))*(INDEX(avoidedcosttbl2,ROUNDUP($H391,0),BJ$2)-(INDEX(avoidedcosttbl2,ROUNDDOWN($H391,0),BJ$2)))))*'Inputs Yr 2'!P389*'Inputs Yr 2'!Q389*'Inputs Yr 2'!U389,"")</f>
        <v/>
      </c>
      <c r="BK391" s="195" t="str">
        <f>IFERROR($G391*(IF('Inputs Yr 2'!$AJ389=BK$4,'Inputs Yr 2'!$AK389,IF('Inputs Yr 2'!$AL389=BK$4,'Inputs Yr 2'!$AM389,IF('Inputs Yr 2'!$AN389=BK$4,'Inputs Yr 2'!$AO389,0))))*(INDEX(avoidedcosttbl2,$H391,BK$2)+(($H391-ROUNDDOWN($H391,0))*(INDEX(avoidedcosttbl2,ROUNDUP($H391,0),BK$2)-(INDEX(avoidedcosttbl2,ROUNDDOWN($H391,0),BK$2)))))*'Inputs Yr 2'!P389*'Inputs Yr 2'!Q389*'Inputs Yr 2'!U389,"")</f>
        <v/>
      </c>
      <c r="BL391" s="195" t="str">
        <f>IFERROR($G391*(IF('Inputs Yr 2'!$AJ389=BL$4,'Inputs Yr 2'!$AK389,IF('Inputs Yr 2'!$AL389=BL$4,'Inputs Yr 2'!$AM389,IF('Inputs Yr 2'!$AN389=BL$4,'Inputs Yr 2'!$AO389,0))))*(INDEX(avoidedcosttbl2,$H391,BL$2)+(($H391-ROUNDDOWN($H391,0))*(INDEX(avoidedcosttbl2,ROUNDUP($H391,0),BL$2)-(INDEX(avoidedcosttbl2,ROUNDDOWN($H391,0),BL$2)))))*'Inputs Yr 2'!P389*'Inputs Yr 2'!Q389*'Inputs Yr 2'!U389,"")</f>
        <v/>
      </c>
      <c r="BM391" s="195" t="str">
        <f>IFERROR($G391*(IF('Inputs Yr 2'!$AJ389=BM$4,'Inputs Yr 2'!$AK389,IF('Inputs Yr 2'!$AL389=BM$4,'Inputs Yr 2'!$AM389,IF('Inputs Yr 2'!$AN389=BM$4,'Inputs Yr 2'!$AO389,0))))*(INDEX(avoidedcosttbl2,$H391,BM$2)+(($H391-ROUNDDOWN($H391,0))*(INDEX(avoidedcosttbl2,ROUNDUP($H391,0),BM$2)-(INDEX(avoidedcosttbl2,ROUNDDOWN($H391,0),BM$2)))))*'Inputs Yr 2'!P389*'Inputs Yr 2'!Q389*'Inputs Yr 2'!U389,"")</f>
        <v/>
      </c>
      <c r="BN391" s="195" t="str">
        <f>IFERROR($G391*(IF('Inputs Yr 2'!$AJ389=BN$4,'Inputs Yr 2'!$AK389,IF('Inputs Yr 2'!$AL389=BN$4,'Inputs Yr 2'!$AM389,IF('Inputs Yr 2'!$AN389=BN$4,'Inputs Yr 2'!$AO389,0))))*(INDEX(avoidedcosttbl2,$H391,BN$2)+(($H391-ROUNDDOWN($H391,0))*(INDEX(avoidedcosttbl2,ROUNDUP($H391,0),BN$2)-(INDEX(avoidedcosttbl2,ROUNDDOWN($H391,0),BN$2)))))*'Inputs Yr 2'!P389*'Inputs Yr 2'!Q389*'Inputs Yr 2'!U389,"")</f>
        <v/>
      </c>
      <c r="BO391" s="195" t="str">
        <f>IFERROR($G391*(IF('Inputs Yr 2'!$AJ389=BO$4,'Inputs Yr 2'!$AK389,IF('Inputs Yr 2'!$AL389=BO$4,'Inputs Yr 2'!$AM389,IF('Inputs Yr 2'!$AN389=BO$4,'Inputs Yr 2'!$AO389,0))))*(INDEX(avoidedcosttbl2,$H391,BO$2)+(($H391-ROUNDDOWN($H391,0))*(INDEX(avoidedcosttbl2,ROUNDUP($H391,0),BO$2)-(INDEX(avoidedcosttbl2,ROUNDDOWN($H391,0),BO$2)))))*'Inputs Yr 2'!P389*'Inputs Yr 2'!Q389*'Inputs Yr 2'!U389,"")</f>
        <v/>
      </c>
      <c r="BP391" s="195" t="str">
        <f>IFERROR($G391*(IF('Inputs Yr 2'!$AJ389=BP$4,'Inputs Yr 2'!$AK389,IF('Inputs Yr 2'!$AL389=BP$4,'Inputs Yr 2'!$AM389,IF('Inputs Yr 2'!$AN389=BP$4,'Inputs Yr 2'!$AO389,0))))*(INDEX(avoidedcosttbl2,$H391,BP$2)+(($H391-ROUNDDOWN($H391,0))*(INDEX(avoidedcosttbl2,ROUNDUP($H391,0),BP$2)-(INDEX(avoidedcosttbl2,ROUNDDOWN($H391,0),BP$2)))))*'Inputs Yr 2'!P389*'Inputs Yr 2'!Q389*'Inputs Yr 2'!U389,"")</f>
        <v/>
      </c>
      <c r="BQ391" s="230">
        <f t="shared" si="293"/>
        <v>0</v>
      </c>
      <c r="BR391" s="197" t="str">
        <f t="shared" si="248"/>
        <v/>
      </c>
      <c r="BS391" s="197" t="str">
        <f>IFERROR(($G391*IF('Inputs Yr 2'!$AJ389=BM$4,'Inputs Yr 2'!$AK389,IF('Inputs Yr 2'!$AL389=BM$4,'Inputs Yr 2'!$AM389,IF('Inputs Yr 2'!$AN389=BM$4,'Inputs Yr 2'!$AO389,0))))*(INDEX(avoidedcosttbl2,$H391,BS$2)+(($H391-ROUNDDOWN($H391,0))*(INDEX(avoidedcosttbl2,ROUNDUP($H391,0),BS$2)-(INDEX(avoidedcosttbl2,ROUNDDOWN($H391,0),BS$2)))))*'Inputs Yr 2'!P389*'Inputs Yr 2'!Q389*'Inputs Yr 2'!U389,"")</f>
        <v/>
      </c>
      <c r="BT391" s="197" t="str">
        <f>IFERROR(($G391*IF('Inputs Yr 2'!$AJ389=BK$4,'Inputs Yr 2'!$AK389,IF('Inputs Yr 2'!$AL389=BK$4,'Inputs Yr 2'!$AM389,IF('Inputs Yr 2'!$AN389=BK$4,'Inputs Yr 2'!$AO389,0))))*(INDEX(avoidedcosttbl2,$H391,BT$2)+(($H391-ROUNDDOWN($H391,0))*(INDEX(avoidedcosttbl2,ROUNDUP($H391,0),BT$2)-(INDEX(avoidedcosttbl2,ROUNDDOWN($H391,0),BT$2)))))*'Inputs Yr 2'!P389*'Inputs Yr 2'!Q389*'Inputs Yr 2'!U389,"")</f>
        <v/>
      </c>
      <c r="BU391" s="197" t="str">
        <f>IFERROR(($G391*IF('Inputs Yr 2'!$AJ389=BL$4,'Inputs Yr 2'!$AK389,IF('Inputs Yr 2'!$AL389=BL$4,'Inputs Yr 2'!$AM389,IF('Inputs Yr 2'!$AN389=BL$4,'Inputs Yr 2'!$AO389,0))))*(INDEX(avoidedcosttbl2,$H391,BU$2)+(($H391-ROUNDDOWN($H391,0))*(INDEX(avoidedcosttbl2,ROUNDUP($H391,0),BU$2)-(INDEX(avoidedcosttbl2,ROUNDDOWN($H391,0),BU$2)))))*'Inputs Yr 2'!P389*'Inputs Yr 2'!Q389*'Inputs Yr 2'!U389,"")</f>
        <v/>
      </c>
      <c r="BV391" s="775" t="str">
        <f>IFERROR(($G391*IF('Inputs Yr 2'!$AJ389=BJ$4,'Inputs Yr 2'!$AK389,IF('Inputs Yr 2'!$AL389=BJ$4,'Inputs Yr 2'!$AM389,IF('Inputs Yr 2'!$AN389=BJ$4,'Inputs Yr 2'!$AO389,0))))*(INDEX(avoidedcosttbl2,$H391,BV$2)+(($H391-ROUNDDOWN($H391,0))*(INDEX(avoidedcosttbl2,ROUNDUP($H391,0),BV$2)-(INDEX(avoidedcosttbl2,ROUNDDOWN($H391,0),BV$2)))))*'Inputs Yr 2'!P389*'Inputs Yr 2'!Q389*'Inputs Yr 2'!U389,"")</f>
        <v/>
      </c>
      <c r="BW391" s="197" t="str">
        <f>IFERROR(($G391*IF('Inputs Yr 2'!$AJ389=BN$4,'Inputs Yr 2'!$AK389,IF('Inputs Yr 2'!$AL389=BN$4,'Inputs Yr 2'!$AM389,IF('Inputs Yr 2'!$AN389=BN$4,'Inputs Yr 2'!$AO389,0))))*(INDEX(avoidedcosttbl2,$H391,BW$2)+(($H391-ROUNDDOWN($H391,0))*(INDEX(avoidedcosttbl2,ROUNDUP($H391,0),BW$2)-(INDEX(avoidedcosttbl2,ROUNDDOWN($H391,0),BW$2)))))*'Inputs Yr 2'!P389*'Inputs Yr 2'!Q389*'Inputs Yr 2'!U389,"")</f>
        <v/>
      </c>
      <c r="BX391" s="197" t="str">
        <f>IFERROR(($G391*IF('Inputs Yr 2'!$AJ389=BO$4,'Inputs Yr 2'!$AK389,IF('Inputs Yr 2'!$AL389=BO$4,'Inputs Yr 2'!$AM389,IF('Inputs Yr 2'!$AN389=BO$4,'Inputs Yr 2'!$AO389,0))))*(INDEX(avoidedcosttbl2,$H391,BX$2)+(($H391-ROUNDDOWN($H391,0))*(INDEX(avoidedcosttbl2,ROUNDUP($H391,0),BX$2)-(INDEX(avoidedcosttbl2,ROUNDDOWN($H391,0),BX$2)))))*'Inputs Yr 2'!P389*'Inputs Yr 2'!Q389*'Inputs Yr 2'!U389,"")</f>
        <v/>
      </c>
      <c r="BY391" s="197" t="str">
        <f>IFERROR(($G391*IF('Inputs Yr 2'!$AJ389=BP$4,'Inputs Yr 2'!$AK389,IF('Inputs Yr 2'!$AL389=BP$4,'Inputs Yr 2'!$AM389,IF('Inputs Yr 2'!$AN389=BP$4,'Inputs Yr 2'!$AO389,0))))*(INDEX(avoidedcosttbl2,$H391,BY$2)+(($H391-ROUNDDOWN($H391,0))*(INDEX(avoidedcosttbl2,ROUNDUP($H391,0),BY$2)-(INDEX(avoidedcosttbl2,ROUNDDOWN($H391,0),BY$2)))))*'Inputs Yr 2'!P389*'Inputs Yr 2'!Q389*'Inputs Yr 2'!U389,"")</f>
        <v/>
      </c>
      <c r="BZ391" s="193">
        <f t="shared" si="294"/>
        <v>0</v>
      </c>
      <c r="CA391" s="193">
        <f t="shared" si="295"/>
        <v>0</v>
      </c>
      <c r="CB391" s="195" t="str">
        <f>IFERROR(G391*(IF('Inputs Yr 2'!$AJ389=CB$4,'Inputs Yr 2'!$AK389,IF('Inputs Yr 2'!$AL389=CB$4,'Inputs Yr 2'!$AM389,IF('Inputs Yr 2'!$AN389=CB$4,'Inputs Yr 2'!$AO389,0))))*(INDEX(avoidedcosttbl2,$H391,CB$2)+(($H391-ROUNDDOWN($H391,0))*(INDEX(avoidedcosttbl2,ROUNDUP($H391,0),CB$2)-(INDEX(avoidedcosttbl2,ROUNDDOWN($H391,0),CB$2)))))*'Inputs Yr 2'!P389*'Inputs Yr 2'!Q389*'Inputs Yr 2'!U389,"")</f>
        <v/>
      </c>
      <c r="CC391" s="195" t="str">
        <f>IFERROR(H391*(IF('Inputs Yr 2'!$AJ389=CC$4,'Inputs Yr 2'!$AK389,IF('Inputs Yr 2'!$AL389=CC$4,'Inputs Yr 2'!$AM389,IF('Inputs Yr 2'!$AN389=CC$4,'Inputs Yr 2'!$AO389,0))))*(INDEX(avoidedcosttbl2,$H391,CC$2)+(($H391-ROUNDDOWN($H391,0))*(INDEX(avoidedcosttbl2,ROUNDUP($H391,0),CC$2)-(INDEX(avoidedcosttbl2,ROUNDDOWN($H391,0),CC$2)))))*'Inputs Yr 2'!Q389*'Inputs Yr 2'!R389*'Inputs Yr 2'!V389,"")</f>
        <v/>
      </c>
      <c r="CD391" s="195" t="str">
        <f>IFERROR(I391*(IF('Inputs Yr 2'!$AJ389=CD$4,'Inputs Yr 2'!$AK389,IF('Inputs Yr 2'!$AL389=CD$4,'Inputs Yr 2'!$AM389,IF('Inputs Yr 2'!$AN389=CD$4,'Inputs Yr 2'!$AO389,0))))*(INDEX(avoidedcosttbl2,$H391,CD$2)+(($H391-ROUNDDOWN($H391,0))*(INDEX(avoidedcosttbl2,ROUNDUP($H391,0),CD$2)-(INDEX(avoidedcosttbl2,ROUNDDOWN($H391,0),CD$2)))))*'Inputs Yr 2'!R389*'Inputs Yr 2'!S389*'Inputs Yr 2'!W389,"")</f>
        <v/>
      </c>
      <c r="CE391" s="213" t="str">
        <f t="shared" si="251"/>
        <v/>
      </c>
      <c r="CF391" s="213" t="str">
        <f t="shared" si="252"/>
        <v/>
      </c>
      <c r="CG391" s="213" t="str">
        <f t="shared" si="253"/>
        <v/>
      </c>
      <c r="CH391" s="698">
        <f t="shared" si="296"/>
        <v>0</v>
      </c>
      <c r="CI391" s="79" t="str">
        <f>IFERROR(($G391*'Inputs Yr 2'!$P389*'Inputs Yr 2'!$Q389*(((INDEX(avoidedcosttbl2,$H391,CI$2)+(($H391-ROUNDDOWN($H391,0))*(INDEX(avoidedcosttbl2,ROUNDUP($H391,0),CI$2)-INDEX(avoidedcosttbl2,ROUNDDOWN($H391,0),CI$2))))*'Inputs Yr 2'!AS389))),"")</f>
        <v/>
      </c>
      <c r="CJ391" s="504" t="str">
        <f>IFERROR($G391*'Inputs Yr 2'!AT389*'Inputs Yr 2'!$P389*'Inputs Yr 2'!$Q389/((1+realdiscrt1)^-0.5),"")</f>
        <v/>
      </c>
      <c r="CK391" s="79" t="str">
        <f>IFERROR((O391*1000*(((INDEX(avoidedcosttbl2,$H391,CK$2)+(($H391-ROUNDDOWN($H391,0))*(INDEX(avoidedcosttbl2,ROUNDUP($H391,0),CK$2)-INDEX(avoidedcosttbl2,ROUNDDOWN($H391,0),CK$2))))*'Inputs Yr 2'!AU389))),"")</f>
        <v/>
      </c>
      <c r="CL391" s="504" t="str">
        <f>IFERROR(O391*1000*'Inputs Yr 2'!AV389/((1+realdiscrt1)^-0.5),"")</f>
        <v/>
      </c>
      <c r="CM391" s="79" t="str">
        <f>IFERROR((AB391*'Inputs Yr 2'!AW389*(((INDEX(avoidedcosttbl2,$H391,CM$2)+(($H391-ROUNDDOWN($H391,0))*(INDEX(avoidedcosttbl2,ROUNDUP($H391,0),CM$2)-INDEX(avoidedcosttbl2,ROUNDDOWN($H391,0),CM$2)))))))*10,"")</f>
        <v/>
      </c>
      <c r="CN391" s="504">
        <f>IFERROR(10*AB391*'Inputs Yr 2'!AX389/((1+realdiscrt1)^-0.5),"")</f>
        <v>0</v>
      </c>
      <c r="CO391" s="505">
        <f t="shared" si="297"/>
        <v>0</v>
      </c>
      <c r="CP391" s="230">
        <f t="shared" si="298"/>
        <v>0</v>
      </c>
      <c r="CQ391" s="199">
        <f>ROUND(IFERROR(IF(LEFT($A391,1)="C",'Avoided Costs'!$K$13,'Avoided Costs'!$K$12)+1,""),4)</f>
        <v>1.0720000000000001</v>
      </c>
      <c r="CR391" s="199">
        <f>ROUND(IFERROR(IF(LEFT($A391,1)="C",'Avoided Costs'!$L$13,'Avoided Costs'!$L$12)+1,""),4)</f>
        <v>1.04</v>
      </c>
      <c r="CS391" s="199">
        <f>ROUND(IFERROR(IF(LEFT($A391,1)="C",'Avoided Costs'!$M$13,'Avoided Costs'!$M$12)+1,""),4)</f>
        <v>1.0720000000000001</v>
      </c>
      <c r="CT391" s="199">
        <f>ROUND(IFERROR(IF(LEFT($A391,1)="C",'Avoided Costs'!$N$13,'Avoided Costs'!$N$12)+1,""),4)</f>
        <v>1.04</v>
      </c>
      <c r="CU391" s="199">
        <f>ROUND(IFERROR(IF(LEFT($A391,1)="C",'Avoided Costs'!$O$13,'Avoided Costs'!$O$12)+1,""),4)</f>
        <v>1.1120000000000001</v>
      </c>
      <c r="CV391" s="199">
        <f>ROUND(IFERROR(IF(LEFT($A391,1)="C",'Avoided Costs'!$P$13,'Avoided Costs'!$P$12)+1,""),4)</f>
        <v>1.095</v>
      </c>
      <c r="CW391" s="199">
        <f>ROUND(IFERROR(IF(LEFT($A391,1)="C",'Avoided Costs'!$Q$13,'Avoided Costs'!$Q$12)+1,""),4)</f>
        <v>1.1120000000000001</v>
      </c>
      <c r="CX391" s="200">
        <f>ROUND(IFERROR(IF(LEFT($A391,1)="C",'Avoided Costs'!$R$13,'Avoided Costs'!$R$12)+1,""),4)</f>
        <v>1.1120000000000001</v>
      </c>
    </row>
    <row r="392" spans="1:102" ht="12.75" customHeight="1">
      <c r="A392" s="91" t="str">
        <f>IF('Inputs Yr 2'!$B390=0,"",'Inputs Yr 2'!A390)</f>
        <v/>
      </c>
      <c r="B392" s="91" t="str">
        <f>IF('Inputs Yr 2'!$B390=0,"",'Inputs Yr 2'!B390)</f>
        <v/>
      </c>
      <c r="C392" s="91" t="str">
        <f>IF('Inputs Yr 2'!$B390=0,"",'Inputs Yr 2'!C390)</f>
        <v/>
      </c>
      <c r="D392" s="91" t="str">
        <f>IF('Inputs Yr 2'!$B390=0,"",'Inputs Yr 2'!E390)</f>
        <v/>
      </c>
      <c r="E392" s="93" t="str">
        <f>IF('Inputs Yr 2'!$B390=0,"",'Inputs Yr 2'!F390)</f>
        <v/>
      </c>
      <c r="F392" s="93" t="str">
        <f>IF('Inputs Yr 2'!$B390=0,"",'Inputs Yr 2'!G390)</f>
        <v/>
      </c>
      <c r="G392" s="95" t="str">
        <f>IF('Inputs Yr 2'!$H390&lt;&gt;0,('Inputs Yr 2'!H390),"")</f>
        <v/>
      </c>
      <c r="H392" s="94">
        <f>IFERROR('Inputs Yr 2'!I390,"")</f>
        <v>0</v>
      </c>
      <c r="I392" s="298" t="str">
        <f>IFERROR('Inputs Yr 2'!J390*'Inputs Yr 2'!P390*G392,"")</f>
        <v/>
      </c>
      <c r="J392" s="298" t="str">
        <f>IFERROR('Inputs Yr 2'!K390*G392,"")</f>
        <v/>
      </c>
      <c r="K392" s="298" t="str">
        <f t="shared" si="278"/>
        <v/>
      </c>
      <c r="L392" s="194" t="str">
        <f>IFERROR(('Inputs Yr 2'!W390*G392)/1000,"")</f>
        <v/>
      </c>
      <c r="M392" s="194" t="str">
        <f>IFERROR(L392*('Inputs Yr 2'!$Q390*'Inputs Yr 2'!$V390*'Inputs Yr 2'!$R390),"")</f>
        <v/>
      </c>
      <c r="N392" s="194" t="str">
        <f t="shared" si="279"/>
        <v/>
      </c>
      <c r="O392" s="194" t="str">
        <f>IFERROR(M392*'Inputs Yr 2'!P390,"")</f>
        <v/>
      </c>
      <c r="P392" s="194" t="str">
        <f t="shared" si="280"/>
        <v/>
      </c>
      <c r="Q392" s="194" t="str">
        <f>IFERROR($P392*'Inputs Yr 2'!AA390,"")</f>
        <v/>
      </c>
      <c r="R392" s="194" t="str">
        <f>IFERROR($P392*'Inputs Yr 2'!AB390,"")</f>
        <v/>
      </c>
      <c r="S392" s="194" t="str">
        <f>IFERROR($P392*'Inputs Yr 2'!AC390,"")</f>
        <v/>
      </c>
      <c r="T392" s="194" t="str">
        <f>IFERROR($P392*'Inputs Yr 2'!AD390,"")</f>
        <v/>
      </c>
      <c r="U392" s="194" t="str">
        <f>IFERROR(G392*'Inputs Yr 2'!$AE390*'Inputs Yr 2'!$P390*'Inputs Yr 2'!$Q390,"")</f>
        <v/>
      </c>
      <c r="V392" s="194" t="str">
        <f>IFERROR($G392*'Inputs Yr 2'!$AE390*'Inputs Yr 2'!$AG390*'Inputs Yr 2'!Q390*'Inputs Yr 2'!$S390,"")</f>
        <v/>
      </c>
      <c r="W392" s="194" t="str">
        <f>IFERROR($G392*'Inputs Yr 2'!$AE390*'Inputs Yr 2'!$AG390*'Inputs Yr 2'!P390*'Inputs Yr 2'!Q390*'Inputs Yr 2'!$S390,"")</f>
        <v/>
      </c>
      <c r="X392" s="194" t="str">
        <f>IFERROR($G392*'Inputs Yr 2'!$AE390*'Inputs Yr 2'!$AF390*'Inputs Yr 2'!Q390*'Inputs Yr 2'!$T390,"")</f>
        <v/>
      </c>
      <c r="Y392" s="194" t="str">
        <f>IFERROR($G392*'Inputs Yr 2'!$AE390*'Inputs Yr 2'!$AF390*'Inputs Yr 2'!P390*'Inputs Yr 2'!Q390*'Inputs Yr 2'!$T390,"")</f>
        <v/>
      </c>
      <c r="Z392" s="257">
        <f>IFERROR($G392*'Inputs Yr 2'!$Q390*'Inputs Yr 2'!$U390*(IF(IFERROR(SEARCH("NG", 'Inputs Yr 2'!$AJ390),0),'Inputs Yr 2'!$AK390,0)+IF(IFERROR(SEARCH("NG", 'Inputs Yr 2'!$AL390),0),'Inputs Yr 2'!$AM390,0)+IF(IFERROR(SEARCH("NG", 'Inputs Yr 2'!$AN390),0),'Inputs Yr 2'!$AO390,0)),0)</f>
        <v>0</v>
      </c>
      <c r="AA392" s="257">
        <f t="shared" si="281"/>
        <v>0</v>
      </c>
      <c r="AB392" s="257">
        <f>IFERROR(Z392*'Inputs Yr 2'!$P390,0)</f>
        <v>0</v>
      </c>
      <c r="AC392" s="257">
        <f t="shared" si="282"/>
        <v>0</v>
      </c>
      <c r="AD392" s="257">
        <f>IFERROR($G392*'Inputs Yr 2'!$Q390*'Inputs Yr 2'!$U390*(IF(IFERROR(SEARCH("Oil", 'Inputs Yr 2'!$AJ390), 0),'Inputs Yr 2'!$AK390,0)+IF(IFERROR(SEARCH("Oil", 'Inputs Yr 2'!$AL390), 0),'Inputs Yr 2'!$AM390,0)+IF(IFERROR(SEARCH("Oil", 'Inputs Yr 2'!$AN390), 0),'Inputs Yr 2'!$AO390,0)),0)</f>
        <v>0</v>
      </c>
      <c r="AE392" s="257">
        <f t="shared" si="283"/>
        <v>0</v>
      </c>
      <c r="AF392" s="257">
        <f>IFERROR(AD392*'Inputs Yr 2'!$P390,0)</f>
        <v>0</v>
      </c>
      <c r="AG392" s="257">
        <f t="shared" si="284"/>
        <v>0</v>
      </c>
      <c r="AH392" s="257">
        <f>IFERROR($G392*'Inputs Yr 2'!$Q390*'Inputs Yr 2'!$U390*(IF('Inputs Yr 2'!$AJ390=CD$4,'Inputs Yr 2'!$AK390,IF('Inputs Yr 2'!$AL390=CD$4,'Inputs Yr 2'!$AM390,IF('Inputs Yr 2'!$AN390=CD$4,'Inputs Yr 2'!$AO390,0)))),0)</f>
        <v>0</v>
      </c>
      <c r="AI392" s="257">
        <f t="shared" si="285"/>
        <v>0</v>
      </c>
      <c r="AJ392" s="257">
        <f>IFERROR(AH392*'Inputs Yr 2'!$P390,0)</f>
        <v>0</v>
      </c>
      <c r="AK392" s="257">
        <f t="shared" si="286"/>
        <v>0</v>
      </c>
      <c r="AL392" s="258">
        <f>IFERROR($G392*'Inputs Yr 2'!$P390*'Inputs Yr 2'!$Q390*'Inputs Yr 2'!AP390,0)</f>
        <v>0</v>
      </c>
      <c r="AM392" s="260">
        <f>IFERROR($G392*'Inputs Yr 2'!$P390*'Inputs Yr 2'!$Q390*'Inputs Yr 2'!AQ390,0)</f>
        <v>0</v>
      </c>
      <c r="AN392" s="258">
        <f>IFERROR($G392*'Inputs Yr 2'!$P390*'Inputs Yr 2'!$Q390*'Inputs Yr 2'!AR390,0)</f>
        <v>0</v>
      </c>
      <c r="AO392" s="257">
        <f t="shared" si="287"/>
        <v>0</v>
      </c>
      <c r="AP392" s="195" t="str">
        <f>IFERROR($CQ392*(INDEX(avoidedcosttbl2,$H392,AP$2)+(($H392-ROUNDDOWN($H392,0))*(INDEX(avoidedcosttbl2,ROUNDUP($H392,0),AP$2)-(INDEX(avoidedcosttbl2,ROUNDDOWN($H392,0),AP$2)))))*$O392*1000*'Inputs Yr 2'!AA390,"")</f>
        <v/>
      </c>
      <c r="AQ392" s="195" t="str">
        <f>IFERROR($CR392*(INDEX(avoidedcosttbl2,$H392,AQ$2)+(($H392-ROUNDDOWN($H392,0))*(INDEX(avoidedcosttbl2,ROUNDUP($H392,0),AQ$2)-(INDEX(avoidedcosttbl2,ROUNDDOWN($H392,0),AQ$2)))))*$O392*1000*'Inputs Yr 2'!AB390,"")</f>
        <v/>
      </c>
      <c r="AR392" s="195" t="str">
        <f>IFERROR($CS392*(INDEX(avoidedcosttbl2,$H392,AR$2)+(($H392-ROUNDDOWN($H392,0))*(INDEX(avoidedcosttbl2,ROUNDUP($H392,0),AR$2)-(INDEX(avoidedcosttbl2,ROUNDDOWN($H392,0),AR$2)))))*$O392*1000*'Inputs Yr 2'!AC390,"")</f>
        <v/>
      </c>
      <c r="AS392" s="195" t="str">
        <f>IFERROR($CT392*(INDEX(avoidedcosttbl2,$H392,AS$2)+(($H392-ROUNDDOWN($H392,0))*(INDEX(avoidedcosttbl2,ROUNDUP($H392,0),AS$2)-(INDEX(avoidedcosttbl2,ROUNDDOWN($H392,0),AS$2)))))*$O392*1000*'Inputs Yr 2'!AD390,"")</f>
        <v/>
      </c>
      <c r="AT392" s="196">
        <f t="shared" si="288"/>
        <v>0</v>
      </c>
      <c r="AU392" s="197" t="str">
        <f>IFERROR($CQ392*((INDEX(avoidedcosttbl2,$H392,AU$2))+(($H392-ROUNDDOWN($H392,0))*((INDEX(avoidedcosttbl2,ROUNDUP($H392,0),AU$2))-(INDEX(avoidedcosttbl2,ROUNDDOWN($H392,0),AU$2)))))*$O392*1000*'Inputs Yr 2'!AA390,"")</f>
        <v/>
      </c>
      <c r="AV392" s="197" t="str">
        <f>IFERROR($CR392*((INDEX(avoidedcosttbl2,$H392,AV$2))+(($H392-ROUNDDOWN($H392,0))*((INDEX(avoidedcosttbl2,ROUNDUP($H392,0),AV$2))-(INDEX(avoidedcosttbl2,ROUNDDOWN($H392,0),AV$2)))))*$O392*1000*'Inputs Yr 2'!AB390,"")</f>
        <v/>
      </c>
      <c r="AW392" s="197" t="str">
        <f>IFERROR($CS392*((INDEX(avoidedcosttbl2,$H392,AW$2))+(($H392-ROUNDDOWN($H392,0))*((INDEX(avoidedcosttbl2,ROUNDUP($H392,0),AW$2))-(INDEX(avoidedcosttbl2,ROUNDDOWN($H392,0),AW$2)))))*$O392*1000*'Inputs Yr 2'!AC390,"")</f>
        <v/>
      </c>
      <c r="AX392" s="197" t="str">
        <f>IFERROR($CT392*((INDEX(avoidedcosttbl2,$H392,AX$2))+(($H392-ROUNDDOWN($H392,0))*((INDEX(avoidedcosttbl2,ROUNDUP($H392,0),AX$2))-(INDEX(avoidedcosttbl2,ROUNDDOWN($H392,0),AX$2)))))*$O392*1000*'Inputs Yr 2'!AD390,"")</f>
        <v/>
      </c>
      <c r="AY392" s="197" t="str">
        <f>IFERROR(((INDEX(avoidedcosttbl2,$H392,AY$2))+(($H392-ROUNDDOWN($H392,0))*((INDEX(avoidedcosttbl2,ROUNDUP($H392,0),AY$2))-(INDEX(avoidedcosttbl2,ROUNDDOWN($H392,0),AY$2)))))*$O392*1000*('Inputs Yr 2'!AC390+'Inputs Yr 2'!AD390),"")</f>
        <v/>
      </c>
      <c r="AZ392" s="197" t="str">
        <f>IFERROR(((INDEX(avoidedcosttbl2,$H392,AZ$2))+(($H392-ROUNDDOWN($H392,0))*((INDEX(avoidedcosttbl2,ROUNDUP($H392,0),AZ$2))-(INDEX(avoidedcosttbl2,ROUNDDOWN($H392,0),AZ$2)))))*$O392*1000*('Inputs Yr 2'!AA390+'Inputs Yr 2'!AB390),"")</f>
        <v/>
      </c>
      <c r="BA392" s="198">
        <f t="shared" si="289"/>
        <v>0</v>
      </c>
      <c r="BB392" s="198">
        <f t="shared" si="290"/>
        <v>0</v>
      </c>
      <c r="BC392" s="195" t="str">
        <f t="shared" si="240"/>
        <v/>
      </c>
      <c r="BD392" s="195" t="str">
        <f t="shared" si="241"/>
        <v/>
      </c>
      <c r="BE392" s="195" t="str">
        <f t="shared" si="242"/>
        <v/>
      </c>
      <c r="BF392" s="195" t="str">
        <f t="shared" si="243"/>
        <v/>
      </c>
      <c r="BG392" s="195" t="str">
        <f t="shared" si="244"/>
        <v/>
      </c>
      <c r="BH392" s="196">
        <f t="shared" si="291"/>
        <v>0</v>
      </c>
      <c r="BI392" s="196">
        <f t="shared" si="292"/>
        <v>0</v>
      </c>
      <c r="BJ392" s="195" t="str">
        <f>IFERROR($G392*(IF('Inputs Yr 2'!$AJ390=BJ$4,'Inputs Yr 2'!$AK390,IF('Inputs Yr 2'!$AL390=BJ$4,'Inputs Yr 2'!$AM390,IF('Inputs Yr 2'!$AN390=BJ$4,'Inputs Yr 2'!$AO390,0))))*(INDEX(avoidedcosttbl2,$H392,BJ$2)+(($H392-ROUNDDOWN($H392,0))*(INDEX(avoidedcosttbl2,ROUNDUP($H392,0),BJ$2)-(INDEX(avoidedcosttbl2,ROUNDDOWN($H392,0),BJ$2)))))*'Inputs Yr 2'!P390*'Inputs Yr 2'!Q390*'Inputs Yr 2'!U390,"")</f>
        <v/>
      </c>
      <c r="BK392" s="195" t="str">
        <f>IFERROR($G392*(IF('Inputs Yr 2'!$AJ390=BK$4,'Inputs Yr 2'!$AK390,IF('Inputs Yr 2'!$AL390=BK$4,'Inputs Yr 2'!$AM390,IF('Inputs Yr 2'!$AN390=BK$4,'Inputs Yr 2'!$AO390,0))))*(INDEX(avoidedcosttbl2,$H392,BK$2)+(($H392-ROUNDDOWN($H392,0))*(INDEX(avoidedcosttbl2,ROUNDUP($H392,0),BK$2)-(INDEX(avoidedcosttbl2,ROUNDDOWN($H392,0),BK$2)))))*'Inputs Yr 2'!P390*'Inputs Yr 2'!Q390*'Inputs Yr 2'!U390,"")</f>
        <v/>
      </c>
      <c r="BL392" s="195" t="str">
        <f>IFERROR($G392*(IF('Inputs Yr 2'!$AJ390=BL$4,'Inputs Yr 2'!$AK390,IF('Inputs Yr 2'!$AL390=BL$4,'Inputs Yr 2'!$AM390,IF('Inputs Yr 2'!$AN390=BL$4,'Inputs Yr 2'!$AO390,0))))*(INDEX(avoidedcosttbl2,$H392,BL$2)+(($H392-ROUNDDOWN($H392,0))*(INDEX(avoidedcosttbl2,ROUNDUP($H392,0),BL$2)-(INDEX(avoidedcosttbl2,ROUNDDOWN($H392,0),BL$2)))))*'Inputs Yr 2'!P390*'Inputs Yr 2'!Q390*'Inputs Yr 2'!U390,"")</f>
        <v/>
      </c>
      <c r="BM392" s="195" t="str">
        <f>IFERROR($G392*(IF('Inputs Yr 2'!$AJ390=BM$4,'Inputs Yr 2'!$AK390,IF('Inputs Yr 2'!$AL390=BM$4,'Inputs Yr 2'!$AM390,IF('Inputs Yr 2'!$AN390=BM$4,'Inputs Yr 2'!$AO390,0))))*(INDEX(avoidedcosttbl2,$H392,BM$2)+(($H392-ROUNDDOWN($H392,0))*(INDEX(avoidedcosttbl2,ROUNDUP($H392,0),BM$2)-(INDEX(avoidedcosttbl2,ROUNDDOWN($H392,0),BM$2)))))*'Inputs Yr 2'!P390*'Inputs Yr 2'!Q390*'Inputs Yr 2'!U390,"")</f>
        <v/>
      </c>
      <c r="BN392" s="195" t="str">
        <f>IFERROR($G392*(IF('Inputs Yr 2'!$AJ390=BN$4,'Inputs Yr 2'!$AK390,IF('Inputs Yr 2'!$AL390=BN$4,'Inputs Yr 2'!$AM390,IF('Inputs Yr 2'!$AN390=BN$4,'Inputs Yr 2'!$AO390,0))))*(INDEX(avoidedcosttbl2,$H392,BN$2)+(($H392-ROUNDDOWN($H392,0))*(INDEX(avoidedcosttbl2,ROUNDUP($H392,0),BN$2)-(INDEX(avoidedcosttbl2,ROUNDDOWN($H392,0),BN$2)))))*'Inputs Yr 2'!P390*'Inputs Yr 2'!Q390*'Inputs Yr 2'!U390,"")</f>
        <v/>
      </c>
      <c r="BO392" s="195" t="str">
        <f>IFERROR($G392*(IF('Inputs Yr 2'!$AJ390=BO$4,'Inputs Yr 2'!$AK390,IF('Inputs Yr 2'!$AL390=BO$4,'Inputs Yr 2'!$AM390,IF('Inputs Yr 2'!$AN390=BO$4,'Inputs Yr 2'!$AO390,0))))*(INDEX(avoidedcosttbl2,$H392,BO$2)+(($H392-ROUNDDOWN($H392,0))*(INDEX(avoidedcosttbl2,ROUNDUP($H392,0),BO$2)-(INDEX(avoidedcosttbl2,ROUNDDOWN($H392,0),BO$2)))))*'Inputs Yr 2'!P390*'Inputs Yr 2'!Q390*'Inputs Yr 2'!U390,"")</f>
        <v/>
      </c>
      <c r="BP392" s="195" t="str">
        <f>IFERROR($G392*(IF('Inputs Yr 2'!$AJ390=BP$4,'Inputs Yr 2'!$AK390,IF('Inputs Yr 2'!$AL390=BP$4,'Inputs Yr 2'!$AM390,IF('Inputs Yr 2'!$AN390=BP$4,'Inputs Yr 2'!$AO390,0))))*(INDEX(avoidedcosttbl2,$H392,BP$2)+(($H392-ROUNDDOWN($H392,0))*(INDEX(avoidedcosttbl2,ROUNDUP($H392,0),BP$2)-(INDEX(avoidedcosttbl2,ROUNDDOWN($H392,0),BP$2)))))*'Inputs Yr 2'!P390*'Inputs Yr 2'!Q390*'Inputs Yr 2'!U390,"")</f>
        <v/>
      </c>
      <c r="BQ392" s="230">
        <f t="shared" si="293"/>
        <v>0</v>
      </c>
      <c r="BR392" s="197" t="str">
        <f t="shared" si="248"/>
        <v/>
      </c>
      <c r="BS392" s="197" t="str">
        <f>IFERROR(($G392*IF('Inputs Yr 2'!$AJ390=BM$4,'Inputs Yr 2'!$AK390,IF('Inputs Yr 2'!$AL390=BM$4,'Inputs Yr 2'!$AM390,IF('Inputs Yr 2'!$AN390=BM$4,'Inputs Yr 2'!$AO390,0))))*(INDEX(avoidedcosttbl2,$H392,BS$2)+(($H392-ROUNDDOWN($H392,0))*(INDEX(avoidedcosttbl2,ROUNDUP($H392,0),BS$2)-(INDEX(avoidedcosttbl2,ROUNDDOWN($H392,0),BS$2)))))*'Inputs Yr 2'!P390*'Inputs Yr 2'!Q390*'Inputs Yr 2'!U390,"")</f>
        <v/>
      </c>
      <c r="BT392" s="197" t="str">
        <f>IFERROR(($G392*IF('Inputs Yr 2'!$AJ390=BK$4,'Inputs Yr 2'!$AK390,IF('Inputs Yr 2'!$AL390=BK$4,'Inputs Yr 2'!$AM390,IF('Inputs Yr 2'!$AN390=BK$4,'Inputs Yr 2'!$AO390,0))))*(INDEX(avoidedcosttbl2,$H392,BT$2)+(($H392-ROUNDDOWN($H392,0))*(INDEX(avoidedcosttbl2,ROUNDUP($H392,0),BT$2)-(INDEX(avoidedcosttbl2,ROUNDDOWN($H392,0),BT$2)))))*'Inputs Yr 2'!P390*'Inputs Yr 2'!Q390*'Inputs Yr 2'!U390,"")</f>
        <v/>
      </c>
      <c r="BU392" s="197" t="str">
        <f>IFERROR(($G392*IF('Inputs Yr 2'!$AJ390=BL$4,'Inputs Yr 2'!$AK390,IF('Inputs Yr 2'!$AL390=BL$4,'Inputs Yr 2'!$AM390,IF('Inputs Yr 2'!$AN390=BL$4,'Inputs Yr 2'!$AO390,0))))*(INDEX(avoidedcosttbl2,$H392,BU$2)+(($H392-ROUNDDOWN($H392,0))*(INDEX(avoidedcosttbl2,ROUNDUP($H392,0),BU$2)-(INDEX(avoidedcosttbl2,ROUNDDOWN($H392,0),BU$2)))))*'Inputs Yr 2'!P390*'Inputs Yr 2'!Q390*'Inputs Yr 2'!U390,"")</f>
        <v/>
      </c>
      <c r="BV392" s="775" t="str">
        <f>IFERROR(($G392*IF('Inputs Yr 2'!$AJ390=BJ$4,'Inputs Yr 2'!$AK390,IF('Inputs Yr 2'!$AL390=BJ$4,'Inputs Yr 2'!$AM390,IF('Inputs Yr 2'!$AN390=BJ$4,'Inputs Yr 2'!$AO390,0))))*(INDEX(avoidedcosttbl2,$H392,BV$2)+(($H392-ROUNDDOWN($H392,0))*(INDEX(avoidedcosttbl2,ROUNDUP($H392,0),BV$2)-(INDEX(avoidedcosttbl2,ROUNDDOWN($H392,0),BV$2)))))*'Inputs Yr 2'!P390*'Inputs Yr 2'!Q390*'Inputs Yr 2'!U390,"")</f>
        <v/>
      </c>
      <c r="BW392" s="197" t="str">
        <f>IFERROR(($G392*IF('Inputs Yr 2'!$AJ390=BN$4,'Inputs Yr 2'!$AK390,IF('Inputs Yr 2'!$AL390=BN$4,'Inputs Yr 2'!$AM390,IF('Inputs Yr 2'!$AN390=BN$4,'Inputs Yr 2'!$AO390,0))))*(INDEX(avoidedcosttbl2,$H392,BW$2)+(($H392-ROUNDDOWN($H392,0))*(INDEX(avoidedcosttbl2,ROUNDUP($H392,0),BW$2)-(INDEX(avoidedcosttbl2,ROUNDDOWN($H392,0),BW$2)))))*'Inputs Yr 2'!P390*'Inputs Yr 2'!Q390*'Inputs Yr 2'!U390,"")</f>
        <v/>
      </c>
      <c r="BX392" s="197" t="str">
        <f>IFERROR(($G392*IF('Inputs Yr 2'!$AJ390=BO$4,'Inputs Yr 2'!$AK390,IF('Inputs Yr 2'!$AL390=BO$4,'Inputs Yr 2'!$AM390,IF('Inputs Yr 2'!$AN390=BO$4,'Inputs Yr 2'!$AO390,0))))*(INDEX(avoidedcosttbl2,$H392,BX$2)+(($H392-ROUNDDOWN($H392,0))*(INDEX(avoidedcosttbl2,ROUNDUP($H392,0),BX$2)-(INDEX(avoidedcosttbl2,ROUNDDOWN($H392,0),BX$2)))))*'Inputs Yr 2'!P390*'Inputs Yr 2'!Q390*'Inputs Yr 2'!U390,"")</f>
        <v/>
      </c>
      <c r="BY392" s="197" t="str">
        <f>IFERROR(($G392*IF('Inputs Yr 2'!$AJ390=BP$4,'Inputs Yr 2'!$AK390,IF('Inputs Yr 2'!$AL390=BP$4,'Inputs Yr 2'!$AM390,IF('Inputs Yr 2'!$AN390=BP$4,'Inputs Yr 2'!$AO390,0))))*(INDEX(avoidedcosttbl2,$H392,BY$2)+(($H392-ROUNDDOWN($H392,0))*(INDEX(avoidedcosttbl2,ROUNDUP($H392,0),BY$2)-(INDEX(avoidedcosttbl2,ROUNDDOWN($H392,0),BY$2)))))*'Inputs Yr 2'!P390*'Inputs Yr 2'!Q390*'Inputs Yr 2'!U390,"")</f>
        <v/>
      </c>
      <c r="BZ392" s="193">
        <f t="shared" si="294"/>
        <v>0</v>
      </c>
      <c r="CA392" s="193">
        <f t="shared" si="295"/>
        <v>0</v>
      </c>
      <c r="CB392" s="195" t="str">
        <f>IFERROR(G392*(IF('Inputs Yr 2'!$AJ390=CB$4,'Inputs Yr 2'!$AK390,IF('Inputs Yr 2'!$AL390=CB$4,'Inputs Yr 2'!$AM390,IF('Inputs Yr 2'!$AN390=CB$4,'Inputs Yr 2'!$AO390,0))))*(INDEX(avoidedcosttbl2,$H392,CB$2)+(($H392-ROUNDDOWN($H392,0))*(INDEX(avoidedcosttbl2,ROUNDUP($H392,0),CB$2)-(INDEX(avoidedcosttbl2,ROUNDDOWN($H392,0),CB$2)))))*'Inputs Yr 2'!P390*'Inputs Yr 2'!Q390*'Inputs Yr 2'!U390,"")</f>
        <v/>
      </c>
      <c r="CC392" s="195" t="str">
        <f>IFERROR(H392*(IF('Inputs Yr 2'!$AJ390=CC$4,'Inputs Yr 2'!$AK390,IF('Inputs Yr 2'!$AL390=CC$4,'Inputs Yr 2'!$AM390,IF('Inputs Yr 2'!$AN390=CC$4,'Inputs Yr 2'!$AO390,0))))*(INDEX(avoidedcosttbl2,$H392,CC$2)+(($H392-ROUNDDOWN($H392,0))*(INDEX(avoidedcosttbl2,ROUNDUP($H392,0),CC$2)-(INDEX(avoidedcosttbl2,ROUNDDOWN($H392,0),CC$2)))))*'Inputs Yr 2'!Q390*'Inputs Yr 2'!R390*'Inputs Yr 2'!V390,"")</f>
        <v/>
      </c>
      <c r="CD392" s="195" t="str">
        <f>IFERROR(I392*(IF('Inputs Yr 2'!$AJ390=CD$4,'Inputs Yr 2'!$AK390,IF('Inputs Yr 2'!$AL390=CD$4,'Inputs Yr 2'!$AM390,IF('Inputs Yr 2'!$AN390=CD$4,'Inputs Yr 2'!$AO390,0))))*(INDEX(avoidedcosttbl2,$H392,CD$2)+(($H392-ROUNDDOWN($H392,0))*(INDEX(avoidedcosttbl2,ROUNDUP($H392,0),CD$2)-(INDEX(avoidedcosttbl2,ROUNDDOWN($H392,0),CD$2)))))*'Inputs Yr 2'!R390*'Inputs Yr 2'!S390*'Inputs Yr 2'!W390,"")</f>
        <v/>
      </c>
      <c r="CE392" s="213" t="str">
        <f t="shared" si="251"/>
        <v/>
      </c>
      <c r="CF392" s="213" t="str">
        <f t="shared" si="252"/>
        <v/>
      </c>
      <c r="CG392" s="213" t="str">
        <f t="shared" si="253"/>
        <v/>
      </c>
      <c r="CH392" s="698">
        <f t="shared" si="296"/>
        <v>0</v>
      </c>
      <c r="CI392" s="79" t="str">
        <f>IFERROR(($G392*'Inputs Yr 2'!$P390*'Inputs Yr 2'!$Q390*(((INDEX(avoidedcosttbl2,$H392,CI$2)+(($H392-ROUNDDOWN($H392,0))*(INDEX(avoidedcosttbl2,ROUNDUP($H392,0),CI$2)-INDEX(avoidedcosttbl2,ROUNDDOWN($H392,0),CI$2))))*'Inputs Yr 2'!AS390))),"")</f>
        <v/>
      </c>
      <c r="CJ392" s="504" t="str">
        <f>IFERROR($G392*'Inputs Yr 2'!AT390*'Inputs Yr 2'!$P390*'Inputs Yr 2'!$Q390/((1+realdiscrt1)^-0.5),"")</f>
        <v/>
      </c>
      <c r="CK392" s="79" t="str">
        <f>IFERROR((O392*1000*(((INDEX(avoidedcosttbl2,$H392,CK$2)+(($H392-ROUNDDOWN($H392,0))*(INDEX(avoidedcosttbl2,ROUNDUP($H392,0),CK$2)-INDEX(avoidedcosttbl2,ROUNDDOWN($H392,0),CK$2))))*'Inputs Yr 2'!AU390))),"")</f>
        <v/>
      </c>
      <c r="CL392" s="504" t="str">
        <f>IFERROR(O392*1000*'Inputs Yr 2'!AV390/((1+realdiscrt1)^-0.5),"")</f>
        <v/>
      </c>
      <c r="CM392" s="79" t="str">
        <f>IFERROR((AB392*'Inputs Yr 2'!AW390*(((INDEX(avoidedcosttbl2,$H392,CM$2)+(($H392-ROUNDDOWN($H392,0))*(INDEX(avoidedcosttbl2,ROUNDUP($H392,0),CM$2)-INDEX(avoidedcosttbl2,ROUNDDOWN($H392,0),CM$2)))))))*10,"")</f>
        <v/>
      </c>
      <c r="CN392" s="504">
        <f>IFERROR(10*AB392*'Inputs Yr 2'!AX390/((1+realdiscrt1)^-0.5),"")</f>
        <v>0</v>
      </c>
      <c r="CO392" s="505">
        <f t="shared" si="297"/>
        <v>0</v>
      </c>
      <c r="CP392" s="230">
        <f t="shared" si="298"/>
        <v>0</v>
      </c>
      <c r="CQ392" s="199">
        <f>ROUND(IFERROR(IF(LEFT($A392,1)="C",'Avoided Costs'!$K$13,'Avoided Costs'!$K$12)+1,""),4)</f>
        <v>1.0720000000000001</v>
      </c>
      <c r="CR392" s="199">
        <f>ROUND(IFERROR(IF(LEFT($A392,1)="C",'Avoided Costs'!$L$13,'Avoided Costs'!$L$12)+1,""),4)</f>
        <v>1.04</v>
      </c>
      <c r="CS392" s="199">
        <f>ROUND(IFERROR(IF(LEFT($A392,1)="C",'Avoided Costs'!$M$13,'Avoided Costs'!$M$12)+1,""),4)</f>
        <v>1.0720000000000001</v>
      </c>
      <c r="CT392" s="199">
        <f>ROUND(IFERROR(IF(LEFT($A392,1)="C",'Avoided Costs'!$N$13,'Avoided Costs'!$N$12)+1,""),4)</f>
        <v>1.04</v>
      </c>
      <c r="CU392" s="199">
        <f>ROUND(IFERROR(IF(LEFT($A392,1)="C",'Avoided Costs'!$O$13,'Avoided Costs'!$O$12)+1,""),4)</f>
        <v>1.1120000000000001</v>
      </c>
      <c r="CV392" s="199">
        <f>ROUND(IFERROR(IF(LEFT($A392,1)="C",'Avoided Costs'!$P$13,'Avoided Costs'!$P$12)+1,""),4)</f>
        <v>1.095</v>
      </c>
      <c r="CW392" s="199">
        <f>ROUND(IFERROR(IF(LEFT($A392,1)="C",'Avoided Costs'!$Q$13,'Avoided Costs'!$Q$12)+1,""),4)</f>
        <v>1.1120000000000001</v>
      </c>
      <c r="CX392" s="200">
        <f>ROUND(IFERROR(IF(LEFT($A392,1)="C",'Avoided Costs'!$R$13,'Avoided Costs'!$R$12)+1,""),4)</f>
        <v>1.1120000000000001</v>
      </c>
    </row>
    <row r="393" spans="1:102" ht="12.75" customHeight="1">
      <c r="A393" s="91" t="str">
        <f>IF('Inputs Yr 2'!$B391=0,"",'Inputs Yr 2'!A391)</f>
        <v/>
      </c>
      <c r="B393" s="91" t="str">
        <f>IF('Inputs Yr 2'!$B391=0,"",'Inputs Yr 2'!B391)</f>
        <v/>
      </c>
      <c r="C393" s="91" t="str">
        <f>IF('Inputs Yr 2'!$B391=0,"",'Inputs Yr 2'!C391)</f>
        <v/>
      </c>
      <c r="D393" s="91" t="str">
        <f>IF('Inputs Yr 2'!$B391=0,"",'Inputs Yr 2'!E391)</f>
        <v/>
      </c>
      <c r="E393" s="93" t="str">
        <f>IF('Inputs Yr 2'!$B391=0,"",'Inputs Yr 2'!F391)</f>
        <v/>
      </c>
      <c r="F393" s="93" t="str">
        <f>IF('Inputs Yr 2'!$B391=0,"",'Inputs Yr 2'!G391)</f>
        <v/>
      </c>
      <c r="G393" s="95" t="str">
        <f>IF('Inputs Yr 2'!$H391&lt;&gt;0,('Inputs Yr 2'!H391),"")</f>
        <v/>
      </c>
      <c r="H393" s="94">
        <f>IFERROR('Inputs Yr 2'!I391,"")</f>
        <v>0</v>
      </c>
      <c r="I393" s="298" t="str">
        <f>IFERROR('Inputs Yr 2'!J391*'Inputs Yr 2'!P391*G393,"")</f>
        <v/>
      </c>
      <c r="J393" s="298" t="str">
        <f>IFERROR('Inputs Yr 2'!K391*G393,"")</f>
        <v/>
      </c>
      <c r="K393" s="298" t="str">
        <f t="shared" si="278"/>
        <v/>
      </c>
      <c r="L393" s="194" t="str">
        <f>IFERROR(('Inputs Yr 2'!W391*G393)/1000,"")</f>
        <v/>
      </c>
      <c r="M393" s="194" t="str">
        <f>IFERROR(L393*('Inputs Yr 2'!$Q391*'Inputs Yr 2'!$V391*'Inputs Yr 2'!$R391),"")</f>
        <v/>
      </c>
      <c r="N393" s="194" t="str">
        <f t="shared" si="279"/>
        <v/>
      </c>
      <c r="O393" s="194" t="str">
        <f>IFERROR(M393*'Inputs Yr 2'!P391,"")</f>
        <v/>
      </c>
      <c r="P393" s="194" t="str">
        <f t="shared" si="280"/>
        <v/>
      </c>
      <c r="Q393" s="194" t="str">
        <f>IFERROR($P393*'Inputs Yr 2'!AA391,"")</f>
        <v/>
      </c>
      <c r="R393" s="194" t="str">
        <f>IFERROR($P393*'Inputs Yr 2'!AB391,"")</f>
        <v/>
      </c>
      <c r="S393" s="194" t="str">
        <f>IFERROR($P393*'Inputs Yr 2'!AC391,"")</f>
        <v/>
      </c>
      <c r="T393" s="194" t="str">
        <f>IFERROR($P393*'Inputs Yr 2'!AD391,"")</f>
        <v/>
      </c>
      <c r="U393" s="194" t="str">
        <f>IFERROR(G393*'Inputs Yr 2'!$AE391*'Inputs Yr 2'!$P391*'Inputs Yr 2'!$Q391,"")</f>
        <v/>
      </c>
      <c r="V393" s="194" t="str">
        <f>IFERROR($G393*'Inputs Yr 2'!$AE391*'Inputs Yr 2'!$AG391*'Inputs Yr 2'!Q391*'Inputs Yr 2'!$S391,"")</f>
        <v/>
      </c>
      <c r="W393" s="194" t="str">
        <f>IFERROR($G393*'Inputs Yr 2'!$AE391*'Inputs Yr 2'!$AG391*'Inputs Yr 2'!P391*'Inputs Yr 2'!Q391*'Inputs Yr 2'!$S391,"")</f>
        <v/>
      </c>
      <c r="X393" s="194" t="str">
        <f>IFERROR($G393*'Inputs Yr 2'!$AE391*'Inputs Yr 2'!$AF391*'Inputs Yr 2'!Q391*'Inputs Yr 2'!$T391,"")</f>
        <v/>
      </c>
      <c r="Y393" s="194" t="str">
        <f>IFERROR($G393*'Inputs Yr 2'!$AE391*'Inputs Yr 2'!$AF391*'Inputs Yr 2'!P391*'Inputs Yr 2'!Q391*'Inputs Yr 2'!$T391,"")</f>
        <v/>
      </c>
      <c r="Z393" s="257">
        <f>IFERROR($G393*'Inputs Yr 2'!$Q391*'Inputs Yr 2'!$U391*(IF(IFERROR(SEARCH("NG", 'Inputs Yr 2'!$AJ391),0),'Inputs Yr 2'!$AK391,0)+IF(IFERROR(SEARCH("NG", 'Inputs Yr 2'!$AL391),0),'Inputs Yr 2'!$AM391,0)+IF(IFERROR(SEARCH("NG", 'Inputs Yr 2'!$AN391),0),'Inputs Yr 2'!$AO391,0)),0)</f>
        <v>0</v>
      </c>
      <c r="AA393" s="257">
        <f t="shared" si="281"/>
        <v>0</v>
      </c>
      <c r="AB393" s="257">
        <f>IFERROR(Z393*'Inputs Yr 2'!$P391,0)</f>
        <v>0</v>
      </c>
      <c r="AC393" s="257">
        <f t="shared" si="282"/>
        <v>0</v>
      </c>
      <c r="AD393" s="257">
        <f>IFERROR($G393*'Inputs Yr 2'!$Q391*'Inputs Yr 2'!$U391*(IF(IFERROR(SEARCH("Oil", 'Inputs Yr 2'!$AJ391), 0),'Inputs Yr 2'!$AK391,0)+IF(IFERROR(SEARCH("Oil", 'Inputs Yr 2'!$AL391), 0),'Inputs Yr 2'!$AM391,0)+IF(IFERROR(SEARCH("Oil", 'Inputs Yr 2'!$AN391), 0),'Inputs Yr 2'!$AO391,0)),0)</f>
        <v>0</v>
      </c>
      <c r="AE393" s="257">
        <f t="shared" si="283"/>
        <v>0</v>
      </c>
      <c r="AF393" s="257">
        <f>IFERROR(AD393*'Inputs Yr 2'!$P391,0)</f>
        <v>0</v>
      </c>
      <c r="AG393" s="257">
        <f t="shared" si="284"/>
        <v>0</v>
      </c>
      <c r="AH393" s="257">
        <f>IFERROR($G393*'Inputs Yr 2'!$Q391*'Inputs Yr 2'!$U391*(IF('Inputs Yr 2'!$AJ391=CD$4,'Inputs Yr 2'!$AK391,IF('Inputs Yr 2'!$AL391=CD$4,'Inputs Yr 2'!$AM391,IF('Inputs Yr 2'!$AN391=CD$4,'Inputs Yr 2'!$AO391,0)))),0)</f>
        <v>0</v>
      </c>
      <c r="AI393" s="257">
        <f t="shared" si="285"/>
        <v>0</v>
      </c>
      <c r="AJ393" s="257">
        <f>IFERROR(AH393*'Inputs Yr 2'!$P391,0)</f>
        <v>0</v>
      </c>
      <c r="AK393" s="257">
        <f t="shared" si="286"/>
        <v>0</v>
      </c>
      <c r="AL393" s="258">
        <f>IFERROR($G393*'Inputs Yr 2'!$P391*'Inputs Yr 2'!$Q391*'Inputs Yr 2'!AP391,0)</f>
        <v>0</v>
      </c>
      <c r="AM393" s="260">
        <f>IFERROR($G393*'Inputs Yr 2'!$P391*'Inputs Yr 2'!$Q391*'Inputs Yr 2'!AQ391,0)</f>
        <v>0</v>
      </c>
      <c r="AN393" s="258">
        <f>IFERROR($G393*'Inputs Yr 2'!$P391*'Inputs Yr 2'!$Q391*'Inputs Yr 2'!AR391,0)</f>
        <v>0</v>
      </c>
      <c r="AO393" s="257">
        <f t="shared" si="287"/>
        <v>0</v>
      </c>
      <c r="AP393" s="195" t="str">
        <f>IFERROR($CQ393*(INDEX(avoidedcosttbl2,$H393,AP$2)+(($H393-ROUNDDOWN($H393,0))*(INDEX(avoidedcosttbl2,ROUNDUP($H393,0),AP$2)-(INDEX(avoidedcosttbl2,ROUNDDOWN($H393,0),AP$2)))))*$O393*1000*'Inputs Yr 2'!AA391,"")</f>
        <v/>
      </c>
      <c r="AQ393" s="195" t="str">
        <f>IFERROR($CR393*(INDEX(avoidedcosttbl2,$H393,AQ$2)+(($H393-ROUNDDOWN($H393,0))*(INDEX(avoidedcosttbl2,ROUNDUP($H393,0),AQ$2)-(INDEX(avoidedcosttbl2,ROUNDDOWN($H393,0),AQ$2)))))*$O393*1000*'Inputs Yr 2'!AB391,"")</f>
        <v/>
      </c>
      <c r="AR393" s="195" t="str">
        <f>IFERROR($CS393*(INDEX(avoidedcosttbl2,$H393,AR$2)+(($H393-ROUNDDOWN($H393,0))*(INDEX(avoidedcosttbl2,ROUNDUP($H393,0),AR$2)-(INDEX(avoidedcosttbl2,ROUNDDOWN($H393,0),AR$2)))))*$O393*1000*'Inputs Yr 2'!AC391,"")</f>
        <v/>
      </c>
      <c r="AS393" s="195" t="str">
        <f>IFERROR($CT393*(INDEX(avoidedcosttbl2,$H393,AS$2)+(($H393-ROUNDDOWN($H393,0))*(INDEX(avoidedcosttbl2,ROUNDUP($H393,0),AS$2)-(INDEX(avoidedcosttbl2,ROUNDDOWN($H393,0),AS$2)))))*$O393*1000*'Inputs Yr 2'!AD391,"")</f>
        <v/>
      </c>
      <c r="AT393" s="196">
        <f t="shared" si="288"/>
        <v>0</v>
      </c>
      <c r="AU393" s="197" t="str">
        <f>IFERROR($CQ393*((INDEX(avoidedcosttbl2,$H393,AU$2))+(($H393-ROUNDDOWN($H393,0))*((INDEX(avoidedcosttbl2,ROUNDUP($H393,0),AU$2))-(INDEX(avoidedcosttbl2,ROUNDDOWN($H393,0),AU$2)))))*$O393*1000*'Inputs Yr 2'!AA391,"")</f>
        <v/>
      </c>
      <c r="AV393" s="197" t="str">
        <f>IFERROR($CR393*((INDEX(avoidedcosttbl2,$H393,AV$2))+(($H393-ROUNDDOWN($H393,0))*((INDEX(avoidedcosttbl2,ROUNDUP($H393,0),AV$2))-(INDEX(avoidedcosttbl2,ROUNDDOWN($H393,0),AV$2)))))*$O393*1000*'Inputs Yr 2'!AB391,"")</f>
        <v/>
      </c>
      <c r="AW393" s="197" t="str">
        <f>IFERROR($CS393*((INDEX(avoidedcosttbl2,$H393,AW$2))+(($H393-ROUNDDOWN($H393,0))*((INDEX(avoidedcosttbl2,ROUNDUP($H393,0),AW$2))-(INDEX(avoidedcosttbl2,ROUNDDOWN($H393,0),AW$2)))))*$O393*1000*'Inputs Yr 2'!AC391,"")</f>
        <v/>
      </c>
      <c r="AX393" s="197" t="str">
        <f>IFERROR($CT393*((INDEX(avoidedcosttbl2,$H393,AX$2))+(($H393-ROUNDDOWN($H393,0))*((INDEX(avoidedcosttbl2,ROUNDUP($H393,0),AX$2))-(INDEX(avoidedcosttbl2,ROUNDDOWN($H393,0),AX$2)))))*$O393*1000*'Inputs Yr 2'!AD391,"")</f>
        <v/>
      </c>
      <c r="AY393" s="197" t="str">
        <f>IFERROR(((INDEX(avoidedcosttbl2,$H393,AY$2))+(($H393-ROUNDDOWN($H393,0))*((INDEX(avoidedcosttbl2,ROUNDUP($H393,0),AY$2))-(INDEX(avoidedcosttbl2,ROUNDDOWN($H393,0),AY$2)))))*$O393*1000*('Inputs Yr 2'!AC391+'Inputs Yr 2'!AD391),"")</f>
        <v/>
      </c>
      <c r="AZ393" s="197" t="str">
        <f>IFERROR(((INDEX(avoidedcosttbl2,$H393,AZ$2))+(($H393-ROUNDDOWN($H393,0))*((INDEX(avoidedcosttbl2,ROUNDUP($H393,0),AZ$2))-(INDEX(avoidedcosttbl2,ROUNDDOWN($H393,0),AZ$2)))))*$O393*1000*('Inputs Yr 2'!AA391+'Inputs Yr 2'!AB391),"")</f>
        <v/>
      </c>
      <c r="BA393" s="198">
        <f t="shared" si="289"/>
        <v>0</v>
      </c>
      <c r="BB393" s="198">
        <f t="shared" si="290"/>
        <v>0</v>
      </c>
      <c r="BC393" s="195" t="str">
        <f t="shared" si="240"/>
        <v/>
      </c>
      <c r="BD393" s="195" t="str">
        <f t="shared" si="241"/>
        <v/>
      </c>
      <c r="BE393" s="195" t="str">
        <f t="shared" si="242"/>
        <v/>
      </c>
      <c r="BF393" s="195" t="str">
        <f t="shared" si="243"/>
        <v/>
      </c>
      <c r="BG393" s="195" t="str">
        <f t="shared" si="244"/>
        <v/>
      </c>
      <c r="BH393" s="196">
        <f t="shared" si="291"/>
        <v>0</v>
      </c>
      <c r="BI393" s="196">
        <f t="shared" si="292"/>
        <v>0</v>
      </c>
      <c r="BJ393" s="195" t="str">
        <f>IFERROR($G393*(IF('Inputs Yr 2'!$AJ391=BJ$4,'Inputs Yr 2'!$AK391,IF('Inputs Yr 2'!$AL391=BJ$4,'Inputs Yr 2'!$AM391,IF('Inputs Yr 2'!$AN391=BJ$4,'Inputs Yr 2'!$AO391,0))))*(INDEX(avoidedcosttbl2,$H393,BJ$2)+(($H393-ROUNDDOWN($H393,0))*(INDEX(avoidedcosttbl2,ROUNDUP($H393,0),BJ$2)-(INDEX(avoidedcosttbl2,ROUNDDOWN($H393,0),BJ$2)))))*'Inputs Yr 2'!P391*'Inputs Yr 2'!Q391*'Inputs Yr 2'!U391,"")</f>
        <v/>
      </c>
      <c r="BK393" s="195" t="str">
        <f>IFERROR($G393*(IF('Inputs Yr 2'!$AJ391=BK$4,'Inputs Yr 2'!$AK391,IF('Inputs Yr 2'!$AL391=BK$4,'Inputs Yr 2'!$AM391,IF('Inputs Yr 2'!$AN391=BK$4,'Inputs Yr 2'!$AO391,0))))*(INDEX(avoidedcosttbl2,$H393,BK$2)+(($H393-ROUNDDOWN($H393,0))*(INDEX(avoidedcosttbl2,ROUNDUP($H393,0),BK$2)-(INDEX(avoidedcosttbl2,ROUNDDOWN($H393,0),BK$2)))))*'Inputs Yr 2'!P391*'Inputs Yr 2'!Q391*'Inputs Yr 2'!U391,"")</f>
        <v/>
      </c>
      <c r="BL393" s="195" t="str">
        <f>IFERROR($G393*(IF('Inputs Yr 2'!$AJ391=BL$4,'Inputs Yr 2'!$AK391,IF('Inputs Yr 2'!$AL391=BL$4,'Inputs Yr 2'!$AM391,IF('Inputs Yr 2'!$AN391=BL$4,'Inputs Yr 2'!$AO391,0))))*(INDEX(avoidedcosttbl2,$H393,BL$2)+(($H393-ROUNDDOWN($H393,0))*(INDEX(avoidedcosttbl2,ROUNDUP($H393,0),BL$2)-(INDEX(avoidedcosttbl2,ROUNDDOWN($H393,0),BL$2)))))*'Inputs Yr 2'!P391*'Inputs Yr 2'!Q391*'Inputs Yr 2'!U391,"")</f>
        <v/>
      </c>
      <c r="BM393" s="195" t="str">
        <f>IFERROR($G393*(IF('Inputs Yr 2'!$AJ391=BM$4,'Inputs Yr 2'!$AK391,IF('Inputs Yr 2'!$AL391=BM$4,'Inputs Yr 2'!$AM391,IF('Inputs Yr 2'!$AN391=BM$4,'Inputs Yr 2'!$AO391,0))))*(INDEX(avoidedcosttbl2,$H393,BM$2)+(($H393-ROUNDDOWN($H393,0))*(INDEX(avoidedcosttbl2,ROUNDUP($H393,0),BM$2)-(INDEX(avoidedcosttbl2,ROUNDDOWN($H393,0),BM$2)))))*'Inputs Yr 2'!P391*'Inputs Yr 2'!Q391*'Inputs Yr 2'!U391,"")</f>
        <v/>
      </c>
      <c r="BN393" s="195" t="str">
        <f>IFERROR($G393*(IF('Inputs Yr 2'!$AJ391=BN$4,'Inputs Yr 2'!$AK391,IF('Inputs Yr 2'!$AL391=BN$4,'Inputs Yr 2'!$AM391,IF('Inputs Yr 2'!$AN391=BN$4,'Inputs Yr 2'!$AO391,0))))*(INDEX(avoidedcosttbl2,$H393,BN$2)+(($H393-ROUNDDOWN($H393,0))*(INDEX(avoidedcosttbl2,ROUNDUP($H393,0),BN$2)-(INDEX(avoidedcosttbl2,ROUNDDOWN($H393,0),BN$2)))))*'Inputs Yr 2'!P391*'Inputs Yr 2'!Q391*'Inputs Yr 2'!U391,"")</f>
        <v/>
      </c>
      <c r="BO393" s="195" t="str">
        <f>IFERROR($G393*(IF('Inputs Yr 2'!$AJ391=BO$4,'Inputs Yr 2'!$AK391,IF('Inputs Yr 2'!$AL391=BO$4,'Inputs Yr 2'!$AM391,IF('Inputs Yr 2'!$AN391=BO$4,'Inputs Yr 2'!$AO391,0))))*(INDEX(avoidedcosttbl2,$H393,BO$2)+(($H393-ROUNDDOWN($H393,0))*(INDEX(avoidedcosttbl2,ROUNDUP($H393,0),BO$2)-(INDEX(avoidedcosttbl2,ROUNDDOWN($H393,0),BO$2)))))*'Inputs Yr 2'!P391*'Inputs Yr 2'!Q391*'Inputs Yr 2'!U391,"")</f>
        <v/>
      </c>
      <c r="BP393" s="195" t="str">
        <f>IFERROR($G393*(IF('Inputs Yr 2'!$AJ391=BP$4,'Inputs Yr 2'!$AK391,IF('Inputs Yr 2'!$AL391=BP$4,'Inputs Yr 2'!$AM391,IF('Inputs Yr 2'!$AN391=BP$4,'Inputs Yr 2'!$AO391,0))))*(INDEX(avoidedcosttbl2,$H393,BP$2)+(($H393-ROUNDDOWN($H393,0))*(INDEX(avoidedcosttbl2,ROUNDUP($H393,0),BP$2)-(INDEX(avoidedcosttbl2,ROUNDDOWN($H393,0),BP$2)))))*'Inputs Yr 2'!P391*'Inputs Yr 2'!Q391*'Inputs Yr 2'!U391,"")</f>
        <v/>
      </c>
      <c r="BQ393" s="230">
        <f t="shared" si="293"/>
        <v>0</v>
      </c>
      <c r="BR393" s="197" t="str">
        <f t="shared" si="248"/>
        <v/>
      </c>
      <c r="BS393" s="197" t="str">
        <f>IFERROR(($G393*IF('Inputs Yr 2'!$AJ391=BM$4,'Inputs Yr 2'!$AK391,IF('Inputs Yr 2'!$AL391=BM$4,'Inputs Yr 2'!$AM391,IF('Inputs Yr 2'!$AN391=BM$4,'Inputs Yr 2'!$AO391,0))))*(INDEX(avoidedcosttbl2,$H393,BS$2)+(($H393-ROUNDDOWN($H393,0))*(INDEX(avoidedcosttbl2,ROUNDUP($H393,0),BS$2)-(INDEX(avoidedcosttbl2,ROUNDDOWN($H393,0),BS$2)))))*'Inputs Yr 2'!P391*'Inputs Yr 2'!Q391*'Inputs Yr 2'!U391,"")</f>
        <v/>
      </c>
      <c r="BT393" s="197" t="str">
        <f>IFERROR(($G393*IF('Inputs Yr 2'!$AJ391=BK$4,'Inputs Yr 2'!$AK391,IF('Inputs Yr 2'!$AL391=BK$4,'Inputs Yr 2'!$AM391,IF('Inputs Yr 2'!$AN391=BK$4,'Inputs Yr 2'!$AO391,0))))*(INDEX(avoidedcosttbl2,$H393,BT$2)+(($H393-ROUNDDOWN($H393,0))*(INDEX(avoidedcosttbl2,ROUNDUP($H393,0),BT$2)-(INDEX(avoidedcosttbl2,ROUNDDOWN($H393,0),BT$2)))))*'Inputs Yr 2'!P391*'Inputs Yr 2'!Q391*'Inputs Yr 2'!U391,"")</f>
        <v/>
      </c>
      <c r="BU393" s="197" t="str">
        <f>IFERROR(($G393*IF('Inputs Yr 2'!$AJ391=BL$4,'Inputs Yr 2'!$AK391,IF('Inputs Yr 2'!$AL391=BL$4,'Inputs Yr 2'!$AM391,IF('Inputs Yr 2'!$AN391=BL$4,'Inputs Yr 2'!$AO391,0))))*(INDEX(avoidedcosttbl2,$H393,BU$2)+(($H393-ROUNDDOWN($H393,0))*(INDEX(avoidedcosttbl2,ROUNDUP($H393,0),BU$2)-(INDEX(avoidedcosttbl2,ROUNDDOWN($H393,0),BU$2)))))*'Inputs Yr 2'!P391*'Inputs Yr 2'!Q391*'Inputs Yr 2'!U391,"")</f>
        <v/>
      </c>
      <c r="BV393" s="775" t="str">
        <f>IFERROR(($G393*IF('Inputs Yr 2'!$AJ391=BJ$4,'Inputs Yr 2'!$AK391,IF('Inputs Yr 2'!$AL391=BJ$4,'Inputs Yr 2'!$AM391,IF('Inputs Yr 2'!$AN391=BJ$4,'Inputs Yr 2'!$AO391,0))))*(INDEX(avoidedcosttbl2,$H393,BV$2)+(($H393-ROUNDDOWN($H393,0))*(INDEX(avoidedcosttbl2,ROUNDUP($H393,0),BV$2)-(INDEX(avoidedcosttbl2,ROUNDDOWN($H393,0),BV$2)))))*'Inputs Yr 2'!P391*'Inputs Yr 2'!Q391*'Inputs Yr 2'!U391,"")</f>
        <v/>
      </c>
      <c r="BW393" s="197" t="str">
        <f>IFERROR(($G393*IF('Inputs Yr 2'!$AJ391=BN$4,'Inputs Yr 2'!$AK391,IF('Inputs Yr 2'!$AL391=BN$4,'Inputs Yr 2'!$AM391,IF('Inputs Yr 2'!$AN391=BN$4,'Inputs Yr 2'!$AO391,0))))*(INDEX(avoidedcosttbl2,$H393,BW$2)+(($H393-ROUNDDOWN($H393,0))*(INDEX(avoidedcosttbl2,ROUNDUP($H393,0),BW$2)-(INDEX(avoidedcosttbl2,ROUNDDOWN($H393,0),BW$2)))))*'Inputs Yr 2'!P391*'Inputs Yr 2'!Q391*'Inputs Yr 2'!U391,"")</f>
        <v/>
      </c>
      <c r="BX393" s="197" t="str">
        <f>IFERROR(($G393*IF('Inputs Yr 2'!$AJ391=BO$4,'Inputs Yr 2'!$AK391,IF('Inputs Yr 2'!$AL391=BO$4,'Inputs Yr 2'!$AM391,IF('Inputs Yr 2'!$AN391=BO$4,'Inputs Yr 2'!$AO391,0))))*(INDEX(avoidedcosttbl2,$H393,BX$2)+(($H393-ROUNDDOWN($H393,0))*(INDEX(avoidedcosttbl2,ROUNDUP($H393,0),BX$2)-(INDEX(avoidedcosttbl2,ROUNDDOWN($H393,0),BX$2)))))*'Inputs Yr 2'!P391*'Inputs Yr 2'!Q391*'Inputs Yr 2'!U391,"")</f>
        <v/>
      </c>
      <c r="BY393" s="197" t="str">
        <f>IFERROR(($G393*IF('Inputs Yr 2'!$AJ391=BP$4,'Inputs Yr 2'!$AK391,IF('Inputs Yr 2'!$AL391=BP$4,'Inputs Yr 2'!$AM391,IF('Inputs Yr 2'!$AN391=BP$4,'Inputs Yr 2'!$AO391,0))))*(INDEX(avoidedcosttbl2,$H393,BY$2)+(($H393-ROUNDDOWN($H393,0))*(INDEX(avoidedcosttbl2,ROUNDUP($H393,0),BY$2)-(INDEX(avoidedcosttbl2,ROUNDDOWN($H393,0),BY$2)))))*'Inputs Yr 2'!P391*'Inputs Yr 2'!Q391*'Inputs Yr 2'!U391,"")</f>
        <v/>
      </c>
      <c r="BZ393" s="193">
        <f t="shared" si="294"/>
        <v>0</v>
      </c>
      <c r="CA393" s="193">
        <f t="shared" si="295"/>
        <v>0</v>
      </c>
      <c r="CB393" s="195" t="str">
        <f>IFERROR(G393*(IF('Inputs Yr 2'!$AJ391=CB$4,'Inputs Yr 2'!$AK391,IF('Inputs Yr 2'!$AL391=CB$4,'Inputs Yr 2'!$AM391,IF('Inputs Yr 2'!$AN391=CB$4,'Inputs Yr 2'!$AO391,0))))*(INDEX(avoidedcosttbl2,$H393,CB$2)+(($H393-ROUNDDOWN($H393,0))*(INDEX(avoidedcosttbl2,ROUNDUP($H393,0),CB$2)-(INDEX(avoidedcosttbl2,ROUNDDOWN($H393,0),CB$2)))))*'Inputs Yr 2'!P391*'Inputs Yr 2'!Q391*'Inputs Yr 2'!U391,"")</f>
        <v/>
      </c>
      <c r="CC393" s="195" t="str">
        <f>IFERROR(H393*(IF('Inputs Yr 2'!$AJ391=CC$4,'Inputs Yr 2'!$AK391,IF('Inputs Yr 2'!$AL391=CC$4,'Inputs Yr 2'!$AM391,IF('Inputs Yr 2'!$AN391=CC$4,'Inputs Yr 2'!$AO391,0))))*(INDEX(avoidedcosttbl2,$H393,CC$2)+(($H393-ROUNDDOWN($H393,0))*(INDEX(avoidedcosttbl2,ROUNDUP($H393,0),CC$2)-(INDEX(avoidedcosttbl2,ROUNDDOWN($H393,0),CC$2)))))*'Inputs Yr 2'!Q391*'Inputs Yr 2'!R391*'Inputs Yr 2'!V391,"")</f>
        <v/>
      </c>
      <c r="CD393" s="195" t="str">
        <f>IFERROR(I393*(IF('Inputs Yr 2'!$AJ391=CD$4,'Inputs Yr 2'!$AK391,IF('Inputs Yr 2'!$AL391=CD$4,'Inputs Yr 2'!$AM391,IF('Inputs Yr 2'!$AN391=CD$4,'Inputs Yr 2'!$AO391,0))))*(INDEX(avoidedcosttbl2,$H393,CD$2)+(($H393-ROUNDDOWN($H393,0))*(INDEX(avoidedcosttbl2,ROUNDUP($H393,0),CD$2)-(INDEX(avoidedcosttbl2,ROUNDDOWN($H393,0),CD$2)))))*'Inputs Yr 2'!R391*'Inputs Yr 2'!S391*'Inputs Yr 2'!W391,"")</f>
        <v/>
      </c>
      <c r="CE393" s="213" t="str">
        <f t="shared" si="251"/>
        <v/>
      </c>
      <c r="CF393" s="213" t="str">
        <f t="shared" si="252"/>
        <v/>
      </c>
      <c r="CG393" s="213" t="str">
        <f t="shared" si="253"/>
        <v/>
      </c>
      <c r="CH393" s="698">
        <f t="shared" si="296"/>
        <v>0</v>
      </c>
      <c r="CI393" s="79" t="str">
        <f>IFERROR(($G393*'Inputs Yr 2'!$P391*'Inputs Yr 2'!$Q391*(((INDEX(avoidedcosttbl2,$H393,CI$2)+(($H393-ROUNDDOWN($H393,0))*(INDEX(avoidedcosttbl2,ROUNDUP($H393,0),CI$2)-INDEX(avoidedcosttbl2,ROUNDDOWN($H393,0),CI$2))))*'Inputs Yr 2'!AS391))),"")</f>
        <v/>
      </c>
      <c r="CJ393" s="504" t="str">
        <f>IFERROR($G393*'Inputs Yr 2'!AT391*'Inputs Yr 2'!$P391*'Inputs Yr 2'!$Q391/((1+realdiscrt1)^-0.5),"")</f>
        <v/>
      </c>
      <c r="CK393" s="79" t="str">
        <f>IFERROR((O393*1000*(((INDEX(avoidedcosttbl2,$H393,CK$2)+(($H393-ROUNDDOWN($H393,0))*(INDEX(avoidedcosttbl2,ROUNDUP($H393,0),CK$2)-INDEX(avoidedcosttbl2,ROUNDDOWN($H393,0),CK$2))))*'Inputs Yr 2'!AU391))),"")</f>
        <v/>
      </c>
      <c r="CL393" s="504" t="str">
        <f>IFERROR(O393*1000*'Inputs Yr 2'!AV391/((1+realdiscrt1)^-0.5),"")</f>
        <v/>
      </c>
      <c r="CM393" s="79" t="str">
        <f>IFERROR((AB393*'Inputs Yr 2'!AW391*(((INDEX(avoidedcosttbl2,$H393,CM$2)+(($H393-ROUNDDOWN($H393,0))*(INDEX(avoidedcosttbl2,ROUNDUP($H393,0),CM$2)-INDEX(avoidedcosttbl2,ROUNDDOWN($H393,0),CM$2)))))))*10,"")</f>
        <v/>
      </c>
      <c r="CN393" s="504">
        <f>IFERROR(10*AB393*'Inputs Yr 2'!AX391/((1+realdiscrt1)^-0.5),"")</f>
        <v>0</v>
      </c>
      <c r="CO393" s="505">
        <f t="shared" si="297"/>
        <v>0</v>
      </c>
      <c r="CP393" s="230">
        <f t="shared" si="298"/>
        <v>0</v>
      </c>
      <c r="CQ393" s="199">
        <f>ROUND(IFERROR(IF(LEFT($A393,1)="C",'Avoided Costs'!$K$13,'Avoided Costs'!$K$12)+1,""),4)</f>
        <v>1.0720000000000001</v>
      </c>
      <c r="CR393" s="199">
        <f>ROUND(IFERROR(IF(LEFT($A393,1)="C",'Avoided Costs'!$L$13,'Avoided Costs'!$L$12)+1,""),4)</f>
        <v>1.04</v>
      </c>
      <c r="CS393" s="199">
        <f>ROUND(IFERROR(IF(LEFT($A393,1)="C",'Avoided Costs'!$M$13,'Avoided Costs'!$M$12)+1,""),4)</f>
        <v>1.0720000000000001</v>
      </c>
      <c r="CT393" s="199">
        <f>ROUND(IFERROR(IF(LEFT($A393,1)="C",'Avoided Costs'!$N$13,'Avoided Costs'!$N$12)+1,""),4)</f>
        <v>1.04</v>
      </c>
      <c r="CU393" s="199">
        <f>ROUND(IFERROR(IF(LEFT($A393,1)="C",'Avoided Costs'!$O$13,'Avoided Costs'!$O$12)+1,""),4)</f>
        <v>1.1120000000000001</v>
      </c>
      <c r="CV393" s="199">
        <f>ROUND(IFERROR(IF(LEFT($A393,1)="C",'Avoided Costs'!$P$13,'Avoided Costs'!$P$12)+1,""),4)</f>
        <v>1.095</v>
      </c>
      <c r="CW393" s="199">
        <f>ROUND(IFERROR(IF(LEFT($A393,1)="C",'Avoided Costs'!$Q$13,'Avoided Costs'!$Q$12)+1,""),4)</f>
        <v>1.1120000000000001</v>
      </c>
      <c r="CX393" s="200">
        <f>ROUND(IFERROR(IF(LEFT($A393,1)="C",'Avoided Costs'!$R$13,'Avoided Costs'!$R$12)+1,""),4)</f>
        <v>1.1120000000000001</v>
      </c>
    </row>
    <row r="397" spans="1:102">
      <c r="I397" s="804">
        <f>SUM(CP94:CP103,CP109:CP111,CP104,CP108)/SUM(I94:I103,I109:I111,I104,I108)</f>
        <v>5.3827678925399258</v>
      </c>
    </row>
    <row r="398" spans="1:102">
      <c r="I398" s="804">
        <f>SUM(CP94:CP111)/SUM(I94:I111)</f>
        <v>4.7189535492198127</v>
      </c>
    </row>
    <row r="401" spans="1:95">
      <c r="A401" s="42"/>
      <c r="B401" s="42"/>
      <c r="C401" s="42"/>
      <c r="D401" s="42"/>
      <c r="E401" s="42"/>
      <c r="F401" s="42"/>
      <c r="G401" s="42"/>
      <c r="H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BA401" s="42"/>
      <c r="BB401" s="42"/>
      <c r="BC401" s="42"/>
      <c r="BD401" s="42"/>
      <c r="BE401" s="42"/>
      <c r="BF401" s="42"/>
      <c r="BG401" s="42"/>
      <c r="BH401" s="42"/>
      <c r="BI401" s="42"/>
      <c r="BJ401" s="42"/>
      <c r="BK401" s="42"/>
      <c r="BL401" s="42"/>
      <c r="BM401" s="42"/>
      <c r="BN401" s="42"/>
      <c r="BO401" s="42"/>
      <c r="BP401" s="42"/>
      <c r="BQ401" s="42"/>
      <c r="BZ401" s="42"/>
      <c r="CA401" s="42"/>
      <c r="CB401" s="42"/>
      <c r="CC401" s="42"/>
      <c r="CD401" s="42"/>
      <c r="CE401" s="42"/>
      <c r="CF401" s="42"/>
      <c r="CG401" s="42"/>
      <c r="CH401" s="42"/>
      <c r="CI401" s="42"/>
      <c r="CJ401" s="42"/>
      <c r="CK401" s="42"/>
      <c r="CL401" s="42"/>
      <c r="CM401" s="42"/>
      <c r="CN401" s="42"/>
      <c r="CO401" s="42"/>
      <c r="CP401" s="42"/>
      <c r="CQ401" s="42"/>
    </row>
    <row r="402" spans="1:9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BA402" s="42"/>
      <c r="BB402" s="42"/>
      <c r="BC402" s="42"/>
      <c r="BD402" s="42"/>
      <c r="BE402" s="42"/>
      <c r="BF402" s="42"/>
      <c r="BG402" s="42"/>
      <c r="BH402" s="42"/>
      <c r="BI402" s="42"/>
      <c r="BJ402" s="42"/>
      <c r="BK402" s="42"/>
      <c r="BL402" s="42"/>
      <c r="BM402" s="42"/>
      <c r="BN402" s="42"/>
      <c r="BO402" s="42"/>
      <c r="BP402" s="42"/>
      <c r="BQ402" s="42"/>
      <c r="BZ402" s="42"/>
      <c r="CA402" s="42"/>
      <c r="CB402" s="42"/>
      <c r="CC402" s="42"/>
      <c r="CD402" s="42"/>
      <c r="CE402" s="42"/>
      <c r="CF402" s="42"/>
      <c r="CG402" s="42"/>
      <c r="CH402" s="42"/>
      <c r="CI402" s="42"/>
      <c r="CJ402" s="42"/>
      <c r="CK402" s="42"/>
      <c r="CL402" s="42"/>
      <c r="CM402" s="42"/>
      <c r="CN402" s="42"/>
      <c r="CO402" s="42"/>
      <c r="CP402" s="42"/>
      <c r="CQ402" s="42"/>
    </row>
    <row r="403" spans="1:9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BA403" s="42"/>
      <c r="BB403" s="42"/>
      <c r="BC403" s="42"/>
      <c r="BD403" s="42"/>
      <c r="BE403" s="42"/>
      <c r="BF403" s="42"/>
      <c r="BG403" s="42"/>
      <c r="BH403" s="42"/>
      <c r="BI403" s="42"/>
      <c r="BJ403" s="42"/>
      <c r="BK403" s="42"/>
      <c r="BL403" s="42"/>
      <c r="BM403" s="42"/>
      <c r="BN403" s="42"/>
      <c r="BO403" s="42"/>
      <c r="BP403" s="42"/>
      <c r="BQ403" s="42"/>
      <c r="BZ403" s="42"/>
      <c r="CA403" s="42"/>
      <c r="CB403" s="42"/>
      <c r="CC403" s="42"/>
      <c r="CD403" s="42"/>
      <c r="CE403" s="42"/>
      <c r="CF403" s="42"/>
      <c r="CG403" s="42"/>
      <c r="CH403" s="42"/>
      <c r="CI403" s="42"/>
      <c r="CJ403" s="42"/>
      <c r="CK403" s="42"/>
      <c r="CL403" s="42"/>
      <c r="CM403" s="42"/>
      <c r="CN403" s="42"/>
      <c r="CO403" s="42"/>
      <c r="CP403" s="42"/>
      <c r="CQ403" s="42"/>
    </row>
    <row r="404" spans="1:9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BA404" s="42"/>
      <c r="BB404" s="42"/>
      <c r="BC404" s="42"/>
      <c r="BD404" s="42"/>
      <c r="BE404" s="42"/>
      <c r="BF404" s="42"/>
      <c r="BG404" s="42"/>
      <c r="BH404" s="42"/>
      <c r="BI404" s="42"/>
      <c r="BJ404" s="42"/>
      <c r="BK404" s="42"/>
      <c r="BL404" s="42"/>
      <c r="BM404" s="42"/>
      <c r="BN404" s="42"/>
      <c r="BO404" s="42"/>
      <c r="BP404" s="42"/>
      <c r="BQ404" s="42"/>
      <c r="BZ404" s="42"/>
      <c r="CA404" s="42"/>
      <c r="CB404" s="42"/>
      <c r="CC404" s="42"/>
      <c r="CD404" s="42"/>
      <c r="CE404" s="42"/>
      <c r="CF404" s="42"/>
      <c r="CG404" s="42"/>
      <c r="CH404" s="42"/>
      <c r="CI404" s="42"/>
      <c r="CJ404" s="42"/>
      <c r="CK404" s="42"/>
      <c r="CL404" s="42"/>
      <c r="CM404" s="42"/>
      <c r="CN404" s="42"/>
      <c r="CO404" s="42"/>
      <c r="CP404" s="42"/>
      <c r="CQ404" s="42"/>
    </row>
    <row r="405" spans="1:9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BA405" s="42"/>
      <c r="BB405" s="42"/>
      <c r="BC405" s="42"/>
      <c r="BD405" s="42"/>
      <c r="BE405" s="42"/>
      <c r="BF405" s="42"/>
      <c r="BG405" s="42"/>
      <c r="BH405" s="42"/>
      <c r="BI405" s="42"/>
      <c r="BJ405" s="42"/>
      <c r="BK405" s="42"/>
      <c r="BL405" s="42"/>
      <c r="BM405" s="42"/>
      <c r="BN405" s="42"/>
      <c r="BO405" s="42"/>
      <c r="BP405" s="42"/>
      <c r="BQ405" s="42"/>
      <c r="BZ405" s="42"/>
      <c r="CA405" s="42"/>
      <c r="CB405" s="42"/>
      <c r="CC405" s="42"/>
      <c r="CD405" s="42"/>
      <c r="CE405" s="42"/>
      <c r="CF405" s="42"/>
      <c r="CG405" s="42"/>
      <c r="CH405" s="42"/>
      <c r="CI405" s="42"/>
      <c r="CJ405" s="42"/>
      <c r="CK405" s="42"/>
      <c r="CL405" s="42"/>
      <c r="CM405" s="42"/>
      <c r="CN405" s="42"/>
      <c r="CO405" s="42"/>
      <c r="CP405" s="42"/>
      <c r="CQ405" s="42"/>
    </row>
    <row r="406" spans="1:9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BA406" s="42"/>
      <c r="BB406" s="42"/>
      <c r="BC406" s="42"/>
      <c r="BD406" s="42"/>
      <c r="BE406" s="42"/>
      <c r="BF406" s="42"/>
      <c r="BG406" s="42"/>
      <c r="BH406" s="42"/>
      <c r="BI406" s="42"/>
      <c r="BJ406" s="42"/>
      <c r="BK406" s="42"/>
      <c r="BL406" s="42"/>
      <c r="BM406" s="42"/>
      <c r="BN406" s="42"/>
      <c r="BO406" s="42"/>
      <c r="BP406" s="42"/>
      <c r="BQ406" s="42"/>
      <c r="BZ406" s="42"/>
      <c r="CA406" s="42"/>
      <c r="CB406" s="42"/>
      <c r="CC406" s="42"/>
      <c r="CD406" s="42"/>
      <c r="CE406" s="42"/>
      <c r="CF406" s="42"/>
      <c r="CG406" s="42"/>
      <c r="CH406" s="42"/>
      <c r="CI406" s="42"/>
      <c r="CJ406" s="42"/>
      <c r="CK406" s="42"/>
      <c r="CL406" s="42"/>
      <c r="CM406" s="42"/>
      <c r="CN406" s="42"/>
      <c r="CO406" s="42"/>
      <c r="CP406" s="42"/>
      <c r="CQ406" s="42"/>
    </row>
    <row r="407" spans="1:9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BA407" s="42"/>
      <c r="BB407" s="42"/>
      <c r="BC407" s="42"/>
      <c r="BD407" s="42"/>
      <c r="BE407" s="42"/>
      <c r="BF407" s="42"/>
      <c r="BG407" s="42"/>
      <c r="BH407" s="42"/>
      <c r="BI407" s="42"/>
      <c r="BJ407" s="42"/>
      <c r="BK407" s="42"/>
      <c r="BL407" s="42"/>
      <c r="BM407" s="42"/>
      <c r="BN407" s="42"/>
      <c r="BO407" s="42"/>
      <c r="BP407" s="42"/>
      <c r="BQ407" s="42"/>
      <c r="BZ407" s="42"/>
      <c r="CA407" s="42"/>
      <c r="CB407" s="42"/>
      <c r="CC407" s="42"/>
      <c r="CD407" s="42"/>
      <c r="CE407" s="42"/>
      <c r="CF407" s="42"/>
      <c r="CG407" s="42"/>
      <c r="CH407" s="42"/>
      <c r="CI407" s="42"/>
      <c r="CJ407" s="42"/>
      <c r="CK407" s="42"/>
      <c r="CL407" s="42"/>
      <c r="CM407" s="42"/>
      <c r="CN407" s="42"/>
      <c r="CO407" s="42"/>
      <c r="CP407" s="42"/>
      <c r="CQ407" s="42"/>
    </row>
    <row r="408" spans="1:9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BA408" s="42"/>
      <c r="BB408" s="42"/>
      <c r="BC408" s="42"/>
      <c r="BD408" s="42"/>
      <c r="BE408" s="42"/>
      <c r="BF408" s="42"/>
      <c r="BG408" s="42"/>
      <c r="BH408" s="42"/>
      <c r="BI408" s="42"/>
      <c r="BJ408" s="42"/>
      <c r="BK408" s="42"/>
      <c r="BL408" s="42"/>
      <c r="BM408" s="42"/>
      <c r="BN408" s="42"/>
      <c r="BO408" s="42"/>
      <c r="BP408" s="42"/>
      <c r="BQ408" s="42"/>
      <c r="BZ408" s="42"/>
      <c r="CA408" s="42"/>
      <c r="CB408" s="42"/>
      <c r="CC408" s="42"/>
      <c r="CD408" s="42"/>
      <c r="CE408" s="42"/>
      <c r="CF408" s="42"/>
      <c r="CG408" s="42"/>
      <c r="CH408" s="42"/>
      <c r="CI408" s="42"/>
      <c r="CJ408" s="42"/>
      <c r="CK408" s="42"/>
      <c r="CL408" s="42"/>
      <c r="CM408" s="42"/>
      <c r="CN408" s="42"/>
      <c r="CO408" s="42"/>
      <c r="CP408" s="42"/>
      <c r="CQ408" s="42"/>
    </row>
    <row r="409" spans="1:9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BA409" s="42"/>
      <c r="BB409" s="42"/>
      <c r="BC409" s="42"/>
      <c r="BD409" s="42"/>
      <c r="BE409" s="42"/>
      <c r="BF409" s="42"/>
      <c r="BG409" s="42"/>
      <c r="BH409" s="42"/>
      <c r="BI409" s="42"/>
      <c r="BJ409" s="42"/>
      <c r="BK409" s="42"/>
      <c r="BL409" s="42"/>
      <c r="BM409" s="42"/>
      <c r="BN409" s="42"/>
      <c r="BO409" s="42"/>
      <c r="BP409" s="42"/>
      <c r="BQ409" s="42"/>
      <c r="BZ409" s="42"/>
      <c r="CA409" s="42"/>
      <c r="CB409" s="42"/>
      <c r="CC409" s="42"/>
      <c r="CD409" s="42"/>
      <c r="CE409" s="42"/>
      <c r="CF409" s="42"/>
      <c r="CG409" s="42"/>
      <c r="CH409" s="42"/>
      <c r="CI409" s="42"/>
      <c r="CJ409" s="42"/>
      <c r="CK409" s="42"/>
      <c r="CL409" s="42"/>
      <c r="CM409" s="42"/>
      <c r="CN409" s="42"/>
      <c r="CO409" s="42"/>
      <c r="CP409" s="42"/>
      <c r="CQ409" s="42"/>
    </row>
    <row r="410" spans="1:9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BA410" s="42"/>
      <c r="BB410" s="42"/>
      <c r="BC410" s="42"/>
      <c r="BD410" s="42"/>
      <c r="BE410" s="42"/>
      <c r="BF410" s="42"/>
      <c r="BG410" s="42"/>
      <c r="BH410" s="42"/>
      <c r="BI410" s="42"/>
      <c r="BJ410" s="42"/>
      <c r="BK410" s="42"/>
      <c r="BL410" s="42"/>
      <c r="BM410" s="42"/>
      <c r="BN410" s="42"/>
      <c r="BO410" s="42"/>
      <c r="BP410" s="42"/>
      <c r="BQ410" s="42"/>
      <c r="BZ410" s="42"/>
      <c r="CA410" s="42"/>
      <c r="CB410" s="42"/>
      <c r="CC410" s="42"/>
      <c r="CD410" s="42"/>
      <c r="CE410" s="42"/>
      <c r="CF410" s="42"/>
      <c r="CG410" s="42"/>
      <c r="CH410" s="42"/>
      <c r="CI410" s="42"/>
      <c r="CJ410" s="42"/>
      <c r="CK410" s="42"/>
      <c r="CL410" s="42"/>
      <c r="CM410" s="42"/>
      <c r="CN410" s="42"/>
      <c r="CO410" s="42"/>
      <c r="CP410" s="42"/>
      <c r="CQ410" s="42"/>
    </row>
    <row r="411" spans="1:9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BA411" s="42"/>
      <c r="BB411" s="42"/>
      <c r="BC411" s="42"/>
      <c r="BD411" s="42"/>
      <c r="BE411" s="42"/>
      <c r="BF411" s="42"/>
      <c r="BG411" s="42"/>
      <c r="BH411" s="42"/>
      <c r="BI411" s="42"/>
      <c r="BJ411" s="42"/>
      <c r="BK411" s="42"/>
      <c r="BL411" s="42"/>
      <c r="BM411" s="42"/>
      <c r="BN411" s="42"/>
      <c r="BO411" s="42"/>
      <c r="BP411" s="42"/>
      <c r="BQ411" s="42"/>
      <c r="BZ411" s="42"/>
      <c r="CA411" s="42"/>
      <c r="CB411" s="42"/>
      <c r="CC411" s="42"/>
      <c r="CD411" s="42"/>
      <c r="CE411" s="42"/>
      <c r="CF411" s="42"/>
      <c r="CG411" s="42"/>
      <c r="CH411" s="42"/>
      <c r="CI411" s="42"/>
      <c r="CJ411" s="42"/>
      <c r="CK411" s="42"/>
      <c r="CL411" s="42"/>
      <c r="CM411" s="42"/>
      <c r="CN411" s="42"/>
      <c r="CO411" s="42"/>
      <c r="CP411" s="42"/>
      <c r="CQ411" s="42"/>
    </row>
    <row r="412" spans="1:9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BA412" s="42"/>
      <c r="BB412" s="42"/>
      <c r="BC412" s="42"/>
      <c r="BD412" s="42"/>
      <c r="BE412" s="42"/>
      <c r="BF412" s="42"/>
      <c r="BG412" s="42"/>
      <c r="BH412" s="42"/>
      <c r="BI412" s="42"/>
      <c r="BJ412" s="42"/>
      <c r="BK412" s="42"/>
      <c r="BL412" s="42"/>
      <c r="BM412" s="42"/>
      <c r="BN412" s="42"/>
      <c r="BO412" s="42"/>
      <c r="BP412" s="42"/>
      <c r="BQ412" s="42"/>
      <c r="BZ412" s="42"/>
      <c r="CA412" s="42"/>
      <c r="CB412" s="42"/>
      <c r="CC412" s="42"/>
      <c r="CD412" s="42"/>
      <c r="CE412" s="42"/>
      <c r="CF412" s="42"/>
      <c r="CG412" s="42"/>
      <c r="CH412" s="42"/>
      <c r="CI412" s="42"/>
      <c r="CJ412" s="42"/>
      <c r="CK412" s="42"/>
      <c r="CL412" s="42"/>
      <c r="CM412" s="42"/>
      <c r="CN412" s="42"/>
      <c r="CO412" s="42"/>
      <c r="CP412" s="42"/>
      <c r="CQ412" s="42"/>
    </row>
    <row r="413" spans="1:9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BA413" s="42"/>
      <c r="BB413" s="42"/>
      <c r="BC413" s="42"/>
      <c r="BD413" s="42"/>
      <c r="BE413" s="42"/>
      <c r="BF413" s="42"/>
      <c r="BG413" s="42"/>
      <c r="BH413" s="42"/>
      <c r="BI413" s="42"/>
      <c r="BJ413" s="42"/>
      <c r="BK413" s="42"/>
      <c r="BL413" s="42"/>
      <c r="BM413" s="42"/>
      <c r="BN413" s="42"/>
      <c r="BO413" s="42"/>
      <c r="BP413" s="42"/>
      <c r="BQ413" s="42"/>
      <c r="BZ413" s="42"/>
      <c r="CA413" s="42"/>
      <c r="CB413" s="42"/>
      <c r="CC413" s="42"/>
      <c r="CD413" s="42"/>
      <c r="CE413" s="42"/>
      <c r="CF413" s="42"/>
      <c r="CG413" s="42"/>
      <c r="CH413" s="42"/>
      <c r="CI413" s="42"/>
      <c r="CJ413" s="42"/>
      <c r="CK413" s="42"/>
      <c r="CL413" s="42"/>
      <c r="CM413" s="42"/>
      <c r="CN413" s="42"/>
      <c r="CO413" s="42"/>
      <c r="CP413" s="42"/>
      <c r="CQ413" s="42"/>
    </row>
    <row r="414" spans="1:9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BA414" s="42"/>
      <c r="BB414" s="42"/>
      <c r="BC414" s="42"/>
      <c r="BD414" s="42"/>
      <c r="BE414" s="42"/>
      <c r="BF414" s="42"/>
      <c r="BG414" s="42"/>
      <c r="BH414" s="42"/>
      <c r="BI414" s="42"/>
      <c r="BJ414" s="42"/>
      <c r="BK414" s="42"/>
      <c r="BL414" s="42"/>
      <c r="BM414" s="42"/>
      <c r="BN414" s="42"/>
      <c r="BO414" s="42"/>
      <c r="BP414" s="42"/>
      <c r="BQ414" s="42"/>
      <c r="BZ414" s="42"/>
      <c r="CA414" s="42"/>
      <c r="CB414" s="42"/>
      <c r="CC414" s="42"/>
      <c r="CD414" s="42"/>
      <c r="CE414" s="42"/>
      <c r="CF414" s="42"/>
      <c r="CG414" s="42"/>
      <c r="CH414" s="42"/>
      <c r="CI414" s="42"/>
      <c r="CJ414" s="42"/>
      <c r="CK414" s="42"/>
      <c r="CL414" s="42"/>
      <c r="CM414" s="42"/>
      <c r="CN414" s="42"/>
      <c r="CO414" s="42"/>
      <c r="CP414" s="42"/>
      <c r="CQ414" s="42"/>
    </row>
    <row r="415" spans="1:9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BA415" s="42"/>
      <c r="BB415" s="42"/>
      <c r="BC415" s="42"/>
      <c r="BD415" s="42"/>
      <c r="BE415" s="42"/>
      <c r="BF415" s="42"/>
      <c r="BG415" s="42"/>
      <c r="BH415" s="42"/>
      <c r="BI415" s="42"/>
      <c r="BJ415" s="42"/>
      <c r="BK415" s="42"/>
      <c r="BL415" s="42"/>
      <c r="BM415" s="42"/>
      <c r="BN415" s="42"/>
      <c r="BO415" s="42"/>
      <c r="BP415" s="42"/>
      <c r="BQ415" s="42"/>
      <c r="BZ415" s="42"/>
      <c r="CA415" s="42"/>
      <c r="CB415" s="42"/>
      <c r="CC415" s="42"/>
      <c r="CD415" s="42"/>
      <c r="CE415" s="42"/>
      <c r="CF415" s="42"/>
      <c r="CG415" s="42"/>
      <c r="CH415" s="42"/>
      <c r="CI415" s="42"/>
      <c r="CJ415" s="42"/>
      <c r="CK415" s="42"/>
      <c r="CL415" s="42"/>
      <c r="CM415" s="42"/>
      <c r="CN415" s="42"/>
      <c r="CO415" s="42"/>
      <c r="CP415" s="42"/>
      <c r="CQ415" s="42"/>
    </row>
    <row r="416" spans="1:9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BA416" s="42"/>
      <c r="BB416" s="42"/>
      <c r="BC416" s="42"/>
      <c r="BD416" s="42"/>
      <c r="BE416" s="42"/>
      <c r="BF416" s="42"/>
      <c r="BG416" s="42"/>
      <c r="BH416" s="42"/>
      <c r="BI416" s="42"/>
      <c r="BJ416" s="42"/>
      <c r="BK416" s="42"/>
      <c r="BL416" s="42"/>
      <c r="BM416" s="42"/>
      <c r="BN416" s="42"/>
      <c r="BO416" s="42"/>
      <c r="BP416" s="42"/>
      <c r="BQ416" s="42"/>
      <c r="BZ416" s="42"/>
      <c r="CA416" s="42"/>
      <c r="CB416" s="42"/>
      <c r="CC416" s="42"/>
      <c r="CD416" s="42"/>
      <c r="CE416" s="42"/>
      <c r="CF416" s="42"/>
      <c r="CG416" s="42"/>
      <c r="CH416" s="42"/>
      <c r="CI416" s="42"/>
      <c r="CJ416" s="42"/>
      <c r="CK416" s="42"/>
      <c r="CL416" s="42"/>
      <c r="CM416" s="42"/>
      <c r="CN416" s="42"/>
      <c r="CO416" s="42"/>
      <c r="CP416" s="42"/>
      <c r="CQ416" s="42"/>
    </row>
    <row r="417" spans="1:9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BA417" s="42"/>
      <c r="BB417" s="42"/>
      <c r="BC417" s="42"/>
      <c r="BD417" s="42"/>
      <c r="BE417" s="42"/>
      <c r="BF417" s="42"/>
      <c r="BG417" s="42"/>
      <c r="BH417" s="42"/>
      <c r="BI417" s="42"/>
      <c r="BJ417" s="42"/>
      <c r="BK417" s="42"/>
      <c r="BL417" s="42"/>
      <c r="BM417" s="42"/>
      <c r="BN417" s="42"/>
      <c r="BO417" s="42"/>
      <c r="BP417" s="42"/>
      <c r="BQ417" s="42"/>
      <c r="BZ417" s="42"/>
      <c r="CA417" s="42"/>
      <c r="CB417" s="42"/>
      <c r="CC417" s="42"/>
      <c r="CD417" s="42"/>
      <c r="CE417" s="42"/>
      <c r="CF417" s="42"/>
      <c r="CG417" s="42"/>
      <c r="CH417" s="42"/>
      <c r="CI417" s="42"/>
      <c r="CJ417" s="42"/>
      <c r="CK417" s="42"/>
      <c r="CL417" s="42"/>
      <c r="CM417" s="42"/>
      <c r="CN417" s="42"/>
      <c r="CO417" s="42"/>
      <c r="CP417" s="42"/>
      <c r="CQ417" s="42"/>
    </row>
    <row r="418" spans="1:9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BA418" s="42"/>
      <c r="BB418" s="42"/>
      <c r="BC418" s="42"/>
      <c r="BD418" s="42"/>
      <c r="BE418" s="42"/>
      <c r="BF418" s="42"/>
      <c r="BG418" s="42"/>
      <c r="BH418" s="42"/>
      <c r="BI418" s="42"/>
      <c r="BJ418" s="42"/>
      <c r="BK418" s="42"/>
      <c r="BL418" s="42"/>
      <c r="BM418" s="42"/>
      <c r="BN418" s="42"/>
      <c r="BO418" s="42"/>
      <c r="BP418" s="42"/>
      <c r="BQ418" s="42"/>
      <c r="BZ418" s="42"/>
      <c r="CA418" s="42"/>
      <c r="CB418" s="42"/>
      <c r="CC418" s="42"/>
      <c r="CD418" s="42"/>
      <c r="CE418" s="42"/>
      <c r="CF418" s="42"/>
      <c r="CG418" s="42"/>
      <c r="CH418" s="42"/>
      <c r="CI418" s="42"/>
      <c r="CJ418" s="42"/>
      <c r="CK418" s="42"/>
      <c r="CL418" s="42"/>
      <c r="CM418" s="42"/>
      <c r="CN418" s="42"/>
      <c r="CO418" s="42"/>
      <c r="CP418" s="42"/>
      <c r="CQ418" s="42"/>
    </row>
    <row r="419" spans="1:9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BA419" s="42"/>
      <c r="BB419" s="42"/>
      <c r="BC419" s="42"/>
      <c r="BD419" s="42"/>
      <c r="BE419" s="42"/>
      <c r="BF419" s="42"/>
      <c r="BG419" s="42"/>
      <c r="BH419" s="42"/>
      <c r="BI419" s="42"/>
      <c r="BJ419" s="42"/>
      <c r="BK419" s="42"/>
      <c r="BL419" s="42"/>
      <c r="BM419" s="42"/>
      <c r="BN419" s="42"/>
      <c r="BO419" s="42"/>
      <c r="BP419" s="42"/>
      <c r="BQ419" s="42"/>
      <c r="BZ419" s="42"/>
      <c r="CA419" s="42"/>
      <c r="CB419" s="42"/>
      <c r="CC419" s="42"/>
      <c r="CD419" s="42"/>
      <c r="CE419" s="42"/>
      <c r="CF419" s="42"/>
      <c r="CG419" s="42"/>
      <c r="CH419" s="42"/>
      <c r="CI419" s="42"/>
      <c r="CJ419" s="42"/>
      <c r="CK419" s="42"/>
      <c r="CL419" s="42"/>
      <c r="CM419" s="42"/>
      <c r="CN419" s="42"/>
      <c r="CO419" s="42"/>
      <c r="CP419" s="42"/>
      <c r="CQ419" s="42"/>
    </row>
    <row r="420" spans="1:9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BA420" s="42"/>
      <c r="BB420" s="42"/>
      <c r="BC420" s="42"/>
      <c r="BD420" s="42"/>
      <c r="BE420" s="42"/>
      <c r="BF420" s="42"/>
      <c r="BG420" s="42"/>
      <c r="BH420" s="42"/>
      <c r="BI420" s="42"/>
      <c r="BJ420" s="42"/>
      <c r="BK420" s="42"/>
      <c r="BL420" s="42"/>
      <c r="BM420" s="42"/>
      <c r="BN420" s="42"/>
      <c r="BO420" s="42"/>
      <c r="BP420" s="42"/>
      <c r="BQ420" s="42"/>
      <c r="BZ420" s="42"/>
      <c r="CA420" s="42"/>
      <c r="CB420" s="42"/>
      <c r="CC420" s="42"/>
      <c r="CD420" s="42"/>
      <c r="CE420" s="42"/>
      <c r="CF420" s="42"/>
      <c r="CG420" s="42"/>
      <c r="CH420" s="42"/>
      <c r="CI420" s="42"/>
      <c r="CJ420" s="42"/>
      <c r="CK420" s="42"/>
      <c r="CL420" s="42"/>
      <c r="CM420" s="42"/>
      <c r="CN420" s="42"/>
      <c r="CO420" s="42"/>
      <c r="CP420" s="42"/>
      <c r="CQ420" s="42"/>
    </row>
    <row r="421" spans="1:9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BA421" s="42"/>
      <c r="BB421" s="42"/>
      <c r="BC421" s="42"/>
      <c r="BD421" s="42"/>
      <c r="BE421" s="42"/>
      <c r="BF421" s="42"/>
      <c r="BG421" s="42"/>
      <c r="BH421" s="42"/>
      <c r="BI421" s="42"/>
      <c r="BJ421" s="42"/>
      <c r="BK421" s="42"/>
      <c r="BL421" s="42"/>
      <c r="BM421" s="42"/>
      <c r="BN421" s="42"/>
      <c r="BO421" s="42"/>
      <c r="BP421" s="42"/>
      <c r="BQ421" s="42"/>
      <c r="BZ421" s="42"/>
      <c r="CA421" s="42"/>
      <c r="CB421" s="42"/>
      <c r="CC421" s="42"/>
      <c r="CD421" s="42"/>
      <c r="CE421" s="42"/>
      <c r="CF421" s="42"/>
      <c r="CG421" s="42"/>
      <c r="CH421" s="42"/>
      <c r="CI421" s="42"/>
      <c r="CJ421" s="42"/>
      <c r="CK421" s="42"/>
      <c r="CL421" s="42"/>
      <c r="CM421" s="42"/>
      <c r="CN421" s="42"/>
      <c r="CO421" s="42"/>
      <c r="CP421" s="42"/>
      <c r="CQ421" s="42"/>
    </row>
    <row r="422" spans="1:9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BA422" s="42"/>
      <c r="BB422" s="42"/>
      <c r="BC422" s="42"/>
      <c r="BD422" s="42"/>
      <c r="BE422" s="42"/>
      <c r="BF422" s="42"/>
      <c r="BG422" s="42"/>
      <c r="BH422" s="42"/>
      <c r="BI422" s="42"/>
      <c r="BJ422" s="42"/>
      <c r="BK422" s="42"/>
      <c r="BL422" s="42"/>
      <c r="BM422" s="42"/>
      <c r="BN422" s="42"/>
      <c r="BO422" s="42"/>
      <c r="BP422" s="42"/>
      <c r="BQ422" s="42"/>
      <c r="BZ422" s="42"/>
      <c r="CA422" s="42"/>
      <c r="CB422" s="42"/>
      <c r="CC422" s="42"/>
      <c r="CD422" s="42"/>
      <c r="CE422" s="42"/>
      <c r="CF422" s="42"/>
      <c r="CG422" s="42"/>
      <c r="CH422" s="42"/>
      <c r="CI422" s="42"/>
      <c r="CJ422" s="42"/>
      <c r="CK422" s="42"/>
      <c r="CL422" s="42"/>
      <c r="CM422" s="42"/>
      <c r="CN422" s="42"/>
      <c r="CO422" s="42"/>
      <c r="CP422" s="42"/>
      <c r="CQ422" s="42"/>
    </row>
    <row r="423" spans="1:9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BA423" s="42"/>
      <c r="BB423" s="42"/>
      <c r="BC423" s="42"/>
      <c r="BD423" s="42"/>
      <c r="BE423" s="42"/>
      <c r="BF423" s="42"/>
      <c r="BG423" s="42"/>
      <c r="BH423" s="42"/>
      <c r="BI423" s="42"/>
      <c r="BJ423" s="42"/>
      <c r="BK423" s="42"/>
      <c r="BL423" s="42"/>
      <c r="BM423" s="42"/>
      <c r="BN423" s="42"/>
      <c r="BO423" s="42"/>
      <c r="BP423" s="42"/>
      <c r="BQ423" s="42"/>
      <c r="BZ423" s="42"/>
      <c r="CA423" s="42"/>
      <c r="CB423" s="42"/>
      <c r="CC423" s="42"/>
      <c r="CD423" s="42"/>
      <c r="CE423" s="42"/>
      <c r="CF423" s="42"/>
      <c r="CG423" s="42"/>
      <c r="CH423" s="42"/>
      <c r="CI423" s="42"/>
      <c r="CJ423" s="42"/>
      <c r="CK423" s="42"/>
      <c r="CL423" s="42"/>
      <c r="CM423" s="42"/>
      <c r="CN423" s="42"/>
      <c r="CO423" s="42"/>
      <c r="CP423" s="42"/>
      <c r="CQ423" s="42"/>
    </row>
    <row r="424" spans="1:9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BA424" s="42"/>
      <c r="BB424" s="42"/>
      <c r="BC424" s="42"/>
      <c r="BD424" s="42"/>
      <c r="BE424" s="42"/>
      <c r="BF424" s="42"/>
      <c r="BG424" s="42"/>
      <c r="BH424" s="42"/>
      <c r="BI424" s="42"/>
      <c r="BJ424" s="42"/>
      <c r="BK424" s="42"/>
      <c r="BL424" s="42"/>
      <c r="BM424" s="42"/>
      <c r="BN424" s="42"/>
      <c r="BO424" s="42"/>
      <c r="BP424" s="42"/>
      <c r="BQ424" s="42"/>
      <c r="BZ424" s="42"/>
      <c r="CA424" s="42"/>
      <c r="CB424" s="42"/>
      <c r="CC424" s="42"/>
      <c r="CD424" s="42"/>
      <c r="CE424" s="42"/>
      <c r="CF424" s="42"/>
      <c r="CG424" s="42"/>
      <c r="CH424" s="42"/>
      <c r="CI424" s="42"/>
      <c r="CJ424" s="42"/>
      <c r="CK424" s="42"/>
      <c r="CL424" s="42"/>
      <c r="CM424" s="42"/>
      <c r="CN424" s="42"/>
      <c r="CO424" s="42"/>
      <c r="CP424" s="42"/>
      <c r="CQ424" s="42"/>
    </row>
    <row r="425" spans="1:9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BA425" s="42"/>
      <c r="BB425" s="42"/>
      <c r="BC425" s="42"/>
      <c r="BD425" s="42"/>
      <c r="BE425" s="42"/>
      <c r="BF425" s="42"/>
      <c r="BG425" s="42"/>
      <c r="BH425" s="42"/>
      <c r="BI425" s="42"/>
      <c r="BJ425" s="42"/>
      <c r="BK425" s="42"/>
      <c r="BL425" s="42"/>
      <c r="BM425" s="42"/>
      <c r="BN425" s="42"/>
      <c r="BO425" s="42"/>
      <c r="BP425" s="42"/>
      <c r="BQ425" s="42"/>
      <c r="BZ425" s="42"/>
      <c r="CA425" s="42"/>
      <c r="CB425" s="42"/>
      <c r="CC425" s="42"/>
      <c r="CD425" s="42"/>
      <c r="CE425" s="42"/>
      <c r="CF425" s="42"/>
      <c r="CG425" s="42"/>
      <c r="CH425" s="42"/>
      <c r="CI425" s="42"/>
      <c r="CJ425" s="42"/>
      <c r="CK425" s="42"/>
      <c r="CL425" s="42"/>
      <c r="CM425" s="42"/>
      <c r="CN425" s="42"/>
      <c r="CO425" s="42"/>
      <c r="CP425" s="42"/>
      <c r="CQ425" s="42"/>
    </row>
    <row r="426" spans="1:9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BA426" s="42"/>
      <c r="BB426" s="42"/>
      <c r="BC426" s="42"/>
      <c r="BD426" s="42"/>
      <c r="BE426" s="42"/>
      <c r="BF426" s="42"/>
      <c r="BG426" s="42"/>
      <c r="BH426" s="42"/>
      <c r="BI426" s="42"/>
      <c r="BJ426" s="42"/>
      <c r="BK426" s="42"/>
      <c r="BL426" s="42"/>
      <c r="BM426" s="42"/>
      <c r="BN426" s="42"/>
      <c r="BO426" s="42"/>
      <c r="BP426" s="42"/>
      <c r="BQ426" s="42"/>
      <c r="BZ426" s="42"/>
      <c r="CA426" s="42"/>
      <c r="CB426" s="42"/>
      <c r="CC426" s="42"/>
      <c r="CD426" s="42"/>
      <c r="CE426" s="42"/>
      <c r="CF426" s="42"/>
      <c r="CG426" s="42"/>
      <c r="CH426" s="42"/>
      <c r="CI426" s="42"/>
      <c r="CJ426" s="42"/>
      <c r="CK426" s="42"/>
      <c r="CL426" s="42"/>
      <c r="CM426" s="42"/>
      <c r="CN426" s="42"/>
      <c r="CO426" s="42"/>
      <c r="CP426" s="42"/>
      <c r="CQ426" s="42"/>
    </row>
    <row r="427" spans="1:9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BA427" s="42"/>
      <c r="BB427" s="42"/>
      <c r="BC427" s="42"/>
      <c r="BD427" s="42"/>
      <c r="BE427" s="42"/>
      <c r="BF427" s="42"/>
      <c r="BG427" s="42"/>
      <c r="BH427" s="42"/>
      <c r="BI427" s="42"/>
      <c r="BJ427" s="42"/>
      <c r="BK427" s="42"/>
      <c r="BL427" s="42"/>
      <c r="BM427" s="42"/>
      <c r="BN427" s="42"/>
      <c r="BO427" s="42"/>
      <c r="BP427" s="42"/>
      <c r="BQ427" s="42"/>
      <c r="BZ427" s="42"/>
      <c r="CA427" s="42"/>
      <c r="CB427" s="42"/>
      <c r="CC427" s="42"/>
      <c r="CD427" s="42"/>
      <c r="CE427" s="42"/>
      <c r="CF427" s="42"/>
      <c r="CG427" s="42"/>
      <c r="CH427" s="42"/>
      <c r="CI427" s="42"/>
      <c r="CJ427" s="42"/>
      <c r="CK427" s="42"/>
      <c r="CL427" s="42"/>
      <c r="CM427" s="42"/>
      <c r="CN427" s="42"/>
      <c r="CO427" s="42"/>
      <c r="CP427" s="42"/>
      <c r="CQ427" s="42"/>
    </row>
    <row r="428" spans="1:9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BA428" s="42"/>
      <c r="BB428" s="42"/>
      <c r="BC428" s="42"/>
      <c r="BD428" s="42"/>
      <c r="BE428" s="42"/>
      <c r="BF428" s="42"/>
      <c r="BG428" s="42"/>
      <c r="BH428" s="42"/>
      <c r="BI428" s="42"/>
      <c r="BJ428" s="42"/>
      <c r="BK428" s="42"/>
      <c r="BL428" s="42"/>
      <c r="BM428" s="42"/>
      <c r="BN428" s="42"/>
      <c r="BO428" s="42"/>
      <c r="BP428" s="42"/>
      <c r="BQ428" s="42"/>
      <c r="BZ428" s="42"/>
      <c r="CA428" s="42"/>
      <c r="CB428" s="42"/>
      <c r="CC428" s="42"/>
      <c r="CD428" s="42"/>
      <c r="CE428" s="42"/>
      <c r="CF428" s="42"/>
      <c r="CG428" s="42"/>
      <c r="CH428" s="42"/>
      <c r="CI428" s="42"/>
      <c r="CJ428" s="42"/>
      <c r="CK428" s="42"/>
      <c r="CL428" s="42"/>
      <c r="CM428" s="42"/>
      <c r="CN428" s="42"/>
      <c r="CO428" s="42"/>
      <c r="CP428" s="42"/>
      <c r="CQ428" s="42"/>
    </row>
    <row r="429" spans="1:9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BA429" s="42"/>
      <c r="BB429" s="42"/>
      <c r="BC429" s="42"/>
      <c r="BD429" s="42"/>
      <c r="BE429" s="42"/>
      <c r="BF429" s="42"/>
      <c r="BG429" s="42"/>
      <c r="BH429" s="42"/>
      <c r="BI429" s="42"/>
      <c r="BJ429" s="42"/>
      <c r="BK429" s="42"/>
      <c r="BL429" s="42"/>
      <c r="BM429" s="42"/>
      <c r="BN429" s="42"/>
      <c r="BO429" s="42"/>
      <c r="BP429" s="42"/>
      <c r="BQ429" s="42"/>
      <c r="BZ429" s="42"/>
      <c r="CA429" s="42"/>
      <c r="CB429" s="42"/>
      <c r="CC429" s="42"/>
      <c r="CD429" s="42"/>
      <c r="CE429" s="42"/>
      <c r="CF429" s="42"/>
      <c r="CG429" s="42"/>
      <c r="CH429" s="42"/>
      <c r="CI429" s="42"/>
      <c r="CJ429" s="42"/>
      <c r="CK429" s="42"/>
      <c r="CL429" s="42"/>
      <c r="CM429" s="42"/>
      <c r="CN429" s="42"/>
      <c r="CO429" s="42"/>
      <c r="CP429" s="42"/>
      <c r="CQ429" s="42"/>
    </row>
    <row r="430" spans="1:9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BA430" s="42"/>
      <c r="BB430" s="42"/>
      <c r="BC430" s="42"/>
      <c r="BD430" s="42"/>
      <c r="BE430" s="42"/>
      <c r="BF430" s="42"/>
      <c r="BG430" s="42"/>
      <c r="BH430" s="42"/>
      <c r="BI430" s="42"/>
      <c r="BJ430" s="42"/>
      <c r="BK430" s="42"/>
      <c r="BL430" s="42"/>
      <c r="BM430" s="42"/>
      <c r="BN430" s="42"/>
      <c r="BO430" s="42"/>
      <c r="BP430" s="42"/>
      <c r="BQ430" s="42"/>
      <c r="BZ430" s="42"/>
      <c r="CA430" s="42"/>
      <c r="CB430" s="42"/>
      <c r="CC430" s="42"/>
      <c r="CD430" s="42"/>
      <c r="CE430" s="42"/>
      <c r="CF430" s="42"/>
      <c r="CG430" s="42"/>
      <c r="CH430" s="42"/>
      <c r="CI430" s="42"/>
      <c r="CJ430" s="42"/>
      <c r="CK430" s="42"/>
      <c r="CL430" s="42"/>
      <c r="CM430" s="42"/>
      <c r="CN430" s="42"/>
      <c r="CO430" s="42"/>
      <c r="CP430" s="42"/>
      <c r="CQ430" s="42"/>
    </row>
    <row r="431" spans="1:9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BA431" s="42"/>
      <c r="BB431" s="42"/>
      <c r="BC431" s="42"/>
      <c r="BD431" s="42"/>
      <c r="BE431" s="42"/>
      <c r="BF431" s="42"/>
      <c r="BG431" s="42"/>
      <c r="BH431" s="42"/>
      <c r="BI431" s="42"/>
      <c r="BJ431" s="42"/>
      <c r="BK431" s="42"/>
      <c r="BL431" s="42"/>
      <c r="BM431" s="42"/>
      <c r="BN431" s="42"/>
      <c r="BO431" s="42"/>
      <c r="BP431" s="42"/>
      <c r="BQ431" s="42"/>
      <c r="BZ431" s="42"/>
      <c r="CA431" s="42"/>
      <c r="CB431" s="42"/>
      <c r="CC431" s="42"/>
      <c r="CD431" s="42"/>
      <c r="CE431" s="42"/>
      <c r="CF431" s="42"/>
      <c r="CG431" s="42"/>
      <c r="CH431" s="42"/>
      <c r="CI431" s="42"/>
      <c r="CJ431" s="42"/>
      <c r="CK431" s="42"/>
      <c r="CL431" s="42"/>
      <c r="CM431" s="42"/>
      <c r="CN431" s="42"/>
      <c r="CO431" s="42"/>
      <c r="CP431" s="42"/>
      <c r="CQ431" s="42"/>
    </row>
    <row r="432" spans="1:9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BA432" s="42"/>
      <c r="BB432" s="42"/>
      <c r="BC432" s="42"/>
      <c r="BD432" s="42"/>
      <c r="BE432" s="42"/>
      <c r="BF432" s="42"/>
      <c r="BG432" s="42"/>
      <c r="BH432" s="42"/>
      <c r="BI432" s="42"/>
      <c r="BJ432" s="42"/>
      <c r="BK432" s="42"/>
      <c r="BL432" s="42"/>
      <c r="BM432" s="42"/>
      <c r="BN432" s="42"/>
      <c r="BO432" s="42"/>
      <c r="BP432" s="42"/>
      <c r="BQ432" s="42"/>
      <c r="BZ432" s="42"/>
      <c r="CA432" s="42"/>
      <c r="CB432" s="42"/>
      <c r="CC432" s="42"/>
      <c r="CD432" s="42"/>
      <c r="CE432" s="42"/>
      <c r="CF432" s="42"/>
      <c r="CG432" s="42"/>
      <c r="CH432" s="42"/>
      <c r="CI432" s="42"/>
      <c r="CJ432" s="42"/>
      <c r="CK432" s="42"/>
      <c r="CL432" s="42"/>
      <c r="CM432" s="42"/>
      <c r="CN432" s="42"/>
      <c r="CO432" s="42"/>
      <c r="CP432" s="42"/>
      <c r="CQ432" s="42"/>
    </row>
    <row r="433" spans="1:9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BA433" s="42"/>
      <c r="BB433" s="42"/>
      <c r="BC433" s="42"/>
      <c r="BD433" s="42"/>
      <c r="BE433" s="42"/>
      <c r="BF433" s="42"/>
      <c r="BG433" s="42"/>
      <c r="BH433" s="42"/>
      <c r="BI433" s="42"/>
      <c r="BJ433" s="42"/>
      <c r="BK433" s="42"/>
      <c r="BL433" s="42"/>
      <c r="BM433" s="42"/>
      <c r="BN433" s="42"/>
      <c r="BO433" s="42"/>
      <c r="BP433" s="42"/>
      <c r="BQ433" s="42"/>
      <c r="BZ433" s="42"/>
      <c r="CA433" s="42"/>
      <c r="CB433" s="42"/>
      <c r="CC433" s="42"/>
      <c r="CD433" s="42"/>
      <c r="CE433" s="42"/>
      <c r="CF433" s="42"/>
      <c r="CG433" s="42"/>
      <c r="CH433" s="42"/>
      <c r="CI433" s="42"/>
      <c r="CJ433" s="42"/>
      <c r="CK433" s="42"/>
      <c r="CL433" s="42"/>
      <c r="CM433" s="42"/>
      <c r="CN433" s="42"/>
      <c r="CO433" s="42"/>
      <c r="CP433" s="42"/>
      <c r="CQ433" s="42"/>
    </row>
    <row r="434" spans="1:9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BA434" s="42"/>
      <c r="BB434" s="42"/>
      <c r="BC434" s="42"/>
      <c r="BD434" s="42"/>
      <c r="BE434" s="42"/>
      <c r="BF434" s="42"/>
      <c r="BG434" s="42"/>
      <c r="BH434" s="42"/>
      <c r="BI434" s="42"/>
      <c r="BJ434" s="42"/>
      <c r="BK434" s="42"/>
      <c r="BL434" s="42"/>
      <c r="BM434" s="42"/>
      <c r="BN434" s="42"/>
      <c r="BO434" s="42"/>
      <c r="BP434" s="42"/>
      <c r="BQ434" s="42"/>
      <c r="BZ434" s="42"/>
      <c r="CA434" s="42"/>
      <c r="CB434" s="42"/>
      <c r="CC434" s="42"/>
      <c r="CD434" s="42"/>
      <c r="CE434" s="42"/>
      <c r="CF434" s="42"/>
      <c r="CG434" s="42"/>
      <c r="CH434" s="42"/>
      <c r="CI434" s="42"/>
      <c r="CJ434" s="42"/>
      <c r="CK434" s="42"/>
      <c r="CL434" s="42"/>
      <c r="CM434" s="42"/>
      <c r="CN434" s="42"/>
      <c r="CO434" s="42"/>
      <c r="CP434" s="42"/>
      <c r="CQ434" s="42"/>
    </row>
    <row r="435" spans="1:9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BA435" s="42"/>
      <c r="BB435" s="42"/>
      <c r="BC435" s="42"/>
      <c r="BD435" s="42"/>
      <c r="BE435" s="42"/>
      <c r="BF435" s="42"/>
      <c r="BG435" s="42"/>
      <c r="BH435" s="42"/>
      <c r="BI435" s="42"/>
      <c r="BJ435" s="42"/>
      <c r="BK435" s="42"/>
      <c r="BL435" s="42"/>
      <c r="BM435" s="42"/>
      <c r="BN435" s="42"/>
      <c r="BO435" s="42"/>
      <c r="BP435" s="42"/>
      <c r="BQ435" s="42"/>
      <c r="BZ435" s="42"/>
      <c r="CA435" s="42"/>
      <c r="CB435" s="42"/>
      <c r="CC435" s="42"/>
      <c r="CD435" s="42"/>
      <c r="CE435" s="42"/>
      <c r="CF435" s="42"/>
      <c r="CG435" s="42"/>
      <c r="CH435" s="42"/>
      <c r="CI435" s="42"/>
      <c r="CJ435" s="42"/>
      <c r="CK435" s="42"/>
      <c r="CL435" s="42"/>
      <c r="CM435" s="42"/>
      <c r="CN435" s="42"/>
      <c r="CO435" s="42"/>
      <c r="CP435" s="42"/>
      <c r="CQ435" s="42"/>
    </row>
    <row r="436" spans="1:9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BA436" s="42"/>
      <c r="BB436" s="42"/>
      <c r="BC436" s="42"/>
      <c r="BD436" s="42"/>
      <c r="BE436" s="42"/>
      <c r="BF436" s="42"/>
      <c r="BG436" s="42"/>
      <c r="BH436" s="42"/>
      <c r="BI436" s="42"/>
      <c r="BJ436" s="42"/>
      <c r="BK436" s="42"/>
      <c r="BL436" s="42"/>
      <c r="BM436" s="42"/>
      <c r="BN436" s="42"/>
      <c r="BO436" s="42"/>
      <c r="BP436" s="42"/>
      <c r="BQ436" s="42"/>
      <c r="BZ436" s="42"/>
      <c r="CA436" s="42"/>
      <c r="CB436" s="42"/>
      <c r="CC436" s="42"/>
      <c r="CD436" s="42"/>
      <c r="CE436" s="42"/>
      <c r="CF436" s="42"/>
      <c r="CG436" s="42"/>
      <c r="CH436" s="42"/>
      <c r="CI436" s="42"/>
      <c r="CJ436" s="42"/>
      <c r="CK436" s="42"/>
      <c r="CL436" s="42"/>
      <c r="CM436" s="42"/>
      <c r="CN436" s="42"/>
      <c r="CO436" s="42"/>
      <c r="CP436" s="42"/>
      <c r="CQ436" s="42"/>
    </row>
    <row r="437" spans="1:9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BA437" s="42"/>
      <c r="BB437" s="42"/>
      <c r="BC437" s="42"/>
      <c r="BD437" s="42"/>
      <c r="BE437" s="42"/>
      <c r="BF437" s="42"/>
      <c r="BG437" s="42"/>
      <c r="BH437" s="42"/>
      <c r="BI437" s="42"/>
      <c r="BJ437" s="42"/>
      <c r="BK437" s="42"/>
      <c r="BL437" s="42"/>
      <c r="BM437" s="42"/>
      <c r="BN437" s="42"/>
      <c r="BO437" s="42"/>
      <c r="BP437" s="42"/>
      <c r="BQ437" s="42"/>
      <c r="BZ437" s="42"/>
      <c r="CA437" s="42"/>
      <c r="CB437" s="42"/>
      <c r="CC437" s="42"/>
      <c r="CD437" s="42"/>
      <c r="CE437" s="42"/>
      <c r="CF437" s="42"/>
      <c r="CG437" s="42"/>
      <c r="CH437" s="42"/>
      <c r="CI437" s="42"/>
      <c r="CJ437" s="42"/>
      <c r="CK437" s="42"/>
      <c r="CL437" s="42"/>
      <c r="CM437" s="42"/>
      <c r="CN437" s="42"/>
      <c r="CO437" s="42"/>
      <c r="CP437" s="42"/>
      <c r="CQ437" s="42"/>
    </row>
    <row r="438" spans="1:9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BA438" s="42"/>
      <c r="BB438" s="42"/>
      <c r="BC438" s="42"/>
      <c r="BD438" s="42"/>
      <c r="BE438" s="42"/>
      <c r="BF438" s="42"/>
      <c r="BG438" s="42"/>
      <c r="BH438" s="42"/>
      <c r="BI438" s="42"/>
      <c r="BJ438" s="42"/>
      <c r="BK438" s="42"/>
      <c r="BL438" s="42"/>
      <c r="BM438" s="42"/>
      <c r="BN438" s="42"/>
      <c r="BO438" s="42"/>
      <c r="BP438" s="42"/>
      <c r="BQ438" s="42"/>
      <c r="BZ438" s="42"/>
      <c r="CA438" s="42"/>
      <c r="CB438" s="42"/>
      <c r="CC438" s="42"/>
      <c r="CD438" s="42"/>
      <c r="CE438" s="42"/>
      <c r="CF438" s="42"/>
      <c r="CG438" s="42"/>
      <c r="CH438" s="42"/>
      <c r="CI438" s="42"/>
      <c r="CJ438" s="42"/>
      <c r="CK438" s="42"/>
      <c r="CL438" s="42"/>
      <c r="CM438" s="42"/>
      <c r="CN438" s="42"/>
      <c r="CO438" s="42"/>
      <c r="CP438" s="42"/>
      <c r="CQ438" s="42"/>
    </row>
    <row r="439" spans="1:9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BA439" s="42"/>
      <c r="BB439" s="42"/>
      <c r="BC439" s="42"/>
      <c r="BD439" s="42"/>
      <c r="BE439" s="42"/>
      <c r="BF439" s="42"/>
      <c r="BG439" s="42"/>
      <c r="BH439" s="42"/>
      <c r="BI439" s="42"/>
      <c r="BJ439" s="42"/>
      <c r="BK439" s="42"/>
      <c r="BL439" s="42"/>
      <c r="BM439" s="42"/>
      <c r="BN439" s="42"/>
      <c r="BO439" s="42"/>
      <c r="BP439" s="42"/>
      <c r="BQ439" s="42"/>
      <c r="BZ439" s="42"/>
      <c r="CA439" s="42"/>
      <c r="CB439" s="42"/>
      <c r="CC439" s="42"/>
      <c r="CD439" s="42"/>
      <c r="CE439" s="42"/>
      <c r="CF439" s="42"/>
      <c r="CG439" s="42"/>
      <c r="CH439" s="42"/>
      <c r="CI439" s="42"/>
      <c r="CJ439" s="42"/>
      <c r="CK439" s="42"/>
      <c r="CL439" s="42"/>
      <c r="CM439" s="42"/>
      <c r="CN439" s="42"/>
      <c r="CO439" s="42"/>
      <c r="CP439" s="42"/>
      <c r="CQ439" s="42"/>
    </row>
    <row r="440" spans="1:9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BA440" s="42"/>
      <c r="BB440" s="42"/>
      <c r="BC440" s="42"/>
      <c r="BD440" s="42"/>
      <c r="BE440" s="42"/>
      <c r="BF440" s="42"/>
      <c r="BG440" s="42"/>
      <c r="BH440" s="42"/>
      <c r="BI440" s="42"/>
      <c r="BJ440" s="42"/>
      <c r="BK440" s="42"/>
      <c r="BL440" s="42"/>
      <c r="BM440" s="42"/>
      <c r="BN440" s="42"/>
      <c r="BO440" s="42"/>
      <c r="BP440" s="42"/>
      <c r="BQ440" s="42"/>
      <c r="BZ440" s="42"/>
      <c r="CA440" s="42"/>
      <c r="CB440" s="42"/>
      <c r="CC440" s="42"/>
      <c r="CD440" s="42"/>
      <c r="CE440" s="42"/>
      <c r="CF440" s="42"/>
      <c r="CG440" s="42"/>
      <c r="CH440" s="42"/>
      <c r="CI440" s="42"/>
      <c r="CJ440" s="42"/>
      <c r="CK440" s="42"/>
      <c r="CL440" s="42"/>
      <c r="CM440" s="42"/>
      <c r="CN440" s="42"/>
      <c r="CO440" s="42"/>
      <c r="CP440" s="42"/>
      <c r="CQ440" s="42"/>
    </row>
    <row r="441" spans="1:9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BA441" s="42"/>
      <c r="BB441" s="42"/>
      <c r="BC441" s="42"/>
      <c r="BD441" s="42"/>
      <c r="BE441" s="42"/>
      <c r="BF441" s="42"/>
      <c r="BG441" s="42"/>
      <c r="BH441" s="42"/>
      <c r="BI441" s="42"/>
      <c r="BJ441" s="42"/>
      <c r="BK441" s="42"/>
      <c r="BL441" s="42"/>
      <c r="BM441" s="42"/>
      <c r="BN441" s="42"/>
      <c r="BO441" s="42"/>
      <c r="BP441" s="42"/>
      <c r="BQ441" s="42"/>
      <c r="BZ441" s="42"/>
      <c r="CA441" s="42"/>
      <c r="CB441" s="42"/>
      <c r="CC441" s="42"/>
      <c r="CD441" s="42"/>
      <c r="CE441" s="42"/>
      <c r="CF441" s="42"/>
      <c r="CG441" s="42"/>
      <c r="CH441" s="42"/>
      <c r="CI441" s="42"/>
      <c r="CJ441" s="42"/>
      <c r="CK441" s="42"/>
      <c r="CL441" s="42"/>
      <c r="CM441" s="42"/>
      <c r="CN441" s="42"/>
      <c r="CO441" s="42"/>
      <c r="CP441" s="42"/>
      <c r="CQ441" s="42"/>
    </row>
    <row r="442" spans="1:9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BA442" s="42"/>
      <c r="BB442" s="42"/>
      <c r="BC442" s="42"/>
      <c r="BD442" s="42"/>
      <c r="BE442" s="42"/>
      <c r="BF442" s="42"/>
      <c r="BG442" s="42"/>
      <c r="BH442" s="42"/>
      <c r="BI442" s="42"/>
      <c r="BJ442" s="42"/>
      <c r="BK442" s="42"/>
      <c r="BL442" s="42"/>
      <c r="BM442" s="42"/>
      <c r="BN442" s="42"/>
      <c r="BO442" s="42"/>
      <c r="BP442" s="42"/>
      <c r="BQ442" s="42"/>
      <c r="BZ442" s="42"/>
      <c r="CA442" s="42"/>
      <c r="CB442" s="42"/>
      <c r="CC442" s="42"/>
      <c r="CD442" s="42"/>
      <c r="CE442" s="42"/>
      <c r="CF442" s="42"/>
      <c r="CG442" s="42"/>
      <c r="CH442" s="42"/>
      <c r="CI442" s="42"/>
      <c r="CJ442" s="42"/>
      <c r="CK442" s="42"/>
      <c r="CL442" s="42"/>
      <c r="CM442" s="42"/>
      <c r="CN442" s="42"/>
      <c r="CO442" s="42"/>
      <c r="CP442" s="42"/>
      <c r="CQ442" s="42"/>
    </row>
    <row r="443" spans="1:9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BA443" s="42"/>
      <c r="BB443" s="42"/>
      <c r="BC443" s="42"/>
      <c r="BD443" s="42"/>
      <c r="BE443" s="42"/>
      <c r="BF443" s="42"/>
      <c r="BG443" s="42"/>
      <c r="BH443" s="42"/>
      <c r="BI443" s="42"/>
      <c r="BJ443" s="42"/>
      <c r="BK443" s="42"/>
      <c r="BL443" s="42"/>
      <c r="BM443" s="42"/>
      <c r="BN443" s="42"/>
      <c r="BO443" s="42"/>
      <c r="BP443" s="42"/>
      <c r="BQ443" s="42"/>
      <c r="BZ443" s="42"/>
      <c r="CA443" s="42"/>
      <c r="CB443" s="42"/>
      <c r="CC443" s="42"/>
      <c r="CD443" s="42"/>
      <c r="CE443" s="42"/>
      <c r="CF443" s="42"/>
      <c r="CG443" s="42"/>
      <c r="CH443" s="42"/>
      <c r="CI443" s="42"/>
      <c r="CJ443" s="42"/>
      <c r="CK443" s="42"/>
      <c r="CL443" s="42"/>
      <c r="CM443" s="42"/>
      <c r="CN443" s="42"/>
      <c r="CO443" s="42"/>
      <c r="CP443" s="42"/>
      <c r="CQ443" s="42"/>
    </row>
    <row r="444" spans="1:9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BA444" s="42"/>
      <c r="BB444" s="42"/>
      <c r="BC444" s="42"/>
      <c r="BD444" s="42"/>
      <c r="BE444" s="42"/>
      <c r="BF444" s="42"/>
      <c r="BG444" s="42"/>
      <c r="BH444" s="42"/>
      <c r="BI444" s="42"/>
      <c r="BJ444" s="42"/>
      <c r="BK444" s="42"/>
      <c r="BL444" s="42"/>
      <c r="BM444" s="42"/>
      <c r="BN444" s="42"/>
      <c r="BO444" s="42"/>
      <c r="BP444" s="42"/>
      <c r="BQ444" s="42"/>
      <c r="BZ444" s="42"/>
      <c r="CA444" s="42"/>
      <c r="CB444" s="42"/>
      <c r="CC444" s="42"/>
      <c r="CD444" s="42"/>
      <c r="CE444" s="42"/>
      <c r="CF444" s="42"/>
      <c r="CG444" s="42"/>
      <c r="CH444" s="42"/>
      <c r="CI444" s="42"/>
      <c r="CJ444" s="42"/>
      <c r="CK444" s="42"/>
      <c r="CL444" s="42"/>
      <c r="CM444" s="42"/>
      <c r="CN444" s="42"/>
      <c r="CO444" s="42"/>
      <c r="CP444" s="42"/>
      <c r="CQ444" s="42"/>
    </row>
    <row r="445" spans="1:9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BA445" s="42"/>
      <c r="BB445" s="42"/>
      <c r="BC445" s="42"/>
      <c r="BD445" s="42"/>
      <c r="BE445" s="42"/>
      <c r="BF445" s="42"/>
      <c r="BG445" s="42"/>
      <c r="BH445" s="42"/>
      <c r="BI445" s="42"/>
      <c r="BJ445" s="42"/>
      <c r="BK445" s="42"/>
      <c r="BL445" s="42"/>
      <c r="BM445" s="42"/>
      <c r="BN445" s="42"/>
      <c r="BO445" s="42"/>
      <c r="BP445" s="42"/>
      <c r="BQ445" s="42"/>
      <c r="BZ445" s="42"/>
      <c r="CA445" s="42"/>
      <c r="CB445" s="42"/>
      <c r="CC445" s="42"/>
      <c r="CD445" s="42"/>
      <c r="CE445" s="42"/>
      <c r="CF445" s="42"/>
      <c r="CG445" s="42"/>
      <c r="CH445" s="42"/>
      <c r="CI445" s="42"/>
      <c r="CJ445" s="42"/>
      <c r="CK445" s="42"/>
      <c r="CL445" s="42"/>
      <c r="CM445" s="42"/>
      <c r="CN445" s="42"/>
      <c r="CO445" s="42"/>
      <c r="CP445" s="42"/>
      <c r="CQ445" s="42"/>
    </row>
    <row r="446" spans="1:9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BA446" s="42"/>
      <c r="BB446" s="42"/>
      <c r="BC446" s="42"/>
      <c r="BD446" s="42"/>
      <c r="BE446" s="42"/>
      <c r="BF446" s="42"/>
      <c r="BG446" s="42"/>
      <c r="BH446" s="42"/>
      <c r="BI446" s="42"/>
      <c r="BJ446" s="42"/>
      <c r="BK446" s="42"/>
      <c r="BL446" s="42"/>
      <c r="BM446" s="42"/>
      <c r="BN446" s="42"/>
      <c r="BO446" s="42"/>
      <c r="BP446" s="42"/>
      <c r="BQ446" s="42"/>
      <c r="BZ446" s="42"/>
      <c r="CA446" s="42"/>
      <c r="CB446" s="42"/>
      <c r="CC446" s="42"/>
      <c r="CD446" s="42"/>
      <c r="CE446" s="42"/>
      <c r="CF446" s="42"/>
      <c r="CG446" s="42"/>
      <c r="CH446" s="42"/>
      <c r="CI446" s="42"/>
      <c r="CJ446" s="42"/>
      <c r="CK446" s="42"/>
      <c r="CL446" s="42"/>
      <c r="CM446" s="42"/>
      <c r="CN446" s="42"/>
      <c r="CO446" s="42"/>
      <c r="CP446" s="42"/>
      <c r="CQ446" s="42"/>
    </row>
    <row r="447" spans="1:9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BA447" s="42"/>
      <c r="BB447" s="42"/>
      <c r="BC447" s="42"/>
      <c r="BD447" s="42"/>
      <c r="BE447" s="42"/>
      <c r="BF447" s="42"/>
      <c r="BG447" s="42"/>
      <c r="BH447" s="42"/>
      <c r="BI447" s="42"/>
      <c r="BJ447" s="42"/>
      <c r="BK447" s="42"/>
      <c r="BL447" s="42"/>
      <c r="BM447" s="42"/>
      <c r="BN447" s="42"/>
      <c r="BO447" s="42"/>
      <c r="BP447" s="42"/>
      <c r="BQ447" s="42"/>
      <c r="BZ447" s="42"/>
      <c r="CA447" s="42"/>
      <c r="CB447" s="42"/>
      <c r="CC447" s="42"/>
      <c r="CD447" s="42"/>
      <c r="CE447" s="42"/>
      <c r="CF447" s="42"/>
      <c r="CG447" s="42"/>
      <c r="CH447" s="42"/>
      <c r="CI447" s="42"/>
      <c r="CJ447" s="42"/>
      <c r="CK447" s="42"/>
      <c r="CL447" s="42"/>
      <c r="CM447" s="42"/>
      <c r="CN447" s="42"/>
      <c r="CO447" s="42"/>
      <c r="CP447" s="42"/>
      <c r="CQ447" s="42"/>
    </row>
    <row r="448" spans="1:9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BA448" s="42"/>
      <c r="BB448" s="42"/>
      <c r="BC448" s="42"/>
      <c r="BD448" s="42"/>
      <c r="BE448" s="42"/>
      <c r="BF448" s="42"/>
      <c r="BG448" s="42"/>
      <c r="BH448" s="42"/>
      <c r="BI448" s="42"/>
      <c r="BJ448" s="42"/>
      <c r="BK448" s="42"/>
      <c r="BL448" s="42"/>
      <c r="BM448" s="42"/>
      <c r="BN448" s="42"/>
      <c r="BO448" s="42"/>
      <c r="BP448" s="42"/>
      <c r="BQ448" s="42"/>
      <c r="BZ448" s="42"/>
      <c r="CA448" s="42"/>
      <c r="CB448" s="42"/>
      <c r="CC448" s="42"/>
      <c r="CD448" s="42"/>
      <c r="CE448" s="42"/>
      <c r="CF448" s="42"/>
      <c r="CG448" s="42"/>
      <c r="CH448" s="42"/>
      <c r="CI448" s="42"/>
      <c r="CJ448" s="42"/>
      <c r="CK448" s="42"/>
      <c r="CL448" s="42"/>
      <c r="CM448" s="42"/>
      <c r="CN448" s="42"/>
      <c r="CO448" s="42"/>
      <c r="CP448" s="42"/>
      <c r="CQ448" s="42"/>
    </row>
    <row r="449" spans="1:9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BA449" s="42"/>
      <c r="BB449" s="42"/>
      <c r="BC449" s="42"/>
      <c r="BD449" s="42"/>
      <c r="BE449" s="42"/>
      <c r="BF449" s="42"/>
      <c r="BG449" s="42"/>
      <c r="BH449" s="42"/>
      <c r="BI449" s="42"/>
      <c r="BJ449" s="42"/>
      <c r="BK449" s="42"/>
      <c r="BL449" s="42"/>
      <c r="BM449" s="42"/>
      <c r="BN449" s="42"/>
      <c r="BO449" s="42"/>
      <c r="BP449" s="42"/>
      <c r="BQ449" s="42"/>
      <c r="BZ449" s="42"/>
      <c r="CA449" s="42"/>
      <c r="CB449" s="42"/>
      <c r="CC449" s="42"/>
      <c r="CD449" s="42"/>
      <c r="CE449" s="42"/>
      <c r="CF449" s="42"/>
      <c r="CG449" s="42"/>
      <c r="CH449" s="42"/>
      <c r="CI449" s="42"/>
      <c r="CJ449" s="42"/>
      <c r="CK449" s="42"/>
      <c r="CL449" s="42"/>
      <c r="CM449" s="42"/>
      <c r="CN449" s="42"/>
      <c r="CO449" s="42"/>
      <c r="CP449" s="42"/>
      <c r="CQ449" s="42"/>
    </row>
    <row r="450" spans="1:9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BA450" s="42"/>
      <c r="BB450" s="42"/>
      <c r="BC450" s="42"/>
      <c r="BD450" s="42"/>
      <c r="BE450" s="42"/>
      <c r="BF450" s="42"/>
      <c r="BG450" s="42"/>
      <c r="BH450" s="42"/>
      <c r="BI450" s="42"/>
      <c r="BJ450" s="42"/>
      <c r="BK450" s="42"/>
      <c r="BL450" s="42"/>
      <c r="BM450" s="42"/>
      <c r="BN450" s="42"/>
      <c r="BO450" s="42"/>
      <c r="BP450" s="42"/>
      <c r="BQ450" s="42"/>
      <c r="BZ450" s="42"/>
      <c r="CA450" s="42"/>
      <c r="CB450" s="42"/>
      <c r="CC450" s="42"/>
      <c r="CD450" s="42"/>
      <c r="CE450" s="42"/>
      <c r="CF450" s="42"/>
      <c r="CG450" s="42"/>
      <c r="CH450" s="42"/>
      <c r="CI450" s="42"/>
      <c r="CJ450" s="42"/>
      <c r="CK450" s="42"/>
      <c r="CL450" s="42"/>
      <c r="CM450" s="42"/>
      <c r="CN450" s="42"/>
      <c r="CO450" s="42"/>
      <c r="CP450" s="42"/>
      <c r="CQ450" s="42"/>
    </row>
    <row r="451" spans="1:9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BA451" s="42"/>
      <c r="BB451" s="42"/>
      <c r="BC451" s="42"/>
      <c r="BD451" s="42"/>
      <c r="BE451" s="42"/>
      <c r="BF451" s="42"/>
      <c r="BG451" s="42"/>
      <c r="BH451" s="42"/>
      <c r="BI451" s="42"/>
      <c r="BJ451" s="42"/>
      <c r="BK451" s="42"/>
      <c r="BL451" s="42"/>
      <c r="BM451" s="42"/>
      <c r="BN451" s="42"/>
      <c r="BO451" s="42"/>
      <c r="BP451" s="42"/>
      <c r="BQ451" s="42"/>
      <c r="BZ451" s="42"/>
      <c r="CA451" s="42"/>
      <c r="CB451" s="42"/>
      <c r="CC451" s="42"/>
      <c r="CD451" s="42"/>
      <c r="CE451" s="42"/>
      <c r="CF451" s="42"/>
      <c r="CG451" s="42"/>
      <c r="CH451" s="42"/>
      <c r="CI451" s="42"/>
      <c r="CJ451" s="42"/>
      <c r="CK451" s="42"/>
      <c r="CL451" s="42"/>
      <c r="CM451" s="42"/>
      <c r="CN451" s="42"/>
      <c r="CO451" s="42"/>
      <c r="CP451" s="42"/>
      <c r="CQ451" s="42"/>
    </row>
    <row r="452" spans="1:9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BA452" s="42"/>
      <c r="BB452" s="42"/>
      <c r="BC452" s="42"/>
      <c r="BD452" s="42"/>
      <c r="BE452" s="42"/>
      <c r="BF452" s="42"/>
      <c r="BG452" s="42"/>
      <c r="BH452" s="42"/>
      <c r="BI452" s="42"/>
      <c r="BJ452" s="42"/>
      <c r="BK452" s="42"/>
      <c r="BL452" s="42"/>
      <c r="BM452" s="42"/>
      <c r="BN452" s="42"/>
      <c r="BO452" s="42"/>
      <c r="BP452" s="42"/>
      <c r="BQ452" s="42"/>
      <c r="BZ452" s="42"/>
      <c r="CA452" s="42"/>
      <c r="CB452" s="42"/>
      <c r="CC452" s="42"/>
      <c r="CD452" s="42"/>
      <c r="CE452" s="42"/>
      <c r="CF452" s="42"/>
      <c r="CG452" s="42"/>
      <c r="CH452" s="42"/>
      <c r="CI452" s="42"/>
      <c r="CJ452" s="42"/>
      <c r="CK452" s="42"/>
      <c r="CL452" s="42"/>
      <c r="CM452" s="42"/>
      <c r="CN452" s="42"/>
      <c r="CO452" s="42"/>
      <c r="CP452" s="42"/>
      <c r="CQ452" s="42"/>
    </row>
    <row r="453" spans="1:9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BA453" s="42"/>
      <c r="BB453" s="42"/>
      <c r="BC453" s="42"/>
      <c r="BD453" s="42"/>
      <c r="BE453" s="42"/>
      <c r="BF453" s="42"/>
      <c r="BG453" s="42"/>
      <c r="BH453" s="42"/>
      <c r="BI453" s="42"/>
      <c r="BJ453" s="42"/>
      <c r="BK453" s="42"/>
      <c r="BL453" s="42"/>
      <c r="BM453" s="42"/>
      <c r="BN453" s="42"/>
      <c r="BO453" s="42"/>
      <c r="BP453" s="42"/>
      <c r="BQ453" s="42"/>
      <c r="BZ453" s="42"/>
      <c r="CA453" s="42"/>
      <c r="CB453" s="42"/>
      <c r="CC453" s="42"/>
      <c r="CD453" s="42"/>
      <c r="CE453" s="42"/>
      <c r="CF453" s="42"/>
      <c r="CG453" s="42"/>
      <c r="CH453" s="42"/>
      <c r="CI453" s="42"/>
      <c r="CJ453" s="42"/>
      <c r="CK453" s="42"/>
      <c r="CL453" s="42"/>
      <c r="CM453" s="42"/>
      <c r="CN453" s="42"/>
      <c r="CO453" s="42"/>
      <c r="CP453" s="42"/>
      <c r="CQ453" s="42"/>
    </row>
    <row r="454" spans="1:9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BA454" s="42"/>
      <c r="BB454" s="42"/>
      <c r="BC454" s="42"/>
      <c r="BD454" s="42"/>
      <c r="BE454" s="42"/>
      <c r="BF454" s="42"/>
      <c r="BG454" s="42"/>
      <c r="BH454" s="42"/>
      <c r="BI454" s="42"/>
      <c r="BJ454" s="42"/>
      <c r="BK454" s="42"/>
      <c r="BL454" s="42"/>
      <c r="BM454" s="42"/>
      <c r="BN454" s="42"/>
      <c r="BO454" s="42"/>
      <c r="BP454" s="42"/>
      <c r="BQ454" s="42"/>
      <c r="BZ454" s="42"/>
      <c r="CA454" s="42"/>
      <c r="CB454" s="42"/>
      <c r="CC454" s="42"/>
      <c r="CD454" s="42"/>
      <c r="CE454" s="42"/>
      <c r="CF454" s="42"/>
      <c r="CG454" s="42"/>
      <c r="CH454" s="42"/>
      <c r="CI454" s="42"/>
      <c r="CJ454" s="42"/>
      <c r="CK454" s="42"/>
      <c r="CL454" s="42"/>
      <c r="CM454" s="42"/>
      <c r="CN454" s="42"/>
      <c r="CO454" s="42"/>
      <c r="CP454" s="42"/>
      <c r="CQ454" s="42"/>
    </row>
    <row r="455" spans="1:9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BA455" s="42"/>
      <c r="BB455" s="42"/>
      <c r="BC455" s="42"/>
      <c r="BD455" s="42"/>
      <c r="BE455" s="42"/>
      <c r="BF455" s="42"/>
      <c r="BG455" s="42"/>
      <c r="BH455" s="42"/>
      <c r="BI455" s="42"/>
      <c r="BJ455" s="42"/>
      <c r="BK455" s="42"/>
      <c r="BL455" s="42"/>
      <c r="BM455" s="42"/>
      <c r="BN455" s="42"/>
      <c r="BO455" s="42"/>
      <c r="BP455" s="42"/>
      <c r="BQ455" s="42"/>
      <c r="BZ455" s="42"/>
      <c r="CA455" s="42"/>
      <c r="CB455" s="42"/>
      <c r="CC455" s="42"/>
      <c r="CD455" s="42"/>
      <c r="CE455" s="42"/>
      <c r="CF455" s="42"/>
      <c r="CG455" s="42"/>
      <c r="CH455" s="42"/>
      <c r="CI455" s="42"/>
      <c r="CJ455" s="42"/>
      <c r="CK455" s="42"/>
      <c r="CL455" s="42"/>
      <c r="CM455" s="42"/>
      <c r="CN455" s="42"/>
      <c r="CO455" s="42"/>
      <c r="CP455" s="42"/>
      <c r="CQ455" s="42"/>
    </row>
    <row r="456" spans="1:9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BA456" s="42"/>
      <c r="BB456" s="42"/>
      <c r="BC456" s="42"/>
      <c r="BD456" s="42"/>
      <c r="BE456" s="42"/>
      <c r="BF456" s="42"/>
      <c r="BG456" s="42"/>
      <c r="BH456" s="42"/>
      <c r="BI456" s="42"/>
      <c r="BJ456" s="42"/>
      <c r="BK456" s="42"/>
      <c r="BL456" s="42"/>
      <c r="BM456" s="42"/>
      <c r="BN456" s="42"/>
      <c r="BO456" s="42"/>
      <c r="BP456" s="42"/>
      <c r="BQ456" s="42"/>
      <c r="BZ456" s="42"/>
      <c r="CA456" s="42"/>
      <c r="CB456" s="42"/>
      <c r="CC456" s="42"/>
      <c r="CD456" s="42"/>
      <c r="CE456" s="42"/>
      <c r="CF456" s="42"/>
      <c r="CG456" s="42"/>
      <c r="CH456" s="42"/>
      <c r="CI456" s="42"/>
      <c r="CJ456" s="42"/>
      <c r="CK456" s="42"/>
      <c r="CL456" s="42"/>
      <c r="CM456" s="42"/>
      <c r="CN456" s="42"/>
      <c r="CO456" s="42"/>
      <c r="CP456" s="42"/>
      <c r="CQ456" s="42"/>
    </row>
    <row r="457" spans="1:9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BA457" s="42"/>
      <c r="BB457" s="42"/>
      <c r="BC457" s="42"/>
      <c r="BD457" s="42"/>
      <c r="BE457" s="42"/>
      <c r="BF457" s="42"/>
      <c r="BG457" s="42"/>
      <c r="BH457" s="42"/>
      <c r="BI457" s="42"/>
      <c r="BJ457" s="42"/>
      <c r="BK457" s="42"/>
      <c r="BL457" s="42"/>
      <c r="BM457" s="42"/>
      <c r="BN457" s="42"/>
      <c r="BO457" s="42"/>
      <c r="BP457" s="42"/>
      <c r="BQ457" s="42"/>
      <c r="BZ457" s="42"/>
      <c r="CA457" s="42"/>
      <c r="CB457" s="42"/>
      <c r="CC457" s="42"/>
      <c r="CD457" s="42"/>
      <c r="CE457" s="42"/>
      <c r="CF457" s="42"/>
      <c r="CG457" s="42"/>
      <c r="CH457" s="42"/>
      <c r="CI457" s="42"/>
      <c r="CJ457" s="42"/>
      <c r="CK457" s="42"/>
      <c r="CL457" s="42"/>
      <c r="CM457" s="42"/>
      <c r="CN457" s="42"/>
      <c r="CO457" s="42"/>
      <c r="CP457" s="42"/>
      <c r="CQ457" s="42"/>
    </row>
    <row r="458" spans="1:9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BA458" s="42"/>
      <c r="BB458" s="42"/>
      <c r="BC458" s="42"/>
      <c r="BD458" s="42"/>
      <c r="BE458" s="42"/>
      <c r="BF458" s="42"/>
      <c r="BG458" s="42"/>
      <c r="BH458" s="42"/>
      <c r="BI458" s="42"/>
      <c r="BJ458" s="42"/>
      <c r="BK458" s="42"/>
      <c r="BL458" s="42"/>
      <c r="BM458" s="42"/>
      <c r="BN458" s="42"/>
      <c r="BO458" s="42"/>
      <c r="BP458" s="42"/>
      <c r="BQ458" s="42"/>
      <c r="BZ458" s="42"/>
      <c r="CA458" s="42"/>
      <c r="CB458" s="42"/>
      <c r="CC458" s="42"/>
      <c r="CD458" s="42"/>
      <c r="CE458" s="42"/>
      <c r="CF458" s="42"/>
      <c r="CG458" s="42"/>
      <c r="CH458" s="42"/>
      <c r="CI458" s="42"/>
      <c r="CJ458" s="42"/>
      <c r="CK458" s="42"/>
      <c r="CL458" s="42"/>
      <c r="CM458" s="42"/>
      <c r="CN458" s="42"/>
      <c r="CO458" s="42"/>
      <c r="CP458" s="42"/>
      <c r="CQ458" s="42"/>
    </row>
    <row r="459" spans="1:9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BA459" s="42"/>
      <c r="BB459" s="42"/>
      <c r="BC459" s="42"/>
      <c r="BD459" s="42"/>
      <c r="BE459" s="42"/>
      <c r="BF459" s="42"/>
      <c r="BG459" s="42"/>
      <c r="BH459" s="42"/>
      <c r="BI459" s="42"/>
      <c r="BJ459" s="42"/>
      <c r="BK459" s="42"/>
      <c r="BL459" s="42"/>
      <c r="BM459" s="42"/>
      <c r="BN459" s="42"/>
      <c r="BO459" s="42"/>
      <c r="BP459" s="42"/>
      <c r="BQ459" s="42"/>
      <c r="BZ459" s="42"/>
      <c r="CA459" s="42"/>
      <c r="CB459" s="42"/>
      <c r="CC459" s="42"/>
      <c r="CD459" s="42"/>
      <c r="CE459" s="42"/>
      <c r="CF459" s="42"/>
      <c r="CG459" s="42"/>
      <c r="CH459" s="42"/>
      <c r="CI459" s="42"/>
      <c r="CJ459" s="42"/>
      <c r="CK459" s="42"/>
      <c r="CL459" s="42"/>
      <c r="CM459" s="42"/>
      <c r="CN459" s="42"/>
      <c r="CO459" s="42"/>
      <c r="CP459" s="42"/>
      <c r="CQ459" s="42"/>
    </row>
  </sheetData>
  <mergeCells count="7">
    <mergeCell ref="CQ3:CX3"/>
    <mergeCell ref="BR3:BZ3"/>
    <mergeCell ref="A3:H3"/>
    <mergeCell ref="I3:K3"/>
    <mergeCell ref="L3:T3"/>
    <mergeCell ref="U3:Y3"/>
    <mergeCell ref="CI3:CO3"/>
  </mergeCells>
  <phoneticPr fontId="27" type="noConversion"/>
  <printOptions horizontalCentered="1" verticalCentered="1" headings="1" gridLines="1"/>
  <pageMargins left="0.7" right="0.7" top="1.3958333333333333" bottom="0.75" header="0.3" footer="0.3"/>
  <pageSetup paperSize="5" fitToHeight="3" orientation="landscape" r:id="rId1"/>
  <headerFooter>
    <oddHeader>&amp;RBoston Gas Company and Colonial Gas Company 
d/b/a National Grid 
D.P.U. 18-51
2017 Energy Efficiency Plan-Year Report
Appendix 2, BCR Model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272"/>
  <sheetViews>
    <sheetView zoomScale="80" zoomScaleNormal="80" workbookViewId="0">
      <selection activeCell="J3" sqref="J3:J29"/>
    </sheetView>
  </sheetViews>
  <sheetFormatPr defaultColWidth="9.140625" defaultRowHeight="15" outlineLevelCol="1"/>
  <cols>
    <col min="1" max="1" width="7.7109375" style="134" bestFit="1" customWidth="1"/>
    <col min="2" max="2" width="28.140625" style="134" customWidth="1" outlineLevel="1"/>
    <col min="3" max="3" width="30.140625" style="134" customWidth="1" outlineLevel="1"/>
    <col min="4" max="4" width="51.42578125" style="134" bestFit="1" customWidth="1"/>
    <col min="5" max="6" width="12.28515625" bestFit="1" customWidth="1"/>
    <col min="7" max="7" width="13.28515625" bestFit="1" customWidth="1"/>
    <col min="8" max="9" width="12.28515625" bestFit="1" customWidth="1"/>
    <col min="10" max="10" width="13.42578125" customWidth="1"/>
    <col min="11" max="16384" width="9.140625" style="99"/>
  </cols>
  <sheetData>
    <row r="1" spans="1:10" ht="19.5" customHeight="1">
      <c r="E1" s="268" t="s">
        <v>609</v>
      </c>
      <c r="F1" s="268"/>
      <c r="G1" s="268"/>
      <c r="H1" s="268"/>
      <c r="I1" s="268"/>
      <c r="J1" s="99"/>
    </row>
    <row r="2" spans="1:10" s="149" customFormat="1" ht="60.75" thickBot="1">
      <c r="A2" s="261" t="s">
        <v>280</v>
      </c>
      <c r="B2" s="261" t="s">
        <v>7</v>
      </c>
      <c r="C2" s="261" t="s">
        <v>8</v>
      </c>
      <c r="D2" s="261" t="s">
        <v>419</v>
      </c>
      <c r="E2" s="181" t="s">
        <v>610</v>
      </c>
      <c r="F2" s="181" t="s">
        <v>611</v>
      </c>
      <c r="G2" s="181" t="s">
        <v>422</v>
      </c>
      <c r="H2" s="181" t="s">
        <v>423</v>
      </c>
      <c r="I2" s="181" t="s">
        <v>612</v>
      </c>
      <c r="J2" s="181" t="s">
        <v>613</v>
      </c>
    </row>
    <row r="3" spans="1:10">
      <c r="A3" s="134">
        <f t="shared" ref="A3:A36" si="0">Year1</f>
        <v>2016</v>
      </c>
      <c r="B3" s="134" t="s">
        <v>239</v>
      </c>
      <c r="C3" s="134" t="str">
        <f>'Lookups-Assumptions'!D$70</f>
        <v>A1 - Residential Whole House</v>
      </c>
      <c r="D3" s="134" t="str">
        <f>'Lookups-Assumptions'!D$77</f>
        <v>A1a - Residential New Construction</v>
      </c>
      <c r="E3" s="786">
        <v>194215.05047071562</v>
      </c>
      <c r="F3" s="786">
        <v>10325.129478486046</v>
      </c>
      <c r="G3" s="786">
        <v>5663333.1100000003</v>
      </c>
      <c r="H3" s="786">
        <v>259448.0417261968</v>
      </c>
      <c r="I3" s="786">
        <v>260563.65659973293</v>
      </c>
      <c r="J3" s="785">
        <f>'Master Data'!Q2</f>
        <v>239597.29681611981</v>
      </c>
    </row>
    <row r="4" spans="1:10">
      <c r="A4" s="134">
        <f t="shared" si="0"/>
        <v>2016</v>
      </c>
      <c r="B4" s="134" t="s">
        <v>239</v>
      </c>
      <c r="C4" s="134" t="str">
        <f>'Lookups-Assumptions'!D$70</f>
        <v>A1 - Residential Whole House</v>
      </c>
      <c r="D4" s="134" t="str">
        <f>'Lookups-Assumptions'!D$78</f>
        <v>A1b - Residential Multi-Family Retrofit</v>
      </c>
      <c r="E4" s="786">
        <v>122242.97068145282</v>
      </c>
      <c r="F4" s="786">
        <v>81182.93917744112</v>
      </c>
      <c r="G4" s="786">
        <v>3034754.1799999997</v>
      </c>
      <c r="H4" s="786">
        <v>473993.32802379772</v>
      </c>
      <c r="I4" s="786">
        <v>195446.92998717088</v>
      </c>
      <c r="J4" s="786">
        <f>'Master Data'!Q3</f>
        <v>141696.33755895481</v>
      </c>
    </row>
    <row r="5" spans="1:10">
      <c r="A5" s="134">
        <f t="shared" si="0"/>
        <v>2016</v>
      </c>
      <c r="B5" s="134" t="s">
        <v>239</v>
      </c>
      <c r="C5" s="134" t="str">
        <f>'Lookups-Assumptions'!D$70</f>
        <v>A1 - Residential Whole House</v>
      </c>
      <c r="D5" s="134" t="str">
        <f>'Lookups-Assumptions'!D$79</f>
        <v>A1c - Residential Home Energy Services - Measures</v>
      </c>
      <c r="E5" s="786">
        <v>1004457.8902797719</v>
      </c>
      <c r="F5" s="786">
        <v>568198.60682658863</v>
      </c>
      <c r="G5" s="786">
        <v>23604622.859999999</v>
      </c>
      <c r="H5" s="786">
        <v>4042643.3864463544</v>
      </c>
      <c r="I5" s="786">
        <v>745743.88345355354</v>
      </c>
      <c r="J5" s="786">
        <f>'Master Data'!Q4</f>
        <v>777332.78729925188</v>
      </c>
    </row>
    <row r="6" spans="1:10">
      <c r="A6" s="134">
        <f t="shared" si="0"/>
        <v>2016</v>
      </c>
      <c r="B6" s="134" t="s">
        <v>239</v>
      </c>
      <c r="C6" s="134" t="str">
        <f>'Lookups-Assumptions'!D$70</f>
        <v>A1 - Residential Whole House</v>
      </c>
      <c r="D6" s="134" t="str">
        <f>'Lookups-Assumptions'!D$80</f>
        <v>A1d - Residential Home Energy Services - RCS</v>
      </c>
      <c r="E6" s="786">
        <v>226016.59050394583</v>
      </c>
      <c r="F6" s="786">
        <v>564171.9568265886</v>
      </c>
      <c r="G6" s="786">
        <v>0</v>
      </c>
      <c r="H6" s="786">
        <v>5632312.9193726853</v>
      </c>
      <c r="I6" s="786">
        <v>139908.18216192903</v>
      </c>
      <c r="J6" s="786">
        <f>'Master Data'!Q5</f>
        <v>0</v>
      </c>
    </row>
    <row r="7" spans="1:10">
      <c r="A7" s="134">
        <f t="shared" si="0"/>
        <v>2016</v>
      </c>
      <c r="B7" s="134" t="s">
        <v>239</v>
      </c>
      <c r="C7" s="134" t="str">
        <f>'Lookups-Assumptions'!D$70</f>
        <v>A1 - Residential Whole House</v>
      </c>
      <c r="D7" s="134" t="str">
        <f>'Lookups-Assumptions'!D$81</f>
        <v>A1e - Residential Behavior/Feedback Program</v>
      </c>
      <c r="E7" s="786">
        <v>109517.26084990213</v>
      </c>
      <c r="F7" s="786">
        <v>2884.0990188449186</v>
      </c>
      <c r="G7" s="786">
        <v>2355224.96</v>
      </c>
      <c r="H7" s="786">
        <v>41431.289281469646</v>
      </c>
      <c r="I7" s="786">
        <v>59295.495783834005</v>
      </c>
      <c r="J7" s="786">
        <f>'Master Data'!Q6</f>
        <v>58003.853974604157</v>
      </c>
    </row>
    <row r="8" spans="1:10">
      <c r="A8" s="134">
        <f t="shared" si="0"/>
        <v>2016</v>
      </c>
      <c r="B8" s="134" t="s">
        <v>239</v>
      </c>
      <c r="C8" s="134" t="str">
        <f>'Lookups-Assumptions'!D$71</f>
        <v>A2 - Residential Products</v>
      </c>
      <c r="D8" s="134" t="s">
        <v>749</v>
      </c>
      <c r="E8" s="786">
        <v>510264.52807595482</v>
      </c>
      <c r="F8" s="786">
        <v>955843.79637589667</v>
      </c>
      <c r="G8" s="786">
        <v>10675637.809999999</v>
      </c>
      <c r="H8" s="786">
        <v>473958.52090735128</v>
      </c>
      <c r="I8" s="786">
        <v>338544.7237574961</v>
      </c>
      <c r="J8" s="786">
        <f>'Master Data'!Q7</f>
        <v>550399.45312483236</v>
      </c>
    </row>
    <row r="9" spans="1:10">
      <c r="A9" s="134">
        <f t="shared" si="0"/>
        <v>2016</v>
      </c>
      <c r="B9" s="134" t="s">
        <v>239</v>
      </c>
      <c r="C9" s="768" t="s">
        <v>846</v>
      </c>
      <c r="D9" s="134" t="s">
        <v>847</v>
      </c>
      <c r="E9" s="786">
        <v>0</v>
      </c>
      <c r="F9" s="786">
        <v>500868.43000000005</v>
      </c>
      <c r="G9" s="786">
        <v>0</v>
      </c>
      <c r="H9" s="786">
        <v>0</v>
      </c>
      <c r="I9" s="786">
        <v>0</v>
      </c>
      <c r="J9" s="786"/>
    </row>
    <row r="10" spans="1:10">
      <c r="A10" s="134">
        <f t="shared" si="0"/>
        <v>2016</v>
      </c>
      <c r="B10" s="134" t="s">
        <v>239</v>
      </c>
      <c r="C10" s="768" t="s">
        <v>846</v>
      </c>
      <c r="D10" s="134" t="s">
        <v>848</v>
      </c>
      <c r="E10" s="786">
        <v>2442.84</v>
      </c>
      <c r="F10" s="786">
        <v>0</v>
      </c>
      <c r="G10" s="786">
        <v>0</v>
      </c>
      <c r="H10" s="786">
        <v>0</v>
      </c>
      <c r="I10" s="786">
        <v>0</v>
      </c>
      <c r="J10" s="786"/>
    </row>
    <row r="11" spans="1:10">
      <c r="A11" s="134">
        <f t="shared" si="0"/>
        <v>2016</v>
      </c>
      <c r="B11" s="134" t="s">
        <v>239</v>
      </c>
      <c r="C11" s="768" t="s">
        <v>846</v>
      </c>
      <c r="D11" s="134" t="s">
        <v>849</v>
      </c>
      <c r="E11" s="786">
        <v>194997.5</v>
      </c>
      <c r="F11" s="786">
        <v>0</v>
      </c>
      <c r="G11" s="786">
        <v>0</v>
      </c>
      <c r="H11" s="786">
        <v>0</v>
      </c>
      <c r="I11" s="786">
        <v>0</v>
      </c>
      <c r="J11" s="786"/>
    </row>
    <row r="12" spans="1:10">
      <c r="A12" s="134">
        <f t="shared" si="0"/>
        <v>2016</v>
      </c>
      <c r="B12" s="134" t="s">
        <v>239</v>
      </c>
      <c r="C12" s="768" t="s">
        <v>846</v>
      </c>
      <c r="D12" s="134" t="s">
        <v>850</v>
      </c>
      <c r="E12" s="786">
        <v>116655.48999999999</v>
      </c>
      <c r="F12" s="786">
        <v>0</v>
      </c>
      <c r="G12" s="786">
        <v>0</v>
      </c>
      <c r="H12" s="786">
        <v>0</v>
      </c>
      <c r="I12" s="786">
        <v>0</v>
      </c>
      <c r="J12" s="786"/>
    </row>
    <row r="13" spans="1:10">
      <c r="A13" s="134">
        <f t="shared" si="0"/>
        <v>2016</v>
      </c>
      <c r="B13" s="134" t="s">
        <v>239</v>
      </c>
      <c r="C13" s="768" t="s">
        <v>846</v>
      </c>
      <c r="D13" s="134" t="s">
        <v>851</v>
      </c>
      <c r="E13" s="786">
        <v>36076.57</v>
      </c>
      <c r="F13" s="786">
        <v>4221.68</v>
      </c>
      <c r="G13" s="786">
        <v>0</v>
      </c>
      <c r="H13" s="786">
        <v>0</v>
      </c>
      <c r="I13" s="786">
        <v>1407.22</v>
      </c>
      <c r="J13" s="786"/>
    </row>
    <row r="14" spans="1:10">
      <c r="A14" s="134">
        <f t="shared" si="0"/>
        <v>2016</v>
      </c>
      <c r="B14" s="134" t="s">
        <v>239</v>
      </c>
      <c r="C14" s="768" t="s">
        <v>846</v>
      </c>
      <c r="D14" s="134" t="s">
        <v>852</v>
      </c>
      <c r="E14" s="786">
        <v>44.620000000000005</v>
      </c>
      <c r="F14" s="786">
        <v>20235.21</v>
      </c>
      <c r="G14" s="786">
        <v>542644.61</v>
      </c>
      <c r="H14" s="786">
        <v>45409.85</v>
      </c>
      <c r="I14" s="786">
        <v>0</v>
      </c>
      <c r="J14" s="786"/>
    </row>
    <row r="15" spans="1:10">
      <c r="A15" s="134">
        <f t="shared" si="0"/>
        <v>2016</v>
      </c>
      <c r="B15" s="134" t="s">
        <v>239</v>
      </c>
      <c r="C15" s="768" t="s">
        <v>846</v>
      </c>
      <c r="D15" s="134" t="s">
        <v>853</v>
      </c>
      <c r="E15" s="786">
        <v>0</v>
      </c>
      <c r="F15" s="786">
        <v>0</v>
      </c>
      <c r="G15" s="786">
        <v>0</v>
      </c>
      <c r="H15" s="786">
        <v>23144.829999999998</v>
      </c>
      <c r="I15" s="786">
        <v>0</v>
      </c>
      <c r="J15" s="786"/>
    </row>
    <row r="16" spans="1:10">
      <c r="A16" s="134">
        <f t="shared" si="0"/>
        <v>2016</v>
      </c>
      <c r="B16" s="134" t="s">
        <v>239</v>
      </c>
      <c r="C16" s="768" t="s">
        <v>846</v>
      </c>
      <c r="D16" s="134" t="s">
        <v>854</v>
      </c>
      <c r="E16" s="786">
        <v>5122.04</v>
      </c>
      <c r="F16" s="786">
        <v>1210.3499999999999</v>
      </c>
      <c r="G16" s="786">
        <v>1960</v>
      </c>
      <c r="H16" s="786">
        <v>5146.76</v>
      </c>
      <c r="I16" s="786">
        <v>0</v>
      </c>
      <c r="J16" s="786"/>
    </row>
    <row r="17" spans="1:10">
      <c r="A17" s="134">
        <f t="shared" si="0"/>
        <v>2016</v>
      </c>
      <c r="B17" s="134" t="s">
        <v>239</v>
      </c>
      <c r="C17" s="768" t="s">
        <v>846</v>
      </c>
      <c r="D17" s="134" t="s">
        <v>855</v>
      </c>
      <c r="E17" s="786">
        <v>0</v>
      </c>
      <c r="F17" s="786">
        <v>133387.1</v>
      </c>
      <c r="G17" s="786">
        <v>0</v>
      </c>
      <c r="H17" s="786">
        <v>0</v>
      </c>
      <c r="I17" s="786">
        <v>2639.4900000000002</v>
      </c>
      <c r="J17" s="786"/>
    </row>
    <row r="18" spans="1:10">
      <c r="A18" s="134">
        <f t="shared" si="0"/>
        <v>2016</v>
      </c>
      <c r="B18" s="134" t="s">
        <v>442</v>
      </c>
      <c r="C18" s="134" t="str">
        <f>'Lookups-Assumptions'!D$72</f>
        <v>B1 - Low Income Retrofit</v>
      </c>
      <c r="D18" s="134" t="str">
        <f>'Lookups-Assumptions'!D$85</f>
        <v>B1a - Low-Income Single Family Retrofit</v>
      </c>
      <c r="E18" s="786">
        <v>403932.56012253964</v>
      </c>
      <c r="F18" s="786">
        <v>183444.15118553804</v>
      </c>
      <c r="G18" s="786">
        <v>7240264.5999999996</v>
      </c>
      <c r="H18" s="786">
        <v>1788097.5251198022</v>
      </c>
      <c r="I18" s="786">
        <v>216958.37134607468</v>
      </c>
      <c r="J18" s="786">
        <f>'Master Data'!Q19</f>
        <v>315346.46760610235</v>
      </c>
    </row>
    <row r="19" spans="1:10">
      <c r="A19" s="134">
        <f t="shared" si="0"/>
        <v>2016</v>
      </c>
      <c r="B19" s="134" t="s">
        <v>442</v>
      </c>
      <c r="C19" s="134" t="str">
        <f>'Lookups-Assumptions'!D$72</f>
        <v>B1 - Low Income Retrofit</v>
      </c>
      <c r="D19" s="134" t="str">
        <f>'Lookups-Assumptions'!D$86</f>
        <v>B1b - Low-Income Multi-Family Retrofit</v>
      </c>
      <c r="E19" s="786">
        <v>382467.64559154818</v>
      </c>
      <c r="F19" s="786">
        <v>97061.042237919595</v>
      </c>
      <c r="G19" s="786">
        <v>14260215.330000002</v>
      </c>
      <c r="H19" s="786">
        <v>2582921.3159371112</v>
      </c>
      <c r="I19" s="786">
        <v>188427.0065190859</v>
      </c>
      <c r="J19" s="786">
        <f>'Master Data'!Q20</f>
        <v>351199.41174710693</v>
      </c>
    </row>
    <row r="20" spans="1:10">
      <c r="A20" s="134">
        <f t="shared" si="0"/>
        <v>2016</v>
      </c>
      <c r="B20" s="134" t="s">
        <v>442</v>
      </c>
      <c r="C20" s="768" t="s">
        <v>856</v>
      </c>
      <c r="D20" s="134" t="s">
        <v>857</v>
      </c>
      <c r="E20" s="786">
        <v>0</v>
      </c>
      <c r="F20" s="786">
        <v>200835.31</v>
      </c>
      <c r="G20" s="786">
        <v>0</v>
      </c>
      <c r="H20" s="786">
        <v>0</v>
      </c>
      <c r="I20" s="786">
        <v>0</v>
      </c>
      <c r="J20" s="786"/>
    </row>
    <row r="21" spans="1:10">
      <c r="A21" s="134">
        <f t="shared" si="0"/>
        <v>2016</v>
      </c>
      <c r="B21" s="134" t="s">
        <v>442</v>
      </c>
      <c r="C21" s="768" t="s">
        <v>856</v>
      </c>
      <c r="D21" s="134" t="s">
        <v>858</v>
      </c>
      <c r="E21" s="786">
        <v>593.81000000000006</v>
      </c>
      <c r="F21" s="786">
        <v>0</v>
      </c>
      <c r="G21" s="786">
        <v>0</v>
      </c>
      <c r="H21" s="786">
        <v>0</v>
      </c>
      <c r="I21" s="786">
        <v>0</v>
      </c>
      <c r="J21" s="786"/>
    </row>
    <row r="22" spans="1:10">
      <c r="A22" s="134">
        <f t="shared" si="0"/>
        <v>2016</v>
      </c>
      <c r="B22" s="134" t="s">
        <v>442</v>
      </c>
      <c r="C22" s="768" t="s">
        <v>856</v>
      </c>
      <c r="D22" s="134" t="s">
        <v>859</v>
      </c>
      <c r="E22" s="786">
        <v>129998.34</v>
      </c>
      <c r="F22" s="786">
        <v>0</v>
      </c>
      <c r="G22" s="786">
        <v>0</v>
      </c>
      <c r="H22" s="786">
        <v>0</v>
      </c>
      <c r="I22" s="786">
        <v>0</v>
      </c>
      <c r="J22" s="786"/>
    </row>
    <row r="23" spans="1:10">
      <c r="A23" s="134">
        <f t="shared" si="0"/>
        <v>2016</v>
      </c>
      <c r="B23" s="134" t="s">
        <v>442</v>
      </c>
      <c r="C23" s="768" t="s">
        <v>856</v>
      </c>
      <c r="D23" s="134" t="s">
        <v>860</v>
      </c>
      <c r="E23" s="786">
        <v>76416.05</v>
      </c>
      <c r="F23" s="786">
        <v>0</v>
      </c>
      <c r="G23" s="786">
        <v>0</v>
      </c>
      <c r="H23" s="786">
        <v>0</v>
      </c>
      <c r="I23" s="786">
        <v>0</v>
      </c>
      <c r="J23" s="786"/>
    </row>
    <row r="24" spans="1:10">
      <c r="A24" s="134">
        <f t="shared" si="0"/>
        <v>2016</v>
      </c>
      <c r="B24" s="134" t="s">
        <v>442</v>
      </c>
      <c r="C24" s="768" t="s">
        <v>856</v>
      </c>
      <c r="D24" s="134" t="s">
        <v>861</v>
      </c>
      <c r="E24" s="786">
        <v>12418.48</v>
      </c>
      <c r="F24" s="786">
        <v>1397.52</v>
      </c>
      <c r="G24" s="786">
        <v>0</v>
      </c>
      <c r="H24" s="786">
        <v>0</v>
      </c>
      <c r="I24" s="786">
        <v>465.84</v>
      </c>
      <c r="J24" s="786"/>
    </row>
    <row r="25" spans="1:10">
      <c r="A25" s="134">
        <f t="shared" si="0"/>
        <v>2016</v>
      </c>
      <c r="B25" s="134" t="s">
        <v>443</v>
      </c>
      <c r="C25" s="134" t="str">
        <f>'Lookups-Assumptions'!D$73</f>
        <v xml:space="preserve">C1 - C&amp;I New Construction </v>
      </c>
      <c r="D25" s="134" t="str">
        <f>'Lookups-Assumptions'!D$87</f>
        <v>C1a - C&amp;I New Buildings &amp; Major Renovations</v>
      </c>
      <c r="E25" s="786">
        <v>158025.63236938298</v>
      </c>
      <c r="F25" s="786">
        <v>413932.73748325539</v>
      </c>
      <c r="G25" s="786">
        <v>2665822.879999999</v>
      </c>
      <c r="H25" s="786">
        <v>1014560.2175921092</v>
      </c>
      <c r="I25" s="786">
        <v>259522.94131406007</v>
      </c>
      <c r="J25" s="786">
        <f>'Master Data'!Q26</f>
        <v>286076.3443334141</v>
      </c>
    </row>
    <row r="26" spans="1:10">
      <c r="A26" s="134">
        <f t="shared" si="0"/>
        <v>2016</v>
      </c>
      <c r="B26" s="134" t="s">
        <v>443</v>
      </c>
      <c r="C26" s="134" t="str">
        <f>'Lookups-Assumptions'!D$73</f>
        <v xml:space="preserve">C1 - C&amp;I New Construction </v>
      </c>
      <c r="D26" s="134" t="s">
        <v>1392</v>
      </c>
      <c r="E26" s="786">
        <v>72926.721528967711</v>
      </c>
      <c r="F26" s="786">
        <v>12957.514529814371</v>
      </c>
      <c r="G26" s="786">
        <v>4499766.55</v>
      </c>
      <c r="H26" s="786">
        <v>2779849.1036442211</v>
      </c>
      <c r="I26" s="786">
        <v>99413.861302586185</v>
      </c>
      <c r="J26" s="786">
        <f>'Master Data'!Q27</f>
        <v>168895.98688931824</v>
      </c>
    </row>
    <row r="27" spans="1:10">
      <c r="A27" s="134">
        <f t="shared" si="0"/>
        <v>2016</v>
      </c>
      <c r="B27" s="134" t="s">
        <v>443</v>
      </c>
      <c r="C27" s="134" t="str">
        <f>'Lookups-Assumptions'!D$74</f>
        <v>C2 - C&amp;I Retrofit</v>
      </c>
      <c r="D27" s="134" t="str">
        <f>'Lookups-Assumptions'!D$89</f>
        <v>C2a - C&amp;I Existing Building Retrofit</v>
      </c>
      <c r="E27" s="786">
        <v>296253.05976652895</v>
      </c>
      <c r="F27" s="786">
        <v>932324.63930875994</v>
      </c>
      <c r="G27" s="786">
        <v>3678111.62</v>
      </c>
      <c r="H27" s="786">
        <v>3545870.8568860865</v>
      </c>
      <c r="I27" s="786">
        <v>318439.44007496204</v>
      </c>
      <c r="J27" s="786">
        <f>'Master Data'!Q28</f>
        <v>512501.53224006662</v>
      </c>
    </row>
    <row r="28" spans="1:10">
      <c r="A28" s="134">
        <f t="shared" si="0"/>
        <v>2016</v>
      </c>
      <c r="B28" s="134" t="s">
        <v>443</v>
      </c>
      <c r="C28" s="134" t="str">
        <f>'Lookups-Assumptions'!D$74</f>
        <v>C2 - C&amp;I Retrofit</v>
      </c>
      <c r="D28" s="134" t="str">
        <f>'Lookups-Assumptions'!D$90</f>
        <v>C2b - C&amp;I Small Business</v>
      </c>
      <c r="E28" s="786">
        <v>25051.681668764013</v>
      </c>
      <c r="F28" s="786">
        <v>115793.47340074342</v>
      </c>
      <c r="G28" s="786">
        <v>247951.82000000004</v>
      </c>
      <c r="H28" s="786">
        <v>44547.929513031413</v>
      </c>
      <c r="I28" s="786">
        <v>20152.331590891728</v>
      </c>
      <c r="J28" s="786">
        <f>'Master Data'!Q29</f>
        <v>38994.014986591581</v>
      </c>
    </row>
    <row r="29" spans="1:10">
      <c r="A29" s="134">
        <f t="shared" si="0"/>
        <v>2016</v>
      </c>
      <c r="B29" s="134" t="s">
        <v>443</v>
      </c>
      <c r="C29" s="134" t="str">
        <f>'Lookups-Assumptions'!D$74</f>
        <v>C2 - C&amp;I Retrofit</v>
      </c>
      <c r="D29" s="134" t="s">
        <v>1393</v>
      </c>
      <c r="E29" s="786">
        <v>97739.689463608374</v>
      </c>
      <c r="F29" s="786">
        <v>91787.622044986725</v>
      </c>
      <c r="G29" s="786">
        <v>2074223.93</v>
      </c>
      <c r="H29" s="786">
        <v>396991.31628183636</v>
      </c>
      <c r="I29" s="786">
        <v>139202.84610862291</v>
      </c>
      <c r="J29" s="786">
        <f>'Master Data'!Q30</f>
        <v>62934.748037652229</v>
      </c>
    </row>
    <row r="30" spans="1:10">
      <c r="A30" s="134">
        <f t="shared" si="0"/>
        <v>2016</v>
      </c>
      <c r="B30" s="134" t="s">
        <v>443</v>
      </c>
      <c r="C30" s="768" t="s">
        <v>862</v>
      </c>
      <c r="D30" s="134" t="s">
        <v>863</v>
      </c>
      <c r="E30" s="786">
        <v>0</v>
      </c>
      <c r="F30" s="786">
        <v>187356.46999999997</v>
      </c>
      <c r="G30" s="786">
        <v>0</v>
      </c>
      <c r="H30" s="786">
        <v>0</v>
      </c>
      <c r="I30" s="786">
        <v>0</v>
      </c>
      <c r="J30" s="786"/>
    </row>
    <row r="31" spans="1:10">
      <c r="A31" s="134">
        <f t="shared" si="0"/>
        <v>2016</v>
      </c>
      <c r="B31" s="134" t="s">
        <v>443</v>
      </c>
      <c r="C31" s="768" t="s">
        <v>862</v>
      </c>
      <c r="D31" s="134" t="s">
        <v>864</v>
      </c>
      <c r="E31" s="786">
        <v>1752.09</v>
      </c>
      <c r="F31" s="786">
        <v>0</v>
      </c>
      <c r="G31" s="786">
        <v>0</v>
      </c>
      <c r="H31" s="786">
        <v>0</v>
      </c>
      <c r="I31" s="786">
        <v>0</v>
      </c>
      <c r="J31" s="786"/>
    </row>
    <row r="32" spans="1:10">
      <c r="A32" s="134">
        <f t="shared" si="0"/>
        <v>2016</v>
      </c>
      <c r="B32" s="134" t="s">
        <v>443</v>
      </c>
      <c r="C32" s="768" t="s">
        <v>862</v>
      </c>
      <c r="D32" s="134" t="s">
        <v>865</v>
      </c>
      <c r="E32" s="786">
        <v>299996.16000000003</v>
      </c>
      <c r="F32" s="786">
        <v>0</v>
      </c>
      <c r="G32" s="786">
        <v>0</v>
      </c>
      <c r="H32" s="786">
        <v>0</v>
      </c>
      <c r="I32" s="786">
        <v>0</v>
      </c>
      <c r="J32" s="786"/>
    </row>
    <row r="33" spans="1:10">
      <c r="A33" s="134">
        <f t="shared" si="0"/>
        <v>2016</v>
      </c>
      <c r="B33" s="134" t="s">
        <v>443</v>
      </c>
      <c r="C33" s="768" t="s">
        <v>862</v>
      </c>
      <c r="D33" s="134" t="s">
        <v>866</v>
      </c>
      <c r="E33" s="786">
        <v>32545.839999999997</v>
      </c>
      <c r="F33" s="786">
        <v>0</v>
      </c>
      <c r="G33" s="786">
        <v>0</v>
      </c>
      <c r="H33" s="786">
        <v>0</v>
      </c>
      <c r="I33" s="786">
        <v>0</v>
      </c>
      <c r="J33" s="786"/>
    </row>
    <row r="34" spans="1:10">
      <c r="A34" s="134">
        <f t="shared" si="0"/>
        <v>2016</v>
      </c>
      <c r="B34" s="134" t="s">
        <v>443</v>
      </c>
      <c r="C34" s="768" t="s">
        <v>862</v>
      </c>
      <c r="D34" s="134" t="s">
        <v>867</v>
      </c>
      <c r="E34" s="786">
        <v>27992.78</v>
      </c>
      <c r="F34" s="786">
        <v>1269.18</v>
      </c>
      <c r="G34" s="786">
        <v>0</v>
      </c>
      <c r="H34" s="786">
        <v>0</v>
      </c>
      <c r="I34" s="786">
        <v>423.06</v>
      </c>
      <c r="J34" s="786"/>
    </row>
    <row r="35" spans="1:10">
      <c r="A35" s="134">
        <f t="shared" si="0"/>
        <v>2016</v>
      </c>
      <c r="B35" s="134" t="s">
        <v>443</v>
      </c>
      <c r="C35" s="768" t="s">
        <v>862</v>
      </c>
      <c r="D35" s="134" t="s">
        <v>868</v>
      </c>
      <c r="E35" s="786">
        <v>0</v>
      </c>
      <c r="F35" s="786">
        <v>0</v>
      </c>
      <c r="G35" s="786">
        <v>0</v>
      </c>
      <c r="H35" s="786">
        <v>3645.5099999999989</v>
      </c>
      <c r="I35" s="786">
        <v>0</v>
      </c>
      <c r="J35" s="786"/>
    </row>
    <row r="36" spans="1:10">
      <c r="A36" s="134">
        <f t="shared" si="0"/>
        <v>2016</v>
      </c>
      <c r="B36" s="134" t="s">
        <v>443</v>
      </c>
      <c r="C36" s="768" t="s">
        <v>862</v>
      </c>
      <c r="D36" s="134" t="s">
        <v>869</v>
      </c>
      <c r="E36" s="786">
        <v>4070.54</v>
      </c>
      <c r="F36" s="786">
        <v>655.8</v>
      </c>
      <c r="G36" s="786">
        <v>0</v>
      </c>
      <c r="H36" s="786">
        <v>22471.75</v>
      </c>
      <c r="I36" s="786">
        <v>1594.5</v>
      </c>
      <c r="J36" s="786"/>
    </row>
    <row r="37" spans="1:10">
      <c r="E37" s="786"/>
      <c r="F37" s="786"/>
      <c r="G37" s="786"/>
      <c r="H37" s="786"/>
      <c r="I37" s="786"/>
    </row>
    <row r="38" spans="1:10">
      <c r="E38" s="786"/>
    </row>
    <row r="39" spans="1:10">
      <c r="G39" s="786"/>
    </row>
    <row r="125" spans="1:10" s="4" customFormat="1">
      <c r="A125" s="134"/>
      <c r="B125" s="134"/>
      <c r="C125" s="134"/>
      <c r="D125" s="134"/>
      <c r="E125"/>
      <c r="F125"/>
      <c r="G125"/>
      <c r="H125"/>
      <c r="I125"/>
      <c r="J125"/>
    </row>
    <row r="126" spans="1:10" s="4" customFormat="1">
      <c r="A126" s="134"/>
      <c r="B126" s="134"/>
      <c r="C126" s="134"/>
      <c r="D126" s="134"/>
      <c r="E126"/>
      <c r="F126"/>
      <c r="G126"/>
      <c r="H126"/>
      <c r="I126"/>
      <c r="J126"/>
    </row>
    <row r="127" spans="1:10" s="4" customFormat="1">
      <c r="A127" s="134"/>
      <c r="B127" s="134"/>
      <c r="C127" s="134"/>
      <c r="D127" s="134"/>
      <c r="E127"/>
      <c r="F127"/>
      <c r="G127"/>
      <c r="H127"/>
      <c r="I127"/>
      <c r="J127"/>
    </row>
    <row r="128" spans="1:10" s="4" customFormat="1">
      <c r="A128" s="134"/>
      <c r="B128" s="134"/>
      <c r="C128" s="134"/>
      <c r="D128" s="134"/>
      <c r="E128"/>
      <c r="F128"/>
      <c r="G128"/>
      <c r="H128"/>
      <c r="I128"/>
      <c r="J128"/>
    </row>
    <row r="129" spans="1:10" s="4" customFormat="1">
      <c r="A129" s="134"/>
      <c r="B129" s="134"/>
      <c r="C129" s="134"/>
      <c r="D129" s="134"/>
      <c r="E129"/>
      <c r="F129"/>
      <c r="G129"/>
      <c r="H129"/>
      <c r="I129"/>
      <c r="J129"/>
    </row>
    <row r="130" spans="1:10" s="4" customFormat="1">
      <c r="A130" s="134"/>
      <c r="B130" s="134"/>
      <c r="C130" s="134"/>
      <c r="D130" s="134"/>
      <c r="E130"/>
      <c r="F130"/>
      <c r="G130"/>
      <c r="H130"/>
      <c r="I130"/>
      <c r="J130"/>
    </row>
    <row r="131" spans="1:10" s="4" customFormat="1">
      <c r="A131" s="134"/>
      <c r="B131" s="134"/>
      <c r="C131" s="134"/>
      <c r="D131" s="134"/>
      <c r="E131"/>
      <c r="F131"/>
      <c r="G131"/>
      <c r="H131"/>
      <c r="I131"/>
      <c r="J131"/>
    </row>
    <row r="132" spans="1:10" s="4" customFormat="1">
      <c r="A132" s="134"/>
      <c r="B132" s="134"/>
      <c r="C132" s="134"/>
      <c r="D132" s="134"/>
      <c r="E132"/>
      <c r="F132"/>
      <c r="G132"/>
      <c r="H132"/>
      <c r="I132"/>
      <c r="J132"/>
    </row>
    <row r="133" spans="1:10" s="4" customFormat="1">
      <c r="A133" s="134"/>
      <c r="B133" s="134"/>
      <c r="C133" s="134"/>
      <c r="D133" s="134"/>
      <c r="E133"/>
      <c r="F133"/>
      <c r="G133"/>
      <c r="H133"/>
      <c r="I133"/>
      <c r="J133"/>
    </row>
    <row r="134" spans="1:10" s="4" customFormat="1">
      <c r="A134" s="134"/>
      <c r="B134" s="134"/>
      <c r="C134" s="134"/>
      <c r="D134" s="134"/>
      <c r="E134"/>
      <c r="F134"/>
      <c r="G134"/>
      <c r="H134"/>
      <c r="I134"/>
      <c r="J134"/>
    </row>
    <row r="135" spans="1:10" s="4" customFormat="1">
      <c r="A135" s="134"/>
      <c r="B135" s="134"/>
      <c r="C135" s="134"/>
      <c r="D135" s="134"/>
      <c r="E135"/>
      <c r="F135"/>
      <c r="G135"/>
      <c r="H135"/>
      <c r="I135"/>
      <c r="J135"/>
    </row>
    <row r="136" spans="1:10" s="4" customFormat="1">
      <c r="A136" s="134"/>
      <c r="B136" s="134"/>
      <c r="C136" s="134"/>
      <c r="D136" s="134"/>
      <c r="E136"/>
      <c r="F136"/>
      <c r="G136"/>
      <c r="H136"/>
      <c r="I136"/>
      <c r="J136"/>
    </row>
    <row r="137" spans="1:10" s="4" customFormat="1">
      <c r="A137" s="134"/>
      <c r="B137" s="134"/>
      <c r="C137" s="134"/>
      <c r="D137" s="134"/>
      <c r="E137"/>
      <c r="F137"/>
      <c r="G137"/>
      <c r="H137"/>
      <c r="I137"/>
      <c r="J137"/>
    </row>
    <row r="138" spans="1:10" s="4" customFormat="1">
      <c r="A138" s="134"/>
      <c r="B138" s="134"/>
      <c r="C138" s="134"/>
      <c r="D138" s="134"/>
      <c r="E138"/>
      <c r="F138"/>
      <c r="G138"/>
      <c r="H138"/>
      <c r="I138"/>
      <c r="J138"/>
    </row>
    <row r="139" spans="1:10" s="4" customFormat="1">
      <c r="A139" s="134"/>
      <c r="B139" s="134"/>
      <c r="C139" s="134"/>
      <c r="D139" s="134"/>
      <c r="E139"/>
      <c r="F139"/>
      <c r="G139"/>
      <c r="H139"/>
      <c r="I139"/>
      <c r="J139"/>
    </row>
    <row r="140" spans="1:10" s="4" customFormat="1">
      <c r="A140" s="134"/>
      <c r="B140" s="134"/>
      <c r="C140" s="134"/>
      <c r="D140" s="134"/>
      <c r="E140"/>
      <c r="F140"/>
      <c r="G140"/>
      <c r="H140"/>
      <c r="I140"/>
      <c r="J140"/>
    </row>
    <row r="141" spans="1:10" s="4" customFormat="1">
      <c r="A141" s="134"/>
      <c r="B141" s="134"/>
      <c r="C141" s="134"/>
      <c r="D141" s="134"/>
      <c r="E141"/>
      <c r="F141"/>
      <c r="G141"/>
      <c r="H141"/>
      <c r="I141"/>
      <c r="J141"/>
    </row>
    <row r="142" spans="1:10" s="4" customFormat="1">
      <c r="A142" s="134"/>
      <c r="B142" s="134"/>
      <c r="C142" s="134"/>
      <c r="D142" s="134"/>
      <c r="E142"/>
      <c r="F142"/>
      <c r="G142"/>
      <c r="H142"/>
      <c r="I142"/>
      <c r="J142"/>
    </row>
    <row r="143" spans="1:10" s="4" customFormat="1">
      <c r="A143" s="134"/>
      <c r="B143" s="134"/>
      <c r="C143" s="134"/>
      <c r="D143" s="134"/>
      <c r="E143"/>
      <c r="F143"/>
      <c r="G143"/>
      <c r="H143"/>
      <c r="I143"/>
      <c r="J143"/>
    </row>
    <row r="144" spans="1:10" s="4" customFormat="1">
      <c r="A144" s="134"/>
      <c r="B144" s="134"/>
      <c r="C144" s="134"/>
      <c r="D144" s="134"/>
      <c r="E144"/>
      <c r="F144"/>
      <c r="G144"/>
      <c r="H144"/>
      <c r="I144"/>
      <c r="J144"/>
    </row>
    <row r="145" spans="1:10" s="4" customFormat="1">
      <c r="A145" s="134"/>
      <c r="B145" s="134"/>
      <c r="C145" s="134"/>
      <c r="D145" s="134"/>
      <c r="E145"/>
      <c r="F145"/>
      <c r="G145"/>
      <c r="H145"/>
      <c r="I145"/>
      <c r="J145"/>
    </row>
    <row r="146" spans="1:10" s="4" customFormat="1">
      <c r="A146" s="134"/>
      <c r="B146" s="134"/>
      <c r="C146" s="134"/>
      <c r="D146" s="134"/>
      <c r="E146"/>
      <c r="F146"/>
      <c r="G146"/>
      <c r="H146"/>
      <c r="I146"/>
      <c r="J146"/>
    </row>
    <row r="147" spans="1:10" s="4" customFormat="1">
      <c r="A147" s="134"/>
      <c r="B147" s="134"/>
      <c r="C147" s="134"/>
      <c r="D147" s="134"/>
      <c r="E147"/>
      <c r="F147"/>
      <c r="G147"/>
      <c r="H147"/>
      <c r="I147"/>
      <c r="J147"/>
    </row>
    <row r="148" spans="1:10" s="4" customFormat="1">
      <c r="A148" s="134"/>
      <c r="B148" s="134"/>
      <c r="C148" s="134"/>
      <c r="D148" s="134"/>
      <c r="E148"/>
      <c r="F148"/>
      <c r="G148"/>
      <c r="H148"/>
      <c r="I148"/>
      <c r="J148"/>
    </row>
    <row r="149" spans="1:10" s="4" customFormat="1">
      <c r="A149" s="134"/>
      <c r="B149" s="134"/>
      <c r="C149" s="134"/>
      <c r="D149" s="134"/>
      <c r="E149"/>
      <c r="F149"/>
      <c r="G149"/>
      <c r="H149"/>
      <c r="I149"/>
      <c r="J149"/>
    </row>
    <row r="150" spans="1:10" s="4" customFormat="1">
      <c r="A150" s="134"/>
      <c r="B150" s="134"/>
      <c r="C150" s="134"/>
      <c r="D150" s="134"/>
      <c r="E150"/>
      <c r="F150"/>
      <c r="G150"/>
      <c r="H150"/>
      <c r="I150"/>
      <c r="J150"/>
    </row>
    <row r="151" spans="1:10" s="4" customFormat="1">
      <c r="A151" s="134"/>
      <c r="B151" s="134"/>
      <c r="C151" s="134"/>
      <c r="D151" s="134"/>
      <c r="E151"/>
      <c r="F151"/>
      <c r="G151"/>
      <c r="H151"/>
      <c r="I151"/>
      <c r="J151"/>
    </row>
    <row r="152" spans="1:10" s="4" customFormat="1">
      <c r="A152" s="134"/>
      <c r="B152" s="134"/>
      <c r="C152" s="134"/>
      <c r="D152" s="134"/>
      <c r="E152"/>
      <c r="F152"/>
      <c r="G152"/>
      <c r="H152"/>
      <c r="I152"/>
      <c r="J152"/>
    </row>
    <row r="153" spans="1:10" s="4" customFormat="1">
      <c r="A153" s="134"/>
      <c r="B153" s="134"/>
      <c r="C153" s="134"/>
      <c r="D153" s="134"/>
      <c r="E153"/>
      <c r="F153"/>
      <c r="G153"/>
      <c r="H153"/>
      <c r="I153"/>
      <c r="J153"/>
    </row>
    <row r="154" spans="1:10" s="4" customFormat="1">
      <c r="A154" s="134"/>
      <c r="B154" s="134"/>
      <c r="C154" s="134"/>
      <c r="D154" s="134"/>
      <c r="E154"/>
      <c r="F154"/>
      <c r="G154"/>
      <c r="H154"/>
      <c r="I154"/>
      <c r="J154"/>
    </row>
    <row r="155" spans="1:10" s="4" customFormat="1">
      <c r="A155" s="134"/>
      <c r="B155" s="134"/>
      <c r="C155" s="134"/>
      <c r="D155" s="134"/>
      <c r="E155"/>
      <c r="F155"/>
      <c r="G155"/>
      <c r="H155"/>
      <c r="I155"/>
      <c r="J155"/>
    </row>
    <row r="156" spans="1:10" s="4" customFormat="1">
      <c r="A156" s="134"/>
      <c r="B156" s="134"/>
      <c r="C156" s="134"/>
      <c r="D156" s="134"/>
      <c r="E156"/>
      <c r="F156"/>
      <c r="G156"/>
      <c r="H156"/>
      <c r="I156"/>
      <c r="J156"/>
    </row>
    <row r="157" spans="1:10" s="4" customFormat="1">
      <c r="A157" s="134"/>
      <c r="B157" s="134"/>
      <c r="C157" s="134"/>
      <c r="D157" s="134"/>
      <c r="E157"/>
      <c r="F157"/>
      <c r="G157"/>
      <c r="H157"/>
      <c r="I157"/>
      <c r="J157"/>
    </row>
    <row r="158" spans="1:10" s="4" customFormat="1">
      <c r="A158" s="134"/>
      <c r="B158" s="134"/>
      <c r="C158" s="134"/>
      <c r="D158" s="134"/>
      <c r="E158"/>
      <c r="F158"/>
      <c r="G158"/>
      <c r="H158"/>
      <c r="I158"/>
      <c r="J158"/>
    </row>
    <row r="159" spans="1:10" s="4" customFormat="1">
      <c r="A159" s="134"/>
      <c r="B159" s="134"/>
      <c r="C159" s="134"/>
      <c r="D159" s="134"/>
      <c r="E159"/>
      <c r="F159"/>
      <c r="G159"/>
      <c r="H159"/>
      <c r="I159"/>
      <c r="J159"/>
    </row>
    <row r="160" spans="1:10" s="4" customFormat="1">
      <c r="A160" s="134"/>
      <c r="B160" s="134"/>
      <c r="C160" s="134"/>
      <c r="D160" s="134"/>
      <c r="E160"/>
      <c r="F160"/>
      <c r="G160"/>
      <c r="H160"/>
      <c r="I160"/>
      <c r="J160"/>
    </row>
    <row r="161" spans="1:10" s="4" customFormat="1">
      <c r="A161" s="134"/>
      <c r="B161" s="134"/>
      <c r="C161" s="134"/>
      <c r="D161" s="134"/>
      <c r="E161"/>
      <c r="F161"/>
      <c r="G161"/>
      <c r="H161"/>
      <c r="I161"/>
      <c r="J161"/>
    </row>
    <row r="162" spans="1:10" s="97" customFormat="1">
      <c r="A162" s="134"/>
      <c r="B162" s="134"/>
      <c r="C162" s="134"/>
      <c r="D162" s="134"/>
      <c r="E162"/>
      <c r="F162"/>
      <c r="G162"/>
      <c r="H162"/>
      <c r="I162"/>
      <c r="J162"/>
    </row>
    <row r="190" spans="1:10" s="4" customFormat="1">
      <c r="A190" s="134"/>
      <c r="B190" s="134"/>
      <c r="C190" s="134"/>
      <c r="D190" s="134"/>
      <c r="E190"/>
      <c r="F190"/>
      <c r="G190"/>
      <c r="H190"/>
      <c r="I190"/>
      <c r="J190"/>
    </row>
    <row r="191" spans="1:10" s="4" customFormat="1">
      <c r="A191" s="134"/>
      <c r="B191" s="134"/>
      <c r="C191" s="134"/>
      <c r="D191" s="134"/>
      <c r="E191"/>
      <c r="F191"/>
      <c r="G191"/>
      <c r="H191"/>
      <c r="I191"/>
      <c r="J191"/>
    </row>
    <row r="192" spans="1:10" s="4" customFormat="1">
      <c r="A192" s="134"/>
      <c r="B192" s="134"/>
      <c r="C192" s="134"/>
      <c r="D192" s="134"/>
      <c r="E192"/>
      <c r="F192"/>
      <c r="G192"/>
      <c r="H192"/>
      <c r="I192"/>
      <c r="J192"/>
    </row>
    <row r="193" spans="1:10" s="4" customFormat="1">
      <c r="A193" s="134"/>
      <c r="B193" s="134"/>
      <c r="C193" s="134"/>
      <c r="D193" s="134"/>
      <c r="E193"/>
      <c r="F193"/>
      <c r="G193"/>
      <c r="H193"/>
      <c r="I193"/>
      <c r="J193"/>
    </row>
    <row r="194" spans="1:10" s="4" customFormat="1">
      <c r="A194" s="134"/>
      <c r="B194" s="134"/>
      <c r="C194" s="134"/>
      <c r="D194" s="134"/>
      <c r="E194"/>
      <c r="F194"/>
      <c r="G194"/>
      <c r="H194"/>
      <c r="I194"/>
      <c r="J194"/>
    </row>
    <row r="195" spans="1:10" s="4" customFormat="1">
      <c r="A195" s="134"/>
      <c r="B195" s="134"/>
      <c r="C195" s="134"/>
      <c r="D195" s="134"/>
      <c r="E195"/>
      <c r="F195"/>
      <c r="G195"/>
      <c r="H195"/>
      <c r="I195"/>
      <c r="J195"/>
    </row>
    <row r="196" spans="1:10" s="4" customFormat="1">
      <c r="A196" s="134"/>
      <c r="B196" s="134"/>
      <c r="C196" s="134"/>
      <c r="D196" s="134"/>
      <c r="E196"/>
      <c r="F196"/>
      <c r="G196"/>
      <c r="H196"/>
      <c r="I196"/>
      <c r="J196"/>
    </row>
    <row r="197" spans="1:10" s="4" customFormat="1">
      <c r="A197" s="134"/>
      <c r="B197" s="134"/>
      <c r="C197" s="134"/>
      <c r="D197" s="134"/>
      <c r="E197"/>
      <c r="F197"/>
      <c r="G197"/>
      <c r="H197"/>
      <c r="I197"/>
      <c r="J197"/>
    </row>
    <row r="198" spans="1:10" s="4" customFormat="1">
      <c r="A198" s="134"/>
      <c r="B198" s="134"/>
      <c r="C198" s="134"/>
      <c r="D198" s="134"/>
      <c r="E198"/>
      <c r="F198"/>
      <c r="G198"/>
      <c r="H198"/>
      <c r="I198"/>
      <c r="J198"/>
    </row>
    <row r="199" spans="1:10" s="4" customFormat="1">
      <c r="A199" s="134"/>
      <c r="B199" s="134"/>
      <c r="C199" s="134"/>
      <c r="D199" s="134"/>
      <c r="E199"/>
      <c r="F199"/>
      <c r="G199"/>
      <c r="H199"/>
      <c r="I199"/>
      <c r="J199"/>
    </row>
    <row r="200" spans="1:10" s="4" customFormat="1">
      <c r="A200" s="134"/>
      <c r="B200" s="134"/>
      <c r="C200" s="134"/>
      <c r="D200" s="134"/>
      <c r="E200"/>
      <c r="F200"/>
      <c r="G200"/>
      <c r="H200"/>
      <c r="I200"/>
      <c r="J200"/>
    </row>
    <row r="201" spans="1:10" s="4" customFormat="1">
      <c r="A201" s="134"/>
      <c r="B201" s="134"/>
      <c r="C201" s="134"/>
      <c r="D201" s="134"/>
      <c r="E201"/>
      <c r="F201"/>
      <c r="G201"/>
      <c r="H201"/>
      <c r="I201"/>
      <c r="J201"/>
    </row>
    <row r="202" spans="1:10" s="4" customFormat="1">
      <c r="A202" s="134"/>
      <c r="B202" s="134"/>
      <c r="C202" s="134"/>
      <c r="D202" s="134"/>
      <c r="E202"/>
      <c r="F202"/>
      <c r="G202"/>
      <c r="H202"/>
      <c r="I202"/>
      <c r="J202"/>
    </row>
    <row r="203" spans="1:10" s="4" customFormat="1">
      <c r="A203" s="134"/>
      <c r="B203" s="134"/>
      <c r="C203" s="134"/>
      <c r="D203" s="134"/>
      <c r="E203"/>
      <c r="F203"/>
      <c r="G203"/>
      <c r="H203"/>
      <c r="I203"/>
      <c r="J203"/>
    </row>
    <row r="204" spans="1:10" s="4" customFormat="1">
      <c r="A204" s="134"/>
      <c r="B204" s="134"/>
      <c r="C204" s="134"/>
      <c r="D204" s="134"/>
      <c r="E204"/>
      <c r="F204"/>
      <c r="G204"/>
      <c r="H204"/>
      <c r="I204"/>
      <c r="J204"/>
    </row>
    <row r="205" spans="1:10" s="4" customFormat="1">
      <c r="A205" s="134"/>
      <c r="B205" s="134"/>
      <c r="C205" s="134"/>
      <c r="D205" s="134"/>
      <c r="E205"/>
      <c r="F205"/>
      <c r="G205"/>
      <c r="H205"/>
      <c r="I205"/>
      <c r="J205"/>
    </row>
    <row r="206" spans="1:10" s="4" customFormat="1">
      <c r="A206" s="134"/>
      <c r="B206" s="134"/>
      <c r="C206" s="134"/>
      <c r="D206" s="134"/>
      <c r="E206"/>
      <c r="F206"/>
      <c r="G206"/>
      <c r="H206"/>
      <c r="I206"/>
      <c r="J206"/>
    </row>
    <row r="207" spans="1:10" s="4" customFormat="1">
      <c r="A207" s="134"/>
      <c r="B207" s="134"/>
      <c r="C207" s="134"/>
      <c r="D207" s="134"/>
      <c r="E207"/>
      <c r="F207"/>
      <c r="G207"/>
      <c r="H207"/>
      <c r="I207"/>
      <c r="J207"/>
    </row>
    <row r="208" spans="1:10" s="4" customFormat="1">
      <c r="A208" s="134"/>
      <c r="B208" s="134"/>
      <c r="C208" s="134"/>
      <c r="D208" s="134"/>
      <c r="E208"/>
      <c r="F208"/>
      <c r="G208"/>
      <c r="H208"/>
      <c r="I208"/>
      <c r="J208"/>
    </row>
    <row r="209" spans="1:10" s="97" customFormat="1">
      <c r="A209" s="134"/>
      <c r="B209" s="134"/>
      <c r="C209" s="134"/>
      <c r="D209" s="134"/>
      <c r="E209"/>
      <c r="F209"/>
      <c r="G209"/>
      <c r="H209"/>
      <c r="I209"/>
      <c r="J209"/>
    </row>
    <row r="211" spans="1:10" s="4" customFormat="1">
      <c r="A211" s="134"/>
      <c r="B211" s="134"/>
      <c r="C211" s="134"/>
      <c r="D211" s="134"/>
      <c r="E211"/>
      <c r="F211"/>
      <c r="G211"/>
      <c r="H211"/>
      <c r="I211"/>
      <c r="J211"/>
    </row>
    <row r="212" spans="1:10" s="4" customFormat="1">
      <c r="A212" s="134"/>
      <c r="B212" s="134"/>
      <c r="C212" s="134"/>
      <c r="D212" s="134"/>
      <c r="E212"/>
      <c r="F212"/>
      <c r="G212"/>
      <c r="H212"/>
      <c r="I212"/>
      <c r="J212"/>
    </row>
    <row r="213" spans="1:10" s="4" customFormat="1">
      <c r="A213" s="134"/>
      <c r="B213" s="134"/>
      <c r="C213" s="134"/>
      <c r="D213" s="134"/>
      <c r="E213"/>
      <c r="F213"/>
      <c r="G213"/>
      <c r="H213"/>
      <c r="I213"/>
      <c r="J213"/>
    </row>
    <row r="214" spans="1:10" s="4" customFormat="1">
      <c r="A214" s="134"/>
      <c r="B214" s="134"/>
      <c r="C214" s="134"/>
      <c r="D214" s="134"/>
      <c r="E214"/>
      <c r="F214"/>
      <c r="G214"/>
      <c r="H214"/>
      <c r="I214"/>
      <c r="J214"/>
    </row>
    <row r="215" spans="1:10" s="4" customFormat="1">
      <c r="A215" s="134"/>
      <c r="B215" s="134"/>
      <c r="C215" s="134"/>
      <c r="D215" s="134"/>
      <c r="E215"/>
      <c r="F215"/>
      <c r="G215"/>
      <c r="H215"/>
      <c r="I215"/>
      <c r="J215"/>
    </row>
    <row r="216" spans="1:10" s="4" customFormat="1">
      <c r="A216" s="134"/>
      <c r="B216" s="134"/>
      <c r="C216" s="134"/>
      <c r="D216" s="134"/>
      <c r="E216"/>
      <c r="F216"/>
      <c r="G216"/>
      <c r="H216"/>
      <c r="I216"/>
      <c r="J216"/>
    </row>
    <row r="217" spans="1:10" s="4" customFormat="1">
      <c r="A217" s="134"/>
      <c r="B217" s="134"/>
      <c r="C217" s="134"/>
      <c r="D217" s="134"/>
      <c r="E217"/>
      <c r="F217"/>
      <c r="G217"/>
      <c r="H217"/>
      <c r="I217"/>
      <c r="J217"/>
    </row>
    <row r="218" spans="1:10" s="4" customFormat="1">
      <c r="A218" s="134"/>
      <c r="B218" s="134"/>
      <c r="C218" s="134"/>
      <c r="D218" s="134"/>
      <c r="E218"/>
      <c r="F218"/>
      <c r="G218"/>
      <c r="H218"/>
      <c r="I218"/>
      <c r="J218"/>
    </row>
    <row r="219" spans="1:10" s="4" customFormat="1">
      <c r="A219" s="134"/>
      <c r="B219" s="134"/>
      <c r="C219" s="134"/>
      <c r="D219" s="134"/>
      <c r="E219"/>
      <c r="F219"/>
      <c r="G219"/>
      <c r="H219"/>
      <c r="I219"/>
      <c r="J219"/>
    </row>
    <row r="220" spans="1:10" s="4" customFormat="1">
      <c r="A220" s="134"/>
      <c r="B220" s="134"/>
      <c r="C220" s="134"/>
      <c r="D220" s="134"/>
      <c r="E220"/>
      <c r="F220"/>
      <c r="G220"/>
      <c r="H220"/>
      <c r="I220"/>
      <c r="J220"/>
    </row>
    <row r="221" spans="1:10" s="4" customFormat="1">
      <c r="A221" s="134"/>
      <c r="B221" s="134"/>
      <c r="C221" s="134"/>
      <c r="D221" s="134"/>
      <c r="E221"/>
      <c r="F221"/>
      <c r="G221"/>
      <c r="H221"/>
      <c r="I221"/>
      <c r="J221"/>
    </row>
    <row r="222" spans="1:10" s="4" customFormat="1">
      <c r="A222" s="134"/>
      <c r="B222" s="134"/>
      <c r="C222" s="134"/>
      <c r="D222" s="134"/>
      <c r="E222"/>
      <c r="F222"/>
      <c r="G222"/>
      <c r="H222"/>
      <c r="I222"/>
      <c r="J222"/>
    </row>
    <row r="223" spans="1:10" s="4" customFormat="1">
      <c r="A223" s="134"/>
      <c r="B223" s="134"/>
      <c r="C223" s="134"/>
      <c r="D223" s="134"/>
      <c r="E223"/>
      <c r="F223"/>
      <c r="G223"/>
      <c r="H223"/>
      <c r="I223"/>
      <c r="J223"/>
    </row>
    <row r="224" spans="1:10" s="4" customFormat="1">
      <c r="A224" s="134"/>
      <c r="B224" s="134"/>
      <c r="C224" s="134"/>
      <c r="D224" s="134"/>
      <c r="E224"/>
      <c r="F224"/>
      <c r="G224"/>
      <c r="H224"/>
      <c r="I224"/>
      <c r="J224"/>
    </row>
    <row r="225" spans="1:10" s="4" customFormat="1">
      <c r="A225" s="134"/>
      <c r="B225" s="134"/>
      <c r="C225" s="134"/>
      <c r="D225" s="134"/>
      <c r="E225"/>
      <c r="F225"/>
      <c r="G225"/>
      <c r="H225"/>
      <c r="I225"/>
      <c r="J225"/>
    </row>
    <row r="226" spans="1:10" s="4" customFormat="1">
      <c r="A226" s="134"/>
      <c r="B226" s="134"/>
      <c r="C226" s="134"/>
      <c r="D226" s="134"/>
      <c r="E226"/>
      <c r="F226"/>
      <c r="G226"/>
      <c r="H226"/>
      <c r="I226"/>
      <c r="J226"/>
    </row>
    <row r="227" spans="1:10" s="4" customFormat="1">
      <c r="A227" s="134"/>
      <c r="B227" s="134"/>
      <c r="C227" s="134"/>
      <c r="D227" s="134"/>
      <c r="E227"/>
      <c r="F227"/>
      <c r="G227"/>
      <c r="H227"/>
      <c r="I227"/>
      <c r="J227"/>
    </row>
    <row r="228" spans="1:10" s="4" customFormat="1">
      <c r="A228" s="134"/>
      <c r="B228" s="134"/>
      <c r="C228" s="134"/>
      <c r="D228" s="134"/>
      <c r="E228"/>
      <c r="F228"/>
      <c r="G228"/>
      <c r="H228"/>
      <c r="I228"/>
      <c r="J228"/>
    </row>
    <row r="229" spans="1:10" s="4" customFormat="1">
      <c r="A229" s="134"/>
      <c r="B229" s="134"/>
      <c r="C229" s="134"/>
      <c r="D229" s="134"/>
      <c r="E229"/>
      <c r="F229"/>
      <c r="G229"/>
      <c r="H229"/>
      <c r="I229"/>
      <c r="J229"/>
    </row>
    <row r="230" spans="1:10" s="97" customFormat="1">
      <c r="A230" s="134"/>
      <c r="B230" s="134"/>
      <c r="C230" s="134"/>
      <c r="D230" s="134"/>
      <c r="E230"/>
      <c r="F230"/>
      <c r="G230"/>
      <c r="H230"/>
      <c r="I230"/>
      <c r="J230"/>
    </row>
    <row r="232" spans="1:10" s="4" customFormat="1">
      <c r="A232" s="134"/>
      <c r="B232" s="134"/>
      <c r="C232" s="134"/>
      <c r="D232" s="134"/>
      <c r="E232"/>
      <c r="F232"/>
      <c r="G232"/>
      <c r="H232"/>
      <c r="I232"/>
      <c r="J232"/>
    </row>
    <row r="233" spans="1:10" s="4" customFormat="1">
      <c r="A233" s="134"/>
      <c r="B233" s="134"/>
      <c r="C233" s="134"/>
      <c r="D233" s="134"/>
      <c r="E233"/>
      <c r="F233"/>
      <c r="G233"/>
      <c r="H233"/>
      <c r="I233"/>
      <c r="J233"/>
    </row>
    <row r="234" spans="1:10" s="4" customFormat="1">
      <c r="A234" s="134"/>
      <c r="B234" s="134"/>
      <c r="C234" s="134"/>
      <c r="D234" s="134"/>
      <c r="E234"/>
      <c r="F234"/>
      <c r="G234"/>
      <c r="H234"/>
      <c r="I234"/>
      <c r="J234"/>
    </row>
    <row r="235" spans="1:10" s="4" customFormat="1">
      <c r="A235" s="134"/>
      <c r="B235" s="134"/>
      <c r="C235" s="134"/>
      <c r="D235" s="134"/>
      <c r="E235"/>
      <c r="F235"/>
      <c r="G235"/>
      <c r="H235"/>
      <c r="I235"/>
      <c r="J235"/>
    </row>
    <row r="236" spans="1:10" s="4" customFormat="1">
      <c r="A236" s="134"/>
      <c r="B236" s="134"/>
      <c r="C236" s="134"/>
      <c r="D236" s="134"/>
      <c r="E236"/>
      <c r="F236"/>
      <c r="G236"/>
      <c r="H236"/>
      <c r="I236"/>
      <c r="J236"/>
    </row>
    <row r="237" spans="1:10" s="4" customFormat="1">
      <c r="A237" s="134"/>
      <c r="B237" s="134"/>
      <c r="C237" s="134"/>
      <c r="D237" s="134"/>
      <c r="E237"/>
      <c r="F237"/>
      <c r="G237"/>
      <c r="H237"/>
      <c r="I237"/>
      <c r="J237"/>
    </row>
    <row r="238" spans="1:10" s="4" customFormat="1">
      <c r="A238" s="134"/>
      <c r="B238" s="134"/>
      <c r="C238" s="134"/>
      <c r="D238" s="134"/>
      <c r="E238"/>
      <c r="F238"/>
      <c r="G238"/>
      <c r="H238"/>
      <c r="I238"/>
      <c r="J238"/>
    </row>
    <row r="239" spans="1:10" s="4" customFormat="1">
      <c r="A239" s="134"/>
      <c r="B239" s="134"/>
      <c r="C239" s="134"/>
      <c r="D239" s="134"/>
      <c r="E239"/>
      <c r="F239"/>
      <c r="G239"/>
      <c r="H239"/>
      <c r="I239"/>
      <c r="J239"/>
    </row>
    <row r="240" spans="1:10" s="4" customFormat="1">
      <c r="A240" s="134"/>
      <c r="B240" s="134"/>
      <c r="C240" s="134"/>
      <c r="D240" s="134"/>
      <c r="E240"/>
      <c r="F240"/>
      <c r="G240"/>
      <c r="H240"/>
      <c r="I240"/>
      <c r="J240"/>
    </row>
    <row r="241" spans="1:10" s="4" customFormat="1">
      <c r="A241" s="134"/>
      <c r="B241" s="134"/>
      <c r="C241" s="134"/>
      <c r="D241" s="134"/>
      <c r="E241"/>
      <c r="F241"/>
      <c r="G241"/>
      <c r="H241"/>
      <c r="I241"/>
      <c r="J241"/>
    </row>
    <row r="242" spans="1:10" s="4" customFormat="1">
      <c r="A242" s="134"/>
      <c r="B242" s="134"/>
      <c r="C242" s="134"/>
      <c r="D242" s="134"/>
      <c r="E242"/>
      <c r="F242"/>
      <c r="G242"/>
      <c r="H242"/>
      <c r="I242"/>
      <c r="J242"/>
    </row>
    <row r="243" spans="1:10" s="4" customFormat="1">
      <c r="A243" s="134"/>
      <c r="B243" s="134"/>
      <c r="C243" s="134"/>
      <c r="D243" s="134"/>
      <c r="E243"/>
      <c r="F243"/>
      <c r="G243"/>
      <c r="H243"/>
      <c r="I243"/>
      <c r="J243"/>
    </row>
    <row r="244" spans="1:10" s="4" customFormat="1">
      <c r="A244" s="134"/>
      <c r="B244" s="134"/>
      <c r="C244" s="134"/>
      <c r="D244" s="134"/>
      <c r="E244"/>
      <c r="F244"/>
      <c r="G244"/>
      <c r="H244"/>
      <c r="I244"/>
      <c r="J244"/>
    </row>
    <row r="245" spans="1:10" s="4" customFormat="1">
      <c r="A245" s="134"/>
      <c r="B245" s="134"/>
      <c r="C245" s="134"/>
      <c r="D245" s="134"/>
      <c r="E245"/>
      <c r="F245"/>
      <c r="G245"/>
      <c r="H245"/>
      <c r="I245"/>
      <c r="J245"/>
    </row>
    <row r="246" spans="1:10" s="4" customFormat="1">
      <c r="A246" s="134"/>
      <c r="B246" s="134"/>
      <c r="C246" s="134"/>
      <c r="D246" s="134"/>
      <c r="E246"/>
      <c r="F246"/>
      <c r="G246"/>
      <c r="H246"/>
      <c r="I246"/>
      <c r="J246"/>
    </row>
    <row r="247" spans="1:10" s="4" customFormat="1">
      <c r="A247" s="134"/>
      <c r="B247" s="134"/>
      <c r="C247" s="134"/>
      <c r="D247" s="134"/>
      <c r="E247"/>
      <c r="F247"/>
      <c r="G247"/>
      <c r="H247"/>
      <c r="I247"/>
      <c r="J247"/>
    </row>
    <row r="248" spans="1:10" s="4" customFormat="1">
      <c r="A248" s="134"/>
      <c r="B248" s="134"/>
      <c r="C248" s="134"/>
      <c r="D248" s="134"/>
      <c r="E248"/>
      <c r="F248"/>
      <c r="G248"/>
      <c r="H248"/>
      <c r="I248"/>
      <c r="J248"/>
    </row>
    <row r="249" spans="1:10" s="4" customFormat="1">
      <c r="A249" s="134"/>
      <c r="B249" s="134"/>
      <c r="C249" s="134"/>
      <c r="D249" s="134"/>
      <c r="E249"/>
      <c r="F249"/>
      <c r="G249"/>
      <c r="H249"/>
      <c r="I249"/>
      <c r="J249"/>
    </row>
    <row r="250" spans="1:10" s="4" customFormat="1">
      <c r="A250" s="134"/>
      <c r="B250" s="134"/>
      <c r="C250" s="134"/>
      <c r="D250" s="134"/>
      <c r="E250"/>
      <c r="F250"/>
      <c r="G250"/>
      <c r="H250"/>
      <c r="I250"/>
      <c r="J250"/>
    </row>
    <row r="251" spans="1:10" s="97" customFormat="1">
      <c r="A251" s="134"/>
      <c r="B251" s="134"/>
      <c r="C251" s="134"/>
      <c r="D251" s="134"/>
      <c r="E251"/>
      <c r="F251"/>
      <c r="G251"/>
      <c r="H251"/>
      <c r="I251"/>
      <c r="J251"/>
    </row>
    <row r="253" spans="1:10" s="4" customFormat="1">
      <c r="A253" s="134"/>
      <c r="B253" s="134"/>
      <c r="C253" s="134"/>
      <c r="D253" s="134"/>
      <c r="E253"/>
      <c r="F253"/>
      <c r="G253"/>
      <c r="H253"/>
      <c r="I253"/>
      <c r="J253"/>
    </row>
    <row r="254" spans="1:10" s="4" customFormat="1">
      <c r="A254" s="134"/>
      <c r="B254" s="134"/>
      <c r="C254" s="134"/>
      <c r="D254" s="134"/>
      <c r="E254"/>
      <c r="F254"/>
      <c r="G254"/>
      <c r="H254"/>
      <c r="I254"/>
      <c r="J254"/>
    </row>
    <row r="255" spans="1:10" s="4" customFormat="1">
      <c r="A255" s="134"/>
      <c r="B255" s="134"/>
      <c r="C255" s="134"/>
      <c r="D255" s="134"/>
      <c r="E255"/>
      <c r="F255"/>
      <c r="G255"/>
      <c r="H255"/>
      <c r="I255"/>
      <c r="J255"/>
    </row>
    <row r="256" spans="1:10" s="4" customFormat="1">
      <c r="A256" s="134"/>
      <c r="B256" s="134"/>
      <c r="C256" s="134"/>
      <c r="D256" s="134"/>
      <c r="E256"/>
      <c r="F256"/>
      <c r="G256"/>
      <c r="H256"/>
      <c r="I256"/>
      <c r="J256"/>
    </row>
    <row r="257" spans="1:10" s="4" customFormat="1">
      <c r="A257" s="134"/>
      <c r="B257" s="134"/>
      <c r="C257" s="134"/>
      <c r="D257" s="134"/>
      <c r="E257"/>
      <c r="F257"/>
      <c r="G257"/>
      <c r="H257"/>
      <c r="I257"/>
      <c r="J257"/>
    </row>
    <row r="258" spans="1:10" s="4" customFormat="1">
      <c r="A258" s="134"/>
      <c r="B258" s="134"/>
      <c r="C258" s="134"/>
      <c r="D258" s="134"/>
      <c r="E258"/>
      <c r="F258"/>
      <c r="G258"/>
      <c r="H258"/>
      <c r="I258"/>
      <c r="J258"/>
    </row>
    <row r="259" spans="1:10" s="4" customFormat="1">
      <c r="A259" s="134"/>
      <c r="B259" s="134"/>
      <c r="C259" s="134"/>
      <c r="D259" s="134"/>
      <c r="E259"/>
      <c r="F259"/>
      <c r="G259"/>
      <c r="H259"/>
      <c r="I259"/>
      <c r="J259"/>
    </row>
    <row r="260" spans="1:10" s="4" customFormat="1">
      <c r="A260" s="134"/>
      <c r="B260" s="134"/>
      <c r="C260" s="134"/>
      <c r="D260" s="134"/>
      <c r="E260"/>
      <c r="F260"/>
      <c r="G260"/>
      <c r="H260"/>
      <c r="I260"/>
      <c r="J260"/>
    </row>
    <row r="261" spans="1:10" s="4" customFormat="1">
      <c r="A261" s="134"/>
      <c r="B261" s="134"/>
      <c r="C261" s="134"/>
      <c r="D261" s="134"/>
      <c r="E261"/>
      <c r="F261"/>
      <c r="G261"/>
      <c r="H261"/>
      <c r="I261"/>
      <c r="J261"/>
    </row>
    <row r="262" spans="1:10" s="4" customFormat="1">
      <c r="A262" s="134"/>
      <c r="B262" s="134"/>
      <c r="C262" s="134"/>
      <c r="D262" s="134"/>
      <c r="E262"/>
      <c r="F262"/>
      <c r="G262"/>
      <c r="H262"/>
      <c r="I262"/>
      <c r="J262"/>
    </row>
    <row r="263" spans="1:10" s="4" customFormat="1">
      <c r="A263" s="134"/>
      <c r="B263" s="134"/>
      <c r="C263" s="134"/>
      <c r="D263" s="134"/>
      <c r="E263"/>
      <c r="F263"/>
      <c r="G263"/>
      <c r="H263"/>
      <c r="I263"/>
      <c r="J263"/>
    </row>
    <row r="264" spans="1:10" s="4" customFormat="1">
      <c r="A264" s="134"/>
      <c r="B264" s="134"/>
      <c r="C264" s="134"/>
      <c r="D264" s="134"/>
      <c r="E264"/>
      <c r="F264"/>
      <c r="G264"/>
      <c r="H264"/>
      <c r="I264"/>
      <c r="J264"/>
    </row>
    <row r="265" spans="1:10" s="4" customFormat="1">
      <c r="A265" s="134"/>
      <c r="B265" s="134"/>
      <c r="C265" s="134"/>
      <c r="D265" s="134"/>
      <c r="E265"/>
      <c r="F265"/>
      <c r="G265"/>
      <c r="H265"/>
      <c r="I265"/>
      <c r="J265"/>
    </row>
    <row r="266" spans="1:10" s="4" customFormat="1">
      <c r="A266" s="134"/>
      <c r="B266" s="134"/>
      <c r="C266" s="134"/>
      <c r="D266" s="134"/>
      <c r="E266"/>
      <c r="F266"/>
      <c r="G266"/>
      <c r="H266"/>
      <c r="I266"/>
      <c r="J266"/>
    </row>
    <row r="267" spans="1:10" s="4" customFormat="1">
      <c r="A267" s="134"/>
      <c r="B267" s="134"/>
      <c r="C267" s="134"/>
      <c r="D267" s="134"/>
      <c r="E267"/>
      <c r="F267"/>
      <c r="G267"/>
      <c r="H267"/>
      <c r="I267"/>
      <c r="J267"/>
    </row>
    <row r="268" spans="1:10" s="4" customFormat="1">
      <c r="A268" s="134"/>
      <c r="B268" s="134"/>
      <c r="C268" s="134"/>
      <c r="D268" s="134"/>
      <c r="E268"/>
      <c r="F268"/>
      <c r="G268"/>
      <c r="H268"/>
      <c r="I268"/>
      <c r="J268"/>
    </row>
    <row r="269" spans="1:10" s="4" customFormat="1">
      <c r="A269" s="134"/>
      <c r="B269" s="134"/>
      <c r="C269" s="134"/>
      <c r="D269" s="134"/>
      <c r="E269"/>
      <c r="F269"/>
      <c r="G269"/>
      <c r="H269"/>
      <c r="I269"/>
      <c r="J269"/>
    </row>
    <row r="270" spans="1:10" s="4" customFormat="1">
      <c r="A270" s="134"/>
      <c r="B270" s="134"/>
      <c r="C270" s="134"/>
      <c r="D270" s="134"/>
      <c r="E270"/>
      <c r="F270"/>
      <c r="G270"/>
      <c r="H270"/>
      <c r="I270"/>
      <c r="J270"/>
    </row>
    <row r="271" spans="1:10" s="4" customFormat="1">
      <c r="A271" s="134"/>
      <c r="B271" s="134"/>
      <c r="C271" s="134"/>
      <c r="D271" s="134"/>
      <c r="E271"/>
      <c r="F271"/>
      <c r="G271"/>
      <c r="H271"/>
      <c r="I271"/>
      <c r="J271"/>
    </row>
    <row r="272" spans="1:10" s="97" customFormat="1">
      <c r="A272" s="134"/>
      <c r="B272" s="134"/>
      <c r="C272" s="134"/>
      <c r="D272" s="134"/>
      <c r="E272"/>
      <c r="F272"/>
      <c r="G272"/>
      <c r="H272"/>
      <c r="I272"/>
      <c r="J272"/>
    </row>
  </sheetData>
  <phoneticPr fontId="27" type="noConversion"/>
  <printOptions headings="1" gridLines="1"/>
  <pageMargins left="0.7" right="0.7" top="1.3958333333333333" bottom="0.75" header="0.3" footer="0.3"/>
  <pageSetup orientation="landscape" r:id="rId1"/>
  <headerFooter>
    <oddHeader>&amp;RBoston Gas Company and Colonial Gas Company 
d/b/a National Grid 
D.P.U. 18-51
2017 Energy Efficiency Plan-Year Report
Appendix 2, BCR Model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L108"/>
  <sheetViews>
    <sheetView topLeftCell="D2" zoomScale="80" zoomScaleNormal="80" workbookViewId="0">
      <pane xSplit="6" topLeftCell="N1" activePane="topRight" state="frozen"/>
      <selection activeCell="D1" sqref="D1"/>
      <selection pane="topRight" activeCell="Q2" sqref="Q2:Q38"/>
    </sheetView>
  </sheetViews>
  <sheetFormatPr defaultRowHeight="12.75" outlineLevelCol="1"/>
  <cols>
    <col min="2" max="2" width="14" customWidth="1" outlineLevel="1"/>
    <col min="3" max="3" width="7.7109375" bestFit="1" customWidth="1"/>
    <col min="4" max="5" width="7.7109375" style="696" customWidth="1"/>
    <col min="6" max="6" width="7.7109375" customWidth="1"/>
    <col min="7" max="7" width="12.42578125" customWidth="1" outlineLevel="1"/>
    <col min="8" max="8" width="21" customWidth="1" outlineLevel="1"/>
    <col min="9" max="9" width="46.5703125" bestFit="1" customWidth="1"/>
    <col min="10" max="14" width="17.42578125" style="696" customWidth="1"/>
    <col min="15" max="15" width="16.28515625" style="696" bestFit="1" customWidth="1"/>
    <col min="16" max="16" width="13.28515625" style="696" customWidth="1"/>
    <col min="17" max="18" width="12.7109375" style="696" customWidth="1"/>
    <col min="19" max="19" width="15.140625" style="696" bestFit="1" customWidth="1"/>
    <col min="20" max="22" width="13" style="696" customWidth="1"/>
    <col min="23" max="23" width="16.28515625" style="696" bestFit="1" customWidth="1"/>
    <col min="24" max="24" width="14.28515625" style="696" customWidth="1"/>
    <col min="25" max="25" width="13.140625" style="696" bestFit="1" customWidth="1"/>
    <col min="26" max="26" width="13.140625" style="696" customWidth="1"/>
    <col min="27" max="27" width="10.85546875" style="696" bestFit="1" customWidth="1"/>
    <col min="28" max="28" width="11.28515625" style="696" bestFit="1" customWidth="1"/>
    <col min="29" max="29" width="11.28515625" style="696" customWidth="1"/>
    <col min="30" max="30" width="12.28515625" style="696" bestFit="1" customWidth="1"/>
    <col min="31" max="31" width="12.28515625" style="696" customWidth="1"/>
    <col min="32" max="33" width="15.42578125" style="696" customWidth="1"/>
    <col min="34" max="35" width="15.7109375" style="696" customWidth="1"/>
    <col min="36" max="37" width="15.42578125" style="696" customWidth="1"/>
    <col min="38" max="38" width="12.7109375" style="696" bestFit="1" customWidth="1"/>
    <col min="39" max="39" width="12.7109375" style="696" customWidth="1"/>
    <col min="40" max="41" width="15.42578125" style="696" customWidth="1"/>
    <col min="42" max="42" width="11.85546875" style="696" bestFit="1" customWidth="1"/>
    <col min="43" max="43" width="15.42578125" style="696" customWidth="1"/>
    <col min="44" max="44" width="21.5703125" style="696" customWidth="1"/>
    <col min="45" max="45" width="23.7109375" style="696" customWidth="1"/>
    <col min="46" max="47" width="17.28515625" style="696" customWidth="1"/>
    <col min="48" max="48" width="16.28515625" style="696" bestFit="1" customWidth="1"/>
    <col min="49" max="52" width="16.28515625" style="696" customWidth="1"/>
    <col min="53" max="53" width="16.28515625" style="696" bestFit="1" customWidth="1"/>
    <col min="54" max="55" width="16.28515625" style="696" customWidth="1"/>
    <col min="56" max="56" width="15.140625" style="696" bestFit="1" customWidth="1"/>
    <col min="57" max="58" width="15.140625" style="696" customWidth="1"/>
    <col min="59" max="59" width="15.42578125" style="696" customWidth="1"/>
    <col min="60" max="60" width="16.28515625" style="696" bestFit="1" customWidth="1"/>
    <col min="61" max="61" width="15.28515625" style="696" customWidth="1"/>
    <col min="62" max="62" width="16.28515625" style="696" bestFit="1" customWidth="1"/>
    <col min="63" max="63" width="17.28515625" style="696" bestFit="1" customWidth="1"/>
  </cols>
  <sheetData>
    <row r="1" spans="1:64" s="267" customFormat="1" ht="78" customHeight="1" thickBot="1">
      <c r="A1" s="845" t="s">
        <v>1202</v>
      </c>
      <c r="B1" s="274" t="s">
        <v>619</v>
      </c>
      <c r="C1" s="261" t="s">
        <v>280</v>
      </c>
      <c r="D1" s="261" t="s">
        <v>1203</v>
      </c>
      <c r="E1" s="261" t="s">
        <v>1204</v>
      </c>
      <c r="F1" s="261" t="s">
        <v>620</v>
      </c>
      <c r="G1" s="261" t="s">
        <v>7</v>
      </c>
      <c r="H1" s="261" t="s">
        <v>8</v>
      </c>
      <c r="I1" s="261" t="s">
        <v>419</v>
      </c>
      <c r="J1" s="262" t="s">
        <v>420</v>
      </c>
      <c r="K1" s="262" t="s">
        <v>421</v>
      </c>
      <c r="L1" s="262" t="s">
        <v>422</v>
      </c>
      <c r="M1" s="262" t="s">
        <v>423</v>
      </c>
      <c r="N1" s="262" t="s">
        <v>424</v>
      </c>
      <c r="O1" s="262" t="s">
        <v>425</v>
      </c>
      <c r="P1" s="262" t="s">
        <v>446</v>
      </c>
      <c r="Q1" s="263" t="s">
        <v>426</v>
      </c>
      <c r="R1" s="263" t="s">
        <v>447</v>
      </c>
      <c r="S1" s="262" t="s">
        <v>427</v>
      </c>
      <c r="T1" s="262" t="s">
        <v>448</v>
      </c>
      <c r="U1" s="262" t="s">
        <v>428</v>
      </c>
      <c r="V1" s="262" t="s">
        <v>449</v>
      </c>
      <c r="W1" s="262" t="s">
        <v>429</v>
      </c>
      <c r="X1" s="262" t="s">
        <v>450</v>
      </c>
      <c r="Y1" s="264" t="s">
        <v>415</v>
      </c>
      <c r="Z1" s="264" t="s">
        <v>1256</v>
      </c>
      <c r="AA1" s="264" t="s">
        <v>1257</v>
      </c>
      <c r="AB1" s="264" t="s">
        <v>1225</v>
      </c>
      <c r="AC1" s="264" t="s">
        <v>1226</v>
      </c>
      <c r="AD1" s="264" t="s">
        <v>1237</v>
      </c>
      <c r="AE1" s="264" t="s">
        <v>1238</v>
      </c>
      <c r="AF1" s="264" t="s">
        <v>1227</v>
      </c>
      <c r="AG1" s="264" t="s">
        <v>1228</v>
      </c>
      <c r="AH1" s="264" t="s">
        <v>1229</v>
      </c>
      <c r="AI1" s="264" t="s">
        <v>1230</v>
      </c>
      <c r="AJ1" s="265" t="s">
        <v>1239</v>
      </c>
      <c r="AK1" s="265" t="s">
        <v>1240</v>
      </c>
      <c r="AL1" s="265" t="s">
        <v>1231</v>
      </c>
      <c r="AM1" s="265" t="s">
        <v>1232</v>
      </c>
      <c r="AN1" s="264" t="s">
        <v>1241</v>
      </c>
      <c r="AO1" s="264" t="s">
        <v>1242</v>
      </c>
      <c r="AP1" s="264" t="s">
        <v>1252</v>
      </c>
      <c r="AQ1" s="264" t="s">
        <v>1253</v>
      </c>
      <c r="AR1" s="264" t="s">
        <v>1254</v>
      </c>
      <c r="AS1" s="264" t="s">
        <v>1255</v>
      </c>
      <c r="AT1" s="266" t="s">
        <v>626</v>
      </c>
      <c r="AU1" s="266" t="s">
        <v>627</v>
      </c>
      <c r="AV1" s="266" t="s">
        <v>430</v>
      </c>
      <c r="AW1" s="266" t="s">
        <v>431</v>
      </c>
      <c r="AX1" s="266" t="s">
        <v>432</v>
      </c>
      <c r="AY1" s="266" t="s">
        <v>433</v>
      </c>
      <c r="AZ1" s="266" t="s">
        <v>434</v>
      </c>
      <c r="BA1" s="266" t="s">
        <v>435</v>
      </c>
      <c r="BB1" s="266" t="s">
        <v>436</v>
      </c>
      <c r="BC1" s="266" t="s">
        <v>437</v>
      </c>
      <c r="BD1" s="266" t="s">
        <v>417</v>
      </c>
      <c r="BE1" s="266" t="s">
        <v>438</v>
      </c>
      <c r="BF1" s="266" t="s">
        <v>439</v>
      </c>
      <c r="BG1" s="266" t="s">
        <v>440</v>
      </c>
      <c r="BH1" s="266" t="s">
        <v>418</v>
      </c>
      <c r="BI1" s="266" t="s">
        <v>441</v>
      </c>
      <c r="BJ1" s="266" t="s">
        <v>833</v>
      </c>
      <c r="BK1" s="266" t="s">
        <v>416</v>
      </c>
      <c r="BL1"/>
    </row>
    <row r="2" spans="1:64" ht="15" customHeight="1">
      <c r="A2" s="280" t="str">
        <f>'Lookups-Assumptions'!D$4</f>
        <v>Gas</v>
      </c>
      <c r="B2" s="280" t="str">
        <f>'Lookups-Assumptions'!D$5</f>
        <v>National Grid</v>
      </c>
      <c r="C2" s="280">
        <v>2017</v>
      </c>
      <c r="D2" s="280"/>
      <c r="E2" s="280"/>
      <c r="F2" s="280" t="str">
        <f>'Lookups-Assumptions'!D$6</f>
        <v>Evaluated</v>
      </c>
      <c r="G2" s="288" t="s">
        <v>239</v>
      </c>
      <c r="H2" s="288" t="str">
        <f>'Lookups-Assumptions'!D70</f>
        <v>A1 - Residential Whole House</v>
      </c>
      <c r="I2" s="718" t="str">
        <f>'Lookups-Assumptions'!D$77</f>
        <v>A1a - Residential New Construction</v>
      </c>
      <c r="J2" s="135">
        <f>'Cost Table'!E3</f>
        <v>194215.05047071562</v>
      </c>
      <c r="K2" s="135">
        <f>'Cost Table'!F3</f>
        <v>10325.129478486046</v>
      </c>
      <c r="L2" s="135">
        <f>'Cost Table'!G3</f>
        <v>5663333.1100000003</v>
      </c>
      <c r="M2" s="135">
        <f>'Cost Table'!H3</f>
        <v>259448.0417261968</v>
      </c>
      <c r="N2" s="135">
        <f>'Cost Table'!I3</f>
        <v>260563.65659973293</v>
      </c>
      <c r="O2" s="136">
        <f t="shared" ref="O2" si="0">SUM(J2:N2)</f>
        <v>6387884.9882751321</v>
      </c>
      <c r="P2" s="844">
        <f t="shared" ref="P2:P7" si="1">IF($C2=2016,O2,IF($C2=2017,O2/(1+NDR),IF($C2=2018,O2/(1+NDR)^2)))</f>
        <v>6229651.8317487147</v>
      </c>
      <c r="Q2" s="135">
        <f t="shared" ref="Q2:Q30" si="2">IF($C2=2017,R2*(1+NDR))</f>
        <v>239597.29681611981</v>
      </c>
      <c r="R2" s="844">
        <v>233662.27503034892</v>
      </c>
      <c r="S2" s="135">
        <f>SUMIF('Calculations Yr 2'!C$5:C$400,$I2,'Calculations Yr 2'!K$5:K$400)</f>
        <v>12521178.832601847</v>
      </c>
      <c r="T2" s="844">
        <f t="shared" ref="T2:T31" si="3">IF($C2=2016,S2,IF($C2=2017,S2/(1+NDR),IF($C2=2018,S2/(1+NDR)^2)))</f>
        <v>12211018.951240342</v>
      </c>
      <c r="U2" s="271"/>
      <c r="V2" s="135">
        <f t="shared" ref="V2:V7" si="4">IF($C2=2016,U2,IF($C2=2017,U2/(1+NDR),IF($C2=2018,U2/(1+NDR)^2)))</f>
        <v>0</v>
      </c>
      <c r="W2" s="137">
        <f>SUM(O2,Q2,S2,U2)</f>
        <v>19148661.1176931</v>
      </c>
      <c r="X2" s="136">
        <f t="shared" ref="X2:X25" si="5">W2</f>
        <v>19148661.1176931</v>
      </c>
      <c r="Y2" s="138">
        <v>2566</v>
      </c>
      <c r="Z2" s="275">
        <f>SUMIF('Calculations Yr 2'!$C$5:$C$400,'Master Data'!$I2,'Calculations Yr 2'!W$5:W$400)</f>
        <v>177.97821398974747</v>
      </c>
      <c r="AA2" s="275">
        <f>SUMIF('Calculations Yr 2'!$C$5:$C$400,'Master Data'!$I2,'Calculations Yr 2'!Y$5:Y$400)</f>
        <v>168.54821279992063</v>
      </c>
      <c r="AB2" s="275">
        <f>SUMIF('Calculations Yr 2'!$C$5:$C$400,'Master Data'!$I2,'Calculations Yr 2'!O$5:O$400)</f>
        <v>773.02881071499996</v>
      </c>
      <c r="AC2" s="275">
        <f>SUMIF('Calculations Yr 2'!$C$5:$C$400,'Master Data'!$I2,'Calculations Yr 2'!M$5:M$400)</f>
        <v>843.86022685833336</v>
      </c>
      <c r="AD2" s="275">
        <f>SUMIF('Calculations Yr 2'!$C$5:$C$400,'Master Data'!$I2,'Calculations Yr 2'!P$5:P$400)</f>
        <v>10674.436603775001</v>
      </c>
      <c r="AE2" s="275"/>
      <c r="AF2" s="275">
        <f>SUMIF('Calculations Yr 2'!$C$5:$C$400,'Master Data'!$I2,'Calculations Yr 2'!AB$5:AB$400)</f>
        <v>79349.538645999972</v>
      </c>
      <c r="AG2" s="275">
        <f>SUMIF('Calculations Yr 2'!$C$5:$C$400,'Master Data'!$I2,'Calculations Yr 2'!Z$5:Z$400)</f>
        <v>69891.351811111104</v>
      </c>
      <c r="AH2" s="277">
        <f t="shared" ref="AH2:AI7" si="6">AF2*10</f>
        <v>793495.38645999972</v>
      </c>
      <c r="AI2" s="277">
        <f t="shared" si="6"/>
        <v>698913.51811111101</v>
      </c>
      <c r="AJ2" s="275">
        <f>SUMIF('Calculations Yr 2'!$C$5:$C$400,'Master Data'!$I2,'Calculations Yr 2'!AC$5:AC$400)*10</f>
        <v>17055331.865499996</v>
      </c>
      <c r="AK2" s="275">
        <f>SUMIF('Calculations Yr 2'!$C$5:$C$400,'Master Data'!$I2,'Calculations Yr 2'!AA$5:AA$400)*10</f>
        <v>14906812.228555556</v>
      </c>
      <c r="AL2" s="275">
        <f>SUMIF('Calculations Yr 2'!$C$5:$C$400,'Master Data'!$I2,'Calculations Yr 2'!AF$5:AF$400)</f>
        <v>0</v>
      </c>
      <c r="AM2" s="275">
        <f>SUMIF('Calculations Yr 2'!$C$5:$C$400,'Master Data'!$I2,'Calculations Yr 2'!AD$5:AD$400)</f>
        <v>0</v>
      </c>
      <c r="AN2" s="275">
        <f>SUMIF('Calculations Yr 2'!$C$5:$C$400,'Master Data'!$I2,'Calculations Yr 2'!AG$5:AG$400)</f>
        <v>0</v>
      </c>
      <c r="AO2" s="275">
        <f>SUMIF('Calculations Yr 2'!$C$5:$C$400,'Master Data'!$I2,'Calculations Yr 2'!AE$5:AE$400)</f>
        <v>0</v>
      </c>
      <c r="AP2" s="275">
        <f>SUMIF('Calculations Yr 2'!$C$5:$C$400,'Master Data'!$I2,'Calculations Yr 2'!AJ$5:AJ$400)</f>
        <v>0</v>
      </c>
      <c r="AQ2" s="275">
        <f>SUMIF('Calculations Yr 2'!$C$5:$C$400,'Master Data'!$I2,'Calculations Yr 2'!AK$5:AK$400)</f>
        <v>0</v>
      </c>
      <c r="AR2" s="278">
        <f>SUMIF('Calculations Yr 2'!$C$5:$C$465,'Master Data'!$I2,'Calculations Yr 2'!AL$5:AL$465)+SUMIF('Calculations Yr 2'!$C$5:$C$465,'Master Data'!$I2,'Calculations Yr 2'!AM$5:AM$465)+SUMIF('Calculations Yr 2'!$C$5:$C$465,'Master Data'!$I2,'Calculations Yr 2'!AN$5:AN$465)</f>
        <v>0</v>
      </c>
      <c r="AS2" s="275">
        <f>SUMIF('Calculations Yr 2'!$C$5:$C$400,'Master Data'!$I2,'Calculations Yr 2'!AO$5:AO$400)</f>
        <v>0</v>
      </c>
      <c r="AT2" s="275">
        <f>SUMIF('Calculations Yr 2'!$C$5:$C$400,'Master Data'!$I2,'Calculations Yr 2'!AT$5:AT$400)</f>
        <v>912909.23635592172</v>
      </c>
      <c r="AU2" s="139">
        <f>SUMIF('Calculations Yr 2'!$C$5:$C$400,'Master Data'!$I2,'Calculations Yr 2'!BA$5:BA$400)</f>
        <v>65975.017774622509</v>
      </c>
      <c r="AV2" s="140">
        <f t="shared" ref="AV2:AV20" si="7">SUM(AT2:AU2)</f>
        <v>978884.25413054426</v>
      </c>
      <c r="AW2" s="275">
        <f>SUMIF('Calculations Yr 2'!$C$5:$C$400,'Master Data'!$I2,'Calculations Yr 2'!BC$5:BC$400)</f>
        <v>499922.29827871482</v>
      </c>
      <c r="AX2" s="275">
        <f>SUMIF('Calculations Yr 2'!$C$5:$C$400,'Master Data'!$I2,'Calculations Yr 2'!BF$5:BF$400)</f>
        <v>32810.043749121556</v>
      </c>
      <c r="AY2" s="275">
        <f>SUMIF('Calculations Yr 2'!$C$5:$C$400,'Master Data'!$I2,'Calculations Yr 2'!BG$5:BG$400)</f>
        <v>257521.41752518702</v>
      </c>
      <c r="AZ2" s="275">
        <f>SUMIF('Calculations Yr 2'!$C$5:$C$400,'Master Data'!$I2,'Calculations Yr 2'!BE$5:BE$400)</f>
        <v>0</v>
      </c>
      <c r="BA2" s="140">
        <f t="shared" ref="BA2:BA20" si="8">SUM(AW2:AZ2)</f>
        <v>790253.75955302338</v>
      </c>
      <c r="BB2" s="139">
        <f>SUMIF('Calculations Yr 2'!$C$5:$C$400,'Master Data'!$I2,'Calculations Yr 2'!BQ$5:BQ$400)</f>
        <v>14821744.34946079</v>
      </c>
      <c r="BC2" s="139">
        <f>SUMIF('Calculations Yr 2'!$C$5:$C$400,'Master Data'!$I2,'Calculations Yr 2'!BZ$5:BZ$400)</f>
        <v>894942.79356063996</v>
      </c>
      <c r="BD2" s="140">
        <f t="shared" ref="BD2:BD20" si="9">SUM(BB2:BC2)</f>
        <v>15716687.143021431</v>
      </c>
      <c r="BE2" s="275">
        <f>SUMIF('Calculations Yr 2'!$C$5:$C$400,'Master Data'!$I2,'Calculations Yr 2'!CB$5:CB$400)+SUMIF('Calculations Yr 2'!$C$5:$C$400,'Master Data'!$I2,'Calculations Yr 2'!CC$5:CC$400)</f>
        <v>0</v>
      </c>
      <c r="BF2" s="275">
        <f>SUMIF('Calculations Yr 2'!$C$5:$C$400,'Master Data'!$I2,'Calculations Yr 2'!CD$5:CD$400)</f>
        <v>0</v>
      </c>
      <c r="BG2" s="139">
        <f>SUMIF('Calculations Yr 2'!$C$5:$C$465,'Master Data'!$I2,'Calculations Yr 2'!CE$5:CE$465)+SUMIF('Calculations Yr 2'!$C$5:$C$465,'Master Data'!$I2,'Calculations Yr 2'!CF$5:CF$465)+SUMIF('Calculations Yr 2'!$C$5:$C$465,'Master Data'!$I2,'Calculations Yr 2'!CG$5:CG$465)</f>
        <v>0</v>
      </c>
      <c r="BH2" s="140">
        <f>SUM(BE2:BG2)</f>
        <v>0</v>
      </c>
      <c r="BI2" s="140">
        <f>SUM(AV2,BA2,BD2,BH2)</f>
        <v>17485825.156705</v>
      </c>
      <c r="BJ2" s="275">
        <f>SUMIF('Calculations Yr 2'!$C$5:$C$400,'Master Data'!$I2,'Calculations Yr 2'!CO$5:CO$400)</f>
        <v>8232148.5205083275</v>
      </c>
      <c r="BK2" s="140">
        <f t="shared" ref="BK2:BK20" si="10">SUM(BI2:BJ2)</f>
        <v>25717973.677213326</v>
      </c>
    </row>
    <row r="3" spans="1:64" ht="15" customHeight="1">
      <c r="A3" s="280" t="str">
        <f>'Lookups-Assumptions'!D$4</f>
        <v>Gas</v>
      </c>
      <c r="B3" s="280" t="str">
        <f>'Lookups-Assumptions'!D$5</f>
        <v>National Grid</v>
      </c>
      <c r="C3" s="280">
        <v>2017</v>
      </c>
      <c r="D3" s="280"/>
      <c r="E3" s="280"/>
      <c r="F3" s="280" t="str">
        <f>'Lookups-Assumptions'!D$6</f>
        <v>Evaluated</v>
      </c>
      <c r="G3" s="288" t="s">
        <v>239</v>
      </c>
      <c r="H3" s="286" t="str">
        <f>'Lookups-Assumptions'!D70</f>
        <v>A1 - Residential Whole House</v>
      </c>
      <c r="I3" s="287" t="str">
        <f>'Lookups-Assumptions'!D$78</f>
        <v>A1b - Residential Multi-Family Retrofit</v>
      </c>
      <c r="J3" s="135">
        <f>'Cost Table'!E4</f>
        <v>122242.97068145282</v>
      </c>
      <c r="K3" s="135">
        <f>'Cost Table'!F4</f>
        <v>81182.93917744112</v>
      </c>
      <c r="L3" s="135">
        <f>'Cost Table'!G4</f>
        <v>3034754.1799999997</v>
      </c>
      <c r="M3" s="135">
        <f>'Cost Table'!H4</f>
        <v>473993.32802379772</v>
      </c>
      <c r="N3" s="135">
        <f>'Cost Table'!I4</f>
        <v>195446.92998717088</v>
      </c>
      <c r="O3" s="136">
        <f t="shared" ref="O3:O25" si="11">SUM(J3:N3)</f>
        <v>3907620.3478698623</v>
      </c>
      <c r="P3" s="842">
        <f t="shared" si="1"/>
        <v>3810825.3831381528</v>
      </c>
      <c r="Q3" s="135">
        <f t="shared" si="2"/>
        <v>141696.33755895481</v>
      </c>
      <c r="R3" s="842">
        <v>138186.40292466822</v>
      </c>
      <c r="S3" s="135">
        <f>SUMIF('Calculations Yr 2'!C$5:C$400,$I3,'Calculations Yr 2'!K$5:K$400)</f>
        <v>-380272.4875000004</v>
      </c>
      <c r="T3" s="842">
        <f t="shared" si="3"/>
        <v>-370852.82572654611</v>
      </c>
      <c r="U3" s="699"/>
      <c r="V3" s="706">
        <f t="shared" si="4"/>
        <v>0</v>
      </c>
      <c r="W3" s="137">
        <f t="shared" ref="W3:W25" si="12">SUM(O3,Q3,S3,U3)</f>
        <v>3669044.197928817</v>
      </c>
      <c r="X3" s="136">
        <f t="shared" si="5"/>
        <v>3669044.197928817</v>
      </c>
      <c r="Y3" s="138">
        <v>3927</v>
      </c>
      <c r="Z3" s="275">
        <f>SUMIF('Calculations Yr 2'!$C$5:$C$400,'Master Data'!$I3,'Calculations Yr 2'!W$5:W$400)</f>
        <v>0</v>
      </c>
      <c r="AA3" s="275">
        <f>SUMIF('Calculations Yr 2'!$C$5:$C$400,'Master Data'!$I3,'Calculations Yr 2'!Y$5:Y$400)</f>
        <v>0.155</v>
      </c>
      <c r="AB3" s="275">
        <f>SUMIF('Calculations Yr 2'!$C$5:$C$400,'Master Data'!$I3,'Calculations Yr 2'!O$5:O$400)</f>
        <v>7.4799999999999991E-2</v>
      </c>
      <c r="AC3" s="275">
        <f>SUMIF('Calculations Yr 2'!$C$5:$C$400,'Master Data'!$I3,'Calculations Yr 2'!M$5:M$400)</f>
        <v>7.4799999999999991E-2</v>
      </c>
      <c r="AD3" s="275">
        <f>SUMIF('Calculations Yr 2'!$C$5:$C$400,'Master Data'!$I3,'Calculations Yr 2'!P$5:P$400)</f>
        <v>1.1219999999999999</v>
      </c>
      <c r="AE3" s="275"/>
      <c r="AF3" s="275">
        <f>SUMIF('Calculations Yr 2'!$C$5:$C$400,'Master Data'!$I3,'Calculations Yr 2'!AB$5:AB$400)</f>
        <v>25335.995866000005</v>
      </c>
      <c r="AG3" s="275">
        <f>SUMIF('Calculations Yr 2'!$C$5:$C$400,'Master Data'!$I3,'Calculations Yr 2'!Z$5:Z$400)</f>
        <v>31064.929006913579</v>
      </c>
      <c r="AH3" s="277">
        <f t="shared" si="6"/>
        <v>253359.95866000006</v>
      </c>
      <c r="AI3" s="277">
        <f t="shared" si="6"/>
        <v>310649.29006913578</v>
      </c>
      <c r="AJ3" s="275">
        <f>SUMIF('Calculations Yr 2'!$C$5:$C$400,'Master Data'!$I3,'Calculations Yr 2'!AC$5:AC$400)*10</f>
        <v>3777760.0040000002</v>
      </c>
      <c r="AK3" s="275">
        <f>SUMIF('Calculations Yr 2'!$C$5:$C$400,'Master Data'!$I3,'Calculations Yr 2'!AA$5:AA$400)*10</f>
        <v>4645379.1202962957</v>
      </c>
      <c r="AL3" s="275">
        <f>SUMIF('Calculations Yr 2'!$C$5:$C$400,'Master Data'!$I3,'Calculations Yr 2'!AF$5:AF$400)</f>
        <v>0</v>
      </c>
      <c r="AM3" s="275">
        <f>SUMIF('Calculations Yr 2'!$C$5:$C$400,'Master Data'!$I3,'Calculations Yr 2'!AD$5:AD$400)</f>
        <v>0</v>
      </c>
      <c r="AN3" s="275">
        <f>SUMIF('Calculations Yr 2'!$C$5:$C$400,'Master Data'!$I3,'Calculations Yr 2'!AG$5:AG$400)</f>
        <v>0</v>
      </c>
      <c r="AO3" s="275">
        <f>SUMIF('Calculations Yr 2'!$C$5:$C$400,'Master Data'!$I3,'Calculations Yr 2'!AE$5:AE$400)</f>
        <v>0</v>
      </c>
      <c r="AP3" s="275">
        <f>SUMIF('Calculations Yr 2'!$C$5:$C$400,'Master Data'!$I3,'Calculations Yr 2'!AJ$5:AJ$400)</f>
        <v>0</v>
      </c>
      <c r="AQ3" s="275">
        <f>SUMIF('Calculations Yr 2'!$C$5:$C$400,'Master Data'!$I3,'Calculations Yr 2'!AK$5:AK$400)</f>
        <v>0</v>
      </c>
      <c r="AR3" s="278">
        <f>SUMIF('Calculations Yr 2'!$C$5:$C$465,'Master Data'!$I3,'Calculations Yr 2'!AL$5:AL$465)+SUMIF('Calculations Yr 2'!$C$5:$C$465,'Master Data'!$I3,'Calculations Yr 2'!AM$5:AM$465)+SUMIF('Calculations Yr 2'!$C$5:$C$465,'Master Data'!$I3,'Calculations Yr 2'!AN$5:AN$465)</f>
        <v>4887604.3</v>
      </c>
      <c r="AS3" s="275">
        <f>SUMIF('Calculations Yr 2'!$C$5:$C$400,'Master Data'!$I3,'Calculations Yr 2'!AO$5:AO$400)</f>
        <v>34213230.100000001</v>
      </c>
      <c r="AT3" s="139">
        <f>SUMIF('Calculations Yr 2'!$C$5:$C$400,'Master Data'!$I3,'Calculations Yr 2'!AT$5:AT$400)</f>
        <v>83.123080096299802</v>
      </c>
      <c r="AU3" s="139">
        <f>SUMIF('Calculations Yr 2'!$C$5:$C$400,'Master Data'!$I3,'Calculations Yr 2'!BA$5:BA$400)</f>
        <v>5.593004314839221</v>
      </c>
      <c r="AV3" s="140">
        <f t="shared" si="7"/>
        <v>88.716084411139022</v>
      </c>
      <c r="AW3" s="139">
        <f>SUMIF('Calculations Yr 2'!$C$5:$C$400,'Master Data'!$I3,'Calculations Yr 2'!BC$5:BC$400)</f>
        <v>401.78705608055157</v>
      </c>
      <c r="AX3" s="139">
        <f>SUMIF('Calculations Yr 2'!$C$5:$C$400,'Master Data'!$I3,'Calculations Yr 2'!BF$5:BF$400)</f>
        <v>26.872491886253194</v>
      </c>
      <c r="AY3" s="139">
        <f>SUMIF('Calculations Yr 2'!$C$5:$C$400,'Master Data'!$I3,'Calculations Yr 2'!BG$5:BG$400)</f>
        <v>210.91840827451773</v>
      </c>
      <c r="AZ3" s="139">
        <f>SUMIF('Calculations Yr 2'!$C$5:$C$400,'Master Data'!$I3,'Calculations Yr 2'!BE$5:BE$400)</f>
        <v>0</v>
      </c>
      <c r="BA3" s="140">
        <f t="shared" si="8"/>
        <v>639.57795624132245</v>
      </c>
      <c r="BB3" s="139">
        <f>SUMIF('Calculations Yr 2'!$C$5:$C$400,'Master Data'!$I3,'Calculations Yr 2'!BQ$5:BQ$400)</f>
        <v>3204144.1930992892</v>
      </c>
      <c r="BC3" s="139">
        <f>SUMIF('Calculations Yr 2'!$C$5:$C$400,'Master Data'!$I3,'Calculations Yr 2'!BZ$5:BZ$400)</f>
        <v>248033.19265588504</v>
      </c>
      <c r="BD3" s="140">
        <f t="shared" si="9"/>
        <v>3452177.3857551743</v>
      </c>
      <c r="BE3" s="275">
        <f>SUMIF('Calculations Yr 2'!$C$5:$C$400,'Master Data'!$I3,'Calculations Yr 2'!CB$5:CB$400)+SUMIF('Calculations Yr 2'!$C$5:$C$400,'Master Data'!$I3,'Calculations Yr 2'!CC$5:CC$400)</f>
        <v>0</v>
      </c>
      <c r="BF3" s="139">
        <f>SUMIF('Calculations Yr 2'!$C$5:$C$400,'Master Data'!$I3,'Calculations Yr 2'!CD$5:CD$400)</f>
        <v>0</v>
      </c>
      <c r="BG3" s="139">
        <f>SUMIF('Calculations Yr 2'!$C$5:$C$465,'Master Data'!$I3,'Calculations Yr 2'!CE$5:CE$465)+SUMIF('Calculations Yr 2'!$C$5:$C$465,'Master Data'!$I3,'Calculations Yr 2'!CF$5:CF$465)+SUMIF('Calculations Yr 2'!$C$5:$C$465,'Master Data'!$I3,'Calculations Yr 2'!CG$5:CG$465)</f>
        <v>365000.3549192138</v>
      </c>
      <c r="BH3" s="140">
        <f t="shared" ref="BH3:BH20" si="13">SUM(BE3:BG3)</f>
        <v>365000.3549192138</v>
      </c>
      <c r="BI3" s="140">
        <f t="shared" ref="BI3:BI20" si="14">SUM(AV3,BA3,BD3,BH3)</f>
        <v>3817906.0347150406</v>
      </c>
      <c r="BJ3" s="139">
        <f>SUMIF('Calculations Yr 2'!$C$5:$C$400,'Master Data'!$I3,'Calculations Yr 2'!CO$5:CO$400)</f>
        <v>7258959.43908423</v>
      </c>
      <c r="BK3" s="140">
        <f t="shared" si="10"/>
        <v>11076865.47379927</v>
      </c>
    </row>
    <row r="4" spans="1:64" ht="15" customHeight="1">
      <c r="A4" s="280" t="str">
        <f>'Lookups-Assumptions'!D$4</f>
        <v>Gas</v>
      </c>
      <c r="B4" s="280" t="str">
        <f>'Lookups-Assumptions'!D$5</f>
        <v>National Grid</v>
      </c>
      <c r="C4" s="280">
        <v>2017</v>
      </c>
      <c r="D4" s="280"/>
      <c r="E4" s="280"/>
      <c r="F4" s="280" t="str">
        <f>'Lookups-Assumptions'!D$6</f>
        <v>Evaluated</v>
      </c>
      <c r="G4" s="288" t="s">
        <v>239</v>
      </c>
      <c r="H4" s="286" t="str">
        <f>'Lookups-Assumptions'!D70</f>
        <v>A1 - Residential Whole House</v>
      </c>
      <c r="I4" s="287" t="str">
        <f>'Lookups-Assumptions'!D$79</f>
        <v>A1c - Residential Home Energy Services - Measures</v>
      </c>
      <c r="J4" s="135">
        <f>'Cost Table'!E5</f>
        <v>1004457.8902797719</v>
      </c>
      <c r="K4" s="135">
        <f>'Cost Table'!F5</f>
        <v>568198.60682658863</v>
      </c>
      <c r="L4" s="135">
        <f>'Cost Table'!G5</f>
        <v>23604622.859999999</v>
      </c>
      <c r="M4" s="135">
        <f>'Cost Table'!H5</f>
        <v>4042643.3864463544</v>
      </c>
      <c r="N4" s="135">
        <f>'Cost Table'!I5</f>
        <v>745743.88345355354</v>
      </c>
      <c r="O4" s="136">
        <f t="shared" si="11"/>
        <v>29965666.62700627</v>
      </c>
      <c r="P4" s="842">
        <f t="shared" si="1"/>
        <v>29223392.458558872</v>
      </c>
      <c r="Q4" s="135">
        <f t="shared" si="2"/>
        <v>777332.78729925188</v>
      </c>
      <c r="R4" s="842">
        <v>758077.61585649685</v>
      </c>
      <c r="S4" s="135">
        <f>SUMIF('Calculations Yr 2'!C$5:C$400,$I4,'Calculations Yr 2'!K$5:K$400)</f>
        <v>9193763.0819999948</v>
      </c>
      <c r="T4" s="842">
        <f t="shared" si="3"/>
        <v>8966026.0210649446</v>
      </c>
      <c r="U4" s="699"/>
      <c r="V4" s="706">
        <f t="shared" si="4"/>
        <v>0</v>
      </c>
      <c r="W4" s="137">
        <f t="shared" si="12"/>
        <v>39936762.496305518</v>
      </c>
      <c r="X4" s="136">
        <f t="shared" si="5"/>
        <v>39936762.496305518</v>
      </c>
      <c r="Y4" s="138">
        <v>7287</v>
      </c>
      <c r="Z4" s="275">
        <f>SUMIF('Calculations Yr 2'!$C$5:$C$400,'Master Data'!$I4,'Calculations Yr 2'!W$5:W$400)</f>
        <v>1565.5233296000001</v>
      </c>
      <c r="AA4" s="275">
        <f>SUMIF('Calculations Yr 2'!$C$5:$C$400,'Master Data'!$I4,'Calculations Yr 2'!Y$5:Y$400)</f>
        <v>2033.9455415999998</v>
      </c>
      <c r="AB4" s="275">
        <f>SUMIF('Calculations Yr 2'!$C$5:$C$400,'Master Data'!$I4,'Calculations Yr 2'!O$5:O$400)</f>
        <v>7419.9227319999991</v>
      </c>
      <c r="AC4" s="275">
        <f>SUMIF('Calculations Yr 2'!$C$5:$C$400,'Master Data'!$I4,'Calculations Yr 2'!M$5:M$400)</f>
        <v>7258.7952759999998</v>
      </c>
      <c r="AD4" s="275">
        <f>SUMIF('Calculations Yr 2'!$C$5:$C$400,'Master Data'!$I4,'Calculations Yr 2'!P$5:P$400)</f>
        <v>81509.780020000006</v>
      </c>
      <c r="AE4" s="275"/>
      <c r="AF4" s="275">
        <f>SUMIF('Calculations Yr 2'!$C$5:$C$400,'Master Data'!$I4,'Calculations Yr 2'!AB$5:AB$400)</f>
        <v>212041.28821499998</v>
      </c>
      <c r="AG4" s="275">
        <f>SUMIF('Calculations Yr 2'!$C$5:$C$400,'Master Data'!$I4,'Calculations Yr 2'!Z$5:Z$400)</f>
        <v>193082.7928400503</v>
      </c>
      <c r="AH4" s="277">
        <f t="shared" si="6"/>
        <v>2120412.88215</v>
      </c>
      <c r="AI4" s="277">
        <f t="shared" si="6"/>
        <v>1930827.928400503</v>
      </c>
      <c r="AJ4" s="275">
        <f>SUMIF('Calculations Yr 2'!$C$5:$C$400,'Master Data'!$I4,'Calculations Yr 2'!AC$5:AC$400)*10</f>
        <v>39456157.453950003</v>
      </c>
      <c r="AK4" s="275">
        <f>SUMIF('Calculations Yr 2'!$C$5:$C$400,'Master Data'!$I4,'Calculations Yr 2'!AA$5:AA$400)*10</f>
        <v>34943784.854456328</v>
      </c>
      <c r="AL4" s="275">
        <f>SUMIF('Calculations Yr 2'!$C$5:$C$400,'Master Data'!$I4,'Calculations Yr 2'!AF$5:AF$400)</f>
        <v>0</v>
      </c>
      <c r="AM4" s="275">
        <f>SUMIF('Calculations Yr 2'!$C$5:$C$400,'Master Data'!$I4,'Calculations Yr 2'!AD$5:AD$400)</f>
        <v>0</v>
      </c>
      <c r="AN4" s="275">
        <f>SUMIF('Calculations Yr 2'!$C$5:$C$400,'Master Data'!$I4,'Calculations Yr 2'!AG$5:AG$400)</f>
        <v>0</v>
      </c>
      <c r="AO4" s="275">
        <f>SUMIF('Calculations Yr 2'!$C$5:$C$400,'Master Data'!$I4,'Calculations Yr 2'!AE$5:AE$400)</f>
        <v>0</v>
      </c>
      <c r="AP4" s="275">
        <f>SUMIF('Calculations Yr 2'!$C$5:$C$400,'Master Data'!$I4,'Calculations Yr 2'!AJ$5:AJ$400)</f>
        <v>0</v>
      </c>
      <c r="AQ4" s="275">
        <f>SUMIF('Calculations Yr 2'!$C$5:$C$400,'Master Data'!$I4,'Calculations Yr 2'!AK$5:AK$400)</f>
        <v>0</v>
      </c>
      <c r="AR4" s="278">
        <f>SUMIF('Calculations Yr 2'!$C$5:$C$465,'Master Data'!$I4,'Calculations Yr 2'!AL$5:AL$465)+SUMIF('Calculations Yr 2'!$C$5:$C$465,'Master Data'!$I4,'Calculations Yr 2'!AM$5:AM$465)+SUMIF('Calculations Yr 2'!$C$5:$C$465,'Master Data'!$I4,'Calculations Yr 2'!AN$5:AN$465)</f>
        <v>26606737</v>
      </c>
      <c r="AS4" s="275">
        <f>SUMIF('Calculations Yr 2'!$C$5:$C$400,'Master Data'!$I4,'Calculations Yr 2'!AO$5:AO$400)</f>
        <v>186247159</v>
      </c>
      <c r="AT4" s="139">
        <f>SUMIF('Calculations Yr 2'!$C$5:$C$400,'Master Data'!$I4,'Calculations Yr 2'!AT$5:AT$400)</f>
        <v>6645150.4031853592</v>
      </c>
      <c r="AU4" s="139">
        <f>SUMIF('Calculations Yr 2'!$C$5:$C$400,'Master Data'!$I4,'Calculations Yr 2'!BA$5:BA$400)</f>
        <v>603346.67404358834</v>
      </c>
      <c r="AV4" s="140">
        <f t="shared" si="7"/>
        <v>7248497.0772289475</v>
      </c>
      <c r="AW4" s="139">
        <f>SUMIF('Calculations Yr 2'!$C$5:$C$400,'Master Data'!$I4,'Calculations Yr 2'!BC$5:BC$400)</f>
        <v>6292320.2939995751</v>
      </c>
      <c r="AX4" s="139">
        <f>SUMIF('Calculations Yr 2'!$C$5:$C$400,'Master Data'!$I4,'Calculations Yr 2'!BF$5:BF$400)</f>
        <v>410851.78458523849</v>
      </c>
      <c r="AY4" s="139">
        <f>SUMIF('Calculations Yr 2'!$C$5:$C$400,'Master Data'!$I4,'Calculations Yr 2'!BG$5:BG$400)</f>
        <v>3224717.8567683594</v>
      </c>
      <c r="AZ4" s="139">
        <f>SUMIF('Calculations Yr 2'!$C$5:$C$400,'Master Data'!$I4,'Calculations Yr 2'!BE$5:BE$400)</f>
        <v>0</v>
      </c>
      <c r="BA4" s="140">
        <f t="shared" si="8"/>
        <v>9927889.9353531729</v>
      </c>
      <c r="BB4" s="139">
        <f>SUMIF('Calculations Yr 2'!$C$5:$C$400,'Master Data'!$I4,'Calculations Yr 2'!BQ$5:BQ$400)</f>
        <v>34292854.668881446</v>
      </c>
      <c r="BC4" s="139">
        <f>SUMIF('Calculations Yr 2'!$C$5:$C$400,'Master Data'!$I4,'Calculations Yr 2'!BZ$5:BZ$400)</f>
        <v>2233650.3283229065</v>
      </c>
      <c r="BD4" s="140">
        <f t="shared" si="9"/>
        <v>36526504.997204356</v>
      </c>
      <c r="BE4" s="275">
        <f>SUMIF('Calculations Yr 2'!$C$5:$C$400,'Master Data'!$I4,'Calculations Yr 2'!CB$5:CB$400)+SUMIF('Calculations Yr 2'!$C$5:$C$400,'Master Data'!$I4,'Calculations Yr 2'!CC$5:CC$400)</f>
        <v>0</v>
      </c>
      <c r="BF4" s="139">
        <f>SUMIF('Calculations Yr 2'!$C$5:$C$400,'Master Data'!$I4,'Calculations Yr 2'!CD$5:CD$400)</f>
        <v>0</v>
      </c>
      <c r="BG4" s="139">
        <f>SUMIF('Calculations Yr 2'!$C$5:$C$465,'Master Data'!$I4,'Calculations Yr 2'!CE$5:CE$465)+SUMIF('Calculations Yr 2'!$C$5:$C$465,'Master Data'!$I4,'Calculations Yr 2'!CF$5:CF$465)+SUMIF('Calculations Yr 2'!$C$5:$C$465,'Master Data'!$I4,'Calculations Yr 2'!CG$5:CG$465)</f>
        <v>1986958.8150256311</v>
      </c>
      <c r="BH4" s="140">
        <f t="shared" si="13"/>
        <v>1986958.8150256311</v>
      </c>
      <c r="BI4" s="140">
        <f t="shared" si="14"/>
        <v>55689850.824812099</v>
      </c>
      <c r="BJ4" s="139">
        <f>SUMIF('Calculations Yr 2'!$C$5:$C$400,'Master Data'!$I4,'Calculations Yr 2'!CO$5:CO$400)</f>
        <v>15772099.114483951</v>
      </c>
      <c r="BK4" s="140">
        <f t="shared" si="10"/>
        <v>71461949.939296052</v>
      </c>
    </row>
    <row r="5" spans="1:64" ht="15" customHeight="1">
      <c r="A5" s="280" t="str">
        <f>'Lookups-Assumptions'!D$4</f>
        <v>Gas</v>
      </c>
      <c r="B5" s="280" t="str">
        <f>'Lookups-Assumptions'!D$5</f>
        <v>National Grid</v>
      </c>
      <c r="C5" s="280">
        <v>2017</v>
      </c>
      <c r="D5" s="280"/>
      <c r="E5" s="280"/>
      <c r="F5" s="280" t="str">
        <f>'Lookups-Assumptions'!D$6</f>
        <v>Evaluated</v>
      </c>
      <c r="G5" s="288" t="s">
        <v>239</v>
      </c>
      <c r="H5" s="286" t="str">
        <f>'Lookups-Assumptions'!D70</f>
        <v>A1 - Residential Whole House</v>
      </c>
      <c r="I5" s="287" t="str">
        <f>'Lookups-Assumptions'!D$80</f>
        <v>A1d - Residential Home Energy Services - RCS</v>
      </c>
      <c r="J5" s="135">
        <f>'Cost Table'!E6</f>
        <v>226016.59050394583</v>
      </c>
      <c r="K5" s="135">
        <f>'Cost Table'!F6</f>
        <v>564171.9568265886</v>
      </c>
      <c r="L5" s="135">
        <f>'Cost Table'!G6</f>
        <v>0</v>
      </c>
      <c r="M5" s="135">
        <f>'Cost Table'!H6</f>
        <v>5632312.9193726853</v>
      </c>
      <c r="N5" s="135">
        <f>'Cost Table'!I6</f>
        <v>139908.18216192903</v>
      </c>
      <c r="O5" s="136">
        <f t="shared" ref="O5" si="15">SUM(J5:N5)</f>
        <v>6562409.6488651484</v>
      </c>
      <c r="P5" s="842">
        <f t="shared" si="1"/>
        <v>6399853.3731862176</v>
      </c>
      <c r="Q5" s="135">
        <f t="shared" si="2"/>
        <v>0</v>
      </c>
      <c r="R5" s="842">
        <v>0</v>
      </c>
      <c r="S5" s="135">
        <f>SUMIF('Calculations Yr 2'!C$5:C$400,$I5,'Calculations Yr 2'!K$5:K$400)</f>
        <v>0</v>
      </c>
      <c r="T5" s="842">
        <f t="shared" si="3"/>
        <v>0</v>
      </c>
      <c r="U5" s="699"/>
      <c r="V5" s="706">
        <f t="shared" si="4"/>
        <v>0</v>
      </c>
      <c r="W5" s="137">
        <f t="shared" si="12"/>
        <v>6562409.6488651484</v>
      </c>
      <c r="X5" s="136">
        <f t="shared" si="5"/>
        <v>6562409.6488651484</v>
      </c>
      <c r="Y5" s="138"/>
      <c r="Z5" s="275">
        <f>SUMIF('Calculations Yr 2'!$C$5:$C$400,'Master Data'!$I5,'Calculations Yr 2'!W$5:W$400)</f>
        <v>0</v>
      </c>
      <c r="AA5" s="275">
        <f>SUMIF('Calculations Yr 2'!$C$5:$C$400,'Master Data'!$I5,'Calculations Yr 2'!Y$5:Y$400)</f>
        <v>0</v>
      </c>
      <c r="AB5" s="275">
        <f>SUMIF('Calculations Yr 2'!$C$5:$C$400,'Master Data'!$I5,'Calculations Yr 2'!O$5:O$400)</f>
        <v>0</v>
      </c>
      <c r="AC5" s="275">
        <f>SUMIF('Calculations Yr 2'!$C$5:$C$400,'Master Data'!$I5,'Calculations Yr 2'!M$5:M$400)</f>
        <v>0</v>
      </c>
      <c r="AD5" s="275">
        <f>SUMIF('Calculations Yr 2'!$C$5:$C$400,'Master Data'!$I5,'Calculations Yr 2'!P$5:P$400)</f>
        <v>0</v>
      </c>
      <c r="AE5" s="275"/>
      <c r="AF5" s="275">
        <f>SUMIF('Calculations Yr 2'!$C$5:$C$400,'Master Data'!$I5,'Calculations Yr 2'!AB$5:AB$400)</f>
        <v>0</v>
      </c>
      <c r="AG5" s="275">
        <f>SUMIF('Calculations Yr 2'!$C$5:$C$400,'Master Data'!$I5,'Calculations Yr 2'!Z$5:Z$400)</f>
        <v>0</v>
      </c>
      <c r="AH5" s="277">
        <f t="shared" si="6"/>
        <v>0</v>
      </c>
      <c r="AI5" s="277">
        <f t="shared" si="6"/>
        <v>0</v>
      </c>
      <c r="AJ5" s="275">
        <f>SUMIF('Calculations Yr 2'!$C$5:$C$400,'Master Data'!$I5,'Calculations Yr 2'!AC$5:AC$400)*10</f>
        <v>0</v>
      </c>
      <c r="AK5" s="275">
        <f>SUMIF('Calculations Yr 2'!$C$5:$C$400,'Master Data'!$I5,'Calculations Yr 2'!AA$5:AA$400)*10</f>
        <v>0</v>
      </c>
      <c r="AL5" s="275">
        <f>SUMIF('Calculations Yr 2'!$C$5:$C$400,'Master Data'!$I5,'Calculations Yr 2'!AF$5:AF$400)</f>
        <v>0</v>
      </c>
      <c r="AM5" s="275">
        <f>SUMIF('Calculations Yr 2'!$C$5:$C$400,'Master Data'!$I5,'Calculations Yr 2'!AD$5:AD$400)</f>
        <v>0</v>
      </c>
      <c r="AN5" s="275">
        <f>SUMIF('Calculations Yr 2'!$C$5:$C$400,'Master Data'!$I5,'Calculations Yr 2'!AG$5:AG$400)</f>
        <v>0</v>
      </c>
      <c r="AO5" s="275">
        <f>SUMIF('Calculations Yr 2'!$C$5:$C$400,'Master Data'!$I5,'Calculations Yr 2'!AE$5:AE$400)</f>
        <v>0</v>
      </c>
      <c r="AP5" s="275">
        <f>SUMIF('Calculations Yr 2'!$C$5:$C$400,'Master Data'!$I5,'Calculations Yr 2'!AJ$5:AJ$400)</f>
        <v>0</v>
      </c>
      <c r="AQ5" s="275">
        <f>SUMIF('Calculations Yr 2'!$C$5:$C$400,'Master Data'!$I5,'Calculations Yr 2'!AK$5:AK$400)</f>
        <v>0</v>
      </c>
      <c r="AR5" s="278">
        <f>SUMIF('Calculations Yr 2'!$C$5:$C$465,'Master Data'!$I5,'Calculations Yr 2'!AL$5:AL$465)+SUMIF('Calculations Yr 2'!$C$5:$C$465,'Master Data'!$I5,'Calculations Yr 2'!AM$5:AM$465)+SUMIF('Calculations Yr 2'!$C$5:$C$465,'Master Data'!$I5,'Calculations Yr 2'!AN$5:AN$465)</f>
        <v>0</v>
      </c>
      <c r="AS5" s="275">
        <f>SUMIF('Calculations Yr 2'!$C$5:$C$400,'Master Data'!$I5,'Calculations Yr 2'!AO$5:AO$400)</f>
        <v>0</v>
      </c>
      <c r="AT5" s="139">
        <f>SUMIF('Calculations Yr 2'!$C$5:$C$400,'Master Data'!$I5,'Calculations Yr 2'!AT$5:AT$400)</f>
        <v>0</v>
      </c>
      <c r="AU5" s="139">
        <f>SUMIF('Calculations Yr 2'!$C$5:$C$400,'Master Data'!$I5,'Calculations Yr 2'!BA$5:BA$400)</f>
        <v>0</v>
      </c>
      <c r="AV5" s="140">
        <f t="shared" si="7"/>
        <v>0</v>
      </c>
      <c r="AW5" s="139">
        <f>SUMIF('Calculations Yr 2'!$C$5:$C$400,'Master Data'!$I5,'Calculations Yr 2'!BC$5:BC$400)</f>
        <v>0</v>
      </c>
      <c r="AX5" s="139">
        <f>SUMIF('Calculations Yr 2'!$C$5:$C$400,'Master Data'!$I5,'Calculations Yr 2'!BF$5:BF$400)</f>
        <v>0</v>
      </c>
      <c r="AY5" s="139">
        <f>SUMIF('Calculations Yr 2'!$C$5:$C$400,'Master Data'!$I5,'Calculations Yr 2'!BG$5:BG$400)</f>
        <v>0</v>
      </c>
      <c r="AZ5" s="139">
        <f>SUMIF('Calculations Yr 2'!$C$5:$C$400,'Master Data'!$I5,'Calculations Yr 2'!BE$5:BE$400)</f>
        <v>0</v>
      </c>
      <c r="BA5" s="140">
        <f t="shared" si="8"/>
        <v>0</v>
      </c>
      <c r="BB5" s="139">
        <f>SUMIF('Calculations Yr 2'!$C$5:$C$400,'Master Data'!$I5,'Calculations Yr 2'!BQ$5:BQ$400)</f>
        <v>0</v>
      </c>
      <c r="BC5" s="139">
        <f>SUMIF('Calculations Yr 2'!$C$5:$C$400,'Master Data'!$I5,'Calculations Yr 2'!BZ$5:BZ$400)</f>
        <v>0</v>
      </c>
      <c r="BD5" s="140">
        <f t="shared" si="9"/>
        <v>0</v>
      </c>
      <c r="BE5" s="275">
        <f>SUMIF('Calculations Yr 2'!$C$5:$C$400,'Master Data'!$I5,'Calculations Yr 2'!CB$5:CB$400)+SUMIF('Calculations Yr 2'!$C$5:$C$400,'Master Data'!$I5,'Calculations Yr 2'!CC$5:CC$400)</f>
        <v>0</v>
      </c>
      <c r="BF5" s="139">
        <f>SUMIF('Calculations Yr 2'!$C$5:$C$400,'Master Data'!$I5,'Calculations Yr 2'!CD$5:CD$400)</f>
        <v>0</v>
      </c>
      <c r="BG5" s="139">
        <f>SUMIF('Calculations Yr 2'!$C$5:$C$465,'Master Data'!$I5,'Calculations Yr 2'!CE$5:CE$465)+SUMIF('Calculations Yr 2'!$C$5:$C$465,'Master Data'!$I5,'Calculations Yr 2'!CF$5:CF$465)+SUMIF('Calculations Yr 2'!$C$5:$C$465,'Master Data'!$I5,'Calculations Yr 2'!CG$5:CG$465)</f>
        <v>0</v>
      </c>
      <c r="BH5" s="140">
        <f t="shared" si="13"/>
        <v>0</v>
      </c>
      <c r="BI5" s="140">
        <f t="shared" si="14"/>
        <v>0</v>
      </c>
      <c r="BJ5" s="139">
        <f>SUMIF('Calculations Yr 2'!$C$5:$C$400,'Master Data'!$I5,'Calculations Yr 2'!CO$5:CO$400)</f>
        <v>0</v>
      </c>
      <c r="BK5" s="140">
        <f t="shared" si="10"/>
        <v>0</v>
      </c>
    </row>
    <row r="6" spans="1:64" ht="15" customHeight="1">
      <c r="A6" s="280" t="str">
        <f>'Lookups-Assumptions'!D$4</f>
        <v>Gas</v>
      </c>
      <c r="B6" s="280" t="str">
        <f>'Lookups-Assumptions'!D$5</f>
        <v>National Grid</v>
      </c>
      <c r="C6" s="280">
        <v>2017</v>
      </c>
      <c r="D6" s="280"/>
      <c r="E6" s="280"/>
      <c r="F6" s="280" t="str">
        <f>'Lookups-Assumptions'!D$6</f>
        <v>Evaluated</v>
      </c>
      <c r="G6" s="288" t="s">
        <v>239</v>
      </c>
      <c r="H6" s="286" t="str">
        <f>'Lookups-Assumptions'!D70</f>
        <v>A1 - Residential Whole House</v>
      </c>
      <c r="I6" s="287" t="str">
        <f>'Lookups-Assumptions'!D$81</f>
        <v>A1e - Residential Behavior/Feedback Program</v>
      </c>
      <c r="J6" s="135">
        <f>'Cost Table'!E7</f>
        <v>109517.26084990213</v>
      </c>
      <c r="K6" s="135">
        <f>'Cost Table'!F7</f>
        <v>2884.0990188449186</v>
      </c>
      <c r="L6" s="135">
        <f>'Cost Table'!G7</f>
        <v>2355224.96</v>
      </c>
      <c r="M6" s="135">
        <f>'Cost Table'!H7</f>
        <v>41431.289281469646</v>
      </c>
      <c r="N6" s="135">
        <f>'Cost Table'!I7</f>
        <v>59295.495783834005</v>
      </c>
      <c r="O6" s="136">
        <f t="shared" si="11"/>
        <v>2568353.1049340507</v>
      </c>
      <c r="P6" s="842">
        <f t="shared" si="1"/>
        <v>2504732.889539741</v>
      </c>
      <c r="Q6" s="135">
        <f t="shared" si="2"/>
        <v>58003.853974604157</v>
      </c>
      <c r="R6" s="842">
        <v>56567.050882196367</v>
      </c>
      <c r="S6" s="135">
        <f>SUMIF('Calculations Yr 2'!C$5:C$400,$I6,'Calculations Yr 2'!K$5:K$400)</f>
        <v>0</v>
      </c>
      <c r="T6" s="842">
        <f t="shared" si="3"/>
        <v>0</v>
      </c>
      <c r="U6" s="699"/>
      <c r="V6" s="706">
        <f t="shared" si="4"/>
        <v>0</v>
      </c>
      <c r="W6" s="137">
        <f t="shared" si="12"/>
        <v>2626356.9589086547</v>
      </c>
      <c r="X6" s="136">
        <f t="shared" si="5"/>
        <v>2626356.9589086547</v>
      </c>
      <c r="Y6" s="138">
        <v>427170</v>
      </c>
      <c r="Z6" s="275">
        <f>SUMIF('Calculations Yr 2'!$C$5:$C$400,'Master Data'!$I6,'Calculations Yr 2'!W$5:W$400)</f>
        <v>0</v>
      </c>
      <c r="AA6" s="275">
        <f>SUMIF('Calculations Yr 2'!$C$5:$C$400,'Master Data'!$I6,'Calculations Yr 2'!Y$5:Y$400)</f>
        <v>0</v>
      </c>
      <c r="AB6" s="275">
        <f>SUMIF('Calculations Yr 2'!$C$5:$C$400,'Master Data'!$I6,'Calculations Yr 2'!O$5:O$400)</f>
        <v>0</v>
      </c>
      <c r="AC6" s="275">
        <f>SUMIF('Calculations Yr 2'!$C$5:$C$400,'Master Data'!$I6,'Calculations Yr 2'!M$5:M$400)</f>
        <v>0</v>
      </c>
      <c r="AD6" s="275">
        <f>SUMIF('Calculations Yr 2'!$C$5:$C$400,'Master Data'!$I6,'Calculations Yr 2'!P$5:P$400)</f>
        <v>0</v>
      </c>
      <c r="AE6" s="275"/>
      <c r="AF6" s="275">
        <f>SUMIF('Calculations Yr 2'!$C$5:$C$400,'Master Data'!$I6,'Calculations Yr 2'!AB$5:AB$400)</f>
        <v>444648.54</v>
      </c>
      <c r="AG6" s="275">
        <f>SUMIF('Calculations Yr 2'!$C$5:$C$400,'Master Data'!$I6,'Calculations Yr 2'!Z$5:Z$400)</f>
        <v>444648.54</v>
      </c>
      <c r="AH6" s="277">
        <f t="shared" si="6"/>
        <v>4446485.3999999994</v>
      </c>
      <c r="AI6" s="277">
        <f t="shared" si="6"/>
        <v>4446485.3999999994</v>
      </c>
      <c r="AJ6" s="275">
        <f>SUMIF('Calculations Yr 2'!$C$5:$C$400,'Master Data'!$I6,'Calculations Yr 2'!AC$5:AC$400)*10</f>
        <v>4446485.3999999994</v>
      </c>
      <c r="AK6" s="275">
        <f>SUMIF('Calculations Yr 2'!$C$5:$C$400,'Master Data'!$I6,'Calculations Yr 2'!AA$5:AA$400)*10</f>
        <v>4446485.3999999994</v>
      </c>
      <c r="AL6" s="275">
        <f>SUMIF('Calculations Yr 2'!$C$5:$C$400,'Master Data'!$I6,'Calculations Yr 2'!AF$5:AF$400)</f>
        <v>0</v>
      </c>
      <c r="AM6" s="275">
        <f>SUMIF('Calculations Yr 2'!$C$5:$C$400,'Master Data'!$I6,'Calculations Yr 2'!AD$5:AD$400)</f>
        <v>0</v>
      </c>
      <c r="AN6" s="275">
        <f>SUMIF('Calculations Yr 2'!$C$5:$C$400,'Master Data'!$I6,'Calculations Yr 2'!AG$5:AG$400)</f>
        <v>0</v>
      </c>
      <c r="AO6" s="275">
        <f>SUMIF('Calculations Yr 2'!$C$5:$C$400,'Master Data'!$I6,'Calculations Yr 2'!AE$5:AE$400)</f>
        <v>0</v>
      </c>
      <c r="AP6" s="275">
        <f>SUMIF('Calculations Yr 2'!$C$5:$C$400,'Master Data'!$I6,'Calculations Yr 2'!AJ$5:AJ$400)</f>
        <v>0</v>
      </c>
      <c r="AQ6" s="275">
        <f>SUMIF('Calculations Yr 2'!$C$5:$C$400,'Master Data'!$I6,'Calculations Yr 2'!AK$5:AK$400)</f>
        <v>0</v>
      </c>
      <c r="AR6" s="278">
        <f>SUMIF('Calculations Yr 2'!$C$5:$C$465,'Master Data'!$I6,'Calculations Yr 2'!AL$5:AL$465)+SUMIF('Calculations Yr 2'!$C$5:$C$465,'Master Data'!$I6,'Calculations Yr 2'!AM$5:AM$465)+SUMIF('Calculations Yr 2'!$C$5:$C$465,'Master Data'!$I6,'Calculations Yr 2'!AN$5:AN$465)</f>
        <v>0</v>
      </c>
      <c r="AS6" s="275">
        <f>SUMIF('Calculations Yr 2'!$C$5:$C$400,'Master Data'!$I6,'Calculations Yr 2'!AO$5:AO$400)</f>
        <v>0</v>
      </c>
      <c r="AT6" s="139">
        <f>SUMIF('Calculations Yr 2'!$C$5:$C$400,'Master Data'!$I6,'Calculations Yr 2'!AT$5:AT$400)</f>
        <v>0</v>
      </c>
      <c r="AU6" s="139">
        <f>SUMIF('Calculations Yr 2'!$C$5:$C$400,'Master Data'!$I6,'Calculations Yr 2'!BA$5:BA$400)</f>
        <v>0</v>
      </c>
      <c r="AV6" s="140">
        <f t="shared" si="7"/>
        <v>0</v>
      </c>
      <c r="AW6" s="139">
        <f>SUMIF('Calculations Yr 2'!$C$5:$C$400,'Master Data'!$I6,'Calculations Yr 2'!BC$5:BC$400)</f>
        <v>0</v>
      </c>
      <c r="AX6" s="139">
        <f>SUMIF('Calculations Yr 2'!$C$5:$C$400,'Master Data'!$I6,'Calculations Yr 2'!BF$5:BF$400)</f>
        <v>0</v>
      </c>
      <c r="AY6" s="139">
        <f>SUMIF('Calculations Yr 2'!$C$5:$C$400,'Master Data'!$I6,'Calculations Yr 2'!BG$5:BG$400)</f>
        <v>0</v>
      </c>
      <c r="AZ6" s="139">
        <f>SUMIF('Calculations Yr 2'!$C$5:$C$400,'Master Data'!$I6,'Calculations Yr 2'!BE$5:BE$400)</f>
        <v>0</v>
      </c>
      <c r="BA6" s="140">
        <f t="shared" si="8"/>
        <v>0</v>
      </c>
      <c r="BB6" s="139">
        <f>SUMIF('Calculations Yr 2'!$C$5:$C$400,'Master Data'!$I6,'Calculations Yr 2'!BQ$5:BQ$400)</f>
        <v>3557707.0127550694</v>
      </c>
      <c r="BC6" s="139">
        <f>SUMIF('Calculations Yr 2'!$C$5:$C$400,'Master Data'!$I6,'Calculations Yr 2'!BZ$5:BZ$400)</f>
        <v>1583556.8076729765</v>
      </c>
      <c r="BD6" s="140">
        <f t="shared" si="9"/>
        <v>5141263.8204280455</v>
      </c>
      <c r="BE6" s="275">
        <f>SUMIF('Calculations Yr 2'!$C$5:$C$400,'Master Data'!$I6,'Calculations Yr 2'!CB$5:CB$400)+SUMIF('Calculations Yr 2'!$C$5:$C$400,'Master Data'!$I6,'Calculations Yr 2'!CC$5:CC$400)</f>
        <v>0</v>
      </c>
      <c r="BF6" s="139">
        <f>SUMIF('Calculations Yr 2'!$C$5:$C$400,'Master Data'!$I6,'Calculations Yr 2'!CD$5:CD$400)</f>
        <v>0</v>
      </c>
      <c r="BG6" s="139">
        <f>SUMIF('Calculations Yr 2'!$C$5:$C$465,'Master Data'!$I6,'Calculations Yr 2'!CE$5:CE$465)+SUMIF('Calculations Yr 2'!$C$5:$C$465,'Master Data'!$I6,'Calculations Yr 2'!CF$5:CF$465)+SUMIF('Calculations Yr 2'!$C$5:$C$465,'Master Data'!$I6,'Calculations Yr 2'!CG$5:CG$465)</f>
        <v>0</v>
      </c>
      <c r="BH6" s="140">
        <f t="shared" si="13"/>
        <v>0</v>
      </c>
      <c r="BI6" s="140">
        <f t="shared" si="14"/>
        <v>5141263.8204280455</v>
      </c>
      <c r="BJ6" s="139">
        <f>SUMIF('Calculations Yr 2'!$C$5:$C$400,'Master Data'!$I6,'Calculations Yr 2'!CO$5:CO$400)</f>
        <v>0</v>
      </c>
      <c r="BK6" s="140">
        <f t="shared" si="10"/>
        <v>5141263.8204280455</v>
      </c>
    </row>
    <row r="7" spans="1:64" ht="15" customHeight="1">
      <c r="A7" s="280" t="str">
        <f>'Lookups-Assumptions'!D$4</f>
        <v>Gas</v>
      </c>
      <c r="B7" s="280" t="str">
        <f>'Lookups-Assumptions'!D$5</f>
        <v>National Grid</v>
      </c>
      <c r="C7" s="280">
        <v>2017</v>
      </c>
      <c r="D7" s="280"/>
      <c r="E7" s="280"/>
      <c r="F7" s="280" t="str">
        <f>'Lookups-Assumptions'!D$6</f>
        <v>Evaluated</v>
      </c>
      <c r="G7" s="288" t="s">
        <v>239</v>
      </c>
      <c r="H7" s="286" t="str">
        <f>'Lookups-Assumptions'!D71</f>
        <v>A2 - Residential Products</v>
      </c>
      <c r="I7" s="287" t="str">
        <f>'Lookups-Assumptions'!D$82</f>
        <v xml:space="preserve">A2a - Residential Heating &amp; Cooling Equipment </v>
      </c>
      <c r="J7" s="135">
        <f>'Cost Table'!E8</f>
        <v>510264.52807595482</v>
      </c>
      <c r="K7" s="135">
        <f>'Cost Table'!F8</f>
        <v>955843.79637589667</v>
      </c>
      <c r="L7" s="135">
        <f>'Cost Table'!G8</f>
        <v>10675637.809999999</v>
      </c>
      <c r="M7" s="135">
        <f>'Cost Table'!H8</f>
        <v>473958.52090735128</v>
      </c>
      <c r="N7" s="135">
        <f>'Cost Table'!I8</f>
        <v>338544.7237574961</v>
      </c>
      <c r="O7" s="136">
        <f t="shared" si="11"/>
        <v>12954249.379116697</v>
      </c>
      <c r="P7" s="842">
        <f t="shared" si="1"/>
        <v>12633361.984705184</v>
      </c>
      <c r="Q7" s="135">
        <f t="shared" si="2"/>
        <v>550399.45312483236</v>
      </c>
      <c r="R7" s="842">
        <v>536765.6067142894</v>
      </c>
      <c r="S7" s="135">
        <f>SUMIF('Calculations Yr 2'!C$5:C$400,$I7,'Calculations Yr 2'!K$5:K$400)</f>
        <v>12532671.329389796</v>
      </c>
      <c r="T7" s="842">
        <f t="shared" si="3"/>
        <v>12222226.76944587</v>
      </c>
      <c r="U7" s="699"/>
      <c r="V7" s="706">
        <f t="shared" si="4"/>
        <v>0</v>
      </c>
      <c r="W7" s="137">
        <f t="shared" si="12"/>
        <v>26037320.161631323</v>
      </c>
      <c r="X7" s="136">
        <f t="shared" si="5"/>
        <v>26037320.161631323</v>
      </c>
      <c r="Y7" s="138">
        <v>21096</v>
      </c>
      <c r="Z7" s="275">
        <f>SUMIF('Calculations Yr 2'!$C$5:$C$400,'Master Data'!$I7,'Calculations Yr 2'!W$5:W$400)</f>
        <v>-1.845928484695089</v>
      </c>
      <c r="AA7" s="275">
        <f>SUMIF('Calculations Yr 2'!$C$5:$C$400,'Master Data'!$I7,'Calculations Yr 2'!Y$5:Y$400)</f>
        <v>2991.9120000000003</v>
      </c>
      <c r="AB7" s="275">
        <f>SUMIF('Calculations Yr 2'!$C$5:$C$400,'Master Data'!$I7,'Calculations Yr 2'!O$5:O$400)</f>
        <v>1343.55</v>
      </c>
      <c r="AC7" s="275">
        <f>SUMIF('Calculations Yr 2'!$C$5:$C$400,'Master Data'!$I7,'Calculations Yr 2'!M$5:M$400)</f>
        <v>1343.55</v>
      </c>
      <c r="AD7" s="275">
        <f>SUMIF('Calculations Yr 2'!$C$5:$C$400,'Master Data'!$I7,'Calculations Yr 2'!P$5:P$400)</f>
        <v>20135.96</v>
      </c>
      <c r="AE7" s="275"/>
      <c r="AF7" s="275">
        <f>SUMIF('Calculations Yr 2'!$C$5:$C$400,'Master Data'!$I7,'Calculations Yr 2'!AB$5:AB$400)</f>
        <v>223306.17400000003</v>
      </c>
      <c r="AG7" s="275">
        <f>SUMIF('Calculations Yr 2'!$C$5:$C$400,'Master Data'!$I7,'Calculations Yr 2'!Z$5:Z$400)</f>
        <v>247846.2</v>
      </c>
      <c r="AH7" s="277">
        <f t="shared" si="6"/>
        <v>2233061.7400000002</v>
      </c>
      <c r="AI7" s="277">
        <f t="shared" si="6"/>
        <v>2478462</v>
      </c>
      <c r="AJ7" s="275">
        <f>SUMIF('Calculations Yr 2'!$C$5:$C$400,'Master Data'!$I7,'Calculations Yr 2'!AC$5:AC$400)*10</f>
        <v>36205218.100000009</v>
      </c>
      <c r="AK7" s="275">
        <f>SUMIF('Calculations Yr 2'!$C$5:$C$400,'Master Data'!$I7,'Calculations Yr 2'!AA$5:AA$400)*10</f>
        <v>40822482</v>
      </c>
      <c r="AL7" s="275">
        <f>SUMIF('Calculations Yr 2'!$C$5:$C$400,'Master Data'!$I7,'Calculations Yr 2'!AF$5:AF$400)</f>
        <v>0</v>
      </c>
      <c r="AM7" s="275">
        <f>SUMIF('Calculations Yr 2'!$C$5:$C$400,'Master Data'!$I7,'Calculations Yr 2'!AD$5:AD$400)</f>
        <v>0</v>
      </c>
      <c r="AN7" s="275">
        <f>SUMIF('Calculations Yr 2'!$C$5:$C$400,'Master Data'!$I7,'Calculations Yr 2'!AG$5:AG$400)</f>
        <v>0</v>
      </c>
      <c r="AO7" s="275">
        <f>SUMIF('Calculations Yr 2'!$C$5:$C$400,'Master Data'!$I7,'Calculations Yr 2'!AE$5:AE$400)</f>
        <v>0</v>
      </c>
      <c r="AP7" s="275">
        <f>SUMIF('Calculations Yr 2'!$C$5:$C$400,'Master Data'!$I7,'Calculations Yr 2'!AJ$5:AJ$400)</f>
        <v>0</v>
      </c>
      <c r="AQ7" s="275">
        <f>SUMIF('Calculations Yr 2'!$C$5:$C$400,'Master Data'!$I7,'Calculations Yr 2'!AK$5:AK$400)</f>
        <v>0</v>
      </c>
      <c r="AR7" s="278">
        <f>SUMIF('Calculations Yr 2'!$C$5:$C$465,'Master Data'!$I7,'Calculations Yr 2'!AL$5:AL$465)+SUMIF('Calculations Yr 2'!$C$5:$C$465,'Master Data'!$I7,'Calculations Yr 2'!AM$5:AM$465)+SUMIF('Calculations Yr 2'!$C$5:$C$465,'Master Data'!$I7,'Calculations Yr 2'!AN$5:AN$465)</f>
        <v>1393020.3499999999</v>
      </c>
      <c r="AS7" s="275">
        <f>SUMIF('Calculations Yr 2'!$C$5:$C$400,'Master Data'!$I7,'Calculations Yr 2'!AO$5:AO$400)</f>
        <v>9751142.4499999993</v>
      </c>
      <c r="AT7" s="139">
        <f>SUMIF('Calculations Yr 2'!$C$5:$C$400,'Master Data'!$I7,'Calculations Yr 2'!AT$5:AT$400)</f>
        <v>1493780.7762423316</v>
      </c>
      <c r="AU7" s="139">
        <f>SUMIF('Calculations Yr 2'!$C$5:$C$400,'Master Data'!$I7,'Calculations Yr 2'!BA$5:BA$400)</f>
        <v>100659.62040842896</v>
      </c>
      <c r="AV7" s="140">
        <f t="shared" si="7"/>
        <v>1594440.3966507607</v>
      </c>
      <c r="AW7" s="139">
        <f>SUMIF('Calculations Yr 2'!$C$5:$C$400,'Master Data'!$I7,'Calculations Yr 2'!BC$5:BC$400)</f>
        <v>7755558.1582714543</v>
      </c>
      <c r="AX7" s="139">
        <f>SUMIF('Calculations Yr 2'!$C$5:$C$400,'Master Data'!$I7,'Calculations Yr 2'!BF$5:BF$400)</f>
        <v>518710.52222182951</v>
      </c>
      <c r="AY7" s="139">
        <f>SUMIF('Calculations Yr 2'!$C$5:$C$400,'Master Data'!$I7,'Calculations Yr 2'!BG$5:BG$400)</f>
        <v>4071285.9144350258</v>
      </c>
      <c r="AZ7" s="139">
        <f>SUMIF('Calculations Yr 2'!$C$5:$C$400,'Master Data'!$I7,'Calculations Yr 2'!BE$5:BE$400)</f>
        <v>0</v>
      </c>
      <c r="BA7" s="140">
        <f t="shared" si="8"/>
        <v>12345554.594928309</v>
      </c>
      <c r="BB7" s="139">
        <f>SUMIF('Calculations Yr 2'!$C$5:$C$400,'Master Data'!$I7,'Calculations Yr 2'!BQ$5:BQ$400)</f>
        <v>30053428.844655979</v>
      </c>
      <c r="BC7" s="139">
        <f>SUMIF('Calculations Yr 2'!$C$5:$C$400,'Master Data'!$I7,'Calculations Yr 2'!BZ$5:BZ$400)</f>
        <v>2299077.596799159</v>
      </c>
      <c r="BD7" s="140">
        <f t="shared" si="9"/>
        <v>32352506.441455137</v>
      </c>
      <c r="BE7" s="275">
        <f>SUMIF('Calculations Yr 2'!$C$5:$C$400,'Master Data'!$I7,'Calculations Yr 2'!CB$5:CB$400)+SUMIF('Calculations Yr 2'!$C$5:$C$400,'Master Data'!$I7,'Calculations Yr 2'!CC$5:CC$400)</f>
        <v>0</v>
      </c>
      <c r="BF7" s="139">
        <f>SUMIF('Calculations Yr 2'!$C$5:$C$400,'Master Data'!$I7,'Calculations Yr 2'!CD$5:CD$400)</f>
        <v>0</v>
      </c>
      <c r="BG7" s="139">
        <f>SUMIF('Calculations Yr 2'!$C$5:$C$465,'Master Data'!$I7,'Calculations Yr 2'!CE$5:CE$465)+SUMIF('Calculations Yr 2'!$C$5:$C$465,'Master Data'!$I7,'Calculations Yr 2'!CF$5:CF$465)+SUMIF('Calculations Yr 2'!$C$5:$C$465,'Master Data'!$I7,'Calculations Yr 2'!CG$5:CG$465)</f>
        <v>104029.06842513569</v>
      </c>
      <c r="BH7" s="140">
        <f t="shared" si="13"/>
        <v>104029.06842513569</v>
      </c>
      <c r="BI7" s="140">
        <f t="shared" si="14"/>
        <v>46396530.501459345</v>
      </c>
      <c r="BJ7" s="139">
        <f>SUMIF('Calculations Yr 2'!$C$5:$C$400,'Master Data'!$I7,'Calculations Yr 2'!CO$5:CO$400)</f>
        <v>2992979.281892607</v>
      </c>
      <c r="BK7" s="140">
        <f t="shared" si="10"/>
        <v>49389509.78335195</v>
      </c>
    </row>
    <row r="8" spans="1:64" s="696" customFormat="1" ht="15" customHeight="1">
      <c r="A8" s="280" t="str">
        <f>'Lookups-Assumptions'!D$4</f>
        <v>Gas</v>
      </c>
      <c r="B8" s="280" t="str">
        <f>'Lookups-Assumptions'!D$5</f>
        <v>National Grid</v>
      </c>
      <c r="C8" s="280">
        <v>2017</v>
      </c>
      <c r="D8" s="280"/>
      <c r="E8" s="280"/>
      <c r="F8" s="280" t="str">
        <f>'Lookups-Assumptions'!D$6</f>
        <v>Evaluated</v>
      </c>
      <c r="G8" s="288" t="s">
        <v>239</v>
      </c>
      <c r="H8" s="286" t="str">
        <f>'Lookups-Assumptions'!D71</f>
        <v>A2 - Residential Products</v>
      </c>
      <c r="I8" s="287" t="str">
        <f>'Lookups-Assumptions'!D$83</f>
        <v>A2b - Residential Consumer Products</v>
      </c>
      <c r="J8" s="789"/>
      <c r="K8" s="790"/>
      <c r="L8" s="790"/>
      <c r="M8" s="790"/>
      <c r="N8" s="791"/>
      <c r="O8" s="791"/>
      <c r="P8" s="790"/>
      <c r="Q8" s="790">
        <f t="shared" si="2"/>
        <v>0</v>
      </c>
      <c r="R8" s="791">
        <v>0</v>
      </c>
      <c r="S8" s="791"/>
      <c r="T8" s="790">
        <f t="shared" si="3"/>
        <v>0</v>
      </c>
      <c r="U8" s="791"/>
      <c r="V8" s="791"/>
      <c r="W8" s="791"/>
      <c r="X8" s="791"/>
      <c r="Y8" s="792"/>
      <c r="Z8" s="793"/>
      <c r="AA8" s="793"/>
      <c r="AB8" s="793"/>
      <c r="AC8" s="793"/>
      <c r="AD8" s="793"/>
      <c r="AE8" s="793"/>
      <c r="AF8" s="793"/>
      <c r="AG8" s="793"/>
      <c r="AH8" s="793"/>
      <c r="AI8" s="794"/>
      <c r="AJ8" s="794">
        <f>SUMIF('Calculations Yr 2'!$C$5:$C$400,'Master Data'!$I8,'Calculations Yr 2'!AC$5:AC$400)*10</f>
        <v>0</v>
      </c>
      <c r="AK8" s="794"/>
      <c r="AL8" s="793"/>
      <c r="AM8" s="793"/>
      <c r="AN8" s="793"/>
      <c r="AO8" s="793"/>
      <c r="AP8" s="793"/>
      <c r="AQ8" s="793"/>
      <c r="AR8" s="795"/>
      <c r="AS8" s="793"/>
      <c r="AT8" s="796"/>
      <c r="AU8" s="796"/>
      <c r="AV8" s="796"/>
      <c r="AW8" s="796"/>
      <c r="AX8" s="796"/>
      <c r="AY8" s="796"/>
      <c r="AZ8" s="796"/>
      <c r="BA8" s="796"/>
      <c r="BB8" s="796"/>
      <c r="BC8" s="796"/>
      <c r="BD8" s="796"/>
      <c r="BE8" s="796"/>
      <c r="BF8" s="796"/>
      <c r="BG8" s="796"/>
      <c r="BH8" s="796"/>
      <c r="BI8" s="796"/>
      <c r="BJ8" s="796"/>
      <c r="BK8" s="796"/>
    </row>
    <row r="9" spans="1:64" s="696" customFormat="1" ht="15" customHeight="1">
      <c r="A9" s="280" t="str">
        <f>'Lookups-Assumptions'!D$4</f>
        <v>Gas</v>
      </c>
      <c r="B9" s="280" t="str">
        <f>'Lookups-Assumptions'!D$5</f>
        <v>National Grid</v>
      </c>
      <c r="C9" s="280">
        <v>2017</v>
      </c>
      <c r="D9" s="280"/>
      <c r="E9" s="280"/>
      <c r="F9" s="280" t="str">
        <f>'Lookups-Assumptions'!D$6</f>
        <v>Evaluated</v>
      </c>
      <c r="G9" s="288" t="s">
        <v>239</v>
      </c>
      <c r="H9" s="286" t="str">
        <f>'Lookups-Assumptions'!D71</f>
        <v>A2 - Residential Products</v>
      </c>
      <c r="I9" s="287" t="str">
        <f>'Lookups-Assumptions'!D$84</f>
        <v>A2c - Residential Lighting</v>
      </c>
      <c r="J9" s="790"/>
      <c r="K9" s="790"/>
      <c r="L9" s="790"/>
      <c r="M9" s="790"/>
      <c r="N9" s="791"/>
      <c r="O9" s="791"/>
      <c r="P9" s="797"/>
      <c r="Q9" s="790">
        <f t="shared" si="2"/>
        <v>0</v>
      </c>
      <c r="R9" s="791">
        <v>0</v>
      </c>
      <c r="S9" s="791"/>
      <c r="T9" s="790">
        <f t="shared" si="3"/>
        <v>0</v>
      </c>
      <c r="U9" s="791"/>
      <c r="V9" s="791"/>
      <c r="W9" s="791"/>
      <c r="X9" s="791"/>
      <c r="Y9" s="792"/>
      <c r="Z9" s="793"/>
      <c r="AA9" s="793"/>
      <c r="AB9" s="793"/>
      <c r="AC9" s="793"/>
      <c r="AD9" s="793"/>
      <c r="AE9" s="793"/>
      <c r="AF9" s="793"/>
      <c r="AG9" s="793"/>
      <c r="AH9" s="793"/>
      <c r="AI9" s="794"/>
      <c r="AJ9" s="794">
        <f>SUMIF('Calculations Yr 2'!$C$5:$C$400,'Master Data'!$I9,'Calculations Yr 2'!AC$5:AC$400)*10</f>
        <v>0</v>
      </c>
      <c r="AK9" s="794"/>
      <c r="AL9" s="793"/>
      <c r="AM9" s="793"/>
      <c r="AN9" s="793"/>
      <c r="AO9" s="793"/>
      <c r="AP9" s="793"/>
      <c r="AQ9" s="793"/>
      <c r="AR9" s="795"/>
      <c r="AS9" s="793"/>
      <c r="AT9" s="796"/>
      <c r="AU9" s="796"/>
      <c r="AV9" s="796"/>
      <c r="AW9" s="796"/>
      <c r="AX9" s="796"/>
      <c r="AY9" s="796"/>
      <c r="AZ9" s="796"/>
      <c r="BA9" s="796"/>
      <c r="BB9" s="796"/>
      <c r="BC9" s="796"/>
      <c r="BD9" s="796"/>
      <c r="BE9" s="796"/>
      <c r="BF9" s="796"/>
      <c r="BG9" s="796"/>
      <c r="BH9" s="796"/>
      <c r="BI9" s="796"/>
      <c r="BJ9" s="796"/>
      <c r="BK9" s="796"/>
    </row>
    <row r="10" spans="1:64" ht="15" customHeight="1">
      <c r="A10" s="280" t="str">
        <f>'Lookups-Assumptions'!D$4</f>
        <v>Gas</v>
      </c>
      <c r="B10" s="280" t="str">
        <f>'Lookups-Assumptions'!D$5</f>
        <v>National Grid</v>
      </c>
      <c r="C10" s="280">
        <v>2017</v>
      </c>
      <c r="D10" s="280"/>
      <c r="E10" s="280"/>
      <c r="F10" s="280" t="str">
        <f>'Lookups-Assumptions'!D$6</f>
        <v>Evaluated</v>
      </c>
      <c r="G10" s="288" t="s">
        <v>239</v>
      </c>
      <c r="H10" s="286" t="s">
        <v>846</v>
      </c>
      <c r="I10" s="287" t="s">
        <v>847</v>
      </c>
      <c r="J10" s="135">
        <f>'Cost Table'!E9</f>
        <v>0</v>
      </c>
      <c r="K10" s="135">
        <f>'Cost Table'!F9</f>
        <v>500868.43000000005</v>
      </c>
      <c r="L10" s="135">
        <f>'Cost Table'!G9</f>
        <v>0</v>
      </c>
      <c r="M10" s="135">
        <f>'Cost Table'!H9</f>
        <v>0</v>
      </c>
      <c r="N10" s="135">
        <f>'Cost Table'!I9</f>
        <v>0</v>
      </c>
      <c r="O10" s="136">
        <f t="shared" si="11"/>
        <v>500868.43000000005</v>
      </c>
      <c r="P10" s="842">
        <f t="shared" ref="P10:P30" si="16">IF($C10=2016,O10,IF($C10=2017,O10/(1+NDR),IF($C10=2018,O10/(1+NDR)^2)))</f>
        <v>488461.50770431053</v>
      </c>
      <c r="Q10" s="135">
        <f t="shared" si="2"/>
        <v>0</v>
      </c>
      <c r="R10" s="842">
        <v>0</v>
      </c>
      <c r="S10" s="135">
        <f>SUMIF('Calculations Yr 2'!C$5:C$400,$I10,'Calculations Yr 2'!K$5:K$400)</f>
        <v>0</v>
      </c>
      <c r="T10" s="842">
        <f t="shared" si="3"/>
        <v>0</v>
      </c>
      <c r="U10" s="271"/>
      <c r="V10" s="706">
        <f t="shared" ref="V10:V30" si="17">IF($C10=2016,U10,IF($C10=2017,U10/(1+NDR),IF($C10=2018,U10/(1+NDR)^2)))</f>
        <v>0</v>
      </c>
      <c r="W10" s="137">
        <f t="shared" si="12"/>
        <v>500868.43000000005</v>
      </c>
      <c r="X10" s="136">
        <f t="shared" si="5"/>
        <v>500868.43000000005</v>
      </c>
      <c r="Y10" s="269"/>
      <c r="Z10" s="276"/>
      <c r="AA10" s="276"/>
      <c r="AB10" s="276"/>
      <c r="AC10" s="276"/>
      <c r="AD10" s="276"/>
      <c r="AE10" s="276"/>
      <c r="AF10" s="276"/>
      <c r="AG10" s="276"/>
      <c r="AH10" s="276"/>
      <c r="AI10" s="276"/>
      <c r="AJ10" s="276"/>
      <c r="AK10" s="276"/>
      <c r="AL10" s="279"/>
      <c r="AM10" s="279"/>
      <c r="AN10" s="276">
        <f>SUMIF('Calculations Yr 2'!$C$5:$C$400,'Master Data'!$I10,'Calculations Yr 2'!AG$5:AG$400)</f>
        <v>0</v>
      </c>
      <c r="AO10" s="276"/>
      <c r="AP10" s="279"/>
      <c r="AQ10" s="276">
        <f>SUMIF('Calculations Yr 2'!$C$5:$C$400,'Master Data'!$I10,'Calculations Yr 2'!AK$5:AK$400)</f>
        <v>0</v>
      </c>
      <c r="AR10" s="279"/>
      <c r="AS10" s="279"/>
      <c r="AT10" s="270"/>
      <c r="AU10" s="270"/>
      <c r="AV10" s="270"/>
      <c r="AW10" s="270"/>
      <c r="AX10" s="270"/>
      <c r="AY10" s="270"/>
      <c r="AZ10" s="270"/>
      <c r="BA10" s="270"/>
      <c r="BB10" s="270"/>
      <c r="BC10" s="270"/>
      <c r="BD10" s="270"/>
      <c r="BE10" s="270"/>
      <c r="BF10" s="270"/>
      <c r="BG10" s="270"/>
      <c r="BH10" s="270"/>
      <c r="BI10" s="270"/>
      <c r="BJ10" s="270"/>
      <c r="BK10" s="270"/>
    </row>
    <row r="11" spans="1:64" ht="15" customHeight="1">
      <c r="A11" s="280" t="str">
        <f>'Lookups-Assumptions'!D$4</f>
        <v>Gas</v>
      </c>
      <c r="B11" s="280" t="str">
        <f>'Lookups-Assumptions'!D$5</f>
        <v>National Grid</v>
      </c>
      <c r="C11" s="280">
        <v>2017</v>
      </c>
      <c r="D11" s="280"/>
      <c r="E11" s="280"/>
      <c r="F11" s="280" t="str">
        <f>'Lookups-Assumptions'!D$6</f>
        <v>Evaluated</v>
      </c>
      <c r="G11" s="288" t="s">
        <v>239</v>
      </c>
      <c r="H11" s="286" t="s">
        <v>846</v>
      </c>
      <c r="I11" s="287" t="s">
        <v>848</v>
      </c>
      <c r="J11" s="135">
        <f>'Cost Table'!E10</f>
        <v>2442.84</v>
      </c>
      <c r="K11" s="135">
        <f>'Cost Table'!F10</f>
        <v>0</v>
      </c>
      <c r="L11" s="135">
        <f>'Cost Table'!G10</f>
        <v>0</v>
      </c>
      <c r="M11" s="135">
        <f>'Cost Table'!H10</f>
        <v>0</v>
      </c>
      <c r="N11" s="135">
        <f>'Cost Table'!I10</f>
        <v>0</v>
      </c>
      <c r="O11" s="136">
        <f t="shared" si="11"/>
        <v>2442.84</v>
      </c>
      <c r="P11" s="842">
        <f t="shared" si="16"/>
        <v>2382.3288472791105</v>
      </c>
      <c r="Q11" s="135">
        <f t="shared" si="2"/>
        <v>0</v>
      </c>
      <c r="R11" s="842">
        <v>0</v>
      </c>
      <c r="S11" s="135">
        <f>SUMIF('Calculations Yr 2'!C$5:C$400,$I11,'Calculations Yr 2'!K$5:K$400)</f>
        <v>0</v>
      </c>
      <c r="T11" s="842">
        <f t="shared" si="3"/>
        <v>0</v>
      </c>
      <c r="U11" s="699"/>
      <c r="V11" s="706">
        <f t="shared" si="17"/>
        <v>0</v>
      </c>
      <c r="W11" s="137">
        <f t="shared" si="12"/>
        <v>2442.84</v>
      </c>
      <c r="X11" s="136">
        <f t="shared" si="5"/>
        <v>2442.84</v>
      </c>
      <c r="Y11" s="269"/>
      <c r="Z11" s="276"/>
      <c r="AA11" s="276"/>
      <c r="AB11" s="276"/>
      <c r="AC11" s="276"/>
      <c r="AD11" s="276"/>
      <c r="AE11" s="276"/>
      <c r="AF11" s="276"/>
      <c r="AG11" s="276"/>
      <c r="AH11" s="276"/>
      <c r="AI11" s="276"/>
      <c r="AJ11" s="276"/>
      <c r="AK11" s="276"/>
      <c r="AL11" s="279"/>
      <c r="AM11" s="279"/>
      <c r="AN11" s="276">
        <f>SUMIF('Calculations Yr 2'!$C$5:$C$400,'Master Data'!$I11,'Calculations Yr 2'!AG$5:AG$400)</f>
        <v>0</v>
      </c>
      <c r="AO11" s="276"/>
      <c r="AP11" s="279"/>
      <c r="AQ11" s="276">
        <f>SUMIF('Calculations Yr 2'!$C$5:$C$400,'Master Data'!$I11,'Calculations Yr 2'!AK$5:AK$400)</f>
        <v>0</v>
      </c>
      <c r="AR11" s="279"/>
      <c r="AS11" s="279"/>
      <c r="AT11" s="270"/>
      <c r="AU11" s="270"/>
      <c r="AV11" s="270"/>
      <c r="AW11" s="270"/>
      <c r="AX11" s="270"/>
      <c r="AY11" s="270"/>
      <c r="AZ11" s="270"/>
      <c r="BA11" s="270"/>
      <c r="BB11" s="270"/>
      <c r="BC11" s="270"/>
      <c r="BD11" s="270"/>
      <c r="BE11" s="270"/>
      <c r="BF11" s="270"/>
      <c r="BG11" s="270"/>
      <c r="BH11" s="270"/>
      <c r="BI11" s="270"/>
      <c r="BJ11" s="270"/>
      <c r="BK11" s="270"/>
    </row>
    <row r="12" spans="1:64" ht="15" customHeight="1">
      <c r="A12" s="280" t="str">
        <f>'Lookups-Assumptions'!D$4</f>
        <v>Gas</v>
      </c>
      <c r="B12" s="280" t="str">
        <f>'Lookups-Assumptions'!D$5</f>
        <v>National Grid</v>
      </c>
      <c r="C12" s="280">
        <v>2017</v>
      </c>
      <c r="D12" s="280"/>
      <c r="E12" s="280"/>
      <c r="F12" s="280" t="str">
        <f>'Lookups-Assumptions'!D$6</f>
        <v>Evaluated</v>
      </c>
      <c r="G12" s="288" t="s">
        <v>239</v>
      </c>
      <c r="H12" s="286" t="s">
        <v>846</v>
      </c>
      <c r="I12" s="287" t="s">
        <v>849</v>
      </c>
      <c r="J12" s="135">
        <f>'Cost Table'!E11</f>
        <v>194997.5</v>
      </c>
      <c r="K12" s="135">
        <f>'Cost Table'!F11</f>
        <v>0</v>
      </c>
      <c r="L12" s="135">
        <f>'Cost Table'!G11</f>
        <v>0</v>
      </c>
      <c r="M12" s="135">
        <f>'Cost Table'!H11</f>
        <v>0</v>
      </c>
      <c r="N12" s="135">
        <f>'Cost Table'!I11</f>
        <v>0</v>
      </c>
      <c r="O12" s="136">
        <f t="shared" si="11"/>
        <v>194997.5</v>
      </c>
      <c r="P12" s="842">
        <f t="shared" si="16"/>
        <v>190167.25180417395</v>
      </c>
      <c r="Q12" s="135">
        <f t="shared" si="2"/>
        <v>0</v>
      </c>
      <c r="R12" s="842">
        <v>0</v>
      </c>
      <c r="S12" s="135">
        <f>SUMIF('Calculations Yr 2'!C$5:C$400,$I12,'Calculations Yr 2'!K$5:K$400)</f>
        <v>0</v>
      </c>
      <c r="T12" s="842">
        <f t="shared" si="3"/>
        <v>0</v>
      </c>
      <c r="U12" s="699"/>
      <c r="V12" s="706">
        <f t="shared" si="17"/>
        <v>0</v>
      </c>
      <c r="W12" s="137">
        <f t="shared" si="12"/>
        <v>194997.5</v>
      </c>
      <c r="X12" s="136">
        <f t="shared" si="5"/>
        <v>194997.5</v>
      </c>
      <c r="Y12" s="269"/>
      <c r="Z12" s="276"/>
      <c r="AA12" s="276"/>
      <c r="AB12" s="276"/>
      <c r="AC12" s="276"/>
      <c r="AD12" s="276"/>
      <c r="AE12" s="276"/>
      <c r="AF12" s="276"/>
      <c r="AG12" s="276"/>
      <c r="AH12" s="276"/>
      <c r="AI12" s="276"/>
      <c r="AJ12" s="276"/>
      <c r="AK12" s="276"/>
      <c r="AL12" s="279"/>
      <c r="AM12" s="279"/>
      <c r="AN12" s="276">
        <f>SUMIF('Calculations Yr 2'!$C$5:$C$400,'Master Data'!$I12,'Calculations Yr 2'!AG$5:AG$400)</f>
        <v>0</v>
      </c>
      <c r="AO12" s="276"/>
      <c r="AP12" s="279"/>
      <c r="AQ12" s="276">
        <f>SUMIF('Calculations Yr 2'!$C$5:$C$400,'Master Data'!$I12,'Calculations Yr 2'!AK$5:AK$400)</f>
        <v>0</v>
      </c>
      <c r="AR12" s="279"/>
      <c r="AS12" s="279"/>
      <c r="AT12" s="270"/>
      <c r="AU12" s="270"/>
      <c r="AV12" s="270"/>
      <c r="AW12" s="270"/>
      <c r="AX12" s="270"/>
      <c r="AY12" s="270"/>
      <c r="AZ12" s="270"/>
      <c r="BA12" s="270"/>
      <c r="BB12" s="270"/>
      <c r="BC12" s="270"/>
      <c r="BD12" s="270"/>
      <c r="BE12" s="270"/>
      <c r="BF12" s="270"/>
      <c r="BG12" s="270"/>
      <c r="BH12" s="270"/>
      <c r="BI12" s="270"/>
      <c r="BJ12" s="270"/>
      <c r="BK12" s="270"/>
    </row>
    <row r="13" spans="1:64" ht="15" customHeight="1">
      <c r="A13" s="280" t="str">
        <f>'Lookups-Assumptions'!D$4</f>
        <v>Gas</v>
      </c>
      <c r="B13" s="280" t="str">
        <f>'Lookups-Assumptions'!D$5</f>
        <v>National Grid</v>
      </c>
      <c r="C13" s="280">
        <v>2017</v>
      </c>
      <c r="D13" s="280"/>
      <c r="E13" s="280"/>
      <c r="F13" s="280" t="str">
        <f>'Lookups-Assumptions'!D$6</f>
        <v>Evaluated</v>
      </c>
      <c r="G13" s="288" t="s">
        <v>239</v>
      </c>
      <c r="H13" s="286" t="s">
        <v>846</v>
      </c>
      <c r="I13" s="287" t="s">
        <v>850</v>
      </c>
      <c r="J13" s="135">
        <f>'Cost Table'!E12</f>
        <v>116655.48999999999</v>
      </c>
      <c r="K13" s="135">
        <f>'Cost Table'!F12</f>
        <v>0</v>
      </c>
      <c r="L13" s="135">
        <f>'Cost Table'!G12</f>
        <v>0</v>
      </c>
      <c r="M13" s="135">
        <f>'Cost Table'!H12</f>
        <v>0</v>
      </c>
      <c r="N13" s="135">
        <f>'Cost Table'!I12</f>
        <v>0</v>
      </c>
      <c r="O13" s="136">
        <f t="shared" si="11"/>
        <v>116655.48999999999</v>
      </c>
      <c r="P13" s="842">
        <f t="shared" si="16"/>
        <v>113765.83772186462</v>
      </c>
      <c r="Q13" s="135">
        <f t="shared" si="2"/>
        <v>0</v>
      </c>
      <c r="R13" s="842">
        <v>0</v>
      </c>
      <c r="S13" s="135">
        <f>SUMIF('Calculations Yr 2'!C$5:C$400,$I13,'Calculations Yr 2'!K$5:K$400)</f>
        <v>0</v>
      </c>
      <c r="T13" s="842">
        <f t="shared" si="3"/>
        <v>0</v>
      </c>
      <c r="U13" s="699"/>
      <c r="V13" s="706">
        <f t="shared" si="17"/>
        <v>0</v>
      </c>
      <c r="W13" s="137">
        <f t="shared" si="12"/>
        <v>116655.48999999999</v>
      </c>
      <c r="X13" s="136">
        <f t="shared" si="5"/>
        <v>116655.48999999999</v>
      </c>
      <c r="Y13" s="269"/>
      <c r="Z13" s="276"/>
      <c r="AA13" s="276"/>
      <c r="AB13" s="276"/>
      <c r="AC13" s="276"/>
      <c r="AD13" s="276"/>
      <c r="AE13" s="276"/>
      <c r="AF13" s="276"/>
      <c r="AG13" s="276"/>
      <c r="AH13" s="276"/>
      <c r="AI13" s="276"/>
      <c r="AJ13" s="276"/>
      <c r="AK13" s="276"/>
      <c r="AL13" s="279"/>
      <c r="AM13" s="279"/>
      <c r="AN13" s="276">
        <f>SUMIF('Calculations Yr 2'!$C$5:$C$400,'Master Data'!$I13,'Calculations Yr 2'!AG$5:AG$400)</f>
        <v>0</v>
      </c>
      <c r="AO13" s="276"/>
      <c r="AP13" s="279"/>
      <c r="AQ13" s="276">
        <f>SUMIF('Calculations Yr 2'!$C$5:$C$400,'Master Data'!$I13,'Calculations Yr 2'!AK$5:AK$400)</f>
        <v>0</v>
      </c>
      <c r="AR13" s="279"/>
      <c r="AS13" s="279"/>
      <c r="AT13" s="270"/>
      <c r="AU13" s="270"/>
      <c r="AV13" s="270"/>
      <c r="AW13" s="270"/>
      <c r="AX13" s="270"/>
      <c r="AY13" s="270"/>
      <c r="AZ13" s="270"/>
      <c r="BA13" s="270"/>
      <c r="BB13" s="270"/>
      <c r="BC13" s="270"/>
      <c r="BD13" s="270"/>
      <c r="BE13" s="270"/>
      <c r="BF13" s="270"/>
      <c r="BG13" s="270"/>
      <c r="BH13" s="270"/>
      <c r="BI13" s="270"/>
      <c r="BJ13" s="270"/>
      <c r="BK13" s="270"/>
    </row>
    <row r="14" spans="1:64" ht="15" customHeight="1">
      <c r="A14" s="280" t="str">
        <f>'Lookups-Assumptions'!D$4</f>
        <v>Gas</v>
      </c>
      <c r="B14" s="280" t="str">
        <f>'Lookups-Assumptions'!D$5</f>
        <v>National Grid</v>
      </c>
      <c r="C14" s="280">
        <v>2017</v>
      </c>
      <c r="D14" s="280"/>
      <c r="E14" s="280"/>
      <c r="F14" s="280" t="str">
        <f>'Lookups-Assumptions'!D$6</f>
        <v>Evaluated</v>
      </c>
      <c r="G14" s="288" t="s">
        <v>239</v>
      </c>
      <c r="H14" s="286" t="s">
        <v>846</v>
      </c>
      <c r="I14" s="287" t="s">
        <v>851</v>
      </c>
      <c r="J14" s="135">
        <f>'Cost Table'!E13</f>
        <v>36076.57</v>
      </c>
      <c r="K14" s="135">
        <f>'Cost Table'!F13</f>
        <v>4221.68</v>
      </c>
      <c r="L14" s="135">
        <f>'Cost Table'!G13</f>
        <v>0</v>
      </c>
      <c r="M14" s="135">
        <f>'Cost Table'!H13</f>
        <v>0</v>
      </c>
      <c r="N14" s="135">
        <f>'Cost Table'!I13</f>
        <v>1407.22</v>
      </c>
      <c r="O14" s="136">
        <f t="shared" si="11"/>
        <v>41705.47</v>
      </c>
      <c r="P14" s="842">
        <f t="shared" si="16"/>
        <v>40672.391261946555</v>
      </c>
      <c r="Q14" s="135">
        <f t="shared" si="2"/>
        <v>0</v>
      </c>
      <c r="R14" s="842">
        <v>0</v>
      </c>
      <c r="S14" s="135">
        <f>SUMIF('Calculations Yr 2'!C$5:C$400,$I14,'Calculations Yr 2'!K$5:K$400)</f>
        <v>0</v>
      </c>
      <c r="T14" s="842">
        <f t="shared" si="3"/>
        <v>0</v>
      </c>
      <c r="U14" s="699"/>
      <c r="V14" s="706">
        <f t="shared" si="17"/>
        <v>0</v>
      </c>
      <c r="W14" s="137">
        <f t="shared" si="12"/>
        <v>41705.47</v>
      </c>
      <c r="X14" s="136">
        <f t="shared" si="5"/>
        <v>41705.47</v>
      </c>
      <c r="Y14" s="269"/>
      <c r="Z14" s="276"/>
      <c r="AA14" s="276"/>
      <c r="AB14" s="276"/>
      <c r="AC14" s="276"/>
      <c r="AD14" s="276"/>
      <c r="AE14" s="276"/>
      <c r="AF14" s="276"/>
      <c r="AG14" s="276"/>
      <c r="AH14" s="276"/>
      <c r="AI14" s="276"/>
      <c r="AJ14" s="276"/>
      <c r="AK14" s="276"/>
      <c r="AL14" s="279"/>
      <c r="AM14" s="279"/>
      <c r="AN14" s="276">
        <f>SUMIF('Calculations Yr 2'!$C$5:$C$400,'Master Data'!$I14,'Calculations Yr 2'!AG$5:AG$400)</f>
        <v>0</v>
      </c>
      <c r="AO14" s="276"/>
      <c r="AP14" s="279"/>
      <c r="AQ14" s="276">
        <f>SUMIF('Calculations Yr 2'!$C$5:$C$400,'Master Data'!$I14,'Calculations Yr 2'!AK$5:AK$400)</f>
        <v>0</v>
      </c>
      <c r="AR14" s="279"/>
      <c r="AS14" s="279"/>
      <c r="AT14" s="270"/>
      <c r="AU14" s="270"/>
      <c r="AV14" s="270"/>
      <c r="AW14" s="270"/>
      <c r="AX14" s="270"/>
      <c r="AY14" s="270"/>
      <c r="AZ14" s="270"/>
      <c r="BA14" s="270"/>
      <c r="BB14" s="270"/>
      <c r="BC14" s="270"/>
      <c r="BD14" s="270"/>
      <c r="BE14" s="270"/>
      <c r="BF14" s="270"/>
      <c r="BG14" s="270"/>
      <c r="BH14" s="270"/>
      <c r="BI14" s="270"/>
      <c r="BJ14" s="270"/>
      <c r="BK14" s="270"/>
    </row>
    <row r="15" spans="1:64" ht="15" customHeight="1">
      <c r="A15" s="280" t="str">
        <f>'Lookups-Assumptions'!D$4</f>
        <v>Gas</v>
      </c>
      <c r="B15" s="280" t="str">
        <f>'Lookups-Assumptions'!D$5</f>
        <v>National Grid</v>
      </c>
      <c r="C15" s="280">
        <v>2017</v>
      </c>
      <c r="D15" s="280"/>
      <c r="E15" s="280"/>
      <c r="F15" s="280" t="str">
        <f>'Lookups-Assumptions'!D$6</f>
        <v>Evaluated</v>
      </c>
      <c r="G15" s="288" t="s">
        <v>239</v>
      </c>
      <c r="H15" s="286" t="s">
        <v>846</v>
      </c>
      <c r="I15" s="287" t="s">
        <v>852</v>
      </c>
      <c r="J15" s="135">
        <f>'Cost Table'!E14</f>
        <v>44.620000000000005</v>
      </c>
      <c r="K15" s="135">
        <f>'Cost Table'!F14</f>
        <v>20235.21</v>
      </c>
      <c r="L15" s="135">
        <f>'Cost Table'!G14</f>
        <v>542644.61</v>
      </c>
      <c r="M15" s="135">
        <f>'Cost Table'!H14</f>
        <v>45409.85</v>
      </c>
      <c r="N15" s="135">
        <f>'Cost Table'!I14</f>
        <v>0</v>
      </c>
      <c r="O15" s="136">
        <f t="shared" si="11"/>
        <v>608334.28999999992</v>
      </c>
      <c r="P15" s="842">
        <f t="shared" si="16"/>
        <v>593265.35010727507</v>
      </c>
      <c r="Q15" s="135">
        <f t="shared" si="2"/>
        <v>0</v>
      </c>
      <c r="R15" s="842">
        <v>0</v>
      </c>
      <c r="S15" s="135">
        <f>SUMIF('Calculations Yr 2'!C$5:C$400,$I15,'Calculations Yr 2'!K$5:K$400)</f>
        <v>0</v>
      </c>
      <c r="T15" s="842">
        <f t="shared" si="3"/>
        <v>0</v>
      </c>
      <c r="U15" s="699"/>
      <c r="V15" s="706">
        <f t="shared" si="17"/>
        <v>0</v>
      </c>
      <c r="W15" s="137">
        <f t="shared" si="12"/>
        <v>608334.28999999992</v>
      </c>
      <c r="X15" s="136">
        <f t="shared" si="5"/>
        <v>608334.28999999992</v>
      </c>
      <c r="Y15" s="269"/>
      <c r="Z15" s="276"/>
      <c r="AA15" s="276"/>
      <c r="AB15" s="276"/>
      <c r="AC15" s="276"/>
      <c r="AD15" s="276"/>
      <c r="AE15" s="276"/>
      <c r="AF15" s="276"/>
      <c r="AG15" s="276"/>
      <c r="AH15" s="276"/>
      <c r="AI15" s="276"/>
      <c r="AJ15" s="276"/>
      <c r="AK15" s="276"/>
      <c r="AL15" s="279"/>
      <c r="AM15" s="279"/>
      <c r="AN15" s="276">
        <f>SUMIF('Calculations Yr 2'!$C$5:$C$400,'Master Data'!$I15,'Calculations Yr 2'!AG$5:AG$400)</f>
        <v>0</v>
      </c>
      <c r="AO15" s="276"/>
      <c r="AP15" s="279"/>
      <c r="AQ15" s="276">
        <f>SUMIF('Calculations Yr 2'!$C$5:$C$400,'Master Data'!$I15,'Calculations Yr 2'!AK$5:AK$400)</f>
        <v>0</v>
      </c>
      <c r="AR15" s="279"/>
      <c r="AS15" s="279"/>
      <c r="AT15" s="270"/>
      <c r="AU15" s="270"/>
      <c r="AV15" s="270"/>
      <c r="AW15" s="270"/>
      <c r="AX15" s="270"/>
      <c r="AY15" s="270"/>
      <c r="AZ15" s="270"/>
      <c r="BA15" s="270"/>
      <c r="BB15" s="270"/>
      <c r="BC15" s="270"/>
      <c r="BD15" s="270"/>
      <c r="BE15" s="270"/>
      <c r="BF15" s="270"/>
      <c r="BG15" s="270"/>
      <c r="BH15" s="270"/>
      <c r="BI15" s="270"/>
      <c r="BJ15" s="270"/>
      <c r="BK15" s="270"/>
    </row>
    <row r="16" spans="1:64" s="696" customFormat="1" ht="15" customHeight="1">
      <c r="A16" s="280" t="str">
        <f>'Lookups-Assumptions'!D$4</f>
        <v>Gas</v>
      </c>
      <c r="B16" s="280" t="str">
        <f>'Lookups-Assumptions'!D$5</f>
        <v>National Grid</v>
      </c>
      <c r="C16" s="280">
        <v>2017</v>
      </c>
      <c r="D16" s="280"/>
      <c r="E16" s="280"/>
      <c r="F16" s="280" t="str">
        <f>'Lookups-Assumptions'!D$6</f>
        <v>Evaluated</v>
      </c>
      <c r="G16" s="288" t="s">
        <v>239</v>
      </c>
      <c r="H16" s="286" t="s">
        <v>846</v>
      </c>
      <c r="I16" s="287" t="s">
        <v>853</v>
      </c>
      <c r="J16" s="135">
        <f>'Cost Table'!E15</f>
        <v>0</v>
      </c>
      <c r="K16" s="135">
        <f>'Cost Table'!F15</f>
        <v>0</v>
      </c>
      <c r="L16" s="135">
        <f>'Cost Table'!G15</f>
        <v>0</v>
      </c>
      <c r="M16" s="135">
        <f>'Cost Table'!H15</f>
        <v>23144.829999999998</v>
      </c>
      <c r="N16" s="135">
        <f>'Cost Table'!I15</f>
        <v>0</v>
      </c>
      <c r="O16" s="136">
        <f>SUM(J16:N16)</f>
        <v>23144.829999999998</v>
      </c>
      <c r="P16" s="842">
        <f t="shared" si="16"/>
        <v>22571.513555685582</v>
      </c>
      <c r="Q16" s="135">
        <f t="shared" si="2"/>
        <v>0</v>
      </c>
      <c r="R16" s="842">
        <v>0</v>
      </c>
      <c r="S16" s="135">
        <f>SUMIF('Calculations Yr 2'!C$5:C$400,$I16,'Calculations Yr 2'!K$5:K$400)</f>
        <v>0</v>
      </c>
      <c r="T16" s="842">
        <f t="shared" si="3"/>
        <v>0</v>
      </c>
      <c r="U16" s="699"/>
      <c r="V16" s="706">
        <f t="shared" si="17"/>
        <v>0</v>
      </c>
      <c r="W16" s="137">
        <f t="shared" ref="W16" si="18">SUM(O16,Q16,S16,U16)</f>
        <v>23144.829999999998</v>
      </c>
      <c r="X16" s="136">
        <f t="shared" ref="X16" si="19">W16</f>
        <v>23144.829999999998</v>
      </c>
      <c r="Y16" s="269"/>
      <c r="Z16" s="276"/>
      <c r="AA16" s="276"/>
      <c r="AB16" s="276"/>
      <c r="AC16" s="276"/>
      <c r="AD16" s="276"/>
      <c r="AE16" s="276"/>
      <c r="AF16" s="276"/>
      <c r="AG16" s="276"/>
      <c r="AH16" s="276"/>
      <c r="AI16" s="276"/>
      <c r="AJ16" s="276"/>
      <c r="AK16" s="276"/>
      <c r="AL16" s="279"/>
      <c r="AM16" s="279"/>
      <c r="AN16" s="276">
        <f>SUMIF('Calculations Yr 2'!$C$5:$C$400,'Master Data'!$I16,'Calculations Yr 2'!AG$5:AG$400)</f>
        <v>0</v>
      </c>
      <c r="AO16" s="276"/>
      <c r="AP16" s="279"/>
      <c r="AQ16" s="276">
        <f>SUMIF('Calculations Yr 2'!$C$5:$C$400,'Master Data'!$I16,'Calculations Yr 2'!AK$5:AK$400)</f>
        <v>0</v>
      </c>
      <c r="AR16" s="279"/>
      <c r="AS16" s="279"/>
      <c r="AT16" s="270"/>
      <c r="AU16" s="270"/>
      <c r="AV16" s="270"/>
      <c r="AW16" s="270"/>
      <c r="AX16" s="270"/>
      <c r="AY16" s="270"/>
      <c r="AZ16" s="270"/>
      <c r="BA16" s="270"/>
      <c r="BB16" s="270"/>
      <c r="BC16" s="270"/>
      <c r="BD16" s="270"/>
      <c r="BE16" s="270"/>
      <c r="BF16" s="270"/>
      <c r="BG16" s="270"/>
      <c r="BH16" s="270"/>
      <c r="BI16" s="270"/>
      <c r="BJ16" s="270"/>
      <c r="BK16" s="270"/>
    </row>
    <row r="17" spans="1:64" ht="15" customHeight="1">
      <c r="A17" s="280" t="str">
        <f>'Lookups-Assumptions'!D$4</f>
        <v>Gas</v>
      </c>
      <c r="B17" s="280" t="str">
        <f>'Lookups-Assumptions'!D$5</f>
        <v>National Grid</v>
      </c>
      <c r="C17" s="280">
        <v>2017</v>
      </c>
      <c r="D17" s="280"/>
      <c r="E17" s="280"/>
      <c r="F17" s="280" t="str">
        <f>'Lookups-Assumptions'!D$6</f>
        <v>Evaluated</v>
      </c>
      <c r="G17" s="288" t="s">
        <v>239</v>
      </c>
      <c r="H17" s="286" t="s">
        <v>846</v>
      </c>
      <c r="I17" s="287" t="s">
        <v>854</v>
      </c>
      <c r="J17" s="135">
        <f>'Cost Table'!E16</f>
        <v>5122.04</v>
      </c>
      <c r="K17" s="135">
        <f>'Cost Table'!F16</f>
        <v>1210.3499999999999</v>
      </c>
      <c r="L17" s="135">
        <f>'Cost Table'!G16</f>
        <v>1960</v>
      </c>
      <c r="M17" s="135">
        <f>'Cost Table'!H16</f>
        <v>5146.76</v>
      </c>
      <c r="N17" s="135">
        <f>'Cost Table'!I16</f>
        <v>0</v>
      </c>
      <c r="O17" s="136">
        <f t="shared" si="11"/>
        <v>13439.15</v>
      </c>
      <c r="P17" s="842">
        <f t="shared" si="16"/>
        <v>13106.251219036472</v>
      </c>
      <c r="Q17" s="135">
        <f t="shared" si="2"/>
        <v>0</v>
      </c>
      <c r="R17" s="842">
        <v>0</v>
      </c>
      <c r="S17" s="135">
        <f>SUMIF('Calculations Yr 2'!C$5:C$400,$I17,'Calculations Yr 2'!K$5:K$400)</f>
        <v>0</v>
      </c>
      <c r="T17" s="842">
        <f t="shared" si="3"/>
        <v>0</v>
      </c>
      <c r="U17" s="699"/>
      <c r="V17" s="706">
        <f t="shared" si="17"/>
        <v>0</v>
      </c>
      <c r="W17" s="137">
        <f t="shared" si="12"/>
        <v>13439.15</v>
      </c>
      <c r="X17" s="136">
        <f t="shared" si="5"/>
        <v>13439.15</v>
      </c>
      <c r="Y17" s="269"/>
      <c r="Z17" s="276"/>
      <c r="AA17" s="276"/>
      <c r="AB17" s="276"/>
      <c r="AC17" s="276"/>
      <c r="AD17" s="276"/>
      <c r="AE17" s="276"/>
      <c r="AF17" s="276"/>
      <c r="AG17" s="276"/>
      <c r="AH17" s="276"/>
      <c r="AI17" s="276"/>
      <c r="AJ17" s="276"/>
      <c r="AK17" s="276"/>
      <c r="AL17" s="279"/>
      <c r="AM17" s="279"/>
      <c r="AN17" s="276">
        <f>SUMIF('Calculations Yr 2'!$C$5:$C$400,'Master Data'!$I17,'Calculations Yr 2'!AG$5:AG$400)</f>
        <v>0</v>
      </c>
      <c r="AO17" s="276"/>
      <c r="AP17" s="279"/>
      <c r="AQ17" s="276">
        <f>SUMIF('Calculations Yr 2'!$C$5:$C$400,'Master Data'!$I17,'Calculations Yr 2'!AK$5:AK$400)</f>
        <v>0</v>
      </c>
      <c r="AR17" s="279"/>
      <c r="AS17" s="279"/>
      <c r="AT17" s="270"/>
      <c r="AU17" s="270"/>
      <c r="AV17" s="270"/>
      <c r="AW17" s="270"/>
      <c r="AX17" s="270"/>
      <c r="AY17" s="270"/>
      <c r="AZ17" s="270"/>
      <c r="BA17" s="270"/>
      <c r="BB17" s="270"/>
      <c r="BC17" s="270"/>
      <c r="BD17" s="270"/>
      <c r="BE17" s="270"/>
      <c r="BF17" s="270"/>
      <c r="BG17" s="270"/>
      <c r="BH17" s="270"/>
      <c r="BI17" s="270"/>
      <c r="BJ17" s="270"/>
      <c r="BK17" s="270"/>
    </row>
    <row r="18" spans="1:64" ht="15" customHeight="1">
      <c r="A18" s="280" t="str">
        <f>'Lookups-Assumptions'!D$4</f>
        <v>Gas</v>
      </c>
      <c r="B18" s="280" t="str">
        <f>'Lookups-Assumptions'!D$5</f>
        <v>National Grid</v>
      </c>
      <c r="C18" s="280">
        <v>2017</v>
      </c>
      <c r="D18" s="280"/>
      <c r="E18" s="280"/>
      <c r="F18" s="280" t="str">
        <f>'Lookups-Assumptions'!D$6</f>
        <v>Evaluated</v>
      </c>
      <c r="G18" s="288" t="s">
        <v>239</v>
      </c>
      <c r="H18" s="286" t="s">
        <v>846</v>
      </c>
      <c r="I18" s="287" t="s">
        <v>855</v>
      </c>
      <c r="J18" s="135">
        <f>'Cost Table'!E17</f>
        <v>0</v>
      </c>
      <c r="K18" s="135">
        <f>'Cost Table'!F17</f>
        <v>133387.1</v>
      </c>
      <c r="L18" s="135">
        <f>'Cost Table'!G17</f>
        <v>0</v>
      </c>
      <c r="M18" s="135">
        <f>'Cost Table'!H17</f>
        <v>0</v>
      </c>
      <c r="N18" s="135">
        <f>'Cost Table'!I17</f>
        <v>2639.4900000000002</v>
      </c>
      <c r="O18" s="136">
        <f t="shared" si="11"/>
        <v>136026.59</v>
      </c>
      <c r="P18" s="842">
        <f t="shared" si="16"/>
        <v>132657.09966842207</v>
      </c>
      <c r="Q18" s="135">
        <f t="shared" si="2"/>
        <v>0</v>
      </c>
      <c r="R18" s="842">
        <v>0</v>
      </c>
      <c r="S18" s="135">
        <f>SUMIF('Calculations Yr 2'!C$5:C$400,$I18,'Calculations Yr 2'!K$5:K$400)</f>
        <v>0</v>
      </c>
      <c r="T18" s="842">
        <f t="shared" si="3"/>
        <v>0</v>
      </c>
      <c r="U18" s="699"/>
      <c r="V18" s="706">
        <f t="shared" si="17"/>
        <v>0</v>
      </c>
      <c r="W18" s="137">
        <f t="shared" si="12"/>
        <v>136026.59</v>
      </c>
      <c r="X18" s="136">
        <f t="shared" si="5"/>
        <v>136026.59</v>
      </c>
      <c r="Y18" s="269"/>
      <c r="Z18" s="276"/>
      <c r="AA18" s="276"/>
      <c r="AB18" s="276"/>
      <c r="AC18" s="276"/>
      <c r="AD18" s="276"/>
      <c r="AE18" s="276"/>
      <c r="AF18" s="276"/>
      <c r="AG18" s="276"/>
      <c r="AH18" s="276"/>
      <c r="AI18" s="276"/>
      <c r="AJ18" s="276"/>
      <c r="AK18" s="276"/>
      <c r="AL18" s="279"/>
      <c r="AM18" s="279"/>
      <c r="AN18" s="276">
        <f>SUMIF('Calculations Yr 2'!$C$5:$C$400,'Master Data'!$I18,'Calculations Yr 2'!AG$5:AG$400)</f>
        <v>0</v>
      </c>
      <c r="AO18" s="276"/>
      <c r="AP18" s="279"/>
      <c r="AQ18" s="276">
        <f>SUMIF('Calculations Yr 2'!$C$5:$C$400,'Master Data'!$I18,'Calculations Yr 2'!AK$5:AK$400)</f>
        <v>0</v>
      </c>
      <c r="AR18" s="279"/>
      <c r="AS18" s="279"/>
      <c r="AT18" s="270"/>
      <c r="AU18" s="270"/>
      <c r="AV18" s="270"/>
      <c r="AW18" s="270"/>
      <c r="AX18" s="270"/>
      <c r="AY18" s="270"/>
      <c r="AZ18" s="270"/>
      <c r="BA18" s="270"/>
      <c r="BB18" s="270"/>
      <c r="BC18" s="270"/>
      <c r="BD18" s="270"/>
      <c r="BE18" s="270"/>
      <c r="BF18" s="270"/>
      <c r="BG18" s="270"/>
      <c r="BH18" s="270"/>
      <c r="BI18" s="270"/>
      <c r="BJ18" s="270"/>
      <c r="BK18" s="270"/>
    </row>
    <row r="19" spans="1:64" ht="15" customHeight="1">
      <c r="A19" s="280" t="str">
        <f>'Lookups-Assumptions'!D$4</f>
        <v>Gas</v>
      </c>
      <c r="B19" s="280" t="str">
        <f>'Lookups-Assumptions'!D$5</f>
        <v>National Grid</v>
      </c>
      <c r="C19" s="280">
        <v>2017</v>
      </c>
      <c r="D19" s="280"/>
      <c r="E19" s="280"/>
      <c r="F19" s="280" t="str">
        <f>'Lookups-Assumptions'!D$6</f>
        <v>Evaluated</v>
      </c>
      <c r="G19" s="288" t="s">
        <v>1391</v>
      </c>
      <c r="H19" s="286" t="str">
        <f>'Lookups-Assumptions'!D$72</f>
        <v>B1 - Low Income Retrofit</v>
      </c>
      <c r="I19" s="287" t="str">
        <f>'Lookups-Assumptions'!D$85</f>
        <v>B1a - Low-Income Single Family Retrofit</v>
      </c>
      <c r="J19" s="135">
        <f>'Cost Table'!E18</f>
        <v>403932.56012253964</v>
      </c>
      <c r="K19" s="135">
        <f>'Cost Table'!F18</f>
        <v>183444.15118553804</v>
      </c>
      <c r="L19" s="135">
        <f>'Cost Table'!G18</f>
        <v>7240264.5999999996</v>
      </c>
      <c r="M19" s="135">
        <f>'Cost Table'!H18</f>
        <v>1788097.5251198022</v>
      </c>
      <c r="N19" s="135">
        <f>'Cost Table'!I18</f>
        <v>216958.37134607468</v>
      </c>
      <c r="O19" s="136">
        <f t="shared" si="11"/>
        <v>9832697.2077739555</v>
      </c>
      <c r="P19" s="842">
        <f t="shared" si="16"/>
        <v>9589133.22388722</v>
      </c>
      <c r="Q19" s="135">
        <f t="shared" si="2"/>
        <v>315346.46760610235</v>
      </c>
      <c r="R19" s="842">
        <v>307535.07665896462</v>
      </c>
      <c r="S19" s="135">
        <f>SUMIF('Calculations Yr 2'!C$5:C$400,$I19,'Calculations Yr 2'!K$5:K$400)</f>
        <v>0</v>
      </c>
      <c r="T19" s="842">
        <f t="shared" si="3"/>
        <v>0</v>
      </c>
      <c r="U19" s="699"/>
      <c r="V19" s="706">
        <f t="shared" si="17"/>
        <v>0</v>
      </c>
      <c r="W19" s="137">
        <f t="shared" si="12"/>
        <v>10148043.675380059</v>
      </c>
      <c r="X19" s="136">
        <f t="shared" si="5"/>
        <v>10148043.675380059</v>
      </c>
      <c r="Y19" s="138">
        <v>1470</v>
      </c>
      <c r="Z19" s="275">
        <f>SUMIF('Calculations Yr 2'!$C$5:$C$400,'Master Data'!$I19,'Calculations Yr 2'!W$5:W$400)</f>
        <v>165.85599999999999</v>
      </c>
      <c r="AA19" s="275">
        <f>SUMIF('Calculations Yr 2'!$C$5:$C$400,'Master Data'!$I19,'Calculations Yr 2'!Y$5:Y$400)</f>
        <v>345.65</v>
      </c>
      <c r="AB19" s="275">
        <f>SUMIF('Calculations Yr 2'!$C$5:$C$400,'Master Data'!$I19,'Calculations Yr 2'!O$5:O$400)</f>
        <v>409.87599999999998</v>
      </c>
      <c r="AC19" s="275">
        <f>SUMIF('Calculations Yr 2'!$C$5:$C$400,'Master Data'!$I19,'Calculations Yr 2'!M$5:M$400)</f>
        <v>409.87599999999998</v>
      </c>
      <c r="AD19" s="275">
        <f>SUMIF('Calculations Yr 2'!$C$5:$C$400,'Master Data'!$I19,'Calculations Yr 2'!P$5:P$400)</f>
        <v>8144.8879999999999</v>
      </c>
      <c r="AE19" s="275"/>
      <c r="AF19" s="275">
        <f>SUMIF('Calculations Yr 2'!$C$5:$C$400,'Master Data'!$I19,'Calculations Yr 2'!AB$5:AB$400)</f>
        <v>39417.4</v>
      </c>
      <c r="AG19" s="275">
        <f>SUMIF('Calculations Yr 2'!$C$5:$C$400,'Master Data'!$I19,'Calculations Yr 2'!Z$5:Z$400)</f>
        <v>39417.4</v>
      </c>
      <c r="AH19" s="277">
        <f>AF19*10</f>
        <v>394174</v>
      </c>
      <c r="AI19" s="277">
        <f>AG19*10</f>
        <v>394174</v>
      </c>
      <c r="AJ19" s="275">
        <f>SUMIF('Calculations Yr 2'!$C$5:$C$400,'Master Data'!$I19,'Calculations Yr 2'!AC$5:AC$400)*10</f>
        <v>7820138</v>
      </c>
      <c r="AK19" s="275">
        <f>SUMIF('Calculations Yr 2'!$C$5:$C$400,'Master Data'!$I19,'Calculations Yr 2'!AA$5:AA$400)*10</f>
        <v>7820138</v>
      </c>
      <c r="AL19" s="278">
        <f>SUMIF('Calculations Yr 2'!$C$5:$C$400,'Master Data'!$I19,'Calculations Yr 2'!AF$5:AF$400)</f>
        <v>0</v>
      </c>
      <c r="AM19" s="275">
        <f>SUMIF('Calculations Yr 2'!$C$5:$C$400,'Master Data'!$I19,'Calculations Yr 2'!AD$5:AD$400)</f>
        <v>0</v>
      </c>
      <c r="AN19" s="275">
        <f>SUMIF('Calculations Yr 2'!$C$5:$C$400,'Master Data'!$I19,'Calculations Yr 2'!AG$5:AG$400)</f>
        <v>0</v>
      </c>
      <c r="AO19" s="275">
        <f>SUMIF('Calculations Yr 2'!$C$5:$C$400,'Master Data'!$I19,'Calculations Yr 2'!AE$5:AE$400)</f>
        <v>0</v>
      </c>
      <c r="AP19" s="278">
        <f>SUMIF('Calculations Yr 2'!$C$5:$C$400,'Master Data'!$I19,'Calculations Yr 2'!AJ$5:AJ$400)</f>
        <v>0</v>
      </c>
      <c r="AQ19" s="275">
        <f>SUMIF('Calculations Yr 2'!$C$5:$C$400,'Master Data'!$I19,'Calculations Yr 2'!AK$5:AK$400)</f>
        <v>0</v>
      </c>
      <c r="AR19" s="278">
        <f>SUMIF('Calculations Yr 2'!$C$5:$C$465,'Master Data'!$I19,'Calculations Yr 2'!AL$5:AL$465)+SUMIF('Calculations Yr 2'!$C$5:$C$465,'Master Data'!$I19,'Calculations Yr 2'!AM$5:AM$465)+SUMIF('Calculations Yr 2'!$C$5:$C$465,'Master Data'!$I19,'Calculations Yr 2'!AN$5:AN$465)</f>
        <v>0</v>
      </c>
      <c r="AS19" s="275">
        <f>SUMIF('Calculations Yr 2'!$C$5:$C$400,'Master Data'!$I19,'Calculations Yr 2'!AO$5:AO$400)</f>
        <v>0</v>
      </c>
      <c r="AT19" s="139">
        <f>SUMIF('Calculations Yr 2'!$C$5:$C$400,'Master Data'!$I19,'Calculations Yr 2'!AT$5:AT$400)</f>
        <v>688677.68374979601</v>
      </c>
      <c r="AU19" s="139">
        <f>SUMIF('Calculations Yr 2'!$C$5:$C$400,'Master Data'!$I19,'Calculations Yr 2'!BA$5:BA$400)</f>
        <v>36524.064597195029</v>
      </c>
      <c r="AV19" s="140">
        <f t="shared" si="7"/>
        <v>725201.74834699102</v>
      </c>
      <c r="AW19" s="139">
        <f>SUMIF('Calculations Yr 2'!$C$5:$C$400,'Master Data'!$I19,'Calculations Yr 2'!BC$5:BC$400)</f>
        <v>1228156.6698636075</v>
      </c>
      <c r="AX19" s="139">
        <f>SUMIF('Calculations Yr 2'!$C$5:$C$400,'Master Data'!$I19,'Calculations Yr 2'!BF$5:BF$400)</f>
        <v>79039.796439215585</v>
      </c>
      <c r="AY19" s="139">
        <f>SUMIF('Calculations Yr 2'!$C$5:$C$400,'Master Data'!$I19,'Calculations Yr 2'!BG$5:BG$400)</f>
        <v>620372.24258422351</v>
      </c>
      <c r="AZ19" s="139">
        <f>SUMIF('Calculations Yr 2'!$C$5:$C$400,'Master Data'!$I19,'Calculations Yr 2'!BE$5:BE$400)</f>
        <v>0</v>
      </c>
      <c r="BA19" s="140">
        <f t="shared" si="8"/>
        <v>1927568.7088870467</v>
      </c>
      <c r="BB19" s="139">
        <f>SUMIF('Calculations Yr 2'!$C$5:$C$400,'Master Data'!$I19,'Calculations Yr 2'!BQ$5:BQ$400)</f>
        <v>6771565.2719979743</v>
      </c>
      <c r="BC19" s="139">
        <f>SUMIF('Calculations Yr 2'!$C$5:$C$400,'Master Data'!$I19,'Calculations Yr 2'!BZ$5:BZ$400)</f>
        <v>425245.74121863674</v>
      </c>
      <c r="BD19" s="140">
        <f t="shared" si="9"/>
        <v>7196811.013216611</v>
      </c>
      <c r="BE19" s="275">
        <f>SUMIF('Calculations Yr 2'!$C$5:$C$400,'Master Data'!$I19,'Calculations Yr 2'!CB$5:CB$400)+SUMIF('Calculations Yr 2'!$C$5:$C$400,'Master Data'!$I19,'Calculations Yr 2'!CC$5:CC$400)</f>
        <v>0</v>
      </c>
      <c r="BF19" s="139">
        <f>SUMIF('Calculations Yr 2'!$C$5:$C$400,'Master Data'!$I19,'Calculations Yr 2'!CD$5:CD$400)</f>
        <v>0</v>
      </c>
      <c r="BG19" s="139">
        <f>SUMIF('Calculations Yr 2'!$C$5:$C$465,'Master Data'!$I19,'Calculations Yr 2'!CE$5:CE$465)+SUMIF('Calculations Yr 2'!$C$5:$C$465,'Master Data'!$I19,'Calculations Yr 2'!CF$5:CF$465)+SUMIF('Calculations Yr 2'!$C$5:$C$465,'Master Data'!$I19,'Calculations Yr 2'!CG$5:CG$465)</f>
        <v>0</v>
      </c>
      <c r="BH19" s="140">
        <f t="shared" si="13"/>
        <v>0</v>
      </c>
      <c r="BI19" s="140">
        <f t="shared" si="14"/>
        <v>9849581.470450649</v>
      </c>
      <c r="BJ19" s="139">
        <f>SUMIF('Calculations Yr 2'!$C$5:$C$400,'Master Data'!$I19,'Calculations Yr 2'!CO$5:CO$400)</f>
        <v>15868461.661136344</v>
      </c>
      <c r="BK19" s="140">
        <f t="shared" si="10"/>
        <v>25718043.131586991</v>
      </c>
    </row>
    <row r="20" spans="1:64" ht="15" customHeight="1">
      <c r="A20" s="280" t="str">
        <f>'Lookups-Assumptions'!D$4</f>
        <v>Gas</v>
      </c>
      <c r="B20" s="280" t="str">
        <f>'Lookups-Assumptions'!D$5</f>
        <v>National Grid</v>
      </c>
      <c r="C20" s="280">
        <v>2017</v>
      </c>
      <c r="D20" s="280"/>
      <c r="E20" s="280"/>
      <c r="F20" s="280" t="str">
        <f>'Lookups-Assumptions'!D$6</f>
        <v>Evaluated</v>
      </c>
      <c r="G20" s="288" t="s">
        <v>1391</v>
      </c>
      <c r="H20" s="286" t="str">
        <f>'Lookups-Assumptions'!D$72</f>
        <v>B1 - Low Income Retrofit</v>
      </c>
      <c r="I20" s="287" t="str">
        <f>'Lookups-Assumptions'!D$86</f>
        <v>B1b - Low-Income Multi-Family Retrofit</v>
      </c>
      <c r="J20" s="135">
        <f>'Cost Table'!E19</f>
        <v>382467.64559154818</v>
      </c>
      <c r="K20" s="135">
        <f>'Cost Table'!F19</f>
        <v>97061.042237919595</v>
      </c>
      <c r="L20" s="135">
        <f>'Cost Table'!G19</f>
        <v>14260215.330000002</v>
      </c>
      <c r="M20" s="135">
        <f>'Cost Table'!H19</f>
        <v>2582921.3159371112</v>
      </c>
      <c r="N20" s="135">
        <f>'Cost Table'!I19</f>
        <v>188427.0065190859</v>
      </c>
      <c r="O20" s="136">
        <f t="shared" si="11"/>
        <v>17511092.340285666</v>
      </c>
      <c r="P20" s="842">
        <f t="shared" si="16"/>
        <v>17077328.203906443</v>
      </c>
      <c r="Q20" s="135">
        <f t="shared" si="2"/>
        <v>351199.41174710693</v>
      </c>
      <c r="R20" s="842">
        <v>342499.91393320356</v>
      </c>
      <c r="S20" s="135">
        <f>SUMIF('Calculations Yr 2'!C$5:C$400,$I20,'Calculations Yr 2'!K$5:K$400)</f>
        <v>0</v>
      </c>
      <c r="T20" s="842">
        <f t="shared" si="3"/>
        <v>0</v>
      </c>
      <c r="U20" s="699"/>
      <c r="V20" s="706">
        <f t="shared" si="17"/>
        <v>0</v>
      </c>
      <c r="W20" s="137">
        <f t="shared" si="12"/>
        <v>17862291.752032772</v>
      </c>
      <c r="X20" s="136">
        <f t="shared" si="5"/>
        <v>17862291.752032772</v>
      </c>
      <c r="Y20" s="138">
        <v>5325</v>
      </c>
      <c r="Z20" s="275">
        <f>SUMIF('Calculations Yr 2'!$C$5:$C$400,'Master Data'!$I20,'Calculations Yr 2'!W$5:W$400)</f>
        <v>0</v>
      </c>
      <c r="AA20" s="275">
        <f>SUMIF('Calculations Yr 2'!$C$5:$C$400,'Master Data'!$I20,'Calculations Yr 2'!Y$5:Y$400)</f>
        <v>0</v>
      </c>
      <c r="AB20" s="275">
        <f>SUMIF('Calculations Yr 2'!$C$5:$C$400,'Master Data'!$I20,'Calculations Yr 2'!O$5:O$400)</f>
        <v>0</v>
      </c>
      <c r="AC20" s="275">
        <f>SUMIF('Calculations Yr 2'!$C$5:$C$400,'Master Data'!$I20,'Calculations Yr 2'!M$5:M$400)</f>
        <v>0</v>
      </c>
      <c r="AD20" s="275">
        <f>SUMIF('Calculations Yr 2'!$C$5:$C$400,'Master Data'!$I20,'Calculations Yr 2'!P$5:P$400)</f>
        <v>0</v>
      </c>
      <c r="AE20" s="275"/>
      <c r="AF20" s="275">
        <f>SUMIF('Calculations Yr 2'!$C$5:$C$400,'Master Data'!$I20,'Calculations Yr 2'!AB$5:AB$400)</f>
        <v>89359.416872000031</v>
      </c>
      <c r="AG20" s="275">
        <f>SUMIF('Calculations Yr 2'!$C$5:$C$400,'Master Data'!$I20,'Calculations Yr 2'!Z$5:Z$400)</f>
        <v>89359.416872000031</v>
      </c>
      <c r="AH20" s="277">
        <f>AF20*10</f>
        <v>893594.16872000031</v>
      </c>
      <c r="AI20" s="277">
        <f>AG20*10</f>
        <v>893594.16872000031</v>
      </c>
      <c r="AJ20" s="275">
        <f>SUMIF('Calculations Yr 2'!$C$5:$C$400,'Master Data'!$I20,'Calculations Yr 2'!AC$5:AC$400)*10</f>
        <v>17712195.725259997</v>
      </c>
      <c r="AK20" s="275">
        <f>SUMIF('Calculations Yr 2'!$C$5:$C$400,'Master Data'!$I20,'Calculations Yr 2'!AA$5:AA$400)*10</f>
        <v>17712195.725259997</v>
      </c>
      <c r="AL20" s="278">
        <f>SUMIF('Calculations Yr 2'!$C$5:$C$400,'Master Data'!$I20,'Calculations Yr 2'!AF$5:AF$400)</f>
        <v>0</v>
      </c>
      <c r="AM20" s="275">
        <f>SUMIF('Calculations Yr 2'!$C$5:$C$400,'Master Data'!$I20,'Calculations Yr 2'!AD$5:AD$400)</f>
        <v>0</v>
      </c>
      <c r="AN20" s="275">
        <f>SUMIF('Calculations Yr 2'!$C$5:$C$400,'Master Data'!$I20,'Calculations Yr 2'!AG$5:AG$400)</f>
        <v>0</v>
      </c>
      <c r="AO20" s="275">
        <f>SUMIF('Calculations Yr 2'!$C$5:$C$400,'Master Data'!$I20,'Calculations Yr 2'!AE$5:AE$400)</f>
        <v>0</v>
      </c>
      <c r="AP20" s="278">
        <f>SUMIF('Calculations Yr 2'!$C$5:$C$400,'Master Data'!$I20,'Calculations Yr 2'!AJ$5:AJ$400)</f>
        <v>0</v>
      </c>
      <c r="AQ20" s="275">
        <f>SUMIF('Calculations Yr 2'!$C$5:$C$400,'Master Data'!$I20,'Calculations Yr 2'!AK$5:AK$400)</f>
        <v>0</v>
      </c>
      <c r="AR20" s="278">
        <f>SUMIF('Calculations Yr 2'!$C$5:$C$465,'Master Data'!$I20,'Calculations Yr 2'!AL$5:AL$465)+SUMIF('Calculations Yr 2'!$C$5:$C$465,'Master Data'!$I20,'Calculations Yr 2'!AM$5:AM$465)+SUMIF('Calculations Yr 2'!$C$5:$C$465,'Master Data'!$I20,'Calculations Yr 2'!AN$5:AN$465)</f>
        <v>1925166</v>
      </c>
      <c r="AS20" s="275">
        <f>SUMIF('Calculations Yr 2'!$C$5:$C$400,'Master Data'!$I20,'Calculations Yr 2'!AO$5:AO$400)</f>
        <v>13476162</v>
      </c>
      <c r="AT20" s="139">
        <f>SUMIF('Calculations Yr 2'!$C$5:$C$400,'Master Data'!$I20,'Calculations Yr 2'!AT$5:AT$400)</f>
        <v>0</v>
      </c>
      <c r="AU20" s="139">
        <f>SUMIF('Calculations Yr 2'!$C$5:$C$400,'Master Data'!$I20,'Calculations Yr 2'!BA$5:BA$400)</f>
        <v>0</v>
      </c>
      <c r="AV20" s="140">
        <f t="shared" si="7"/>
        <v>0</v>
      </c>
      <c r="AW20" s="139">
        <f>SUMIF('Calculations Yr 2'!$C$5:$C$400,'Master Data'!$I20,'Calculations Yr 2'!BC$5:BC$400)</f>
        <v>0</v>
      </c>
      <c r="AX20" s="139">
        <f>SUMIF('Calculations Yr 2'!$C$5:$C$400,'Master Data'!$I20,'Calculations Yr 2'!BF$5:BF$400)</f>
        <v>0</v>
      </c>
      <c r="AY20" s="139">
        <f>SUMIF('Calculations Yr 2'!$C$5:$C$400,'Master Data'!$I20,'Calculations Yr 2'!BG$5:BG$400)</f>
        <v>0</v>
      </c>
      <c r="AZ20" s="139">
        <f>SUMIF('Calculations Yr 2'!$C$5:$C$400,'Master Data'!$I20,'Calculations Yr 2'!BE$5:BE$400)</f>
        <v>0</v>
      </c>
      <c r="BA20" s="140">
        <f t="shared" si="8"/>
        <v>0</v>
      </c>
      <c r="BB20" s="139">
        <f>SUMIF('Calculations Yr 2'!$C$5:$C$400,'Master Data'!$I20,'Calculations Yr 2'!BQ$5:BQ$400)</f>
        <v>15206161.008296177</v>
      </c>
      <c r="BC20" s="139">
        <f>SUMIF('Calculations Yr 2'!$C$5:$C$400,'Master Data'!$I20,'Calculations Yr 2'!BZ$5:BZ$400)</f>
        <v>977642.48595200188</v>
      </c>
      <c r="BD20" s="140">
        <f t="shared" si="9"/>
        <v>16183803.494248178</v>
      </c>
      <c r="BE20" s="275">
        <f>SUMIF('Calculations Yr 2'!$C$5:$C$400,'Master Data'!$I20,'Calculations Yr 2'!CB$5:CB$400)+SUMIF('Calculations Yr 2'!$C$5:$C$400,'Master Data'!$I20,'Calculations Yr 2'!CC$5:CC$400)</f>
        <v>0</v>
      </c>
      <c r="BF20" s="139">
        <f>SUMIF('Calculations Yr 2'!$C$5:$C$400,'Master Data'!$I20,'Calculations Yr 2'!CD$5:CD$400)</f>
        <v>0</v>
      </c>
      <c r="BG20" s="139">
        <f>SUMIF('Calculations Yr 2'!$C$5:$C$465,'Master Data'!$I20,'Calculations Yr 2'!CE$5:CE$465)+SUMIF('Calculations Yr 2'!$C$5:$C$465,'Master Data'!$I20,'Calculations Yr 2'!CF$5:CF$465)+SUMIF('Calculations Yr 2'!$C$5:$C$465,'Master Data'!$I20,'Calculations Yr 2'!CG$5:CG$465)</f>
        <v>143769.05947120211</v>
      </c>
      <c r="BH20" s="140">
        <f t="shared" si="13"/>
        <v>143769.05947120211</v>
      </c>
      <c r="BI20" s="140">
        <f t="shared" si="14"/>
        <v>16327572.553719381</v>
      </c>
      <c r="BJ20" s="139">
        <f>SUMIF('Calculations Yr 2'!$C$5:$C$400,'Master Data'!$I20,'Calculations Yr 2'!CO$5:CO$400)</f>
        <v>15861372.940138355</v>
      </c>
      <c r="BK20" s="140">
        <f t="shared" si="10"/>
        <v>32188945.493857734</v>
      </c>
    </row>
    <row r="21" spans="1:64" ht="15" customHeight="1">
      <c r="A21" s="280" t="str">
        <f>'Lookups-Assumptions'!D$4</f>
        <v>Gas</v>
      </c>
      <c r="B21" s="280" t="str">
        <f>'Lookups-Assumptions'!D$5</f>
        <v>National Grid</v>
      </c>
      <c r="C21" s="280">
        <v>2017</v>
      </c>
      <c r="D21" s="280"/>
      <c r="E21" s="280"/>
      <c r="F21" s="280" t="str">
        <f>'Lookups-Assumptions'!D$6</f>
        <v>Evaluated</v>
      </c>
      <c r="G21" s="288" t="s">
        <v>1391</v>
      </c>
      <c r="H21" s="286" t="s">
        <v>856</v>
      </c>
      <c r="I21" s="287" t="s">
        <v>857</v>
      </c>
      <c r="J21" s="135">
        <f>'Cost Table'!E20</f>
        <v>0</v>
      </c>
      <c r="K21" s="135">
        <f>'Cost Table'!F20</f>
        <v>200835.31</v>
      </c>
      <c r="L21" s="135">
        <f>'Cost Table'!G20</f>
        <v>0</v>
      </c>
      <c r="M21" s="135">
        <f>'Cost Table'!H20</f>
        <v>0</v>
      </c>
      <c r="N21" s="135">
        <f>'Cost Table'!I20</f>
        <v>0</v>
      </c>
      <c r="O21" s="136">
        <f t="shared" si="11"/>
        <v>200835.31</v>
      </c>
      <c r="P21" s="842">
        <f t="shared" si="16"/>
        <v>195860.45445679734</v>
      </c>
      <c r="Q21" s="135">
        <f t="shared" si="2"/>
        <v>0</v>
      </c>
      <c r="R21" s="842">
        <v>0</v>
      </c>
      <c r="S21" s="135">
        <f>SUMIF('Calculations Yr 2'!C$5:C$400,$I21,'Calculations Yr 2'!K$5:K$400)</f>
        <v>0</v>
      </c>
      <c r="T21" s="842">
        <f t="shared" si="3"/>
        <v>0</v>
      </c>
      <c r="U21" s="699"/>
      <c r="V21" s="706">
        <f t="shared" si="17"/>
        <v>0</v>
      </c>
      <c r="W21" s="137">
        <f t="shared" si="12"/>
        <v>200835.31</v>
      </c>
      <c r="X21" s="136">
        <f t="shared" si="5"/>
        <v>200835.31</v>
      </c>
      <c r="Y21" s="269"/>
      <c r="Z21" s="276"/>
      <c r="AA21" s="276"/>
      <c r="AB21" s="276"/>
      <c r="AC21" s="276"/>
      <c r="AD21" s="276"/>
      <c r="AE21" s="276"/>
      <c r="AF21" s="276"/>
      <c r="AG21" s="276"/>
      <c r="AH21" s="276"/>
      <c r="AI21" s="276"/>
      <c r="AJ21" s="276"/>
      <c r="AK21" s="276"/>
      <c r="AL21" s="279"/>
      <c r="AM21" s="279"/>
      <c r="AN21" s="276">
        <f>SUMIF('Calculations Yr 2'!$C$5:$C$400,'Master Data'!$I21,'Calculations Yr 2'!AG$5:AG$400)</f>
        <v>0</v>
      </c>
      <c r="AO21" s="276"/>
      <c r="AP21" s="279"/>
      <c r="AQ21" s="276">
        <f>SUMIF('Calculations Yr 2'!$C$5:$C$400,'Master Data'!$I21,'Calculations Yr 2'!AK$5:AK$400)</f>
        <v>0</v>
      </c>
      <c r="AR21" s="279"/>
      <c r="AS21" s="279"/>
      <c r="AT21" s="270"/>
      <c r="AU21" s="270"/>
      <c r="AV21" s="270"/>
      <c r="AW21" s="270"/>
      <c r="AX21" s="270"/>
      <c r="AY21" s="270"/>
      <c r="AZ21" s="270"/>
      <c r="BA21" s="270"/>
      <c r="BB21" s="270"/>
      <c r="BC21" s="270"/>
      <c r="BD21" s="270"/>
      <c r="BE21" s="270"/>
      <c r="BF21" s="270"/>
      <c r="BG21" s="270"/>
      <c r="BH21" s="270"/>
      <c r="BI21" s="270"/>
      <c r="BJ21" s="270"/>
      <c r="BK21" s="270"/>
    </row>
    <row r="22" spans="1:64" s="696" customFormat="1" ht="15" customHeight="1">
      <c r="A22" s="280" t="str">
        <f>'Lookups-Assumptions'!D$4</f>
        <v>Gas</v>
      </c>
      <c r="B22" s="280" t="str">
        <f>'Lookups-Assumptions'!D$5</f>
        <v>National Grid</v>
      </c>
      <c r="C22" s="280">
        <v>2017</v>
      </c>
      <c r="D22" s="280"/>
      <c r="E22" s="280"/>
      <c r="F22" s="280" t="str">
        <f>'Lookups-Assumptions'!D$6</f>
        <v>Evaluated</v>
      </c>
      <c r="G22" s="288" t="s">
        <v>1391</v>
      </c>
      <c r="H22" s="286" t="s">
        <v>856</v>
      </c>
      <c r="I22" s="287" t="s">
        <v>858</v>
      </c>
      <c r="J22" s="135">
        <f>'Cost Table'!E21</f>
        <v>593.81000000000006</v>
      </c>
      <c r="K22" s="135">
        <f>'Cost Table'!F21</f>
        <v>0</v>
      </c>
      <c r="L22" s="135">
        <f>'Cost Table'!G21</f>
        <v>0</v>
      </c>
      <c r="M22" s="135">
        <f>'Cost Table'!H21</f>
        <v>0</v>
      </c>
      <c r="N22" s="135">
        <f>'Cost Table'!I21</f>
        <v>0</v>
      </c>
      <c r="O22" s="136">
        <f t="shared" ref="O22:O23" si="20">SUM(J22:N22)</f>
        <v>593.81000000000006</v>
      </c>
      <c r="P22" s="842">
        <f t="shared" si="16"/>
        <v>579.10083869709388</v>
      </c>
      <c r="Q22" s="135">
        <f t="shared" si="2"/>
        <v>0</v>
      </c>
      <c r="R22" s="842">
        <v>0</v>
      </c>
      <c r="S22" s="135">
        <f>SUMIF('Calculations Yr 2'!C$5:C$400,$I22,'Calculations Yr 2'!K$5:K$400)</f>
        <v>0</v>
      </c>
      <c r="T22" s="842">
        <f t="shared" si="3"/>
        <v>0</v>
      </c>
      <c r="U22" s="699"/>
      <c r="V22" s="706">
        <f t="shared" si="17"/>
        <v>0</v>
      </c>
      <c r="W22" s="137">
        <f t="shared" ref="W22:W23" si="21">SUM(O22,Q22,S22,U22)</f>
        <v>593.81000000000006</v>
      </c>
      <c r="X22" s="136">
        <f t="shared" ref="X22:X23" si="22">W22</f>
        <v>593.81000000000006</v>
      </c>
      <c r="Y22" s="269"/>
      <c r="Z22" s="276"/>
      <c r="AA22" s="276"/>
      <c r="AB22" s="276"/>
      <c r="AC22" s="276"/>
      <c r="AD22" s="276"/>
      <c r="AE22" s="276"/>
      <c r="AF22" s="276"/>
      <c r="AG22" s="276"/>
      <c r="AH22" s="276"/>
      <c r="AI22" s="276"/>
      <c r="AJ22" s="276"/>
      <c r="AK22" s="276"/>
      <c r="AL22" s="279"/>
      <c r="AM22" s="279"/>
      <c r="AN22" s="276">
        <f>SUMIF('Calculations Yr 2'!$C$5:$C$400,'Master Data'!$I22,'Calculations Yr 2'!AG$5:AG$400)</f>
        <v>0</v>
      </c>
      <c r="AO22" s="276"/>
      <c r="AP22" s="279"/>
      <c r="AQ22" s="276">
        <f>SUMIF('Calculations Yr 2'!$C$5:$C$400,'Master Data'!$I22,'Calculations Yr 2'!AK$5:AK$400)</f>
        <v>0</v>
      </c>
      <c r="AR22" s="279"/>
      <c r="AS22" s="279"/>
      <c r="AT22" s="270"/>
      <c r="AU22" s="270"/>
      <c r="AV22" s="270"/>
      <c r="AW22" s="270"/>
      <c r="AX22" s="270"/>
      <c r="AY22" s="270"/>
      <c r="AZ22" s="270"/>
      <c r="BA22" s="270"/>
      <c r="BB22" s="270"/>
      <c r="BC22" s="270"/>
      <c r="BD22" s="270"/>
      <c r="BE22" s="270"/>
      <c r="BF22" s="270"/>
      <c r="BG22" s="270"/>
      <c r="BH22" s="270"/>
      <c r="BI22" s="270"/>
      <c r="BJ22" s="270"/>
      <c r="BK22" s="270"/>
    </row>
    <row r="23" spans="1:64" s="696" customFormat="1" ht="15" customHeight="1">
      <c r="A23" s="280" t="str">
        <f>'Lookups-Assumptions'!D$4</f>
        <v>Gas</v>
      </c>
      <c r="B23" s="280" t="str">
        <f>'Lookups-Assumptions'!D$5</f>
        <v>National Grid</v>
      </c>
      <c r="C23" s="280">
        <v>2017</v>
      </c>
      <c r="D23" s="280"/>
      <c r="E23" s="280"/>
      <c r="F23" s="280" t="str">
        <f>'Lookups-Assumptions'!D$6</f>
        <v>Evaluated</v>
      </c>
      <c r="G23" s="288" t="s">
        <v>1391</v>
      </c>
      <c r="H23" s="286" t="s">
        <v>856</v>
      </c>
      <c r="I23" s="287" t="s">
        <v>859</v>
      </c>
      <c r="J23" s="135">
        <f>'Cost Table'!E22</f>
        <v>129998.34</v>
      </c>
      <c r="K23" s="135">
        <f>'Cost Table'!F22</f>
        <v>0</v>
      </c>
      <c r="L23" s="135">
        <f>'Cost Table'!G22</f>
        <v>0</v>
      </c>
      <c r="M23" s="135">
        <f>'Cost Table'!H22</f>
        <v>0</v>
      </c>
      <c r="N23" s="135">
        <f>'Cost Table'!I22</f>
        <v>0</v>
      </c>
      <c r="O23" s="136">
        <f t="shared" si="20"/>
        <v>129998.34</v>
      </c>
      <c r="P23" s="842">
        <f t="shared" si="16"/>
        <v>126778.17437097717</v>
      </c>
      <c r="Q23" s="135">
        <f t="shared" si="2"/>
        <v>0</v>
      </c>
      <c r="R23" s="842">
        <v>0</v>
      </c>
      <c r="S23" s="135">
        <f>SUMIF('Calculations Yr 2'!C$5:C$400,$I23,'Calculations Yr 2'!K$5:K$400)</f>
        <v>0</v>
      </c>
      <c r="T23" s="842">
        <f t="shared" si="3"/>
        <v>0</v>
      </c>
      <c r="U23" s="699"/>
      <c r="V23" s="706">
        <f t="shared" si="17"/>
        <v>0</v>
      </c>
      <c r="W23" s="137">
        <f t="shared" si="21"/>
        <v>129998.34</v>
      </c>
      <c r="X23" s="136">
        <f t="shared" si="22"/>
        <v>129998.34</v>
      </c>
      <c r="Y23" s="269"/>
      <c r="Z23" s="276"/>
      <c r="AA23" s="276"/>
      <c r="AB23" s="276"/>
      <c r="AC23" s="276"/>
      <c r="AD23" s="276"/>
      <c r="AE23" s="276"/>
      <c r="AF23" s="276"/>
      <c r="AG23" s="276"/>
      <c r="AH23" s="276"/>
      <c r="AI23" s="276"/>
      <c r="AJ23" s="276"/>
      <c r="AK23" s="276"/>
      <c r="AL23" s="279"/>
      <c r="AM23" s="279"/>
      <c r="AN23" s="276">
        <f>SUMIF('Calculations Yr 2'!$C$5:$C$400,'Master Data'!$I23,'Calculations Yr 2'!AG$5:AG$400)</f>
        <v>0</v>
      </c>
      <c r="AO23" s="276"/>
      <c r="AP23" s="279"/>
      <c r="AQ23" s="276">
        <f>SUMIF('Calculations Yr 2'!$C$5:$C$400,'Master Data'!$I23,'Calculations Yr 2'!AK$5:AK$400)</f>
        <v>0</v>
      </c>
      <c r="AR23" s="279"/>
      <c r="AS23" s="279"/>
      <c r="AT23" s="270"/>
      <c r="AU23" s="270"/>
      <c r="AV23" s="270"/>
      <c r="AW23" s="270"/>
      <c r="AX23" s="270"/>
      <c r="AY23" s="270"/>
      <c r="AZ23" s="270"/>
      <c r="BA23" s="270"/>
      <c r="BB23" s="270"/>
      <c r="BC23" s="270"/>
      <c r="BD23" s="270"/>
      <c r="BE23" s="270"/>
      <c r="BF23" s="270"/>
      <c r="BG23" s="270"/>
      <c r="BH23" s="270"/>
      <c r="BI23" s="270"/>
      <c r="BJ23" s="270"/>
      <c r="BK23" s="270"/>
    </row>
    <row r="24" spans="1:64" ht="15" customHeight="1">
      <c r="A24" s="280" t="str">
        <f>'Lookups-Assumptions'!D$4</f>
        <v>Gas</v>
      </c>
      <c r="B24" s="280" t="str">
        <f>'Lookups-Assumptions'!D$5</f>
        <v>National Grid</v>
      </c>
      <c r="C24" s="280">
        <v>2017</v>
      </c>
      <c r="D24" s="280"/>
      <c r="E24" s="280"/>
      <c r="F24" s="280" t="str">
        <f>'Lookups-Assumptions'!D$6</f>
        <v>Evaluated</v>
      </c>
      <c r="G24" s="288" t="s">
        <v>1391</v>
      </c>
      <c r="H24" s="286" t="s">
        <v>856</v>
      </c>
      <c r="I24" s="287" t="s">
        <v>860</v>
      </c>
      <c r="J24" s="135">
        <f>'Cost Table'!E23</f>
        <v>76416.05</v>
      </c>
      <c r="K24" s="135">
        <f>'Cost Table'!F23</f>
        <v>0</v>
      </c>
      <c r="L24" s="135">
        <f>'Cost Table'!G23</f>
        <v>0</v>
      </c>
      <c r="M24" s="135">
        <f>'Cost Table'!H23</f>
        <v>0</v>
      </c>
      <c r="N24" s="135">
        <f>'Cost Table'!I23</f>
        <v>0</v>
      </c>
      <c r="O24" s="136">
        <f t="shared" si="11"/>
        <v>76416.05</v>
      </c>
      <c r="P24" s="842">
        <f t="shared" si="16"/>
        <v>74523.161692997848</v>
      </c>
      <c r="Q24" s="135">
        <f t="shared" si="2"/>
        <v>0</v>
      </c>
      <c r="R24" s="842">
        <v>0</v>
      </c>
      <c r="S24" s="135">
        <f>SUMIF('Calculations Yr 2'!C$5:C$400,$I24,'Calculations Yr 2'!K$5:K$400)</f>
        <v>0</v>
      </c>
      <c r="T24" s="842">
        <f t="shared" si="3"/>
        <v>0</v>
      </c>
      <c r="U24" s="699"/>
      <c r="V24" s="706">
        <f t="shared" si="17"/>
        <v>0</v>
      </c>
      <c r="W24" s="137">
        <f t="shared" si="12"/>
        <v>76416.05</v>
      </c>
      <c r="X24" s="136">
        <f t="shared" si="5"/>
        <v>76416.05</v>
      </c>
      <c r="Y24" s="269"/>
      <c r="Z24" s="276"/>
      <c r="AA24" s="276"/>
      <c r="AB24" s="276"/>
      <c r="AC24" s="276"/>
      <c r="AD24" s="276"/>
      <c r="AE24" s="276"/>
      <c r="AF24" s="276"/>
      <c r="AG24" s="276"/>
      <c r="AH24" s="276"/>
      <c r="AI24" s="276"/>
      <c r="AJ24" s="276"/>
      <c r="AK24" s="276"/>
      <c r="AL24" s="279"/>
      <c r="AM24" s="279"/>
      <c r="AN24" s="276">
        <f>SUMIF('Calculations Yr 2'!$C$5:$C$400,'Master Data'!$I24,'Calculations Yr 2'!AG$5:AG$400)</f>
        <v>0</v>
      </c>
      <c r="AO24" s="276"/>
      <c r="AP24" s="279"/>
      <c r="AQ24" s="276">
        <f>SUMIF('Calculations Yr 2'!$C$5:$C$400,'Master Data'!$I24,'Calculations Yr 2'!AK$5:AK$400)</f>
        <v>0</v>
      </c>
      <c r="AR24" s="279"/>
      <c r="AS24" s="279"/>
      <c r="AT24" s="270"/>
      <c r="AU24" s="270"/>
      <c r="AV24" s="270"/>
      <c r="AW24" s="270"/>
      <c r="AX24" s="270"/>
      <c r="AY24" s="270"/>
      <c r="AZ24" s="270"/>
      <c r="BA24" s="270"/>
      <c r="BB24" s="270"/>
      <c r="BC24" s="270"/>
      <c r="BD24" s="270"/>
      <c r="BE24" s="270"/>
      <c r="BF24" s="270"/>
      <c r="BG24" s="270"/>
      <c r="BH24" s="270"/>
      <c r="BI24" s="270"/>
      <c r="BJ24" s="270"/>
      <c r="BK24" s="270"/>
    </row>
    <row r="25" spans="1:64" ht="15" customHeight="1">
      <c r="A25" s="280" t="str">
        <f>'Lookups-Assumptions'!D$4</f>
        <v>Gas</v>
      </c>
      <c r="B25" s="280" t="str">
        <f>'Lookups-Assumptions'!D$5</f>
        <v>National Grid</v>
      </c>
      <c r="C25" s="280">
        <v>2017</v>
      </c>
      <c r="D25" s="280"/>
      <c r="E25" s="280"/>
      <c r="F25" s="280" t="str">
        <f>'Lookups-Assumptions'!D$6</f>
        <v>Evaluated</v>
      </c>
      <c r="G25" s="288" t="s">
        <v>1391</v>
      </c>
      <c r="H25" s="286" t="s">
        <v>856</v>
      </c>
      <c r="I25" s="287" t="s">
        <v>861</v>
      </c>
      <c r="J25" s="135">
        <f>'Cost Table'!E24</f>
        <v>12418.48</v>
      </c>
      <c r="K25" s="135">
        <f>'Cost Table'!F24</f>
        <v>1397.52</v>
      </c>
      <c r="L25" s="135">
        <f>'Cost Table'!G24</f>
        <v>0</v>
      </c>
      <c r="M25" s="135">
        <f>'Cost Table'!H24</f>
        <v>0</v>
      </c>
      <c r="N25" s="135">
        <f>'Cost Table'!I24</f>
        <v>465.84</v>
      </c>
      <c r="O25" s="136">
        <f t="shared" si="11"/>
        <v>14281.84</v>
      </c>
      <c r="P25" s="842">
        <f t="shared" si="16"/>
        <v>13928.067095767505</v>
      </c>
      <c r="Q25" s="135">
        <f t="shared" si="2"/>
        <v>0</v>
      </c>
      <c r="R25" s="842">
        <v>0</v>
      </c>
      <c r="S25" s="135">
        <f>SUMIF('Calculations Yr 2'!C$5:C$400,$I25,'Calculations Yr 2'!K$5:K$400)</f>
        <v>0</v>
      </c>
      <c r="T25" s="842">
        <f t="shared" si="3"/>
        <v>0</v>
      </c>
      <c r="U25" s="699"/>
      <c r="V25" s="706">
        <f t="shared" si="17"/>
        <v>0</v>
      </c>
      <c r="W25" s="137">
        <f t="shared" si="12"/>
        <v>14281.84</v>
      </c>
      <c r="X25" s="136">
        <f t="shared" si="5"/>
        <v>14281.84</v>
      </c>
      <c r="Y25" s="269"/>
      <c r="Z25" s="276"/>
      <c r="AA25" s="276"/>
      <c r="AB25" s="276"/>
      <c r="AC25" s="276"/>
      <c r="AD25" s="276"/>
      <c r="AE25" s="276"/>
      <c r="AF25" s="276"/>
      <c r="AG25" s="276"/>
      <c r="AH25" s="276"/>
      <c r="AI25" s="276"/>
      <c r="AJ25" s="276"/>
      <c r="AK25" s="276"/>
      <c r="AL25" s="279"/>
      <c r="AM25" s="279"/>
      <c r="AN25" s="276">
        <f>SUMIF('Calculations Yr 2'!$C$5:$C$400,'Master Data'!$I25,'Calculations Yr 2'!AG$5:AG$400)</f>
        <v>0</v>
      </c>
      <c r="AO25" s="276"/>
      <c r="AP25" s="279"/>
      <c r="AQ25" s="276">
        <f>SUMIF('Calculations Yr 2'!$C$5:$C$400,'Master Data'!$I25,'Calculations Yr 2'!AK$5:AK$400)</f>
        <v>0</v>
      </c>
      <c r="AR25" s="279"/>
      <c r="AS25" s="279"/>
      <c r="AT25" s="270"/>
      <c r="AU25" s="270"/>
      <c r="AV25" s="270"/>
      <c r="AW25" s="270"/>
      <c r="AX25" s="270"/>
      <c r="AY25" s="270"/>
      <c r="AZ25" s="270"/>
      <c r="BA25" s="270"/>
      <c r="BB25" s="270"/>
      <c r="BC25" s="270"/>
      <c r="BD25" s="270"/>
      <c r="BE25" s="270"/>
      <c r="BF25" s="270"/>
      <c r="BG25" s="270"/>
      <c r="BH25" s="270"/>
      <c r="BI25" s="270"/>
      <c r="BJ25" s="270"/>
      <c r="BK25" s="270"/>
    </row>
    <row r="26" spans="1:64" s="696" customFormat="1" ht="15" customHeight="1">
      <c r="A26" s="280" t="str">
        <f>'Lookups-Assumptions'!D$4</f>
        <v>Gas</v>
      </c>
      <c r="B26" s="280" t="str">
        <f>'Lookups-Assumptions'!D$5</f>
        <v>National Grid</v>
      </c>
      <c r="C26" s="280">
        <v>2017</v>
      </c>
      <c r="D26" s="280"/>
      <c r="E26" s="280"/>
      <c r="F26" s="280" t="str">
        <f>'Lookups-Assumptions'!D$6</f>
        <v>Evaluated</v>
      </c>
      <c r="G26" s="288" t="s">
        <v>443</v>
      </c>
      <c r="H26" s="286" t="str">
        <f>'Lookups-Assumptions'!D$73</f>
        <v xml:space="preserve">C1 - C&amp;I New Construction </v>
      </c>
      <c r="I26" s="286" t="str">
        <f>'Lookups-Assumptions'!D$87</f>
        <v>C1a - C&amp;I New Buildings &amp; Major Renovations</v>
      </c>
      <c r="J26" s="135">
        <f>'Cost Table'!E25</f>
        <v>158025.63236938298</v>
      </c>
      <c r="K26" s="135">
        <f>'Cost Table'!F25</f>
        <v>413932.73748325539</v>
      </c>
      <c r="L26" s="135">
        <f>'Cost Table'!G25</f>
        <v>2665822.879999999</v>
      </c>
      <c r="M26" s="135">
        <f>'Cost Table'!H25</f>
        <v>1014560.2175921092</v>
      </c>
      <c r="N26" s="135">
        <f>'Cost Table'!I25</f>
        <v>259522.94131406007</v>
      </c>
      <c r="O26" s="136">
        <f t="shared" ref="O26:O38" si="23">SUM(J26:N26)</f>
        <v>4511864.408758807</v>
      </c>
      <c r="P26" s="842">
        <f t="shared" si="16"/>
        <v>4400101.8224681169</v>
      </c>
      <c r="Q26" s="135">
        <f t="shared" si="2"/>
        <v>286076.3443334141</v>
      </c>
      <c r="R26" s="842">
        <v>278989.99837469676</v>
      </c>
      <c r="S26" s="135">
        <f>SUMIF('Calculations Yr 2'!C$5:C$400,$I26,'Calculations Yr 2'!K$5:K$400)</f>
        <v>1205174.9722242861</v>
      </c>
      <c r="T26" s="842">
        <f t="shared" si="3"/>
        <v>1175321.7985413361</v>
      </c>
      <c r="U26" s="699"/>
      <c r="V26" s="706">
        <f t="shared" si="17"/>
        <v>0</v>
      </c>
      <c r="W26" s="137">
        <f t="shared" ref="W26:W38" si="24">SUM(O26,Q26,S26,U26)</f>
        <v>6003115.7253165068</v>
      </c>
      <c r="X26" s="136">
        <f t="shared" ref="X26:X38" si="25">W26</f>
        <v>6003115.7253165068</v>
      </c>
      <c r="Y26" s="138">
        <v>59</v>
      </c>
      <c r="Z26" s="275">
        <f>SUMIF('Calculations Yr 2'!$C$5:$C$400,'Master Data'!$I26,'Calculations Yr 2'!W$5:W$400)</f>
        <v>0</v>
      </c>
      <c r="AA26" s="275">
        <f>SUMIF('Calculations Yr 2'!$C$5:$C$400,'Master Data'!$I26,'Calculations Yr 2'!Y$5:Y$400)</f>
        <v>0</v>
      </c>
      <c r="AB26" s="275">
        <f>SUMIF('Calculations Yr 2'!$C$5:$C$400,'Master Data'!$I26,'Calculations Yr 2'!O$5:O$400)</f>
        <v>0</v>
      </c>
      <c r="AC26" s="275">
        <f>SUMIF('Calculations Yr 2'!$C$5:$C$400,'Master Data'!$I26,'Calculations Yr 2'!M$5:M$400)</f>
        <v>0</v>
      </c>
      <c r="AD26" s="275">
        <f>SUMIF('Calculations Yr 2'!$C$5:$C$400,'Master Data'!$I26,'Calculations Yr 2'!P$5:P$400)</f>
        <v>0</v>
      </c>
      <c r="AE26" s="275"/>
      <c r="AF26" s="275">
        <f>SUMIF('Calculations Yr 2'!$C$5:$C$400,'Master Data'!$I26,'Calculations Yr 2'!AB$5:AB$400)</f>
        <v>146583.6289899</v>
      </c>
      <c r="AG26" s="275">
        <f>SUMIF('Calculations Yr 2'!$C$5:$C$400,'Master Data'!$I26,'Calculations Yr 2'!Z$5:Z$400)</f>
        <v>158473.26520000002</v>
      </c>
      <c r="AH26" s="277">
        <f t="shared" ref="AH26:AI31" si="26">AF26*10</f>
        <v>1465836.289899</v>
      </c>
      <c r="AI26" s="277">
        <f>AG26*10</f>
        <v>1584732.6520000002</v>
      </c>
      <c r="AJ26" s="275">
        <f>SUMIF('Calculations Yr 2'!$C$5:$C$400,'Master Data'!$I26,'Calculations Yr 2'!AC$5:AC$400)*10</f>
        <v>25575881.526995603</v>
      </c>
      <c r="AK26" s="275">
        <f>SUMIF('Calculations Yr 2'!$C$5:$C$400,'Master Data'!$I26,'Calculations Yr 2'!AA$5:AA$400)*10</f>
        <v>27633617.267400008</v>
      </c>
      <c r="AL26" s="278">
        <f>SUMIF('Calculations Yr 2'!$C$5:$C$400,'Master Data'!$I26,'Calculations Yr 2'!AF$5:AF$400)</f>
        <v>0</v>
      </c>
      <c r="AM26" s="275">
        <f>SUMIF('Calculations Yr 2'!$C$5:$C$400,'Master Data'!$I26,'Calculations Yr 2'!AD$5:AD$400)</f>
        <v>0</v>
      </c>
      <c r="AN26" s="275">
        <f>SUMIF('Calculations Yr 2'!$C$5:$C$400,'Master Data'!$I26,'Calculations Yr 2'!AG$5:AG$400)</f>
        <v>0</v>
      </c>
      <c r="AO26" s="275">
        <f>SUMIF('Calculations Yr 2'!$C$5:$C$400,'Master Data'!$I26,'Calculations Yr 2'!AE$5:AE$400)</f>
        <v>0</v>
      </c>
      <c r="AP26" s="278">
        <f>SUMIF('Calculations Yr 2'!$C$5:$C$400,'Master Data'!$I26,'Calculations Yr 2'!AJ$5:AJ$400)</f>
        <v>0</v>
      </c>
      <c r="AQ26" s="275">
        <f>SUMIF('Calculations Yr 2'!$C$5:$C$400,'Master Data'!$I26,'Calculations Yr 2'!AK$5:AK$400)</f>
        <v>0</v>
      </c>
      <c r="AR26" s="278">
        <f>SUMIF('Calculations Yr 2'!$C$5:$C$465,'Master Data'!$I26,'Calculations Yr 2'!AL$5:AL$465)+SUMIF('Calculations Yr 2'!$C$5:$C$465,'Master Data'!$I26,'Calculations Yr 2'!AM$5:AM$465)+SUMIF('Calculations Yr 2'!$C$5:$C$465,'Master Data'!$I26,'Calculations Yr 2'!AN$5:AN$465)</f>
        <v>0</v>
      </c>
      <c r="AS26" s="275">
        <f>SUMIF('Calculations Yr 2'!$C$5:$C$400,'Master Data'!$I26,'Calculations Yr 2'!AO$5:AO$400)</f>
        <v>0</v>
      </c>
      <c r="AT26" s="139">
        <f>SUMIF('Calculations Yr 2'!$C$5:$C$400,'Master Data'!$I26,'Calculations Yr 2'!AT$5:AT$400)</f>
        <v>0</v>
      </c>
      <c r="AU26" s="139">
        <f>SUMIF('Calculations Yr 2'!$C$5:$C$400,'Master Data'!$I26,'Calculations Yr 2'!BA$5:BA$400)</f>
        <v>0</v>
      </c>
      <c r="AV26" s="140">
        <f t="shared" ref="AV26:AV28" si="27">SUM(AT26:AU26)</f>
        <v>0</v>
      </c>
      <c r="AW26" s="139">
        <f>SUMIF('Calculations Yr 2'!$C$5:$C$400,'Master Data'!$I26,'Calculations Yr 2'!BC$5:BC$400)</f>
        <v>0</v>
      </c>
      <c r="AX26" s="139">
        <f>SUMIF('Calculations Yr 2'!$C$5:$C$400,'Master Data'!$I26,'Calculations Yr 2'!BF$5:BF$400)</f>
        <v>0</v>
      </c>
      <c r="AY26" s="139">
        <f>SUMIF('Calculations Yr 2'!$C$5:$C$400,'Master Data'!$I26,'Calculations Yr 2'!BG$5:BG$400)</f>
        <v>0</v>
      </c>
      <c r="AZ26" s="139">
        <f>SUMIF('Calculations Yr 2'!$C$5:$C$400,'Master Data'!$I26,'Calculations Yr 2'!BE$5:BE$400)</f>
        <v>0</v>
      </c>
      <c r="BA26" s="140">
        <f t="shared" ref="BA26:BA28" si="28">SUM(AW26:AZ26)</f>
        <v>0</v>
      </c>
      <c r="BB26" s="139">
        <f>SUMIF('Calculations Yr 2'!$C$5:$C$400,'Master Data'!$I26,'Calculations Yr 2'!BQ$5:BQ$400)</f>
        <v>20028057.274433125</v>
      </c>
      <c r="BC26" s="139">
        <f>SUMIF('Calculations Yr 2'!$C$5:$C$400,'Master Data'!$I26,'Calculations Yr 2'!BZ$5:BZ$400)</f>
        <v>1618903.5805732596</v>
      </c>
      <c r="BD26" s="140">
        <f t="shared" ref="BD26:BD28" si="29">SUM(BB26:BC26)</f>
        <v>21646960.855006386</v>
      </c>
      <c r="BE26" s="275">
        <f>SUMIF('Calculations Yr 2'!$C$5:$C$400,'Master Data'!$I26,'Calculations Yr 2'!CB$5:CB$400)+SUMIF('Calculations Yr 2'!$C$5:$C$400,'Master Data'!$I26,'Calculations Yr 2'!CC$5:CC$400)</f>
        <v>0</v>
      </c>
      <c r="BF26" s="139">
        <f>SUMIF('Calculations Yr 2'!$C$5:$C$400,'Master Data'!$I26,'Calculations Yr 2'!CD$5:CD$400)</f>
        <v>0</v>
      </c>
      <c r="BG26" s="139">
        <f>SUMIF('Calculations Yr 2'!$C$5:$C$465,'Master Data'!$I26,'Calculations Yr 2'!CE$5:CE$465)+SUMIF('Calculations Yr 2'!$C$5:$C$465,'Master Data'!$I26,'Calculations Yr 2'!CF$5:CF$465)+SUMIF('Calculations Yr 2'!$C$5:$C$465,'Master Data'!$I26,'Calculations Yr 2'!CG$5:CG$465)</f>
        <v>0</v>
      </c>
      <c r="BH26" s="140">
        <f t="shared" ref="BH26:BH28" si="30">SUM(BE26:BG26)</f>
        <v>0</v>
      </c>
      <c r="BI26" s="140">
        <f t="shared" ref="BI26:BI28" si="31">SUM(AV26,BA26,BD26,BH26)</f>
        <v>21646960.855006386</v>
      </c>
      <c r="BJ26" s="139">
        <f>SUMIF('Calculations Yr 2'!$C$5:$C$400,'Master Data'!$I26,'Calculations Yr 2'!CO$5:CO$400)</f>
        <v>-47679.268591360713</v>
      </c>
      <c r="BK26" s="140">
        <f t="shared" ref="BK26:BK28" si="32">SUM(BI26:BJ26)</f>
        <v>21599281.586415026</v>
      </c>
    </row>
    <row r="27" spans="1:64" s="696" customFormat="1" ht="15" customHeight="1">
      <c r="A27" s="280" t="str">
        <f>'Lookups-Assumptions'!D$4</f>
        <v>Gas</v>
      </c>
      <c r="B27" s="280" t="str">
        <f>'Lookups-Assumptions'!D$5</f>
        <v>National Grid</v>
      </c>
      <c r="C27" s="280">
        <v>2017</v>
      </c>
      <c r="D27" s="280"/>
      <c r="E27" s="280"/>
      <c r="F27" s="280" t="str">
        <f>'Lookups-Assumptions'!D$6</f>
        <v>Evaluated</v>
      </c>
      <c r="G27" s="288" t="s">
        <v>443</v>
      </c>
      <c r="H27" s="286" t="str">
        <f>'Lookups-Assumptions'!D$73</f>
        <v xml:space="preserve">C1 - C&amp;I New Construction </v>
      </c>
      <c r="I27" s="286" t="str">
        <f>'Lookups-Assumptions'!D$88</f>
        <v xml:space="preserve">C1b - C&amp;I Initial Purchase &amp; End of Useful Life </v>
      </c>
      <c r="J27" s="135">
        <f>'Cost Table'!E26</f>
        <v>72926.721528967711</v>
      </c>
      <c r="K27" s="135">
        <f>'Cost Table'!F26</f>
        <v>12957.514529814371</v>
      </c>
      <c r="L27" s="135">
        <f>'Cost Table'!G26</f>
        <v>4499766.55</v>
      </c>
      <c r="M27" s="135">
        <f>'Cost Table'!H26</f>
        <v>2779849.1036442211</v>
      </c>
      <c r="N27" s="135">
        <f>'Cost Table'!I26</f>
        <v>99413.861302586185</v>
      </c>
      <c r="O27" s="136">
        <f t="shared" si="23"/>
        <v>7464913.751005589</v>
      </c>
      <c r="P27" s="842">
        <f t="shared" si="16"/>
        <v>7280001.7076317426</v>
      </c>
      <c r="Q27" s="135">
        <f t="shared" si="2"/>
        <v>168895.98688931824</v>
      </c>
      <c r="R27" s="842">
        <v>164712.29460631777</v>
      </c>
      <c r="S27" s="135">
        <f>SUMIF('Calculations Yr 2'!C$5:C$400,$I27,'Calculations Yr 2'!K$5:K$400)</f>
        <v>1656763.5770333339</v>
      </c>
      <c r="T27" s="842">
        <f t="shared" si="3"/>
        <v>1615724.1827904561</v>
      </c>
      <c r="U27" s="699"/>
      <c r="V27" s="706">
        <f t="shared" si="17"/>
        <v>0</v>
      </c>
      <c r="W27" s="137">
        <f t="shared" si="24"/>
        <v>9290573.3149282411</v>
      </c>
      <c r="X27" s="136">
        <f t="shared" si="25"/>
        <v>9290573.3149282411</v>
      </c>
      <c r="Y27" s="138">
        <v>1270</v>
      </c>
      <c r="Z27" s="275">
        <f>SUMIF('Calculations Yr 2'!$C$5:$C$400,'Master Data'!$I27,'Calculations Yr 2'!W$5:W$400)</f>
        <v>0</v>
      </c>
      <c r="AA27" s="275">
        <f>SUMIF('Calculations Yr 2'!$C$5:$C$400,'Master Data'!$I27,'Calculations Yr 2'!Y$5:Y$400)</f>
        <v>0</v>
      </c>
      <c r="AB27" s="275">
        <f>SUMIF('Calculations Yr 2'!$C$5:$C$400,'Master Data'!$I27,'Calculations Yr 2'!O$5:O$400)</f>
        <v>0</v>
      </c>
      <c r="AC27" s="275">
        <f>SUMIF('Calculations Yr 2'!$C$5:$C$400,'Master Data'!$I27,'Calculations Yr 2'!M$5:M$400)</f>
        <v>0</v>
      </c>
      <c r="AD27" s="275">
        <f>SUMIF('Calculations Yr 2'!$C$5:$C$400,'Master Data'!$I27,'Calculations Yr 2'!P$5:P$400)</f>
        <v>0</v>
      </c>
      <c r="AE27" s="275"/>
      <c r="AF27" s="275">
        <f>SUMIF('Calculations Yr 2'!$C$5:$C$400,'Master Data'!$I27,'Calculations Yr 2'!AB$5:AB$400)</f>
        <v>113746.15093201248</v>
      </c>
      <c r="AG27" s="275">
        <f>SUMIF('Calculations Yr 2'!$C$5:$C$400,'Master Data'!$I27,'Calculations Yr 2'!Z$5:Z$400)</f>
        <v>132913.42909032208</v>
      </c>
      <c r="AH27" s="277">
        <f t="shared" si="26"/>
        <v>1137461.5093201248</v>
      </c>
      <c r="AI27" s="277">
        <f t="shared" si="26"/>
        <v>1329134.2909032209</v>
      </c>
      <c r="AJ27" s="275">
        <f>SUMIF('Calculations Yr 2'!$C$5:$C$400,'Master Data'!$I27,'Calculations Yr 2'!AC$5:AC$400)*10</f>
        <v>19544531.463131875</v>
      </c>
      <c r="AK27" s="275">
        <f>SUMIF('Calculations Yr 2'!$C$5:$C$400,'Master Data'!$I27,'Calculations Yr 2'!AA$5:AA$400)*10</f>
        <v>22797577.433548309</v>
      </c>
      <c r="AL27" s="278">
        <f>SUMIF('Calculations Yr 2'!$C$5:$C$400,'Master Data'!$I27,'Calculations Yr 2'!AF$5:AF$400)</f>
        <v>0</v>
      </c>
      <c r="AM27" s="275">
        <f>SUMIF('Calculations Yr 2'!$C$5:$C$400,'Master Data'!$I27,'Calculations Yr 2'!AD$5:AD$400)</f>
        <v>0</v>
      </c>
      <c r="AN27" s="275">
        <f>SUMIF('Calculations Yr 2'!$C$5:$C$400,'Master Data'!$I27,'Calculations Yr 2'!AG$5:AG$400)</f>
        <v>0</v>
      </c>
      <c r="AO27" s="275">
        <f>SUMIF('Calculations Yr 2'!$C$5:$C$400,'Master Data'!$I27,'Calculations Yr 2'!AE$5:AE$400)</f>
        <v>0</v>
      </c>
      <c r="AP27" s="278">
        <f>SUMIF('Calculations Yr 2'!$C$5:$C$400,'Master Data'!$I27,'Calculations Yr 2'!AJ$5:AJ$400)</f>
        <v>0</v>
      </c>
      <c r="AQ27" s="275">
        <f>SUMIF('Calculations Yr 2'!$C$5:$C$400,'Master Data'!$I27,'Calculations Yr 2'!AK$5:AK$400)</f>
        <v>0</v>
      </c>
      <c r="AR27" s="278">
        <f>SUMIF('Calculations Yr 2'!$C$5:$C$465,'Master Data'!$I27,'Calculations Yr 2'!AL$5:AL$465)+SUMIF('Calculations Yr 2'!$C$5:$C$465,'Master Data'!$I27,'Calculations Yr 2'!AM$5:AM$465)+SUMIF('Calculations Yr 2'!$C$5:$C$465,'Master Data'!$I27,'Calculations Yr 2'!AN$5:AN$465)</f>
        <v>718863.12000000011</v>
      </c>
      <c r="AS27" s="275">
        <f>SUMIF('Calculations Yr 2'!$C$5:$C$400,'Master Data'!$I27,'Calculations Yr 2'!AO$5:AO$400)</f>
        <v>4313178.7200000007</v>
      </c>
      <c r="AT27" s="139">
        <f>SUMIF('Calculations Yr 2'!$C$5:$C$400,'Master Data'!$I27,'Calculations Yr 2'!AT$5:AT$400)</f>
        <v>0</v>
      </c>
      <c r="AU27" s="139">
        <f>SUMIF('Calculations Yr 2'!$C$5:$C$400,'Master Data'!$I27,'Calculations Yr 2'!BA$5:BA$400)</f>
        <v>0</v>
      </c>
      <c r="AV27" s="140">
        <f t="shared" si="27"/>
        <v>0</v>
      </c>
      <c r="AW27" s="139">
        <f>SUMIF('Calculations Yr 2'!$C$5:$C$400,'Master Data'!$I27,'Calculations Yr 2'!BC$5:BC$400)</f>
        <v>0</v>
      </c>
      <c r="AX27" s="139">
        <f>SUMIF('Calculations Yr 2'!$C$5:$C$400,'Master Data'!$I27,'Calculations Yr 2'!BF$5:BF$400)</f>
        <v>0</v>
      </c>
      <c r="AY27" s="139">
        <f>SUMIF('Calculations Yr 2'!$C$5:$C$400,'Master Data'!$I27,'Calculations Yr 2'!BG$5:BG$400)</f>
        <v>0</v>
      </c>
      <c r="AZ27" s="139">
        <f>SUMIF('Calculations Yr 2'!$C$5:$C$400,'Master Data'!$I27,'Calculations Yr 2'!BE$5:BE$400)</f>
        <v>0</v>
      </c>
      <c r="BA27" s="140">
        <f t="shared" si="28"/>
        <v>0</v>
      </c>
      <c r="BB27" s="139">
        <f>SUMIF('Calculations Yr 2'!$C$5:$C$400,'Master Data'!$I27,'Calculations Yr 2'!BQ$5:BQ$400)</f>
        <v>14503128.96238512</v>
      </c>
      <c r="BC27" s="139">
        <f>SUMIF('Calculations Yr 2'!$C$5:$C$400,'Master Data'!$I27,'Calculations Yr 2'!BZ$5:BZ$400)</f>
        <v>1310056.4010537311</v>
      </c>
      <c r="BD27" s="140">
        <f t="shared" si="29"/>
        <v>15813185.36343885</v>
      </c>
      <c r="BE27" s="275">
        <f>SUMIF('Calculations Yr 2'!$C$5:$C$400,'Master Data'!$I27,'Calculations Yr 2'!CB$5:CB$400)+SUMIF('Calculations Yr 2'!$C$5:$C$400,'Master Data'!$I27,'Calculations Yr 2'!CC$5:CC$400)</f>
        <v>0</v>
      </c>
      <c r="BF27" s="139">
        <f>SUMIF('Calculations Yr 2'!$C$5:$C$400,'Master Data'!$I27,'Calculations Yr 2'!CD$5:CD$400)</f>
        <v>0</v>
      </c>
      <c r="BG27" s="139">
        <f>SUMIF('Calculations Yr 2'!$C$5:$C$465,'Master Data'!$I27,'Calculations Yr 2'!CE$5:CE$465)+SUMIF('Calculations Yr 2'!$C$5:$C$465,'Master Data'!$I27,'Calculations Yr 2'!CF$5:CF$465)+SUMIF('Calculations Yr 2'!$C$5:$C$465,'Master Data'!$I27,'Calculations Yr 2'!CG$5:CG$465)</f>
        <v>45515.889754948061</v>
      </c>
      <c r="BH27" s="140">
        <f t="shared" si="30"/>
        <v>45515.889754948061</v>
      </c>
      <c r="BI27" s="140">
        <f t="shared" si="31"/>
        <v>15858701.253193798</v>
      </c>
      <c r="BJ27" s="139">
        <f>SUMIF('Calculations Yr 2'!$C$5:$C$400,'Master Data'!$I27,'Calculations Yr 2'!CO$5:CO$400)</f>
        <v>0</v>
      </c>
      <c r="BK27" s="140">
        <f t="shared" si="32"/>
        <v>15858701.253193798</v>
      </c>
    </row>
    <row r="28" spans="1:64" s="696" customFormat="1" ht="15" customHeight="1">
      <c r="A28" s="280" t="str">
        <f>'Lookups-Assumptions'!D$4</f>
        <v>Gas</v>
      </c>
      <c r="B28" s="280" t="str">
        <f>'Lookups-Assumptions'!D$5</f>
        <v>National Grid</v>
      </c>
      <c r="C28" s="280">
        <v>2017</v>
      </c>
      <c r="D28" s="280"/>
      <c r="E28" s="280"/>
      <c r="F28" s="280" t="str">
        <f>'Lookups-Assumptions'!D$6</f>
        <v>Evaluated</v>
      </c>
      <c r="G28" s="288" t="s">
        <v>443</v>
      </c>
      <c r="H28" s="286" t="str">
        <f>'Lookups-Assumptions'!D$74</f>
        <v>C2 - C&amp;I Retrofit</v>
      </c>
      <c r="I28" s="286" t="str">
        <f>'Lookups-Assumptions'!D$89</f>
        <v>C2a - C&amp;I Existing Building Retrofit</v>
      </c>
      <c r="J28" s="135">
        <f>'Cost Table'!E27</f>
        <v>296253.05976652895</v>
      </c>
      <c r="K28" s="135">
        <f>'Cost Table'!F27</f>
        <v>932324.63930875994</v>
      </c>
      <c r="L28" s="135">
        <f>'Cost Table'!G27</f>
        <v>3678111.62</v>
      </c>
      <c r="M28" s="135">
        <f>'Cost Table'!H27</f>
        <v>3545870.8568860865</v>
      </c>
      <c r="N28" s="135">
        <f>'Cost Table'!I27</f>
        <v>318439.44007496204</v>
      </c>
      <c r="O28" s="136">
        <f t="shared" si="23"/>
        <v>8770999.6160363369</v>
      </c>
      <c r="P28" s="842">
        <f t="shared" si="16"/>
        <v>8553734.7533024531</v>
      </c>
      <c r="Q28" s="135">
        <f t="shared" si="2"/>
        <v>512501.53224006662</v>
      </c>
      <c r="R28" s="842">
        <v>499806.44844945055</v>
      </c>
      <c r="S28" s="135">
        <f>SUMIF('Calculations Yr 2'!C$5:C$400,$I28,'Calculations Yr 2'!K$5:K$400)</f>
        <v>3353920.949397143</v>
      </c>
      <c r="T28" s="842">
        <f t="shared" si="3"/>
        <v>3270841.5734319706</v>
      </c>
      <c r="U28" s="699"/>
      <c r="V28" s="706">
        <f t="shared" si="17"/>
        <v>0</v>
      </c>
      <c r="W28" s="137">
        <f t="shared" si="24"/>
        <v>12637422.097673547</v>
      </c>
      <c r="X28" s="136">
        <f t="shared" si="25"/>
        <v>12637422.097673547</v>
      </c>
      <c r="Y28" s="138">
        <v>293</v>
      </c>
      <c r="Z28" s="275">
        <f>SUMIF('Calculations Yr 2'!$C$5:$C$400,'Master Data'!$I28,'Calculations Yr 2'!W$5:W$400)</f>
        <v>0</v>
      </c>
      <c r="AA28" s="275">
        <f>SUMIF('Calculations Yr 2'!$C$5:$C$400,'Master Data'!$I28,'Calculations Yr 2'!Y$5:Y$400)</f>
        <v>0</v>
      </c>
      <c r="AB28" s="275">
        <f>SUMIF('Calculations Yr 2'!$C$5:$C$400,'Master Data'!$I28,'Calculations Yr 2'!O$5:O$400)</f>
        <v>0</v>
      </c>
      <c r="AC28" s="275">
        <f>SUMIF('Calculations Yr 2'!$C$5:$C$400,'Master Data'!$I28,'Calculations Yr 2'!M$5:M$400)</f>
        <v>0</v>
      </c>
      <c r="AD28" s="275">
        <f>SUMIF('Calculations Yr 2'!$C$5:$C$400,'Master Data'!$I28,'Calculations Yr 2'!P$5:P$400)</f>
        <v>0</v>
      </c>
      <c r="AE28" s="275"/>
      <c r="AF28" s="275">
        <f>SUMIF('Calculations Yr 2'!$C$5:$C$400,'Master Data'!$I28,'Calculations Yr 2'!AB$5:AB$400)</f>
        <v>239473.20561486503</v>
      </c>
      <c r="AG28" s="275">
        <f>SUMIF('Calculations Yr 2'!$C$5:$C$400,'Master Data'!$I28,'Calculations Yr 2'!Z$5:Z$400)</f>
        <v>262992.35333499999</v>
      </c>
      <c r="AH28" s="277">
        <f t="shared" si="26"/>
        <v>2394732.0561486501</v>
      </c>
      <c r="AI28" s="277">
        <f t="shared" si="26"/>
        <v>2629923.5333500002</v>
      </c>
      <c r="AJ28" s="275">
        <f>SUMIF('Calculations Yr 2'!$C$5:$C$400,'Master Data'!$I28,'Calculations Yr 2'!AC$5:AC$400)*10</f>
        <v>31062006.920261305</v>
      </c>
      <c r="AK28" s="275">
        <f>SUMIF('Calculations Yr 2'!$C$5:$C$400,'Master Data'!$I28,'Calculations Yr 2'!AA$5:AA$400)*10</f>
        <v>33995908.622700006</v>
      </c>
      <c r="AL28" s="278">
        <f>SUMIF('Calculations Yr 2'!$C$5:$C$400,'Master Data'!$I28,'Calculations Yr 2'!AF$5:AF$400)</f>
        <v>0</v>
      </c>
      <c r="AM28" s="275">
        <f>SUMIF('Calculations Yr 2'!$C$5:$C$400,'Master Data'!$I28,'Calculations Yr 2'!AD$5:AD$400)</f>
        <v>0</v>
      </c>
      <c r="AN28" s="275">
        <f>SUMIF('Calculations Yr 2'!$C$5:$C$400,'Master Data'!$I28,'Calculations Yr 2'!AG$5:AG$400)</f>
        <v>0</v>
      </c>
      <c r="AO28" s="275">
        <f>SUMIF('Calculations Yr 2'!$C$5:$C$400,'Master Data'!$I28,'Calculations Yr 2'!AE$5:AE$400)</f>
        <v>0</v>
      </c>
      <c r="AP28" s="278">
        <f>SUMIF('Calculations Yr 2'!$C$5:$C$400,'Master Data'!$I28,'Calculations Yr 2'!AJ$5:AJ$400)</f>
        <v>0</v>
      </c>
      <c r="AQ28" s="275">
        <f>SUMIF('Calculations Yr 2'!$C$5:$C$400,'Master Data'!$I28,'Calculations Yr 2'!AK$5:AK$400)</f>
        <v>0</v>
      </c>
      <c r="AR28" s="278">
        <f>SUMIF('Calculations Yr 2'!$C$5:$C$465,'Master Data'!$I28,'Calculations Yr 2'!AL$5:AL$465)+SUMIF('Calculations Yr 2'!$C$5:$C$465,'Master Data'!$I28,'Calculations Yr 2'!AM$5:AM$465)+SUMIF('Calculations Yr 2'!$C$5:$C$465,'Master Data'!$I28,'Calculations Yr 2'!AN$5:AN$465)</f>
        <v>71422822.440000013</v>
      </c>
      <c r="AS28" s="275">
        <f>SUMIF('Calculations Yr 2'!$C$5:$C$400,'Master Data'!$I28,'Calculations Yr 2'!AO$5:AO$400)</f>
        <v>354153230.64000005</v>
      </c>
      <c r="AT28" s="139">
        <f>SUMIF('Calculations Yr 2'!$C$5:$C$400,'Master Data'!$I28,'Calculations Yr 2'!AT$5:AT$400)</f>
        <v>0</v>
      </c>
      <c r="AU28" s="139">
        <f>SUMIF('Calculations Yr 2'!$C$5:$C$400,'Master Data'!$I28,'Calculations Yr 2'!BA$5:BA$400)</f>
        <v>0</v>
      </c>
      <c r="AV28" s="140">
        <f t="shared" si="27"/>
        <v>0</v>
      </c>
      <c r="AW28" s="139">
        <f>SUMIF('Calculations Yr 2'!$C$5:$C$400,'Master Data'!$I28,'Calculations Yr 2'!BC$5:BC$400)</f>
        <v>0</v>
      </c>
      <c r="AX28" s="139">
        <f>SUMIF('Calculations Yr 2'!$C$5:$C$400,'Master Data'!$I28,'Calculations Yr 2'!BF$5:BF$400)</f>
        <v>0</v>
      </c>
      <c r="AY28" s="139">
        <f>SUMIF('Calculations Yr 2'!$C$5:$C$400,'Master Data'!$I28,'Calculations Yr 2'!BG$5:BG$400)</f>
        <v>0</v>
      </c>
      <c r="AZ28" s="139">
        <f>SUMIF('Calculations Yr 2'!$C$5:$C$400,'Master Data'!$I28,'Calculations Yr 2'!BE$5:BE$400)</f>
        <v>0</v>
      </c>
      <c r="BA28" s="140">
        <f t="shared" si="28"/>
        <v>0</v>
      </c>
      <c r="BB28" s="139">
        <f>SUMIF('Calculations Yr 2'!$C$5:$C$400,'Master Data'!$I28,'Calculations Yr 2'!BQ$5:BQ$400)</f>
        <v>23879688.203624219</v>
      </c>
      <c r="BC28" s="139">
        <f>SUMIF('Calculations Yr 2'!$C$5:$C$400,'Master Data'!$I28,'Calculations Yr 2'!BZ$5:BZ$400)</f>
        <v>2375428.0023865663</v>
      </c>
      <c r="BD28" s="140">
        <f t="shared" si="29"/>
        <v>26255116.206010785</v>
      </c>
      <c r="BE28" s="275">
        <f>SUMIF('Calculations Yr 2'!$C$5:$C$400,'Master Data'!$I28,'Calculations Yr 2'!CB$5:CB$400)+SUMIF('Calculations Yr 2'!$C$5:$C$400,'Master Data'!$I28,'Calculations Yr 2'!CC$5:CC$400)</f>
        <v>0</v>
      </c>
      <c r="BF28" s="139">
        <f>SUMIF('Calculations Yr 2'!$C$5:$C$400,'Master Data'!$I28,'Calculations Yr 2'!CD$5:CD$400)</f>
        <v>0</v>
      </c>
      <c r="BG28" s="139">
        <f>SUMIF('Calculations Yr 2'!$C$5:$C$465,'Master Data'!$I28,'Calculations Yr 2'!CE$5:CE$465)+SUMIF('Calculations Yr 2'!$C$5:$C$465,'Master Data'!$I28,'Calculations Yr 2'!CF$5:CF$465)+SUMIF('Calculations Yr 2'!$C$5:$C$465,'Master Data'!$I28,'Calculations Yr 2'!CG$5:CG$465)</f>
        <v>3754150.0405626106</v>
      </c>
      <c r="BH28" s="140">
        <f t="shared" si="30"/>
        <v>3754150.0405626106</v>
      </c>
      <c r="BI28" s="140">
        <f t="shared" si="31"/>
        <v>30009266.246573396</v>
      </c>
      <c r="BJ28" s="139">
        <f>SUMIF('Calculations Yr 2'!$C$5:$C$400,'Master Data'!$I28,'Calculations Yr 2'!CO$5:CO$400)</f>
        <v>9703441.5931437127</v>
      </c>
      <c r="BK28" s="140">
        <f t="shared" si="32"/>
        <v>39712707.839717105</v>
      </c>
    </row>
    <row r="29" spans="1:64" s="696" customFormat="1" ht="15" customHeight="1">
      <c r="A29" s="280" t="str">
        <f>'Lookups-Assumptions'!D$4</f>
        <v>Gas</v>
      </c>
      <c r="B29" s="280" t="str">
        <f>'Lookups-Assumptions'!D$5</f>
        <v>National Grid</v>
      </c>
      <c r="C29" s="280">
        <v>2017</v>
      </c>
      <c r="D29" s="280"/>
      <c r="E29" s="280"/>
      <c r="F29" s="280" t="str">
        <f>'Lookups-Assumptions'!D$6</f>
        <v>Evaluated</v>
      </c>
      <c r="G29" s="288" t="s">
        <v>443</v>
      </c>
      <c r="H29" s="286" t="str">
        <f>'Lookups-Assumptions'!D$74</f>
        <v>C2 - C&amp;I Retrofit</v>
      </c>
      <c r="I29" s="286" t="str">
        <f>'Lookups-Assumptions'!D$90</f>
        <v>C2b - C&amp;I Small Business</v>
      </c>
      <c r="J29" s="135">
        <f>'Cost Table'!E28</f>
        <v>25051.681668764013</v>
      </c>
      <c r="K29" s="135">
        <f>'Cost Table'!F28</f>
        <v>115793.47340074342</v>
      </c>
      <c r="L29" s="135">
        <f>'Cost Table'!G28</f>
        <v>247951.82000000004</v>
      </c>
      <c r="M29" s="135">
        <f>'Cost Table'!H28</f>
        <v>44547.929513031413</v>
      </c>
      <c r="N29" s="135">
        <f>'Cost Table'!I28</f>
        <v>20152.331590891728</v>
      </c>
      <c r="O29" s="136">
        <f t="shared" si="23"/>
        <v>453497.23617343057</v>
      </c>
      <c r="P29" s="842">
        <f t="shared" si="16"/>
        <v>442263.73724734789</v>
      </c>
      <c r="Q29" s="135">
        <f t="shared" si="2"/>
        <v>38994.014986591581</v>
      </c>
      <c r="R29" s="842">
        <v>38028.101215712479</v>
      </c>
      <c r="S29" s="135">
        <f>SUMIF('Calculations Yr 2'!C$5:C$400,$I29,'Calculations Yr 2'!K$5:K$400)</f>
        <v>14970.027113333346</v>
      </c>
      <c r="T29" s="842">
        <f t="shared" si="3"/>
        <v>14599.207249203575</v>
      </c>
      <c r="U29" s="699"/>
      <c r="V29" s="706">
        <f t="shared" si="17"/>
        <v>0</v>
      </c>
      <c r="W29" s="137">
        <f t="shared" si="24"/>
        <v>507461.27827335551</v>
      </c>
      <c r="X29" s="136">
        <f t="shared" si="25"/>
        <v>507461.27827335551</v>
      </c>
      <c r="Y29" s="138">
        <v>292</v>
      </c>
      <c r="Z29" s="275">
        <f>SUMIF('Calculations Yr 2'!$C$5:$C$400,'Master Data'!$I29,'Calculations Yr 2'!W$5:W$400)</f>
        <v>0</v>
      </c>
      <c r="AA29" s="275">
        <f>SUMIF('Calculations Yr 2'!$C$5:$C$400,'Master Data'!$I29,'Calculations Yr 2'!Y$5:Y$400)</f>
        <v>0</v>
      </c>
      <c r="AB29" s="275">
        <f>SUMIF('Calculations Yr 2'!$C$5:$C$400,'Master Data'!$I29,'Calculations Yr 2'!O$5:O$400)</f>
        <v>0</v>
      </c>
      <c r="AC29" s="275">
        <f>SUMIF('Calculations Yr 2'!$C$5:$C$400,'Master Data'!$I29,'Calculations Yr 2'!M$5:M$400)</f>
        <v>0</v>
      </c>
      <c r="AD29" s="275">
        <f>SUMIF('Calculations Yr 2'!$C$5:$C$400,'Master Data'!$I29,'Calculations Yr 2'!P$5:P$400)</f>
        <v>0</v>
      </c>
      <c r="AE29" s="275"/>
      <c r="AF29" s="275">
        <f>SUMIF('Calculations Yr 2'!$C$5:$C$400,'Master Data'!$I29,'Calculations Yr 2'!AB$5:AB$400)</f>
        <v>9903.3039540000027</v>
      </c>
      <c r="AG29" s="275">
        <f>SUMIF('Calculations Yr 2'!$C$5:$C$400,'Master Data'!$I29,'Calculations Yr 2'!Z$5:Z$400)</f>
        <v>11460.416000000001</v>
      </c>
      <c r="AH29" s="277">
        <f t="shared" si="26"/>
        <v>99033.039540000027</v>
      </c>
      <c r="AI29" s="277">
        <f t="shared" si="26"/>
        <v>114604.16</v>
      </c>
      <c r="AJ29" s="275">
        <f>SUMIF('Calculations Yr 2'!$C$5:$C$400,'Master Data'!$I29,'Calculations Yr 2'!AC$5:AC$400)*10</f>
        <v>1093088.2892150003</v>
      </c>
      <c r="AK29" s="275">
        <f>SUMIF('Calculations Yr 2'!$C$5:$C$400,'Master Data'!$I29,'Calculations Yr 2'!AA$5:AA$400)*10</f>
        <v>1253905.4850000001</v>
      </c>
      <c r="AL29" s="278">
        <f>SUMIF('Calculations Yr 2'!$C$5:$C$400,'Master Data'!$I29,'Calculations Yr 2'!AF$5:AF$400)</f>
        <v>0</v>
      </c>
      <c r="AM29" s="275">
        <f>SUMIF('Calculations Yr 2'!$C$5:$C$400,'Master Data'!$I29,'Calculations Yr 2'!AD$5:AD$400)</f>
        <v>0</v>
      </c>
      <c r="AN29" s="275">
        <f>SUMIF('Calculations Yr 2'!$C$5:$C$400,'Master Data'!$I29,'Calculations Yr 2'!AG$5:AG$400)</f>
        <v>0</v>
      </c>
      <c r="AO29" s="275">
        <f>SUMIF('Calculations Yr 2'!$C$5:$C$400,'Master Data'!$I29,'Calculations Yr 2'!AE$5:AE$400)</f>
        <v>0</v>
      </c>
      <c r="AP29" s="278">
        <f>SUMIF('Calculations Yr 2'!$C$5:$C$400,'Master Data'!$I29,'Calculations Yr 2'!AJ$5:AJ$400)</f>
        <v>0</v>
      </c>
      <c r="AQ29" s="275">
        <f>SUMIF('Calculations Yr 2'!$C$5:$C$400,'Master Data'!$I29,'Calculations Yr 2'!AK$5:AK$400)</f>
        <v>0</v>
      </c>
      <c r="AR29" s="278">
        <f>SUMIF('Calculations Yr 2'!$C$5:$C$465,'Master Data'!$I29,'Calculations Yr 2'!AL$5:AL$465)+SUMIF('Calculations Yr 2'!$C$5:$C$465,'Master Data'!$I29,'Calculations Yr 2'!AM$5:AM$465)+SUMIF('Calculations Yr 2'!$C$5:$C$465,'Master Data'!$I29,'Calculations Yr 2'!AN$5:AN$465)</f>
        <v>36044980.560000002</v>
      </c>
      <c r="AS29" s="275">
        <f>SUMIF('Calculations Yr 2'!$C$5:$C$400,'Master Data'!$I29,'Calculations Yr 2'!AO$5:AO$400)</f>
        <v>177578547.12</v>
      </c>
      <c r="AT29" s="139">
        <f>SUMIF('Calculations Yr 2'!$C$5:$C$400,'Master Data'!$I29,'Calculations Yr 2'!AT$5:AT$400)</f>
        <v>0</v>
      </c>
      <c r="AU29" s="139">
        <f>SUMIF('Calculations Yr 2'!$C$5:$C$400,'Master Data'!$I29,'Calculations Yr 2'!BA$5:BA$400)</f>
        <v>0</v>
      </c>
      <c r="AV29" s="140">
        <f t="shared" ref="AV29:AV30" si="33">SUM(AT29:AU29)</f>
        <v>0</v>
      </c>
      <c r="AW29" s="139">
        <f>SUMIF('Calculations Yr 2'!$C$5:$C$400,'Master Data'!$I29,'Calculations Yr 2'!BC$5:BC$400)</f>
        <v>0</v>
      </c>
      <c r="AX29" s="139">
        <f>SUMIF('Calculations Yr 2'!$C$5:$C$400,'Master Data'!$I29,'Calculations Yr 2'!BF$5:BF$400)</f>
        <v>0</v>
      </c>
      <c r="AY29" s="139">
        <f>SUMIF('Calculations Yr 2'!$C$5:$C$400,'Master Data'!$I29,'Calculations Yr 2'!BG$5:BG$400)</f>
        <v>0</v>
      </c>
      <c r="AZ29" s="139">
        <f>SUMIF('Calculations Yr 2'!$C$5:$C$400,'Master Data'!$I29,'Calculations Yr 2'!BE$5:BE$400)</f>
        <v>0</v>
      </c>
      <c r="BA29" s="140">
        <f t="shared" ref="BA29:BA30" si="34">SUM(AW29:AZ29)</f>
        <v>0</v>
      </c>
      <c r="BB29" s="139">
        <f>SUMIF('Calculations Yr 2'!$C$5:$C$400,'Master Data'!$I29,'Calculations Yr 2'!BQ$5:BQ$400)</f>
        <v>777335.19924131921</v>
      </c>
      <c r="BC29" s="139">
        <f>SUMIF('Calculations Yr 2'!$C$5:$C$400,'Master Data'!$I29,'Calculations Yr 2'!BZ$5:BZ$400)</f>
        <v>97538.482713408608</v>
      </c>
      <c r="BD29" s="140">
        <f t="shared" ref="BD29:BD30" si="35">SUM(BB29:BC29)</f>
        <v>874873.68195472786</v>
      </c>
      <c r="BE29" s="275">
        <f>SUMIF('Calculations Yr 2'!$C$5:$C$400,'Master Data'!$I29,'Calculations Yr 2'!CB$5:CB$400)+SUMIF('Calculations Yr 2'!$C$5:$C$400,'Master Data'!$I29,'Calculations Yr 2'!CC$5:CC$400)</f>
        <v>0</v>
      </c>
      <c r="BF29" s="139">
        <f>SUMIF('Calculations Yr 2'!$C$5:$C$400,'Master Data'!$I29,'Calculations Yr 2'!CD$5:CD$400)</f>
        <v>0</v>
      </c>
      <c r="BG29" s="139">
        <f>SUMIF('Calculations Yr 2'!$C$5:$C$465,'Master Data'!$I29,'Calculations Yr 2'!CE$5:CE$465)+SUMIF('Calculations Yr 2'!$C$5:$C$465,'Master Data'!$I29,'Calculations Yr 2'!CF$5:CF$465)+SUMIF('Calculations Yr 2'!$C$5:$C$465,'Master Data'!$I29,'Calculations Yr 2'!CG$5:CG$465)</f>
        <v>1882610.9512442797</v>
      </c>
      <c r="BH29" s="140">
        <f t="shared" ref="BH29:BH30" si="36">SUM(BE29:BG29)</f>
        <v>1882610.9512442797</v>
      </c>
      <c r="BI29" s="140">
        <f t="shared" ref="BI29:BI30" si="37">SUM(AV29,BA29,BD29,BH29)</f>
        <v>2757484.6331990077</v>
      </c>
      <c r="BJ29" s="139">
        <f>SUMIF('Calculations Yr 2'!$C$5:$C$400,'Master Data'!$I29,'Calculations Yr 2'!CO$5:CO$400)</f>
        <v>18569.117329559533</v>
      </c>
      <c r="BK29" s="140">
        <f t="shared" ref="BK29:BK30" si="38">SUM(BI29:BJ29)</f>
        <v>2776053.7505285675</v>
      </c>
    </row>
    <row r="30" spans="1:64" s="696" customFormat="1" ht="15" customHeight="1">
      <c r="A30" s="280" t="str">
        <f>'Lookups-Assumptions'!D$4</f>
        <v>Gas</v>
      </c>
      <c r="B30" s="280" t="str">
        <f>'Lookups-Assumptions'!D$5</f>
        <v>National Grid</v>
      </c>
      <c r="C30" s="280">
        <v>2017</v>
      </c>
      <c r="D30" s="280"/>
      <c r="E30" s="280"/>
      <c r="F30" s="280" t="str">
        <f>'Lookups-Assumptions'!D$6</f>
        <v>Evaluated</v>
      </c>
      <c r="G30" s="288" t="s">
        <v>443</v>
      </c>
      <c r="H30" s="286" t="str">
        <f>'Lookups-Assumptions'!D$74</f>
        <v>C2 - C&amp;I Retrofit</v>
      </c>
      <c r="I30" s="286" t="str">
        <f>'Lookups-Assumptions'!D$91</f>
        <v xml:space="preserve">C2c - C&amp;I Multifamily Retrofit </v>
      </c>
      <c r="J30" s="135">
        <f>'Cost Table'!E29</f>
        <v>97739.689463608374</v>
      </c>
      <c r="K30" s="135">
        <f>'Cost Table'!F29</f>
        <v>91787.622044986725</v>
      </c>
      <c r="L30" s="135">
        <f>'Cost Table'!G29</f>
        <v>2074223.93</v>
      </c>
      <c r="M30" s="135">
        <f>'Cost Table'!H29</f>
        <v>396991.31628183636</v>
      </c>
      <c r="N30" s="135">
        <f>'Cost Table'!I29</f>
        <v>139202.84610862291</v>
      </c>
      <c r="O30" s="136">
        <f t="shared" si="23"/>
        <v>2799945.4038990545</v>
      </c>
      <c r="P30" s="842">
        <f t="shared" si="16"/>
        <v>2730588.4570889939</v>
      </c>
      <c r="Q30" s="135">
        <f t="shared" si="2"/>
        <v>62934.748037652229</v>
      </c>
      <c r="R30" s="842">
        <v>61375.802650333746</v>
      </c>
      <c r="S30" s="135">
        <f>SUMIF('Calculations Yr 2'!C$5:C$400,$I30,'Calculations Yr 2'!K$5:K$400)</f>
        <v>-155141.12984999994</v>
      </c>
      <c r="T30" s="842">
        <f t="shared" si="3"/>
        <v>-151298.15667056752</v>
      </c>
      <c r="U30" s="699"/>
      <c r="V30" s="706">
        <f t="shared" si="17"/>
        <v>0</v>
      </c>
      <c r="W30" s="137">
        <f t="shared" si="24"/>
        <v>2707739.0220867065</v>
      </c>
      <c r="X30" s="136">
        <f t="shared" si="25"/>
        <v>2707739.0220867065</v>
      </c>
      <c r="Y30" s="138">
        <v>146</v>
      </c>
      <c r="Z30" s="275">
        <f>SUMIF('Calculations Yr 2'!$C$5:$C$400,'Master Data'!$I30,'Calculations Yr 2'!W$5:W$400)</f>
        <v>0</v>
      </c>
      <c r="AA30" s="275">
        <f>SUMIF('Calculations Yr 2'!$C$5:$C$400,'Master Data'!$I30,'Calculations Yr 2'!Y$5:Y$400)</f>
        <v>0</v>
      </c>
      <c r="AB30" s="275">
        <f>SUMIF('Calculations Yr 2'!$C$5:$C$400,'Master Data'!$I30,'Calculations Yr 2'!O$5:O$400)</f>
        <v>0</v>
      </c>
      <c r="AC30" s="275">
        <f>SUMIF('Calculations Yr 2'!$C$5:$C$400,'Master Data'!$I30,'Calculations Yr 2'!M$5:M$400)</f>
        <v>0</v>
      </c>
      <c r="AD30" s="275">
        <f>SUMIF('Calculations Yr 2'!$C$5:$C$400,'Master Data'!$I30,'Calculations Yr 2'!P$5:P$400)</f>
        <v>0</v>
      </c>
      <c r="AE30" s="275"/>
      <c r="AF30" s="275">
        <f>SUMIF('Calculations Yr 2'!$C$5:$C$400,'Master Data'!$I30,'Calculations Yr 2'!AB$5:AB$400)</f>
        <v>19671.953964999997</v>
      </c>
      <c r="AG30" s="275">
        <f>SUMIF('Calculations Yr 2'!$C$5:$C$400,'Master Data'!$I30,'Calculations Yr 2'!Z$5:Z$400)</f>
        <v>23285.760356788858</v>
      </c>
      <c r="AH30" s="277">
        <f t="shared" si="26"/>
        <v>196719.53964999996</v>
      </c>
      <c r="AI30" s="277">
        <f t="shared" si="26"/>
        <v>232857.60356788858</v>
      </c>
      <c r="AJ30" s="275">
        <f>SUMIF('Calculations Yr 2'!$C$5:$C$400,'Master Data'!$I30,'Calculations Yr 2'!AC$5:AC$400)*10</f>
        <v>3090467.9789299993</v>
      </c>
      <c r="AK30" s="275">
        <f>SUMIF('Calculations Yr 2'!$C$5:$C$400,'Master Data'!$I30,'Calculations Yr 2'!AA$5:AA$400)*10</f>
        <v>3647456.8287166832</v>
      </c>
      <c r="AL30" s="278">
        <f>SUMIF('Calculations Yr 2'!$C$5:$C$400,'Master Data'!$I30,'Calculations Yr 2'!AF$5:AF$400)</f>
        <v>0</v>
      </c>
      <c r="AM30" s="275">
        <f>SUMIF('Calculations Yr 2'!$C$5:$C$400,'Master Data'!$I30,'Calculations Yr 2'!AD$5:AD$400)</f>
        <v>0</v>
      </c>
      <c r="AN30" s="275">
        <f>SUMIF('Calculations Yr 2'!$C$5:$C$400,'Master Data'!$I30,'Calculations Yr 2'!AG$5:AG$400)</f>
        <v>0</v>
      </c>
      <c r="AO30" s="275">
        <f>SUMIF('Calculations Yr 2'!$C$5:$C$400,'Master Data'!$I30,'Calculations Yr 2'!AE$5:AE$400)</f>
        <v>0</v>
      </c>
      <c r="AP30" s="278">
        <f>SUMIF('Calculations Yr 2'!$C$5:$C$400,'Master Data'!$I30,'Calculations Yr 2'!AJ$5:AJ$400)</f>
        <v>0</v>
      </c>
      <c r="AQ30" s="275">
        <f>SUMIF('Calculations Yr 2'!$C$5:$C$400,'Master Data'!$I30,'Calculations Yr 2'!AK$5:AK$400)</f>
        <v>0</v>
      </c>
      <c r="AR30" s="278">
        <f>SUMIF('Calculations Yr 2'!$C$5:$C$465,'Master Data'!$I30,'Calculations Yr 2'!AL$5:AL$465)+SUMIF('Calculations Yr 2'!$C$5:$C$465,'Master Data'!$I30,'Calculations Yr 2'!AM$5:AM$465)+SUMIF('Calculations Yr 2'!$C$5:$C$465,'Master Data'!$I30,'Calculations Yr 2'!AN$5:AN$465)</f>
        <v>1280550.8999999999</v>
      </c>
      <c r="AS30" s="275">
        <f>SUMIF('Calculations Yr 2'!$C$5:$C$400,'Master Data'!$I30,'Calculations Yr 2'!AO$5:AO$400)</f>
        <v>8963856.2999999989</v>
      </c>
      <c r="AT30" s="139">
        <f>SUMIF('Calculations Yr 2'!$C$5:$C$400,'Master Data'!$I30,'Calculations Yr 2'!AT$5:AT$400)</f>
        <v>0</v>
      </c>
      <c r="AU30" s="139">
        <f>SUMIF('Calculations Yr 2'!$C$5:$C$400,'Master Data'!$I30,'Calculations Yr 2'!BA$5:BA$400)</f>
        <v>0</v>
      </c>
      <c r="AV30" s="140">
        <f t="shared" si="33"/>
        <v>0</v>
      </c>
      <c r="AW30" s="139">
        <f>SUMIF('Calculations Yr 2'!$C$5:$C$400,'Master Data'!$I30,'Calculations Yr 2'!BC$5:BC$400)</f>
        <v>0</v>
      </c>
      <c r="AX30" s="139">
        <f>SUMIF('Calculations Yr 2'!$C$5:$C$400,'Master Data'!$I30,'Calculations Yr 2'!BF$5:BF$400)</f>
        <v>0</v>
      </c>
      <c r="AY30" s="139">
        <f>SUMIF('Calculations Yr 2'!$C$5:$C$400,'Master Data'!$I30,'Calculations Yr 2'!BG$5:BG$400)</f>
        <v>0</v>
      </c>
      <c r="AZ30" s="139">
        <f>SUMIF('Calculations Yr 2'!$C$5:$C$400,'Master Data'!$I30,'Calculations Yr 2'!BE$5:BE$400)</f>
        <v>0</v>
      </c>
      <c r="BA30" s="140">
        <f t="shared" si="34"/>
        <v>0</v>
      </c>
      <c r="BB30" s="139">
        <f>SUMIF('Calculations Yr 2'!$C$5:$C$400,'Master Data'!$I30,'Calculations Yr 2'!BQ$5:BQ$400)</f>
        <v>2615498.5591259706</v>
      </c>
      <c r="BC30" s="139">
        <f>SUMIF('Calculations Yr 2'!$C$5:$C$400,'Master Data'!$I30,'Calculations Yr 2'!BZ$5:BZ$400)</f>
        <v>196634.14661481645</v>
      </c>
      <c r="BD30" s="140">
        <f t="shared" si="35"/>
        <v>2812132.7057407871</v>
      </c>
      <c r="BE30" s="275">
        <f>SUMIF('Calculations Yr 2'!$C$5:$C$400,'Master Data'!$I30,'Calculations Yr 2'!CB$5:CB$400)+SUMIF('Calculations Yr 2'!$C$5:$C$400,'Master Data'!$I30,'Calculations Yr 2'!CC$5:CC$400)</f>
        <v>0</v>
      </c>
      <c r="BF30" s="139">
        <f>SUMIF('Calculations Yr 2'!$C$5:$C$400,'Master Data'!$I30,'Calculations Yr 2'!CD$5:CD$400)</f>
        <v>0</v>
      </c>
      <c r="BG30" s="139">
        <f>SUMIF('Calculations Yr 2'!$C$5:$C$465,'Master Data'!$I30,'Calculations Yr 2'!CE$5:CE$465)+SUMIF('Calculations Yr 2'!$C$5:$C$465,'Master Data'!$I30,'Calculations Yr 2'!CF$5:CF$465)+SUMIF('Calculations Yr 2'!$C$5:$C$465,'Master Data'!$I30,'Calculations Yr 2'!CG$5:CG$465)</f>
        <v>95629.986452078097</v>
      </c>
      <c r="BH30" s="140">
        <f t="shared" si="36"/>
        <v>95629.986452078097</v>
      </c>
      <c r="BI30" s="140">
        <f t="shared" si="37"/>
        <v>2907762.6921928651</v>
      </c>
      <c r="BJ30" s="139">
        <f>SUMIF('Calculations Yr 2'!$C$5:$C$400,'Master Data'!$I30,'Calculations Yr 2'!CO$5:CO$400)</f>
        <v>2593846.4447672116</v>
      </c>
      <c r="BK30" s="140">
        <f t="shared" si="38"/>
        <v>5501609.1369600762</v>
      </c>
    </row>
    <row r="31" spans="1:64" s="696" customFormat="1" ht="15" customHeight="1">
      <c r="A31" s="280" t="str">
        <f>'Lookups-Assumptions'!D$4</f>
        <v>Gas</v>
      </c>
      <c r="B31" s="280" t="str">
        <f>'Lookups-Assumptions'!D$5</f>
        <v>National Grid</v>
      </c>
      <c r="C31" s="280">
        <v>2017</v>
      </c>
      <c r="D31" s="280"/>
      <c r="E31" s="280"/>
      <c r="F31" s="280" t="str">
        <f>'Lookups-Assumptions'!D$6</f>
        <v>Evaluated</v>
      </c>
      <c r="G31" s="288" t="s">
        <v>443</v>
      </c>
      <c r="H31" s="286" t="str">
        <f>'Lookups-Assumptions'!D$74</f>
        <v>C2 - C&amp;I Retrofit</v>
      </c>
      <c r="I31" s="286" t="str">
        <f>'Lookups-Assumptions'!D$92</f>
        <v>C2d - C&amp;I Upstream Lighting</v>
      </c>
      <c r="J31" s="790"/>
      <c r="K31" s="790"/>
      <c r="L31" s="790"/>
      <c r="M31" s="790"/>
      <c r="N31" s="790"/>
      <c r="O31" s="790">
        <f t="shared" ref="O31" si="39">SUM(J31:N31)</f>
        <v>0</v>
      </c>
      <c r="P31" s="841">
        <f t="shared" ref="P31" si="40">O31</f>
        <v>0</v>
      </c>
      <c r="Q31" s="791">
        <v>0</v>
      </c>
      <c r="R31" s="791">
        <f t="shared" ref="R31" si="41">Q31</f>
        <v>0</v>
      </c>
      <c r="S31" s="790">
        <f>SUMIF('Calculations Yr 2'!C$5:C$400,$I31,'Calculations Yr 2'!K$5:K$400)</f>
        <v>0</v>
      </c>
      <c r="T31" s="790">
        <f t="shared" si="3"/>
        <v>0</v>
      </c>
      <c r="U31" s="797"/>
      <c r="V31" s="791">
        <f t="shared" ref="V31" si="42">U31</f>
        <v>0</v>
      </c>
      <c r="W31" s="798">
        <f t="shared" ref="W31" si="43">SUM(O31,Q31,S31,U31)</f>
        <v>0</v>
      </c>
      <c r="X31" s="790">
        <f t="shared" ref="X31" si="44">W31</f>
        <v>0</v>
      </c>
      <c r="Y31" s="799"/>
      <c r="Z31" s="794">
        <f>SUMIF('Calculations Yr 2'!$C$5:$C$400,'Master Data'!$I31,'Calculations Yr 2'!W$5:W$400)</f>
        <v>0</v>
      </c>
      <c r="AA31" s="794">
        <f>SUMIF('Calculations Yr 2'!$C$5:$C$400,'Master Data'!$I31,'Calculations Yr 2'!Y$5:Y$400)</f>
        <v>0</v>
      </c>
      <c r="AB31" s="794">
        <f>SUMIF('Calculations Yr 2'!$C$5:$C$400,'Master Data'!$I31,'Calculations Yr 2'!O$5:O$400)</f>
        <v>0</v>
      </c>
      <c r="AC31" s="794"/>
      <c r="AD31" s="794">
        <f>SUMIF('Calculations Yr 2'!$C$5:$C$400,'Master Data'!$I31,'Calculations Yr 2'!P$5:P$400)</f>
        <v>0</v>
      </c>
      <c r="AE31" s="794"/>
      <c r="AF31" s="794">
        <f>SUMIF('Calculations Yr 2'!$C$5:$C$400,'Master Data'!$I31,'Calculations Yr 2'!AB$5:AB$400)</f>
        <v>0</v>
      </c>
      <c r="AG31" s="794"/>
      <c r="AH31" s="794">
        <f t="shared" si="26"/>
        <v>0</v>
      </c>
      <c r="AI31" s="794"/>
      <c r="AJ31" s="794">
        <f>SUMIF('Calculations Yr 2'!$C$5:$C$400,'Master Data'!$I31,'Calculations Yr 2'!AC$5:AC$400)</f>
        <v>0</v>
      </c>
      <c r="AK31" s="794"/>
      <c r="AL31" s="800">
        <f>SUMIF('Calculations Yr 2'!$C$5:$C$400,'Master Data'!$I31,'Calculations Yr 2'!AF$5:AF$400)</f>
        <v>0</v>
      </c>
      <c r="AM31" s="800"/>
      <c r="AN31" s="794">
        <f>SUMIF('Calculations Yr 2'!$C$5:$C$400,'Master Data'!$I31,'Calculations Yr 2'!AG$5:AG$400)</f>
        <v>0</v>
      </c>
      <c r="AO31" s="794"/>
      <c r="AP31" s="800">
        <f>SUMIF('Calculations Yr 2'!$C$5:$C$400,'Master Data'!$I31,'Calculations Yr 2'!AJ$5:AJ$400)</f>
        <v>0</v>
      </c>
      <c r="AQ31" s="794">
        <f>SUMIF('Calculations Yr 2'!$C$5:$C$400,'Master Data'!$I31,'Calculations Yr 2'!AK$5:AK$400)</f>
        <v>0</v>
      </c>
      <c r="AR31" s="800">
        <f>SUMIF('Calculations Yr 2'!$C$5:$C$400,'Master Data'!$I31,'Calculations Yr 2'!AL$5:AN$400)</f>
        <v>0</v>
      </c>
      <c r="AS31" s="794">
        <f>SUMIF('Calculations Yr 2'!$C$5:$C$400,'Master Data'!$I31,'Calculations Yr 2'!AO$5:AO$400)</f>
        <v>0</v>
      </c>
      <c r="AT31" s="801">
        <f>SUMIF('Calculations Yr 2'!$C$5:$C$400,'Master Data'!$I31,'Calculations Yr 2'!AT$5:AT$400)</f>
        <v>0</v>
      </c>
      <c r="AU31" s="801">
        <f>SUMIF('Calculations Yr 2'!$C$5:$C$400,'Master Data'!$I31,'Calculations Yr 2'!BA$5:BA$400)</f>
        <v>0</v>
      </c>
      <c r="AV31" s="801">
        <f t="shared" ref="AV31" si="45">SUM(AT31:AU31)</f>
        <v>0</v>
      </c>
      <c r="AW31" s="801">
        <f>SUMIF('Calculations Yr 2'!$C$5:$C$400,'Master Data'!$I31,'Calculations Yr 2'!BC$5:BC$400)</f>
        <v>0</v>
      </c>
      <c r="AX31" s="801">
        <f>SUMIF('Calculations Yr 2'!$C$5:$C$400,'Master Data'!$I31,'Calculations Yr 2'!BF$5:BF$400)</f>
        <v>0</v>
      </c>
      <c r="AY31" s="801">
        <f>SUMIF('Calculations Yr 2'!$C$5:$C$400,'Master Data'!$I31,'Calculations Yr 2'!BG$5:BG$400)</f>
        <v>0</v>
      </c>
      <c r="AZ31" s="801">
        <f>SUMIF('Calculations Yr 2'!$C$5:$C$400,'Master Data'!$I31,'Calculations Yr 2'!BE$5:BE$400)</f>
        <v>0</v>
      </c>
      <c r="BA31" s="801">
        <f t="shared" ref="BA31" si="46">SUM(AW31:AZ31)</f>
        <v>0</v>
      </c>
      <c r="BB31" s="801">
        <f>SUMIF('Calculations Yr 2'!$C$5:$C$400,'Master Data'!$I31,'Calculations Yr 2'!BQ$5:BQ$400)</f>
        <v>0</v>
      </c>
      <c r="BC31" s="801">
        <f>SUMIF('Calculations Yr 2'!$C$5:$C$400,'Master Data'!$I31,'Calculations Yr 2'!BZ$5:BZ$400)</f>
        <v>0</v>
      </c>
      <c r="BD31" s="801">
        <f t="shared" ref="BD31" si="47">SUM(BB31:BC31)</f>
        <v>0</v>
      </c>
      <c r="BE31" s="801">
        <f>SUMIF('Calculations Yr 2'!$C$5:$C$400,'Master Data'!$I31,'Calculations Yr 2'!CB$5:CB$400)+SUMIF('Calculations Yr 2'!$C$5:$C$400,'Master Data'!$I31,'Calculations Yr 2'!CC$5:CC$400)</f>
        <v>0</v>
      </c>
      <c r="BF31" s="801">
        <f>SUMIF('Calculations Yr 2'!$C$5:$C$400,'Master Data'!$I31,'Calculations Yr 2'!CD$5:CD$400)</f>
        <v>0</v>
      </c>
      <c r="BG31" s="801"/>
      <c r="BH31" s="801">
        <f t="shared" ref="BH31" si="48">SUM(BE31:BG31)</f>
        <v>0</v>
      </c>
      <c r="BI31" s="801">
        <f t="shared" ref="BI31" si="49">SUM(AV31,BA31,BD31,BH31)</f>
        <v>0</v>
      </c>
      <c r="BJ31" s="801">
        <f>SUMIF('Calculations Yr 2'!$C$5:$C$400,'Master Data'!$I31,'Calculations Yr 2'!CO$5:CO$400)</f>
        <v>0</v>
      </c>
      <c r="BK31" s="801">
        <f t="shared" ref="BK31" si="50">SUM(BI31:BJ31)</f>
        <v>0</v>
      </c>
    </row>
    <row r="32" spans="1:64" s="719" customFormat="1" ht="15" customHeight="1">
      <c r="A32" s="280" t="str">
        <f>'Lookups-Assumptions'!D$4</f>
        <v>Gas</v>
      </c>
      <c r="B32" s="280" t="str">
        <f>'Lookups-Assumptions'!D$5</f>
        <v>National Grid</v>
      </c>
      <c r="C32" s="280">
        <v>2017</v>
      </c>
      <c r="D32" s="285"/>
      <c r="E32" s="285"/>
      <c r="F32" s="280" t="str">
        <f>'Lookups-Assumptions'!D$6</f>
        <v>Evaluated</v>
      </c>
      <c r="G32" s="288" t="s">
        <v>443</v>
      </c>
      <c r="H32" s="708" t="s">
        <v>862</v>
      </c>
      <c r="I32" s="286" t="s">
        <v>863</v>
      </c>
      <c r="J32" s="135">
        <f>'Cost Table'!E30</f>
        <v>0</v>
      </c>
      <c r="K32" s="135">
        <f>'Cost Table'!F30</f>
        <v>187356.46999999997</v>
      </c>
      <c r="L32" s="135">
        <f>'Cost Table'!G30</f>
        <v>0</v>
      </c>
      <c r="M32" s="135">
        <f>'Cost Table'!H30</f>
        <v>0</v>
      </c>
      <c r="N32" s="135">
        <f>'Cost Table'!I30</f>
        <v>0</v>
      </c>
      <c r="O32" s="707">
        <f t="shared" ref="O32:O34" si="51">SUM(J32:N32)</f>
        <v>187356.46999999997</v>
      </c>
      <c r="P32" s="842">
        <f t="shared" ref="P32:P38" si="52">IF($C32=2016,O32,IF($C32=2017,O32/(1+NDR),IF($C32=2018,O32/(1+NDR)^2)))</f>
        <v>182715.49639165201</v>
      </c>
      <c r="Q32" s="135">
        <v>0</v>
      </c>
      <c r="R32" s="842">
        <f t="shared" ref="R32:R38" si="53">IF($C32=2016,Q32,IF($C32=2017,Q32/(1+NDR),IF($C32=2018,Q32/(1+NDR)^2)))</f>
        <v>0</v>
      </c>
      <c r="S32" s="706">
        <v>0</v>
      </c>
      <c r="T32" s="842">
        <v>0</v>
      </c>
      <c r="U32" s="706"/>
      <c r="V32" s="706">
        <f t="shared" ref="V32:V38" si="54">IF($C32=2016,U32,IF($C32=2017,U32/(1+NDR),IF($C32=2018,U32/(1+NDR)^2)))</f>
        <v>0</v>
      </c>
      <c r="W32" s="707">
        <f t="shared" ref="W32:W34" si="55">SUM(O32,Q32,S32,U32)</f>
        <v>187356.46999999997</v>
      </c>
      <c r="X32" s="720">
        <f t="shared" ref="X32:X34" si="56">W32</f>
        <v>187356.46999999997</v>
      </c>
      <c r="Y32" s="269"/>
      <c r="Z32" s="276"/>
      <c r="AA32" s="276"/>
      <c r="AB32" s="276"/>
      <c r="AC32" s="276"/>
      <c r="AD32" s="276"/>
      <c r="AE32" s="276"/>
      <c r="AF32" s="276"/>
      <c r="AG32" s="276"/>
      <c r="AH32" s="276"/>
      <c r="AI32" s="276"/>
      <c r="AJ32" s="276"/>
      <c r="AK32" s="276"/>
      <c r="AL32" s="279"/>
      <c r="AM32" s="279"/>
      <c r="AN32" s="276">
        <f>SUMIF('Calculations Yr 2'!$C$5:$C$400,'Master Data'!$I32,'Calculations Yr 2'!AG$5:AG$400)</f>
        <v>0</v>
      </c>
      <c r="AO32" s="276"/>
      <c r="AP32" s="279"/>
      <c r="AQ32" s="276">
        <f>SUMIF('Calculations Yr 2'!$C$5:$C$400,'Master Data'!$I32,'Calculations Yr 2'!AK$5:AK$400)</f>
        <v>0</v>
      </c>
      <c r="AR32" s="279"/>
      <c r="AS32" s="279"/>
      <c r="AT32" s="270"/>
      <c r="AU32" s="270"/>
      <c r="AV32" s="270"/>
      <c r="AW32" s="270"/>
      <c r="AX32" s="270"/>
      <c r="AY32" s="270"/>
      <c r="AZ32" s="270"/>
      <c r="BA32" s="270"/>
      <c r="BB32" s="270"/>
      <c r="BC32" s="270"/>
      <c r="BD32" s="270"/>
      <c r="BE32" s="270"/>
      <c r="BF32" s="270"/>
      <c r="BG32" s="270"/>
      <c r="BH32" s="270"/>
      <c r="BI32" s="270"/>
      <c r="BJ32" s="270"/>
      <c r="BK32" s="270"/>
      <c r="BL32" s="705"/>
    </row>
    <row r="33" spans="1:64" s="719" customFormat="1" ht="15" customHeight="1">
      <c r="A33" s="280" t="str">
        <f>'Lookups-Assumptions'!D$4</f>
        <v>Gas</v>
      </c>
      <c r="B33" s="280" t="str">
        <f>'Lookups-Assumptions'!D$5</f>
        <v>National Grid</v>
      </c>
      <c r="C33" s="280">
        <v>2017</v>
      </c>
      <c r="D33" s="285"/>
      <c r="E33" s="285"/>
      <c r="F33" s="280" t="str">
        <f>'Lookups-Assumptions'!D$6</f>
        <v>Evaluated</v>
      </c>
      <c r="G33" s="288" t="s">
        <v>443</v>
      </c>
      <c r="H33" s="708" t="s">
        <v>862</v>
      </c>
      <c r="I33" s="286" t="s">
        <v>864</v>
      </c>
      <c r="J33" s="135">
        <f>'Cost Table'!E31</f>
        <v>1752.09</v>
      </c>
      <c r="K33" s="135">
        <f>'Cost Table'!F31</f>
        <v>0</v>
      </c>
      <c r="L33" s="135">
        <f>'Cost Table'!G31</f>
        <v>0</v>
      </c>
      <c r="M33" s="135">
        <f>'Cost Table'!H31</f>
        <v>0</v>
      </c>
      <c r="N33" s="135">
        <f>'Cost Table'!I31</f>
        <v>0</v>
      </c>
      <c r="O33" s="707">
        <f t="shared" si="51"/>
        <v>1752.09</v>
      </c>
      <c r="P33" s="842">
        <f t="shared" si="52"/>
        <v>1708.6892919836159</v>
      </c>
      <c r="Q33" s="135">
        <v>0</v>
      </c>
      <c r="R33" s="842">
        <f t="shared" si="53"/>
        <v>0</v>
      </c>
      <c r="S33" s="706">
        <v>0</v>
      </c>
      <c r="T33" s="842">
        <v>0</v>
      </c>
      <c r="U33" s="706"/>
      <c r="V33" s="706">
        <f t="shared" si="54"/>
        <v>0</v>
      </c>
      <c r="W33" s="707">
        <f t="shared" si="55"/>
        <v>1752.09</v>
      </c>
      <c r="X33" s="720">
        <f t="shared" si="56"/>
        <v>1752.09</v>
      </c>
      <c r="Y33" s="269"/>
      <c r="Z33" s="276"/>
      <c r="AA33" s="276"/>
      <c r="AB33" s="276"/>
      <c r="AC33" s="276"/>
      <c r="AD33" s="276"/>
      <c r="AE33" s="276"/>
      <c r="AF33" s="276"/>
      <c r="AG33" s="276"/>
      <c r="AH33" s="276"/>
      <c r="AI33" s="276"/>
      <c r="AJ33" s="276"/>
      <c r="AK33" s="276"/>
      <c r="AL33" s="279"/>
      <c r="AM33" s="279"/>
      <c r="AN33" s="276">
        <f>SUMIF('Calculations Yr 2'!$C$5:$C$400,'Master Data'!$I33,'Calculations Yr 2'!AG$5:AG$400)</f>
        <v>0</v>
      </c>
      <c r="AO33" s="276"/>
      <c r="AP33" s="279"/>
      <c r="AQ33" s="276">
        <f>SUMIF('Calculations Yr 2'!$C$5:$C$400,'Master Data'!$I33,'Calculations Yr 2'!AK$5:AK$400)</f>
        <v>0</v>
      </c>
      <c r="AR33" s="279"/>
      <c r="AS33" s="279"/>
      <c r="AT33" s="270"/>
      <c r="AU33" s="270"/>
      <c r="AV33" s="270"/>
      <c r="AW33" s="270"/>
      <c r="AX33" s="270"/>
      <c r="AY33" s="270"/>
      <c r="AZ33" s="270"/>
      <c r="BA33" s="270"/>
      <c r="BB33" s="270"/>
      <c r="BC33" s="270"/>
      <c r="BD33" s="270"/>
      <c r="BE33" s="270"/>
      <c r="BF33" s="270"/>
      <c r="BG33" s="270"/>
      <c r="BH33" s="270"/>
      <c r="BI33" s="270"/>
      <c r="BJ33" s="270"/>
      <c r="BK33" s="270"/>
      <c r="BL33" s="705"/>
    </row>
    <row r="34" spans="1:64" s="719" customFormat="1" ht="15" customHeight="1">
      <c r="A34" s="280" t="str">
        <f>'Lookups-Assumptions'!D$4</f>
        <v>Gas</v>
      </c>
      <c r="B34" s="280" t="str">
        <f>'Lookups-Assumptions'!D$5</f>
        <v>National Grid</v>
      </c>
      <c r="C34" s="280">
        <v>2017</v>
      </c>
      <c r="D34" s="285"/>
      <c r="E34" s="285"/>
      <c r="F34" s="280" t="str">
        <f>'Lookups-Assumptions'!D$6</f>
        <v>Evaluated</v>
      </c>
      <c r="G34" s="288" t="s">
        <v>443</v>
      </c>
      <c r="H34" s="708" t="s">
        <v>862</v>
      </c>
      <c r="I34" s="286" t="s">
        <v>865</v>
      </c>
      <c r="J34" s="135">
        <f>'Cost Table'!E32</f>
        <v>299996.16000000003</v>
      </c>
      <c r="K34" s="135">
        <f>'Cost Table'!F32</f>
        <v>0</v>
      </c>
      <c r="L34" s="135">
        <f>'Cost Table'!G32</f>
        <v>0</v>
      </c>
      <c r="M34" s="135">
        <f>'Cost Table'!H32</f>
        <v>0</v>
      </c>
      <c r="N34" s="135">
        <f>'Cost Table'!I32</f>
        <v>0</v>
      </c>
      <c r="O34" s="707">
        <f t="shared" si="51"/>
        <v>299996.16000000003</v>
      </c>
      <c r="P34" s="842">
        <f t="shared" si="52"/>
        <v>292565.00877706264</v>
      </c>
      <c r="Q34" s="135">
        <v>0</v>
      </c>
      <c r="R34" s="842">
        <f t="shared" si="53"/>
        <v>0</v>
      </c>
      <c r="S34" s="706">
        <v>0</v>
      </c>
      <c r="T34" s="842">
        <v>0</v>
      </c>
      <c r="U34" s="706"/>
      <c r="V34" s="706">
        <f t="shared" si="54"/>
        <v>0</v>
      </c>
      <c r="W34" s="707">
        <f t="shared" si="55"/>
        <v>299996.16000000003</v>
      </c>
      <c r="X34" s="720">
        <f t="shared" si="56"/>
        <v>299996.16000000003</v>
      </c>
      <c r="Y34" s="269"/>
      <c r="Z34" s="276"/>
      <c r="AA34" s="276"/>
      <c r="AB34" s="276"/>
      <c r="AC34" s="276"/>
      <c r="AD34" s="276"/>
      <c r="AE34" s="276"/>
      <c r="AF34" s="276"/>
      <c r="AG34" s="276"/>
      <c r="AH34" s="276"/>
      <c r="AI34" s="276"/>
      <c r="AJ34" s="276"/>
      <c r="AK34" s="276"/>
      <c r="AL34" s="279"/>
      <c r="AM34" s="279"/>
      <c r="AN34" s="276">
        <f>SUMIF('Calculations Yr 2'!$C$5:$C$400,'Master Data'!$I34,'Calculations Yr 2'!AG$5:AG$400)</f>
        <v>0</v>
      </c>
      <c r="AO34" s="276"/>
      <c r="AP34" s="279"/>
      <c r="AQ34" s="276">
        <f>SUMIF('Calculations Yr 2'!$C$5:$C$400,'Master Data'!$I34,'Calculations Yr 2'!AK$5:AK$400)</f>
        <v>0</v>
      </c>
      <c r="AR34" s="279"/>
      <c r="AS34" s="279"/>
      <c r="AT34" s="270"/>
      <c r="AU34" s="270"/>
      <c r="AV34" s="270"/>
      <c r="AW34" s="270"/>
      <c r="AX34" s="270"/>
      <c r="AY34" s="270"/>
      <c r="AZ34" s="270"/>
      <c r="BA34" s="270"/>
      <c r="BB34" s="270"/>
      <c r="BC34" s="270"/>
      <c r="BD34" s="270"/>
      <c r="BE34" s="270"/>
      <c r="BF34" s="270"/>
      <c r="BG34" s="270"/>
      <c r="BH34" s="270"/>
      <c r="BI34" s="270"/>
      <c r="BJ34" s="270"/>
      <c r="BK34" s="270"/>
      <c r="BL34" s="705"/>
    </row>
    <row r="35" spans="1:64" s="719" customFormat="1" ht="15" customHeight="1">
      <c r="A35" s="280" t="str">
        <f>'Lookups-Assumptions'!D$4</f>
        <v>Gas</v>
      </c>
      <c r="B35" s="280" t="str">
        <f>'Lookups-Assumptions'!D$5</f>
        <v>National Grid</v>
      </c>
      <c r="C35" s="280">
        <v>2017</v>
      </c>
      <c r="D35" s="285"/>
      <c r="E35" s="285"/>
      <c r="F35" s="280" t="str">
        <f>'Lookups-Assumptions'!D$6</f>
        <v>Evaluated</v>
      </c>
      <c r="G35" s="288" t="s">
        <v>443</v>
      </c>
      <c r="H35" s="708" t="s">
        <v>862</v>
      </c>
      <c r="I35" s="286" t="s">
        <v>866</v>
      </c>
      <c r="J35" s="135">
        <f>'Cost Table'!E33</f>
        <v>32545.839999999997</v>
      </c>
      <c r="K35" s="135">
        <f>'Cost Table'!F33</f>
        <v>0</v>
      </c>
      <c r="L35" s="135">
        <f>'Cost Table'!G33</f>
        <v>0</v>
      </c>
      <c r="M35" s="135">
        <f>'Cost Table'!H33</f>
        <v>0</v>
      </c>
      <c r="N35" s="135">
        <f>'Cost Table'!I33</f>
        <v>0</v>
      </c>
      <c r="O35" s="707">
        <f t="shared" si="23"/>
        <v>32545.839999999997</v>
      </c>
      <c r="P35" s="842">
        <f t="shared" si="52"/>
        <v>31739.65281841232</v>
      </c>
      <c r="Q35" s="135">
        <v>0</v>
      </c>
      <c r="R35" s="842">
        <f t="shared" si="53"/>
        <v>0</v>
      </c>
      <c r="S35" s="706">
        <v>0</v>
      </c>
      <c r="T35" s="842">
        <v>0</v>
      </c>
      <c r="U35" s="706"/>
      <c r="V35" s="706">
        <f t="shared" si="54"/>
        <v>0</v>
      </c>
      <c r="W35" s="707">
        <f t="shared" si="24"/>
        <v>32545.839999999997</v>
      </c>
      <c r="X35" s="720">
        <f t="shared" si="25"/>
        <v>32545.839999999997</v>
      </c>
      <c r="Y35" s="269"/>
      <c r="Z35" s="276"/>
      <c r="AA35" s="276"/>
      <c r="AB35" s="276"/>
      <c r="AC35" s="276"/>
      <c r="AD35" s="276"/>
      <c r="AE35" s="276"/>
      <c r="AF35" s="276"/>
      <c r="AG35" s="276"/>
      <c r="AH35" s="276"/>
      <c r="AI35" s="276"/>
      <c r="AJ35" s="276"/>
      <c r="AK35" s="276"/>
      <c r="AL35" s="279"/>
      <c r="AM35" s="279"/>
      <c r="AN35" s="276">
        <f>SUMIF('Calculations Yr 2'!$C$5:$C$400,'Master Data'!$I35,'Calculations Yr 2'!AG$5:AG$400)</f>
        <v>0</v>
      </c>
      <c r="AO35" s="276"/>
      <c r="AP35" s="279"/>
      <c r="AQ35" s="276">
        <f>SUMIF('Calculations Yr 2'!$C$5:$C$400,'Master Data'!$I35,'Calculations Yr 2'!AK$5:AK$400)</f>
        <v>0</v>
      </c>
      <c r="AR35" s="279"/>
      <c r="AS35" s="279"/>
      <c r="AT35" s="270"/>
      <c r="AU35" s="270"/>
      <c r="AV35" s="270"/>
      <c r="AW35" s="270"/>
      <c r="AX35" s="270"/>
      <c r="AY35" s="270"/>
      <c r="AZ35" s="270"/>
      <c r="BA35" s="270"/>
      <c r="BB35" s="270"/>
      <c r="BC35" s="270"/>
      <c r="BD35" s="270"/>
      <c r="BE35" s="270"/>
      <c r="BF35" s="270"/>
      <c r="BG35" s="270"/>
      <c r="BH35" s="270"/>
      <c r="BI35" s="270"/>
      <c r="BJ35" s="270"/>
      <c r="BK35" s="270"/>
      <c r="BL35" s="705"/>
    </row>
    <row r="36" spans="1:64" s="719" customFormat="1" ht="15" customHeight="1">
      <c r="A36" s="280" t="str">
        <f>'Lookups-Assumptions'!D$4</f>
        <v>Gas</v>
      </c>
      <c r="B36" s="280" t="str">
        <f>'Lookups-Assumptions'!D$5</f>
        <v>National Grid</v>
      </c>
      <c r="C36" s="280">
        <v>2017</v>
      </c>
      <c r="D36" s="285"/>
      <c r="E36" s="285"/>
      <c r="F36" s="280" t="str">
        <f>'Lookups-Assumptions'!D$6</f>
        <v>Evaluated</v>
      </c>
      <c r="G36" s="288" t="s">
        <v>443</v>
      </c>
      <c r="H36" s="708" t="s">
        <v>862</v>
      </c>
      <c r="I36" s="286" t="s">
        <v>867</v>
      </c>
      <c r="J36" s="135">
        <f>'Cost Table'!E34</f>
        <v>27992.78</v>
      </c>
      <c r="K36" s="135">
        <f>'Cost Table'!F34</f>
        <v>1269.18</v>
      </c>
      <c r="L36" s="135">
        <f>'Cost Table'!G34</f>
        <v>0</v>
      </c>
      <c r="M36" s="135">
        <f>'Cost Table'!H34</f>
        <v>0</v>
      </c>
      <c r="N36" s="135">
        <f>'Cost Table'!I34</f>
        <v>423.06</v>
      </c>
      <c r="O36" s="707">
        <f t="shared" ref="O36" si="57">SUM(J36:N36)</f>
        <v>29685.02</v>
      </c>
      <c r="P36" s="842">
        <f t="shared" si="52"/>
        <v>28949.697678954552</v>
      </c>
      <c r="Q36" s="135">
        <v>0</v>
      </c>
      <c r="R36" s="842">
        <f t="shared" si="53"/>
        <v>0</v>
      </c>
      <c r="S36" s="706">
        <v>0</v>
      </c>
      <c r="T36" s="842">
        <v>0</v>
      </c>
      <c r="U36" s="706"/>
      <c r="V36" s="706">
        <f t="shared" si="54"/>
        <v>0</v>
      </c>
      <c r="W36" s="707">
        <f t="shared" ref="W36" si="58">SUM(O36,Q36,S36,U36)</f>
        <v>29685.02</v>
      </c>
      <c r="X36" s="720">
        <f t="shared" ref="X36" si="59">W36</f>
        <v>29685.02</v>
      </c>
      <c r="Y36" s="269"/>
      <c r="Z36" s="276"/>
      <c r="AA36" s="276"/>
      <c r="AB36" s="276"/>
      <c r="AC36" s="276"/>
      <c r="AD36" s="276"/>
      <c r="AE36" s="276"/>
      <c r="AF36" s="276"/>
      <c r="AG36" s="276"/>
      <c r="AH36" s="276"/>
      <c r="AI36" s="276"/>
      <c r="AJ36" s="276"/>
      <c r="AK36" s="276"/>
      <c r="AL36" s="279"/>
      <c r="AM36" s="279"/>
      <c r="AN36" s="276">
        <f>SUMIF('Calculations Yr 2'!$C$5:$C$400,'Master Data'!$I36,'Calculations Yr 2'!AG$5:AG$400)</f>
        <v>0</v>
      </c>
      <c r="AO36" s="276"/>
      <c r="AP36" s="279"/>
      <c r="AQ36" s="276">
        <f>SUMIF('Calculations Yr 2'!$C$5:$C$400,'Master Data'!$I36,'Calculations Yr 2'!AK$5:AK$400)</f>
        <v>0</v>
      </c>
      <c r="AR36" s="279"/>
      <c r="AS36" s="279"/>
      <c r="AT36" s="270"/>
      <c r="AU36" s="270"/>
      <c r="AV36" s="270"/>
      <c r="AW36" s="270"/>
      <c r="AX36" s="270"/>
      <c r="AY36" s="270"/>
      <c r="AZ36" s="270"/>
      <c r="BA36" s="270"/>
      <c r="BB36" s="270"/>
      <c r="BC36" s="270"/>
      <c r="BD36" s="270"/>
      <c r="BE36" s="270"/>
      <c r="BF36" s="270"/>
      <c r="BG36" s="270"/>
      <c r="BH36" s="270"/>
      <c r="BI36" s="270"/>
      <c r="BJ36" s="270"/>
      <c r="BK36" s="270"/>
      <c r="BL36" s="705"/>
    </row>
    <row r="37" spans="1:64" s="719" customFormat="1" ht="15" customHeight="1">
      <c r="A37" s="280" t="str">
        <f>'Lookups-Assumptions'!D$4</f>
        <v>Gas</v>
      </c>
      <c r="B37" s="280" t="str">
        <f>'Lookups-Assumptions'!D$5</f>
        <v>National Grid</v>
      </c>
      <c r="C37" s="280">
        <v>2017</v>
      </c>
      <c r="D37" s="285"/>
      <c r="E37" s="285"/>
      <c r="F37" s="280" t="str">
        <f>'Lookups-Assumptions'!D$6</f>
        <v>Evaluated</v>
      </c>
      <c r="G37" s="288" t="s">
        <v>443</v>
      </c>
      <c r="H37" s="708" t="s">
        <v>862</v>
      </c>
      <c r="I37" s="286" t="s">
        <v>868</v>
      </c>
      <c r="J37" s="135">
        <f>'Cost Table'!E35</f>
        <v>0</v>
      </c>
      <c r="K37" s="135">
        <f>'Cost Table'!F35</f>
        <v>0</v>
      </c>
      <c r="L37" s="135">
        <f>'Cost Table'!G35</f>
        <v>0</v>
      </c>
      <c r="M37" s="135">
        <f>'Cost Table'!H35</f>
        <v>3645.5099999999989</v>
      </c>
      <c r="N37" s="135">
        <f>'Cost Table'!I35</f>
        <v>0</v>
      </c>
      <c r="O37" s="707">
        <f t="shared" ref="O37" si="60">SUM(J37:N37)</f>
        <v>3645.5099999999989</v>
      </c>
      <c r="P37" s="842">
        <f t="shared" si="52"/>
        <v>3555.2077238150951</v>
      </c>
      <c r="Q37" s="135">
        <v>0</v>
      </c>
      <c r="R37" s="842">
        <f t="shared" si="53"/>
        <v>0</v>
      </c>
      <c r="S37" s="706">
        <v>0</v>
      </c>
      <c r="T37" s="842">
        <v>0</v>
      </c>
      <c r="U37" s="706"/>
      <c r="V37" s="706">
        <f t="shared" si="54"/>
        <v>0</v>
      </c>
      <c r="W37" s="707">
        <f t="shared" ref="W37" si="61">SUM(O37,Q37,S37,U37)</f>
        <v>3645.5099999999989</v>
      </c>
      <c r="X37" s="720">
        <f t="shared" ref="X37" si="62">W37</f>
        <v>3645.5099999999989</v>
      </c>
      <c r="Y37" s="269"/>
      <c r="Z37" s="276"/>
      <c r="AA37" s="276"/>
      <c r="AB37" s="276"/>
      <c r="AC37" s="276"/>
      <c r="AD37" s="276"/>
      <c r="AE37" s="276"/>
      <c r="AF37" s="276"/>
      <c r="AG37" s="276"/>
      <c r="AH37" s="276"/>
      <c r="AI37" s="276"/>
      <c r="AJ37" s="276"/>
      <c r="AK37" s="276"/>
      <c r="AL37" s="279"/>
      <c r="AM37" s="279"/>
      <c r="AN37" s="276">
        <f>SUMIF('Calculations Yr 2'!$C$5:$C$400,'Master Data'!$I37,'Calculations Yr 2'!AG$5:AG$400)</f>
        <v>0</v>
      </c>
      <c r="AO37" s="276"/>
      <c r="AP37" s="279"/>
      <c r="AQ37" s="276">
        <f>SUMIF('Calculations Yr 2'!$C$5:$C$400,'Master Data'!$I37,'Calculations Yr 2'!AK$5:AK$400)</f>
        <v>0</v>
      </c>
      <c r="AR37" s="279"/>
      <c r="AS37" s="279"/>
      <c r="AT37" s="270"/>
      <c r="AU37" s="270"/>
      <c r="AV37" s="270"/>
      <c r="AW37" s="270"/>
      <c r="AX37" s="270"/>
      <c r="AY37" s="270"/>
      <c r="AZ37" s="270"/>
      <c r="BA37" s="270"/>
      <c r="BB37" s="270"/>
      <c r="BC37" s="270"/>
      <c r="BD37" s="270"/>
      <c r="BE37" s="270"/>
      <c r="BF37" s="270"/>
      <c r="BG37" s="270"/>
      <c r="BH37" s="270"/>
      <c r="BI37" s="270"/>
      <c r="BJ37" s="270"/>
      <c r="BK37" s="270"/>
      <c r="BL37" s="705"/>
    </row>
    <row r="38" spans="1:64" s="272" customFormat="1" ht="15" customHeight="1" thickBot="1">
      <c r="A38" s="280" t="str">
        <f>'Lookups-Assumptions'!D$4</f>
        <v>Gas</v>
      </c>
      <c r="B38" s="280" t="str">
        <f>'Lookups-Assumptions'!D$5</f>
        <v>National Grid</v>
      </c>
      <c r="C38" s="280">
        <v>2017</v>
      </c>
      <c r="D38" s="289"/>
      <c r="E38" s="289"/>
      <c r="F38" s="280" t="str">
        <f>'Lookups-Assumptions'!D$6</f>
        <v>Evaluated</v>
      </c>
      <c r="G38" s="288" t="s">
        <v>443</v>
      </c>
      <c r="H38" s="709" t="s">
        <v>862</v>
      </c>
      <c r="I38" s="290" t="s">
        <v>869</v>
      </c>
      <c r="J38" s="273">
        <f>'Cost Table'!E36</f>
        <v>4070.54</v>
      </c>
      <c r="K38" s="273">
        <f>'Cost Table'!F36</f>
        <v>655.8</v>
      </c>
      <c r="L38" s="273">
        <f>'Cost Table'!G36</f>
        <v>0</v>
      </c>
      <c r="M38" s="273">
        <f>'Cost Table'!H36</f>
        <v>22471.75</v>
      </c>
      <c r="N38" s="273">
        <f>'Cost Table'!I36</f>
        <v>1594.5</v>
      </c>
      <c r="O38" s="717">
        <f t="shared" si="23"/>
        <v>28792.59</v>
      </c>
      <c r="P38" s="843">
        <f t="shared" si="52"/>
        <v>28079.37390286717</v>
      </c>
      <c r="Q38" s="135">
        <v>0</v>
      </c>
      <c r="R38" s="843">
        <f t="shared" si="53"/>
        <v>0</v>
      </c>
      <c r="S38" s="273">
        <v>0</v>
      </c>
      <c r="T38" s="843">
        <v>0</v>
      </c>
      <c r="U38" s="273"/>
      <c r="V38" s="273">
        <f t="shared" si="54"/>
        <v>0</v>
      </c>
      <c r="W38" s="717">
        <f t="shared" si="24"/>
        <v>28792.59</v>
      </c>
      <c r="X38" s="721">
        <f t="shared" si="25"/>
        <v>28792.59</v>
      </c>
      <c r="Y38" s="281"/>
      <c r="Z38" s="282"/>
      <c r="AA38" s="282"/>
      <c r="AB38" s="282"/>
      <c r="AC38" s="282"/>
      <c r="AD38" s="282"/>
      <c r="AE38" s="282"/>
      <c r="AF38" s="282"/>
      <c r="AG38" s="282"/>
      <c r="AH38" s="282"/>
      <c r="AI38" s="282"/>
      <c r="AJ38" s="282"/>
      <c r="AK38" s="282"/>
      <c r="AL38" s="283"/>
      <c r="AM38" s="283"/>
      <c r="AN38" s="282">
        <f>SUMIF('Calculations Yr 2'!$C$5:$C$400,'Master Data'!$I38,'Calculations Yr 2'!AG$5:AG$400)</f>
        <v>0</v>
      </c>
      <c r="AO38" s="282"/>
      <c r="AP38" s="283"/>
      <c r="AQ38" s="282">
        <f>SUMIF('Calculations Yr 2'!$C$5:$C$400,'Master Data'!$I38,'Calculations Yr 2'!AK$5:AK$400)</f>
        <v>0</v>
      </c>
      <c r="AR38" s="283"/>
      <c r="AS38" s="283"/>
      <c r="AT38" s="284"/>
      <c r="AU38" s="284"/>
      <c r="AV38" s="284"/>
      <c r="AW38" s="284"/>
      <c r="AX38" s="284"/>
      <c r="AY38" s="284"/>
      <c r="AZ38" s="284"/>
      <c r="BA38" s="284"/>
      <c r="BB38" s="284"/>
      <c r="BC38" s="284"/>
      <c r="BD38" s="284"/>
      <c r="BE38" s="284"/>
      <c r="BF38" s="284"/>
      <c r="BG38" s="284"/>
      <c r="BH38" s="284"/>
      <c r="BI38" s="284"/>
      <c r="BJ38" s="284"/>
      <c r="BK38" s="284"/>
      <c r="BL38" s="710"/>
    </row>
    <row r="39" spans="1:64" ht="15">
      <c r="A39" s="128"/>
      <c r="C39" s="134"/>
      <c r="D39" s="134"/>
      <c r="E39" s="134"/>
      <c r="F39" s="134"/>
      <c r="G39" s="134"/>
      <c r="H39" s="134"/>
      <c r="I39" s="134"/>
      <c r="L39" s="142"/>
      <c r="O39" s="142"/>
      <c r="P39" s="142"/>
      <c r="Q39" s="142"/>
      <c r="R39" s="142"/>
      <c r="S39" s="142"/>
      <c r="T39" s="142"/>
      <c r="U39" s="142"/>
      <c r="V39" s="142"/>
      <c r="W39" s="142"/>
      <c r="X39" s="142"/>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1"/>
      <c r="AU39" s="141"/>
      <c r="AV39" s="141"/>
      <c r="AW39" s="141"/>
      <c r="AX39" s="141"/>
      <c r="AY39" s="141"/>
      <c r="AZ39" s="141"/>
      <c r="BA39" s="141"/>
      <c r="BB39" s="141"/>
      <c r="BC39" s="141"/>
      <c r="BD39" s="141"/>
      <c r="BE39" s="141"/>
      <c r="BF39" s="141"/>
      <c r="BG39" s="141"/>
      <c r="BH39" s="141"/>
      <c r="BI39" s="141"/>
      <c r="BJ39" s="141"/>
      <c r="BK39" s="141"/>
    </row>
    <row r="40" spans="1:64" ht="15">
      <c r="A40" s="128"/>
      <c r="C40" s="134"/>
      <c r="D40" s="134"/>
      <c r="E40" s="134"/>
      <c r="F40" s="134"/>
      <c r="G40" s="134"/>
      <c r="H40" s="134"/>
      <c r="I40" s="134"/>
      <c r="L40" s="142"/>
      <c r="O40" s="142"/>
      <c r="P40" s="142"/>
      <c r="Q40" s="142"/>
      <c r="R40" s="142"/>
      <c r="S40" s="142"/>
      <c r="T40" s="142"/>
      <c r="U40" s="142"/>
      <c r="V40" s="142"/>
      <c r="W40" s="142"/>
      <c r="X40" s="142"/>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1"/>
      <c r="AU40" s="141"/>
      <c r="AV40" s="141"/>
      <c r="AW40" s="141"/>
      <c r="AX40" s="141"/>
      <c r="AY40" s="141"/>
      <c r="AZ40" s="141"/>
      <c r="BA40" s="141"/>
      <c r="BB40" s="141"/>
      <c r="BC40" s="141"/>
      <c r="BD40" s="141"/>
      <c r="BE40" s="141"/>
      <c r="BF40" s="141"/>
      <c r="BG40" s="141"/>
      <c r="BH40" s="141"/>
      <c r="BI40" s="141"/>
      <c r="BJ40" s="141"/>
      <c r="BK40" s="141"/>
    </row>
    <row r="41" spans="1:64" ht="15">
      <c r="A41" s="128"/>
      <c r="C41" s="134"/>
      <c r="D41" s="134"/>
      <c r="E41" s="134"/>
      <c r="F41" s="134"/>
      <c r="G41" s="134"/>
      <c r="H41" s="134"/>
      <c r="I41" s="134"/>
      <c r="L41" s="142"/>
      <c r="O41" s="142"/>
      <c r="P41" s="142"/>
      <c r="Q41" s="142"/>
      <c r="R41" s="142"/>
      <c r="S41" s="142"/>
      <c r="T41" s="142"/>
      <c r="U41" s="142"/>
      <c r="V41" s="142"/>
      <c r="W41" s="142"/>
      <c r="X41" s="142"/>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1"/>
      <c r="AU41" s="141"/>
      <c r="AV41" s="141"/>
      <c r="AW41" s="141"/>
      <c r="AX41" s="141"/>
      <c r="AY41" s="141"/>
      <c r="AZ41" s="141"/>
      <c r="BA41" s="141"/>
      <c r="BB41" s="141"/>
      <c r="BC41" s="141"/>
      <c r="BD41" s="141"/>
      <c r="BE41" s="141"/>
      <c r="BF41" s="141"/>
      <c r="BG41" s="141"/>
      <c r="BH41" s="141"/>
      <c r="BI41" s="141"/>
      <c r="BJ41" s="141"/>
      <c r="BK41" s="141"/>
    </row>
    <row r="42" spans="1:64" ht="15">
      <c r="A42" s="128"/>
      <c r="C42" s="134" t="s">
        <v>444</v>
      </c>
      <c r="D42" s="134"/>
      <c r="E42" s="134"/>
      <c r="F42" s="134"/>
      <c r="G42" s="134"/>
      <c r="H42" s="134"/>
      <c r="I42" s="134"/>
      <c r="L42" s="142"/>
      <c r="O42" s="142"/>
      <c r="P42" s="142"/>
      <c r="Q42" s="142"/>
      <c r="R42" s="142"/>
      <c r="S42" s="142"/>
      <c r="T42" s="142"/>
      <c r="U42" s="142"/>
      <c r="V42" s="142"/>
      <c r="W42" s="142"/>
      <c r="X42" s="142"/>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4"/>
      <c r="AU42" s="144"/>
      <c r="AV42" s="144"/>
      <c r="AW42" s="144"/>
      <c r="AX42" s="144"/>
      <c r="AY42" s="144"/>
      <c r="AZ42" s="144"/>
      <c r="BA42" s="144"/>
      <c r="BB42" s="144"/>
      <c r="BC42" s="144"/>
      <c r="BD42" s="144"/>
      <c r="BE42" s="144"/>
      <c r="BF42" s="144"/>
      <c r="BG42" s="144"/>
      <c r="BH42" s="144"/>
      <c r="BI42" s="144"/>
      <c r="BJ42" s="144"/>
      <c r="BK42" s="144"/>
    </row>
    <row r="43" spans="1:64" ht="15">
      <c r="A43" s="128"/>
      <c r="C43" s="134">
        <f>Year1</f>
        <v>2016</v>
      </c>
      <c r="D43" s="134"/>
      <c r="E43" s="134"/>
      <c r="F43" s="134"/>
      <c r="G43" s="134"/>
      <c r="H43" s="134"/>
      <c r="I43" s="134" t="s">
        <v>445</v>
      </c>
      <c r="J43" s="142">
        <f t="shared" ref="J43:AD43" si="63">SUM(J2:J38)</f>
        <v>4544234.4313730821</v>
      </c>
      <c r="K43" s="142">
        <f t="shared" si="63"/>
        <v>5081344.7578948643</v>
      </c>
      <c r="L43" s="142">
        <f t="shared" si="63"/>
        <v>80544534.260000005</v>
      </c>
      <c r="M43" s="142">
        <f t="shared" si="63"/>
        <v>23176444.450732052</v>
      </c>
      <c r="N43" s="142">
        <f t="shared" si="63"/>
        <v>2988149.7800000003</v>
      </c>
      <c r="O43" s="142">
        <f t="shared" si="63"/>
        <v>116334707.68000002</v>
      </c>
      <c r="P43" s="142">
        <f t="shared" si="63"/>
        <v>113453001.44333915</v>
      </c>
      <c r="Q43" s="142">
        <f t="shared" si="63"/>
        <v>3502978.2346140146</v>
      </c>
      <c r="R43" s="142">
        <f t="shared" si="63"/>
        <v>3416206.5872966792</v>
      </c>
      <c r="S43" s="142">
        <f t="shared" si="63"/>
        <v>39943029.152409732</v>
      </c>
      <c r="T43" s="142">
        <f t="shared" si="63"/>
        <v>38953607.521367006</v>
      </c>
      <c r="U43" s="142">
        <f t="shared" si="63"/>
        <v>0</v>
      </c>
      <c r="V43" s="142">
        <f t="shared" si="63"/>
        <v>0</v>
      </c>
      <c r="W43" s="142">
        <f t="shared" si="63"/>
        <v>159780715.06702378</v>
      </c>
      <c r="X43" s="142">
        <f t="shared" si="63"/>
        <v>159780715.06702378</v>
      </c>
      <c r="Y43" s="830">
        <f t="shared" si="63"/>
        <v>470901</v>
      </c>
      <c r="Z43" s="830">
        <f t="shared" si="63"/>
        <v>1907.5116151050524</v>
      </c>
      <c r="AA43" s="830">
        <f t="shared" si="63"/>
        <v>5540.2107543999209</v>
      </c>
      <c r="AB43" s="830">
        <f t="shared" si="63"/>
        <v>9946.4523427149979</v>
      </c>
      <c r="AC43" s="830">
        <f t="shared" si="63"/>
        <v>9856.1563028583332</v>
      </c>
      <c r="AD43" s="830">
        <f t="shared" si="63"/>
        <v>120466.18662377502</v>
      </c>
      <c r="AE43" s="830"/>
      <c r="AF43" s="830">
        <f t="shared" ref="AF43:AL43" si="64">SUM(AF2:AF38)</f>
        <v>1642836.5970547774</v>
      </c>
      <c r="AG43" s="830">
        <f t="shared" si="64"/>
        <v>1704435.8545121858</v>
      </c>
      <c r="AH43" s="830">
        <f t="shared" si="64"/>
        <v>16428365.970547775</v>
      </c>
      <c r="AI43" s="830">
        <f t="shared" si="64"/>
        <v>17044358.545121856</v>
      </c>
      <c r="AJ43" s="830">
        <f t="shared" si="64"/>
        <v>206839262.72724375</v>
      </c>
      <c r="AK43" s="830">
        <f t="shared" si="64"/>
        <v>214625742.96593317</v>
      </c>
      <c r="AL43" s="830">
        <f t="shared" si="64"/>
        <v>0</v>
      </c>
      <c r="AM43" s="830"/>
      <c r="AN43" s="830">
        <f>SUM(AN2:AN38)</f>
        <v>0</v>
      </c>
      <c r="AO43" s="830"/>
      <c r="AP43" s="830">
        <f t="shared" ref="AP43:BK43" si="65">SUM(AP2:AP38)</f>
        <v>0</v>
      </c>
      <c r="AQ43" s="830">
        <f t="shared" si="65"/>
        <v>0</v>
      </c>
      <c r="AR43" s="830">
        <f t="shared" si="65"/>
        <v>144279744.67000002</v>
      </c>
      <c r="AS43" s="830">
        <f t="shared" si="65"/>
        <v>788696506.33000004</v>
      </c>
      <c r="AT43" s="142">
        <f t="shared" si="65"/>
        <v>9740601.222613506</v>
      </c>
      <c r="AU43" s="142">
        <f t="shared" si="65"/>
        <v>806510.96982814965</v>
      </c>
      <c r="AV43" s="142">
        <f t="shared" si="65"/>
        <v>10547112.192441655</v>
      </c>
      <c r="AW43" s="142">
        <f t="shared" si="65"/>
        <v>15776359.207469434</v>
      </c>
      <c r="AX43" s="142">
        <f t="shared" si="65"/>
        <v>1041439.0194872913</v>
      </c>
      <c r="AY43" s="142">
        <f t="shared" si="65"/>
        <v>8174108.3497210704</v>
      </c>
      <c r="AZ43" s="142">
        <f t="shared" si="65"/>
        <v>0</v>
      </c>
      <c r="BA43" s="142">
        <f t="shared" si="65"/>
        <v>24991906.576677795</v>
      </c>
      <c r="BB43" s="142">
        <f t="shared" si="65"/>
        <v>169711313.54795647</v>
      </c>
      <c r="BC43" s="142">
        <f t="shared" si="65"/>
        <v>14260709.559523987</v>
      </c>
      <c r="BD43" s="142">
        <f t="shared" si="65"/>
        <v>183972023.1074805</v>
      </c>
      <c r="BE43" s="142">
        <f t="shared" si="65"/>
        <v>0</v>
      </c>
      <c r="BF43" s="142">
        <f t="shared" si="65"/>
        <v>0</v>
      </c>
      <c r="BG43" s="142">
        <f t="shared" si="65"/>
        <v>8377664.1658551004</v>
      </c>
      <c r="BH43" s="142">
        <f t="shared" si="65"/>
        <v>8377664.1658551004</v>
      </c>
      <c r="BI43" s="142">
        <f t="shared" si="65"/>
        <v>227888706.04245499</v>
      </c>
      <c r="BJ43" s="142">
        <f t="shared" si="65"/>
        <v>78254198.843892932</v>
      </c>
      <c r="BK43" s="142">
        <f t="shared" si="65"/>
        <v>306142904.88634795</v>
      </c>
    </row>
    <row r="108" spans="63:63">
      <c r="BK108"/>
    </row>
  </sheetData>
  <autoFilter ref="C1:BG38"/>
  <pageMargins left="0.7" right="0.7" top="1.3958333333333333" bottom="0.75" header="0.3" footer="0.3"/>
  <pageSetup fitToWidth="8" fitToHeight="3" pageOrder="overThenDown" orientation="landscape" r:id="rId1"/>
  <headerFooter>
    <oddHeader>&amp;RBoston Gas Company and Colonial Gas Company 
d/b/a National Grid 
D.P.U. 18-51
2017 Energy Efficiency Plan-Year Report
Appendix 2, BCR Model
&amp;P of &amp;N</oddHeader>
  </headerFooter>
  <colBreaks count="1" manualBreakCount="1">
    <brk id="5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84</vt:i4>
      </vt:variant>
    </vt:vector>
  </HeadingPairs>
  <TitlesOfParts>
    <vt:vector size="97" baseType="lpstr">
      <vt:lpstr>Lookups-Assumptions</vt:lpstr>
      <vt:lpstr>NEI Lookups</vt:lpstr>
      <vt:lpstr>Demand Lookups</vt:lpstr>
      <vt:lpstr>Avoided Costs</vt:lpstr>
      <vt:lpstr>READ ME</vt:lpstr>
      <vt:lpstr>Inputs Yr 2</vt:lpstr>
      <vt:lpstr>Calculations Yr 2</vt:lpstr>
      <vt:lpstr>Cost Table</vt:lpstr>
      <vt:lpstr>Master Data</vt:lpstr>
      <vt:lpstr>Savings</vt:lpstr>
      <vt:lpstr>Benefits</vt:lpstr>
      <vt:lpstr>Cost-Effectiveness</vt:lpstr>
      <vt:lpstr>Measure Summary</vt:lpstr>
      <vt:lpstr>avoidedcosttbl</vt:lpstr>
      <vt:lpstr>avoidedcosttbl1</vt:lpstr>
      <vt:lpstr>avoidedcosttbl2</vt:lpstr>
      <vt:lpstr>avoidedcosttbl3</vt:lpstr>
      <vt:lpstr>CalculationsYear1</vt:lpstr>
      <vt:lpstr>CD</vt:lpstr>
      <vt:lpstr>CI_Sewer</vt:lpstr>
      <vt:lpstr>CI_Water</vt:lpstr>
      <vt:lpstr>cisewer1</vt:lpstr>
      <vt:lpstr>cisewer2</vt:lpstr>
      <vt:lpstr>cisewer3</vt:lpstr>
      <vt:lpstr>ciwater1</vt:lpstr>
      <vt:lpstr>ciwater2</vt:lpstr>
      <vt:lpstr>ciwater3</vt:lpstr>
      <vt:lpstr>Distributionyear1</vt:lpstr>
      <vt:lpstr>Distributionyear2</vt:lpstr>
      <vt:lpstr>Distributionyear3</vt:lpstr>
      <vt:lpstr>dripe</vt:lpstr>
      <vt:lpstr>ECD</vt:lpstr>
      <vt:lpstr>ED</vt:lpstr>
      <vt:lpstr>EE</vt:lpstr>
      <vt:lpstr>EndUse</vt:lpstr>
      <vt:lpstr>Fuel</vt:lpstr>
      <vt:lpstr>Gas</vt:lpstr>
      <vt:lpstr>GD</vt:lpstr>
      <vt:lpstr>GECD</vt:lpstr>
      <vt:lpstr>Half_Year</vt:lpstr>
      <vt:lpstr>Inflation</vt:lpstr>
      <vt:lpstr>Inflation2</vt:lpstr>
      <vt:lpstr>Inflation3</vt:lpstr>
      <vt:lpstr>Kerosene</vt:lpstr>
      <vt:lpstr>MasterData</vt:lpstr>
      <vt:lpstr>NDR</vt:lpstr>
      <vt:lpstr>nomdiscrt1</vt:lpstr>
      <vt:lpstr>nomdiscrt2</vt:lpstr>
      <vt:lpstr>nomdiscrt3</vt:lpstr>
      <vt:lpstr>Non_Resource</vt:lpstr>
      <vt:lpstr>Oil</vt:lpstr>
      <vt:lpstr>PA</vt:lpstr>
      <vt:lpstr>Benefits!Print_Area</vt:lpstr>
      <vt:lpstr>'Calculations Yr 2'!Print_Area</vt:lpstr>
      <vt:lpstr>'Cost Table'!Print_Area</vt:lpstr>
      <vt:lpstr>'Cost-Effectiveness'!Print_Area</vt:lpstr>
      <vt:lpstr>Savings!Print_Area</vt:lpstr>
      <vt:lpstr>Benefits!Print_Titles</vt:lpstr>
      <vt:lpstr>'Calculations Yr 2'!Print_Titles</vt:lpstr>
      <vt:lpstr>'Cost-Effectiveness'!Print_Titles</vt:lpstr>
      <vt:lpstr>'Master Data'!Print_Titles</vt:lpstr>
      <vt:lpstr>Savings!Print_Titles</vt:lpstr>
      <vt:lpstr>Propane</vt:lpstr>
      <vt:lpstr>RDR</vt:lpstr>
      <vt:lpstr>Real_Year</vt:lpstr>
      <vt:lpstr>'NEI Lookups'!Real_Year2</vt:lpstr>
      <vt:lpstr>Real_Year2</vt:lpstr>
      <vt:lpstr>realdiscrt1</vt:lpstr>
      <vt:lpstr>realdiscrt2</vt:lpstr>
      <vt:lpstr>realdiscrt3</vt:lpstr>
      <vt:lpstr>reswater</vt:lpstr>
      <vt:lpstr>reswater2</vt:lpstr>
      <vt:lpstr>reswater3</vt:lpstr>
      <vt:lpstr>Summer_Gen</vt:lpstr>
      <vt:lpstr>Summer_Off</vt:lpstr>
      <vt:lpstr>Summer_Peak</vt:lpstr>
      <vt:lpstr>summerco2</vt:lpstr>
      <vt:lpstr>summeroffpeakco2</vt:lpstr>
      <vt:lpstr>summeroffpeakDRIPE</vt:lpstr>
      <vt:lpstr>summerpeakDRIPE</vt:lpstr>
      <vt:lpstr>TD_Year</vt:lpstr>
      <vt:lpstr>Transmission</vt:lpstr>
      <vt:lpstr>transmissionyear1</vt:lpstr>
      <vt:lpstr>transmissionyear2</vt:lpstr>
      <vt:lpstr>transmissionyear3</vt:lpstr>
      <vt:lpstr>Water</vt:lpstr>
      <vt:lpstr>Winter_Gen</vt:lpstr>
      <vt:lpstr>Winter_Off</vt:lpstr>
      <vt:lpstr>Winter_Peak</vt:lpstr>
      <vt:lpstr>winteroffco2</vt:lpstr>
      <vt:lpstr>WinteroffpeakDRIPE</vt:lpstr>
      <vt:lpstr>winterpeakco2</vt:lpstr>
      <vt:lpstr>WinterPeakDRIPE</vt:lpstr>
      <vt:lpstr>Wt_Year</vt:lpstr>
      <vt:lpstr>Year1</vt:lpstr>
      <vt:lpstr>Year2</vt:lpstr>
      <vt:lpstr>Year3</vt:lpstr>
    </vt:vector>
  </TitlesOfParts>
  <Company>NSTAR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Riley Hastings</dc:creator>
  <cp:lastModifiedBy>Titus, Elizabeth</cp:lastModifiedBy>
  <dcterms:created xsi:type="dcterms:W3CDTF">2013-01-31T16:55:03Z</dcterms:created>
  <dcterms:modified xsi:type="dcterms:W3CDTF">2018-08-28T03:23:39Z</dcterms:modified>
</cp:coreProperties>
</file>